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6000" windowWidth="15600" windowHeight="5805" tabRatio="749" activeTab="2"/>
  </bookViews>
  <sheets>
    <sheet name="D1 - Master Project Table" sheetId="27" r:id="rId1"/>
    <sheet name="D4 - Provider Council Unsched" sheetId="37" r:id="rId2"/>
    <sheet name="D5 - Gatekeeper - Projects" sheetId="30" r:id="rId3"/>
    <sheet name="D7 - NDB Impacted SPRF's" sheetId="32" r:id="rId4"/>
    <sheet name="Glossary" sheetId="40" r:id="rId5"/>
    <sheet name="Requested Updates" sheetId="35" r:id="rId6"/>
  </sheets>
  <externalReferences>
    <externalReference r:id="rId7"/>
  </externalReferences>
  <definedNames>
    <definedName name="_A100000">#REF!</definedName>
    <definedName name="_A68001">#REF!</definedName>
    <definedName name="_A70001">#REF!</definedName>
    <definedName name="_A75001">#REF!</definedName>
    <definedName name="_xlnm._FilterDatabase" localSheetId="0" hidden="1">'D1 - Master Project Table'!$A$15:$AK$3350</definedName>
    <definedName name="_xlnm._FilterDatabase" localSheetId="1" hidden="1">'D4 - Provider Council Unsched'!$A$10:$AK$98</definedName>
    <definedName name="_xlnm._FilterDatabase" localSheetId="2" hidden="1">'D5 - Gatekeeper - Projects'!$A$6:$BE$217</definedName>
    <definedName name="_xlnm._FilterDatabase" localSheetId="3" hidden="1">'D7 - NDB Impacted SPRF''s'!$A$5:$U$2848</definedName>
    <definedName name="_U100000">#REF!</definedName>
    <definedName name="addrowV1">'D1 - Master Project Table'!$890:$890</definedName>
    <definedName name="addrowV2">'D1 - Master Project Table'!$889:$889</definedName>
    <definedName name="Dev_Pct">#REF!</definedName>
    <definedName name="PM_Pct">#REF!</definedName>
    <definedName name="_xlnm.Print_Area" localSheetId="1">'D4 - Provider Council Unsched'!$A$10:$AC$10</definedName>
    <definedName name="_xlnm.Print_Area" localSheetId="2">'D5 - Gatekeeper - Projects'!$C$6:$AH$216</definedName>
    <definedName name="_xlnm.Print_Titles" localSheetId="0">'D1 - Master Project Table'!$A:$E,'D1 - Master Project Table'!$15:$24</definedName>
    <definedName name="_xlnm.Print_Titles" localSheetId="1">'D4 - Provider Council Unsched'!$9:$10</definedName>
    <definedName name="_xlnm.Print_Titles" localSheetId="2">'D5 - Gatekeeper - Projects'!$4:$6</definedName>
    <definedName name="_xlnm.Print_Titles" localSheetId="3">'D7 - NDB Impacted SPRF''s'!$A:$E,'D7 - NDB Impacted SPRF''s'!$1:$11</definedName>
    <definedName name="_xlnm.Print_Titles" localSheetId="5">'Requested Updates'!$1:$1</definedName>
    <definedName name="QCA_Pct">#REF!</definedName>
    <definedName name="RM_Pct">#REF!</definedName>
    <definedName name="SA_Pct">#REF!</definedName>
  </definedNames>
  <calcPr calcId="145621"/>
  <customWorkbookViews>
    <customWorkbookView name="mhartm1 - Personal View" guid="{ADDC6444-A17D-46BA-A5AE-6239074EE968}" mergeInterval="0" personalView="1" maximized="1" windowWidth="1020" windowHeight="569" tabRatio="599" activeSheetId="3"/>
  </customWorkbookViews>
</workbook>
</file>

<file path=xl/calcChain.xml><?xml version="1.0" encoding="utf-8"?>
<calcChain xmlns="http://schemas.openxmlformats.org/spreadsheetml/2006/main">
  <c r="R2850" i="32" l="1"/>
  <c r="A2850" i="32"/>
  <c r="B2850" i="32" s="1"/>
  <c r="C2850" i="32"/>
  <c r="D2850" i="32" l="1"/>
  <c r="D182" i="27"/>
  <c r="B107" i="30"/>
  <c r="B201" i="30"/>
  <c r="B193" i="30"/>
  <c r="B185" i="30"/>
  <c r="B180" i="30"/>
  <c r="B151" i="30"/>
  <c r="B198" i="30"/>
  <c r="B210" i="30"/>
  <c r="B211" i="30"/>
  <c r="B212" i="30"/>
  <c r="B213" i="30"/>
  <c r="B214" i="30"/>
  <c r="AF207" i="27"/>
  <c r="AE207" i="27"/>
  <c r="AD207" i="27"/>
  <c r="AC207" i="27"/>
  <c r="AB207" i="27"/>
  <c r="R207" i="27"/>
  <c r="Q207" i="27"/>
  <c r="P207" i="27"/>
  <c r="E207" i="27"/>
  <c r="D207" i="27"/>
  <c r="AQ207" i="27" s="1"/>
  <c r="AR207" i="27" s="1"/>
  <c r="AS207" i="27" s="1"/>
  <c r="AF153" i="27"/>
  <c r="AE153" i="27"/>
  <c r="AD153" i="27"/>
  <c r="AC153" i="27"/>
  <c r="AB153" i="27"/>
  <c r="R153" i="27"/>
  <c r="Q153" i="27"/>
  <c r="P153" i="27"/>
  <c r="E153" i="27"/>
  <c r="D153" i="27"/>
  <c r="AM153" i="27" s="1"/>
  <c r="D187" i="27"/>
  <c r="AM187" i="27" s="1"/>
  <c r="E187" i="27"/>
  <c r="P187" i="27"/>
  <c r="Q187" i="27"/>
  <c r="R187" i="27"/>
  <c r="AB187" i="27"/>
  <c r="AC187" i="27"/>
  <c r="AD187" i="27"/>
  <c r="AE187" i="27"/>
  <c r="AF187" i="27"/>
  <c r="AF171" i="27"/>
  <c r="AE171" i="27"/>
  <c r="AD171" i="27"/>
  <c r="AC171" i="27"/>
  <c r="AB171" i="27"/>
  <c r="R171" i="27"/>
  <c r="Q171" i="27"/>
  <c r="P171" i="27"/>
  <c r="E171" i="27"/>
  <c r="D171" i="27"/>
  <c r="AQ171" i="27" s="1"/>
  <c r="AR171" i="27" s="1"/>
  <c r="AS171" i="27" s="1"/>
  <c r="AQ153" i="27" l="1"/>
  <c r="AR153" i="27" s="1"/>
  <c r="AS153" i="27" s="1"/>
  <c r="AM171" i="27"/>
  <c r="AH171" i="27" s="1"/>
  <c r="AQ187" i="27"/>
  <c r="AR187" i="27" s="1"/>
  <c r="AS187" i="27" s="1"/>
  <c r="AM207" i="27"/>
  <c r="AN207" i="27" s="1"/>
  <c r="AO207" i="27" s="1"/>
  <c r="AN187" i="27"/>
  <c r="AO187" i="27" s="1"/>
  <c r="AH187" i="27"/>
  <c r="AN153" i="27"/>
  <c r="AO153" i="27" s="1"/>
  <c r="AH153" i="27"/>
  <c r="B173" i="30"/>
  <c r="B157" i="30"/>
  <c r="AN171" i="27" l="1"/>
  <c r="AO171" i="27" s="1"/>
  <c r="AH207" i="27"/>
  <c r="B128" i="30"/>
  <c r="B137" i="30"/>
  <c r="B131" i="30"/>
  <c r="B127" i="30"/>
  <c r="B108" i="30"/>
  <c r="AF1777" i="27"/>
  <c r="AE1777" i="27"/>
  <c r="AD1777" i="27"/>
  <c r="AC1777" i="27"/>
  <c r="AB1777" i="27"/>
  <c r="R1777" i="27"/>
  <c r="Q1777" i="27"/>
  <c r="P1777" i="27"/>
  <c r="E1777" i="27"/>
  <c r="D1777" i="27"/>
  <c r="AQ1777" i="27" s="1"/>
  <c r="AR1777" i="27" s="1"/>
  <c r="AS1777" i="27" s="1"/>
  <c r="AF92" i="27"/>
  <c r="AE92" i="27"/>
  <c r="AD92" i="27"/>
  <c r="AC92" i="27"/>
  <c r="AB92" i="27"/>
  <c r="R92" i="27"/>
  <c r="Q92" i="27"/>
  <c r="P92" i="27"/>
  <c r="E92" i="27"/>
  <c r="D92" i="27"/>
  <c r="AQ92" i="27" s="1"/>
  <c r="AR92" i="27" s="1"/>
  <c r="AS92" i="27" s="1"/>
  <c r="AF97" i="27"/>
  <c r="AE97" i="27"/>
  <c r="AD97" i="27"/>
  <c r="AC97" i="27"/>
  <c r="AB97" i="27"/>
  <c r="R97" i="27"/>
  <c r="Q97" i="27"/>
  <c r="P97" i="27"/>
  <c r="E97" i="27"/>
  <c r="D97" i="27"/>
  <c r="AM97" i="27" s="1"/>
  <c r="AF102" i="27"/>
  <c r="AE102" i="27"/>
  <c r="AD102" i="27"/>
  <c r="AC102" i="27"/>
  <c r="AB102" i="27"/>
  <c r="R102" i="27"/>
  <c r="Q102" i="27"/>
  <c r="P102" i="27"/>
  <c r="E102" i="27"/>
  <c r="D102" i="27"/>
  <c r="AM102" i="27" s="1"/>
  <c r="AM1777" i="27" l="1"/>
  <c r="AM92" i="27"/>
  <c r="AN92" i="27" s="1"/>
  <c r="AO92" i="27" s="1"/>
  <c r="AQ97" i="27"/>
  <c r="AR97" i="27" s="1"/>
  <c r="AS97" i="27" s="1"/>
  <c r="AN97" i="27"/>
  <c r="AO97" i="27" s="1"/>
  <c r="AH97" i="27"/>
  <c r="AN102" i="27"/>
  <c r="AO102" i="27" s="1"/>
  <c r="AH102" i="27"/>
  <c r="AQ102" i="27"/>
  <c r="AR102" i="27" s="1"/>
  <c r="AS102" i="27" s="1"/>
  <c r="B196" i="30"/>
  <c r="B188" i="30"/>
  <c r="B164" i="30"/>
  <c r="B156" i="30"/>
  <c r="B100" i="30"/>
  <c r="B82" i="30"/>
  <c r="B38" i="30"/>
  <c r="AF142" i="27"/>
  <c r="AE142" i="27"/>
  <c r="AD142" i="27"/>
  <c r="AC142" i="27"/>
  <c r="AB142" i="27"/>
  <c r="R142" i="27"/>
  <c r="Q142" i="27"/>
  <c r="P142" i="27"/>
  <c r="E142" i="27"/>
  <c r="D142" i="27"/>
  <c r="AM142" i="27" s="1"/>
  <c r="AF160" i="27"/>
  <c r="AE160" i="27"/>
  <c r="AD160" i="27"/>
  <c r="AC160" i="27"/>
  <c r="AB160" i="27"/>
  <c r="R160" i="27"/>
  <c r="Q160" i="27"/>
  <c r="P160" i="27"/>
  <c r="E160" i="27"/>
  <c r="D160" i="27"/>
  <c r="AM160" i="27" s="1"/>
  <c r="AF152" i="27"/>
  <c r="AE152" i="27"/>
  <c r="AD152" i="27"/>
  <c r="AC152" i="27"/>
  <c r="AB152" i="27"/>
  <c r="R152" i="27"/>
  <c r="Q152" i="27"/>
  <c r="P152" i="27"/>
  <c r="E152" i="27"/>
  <c r="D152" i="27"/>
  <c r="AQ152" i="27" s="1"/>
  <c r="AR152" i="27" s="1"/>
  <c r="AS152" i="27" s="1"/>
  <c r="AF119" i="27"/>
  <c r="AE119" i="27"/>
  <c r="AD119" i="27"/>
  <c r="AC119" i="27"/>
  <c r="AB119" i="27"/>
  <c r="R119" i="27"/>
  <c r="Q119" i="27"/>
  <c r="P119" i="27"/>
  <c r="E119" i="27"/>
  <c r="D119" i="27"/>
  <c r="AM119" i="27" s="1"/>
  <c r="R2849" i="32"/>
  <c r="A2849" i="32"/>
  <c r="B2849" i="32" s="1"/>
  <c r="D2849" i="32" s="1"/>
  <c r="C2849" i="32"/>
  <c r="AN1777" i="27" l="1"/>
  <c r="AO1777" i="27" s="1"/>
  <c r="AH1777" i="27"/>
  <c r="AH92" i="27"/>
  <c r="AQ160" i="27"/>
  <c r="AR160" i="27" s="1"/>
  <c r="AS160" i="27" s="1"/>
  <c r="AQ142" i="27"/>
  <c r="AR142" i="27" s="1"/>
  <c r="AS142" i="27" s="1"/>
  <c r="AN142" i="27"/>
  <c r="AO142" i="27" s="1"/>
  <c r="AH142" i="27"/>
  <c r="AN160" i="27"/>
  <c r="AO160" i="27" s="1"/>
  <c r="AH160" i="27"/>
  <c r="AM152" i="27"/>
  <c r="AN152" i="27" s="1"/>
  <c r="AO152" i="27" s="1"/>
  <c r="AN119" i="27"/>
  <c r="AO119" i="27" s="1"/>
  <c r="AH119" i="27"/>
  <c r="AQ119" i="27"/>
  <c r="AR119" i="27" s="1"/>
  <c r="AS119" i="27" s="1"/>
  <c r="R2634" i="32"/>
  <c r="R2635" i="32"/>
  <c r="R2636" i="32"/>
  <c r="R2637" i="32"/>
  <c r="A2636" i="32"/>
  <c r="B2636" i="32" s="1"/>
  <c r="C2636" i="32"/>
  <c r="A2637" i="32"/>
  <c r="B2637" i="32" s="1"/>
  <c r="C2637" i="32"/>
  <c r="A2634" i="32"/>
  <c r="B2634" i="32" s="1"/>
  <c r="C2634" i="32"/>
  <c r="A2635" i="32"/>
  <c r="B2635" i="32" s="1"/>
  <c r="C2635" i="32"/>
  <c r="R944" i="32"/>
  <c r="R2317" i="32"/>
  <c r="R1394" i="32"/>
  <c r="R2087" i="32"/>
  <c r="R1803" i="32"/>
  <c r="R2217" i="32"/>
  <c r="R2551" i="32"/>
  <c r="R1497" i="32"/>
  <c r="R1683" i="32"/>
  <c r="R2402" i="32"/>
  <c r="R2292" i="32"/>
  <c r="R1974" i="32"/>
  <c r="R2078" i="32"/>
  <c r="R782" i="32"/>
  <c r="R569" i="32"/>
  <c r="R1509" i="32"/>
  <c r="R1665" i="32"/>
  <c r="R1708" i="32"/>
  <c r="R182" i="32"/>
  <c r="R1694" i="32"/>
  <c r="R2389" i="32"/>
  <c r="R456" i="32"/>
  <c r="R2186" i="32"/>
  <c r="R2038" i="32"/>
  <c r="R2011" i="32"/>
  <c r="R1023" i="32"/>
  <c r="R2416" i="32"/>
  <c r="R2429" i="32"/>
  <c r="R2136" i="32"/>
  <c r="R2556" i="32"/>
  <c r="R100" i="32"/>
  <c r="R2060" i="32"/>
  <c r="R1705" i="32"/>
  <c r="R2455" i="32"/>
  <c r="R1231" i="32"/>
  <c r="R1795" i="32"/>
  <c r="R2498" i="32"/>
  <c r="R2525" i="32"/>
  <c r="R2627" i="32"/>
  <c r="R1909" i="32"/>
  <c r="R478" i="32"/>
  <c r="R2280" i="32"/>
  <c r="R202" i="32"/>
  <c r="R1586" i="32"/>
  <c r="R1398" i="32"/>
  <c r="R2213" i="32"/>
  <c r="R1247" i="32"/>
  <c r="R1018" i="32"/>
  <c r="R622" i="32"/>
  <c r="R2488" i="32"/>
  <c r="R1506" i="32"/>
  <c r="R2226" i="32"/>
  <c r="R2325" i="32"/>
  <c r="R609" i="32"/>
  <c r="R2037" i="32"/>
  <c r="R1396" i="32"/>
  <c r="R2203" i="32"/>
  <c r="R2210" i="32"/>
  <c r="R2019" i="32"/>
  <c r="R1009" i="32"/>
  <c r="R1193" i="32"/>
  <c r="R2626" i="32"/>
  <c r="R2360" i="32"/>
  <c r="R2324" i="32"/>
  <c r="R2405" i="32"/>
  <c r="R2523" i="32"/>
  <c r="R593" i="32"/>
  <c r="R158" i="32"/>
  <c r="R2238" i="32"/>
  <c r="R1404" i="32"/>
  <c r="R602" i="32"/>
  <c r="R2062" i="32"/>
  <c r="R2404" i="32"/>
  <c r="R1892" i="32"/>
  <c r="R1884" i="32"/>
  <c r="R1072" i="32"/>
  <c r="R2436" i="32"/>
  <c r="R217" i="32"/>
  <c r="R2491" i="32"/>
  <c r="R592" i="32"/>
  <c r="R883" i="32"/>
  <c r="R2534" i="32"/>
  <c r="R1998" i="32"/>
  <c r="R387" i="32"/>
  <c r="R2408" i="32"/>
  <c r="R1890" i="32"/>
  <c r="R2382" i="32"/>
  <c r="R2025" i="32"/>
  <c r="R2480" i="32"/>
  <c r="R442" i="32"/>
  <c r="R1848" i="32"/>
  <c r="R2155" i="32"/>
  <c r="R1799" i="32"/>
  <c r="R2578" i="32"/>
  <c r="R379" i="32"/>
  <c r="R2383" i="32"/>
  <c r="R566" i="32"/>
  <c r="R874" i="32"/>
  <c r="R2431" i="32"/>
  <c r="R2393" i="32"/>
  <c r="R2033" i="32"/>
  <c r="R1199" i="32"/>
  <c r="R1628" i="32"/>
  <c r="R2230" i="32"/>
  <c r="R2369" i="32"/>
  <c r="R2257" i="32"/>
  <c r="R951" i="32"/>
  <c r="R644" i="32"/>
  <c r="R1002" i="32"/>
  <c r="R858" i="32"/>
  <c r="R2149" i="32"/>
  <c r="R567" i="32"/>
  <c r="R862" i="32"/>
  <c r="R1823" i="32"/>
  <c r="R938" i="32"/>
  <c r="R708" i="32"/>
  <c r="R485" i="32"/>
  <c r="R2589" i="32"/>
  <c r="R2507" i="32"/>
  <c r="R2305" i="32"/>
  <c r="R2323" i="32"/>
  <c r="R1059" i="32"/>
  <c r="R2394" i="32"/>
  <c r="R1112" i="32"/>
  <c r="R2419" i="32"/>
  <c r="R2027" i="32"/>
  <c r="R2252" i="32"/>
  <c r="R568" i="32"/>
  <c r="R2465" i="32"/>
  <c r="R2068" i="32"/>
  <c r="R715" i="32"/>
  <c r="R968" i="32"/>
  <c r="R2222" i="32"/>
  <c r="R2601" i="32"/>
  <c r="R2420" i="32"/>
  <c r="R2549" i="32"/>
  <c r="R2560" i="32"/>
  <c r="R2345" i="32"/>
  <c r="R2316" i="32"/>
  <c r="R2505" i="32"/>
  <c r="R565" i="32"/>
  <c r="R448" i="32"/>
  <c r="R2372" i="32"/>
  <c r="R1314" i="32"/>
  <c r="R2608" i="32"/>
  <c r="R2180" i="32"/>
  <c r="R2362" i="32"/>
  <c r="R2463" i="32"/>
  <c r="R347" i="32"/>
  <c r="R2079" i="32"/>
  <c r="R1790" i="32"/>
  <c r="R2503" i="32"/>
  <c r="R193" i="32"/>
  <c r="R385" i="32"/>
  <c r="R2466" i="32"/>
  <c r="R2265" i="32"/>
  <c r="R2041" i="32"/>
  <c r="R1791" i="32"/>
  <c r="R1333" i="32"/>
  <c r="R2127" i="32"/>
  <c r="R2018" i="32"/>
  <c r="R840" i="32"/>
  <c r="R2096" i="32"/>
  <c r="R1804" i="32"/>
  <c r="R1537" i="32"/>
  <c r="R294" i="32"/>
  <c r="R2228" i="32"/>
  <c r="R829" i="32"/>
  <c r="R1102" i="32"/>
  <c r="R1952" i="32"/>
  <c r="R1980" i="32"/>
  <c r="R2248" i="32"/>
  <c r="R2583" i="32"/>
  <c r="R2235" i="32"/>
  <c r="R735" i="32"/>
  <c r="R1456" i="32"/>
  <c r="R1336" i="32"/>
  <c r="R578" i="32"/>
  <c r="R1397" i="32"/>
  <c r="R2061" i="32"/>
  <c r="R2591" i="32"/>
  <c r="R750" i="32"/>
  <c r="R2632" i="32"/>
  <c r="R222" i="32"/>
  <c r="R1302" i="32"/>
  <c r="R513" i="32"/>
  <c r="R438" i="32"/>
  <c r="R1535" i="32"/>
  <c r="R381" i="32"/>
  <c r="R2032" i="32"/>
  <c r="R1626" i="32"/>
  <c r="R763" i="32"/>
  <c r="R335" i="32"/>
  <c r="R22" i="32"/>
  <c r="R139" i="32"/>
  <c r="R956" i="32"/>
  <c r="R1317" i="32"/>
  <c r="R322" i="32"/>
  <c r="R1719" i="32"/>
  <c r="R380" i="32"/>
  <c r="R1565" i="32"/>
  <c r="R1613" i="32"/>
  <c r="R743" i="32"/>
  <c r="R1663" i="32"/>
  <c r="R1684" i="32"/>
  <c r="R2373" i="32"/>
  <c r="R525" i="32"/>
  <c r="R1781" i="32"/>
  <c r="R2448" i="32"/>
  <c r="R2457" i="32"/>
  <c r="R648" i="32"/>
  <c r="R740" i="32"/>
  <c r="R748" i="32"/>
  <c r="R892" i="32"/>
  <c r="R1000" i="32"/>
  <c r="R1653" i="32"/>
  <c r="R1747" i="32"/>
  <c r="R1841" i="32"/>
  <c r="R61" i="32"/>
  <c r="R215" i="32"/>
  <c r="R468" i="32"/>
  <c r="R769" i="32"/>
  <c r="R1076" i="32"/>
  <c r="R1334" i="32"/>
  <c r="R1843" i="32"/>
  <c r="R1899" i="32"/>
  <c r="R2418" i="32"/>
  <c r="R2487" i="32"/>
  <c r="R2023" i="32"/>
  <c r="R2528" i="32"/>
  <c r="R2602" i="32"/>
  <c r="R2603" i="32"/>
  <c r="R544" i="32"/>
  <c r="R1678" i="32"/>
  <c r="R359" i="32"/>
  <c r="R479" i="32"/>
  <c r="R2214" i="32"/>
  <c r="R13" i="32"/>
  <c r="R28" i="32"/>
  <c r="R894" i="32"/>
  <c r="R1596" i="32"/>
  <c r="R1598" i="32"/>
  <c r="R2439" i="32"/>
  <c r="R2547" i="32"/>
  <c r="R2548" i="32"/>
  <c r="R800" i="32"/>
  <c r="R1181" i="32"/>
  <c r="R1338" i="32"/>
  <c r="R1371" i="32"/>
  <c r="R1690" i="32"/>
  <c r="R2084" i="32"/>
  <c r="R2483" i="32"/>
  <c r="R2526" i="32"/>
  <c r="R2558" i="32"/>
  <c r="R192" i="32"/>
  <c r="R547" i="32"/>
  <c r="R1051" i="32"/>
  <c r="R1756" i="32"/>
  <c r="R2179" i="32"/>
  <c r="R2497" i="32"/>
  <c r="R249" i="32"/>
  <c r="R250" i="32"/>
  <c r="R423" i="32"/>
  <c r="R671" i="32"/>
  <c r="R830" i="32"/>
  <c r="R1114" i="32"/>
  <c r="R1735" i="32"/>
  <c r="R2072" i="32"/>
  <c r="R803" i="32"/>
  <c r="R856" i="32"/>
  <c r="R1507" i="32"/>
  <c r="R1654" i="32"/>
  <c r="R93" i="32"/>
  <c r="R2309" i="32"/>
  <c r="R2516" i="32"/>
  <c r="R639" i="32"/>
  <c r="R668" i="32"/>
  <c r="R946" i="32"/>
  <c r="R987" i="32"/>
  <c r="R1030" i="32"/>
  <c r="R1879" i="32"/>
  <c r="R1666" i="32"/>
  <c r="R1691" i="32"/>
  <c r="R2387" i="32"/>
  <c r="R767" i="32"/>
  <c r="R1792" i="32"/>
  <c r="R1373" i="32"/>
  <c r="R681" i="32"/>
  <c r="R2375" i="32"/>
  <c r="R614" i="32"/>
  <c r="R1625" i="32"/>
  <c r="R2390" i="32"/>
  <c r="R1310" i="32"/>
  <c r="R1828" i="32"/>
  <c r="R2121" i="32"/>
  <c r="R1548" i="32"/>
  <c r="R2553" i="32"/>
  <c r="R813" i="32"/>
  <c r="R1208" i="32"/>
  <c r="R1082" i="32"/>
  <c r="R1967" i="32"/>
  <c r="R1300" i="32"/>
  <c r="R1387" i="32"/>
  <c r="R1566" i="32"/>
  <c r="R2346" i="32"/>
  <c r="R780" i="32"/>
  <c r="R2567" i="32"/>
  <c r="R2240" i="32"/>
  <c r="R1416" i="32"/>
  <c r="R291" i="32"/>
  <c r="R1379" i="32"/>
  <c r="R2262" i="32"/>
  <c r="R2396" i="32"/>
  <c r="R187" i="32"/>
  <c r="R1641" i="32"/>
  <c r="R549" i="32"/>
  <c r="R2105" i="32"/>
  <c r="R1688" i="32"/>
  <c r="R584" i="32"/>
  <c r="R1594" i="32"/>
  <c r="R1749" i="32"/>
  <c r="R1519" i="32"/>
  <c r="R667" i="32"/>
  <c r="R2053" i="32"/>
  <c r="R432" i="32"/>
  <c r="R527" i="32"/>
  <c r="R1695" i="32"/>
  <c r="R1057" i="32"/>
  <c r="R2144" i="32"/>
  <c r="R1563" i="32"/>
  <c r="R1796" i="32"/>
  <c r="R1597" i="32"/>
  <c r="R2386" i="32"/>
  <c r="R2407" i="32"/>
  <c r="R459" i="32"/>
  <c r="R1187" i="32"/>
  <c r="R1656" i="32"/>
  <c r="R2374" i="32"/>
  <c r="R1232" i="32"/>
  <c r="R2544" i="32"/>
  <c r="R1444" i="32"/>
  <c r="R673" i="32"/>
  <c r="R2137" i="32"/>
  <c r="R2614" i="32"/>
  <c r="R1932" i="32"/>
  <c r="R2190" i="32"/>
  <c r="R2187" i="32"/>
  <c r="R2208" i="32"/>
  <c r="R363" i="32"/>
  <c r="R814" i="32"/>
  <c r="R1807" i="32"/>
  <c r="R2481" i="32"/>
  <c r="R882" i="32"/>
  <c r="R1195" i="32"/>
  <c r="R2132" i="32"/>
  <c r="R2338" i="32"/>
  <c r="R1601" i="32"/>
  <c r="R1498" i="32"/>
  <c r="R2042" i="32"/>
  <c r="R1793" i="32"/>
  <c r="R2573" i="32"/>
  <c r="R820" i="32"/>
  <c r="R2447" i="32"/>
  <c r="R958" i="32"/>
  <c r="R2527" i="32"/>
  <c r="R1037" i="32"/>
  <c r="R2175" i="32"/>
  <c r="R345" i="32"/>
  <c r="R1437" i="32"/>
  <c r="R2266" i="32"/>
  <c r="R1263" i="32"/>
  <c r="R2263" i="32"/>
  <c r="R1201" i="32"/>
  <c r="R666" i="32"/>
  <c r="R585" i="32"/>
  <c r="R1033" i="32"/>
  <c r="R2441" i="32"/>
  <c r="R870" i="32"/>
  <c r="R1236" i="32"/>
  <c r="R1857" i="32"/>
  <c r="R670" i="32"/>
  <c r="R2224" i="32"/>
  <c r="R1948" i="32"/>
  <c r="R1847" i="32"/>
  <c r="R879" i="32"/>
  <c r="R1325" i="32"/>
  <c r="R1450" i="32"/>
  <c r="R577" i="32"/>
  <c r="R1569" i="32"/>
  <c r="R1150" i="32"/>
  <c r="R1503" i="32"/>
  <c r="R2501" i="32"/>
  <c r="R798" i="32"/>
  <c r="R1135" i="32"/>
  <c r="R1975" i="32"/>
  <c r="R2518" i="32"/>
  <c r="R2202" i="32"/>
  <c r="R108" i="32"/>
  <c r="R1178" i="32"/>
  <c r="R2504" i="32"/>
  <c r="R2384" i="32"/>
  <c r="R1850" i="32"/>
  <c r="R6" i="32"/>
  <c r="R1709" i="32"/>
  <c r="R2271" i="32"/>
  <c r="R910" i="32"/>
  <c r="R506" i="32"/>
  <c r="R875" i="32"/>
  <c r="R1077" i="32"/>
  <c r="R954" i="32"/>
  <c r="R1003" i="32"/>
  <c r="R970" i="32"/>
  <c r="R2502" i="32"/>
  <c r="R540" i="32"/>
  <c r="R1532" i="32"/>
  <c r="R2168" i="32"/>
  <c r="R2619" i="32"/>
  <c r="R2250" i="32"/>
  <c r="R490" i="32"/>
  <c r="R1510" i="32"/>
  <c r="R1945" i="32"/>
  <c r="R2557" i="32"/>
  <c r="R1342" i="32"/>
  <c r="R2176" i="32"/>
  <c r="R508" i="32"/>
  <c r="R2314" i="32"/>
  <c r="R2536" i="32"/>
  <c r="R2153" i="32"/>
  <c r="R583" i="32"/>
  <c r="R1990" i="32"/>
  <c r="R2550" i="32"/>
  <c r="R2482" i="32"/>
  <c r="R1702" i="32"/>
  <c r="R1877" i="32"/>
  <c r="R694" i="32"/>
  <c r="R2122" i="32"/>
  <c r="R2380" i="32"/>
  <c r="R68" i="32"/>
  <c r="R1143" i="32"/>
  <c r="R1004" i="32"/>
  <c r="R1668" i="32"/>
  <c r="R650" i="32"/>
  <c r="R2522" i="32"/>
  <c r="R2519" i="32"/>
  <c r="R1028" i="32"/>
  <c r="R1581" i="32"/>
  <c r="R2592" i="32"/>
  <c r="R2285" i="32"/>
  <c r="R2206" i="32"/>
  <c r="R2207" i="32"/>
  <c r="R1352" i="32"/>
  <c r="R1943" i="32"/>
  <c r="R1525" i="32"/>
  <c r="R553" i="32"/>
  <c r="R1347" i="32"/>
  <c r="R1624" i="32"/>
  <c r="R2183" i="32"/>
  <c r="R2269" i="32"/>
  <c r="R362" i="32"/>
  <c r="R2130" i="32"/>
  <c r="R955" i="32"/>
  <c r="R1466" i="32"/>
  <c r="R2515" i="32"/>
  <c r="R1604" i="32"/>
  <c r="R911" i="32"/>
  <c r="R507" i="32"/>
  <c r="R1706" i="32"/>
  <c r="R1794" i="32"/>
  <c r="R509" i="32"/>
  <c r="R2445" i="32"/>
  <c r="R685" i="32"/>
  <c r="R2412" i="32"/>
  <c r="R2486" i="32"/>
  <c r="R1184" i="32"/>
  <c r="R1524" i="32"/>
  <c r="R599" i="32"/>
  <c r="R1039" i="32"/>
  <c r="R905" i="32"/>
  <c r="R1748" i="32"/>
  <c r="R1401" i="32"/>
  <c r="R2028" i="32"/>
  <c r="R2014" i="32"/>
  <c r="R510" i="32"/>
  <c r="R122" i="32"/>
  <c r="R2075" i="32"/>
  <c r="R2166" i="32"/>
  <c r="R2440" i="32"/>
  <c r="R2358" i="32"/>
  <c r="R1134" i="32"/>
  <c r="R825" i="32"/>
  <c r="R1067" i="32"/>
  <c r="R412" i="32"/>
  <c r="R1813" i="32"/>
  <c r="R2058" i="32"/>
  <c r="R358" i="32"/>
  <c r="R2051" i="32"/>
  <c r="R2520" i="32"/>
  <c r="R2452" i="32"/>
  <c r="R1090" i="32"/>
  <c r="R2148" i="32"/>
  <c r="R1609" i="32"/>
  <c r="R1769" i="32"/>
  <c r="R2021" i="32"/>
  <c r="R1964" i="32"/>
  <c r="R2134" i="32"/>
  <c r="R642" i="32"/>
  <c r="R1380" i="32"/>
  <c r="R2219" i="32"/>
  <c r="R1859" i="32"/>
  <c r="R2568" i="32"/>
  <c r="R2462" i="32"/>
  <c r="R2185" i="32"/>
  <c r="R1922" i="32"/>
  <c r="R2337" i="32"/>
  <c r="R1475" i="32"/>
  <c r="R1363" i="32"/>
  <c r="R2036" i="32"/>
  <c r="R524" i="32"/>
  <c r="R2458" i="32"/>
  <c r="R1642" i="32"/>
  <c r="R1255" i="32"/>
  <c r="R1913" i="32"/>
  <c r="R1751" i="32"/>
  <c r="R1148" i="32"/>
  <c r="R2329" i="32"/>
  <c r="R542" i="32"/>
  <c r="R647" i="32"/>
  <c r="R1788" i="32"/>
  <c r="R296" i="32"/>
  <c r="R2140" i="32"/>
  <c r="R1963" i="32"/>
  <c r="R2077" i="32"/>
  <c r="R213" i="32"/>
  <c r="R63" i="32"/>
  <c r="R689" i="32"/>
  <c r="R1234" i="32"/>
  <c r="R401" i="32"/>
  <c r="R2272" i="32"/>
  <c r="R1610" i="32"/>
  <c r="R1718" i="32"/>
  <c r="R2421" i="32"/>
  <c r="R2450" i="32"/>
  <c r="R1399" i="32"/>
  <c r="R1660" i="32"/>
  <c r="R2017" i="32"/>
  <c r="R1233" i="32"/>
  <c r="R2163" i="32"/>
  <c r="R2260" i="32"/>
  <c r="R1421" i="32"/>
  <c r="R1976" i="32"/>
  <c r="R841" i="32"/>
  <c r="R2133" i="32"/>
  <c r="R554" i="32"/>
  <c r="R1110" i="32"/>
  <c r="R1770" i="32"/>
  <c r="R2191" i="32"/>
  <c r="R1496" i="32"/>
  <c r="R1987" i="32"/>
  <c r="R2066" i="32"/>
  <c r="R2211" i="32"/>
  <c r="R1994" i="32"/>
  <c r="R1838" i="32"/>
  <c r="R2115" i="32"/>
  <c r="R34" i="32"/>
  <c r="R2113" i="32"/>
  <c r="R696" i="32"/>
  <c r="R1953" i="32"/>
  <c r="R2471" i="32"/>
  <c r="R413" i="32"/>
  <c r="R1988" i="32"/>
  <c r="R1429" i="32"/>
  <c r="R754" i="32"/>
  <c r="R2114" i="32"/>
  <c r="R2154" i="32"/>
  <c r="R1107" i="32"/>
  <c r="R760" i="32"/>
  <c r="R1925" i="32"/>
  <c r="R419" i="32"/>
  <c r="R157" i="32"/>
  <c r="R1117" i="32"/>
  <c r="R843" i="32"/>
  <c r="R1418" i="32"/>
  <c r="R802" i="32"/>
  <c r="R794" i="32"/>
  <c r="R2275" i="32"/>
  <c r="R1954" i="32"/>
  <c r="R2120" i="32"/>
  <c r="R2378" i="32"/>
  <c r="R262" i="32"/>
  <c r="R496" i="32"/>
  <c r="R1469" i="32"/>
  <c r="R1670" i="32"/>
  <c r="R1677" i="32"/>
  <c r="R978" i="32"/>
  <c r="R1381" i="32"/>
  <c r="R2433" i="32"/>
  <c r="R1996" i="32"/>
  <c r="R1435" i="32"/>
  <c r="R1572" i="32"/>
  <c r="R1720" i="32"/>
  <c r="R2609" i="32"/>
  <c r="R975" i="32"/>
  <c r="R1672" i="32"/>
  <c r="R2508" i="32"/>
  <c r="R1130" i="32"/>
  <c r="R2157" i="32"/>
  <c r="R1393" i="32"/>
  <c r="R1517" i="32"/>
  <c r="R1886" i="32"/>
  <c r="R2545" i="32"/>
  <c r="R1528" i="32"/>
  <c r="R2460" i="32"/>
  <c r="R1501" i="32"/>
  <c r="R2164" i="32"/>
  <c r="R2365" i="32"/>
  <c r="R833" i="32"/>
  <c r="R884" i="32"/>
  <c r="R1816" i="32"/>
  <c r="R909" i="32"/>
  <c r="R1737" i="32"/>
  <c r="R482" i="32"/>
  <c r="R1936" i="32"/>
  <c r="R2381" i="32"/>
  <c r="R885" i="32"/>
  <c r="R2343" i="32"/>
  <c r="R2561" i="32"/>
  <c r="R1035" i="32"/>
  <c r="R1395" i="32"/>
  <c r="R2287" i="32"/>
  <c r="R1369" i="32"/>
  <c r="R1984" i="32"/>
  <c r="R290" i="32"/>
  <c r="R1729" i="32"/>
  <c r="R2453" i="32"/>
  <c r="R1504" i="32"/>
  <c r="R2443" i="32"/>
  <c r="R1983" i="32"/>
  <c r="R1254" i="32"/>
  <c r="R645" i="32"/>
  <c r="R1268" i="32"/>
  <c r="R1358" i="32"/>
  <c r="R458" i="32"/>
  <c r="R1417" i="32"/>
  <c r="R235" i="32"/>
  <c r="R1630" i="32"/>
  <c r="R2083" i="32"/>
  <c r="R633" i="32"/>
  <c r="R2193" i="32"/>
  <c r="R603" i="32"/>
  <c r="R1986" i="32"/>
  <c r="R857" i="32"/>
  <c r="R2638" i="32"/>
  <c r="R2575" i="32"/>
  <c r="R2199" i="32"/>
  <c r="R1097" i="32"/>
  <c r="R1874" i="32"/>
  <c r="R1617" i="32"/>
  <c r="R1806" i="32"/>
  <c r="R2489" i="32"/>
  <c r="R127" i="32"/>
  <c r="R736" i="32"/>
  <c r="R1495" i="32"/>
  <c r="R2254" i="32"/>
  <c r="R1008" i="32"/>
  <c r="R2102" i="32"/>
  <c r="R1753" i="32"/>
  <c r="R1896" i="32"/>
  <c r="R2165" i="32"/>
  <c r="R131" i="32"/>
  <c r="R580" i="32"/>
  <c r="R632" i="32"/>
  <c r="R2255" i="32"/>
  <c r="R2261" i="32"/>
  <c r="R1760" i="32"/>
  <c r="R107" i="32"/>
  <c r="R2259" i="32"/>
  <c r="R561" i="32"/>
  <c r="R1277" i="32"/>
  <c r="R1776" i="32"/>
  <c r="R1917" i="32"/>
  <c r="R1362" i="32"/>
  <c r="R526" i="32"/>
  <c r="R832" i="32"/>
  <c r="R880" i="32"/>
  <c r="R1606" i="32"/>
  <c r="R1815" i="32"/>
  <c r="R112" i="32"/>
  <c r="R1407" i="32"/>
  <c r="R1674" i="32"/>
  <c r="R2565" i="32"/>
  <c r="R2397" i="32"/>
  <c r="R2474" i="32"/>
  <c r="R1013" i="32"/>
  <c r="R2035" i="32"/>
  <c r="R2089" i="32"/>
  <c r="R1158" i="32"/>
  <c r="R1647" i="32"/>
  <c r="R1722" i="32"/>
  <c r="R2182" i="32"/>
  <c r="R2282" i="32"/>
  <c r="R2469" i="32"/>
  <c r="R154" i="32"/>
  <c r="R2406" i="32"/>
  <c r="R2212" i="32"/>
  <c r="R606" i="32"/>
  <c r="R535" i="32"/>
  <c r="R536" i="32"/>
  <c r="R943" i="32"/>
  <c r="R382" i="32"/>
  <c r="R1798" i="32"/>
  <c r="R1833" i="32"/>
  <c r="R2628" i="32"/>
  <c r="R2629" i="32"/>
  <c r="R1343" i="32"/>
  <c r="R2605" i="32"/>
  <c r="R1639" i="32"/>
  <c r="R2095" i="32"/>
  <c r="R2100" i="32"/>
  <c r="R1622" i="32"/>
  <c r="R725" i="32"/>
  <c r="R1827" i="32"/>
  <c r="R2093" i="32"/>
  <c r="R2342" i="32"/>
  <c r="R1947" i="32"/>
  <c r="R1142" i="32"/>
  <c r="R1605" i="32"/>
  <c r="R1811" i="32"/>
  <c r="R1632" i="32"/>
  <c r="R522" i="32"/>
  <c r="R1194" i="32"/>
  <c r="R2124" i="32"/>
  <c r="R2232" i="32"/>
  <c r="R812" i="32"/>
  <c r="R2485" i="32"/>
  <c r="R2215" i="32"/>
  <c r="R2119" i="32"/>
  <c r="R2225" i="32"/>
  <c r="R1571" i="32"/>
  <c r="R1123" i="32"/>
  <c r="R581" i="32"/>
  <c r="R705" i="32"/>
  <c r="R1755" i="32"/>
  <c r="R1861" i="32"/>
  <c r="R1326" i="32"/>
  <c r="R1512" i="32"/>
  <c r="R1675" i="32"/>
  <c r="R2484" i="32"/>
  <c r="R49" i="32"/>
  <c r="R528" i="32"/>
  <c r="R1652" i="32"/>
  <c r="R2613" i="32"/>
  <c r="R2355" i="32"/>
  <c r="R1481" i="32"/>
  <c r="R629" i="32"/>
  <c r="R2220" i="32"/>
  <c r="R99" i="32"/>
  <c r="R1567" i="32"/>
  <c r="R1906" i="32"/>
  <c r="R1243" i="32"/>
  <c r="R1225" i="32"/>
  <c r="R447" i="32"/>
  <c r="R700" i="32"/>
  <c r="R1518" i="32"/>
  <c r="R2123" i="32"/>
  <c r="R1774" i="32"/>
  <c r="R2204" i="32"/>
  <c r="R2354" i="32"/>
  <c r="R1635" i="32"/>
  <c r="R1895" i="32"/>
  <c r="R559" i="32"/>
  <c r="R1644" i="32"/>
  <c r="R1937" i="32"/>
  <c r="R801" i="32"/>
  <c r="R737" i="32"/>
  <c r="R886" i="32"/>
  <c r="R1235" i="32"/>
  <c r="R1479" i="32"/>
  <c r="R1916" i="32"/>
  <c r="R2524" i="32"/>
  <c r="R926" i="32"/>
  <c r="R941" i="32"/>
  <c r="R1463" i="32"/>
  <c r="R2451" i="32"/>
  <c r="R321" i="32"/>
  <c r="R2586" i="32"/>
  <c r="R1855" i="32"/>
  <c r="R1743" i="32"/>
  <c r="R2195" i="32"/>
  <c r="R2340" i="32"/>
  <c r="R140" i="32"/>
  <c r="R1126" i="32"/>
  <c r="R2101" i="32"/>
  <c r="R2156" i="32"/>
  <c r="R2594" i="32"/>
  <c r="R1619" i="32"/>
  <c r="R1699" i="32"/>
  <c r="R1836" i="32"/>
  <c r="R2107" i="32"/>
  <c r="R1502" i="32"/>
  <c r="R2392" i="32"/>
  <c r="R126" i="32"/>
  <c r="R1370" i="32"/>
  <c r="R762" i="32"/>
  <c r="R1378" i="32"/>
  <c r="R2510" i="32"/>
  <c r="R1578" i="32"/>
  <c r="R1687" i="32"/>
  <c r="R1825" i="32"/>
  <c r="R2076" i="32"/>
  <c r="R876" i="32"/>
  <c r="R1419" i="32"/>
  <c r="R1883" i="32"/>
  <c r="R2424" i="32"/>
  <c r="R2249" i="32"/>
  <c r="R2315" i="32"/>
  <c r="R2085" i="32"/>
  <c r="R177" i="32"/>
  <c r="R837" i="32"/>
  <c r="R881" i="32"/>
  <c r="R1144" i="32"/>
  <c r="R2529" i="32"/>
  <c r="R16" i="32"/>
  <c r="R1400" i="32"/>
  <c r="R2435" i="32"/>
  <c r="R977" i="32"/>
  <c r="R766" i="32"/>
  <c r="R1346" i="32"/>
  <c r="R1866" i="32"/>
  <c r="R1935" i="32"/>
  <c r="R2059" i="32"/>
  <c r="R716" i="32"/>
  <c r="R866" i="32"/>
  <c r="R1530" i="32"/>
  <c r="R1765" i="32"/>
  <c r="R1771" i="32"/>
  <c r="R2209" i="32"/>
  <c r="R2350" i="32"/>
  <c r="R732" i="32"/>
  <c r="R1697" i="32"/>
  <c r="R2071" i="32"/>
  <c r="R2385" i="32"/>
  <c r="R665" i="32"/>
  <c r="R1185" i="32"/>
  <c r="R1712" i="32"/>
  <c r="R1779" i="32"/>
  <c r="R2126" i="32"/>
  <c r="R2015" i="32"/>
  <c r="R1918" i="32"/>
  <c r="R2221" i="32"/>
  <c r="R1867" i="32"/>
  <c r="R1927" i="32"/>
  <c r="R1934" i="32"/>
  <c r="R2370" i="32"/>
  <c r="R129" i="32"/>
  <c r="R211" i="32"/>
  <c r="R713" i="32"/>
  <c r="R2200" i="32"/>
  <c r="R2273" i="32"/>
  <c r="R54" i="32"/>
  <c r="R2288" i="32"/>
  <c r="R2348" i="32"/>
  <c r="R2413" i="32"/>
  <c r="R654" i="32"/>
  <c r="R927" i="32"/>
  <c r="R1160" i="32"/>
  <c r="R1422" i="32"/>
  <c r="R1611" i="32"/>
  <c r="R1907" i="32"/>
  <c r="R19" i="32"/>
  <c r="R589" i="32"/>
  <c r="R1775" i="32"/>
  <c r="R2167" i="32"/>
  <c r="R2574" i="32"/>
  <c r="R2003" i="32"/>
  <c r="R2055" i="32"/>
  <c r="R269" i="32"/>
  <c r="R1933" i="32"/>
  <c r="R637" i="32"/>
  <c r="R714" i="32"/>
  <c r="R1094" i="32"/>
  <c r="R1202" i="32"/>
  <c r="R2194" i="32"/>
  <c r="R2128" i="32"/>
  <c r="R2612" i="32"/>
  <c r="R1757" i="32"/>
  <c r="R1856" i="32"/>
  <c r="R2278" i="32"/>
  <c r="R69" i="32"/>
  <c r="R1846" i="32"/>
  <c r="R1924" i="32"/>
  <c r="R1487" i="32"/>
  <c r="R1638" i="32"/>
  <c r="R1274" i="32"/>
  <c r="R2145" i="32"/>
  <c r="R2353" i="32"/>
  <c r="R679" i="32"/>
  <c r="R2521" i="32"/>
  <c r="R1290" i="32"/>
  <c r="R1154" i="32"/>
  <c r="R1523" i="32"/>
  <c r="R1938" i="32"/>
  <c r="R2286" i="32"/>
  <c r="R199" i="32"/>
  <c r="R1876" i="32"/>
  <c r="R1978" i="32"/>
  <c r="R2289" i="32"/>
  <c r="R1301" i="32"/>
  <c r="R1316" i="32"/>
  <c r="R2559" i="32"/>
  <c r="R2031" i="32"/>
  <c r="R2442" i="32"/>
  <c r="R2047" i="32"/>
  <c r="R2321" i="32"/>
  <c r="R2596" i="32"/>
  <c r="R842" i="32"/>
  <c r="R2335" i="32"/>
  <c r="R957" i="32"/>
  <c r="R1657" i="32"/>
  <c r="R1977" i="32"/>
  <c r="R2296" i="32"/>
  <c r="R2617" i="32"/>
  <c r="R21" i="32"/>
  <c r="R1946" i="32"/>
  <c r="R2125" i="32"/>
  <c r="R1483" i="32"/>
  <c r="R2588" i="32"/>
  <c r="R1293" i="32"/>
  <c r="R1461" i="32"/>
  <c r="R2192" i="32"/>
  <c r="R2514" i="32"/>
  <c r="R2566" i="32"/>
  <c r="R790" i="32"/>
  <c r="R963" i="32"/>
  <c r="R2231" i="32"/>
  <c r="R1717" i="32"/>
  <c r="R2111" i="32"/>
  <c r="R2198" i="32"/>
  <c r="R2479" i="32"/>
  <c r="R2499" i="32"/>
  <c r="R1321" i="32"/>
  <c r="R2067" i="32"/>
  <c r="R562" i="32"/>
  <c r="R1673" i="32"/>
  <c r="R1766" i="32"/>
  <c r="R2492" i="32"/>
  <c r="R2584" i="32"/>
  <c r="R686" i="32"/>
  <c r="R1071" i="32"/>
  <c r="R1354" i="32"/>
  <c r="R1661" i="32"/>
  <c r="R2533" i="32"/>
  <c r="R1671" i="32"/>
  <c r="R1680" i="32"/>
  <c r="R2205" i="32"/>
  <c r="R1858" i="32"/>
  <c r="R58" i="32"/>
  <c r="R678" i="32"/>
  <c r="R1206" i="32"/>
  <c r="R1580" i="32"/>
  <c r="R2478" i="32"/>
  <c r="R2618" i="32"/>
  <c r="R417" i="32"/>
  <c r="R937" i="32"/>
  <c r="R1452" i="32"/>
  <c r="R2332" i="32"/>
  <c r="R775" i="32"/>
  <c r="R2172" i="32"/>
  <c r="R2543" i="32"/>
  <c r="R96" i="32"/>
  <c r="R443" i="32"/>
  <c r="R1476" i="32"/>
  <c r="R2184" i="32"/>
  <c r="R1915" i="32"/>
  <c r="R1029" i="32"/>
  <c r="R1584" i="32"/>
  <c r="R2472" i="32"/>
  <c r="R847" i="32"/>
  <c r="R572" i="32"/>
  <c r="R1228" i="32"/>
  <c r="R1445" i="32"/>
  <c r="R1485" i="32"/>
  <c r="R1842" i="32"/>
  <c r="R2294" i="32"/>
  <c r="R674" i="32"/>
  <c r="R1785" i="32"/>
  <c r="R1805" i="32"/>
  <c r="R1025" i="32"/>
  <c r="R1832" i="32"/>
  <c r="R2376" i="32"/>
  <c r="R2511" i="32"/>
  <c r="R2512" i="32"/>
  <c r="R2513" i="32"/>
  <c r="R203" i="32"/>
  <c r="R2044" i="32"/>
  <c r="R1728" i="32"/>
  <c r="R1824" i="32"/>
  <c r="R1878" i="32"/>
  <c r="R1882" i="32"/>
  <c r="R1061" i="32"/>
  <c r="R2026" i="32"/>
  <c r="R530" i="32"/>
  <c r="R1391" i="32"/>
  <c r="R2267" i="32"/>
  <c r="R984" i="32"/>
  <c r="R2542" i="32"/>
  <c r="R738" i="32"/>
  <c r="R1446" i="32"/>
  <c r="R2590" i="32"/>
  <c r="R2620" i="32"/>
  <c r="R563" i="32"/>
  <c r="R39" i="32"/>
  <c r="R1710" i="32"/>
  <c r="R1714" i="32"/>
  <c r="R1715" i="32"/>
  <c r="R2366" i="32"/>
  <c r="R84" i="32"/>
  <c r="R971" i="32"/>
  <c r="R1889" i="32"/>
  <c r="R2256" i="32"/>
  <c r="R2336" i="32"/>
  <c r="R2054" i="32"/>
  <c r="R2434" i="32"/>
  <c r="R945" i="32"/>
  <c r="R1592" i="32"/>
  <c r="R1704" i="32"/>
  <c r="R1808" i="32"/>
  <c r="R2401" i="32"/>
  <c r="R1145" i="32"/>
  <c r="R1759" i="32"/>
  <c r="R1929" i="32"/>
  <c r="R2430" i="32"/>
  <c r="R2538" i="32"/>
  <c r="R2540" i="32"/>
  <c r="R511" i="32"/>
  <c r="R1230" i="32"/>
  <c r="R1643" i="32"/>
  <c r="R1885" i="32"/>
  <c r="R2493" i="32"/>
  <c r="R2509" i="32"/>
  <c r="R804" i="32"/>
  <c r="R1716" i="32"/>
  <c r="R2162" i="32"/>
  <c r="R1542" i="32"/>
  <c r="R1545" i="32"/>
  <c r="R2364" i="32"/>
  <c r="R2604" i="32"/>
  <c r="R663" i="32"/>
  <c r="R1220" i="32"/>
  <c r="R2099" i="32"/>
  <c r="R237" i="32"/>
  <c r="R505" i="32"/>
  <c r="R1189" i="32"/>
  <c r="R1294" i="32"/>
  <c r="R1800" i="32"/>
  <c r="R1920" i="32"/>
  <c r="R340" i="32"/>
  <c r="R2579" i="32"/>
  <c r="R1969" i="32"/>
  <c r="R2169" i="32"/>
  <c r="R2201" i="32"/>
  <c r="R378" i="32"/>
  <c r="R718" i="32"/>
  <c r="R765" i="32"/>
  <c r="R1750" i="32"/>
  <c r="R2320" i="32"/>
  <c r="R152" i="32"/>
  <c r="R1491" i="32"/>
  <c r="R1493" i="32"/>
  <c r="R1494" i="32"/>
  <c r="R1540" i="32"/>
  <c r="R1767" i="32"/>
  <c r="R472" i="32"/>
  <c r="R1079" i="32"/>
  <c r="R1131" i="32"/>
  <c r="R1259" i="32"/>
  <c r="R17" i="32"/>
  <c r="R579" i="32"/>
  <c r="R1182" i="32"/>
  <c r="R1681" i="32"/>
  <c r="R2243" i="32"/>
  <c r="R2138" i="32"/>
  <c r="R1278" i="32"/>
  <c r="R1814" i="32"/>
  <c r="R552" i="32"/>
  <c r="R680" i="32"/>
  <c r="R2158" i="32"/>
  <c r="R1564" i="32"/>
  <c r="R1648" i="32"/>
  <c r="R1730" i="32"/>
  <c r="R2046" i="32"/>
  <c r="R480" i="32"/>
  <c r="R1492" i="32"/>
  <c r="R1692" i="32"/>
  <c r="R2029" i="32"/>
  <c r="R2141" i="32"/>
  <c r="R2624" i="32"/>
  <c r="R1021" i="32"/>
  <c r="R1985" i="32"/>
  <c r="R2264" i="32"/>
  <c r="R2349" i="32"/>
  <c r="R2535" i="32"/>
  <c r="R1005" i="32"/>
  <c r="R1865" i="32"/>
  <c r="R2048" i="32"/>
  <c r="R1474" i="32"/>
  <c r="R2043" i="32"/>
  <c r="R2432" i="32"/>
  <c r="R57" i="32"/>
  <c r="R1327" i="32"/>
  <c r="R1741" i="32"/>
  <c r="R1163" i="32"/>
  <c r="R1629" i="32"/>
  <c r="R1738" i="32"/>
  <c r="R1853" i="32"/>
  <c r="R2117" i="32"/>
  <c r="R2277" i="32"/>
  <c r="R2322" i="32"/>
  <c r="R248" i="32"/>
  <c r="R702" i="32"/>
  <c r="R779" i="32"/>
  <c r="R1140" i="32"/>
  <c r="R1810" i="32"/>
  <c r="R1862" i="32"/>
  <c r="R2104" i="32"/>
  <c r="R27" i="32"/>
  <c r="R410" i="32"/>
  <c r="R427" i="32"/>
  <c r="R761" i="32"/>
  <c r="R1209" i="32"/>
  <c r="R1667" i="32"/>
  <c r="R2052" i="32"/>
  <c r="R1156" i="32"/>
  <c r="R2530" i="32"/>
  <c r="R2531" i="32"/>
  <c r="R2532" i="32"/>
  <c r="R2477" i="32"/>
  <c r="R244" i="32"/>
  <c r="R564" i="32"/>
  <c r="R1529" i="32"/>
  <c r="R2116" i="32"/>
  <c r="R2347" i="32"/>
  <c r="R2476" i="32"/>
  <c r="R989" i="32"/>
  <c r="R1285" i="32"/>
  <c r="R1319" i="32"/>
  <c r="R2291" i="32"/>
  <c r="R649" i="32"/>
  <c r="R1552" i="32"/>
  <c r="R1634" i="32"/>
  <c r="R877" i="32"/>
  <c r="R2131" i="32"/>
  <c r="R1224" i="32"/>
  <c r="R1831" i="32"/>
  <c r="R1851" i="32"/>
  <c r="R2081" i="32"/>
  <c r="R2363" i="32"/>
  <c r="R574" i="32"/>
  <c r="R675" i="32"/>
  <c r="R999" i="32"/>
  <c r="R1337" i="32"/>
  <c r="R1887" i="32"/>
  <c r="R2237" i="32"/>
  <c r="R2409" i="32"/>
  <c r="R1602" i="32"/>
  <c r="R2352" i="32"/>
  <c r="R2400" i="32"/>
  <c r="R1153" i="32"/>
  <c r="R1784" i="32"/>
  <c r="R2118" i="32"/>
  <c r="R1105" i="32"/>
  <c r="R1171" i="32"/>
  <c r="R1840" i="32"/>
  <c r="R1921" i="32"/>
  <c r="R548" i="32"/>
  <c r="R923" i="32"/>
  <c r="R1096" i="32"/>
  <c r="R1658" i="32"/>
  <c r="R1893" i="32"/>
  <c r="R2065" i="32"/>
  <c r="R254" i="32"/>
  <c r="R354" i="32"/>
  <c r="R425" i="32"/>
  <c r="R916" i="32"/>
  <c r="R2139" i="32"/>
  <c r="R292" i="32"/>
  <c r="R1136" i="32"/>
  <c r="R1412" i="32"/>
  <c r="R1914" i="32"/>
  <c r="R2454" i="32"/>
  <c r="R859" i="32"/>
  <c r="R1093" i="32"/>
  <c r="R1269" i="32"/>
  <c r="R1744" i="32"/>
  <c r="R2039" i="32"/>
  <c r="R936" i="32"/>
  <c r="R1436" i="32"/>
  <c r="R2063" i="32"/>
  <c r="R1881" i="32"/>
  <c r="R575" i="32"/>
  <c r="R751" i="32"/>
  <c r="R1682" i="32"/>
  <c r="R2490" i="32"/>
  <c r="R556" i="32"/>
  <c r="R1430" i="32"/>
  <c r="R119" i="32"/>
  <c r="R144" i="32"/>
  <c r="R744" i="32"/>
  <c r="R1761" i="32"/>
  <c r="R1956" i="32"/>
  <c r="R1957" i="32"/>
  <c r="R1958" i="32"/>
  <c r="R1959" i="32"/>
  <c r="R1575" i="32"/>
  <c r="R11" i="32"/>
  <c r="R799" i="32"/>
  <c r="R181" i="32"/>
  <c r="R896" i="32"/>
  <c r="R1223" i="32"/>
  <c r="R1451" i="32"/>
  <c r="R1903" i="32"/>
  <c r="R2173" i="32"/>
  <c r="R353" i="32"/>
  <c r="R464" i="32"/>
  <c r="R1032" i="32"/>
  <c r="R1531" i="32"/>
  <c r="R1579" i="32"/>
  <c r="R1745" i="32"/>
  <c r="R2143" i="32"/>
  <c r="R643" i="32"/>
  <c r="R1098" i="32"/>
  <c r="R1292" i="32"/>
  <c r="R2356" i="32"/>
  <c r="R2577" i="32"/>
  <c r="R406" i="32"/>
  <c r="R539" i="32"/>
  <c r="R688" i="32"/>
  <c r="R1074" i="32"/>
  <c r="R2379" i="32"/>
  <c r="R23" i="32"/>
  <c r="R778" i="32"/>
  <c r="R1048" i="32"/>
  <c r="R1280" i="32"/>
  <c r="R2151" i="32"/>
  <c r="R1069" i="32"/>
  <c r="R1166" i="32"/>
  <c r="R1222" i="32"/>
  <c r="R1279" i="32"/>
  <c r="R2570" i="32"/>
  <c r="R31" i="32"/>
  <c r="R693" i="32"/>
  <c r="R1410" i="32"/>
  <c r="R1415" i="32"/>
  <c r="R1731" i="32"/>
  <c r="R2218" i="32"/>
  <c r="R2281" i="32"/>
  <c r="R1219" i="32"/>
  <c r="R1499" i="32"/>
  <c r="R1550" i="32"/>
  <c r="R1837" i="32"/>
  <c r="R2050" i="32"/>
  <c r="R1226" i="32"/>
  <c r="R1356" i="32"/>
  <c r="R1357" i="32"/>
  <c r="R1447" i="32"/>
  <c r="R1844" i="32"/>
  <c r="R1403" i="32"/>
  <c r="R1780" i="32"/>
  <c r="R2284" i="32"/>
  <c r="R2293" i="32"/>
  <c r="R2437" i="32"/>
  <c r="R24" i="32"/>
  <c r="R45" i="32"/>
  <c r="R194" i="32"/>
  <c r="R1432" i="32"/>
  <c r="R1826" i="32"/>
  <c r="R2110" i="32"/>
  <c r="R38" i="32"/>
  <c r="R656" i="32"/>
  <c r="R1267" i="32"/>
  <c r="R1361" i="32"/>
  <c r="R1554" i="32"/>
  <c r="R1621" i="32"/>
  <c r="R1633" i="32"/>
  <c r="R1636" i="32"/>
  <c r="R1870" i="32"/>
  <c r="R2410" i="32"/>
  <c r="R1408" i="32"/>
  <c r="R1679" i="32"/>
  <c r="R1852" i="32"/>
  <c r="R1926" i="32"/>
  <c r="R2005" i="32"/>
  <c r="R2244" i="32"/>
  <c r="R12" i="32"/>
  <c r="R162" i="32"/>
  <c r="R487" i="32"/>
  <c r="R1118" i="32"/>
  <c r="R1484" i="32"/>
  <c r="R2279" i="32"/>
  <c r="R1930" i="32"/>
  <c r="R2040" i="32"/>
  <c r="R1727" i="32"/>
  <c r="R1991" i="32"/>
  <c r="R2449" i="32"/>
  <c r="R2562" i="32"/>
  <c r="R1124" i="32"/>
  <c r="R1125" i="32"/>
  <c r="R1534" i="32"/>
  <c r="R1726" i="32"/>
  <c r="R1789" i="32"/>
  <c r="R2395" i="32"/>
  <c r="R325" i="32"/>
  <c r="R1169" i="32"/>
  <c r="R1207" i="32"/>
  <c r="R223" i="32"/>
  <c r="R308" i="32"/>
  <c r="R742" i="32"/>
  <c r="R1942" i="32"/>
  <c r="R2012" i="32"/>
  <c r="R2330" i="32"/>
  <c r="R1742" i="32"/>
  <c r="R1872" i="32"/>
  <c r="R1966" i="32"/>
  <c r="R1972" i="32"/>
  <c r="R247" i="32"/>
  <c r="R403" i="32"/>
  <c r="R1276" i="32"/>
  <c r="R1944" i="32"/>
  <c r="R1955" i="32"/>
  <c r="R1320" i="32"/>
  <c r="R1513" i="32"/>
  <c r="R476" i="32"/>
  <c r="R752" i="32"/>
  <c r="R1763" i="32"/>
  <c r="R1901" i="32"/>
  <c r="R2064" i="32"/>
  <c r="R1221" i="32"/>
  <c r="R1265" i="32"/>
  <c r="R1409" i="32"/>
  <c r="R1426" i="32"/>
  <c r="R1686" i="32"/>
  <c r="R1698" i="32"/>
  <c r="R1768" i="32"/>
  <c r="R342" i="32"/>
  <c r="R712" i="32"/>
  <c r="R988" i="32"/>
  <c r="R1386" i="32"/>
  <c r="R1595" i="32"/>
  <c r="R2160" i="32"/>
  <c r="R1089" i="32"/>
  <c r="R1120" i="32"/>
  <c r="R1190" i="32"/>
  <c r="R1217" i="32"/>
  <c r="R1786" i="32"/>
  <c r="R1802" i="32"/>
  <c r="R1557" i="32"/>
  <c r="R2092" i="32"/>
  <c r="R2621" i="32"/>
  <c r="R706" i="32"/>
  <c r="R1614" i="32"/>
  <c r="R1860" i="32"/>
  <c r="R2241" i="32"/>
  <c r="R195" i="32"/>
  <c r="R651" i="32"/>
  <c r="R1549" i="32"/>
  <c r="R2541" i="32"/>
  <c r="R2555" i="32"/>
  <c r="R326" i="32"/>
  <c r="R414" i="32"/>
  <c r="R504" i="32"/>
  <c r="R986" i="32"/>
  <c r="R1006" i="32"/>
  <c r="R1119" i="32"/>
  <c r="R1129" i="32"/>
  <c r="R1229" i="32"/>
  <c r="R2000" i="32"/>
  <c r="R2564" i="32"/>
  <c r="R80" i="32"/>
  <c r="R371" i="32"/>
  <c r="R704" i="32"/>
  <c r="R723" i="32"/>
  <c r="R1270" i="32"/>
  <c r="R1645" i="32"/>
  <c r="R1762" i="32"/>
  <c r="R344" i="32"/>
  <c r="R913" i="32"/>
  <c r="R1014" i="32"/>
  <c r="R1331" i="32"/>
  <c r="R1812" i="32"/>
  <c r="R2091" i="32"/>
  <c r="R323" i="32"/>
  <c r="R817" i="32"/>
  <c r="R930" i="32"/>
  <c r="R1258" i="32"/>
  <c r="R1383" i="32"/>
  <c r="R1819" i="32"/>
  <c r="R2022" i="32"/>
  <c r="R717" i="32"/>
  <c r="R1027" i="32"/>
  <c r="R1546" i="32"/>
  <c r="R1664" i="32"/>
  <c r="R1910" i="32"/>
  <c r="R2049" i="32"/>
  <c r="R2103" i="32"/>
  <c r="R2572" i="32"/>
  <c r="R573" i="32"/>
  <c r="R1237" i="32"/>
  <c r="R1355" i="32"/>
  <c r="R1968" i="32"/>
  <c r="R2152" i="32"/>
  <c r="R155" i="32"/>
  <c r="R1345" i="32"/>
  <c r="R2229" i="32"/>
  <c r="R2403" i="32"/>
  <c r="R947" i="32"/>
  <c r="R1420" i="32"/>
  <c r="R1773" i="32"/>
  <c r="R1888" i="32"/>
  <c r="R184" i="32"/>
  <c r="R1322" i="32"/>
  <c r="R2610" i="32"/>
  <c r="R1062" i="32"/>
  <c r="R1960" i="32"/>
  <c r="R2357" i="32"/>
  <c r="R229" i="32"/>
  <c r="R2159" i="32"/>
  <c r="R2161" i="32"/>
  <c r="R295" i="32"/>
  <c r="R2456" i="32"/>
  <c r="R719" i="32"/>
  <c r="R1854" i="32"/>
  <c r="R1965" i="32"/>
  <c r="R1992" i="32"/>
  <c r="R2086" i="32"/>
  <c r="R2146" i="32"/>
  <c r="R282" i="32"/>
  <c r="R415" i="32"/>
  <c r="R446" i="32"/>
  <c r="R771" i="32"/>
  <c r="R1242" i="32"/>
  <c r="R1443" i="32"/>
  <c r="R1777" i="32"/>
  <c r="R1180" i="32"/>
  <c r="R1962" i="32"/>
  <c r="R2427" i="32"/>
  <c r="R1177" i="32"/>
  <c r="R1282" i="32"/>
  <c r="R1329" i="32"/>
  <c r="R1473" i="32"/>
  <c r="R2546" i="32"/>
  <c r="R18" i="32"/>
  <c r="R92" i="32"/>
  <c r="R156" i="32"/>
  <c r="R227" i="32"/>
  <c r="R792" i="32"/>
  <c r="R1431" i="32"/>
  <c r="R1448" i="32"/>
  <c r="R571" i="32"/>
  <c r="R587" i="32"/>
  <c r="R1440" i="32"/>
  <c r="R2537" i="32"/>
  <c r="R159" i="32"/>
  <c r="R208" i="32"/>
  <c r="R355" i="32"/>
  <c r="R502" i="32"/>
  <c r="R1809" i="32"/>
  <c r="R1989" i="32"/>
  <c r="R2422" i="32"/>
  <c r="R164" i="32"/>
  <c r="R1587" i="32"/>
  <c r="R1615" i="32"/>
  <c r="R2326" i="32"/>
  <c r="R205" i="32"/>
  <c r="R495" i="32"/>
  <c r="R655" i="32"/>
  <c r="R1600" i="32"/>
  <c r="R2251" i="32"/>
  <c r="R35" i="32"/>
  <c r="R64" i="32"/>
  <c r="R324" i="32"/>
  <c r="R757" i="32"/>
  <c r="R974" i="32"/>
  <c r="R1040" i="32"/>
  <c r="R1132" i="32"/>
  <c r="R1559" i="32"/>
  <c r="R1164" i="32"/>
  <c r="R1820" i="32"/>
  <c r="R770" i="32"/>
  <c r="R1689" i="32"/>
  <c r="R1778" i="32"/>
  <c r="R1583" i="32"/>
  <c r="R1839" i="32"/>
  <c r="R2045" i="32"/>
  <c r="R640" i="32"/>
  <c r="R895" i="32"/>
  <c r="R1556" i="32"/>
  <c r="R1891" i="32"/>
  <c r="R2112" i="32"/>
  <c r="R976" i="32"/>
  <c r="R1183" i="32"/>
  <c r="R661" i="32"/>
  <c r="R2341" i="32"/>
  <c r="R2444" i="32"/>
  <c r="R1589" i="32"/>
  <c r="R2633" i="32"/>
  <c r="R1052" i="32"/>
  <c r="R1868" i="32"/>
  <c r="R1949" i="32"/>
  <c r="R2494" i="32"/>
  <c r="R2090" i="32"/>
  <c r="R332" i="32"/>
  <c r="R796" i="32"/>
  <c r="R869" i="32"/>
  <c r="R1200" i="32"/>
  <c r="R1736" i="32"/>
  <c r="R1999" i="32"/>
  <c r="R2253" i="32"/>
  <c r="R428" i="32"/>
  <c r="R1068" i="32"/>
  <c r="R1157" i="32"/>
  <c r="R1375" i="32"/>
  <c r="R1376" i="32"/>
  <c r="R1377" i="32"/>
  <c r="R1995" i="32"/>
  <c r="R2246" i="32"/>
  <c r="R2615" i="32"/>
  <c r="R67" i="32"/>
  <c r="R815" i="32"/>
  <c r="R1204" i="32"/>
  <c r="R1662" i="32"/>
  <c r="R1707" i="32"/>
  <c r="R2399" i="32"/>
  <c r="R2468" i="32"/>
  <c r="R2470" i="32"/>
  <c r="R739" i="32"/>
  <c r="R1289" i="32"/>
  <c r="R1607" i="32"/>
  <c r="R1939" i="32"/>
  <c r="R1020" i="32"/>
  <c r="R1147" i="32"/>
  <c r="R1186" i="32"/>
  <c r="R1313" i="32"/>
  <c r="R1425" i="32"/>
  <c r="R1725" i="32"/>
  <c r="R1993" i="32"/>
  <c r="R2009" i="32"/>
  <c r="R2034" i="32"/>
  <c r="R1411" i="32"/>
  <c r="R2004" i="32"/>
  <c r="R2070" i="32"/>
  <c r="R2216" i="32"/>
  <c r="R118" i="32"/>
  <c r="R225" i="32"/>
  <c r="R337" i="32"/>
  <c r="R1001" i="32"/>
  <c r="R1141" i="32"/>
  <c r="R1516" i="32"/>
  <c r="R1544" i="32"/>
  <c r="R1655" i="32"/>
  <c r="R1734" i="32"/>
  <c r="R1950" i="32"/>
  <c r="R1970" i="32"/>
  <c r="R2106" i="32"/>
  <c r="R2171" i="32"/>
  <c r="R2333" i="32"/>
  <c r="R2461" i="32"/>
  <c r="R102" i="32"/>
  <c r="R209" i="32"/>
  <c r="R331" i="32"/>
  <c r="R500" i="32"/>
  <c r="R793" i="32"/>
  <c r="R1203" i="32"/>
  <c r="R1341" i="32"/>
  <c r="R1521" i="32"/>
  <c r="R2177" i="32"/>
  <c r="R2069" i="32"/>
  <c r="R2585" i="32"/>
  <c r="R774" i="32"/>
  <c r="R1060" i="32"/>
  <c r="R1527" i="32"/>
  <c r="R2339" i="32"/>
  <c r="R1318" i="32"/>
  <c r="R1413" i="32"/>
  <c r="R1603" i="32"/>
  <c r="R1940" i="32"/>
  <c r="R1981" i="32"/>
  <c r="R2414" i="32"/>
  <c r="R1733" i="32"/>
  <c r="R1772" i="32"/>
  <c r="R1908" i="32"/>
  <c r="R2425" i="32"/>
  <c r="R257" i="32"/>
  <c r="R628" i="32"/>
  <c r="R996" i="32"/>
  <c r="R1374" i="32"/>
  <c r="R1703" i="32"/>
  <c r="R1764" i="32"/>
  <c r="R1880" i="32"/>
  <c r="R1894" i="32"/>
  <c r="R420" i="32"/>
  <c r="R1616" i="32"/>
  <c r="R1919" i="32"/>
  <c r="R1951" i="32"/>
  <c r="R251" i="32"/>
  <c r="R1659" i="32"/>
  <c r="R2013" i="32"/>
  <c r="R1019" i="32"/>
  <c r="R2371" i="32"/>
  <c r="R272" i="32"/>
  <c r="R981" i="32"/>
  <c r="R1590" i="32"/>
  <c r="R2308" i="32"/>
  <c r="R2446" i="32"/>
  <c r="R111" i="32"/>
  <c r="R1459" i="32"/>
  <c r="R972" i="32"/>
  <c r="R979" i="32"/>
  <c r="R1012" i="32"/>
  <c r="R1353" i="32"/>
  <c r="R1385" i="32"/>
  <c r="R1543" i="32"/>
  <c r="R1612" i="32"/>
  <c r="R1049" i="32"/>
  <c r="R1168" i="32"/>
  <c r="R1172" i="32"/>
  <c r="R1173" i="32"/>
  <c r="R1174" i="32"/>
  <c r="R1175" i="32"/>
  <c r="R1442" i="32"/>
  <c r="R1560" i="32"/>
  <c r="R1588" i="32"/>
  <c r="R1752" i="32"/>
  <c r="R1754" i="32"/>
  <c r="R1829" i="32"/>
  <c r="R2327" i="32"/>
  <c r="R9" i="32"/>
  <c r="R59" i="32"/>
  <c r="R75" i="32"/>
  <c r="R1758" i="32"/>
  <c r="R1849" i="32"/>
  <c r="R133" i="32"/>
  <c r="R293" i="32"/>
  <c r="R327" i="32"/>
  <c r="R570" i="32"/>
  <c r="R733" i="32"/>
  <c r="R795" i="32"/>
  <c r="R2331" i="32"/>
  <c r="R2467" i="32"/>
  <c r="R2569" i="32"/>
  <c r="R109" i="32"/>
  <c r="R1266" i="32"/>
  <c r="R1541" i="32"/>
  <c r="R906" i="32"/>
  <c r="R2098" i="32"/>
  <c r="R545" i="32"/>
  <c r="R991" i="32"/>
  <c r="R1036" i="32"/>
  <c r="R1192" i="32"/>
  <c r="R1460" i="32"/>
  <c r="R1574" i="32"/>
  <c r="R2377" i="32"/>
  <c r="R2580" i="32"/>
  <c r="R79" i="32"/>
  <c r="R356" i="32"/>
  <c r="R460" i="32"/>
  <c r="R662" i="32"/>
  <c r="R741" i="32"/>
  <c r="R1034" i="32"/>
  <c r="R1101" i="32"/>
  <c r="R2108" i="32"/>
  <c r="R2181" i="32"/>
  <c r="R2247" i="32"/>
  <c r="R2593" i="32"/>
  <c r="R10" i="32"/>
  <c r="R163" i="32"/>
  <c r="R1533" i="32"/>
  <c r="R1591" i="32"/>
  <c r="R2020" i="32"/>
  <c r="R136" i="32"/>
  <c r="R887" i="32"/>
  <c r="R1091" i="32"/>
  <c r="R1151" i="32"/>
  <c r="R1210" i="32"/>
  <c r="R1264" i="32"/>
  <c r="R1273" i="32"/>
  <c r="R1335" i="32"/>
  <c r="R1472" i="32"/>
  <c r="R1547" i="32"/>
  <c r="R2008" i="32"/>
  <c r="R2082" i="32"/>
  <c r="R2623" i="32"/>
  <c r="R398" i="32"/>
  <c r="R720" i="32"/>
  <c r="R55" i="32"/>
  <c r="R62" i="32"/>
  <c r="R72" i="32"/>
  <c r="R551" i="32"/>
  <c r="R1121" i="32"/>
  <c r="R1312" i="32"/>
  <c r="R1651" i="32"/>
  <c r="R2398" i="32"/>
  <c r="R2616" i="32"/>
  <c r="R1739" i="32"/>
  <c r="R1845" i="32"/>
  <c r="R2428" i="32"/>
  <c r="R180" i="32"/>
  <c r="R210" i="32"/>
  <c r="R264" i="32"/>
  <c r="R280" i="32"/>
  <c r="R300" i="32"/>
  <c r="R731" i="32"/>
  <c r="R1562" i="32"/>
  <c r="R2170" i="32"/>
  <c r="R2598" i="32"/>
  <c r="R101" i="32"/>
  <c r="R128" i="32"/>
  <c r="R903" i="32"/>
  <c r="R1239" i="32"/>
  <c r="R2147" i="32"/>
  <c r="R7" i="32"/>
  <c r="R106" i="32"/>
  <c r="R758" i="32"/>
  <c r="R1081" i="32"/>
  <c r="R1248" i="32"/>
  <c r="R2073" i="32"/>
  <c r="R2268" i="32"/>
  <c r="R2303" i="32"/>
  <c r="R2464" i="32"/>
  <c r="R43" i="32"/>
  <c r="R992" i="32"/>
  <c r="R994" i="32"/>
  <c r="R1026" i="32"/>
  <c r="R1212" i="32"/>
  <c r="R1405" i="32"/>
  <c r="R1821" i="32"/>
  <c r="R1561" i="32"/>
  <c r="R2351" i="32"/>
  <c r="R15" i="32"/>
  <c r="R135" i="32"/>
  <c r="R1022" i="32"/>
  <c r="R1304" i="32"/>
  <c r="R1305" i="32"/>
  <c r="R113" i="32"/>
  <c r="R281" i="32"/>
  <c r="R1623" i="32"/>
  <c r="R1696" i="32"/>
  <c r="R1711" i="32"/>
  <c r="R1216" i="32"/>
  <c r="R1505" i="32"/>
  <c r="R1514" i="32"/>
  <c r="R1801" i="32"/>
  <c r="R1979" i="32"/>
  <c r="R2057" i="32"/>
  <c r="R91" i="32"/>
  <c r="R672" i="32"/>
  <c r="R730" i="32"/>
  <c r="R889" i="32"/>
  <c r="R914" i="32"/>
  <c r="R1618" i="32"/>
  <c r="R1649" i="32"/>
  <c r="R1650" i="32"/>
  <c r="R2002" i="32"/>
  <c r="R2150" i="32"/>
  <c r="R1017" i="32"/>
  <c r="R1306" i="32"/>
  <c r="R2010" i="32"/>
  <c r="R2097" i="32"/>
  <c r="R115" i="32"/>
  <c r="R258" i="32"/>
  <c r="R997" i="32"/>
  <c r="R998" i="32"/>
  <c r="R1637" i="32"/>
  <c r="R2630" i="32"/>
  <c r="R81" i="32"/>
  <c r="R230" i="32"/>
  <c r="R424" i="32"/>
  <c r="R635" i="32"/>
  <c r="R967" i="32"/>
  <c r="R993" i="32"/>
  <c r="R1007" i="32"/>
  <c r="R1108" i="32"/>
  <c r="R1116" i="32"/>
  <c r="R1191" i="32"/>
  <c r="R1291" i="32"/>
  <c r="R1511" i="32"/>
  <c r="R2517" i="32"/>
  <c r="R40" i="32"/>
  <c r="R76" i="32"/>
  <c r="R87" i="32"/>
  <c r="R538" i="32"/>
  <c r="R626" i="32"/>
  <c r="R692" i="32"/>
  <c r="R734" i="32"/>
  <c r="R806" i="32"/>
  <c r="R990" i="32"/>
  <c r="R1058" i="32"/>
  <c r="R1197" i="32"/>
  <c r="R1467" i="32"/>
  <c r="R1520" i="32"/>
  <c r="R1599" i="32"/>
  <c r="R1746" i="32"/>
  <c r="R1912" i="32"/>
  <c r="R1973" i="32"/>
  <c r="R1997" i="32"/>
  <c r="R2024" i="32"/>
  <c r="R86" i="32"/>
  <c r="R315" i="32"/>
  <c r="R475" i="32"/>
  <c r="R576" i="32"/>
  <c r="R901" i="32"/>
  <c r="R902" i="32"/>
  <c r="R1054" i="32"/>
  <c r="R90" i="32"/>
  <c r="R104" i="32"/>
  <c r="R807" i="32"/>
  <c r="R835" i="32"/>
  <c r="R1676" i="32"/>
  <c r="R1713" i="32"/>
  <c r="R2080" i="32"/>
  <c r="R41" i="32"/>
  <c r="R388" i="32"/>
  <c r="R590" i="32"/>
  <c r="R959" i="32"/>
  <c r="R1558" i="32"/>
  <c r="R1646" i="32"/>
  <c r="R1685" i="32"/>
  <c r="R117" i="32"/>
  <c r="R329" i="32"/>
  <c r="R377" i="32"/>
  <c r="R691" i="32"/>
  <c r="R2135" i="32"/>
  <c r="R2245" i="32"/>
  <c r="R860" i="32"/>
  <c r="R888" i="32"/>
  <c r="R1065" i="32"/>
  <c r="R1245" i="32"/>
  <c r="R2223" i="32"/>
  <c r="R2295" i="32"/>
  <c r="R78" i="32"/>
  <c r="R493" i="32"/>
  <c r="R1240" i="32"/>
  <c r="R1453" i="32"/>
  <c r="R1480" i="32"/>
  <c r="R1500" i="32"/>
  <c r="R1536" i="32"/>
  <c r="R1721" i="32"/>
  <c r="R2242" i="32"/>
  <c r="R32" i="32"/>
  <c r="R82" i="32"/>
  <c r="R97" i="32"/>
  <c r="R146" i="32"/>
  <c r="R277" i="32"/>
  <c r="R953" i="32"/>
  <c r="R1553" i="32"/>
  <c r="R1568" i="32"/>
  <c r="R1669" i="32"/>
  <c r="R1732" i="32"/>
  <c r="R1830" i="32"/>
  <c r="R1834" i="32"/>
  <c r="R1863" i="32"/>
  <c r="R1931" i="32"/>
  <c r="R2554" i="32"/>
  <c r="R2611" i="32"/>
  <c r="R204" i="32"/>
  <c r="R441" i="32"/>
  <c r="R687" i="32"/>
  <c r="R961" i="32"/>
  <c r="R1099" i="32"/>
  <c r="R1348" i="32"/>
  <c r="R1364" i="32"/>
  <c r="R1787" i="32"/>
  <c r="R124" i="32"/>
  <c r="R134" i="32"/>
  <c r="R148" i="32"/>
  <c r="R149" i="32"/>
  <c r="R818" i="32"/>
  <c r="R1043" i="32"/>
  <c r="R1111" i="32"/>
  <c r="R2074" i="32"/>
  <c r="R169" i="32"/>
  <c r="R172" i="32"/>
  <c r="R200" i="32"/>
  <c r="R278" i="32"/>
  <c r="R338" i="32"/>
  <c r="R357" i="32"/>
  <c r="R360" i="32"/>
  <c r="R962" i="32"/>
  <c r="R2298" i="32"/>
  <c r="R2299" i="32"/>
  <c r="R2300" i="32"/>
  <c r="R2301" i="32"/>
  <c r="R2302" i="32"/>
  <c r="R2306" i="32"/>
  <c r="R2307" i="32"/>
  <c r="R2310" i="32"/>
  <c r="R2311" i="32"/>
  <c r="R2312" i="32"/>
  <c r="R2313" i="32"/>
  <c r="R2318" i="32"/>
  <c r="R2319" i="32"/>
  <c r="R1782" i="32"/>
  <c r="R1928" i="32"/>
  <c r="R2006" i="32"/>
  <c r="R2196" i="32"/>
  <c r="R2233" i="32"/>
  <c r="R2274" i="32"/>
  <c r="R2563" i="32"/>
  <c r="R66" i="32"/>
  <c r="R160" i="32"/>
  <c r="R165" i="32"/>
  <c r="R899" i="32"/>
  <c r="R907" i="32"/>
  <c r="R935" i="32"/>
  <c r="R1340" i="32"/>
  <c r="R2030" i="32"/>
  <c r="R137" i="32"/>
  <c r="R138" i="32"/>
  <c r="R147" i="32"/>
  <c r="R178" i="32"/>
  <c r="R343" i="32"/>
  <c r="R466" i="32"/>
  <c r="R582" i="32"/>
  <c r="R613" i="32"/>
  <c r="R995" i="32"/>
  <c r="R1315" i="32"/>
  <c r="R206" i="32"/>
  <c r="R596" i="32"/>
  <c r="R615" i="32"/>
  <c r="R823" i="32"/>
  <c r="R865" i="32"/>
  <c r="R364" i="32"/>
  <c r="R964" i="32"/>
  <c r="R1084" i="32"/>
  <c r="R1086" i="32"/>
  <c r="R1138" i="32"/>
  <c r="R1152" i="32"/>
  <c r="R1227" i="32"/>
  <c r="R1864" i="32"/>
  <c r="R2001" i="32"/>
  <c r="R171" i="32"/>
  <c r="R850" i="32"/>
  <c r="R1307" i="32"/>
  <c r="R1344" i="32"/>
  <c r="R2109" i="32"/>
  <c r="R143" i="32"/>
  <c r="R212" i="32"/>
  <c r="R214" i="32"/>
  <c r="R241" i="32"/>
  <c r="R270" i="32"/>
  <c r="R271" i="32"/>
  <c r="R274" i="32"/>
  <c r="R275" i="32"/>
  <c r="R276" i="32"/>
  <c r="R283" i="32"/>
  <c r="R284" i="32"/>
  <c r="R287" i="32"/>
  <c r="R289" i="32"/>
  <c r="R302" i="32"/>
  <c r="R309" i="32"/>
  <c r="R311" i="32"/>
  <c r="R312" i="32"/>
  <c r="R313" i="32"/>
  <c r="R316" i="32"/>
  <c r="R317" i="32"/>
  <c r="R318" i="32"/>
  <c r="R319" i="32"/>
  <c r="R320" i="32"/>
  <c r="R328" i="32"/>
  <c r="R339" i="32"/>
  <c r="R349" i="32"/>
  <c r="R376" i="32"/>
  <c r="R418" i="32"/>
  <c r="R541" i="32"/>
  <c r="R722" i="32"/>
  <c r="R746" i="32"/>
  <c r="R764" i="32"/>
  <c r="R787" i="32"/>
  <c r="R788" i="32"/>
  <c r="R819" i="32"/>
  <c r="R826" i="32"/>
  <c r="R851" i="32"/>
  <c r="R1198" i="32"/>
  <c r="R1211" i="32"/>
  <c r="R1238" i="32"/>
  <c r="R1299" i="32"/>
  <c r="R2258" i="32"/>
  <c r="R2283" i="32"/>
  <c r="R2417" i="32"/>
  <c r="R390" i="32"/>
  <c r="R396" i="32"/>
  <c r="R2599" i="32"/>
  <c r="R2600" i="32"/>
  <c r="R2607" i="32"/>
  <c r="R105" i="32"/>
  <c r="R153" i="32"/>
  <c r="R641" i="32"/>
  <c r="R783" i="32"/>
  <c r="R1205" i="32"/>
  <c r="R1577" i="32"/>
  <c r="R1585" i="32"/>
  <c r="R1900" i="32"/>
  <c r="R1911" i="32"/>
  <c r="R1941" i="32"/>
  <c r="R2188" i="32"/>
  <c r="R2276" i="32"/>
  <c r="R2290" i="32"/>
  <c r="R2587" i="32"/>
  <c r="R141" i="32"/>
  <c r="R183" i="32"/>
  <c r="R728" i="32"/>
  <c r="R784" i="32"/>
  <c r="R2174" i="32"/>
  <c r="R2459" i="32"/>
  <c r="R314" i="32"/>
  <c r="R366" i="32"/>
  <c r="R389" i="32"/>
  <c r="R669" i="32"/>
  <c r="R777" i="32"/>
  <c r="R834" i="32"/>
  <c r="R836" i="32"/>
  <c r="R928" i="32"/>
  <c r="R2178" i="32"/>
  <c r="R88" i="32"/>
  <c r="R89" i="32"/>
  <c r="R103" i="32"/>
  <c r="R341" i="32"/>
  <c r="R375" i="32"/>
  <c r="R849" i="32"/>
  <c r="R949" i="32"/>
  <c r="R952" i="32"/>
  <c r="R982" i="32"/>
  <c r="R1055" i="32"/>
  <c r="R1085" i="32"/>
  <c r="R1104" i="32"/>
  <c r="R1693" i="32"/>
  <c r="R2234" i="32"/>
  <c r="R20" i="32"/>
  <c r="R29" i="32"/>
  <c r="R226" i="32"/>
  <c r="R462" i="32"/>
  <c r="R469" i="32"/>
  <c r="R604" i="32"/>
  <c r="R620" i="32"/>
  <c r="R1350" i="32"/>
  <c r="R1351" i="32"/>
  <c r="R2368" i="32"/>
  <c r="R14" i="32"/>
  <c r="R30" i="32"/>
  <c r="R173" i="32"/>
  <c r="R175" i="32"/>
  <c r="R189" i="32"/>
  <c r="R190" i="32"/>
  <c r="R207" i="32"/>
  <c r="R822" i="32"/>
  <c r="R1740" i="32"/>
  <c r="R1982" i="32"/>
  <c r="R2129" i="32"/>
  <c r="R2304" i="32"/>
  <c r="R2334" i="32"/>
  <c r="R2391" i="32"/>
  <c r="R846" i="32"/>
  <c r="R1275" i="32"/>
  <c r="R1402" i="32"/>
  <c r="R543" i="32"/>
  <c r="R2197" i="32"/>
  <c r="R2361" i="32"/>
  <c r="R2631" i="32"/>
  <c r="R26" i="32"/>
  <c r="R77" i="32"/>
  <c r="R1700" i="32"/>
  <c r="R298" i="32"/>
  <c r="R299" i="32"/>
  <c r="R306" i="32"/>
  <c r="R333" i="32"/>
  <c r="R369" i="32"/>
  <c r="R1582" i="32"/>
  <c r="R1620" i="32"/>
  <c r="R1905" i="32"/>
  <c r="R2297" i="32"/>
  <c r="R44" i="32"/>
  <c r="R395" i="32"/>
  <c r="R985" i="32"/>
  <c r="R2423" i="32"/>
  <c r="R2595" i="32"/>
  <c r="R98" i="32"/>
  <c r="R121" i="32"/>
  <c r="R330" i="32"/>
  <c r="R2475" i="32"/>
  <c r="R70" i="32"/>
  <c r="R351" i="32"/>
  <c r="R391" i="32"/>
  <c r="R409" i="32"/>
  <c r="R411" i="32"/>
  <c r="R435" i="32"/>
  <c r="R550" i="32"/>
  <c r="R652" i="32"/>
  <c r="R653" i="32"/>
  <c r="R658" i="32"/>
  <c r="R1822" i="32"/>
  <c r="R2426" i="32"/>
  <c r="R429" i="32"/>
  <c r="R922" i="32"/>
  <c r="R1295" i="32"/>
  <c r="R1818" i="32"/>
  <c r="R1873" i="32"/>
  <c r="R2495" i="32"/>
  <c r="R50" i="32"/>
  <c r="R546" i="32"/>
  <c r="R591" i="32"/>
  <c r="R1078" i="32"/>
  <c r="R1215" i="32"/>
  <c r="R1627" i="32"/>
  <c r="R228" i="32"/>
  <c r="R2236" i="32"/>
  <c r="R33" i="32"/>
  <c r="R560" i="32"/>
  <c r="R726" i="32"/>
  <c r="R827" i="32"/>
  <c r="R838" i="32"/>
  <c r="R867" i="32"/>
  <c r="R931" i="32"/>
  <c r="R1050" i="32"/>
  <c r="R1139" i="32"/>
  <c r="R1244" i="32"/>
  <c r="R1323" i="32"/>
  <c r="R1324" i="32"/>
  <c r="R1382" i="32"/>
  <c r="R1384" i="32"/>
  <c r="R1427" i="32"/>
  <c r="R48" i="32"/>
  <c r="R617" i="32"/>
  <c r="R1179" i="32"/>
  <c r="R1971" i="32"/>
  <c r="R2639" i="32"/>
  <c r="R431" i="32"/>
  <c r="R523" i="32"/>
  <c r="R588" i="32"/>
  <c r="R600" i="32"/>
  <c r="R785" i="32"/>
  <c r="R786" i="32"/>
  <c r="R1056" i="32"/>
  <c r="R1165" i="32"/>
  <c r="R1551" i="32"/>
  <c r="R8" i="32"/>
  <c r="R51" i="32"/>
  <c r="R85" i="32"/>
  <c r="R170" i="32"/>
  <c r="R196" i="32"/>
  <c r="R558" i="32"/>
  <c r="R781" i="32"/>
  <c r="R791" i="32"/>
  <c r="R1010" i="32"/>
  <c r="R1031" i="32"/>
  <c r="R110" i="32"/>
  <c r="R168" i="32"/>
  <c r="R179" i="32"/>
  <c r="R185" i="32"/>
  <c r="R198" i="32"/>
  <c r="R1458" i="32"/>
  <c r="R2506" i="32"/>
  <c r="R370" i="32"/>
  <c r="R407" i="32"/>
  <c r="R436" i="32"/>
  <c r="R607" i="32"/>
  <c r="R755" i="32"/>
  <c r="R759" i="32"/>
  <c r="R904" i="32"/>
  <c r="R933" i="32"/>
  <c r="R934" i="32"/>
  <c r="R942" i="32"/>
  <c r="R1073" i="32"/>
  <c r="R1287" i="32"/>
  <c r="R1309" i="32"/>
  <c r="R1390" i="32"/>
  <c r="R1449" i="32"/>
  <c r="R1482" i="32"/>
  <c r="R1640" i="32"/>
  <c r="R25" i="32"/>
  <c r="R397" i="32"/>
  <c r="R402" i="32"/>
  <c r="R416" i="32"/>
  <c r="R440" i="32"/>
  <c r="R451" i="32"/>
  <c r="R452" i="32"/>
  <c r="R453" i="32"/>
  <c r="R454" i="32"/>
  <c r="R455" i="32"/>
  <c r="R457" i="32"/>
  <c r="R470" i="32"/>
  <c r="R473" i="32"/>
  <c r="R486" i="32"/>
  <c r="R494" i="32"/>
  <c r="R514" i="32"/>
  <c r="R534" i="32"/>
  <c r="R619" i="32"/>
  <c r="R660" i="32"/>
  <c r="R699" i="32"/>
  <c r="R773" i="32"/>
  <c r="R828" i="32"/>
  <c r="R848" i="32"/>
  <c r="R861" i="32"/>
  <c r="R872" i="32"/>
  <c r="R873" i="32"/>
  <c r="R893" i="32"/>
  <c r="R1196" i="32"/>
  <c r="R1296" i="32"/>
  <c r="R1303" i="32"/>
  <c r="R1489" i="32"/>
  <c r="R1508" i="32"/>
  <c r="R1783" i="32"/>
  <c r="R1875" i="32"/>
  <c r="R1961" i="32"/>
  <c r="R2088" i="32"/>
  <c r="R2094" i="32"/>
  <c r="R2344" i="32"/>
  <c r="R2473" i="32"/>
  <c r="R2576" i="32"/>
  <c r="R2622" i="32"/>
  <c r="R37" i="32"/>
  <c r="R255" i="32"/>
  <c r="R368" i="32"/>
  <c r="R405" i="32"/>
  <c r="R408" i="32"/>
  <c r="R463" i="32"/>
  <c r="R516" i="32"/>
  <c r="R517" i="32"/>
  <c r="R518" i="32"/>
  <c r="R519" i="32"/>
  <c r="R520" i="32"/>
  <c r="R521" i="32"/>
  <c r="R557" i="32"/>
  <c r="R618" i="32"/>
  <c r="R625" i="32"/>
  <c r="R631" i="32"/>
  <c r="R776" i="32"/>
  <c r="R831" i="32"/>
  <c r="R897" i="32"/>
  <c r="R929" i="32"/>
  <c r="R1250" i="32"/>
  <c r="R1271" i="32"/>
  <c r="R1392" i="32"/>
  <c r="R1462" i="32"/>
  <c r="R1515" i="32"/>
  <c r="R36" i="32"/>
  <c r="R42" i="32"/>
  <c r="R46" i="32"/>
  <c r="R47" i="32"/>
  <c r="R52" i="32"/>
  <c r="R53" i="32"/>
  <c r="R56" i="32"/>
  <c r="R60" i="32"/>
  <c r="R65" i="32"/>
  <c r="R71" i="32"/>
  <c r="R73" i="32"/>
  <c r="R74" i="32"/>
  <c r="R83" i="32"/>
  <c r="R94" i="32"/>
  <c r="R95" i="32"/>
  <c r="R114" i="32"/>
  <c r="R116" i="32"/>
  <c r="R120" i="32"/>
  <c r="R123" i="32"/>
  <c r="R125" i="32"/>
  <c r="R130" i="32"/>
  <c r="R132" i="32"/>
  <c r="R142" i="32"/>
  <c r="R145" i="32"/>
  <c r="R150" i="32"/>
  <c r="R151" i="32"/>
  <c r="R161" i="32"/>
  <c r="R166" i="32"/>
  <c r="R167" i="32"/>
  <c r="R174" i="32"/>
  <c r="R176" i="32"/>
  <c r="R186" i="32"/>
  <c r="R188" i="32"/>
  <c r="R191" i="32"/>
  <c r="R197" i="32"/>
  <c r="R201" i="32"/>
  <c r="R216" i="32"/>
  <c r="R218" i="32"/>
  <c r="R219" i="32"/>
  <c r="R220" i="32"/>
  <c r="R221" i="32"/>
  <c r="R224" i="32"/>
  <c r="R231" i="32"/>
  <c r="R232" i="32"/>
  <c r="R233" i="32"/>
  <c r="R234" i="32"/>
  <c r="R236" i="32"/>
  <c r="R238" i="32"/>
  <c r="R239" i="32"/>
  <c r="R240" i="32"/>
  <c r="R242" i="32"/>
  <c r="R243" i="32"/>
  <c r="R245" i="32"/>
  <c r="R246" i="32"/>
  <c r="R252" i="32"/>
  <c r="R253" i="32"/>
  <c r="R256" i="32"/>
  <c r="R259" i="32"/>
  <c r="R260" i="32"/>
  <c r="R261" i="32"/>
  <c r="R263" i="32"/>
  <c r="R265" i="32"/>
  <c r="R266" i="32"/>
  <c r="R267" i="32"/>
  <c r="R268" i="32"/>
  <c r="R273" i="32"/>
  <c r="R279" i="32"/>
  <c r="R285" i="32"/>
  <c r="R286" i="32"/>
  <c r="R288" i="32"/>
  <c r="R297" i="32"/>
  <c r="R301" i="32"/>
  <c r="R303" i="32"/>
  <c r="R304" i="32"/>
  <c r="R305" i="32"/>
  <c r="R307" i="32"/>
  <c r="R310" i="32"/>
  <c r="R334" i="32"/>
  <c r="R336" i="32"/>
  <c r="R346" i="32"/>
  <c r="R348" i="32"/>
  <c r="R350" i="32"/>
  <c r="R352" i="32"/>
  <c r="R361" i="32"/>
  <c r="R365" i="32"/>
  <c r="R367" i="32"/>
  <c r="R372" i="32"/>
  <c r="R373" i="32"/>
  <c r="R374" i="32"/>
  <c r="R383" i="32"/>
  <c r="R384" i="32"/>
  <c r="R386" i="32"/>
  <c r="R392" i="32"/>
  <c r="R393" i="32"/>
  <c r="R394" i="32"/>
  <c r="R399" i="32"/>
  <c r="R400" i="32"/>
  <c r="R404" i="32"/>
  <c r="R421" i="32"/>
  <c r="R422" i="32"/>
  <c r="R426" i="32"/>
  <c r="R430" i="32"/>
  <c r="R433" i="32"/>
  <c r="R434" i="32"/>
  <c r="R437" i="32"/>
  <c r="R439" i="32"/>
  <c r="R444" i="32"/>
  <c r="R445" i="32"/>
  <c r="R449" i="32"/>
  <c r="R450" i="32"/>
  <c r="R461" i="32"/>
  <c r="R465" i="32"/>
  <c r="R467" i="32"/>
  <c r="R471" i="32"/>
  <c r="R474" i="32"/>
  <c r="R477" i="32"/>
  <c r="R481" i="32"/>
  <c r="R483" i="32"/>
  <c r="R484" i="32"/>
  <c r="R488" i="32"/>
  <c r="R489" i="32"/>
  <c r="R491" i="32"/>
  <c r="R492" i="32"/>
  <c r="R497" i="32"/>
  <c r="R498" i="32"/>
  <c r="R499" i="32"/>
  <c r="R501" i="32"/>
  <c r="R503" i="32"/>
  <c r="R512" i="32"/>
  <c r="R515" i="32"/>
  <c r="R529" i="32"/>
  <c r="R531" i="32"/>
  <c r="R532" i="32"/>
  <c r="R533" i="32"/>
  <c r="R537" i="32"/>
  <c r="R555" i="32"/>
  <c r="R586" i="32"/>
  <c r="R594" i="32"/>
  <c r="R595" i="32"/>
  <c r="R597" i="32"/>
  <c r="R598" i="32"/>
  <c r="R601" i="32"/>
  <c r="R605" i="32"/>
  <c r="R608" i="32"/>
  <c r="R610" i="32"/>
  <c r="R611" i="32"/>
  <c r="R612" i="32"/>
  <c r="R616" i="32"/>
  <c r="R621" i="32"/>
  <c r="R624" i="32"/>
  <c r="R627" i="32"/>
  <c r="R630" i="32"/>
  <c r="R634" i="32"/>
  <c r="R636" i="32"/>
  <c r="R638" i="32"/>
  <c r="R646" i="32"/>
  <c r="R657" i="32"/>
  <c r="R659" i="32"/>
  <c r="R664" i="32"/>
  <c r="R676" i="32"/>
  <c r="R677" i="32"/>
  <c r="R682" i="32"/>
  <c r="R683" i="32"/>
  <c r="R684" i="32"/>
  <c r="R690" i="32"/>
  <c r="R695" i="32"/>
  <c r="R697" i="32"/>
  <c r="R698" i="32"/>
  <c r="R701" i="32"/>
  <c r="R703" i="32"/>
  <c r="R707" i="32"/>
  <c r="R709" i="32"/>
  <c r="R710" i="32"/>
  <c r="R711" i="32"/>
  <c r="R721" i="32"/>
  <c r="R724" i="32"/>
  <c r="R727" i="32"/>
  <c r="R729" i="32"/>
  <c r="R745" i="32"/>
  <c r="R747" i="32"/>
  <c r="R749" i="32"/>
  <c r="R753" i="32"/>
  <c r="R756" i="32"/>
  <c r="R768" i="32"/>
  <c r="R772" i="32"/>
  <c r="R789" i="32"/>
  <c r="R797" i="32"/>
  <c r="R805" i="32"/>
  <c r="R808" i="32"/>
  <c r="R809" i="32"/>
  <c r="R810" i="32"/>
  <c r="R811" i="32"/>
  <c r="R816" i="32"/>
  <c r="R821" i="32"/>
  <c r="R824" i="32"/>
  <c r="R839" i="32"/>
  <c r="R844" i="32"/>
  <c r="R845" i="32"/>
  <c r="R852" i="32"/>
  <c r="R853" i="32"/>
  <c r="R854" i="32"/>
  <c r="R855" i="32"/>
  <c r="R863" i="32"/>
  <c r="R864" i="32"/>
  <c r="R868" i="32"/>
  <c r="R871" i="32"/>
  <c r="R878" i="32"/>
  <c r="R890" i="32"/>
  <c r="R891" i="32"/>
  <c r="R898" i="32"/>
  <c r="R900" i="32"/>
  <c r="R908" i="32"/>
  <c r="R912" i="32"/>
  <c r="R915" i="32"/>
  <c r="R917" i="32"/>
  <c r="R918" i="32"/>
  <c r="R919" i="32"/>
  <c r="R920" i="32"/>
  <c r="R921" i="32"/>
  <c r="R924" i="32"/>
  <c r="R925" i="32"/>
  <c r="R932" i="32"/>
  <c r="R939" i="32"/>
  <c r="R940" i="32"/>
  <c r="R948" i="32"/>
  <c r="R950" i="32"/>
  <c r="R960" i="32"/>
  <c r="R965" i="32"/>
  <c r="R966" i="32"/>
  <c r="R969" i="32"/>
  <c r="R973" i="32"/>
  <c r="R980" i="32"/>
  <c r="R983" i="32"/>
  <c r="R1011" i="32"/>
  <c r="R1015" i="32"/>
  <c r="R1016" i="32"/>
  <c r="R1024" i="32"/>
  <c r="R1038" i="32"/>
  <c r="R1041" i="32"/>
  <c r="R1042" i="32"/>
  <c r="R1044" i="32"/>
  <c r="R1045" i="32"/>
  <c r="R1046" i="32"/>
  <c r="R1047" i="32"/>
  <c r="R1053" i="32"/>
  <c r="R1063" i="32"/>
  <c r="R1064" i="32"/>
  <c r="R1066" i="32"/>
  <c r="R1070" i="32"/>
  <c r="R1075" i="32"/>
  <c r="R1080" i="32"/>
  <c r="R1083" i="32"/>
  <c r="R1087" i="32"/>
  <c r="R1088" i="32"/>
  <c r="R1092" i="32"/>
  <c r="R1095" i="32"/>
  <c r="R1100" i="32"/>
  <c r="R1103" i="32"/>
  <c r="R1106" i="32"/>
  <c r="R1109" i="32"/>
  <c r="R1113" i="32"/>
  <c r="R1115" i="32"/>
  <c r="R1122" i="32"/>
  <c r="R1127" i="32"/>
  <c r="R1128" i="32"/>
  <c r="R1133" i="32"/>
  <c r="R1137" i="32"/>
  <c r="R1146" i="32"/>
  <c r="R1149" i="32"/>
  <c r="R1155" i="32"/>
  <c r="R1159" i="32"/>
  <c r="R1161" i="32"/>
  <c r="R1162" i="32"/>
  <c r="R1167" i="32"/>
  <c r="R1170" i="32"/>
  <c r="R1176" i="32"/>
  <c r="R1188" i="32"/>
  <c r="R1213" i="32"/>
  <c r="R1214" i="32"/>
  <c r="R1218" i="32"/>
  <c r="R1241" i="32"/>
  <c r="R1246" i="32"/>
  <c r="R1249" i="32"/>
  <c r="R1251" i="32"/>
  <c r="R1252" i="32"/>
  <c r="R1253" i="32"/>
  <c r="R1256" i="32"/>
  <c r="R1257" i="32"/>
  <c r="R1260" i="32"/>
  <c r="R1261" i="32"/>
  <c r="R1262" i="32"/>
  <c r="R1272" i="32"/>
  <c r="R1281" i="32"/>
  <c r="R1283" i="32"/>
  <c r="R1284" i="32"/>
  <c r="R1286" i="32"/>
  <c r="R1288" i="32"/>
  <c r="R1297" i="32"/>
  <c r="R1298" i="32"/>
  <c r="R1308" i="32"/>
  <c r="R1311" i="32"/>
  <c r="R1328" i="32"/>
  <c r="R1330" i="32"/>
  <c r="R1332" i="32"/>
  <c r="R1339" i="32"/>
  <c r="R1349" i="32"/>
  <c r="R1359" i="32"/>
  <c r="R1360" i="32"/>
  <c r="R1365" i="32"/>
  <c r="R1366" i="32"/>
  <c r="R1367" i="32"/>
  <c r="R1368" i="32"/>
  <c r="R1372" i="32"/>
  <c r="R1388" i="32"/>
  <c r="R1389" i="32"/>
  <c r="R1406" i="32"/>
  <c r="R1414" i="32"/>
  <c r="R1423" i="32"/>
  <c r="R1424" i="32"/>
  <c r="R1428" i="32"/>
  <c r="R1433" i="32"/>
  <c r="R1434" i="32"/>
  <c r="R1438" i="32"/>
  <c r="R1439" i="32"/>
  <c r="R1441" i="32"/>
  <c r="R1454" i="32"/>
  <c r="R1455" i="32"/>
  <c r="R1457" i="32"/>
  <c r="R1464" i="32"/>
  <c r="R1465" i="32"/>
  <c r="R1468" i="32"/>
  <c r="R1470" i="32"/>
  <c r="R1471" i="32"/>
  <c r="R1477" i="32"/>
  <c r="R1478" i="32"/>
  <c r="R1486" i="32"/>
  <c r="R1488" i="32"/>
  <c r="R1490" i="32"/>
  <c r="R1522" i="32"/>
  <c r="R1526" i="32"/>
  <c r="R1538" i="32"/>
  <c r="R1539" i="32"/>
  <c r="R1555" i="32"/>
  <c r="R1570" i="32"/>
  <c r="R1573" i="32"/>
  <c r="R1576" i="32"/>
  <c r="R1593" i="32"/>
  <c r="R1608" i="32"/>
  <c r="R1631" i="32"/>
  <c r="R1701" i="32"/>
  <c r="R1723" i="32"/>
  <c r="R1724" i="32"/>
  <c r="R1797" i="32"/>
  <c r="R1817" i="32"/>
  <c r="R1835" i="32"/>
  <c r="R1869" i="32"/>
  <c r="R1871" i="32"/>
  <c r="R1897" i="32"/>
  <c r="R1898" i="32"/>
  <c r="R1902" i="32"/>
  <c r="R1904" i="32"/>
  <c r="R1923" i="32"/>
  <c r="R2007" i="32"/>
  <c r="R2016" i="32"/>
  <c r="R2056" i="32"/>
  <c r="R2142" i="32"/>
  <c r="R2189" i="32"/>
  <c r="R2227" i="32"/>
  <c r="R2239" i="32"/>
  <c r="R2270" i="32"/>
  <c r="R2328" i="32"/>
  <c r="R2359" i="32"/>
  <c r="R2367" i="32"/>
  <c r="R2411" i="32"/>
  <c r="R2415" i="32"/>
  <c r="R2438" i="32"/>
  <c r="R2496" i="32"/>
  <c r="R2500" i="32"/>
  <c r="R2539" i="32"/>
  <c r="R2571" i="32"/>
  <c r="R2581" i="32"/>
  <c r="R2582" i="32"/>
  <c r="R2606" i="32"/>
  <c r="R2625" i="32"/>
  <c r="R2640" i="32"/>
  <c r="R2641" i="32"/>
  <c r="R2597" i="32"/>
  <c r="R2642" i="32"/>
  <c r="R2643" i="32"/>
  <c r="R2644" i="32"/>
  <c r="R2645" i="32"/>
  <c r="R2646" i="32"/>
  <c r="R2647" i="32"/>
  <c r="R2648" i="32"/>
  <c r="R2649" i="32"/>
  <c r="R2650" i="32"/>
  <c r="R2651" i="32"/>
  <c r="R2652" i="32"/>
  <c r="R2653" i="32"/>
  <c r="R2654" i="32"/>
  <c r="R2655" i="32"/>
  <c r="R2656" i="32"/>
  <c r="R2657" i="32"/>
  <c r="R2658" i="32"/>
  <c r="R2659" i="32"/>
  <c r="R2660" i="32"/>
  <c r="R2661" i="32"/>
  <c r="R2662" i="32"/>
  <c r="R2663" i="32"/>
  <c r="R2664" i="32"/>
  <c r="R2665" i="32"/>
  <c r="R2666" i="32"/>
  <c r="R2667" i="32"/>
  <c r="R2668" i="32"/>
  <c r="R2669" i="32"/>
  <c r="R2670" i="32"/>
  <c r="R2671" i="32"/>
  <c r="R2672" i="32"/>
  <c r="R2673" i="32"/>
  <c r="R2674" i="32"/>
  <c r="R2675" i="32"/>
  <c r="R2676" i="32"/>
  <c r="R2677" i="32"/>
  <c r="R2678" i="32"/>
  <c r="R2679" i="32"/>
  <c r="R2680" i="32"/>
  <c r="R2681" i="32"/>
  <c r="R2682" i="32"/>
  <c r="R2683" i="32"/>
  <c r="R2684" i="32"/>
  <c r="R2685" i="32"/>
  <c r="R2686" i="32"/>
  <c r="R2687" i="32"/>
  <c r="R2688" i="32"/>
  <c r="R2689" i="32"/>
  <c r="R2690" i="32"/>
  <c r="R2691" i="32"/>
  <c r="R2692" i="32"/>
  <c r="R2693" i="32"/>
  <c r="R2694" i="32"/>
  <c r="R2695" i="32"/>
  <c r="R2696" i="32"/>
  <c r="R2697" i="32"/>
  <c r="R2698" i="32"/>
  <c r="R2699" i="32"/>
  <c r="R2700" i="32"/>
  <c r="R2701" i="32"/>
  <c r="R2702" i="32"/>
  <c r="R2703" i="32"/>
  <c r="R2704" i="32"/>
  <c r="R2705" i="32"/>
  <c r="R2706" i="32"/>
  <c r="R2707" i="32"/>
  <c r="R2708" i="32"/>
  <c r="R2709" i="32"/>
  <c r="R2710" i="32"/>
  <c r="R2711" i="32"/>
  <c r="R2712" i="32"/>
  <c r="R2713" i="32"/>
  <c r="R2714" i="32"/>
  <c r="R2715" i="32"/>
  <c r="R2716" i="32"/>
  <c r="R2717" i="32"/>
  <c r="R2718" i="32"/>
  <c r="R2719" i="32"/>
  <c r="R2720" i="32"/>
  <c r="R2721" i="32"/>
  <c r="R2388" i="32"/>
  <c r="R2722" i="32"/>
  <c r="R2723" i="32"/>
  <c r="R2724" i="32"/>
  <c r="R2725" i="32"/>
  <c r="R2726" i="32"/>
  <c r="R2727" i="32"/>
  <c r="R2728" i="32"/>
  <c r="R2729" i="32"/>
  <c r="R2730" i="32"/>
  <c r="R2731" i="32"/>
  <c r="R2732" i="32"/>
  <c r="R2733" i="32"/>
  <c r="R2734" i="32"/>
  <c r="R2735" i="32"/>
  <c r="R2736" i="32"/>
  <c r="R2737" i="32"/>
  <c r="R2738" i="32"/>
  <c r="R2739" i="32"/>
  <c r="R2740" i="32"/>
  <c r="R2741" i="32"/>
  <c r="R2742" i="32"/>
  <c r="R2743" i="32"/>
  <c r="R2744" i="32"/>
  <c r="R2745" i="32"/>
  <c r="R2746" i="32"/>
  <c r="R2747" i="32"/>
  <c r="R2748" i="32"/>
  <c r="R2749" i="32"/>
  <c r="R2750" i="32"/>
  <c r="R2751" i="32"/>
  <c r="R2752" i="32"/>
  <c r="R2753" i="32"/>
  <c r="R2754" i="32"/>
  <c r="R2755" i="32"/>
  <c r="R2756" i="32"/>
  <c r="R2757" i="32"/>
  <c r="R2758" i="32"/>
  <c r="R2759" i="32"/>
  <c r="R2760" i="32"/>
  <c r="R2761" i="32"/>
  <c r="R2762" i="32"/>
  <c r="R2763" i="32"/>
  <c r="R2764" i="32"/>
  <c r="R2765" i="32"/>
  <c r="R2766" i="32"/>
  <c r="R2767" i="32"/>
  <c r="R2768" i="32"/>
  <c r="R2769" i="32"/>
  <c r="R2770" i="32"/>
  <c r="R2771" i="32"/>
  <c r="R2772" i="32"/>
  <c r="R2773" i="32"/>
  <c r="R2774" i="32"/>
  <c r="R2775" i="32"/>
  <c r="R2776" i="32"/>
  <c r="R2777" i="32"/>
  <c r="R2778" i="32"/>
  <c r="R2779" i="32"/>
  <c r="R2780" i="32"/>
  <c r="R2781" i="32"/>
  <c r="R2782" i="32"/>
  <c r="R2783" i="32"/>
  <c r="R2784" i="32"/>
  <c r="R2785" i="32"/>
  <c r="R2786" i="32"/>
  <c r="R2787" i="32"/>
  <c r="R2788" i="32"/>
  <c r="R2789" i="32"/>
  <c r="R2790" i="32"/>
  <c r="R2791" i="32"/>
  <c r="R2792" i="32"/>
  <c r="R2793" i="32"/>
  <c r="R2794" i="32"/>
  <c r="R2795" i="32"/>
  <c r="R2796" i="32"/>
  <c r="R2797" i="32"/>
  <c r="R2798" i="32"/>
  <c r="R2799" i="32"/>
  <c r="R2800" i="32"/>
  <c r="R2801" i="32"/>
  <c r="R2802" i="32"/>
  <c r="R2803" i="32"/>
  <c r="R2804" i="32"/>
  <c r="R2805" i="32"/>
  <c r="R2806" i="32"/>
  <c r="R2807" i="32"/>
  <c r="R2808" i="32"/>
  <c r="R2809" i="32"/>
  <c r="R2810" i="32"/>
  <c r="R2811" i="32"/>
  <c r="R2812" i="32"/>
  <c r="R2813" i="32"/>
  <c r="R2814" i="32"/>
  <c r="R2815" i="32"/>
  <c r="R2816" i="32"/>
  <c r="R2817" i="32"/>
  <c r="R2818" i="32"/>
  <c r="R2819" i="32"/>
  <c r="R2820" i="32"/>
  <c r="R2821" i="32"/>
  <c r="R2822" i="32"/>
  <c r="R2823" i="32"/>
  <c r="R2824" i="32"/>
  <c r="R2825" i="32"/>
  <c r="R2826" i="32"/>
  <c r="R2827" i="32"/>
  <c r="R2828" i="32"/>
  <c r="R2829" i="32"/>
  <c r="R2830" i="32"/>
  <c r="R2831" i="32"/>
  <c r="R2832" i="32"/>
  <c r="R2833" i="32"/>
  <c r="R2834" i="32"/>
  <c r="R2835" i="32"/>
  <c r="R2836" i="32"/>
  <c r="R2837" i="32"/>
  <c r="R2838" i="32"/>
  <c r="R2839" i="32"/>
  <c r="R2840" i="32"/>
  <c r="R2841" i="32"/>
  <c r="R2842" i="32"/>
  <c r="R2843" i="32"/>
  <c r="R2844" i="32"/>
  <c r="R2845" i="32"/>
  <c r="R2846" i="32"/>
  <c r="R2847" i="32"/>
  <c r="R2848" i="32"/>
  <c r="R2552" i="32"/>
  <c r="R623" i="32"/>
  <c r="AH152" i="27" l="1"/>
  <c r="D2635" i="32"/>
  <c r="D2637" i="32"/>
  <c r="D2634" i="32"/>
  <c r="D2636" i="32"/>
  <c r="B186" i="30"/>
  <c r="B177" i="30"/>
  <c r="B153" i="30"/>
  <c r="B61" i="30"/>
  <c r="B50" i="30"/>
  <c r="AF1819" i="27"/>
  <c r="AE1819" i="27"/>
  <c r="AD1819" i="27"/>
  <c r="AC1819" i="27"/>
  <c r="AB1819" i="27"/>
  <c r="R1819" i="27"/>
  <c r="Q1819" i="27"/>
  <c r="P1819" i="27"/>
  <c r="E1819" i="27"/>
  <c r="D1819" i="27"/>
  <c r="AM1819" i="27" s="1"/>
  <c r="AF131" i="27"/>
  <c r="AE131" i="27"/>
  <c r="AD131" i="27"/>
  <c r="AC131" i="27"/>
  <c r="AB131" i="27"/>
  <c r="R131" i="27"/>
  <c r="Q131" i="27"/>
  <c r="P131" i="27"/>
  <c r="E131" i="27"/>
  <c r="D131" i="27"/>
  <c r="AM131" i="27" s="1"/>
  <c r="AQ131" i="27" l="1"/>
  <c r="AR131" i="27" s="1"/>
  <c r="AS131" i="27" s="1"/>
  <c r="AQ1819" i="27"/>
  <c r="AR1819" i="27" s="1"/>
  <c r="AS1819" i="27" s="1"/>
  <c r="AN1819" i="27"/>
  <c r="AO1819" i="27" s="1"/>
  <c r="AH1819" i="27"/>
  <c r="AN131" i="27"/>
  <c r="AO131" i="27" s="1"/>
  <c r="AH131" i="27"/>
  <c r="AF3350" i="27"/>
  <c r="AE3350" i="27"/>
  <c r="AD3350" i="27"/>
  <c r="AC3350" i="27"/>
  <c r="AB3350" i="27"/>
  <c r="R3350" i="27"/>
  <c r="Q3350" i="27"/>
  <c r="P3350" i="27"/>
  <c r="E3350" i="27"/>
  <c r="D3350" i="27"/>
  <c r="AM3350" i="27" s="1"/>
  <c r="AF3349" i="27"/>
  <c r="AE3349" i="27"/>
  <c r="AD3349" i="27"/>
  <c r="AC3349" i="27"/>
  <c r="AB3349" i="27"/>
  <c r="R3349" i="27"/>
  <c r="Q3349" i="27"/>
  <c r="P3349" i="27"/>
  <c r="E3349" i="27"/>
  <c r="D3349" i="27"/>
  <c r="AM3349" i="27" s="1"/>
  <c r="AF3348" i="27"/>
  <c r="AE3348" i="27"/>
  <c r="AD3348" i="27"/>
  <c r="AC3348" i="27"/>
  <c r="AB3348" i="27"/>
  <c r="R3348" i="27"/>
  <c r="Q3348" i="27"/>
  <c r="P3348" i="27"/>
  <c r="E3348" i="27"/>
  <c r="D3348" i="27"/>
  <c r="AQ3348" i="27" s="1"/>
  <c r="AR3348" i="27" s="1"/>
  <c r="AS3348" i="27" s="1"/>
  <c r="AF3347" i="27"/>
  <c r="AE3347" i="27"/>
  <c r="AD3347" i="27"/>
  <c r="AC3347" i="27"/>
  <c r="AB3347" i="27"/>
  <c r="R3347" i="27"/>
  <c r="Q3347" i="27"/>
  <c r="P3347" i="27"/>
  <c r="E3347" i="27"/>
  <c r="D3347" i="27"/>
  <c r="AM3347" i="27" s="1"/>
  <c r="AF3346" i="27"/>
  <c r="AE3346" i="27"/>
  <c r="AD3346" i="27"/>
  <c r="AC3346" i="27"/>
  <c r="AB3346" i="27"/>
  <c r="R3346" i="27"/>
  <c r="Q3346" i="27"/>
  <c r="P3346" i="27"/>
  <c r="E3346" i="27"/>
  <c r="D3346" i="27"/>
  <c r="AM3346" i="27" s="1"/>
  <c r="AF3345" i="27"/>
  <c r="AE3345" i="27"/>
  <c r="AD3345" i="27"/>
  <c r="AC3345" i="27"/>
  <c r="AB3345" i="27"/>
  <c r="R3345" i="27"/>
  <c r="Q3345" i="27"/>
  <c r="P3345" i="27"/>
  <c r="E3345" i="27"/>
  <c r="D3345" i="27"/>
  <c r="AQ3345" i="27" s="1"/>
  <c r="AR3345" i="27" s="1"/>
  <c r="AS3345" i="27" s="1"/>
  <c r="AF3344" i="27"/>
  <c r="AE3344" i="27"/>
  <c r="AD3344" i="27"/>
  <c r="AC3344" i="27"/>
  <c r="AB3344" i="27"/>
  <c r="R3344" i="27"/>
  <c r="Q3344" i="27"/>
  <c r="P3344" i="27"/>
  <c r="E3344" i="27"/>
  <c r="D3344" i="27"/>
  <c r="AQ3344" i="27" s="1"/>
  <c r="AR3344" i="27" s="1"/>
  <c r="AS3344" i="27" s="1"/>
  <c r="AF3343" i="27"/>
  <c r="AE3343" i="27"/>
  <c r="AD3343" i="27"/>
  <c r="AC3343" i="27"/>
  <c r="AB3343" i="27"/>
  <c r="R3343" i="27"/>
  <c r="Q3343" i="27"/>
  <c r="P3343" i="27"/>
  <c r="E3343" i="27"/>
  <c r="D3343" i="27"/>
  <c r="AM3343" i="27" s="1"/>
  <c r="AF3342" i="27"/>
  <c r="AE3342" i="27"/>
  <c r="AD3342" i="27"/>
  <c r="AC3342" i="27"/>
  <c r="AB3342" i="27"/>
  <c r="R3342" i="27"/>
  <c r="Q3342" i="27"/>
  <c r="P3342" i="27"/>
  <c r="E3342" i="27"/>
  <c r="D3342" i="27"/>
  <c r="AM3342" i="27" s="1"/>
  <c r="AF3341" i="27"/>
  <c r="AE3341" i="27"/>
  <c r="AD3341" i="27"/>
  <c r="AC3341" i="27"/>
  <c r="AB3341" i="27"/>
  <c r="R3341" i="27"/>
  <c r="Q3341" i="27"/>
  <c r="P3341" i="27"/>
  <c r="E3341" i="27"/>
  <c r="D3341" i="27"/>
  <c r="AQ3341" i="27" s="1"/>
  <c r="AR3341" i="27" s="1"/>
  <c r="AS3341" i="27" s="1"/>
  <c r="AF3340" i="27"/>
  <c r="AE3340" i="27"/>
  <c r="AD3340" i="27"/>
  <c r="AC3340" i="27"/>
  <c r="AB3340" i="27"/>
  <c r="R3340" i="27"/>
  <c r="Q3340" i="27"/>
  <c r="P3340" i="27"/>
  <c r="E3340" i="27"/>
  <c r="D3340" i="27"/>
  <c r="AQ3340" i="27" s="1"/>
  <c r="AR3340" i="27" s="1"/>
  <c r="AS3340" i="27" s="1"/>
  <c r="AF3339" i="27"/>
  <c r="AE3339" i="27"/>
  <c r="AD3339" i="27"/>
  <c r="AC3339" i="27"/>
  <c r="AB3339" i="27"/>
  <c r="R3339" i="27"/>
  <c r="Q3339" i="27"/>
  <c r="P3339" i="27"/>
  <c r="E3339" i="27"/>
  <c r="D3339" i="27"/>
  <c r="AM3339" i="27" s="1"/>
  <c r="AF3338" i="27"/>
  <c r="AE3338" i="27"/>
  <c r="AD3338" i="27"/>
  <c r="AC3338" i="27"/>
  <c r="AB3338" i="27"/>
  <c r="R3338" i="27"/>
  <c r="Q3338" i="27"/>
  <c r="P3338" i="27"/>
  <c r="E3338" i="27"/>
  <c r="D3338" i="27"/>
  <c r="AM3338" i="27" s="1"/>
  <c r="AF3337" i="27"/>
  <c r="AE3337" i="27"/>
  <c r="AD3337" i="27"/>
  <c r="AC3337" i="27"/>
  <c r="AB3337" i="27"/>
  <c r="R3337" i="27"/>
  <c r="Q3337" i="27"/>
  <c r="P3337" i="27"/>
  <c r="E3337" i="27"/>
  <c r="D3337" i="27"/>
  <c r="AQ3337" i="27" s="1"/>
  <c r="AR3337" i="27" s="1"/>
  <c r="AS3337" i="27" s="1"/>
  <c r="AF3336" i="27"/>
  <c r="AE3336" i="27"/>
  <c r="AD3336" i="27"/>
  <c r="AC3336" i="27"/>
  <c r="AB3336" i="27"/>
  <c r="R3336" i="27"/>
  <c r="Q3336" i="27"/>
  <c r="P3336" i="27"/>
  <c r="E3336" i="27"/>
  <c r="D3336" i="27"/>
  <c r="AQ3336" i="27" s="1"/>
  <c r="AR3336" i="27" s="1"/>
  <c r="AS3336" i="27" s="1"/>
  <c r="AF3335" i="27"/>
  <c r="AE3335" i="27"/>
  <c r="AD3335" i="27"/>
  <c r="AC3335" i="27"/>
  <c r="AB3335" i="27"/>
  <c r="R3335" i="27"/>
  <c r="Q3335" i="27"/>
  <c r="P3335" i="27"/>
  <c r="E3335" i="27"/>
  <c r="D3335" i="27"/>
  <c r="AM3335" i="27" s="1"/>
  <c r="A2582" i="32"/>
  <c r="B2582" i="32" s="1"/>
  <c r="C2582" i="32"/>
  <c r="A2606" i="32"/>
  <c r="B2606" i="32" s="1"/>
  <c r="C2606" i="32"/>
  <c r="A2625" i="32"/>
  <c r="B2625" i="32" s="1"/>
  <c r="C2625" i="32"/>
  <c r="AM3340" i="27" l="1"/>
  <c r="AH3340" i="27" s="1"/>
  <c r="AM3341" i="27"/>
  <c r="AN3341" i="27" s="1"/>
  <c r="AO3341" i="27" s="1"/>
  <c r="AM3344" i="27"/>
  <c r="AH3344" i="27" s="1"/>
  <c r="AM3345" i="27"/>
  <c r="AN3345" i="27" s="1"/>
  <c r="AO3345" i="27" s="1"/>
  <c r="AQ3342" i="27"/>
  <c r="AR3342" i="27" s="1"/>
  <c r="AS3342" i="27" s="1"/>
  <c r="AQ3346" i="27"/>
  <c r="AR3346" i="27" s="1"/>
  <c r="AS3346" i="27" s="1"/>
  <c r="AN3349" i="27"/>
  <c r="AO3349" i="27" s="1"/>
  <c r="AH3349" i="27"/>
  <c r="AM3336" i="27"/>
  <c r="AH3336" i="27" s="1"/>
  <c r="AM3337" i="27"/>
  <c r="AQ3338" i="27"/>
  <c r="AR3338" i="27" s="1"/>
  <c r="AS3338" i="27" s="1"/>
  <c r="AQ3349" i="27"/>
  <c r="AR3349" i="27" s="1"/>
  <c r="AS3349" i="27" s="1"/>
  <c r="AM3348" i="27"/>
  <c r="AH3348" i="27" s="1"/>
  <c r="AQ3350" i="27"/>
  <c r="AR3350" i="27" s="1"/>
  <c r="AS3350" i="27" s="1"/>
  <c r="AN3350" i="27"/>
  <c r="AO3350" i="27" s="1"/>
  <c r="AH3350" i="27"/>
  <c r="AN3338" i="27"/>
  <c r="AO3338" i="27" s="1"/>
  <c r="AH3338" i="27"/>
  <c r="AN3343" i="27"/>
  <c r="AO3343" i="27" s="1"/>
  <c r="AH3343" i="27"/>
  <c r="AH3335" i="27"/>
  <c r="AN3335" i="27"/>
  <c r="AO3335" i="27" s="1"/>
  <c r="AN3346" i="27"/>
  <c r="AO3346" i="27" s="1"/>
  <c r="AH3346" i="27"/>
  <c r="AN3339" i="27"/>
  <c r="AO3339" i="27" s="1"/>
  <c r="AH3339" i="27"/>
  <c r="AN3342" i="27"/>
  <c r="AO3342" i="27" s="1"/>
  <c r="AH3342" i="27"/>
  <c r="AH3347" i="27"/>
  <c r="AN3347" i="27"/>
  <c r="AO3347" i="27" s="1"/>
  <c r="AQ3335" i="27"/>
  <c r="AR3335" i="27" s="1"/>
  <c r="AS3335" i="27" s="1"/>
  <c r="AQ3339" i="27"/>
  <c r="AR3339" i="27" s="1"/>
  <c r="AS3339" i="27" s="1"/>
  <c r="AQ3343" i="27"/>
  <c r="AR3343" i="27" s="1"/>
  <c r="AS3343" i="27" s="1"/>
  <c r="AQ3347" i="27"/>
  <c r="AR3347" i="27" s="1"/>
  <c r="AS3347" i="27" s="1"/>
  <c r="D2625" i="32"/>
  <c r="D2582" i="32"/>
  <c r="D2606" i="32"/>
  <c r="A2411" i="32"/>
  <c r="B2411" i="32" s="1"/>
  <c r="C2411" i="32"/>
  <c r="A1468" i="32"/>
  <c r="B1468" i="32" s="1"/>
  <c r="C1468" i="32"/>
  <c r="A1470" i="32"/>
  <c r="B1470" i="32" s="1"/>
  <c r="C1470" i="32"/>
  <c r="A1835" i="32"/>
  <c r="B1835" i="32" s="1"/>
  <c r="D1835" i="32" s="1"/>
  <c r="C1835" i="32"/>
  <c r="AN3340" i="27" l="1"/>
  <c r="AO3340" i="27" s="1"/>
  <c r="AH3341" i="27"/>
  <c r="AH3345" i="27"/>
  <c r="AN3344" i="27"/>
  <c r="AO3344" i="27" s="1"/>
  <c r="AN3348" i="27"/>
  <c r="AO3348" i="27" s="1"/>
  <c r="AN3336" i="27"/>
  <c r="AO3336" i="27" s="1"/>
  <c r="AN3337" i="27"/>
  <c r="AO3337" i="27" s="1"/>
  <c r="AH3337" i="27"/>
  <c r="D1468" i="32"/>
  <c r="D1470" i="32"/>
  <c r="D2411" i="32"/>
  <c r="B140" i="30"/>
  <c r="B125" i="30"/>
  <c r="B112" i="30"/>
  <c r="B111" i="30"/>
  <c r="B110" i="30"/>
  <c r="B104" i="30"/>
  <c r="B103" i="30"/>
  <c r="B95" i="30"/>
  <c r="B66" i="30"/>
  <c r="B135" i="30"/>
  <c r="B205" i="30"/>
  <c r="B197" i="30"/>
  <c r="B167" i="30"/>
  <c r="B155" i="30"/>
  <c r="B149" i="30"/>
  <c r="AF144" i="27"/>
  <c r="AE144" i="27"/>
  <c r="AD144" i="27"/>
  <c r="AC144" i="27"/>
  <c r="AB144" i="27"/>
  <c r="R144" i="27"/>
  <c r="Q144" i="27"/>
  <c r="P144" i="27"/>
  <c r="E144" i="27"/>
  <c r="D144" i="27"/>
  <c r="AM144" i="27" s="1"/>
  <c r="D145" i="27"/>
  <c r="AM145" i="27" s="1"/>
  <c r="AN145" i="27" s="1"/>
  <c r="AO145" i="27" s="1"/>
  <c r="E145" i="27"/>
  <c r="P145" i="27"/>
  <c r="Q145" i="27"/>
  <c r="R145" i="27"/>
  <c r="AB145" i="27"/>
  <c r="AC145" i="27"/>
  <c r="AD145" i="27"/>
  <c r="AE145" i="27"/>
  <c r="AF145" i="27"/>
  <c r="AF169" i="27"/>
  <c r="AE169" i="27"/>
  <c r="AD169" i="27"/>
  <c r="AC169" i="27"/>
  <c r="AB169" i="27"/>
  <c r="R169" i="27"/>
  <c r="Q169" i="27"/>
  <c r="P169" i="27"/>
  <c r="E169" i="27"/>
  <c r="D169" i="27"/>
  <c r="AM169" i="27" s="1"/>
  <c r="AF108" i="27"/>
  <c r="AE108" i="27"/>
  <c r="AD108" i="27"/>
  <c r="AC108" i="27"/>
  <c r="AB108" i="27"/>
  <c r="R108" i="27"/>
  <c r="Q108" i="27"/>
  <c r="P108" i="27"/>
  <c r="E108" i="27"/>
  <c r="D108" i="27"/>
  <c r="AM108" i="27" s="1"/>
  <c r="D255" i="27"/>
  <c r="AM255" i="27" s="1"/>
  <c r="AN255" i="27" s="1"/>
  <c r="AO255" i="27" s="1"/>
  <c r="E255" i="27"/>
  <c r="P255" i="27"/>
  <c r="Q255" i="27"/>
  <c r="R255" i="27"/>
  <c r="AB255" i="27"/>
  <c r="AC255" i="27"/>
  <c r="AD255" i="27"/>
  <c r="AE255" i="27"/>
  <c r="AF255" i="27"/>
  <c r="A2552" i="32"/>
  <c r="B2552" i="32" s="1"/>
  <c r="C2552" i="32"/>
  <c r="D2552" i="32" l="1"/>
  <c r="AQ255" i="27"/>
  <c r="AR255" i="27" s="1"/>
  <c r="AS255" i="27" s="1"/>
  <c r="AH145" i="27"/>
  <c r="AN144" i="27"/>
  <c r="AO144" i="27" s="1"/>
  <c r="AH144" i="27"/>
  <c r="AH169" i="27"/>
  <c r="AN169" i="27"/>
  <c r="AO169" i="27" s="1"/>
  <c r="AN108" i="27"/>
  <c r="AO108" i="27" s="1"/>
  <c r="AH108" i="27"/>
  <c r="AH255" i="27"/>
  <c r="AF3334" i="27"/>
  <c r="AE3334" i="27"/>
  <c r="AD3334" i="27"/>
  <c r="AC3334" i="27"/>
  <c r="AB3334" i="27"/>
  <c r="R3334" i="27"/>
  <c r="Q3334" i="27"/>
  <c r="P3334" i="27"/>
  <c r="E3334" i="27"/>
  <c r="D3334" i="27"/>
  <c r="AM3334" i="27" s="1"/>
  <c r="AF3333" i="27"/>
  <c r="AE3333" i="27"/>
  <c r="AD3333" i="27"/>
  <c r="AC3333" i="27"/>
  <c r="AB3333" i="27"/>
  <c r="R3333" i="27"/>
  <c r="Q3333" i="27"/>
  <c r="P3333" i="27"/>
  <c r="E3333" i="27"/>
  <c r="D3333" i="27"/>
  <c r="AM3333" i="27" s="1"/>
  <c r="AF3332" i="27"/>
  <c r="AE3332" i="27"/>
  <c r="AD3332" i="27"/>
  <c r="AC3332" i="27"/>
  <c r="AB3332" i="27"/>
  <c r="R3332" i="27"/>
  <c r="Q3332" i="27"/>
  <c r="P3332" i="27"/>
  <c r="E3332" i="27"/>
  <c r="D3332" i="27"/>
  <c r="AF3331" i="27"/>
  <c r="AE3331" i="27"/>
  <c r="AD3331" i="27"/>
  <c r="AC3331" i="27"/>
  <c r="AB3331" i="27"/>
  <c r="R3331" i="27"/>
  <c r="Q3331" i="27"/>
  <c r="P3331" i="27"/>
  <c r="E3331" i="27"/>
  <c r="D3331" i="27"/>
  <c r="AM3331" i="27" s="1"/>
  <c r="AF3330" i="27"/>
  <c r="AE3330" i="27"/>
  <c r="AD3330" i="27"/>
  <c r="AC3330" i="27"/>
  <c r="AB3330" i="27"/>
  <c r="R3330" i="27"/>
  <c r="Q3330" i="27"/>
  <c r="P3330" i="27"/>
  <c r="E3330" i="27"/>
  <c r="D3330" i="27"/>
  <c r="AM3330" i="27" s="1"/>
  <c r="AF3329" i="27"/>
  <c r="AE3329" i="27"/>
  <c r="AD3329" i="27"/>
  <c r="AC3329" i="27"/>
  <c r="AB3329" i="27"/>
  <c r="R3329" i="27"/>
  <c r="Q3329" i="27"/>
  <c r="P3329" i="27"/>
  <c r="E3329" i="27"/>
  <c r="D3329" i="27"/>
  <c r="AF3328" i="27"/>
  <c r="AE3328" i="27"/>
  <c r="AD3328" i="27"/>
  <c r="AC3328" i="27"/>
  <c r="AB3328" i="27"/>
  <c r="R3328" i="27"/>
  <c r="Q3328" i="27"/>
  <c r="P3328" i="27"/>
  <c r="E3328" i="27"/>
  <c r="D3328" i="27"/>
  <c r="AF3327" i="27"/>
  <c r="AE3327" i="27"/>
  <c r="AD3327" i="27"/>
  <c r="AC3327" i="27"/>
  <c r="AB3327" i="27"/>
  <c r="R3327" i="27"/>
  <c r="Q3327" i="27"/>
  <c r="P3327" i="27"/>
  <c r="E3327" i="27"/>
  <c r="D3327" i="27"/>
  <c r="AM3327" i="27" s="1"/>
  <c r="AF3326" i="27"/>
  <c r="AE3326" i="27"/>
  <c r="AD3326" i="27"/>
  <c r="AC3326" i="27"/>
  <c r="AB3326" i="27"/>
  <c r="R3326" i="27"/>
  <c r="Q3326" i="27"/>
  <c r="P3326" i="27"/>
  <c r="E3326" i="27"/>
  <c r="D3326" i="27"/>
  <c r="AM3326" i="27" s="1"/>
  <c r="AF112" i="27"/>
  <c r="AE112" i="27"/>
  <c r="AD112" i="27"/>
  <c r="AC112" i="27"/>
  <c r="AB112" i="27"/>
  <c r="R112" i="27"/>
  <c r="Q112" i="27"/>
  <c r="P112" i="27"/>
  <c r="E112" i="27"/>
  <c r="D112" i="27"/>
  <c r="AF45" i="27"/>
  <c r="AE45" i="27"/>
  <c r="AD45" i="27"/>
  <c r="AC45" i="27"/>
  <c r="AB45" i="27"/>
  <c r="R45" i="27"/>
  <c r="Q45" i="27"/>
  <c r="P45" i="27"/>
  <c r="E45" i="27"/>
  <c r="D45" i="27"/>
  <c r="AF299" i="27"/>
  <c r="AE299" i="27"/>
  <c r="AD299" i="27"/>
  <c r="AC299" i="27"/>
  <c r="AB299" i="27"/>
  <c r="R299" i="27"/>
  <c r="Q299" i="27"/>
  <c r="P299" i="27"/>
  <c r="E299" i="27"/>
  <c r="D299" i="27"/>
  <c r="AM299" i="27" s="1"/>
  <c r="A426" i="32"/>
  <c r="B426" i="32" s="1"/>
  <c r="C426" i="32"/>
  <c r="A1432" i="32"/>
  <c r="B1432" i="32" s="1"/>
  <c r="C1432" i="32"/>
  <c r="A1929" i="32"/>
  <c r="B1929" i="32" s="1"/>
  <c r="C1929" i="32"/>
  <c r="A776" i="32"/>
  <c r="B776" i="32" s="1"/>
  <c r="C776" i="32"/>
  <c r="A2343" i="32"/>
  <c r="B2343" i="32" s="1"/>
  <c r="C2343" i="32"/>
  <c r="A697" i="32"/>
  <c r="B697" i="32" s="1"/>
  <c r="C697" i="32"/>
  <c r="A1211" i="32"/>
  <c r="B1211" i="32" s="1"/>
  <c r="C1211" i="32"/>
  <c r="AN3333" i="27" l="1"/>
  <c r="AO3333" i="27" s="1"/>
  <c r="AH3333" i="27"/>
  <c r="AM45" i="27"/>
  <c r="AH45" i="27" s="1"/>
  <c r="AM112" i="27"/>
  <c r="AM3328" i="27"/>
  <c r="AH3328" i="27" s="1"/>
  <c r="AM3329" i="27"/>
  <c r="AM3332" i="27"/>
  <c r="AH3332" i="27" s="1"/>
  <c r="AN299" i="27"/>
  <c r="AO299" i="27" s="1"/>
  <c r="AH299" i="27"/>
  <c r="AN3334" i="27"/>
  <c r="AO3334" i="27" s="1"/>
  <c r="AH3334" i="27"/>
  <c r="AH3327" i="27"/>
  <c r="AN3327" i="27"/>
  <c r="AO3327" i="27" s="1"/>
  <c r="AN3330" i="27"/>
  <c r="AO3330" i="27" s="1"/>
  <c r="AH3330" i="27"/>
  <c r="AN3326" i="27"/>
  <c r="AO3326" i="27" s="1"/>
  <c r="AH3326" i="27"/>
  <c r="AN3331" i="27"/>
  <c r="AO3331" i="27" s="1"/>
  <c r="AH3331" i="27"/>
  <c r="D1432" i="32"/>
  <c r="D697" i="32"/>
  <c r="D776" i="32"/>
  <c r="D1211" i="32"/>
  <c r="D2343" i="32"/>
  <c r="D1929" i="32"/>
  <c r="D426" i="32"/>
  <c r="A502" i="32"/>
  <c r="B502" i="32" s="1"/>
  <c r="C502" i="32"/>
  <c r="A204" i="32"/>
  <c r="B204" i="32" s="1"/>
  <c r="C204" i="32"/>
  <c r="A695" i="32"/>
  <c r="B695" i="32" s="1"/>
  <c r="C695" i="32"/>
  <c r="AN45" i="27" l="1"/>
  <c r="AO45" i="27" s="1"/>
  <c r="D695" i="32"/>
  <c r="AN3332" i="27"/>
  <c r="AO3332" i="27" s="1"/>
  <c r="AN3328" i="27"/>
  <c r="AO3328" i="27" s="1"/>
  <c r="AN3329" i="27"/>
  <c r="AO3329" i="27" s="1"/>
  <c r="AH3329" i="27"/>
  <c r="AN112" i="27"/>
  <c r="AO112" i="27" s="1"/>
  <c r="AH112" i="27"/>
  <c r="D502" i="32"/>
  <c r="D204" i="32"/>
  <c r="A687" i="32"/>
  <c r="B687" i="32" s="1"/>
  <c r="C687" i="32"/>
  <c r="A2191" i="32"/>
  <c r="B2191" i="32" s="1"/>
  <c r="C2191" i="32"/>
  <c r="A689" i="32"/>
  <c r="B689" i="32" s="1"/>
  <c r="C689" i="32"/>
  <c r="A556" i="32"/>
  <c r="B556" i="32" s="1"/>
  <c r="C556" i="32"/>
  <c r="A2182" i="32"/>
  <c r="B2182" i="32" s="1"/>
  <c r="C2182" i="32"/>
  <c r="A717" i="32"/>
  <c r="B717" i="32" s="1"/>
  <c r="C717" i="32"/>
  <c r="A1831" i="32"/>
  <c r="B1831" i="32" s="1"/>
  <c r="C1831" i="32"/>
  <c r="A1482" i="32"/>
  <c r="B1482" i="32" s="1"/>
  <c r="C1482" i="32"/>
  <c r="A2564" i="32"/>
  <c r="B2564" i="32" s="1"/>
  <c r="C2564" i="32"/>
  <c r="A366" i="32"/>
  <c r="B366" i="32" s="1"/>
  <c r="C366" i="32"/>
  <c r="A611" i="32"/>
  <c r="B611" i="32" s="1"/>
  <c r="C611" i="32"/>
  <c r="A2160" i="32"/>
  <c r="B2160" i="32" s="1"/>
  <c r="C2160" i="32"/>
  <c r="A1887" i="32"/>
  <c r="B1887" i="32" s="1"/>
  <c r="C1887" i="32"/>
  <c r="D2160" i="32" l="1"/>
  <c r="D366" i="32"/>
  <c r="D1482" i="32"/>
  <c r="D717" i="32"/>
  <c r="D556" i="32"/>
  <c r="D2191" i="32"/>
  <c r="D1887" i="32"/>
  <c r="D611" i="32"/>
  <c r="D2564" i="32"/>
  <c r="D1831" i="32"/>
  <c r="D2182" i="32"/>
  <c r="D689" i="32"/>
  <c r="D687" i="32"/>
  <c r="B172" i="30"/>
  <c r="B136" i="30"/>
  <c r="B106" i="30"/>
  <c r="B204" i="30"/>
  <c r="B199" i="30"/>
  <c r="B192" i="30"/>
  <c r="B109" i="30"/>
  <c r="B207" i="30"/>
  <c r="AF1848" i="27"/>
  <c r="AE1848" i="27"/>
  <c r="AD1848" i="27"/>
  <c r="AC1848" i="27"/>
  <c r="AB1848" i="27"/>
  <c r="R1848" i="27"/>
  <c r="Q1848" i="27"/>
  <c r="P1848" i="27"/>
  <c r="E1848" i="27"/>
  <c r="D1848" i="27"/>
  <c r="AF174" i="27"/>
  <c r="AE174" i="27"/>
  <c r="AD174" i="27"/>
  <c r="AC174" i="27"/>
  <c r="AB174" i="27"/>
  <c r="R174" i="27"/>
  <c r="Q174" i="27"/>
  <c r="P174" i="27"/>
  <c r="E174" i="27"/>
  <c r="D174" i="27"/>
  <c r="AM1848" i="27" l="1"/>
  <c r="AM174" i="27"/>
  <c r="B154" i="30"/>
  <c r="B191" i="30"/>
  <c r="B190" i="30"/>
  <c r="B142" i="30"/>
  <c r="AF64" i="27"/>
  <c r="AE64" i="27"/>
  <c r="AD64" i="27"/>
  <c r="AC64" i="27"/>
  <c r="AB64" i="27"/>
  <c r="R64" i="27"/>
  <c r="Q64" i="27"/>
  <c r="P64" i="27"/>
  <c r="E64" i="27"/>
  <c r="D64" i="27"/>
  <c r="AF192" i="27"/>
  <c r="AE192" i="27"/>
  <c r="AD192" i="27"/>
  <c r="AC192" i="27"/>
  <c r="AB192" i="27"/>
  <c r="R192" i="27"/>
  <c r="Q192" i="27"/>
  <c r="P192" i="27"/>
  <c r="E192" i="27"/>
  <c r="D192" i="27"/>
  <c r="AN1848" i="27" l="1"/>
  <c r="AO1848" i="27" s="1"/>
  <c r="AH1848" i="27"/>
  <c r="AN174" i="27"/>
  <c r="AO174" i="27" s="1"/>
  <c r="AH174" i="27"/>
  <c r="AM64" i="27"/>
  <c r="AM192" i="27"/>
  <c r="AN64" i="27" l="1"/>
  <c r="AO64" i="27" s="1"/>
  <c r="AH64" i="27"/>
  <c r="AN192" i="27"/>
  <c r="AO192" i="27" s="1"/>
  <c r="AH192" i="27"/>
  <c r="B195" i="30"/>
  <c r="B203" i="30"/>
  <c r="B158" i="30"/>
  <c r="B152" i="30"/>
  <c r="AF122" i="27"/>
  <c r="AE122" i="27"/>
  <c r="AD122" i="27"/>
  <c r="AC122" i="27"/>
  <c r="AB122" i="27"/>
  <c r="R122" i="27"/>
  <c r="Q122" i="27"/>
  <c r="P122" i="27"/>
  <c r="E122" i="27"/>
  <c r="D122" i="27"/>
  <c r="AM122" i="27" l="1"/>
  <c r="AN122" i="27" s="1"/>
  <c r="AO122" i="27" s="1"/>
  <c r="B175" i="30"/>
  <c r="B130" i="30"/>
  <c r="B62" i="30"/>
  <c r="B48" i="30"/>
  <c r="B46" i="30"/>
  <c r="AF136" i="27"/>
  <c r="AE136" i="27"/>
  <c r="AD136" i="27"/>
  <c r="AC136" i="27"/>
  <c r="AB136" i="27"/>
  <c r="R136" i="27"/>
  <c r="Q136" i="27"/>
  <c r="P136" i="27"/>
  <c r="E136" i="27"/>
  <c r="D136" i="27"/>
  <c r="AF1827" i="27"/>
  <c r="AE1827" i="27"/>
  <c r="AD1827" i="27"/>
  <c r="AC1827" i="27"/>
  <c r="AB1827" i="27"/>
  <c r="R1827" i="27"/>
  <c r="Q1827" i="27"/>
  <c r="P1827" i="27"/>
  <c r="E1827" i="27"/>
  <c r="D1827" i="27"/>
  <c r="AF127" i="27"/>
  <c r="AE127" i="27"/>
  <c r="AD127" i="27"/>
  <c r="AC127" i="27"/>
  <c r="AB127" i="27"/>
  <c r="R127" i="27"/>
  <c r="Q127" i="27"/>
  <c r="P127" i="27"/>
  <c r="E127" i="27"/>
  <c r="D127" i="27"/>
  <c r="AF133" i="27"/>
  <c r="AE133" i="27"/>
  <c r="AD133" i="27"/>
  <c r="AC133" i="27"/>
  <c r="AB133" i="27"/>
  <c r="R133" i="27"/>
  <c r="Q133" i="27"/>
  <c r="P133" i="27"/>
  <c r="E133" i="27"/>
  <c r="D133" i="27"/>
  <c r="AH122" i="27" l="1"/>
  <c r="AM136" i="27"/>
  <c r="AM1827" i="27"/>
  <c r="AM127" i="27"/>
  <c r="AM133" i="27"/>
  <c r="AF88" i="27"/>
  <c r="AE88" i="27"/>
  <c r="AD88" i="27"/>
  <c r="AC88" i="27"/>
  <c r="AB88" i="27"/>
  <c r="R88" i="27"/>
  <c r="Q88" i="27"/>
  <c r="P88" i="27"/>
  <c r="E88" i="27"/>
  <c r="D88" i="27"/>
  <c r="AM88" i="27" s="1"/>
  <c r="AF223" i="27"/>
  <c r="AE223" i="27"/>
  <c r="AD223" i="27"/>
  <c r="AC223" i="27"/>
  <c r="AB223" i="27"/>
  <c r="R223" i="27"/>
  <c r="Q223" i="27"/>
  <c r="P223" i="27"/>
  <c r="E223" i="27"/>
  <c r="D223" i="27"/>
  <c r="AM223" i="27" s="1"/>
  <c r="AF298" i="27"/>
  <c r="AE298" i="27"/>
  <c r="AD298" i="27"/>
  <c r="AC298" i="27"/>
  <c r="AB298" i="27"/>
  <c r="R298" i="27"/>
  <c r="Q298" i="27"/>
  <c r="P298" i="27"/>
  <c r="E298" i="27"/>
  <c r="D298" i="27"/>
  <c r="AF297" i="27"/>
  <c r="AE297" i="27"/>
  <c r="AD297" i="27"/>
  <c r="AC297" i="27"/>
  <c r="AB297" i="27"/>
  <c r="R297" i="27"/>
  <c r="Q297" i="27"/>
  <c r="P297" i="27"/>
  <c r="E297" i="27"/>
  <c r="D297" i="27"/>
  <c r="AM297" i="27" s="1"/>
  <c r="AF272" i="27"/>
  <c r="AE272" i="27"/>
  <c r="AD272" i="27"/>
  <c r="AC272" i="27"/>
  <c r="AB272" i="27"/>
  <c r="R272" i="27"/>
  <c r="Q272" i="27"/>
  <c r="P272" i="27"/>
  <c r="E272" i="27"/>
  <c r="D272" i="27"/>
  <c r="AM272" i="27" s="1"/>
  <c r="AF182" i="27"/>
  <c r="AE182" i="27"/>
  <c r="AD182" i="27"/>
  <c r="AC182" i="27"/>
  <c r="AB182" i="27"/>
  <c r="R182" i="27"/>
  <c r="Q182" i="27"/>
  <c r="P182" i="27"/>
  <c r="E182" i="27"/>
  <c r="AF295" i="27"/>
  <c r="AE295" i="27"/>
  <c r="AD295" i="27"/>
  <c r="AC295" i="27"/>
  <c r="AB295" i="27"/>
  <c r="R295" i="27"/>
  <c r="Q295" i="27"/>
  <c r="P295" i="27"/>
  <c r="E295" i="27"/>
  <c r="D295" i="27"/>
  <c r="AF294" i="27"/>
  <c r="AE294" i="27"/>
  <c r="AD294" i="27"/>
  <c r="AC294" i="27"/>
  <c r="AB294" i="27"/>
  <c r="R294" i="27"/>
  <c r="Q294" i="27"/>
  <c r="P294" i="27"/>
  <c r="E294" i="27"/>
  <c r="D294" i="27"/>
  <c r="AM294" i="27" s="1"/>
  <c r="AF296" i="27"/>
  <c r="AE296" i="27"/>
  <c r="AD296" i="27"/>
  <c r="AC296" i="27"/>
  <c r="AB296" i="27"/>
  <c r="R296" i="27"/>
  <c r="Q296" i="27"/>
  <c r="P296" i="27"/>
  <c r="E296" i="27"/>
  <c r="D296" i="27"/>
  <c r="AM296" i="27" s="1"/>
  <c r="AF259" i="27"/>
  <c r="AE259" i="27"/>
  <c r="AD259" i="27"/>
  <c r="AC259" i="27"/>
  <c r="AB259" i="27"/>
  <c r="R259" i="27"/>
  <c r="Q259" i="27"/>
  <c r="P259" i="27"/>
  <c r="E259" i="27"/>
  <c r="D259" i="27"/>
  <c r="AF109" i="27"/>
  <c r="AE109" i="27"/>
  <c r="AD109" i="27"/>
  <c r="AC109" i="27"/>
  <c r="AB109" i="27"/>
  <c r="R109" i="27"/>
  <c r="Q109" i="27"/>
  <c r="P109" i="27"/>
  <c r="E109" i="27"/>
  <c r="D109" i="27"/>
  <c r="AM109" i="27" s="1"/>
  <c r="AF140" i="27"/>
  <c r="AE140" i="27"/>
  <c r="AD140" i="27"/>
  <c r="AC140" i="27"/>
  <c r="AB140" i="27"/>
  <c r="R140" i="27"/>
  <c r="Q140" i="27"/>
  <c r="P140" i="27"/>
  <c r="E140" i="27"/>
  <c r="D140" i="27"/>
  <c r="AM140" i="27" s="1"/>
  <c r="AF293" i="27"/>
  <c r="AE293" i="27"/>
  <c r="AD293" i="27"/>
  <c r="AC293" i="27"/>
  <c r="AB293" i="27"/>
  <c r="R293" i="27"/>
  <c r="Q293" i="27"/>
  <c r="P293" i="27"/>
  <c r="E293" i="27"/>
  <c r="D293" i="27"/>
  <c r="AF284" i="27"/>
  <c r="AE284" i="27"/>
  <c r="AD284" i="27"/>
  <c r="AC284" i="27"/>
  <c r="AB284" i="27"/>
  <c r="R284" i="27"/>
  <c r="Q284" i="27"/>
  <c r="P284" i="27"/>
  <c r="E284" i="27"/>
  <c r="D284" i="27"/>
  <c r="AF161" i="27"/>
  <c r="AE161" i="27"/>
  <c r="AD161" i="27"/>
  <c r="AC161" i="27"/>
  <c r="AB161" i="27"/>
  <c r="R161" i="27"/>
  <c r="Q161" i="27"/>
  <c r="P161" i="27"/>
  <c r="E161" i="27"/>
  <c r="D161" i="27"/>
  <c r="AM161" i="27" s="1"/>
  <c r="AF292" i="27"/>
  <c r="AE292" i="27"/>
  <c r="AD292" i="27"/>
  <c r="AC292" i="27"/>
  <c r="AB292" i="27"/>
  <c r="R292" i="27"/>
  <c r="Q292" i="27"/>
  <c r="P292" i="27"/>
  <c r="E292" i="27"/>
  <c r="D292" i="27"/>
  <c r="AM292" i="27" s="1"/>
  <c r="AF291" i="27"/>
  <c r="AE291" i="27"/>
  <c r="AD291" i="27"/>
  <c r="AC291" i="27"/>
  <c r="AB291" i="27"/>
  <c r="R291" i="27"/>
  <c r="Q291" i="27"/>
  <c r="P291" i="27"/>
  <c r="E291" i="27"/>
  <c r="D291" i="27"/>
  <c r="AF290" i="27"/>
  <c r="AE290" i="27"/>
  <c r="AD290" i="27"/>
  <c r="AC290" i="27"/>
  <c r="AB290" i="27"/>
  <c r="R290" i="27"/>
  <c r="Q290" i="27"/>
  <c r="P290" i="27"/>
  <c r="E290" i="27"/>
  <c r="D290" i="27"/>
  <c r="AF258" i="27"/>
  <c r="AE258" i="27"/>
  <c r="AD258" i="27"/>
  <c r="AC258" i="27"/>
  <c r="AB258" i="27"/>
  <c r="R258" i="27"/>
  <c r="Q258" i="27"/>
  <c r="P258" i="27"/>
  <c r="E258" i="27"/>
  <c r="D258" i="27"/>
  <c r="AM258" i="27" s="1"/>
  <c r="AF273" i="27"/>
  <c r="AE273" i="27"/>
  <c r="AD273" i="27"/>
  <c r="AC273" i="27"/>
  <c r="AB273" i="27"/>
  <c r="R273" i="27"/>
  <c r="Q273" i="27"/>
  <c r="P273" i="27"/>
  <c r="E273" i="27"/>
  <c r="D273" i="27"/>
  <c r="AM273" i="27" s="1"/>
  <c r="AF289" i="27"/>
  <c r="AE289" i="27"/>
  <c r="AD289" i="27"/>
  <c r="AC289" i="27"/>
  <c r="AB289" i="27"/>
  <c r="R289" i="27"/>
  <c r="Q289" i="27"/>
  <c r="P289" i="27"/>
  <c r="E289" i="27"/>
  <c r="D289" i="27"/>
  <c r="AF288" i="27"/>
  <c r="AE288" i="27"/>
  <c r="AD288" i="27"/>
  <c r="AC288" i="27"/>
  <c r="AB288" i="27"/>
  <c r="R288" i="27"/>
  <c r="Q288" i="27"/>
  <c r="P288" i="27"/>
  <c r="E288" i="27"/>
  <c r="D288" i="27"/>
  <c r="AF277" i="27"/>
  <c r="AE277" i="27"/>
  <c r="AD277" i="27"/>
  <c r="AC277" i="27"/>
  <c r="AB277" i="27"/>
  <c r="R277" i="27"/>
  <c r="Q277" i="27"/>
  <c r="P277" i="27"/>
  <c r="E277" i="27"/>
  <c r="D277" i="27"/>
  <c r="AM277" i="27" s="1"/>
  <c r="AF276" i="27"/>
  <c r="AE276" i="27"/>
  <c r="AD276" i="27"/>
  <c r="AC276" i="27"/>
  <c r="AB276" i="27"/>
  <c r="R276" i="27"/>
  <c r="Q276" i="27"/>
  <c r="P276" i="27"/>
  <c r="E276" i="27"/>
  <c r="D276" i="27"/>
  <c r="AM276" i="27" s="1"/>
  <c r="A2076" i="32"/>
  <c r="B2076" i="32" s="1"/>
  <c r="C2076" i="32"/>
  <c r="A1624" i="32"/>
  <c r="B1624" i="32" s="1"/>
  <c r="C1624" i="32"/>
  <c r="A914" i="32"/>
  <c r="B914" i="32" s="1"/>
  <c r="C914" i="32"/>
  <c r="A2548" i="32"/>
  <c r="B2548" i="32" s="1"/>
  <c r="C2548" i="32"/>
  <c r="A210" i="32"/>
  <c r="B210" i="32" s="1"/>
  <c r="C210" i="32"/>
  <c r="A2246" i="32"/>
  <c r="B2246" i="32" s="1"/>
  <c r="C2246" i="32"/>
  <c r="A79" i="32"/>
  <c r="B79" i="32" s="1"/>
  <c r="C79" i="32"/>
  <c r="A1519" i="32"/>
  <c r="B1519" i="32" s="1"/>
  <c r="C1519" i="32"/>
  <c r="A295" i="32"/>
  <c r="B295" i="32" s="1"/>
  <c r="C295" i="32"/>
  <c r="A1607" i="32"/>
  <c r="B1607" i="32" s="1"/>
  <c r="C1607" i="32"/>
  <c r="A2531" i="32"/>
  <c r="B2531" i="32" s="1"/>
  <c r="C2531" i="32"/>
  <c r="A1801" i="32"/>
  <c r="B1801" i="32" s="1"/>
  <c r="C1801" i="32"/>
  <c r="A1077" i="32"/>
  <c r="B1077" i="32" s="1"/>
  <c r="C1077" i="32"/>
  <c r="A1942" i="32"/>
  <c r="B1942" i="32" s="1"/>
  <c r="C1942" i="32"/>
  <c r="A93" i="32"/>
  <c r="B93" i="32" s="1"/>
  <c r="C93" i="32"/>
  <c r="A1698" i="32"/>
  <c r="B1698" i="32" s="1"/>
  <c r="C1698" i="32"/>
  <c r="A1554" i="32"/>
  <c r="B1554" i="32" s="1"/>
  <c r="C1554" i="32"/>
  <c r="A727" i="32"/>
  <c r="B727" i="32" s="1"/>
  <c r="C727" i="32"/>
  <c r="A309" i="32"/>
  <c r="B309" i="32" s="1"/>
  <c r="C309" i="32"/>
  <c r="A74" i="32"/>
  <c r="B74" i="32" s="1"/>
  <c r="C74" i="32"/>
  <c r="A969" i="32"/>
  <c r="B969" i="32" s="1"/>
  <c r="C969" i="32"/>
  <c r="A2157" i="32"/>
  <c r="B2157" i="32" s="1"/>
  <c r="C2157" i="32"/>
  <c r="A2647" i="32"/>
  <c r="B2647" i="32" s="1"/>
  <c r="C2647" i="32"/>
  <c r="A660" i="32"/>
  <c r="B660" i="32" s="1"/>
  <c r="C660" i="32"/>
  <c r="A2648" i="32"/>
  <c r="B2648" i="32" s="1"/>
  <c r="C2648" i="32"/>
  <c r="A1953" i="32"/>
  <c r="B1953" i="32" s="1"/>
  <c r="C1953" i="32"/>
  <c r="A799" i="32"/>
  <c r="B799" i="32" s="1"/>
  <c r="C799" i="32"/>
  <c r="A285" i="32"/>
  <c r="B285" i="32" s="1"/>
  <c r="C285" i="32"/>
  <c r="A213" i="32"/>
  <c r="B213" i="32" s="1"/>
  <c r="C213" i="32"/>
  <c r="A1994" i="32"/>
  <c r="B1994" i="32" s="1"/>
  <c r="C1994" i="32"/>
  <c r="A833" i="32"/>
  <c r="B833" i="32" s="1"/>
  <c r="C833" i="32"/>
  <c r="AN136" i="27" l="1"/>
  <c r="AO136" i="27" s="1"/>
  <c r="AH136" i="27"/>
  <c r="AN1827" i="27"/>
  <c r="AO1827" i="27" s="1"/>
  <c r="AH1827" i="27"/>
  <c r="AN127" i="27"/>
  <c r="AO127" i="27" s="1"/>
  <c r="AH127" i="27"/>
  <c r="AN133" i="27"/>
  <c r="AO133" i="27" s="1"/>
  <c r="AH133" i="27"/>
  <c r="D1953" i="32"/>
  <c r="D2157" i="32"/>
  <c r="D727" i="32"/>
  <c r="D93" i="32"/>
  <c r="D1077" i="32"/>
  <c r="D2531" i="32"/>
  <c r="D295" i="32"/>
  <c r="D79" i="32"/>
  <c r="D210" i="32"/>
  <c r="D914" i="32"/>
  <c r="D2076" i="32"/>
  <c r="D799" i="32"/>
  <c r="D2647" i="32"/>
  <c r="AM291" i="27"/>
  <c r="AM259" i="27"/>
  <c r="AN259" i="27" s="1"/>
  <c r="AO259" i="27" s="1"/>
  <c r="AM295" i="27"/>
  <c r="AH295" i="27" s="1"/>
  <c r="AM182" i="27"/>
  <c r="AM288" i="27"/>
  <c r="AH288" i="27" s="1"/>
  <c r="AM289" i="27"/>
  <c r="AN223" i="27"/>
  <c r="AO223" i="27" s="1"/>
  <c r="AH223" i="27"/>
  <c r="AM290" i="27"/>
  <c r="AH290" i="27" s="1"/>
  <c r="AM284" i="27"/>
  <c r="AM293" i="27"/>
  <c r="AM298" i="27"/>
  <c r="AH298" i="27" s="1"/>
  <c r="AH109" i="27"/>
  <c r="AN109" i="27"/>
  <c r="AO109" i="27" s="1"/>
  <c r="AN88" i="27"/>
  <c r="AO88" i="27" s="1"/>
  <c r="AH88" i="27"/>
  <c r="AH277" i="27"/>
  <c r="AN277" i="27"/>
  <c r="AO277" i="27" s="1"/>
  <c r="AN140" i="27"/>
  <c r="AO140" i="27" s="1"/>
  <c r="AH140" i="27"/>
  <c r="AN273" i="27"/>
  <c r="AO273" i="27" s="1"/>
  <c r="AH273" i="27"/>
  <c r="AN161" i="27"/>
  <c r="AO161" i="27" s="1"/>
  <c r="AH161" i="27"/>
  <c r="AN272" i="27"/>
  <c r="AO272" i="27" s="1"/>
  <c r="AH272" i="27"/>
  <c r="AN292" i="27"/>
  <c r="AO292" i="27" s="1"/>
  <c r="AH292" i="27"/>
  <c r="AN294" i="27"/>
  <c r="AO294" i="27" s="1"/>
  <c r="AH294" i="27"/>
  <c r="AN276" i="27"/>
  <c r="AO276" i="27" s="1"/>
  <c r="AH276" i="27"/>
  <c r="AH258" i="27"/>
  <c r="AN258" i="27"/>
  <c r="AO258" i="27" s="1"/>
  <c r="AN296" i="27"/>
  <c r="AO296" i="27" s="1"/>
  <c r="AH296" i="27"/>
  <c r="AH297" i="27"/>
  <c r="AN297" i="27"/>
  <c r="AO297" i="27" s="1"/>
  <c r="D1994" i="32"/>
  <c r="D213" i="32"/>
  <c r="D285" i="32"/>
  <c r="D660" i="32"/>
  <c r="D74" i="32"/>
  <c r="D1698" i="32"/>
  <c r="D1942" i="32"/>
  <c r="D1801" i="32"/>
  <c r="D1607" i="32"/>
  <c r="D1519" i="32"/>
  <c r="D2246" i="32"/>
  <c r="D2548" i="32"/>
  <c r="D1624" i="32"/>
  <c r="D969" i="32"/>
  <c r="D1554" i="32"/>
  <c r="D833" i="32"/>
  <c r="D2648" i="32"/>
  <c r="D309" i="32"/>
  <c r="A1768" i="32"/>
  <c r="B1768" i="32" s="1"/>
  <c r="C1768" i="32"/>
  <c r="A1764" i="32"/>
  <c r="B1764" i="32" s="1"/>
  <c r="C1764" i="32"/>
  <c r="A321" i="32"/>
  <c r="B321" i="32" s="1"/>
  <c r="C321" i="32"/>
  <c r="A621" i="32"/>
  <c r="B621" i="32" s="1"/>
  <c r="C621" i="32"/>
  <c r="D321" i="32" l="1"/>
  <c r="AH259" i="27"/>
  <c r="AN295" i="27"/>
  <c r="AO295" i="27" s="1"/>
  <c r="AN290" i="27"/>
  <c r="AO290" i="27" s="1"/>
  <c r="AN298" i="27"/>
  <c r="AO298" i="27" s="1"/>
  <c r="AN291" i="27"/>
  <c r="AO291" i="27" s="1"/>
  <c r="AH291" i="27"/>
  <c r="AN288" i="27"/>
  <c r="AO288" i="27" s="1"/>
  <c r="AN182" i="27"/>
  <c r="AO182" i="27" s="1"/>
  <c r="AH182" i="27"/>
  <c r="AN289" i="27"/>
  <c r="AO289" i="27" s="1"/>
  <c r="AH289" i="27"/>
  <c r="AH284" i="27"/>
  <c r="AN284" i="27"/>
  <c r="AO284" i="27" s="1"/>
  <c r="AN293" i="27"/>
  <c r="AO293" i="27" s="1"/>
  <c r="AH293" i="27"/>
  <c r="D1764" i="32"/>
  <c r="D621" i="32"/>
  <c r="D1768" i="32"/>
  <c r="B124" i="30"/>
  <c r="B27" i="30"/>
  <c r="B33" i="30"/>
  <c r="B93" i="30"/>
  <c r="B94" i="30"/>
  <c r="B146" i="30"/>
  <c r="B141" i="30"/>
  <c r="AF52" i="27"/>
  <c r="AE52" i="27"/>
  <c r="AD52" i="27"/>
  <c r="AC52" i="27"/>
  <c r="AB52" i="27"/>
  <c r="R52" i="27"/>
  <c r="Q52" i="27"/>
  <c r="P52" i="27"/>
  <c r="E52" i="27"/>
  <c r="D52" i="27"/>
  <c r="AF35" i="27"/>
  <c r="AE35" i="27"/>
  <c r="AD35" i="27"/>
  <c r="AC35" i="27"/>
  <c r="AB35" i="27"/>
  <c r="R35" i="27"/>
  <c r="Q35" i="27"/>
  <c r="P35" i="27"/>
  <c r="E35" i="27"/>
  <c r="D35" i="27"/>
  <c r="AF24" i="27"/>
  <c r="AE24" i="27"/>
  <c r="AD24" i="27"/>
  <c r="AC24" i="27"/>
  <c r="AB24" i="27"/>
  <c r="R24" i="27"/>
  <c r="Q24" i="27"/>
  <c r="P24" i="27"/>
  <c r="E24" i="27"/>
  <c r="D24" i="27"/>
  <c r="AM52" i="27" l="1"/>
  <c r="AM35" i="27"/>
  <c r="AM24" i="27"/>
  <c r="B118" i="30"/>
  <c r="AN52" i="27" l="1"/>
  <c r="AO52" i="27" s="1"/>
  <c r="AH52" i="27"/>
  <c r="AN35" i="27"/>
  <c r="AO35" i="27" s="1"/>
  <c r="AH35" i="27"/>
  <c r="AN24" i="27"/>
  <c r="AO24" i="27" s="1"/>
  <c r="AH24" i="27"/>
  <c r="AF172" i="27"/>
  <c r="AE172" i="27"/>
  <c r="AD172" i="27"/>
  <c r="AC172" i="27"/>
  <c r="AB172" i="27"/>
  <c r="R172" i="27"/>
  <c r="Q172" i="27"/>
  <c r="P172" i="27"/>
  <c r="E172" i="27"/>
  <c r="D172" i="27"/>
  <c r="AM172" i="27" l="1"/>
  <c r="AF103" i="27"/>
  <c r="AE103" i="27"/>
  <c r="AD103" i="27"/>
  <c r="AC103" i="27"/>
  <c r="AB103" i="27"/>
  <c r="R103" i="27"/>
  <c r="Q103" i="27"/>
  <c r="P103" i="27"/>
  <c r="E103" i="27"/>
  <c r="D103" i="27"/>
  <c r="AN172" i="27" l="1"/>
  <c r="AO172" i="27" s="1"/>
  <c r="AH172" i="27"/>
  <c r="AM103" i="27"/>
  <c r="B169" i="30"/>
  <c r="B105" i="30"/>
  <c r="B102" i="30"/>
  <c r="B79" i="30"/>
  <c r="B170" i="30"/>
  <c r="B99" i="30"/>
  <c r="B174" i="30"/>
  <c r="B168" i="30"/>
  <c r="AF94" i="27"/>
  <c r="AE94" i="27"/>
  <c r="AD94" i="27"/>
  <c r="AC94" i="27"/>
  <c r="AB94" i="27"/>
  <c r="R94" i="27"/>
  <c r="Q94" i="27"/>
  <c r="P94" i="27"/>
  <c r="E94" i="27"/>
  <c r="D94" i="27"/>
  <c r="AN103" i="27" l="1"/>
  <c r="AO103" i="27" s="1"/>
  <c r="AH103" i="27"/>
  <c r="AM94" i="27"/>
  <c r="AF287" i="27"/>
  <c r="AE287" i="27"/>
  <c r="AD287" i="27"/>
  <c r="AC287" i="27"/>
  <c r="AB287" i="27"/>
  <c r="R287" i="27"/>
  <c r="Q287" i="27"/>
  <c r="P287" i="27"/>
  <c r="E287" i="27"/>
  <c r="D287" i="27"/>
  <c r="AM287" i="27" s="1"/>
  <c r="AF72" i="27"/>
  <c r="AE72" i="27"/>
  <c r="AD72" i="27"/>
  <c r="AC72" i="27"/>
  <c r="AB72" i="27"/>
  <c r="R72" i="27"/>
  <c r="Q72" i="27"/>
  <c r="P72" i="27"/>
  <c r="E72" i="27"/>
  <c r="D72" i="27"/>
  <c r="AF243" i="27"/>
  <c r="AE243" i="27"/>
  <c r="AD243" i="27"/>
  <c r="AC243" i="27"/>
  <c r="AB243" i="27"/>
  <c r="R243" i="27"/>
  <c r="Q243" i="27"/>
  <c r="P243" i="27"/>
  <c r="E243" i="27"/>
  <c r="D243" i="27"/>
  <c r="AF3177" i="27"/>
  <c r="AE3177" i="27"/>
  <c r="AD3177" i="27"/>
  <c r="AC3177" i="27"/>
  <c r="AB3177" i="27"/>
  <c r="R3177" i="27"/>
  <c r="Q3177" i="27"/>
  <c r="P3177" i="27"/>
  <c r="E3177" i="27"/>
  <c r="D3177" i="27"/>
  <c r="AM3177" i="27" s="1"/>
  <c r="AF285" i="27"/>
  <c r="AE285" i="27"/>
  <c r="AD285" i="27"/>
  <c r="AC285" i="27"/>
  <c r="AB285" i="27"/>
  <c r="R285" i="27"/>
  <c r="Q285" i="27"/>
  <c r="P285" i="27"/>
  <c r="E285" i="27"/>
  <c r="D285" i="27"/>
  <c r="AM285" i="27" s="1"/>
  <c r="AF286" i="27"/>
  <c r="AE286" i="27"/>
  <c r="AD286" i="27"/>
  <c r="AC286" i="27"/>
  <c r="AB286" i="27"/>
  <c r="R286" i="27"/>
  <c r="Q286" i="27"/>
  <c r="P286" i="27"/>
  <c r="E286" i="27"/>
  <c r="D286" i="27"/>
  <c r="AF2051" i="27"/>
  <c r="AE2051" i="27"/>
  <c r="AD2051" i="27"/>
  <c r="AC2051" i="27"/>
  <c r="AB2051" i="27"/>
  <c r="R2051" i="27"/>
  <c r="Q2051" i="27"/>
  <c r="P2051" i="27"/>
  <c r="E2051" i="27"/>
  <c r="D2051" i="27"/>
  <c r="AF282" i="27"/>
  <c r="AE282" i="27"/>
  <c r="AD282" i="27"/>
  <c r="AC282" i="27"/>
  <c r="AB282" i="27"/>
  <c r="R282" i="27"/>
  <c r="Q282" i="27"/>
  <c r="P282" i="27"/>
  <c r="E282" i="27"/>
  <c r="D282" i="27"/>
  <c r="AM282" i="27" s="1"/>
  <c r="AF129" i="27"/>
  <c r="AE129" i="27"/>
  <c r="AD129" i="27"/>
  <c r="AC129" i="27"/>
  <c r="AB129" i="27"/>
  <c r="R129" i="27"/>
  <c r="Q129" i="27"/>
  <c r="P129" i="27"/>
  <c r="E129" i="27"/>
  <c r="D129" i="27"/>
  <c r="AM129" i="27" s="1"/>
  <c r="AF113" i="27"/>
  <c r="AE113" i="27"/>
  <c r="AD113" i="27"/>
  <c r="AC113" i="27"/>
  <c r="AB113" i="27"/>
  <c r="R113" i="27"/>
  <c r="Q113" i="27"/>
  <c r="P113" i="27"/>
  <c r="E113" i="27"/>
  <c r="D113" i="27"/>
  <c r="AM113" i="27" s="1"/>
  <c r="AF275" i="27"/>
  <c r="AE275" i="27"/>
  <c r="AD275" i="27"/>
  <c r="AC275" i="27"/>
  <c r="AB275" i="27"/>
  <c r="R275" i="27"/>
  <c r="Q275" i="27"/>
  <c r="P275" i="27"/>
  <c r="E275" i="27"/>
  <c r="D275" i="27"/>
  <c r="AF3175" i="27"/>
  <c r="AE3175" i="27"/>
  <c r="AD3175" i="27"/>
  <c r="AC3175" i="27"/>
  <c r="AB3175" i="27"/>
  <c r="R3175" i="27"/>
  <c r="Q3175" i="27"/>
  <c r="P3175" i="27"/>
  <c r="E3175" i="27"/>
  <c r="D3175" i="27"/>
  <c r="AM3175" i="27" s="1"/>
  <c r="AF3174" i="27"/>
  <c r="AE3174" i="27"/>
  <c r="AD3174" i="27"/>
  <c r="AC3174" i="27"/>
  <c r="AB3174" i="27"/>
  <c r="R3174" i="27"/>
  <c r="Q3174" i="27"/>
  <c r="P3174" i="27"/>
  <c r="E3174" i="27"/>
  <c r="D3174" i="27"/>
  <c r="AM3174" i="27" s="1"/>
  <c r="AF199" i="27"/>
  <c r="AE199" i="27"/>
  <c r="AD199" i="27"/>
  <c r="AC199" i="27"/>
  <c r="AB199" i="27"/>
  <c r="R199" i="27"/>
  <c r="Q199" i="27"/>
  <c r="P199" i="27"/>
  <c r="E199" i="27"/>
  <c r="D199" i="27"/>
  <c r="AQ199" i="27" s="1"/>
  <c r="AR199" i="27" s="1"/>
  <c r="AS199" i="27" s="1"/>
  <c r="AF117" i="27"/>
  <c r="AE117" i="27"/>
  <c r="AD117" i="27"/>
  <c r="AC117" i="27"/>
  <c r="AB117" i="27"/>
  <c r="R117" i="27"/>
  <c r="Q117" i="27"/>
  <c r="P117" i="27"/>
  <c r="E117" i="27"/>
  <c r="D117" i="27"/>
  <c r="A1726" i="32"/>
  <c r="B1726" i="32" s="1"/>
  <c r="C1726" i="32"/>
  <c r="A2599" i="32"/>
  <c r="B2599" i="32" s="1"/>
  <c r="C2599" i="32"/>
  <c r="A1691" i="32"/>
  <c r="B1691" i="32" s="1"/>
  <c r="C1691" i="32"/>
  <c r="A1642" i="32"/>
  <c r="B1642" i="32" s="1"/>
  <c r="C1642" i="32"/>
  <c r="A2143" i="32"/>
  <c r="B2143" i="32" s="1"/>
  <c r="C2143" i="32"/>
  <c r="AN94" i="27" l="1"/>
  <c r="AO94" i="27" s="1"/>
  <c r="AH94" i="27"/>
  <c r="D1642" i="32"/>
  <c r="D2599" i="32"/>
  <c r="AM286" i="27"/>
  <c r="AN286" i="27" s="1"/>
  <c r="AO286" i="27" s="1"/>
  <c r="AM243" i="27"/>
  <c r="AH243" i="27" s="1"/>
  <c r="AM72" i="27"/>
  <c r="AN72" i="27" s="1"/>
  <c r="AO72" i="27" s="1"/>
  <c r="AM2051" i="27"/>
  <c r="AH2051" i="27" s="1"/>
  <c r="AN113" i="27"/>
  <c r="AO113" i="27" s="1"/>
  <c r="AH113" i="27"/>
  <c r="AM117" i="27"/>
  <c r="AH117" i="27" s="1"/>
  <c r="AM199" i="27"/>
  <c r="AM275" i="27"/>
  <c r="AH275" i="27" s="1"/>
  <c r="AN3175" i="27"/>
  <c r="AO3175" i="27" s="1"/>
  <c r="AH3175" i="27"/>
  <c r="AH282" i="27"/>
  <c r="AN282" i="27"/>
  <c r="AO282" i="27" s="1"/>
  <c r="AN285" i="27"/>
  <c r="AO285" i="27" s="1"/>
  <c r="AH285" i="27"/>
  <c r="AN287" i="27"/>
  <c r="AO287" i="27" s="1"/>
  <c r="AH287" i="27"/>
  <c r="AN3174" i="27"/>
  <c r="AO3174" i="27" s="1"/>
  <c r="AH3174" i="27"/>
  <c r="AN129" i="27"/>
  <c r="AO129" i="27" s="1"/>
  <c r="AH129" i="27"/>
  <c r="AN3177" i="27"/>
  <c r="AO3177" i="27" s="1"/>
  <c r="AH3177" i="27"/>
  <c r="D2143" i="32"/>
  <c r="D1691" i="32"/>
  <c r="D1726" i="32"/>
  <c r="AF116" i="27"/>
  <c r="AE116" i="27"/>
  <c r="AD116" i="27"/>
  <c r="AC116" i="27"/>
  <c r="AB116" i="27"/>
  <c r="R116" i="27"/>
  <c r="Q116" i="27"/>
  <c r="P116" i="27"/>
  <c r="E116" i="27"/>
  <c r="D116" i="27"/>
  <c r="AM116" i="27" s="1"/>
  <c r="AF115" i="27"/>
  <c r="AE115" i="27"/>
  <c r="AD115" i="27"/>
  <c r="AC115" i="27"/>
  <c r="AB115" i="27"/>
  <c r="R115" i="27"/>
  <c r="Q115" i="27"/>
  <c r="P115" i="27"/>
  <c r="E115" i="27"/>
  <c r="D115" i="27"/>
  <c r="AM115" i="27" s="1"/>
  <c r="AF206" i="27"/>
  <c r="AE206" i="27"/>
  <c r="AD206" i="27"/>
  <c r="AC206" i="27"/>
  <c r="AB206" i="27"/>
  <c r="R206" i="27"/>
  <c r="Q206" i="27"/>
  <c r="P206" i="27"/>
  <c r="E206" i="27"/>
  <c r="D206" i="27"/>
  <c r="AF3173" i="27"/>
  <c r="AE3173" i="27"/>
  <c r="AD3173" i="27"/>
  <c r="AC3173" i="27"/>
  <c r="AB3173" i="27"/>
  <c r="R3173" i="27"/>
  <c r="Q3173" i="27"/>
  <c r="P3173" i="27"/>
  <c r="E3173" i="27"/>
  <c r="D3173" i="27"/>
  <c r="AM3173" i="27" s="1"/>
  <c r="AF283" i="27"/>
  <c r="AE283" i="27"/>
  <c r="AD283" i="27"/>
  <c r="AC283" i="27"/>
  <c r="AB283" i="27"/>
  <c r="R283" i="27"/>
  <c r="Q283" i="27"/>
  <c r="P283" i="27"/>
  <c r="E283" i="27"/>
  <c r="D283" i="27"/>
  <c r="AQ283" i="27" s="1"/>
  <c r="AR283" i="27" s="1"/>
  <c r="AS283" i="27" s="1"/>
  <c r="AF270" i="27"/>
  <c r="AE270" i="27"/>
  <c r="AD270" i="27"/>
  <c r="AC270" i="27"/>
  <c r="AB270" i="27"/>
  <c r="R270" i="27"/>
  <c r="Q270" i="27"/>
  <c r="P270" i="27"/>
  <c r="E270" i="27"/>
  <c r="D270" i="27"/>
  <c r="AM270" i="27" s="1"/>
  <c r="AF280" i="27"/>
  <c r="AE280" i="27"/>
  <c r="AD280" i="27"/>
  <c r="AC280" i="27"/>
  <c r="AB280" i="27"/>
  <c r="R280" i="27"/>
  <c r="Q280" i="27"/>
  <c r="P280" i="27"/>
  <c r="E280" i="27"/>
  <c r="D280" i="27"/>
  <c r="AQ280" i="27" s="1"/>
  <c r="AR280" i="27" s="1"/>
  <c r="AS280" i="27" s="1"/>
  <c r="AF198" i="27"/>
  <c r="AE198" i="27"/>
  <c r="AD198" i="27"/>
  <c r="AC198" i="27"/>
  <c r="AB198" i="27"/>
  <c r="R198" i="27"/>
  <c r="Q198" i="27"/>
  <c r="P198" i="27"/>
  <c r="E198" i="27"/>
  <c r="D198" i="27"/>
  <c r="AM198" i="27" s="1"/>
  <c r="AF269" i="27"/>
  <c r="AE269" i="27"/>
  <c r="AD269" i="27"/>
  <c r="AC269" i="27"/>
  <c r="AB269" i="27"/>
  <c r="R269" i="27"/>
  <c r="Q269" i="27"/>
  <c r="P269" i="27"/>
  <c r="E269" i="27"/>
  <c r="D269" i="27"/>
  <c r="AM269" i="27" s="1"/>
  <c r="AF248" i="27"/>
  <c r="AE248" i="27"/>
  <c r="AD248" i="27"/>
  <c r="AC248" i="27"/>
  <c r="AB248" i="27"/>
  <c r="R248" i="27"/>
  <c r="Q248" i="27"/>
  <c r="P248" i="27"/>
  <c r="E248" i="27"/>
  <c r="D248" i="27"/>
  <c r="AQ248" i="27" s="1"/>
  <c r="AR248" i="27" s="1"/>
  <c r="AS248" i="27" s="1"/>
  <c r="AN243" i="27" l="1"/>
  <c r="AO243" i="27" s="1"/>
  <c r="AH286" i="27"/>
  <c r="AN2051" i="27"/>
  <c r="AO2051" i="27" s="1"/>
  <c r="AH72" i="27"/>
  <c r="AN117" i="27"/>
  <c r="AO117" i="27" s="1"/>
  <c r="AN199" i="27"/>
  <c r="AO199" i="27" s="1"/>
  <c r="AH199" i="27"/>
  <c r="AN275" i="27"/>
  <c r="AO275" i="27" s="1"/>
  <c r="AM280" i="27"/>
  <c r="AH280" i="27" s="1"/>
  <c r="AM248" i="27"/>
  <c r="AN269" i="27"/>
  <c r="AO269" i="27" s="1"/>
  <c r="AH269" i="27"/>
  <c r="AQ269" i="27"/>
  <c r="AR269" i="27" s="1"/>
  <c r="AS269" i="27" s="1"/>
  <c r="AQ270" i="27"/>
  <c r="AR270" i="27" s="1"/>
  <c r="AS270" i="27" s="1"/>
  <c r="AM283" i="27"/>
  <c r="AM206" i="27"/>
  <c r="AH206" i="27" s="1"/>
  <c r="AH198" i="27"/>
  <c r="AN198" i="27"/>
  <c r="AO198" i="27" s="1"/>
  <c r="AH270" i="27"/>
  <c r="AN270" i="27"/>
  <c r="AO270" i="27" s="1"/>
  <c r="AH3173" i="27"/>
  <c r="AN3173" i="27"/>
  <c r="AO3173" i="27" s="1"/>
  <c r="AN116" i="27"/>
  <c r="AO116" i="27" s="1"/>
  <c r="AH116" i="27"/>
  <c r="AN115" i="27"/>
  <c r="AO115" i="27" s="1"/>
  <c r="AH115" i="27"/>
  <c r="AQ3173" i="27"/>
  <c r="AR3173" i="27" s="1"/>
  <c r="AS3173" i="27" s="1"/>
  <c r="A2067" i="32"/>
  <c r="B2067" i="32" s="1"/>
  <c r="C2067" i="32"/>
  <c r="A1041" i="32"/>
  <c r="B1041" i="32" s="1"/>
  <c r="C1041" i="32"/>
  <c r="A2358" i="32"/>
  <c r="B2358" i="32" s="1"/>
  <c r="C2358" i="32"/>
  <c r="A1299" i="32"/>
  <c r="B1299" i="32" s="1"/>
  <c r="C1299" i="32"/>
  <c r="AN206" i="27" l="1"/>
  <c r="AO206" i="27" s="1"/>
  <c r="AN280" i="27"/>
  <c r="AO280" i="27" s="1"/>
  <c r="AN248" i="27"/>
  <c r="AO248" i="27" s="1"/>
  <c r="AH248" i="27"/>
  <c r="AN283" i="27"/>
  <c r="AO283" i="27" s="1"/>
  <c r="AH283" i="27"/>
  <c r="D1299" i="32"/>
  <c r="D1041" i="32"/>
  <c r="D2067" i="32"/>
  <c r="D2358" i="32"/>
  <c r="B166" i="30"/>
  <c r="B189" i="30"/>
  <c r="B88" i="30"/>
  <c r="B24" i="30"/>
  <c r="A1660" i="32"/>
  <c r="B1660" i="32" s="1"/>
  <c r="C1660" i="32"/>
  <c r="AF120" i="27"/>
  <c r="AE120" i="27"/>
  <c r="AD120" i="27"/>
  <c r="AC120" i="27"/>
  <c r="AB120" i="27"/>
  <c r="R120" i="27"/>
  <c r="Q120" i="27"/>
  <c r="P120" i="27"/>
  <c r="E120" i="27"/>
  <c r="D120" i="27"/>
  <c r="AF32" i="27"/>
  <c r="AE32" i="27"/>
  <c r="AD32" i="27"/>
  <c r="AC32" i="27"/>
  <c r="AB32" i="27"/>
  <c r="R32" i="27"/>
  <c r="Q32" i="27"/>
  <c r="P32" i="27"/>
  <c r="E32" i="27"/>
  <c r="D32" i="27"/>
  <c r="AM32" i="27" s="1"/>
  <c r="D1660" i="32" l="1"/>
  <c r="AM120" i="27"/>
  <c r="AN32" i="27"/>
  <c r="AO32" i="27" s="1"/>
  <c r="AH32" i="27"/>
  <c r="AN120" i="27" l="1"/>
  <c r="AO120" i="27" s="1"/>
  <c r="AH120" i="27"/>
  <c r="AF3176" i="27"/>
  <c r="AE3176" i="27"/>
  <c r="AD3176" i="27"/>
  <c r="AC3176" i="27"/>
  <c r="AB3176" i="27"/>
  <c r="R3176" i="27"/>
  <c r="Q3176" i="27"/>
  <c r="P3176" i="27"/>
  <c r="E3176" i="27"/>
  <c r="D3176" i="27"/>
  <c r="AM3176" i="27" s="1"/>
  <c r="AF3283" i="27"/>
  <c r="AE3283" i="27"/>
  <c r="AD3283" i="27"/>
  <c r="AC3283" i="27"/>
  <c r="AB3283" i="27"/>
  <c r="R3283" i="27"/>
  <c r="Q3283" i="27"/>
  <c r="P3283" i="27"/>
  <c r="E3283" i="27"/>
  <c r="D3283" i="27"/>
  <c r="AM3283" i="27" s="1"/>
  <c r="AF240" i="27"/>
  <c r="AE240" i="27"/>
  <c r="AD240" i="27"/>
  <c r="AC240" i="27"/>
  <c r="AB240" i="27"/>
  <c r="R240" i="27"/>
  <c r="Q240" i="27"/>
  <c r="P240" i="27"/>
  <c r="E240" i="27"/>
  <c r="D240" i="27"/>
  <c r="AF281" i="27"/>
  <c r="AE281" i="27"/>
  <c r="AD281" i="27"/>
  <c r="AC281" i="27"/>
  <c r="AB281" i="27"/>
  <c r="R281" i="27"/>
  <c r="Q281" i="27"/>
  <c r="P281" i="27"/>
  <c r="E281" i="27"/>
  <c r="D281" i="27"/>
  <c r="AM281" i="27" s="1"/>
  <c r="AF278" i="27"/>
  <c r="AE278" i="27"/>
  <c r="AD278" i="27"/>
  <c r="AC278" i="27"/>
  <c r="AB278" i="27"/>
  <c r="R278" i="27"/>
  <c r="Q278" i="27"/>
  <c r="P278" i="27"/>
  <c r="E278" i="27"/>
  <c r="D278" i="27"/>
  <c r="AM278" i="27" s="1"/>
  <c r="AF114" i="27"/>
  <c r="AE114" i="27"/>
  <c r="AD114" i="27"/>
  <c r="AC114" i="27"/>
  <c r="AB114" i="27"/>
  <c r="R114" i="27"/>
  <c r="Q114" i="27"/>
  <c r="P114" i="27"/>
  <c r="E114" i="27"/>
  <c r="D114" i="27"/>
  <c r="AF279" i="27"/>
  <c r="AE279" i="27"/>
  <c r="AD279" i="27"/>
  <c r="AC279" i="27"/>
  <c r="AB279" i="27"/>
  <c r="R279" i="27"/>
  <c r="Q279" i="27"/>
  <c r="P279" i="27"/>
  <c r="E279" i="27"/>
  <c r="D279" i="27"/>
  <c r="AQ279" i="27" s="1"/>
  <c r="AR279" i="27" s="1"/>
  <c r="AS279" i="27" s="1"/>
  <c r="AF2371" i="27"/>
  <c r="AE2371" i="27"/>
  <c r="AD2371" i="27"/>
  <c r="AC2371" i="27"/>
  <c r="AB2371" i="27"/>
  <c r="R2371" i="27"/>
  <c r="Q2371" i="27"/>
  <c r="P2371" i="27"/>
  <c r="E2371" i="27"/>
  <c r="D2371" i="27"/>
  <c r="AM2371" i="27" s="1"/>
  <c r="AF205" i="27"/>
  <c r="AE205" i="27"/>
  <c r="AD205" i="27"/>
  <c r="AC205" i="27"/>
  <c r="AB205" i="27"/>
  <c r="R205" i="27"/>
  <c r="Q205" i="27"/>
  <c r="P205" i="27"/>
  <c r="E205" i="27"/>
  <c r="D205" i="27"/>
  <c r="AM205" i="27" s="1"/>
  <c r="AF179" i="27"/>
  <c r="AE179" i="27"/>
  <c r="AD179" i="27"/>
  <c r="AC179" i="27"/>
  <c r="AB179" i="27"/>
  <c r="R179" i="27"/>
  <c r="Q179" i="27"/>
  <c r="P179" i="27"/>
  <c r="E179" i="27"/>
  <c r="D179" i="27"/>
  <c r="AQ179" i="27" s="1"/>
  <c r="AR179" i="27" s="1"/>
  <c r="AS179" i="27" s="1"/>
  <c r="AF245" i="27"/>
  <c r="AE245" i="27"/>
  <c r="AD245" i="27"/>
  <c r="AC245" i="27"/>
  <c r="AB245" i="27"/>
  <c r="R245" i="27"/>
  <c r="Q245" i="27"/>
  <c r="P245" i="27"/>
  <c r="E245" i="27"/>
  <c r="D245" i="27"/>
  <c r="AQ245" i="27" s="1"/>
  <c r="AR245" i="27" s="1"/>
  <c r="AS245" i="27" s="1"/>
  <c r="AF274" i="27"/>
  <c r="AE274" i="27"/>
  <c r="AD274" i="27"/>
  <c r="AC274" i="27"/>
  <c r="AB274" i="27"/>
  <c r="R274" i="27"/>
  <c r="Q274" i="27"/>
  <c r="P274" i="27"/>
  <c r="E274" i="27"/>
  <c r="D274" i="27"/>
  <c r="AM274" i="27" s="1"/>
  <c r="AF263" i="27"/>
  <c r="AE263" i="27"/>
  <c r="AD263" i="27"/>
  <c r="AC263" i="27"/>
  <c r="AB263" i="27"/>
  <c r="R263" i="27"/>
  <c r="Q263" i="27"/>
  <c r="P263" i="27"/>
  <c r="E263" i="27"/>
  <c r="D263" i="27"/>
  <c r="AM263" i="27" s="1"/>
  <c r="AF197" i="27"/>
  <c r="AE197" i="27"/>
  <c r="AD197" i="27"/>
  <c r="AC197" i="27"/>
  <c r="AB197" i="27"/>
  <c r="R197" i="27"/>
  <c r="Q197" i="27"/>
  <c r="P197" i="27"/>
  <c r="E197" i="27"/>
  <c r="D197" i="27"/>
  <c r="AQ197" i="27" s="1"/>
  <c r="AR197" i="27" s="1"/>
  <c r="AS197" i="27" s="1"/>
  <c r="AF170" i="27"/>
  <c r="AE170" i="27"/>
  <c r="AD170" i="27"/>
  <c r="AC170" i="27"/>
  <c r="AB170" i="27"/>
  <c r="R170" i="27"/>
  <c r="Q170" i="27"/>
  <c r="P170" i="27"/>
  <c r="E170" i="27"/>
  <c r="D170" i="27"/>
  <c r="AF159" i="27"/>
  <c r="AE159" i="27"/>
  <c r="AD159" i="27"/>
  <c r="AC159" i="27"/>
  <c r="AB159" i="27"/>
  <c r="R159" i="27"/>
  <c r="Q159" i="27"/>
  <c r="P159" i="27"/>
  <c r="E159" i="27"/>
  <c r="D159" i="27"/>
  <c r="AM159" i="27" s="1"/>
  <c r="AF173" i="27"/>
  <c r="AE173" i="27"/>
  <c r="AD173" i="27"/>
  <c r="AC173" i="27"/>
  <c r="AB173" i="27"/>
  <c r="R173" i="27"/>
  <c r="Q173" i="27"/>
  <c r="P173" i="27"/>
  <c r="E173" i="27"/>
  <c r="D173" i="27"/>
  <c r="AM173" i="27" s="1"/>
  <c r="A582" i="32"/>
  <c r="B582" i="32" s="1"/>
  <c r="C582" i="32"/>
  <c r="A568" i="32"/>
  <c r="B568" i="32" s="1"/>
  <c r="C568" i="32"/>
  <c r="A329" i="32"/>
  <c r="B329" i="32" s="1"/>
  <c r="C329" i="32"/>
  <c r="A2118" i="32"/>
  <c r="B2118" i="32" s="1"/>
  <c r="C2118" i="32"/>
  <c r="A222" i="32"/>
  <c r="B222" i="32" s="1"/>
  <c r="C222" i="32"/>
  <c r="A431" i="32"/>
  <c r="B431" i="32" s="1"/>
  <c r="C431" i="32"/>
  <c r="A1693" i="32"/>
  <c r="B1693" i="32" s="1"/>
  <c r="C1693" i="32"/>
  <c r="A1109" i="32"/>
  <c r="B1109" i="32" s="1"/>
  <c r="C1109" i="32"/>
  <c r="A1117" i="32"/>
  <c r="B1117" i="32" s="1"/>
  <c r="C1117" i="32"/>
  <c r="D1117" i="32" l="1"/>
  <c r="D1693" i="32"/>
  <c r="D222" i="32"/>
  <c r="D329" i="32"/>
  <c r="D582" i="32"/>
  <c r="D1109" i="32"/>
  <c r="D431" i="32"/>
  <c r="D2118" i="32"/>
  <c r="AM170" i="27"/>
  <c r="AH170" i="27" s="1"/>
  <c r="AM197" i="27"/>
  <c r="AM245" i="27"/>
  <c r="AH245" i="27" s="1"/>
  <c r="AM179" i="27"/>
  <c r="AM279" i="27"/>
  <c r="AH279" i="27" s="1"/>
  <c r="AM114" i="27"/>
  <c r="AM240" i="27"/>
  <c r="AH240" i="27" s="1"/>
  <c r="AN159" i="27"/>
  <c r="AO159" i="27" s="1"/>
  <c r="AH159" i="27"/>
  <c r="AN263" i="27"/>
  <c r="AO263" i="27" s="1"/>
  <c r="AH263" i="27"/>
  <c r="AN205" i="27"/>
  <c r="AO205" i="27" s="1"/>
  <c r="AH205" i="27"/>
  <c r="AN278" i="27"/>
  <c r="AO278" i="27" s="1"/>
  <c r="AH278" i="27"/>
  <c r="AN173" i="27"/>
  <c r="AO173" i="27" s="1"/>
  <c r="AH173" i="27"/>
  <c r="AH274" i="27"/>
  <c r="AN274" i="27"/>
  <c r="AO274" i="27" s="1"/>
  <c r="AH2371" i="27"/>
  <c r="AN2371" i="27"/>
  <c r="AO2371" i="27" s="1"/>
  <c r="AH281" i="27"/>
  <c r="AN281" i="27"/>
  <c r="AO281" i="27" s="1"/>
  <c r="AN3176" i="27"/>
  <c r="AO3176" i="27" s="1"/>
  <c r="AH3176" i="27"/>
  <c r="AN3283" i="27"/>
  <c r="AO3283" i="27" s="1"/>
  <c r="AH3283" i="27"/>
  <c r="AQ278" i="27"/>
  <c r="AR278" i="27" s="1"/>
  <c r="AS278" i="27" s="1"/>
  <c r="AQ263" i="27"/>
  <c r="AR263" i="27" s="1"/>
  <c r="AS263" i="27" s="1"/>
  <c r="AQ274" i="27"/>
  <c r="AR274" i="27" s="1"/>
  <c r="AS274" i="27" s="1"/>
  <c r="AQ281" i="27"/>
  <c r="AR281" i="27" s="1"/>
  <c r="AS281" i="27" s="1"/>
  <c r="D568" i="32"/>
  <c r="B187" i="30"/>
  <c r="A2299" i="32"/>
  <c r="B2299" i="32" s="1"/>
  <c r="C2299" i="32"/>
  <c r="A1589" i="32"/>
  <c r="B1589" i="32" s="1"/>
  <c r="C1589" i="32"/>
  <c r="A2682" i="32"/>
  <c r="B2682" i="32" s="1"/>
  <c r="C2682" i="32"/>
  <c r="D1589" i="32" l="1"/>
  <c r="AN170" i="27"/>
  <c r="AO170" i="27" s="1"/>
  <c r="AN279" i="27"/>
  <c r="AO279" i="27" s="1"/>
  <c r="AN179" i="27"/>
  <c r="AO179" i="27" s="1"/>
  <c r="AH179" i="27"/>
  <c r="AN240" i="27"/>
  <c r="AO240" i="27" s="1"/>
  <c r="AN245" i="27"/>
  <c r="AO245" i="27" s="1"/>
  <c r="AN114" i="27"/>
  <c r="AO114" i="27" s="1"/>
  <c r="AH114" i="27"/>
  <c r="AN197" i="27"/>
  <c r="AO197" i="27" s="1"/>
  <c r="AH197" i="27"/>
  <c r="D2299" i="32"/>
  <c r="D2682" i="32"/>
  <c r="D98" i="27"/>
  <c r="E98" i="27"/>
  <c r="P98" i="27"/>
  <c r="Q98" i="27"/>
  <c r="R98" i="27"/>
  <c r="AB98" i="27"/>
  <c r="AC98" i="27"/>
  <c r="AD98" i="27"/>
  <c r="AE98" i="27"/>
  <c r="AF98" i="27"/>
  <c r="B165" i="30"/>
  <c r="B162" i="30"/>
  <c r="B148" i="30"/>
  <c r="B145" i="30"/>
  <c r="B139" i="30"/>
  <c r="B126" i="30"/>
  <c r="B116" i="30"/>
  <c r="B90" i="30"/>
  <c r="B159" i="30"/>
  <c r="B81" i="30"/>
  <c r="B202" i="30"/>
  <c r="B92" i="30"/>
  <c r="B80" i="30"/>
  <c r="B69" i="30"/>
  <c r="AF149" i="27"/>
  <c r="AE149" i="27"/>
  <c r="AD149" i="27"/>
  <c r="AC149" i="27"/>
  <c r="AB149" i="27"/>
  <c r="R149" i="27"/>
  <c r="Q149" i="27"/>
  <c r="P149" i="27"/>
  <c r="E149" i="27"/>
  <c r="D149" i="27"/>
  <c r="AF176" i="27"/>
  <c r="AE176" i="27"/>
  <c r="AD176" i="27"/>
  <c r="AC176" i="27"/>
  <c r="AB176" i="27"/>
  <c r="R176" i="27"/>
  <c r="Q176" i="27"/>
  <c r="P176" i="27"/>
  <c r="E176" i="27"/>
  <c r="D176" i="27"/>
  <c r="A943" i="32"/>
  <c r="B943" i="32" s="1"/>
  <c r="C943" i="32"/>
  <c r="B36" i="30"/>
  <c r="AF271" i="27"/>
  <c r="AE271" i="27"/>
  <c r="AD271" i="27"/>
  <c r="AC271" i="27"/>
  <c r="AB271" i="27"/>
  <c r="R271" i="27"/>
  <c r="Q271" i="27"/>
  <c r="P271" i="27"/>
  <c r="E271" i="27"/>
  <c r="D271" i="27"/>
  <c r="AM271" i="27" s="1"/>
  <c r="AH271" i="27" s="1"/>
  <c r="AF3282" i="27"/>
  <c r="AE3282" i="27"/>
  <c r="AD3282" i="27"/>
  <c r="AC3282" i="27"/>
  <c r="AB3282" i="27"/>
  <c r="R3282" i="27"/>
  <c r="Q3282" i="27"/>
  <c r="P3282" i="27"/>
  <c r="E3282" i="27"/>
  <c r="D3282" i="27"/>
  <c r="AM3282" i="27" s="1"/>
  <c r="AN3282" i="27" s="1"/>
  <c r="AO3282" i="27" s="1"/>
  <c r="AF3279" i="27"/>
  <c r="AE3279" i="27"/>
  <c r="AD3279" i="27"/>
  <c r="AC3279" i="27"/>
  <c r="AB3279" i="27"/>
  <c r="R3279" i="27"/>
  <c r="Q3279" i="27"/>
  <c r="P3279" i="27"/>
  <c r="E3279" i="27"/>
  <c r="D3279" i="27"/>
  <c r="AF3280" i="27"/>
  <c r="AE3280" i="27"/>
  <c r="AD3280" i="27"/>
  <c r="AC3280" i="27"/>
  <c r="AB3280" i="27"/>
  <c r="R3280" i="27"/>
  <c r="Q3280" i="27"/>
  <c r="P3280" i="27"/>
  <c r="E3280" i="27"/>
  <c r="D3280" i="27"/>
  <c r="AF195" i="27"/>
  <c r="AE195" i="27"/>
  <c r="AD195" i="27"/>
  <c r="AC195" i="27"/>
  <c r="AB195" i="27"/>
  <c r="R195" i="27"/>
  <c r="Q195" i="27"/>
  <c r="P195" i="27"/>
  <c r="E195" i="27"/>
  <c r="D195" i="27"/>
  <c r="AM195" i="27" s="1"/>
  <c r="AN195" i="27" s="1"/>
  <c r="AO195" i="27" s="1"/>
  <c r="AF200" i="27"/>
  <c r="AE200" i="27"/>
  <c r="AD200" i="27"/>
  <c r="AC200" i="27"/>
  <c r="AB200" i="27"/>
  <c r="R200" i="27"/>
  <c r="Q200" i="27"/>
  <c r="P200" i="27"/>
  <c r="E200" i="27"/>
  <c r="D200" i="27"/>
  <c r="AM200" i="27" s="1"/>
  <c r="AN200" i="27" s="1"/>
  <c r="AO200" i="27" s="1"/>
  <c r="AF268" i="27"/>
  <c r="AE268" i="27"/>
  <c r="AD268" i="27"/>
  <c r="AC268" i="27"/>
  <c r="AB268" i="27"/>
  <c r="R268" i="27"/>
  <c r="Q268" i="27"/>
  <c r="P268" i="27"/>
  <c r="E268" i="27"/>
  <c r="D268" i="27"/>
  <c r="AF167" i="27"/>
  <c r="AE167" i="27"/>
  <c r="AD167" i="27"/>
  <c r="AC167" i="27"/>
  <c r="AB167" i="27"/>
  <c r="R167" i="27"/>
  <c r="Q167" i="27"/>
  <c r="P167" i="27"/>
  <c r="E167" i="27"/>
  <c r="D167" i="27"/>
  <c r="AF191" i="27"/>
  <c r="AE191" i="27"/>
  <c r="AD191" i="27"/>
  <c r="AC191" i="27"/>
  <c r="AB191" i="27"/>
  <c r="R191" i="27"/>
  <c r="Q191" i="27"/>
  <c r="P191" i="27"/>
  <c r="E191" i="27"/>
  <c r="D191" i="27"/>
  <c r="AF2363" i="27"/>
  <c r="AE2363" i="27"/>
  <c r="AD2363" i="27"/>
  <c r="AC2363" i="27"/>
  <c r="AB2363" i="27"/>
  <c r="R2363" i="27"/>
  <c r="Q2363" i="27"/>
  <c r="P2363" i="27"/>
  <c r="E2363" i="27"/>
  <c r="D2363" i="27"/>
  <c r="AM2363" i="27" s="1"/>
  <c r="AN2363" i="27" s="1"/>
  <c r="AO2363" i="27" s="1"/>
  <c r="AF267" i="27"/>
  <c r="AE267" i="27"/>
  <c r="AD267" i="27"/>
  <c r="AC267" i="27"/>
  <c r="AB267" i="27"/>
  <c r="R267" i="27"/>
  <c r="Q267" i="27"/>
  <c r="P267" i="27"/>
  <c r="E267" i="27"/>
  <c r="D267" i="27"/>
  <c r="AF253" i="27"/>
  <c r="AE253" i="27"/>
  <c r="AD253" i="27"/>
  <c r="AC253" i="27"/>
  <c r="AB253" i="27"/>
  <c r="R253" i="27"/>
  <c r="Q253" i="27"/>
  <c r="P253" i="27"/>
  <c r="E253" i="27"/>
  <c r="D253" i="27"/>
  <c r="AM253" i="27" s="1"/>
  <c r="AN253" i="27" s="1"/>
  <c r="AO253" i="27" s="1"/>
  <c r="AF158" i="27"/>
  <c r="AE158" i="27"/>
  <c r="AD158" i="27"/>
  <c r="AC158" i="27"/>
  <c r="AB158" i="27"/>
  <c r="R158" i="27"/>
  <c r="Q158" i="27"/>
  <c r="P158" i="27"/>
  <c r="E158" i="27"/>
  <c r="D158" i="27"/>
  <c r="AF266" i="27"/>
  <c r="AE266" i="27"/>
  <c r="AD266" i="27"/>
  <c r="AC266" i="27"/>
  <c r="AB266" i="27"/>
  <c r="R266" i="27"/>
  <c r="Q266" i="27"/>
  <c r="P266" i="27"/>
  <c r="E266" i="27"/>
  <c r="D266" i="27"/>
  <c r="AM266" i="27" s="1"/>
  <c r="AH266" i="27" s="1"/>
  <c r="A755" i="32"/>
  <c r="B755" i="32" s="1"/>
  <c r="C755" i="32"/>
  <c r="A549" i="32"/>
  <c r="B549" i="32" s="1"/>
  <c r="C549" i="32"/>
  <c r="A2196" i="32"/>
  <c r="B2196" i="32" s="1"/>
  <c r="C2196" i="32"/>
  <c r="A946" i="32"/>
  <c r="B946" i="32" s="1"/>
  <c r="C946" i="32"/>
  <c r="A1403" i="32"/>
  <c r="B1403" i="32" s="1"/>
  <c r="C1403" i="32"/>
  <c r="A1021" i="32"/>
  <c r="B1021" i="32" s="1"/>
  <c r="C1021" i="32"/>
  <c r="A476" i="32"/>
  <c r="B476" i="32" s="1"/>
  <c r="C476" i="32"/>
  <c r="A492" i="32"/>
  <c r="B492" i="32" s="1"/>
  <c r="C492" i="32"/>
  <c r="A2371" i="32"/>
  <c r="B2371" i="32" s="1"/>
  <c r="C2371" i="32"/>
  <c r="A1172" i="32"/>
  <c r="B1172" i="32" s="1"/>
  <c r="C1172" i="32"/>
  <c r="A1309" i="32"/>
  <c r="B1309" i="32" s="1"/>
  <c r="C1309" i="32"/>
  <c r="A1719" i="32"/>
  <c r="B1719" i="32" s="1"/>
  <c r="C1719" i="32"/>
  <c r="A1795" i="32"/>
  <c r="B1795" i="32" s="1"/>
  <c r="C1795" i="32"/>
  <c r="A1273" i="32"/>
  <c r="B1273" i="32" s="1"/>
  <c r="C1273" i="32"/>
  <c r="A2179" i="32"/>
  <c r="B2179" i="32" s="1"/>
  <c r="C2179" i="32"/>
  <c r="A1304" i="32"/>
  <c r="B1304" i="32" s="1"/>
  <c r="C1304" i="32"/>
  <c r="A218" i="32"/>
  <c r="B218" i="32" s="1"/>
  <c r="C218" i="32"/>
  <c r="A2415" i="32"/>
  <c r="B2415" i="32" s="1"/>
  <c r="C2415" i="32"/>
  <c r="A809" i="32"/>
  <c r="B809" i="32" s="1"/>
  <c r="C809" i="32"/>
  <c r="A506" i="32"/>
  <c r="B506" i="32" s="1"/>
  <c r="C506" i="32"/>
  <c r="A2098" i="32"/>
  <c r="B2098" i="32" s="1"/>
  <c r="C2098" i="32"/>
  <c r="A254" i="32"/>
  <c r="B254" i="32" s="1"/>
  <c r="C254" i="32"/>
  <c r="A2095" i="32"/>
  <c r="B2095" i="32" s="1"/>
  <c r="C2095" i="32"/>
  <c r="A2572" i="32"/>
  <c r="B2572" i="32" s="1"/>
  <c r="C2572" i="32"/>
  <c r="A1802" i="32"/>
  <c r="B1802" i="32" s="1"/>
  <c r="C1802" i="32"/>
  <c r="A1313" i="32"/>
  <c r="B1313" i="32" s="1"/>
  <c r="C1313" i="32"/>
  <c r="A2614" i="32"/>
  <c r="B2614" i="32" s="1"/>
  <c r="C2614" i="32"/>
  <c r="A932" i="32"/>
  <c r="B932" i="32" s="1"/>
  <c r="C932" i="32"/>
  <c r="A57" i="32"/>
  <c r="B57" i="32" s="1"/>
  <c r="C57" i="32"/>
  <c r="A52" i="32"/>
  <c r="B52" i="32" s="1"/>
  <c r="C52" i="32"/>
  <c r="A1191" i="32"/>
  <c r="B1191" i="32" s="1"/>
  <c r="C1191" i="32"/>
  <c r="A971" i="32"/>
  <c r="B971" i="32" s="1"/>
  <c r="C971" i="32"/>
  <c r="A2500" i="32"/>
  <c r="B2500" i="32" s="1"/>
  <c r="C2500" i="32"/>
  <c r="A328" i="32"/>
  <c r="B328" i="32" s="1"/>
  <c r="C328" i="32"/>
  <c r="A2117" i="32"/>
  <c r="B2117" i="32" s="1"/>
  <c r="C2117" i="32"/>
  <c r="A1539" i="32"/>
  <c r="B1539" i="32" s="1"/>
  <c r="C1539" i="32"/>
  <c r="A1965" i="32"/>
  <c r="B1965" i="32" s="1"/>
  <c r="C1965" i="32"/>
  <c r="A587" i="32"/>
  <c r="B587" i="32" s="1"/>
  <c r="C587" i="32"/>
  <c r="A2467" i="32"/>
  <c r="B2467" i="32" s="1"/>
  <c r="C2467" i="32"/>
  <c r="A966" i="32"/>
  <c r="B966" i="32" s="1"/>
  <c r="C966" i="32"/>
  <c r="A1039" i="32"/>
  <c r="B1039" i="32" s="1"/>
  <c r="C1039" i="32"/>
  <c r="A87" i="32"/>
  <c r="B87" i="32" s="1"/>
  <c r="C87" i="32"/>
  <c r="A2425" i="32"/>
  <c r="B2425" i="32" s="1"/>
  <c r="C2425" i="32"/>
  <c r="A2650" i="32"/>
  <c r="B2650" i="32" s="1"/>
  <c r="C2650" i="32"/>
  <c r="A55" i="32"/>
  <c r="B55" i="32" s="1"/>
  <c r="C55" i="32"/>
  <c r="A2162" i="32"/>
  <c r="B2162" i="32" s="1"/>
  <c r="C2162" i="32"/>
  <c r="A1057" i="32"/>
  <c r="B1057" i="32" s="1"/>
  <c r="C1057" i="32"/>
  <c r="A729" i="32"/>
  <c r="B729" i="32" s="1"/>
  <c r="C729" i="32"/>
  <c r="A977" i="32"/>
  <c r="B977" i="32" s="1"/>
  <c r="C977" i="32"/>
  <c r="A1952" i="32"/>
  <c r="B1952" i="32" s="1"/>
  <c r="C1952" i="32"/>
  <c r="A334" i="32"/>
  <c r="B334" i="32" s="1"/>
  <c r="C334" i="32"/>
  <c r="A1723" i="32"/>
  <c r="B1723" i="32" s="1"/>
  <c r="C1723" i="32"/>
  <c r="D1851" i="27"/>
  <c r="B77" i="30"/>
  <c r="B150" i="30"/>
  <c r="B178" i="30"/>
  <c r="AF1847" i="27"/>
  <c r="AE1847" i="27"/>
  <c r="AD1847" i="27"/>
  <c r="AC1847" i="27"/>
  <c r="AB1847" i="27"/>
  <c r="R1847" i="27"/>
  <c r="Q1847" i="27"/>
  <c r="P1847" i="27"/>
  <c r="E1847" i="27"/>
  <c r="D1847" i="27"/>
  <c r="A70" i="32"/>
  <c r="B70" i="32" s="1"/>
  <c r="C70" i="32"/>
  <c r="A268" i="32"/>
  <c r="B268" i="32" s="1"/>
  <c r="C268" i="32"/>
  <c r="A2045" i="32"/>
  <c r="B2045" i="32" s="1"/>
  <c r="C2045" i="32"/>
  <c r="A985" i="32"/>
  <c r="B985" i="32" s="1"/>
  <c r="C985" i="32"/>
  <c r="A1498" i="32"/>
  <c r="B1498" i="32" s="1"/>
  <c r="C1498" i="32"/>
  <c r="AF3172" i="27"/>
  <c r="AE3172" i="27"/>
  <c r="AD3172" i="27"/>
  <c r="AC3172" i="27"/>
  <c r="AB3172" i="27"/>
  <c r="R3172" i="27"/>
  <c r="Q3172" i="27"/>
  <c r="P3172" i="27"/>
  <c r="E3172" i="27"/>
  <c r="D3172" i="27"/>
  <c r="AF193" i="27"/>
  <c r="AE193" i="27"/>
  <c r="AD193" i="27"/>
  <c r="AC193" i="27"/>
  <c r="AB193" i="27"/>
  <c r="R193" i="27"/>
  <c r="Q193" i="27"/>
  <c r="P193" i="27"/>
  <c r="E193" i="27"/>
  <c r="D193" i="27"/>
  <c r="AM193" i="27" s="1"/>
  <c r="AH193" i="27" s="1"/>
  <c r="AF3281" i="27"/>
  <c r="AE3281" i="27"/>
  <c r="AD3281" i="27"/>
  <c r="AC3281" i="27"/>
  <c r="AB3281" i="27"/>
  <c r="R3281" i="27"/>
  <c r="Q3281" i="27"/>
  <c r="P3281" i="27"/>
  <c r="E3281" i="27"/>
  <c r="D3281" i="27"/>
  <c r="AF75" i="27"/>
  <c r="AE75" i="27"/>
  <c r="AD75" i="27"/>
  <c r="AC75" i="27"/>
  <c r="AB75" i="27"/>
  <c r="R75" i="27"/>
  <c r="Q75" i="27"/>
  <c r="P75" i="27"/>
  <c r="E75" i="27"/>
  <c r="D75" i="27"/>
  <c r="AF86" i="27"/>
  <c r="AE86" i="27"/>
  <c r="AD86" i="27"/>
  <c r="AC86" i="27"/>
  <c r="AB86" i="27"/>
  <c r="R86" i="27"/>
  <c r="Q86" i="27"/>
  <c r="P86" i="27"/>
  <c r="E86" i="27"/>
  <c r="D86" i="27"/>
  <c r="AF1864" i="27"/>
  <c r="AE1864" i="27"/>
  <c r="AD1864" i="27"/>
  <c r="AC1864" i="27"/>
  <c r="AB1864" i="27"/>
  <c r="R1864" i="27"/>
  <c r="Q1864" i="27"/>
  <c r="P1864" i="27"/>
  <c r="E1864" i="27"/>
  <c r="D1864" i="27"/>
  <c r="AM1864" i="27" s="1"/>
  <c r="AH1864" i="27" s="1"/>
  <c r="AF130" i="27"/>
  <c r="AE130" i="27"/>
  <c r="AD130" i="27"/>
  <c r="AC130" i="27"/>
  <c r="AB130" i="27"/>
  <c r="R130" i="27"/>
  <c r="Q130" i="27"/>
  <c r="P130" i="27"/>
  <c r="E130" i="27"/>
  <c r="D130" i="27"/>
  <c r="AF41" i="27"/>
  <c r="AE41" i="27"/>
  <c r="AD41" i="27"/>
  <c r="AC41" i="27"/>
  <c r="AB41" i="27"/>
  <c r="R41" i="27"/>
  <c r="Q41" i="27"/>
  <c r="P41" i="27"/>
  <c r="E41" i="27"/>
  <c r="D41" i="27"/>
  <c r="AF147" i="27"/>
  <c r="AE147" i="27"/>
  <c r="AD147" i="27"/>
  <c r="AC147" i="27"/>
  <c r="AB147" i="27"/>
  <c r="R147" i="27"/>
  <c r="Q147" i="27"/>
  <c r="P147" i="27"/>
  <c r="E147" i="27"/>
  <c r="D147" i="27"/>
  <c r="AF157" i="27"/>
  <c r="AE157" i="27"/>
  <c r="AD157" i="27"/>
  <c r="AC157" i="27"/>
  <c r="AB157" i="27"/>
  <c r="R157" i="27"/>
  <c r="Q157" i="27"/>
  <c r="P157" i="27"/>
  <c r="E157" i="27"/>
  <c r="D157" i="27"/>
  <c r="AM157" i="27" s="1"/>
  <c r="AH157" i="27" s="1"/>
  <c r="AF190" i="27"/>
  <c r="AE190" i="27"/>
  <c r="AD190" i="27"/>
  <c r="AC190" i="27"/>
  <c r="AB190" i="27"/>
  <c r="R190" i="27"/>
  <c r="Q190" i="27"/>
  <c r="P190" i="27"/>
  <c r="E190" i="27"/>
  <c r="D190" i="27"/>
  <c r="AF3277" i="27"/>
  <c r="AE3277" i="27"/>
  <c r="AD3277" i="27"/>
  <c r="AC3277" i="27"/>
  <c r="AB3277" i="27"/>
  <c r="R3277" i="27"/>
  <c r="Q3277" i="27"/>
  <c r="P3277" i="27"/>
  <c r="E3277" i="27"/>
  <c r="D3277" i="27"/>
  <c r="A429" i="32"/>
  <c r="B429" i="32" s="1"/>
  <c r="C429" i="32"/>
  <c r="A1777" i="32"/>
  <c r="B1777" i="32" s="1"/>
  <c r="C1777" i="32"/>
  <c r="A915" i="32"/>
  <c r="B915" i="32" s="1"/>
  <c r="C915" i="32"/>
  <c r="A2271" i="32"/>
  <c r="B2271" i="32" s="1"/>
  <c r="C2271" i="32"/>
  <c r="A2261" i="32"/>
  <c r="B2261" i="32" s="1"/>
  <c r="C2261" i="32"/>
  <c r="A872" i="32"/>
  <c r="B872" i="32" s="1"/>
  <c r="C872" i="32"/>
  <c r="D67" i="27"/>
  <c r="E67" i="27"/>
  <c r="D1820" i="27"/>
  <c r="E1820" i="27"/>
  <c r="D62" i="27"/>
  <c r="AM62" i="27" s="1"/>
  <c r="AH62" i="27" s="1"/>
  <c r="E62" i="27"/>
  <c r="D1821" i="27"/>
  <c r="E1821" i="27"/>
  <c r="D1822" i="27"/>
  <c r="E1822" i="27"/>
  <c r="D1823" i="27"/>
  <c r="AM1823" i="27" s="1"/>
  <c r="AH1823" i="27" s="1"/>
  <c r="E1823" i="27"/>
  <c r="D21" i="27"/>
  <c r="AM21" i="27" s="1"/>
  <c r="AH21" i="27" s="1"/>
  <c r="E21" i="27"/>
  <c r="D126" i="27"/>
  <c r="E126" i="27"/>
  <c r="D1824" i="27"/>
  <c r="E1824" i="27"/>
  <c r="D2355" i="27"/>
  <c r="E2355" i="27"/>
  <c r="D22" i="27"/>
  <c r="E22" i="27"/>
  <c r="D54" i="27"/>
  <c r="E54" i="27"/>
  <c r="D1829" i="27"/>
  <c r="E1829" i="27"/>
  <c r="D1830" i="27"/>
  <c r="E1830" i="27"/>
  <c r="D1849" i="27"/>
  <c r="E1849" i="27"/>
  <c r="D1831" i="27"/>
  <c r="E1831" i="27"/>
  <c r="D23" i="27"/>
  <c r="E23" i="27"/>
  <c r="D1832" i="27"/>
  <c r="E1832" i="27"/>
  <c r="D42" i="27"/>
  <c r="E42" i="27"/>
  <c r="D1833" i="27"/>
  <c r="E1833" i="27"/>
  <c r="D1834" i="27"/>
  <c r="E1834" i="27"/>
  <c r="D1835" i="27"/>
  <c r="E1835" i="27"/>
  <c r="D26" i="27"/>
  <c r="E26" i="27"/>
  <c r="D101" i="27"/>
  <c r="E101" i="27"/>
  <c r="D1836" i="27"/>
  <c r="E1836" i="27"/>
  <c r="D34" i="27"/>
  <c r="E34" i="27"/>
  <c r="D1837" i="27"/>
  <c r="E1837" i="27"/>
  <c r="D27" i="27"/>
  <c r="AM27" i="27" s="1"/>
  <c r="AH27" i="27" s="1"/>
  <c r="E27" i="27"/>
  <c r="D1838" i="27"/>
  <c r="E1838" i="27"/>
  <c r="D3318" i="27"/>
  <c r="AM3318" i="27" s="1"/>
  <c r="AN3318" i="27" s="1"/>
  <c r="AO3318" i="27" s="1"/>
  <c r="E3318" i="27"/>
  <c r="D1839" i="27"/>
  <c r="E1839" i="27"/>
  <c r="D28" i="27"/>
  <c r="E28" i="27"/>
  <c r="D29" i="27"/>
  <c r="E29" i="27"/>
  <c r="D1840" i="27"/>
  <c r="E1840" i="27"/>
  <c r="D1841" i="27"/>
  <c r="E1841" i="27"/>
  <c r="D39" i="27"/>
  <c r="E39" i="27"/>
  <c r="D1842" i="27"/>
  <c r="E1842" i="27"/>
  <c r="D1843" i="27"/>
  <c r="E1843" i="27"/>
  <c r="D1853" i="27"/>
  <c r="E1853" i="27"/>
  <c r="D1844" i="27"/>
  <c r="E1844" i="27"/>
  <c r="D1845" i="27"/>
  <c r="E1845" i="27"/>
  <c r="D141" i="27"/>
  <c r="E141" i="27"/>
  <c r="D30" i="27"/>
  <c r="E30" i="27"/>
  <c r="D31" i="27"/>
  <c r="E31" i="27"/>
  <c r="D1846" i="27"/>
  <c r="E1846" i="27"/>
  <c r="D33" i="27"/>
  <c r="AM33" i="27" s="1"/>
  <c r="AN33" i="27" s="1"/>
  <c r="AO33" i="27" s="1"/>
  <c r="E33" i="27"/>
  <c r="D36" i="27"/>
  <c r="AM36" i="27" s="1"/>
  <c r="AH36" i="27" s="1"/>
  <c r="E36" i="27"/>
  <c r="D37" i="27"/>
  <c r="E37" i="27"/>
  <c r="D38" i="27"/>
  <c r="E38" i="27"/>
  <c r="D1852" i="27"/>
  <c r="E1852" i="27"/>
  <c r="D1855" i="27"/>
  <c r="E1855" i="27"/>
  <c r="D1856" i="27"/>
  <c r="AM1856" i="27" s="1"/>
  <c r="AH1856" i="27" s="1"/>
  <c r="E1856" i="27"/>
  <c r="D1858" i="27"/>
  <c r="E1858" i="27"/>
  <c r="D1860" i="27"/>
  <c r="E1860" i="27"/>
  <c r="D1861" i="27"/>
  <c r="AM1861" i="27" s="1"/>
  <c r="E1861" i="27"/>
  <c r="D1862" i="27"/>
  <c r="E1862" i="27"/>
  <c r="D1863" i="27"/>
  <c r="E1863" i="27"/>
  <c r="D1850" i="27"/>
  <c r="E1850" i="27"/>
  <c r="D46" i="27"/>
  <c r="E46" i="27"/>
  <c r="D89" i="27"/>
  <c r="E89" i="27"/>
  <c r="D43" i="27"/>
  <c r="E43" i="27"/>
  <c r="D105" i="27"/>
  <c r="E105" i="27"/>
  <c r="D90" i="27"/>
  <c r="E90" i="27"/>
  <c r="D47" i="27"/>
  <c r="E47" i="27"/>
  <c r="D48" i="27"/>
  <c r="E48" i="27"/>
  <c r="D49" i="27"/>
  <c r="E49" i="27"/>
  <c r="D50" i="27"/>
  <c r="E50" i="27"/>
  <c r="D51" i="27"/>
  <c r="E51" i="27"/>
  <c r="D53" i="27"/>
  <c r="E53" i="27"/>
  <c r="D55" i="27"/>
  <c r="E55" i="27"/>
  <c r="D56" i="27"/>
  <c r="E56" i="27"/>
  <c r="D57" i="27"/>
  <c r="E57" i="27"/>
  <c r="D58" i="27"/>
  <c r="E58" i="27"/>
  <c r="D59" i="27"/>
  <c r="E59" i="27"/>
  <c r="D60" i="27"/>
  <c r="E60" i="27"/>
  <c r="D61" i="27"/>
  <c r="E61" i="27"/>
  <c r="D163" i="27"/>
  <c r="E163" i="27"/>
  <c r="D95" i="27"/>
  <c r="E95" i="27"/>
  <c r="D96" i="27"/>
  <c r="E96" i="27"/>
  <c r="D63" i="27"/>
  <c r="E63" i="27"/>
  <c r="D99" i="27"/>
  <c r="E99" i="27"/>
  <c r="D65" i="27"/>
  <c r="E65" i="27"/>
  <c r="D66" i="27"/>
  <c r="E66" i="27"/>
  <c r="D69" i="27"/>
  <c r="E69" i="27"/>
  <c r="D1866" i="27"/>
  <c r="E1866" i="27"/>
  <c r="D1867" i="27"/>
  <c r="AM1867" i="27" s="1"/>
  <c r="AN1867" i="27" s="1"/>
  <c r="AO1867" i="27" s="1"/>
  <c r="E1867" i="27"/>
  <c r="D70" i="27"/>
  <c r="E70" i="27"/>
  <c r="D71" i="27"/>
  <c r="E71" i="27"/>
  <c r="D73" i="27"/>
  <c r="E73" i="27"/>
  <c r="D74" i="27"/>
  <c r="AM74" i="27" s="1"/>
  <c r="AN74" i="27" s="1"/>
  <c r="AO74" i="27" s="1"/>
  <c r="E74" i="27"/>
  <c r="D3203" i="27"/>
  <c r="E3203" i="27"/>
  <c r="D76" i="27"/>
  <c r="E76" i="27"/>
  <c r="D77" i="27"/>
  <c r="E77" i="27"/>
  <c r="D78" i="27"/>
  <c r="E78" i="27"/>
  <c r="D80" i="27"/>
  <c r="E80" i="27"/>
  <c r="D81" i="27"/>
  <c r="E81" i="27"/>
  <c r="D82" i="27"/>
  <c r="E82" i="27"/>
  <c r="D84" i="27"/>
  <c r="E84" i="27"/>
  <c r="D91" i="27"/>
  <c r="E91" i="27"/>
  <c r="D177" i="27"/>
  <c r="E177" i="27"/>
  <c r="D139" i="27"/>
  <c r="E139" i="27"/>
  <c r="D104" i="27"/>
  <c r="E104" i="27"/>
  <c r="D164" i="27"/>
  <c r="E164" i="27"/>
  <c r="D44" i="27"/>
  <c r="E44" i="27"/>
  <c r="D106" i="27"/>
  <c r="E106" i="27"/>
  <c r="D93" i="27"/>
  <c r="E93" i="27"/>
  <c r="D118" i="27"/>
  <c r="E118" i="27"/>
  <c r="D123" i="27"/>
  <c r="E123" i="27"/>
  <c r="D162" i="27"/>
  <c r="E162" i="27"/>
  <c r="D124" i="27"/>
  <c r="E124" i="27"/>
  <c r="D125" i="27"/>
  <c r="E125" i="27"/>
  <c r="D128" i="27"/>
  <c r="E128" i="27"/>
  <c r="D132" i="27"/>
  <c r="E132" i="27"/>
  <c r="D134" i="27"/>
  <c r="E134" i="27"/>
  <c r="D137" i="27"/>
  <c r="AM137" i="27" s="1"/>
  <c r="AH137" i="27" s="1"/>
  <c r="E137" i="27"/>
  <c r="D138" i="27"/>
  <c r="E138" i="27"/>
  <c r="D143" i="27"/>
  <c r="E143" i="27"/>
  <c r="D148" i="27"/>
  <c r="E148" i="27"/>
  <c r="D2370" i="27"/>
  <c r="E2370" i="27"/>
  <c r="D166" i="27"/>
  <c r="E166" i="27"/>
  <c r="D175" i="27"/>
  <c r="E175" i="27"/>
  <c r="D178" i="27"/>
  <c r="E178" i="27"/>
  <c r="D181" i="27"/>
  <c r="E181" i="27"/>
  <c r="D183" i="27"/>
  <c r="E183" i="27"/>
  <c r="D184" i="27"/>
  <c r="E184" i="27"/>
  <c r="D185" i="27"/>
  <c r="E185" i="27"/>
  <c r="D186" i="27"/>
  <c r="E186" i="27"/>
  <c r="D201" i="27"/>
  <c r="E201" i="27"/>
  <c r="AF123" i="27"/>
  <c r="AE123" i="27"/>
  <c r="AD123" i="27"/>
  <c r="AC123" i="27"/>
  <c r="AB123" i="27"/>
  <c r="R123" i="27"/>
  <c r="Q123" i="27"/>
  <c r="P123" i="27"/>
  <c r="B29" i="30"/>
  <c r="B13" i="30"/>
  <c r="B143" i="30"/>
  <c r="B97" i="30"/>
  <c r="B206" i="30"/>
  <c r="B101" i="30"/>
  <c r="B37" i="30"/>
  <c r="B54" i="30"/>
  <c r="B44" i="30"/>
  <c r="B32" i="30"/>
  <c r="B144" i="30"/>
  <c r="B123" i="30"/>
  <c r="B119" i="30"/>
  <c r="AF1846" i="27"/>
  <c r="AE1846" i="27"/>
  <c r="AD1846" i="27"/>
  <c r="AC1846" i="27"/>
  <c r="AB1846" i="27"/>
  <c r="R1846" i="27"/>
  <c r="Q1846" i="27"/>
  <c r="P1846" i="27"/>
  <c r="AF163" i="27"/>
  <c r="AE163" i="27"/>
  <c r="AD163" i="27"/>
  <c r="AC163" i="27"/>
  <c r="AB163" i="27"/>
  <c r="R163" i="27"/>
  <c r="Q163" i="27"/>
  <c r="P163" i="27"/>
  <c r="AF1845" i="27"/>
  <c r="AE1845" i="27"/>
  <c r="AD1845" i="27"/>
  <c r="AC1845" i="27"/>
  <c r="AB1845" i="27"/>
  <c r="R1845" i="27"/>
  <c r="Q1845" i="27"/>
  <c r="P1845" i="27"/>
  <c r="AF1750" i="27"/>
  <c r="AE1750" i="27"/>
  <c r="AD1750" i="27"/>
  <c r="AC1750" i="27"/>
  <c r="AB1750" i="27"/>
  <c r="R1750" i="27"/>
  <c r="Q1750" i="27"/>
  <c r="P1750" i="27"/>
  <c r="E1750" i="27"/>
  <c r="D1750" i="27"/>
  <c r="AF49" i="27"/>
  <c r="AE49" i="27"/>
  <c r="AD49" i="27"/>
  <c r="AC49" i="27"/>
  <c r="AB49" i="27"/>
  <c r="R49" i="27"/>
  <c r="Q49" i="27"/>
  <c r="P49" i="27"/>
  <c r="AF18" i="27"/>
  <c r="AE18" i="27"/>
  <c r="AD18" i="27"/>
  <c r="AC18" i="27"/>
  <c r="AB18" i="27"/>
  <c r="R18" i="27"/>
  <c r="Q18" i="27"/>
  <c r="P18" i="27"/>
  <c r="E18" i="27"/>
  <c r="D18" i="27"/>
  <c r="AF71" i="27"/>
  <c r="AE71" i="27"/>
  <c r="AD71" i="27"/>
  <c r="AC71" i="27"/>
  <c r="AB71" i="27"/>
  <c r="R71" i="27"/>
  <c r="Q71" i="27"/>
  <c r="P71" i="27"/>
  <c r="AF23" i="27"/>
  <c r="AE23" i="27"/>
  <c r="AD23" i="27"/>
  <c r="AC23" i="27"/>
  <c r="AB23" i="27"/>
  <c r="R23" i="27"/>
  <c r="Q23" i="27"/>
  <c r="P23" i="27"/>
  <c r="B19" i="30"/>
  <c r="B200" i="30"/>
  <c r="B113" i="30"/>
  <c r="B64" i="30"/>
  <c r="B41" i="30"/>
  <c r="B28" i="30"/>
  <c r="A2659" i="32"/>
  <c r="B2659" i="32" s="1"/>
  <c r="C2659" i="32"/>
  <c r="AF105" i="27"/>
  <c r="AE105" i="27"/>
  <c r="AD105" i="27"/>
  <c r="AC105" i="27"/>
  <c r="AB105" i="27"/>
  <c r="R105" i="27"/>
  <c r="Q105" i="27"/>
  <c r="P105" i="27"/>
  <c r="AF50" i="27"/>
  <c r="AE50" i="27"/>
  <c r="AD50" i="27"/>
  <c r="AC50" i="27"/>
  <c r="AB50" i="27"/>
  <c r="R50" i="27"/>
  <c r="Q50" i="27"/>
  <c r="P50" i="27"/>
  <c r="AF1804" i="27"/>
  <c r="AE1804" i="27"/>
  <c r="AD1804" i="27"/>
  <c r="AC1804" i="27"/>
  <c r="AB1804" i="27"/>
  <c r="R1804" i="27"/>
  <c r="Q1804" i="27"/>
  <c r="P1804" i="27"/>
  <c r="E1804" i="27"/>
  <c r="D1804" i="27"/>
  <c r="AF1683" i="27"/>
  <c r="AE1683" i="27"/>
  <c r="AD1683" i="27"/>
  <c r="AC1683" i="27"/>
  <c r="AB1683" i="27"/>
  <c r="R1683" i="27"/>
  <c r="Q1683" i="27"/>
  <c r="P1683" i="27"/>
  <c r="E1683" i="27"/>
  <c r="D1683" i="27"/>
  <c r="A983" i="32"/>
  <c r="B983" i="32" s="1"/>
  <c r="C983" i="32"/>
  <c r="A1720" i="32"/>
  <c r="B1720" i="32" s="1"/>
  <c r="C1720" i="32"/>
  <c r="A1411" i="32"/>
  <c r="B1411" i="32" s="1"/>
  <c r="C1411" i="32"/>
  <c r="A948" i="32"/>
  <c r="B948" i="32" s="1"/>
  <c r="C948" i="32"/>
  <c r="A763" i="32"/>
  <c r="B763" i="32" s="1"/>
  <c r="C763" i="32"/>
  <c r="A1796" i="32"/>
  <c r="B1796" i="32" s="1"/>
  <c r="C1796" i="32"/>
  <c r="A2345" i="32"/>
  <c r="B2345" i="32" s="1"/>
  <c r="C2345" i="32"/>
  <c r="A1283" i="32"/>
  <c r="B1283" i="32" s="1"/>
  <c r="C1283" i="32"/>
  <c r="A1155" i="32"/>
  <c r="B1155" i="32" s="1"/>
  <c r="C1155" i="32"/>
  <c r="A437" i="32"/>
  <c r="B437" i="32" s="1"/>
  <c r="C437" i="32"/>
  <c r="A237" i="32"/>
  <c r="B237" i="32" s="1"/>
  <c r="C237" i="32"/>
  <c r="A191" i="32"/>
  <c r="B191" i="32" s="1"/>
  <c r="C191" i="32"/>
  <c r="A1490" i="32"/>
  <c r="B1490" i="32" s="1"/>
  <c r="C1490" i="32"/>
  <c r="A1547" i="32"/>
  <c r="B1547" i="32" s="1"/>
  <c r="C1547" i="32"/>
  <c r="B161" i="30"/>
  <c r="B76" i="30"/>
  <c r="B87" i="30"/>
  <c r="B49" i="30"/>
  <c r="B182" i="30"/>
  <c r="B176" i="30"/>
  <c r="B163" i="30"/>
  <c r="B147" i="30"/>
  <c r="AF138" i="27"/>
  <c r="AE138" i="27"/>
  <c r="AD138" i="27"/>
  <c r="AC138" i="27"/>
  <c r="AB138" i="27"/>
  <c r="R138" i="27"/>
  <c r="Q138" i="27"/>
  <c r="P138" i="27"/>
  <c r="P178" i="27"/>
  <c r="Q178" i="27"/>
  <c r="R178" i="27"/>
  <c r="AB178" i="27"/>
  <c r="AC178" i="27"/>
  <c r="AD178" i="27"/>
  <c r="AE178" i="27"/>
  <c r="AF178" i="27"/>
  <c r="AF2367" i="27"/>
  <c r="AE2367" i="27"/>
  <c r="AD2367" i="27"/>
  <c r="AC2367" i="27"/>
  <c r="AB2367" i="27"/>
  <c r="R2367" i="27"/>
  <c r="Q2367" i="27"/>
  <c r="P2367" i="27"/>
  <c r="E2367" i="27"/>
  <c r="D2367" i="27"/>
  <c r="AF55" i="27"/>
  <c r="AE55" i="27"/>
  <c r="AD55" i="27"/>
  <c r="AC55" i="27"/>
  <c r="AB55" i="27"/>
  <c r="R55" i="27"/>
  <c r="Q55" i="27"/>
  <c r="P55" i="27"/>
  <c r="AF46" i="27"/>
  <c r="AE46" i="27"/>
  <c r="AD46" i="27"/>
  <c r="AC46" i="27"/>
  <c r="AB46" i="27"/>
  <c r="R46" i="27"/>
  <c r="Q46" i="27"/>
  <c r="P46" i="27"/>
  <c r="AF1859" i="27"/>
  <c r="AE1859" i="27"/>
  <c r="AD1859" i="27"/>
  <c r="AC1859" i="27"/>
  <c r="AB1859" i="27"/>
  <c r="R1859" i="27"/>
  <c r="Q1859" i="27"/>
  <c r="P1859" i="27"/>
  <c r="E1859" i="27"/>
  <c r="D1859" i="27"/>
  <c r="AF1857" i="27"/>
  <c r="AE1857" i="27"/>
  <c r="AD1857" i="27"/>
  <c r="AC1857" i="27"/>
  <c r="AB1857" i="27"/>
  <c r="R1857" i="27"/>
  <c r="Q1857" i="27"/>
  <c r="P1857" i="27"/>
  <c r="E1857" i="27"/>
  <c r="D1857" i="27"/>
  <c r="AF1677" i="27"/>
  <c r="AE1677" i="27"/>
  <c r="AD1677" i="27"/>
  <c r="AC1677" i="27"/>
  <c r="AB1677" i="27"/>
  <c r="R1677" i="27"/>
  <c r="Q1677" i="27"/>
  <c r="P1677" i="27"/>
  <c r="E1677" i="27"/>
  <c r="D1677" i="27"/>
  <c r="P1856" i="27"/>
  <c r="Q1856" i="27"/>
  <c r="R1856" i="27"/>
  <c r="AB1856" i="27"/>
  <c r="AC1856" i="27"/>
  <c r="AD1856" i="27"/>
  <c r="AE1856" i="27"/>
  <c r="AF1856" i="27"/>
  <c r="P1858" i="27"/>
  <c r="Q1858" i="27"/>
  <c r="R1858" i="27"/>
  <c r="AB1858" i="27"/>
  <c r="AC1858" i="27"/>
  <c r="AD1858" i="27"/>
  <c r="AE1858" i="27"/>
  <c r="AF1858" i="27"/>
  <c r="P1860" i="27"/>
  <c r="Q1860" i="27"/>
  <c r="R1860" i="27"/>
  <c r="AB1860" i="27"/>
  <c r="AC1860" i="27"/>
  <c r="AD1860" i="27"/>
  <c r="AE1860" i="27"/>
  <c r="AF1860" i="27"/>
  <c r="AF264" i="27"/>
  <c r="AE264" i="27"/>
  <c r="AD264" i="27"/>
  <c r="AC264" i="27"/>
  <c r="AB264" i="27"/>
  <c r="R264" i="27"/>
  <c r="Q264" i="27"/>
  <c r="P264" i="27"/>
  <c r="E264" i="27"/>
  <c r="D264" i="27"/>
  <c r="AQ264" i="27" s="1"/>
  <c r="AR264" i="27" s="1"/>
  <c r="AS264" i="27" s="1"/>
  <c r="AF196" i="27"/>
  <c r="AE196" i="27"/>
  <c r="AD196" i="27"/>
  <c r="AC196" i="27"/>
  <c r="AB196" i="27"/>
  <c r="R196" i="27"/>
  <c r="Q196" i="27"/>
  <c r="P196" i="27"/>
  <c r="E196" i="27"/>
  <c r="D196" i="27"/>
  <c r="AF204" i="27"/>
  <c r="AE204" i="27"/>
  <c r="AD204" i="27"/>
  <c r="AC204" i="27"/>
  <c r="AB204" i="27"/>
  <c r="R204" i="27"/>
  <c r="Q204" i="27"/>
  <c r="P204" i="27"/>
  <c r="E204" i="27"/>
  <c r="D204" i="27"/>
  <c r="AF87" i="27"/>
  <c r="AE87" i="27"/>
  <c r="AD87" i="27"/>
  <c r="AC87" i="27"/>
  <c r="AB87" i="27"/>
  <c r="R87" i="27"/>
  <c r="Q87" i="27"/>
  <c r="P87" i="27"/>
  <c r="E87" i="27"/>
  <c r="D87" i="27"/>
  <c r="AF194" i="27"/>
  <c r="AE194" i="27"/>
  <c r="AD194" i="27"/>
  <c r="AC194" i="27"/>
  <c r="AB194" i="27"/>
  <c r="R194" i="27"/>
  <c r="Q194" i="27"/>
  <c r="P194" i="27"/>
  <c r="E194" i="27"/>
  <c r="D194" i="27"/>
  <c r="AF156" i="27"/>
  <c r="AE156" i="27"/>
  <c r="AD156" i="27"/>
  <c r="AC156" i="27"/>
  <c r="AB156" i="27"/>
  <c r="R156" i="27"/>
  <c r="Q156" i="27"/>
  <c r="P156" i="27"/>
  <c r="E156" i="27"/>
  <c r="D156" i="27"/>
  <c r="AF265" i="27"/>
  <c r="AE265" i="27"/>
  <c r="AD265" i="27"/>
  <c r="AC265" i="27"/>
  <c r="AB265" i="27"/>
  <c r="R265" i="27"/>
  <c r="Q265" i="27"/>
  <c r="P265" i="27"/>
  <c r="E265" i="27"/>
  <c r="D265" i="27"/>
  <c r="AF3171" i="27"/>
  <c r="AE3171" i="27"/>
  <c r="AD3171" i="27"/>
  <c r="AC3171" i="27"/>
  <c r="AB3171" i="27"/>
  <c r="R3171" i="27"/>
  <c r="Q3171" i="27"/>
  <c r="P3171" i="27"/>
  <c r="E3171" i="27"/>
  <c r="D3171" i="27"/>
  <c r="AF111" i="27"/>
  <c r="AE111" i="27"/>
  <c r="AD111" i="27"/>
  <c r="AC111" i="27"/>
  <c r="AB111" i="27"/>
  <c r="R111" i="27"/>
  <c r="Q111" i="27"/>
  <c r="P111" i="27"/>
  <c r="E111" i="27"/>
  <c r="D111" i="27"/>
  <c r="AF3161" i="27"/>
  <c r="AE3161" i="27"/>
  <c r="AD3161" i="27"/>
  <c r="AC3161" i="27"/>
  <c r="AB3161" i="27"/>
  <c r="R3161" i="27"/>
  <c r="Q3161" i="27"/>
  <c r="P3161" i="27"/>
  <c r="E3161" i="27"/>
  <c r="D3161" i="27"/>
  <c r="AF254" i="27"/>
  <c r="AE254" i="27"/>
  <c r="AD254" i="27"/>
  <c r="AC254" i="27"/>
  <c r="AB254" i="27"/>
  <c r="R254" i="27"/>
  <c r="Q254" i="27"/>
  <c r="P254" i="27"/>
  <c r="E254" i="27"/>
  <c r="D254" i="27"/>
  <c r="AF189" i="27"/>
  <c r="AE189" i="27"/>
  <c r="AD189" i="27"/>
  <c r="AC189" i="27"/>
  <c r="AB189" i="27"/>
  <c r="R189" i="27"/>
  <c r="Q189" i="27"/>
  <c r="P189" i="27"/>
  <c r="E189" i="27"/>
  <c r="D189" i="27"/>
  <c r="AF1862" i="27"/>
  <c r="AE1862" i="27"/>
  <c r="AD1862" i="27"/>
  <c r="AC1862" i="27"/>
  <c r="AB1862" i="27"/>
  <c r="R1862" i="27"/>
  <c r="Q1862" i="27"/>
  <c r="P1862" i="27"/>
  <c r="AF2362" i="27"/>
  <c r="AE2362" i="27"/>
  <c r="AD2362" i="27"/>
  <c r="AC2362" i="27"/>
  <c r="AB2362" i="27"/>
  <c r="R2362" i="27"/>
  <c r="Q2362" i="27"/>
  <c r="P2362" i="27"/>
  <c r="E2362" i="27"/>
  <c r="D2362" i="27"/>
  <c r="AF168" i="27"/>
  <c r="AE168" i="27"/>
  <c r="AD168" i="27"/>
  <c r="AC168" i="27"/>
  <c r="AB168" i="27"/>
  <c r="R168" i="27"/>
  <c r="Q168" i="27"/>
  <c r="P168" i="27"/>
  <c r="E168" i="27"/>
  <c r="D168" i="27"/>
  <c r="AF146" i="27"/>
  <c r="AE146" i="27"/>
  <c r="AD146" i="27"/>
  <c r="AC146" i="27"/>
  <c r="AB146" i="27"/>
  <c r="R146" i="27"/>
  <c r="Q146" i="27"/>
  <c r="P146" i="27"/>
  <c r="E146" i="27"/>
  <c r="D146" i="27"/>
  <c r="AF85" i="27"/>
  <c r="AE85" i="27"/>
  <c r="AD85" i="27"/>
  <c r="AC85" i="27"/>
  <c r="AB85" i="27"/>
  <c r="R85" i="27"/>
  <c r="Q85" i="27"/>
  <c r="P85" i="27"/>
  <c r="E85" i="27"/>
  <c r="D85" i="27"/>
  <c r="AF68" i="27"/>
  <c r="AE68" i="27"/>
  <c r="AD68" i="27"/>
  <c r="AC68" i="27"/>
  <c r="AB68" i="27"/>
  <c r="R68" i="27"/>
  <c r="Q68" i="27"/>
  <c r="P68" i="27"/>
  <c r="E68" i="27"/>
  <c r="D68" i="27"/>
  <c r="AF37" i="27"/>
  <c r="AE37" i="27"/>
  <c r="AD37" i="27"/>
  <c r="AC37" i="27"/>
  <c r="AB37" i="27"/>
  <c r="R37" i="27"/>
  <c r="Q37" i="27"/>
  <c r="P37" i="27"/>
  <c r="AF3278" i="27"/>
  <c r="AE3278" i="27"/>
  <c r="AD3278" i="27"/>
  <c r="AC3278" i="27"/>
  <c r="AB3278" i="27"/>
  <c r="R3278" i="27"/>
  <c r="Q3278" i="27"/>
  <c r="P3278" i="27"/>
  <c r="E3278" i="27"/>
  <c r="D3278" i="27"/>
  <c r="AF262" i="27"/>
  <c r="AE262" i="27"/>
  <c r="AD262" i="27"/>
  <c r="AC262" i="27"/>
  <c r="AB262" i="27"/>
  <c r="R262" i="27"/>
  <c r="Q262" i="27"/>
  <c r="P262" i="27"/>
  <c r="E262" i="27"/>
  <c r="D262" i="27"/>
  <c r="AQ262" i="27" s="1"/>
  <c r="AR262" i="27" s="1"/>
  <c r="AS262" i="27" s="1"/>
  <c r="AF3276" i="27"/>
  <c r="AE3276" i="27"/>
  <c r="AD3276" i="27"/>
  <c r="AC3276" i="27"/>
  <c r="AB3276" i="27"/>
  <c r="R3276" i="27"/>
  <c r="Q3276" i="27"/>
  <c r="P3276" i="27"/>
  <c r="E3276" i="27"/>
  <c r="D3276" i="27"/>
  <c r="AF3168" i="27"/>
  <c r="AE3168" i="27"/>
  <c r="AD3168" i="27"/>
  <c r="AC3168" i="27"/>
  <c r="AB3168" i="27"/>
  <c r="R3168" i="27"/>
  <c r="Q3168" i="27"/>
  <c r="P3168" i="27"/>
  <c r="E3168" i="27"/>
  <c r="D3168" i="27"/>
  <c r="A1992" i="32"/>
  <c r="B1992" i="32" s="1"/>
  <c r="C1992" i="32"/>
  <c r="A760" i="32"/>
  <c r="B760" i="32" s="1"/>
  <c r="C760" i="32"/>
  <c r="A168" i="32"/>
  <c r="B168" i="32" s="1"/>
  <c r="C168" i="32"/>
  <c r="A728" i="32"/>
  <c r="B728" i="32" s="1"/>
  <c r="C728" i="32"/>
  <c r="A2121" i="32"/>
  <c r="B2121" i="32" s="1"/>
  <c r="C2121" i="32"/>
  <c r="A2471" i="32"/>
  <c r="B2471" i="32" s="1"/>
  <c r="C2471" i="32"/>
  <c r="A750" i="32"/>
  <c r="B750" i="32" s="1"/>
  <c r="D750" i="32" s="1"/>
  <c r="C750" i="32"/>
  <c r="A1745" i="32"/>
  <c r="B1745" i="32" s="1"/>
  <c r="C1745" i="32"/>
  <c r="A2168" i="32"/>
  <c r="B2168" i="32" s="1"/>
  <c r="C2168" i="32"/>
  <c r="A1194" i="32"/>
  <c r="B1194" i="32" s="1"/>
  <c r="C1194" i="32"/>
  <c r="A885" i="32"/>
  <c r="B885" i="32" s="1"/>
  <c r="C885" i="32"/>
  <c r="A1004" i="32"/>
  <c r="B1004" i="32" s="1"/>
  <c r="C1004" i="32"/>
  <c r="A104" i="32"/>
  <c r="B104" i="32" s="1"/>
  <c r="D104" i="32" s="1"/>
  <c r="C104" i="32"/>
  <c r="A1864" i="32"/>
  <c r="B1864" i="32" s="1"/>
  <c r="C1864" i="32"/>
  <c r="A761" i="32"/>
  <c r="B761" i="32" s="1"/>
  <c r="C761" i="32"/>
  <c r="A2071" i="32"/>
  <c r="B2071" i="32" s="1"/>
  <c r="C2071" i="32"/>
  <c r="A19" i="32"/>
  <c r="B19" i="32" s="1"/>
  <c r="C19" i="32"/>
  <c r="A171" i="32"/>
  <c r="B171" i="32" s="1"/>
  <c r="C171" i="32"/>
  <c r="B34" i="30"/>
  <c r="B184" i="30"/>
  <c r="B183" i="30"/>
  <c r="B70" i="30"/>
  <c r="B67" i="30"/>
  <c r="B47" i="30"/>
  <c r="AF1866" i="27"/>
  <c r="AE1866" i="27"/>
  <c r="AD1866" i="27"/>
  <c r="AC1866" i="27"/>
  <c r="AB1866" i="27"/>
  <c r="R1866" i="27"/>
  <c r="Q1866" i="27"/>
  <c r="P1866" i="27"/>
  <c r="A581" i="32"/>
  <c r="B581" i="32" s="1"/>
  <c r="C581" i="32"/>
  <c r="AF1687" i="27"/>
  <c r="AE1687" i="27"/>
  <c r="AD1687" i="27"/>
  <c r="AC1687" i="27"/>
  <c r="AB1687" i="27"/>
  <c r="R1687" i="27"/>
  <c r="Q1687" i="27"/>
  <c r="P1687" i="27"/>
  <c r="E1687" i="27"/>
  <c r="D1687" i="27"/>
  <c r="AF51" i="27"/>
  <c r="AE51" i="27"/>
  <c r="AD51" i="27"/>
  <c r="AC51" i="27"/>
  <c r="AB51" i="27"/>
  <c r="R51" i="27"/>
  <c r="Q51" i="27"/>
  <c r="P51" i="27"/>
  <c r="AF1814" i="27"/>
  <c r="AE1814" i="27"/>
  <c r="AD1814" i="27"/>
  <c r="AC1814" i="27"/>
  <c r="AB1814" i="27"/>
  <c r="R1814" i="27"/>
  <c r="Q1814" i="27"/>
  <c r="P1814" i="27"/>
  <c r="E1814" i="27"/>
  <c r="D1814" i="27"/>
  <c r="AF1809" i="27"/>
  <c r="AE1809" i="27"/>
  <c r="AD1809" i="27"/>
  <c r="AC1809" i="27"/>
  <c r="AB1809" i="27"/>
  <c r="R1809" i="27"/>
  <c r="Q1809" i="27"/>
  <c r="P1809" i="27"/>
  <c r="E1809" i="27"/>
  <c r="D1809" i="27"/>
  <c r="AF2361" i="27"/>
  <c r="AE2361" i="27"/>
  <c r="AD2361" i="27"/>
  <c r="AC2361" i="27"/>
  <c r="AB2361" i="27"/>
  <c r="R2361" i="27"/>
  <c r="Q2361" i="27"/>
  <c r="P2361" i="27"/>
  <c r="E2361" i="27"/>
  <c r="D2361" i="27"/>
  <c r="B179" i="30"/>
  <c r="B78" i="30"/>
  <c r="B30" i="30"/>
  <c r="AF3170" i="27"/>
  <c r="AE3170" i="27"/>
  <c r="AD3170" i="27"/>
  <c r="AC3170" i="27"/>
  <c r="AB3170" i="27"/>
  <c r="R3170" i="27"/>
  <c r="Q3170" i="27"/>
  <c r="P3170" i="27"/>
  <c r="E3170" i="27"/>
  <c r="D3170" i="27"/>
  <c r="AM3170" i="27" s="1"/>
  <c r="AN3170" i="27" s="1"/>
  <c r="AO3170" i="27" s="1"/>
  <c r="AF246" i="27"/>
  <c r="AE246" i="27"/>
  <c r="AD246" i="27"/>
  <c r="AC246" i="27"/>
  <c r="AB246" i="27"/>
  <c r="R246" i="27"/>
  <c r="Q246" i="27"/>
  <c r="P246" i="27"/>
  <c r="E246" i="27"/>
  <c r="D246" i="27"/>
  <c r="AF1852" i="27"/>
  <c r="AE1852" i="27"/>
  <c r="AD1852" i="27"/>
  <c r="AC1852" i="27"/>
  <c r="AB1852" i="27"/>
  <c r="R1852" i="27"/>
  <c r="Q1852" i="27"/>
  <c r="P1852" i="27"/>
  <c r="AF3169" i="27"/>
  <c r="AE3169" i="27"/>
  <c r="AD3169" i="27"/>
  <c r="AC3169" i="27"/>
  <c r="AB3169" i="27"/>
  <c r="R3169" i="27"/>
  <c r="Q3169" i="27"/>
  <c r="P3169" i="27"/>
  <c r="E3169" i="27"/>
  <c r="D3169" i="27"/>
  <c r="AF227" i="27"/>
  <c r="AE227" i="27"/>
  <c r="AD227" i="27"/>
  <c r="AC227" i="27"/>
  <c r="AB227" i="27"/>
  <c r="R227" i="27"/>
  <c r="Q227" i="27"/>
  <c r="P227" i="27"/>
  <c r="E227" i="27"/>
  <c r="D227" i="27"/>
  <c r="AF3167" i="27"/>
  <c r="AE3167" i="27"/>
  <c r="AD3167" i="27"/>
  <c r="AC3167" i="27"/>
  <c r="AB3167" i="27"/>
  <c r="R3167" i="27"/>
  <c r="Q3167" i="27"/>
  <c r="P3167" i="27"/>
  <c r="E3167" i="27"/>
  <c r="D3167" i="27"/>
  <c r="AF3269" i="27"/>
  <c r="AE3269" i="27"/>
  <c r="AD3269" i="27"/>
  <c r="AC3269" i="27"/>
  <c r="AB3269" i="27"/>
  <c r="R3269" i="27"/>
  <c r="Q3269" i="27"/>
  <c r="P3269" i="27"/>
  <c r="E3269" i="27"/>
  <c r="D3269" i="27"/>
  <c r="AF2063" i="27"/>
  <c r="AE2063" i="27"/>
  <c r="AD2063" i="27"/>
  <c r="AC2063" i="27"/>
  <c r="AB2063" i="27"/>
  <c r="R2063" i="27"/>
  <c r="Q2063" i="27"/>
  <c r="P2063" i="27"/>
  <c r="E2063" i="27"/>
  <c r="D2063" i="27"/>
  <c r="AF2065" i="27"/>
  <c r="AE2065" i="27"/>
  <c r="AD2065" i="27"/>
  <c r="AC2065" i="27"/>
  <c r="AB2065" i="27"/>
  <c r="R2065" i="27"/>
  <c r="Q2065" i="27"/>
  <c r="P2065" i="27"/>
  <c r="E2065" i="27"/>
  <c r="D2065" i="27"/>
  <c r="AF1853" i="27"/>
  <c r="AE1853" i="27"/>
  <c r="AD1853" i="27"/>
  <c r="AC1853" i="27"/>
  <c r="AB1853" i="27"/>
  <c r="R1853" i="27"/>
  <c r="Q1853" i="27"/>
  <c r="P1853" i="27"/>
  <c r="AF256" i="27"/>
  <c r="AE256" i="27"/>
  <c r="AD256" i="27"/>
  <c r="AC256" i="27"/>
  <c r="AB256" i="27"/>
  <c r="R256" i="27"/>
  <c r="Q256" i="27"/>
  <c r="P256" i="27"/>
  <c r="E256" i="27"/>
  <c r="D256" i="27"/>
  <c r="AF1863" i="27"/>
  <c r="AE1863" i="27"/>
  <c r="AD1863" i="27"/>
  <c r="AC1863" i="27"/>
  <c r="AB1863" i="27"/>
  <c r="R1863" i="27"/>
  <c r="Q1863" i="27"/>
  <c r="P1863" i="27"/>
  <c r="A2189" i="32"/>
  <c r="B2189" i="32" s="1"/>
  <c r="C2189" i="32"/>
  <c r="A2598" i="32"/>
  <c r="B2598" i="32" s="1"/>
  <c r="C2598" i="32"/>
  <c r="A1602" i="32"/>
  <c r="B1602" i="32" s="1"/>
  <c r="C1602" i="32"/>
  <c r="A1921" i="32"/>
  <c r="B1921" i="32" s="1"/>
  <c r="C1921" i="32"/>
  <c r="A83" i="32"/>
  <c r="B83" i="32" s="1"/>
  <c r="C83" i="32"/>
  <c r="A273" i="32"/>
  <c r="B273" i="32" s="1"/>
  <c r="C273" i="32"/>
  <c r="B114" i="30"/>
  <c r="B12" i="30"/>
  <c r="AF1831" i="27"/>
  <c r="AE1831" i="27"/>
  <c r="AD1831" i="27"/>
  <c r="AC1831" i="27"/>
  <c r="AB1831" i="27"/>
  <c r="R1831" i="27"/>
  <c r="Q1831" i="27"/>
  <c r="P1831" i="27"/>
  <c r="A1601" i="32"/>
  <c r="B1601" i="32" s="1"/>
  <c r="C1601" i="32"/>
  <c r="A774" i="32"/>
  <c r="B774" i="32" s="1"/>
  <c r="C774" i="32"/>
  <c r="A1255" i="32"/>
  <c r="B1255" i="32" s="1"/>
  <c r="C1255" i="32"/>
  <c r="A125" i="32"/>
  <c r="B125" i="32" s="1"/>
  <c r="C125" i="32"/>
  <c r="A1014" i="32"/>
  <c r="B1014" i="32" s="1"/>
  <c r="C1014" i="32"/>
  <c r="A1023" i="32"/>
  <c r="B1023" i="32" s="1"/>
  <c r="C1023" i="32"/>
  <c r="A649" i="32"/>
  <c r="B649" i="32" s="1"/>
  <c r="C649" i="32"/>
  <c r="B84" i="30"/>
  <c r="AF1810" i="27"/>
  <c r="AE1810" i="27"/>
  <c r="AD1810" i="27"/>
  <c r="AC1810" i="27"/>
  <c r="AB1810" i="27"/>
  <c r="R1810" i="27"/>
  <c r="Q1810" i="27"/>
  <c r="P1810" i="27"/>
  <c r="E1810" i="27"/>
  <c r="D1810" i="27"/>
  <c r="E1759" i="27"/>
  <c r="AF1760" i="27"/>
  <c r="AE1760" i="27"/>
  <c r="AD1760" i="27"/>
  <c r="AC1760" i="27"/>
  <c r="AB1760" i="27"/>
  <c r="R1760" i="27"/>
  <c r="Q1760" i="27"/>
  <c r="P1760" i="27"/>
  <c r="E1760" i="27"/>
  <c r="D1760" i="27"/>
  <c r="AF241" i="27"/>
  <c r="AE241" i="27"/>
  <c r="AD241" i="27"/>
  <c r="AC241" i="27"/>
  <c r="AB241" i="27"/>
  <c r="R241" i="27"/>
  <c r="Q241" i="27"/>
  <c r="P241" i="27"/>
  <c r="E241" i="27"/>
  <c r="D241" i="27"/>
  <c r="AF188" i="27"/>
  <c r="AE188" i="27"/>
  <c r="AD188" i="27"/>
  <c r="AC188" i="27"/>
  <c r="AB188" i="27"/>
  <c r="R188" i="27"/>
  <c r="Q188" i="27"/>
  <c r="P188" i="27"/>
  <c r="E188" i="27"/>
  <c r="D188" i="27"/>
  <c r="AF208" i="27"/>
  <c r="AE208" i="27"/>
  <c r="AD208" i="27"/>
  <c r="AC208" i="27"/>
  <c r="AB208" i="27"/>
  <c r="R208" i="27"/>
  <c r="Q208" i="27"/>
  <c r="P208" i="27"/>
  <c r="E208" i="27"/>
  <c r="D208" i="27"/>
  <c r="AF110" i="27"/>
  <c r="AE110" i="27"/>
  <c r="AD110" i="27"/>
  <c r="AC110" i="27"/>
  <c r="AB110" i="27"/>
  <c r="R110" i="27"/>
  <c r="Q110" i="27"/>
  <c r="P110" i="27"/>
  <c r="E110" i="27"/>
  <c r="D110" i="27"/>
  <c r="AF155" i="27"/>
  <c r="AE155" i="27"/>
  <c r="AD155" i="27"/>
  <c r="AC155" i="27"/>
  <c r="AB155" i="27"/>
  <c r="R155" i="27"/>
  <c r="Q155" i="27"/>
  <c r="P155" i="27"/>
  <c r="E155" i="27"/>
  <c r="D155" i="27"/>
  <c r="AF154" i="27"/>
  <c r="AE154" i="27"/>
  <c r="AD154" i="27"/>
  <c r="AC154" i="27"/>
  <c r="AB154" i="27"/>
  <c r="R154" i="27"/>
  <c r="Q154" i="27"/>
  <c r="P154" i="27"/>
  <c r="E154" i="27"/>
  <c r="D154" i="27"/>
  <c r="AF166" i="27"/>
  <c r="AE166" i="27"/>
  <c r="AD166" i="27"/>
  <c r="AC166" i="27"/>
  <c r="AB166" i="27"/>
  <c r="R166" i="27"/>
  <c r="Q166" i="27"/>
  <c r="P166" i="27"/>
  <c r="AF165" i="27"/>
  <c r="AE165" i="27"/>
  <c r="AD165" i="27"/>
  <c r="AC165" i="27"/>
  <c r="AB165" i="27"/>
  <c r="R165" i="27"/>
  <c r="Q165" i="27"/>
  <c r="P165" i="27"/>
  <c r="E165" i="27"/>
  <c r="D165" i="27"/>
  <c r="AF186" i="27"/>
  <c r="AE186" i="27"/>
  <c r="AD186" i="27"/>
  <c r="AC186" i="27"/>
  <c r="AB186" i="27"/>
  <c r="R186" i="27"/>
  <c r="Q186" i="27"/>
  <c r="P186" i="27"/>
  <c r="AF3254" i="27"/>
  <c r="AE3254" i="27"/>
  <c r="AD3254" i="27"/>
  <c r="AC3254" i="27"/>
  <c r="AB3254" i="27"/>
  <c r="R3254" i="27"/>
  <c r="Q3254" i="27"/>
  <c r="P3254" i="27"/>
  <c r="E3254" i="27"/>
  <c r="D3254" i="27"/>
  <c r="AM3254" i="27" s="1"/>
  <c r="AF53" i="27"/>
  <c r="AE53" i="27"/>
  <c r="AD53" i="27"/>
  <c r="AC53" i="27"/>
  <c r="AB53" i="27"/>
  <c r="R53" i="27"/>
  <c r="Q53" i="27"/>
  <c r="P53" i="27"/>
  <c r="A2318" i="32"/>
  <c r="B2318" i="32" s="1"/>
  <c r="C2318" i="32"/>
  <c r="A640" i="32"/>
  <c r="B640" i="32" s="1"/>
  <c r="C640" i="32"/>
  <c r="A2029" i="32"/>
  <c r="B2029" i="32" s="1"/>
  <c r="C2029" i="32"/>
  <c r="B98" i="30"/>
  <c r="B86" i="30"/>
  <c r="B74" i="30"/>
  <c r="B138" i="30"/>
  <c r="B181" i="30"/>
  <c r="AF3201" i="27"/>
  <c r="AE3201" i="27"/>
  <c r="AD3201" i="27"/>
  <c r="AC3201" i="27"/>
  <c r="AB3201" i="27"/>
  <c r="R3201" i="27"/>
  <c r="Q3201" i="27"/>
  <c r="P3201" i="27"/>
  <c r="E3201" i="27"/>
  <c r="D3201" i="27"/>
  <c r="AF1813" i="27"/>
  <c r="AE1813" i="27"/>
  <c r="AD1813" i="27"/>
  <c r="AC1813" i="27"/>
  <c r="AB1813" i="27"/>
  <c r="R1813" i="27"/>
  <c r="Q1813" i="27"/>
  <c r="P1813" i="27"/>
  <c r="E1813" i="27"/>
  <c r="D1813" i="27"/>
  <c r="A158" i="32"/>
  <c r="B158" i="32" s="1"/>
  <c r="C158" i="32"/>
  <c r="A1728" i="32"/>
  <c r="B1728" i="32" s="1"/>
  <c r="C1728" i="32"/>
  <c r="A2584" i="32"/>
  <c r="B2584" i="32" s="1"/>
  <c r="C2584" i="32"/>
  <c r="A1457" i="32"/>
  <c r="B1457" i="32" s="1"/>
  <c r="C1457" i="32"/>
  <c r="A453" i="32"/>
  <c r="B453" i="32" s="1"/>
  <c r="C453" i="32"/>
  <c r="A1585" i="32"/>
  <c r="B1585" i="32" s="1"/>
  <c r="C1585" i="32"/>
  <c r="A2478" i="32"/>
  <c r="B2478" i="32" s="1"/>
  <c r="C2478" i="32"/>
  <c r="B120" i="30"/>
  <c r="P124" i="27"/>
  <c r="Q124" i="27"/>
  <c r="R124" i="27"/>
  <c r="AB124" i="27"/>
  <c r="AC124" i="27"/>
  <c r="AD124" i="27"/>
  <c r="AE124" i="27"/>
  <c r="AF124" i="27"/>
  <c r="AF1780" i="27"/>
  <c r="AE1780" i="27"/>
  <c r="AD1780" i="27"/>
  <c r="AC1780" i="27"/>
  <c r="AB1780" i="27"/>
  <c r="R1780" i="27"/>
  <c r="Q1780" i="27"/>
  <c r="P1780" i="27"/>
  <c r="E1780" i="27"/>
  <c r="D1780" i="27"/>
  <c r="A1059" i="32"/>
  <c r="B1059" i="32" s="1"/>
  <c r="C1059" i="32"/>
  <c r="A2380" i="32"/>
  <c r="B2380" i="32" s="1"/>
  <c r="C2380" i="32"/>
  <c r="A2501" i="32"/>
  <c r="B2501" i="32" s="1"/>
  <c r="C2501" i="32"/>
  <c r="AF1822" i="27"/>
  <c r="AE1822" i="27"/>
  <c r="AD1822" i="27"/>
  <c r="AC1822" i="27"/>
  <c r="AB1822" i="27"/>
  <c r="R1822" i="27"/>
  <c r="Q1822" i="27"/>
  <c r="P1822" i="27"/>
  <c r="AF3166" i="27"/>
  <c r="AE3166" i="27"/>
  <c r="AD3166" i="27"/>
  <c r="AC3166" i="27"/>
  <c r="AB3166" i="27"/>
  <c r="R3166" i="27"/>
  <c r="Q3166" i="27"/>
  <c r="P3166" i="27"/>
  <c r="E3166" i="27"/>
  <c r="D3166" i="27"/>
  <c r="AM3166" i="27" s="1"/>
  <c r="AH3166" i="27" s="1"/>
  <c r="AF106" i="27"/>
  <c r="AE106" i="27"/>
  <c r="AD106" i="27"/>
  <c r="AC106" i="27"/>
  <c r="AB106" i="27"/>
  <c r="R106" i="27"/>
  <c r="Q106" i="27"/>
  <c r="P106" i="27"/>
  <c r="AF3163" i="27"/>
  <c r="AE3163" i="27"/>
  <c r="AD3163" i="27"/>
  <c r="AC3163" i="27"/>
  <c r="AB3163" i="27"/>
  <c r="R3163" i="27"/>
  <c r="Q3163" i="27"/>
  <c r="P3163" i="27"/>
  <c r="E3163" i="27"/>
  <c r="D3163" i="27"/>
  <c r="AF44" i="27"/>
  <c r="AE44" i="27"/>
  <c r="AD44" i="27"/>
  <c r="AC44" i="27"/>
  <c r="AB44" i="27"/>
  <c r="R44" i="27"/>
  <c r="Q44" i="27"/>
  <c r="P44" i="27"/>
  <c r="AF180" i="27"/>
  <c r="AE180" i="27"/>
  <c r="AD180" i="27"/>
  <c r="AC180" i="27"/>
  <c r="AB180" i="27"/>
  <c r="R180" i="27"/>
  <c r="Q180" i="27"/>
  <c r="P180" i="27"/>
  <c r="E180" i="27"/>
  <c r="D180" i="27"/>
  <c r="AM180" i="27" s="1"/>
  <c r="AH180" i="27" s="1"/>
  <c r="AF203" i="27"/>
  <c r="AE203" i="27"/>
  <c r="AD203" i="27"/>
  <c r="AC203" i="27"/>
  <c r="AB203" i="27"/>
  <c r="R203" i="27"/>
  <c r="Q203" i="27"/>
  <c r="P203" i="27"/>
  <c r="E203" i="27"/>
  <c r="D203" i="27"/>
  <c r="AF260" i="27"/>
  <c r="AE260" i="27"/>
  <c r="AD260" i="27"/>
  <c r="AC260" i="27"/>
  <c r="AB260" i="27"/>
  <c r="R260" i="27"/>
  <c r="Q260" i="27"/>
  <c r="P260" i="27"/>
  <c r="E260" i="27"/>
  <c r="D260" i="27"/>
  <c r="AM260" i="27" s="1"/>
  <c r="AN260" i="27" s="1"/>
  <c r="AO260" i="27" s="1"/>
  <c r="AF3261" i="27"/>
  <c r="AE3261" i="27"/>
  <c r="AD3261" i="27"/>
  <c r="AC3261" i="27"/>
  <c r="AB3261" i="27"/>
  <c r="R3261" i="27"/>
  <c r="Q3261" i="27"/>
  <c r="P3261" i="27"/>
  <c r="E3261" i="27"/>
  <c r="D3261" i="27"/>
  <c r="AF261" i="27"/>
  <c r="AE261" i="27"/>
  <c r="AD261" i="27"/>
  <c r="AC261" i="27"/>
  <c r="AB261" i="27"/>
  <c r="R261" i="27"/>
  <c r="Q261" i="27"/>
  <c r="P261" i="27"/>
  <c r="E261" i="27"/>
  <c r="D261" i="27"/>
  <c r="AM261" i="27" s="1"/>
  <c r="AH261" i="27" s="1"/>
  <c r="AF83" i="27"/>
  <c r="AE83" i="27"/>
  <c r="AD83" i="27"/>
  <c r="AC83" i="27"/>
  <c r="AB83" i="27"/>
  <c r="R83" i="27"/>
  <c r="Q83" i="27"/>
  <c r="P83" i="27"/>
  <c r="E83" i="27"/>
  <c r="D83" i="27"/>
  <c r="AF148" i="27"/>
  <c r="AE148" i="27"/>
  <c r="AD148" i="27"/>
  <c r="AC148" i="27"/>
  <c r="AB148" i="27"/>
  <c r="R148" i="27"/>
  <c r="Q148" i="27"/>
  <c r="P148" i="27"/>
  <c r="AF121" i="27"/>
  <c r="AE121" i="27"/>
  <c r="AD121" i="27"/>
  <c r="AC121" i="27"/>
  <c r="AB121" i="27"/>
  <c r="R121" i="27"/>
  <c r="Q121" i="27"/>
  <c r="P121" i="27"/>
  <c r="E121" i="27"/>
  <c r="D121" i="27"/>
  <c r="AM121" i="27" s="1"/>
  <c r="A2089" i="32"/>
  <c r="B2089" i="32" s="1"/>
  <c r="C2089" i="32"/>
  <c r="A406" i="32"/>
  <c r="B406" i="32" s="1"/>
  <c r="C406" i="32"/>
  <c r="A464" i="32"/>
  <c r="B464" i="32" s="1"/>
  <c r="C464" i="32"/>
  <c r="A1108" i="32"/>
  <c r="B1108" i="32" s="1"/>
  <c r="C1108" i="32"/>
  <c r="A803" i="32"/>
  <c r="B803" i="32" s="1"/>
  <c r="C803" i="32"/>
  <c r="A372" i="32"/>
  <c r="B372" i="32" s="1"/>
  <c r="C372" i="32"/>
  <c r="A482" i="32"/>
  <c r="B482" i="32" s="1"/>
  <c r="C482" i="32"/>
  <c r="A2051" i="32"/>
  <c r="B2051" i="32" s="1"/>
  <c r="C2051" i="32"/>
  <c r="A197" i="32"/>
  <c r="B197" i="32" s="1"/>
  <c r="C197" i="32"/>
  <c r="A1240" i="32"/>
  <c r="B1240" i="32" s="1"/>
  <c r="C1240" i="32"/>
  <c r="A1945" i="32"/>
  <c r="B1945" i="32" s="1"/>
  <c r="C1945" i="32"/>
  <c r="A152" i="32"/>
  <c r="B152" i="32" s="1"/>
  <c r="C152" i="32"/>
  <c r="A2006" i="32"/>
  <c r="B2006" i="32" s="1"/>
  <c r="C2006" i="32"/>
  <c r="B31" i="30"/>
  <c r="B75" i="30"/>
  <c r="B59" i="30"/>
  <c r="B134" i="30"/>
  <c r="B45" i="30"/>
  <c r="B57" i="30"/>
  <c r="D40" i="27"/>
  <c r="AF17" i="27"/>
  <c r="AE17" i="27"/>
  <c r="AD17" i="27"/>
  <c r="AC17" i="27"/>
  <c r="AB17" i="27"/>
  <c r="R17" i="27"/>
  <c r="Q17" i="27"/>
  <c r="P17" i="27"/>
  <c r="E17" i="27"/>
  <c r="D17" i="27"/>
  <c r="AF257" i="27"/>
  <c r="AE257" i="27"/>
  <c r="AD257" i="27"/>
  <c r="AC257" i="27"/>
  <c r="AB257" i="27"/>
  <c r="R257" i="27"/>
  <c r="Q257" i="27"/>
  <c r="P257" i="27"/>
  <c r="E257" i="27"/>
  <c r="D257" i="27"/>
  <c r="AF1861" i="27"/>
  <c r="AE1861" i="27"/>
  <c r="AD1861" i="27"/>
  <c r="AC1861" i="27"/>
  <c r="AB1861" i="27"/>
  <c r="R1861" i="27"/>
  <c r="Q1861" i="27"/>
  <c r="P1861" i="27"/>
  <c r="AF1818" i="27"/>
  <c r="AE1818" i="27"/>
  <c r="AD1818" i="27"/>
  <c r="AC1818" i="27"/>
  <c r="AB1818" i="27"/>
  <c r="R1818" i="27"/>
  <c r="Q1818" i="27"/>
  <c r="P1818" i="27"/>
  <c r="E1818" i="27"/>
  <c r="D1818" i="27"/>
  <c r="AF3204" i="27"/>
  <c r="AE3204" i="27"/>
  <c r="AD3204" i="27"/>
  <c r="AC3204" i="27"/>
  <c r="AB3204" i="27"/>
  <c r="R3204" i="27"/>
  <c r="Q3204" i="27"/>
  <c r="P3204" i="27"/>
  <c r="E3204" i="27"/>
  <c r="D3204" i="27"/>
  <c r="AF3165" i="27"/>
  <c r="AE3165" i="27"/>
  <c r="AD3165" i="27"/>
  <c r="AC3165" i="27"/>
  <c r="AB3165" i="27"/>
  <c r="R3165" i="27"/>
  <c r="Q3165" i="27"/>
  <c r="P3165" i="27"/>
  <c r="E3165" i="27"/>
  <c r="D3165" i="27"/>
  <c r="AF1855" i="27"/>
  <c r="AE1855" i="27"/>
  <c r="AD1855" i="27"/>
  <c r="AC1855" i="27"/>
  <c r="AB1855" i="27"/>
  <c r="R1855" i="27"/>
  <c r="Q1855" i="27"/>
  <c r="P1855" i="27"/>
  <c r="AF1844" i="27"/>
  <c r="AE1844" i="27"/>
  <c r="AD1844" i="27"/>
  <c r="AC1844" i="27"/>
  <c r="AB1844" i="27"/>
  <c r="R1844" i="27"/>
  <c r="Q1844" i="27"/>
  <c r="P1844" i="27"/>
  <c r="AF84" i="27"/>
  <c r="AE84" i="27"/>
  <c r="AD84" i="27"/>
  <c r="AC84" i="27"/>
  <c r="AB84" i="27"/>
  <c r="R84" i="27"/>
  <c r="Q84" i="27"/>
  <c r="P84" i="27"/>
  <c r="AF107" i="27"/>
  <c r="AE107" i="27"/>
  <c r="AD107" i="27"/>
  <c r="AC107" i="27"/>
  <c r="AB107" i="27"/>
  <c r="R107" i="27"/>
  <c r="Q107" i="27"/>
  <c r="P107" i="27"/>
  <c r="E107" i="27"/>
  <c r="D107" i="27"/>
  <c r="AF1812" i="27"/>
  <c r="AE1812" i="27"/>
  <c r="AD1812" i="27"/>
  <c r="AC1812" i="27"/>
  <c r="AB1812" i="27"/>
  <c r="R1812" i="27"/>
  <c r="Q1812" i="27"/>
  <c r="P1812" i="27"/>
  <c r="E1812" i="27"/>
  <c r="D1812" i="27"/>
  <c r="AM1812" i="27" s="1"/>
  <c r="AH1812" i="27" s="1"/>
  <c r="AF3164" i="27"/>
  <c r="AE3164" i="27"/>
  <c r="AD3164" i="27"/>
  <c r="AC3164" i="27"/>
  <c r="AB3164" i="27"/>
  <c r="R3164" i="27"/>
  <c r="Q3164" i="27"/>
  <c r="P3164" i="27"/>
  <c r="E3164" i="27"/>
  <c r="D3164" i="27"/>
  <c r="AF150" i="27"/>
  <c r="AE150" i="27"/>
  <c r="AD150" i="27"/>
  <c r="AC150" i="27"/>
  <c r="AB150" i="27"/>
  <c r="R150" i="27"/>
  <c r="Q150" i="27"/>
  <c r="P150" i="27"/>
  <c r="E150" i="27"/>
  <c r="D150" i="27"/>
  <c r="AF3275" i="27"/>
  <c r="AE3275" i="27"/>
  <c r="AD3275" i="27"/>
  <c r="AC3275" i="27"/>
  <c r="AB3275" i="27"/>
  <c r="R3275" i="27"/>
  <c r="Q3275" i="27"/>
  <c r="P3275" i="27"/>
  <c r="E3275" i="27"/>
  <c r="D3275" i="27"/>
  <c r="AF247" i="27"/>
  <c r="AE247" i="27"/>
  <c r="AD247" i="27"/>
  <c r="AC247" i="27"/>
  <c r="AB247" i="27"/>
  <c r="R247" i="27"/>
  <c r="Q247" i="27"/>
  <c r="P247" i="27"/>
  <c r="E247" i="27"/>
  <c r="D247" i="27"/>
  <c r="AM247" i="27" s="1"/>
  <c r="AH247" i="27" s="1"/>
  <c r="AF1865" i="27"/>
  <c r="AE1865" i="27"/>
  <c r="AD1865" i="27"/>
  <c r="AC1865" i="27"/>
  <c r="AB1865" i="27"/>
  <c r="R1865" i="27"/>
  <c r="Q1865" i="27"/>
  <c r="P1865" i="27"/>
  <c r="E1865" i="27"/>
  <c r="D1865" i="27"/>
  <c r="AF38" i="27"/>
  <c r="AE38" i="27"/>
  <c r="AD38" i="27"/>
  <c r="AC38" i="27"/>
  <c r="AB38" i="27"/>
  <c r="R38" i="27"/>
  <c r="Q38" i="27"/>
  <c r="P38" i="27"/>
  <c r="AF3274" i="27"/>
  <c r="AE3274" i="27"/>
  <c r="AD3274" i="27"/>
  <c r="AC3274" i="27"/>
  <c r="AB3274" i="27"/>
  <c r="R3274" i="27"/>
  <c r="Q3274" i="27"/>
  <c r="P3274" i="27"/>
  <c r="E3274" i="27"/>
  <c r="D3274" i="27"/>
  <c r="AF244" i="27"/>
  <c r="AE244" i="27"/>
  <c r="AD244" i="27"/>
  <c r="AC244" i="27"/>
  <c r="AB244" i="27"/>
  <c r="R244" i="27"/>
  <c r="Q244" i="27"/>
  <c r="P244" i="27"/>
  <c r="E244" i="27"/>
  <c r="D244" i="27"/>
  <c r="A703" i="32"/>
  <c r="B703" i="32" s="1"/>
  <c r="C703" i="32"/>
  <c r="A472" i="32"/>
  <c r="B472" i="32" s="1"/>
  <c r="C472" i="32"/>
  <c r="A2665" i="32"/>
  <c r="B2665" i="32" s="1"/>
  <c r="C2665" i="32"/>
  <c r="A1217" i="32"/>
  <c r="B1217" i="32" s="1"/>
  <c r="C1217" i="32"/>
  <c r="A1867" i="32"/>
  <c r="B1867" i="32" s="1"/>
  <c r="C1867" i="32"/>
  <c r="A835" i="32"/>
  <c r="B835" i="32" s="1"/>
  <c r="C835" i="32"/>
  <c r="A2569" i="32"/>
  <c r="B2569" i="32" s="1"/>
  <c r="C2569" i="32"/>
  <c r="A2275" i="32"/>
  <c r="B2275" i="32" s="1"/>
  <c r="C2275" i="32"/>
  <c r="A959" i="32"/>
  <c r="B959" i="32" s="1"/>
  <c r="C959" i="32"/>
  <c r="A1542" i="32"/>
  <c r="B1542" i="32" s="1"/>
  <c r="C1542" i="32"/>
  <c r="A1797" i="32"/>
  <c r="B1797" i="32" s="1"/>
  <c r="C1797" i="32"/>
  <c r="AF1795" i="27"/>
  <c r="AE1795" i="27"/>
  <c r="AD1795" i="27"/>
  <c r="AC1795" i="27"/>
  <c r="AB1795" i="27"/>
  <c r="R1795" i="27"/>
  <c r="Q1795" i="27"/>
  <c r="P1795" i="27"/>
  <c r="E1795" i="27"/>
  <c r="D1795" i="27"/>
  <c r="AF42" i="27"/>
  <c r="AE42" i="27"/>
  <c r="AD42" i="27"/>
  <c r="AC42" i="27"/>
  <c r="AB42" i="27"/>
  <c r="R42" i="27"/>
  <c r="Q42" i="27"/>
  <c r="P42" i="27"/>
  <c r="AF1799" i="27"/>
  <c r="AE1799" i="27"/>
  <c r="AD1799" i="27"/>
  <c r="AC1799" i="27"/>
  <c r="AB1799" i="27"/>
  <c r="R1799" i="27"/>
  <c r="Q1799" i="27"/>
  <c r="P1799" i="27"/>
  <c r="E1799" i="27"/>
  <c r="D1799" i="27"/>
  <c r="AM1799" i="27" s="1"/>
  <c r="AH1799" i="27" s="1"/>
  <c r="E1779" i="27"/>
  <c r="AF1779" i="27"/>
  <c r="AE1779" i="27"/>
  <c r="AD1779" i="27"/>
  <c r="AC1779" i="27"/>
  <c r="AB1779" i="27"/>
  <c r="R1779" i="27"/>
  <c r="Q1779" i="27"/>
  <c r="P1779" i="27"/>
  <c r="D1779" i="27"/>
  <c r="AM1779" i="27" s="1"/>
  <c r="AH1779" i="27" s="1"/>
  <c r="A1162" i="32"/>
  <c r="B1162" i="32" s="1"/>
  <c r="C1162" i="32"/>
  <c r="A766" i="32"/>
  <c r="B766" i="32" s="1"/>
  <c r="C766" i="32"/>
  <c r="A420" i="32"/>
  <c r="B420" i="32" s="1"/>
  <c r="C420" i="32"/>
  <c r="A2009" i="32"/>
  <c r="B2009" i="32" s="1"/>
  <c r="C2009" i="32"/>
  <c r="A381" i="32"/>
  <c r="B381" i="32" s="1"/>
  <c r="C381" i="32"/>
  <c r="A1709" i="32"/>
  <c r="B1709" i="32" s="1"/>
  <c r="C1709" i="32"/>
  <c r="A2389" i="32"/>
  <c r="B2389" i="32" s="1"/>
  <c r="C2389" i="32"/>
  <c r="A94" i="32"/>
  <c r="B94" i="32" s="1"/>
  <c r="C94" i="32"/>
  <c r="A702" i="32"/>
  <c r="B702" i="32" s="1"/>
  <c r="C702" i="32"/>
  <c r="A1489" i="32"/>
  <c r="B1489" i="32" s="1"/>
  <c r="C1489" i="32"/>
  <c r="A2632" i="32"/>
  <c r="B2632" i="32" s="1"/>
  <c r="C2632" i="32"/>
  <c r="A1670" i="32"/>
  <c r="B1670" i="32" s="1"/>
  <c r="C1670" i="32"/>
  <c r="A66" i="32"/>
  <c r="B66" i="32" s="1"/>
  <c r="C66" i="32"/>
  <c r="A1657" i="32"/>
  <c r="B1657" i="32" s="1"/>
  <c r="C1657" i="32"/>
  <c r="A933" i="32"/>
  <c r="B933" i="32" s="1"/>
  <c r="C933" i="32"/>
  <c r="AF69" i="27"/>
  <c r="AE69" i="27"/>
  <c r="AD69" i="27"/>
  <c r="AC69" i="27"/>
  <c r="AB69" i="27"/>
  <c r="R69" i="27"/>
  <c r="Q69" i="27"/>
  <c r="P69" i="27"/>
  <c r="B63" i="30"/>
  <c r="B26" i="30"/>
  <c r="AF36" i="27"/>
  <c r="AE36" i="27"/>
  <c r="AD36" i="27"/>
  <c r="AC36" i="27"/>
  <c r="AB36" i="27"/>
  <c r="R36" i="27"/>
  <c r="Q36" i="27"/>
  <c r="P36" i="27"/>
  <c r="AF22" i="27"/>
  <c r="AE22" i="27"/>
  <c r="AD22" i="27"/>
  <c r="AC22" i="27"/>
  <c r="AB22" i="27"/>
  <c r="R22" i="27"/>
  <c r="Q22" i="27"/>
  <c r="P22" i="27"/>
  <c r="B18" i="30"/>
  <c r="B8" i="30"/>
  <c r="B68" i="30"/>
  <c r="B96" i="30"/>
  <c r="B11" i="30"/>
  <c r="B72" i="30"/>
  <c r="B71" i="30"/>
  <c r="AF20" i="27"/>
  <c r="AE20" i="27"/>
  <c r="AD20" i="27"/>
  <c r="AC20" i="27"/>
  <c r="AB20" i="27"/>
  <c r="R20" i="27"/>
  <c r="Q20" i="27"/>
  <c r="P20" i="27"/>
  <c r="E20" i="27"/>
  <c r="D20" i="27"/>
  <c r="AF1823" i="27"/>
  <c r="AE1823" i="27"/>
  <c r="AD1823" i="27"/>
  <c r="AC1823" i="27"/>
  <c r="AB1823" i="27"/>
  <c r="R1823" i="27"/>
  <c r="Q1823" i="27"/>
  <c r="P1823" i="27"/>
  <c r="AF3273" i="27"/>
  <c r="AE3273" i="27"/>
  <c r="AD3273" i="27"/>
  <c r="AC3273" i="27"/>
  <c r="AB3273" i="27"/>
  <c r="R3273" i="27"/>
  <c r="Q3273" i="27"/>
  <c r="P3273" i="27"/>
  <c r="E3273" i="27"/>
  <c r="D3273" i="27"/>
  <c r="AF3272" i="27"/>
  <c r="AE3272" i="27"/>
  <c r="AD3272" i="27"/>
  <c r="AC3272" i="27"/>
  <c r="AB3272" i="27"/>
  <c r="R3272" i="27"/>
  <c r="Q3272" i="27"/>
  <c r="P3272" i="27"/>
  <c r="E3272" i="27"/>
  <c r="D3272" i="27"/>
  <c r="AF3271" i="27"/>
  <c r="AE3271" i="27"/>
  <c r="AD3271" i="27"/>
  <c r="AC3271" i="27"/>
  <c r="AB3271" i="27"/>
  <c r="R3271" i="27"/>
  <c r="Q3271" i="27"/>
  <c r="P3271" i="27"/>
  <c r="E3271" i="27"/>
  <c r="D3271" i="27"/>
  <c r="AF3270" i="27"/>
  <c r="AE3270" i="27"/>
  <c r="AD3270" i="27"/>
  <c r="AC3270" i="27"/>
  <c r="AB3270" i="27"/>
  <c r="R3270" i="27"/>
  <c r="Q3270" i="27"/>
  <c r="P3270" i="27"/>
  <c r="E3270" i="27"/>
  <c r="D3270" i="27"/>
  <c r="AF39" i="27"/>
  <c r="AE39" i="27"/>
  <c r="AD39" i="27"/>
  <c r="AC39" i="27"/>
  <c r="AB39" i="27"/>
  <c r="R39" i="27"/>
  <c r="Q39" i="27"/>
  <c r="P39" i="27"/>
  <c r="AF202" i="27"/>
  <c r="AE202" i="27"/>
  <c r="AD202" i="27"/>
  <c r="AC202" i="27"/>
  <c r="AB202" i="27"/>
  <c r="R202" i="27"/>
  <c r="Q202" i="27"/>
  <c r="P202" i="27"/>
  <c r="E202" i="27"/>
  <c r="D202" i="27"/>
  <c r="AF2370" i="27"/>
  <c r="AE2370" i="27"/>
  <c r="AD2370" i="27"/>
  <c r="AC2370" i="27"/>
  <c r="AB2370" i="27"/>
  <c r="R2370" i="27"/>
  <c r="Q2370" i="27"/>
  <c r="P2370" i="27"/>
  <c r="AF252" i="27"/>
  <c r="AE252" i="27"/>
  <c r="AD252" i="27"/>
  <c r="AC252" i="27"/>
  <c r="AB252" i="27"/>
  <c r="R252" i="27"/>
  <c r="Q252" i="27"/>
  <c r="P252" i="27"/>
  <c r="E252" i="27"/>
  <c r="D252" i="27"/>
  <c r="AF251" i="27"/>
  <c r="AE251" i="27"/>
  <c r="AD251" i="27"/>
  <c r="AC251" i="27"/>
  <c r="AB251" i="27"/>
  <c r="R251" i="27"/>
  <c r="Q251" i="27"/>
  <c r="P251" i="27"/>
  <c r="E251" i="27"/>
  <c r="D251" i="27"/>
  <c r="AQ251" i="27" s="1"/>
  <c r="AR251" i="27" s="1"/>
  <c r="AS251" i="27" s="1"/>
  <c r="AF250" i="27"/>
  <c r="AE250" i="27"/>
  <c r="AD250" i="27"/>
  <c r="AC250" i="27"/>
  <c r="AB250" i="27"/>
  <c r="R250" i="27"/>
  <c r="Q250" i="27"/>
  <c r="P250" i="27"/>
  <c r="E250" i="27"/>
  <c r="D250" i="27"/>
  <c r="AF249" i="27"/>
  <c r="AE249" i="27"/>
  <c r="AD249" i="27"/>
  <c r="AC249" i="27"/>
  <c r="AB249" i="27"/>
  <c r="R249" i="27"/>
  <c r="Q249" i="27"/>
  <c r="P249" i="27"/>
  <c r="E249" i="27"/>
  <c r="D249" i="27"/>
  <c r="AF164" i="27"/>
  <c r="AE164" i="27"/>
  <c r="AD164" i="27"/>
  <c r="AC164" i="27"/>
  <c r="AB164" i="27"/>
  <c r="R164" i="27"/>
  <c r="Q164" i="27"/>
  <c r="P164" i="27"/>
  <c r="AF185" i="27"/>
  <c r="AE185" i="27"/>
  <c r="AD185" i="27"/>
  <c r="AC185" i="27"/>
  <c r="AB185" i="27"/>
  <c r="R185" i="27"/>
  <c r="Q185" i="27"/>
  <c r="P185" i="27"/>
  <c r="AF151" i="27"/>
  <c r="AE151" i="27"/>
  <c r="AD151" i="27"/>
  <c r="AC151" i="27"/>
  <c r="AB151" i="27"/>
  <c r="R151" i="27"/>
  <c r="Q151" i="27"/>
  <c r="P151" i="27"/>
  <c r="E151" i="27"/>
  <c r="D151" i="27"/>
  <c r="AF40" i="27"/>
  <c r="AE40" i="27"/>
  <c r="AD40" i="27"/>
  <c r="AC40" i="27"/>
  <c r="AB40" i="27"/>
  <c r="R40" i="27"/>
  <c r="Q40" i="27"/>
  <c r="P40" i="27"/>
  <c r="E40" i="27"/>
  <c r="AF2066" i="27"/>
  <c r="AE2066" i="27"/>
  <c r="AD2066" i="27"/>
  <c r="AC2066" i="27"/>
  <c r="AB2066" i="27"/>
  <c r="R2066" i="27"/>
  <c r="Q2066" i="27"/>
  <c r="P2066" i="27"/>
  <c r="E2066" i="27"/>
  <c r="D2066" i="27"/>
  <c r="AF1841" i="27"/>
  <c r="AE1841" i="27"/>
  <c r="AD1841" i="27"/>
  <c r="AC1841" i="27"/>
  <c r="AB1841" i="27"/>
  <c r="R1841" i="27"/>
  <c r="Q1841" i="27"/>
  <c r="P1841" i="27"/>
  <c r="AF1843" i="27"/>
  <c r="AE1843" i="27"/>
  <c r="AD1843" i="27"/>
  <c r="AC1843" i="27"/>
  <c r="AB1843" i="27"/>
  <c r="R1843" i="27"/>
  <c r="Q1843" i="27"/>
  <c r="P1843" i="27"/>
  <c r="AF1817" i="27"/>
  <c r="AE1817" i="27"/>
  <c r="AD1817" i="27"/>
  <c r="AC1817" i="27"/>
  <c r="AB1817" i="27"/>
  <c r="R1817" i="27"/>
  <c r="Q1817" i="27"/>
  <c r="P1817" i="27"/>
  <c r="E1817" i="27"/>
  <c r="D1817" i="27"/>
  <c r="AM1817" i="27" s="1"/>
  <c r="AH1817" i="27" s="1"/>
  <c r="AF1854" i="27"/>
  <c r="AE1854" i="27"/>
  <c r="AD1854" i="27"/>
  <c r="AC1854" i="27"/>
  <c r="AB1854" i="27"/>
  <c r="R1854" i="27"/>
  <c r="Q1854" i="27"/>
  <c r="P1854" i="27"/>
  <c r="E1854" i="27"/>
  <c r="D1854" i="27"/>
  <c r="AF3245" i="27"/>
  <c r="AE3245" i="27"/>
  <c r="AD3245" i="27"/>
  <c r="AC3245" i="27"/>
  <c r="AB3245" i="27"/>
  <c r="R3245" i="27"/>
  <c r="Q3245" i="27"/>
  <c r="P3245" i="27"/>
  <c r="E3245" i="27"/>
  <c r="D3245" i="27"/>
  <c r="AF3107" i="27"/>
  <c r="AE3107" i="27"/>
  <c r="AD3107" i="27"/>
  <c r="AC3107" i="27"/>
  <c r="AB3107" i="27"/>
  <c r="R3107" i="27"/>
  <c r="Q3107" i="27"/>
  <c r="P3107" i="27"/>
  <c r="E3107" i="27"/>
  <c r="D3107" i="27"/>
  <c r="A2259" i="32"/>
  <c r="B2259" i="32" s="1"/>
  <c r="C2259" i="32"/>
  <c r="A2292" i="32"/>
  <c r="B2292" i="32" s="1"/>
  <c r="C2292" i="32"/>
  <c r="A1762" i="32"/>
  <c r="B1762" i="32" s="1"/>
  <c r="C1762" i="32"/>
  <c r="A452" i="32"/>
  <c r="B452" i="32" s="1"/>
  <c r="C452" i="32"/>
  <c r="A169" i="32"/>
  <c r="B169" i="32" s="1"/>
  <c r="C169" i="32"/>
  <c r="A1740" i="32"/>
  <c r="B1740" i="32" s="1"/>
  <c r="C1740" i="32"/>
  <c r="A2200" i="32"/>
  <c r="B2200" i="32" s="1"/>
  <c r="C2200" i="32"/>
  <c r="A678" i="32"/>
  <c r="B678" i="32" s="1"/>
  <c r="C678" i="32"/>
  <c r="A918" i="32"/>
  <c r="B918" i="32" s="1"/>
  <c r="C918" i="32"/>
  <c r="A1297" i="32"/>
  <c r="B1297" i="32" s="1"/>
  <c r="C1297" i="32"/>
  <c r="A2033" i="32"/>
  <c r="B2033" i="32" s="1"/>
  <c r="C2033" i="32"/>
  <c r="A1902" i="32"/>
  <c r="B1902" i="32" s="1"/>
  <c r="C1902" i="32"/>
  <c r="A1012" i="32"/>
  <c r="B1012" i="32" s="1"/>
  <c r="C1012" i="32"/>
  <c r="A551" i="32"/>
  <c r="B551" i="32" s="1"/>
  <c r="C551" i="32"/>
  <c r="A541" i="32"/>
  <c r="B541" i="32" s="1"/>
  <c r="C541" i="32"/>
  <c r="A1769" i="32"/>
  <c r="B1769" i="32" s="1"/>
  <c r="C1769" i="32"/>
  <c r="A1892" i="32"/>
  <c r="B1892" i="32" s="1"/>
  <c r="C1892" i="32"/>
  <c r="A304" i="32"/>
  <c r="B304" i="32" s="1"/>
  <c r="C304" i="32"/>
  <c r="A1571" i="32"/>
  <c r="B1571" i="32" s="1"/>
  <c r="C1571" i="32"/>
  <c r="A1990" i="32"/>
  <c r="B1990" i="32" s="1"/>
  <c r="C1990" i="32"/>
  <c r="A2473" i="32"/>
  <c r="B2473" i="32" s="1"/>
  <c r="C2473" i="32"/>
  <c r="AF1826" i="27"/>
  <c r="AE1826" i="27"/>
  <c r="AD1826" i="27"/>
  <c r="AC1826" i="27"/>
  <c r="AB1826" i="27"/>
  <c r="R1826" i="27"/>
  <c r="Q1826" i="27"/>
  <c r="P1826" i="27"/>
  <c r="E1826" i="27"/>
  <c r="D1826" i="27"/>
  <c r="AF1867" i="27"/>
  <c r="AE1867" i="27"/>
  <c r="AD1867" i="27"/>
  <c r="AC1867" i="27"/>
  <c r="AB1867" i="27"/>
  <c r="R1867" i="27"/>
  <c r="Q1867" i="27"/>
  <c r="P1867" i="27"/>
  <c r="B23" i="30"/>
  <c r="B17" i="30"/>
  <c r="B73" i="30"/>
  <c r="AF33" i="27"/>
  <c r="AE33" i="27"/>
  <c r="AD33" i="27"/>
  <c r="AC33" i="27"/>
  <c r="AB33" i="27"/>
  <c r="R33" i="27"/>
  <c r="Q33" i="27"/>
  <c r="P33" i="27"/>
  <c r="A1774" i="32"/>
  <c r="B1774" i="32" s="1"/>
  <c r="C1774" i="32"/>
  <c r="A179" i="32"/>
  <c r="B179" i="32" s="1"/>
  <c r="C179" i="32"/>
  <c r="A2188" i="32"/>
  <c r="B2188" i="32" s="1"/>
  <c r="C2188" i="32"/>
  <c r="A1353" i="32"/>
  <c r="B1353" i="32" s="1"/>
  <c r="C1353" i="32"/>
  <c r="A2159" i="32"/>
  <c r="B2159" i="32" s="1"/>
  <c r="C2159" i="32"/>
  <c r="A742" i="32"/>
  <c r="B742" i="32" s="1"/>
  <c r="C742" i="32"/>
  <c r="A1144" i="32"/>
  <c r="B1144" i="32" s="1"/>
  <c r="C1144" i="32"/>
  <c r="A1410" i="32"/>
  <c r="B1410" i="32" s="1"/>
  <c r="C1410" i="32"/>
  <c r="AF141" i="27"/>
  <c r="AE141" i="27"/>
  <c r="AD141" i="27"/>
  <c r="AC141" i="27"/>
  <c r="AB141" i="27"/>
  <c r="R141" i="27"/>
  <c r="Q141" i="27"/>
  <c r="P141" i="27"/>
  <c r="AF27" i="27"/>
  <c r="AE27" i="27"/>
  <c r="AD27" i="27"/>
  <c r="AC27" i="27"/>
  <c r="AB27" i="27"/>
  <c r="R27" i="27"/>
  <c r="Q27" i="27"/>
  <c r="P27" i="27"/>
  <c r="AF1811" i="27"/>
  <c r="AE1811" i="27"/>
  <c r="AD1811" i="27"/>
  <c r="AC1811" i="27"/>
  <c r="AB1811" i="27"/>
  <c r="R1811" i="27"/>
  <c r="Q1811" i="27"/>
  <c r="P1811" i="27"/>
  <c r="E1811" i="27"/>
  <c r="D1811" i="27"/>
  <c r="AM1811" i="27" s="1"/>
  <c r="AN1811" i="27" s="1"/>
  <c r="AO1811" i="27" s="1"/>
  <c r="AF3318" i="27"/>
  <c r="AE3318" i="27"/>
  <c r="AD3318" i="27"/>
  <c r="AC3318" i="27"/>
  <c r="AB3318" i="27"/>
  <c r="R3318" i="27"/>
  <c r="Q3318" i="27"/>
  <c r="P3318" i="27"/>
  <c r="AF3196" i="27"/>
  <c r="AE3196" i="27"/>
  <c r="AD3196" i="27"/>
  <c r="AC3196" i="27"/>
  <c r="AB3196" i="27"/>
  <c r="R3196" i="27"/>
  <c r="Q3196" i="27"/>
  <c r="P3196" i="27"/>
  <c r="E3196" i="27"/>
  <c r="D3196" i="27"/>
  <c r="A2294" i="32"/>
  <c r="B2294" i="32" s="1"/>
  <c r="C2294" i="32"/>
  <c r="A826" i="32"/>
  <c r="B826" i="32" s="1"/>
  <c r="C826" i="32"/>
  <c r="AF3256" i="27"/>
  <c r="AE3256" i="27"/>
  <c r="AD3256" i="27"/>
  <c r="AC3256" i="27"/>
  <c r="AB3256" i="27"/>
  <c r="R3256" i="27"/>
  <c r="Q3256" i="27"/>
  <c r="P3256" i="27"/>
  <c r="E3256" i="27"/>
  <c r="D3256" i="27"/>
  <c r="AF3267" i="27"/>
  <c r="AE3267" i="27"/>
  <c r="AD3267" i="27"/>
  <c r="AC3267" i="27"/>
  <c r="AB3267" i="27"/>
  <c r="R3267" i="27"/>
  <c r="Q3267" i="27"/>
  <c r="P3267" i="27"/>
  <c r="E3267" i="27"/>
  <c r="D3267" i="27"/>
  <c r="AF3193" i="27"/>
  <c r="AE3193" i="27"/>
  <c r="AD3193" i="27"/>
  <c r="AC3193" i="27"/>
  <c r="AB3193" i="27"/>
  <c r="R3193" i="27"/>
  <c r="Q3193" i="27"/>
  <c r="P3193" i="27"/>
  <c r="E3193" i="27"/>
  <c r="D3193" i="27"/>
  <c r="AF80" i="27"/>
  <c r="AE80" i="27"/>
  <c r="AD80" i="27"/>
  <c r="AC80" i="27"/>
  <c r="AB80" i="27"/>
  <c r="R80" i="27"/>
  <c r="Q80" i="27"/>
  <c r="P80" i="27"/>
  <c r="AF1842" i="27"/>
  <c r="AE1842" i="27"/>
  <c r="AD1842" i="27"/>
  <c r="AC1842" i="27"/>
  <c r="AB1842" i="27"/>
  <c r="R1842" i="27"/>
  <c r="Q1842" i="27"/>
  <c r="P1842" i="27"/>
  <c r="AF3162" i="27"/>
  <c r="AE3162" i="27"/>
  <c r="AD3162" i="27"/>
  <c r="AC3162" i="27"/>
  <c r="AB3162" i="27"/>
  <c r="R3162" i="27"/>
  <c r="Q3162" i="27"/>
  <c r="P3162" i="27"/>
  <c r="E3162" i="27"/>
  <c r="D3162" i="27"/>
  <c r="AF3152" i="27"/>
  <c r="AE3152" i="27"/>
  <c r="AD3152" i="27"/>
  <c r="AC3152" i="27"/>
  <c r="AB3152" i="27"/>
  <c r="R3152" i="27"/>
  <c r="Q3152" i="27"/>
  <c r="P3152" i="27"/>
  <c r="E3152" i="27"/>
  <c r="D3152" i="27"/>
  <c r="AF82" i="27"/>
  <c r="AE82" i="27"/>
  <c r="AD82" i="27"/>
  <c r="AC82" i="27"/>
  <c r="AB82" i="27"/>
  <c r="R82" i="27"/>
  <c r="Q82" i="27"/>
  <c r="P82" i="27"/>
  <c r="AF3268" i="27"/>
  <c r="AE3268" i="27"/>
  <c r="AD3268" i="27"/>
  <c r="AC3268" i="27"/>
  <c r="AB3268" i="27"/>
  <c r="R3268" i="27"/>
  <c r="Q3268" i="27"/>
  <c r="P3268" i="27"/>
  <c r="E3268" i="27"/>
  <c r="D3268" i="27"/>
  <c r="AF3266" i="27"/>
  <c r="AE3266" i="27"/>
  <c r="AD3266" i="27"/>
  <c r="AC3266" i="27"/>
  <c r="AB3266" i="27"/>
  <c r="R3266" i="27"/>
  <c r="Q3266" i="27"/>
  <c r="P3266" i="27"/>
  <c r="E3266" i="27"/>
  <c r="D3266" i="27"/>
  <c r="AF2368" i="27"/>
  <c r="AE2368" i="27"/>
  <c r="AD2368" i="27"/>
  <c r="AC2368" i="27"/>
  <c r="AB2368" i="27"/>
  <c r="R2368" i="27"/>
  <c r="Q2368" i="27"/>
  <c r="P2368" i="27"/>
  <c r="E2368" i="27"/>
  <c r="D2368" i="27"/>
  <c r="AF3160" i="27"/>
  <c r="AE3160" i="27"/>
  <c r="AD3160" i="27"/>
  <c r="AC3160" i="27"/>
  <c r="AB3160" i="27"/>
  <c r="R3160" i="27"/>
  <c r="Q3160" i="27"/>
  <c r="P3160" i="27"/>
  <c r="E3160" i="27"/>
  <c r="D3160" i="27"/>
  <c r="AF3154" i="27"/>
  <c r="AE3154" i="27"/>
  <c r="AD3154" i="27"/>
  <c r="AC3154" i="27"/>
  <c r="AB3154" i="27"/>
  <c r="R3154" i="27"/>
  <c r="Q3154" i="27"/>
  <c r="P3154" i="27"/>
  <c r="E3154" i="27"/>
  <c r="D3154" i="27"/>
  <c r="AF79" i="27"/>
  <c r="AE79" i="27"/>
  <c r="AD79" i="27"/>
  <c r="AC79" i="27"/>
  <c r="AB79" i="27"/>
  <c r="R79" i="27"/>
  <c r="Q79" i="27"/>
  <c r="P79" i="27"/>
  <c r="E79" i="27"/>
  <c r="D79" i="27"/>
  <c r="AF104" i="27"/>
  <c r="AE104" i="27"/>
  <c r="AD104" i="27"/>
  <c r="AC104" i="27"/>
  <c r="AB104" i="27"/>
  <c r="R104" i="27"/>
  <c r="Q104" i="27"/>
  <c r="P104" i="27"/>
  <c r="AF26" i="27"/>
  <c r="AE26" i="27"/>
  <c r="AD26" i="27"/>
  <c r="AC26" i="27"/>
  <c r="AB26" i="27"/>
  <c r="R26" i="27"/>
  <c r="Q26" i="27"/>
  <c r="P26" i="27"/>
  <c r="A1748" i="32"/>
  <c r="B1748" i="32" s="1"/>
  <c r="C1748" i="32"/>
  <c r="A1647" i="32"/>
  <c r="B1647" i="32" s="1"/>
  <c r="C1647" i="32"/>
  <c r="A2681" i="32"/>
  <c r="B2681" i="32" s="1"/>
  <c r="C2681" i="32"/>
  <c r="A2506" i="32"/>
  <c r="B2506" i="32" s="1"/>
  <c r="C2506" i="32"/>
  <c r="A2626" i="32"/>
  <c r="B2626" i="32" s="1"/>
  <c r="C2626" i="32"/>
  <c r="A1500" i="32"/>
  <c r="B1500" i="32" s="1"/>
  <c r="C1500" i="32"/>
  <c r="A514" i="32"/>
  <c r="B514" i="32" s="1"/>
  <c r="C514" i="32"/>
  <c r="A221" i="32"/>
  <c r="B221" i="32" s="1"/>
  <c r="C221" i="32"/>
  <c r="A2269" i="32"/>
  <c r="B2269" i="32" s="1"/>
  <c r="C2269" i="32"/>
  <c r="B85" i="30"/>
  <c r="B22" i="30"/>
  <c r="B209" i="30"/>
  <c r="B14" i="30"/>
  <c r="B65" i="30"/>
  <c r="B16" i="30"/>
  <c r="B15" i="30"/>
  <c r="B35" i="30"/>
  <c r="A2848" i="32"/>
  <c r="B2848" i="32" s="1"/>
  <c r="C2848" i="32"/>
  <c r="AF1792" i="27"/>
  <c r="AE1792" i="27"/>
  <c r="AD1792" i="27"/>
  <c r="AC1792" i="27"/>
  <c r="AB1792" i="27"/>
  <c r="R1792" i="27"/>
  <c r="Q1792" i="27"/>
  <c r="P1792" i="27"/>
  <c r="E1792" i="27"/>
  <c r="D1792" i="27"/>
  <c r="A459" i="32"/>
  <c r="B459" i="32" s="1"/>
  <c r="C459" i="32"/>
  <c r="A149" i="32"/>
  <c r="B149" i="32" s="1"/>
  <c r="C149" i="32"/>
  <c r="A823" i="32"/>
  <c r="B823" i="32" s="1"/>
  <c r="C823" i="32"/>
  <c r="A2492" i="32"/>
  <c r="B2492" i="32" s="1"/>
  <c r="C2492" i="32"/>
  <c r="AF3324" i="27"/>
  <c r="AE3324" i="27"/>
  <c r="AD3324" i="27"/>
  <c r="AC3324" i="27"/>
  <c r="AB3324" i="27"/>
  <c r="R3324" i="27"/>
  <c r="Q3324" i="27"/>
  <c r="P3324" i="27"/>
  <c r="E3324" i="27"/>
  <c r="D3324" i="27"/>
  <c r="AF3230" i="27"/>
  <c r="AE3230" i="27"/>
  <c r="AD3230" i="27"/>
  <c r="AC3230" i="27"/>
  <c r="AB3230" i="27"/>
  <c r="R3230" i="27"/>
  <c r="Q3230" i="27"/>
  <c r="P3230" i="27"/>
  <c r="E3230" i="27"/>
  <c r="D3230" i="27"/>
  <c r="AF81" i="27"/>
  <c r="AE81" i="27"/>
  <c r="AD81" i="27"/>
  <c r="AC81" i="27"/>
  <c r="AB81" i="27"/>
  <c r="R81" i="27"/>
  <c r="Q81" i="27"/>
  <c r="P81" i="27"/>
  <c r="AF1821" i="27"/>
  <c r="AE1821" i="27"/>
  <c r="AD1821" i="27"/>
  <c r="AC1821" i="27"/>
  <c r="AB1821" i="27"/>
  <c r="R1821" i="27"/>
  <c r="Q1821" i="27"/>
  <c r="P1821" i="27"/>
  <c r="AF1816" i="27"/>
  <c r="AE1816" i="27"/>
  <c r="AD1816" i="27"/>
  <c r="AC1816" i="27"/>
  <c r="AB1816" i="27"/>
  <c r="R1816" i="27"/>
  <c r="Q1816" i="27"/>
  <c r="P1816" i="27"/>
  <c r="E1816" i="27"/>
  <c r="D1816" i="27"/>
  <c r="AF3126" i="27"/>
  <c r="AE3126" i="27"/>
  <c r="AD3126" i="27"/>
  <c r="AC3126" i="27"/>
  <c r="AB3126" i="27"/>
  <c r="R3126" i="27"/>
  <c r="Q3126" i="27"/>
  <c r="P3126" i="27"/>
  <c r="E3126" i="27"/>
  <c r="D3126" i="27"/>
  <c r="AF74" i="27"/>
  <c r="AE74" i="27"/>
  <c r="AD74" i="27"/>
  <c r="AC74" i="27"/>
  <c r="AB74" i="27"/>
  <c r="R74" i="27"/>
  <c r="Q74" i="27"/>
  <c r="P74" i="27"/>
  <c r="AF28" i="27"/>
  <c r="AE28" i="27"/>
  <c r="AD28" i="27"/>
  <c r="AC28" i="27"/>
  <c r="AB28" i="27"/>
  <c r="R28" i="27"/>
  <c r="Q28" i="27"/>
  <c r="P28" i="27"/>
  <c r="AF3156" i="27"/>
  <c r="AE3156" i="27"/>
  <c r="AD3156" i="27"/>
  <c r="AC3156" i="27"/>
  <c r="AB3156" i="27"/>
  <c r="R3156" i="27"/>
  <c r="Q3156" i="27"/>
  <c r="P3156" i="27"/>
  <c r="E3156" i="27"/>
  <c r="D3156" i="27"/>
  <c r="AF184" i="27"/>
  <c r="AE184" i="27"/>
  <c r="AD184" i="27"/>
  <c r="AC184" i="27"/>
  <c r="AB184" i="27"/>
  <c r="R184" i="27"/>
  <c r="Q184" i="27"/>
  <c r="P184" i="27"/>
  <c r="AF201" i="27"/>
  <c r="AE201" i="27"/>
  <c r="AD201" i="27"/>
  <c r="AC201" i="27"/>
  <c r="AB201" i="27"/>
  <c r="R201" i="27"/>
  <c r="Q201" i="27"/>
  <c r="P201" i="27"/>
  <c r="AF78" i="27"/>
  <c r="AE78" i="27"/>
  <c r="AD78" i="27"/>
  <c r="AC78" i="27"/>
  <c r="AB78" i="27"/>
  <c r="R78" i="27"/>
  <c r="Q78" i="27"/>
  <c r="P78" i="27"/>
  <c r="AF77" i="27"/>
  <c r="AE77" i="27"/>
  <c r="AD77" i="27"/>
  <c r="AC77" i="27"/>
  <c r="AB77" i="27"/>
  <c r="R77" i="27"/>
  <c r="Q77" i="27"/>
  <c r="P77" i="27"/>
  <c r="AF2353" i="27"/>
  <c r="AE2353" i="27"/>
  <c r="AD2353" i="27"/>
  <c r="AC2353" i="27"/>
  <c r="AB2353" i="27"/>
  <c r="R2353" i="27"/>
  <c r="Q2353" i="27"/>
  <c r="P2353" i="27"/>
  <c r="E2353" i="27"/>
  <c r="D2353" i="27"/>
  <c r="A1029" i="32"/>
  <c r="B1029" i="32" s="1"/>
  <c r="C1029" i="32"/>
  <c r="A1980" i="32"/>
  <c r="B1980" i="32" s="1"/>
  <c r="C1980" i="32"/>
  <c r="A355" i="32"/>
  <c r="B355" i="32" s="1"/>
  <c r="C355" i="32"/>
  <c r="A2537" i="32"/>
  <c r="B2537" i="32" s="1"/>
  <c r="C2537" i="32"/>
  <c r="D1796" i="27"/>
  <c r="E1796" i="27"/>
  <c r="P1796" i="27"/>
  <c r="Q1796" i="27"/>
  <c r="R1796" i="27"/>
  <c r="AB1796" i="27"/>
  <c r="AC1796" i="27"/>
  <c r="AD1796" i="27"/>
  <c r="AE1796" i="27"/>
  <c r="AF1796" i="27"/>
  <c r="D3198" i="27"/>
  <c r="B160" i="30"/>
  <c r="B25" i="30"/>
  <c r="B215" i="30"/>
  <c r="D1793" i="27"/>
  <c r="E1793" i="27"/>
  <c r="P1793" i="27"/>
  <c r="Q1793" i="27"/>
  <c r="R1793" i="27"/>
  <c r="AB1793" i="27"/>
  <c r="AC1793" i="27"/>
  <c r="AD1793" i="27"/>
  <c r="AE1793" i="27"/>
  <c r="AF1793" i="27"/>
  <c r="AF99" i="27"/>
  <c r="AE99" i="27"/>
  <c r="AD99" i="27"/>
  <c r="AC99" i="27"/>
  <c r="AB99" i="27"/>
  <c r="R99" i="27"/>
  <c r="Q99" i="27"/>
  <c r="P99" i="27"/>
  <c r="AF2365" i="27"/>
  <c r="AE2365" i="27"/>
  <c r="AD2365" i="27"/>
  <c r="AC2365" i="27"/>
  <c r="AB2365" i="27"/>
  <c r="R2365" i="27"/>
  <c r="Q2365" i="27"/>
  <c r="P2365" i="27"/>
  <c r="E2365" i="27"/>
  <c r="D2365" i="27"/>
  <c r="AM2365" i="27" s="1"/>
  <c r="AN2365" i="27" s="1"/>
  <c r="AO2365" i="27" s="1"/>
  <c r="AF1710" i="27"/>
  <c r="AE1710" i="27"/>
  <c r="AD1710" i="27"/>
  <c r="AC1710" i="27"/>
  <c r="AB1710" i="27"/>
  <c r="R1710" i="27"/>
  <c r="Q1710" i="27"/>
  <c r="P1710" i="27"/>
  <c r="E1710" i="27"/>
  <c r="D1710" i="27"/>
  <c r="AF1829" i="27"/>
  <c r="AE1829" i="27"/>
  <c r="AD1829" i="27"/>
  <c r="AC1829" i="27"/>
  <c r="AB1829" i="27"/>
  <c r="R1829" i="27"/>
  <c r="Q1829" i="27"/>
  <c r="P1829" i="27"/>
  <c r="AF2338" i="27"/>
  <c r="AE2338" i="27"/>
  <c r="AD2338" i="27"/>
  <c r="AC2338" i="27"/>
  <c r="AB2338" i="27"/>
  <c r="R2338" i="27"/>
  <c r="Q2338" i="27"/>
  <c r="P2338" i="27"/>
  <c r="E2338" i="27"/>
  <c r="D2338" i="27"/>
  <c r="D1787" i="27"/>
  <c r="E1787" i="27"/>
  <c r="P1787" i="27"/>
  <c r="Q1787" i="27"/>
  <c r="R1787" i="27"/>
  <c r="AB1787" i="27"/>
  <c r="AC1787" i="27"/>
  <c r="AD1787" i="27"/>
  <c r="AE1787" i="27"/>
  <c r="AF1787" i="27"/>
  <c r="B21" i="30"/>
  <c r="D19" i="27"/>
  <c r="AF3233" i="27"/>
  <c r="AE3233" i="27"/>
  <c r="AD3233" i="27"/>
  <c r="AC3233" i="27"/>
  <c r="AB3233" i="27"/>
  <c r="R3233" i="27"/>
  <c r="Q3233" i="27"/>
  <c r="P3233" i="27"/>
  <c r="E3233" i="27"/>
  <c r="D3233" i="27"/>
  <c r="E19" i="27"/>
  <c r="P19" i="27"/>
  <c r="Q19" i="27"/>
  <c r="R19" i="27"/>
  <c r="AB19" i="27"/>
  <c r="AC19" i="27"/>
  <c r="AD19" i="27"/>
  <c r="AE19" i="27"/>
  <c r="AF19" i="27"/>
  <c r="B7" i="30"/>
  <c r="B10" i="30"/>
  <c r="D1805" i="27"/>
  <c r="E1805" i="27"/>
  <c r="AF1838" i="27"/>
  <c r="AE1838" i="27"/>
  <c r="AD1838" i="27"/>
  <c r="AC1838" i="27"/>
  <c r="AB1838" i="27"/>
  <c r="R1838" i="27"/>
  <c r="Q1838" i="27"/>
  <c r="P1838" i="27"/>
  <c r="P1805" i="27"/>
  <c r="Q1805" i="27"/>
  <c r="R1805" i="27"/>
  <c r="AB1805" i="27"/>
  <c r="AC1805" i="27"/>
  <c r="AD1805" i="27"/>
  <c r="AE1805" i="27"/>
  <c r="AF1805" i="27"/>
  <c r="A1070" i="32"/>
  <c r="B1070" i="32" s="1"/>
  <c r="C1070" i="32"/>
  <c r="A1025" i="32"/>
  <c r="B1025" i="32" s="1"/>
  <c r="C1025" i="32"/>
  <c r="AF3140" i="27"/>
  <c r="AE3140" i="27"/>
  <c r="AD3140" i="27"/>
  <c r="AC3140" i="27"/>
  <c r="AB3140" i="27"/>
  <c r="R3140" i="27"/>
  <c r="Q3140" i="27"/>
  <c r="P3140" i="27"/>
  <c r="E3140" i="27"/>
  <c r="D3140" i="27"/>
  <c r="AM3140" i="27" s="1"/>
  <c r="AH3140" i="27" s="1"/>
  <c r="AF1786" i="27"/>
  <c r="AE1786" i="27"/>
  <c r="AD1786" i="27"/>
  <c r="AC1786" i="27"/>
  <c r="AB1786" i="27"/>
  <c r="R1786" i="27"/>
  <c r="Q1786" i="27"/>
  <c r="P1786" i="27"/>
  <c r="E1786" i="27"/>
  <c r="D1786" i="27"/>
  <c r="AF76" i="27"/>
  <c r="AE76" i="27"/>
  <c r="AD76" i="27"/>
  <c r="AC76" i="27"/>
  <c r="AB76" i="27"/>
  <c r="R76" i="27"/>
  <c r="Q76" i="27"/>
  <c r="P76" i="27"/>
  <c r="AF90" i="27"/>
  <c r="AE90" i="27"/>
  <c r="AD90" i="27"/>
  <c r="AC90" i="27"/>
  <c r="AB90" i="27"/>
  <c r="R90" i="27"/>
  <c r="Q90" i="27"/>
  <c r="P90" i="27"/>
  <c r="AF242" i="27"/>
  <c r="AE242" i="27"/>
  <c r="AD242" i="27"/>
  <c r="AC242" i="27"/>
  <c r="AB242" i="27"/>
  <c r="R242" i="27"/>
  <c r="Q242" i="27"/>
  <c r="P242" i="27"/>
  <c r="E242" i="27"/>
  <c r="D242" i="27"/>
  <c r="AQ242" i="27" s="1"/>
  <c r="AR242" i="27" s="1"/>
  <c r="AS242" i="27" s="1"/>
  <c r="AF3157" i="27"/>
  <c r="AE3157" i="27"/>
  <c r="AD3157" i="27"/>
  <c r="AC3157" i="27"/>
  <c r="AB3157" i="27"/>
  <c r="R3157" i="27"/>
  <c r="Q3157" i="27"/>
  <c r="P3157" i="27"/>
  <c r="E3157" i="27"/>
  <c r="D3157" i="27"/>
  <c r="AF3159" i="27"/>
  <c r="AE3159" i="27"/>
  <c r="AD3159" i="27"/>
  <c r="AC3159" i="27"/>
  <c r="AB3159" i="27"/>
  <c r="R3159" i="27"/>
  <c r="Q3159" i="27"/>
  <c r="P3159" i="27"/>
  <c r="E3159" i="27"/>
  <c r="D3159" i="27"/>
  <c r="AF3158" i="27"/>
  <c r="AE3158" i="27"/>
  <c r="AD3158" i="27"/>
  <c r="AC3158" i="27"/>
  <c r="AB3158" i="27"/>
  <c r="R3158" i="27"/>
  <c r="Q3158" i="27"/>
  <c r="P3158" i="27"/>
  <c r="E3158" i="27"/>
  <c r="D3158" i="27"/>
  <c r="AM3158" i="27" s="1"/>
  <c r="AF3265" i="27"/>
  <c r="AE3265" i="27"/>
  <c r="AD3265" i="27"/>
  <c r="AC3265" i="27"/>
  <c r="AB3265" i="27"/>
  <c r="R3265" i="27"/>
  <c r="Q3265" i="27"/>
  <c r="P3265" i="27"/>
  <c r="E3265" i="27"/>
  <c r="D3265" i="27"/>
  <c r="AF1840" i="27"/>
  <c r="AE1840" i="27"/>
  <c r="AD1840" i="27"/>
  <c r="AC1840" i="27"/>
  <c r="AB1840" i="27"/>
  <c r="R1840" i="27"/>
  <c r="Q1840" i="27"/>
  <c r="P1840" i="27"/>
  <c r="AF1807" i="27"/>
  <c r="AE1807" i="27"/>
  <c r="AD1807" i="27"/>
  <c r="AC1807" i="27"/>
  <c r="AB1807" i="27"/>
  <c r="R1807" i="27"/>
  <c r="Q1807" i="27"/>
  <c r="P1807" i="27"/>
  <c r="E1807" i="27"/>
  <c r="D1807" i="27"/>
  <c r="AF3145" i="27"/>
  <c r="AE3145" i="27"/>
  <c r="AD3145" i="27"/>
  <c r="AC3145" i="27"/>
  <c r="AB3145" i="27"/>
  <c r="R3145" i="27"/>
  <c r="Q3145" i="27"/>
  <c r="P3145" i="27"/>
  <c r="E3145" i="27"/>
  <c r="D3145" i="27"/>
  <c r="AF3116" i="27"/>
  <c r="AE3116" i="27"/>
  <c r="AD3116" i="27"/>
  <c r="AC3116" i="27"/>
  <c r="AB3116" i="27"/>
  <c r="R3116" i="27"/>
  <c r="Q3116" i="27"/>
  <c r="P3116" i="27"/>
  <c r="E3116" i="27"/>
  <c r="D3116" i="27"/>
  <c r="AF3155" i="27"/>
  <c r="AE3155" i="27"/>
  <c r="AD3155" i="27"/>
  <c r="AC3155" i="27"/>
  <c r="AB3155" i="27"/>
  <c r="R3155" i="27"/>
  <c r="Q3155" i="27"/>
  <c r="P3155" i="27"/>
  <c r="E3155" i="27"/>
  <c r="D3155" i="27"/>
  <c r="AF228" i="27"/>
  <c r="AE228" i="27"/>
  <c r="AD228" i="27"/>
  <c r="AC228" i="27"/>
  <c r="AB228" i="27"/>
  <c r="R228" i="27"/>
  <c r="Q228" i="27"/>
  <c r="P228" i="27"/>
  <c r="E228" i="27"/>
  <c r="D228" i="27"/>
  <c r="AF70" i="27"/>
  <c r="AE70" i="27"/>
  <c r="AD70" i="27"/>
  <c r="AC70" i="27"/>
  <c r="AB70" i="27"/>
  <c r="R70" i="27"/>
  <c r="Q70" i="27"/>
  <c r="P70" i="27"/>
  <c r="AF29" i="27"/>
  <c r="AE29" i="27"/>
  <c r="AD29" i="27"/>
  <c r="AC29" i="27"/>
  <c r="AB29" i="27"/>
  <c r="R29" i="27"/>
  <c r="Q29" i="27"/>
  <c r="P29" i="27"/>
  <c r="AF67" i="27"/>
  <c r="AE67" i="27"/>
  <c r="AD67" i="27"/>
  <c r="AC67" i="27"/>
  <c r="AB67" i="27"/>
  <c r="R67" i="27"/>
  <c r="Q67" i="27"/>
  <c r="P67" i="27"/>
  <c r="AF1784" i="27"/>
  <c r="AE1784" i="27"/>
  <c r="AD1784" i="27"/>
  <c r="AC1784" i="27"/>
  <c r="AB1784" i="27"/>
  <c r="R1784" i="27"/>
  <c r="Q1784" i="27"/>
  <c r="P1784" i="27"/>
  <c r="E1784" i="27"/>
  <c r="D1784" i="27"/>
  <c r="AF3203" i="27"/>
  <c r="AE3203" i="27"/>
  <c r="AD3203" i="27"/>
  <c r="AC3203" i="27"/>
  <c r="AB3203" i="27"/>
  <c r="R3203" i="27"/>
  <c r="Q3203" i="27"/>
  <c r="P3203" i="27"/>
  <c r="AF3264" i="27"/>
  <c r="AE3264" i="27"/>
  <c r="AD3264" i="27"/>
  <c r="AC3264" i="27"/>
  <c r="AB3264" i="27"/>
  <c r="R3264" i="27"/>
  <c r="Q3264" i="27"/>
  <c r="P3264" i="27"/>
  <c r="E3264" i="27"/>
  <c r="D3264" i="27"/>
  <c r="A1003" i="32"/>
  <c r="B1003" i="32" s="1"/>
  <c r="C1003" i="32"/>
  <c r="A2520" i="32"/>
  <c r="B2520" i="32" s="1"/>
  <c r="C2520" i="32"/>
  <c r="A1197" i="32"/>
  <c r="B1197" i="32" s="1"/>
  <c r="C1197" i="32"/>
  <c r="A875" i="32"/>
  <c r="B875" i="32" s="1"/>
  <c r="C875" i="32"/>
  <c r="A1912" i="32"/>
  <c r="B1912" i="32" s="1"/>
  <c r="C1912" i="32"/>
  <c r="A1943" i="32"/>
  <c r="B1943" i="32" s="1"/>
  <c r="C1943" i="32"/>
  <c r="A2455" i="32"/>
  <c r="B2455" i="32" s="1"/>
  <c r="C2455" i="32"/>
  <c r="A150" i="32"/>
  <c r="B150" i="32" s="1"/>
  <c r="C150" i="32"/>
  <c r="A1433" i="32"/>
  <c r="B1433" i="32" s="1"/>
  <c r="D1433" i="32" s="1"/>
  <c r="C1433" i="32"/>
  <c r="A704" i="32"/>
  <c r="B704" i="32" s="1"/>
  <c r="C704" i="32"/>
  <c r="A894" i="32"/>
  <c r="B894" i="32" s="1"/>
  <c r="C894" i="32"/>
  <c r="A178" i="32"/>
  <c r="B178" i="32" s="1"/>
  <c r="C178" i="32"/>
  <c r="A633" i="32"/>
  <c r="B633" i="32" s="1"/>
  <c r="C633" i="32"/>
  <c r="A2057" i="32"/>
  <c r="B2057" i="32" s="1"/>
  <c r="C2057" i="32"/>
  <c r="A405" i="32"/>
  <c r="B405" i="32" s="1"/>
  <c r="D405" i="32" s="1"/>
  <c r="C405" i="32"/>
  <c r="A1181" i="32"/>
  <c r="B1181" i="32" s="1"/>
  <c r="C1181" i="32"/>
  <c r="A706" i="32"/>
  <c r="B706" i="32" s="1"/>
  <c r="D706" i="32" s="1"/>
  <c r="C706" i="32"/>
  <c r="A259" i="32"/>
  <c r="B259" i="32" s="1"/>
  <c r="C259" i="32"/>
  <c r="A1968" i="32"/>
  <c r="B1968" i="32" s="1"/>
  <c r="C1968" i="32"/>
  <c r="A2513" i="32"/>
  <c r="B2513" i="32" s="1"/>
  <c r="C2513" i="32"/>
  <c r="A1688" i="32"/>
  <c r="B1688" i="32" s="1"/>
  <c r="D1688" i="32" s="1"/>
  <c r="C1688" i="32"/>
  <c r="A1738" i="32"/>
  <c r="B1738" i="32" s="1"/>
  <c r="C1738" i="32"/>
  <c r="D3244" i="27"/>
  <c r="A817" i="32"/>
  <c r="B817" i="32" s="1"/>
  <c r="C817" i="32"/>
  <c r="AF220" i="27"/>
  <c r="AE220" i="27"/>
  <c r="AD220" i="27"/>
  <c r="AC220" i="27"/>
  <c r="AB220" i="27"/>
  <c r="R220" i="27"/>
  <c r="Q220" i="27"/>
  <c r="P220" i="27"/>
  <c r="E220" i="27"/>
  <c r="D220" i="27"/>
  <c r="A1771" i="32"/>
  <c r="B1771" i="32" s="1"/>
  <c r="C1771" i="32"/>
  <c r="A1130" i="32"/>
  <c r="B1130" i="32" s="1"/>
  <c r="C1130" i="32"/>
  <c r="A938" i="32"/>
  <c r="B938" i="32" s="1"/>
  <c r="C938" i="32"/>
  <c r="AF57" i="27"/>
  <c r="AE57" i="27"/>
  <c r="AD57" i="27"/>
  <c r="AC57" i="27"/>
  <c r="AB57" i="27"/>
  <c r="R57" i="27"/>
  <c r="Q57" i="27"/>
  <c r="P57" i="27"/>
  <c r="A62" i="32"/>
  <c r="B62" i="32" s="1"/>
  <c r="C62" i="32"/>
  <c r="A1944" i="32"/>
  <c r="B1944" i="32" s="1"/>
  <c r="C1944" i="32"/>
  <c r="A1000" i="32"/>
  <c r="B1000" i="32" s="1"/>
  <c r="C1000" i="32"/>
  <c r="A2567" i="32"/>
  <c r="B2567" i="32" s="1"/>
  <c r="C2567" i="32"/>
  <c r="A380" i="32"/>
  <c r="B380" i="32" s="1"/>
  <c r="C380" i="32"/>
  <c r="A1087" i="32"/>
  <c r="B1087" i="32" s="1"/>
  <c r="C1087" i="32"/>
  <c r="A1086" i="32"/>
  <c r="B1086" i="32" s="1"/>
  <c r="C1086" i="32"/>
  <c r="B83" i="30"/>
  <c r="B20" i="30"/>
  <c r="B56" i="30"/>
  <c r="A546" i="32"/>
  <c r="B546" i="32" s="1"/>
  <c r="C546" i="32"/>
  <c r="D1815" i="27"/>
  <c r="A2207" i="32"/>
  <c r="B2207" i="32" s="1"/>
  <c r="C2207" i="32"/>
  <c r="A1369" i="32"/>
  <c r="B1369" i="32" s="1"/>
  <c r="C1369" i="32"/>
  <c r="A1204" i="32"/>
  <c r="B1204" i="32" s="1"/>
  <c r="C1204" i="32"/>
  <c r="A1946" i="32"/>
  <c r="B1946" i="32" s="1"/>
  <c r="C1946" i="32"/>
  <c r="A2594" i="32"/>
  <c r="B2594" i="32" s="1"/>
  <c r="C2594" i="32"/>
  <c r="A2644" i="32"/>
  <c r="B2644" i="32" s="1"/>
  <c r="C2644" i="32"/>
  <c r="A1145" i="32"/>
  <c r="B1145" i="32" s="1"/>
  <c r="C1145" i="32"/>
  <c r="A1478" i="32"/>
  <c r="B1478" i="32" s="1"/>
  <c r="C1478" i="32"/>
  <c r="A859" i="32"/>
  <c r="B859" i="32" s="1"/>
  <c r="C859" i="32"/>
  <c r="D2352" i="27"/>
  <c r="B60" i="30"/>
  <c r="B89" i="30"/>
  <c r="A2412" i="32"/>
  <c r="B2412" i="32" s="1"/>
  <c r="C2412" i="32"/>
  <c r="B42" i="30"/>
  <c r="AF1736" i="27"/>
  <c r="AE1736" i="27"/>
  <c r="AD1736" i="27"/>
  <c r="AC1736" i="27"/>
  <c r="AB1736" i="27"/>
  <c r="R1736" i="27"/>
  <c r="Q1736" i="27"/>
  <c r="P1736" i="27"/>
  <c r="E1736" i="27"/>
  <c r="D1736" i="27"/>
  <c r="AF96" i="27"/>
  <c r="AE96" i="27"/>
  <c r="AD96" i="27"/>
  <c r="AC96" i="27"/>
  <c r="AB96" i="27"/>
  <c r="R96" i="27"/>
  <c r="Q96" i="27"/>
  <c r="P96" i="27"/>
  <c r="A1384" i="32"/>
  <c r="B1384" i="32" s="1"/>
  <c r="C1384" i="32"/>
  <c r="A1819" i="32"/>
  <c r="B1819" i="32" s="1"/>
  <c r="C1819" i="32"/>
  <c r="A698" i="32"/>
  <c r="B698" i="32" s="1"/>
  <c r="C698" i="32"/>
  <c r="A2557" i="32"/>
  <c r="B2557" i="32" s="1"/>
  <c r="C2557" i="32"/>
  <c r="A856" i="32"/>
  <c r="B856" i="32" s="1"/>
  <c r="C856" i="32"/>
  <c r="A243" i="32"/>
  <c r="B243" i="32" s="1"/>
  <c r="C243" i="32"/>
  <c r="A2522" i="32"/>
  <c r="B2522" i="32" s="1"/>
  <c r="C2522" i="32"/>
  <c r="A2676" i="32"/>
  <c r="B2676" i="32" s="1"/>
  <c r="C2676" i="32"/>
  <c r="A2260" i="32"/>
  <c r="B2260" i="32" s="1"/>
  <c r="C2260" i="32"/>
  <c r="A2414" i="32"/>
  <c r="B2414" i="32" s="1"/>
  <c r="C2414" i="32"/>
  <c r="AF3200" i="27"/>
  <c r="AE3200" i="27"/>
  <c r="AD3200" i="27"/>
  <c r="AC3200" i="27"/>
  <c r="AB3200" i="27"/>
  <c r="R3200" i="27"/>
  <c r="Q3200" i="27"/>
  <c r="P3200" i="27"/>
  <c r="E3200" i="27"/>
  <c r="D3200" i="27"/>
  <c r="AF1765" i="27"/>
  <c r="AE1765" i="27"/>
  <c r="AD1765" i="27"/>
  <c r="AC1765" i="27"/>
  <c r="AB1765" i="27"/>
  <c r="R1765" i="27"/>
  <c r="Q1765" i="27"/>
  <c r="P1765" i="27"/>
  <c r="E1765" i="27"/>
  <c r="D1765" i="27"/>
  <c r="AF219" i="27"/>
  <c r="AE219" i="27"/>
  <c r="AD219" i="27"/>
  <c r="AC219" i="27"/>
  <c r="AB219" i="27"/>
  <c r="R219" i="27"/>
  <c r="Q219" i="27"/>
  <c r="P219" i="27"/>
  <c r="E219" i="27"/>
  <c r="D219" i="27"/>
  <c r="AF1757" i="27"/>
  <c r="AE1757" i="27"/>
  <c r="AD1757" i="27"/>
  <c r="AC1757" i="27"/>
  <c r="AB1757" i="27"/>
  <c r="R1757" i="27"/>
  <c r="Q1757" i="27"/>
  <c r="P1757" i="27"/>
  <c r="E1757" i="27"/>
  <c r="D1757" i="27"/>
  <c r="D1798" i="27"/>
  <c r="E1798" i="27"/>
  <c r="P1798" i="27"/>
  <c r="Q1798" i="27"/>
  <c r="R1798" i="27"/>
  <c r="AB1798" i="27"/>
  <c r="AC1798" i="27"/>
  <c r="AD1798" i="27"/>
  <c r="AE1798" i="27"/>
  <c r="AF1798" i="27"/>
  <c r="A418" i="32"/>
  <c r="B418" i="32" s="1"/>
  <c r="C418" i="32"/>
  <c r="A2674" i="32"/>
  <c r="B2674" i="32" s="1"/>
  <c r="C2674" i="32"/>
  <c r="A2349" i="32"/>
  <c r="B2349" i="32" s="1"/>
  <c r="C2349" i="32"/>
  <c r="B91" i="30"/>
  <c r="AF1739" i="27"/>
  <c r="AE1739" i="27"/>
  <c r="AD1739" i="27"/>
  <c r="AC1739" i="27"/>
  <c r="AB1739" i="27"/>
  <c r="R1739" i="27"/>
  <c r="Q1739" i="27"/>
  <c r="P1739" i="27"/>
  <c r="E1739" i="27"/>
  <c r="D1739" i="27"/>
  <c r="AF177" i="27"/>
  <c r="AE177" i="27"/>
  <c r="AD177" i="27"/>
  <c r="AC177" i="27"/>
  <c r="AB177" i="27"/>
  <c r="R177" i="27"/>
  <c r="Q177" i="27"/>
  <c r="P177" i="27"/>
  <c r="AF1764" i="27"/>
  <c r="AE1764" i="27"/>
  <c r="AD1764" i="27"/>
  <c r="AC1764" i="27"/>
  <c r="AB1764" i="27"/>
  <c r="R1764" i="27"/>
  <c r="Q1764" i="27"/>
  <c r="P1764" i="27"/>
  <c r="E1764" i="27"/>
  <c r="D1764" i="27"/>
  <c r="B40" i="30"/>
  <c r="B9" i="30"/>
  <c r="AF143" i="27"/>
  <c r="AE143" i="27"/>
  <c r="AD143" i="27"/>
  <c r="AC143" i="27"/>
  <c r="AB143" i="27"/>
  <c r="R143" i="27"/>
  <c r="Q143" i="27"/>
  <c r="P143" i="27"/>
  <c r="AF73" i="27"/>
  <c r="AE73" i="27"/>
  <c r="AD73" i="27"/>
  <c r="AC73" i="27"/>
  <c r="AB73" i="27"/>
  <c r="R73" i="27"/>
  <c r="Q73" i="27"/>
  <c r="P73" i="27"/>
  <c r="AF183" i="27"/>
  <c r="AE183" i="27"/>
  <c r="AD183" i="27"/>
  <c r="AC183" i="27"/>
  <c r="AB183" i="27"/>
  <c r="R183" i="27"/>
  <c r="Q183" i="27"/>
  <c r="P183" i="27"/>
  <c r="AF118" i="27"/>
  <c r="AE118" i="27"/>
  <c r="AD118" i="27"/>
  <c r="AC118" i="27"/>
  <c r="AB118" i="27"/>
  <c r="R118" i="27"/>
  <c r="Q118" i="27"/>
  <c r="P118" i="27"/>
  <c r="AF3263" i="27"/>
  <c r="AE3263" i="27"/>
  <c r="AD3263" i="27"/>
  <c r="AC3263" i="27"/>
  <c r="AB3263" i="27"/>
  <c r="R3263" i="27"/>
  <c r="Q3263" i="27"/>
  <c r="P3263" i="27"/>
  <c r="E3263" i="27"/>
  <c r="D3263" i="27"/>
  <c r="AF2354" i="27"/>
  <c r="AE2354" i="27"/>
  <c r="AD2354" i="27"/>
  <c r="AC2354" i="27"/>
  <c r="AB2354" i="27"/>
  <c r="R2354" i="27"/>
  <c r="Q2354" i="27"/>
  <c r="P2354" i="27"/>
  <c r="E2354" i="27"/>
  <c r="D2354" i="27"/>
  <c r="AF1800" i="27"/>
  <c r="AE1800" i="27"/>
  <c r="AD1800" i="27"/>
  <c r="AC1800" i="27"/>
  <c r="AB1800" i="27"/>
  <c r="R1800" i="27"/>
  <c r="Q1800" i="27"/>
  <c r="P1800" i="27"/>
  <c r="E1800" i="27"/>
  <c r="D1800" i="27"/>
  <c r="AF3153" i="27"/>
  <c r="AE3153" i="27"/>
  <c r="AD3153" i="27"/>
  <c r="AC3153" i="27"/>
  <c r="AB3153" i="27"/>
  <c r="R3153" i="27"/>
  <c r="Q3153" i="27"/>
  <c r="P3153" i="27"/>
  <c r="E3153" i="27"/>
  <c r="D3153" i="27"/>
  <c r="AF1851" i="27"/>
  <c r="AE1851" i="27"/>
  <c r="AD1851" i="27"/>
  <c r="AC1851" i="27"/>
  <c r="AB1851" i="27"/>
  <c r="R1851" i="27"/>
  <c r="Q1851" i="27"/>
  <c r="P1851" i="27"/>
  <c r="E1851" i="27"/>
  <c r="AF1806" i="27"/>
  <c r="AE1806" i="27"/>
  <c r="AD1806" i="27"/>
  <c r="AC1806" i="27"/>
  <c r="AB1806" i="27"/>
  <c r="R1806" i="27"/>
  <c r="Q1806" i="27"/>
  <c r="P1806" i="27"/>
  <c r="E1806" i="27"/>
  <c r="D1806" i="27"/>
  <c r="AF1839" i="27"/>
  <c r="AE1839" i="27"/>
  <c r="AD1839" i="27"/>
  <c r="AC1839" i="27"/>
  <c r="AB1839" i="27"/>
  <c r="R1839" i="27"/>
  <c r="Q1839" i="27"/>
  <c r="P1839" i="27"/>
  <c r="AF3262" i="27"/>
  <c r="AE3262" i="27"/>
  <c r="AD3262" i="27"/>
  <c r="AC3262" i="27"/>
  <c r="AB3262" i="27"/>
  <c r="R3262" i="27"/>
  <c r="Q3262" i="27"/>
  <c r="P3262" i="27"/>
  <c r="E3262" i="27"/>
  <c r="D3262" i="27"/>
  <c r="AF3244" i="27"/>
  <c r="AE3244" i="27"/>
  <c r="AD3244" i="27"/>
  <c r="AC3244" i="27"/>
  <c r="AB3244" i="27"/>
  <c r="R3244" i="27"/>
  <c r="Q3244" i="27"/>
  <c r="P3244" i="27"/>
  <c r="E3244" i="27"/>
  <c r="AF63" i="27"/>
  <c r="AE63" i="27"/>
  <c r="AD63" i="27"/>
  <c r="AC63" i="27"/>
  <c r="AB63" i="27"/>
  <c r="R63" i="27"/>
  <c r="Q63" i="27"/>
  <c r="P63" i="27"/>
  <c r="AF34" i="27"/>
  <c r="AE34" i="27"/>
  <c r="AD34" i="27"/>
  <c r="AC34" i="27"/>
  <c r="AB34" i="27"/>
  <c r="R34" i="27"/>
  <c r="Q34" i="27"/>
  <c r="P34" i="27"/>
  <c r="AF1837" i="27"/>
  <c r="AE1837" i="27"/>
  <c r="AD1837" i="27"/>
  <c r="AC1837" i="27"/>
  <c r="AB1837" i="27"/>
  <c r="R1837" i="27"/>
  <c r="Q1837" i="27"/>
  <c r="P1837" i="27"/>
  <c r="AF43" i="27"/>
  <c r="AE43" i="27"/>
  <c r="AD43" i="27"/>
  <c r="AC43" i="27"/>
  <c r="AB43" i="27"/>
  <c r="R43" i="27"/>
  <c r="Q43" i="27"/>
  <c r="P43" i="27"/>
  <c r="AF3141" i="27"/>
  <c r="AE3141" i="27"/>
  <c r="AD3141" i="27"/>
  <c r="AC3141" i="27"/>
  <c r="AB3141" i="27"/>
  <c r="R3141" i="27"/>
  <c r="Q3141" i="27"/>
  <c r="P3141" i="27"/>
  <c r="E3141" i="27"/>
  <c r="D3141" i="27"/>
  <c r="AF2360" i="27"/>
  <c r="AE2360" i="27"/>
  <c r="AD2360" i="27"/>
  <c r="AC2360" i="27"/>
  <c r="AB2360" i="27"/>
  <c r="R2360" i="27"/>
  <c r="Q2360" i="27"/>
  <c r="P2360" i="27"/>
  <c r="E2360" i="27"/>
  <c r="D2360" i="27"/>
  <c r="AF3147" i="27"/>
  <c r="AE3147" i="27"/>
  <c r="AD3147" i="27"/>
  <c r="AC3147" i="27"/>
  <c r="AB3147" i="27"/>
  <c r="R3147" i="27"/>
  <c r="Q3147" i="27"/>
  <c r="P3147" i="27"/>
  <c r="E3147" i="27"/>
  <c r="D3147" i="27"/>
  <c r="AF139" i="27"/>
  <c r="AE139" i="27"/>
  <c r="AD139" i="27"/>
  <c r="AC139" i="27"/>
  <c r="AB139" i="27"/>
  <c r="R139" i="27"/>
  <c r="Q139" i="27"/>
  <c r="P139" i="27"/>
  <c r="AF89" i="27"/>
  <c r="AE89" i="27"/>
  <c r="AD89" i="27"/>
  <c r="AC89" i="27"/>
  <c r="AB89" i="27"/>
  <c r="R89" i="27"/>
  <c r="Q89" i="27"/>
  <c r="P89" i="27"/>
  <c r="AF1815" i="27"/>
  <c r="AE1815" i="27"/>
  <c r="AD1815" i="27"/>
  <c r="AC1815" i="27"/>
  <c r="AB1815" i="27"/>
  <c r="R1815" i="27"/>
  <c r="Q1815" i="27"/>
  <c r="P1815" i="27"/>
  <c r="E1815" i="27"/>
  <c r="AF135" i="27"/>
  <c r="AE135" i="27"/>
  <c r="AD135" i="27"/>
  <c r="AC135" i="27"/>
  <c r="AB135" i="27"/>
  <c r="R135" i="27"/>
  <c r="Q135" i="27"/>
  <c r="P135" i="27"/>
  <c r="E135" i="27"/>
  <c r="D135" i="27"/>
  <c r="A857" i="32"/>
  <c r="B857" i="32" s="1"/>
  <c r="C857" i="32"/>
  <c r="A874" i="32"/>
  <c r="B874" i="32" s="1"/>
  <c r="C874" i="32"/>
  <c r="A2266" i="32"/>
  <c r="B2266" i="32" s="1"/>
  <c r="C2266" i="32"/>
  <c r="A2450" i="32"/>
  <c r="B2450" i="32" s="1"/>
  <c r="C2450" i="32"/>
  <c r="A2429" i="32"/>
  <c r="B2429" i="32" s="1"/>
  <c r="C2429" i="32"/>
  <c r="A2167" i="32"/>
  <c r="B2167" i="32" s="1"/>
  <c r="C2167" i="32"/>
  <c r="A485" i="32"/>
  <c r="B485" i="32" s="1"/>
  <c r="C485" i="32"/>
  <c r="A2223" i="32"/>
  <c r="B2223" i="32" s="1"/>
  <c r="C2223" i="32"/>
  <c r="A2517" i="32"/>
  <c r="B2517" i="32" s="1"/>
  <c r="C2517" i="32"/>
  <c r="A2286" i="32"/>
  <c r="B2286" i="32" s="1"/>
  <c r="C2286" i="32"/>
  <c r="A1808" i="32"/>
  <c r="B1808" i="32" s="1"/>
  <c r="C1808" i="32"/>
  <c r="AF1788" i="27"/>
  <c r="AE1788" i="27"/>
  <c r="AD1788" i="27"/>
  <c r="AC1788" i="27"/>
  <c r="AB1788" i="27"/>
  <c r="R1788" i="27"/>
  <c r="Q1788" i="27"/>
  <c r="P1788" i="27"/>
  <c r="E1788" i="27"/>
  <c r="D1788" i="27"/>
  <c r="AF2356" i="27"/>
  <c r="AE2356" i="27"/>
  <c r="AD2356" i="27"/>
  <c r="AC2356" i="27"/>
  <c r="AB2356" i="27"/>
  <c r="R2356" i="27"/>
  <c r="Q2356" i="27"/>
  <c r="P2356" i="27"/>
  <c r="E2356" i="27"/>
  <c r="D2356" i="27"/>
  <c r="AF1808" i="27"/>
  <c r="AE1808" i="27"/>
  <c r="AD1808" i="27"/>
  <c r="AC1808" i="27"/>
  <c r="AB1808" i="27"/>
  <c r="R1808" i="27"/>
  <c r="Q1808" i="27"/>
  <c r="P1808" i="27"/>
  <c r="E1808" i="27"/>
  <c r="D1808" i="27"/>
  <c r="AM1808" i="27" s="1"/>
  <c r="AF3198" i="27"/>
  <c r="AE3198" i="27"/>
  <c r="AD3198" i="27"/>
  <c r="AC3198" i="27"/>
  <c r="AB3198" i="27"/>
  <c r="R3198" i="27"/>
  <c r="Q3198" i="27"/>
  <c r="P3198" i="27"/>
  <c r="E3198" i="27"/>
  <c r="AF3260" i="27"/>
  <c r="AE3260" i="27"/>
  <c r="AD3260" i="27"/>
  <c r="AC3260" i="27"/>
  <c r="AB3260" i="27"/>
  <c r="R3260" i="27"/>
  <c r="Q3260" i="27"/>
  <c r="P3260" i="27"/>
  <c r="E3260" i="27"/>
  <c r="D3260" i="27"/>
  <c r="AF3259" i="27"/>
  <c r="AE3259" i="27"/>
  <c r="AD3259" i="27"/>
  <c r="AC3259" i="27"/>
  <c r="AB3259" i="27"/>
  <c r="R3259" i="27"/>
  <c r="Q3259" i="27"/>
  <c r="P3259" i="27"/>
  <c r="E3259" i="27"/>
  <c r="D3259" i="27"/>
  <c r="AF3258" i="27"/>
  <c r="AE3258" i="27"/>
  <c r="AD3258" i="27"/>
  <c r="AC3258" i="27"/>
  <c r="AB3258" i="27"/>
  <c r="R3258" i="27"/>
  <c r="Q3258" i="27"/>
  <c r="P3258" i="27"/>
  <c r="E3258" i="27"/>
  <c r="D3258" i="27"/>
  <c r="AF3257" i="27"/>
  <c r="AE3257" i="27"/>
  <c r="AD3257" i="27"/>
  <c r="AC3257" i="27"/>
  <c r="AB3257" i="27"/>
  <c r="R3257" i="27"/>
  <c r="Q3257" i="27"/>
  <c r="P3257" i="27"/>
  <c r="E3257" i="27"/>
  <c r="D3257" i="27"/>
  <c r="AF3251" i="27"/>
  <c r="AE3251" i="27"/>
  <c r="AD3251" i="27"/>
  <c r="AC3251" i="27"/>
  <c r="AB3251" i="27"/>
  <c r="R3251" i="27"/>
  <c r="Q3251" i="27"/>
  <c r="P3251" i="27"/>
  <c r="E3251" i="27"/>
  <c r="D3251" i="27"/>
  <c r="AF181" i="27"/>
  <c r="AE181" i="27"/>
  <c r="AD181" i="27"/>
  <c r="AC181" i="27"/>
  <c r="AB181" i="27"/>
  <c r="R181" i="27"/>
  <c r="Q181" i="27"/>
  <c r="P181" i="27"/>
  <c r="AF3138" i="27"/>
  <c r="AE3138" i="27"/>
  <c r="AD3138" i="27"/>
  <c r="AC3138" i="27"/>
  <c r="AB3138" i="27"/>
  <c r="R3138" i="27"/>
  <c r="Q3138" i="27"/>
  <c r="P3138" i="27"/>
  <c r="E3138" i="27"/>
  <c r="D3138" i="27"/>
  <c r="AF3143" i="27"/>
  <c r="AE3143" i="27"/>
  <c r="AD3143" i="27"/>
  <c r="AC3143" i="27"/>
  <c r="AB3143" i="27"/>
  <c r="R3143" i="27"/>
  <c r="Q3143" i="27"/>
  <c r="P3143" i="27"/>
  <c r="E3143" i="27"/>
  <c r="D3143" i="27"/>
  <c r="AF1836" i="27"/>
  <c r="AE1836" i="27"/>
  <c r="AD1836" i="27"/>
  <c r="AC1836" i="27"/>
  <c r="AB1836" i="27"/>
  <c r="R1836" i="27"/>
  <c r="Q1836" i="27"/>
  <c r="P1836" i="27"/>
  <c r="AF3151" i="27"/>
  <c r="AE3151" i="27"/>
  <c r="AD3151" i="27"/>
  <c r="AC3151" i="27"/>
  <c r="AB3151" i="27"/>
  <c r="R3151" i="27"/>
  <c r="Q3151" i="27"/>
  <c r="P3151" i="27"/>
  <c r="E3151" i="27"/>
  <c r="D3151" i="27"/>
  <c r="AF1776" i="27"/>
  <c r="AE1776" i="27"/>
  <c r="AD1776" i="27"/>
  <c r="AC1776" i="27"/>
  <c r="AB1776" i="27"/>
  <c r="R1776" i="27"/>
  <c r="Q1776" i="27"/>
  <c r="P1776" i="27"/>
  <c r="E1776" i="27"/>
  <c r="D1776" i="27"/>
  <c r="A681" i="32"/>
  <c r="B681" i="32" s="1"/>
  <c r="C681" i="32"/>
  <c r="A2562" i="32"/>
  <c r="B2562" i="32" s="1"/>
  <c r="C2562" i="32"/>
  <c r="A1174" i="32"/>
  <c r="B1174" i="32" s="1"/>
  <c r="C1174" i="32"/>
  <c r="A2311" i="32"/>
  <c r="B2311" i="32" s="1"/>
  <c r="C2311" i="32"/>
  <c r="A1382" i="32"/>
  <c r="B1382" i="32" s="1"/>
  <c r="C1382" i="32"/>
  <c r="A2704" i="32"/>
  <c r="B2704" i="32" s="1"/>
  <c r="C2704" i="32"/>
  <c r="A1307" i="32"/>
  <c r="B1307" i="32" s="1"/>
  <c r="C1307" i="32"/>
  <c r="A1058" i="32"/>
  <c r="B1058" i="32" s="1"/>
  <c r="C1058" i="32"/>
  <c r="AF1719" i="27"/>
  <c r="AE1719" i="27"/>
  <c r="AD1719" i="27"/>
  <c r="AC1719" i="27"/>
  <c r="AB1719" i="27"/>
  <c r="R1719" i="27"/>
  <c r="Q1719" i="27"/>
  <c r="P1719" i="27"/>
  <c r="E1719" i="27"/>
  <c r="D1719" i="27"/>
  <c r="B52" i="30"/>
  <c r="B51" i="30"/>
  <c r="B133" i="30"/>
  <c r="B58" i="30"/>
  <c r="B132" i="30"/>
  <c r="D211" i="27"/>
  <c r="E211" i="27"/>
  <c r="P211" i="27"/>
  <c r="Q211" i="27"/>
  <c r="R211" i="27"/>
  <c r="AB211" i="27"/>
  <c r="AC211" i="27"/>
  <c r="AD211" i="27"/>
  <c r="AE211" i="27"/>
  <c r="AF211" i="27"/>
  <c r="AF1752" i="27"/>
  <c r="AE1752" i="27"/>
  <c r="AD1752" i="27"/>
  <c r="AC1752" i="27"/>
  <c r="AB1752" i="27"/>
  <c r="R1752" i="27"/>
  <c r="Q1752" i="27"/>
  <c r="P1752" i="27"/>
  <c r="E1752" i="27"/>
  <c r="D1752" i="27"/>
  <c r="AF1770" i="27"/>
  <c r="AE1770" i="27"/>
  <c r="AD1770" i="27"/>
  <c r="AC1770" i="27"/>
  <c r="AB1770" i="27"/>
  <c r="R1770" i="27"/>
  <c r="Q1770" i="27"/>
  <c r="P1770" i="27"/>
  <c r="E1770" i="27"/>
  <c r="D1770" i="27"/>
  <c r="AF2348" i="27"/>
  <c r="AE2348" i="27"/>
  <c r="AD2348" i="27"/>
  <c r="AC2348" i="27"/>
  <c r="AB2348" i="27"/>
  <c r="R2348" i="27"/>
  <c r="Q2348" i="27"/>
  <c r="P2348" i="27"/>
  <c r="E2348" i="27"/>
  <c r="D2348" i="27"/>
  <c r="A2446" i="32"/>
  <c r="B2446" i="32" s="1"/>
  <c r="C2446" i="32"/>
  <c r="A972" i="32"/>
  <c r="B972" i="32" s="1"/>
  <c r="C972" i="32"/>
  <c r="A1360" i="32"/>
  <c r="B1360" i="32" s="1"/>
  <c r="C1360" i="32"/>
  <c r="A1337" i="32"/>
  <c r="B1337" i="32" s="1"/>
  <c r="C1337" i="32"/>
  <c r="A2452" i="32"/>
  <c r="B2452" i="32" s="1"/>
  <c r="C2452" i="32"/>
  <c r="AF3246" i="27"/>
  <c r="AE3246" i="27"/>
  <c r="AD3246" i="27"/>
  <c r="AC3246" i="27"/>
  <c r="AB3246" i="27"/>
  <c r="R3246" i="27"/>
  <c r="Q3246" i="27"/>
  <c r="P3246" i="27"/>
  <c r="E3246" i="27"/>
  <c r="D3246" i="27"/>
  <c r="AF3150" i="27"/>
  <c r="AE3150" i="27"/>
  <c r="AD3150" i="27"/>
  <c r="AC3150" i="27"/>
  <c r="AB3150" i="27"/>
  <c r="R3150" i="27"/>
  <c r="Q3150" i="27"/>
  <c r="P3150" i="27"/>
  <c r="E3150" i="27"/>
  <c r="D3150" i="27"/>
  <c r="AF3149" i="27"/>
  <c r="AE3149" i="27"/>
  <c r="AD3149" i="27"/>
  <c r="AC3149" i="27"/>
  <c r="AB3149" i="27"/>
  <c r="R3149" i="27"/>
  <c r="Q3149" i="27"/>
  <c r="P3149" i="27"/>
  <c r="E3149" i="27"/>
  <c r="D3149" i="27"/>
  <c r="AF2369" i="27"/>
  <c r="AE2369" i="27"/>
  <c r="AD2369" i="27"/>
  <c r="AC2369" i="27"/>
  <c r="AB2369" i="27"/>
  <c r="R2369" i="27"/>
  <c r="Q2369" i="27"/>
  <c r="P2369" i="27"/>
  <c r="E2369" i="27"/>
  <c r="D2369" i="27"/>
  <c r="AF3148" i="27"/>
  <c r="AE3148" i="27"/>
  <c r="AD3148" i="27"/>
  <c r="AC3148" i="27"/>
  <c r="AB3148" i="27"/>
  <c r="R3148" i="27"/>
  <c r="Q3148" i="27"/>
  <c r="P3148" i="27"/>
  <c r="E3148" i="27"/>
  <c r="D3148" i="27"/>
  <c r="AF1803" i="27"/>
  <c r="AE1803" i="27"/>
  <c r="AD1803" i="27"/>
  <c r="AC1803" i="27"/>
  <c r="AB1803" i="27"/>
  <c r="R1803" i="27"/>
  <c r="Q1803" i="27"/>
  <c r="P1803" i="27"/>
  <c r="E1803" i="27"/>
  <c r="D1803" i="27"/>
  <c r="AF1802" i="27"/>
  <c r="AE1802" i="27"/>
  <c r="AD1802" i="27"/>
  <c r="AC1802" i="27"/>
  <c r="AB1802" i="27"/>
  <c r="R1802" i="27"/>
  <c r="Q1802" i="27"/>
  <c r="P1802" i="27"/>
  <c r="E1802" i="27"/>
  <c r="D1802" i="27"/>
  <c r="AF1794" i="27"/>
  <c r="AE1794" i="27"/>
  <c r="AD1794" i="27"/>
  <c r="AC1794" i="27"/>
  <c r="AB1794" i="27"/>
  <c r="R1794" i="27"/>
  <c r="Q1794" i="27"/>
  <c r="P1794" i="27"/>
  <c r="E1794" i="27"/>
  <c r="D1794" i="27"/>
  <c r="AM1794" i="27" s="1"/>
  <c r="AH1794" i="27" s="1"/>
  <c r="AF1775" i="27"/>
  <c r="AE1775" i="27"/>
  <c r="AD1775" i="27"/>
  <c r="AC1775" i="27"/>
  <c r="AB1775" i="27"/>
  <c r="R1775" i="27"/>
  <c r="Q1775" i="27"/>
  <c r="P1775" i="27"/>
  <c r="E1775" i="27"/>
  <c r="D1775" i="27"/>
  <c r="AF3146" i="27"/>
  <c r="AE3146" i="27"/>
  <c r="AD3146" i="27"/>
  <c r="AC3146" i="27"/>
  <c r="AB3146" i="27"/>
  <c r="R3146" i="27"/>
  <c r="Q3146" i="27"/>
  <c r="P3146" i="27"/>
  <c r="E3146" i="27"/>
  <c r="D3146" i="27"/>
  <c r="AM3146" i="27" s="1"/>
  <c r="AH3146" i="27" s="1"/>
  <c r="AF3134" i="27"/>
  <c r="AE3134" i="27"/>
  <c r="AD3134" i="27"/>
  <c r="AC3134" i="27"/>
  <c r="AB3134" i="27"/>
  <c r="R3134" i="27"/>
  <c r="Q3134" i="27"/>
  <c r="P3134" i="27"/>
  <c r="E3134" i="27"/>
  <c r="D3134" i="27"/>
  <c r="AF66" i="27"/>
  <c r="AE66" i="27"/>
  <c r="AD66" i="27"/>
  <c r="AC66" i="27"/>
  <c r="AB66" i="27"/>
  <c r="R66" i="27"/>
  <c r="Q66" i="27"/>
  <c r="P66" i="27"/>
  <c r="AF2064" i="27"/>
  <c r="AE2064" i="27"/>
  <c r="AD2064" i="27"/>
  <c r="AC2064" i="27"/>
  <c r="AB2064" i="27"/>
  <c r="R2064" i="27"/>
  <c r="Q2064" i="27"/>
  <c r="P2064" i="27"/>
  <c r="E2064" i="27"/>
  <c r="D2064" i="27"/>
  <c r="AF1801" i="27"/>
  <c r="AE1801" i="27"/>
  <c r="AD1801" i="27"/>
  <c r="AC1801" i="27"/>
  <c r="AB1801" i="27"/>
  <c r="R1801" i="27"/>
  <c r="Q1801" i="27"/>
  <c r="P1801" i="27"/>
  <c r="E1801" i="27"/>
  <c r="D1801" i="27"/>
  <c r="AF3144" i="27"/>
  <c r="AE3144" i="27"/>
  <c r="AD3144" i="27"/>
  <c r="AC3144" i="27"/>
  <c r="AB3144" i="27"/>
  <c r="R3144" i="27"/>
  <c r="Q3144" i="27"/>
  <c r="P3144" i="27"/>
  <c r="E3144" i="27"/>
  <c r="D3144" i="27"/>
  <c r="AF3142" i="27"/>
  <c r="AE3142" i="27"/>
  <c r="AD3142" i="27"/>
  <c r="AC3142" i="27"/>
  <c r="AB3142" i="27"/>
  <c r="R3142" i="27"/>
  <c r="Q3142" i="27"/>
  <c r="P3142" i="27"/>
  <c r="E3142" i="27"/>
  <c r="D3142" i="27"/>
  <c r="AF1762" i="27"/>
  <c r="AE1762" i="27"/>
  <c r="AD1762" i="27"/>
  <c r="AC1762" i="27"/>
  <c r="AB1762" i="27"/>
  <c r="R1762" i="27"/>
  <c r="Q1762" i="27"/>
  <c r="P1762" i="27"/>
  <c r="E1762" i="27"/>
  <c r="D1762" i="27"/>
  <c r="AF1761" i="27"/>
  <c r="AE1761" i="27"/>
  <c r="AD1761" i="27"/>
  <c r="AC1761" i="27"/>
  <c r="AB1761" i="27"/>
  <c r="R1761" i="27"/>
  <c r="Q1761" i="27"/>
  <c r="P1761" i="27"/>
  <c r="E1761" i="27"/>
  <c r="D1761" i="27"/>
  <c r="AM1761" i="27" s="1"/>
  <c r="AH1761" i="27" s="1"/>
  <c r="AF3313" i="27"/>
  <c r="AE3313" i="27"/>
  <c r="AD3313" i="27"/>
  <c r="AC3313" i="27"/>
  <c r="AB3313" i="27"/>
  <c r="R3313" i="27"/>
  <c r="Q3313" i="27"/>
  <c r="P3313" i="27"/>
  <c r="E3313" i="27"/>
  <c r="D3313" i="27"/>
  <c r="AM3313" i="27" s="1"/>
  <c r="AN3313" i="27" s="1"/>
  <c r="AO3313" i="27" s="1"/>
  <c r="AF2057" i="27"/>
  <c r="AE2057" i="27"/>
  <c r="AD2057" i="27"/>
  <c r="AC2057" i="27"/>
  <c r="AB2057" i="27"/>
  <c r="R2057" i="27"/>
  <c r="Q2057" i="27"/>
  <c r="P2057" i="27"/>
  <c r="E2057" i="27"/>
  <c r="D2057" i="27"/>
  <c r="AF239" i="27"/>
  <c r="AE239" i="27"/>
  <c r="AD239" i="27"/>
  <c r="AC239" i="27"/>
  <c r="AB239" i="27"/>
  <c r="R239" i="27"/>
  <c r="Q239" i="27"/>
  <c r="P239" i="27"/>
  <c r="E239" i="27"/>
  <c r="D239" i="27"/>
  <c r="AF3139" i="27"/>
  <c r="AE3139" i="27"/>
  <c r="AD3139" i="27"/>
  <c r="AC3139" i="27"/>
  <c r="AB3139" i="27"/>
  <c r="R3139" i="27"/>
  <c r="Q3139" i="27"/>
  <c r="P3139" i="27"/>
  <c r="E3139" i="27"/>
  <c r="D3139" i="27"/>
  <c r="A1629" i="32"/>
  <c r="B1629" i="32" s="1"/>
  <c r="C1629" i="32"/>
  <c r="A2540" i="32"/>
  <c r="B2540" i="32" s="1"/>
  <c r="C2540" i="32"/>
  <c r="A1294" i="32"/>
  <c r="B1294" i="32" s="1"/>
  <c r="C1294" i="32"/>
  <c r="A1138" i="32"/>
  <c r="B1138" i="32" s="1"/>
  <c r="C1138" i="32"/>
  <c r="A1686" i="32"/>
  <c r="B1686" i="32" s="1"/>
  <c r="C1686" i="32"/>
  <c r="A1844" i="32"/>
  <c r="B1844" i="32" s="1"/>
  <c r="C1844" i="32"/>
  <c r="A1256" i="32"/>
  <c r="B1256" i="32" s="1"/>
  <c r="C1256" i="32"/>
  <c r="A584" i="32"/>
  <c r="B584" i="32" s="1"/>
  <c r="C584" i="32"/>
  <c r="A515" i="32"/>
  <c r="B515" i="32" s="1"/>
  <c r="C515" i="32"/>
  <c r="A2327" i="32"/>
  <c r="B2327" i="32" s="1"/>
  <c r="C2327" i="32"/>
  <c r="AF1595" i="27"/>
  <c r="AE1595" i="27"/>
  <c r="AD1595" i="27"/>
  <c r="AC1595" i="27"/>
  <c r="AB1595" i="27"/>
  <c r="R1595" i="27"/>
  <c r="Q1595" i="27"/>
  <c r="P1595" i="27"/>
  <c r="E1595" i="27"/>
  <c r="D1595" i="27"/>
  <c r="AF1715" i="27"/>
  <c r="AE1715" i="27"/>
  <c r="AD1715" i="27"/>
  <c r="AC1715" i="27"/>
  <c r="AB1715" i="27"/>
  <c r="R1715" i="27"/>
  <c r="Q1715" i="27"/>
  <c r="P1715" i="27"/>
  <c r="E1715" i="27"/>
  <c r="D1715" i="27"/>
  <c r="AF128" i="27"/>
  <c r="AE128" i="27"/>
  <c r="AD128" i="27"/>
  <c r="AC128" i="27"/>
  <c r="AB128" i="27"/>
  <c r="R128" i="27"/>
  <c r="Q128" i="27"/>
  <c r="P128" i="27"/>
  <c r="AF1748" i="27"/>
  <c r="AE1748" i="27"/>
  <c r="AD1748" i="27"/>
  <c r="AC1748" i="27"/>
  <c r="AB1748" i="27"/>
  <c r="R1748" i="27"/>
  <c r="Q1748" i="27"/>
  <c r="P1748" i="27"/>
  <c r="E1748" i="27"/>
  <c r="D1748" i="27"/>
  <c r="AF238" i="27"/>
  <c r="AE238" i="27"/>
  <c r="AD238" i="27"/>
  <c r="AC238" i="27"/>
  <c r="AB238" i="27"/>
  <c r="R238" i="27"/>
  <c r="Q238" i="27"/>
  <c r="P238" i="27"/>
  <c r="E238" i="27"/>
  <c r="D238" i="27"/>
  <c r="AF2352" i="27"/>
  <c r="AE2352" i="27"/>
  <c r="AD2352" i="27"/>
  <c r="AC2352" i="27"/>
  <c r="AB2352" i="27"/>
  <c r="R2352" i="27"/>
  <c r="Q2352" i="27"/>
  <c r="P2352" i="27"/>
  <c r="E2352" i="27"/>
  <c r="AF101" i="27"/>
  <c r="AE101" i="27"/>
  <c r="AD101" i="27"/>
  <c r="AC101" i="27"/>
  <c r="AB101" i="27"/>
  <c r="R101" i="27"/>
  <c r="Q101" i="27"/>
  <c r="P101" i="27"/>
  <c r="AF3135" i="27"/>
  <c r="AE3135" i="27"/>
  <c r="AD3135" i="27"/>
  <c r="AC3135" i="27"/>
  <c r="AB3135" i="27"/>
  <c r="R3135" i="27"/>
  <c r="Q3135" i="27"/>
  <c r="P3135" i="27"/>
  <c r="E3135" i="27"/>
  <c r="D3135" i="27"/>
  <c r="A744" i="32"/>
  <c r="B744" i="32" s="1"/>
  <c r="C744" i="32"/>
  <c r="A531" i="32"/>
  <c r="B531" i="32" s="1"/>
  <c r="C531" i="32"/>
  <c r="A753" i="32"/>
  <c r="B753" i="32" s="1"/>
  <c r="C753" i="32"/>
  <c r="A201" i="32"/>
  <c r="B201" i="32" s="1"/>
  <c r="C201" i="32"/>
  <c r="A722" i="32"/>
  <c r="B722" i="32" s="1"/>
  <c r="C722" i="32"/>
  <c r="A2447" i="32"/>
  <c r="B2447" i="32" s="1"/>
  <c r="C2447" i="32"/>
  <c r="A899" i="32"/>
  <c r="B899" i="32" s="1"/>
  <c r="C899" i="32"/>
  <c r="A2270" i="32"/>
  <c r="B2270" i="32" s="1"/>
  <c r="C2270" i="32"/>
  <c r="A1682" i="32"/>
  <c r="B1682" i="32" s="1"/>
  <c r="C1682" i="32"/>
  <c r="A1922" i="32"/>
  <c r="B1922" i="32" s="1"/>
  <c r="C1922" i="32"/>
  <c r="A947" i="32"/>
  <c r="B947" i="32" s="1"/>
  <c r="C947" i="32"/>
  <c r="A1099" i="32"/>
  <c r="B1099" i="32" s="1"/>
  <c r="C1099" i="32"/>
  <c r="A746" i="32"/>
  <c r="B746" i="32" s="1"/>
  <c r="C746" i="32"/>
  <c r="AF3255" i="27"/>
  <c r="AE3255" i="27"/>
  <c r="AD3255" i="27"/>
  <c r="AC3255" i="27"/>
  <c r="AB3255" i="27"/>
  <c r="R3255" i="27"/>
  <c r="Q3255" i="27"/>
  <c r="P3255" i="27"/>
  <c r="E3255" i="27"/>
  <c r="D3255" i="27"/>
  <c r="AF3136" i="27"/>
  <c r="AE3136" i="27"/>
  <c r="AD3136" i="27"/>
  <c r="AC3136" i="27"/>
  <c r="AB3136" i="27"/>
  <c r="R3136" i="27"/>
  <c r="Q3136" i="27"/>
  <c r="P3136" i="27"/>
  <c r="E3136" i="27"/>
  <c r="D3136" i="27"/>
  <c r="AF3137" i="27"/>
  <c r="AE3137" i="27"/>
  <c r="AD3137" i="27"/>
  <c r="AC3137" i="27"/>
  <c r="AB3137" i="27"/>
  <c r="R3137" i="27"/>
  <c r="Q3137" i="27"/>
  <c r="P3137" i="27"/>
  <c r="E3137" i="27"/>
  <c r="D3137" i="27"/>
  <c r="AF237" i="27"/>
  <c r="AE237" i="27"/>
  <c r="AD237" i="27"/>
  <c r="AC237" i="27"/>
  <c r="AB237" i="27"/>
  <c r="R237" i="27"/>
  <c r="Q237" i="27"/>
  <c r="P237" i="27"/>
  <c r="E237" i="27"/>
  <c r="D237" i="27"/>
  <c r="AF3133" i="27"/>
  <c r="AE3133" i="27"/>
  <c r="AD3133" i="27"/>
  <c r="AC3133" i="27"/>
  <c r="AB3133" i="27"/>
  <c r="R3133" i="27"/>
  <c r="Q3133" i="27"/>
  <c r="P3133" i="27"/>
  <c r="E3133" i="27"/>
  <c r="D3133" i="27"/>
  <c r="AQ3133" i="27" s="1"/>
  <c r="AR3133" i="27" s="1"/>
  <c r="AS3133" i="27" s="1"/>
  <c r="AF3194" i="27"/>
  <c r="AE3194" i="27"/>
  <c r="AD3194" i="27"/>
  <c r="AC3194" i="27"/>
  <c r="AB3194" i="27"/>
  <c r="R3194" i="27"/>
  <c r="Q3194" i="27"/>
  <c r="P3194" i="27"/>
  <c r="E3194" i="27"/>
  <c r="D3194" i="27"/>
  <c r="AF1763" i="27"/>
  <c r="AE1763" i="27"/>
  <c r="AD1763" i="27"/>
  <c r="AC1763" i="27"/>
  <c r="AB1763" i="27"/>
  <c r="R1763" i="27"/>
  <c r="Q1763" i="27"/>
  <c r="P1763" i="27"/>
  <c r="E1763" i="27"/>
  <c r="D1763" i="27"/>
  <c r="AF65" i="27"/>
  <c r="AE65" i="27"/>
  <c r="AD65" i="27"/>
  <c r="AC65" i="27"/>
  <c r="AB65" i="27"/>
  <c r="R65" i="27"/>
  <c r="Q65" i="27"/>
  <c r="P65" i="27"/>
  <c r="AF3253" i="27"/>
  <c r="AE3253" i="27"/>
  <c r="AD3253" i="27"/>
  <c r="AC3253" i="27"/>
  <c r="AB3253" i="27"/>
  <c r="R3253" i="27"/>
  <c r="Q3253" i="27"/>
  <c r="P3253" i="27"/>
  <c r="E3253" i="27"/>
  <c r="D3253" i="27"/>
  <c r="AF1850" i="27"/>
  <c r="AE1850" i="27"/>
  <c r="AD1850" i="27"/>
  <c r="AC1850" i="27"/>
  <c r="AB1850" i="27"/>
  <c r="R1850" i="27"/>
  <c r="Q1850" i="27"/>
  <c r="P1850" i="27"/>
  <c r="AF3131" i="27"/>
  <c r="AE3131" i="27"/>
  <c r="AD3131" i="27"/>
  <c r="AC3131" i="27"/>
  <c r="AB3131" i="27"/>
  <c r="R3131" i="27"/>
  <c r="Q3131" i="27"/>
  <c r="P3131" i="27"/>
  <c r="E3131" i="27"/>
  <c r="D3131" i="27"/>
  <c r="AF236" i="27"/>
  <c r="AE236" i="27"/>
  <c r="AD236" i="27"/>
  <c r="AC236" i="27"/>
  <c r="AB236" i="27"/>
  <c r="R236" i="27"/>
  <c r="Q236" i="27"/>
  <c r="P236" i="27"/>
  <c r="E236" i="27"/>
  <c r="D236" i="27"/>
  <c r="AF1728" i="27"/>
  <c r="AE1728" i="27"/>
  <c r="AD1728" i="27"/>
  <c r="AC1728" i="27"/>
  <c r="AB1728" i="27"/>
  <c r="R1728" i="27"/>
  <c r="Q1728" i="27"/>
  <c r="P1728" i="27"/>
  <c r="E1728" i="27"/>
  <c r="D1728" i="27"/>
  <c r="AF3132" i="27"/>
  <c r="AE3132" i="27"/>
  <c r="AD3132" i="27"/>
  <c r="AC3132" i="27"/>
  <c r="AB3132" i="27"/>
  <c r="R3132" i="27"/>
  <c r="Q3132" i="27"/>
  <c r="P3132" i="27"/>
  <c r="E3132" i="27"/>
  <c r="D3132" i="27"/>
  <c r="AF1730" i="27"/>
  <c r="AE1730" i="27"/>
  <c r="AD1730" i="27"/>
  <c r="AC1730" i="27"/>
  <c r="AB1730" i="27"/>
  <c r="R1730" i="27"/>
  <c r="Q1730" i="27"/>
  <c r="P1730" i="27"/>
  <c r="E1730" i="27"/>
  <c r="D1730" i="27"/>
  <c r="AF3252" i="27"/>
  <c r="AE3252" i="27"/>
  <c r="AD3252" i="27"/>
  <c r="AC3252" i="27"/>
  <c r="AB3252" i="27"/>
  <c r="R3252" i="27"/>
  <c r="Q3252" i="27"/>
  <c r="P3252" i="27"/>
  <c r="E3252" i="27"/>
  <c r="D3252" i="27"/>
  <c r="AF1759" i="27"/>
  <c r="AE1759" i="27"/>
  <c r="AD1759" i="27"/>
  <c r="AC1759" i="27"/>
  <c r="AB1759" i="27"/>
  <c r="R1759" i="27"/>
  <c r="Q1759" i="27"/>
  <c r="P1759" i="27"/>
  <c r="D1759" i="27"/>
  <c r="AF31" i="27"/>
  <c r="AE31" i="27"/>
  <c r="AD31" i="27"/>
  <c r="AC31" i="27"/>
  <c r="AB31" i="27"/>
  <c r="R31" i="27"/>
  <c r="Q31" i="27"/>
  <c r="P31" i="27"/>
  <c r="A47" i="32"/>
  <c r="B47" i="32" s="1"/>
  <c r="C47" i="32"/>
  <c r="A264" i="32"/>
  <c r="B264" i="32" s="1"/>
  <c r="C264" i="32"/>
  <c r="A278" i="32"/>
  <c r="B278" i="32" s="1"/>
  <c r="C278" i="32"/>
  <c r="A647" i="32"/>
  <c r="B647" i="32" s="1"/>
  <c r="C647" i="32"/>
  <c r="A274" i="32"/>
  <c r="B274" i="32" s="1"/>
  <c r="C274" i="32"/>
  <c r="A731" i="32"/>
  <c r="B731" i="32" s="1"/>
  <c r="C731" i="32"/>
  <c r="A2495" i="32"/>
  <c r="B2495" i="32" s="1"/>
  <c r="C2495" i="32"/>
  <c r="AF1731" i="27"/>
  <c r="AE1731" i="27"/>
  <c r="AD1731" i="27"/>
  <c r="AC1731" i="27"/>
  <c r="AB1731" i="27"/>
  <c r="R1731" i="27"/>
  <c r="Q1731" i="27"/>
  <c r="P1731" i="27"/>
  <c r="E1731" i="27"/>
  <c r="D1731" i="27"/>
  <c r="D3197" i="27"/>
  <c r="AF1714" i="27"/>
  <c r="AE1714" i="27"/>
  <c r="AD1714" i="27"/>
  <c r="AC1714" i="27"/>
  <c r="AB1714" i="27"/>
  <c r="R1714" i="27"/>
  <c r="Q1714" i="27"/>
  <c r="P1714" i="27"/>
  <c r="E1714" i="27"/>
  <c r="D1714" i="27"/>
  <c r="AF3103" i="27"/>
  <c r="AE3103" i="27"/>
  <c r="AD3103" i="27"/>
  <c r="AC3103" i="27"/>
  <c r="AB3103" i="27"/>
  <c r="R3103" i="27"/>
  <c r="Q3103" i="27"/>
  <c r="P3103" i="27"/>
  <c r="E3103" i="27"/>
  <c r="D3103" i="27"/>
  <c r="AF1835" i="27"/>
  <c r="AE1835" i="27"/>
  <c r="AD1835" i="27"/>
  <c r="AC1835" i="27"/>
  <c r="AB1835" i="27"/>
  <c r="R1835" i="27"/>
  <c r="Q1835" i="27"/>
  <c r="P1835" i="27"/>
  <c r="AF3125" i="27"/>
  <c r="AE3125" i="27"/>
  <c r="AD3125" i="27"/>
  <c r="AC3125" i="27"/>
  <c r="AB3125" i="27"/>
  <c r="R3125" i="27"/>
  <c r="Q3125" i="27"/>
  <c r="P3125" i="27"/>
  <c r="E3125" i="27"/>
  <c r="D3125" i="27"/>
  <c r="AF100" i="27"/>
  <c r="AE100" i="27"/>
  <c r="AD100" i="27"/>
  <c r="AC100" i="27"/>
  <c r="AB100" i="27"/>
  <c r="R100" i="27"/>
  <c r="Q100" i="27"/>
  <c r="P100" i="27"/>
  <c r="E100" i="27"/>
  <c r="D100" i="27"/>
  <c r="AM100" i="27" s="1"/>
  <c r="AH100" i="27" s="1"/>
  <c r="AF1758" i="27"/>
  <c r="AE1758" i="27"/>
  <c r="AD1758" i="27"/>
  <c r="AC1758" i="27"/>
  <c r="AB1758" i="27"/>
  <c r="R1758" i="27"/>
  <c r="Q1758" i="27"/>
  <c r="P1758" i="27"/>
  <c r="E1758" i="27"/>
  <c r="D1758" i="27"/>
  <c r="AF3247" i="27"/>
  <c r="AE3247" i="27"/>
  <c r="AD3247" i="27"/>
  <c r="AC3247" i="27"/>
  <c r="AB3247" i="27"/>
  <c r="R3247" i="27"/>
  <c r="Q3247" i="27"/>
  <c r="P3247" i="27"/>
  <c r="E3247" i="27"/>
  <c r="D3247" i="27"/>
  <c r="AF1833" i="27"/>
  <c r="AE1833" i="27"/>
  <c r="AD1833" i="27"/>
  <c r="AC1833" i="27"/>
  <c r="AB1833" i="27"/>
  <c r="R1833" i="27"/>
  <c r="Q1833" i="27"/>
  <c r="P1833" i="27"/>
  <c r="AF3322" i="27"/>
  <c r="AE3322" i="27"/>
  <c r="AD3322" i="27"/>
  <c r="AC3322" i="27"/>
  <c r="AB3322" i="27"/>
  <c r="R3322" i="27"/>
  <c r="Q3322" i="27"/>
  <c r="P3322" i="27"/>
  <c r="E3322" i="27"/>
  <c r="D3322" i="27"/>
  <c r="AM3322" i="27" s="1"/>
  <c r="AN3322" i="27" s="1"/>
  <c r="AO3322" i="27" s="1"/>
  <c r="AF3127" i="27"/>
  <c r="AE3127" i="27"/>
  <c r="AD3127" i="27"/>
  <c r="AC3127" i="27"/>
  <c r="AB3127" i="27"/>
  <c r="R3127" i="27"/>
  <c r="Q3127" i="27"/>
  <c r="P3127" i="27"/>
  <c r="E3127" i="27"/>
  <c r="D3127" i="27"/>
  <c r="A90" i="32"/>
  <c r="B90" i="32" s="1"/>
  <c r="C90" i="32"/>
  <c r="B53" i="30"/>
  <c r="AF2336" i="27"/>
  <c r="AE2336" i="27"/>
  <c r="AD2336" i="27"/>
  <c r="AC2336" i="27"/>
  <c r="AB2336" i="27"/>
  <c r="R2336" i="27"/>
  <c r="Q2336" i="27"/>
  <c r="P2336" i="27"/>
  <c r="E2336" i="27"/>
  <c r="D2336" i="27"/>
  <c r="AF1707" i="27"/>
  <c r="AE1707" i="27"/>
  <c r="AD1707" i="27"/>
  <c r="AC1707" i="27"/>
  <c r="AB1707" i="27"/>
  <c r="R1707" i="27"/>
  <c r="Q1707" i="27"/>
  <c r="P1707" i="27"/>
  <c r="E1707" i="27"/>
  <c r="D1707" i="27"/>
  <c r="AF1688" i="27"/>
  <c r="AE1688" i="27"/>
  <c r="AD1688" i="27"/>
  <c r="AC1688" i="27"/>
  <c r="AB1688" i="27"/>
  <c r="R1688" i="27"/>
  <c r="Q1688" i="27"/>
  <c r="P1688" i="27"/>
  <c r="E1688" i="27"/>
  <c r="D1688" i="27"/>
  <c r="AF1820" i="27"/>
  <c r="AE1820" i="27"/>
  <c r="AD1820" i="27"/>
  <c r="AC1820" i="27"/>
  <c r="AB1820" i="27"/>
  <c r="R1820" i="27"/>
  <c r="Q1820" i="27"/>
  <c r="P1820" i="27"/>
  <c r="AF1722" i="27"/>
  <c r="AE1722" i="27"/>
  <c r="AD1722" i="27"/>
  <c r="AC1722" i="27"/>
  <c r="AB1722" i="27"/>
  <c r="R1722" i="27"/>
  <c r="Q1722" i="27"/>
  <c r="P1722" i="27"/>
  <c r="E1722" i="27"/>
  <c r="D1722" i="27"/>
  <c r="AM1722" i="27" s="1"/>
  <c r="AH1722" i="27" s="1"/>
  <c r="AF3195" i="27"/>
  <c r="AE3195" i="27"/>
  <c r="AD3195" i="27"/>
  <c r="AC3195" i="27"/>
  <c r="AB3195" i="27"/>
  <c r="R3195" i="27"/>
  <c r="Q3195" i="27"/>
  <c r="P3195" i="27"/>
  <c r="E3195" i="27"/>
  <c r="D3195" i="27"/>
  <c r="D1706" i="27"/>
  <c r="AF3192" i="27"/>
  <c r="AE3192" i="27"/>
  <c r="AD3192" i="27"/>
  <c r="AC3192" i="27"/>
  <c r="AB3192" i="27"/>
  <c r="R3192" i="27"/>
  <c r="Q3192" i="27"/>
  <c r="P3192" i="27"/>
  <c r="E3192" i="27"/>
  <c r="D3192" i="27"/>
  <c r="A880" i="32"/>
  <c r="B880" i="32" s="1"/>
  <c r="C880" i="32"/>
  <c r="B129" i="30"/>
  <c r="B55" i="30"/>
  <c r="D1767" i="27"/>
  <c r="AF1702" i="27"/>
  <c r="AE1702" i="27"/>
  <c r="AD1702" i="27"/>
  <c r="AC1702" i="27"/>
  <c r="AB1702" i="27"/>
  <c r="R1702" i="27"/>
  <c r="Q1702" i="27"/>
  <c r="P1702" i="27"/>
  <c r="E1702" i="27"/>
  <c r="D1702" i="27"/>
  <c r="AM1702" i="27" s="1"/>
  <c r="AH1702" i="27" s="1"/>
  <c r="D1747" i="27"/>
  <c r="E1747" i="27"/>
  <c r="P1747" i="27"/>
  <c r="Q1747" i="27"/>
  <c r="R1747" i="27"/>
  <c r="AB1747" i="27"/>
  <c r="AC1747" i="27"/>
  <c r="AD1747" i="27"/>
  <c r="AE1747" i="27"/>
  <c r="AF1747" i="27"/>
  <c r="A961" i="32"/>
  <c r="B961" i="32" s="1"/>
  <c r="C961" i="32"/>
  <c r="D3250" i="27"/>
  <c r="E3250" i="27"/>
  <c r="P3250" i="27"/>
  <c r="Q3250" i="27"/>
  <c r="R3250" i="27"/>
  <c r="AB3250" i="27"/>
  <c r="AC3250" i="27"/>
  <c r="AD3250" i="27"/>
  <c r="AE3250" i="27"/>
  <c r="AF3250" i="27"/>
  <c r="D3128" i="27"/>
  <c r="E3128" i="27"/>
  <c r="P3128" i="27"/>
  <c r="Q3128" i="27"/>
  <c r="R3128" i="27"/>
  <c r="AB3128" i="27"/>
  <c r="AC3128" i="27"/>
  <c r="AD3128" i="27"/>
  <c r="AE3128" i="27"/>
  <c r="AF3128" i="27"/>
  <c r="A2698" i="32"/>
  <c r="B2698" i="32" s="1"/>
  <c r="C2698" i="32"/>
  <c r="A1022" i="32"/>
  <c r="B1022" i="32" s="1"/>
  <c r="C1022" i="32"/>
  <c r="A1567" i="32"/>
  <c r="B1567" i="32" s="1"/>
  <c r="C1567" i="32"/>
  <c r="A1853" i="32"/>
  <c r="B1853" i="32" s="1"/>
  <c r="C1853" i="32"/>
  <c r="A937" i="32"/>
  <c r="B937" i="32" s="1"/>
  <c r="C937" i="32"/>
  <c r="AF1729" i="27"/>
  <c r="AE1729" i="27"/>
  <c r="AD1729" i="27"/>
  <c r="AC1729" i="27"/>
  <c r="AB1729" i="27"/>
  <c r="R1729" i="27"/>
  <c r="Q1729" i="27"/>
  <c r="P1729" i="27"/>
  <c r="E1729" i="27"/>
  <c r="D1729" i="27"/>
  <c r="AF25" i="27"/>
  <c r="AE25" i="27"/>
  <c r="AD25" i="27"/>
  <c r="AC25" i="27"/>
  <c r="AB25" i="27"/>
  <c r="R25" i="27"/>
  <c r="Q25" i="27"/>
  <c r="P25" i="27"/>
  <c r="E25" i="27"/>
  <c r="D25" i="27"/>
  <c r="D1774" i="27"/>
  <c r="E1774" i="27"/>
  <c r="P1774" i="27"/>
  <c r="Q1774" i="27"/>
  <c r="R1774" i="27"/>
  <c r="AB1774" i="27"/>
  <c r="AC1774" i="27"/>
  <c r="AD1774" i="27"/>
  <c r="AE1774" i="27"/>
  <c r="AF1774" i="27"/>
  <c r="E3197" i="27"/>
  <c r="P3197" i="27"/>
  <c r="Q3197" i="27"/>
  <c r="R3197" i="27"/>
  <c r="AB3197" i="27"/>
  <c r="AC3197" i="27"/>
  <c r="AD3197" i="27"/>
  <c r="AE3197" i="27"/>
  <c r="AF3197" i="27"/>
  <c r="D3130" i="27"/>
  <c r="AM3130" i="27" s="1"/>
  <c r="AN3130" i="27" s="1"/>
  <c r="AO3130" i="27" s="1"/>
  <c r="E3130" i="27"/>
  <c r="P3130" i="27"/>
  <c r="Q3130" i="27"/>
  <c r="R3130" i="27"/>
  <c r="AB3130" i="27"/>
  <c r="AC3130" i="27"/>
  <c r="AD3130" i="27"/>
  <c r="AE3130" i="27"/>
  <c r="AF3130" i="27"/>
  <c r="P1834" i="27"/>
  <c r="Q1834" i="27"/>
  <c r="R1834" i="27"/>
  <c r="AB1834" i="27"/>
  <c r="AC1834" i="27"/>
  <c r="AD1834" i="27"/>
  <c r="AE1834" i="27"/>
  <c r="AF1834" i="27"/>
  <c r="A2640" i="32"/>
  <c r="B2640" i="32" s="1"/>
  <c r="C2640" i="32"/>
  <c r="A843" i="32"/>
  <c r="B843" i="32" s="1"/>
  <c r="C843" i="32"/>
  <c r="A1066" i="32"/>
  <c r="B1066" i="32" s="1"/>
  <c r="C1066" i="32"/>
  <c r="A1100" i="32"/>
  <c r="B1100" i="32" s="1"/>
  <c r="C1100" i="32"/>
  <c r="A890" i="32"/>
  <c r="B890" i="32" s="1"/>
  <c r="C890" i="32"/>
  <c r="A1794" i="32"/>
  <c r="B1794" i="32" s="1"/>
  <c r="C1794" i="32"/>
  <c r="A2017" i="32"/>
  <c r="B2017" i="32" s="1"/>
  <c r="C2017" i="32"/>
  <c r="A2206" i="32"/>
  <c r="B2206" i="32" s="1"/>
  <c r="C2206" i="32"/>
  <c r="A2393" i="32"/>
  <c r="B2393" i="32" s="1"/>
  <c r="C2393" i="32"/>
  <c r="A1986" i="32"/>
  <c r="B1986" i="32" s="1"/>
  <c r="C1986" i="32"/>
  <c r="A417" i="32"/>
  <c r="B417" i="32" s="1"/>
  <c r="C417" i="32"/>
  <c r="A2245" i="32"/>
  <c r="B2245" i="32" s="1"/>
  <c r="C2245" i="32"/>
  <c r="AF1768" i="27"/>
  <c r="AE1768" i="27"/>
  <c r="AD1768" i="27"/>
  <c r="AC1768" i="27"/>
  <c r="AB1768" i="27"/>
  <c r="R1768" i="27"/>
  <c r="Q1768" i="27"/>
  <c r="P1768" i="27"/>
  <c r="E1768" i="27"/>
  <c r="D1768" i="27"/>
  <c r="D2349" i="27"/>
  <c r="E2349" i="27"/>
  <c r="P2349" i="27"/>
  <c r="Q2349" i="27"/>
  <c r="R2349" i="27"/>
  <c r="AB2349" i="27"/>
  <c r="AC2349" i="27"/>
  <c r="AD2349" i="27"/>
  <c r="AE2349" i="27"/>
  <c r="AF2349" i="27"/>
  <c r="AF1830" i="27"/>
  <c r="AE1830" i="27"/>
  <c r="AD1830" i="27"/>
  <c r="AC1830" i="27"/>
  <c r="AB1830" i="27"/>
  <c r="R1830" i="27"/>
  <c r="Q1830" i="27"/>
  <c r="P1830" i="27"/>
  <c r="AF1679" i="27"/>
  <c r="AE1679" i="27"/>
  <c r="AD1679" i="27"/>
  <c r="AC1679" i="27"/>
  <c r="AB1679" i="27"/>
  <c r="R1679" i="27"/>
  <c r="Q1679" i="27"/>
  <c r="P1679" i="27"/>
  <c r="E1679" i="27"/>
  <c r="D1679" i="27"/>
  <c r="AM1679" i="27" s="1"/>
  <c r="AH1679" i="27" s="1"/>
  <c r="A1408" i="32"/>
  <c r="B1408" i="32" s="1"/>
  <c r="C1408" i="32"/>
  <c r="A2330" i="32"/>
  <c r="B2330" i="32" s="1"/>
  <c r="C2330" i="32"/>
  <c r="A276" i="32"/>
  <c r="B276" i="32" s="1"/>
  <c r="C276" i="32"/>
  <c r="A2675" i="32"/>
  <c r="B2675" i="32" s="1"/>
  <c r="C2675" i="32"/>
  <c r="A1142" i="32"/>
  <c r="B1142" i="32" s="1"/>
  <c r="C1142" i="32"/>
  <c r="AF2346" i="27"/>
  <c r="AE2346" i="27"/>
  <c r="AD2346" i="27"/>
  <c r="AC2346" i="27"/>
  <c r="AB2346" i="27"/>
  <c r="R2346" i="27"/>
  <c r="Q2346" i="27"/>
  <c r="P2346" i="27"/>
  <c r="E2346" i="27"/>
  <c r="D2346" i="27"/>
  <c r="AF3129" i="27"/>
  <c r="AE3129" i="27"/>
  <c r="AD3129" i="27"/>
  <c r="AC3129" i="27"/>
  <c r="AB3129" i="27"/>
  <c r="R3129" i="27"/>
  <c r="Q3129" i="27"/>
  <c r="P3129" i="27"/>
  <c r="E3129" i="27"/>
  <c r="D3129" i="27"/>
  <c r="AF1767" i="27"/>
  <c r="AE1767" i="27"/>
  <c r="AD1767" i="27"/>
  <c r="AC1767" i="27"/>
  <c r="AB1767" i="27"/>
  <c r="R1767" i="27"/>
  <c r="Q1767" i="27"/>
  <c r="P1767" i="27"/>
  <c r="E1767" i="27"/>
  <c r="AF1706" i="27"/>
  <c r="AE1706" i="27"/>
  <c r="AD1706" i="27"/>
  <c r="AC1706" i="27"/>
  <c r="AB1706" i="27"/>
  <c r="R1706" i="27"/>
  <c r="Q1706" i="27"/>
  <c r="P1706" i="27"/>
  <c r="E1706" i="27"/>
  <c r="A2085" i="32"/>
  <c r="B2085" i="32" s="1"/>
  <c r="C2085" i="32"/>
  <c r="A1480" i="32"/>
  <c r="B1480" i="32" s="1"/>
  <c r="C1480" i="32"/>
  <c r="A2376" i="32"/>
  <c r="B2376" i="32" s="1"/>
  <c r="C2376" i="32"/>
  <c r="A1187" i="32"/>
  <c r="B1187" i="32" s="1"/>
  <c r="C1187" i="32"/>
  <c r="AF2351" i="27"/>
  <c r="AE2351" i="27"/>
  <c r="AD2351" i="27"/>
  <c r="AC2351" i="27"/>
  <c r="AB2351" i="27"/>
  <c r="R2351" i="27"/>
  <c r="Q2351" i="27"/>
  <c r="P2351" i="27"/>
  <c r="E2351" i="27"/>
  <c r="D2351" i="27"/>
  <c r="AF1703" i="27"/>
  <c r="AE1703" i="27"/>
  <c r="AD1703" i="27"/>
  <c r="AC1703" i="27"/>
  <c r="AB1703" i="27"/>
  <c r="R1703" i="27"/>
  <c r="Q1703" i="27"/>
  <c r="P1703" i="27"/>
  <c r="E1703" i="27"/>
  <c r="D1703" i="27"/>
  <c r="AF3084" i="27"/>
  <c r="AE3084" i="27"/>
  <c r="AD3084" i="27"/>
  <c r="AC3084" i="27"/>
  <c r="AB3084" i="27"/>
  <c r="R3084" i="27"/>
  <c r="Q3084" i="27"/>
  <c r="P3084" i="27"/>
  <c r="E3084" i="27"/>
  <c r="D3084" i="27"/>
  <c r="AF1629" i="27"/>
  <c r="AE1629" i="27"/>
  <c r="AD1629" i="27"/>
  <c r="AC1629" i="27"/>
  <c r="AB1629" i="27"/>
  <c r="R1629" i="27"/>
  <c r="Q1629" i="27"/>
  <c r="P1629" i="27"/>
  <c r="E1629" i="27"/>
  <c r="D1629" i="27"/>
  <c r="A2694" i="32"/>
  <c r="B2694" i="32" s="1"/>
  <c r="C2694" i="32"/>
  <c r="A347" i="32"/>
  <c r="B347" i="32" s="1"/>
  <c r="C347" i="32"/>
  <c r="A2025" i="32"/>
  <c r="B2025" i="32" s="1"/>
  <c r="C2025" i="32"/>
  <c r="A691" i="32"/>
  <c r="B691" i="32" s="1"/>
  <c r="C691" i="32"/>
  <c r="A893" i="32"/>
  <c r="B893" i="32" s="1"/>
  <c r="C893" i="32"/>
  <c r="A2563" i="32"/>
  <c r="B2563" i="32" s="1"/>
  <c r="C2563" i="32"/>
  <c r="A1148" i="32"/>
  <c r="B1148" i="32" s="1"/>
  <c r="C1148" i="32"/>
  <c r="AF1711" i="27"/>
  <c r="AE1711" i="27"/>
  <c r="AD1711" i="27"/>
  <c r="AC1711" i="27"/>
  <c r="AB1711" i="27"/>
  <c r="R1711" i="27"/>
  <c r="Q1711" i="27"/>
  <c r="P1711" i="27"/>
  <c r="E1711" i="27"/>
  <c r="D1711" i="27"/>
  <c r="AF2062" i="27"/>
  <c r="AE2062" i="27"/>
  <c r="AD2062" i="27"/>
  <c r="AC2062" i="27"/>
  <c r="AB2062" i="27"/>
  <c r="R2062" i="27"/>
  <c r="Q2062" i="27"/>
  <c r="P2062" i="27"/>
  <c r="E2062" i="27"/>
  <c r="D2062" i="27"/>
  <c r="AF3249" i="27"/>
  <c r="AE3249" i="27"/>
  <c r="AD3249" i="27"/>
  <c r="AC3249" i="27"/>
  <c r="AB3249" i="27"/>
  <c r="R3249" i="27"/>
  <c r="Q3249" i="27"/>
  <c r="P3249" i="27"/>
  <c r="E3249" i="27"/>
  <c r="D3249" i="27"/>
  <c r="AF1797" i="27"/>
  <c r="AE1797" i="27"/>
  <c r="AD1797" i="27"/>
  <c r="AC1797" i="27"/>
  <c r="AB1797" i="27"/>
  <c r="R1797" i="27"/>
  <c r="Q1797" i="27"/>
  <c r="P1797" i="27"/>
  <c r="E1797" i="27"/>
  <c r="D1797" i="27"/>
  <c r="AF1738" i="27"/>
  <c r="AE1738" i="27"/>
  <c r="AD1738" i="27"/>
  <c r="AC1738" i="27"/>
  <c r="AB1738" i="27"/>
  <c r="R1738" i="27"/>
  <c r="Q1738" i="27"/>
  <c r="P1738" i="27"/>
  <c r="E1738" i="27"/>
  <c r="D1738" i="27"/>
  <c r="AF1740" i="27"/>
  <c r="AE1740" i="27"/>
  <c r="AD1740" i="27"/>
  <c r="AC1740" i="27"/>
  <c r="AB1740" i="27"/>
  <c r="R1740" i="27"/>
  <c r="Q1740" i="27"/>
  <c r="P1740" i="27"/>
  <c r="E1740" i="27"/>
  <c r="D1740" i="27"/>
  <c r="AF3124" i="27"/>
  <c r="AE3124" i="27"/>
  <c r="AD3124" i="27"/>
  <c r="AC3124" i="27"/>
  <c r="AB3124" i="27"/>
  <c r="R3124" i="27"/>
  <c r="Q3124" i="27"/>
  <c r="P3124" i="27"/>
  <c r="E3124" i="27"/>
  <c r="D3124" i="27"/>
  <c r="AF2067" i="27"/>
  <c r="AE2067" i="27"/>
  <c r="AD2067" i="27"/>
  <c r="AC2067" i="27"/>
  <c r="AB2067" i="27"/>
  <c r="R2067" i="27"/>
  <c r="Q2067" i="27"/>
  <c r="P2067" i="27"/>
  <c r="E2067" i="27"/>
  <c r="D2067" i="27"/>
  <c r="AF137" i="27"/>
  <c r="AE137" i="27"/>
  <c r="AD137" i="27"/>
  <c r="AC137" i="27"/>
  <c r="AB137" i="27"/>
  <c r="R137" i="27"/>
  <c r="Q137" i="27"/>
  <c r="P137" i="27"/>
  <c r="AF2359" i="27"/>
  <c r="AE2359" i="27"/>
  <c r="AD2359" i="27"/>
  <c r="AC2359" i="27"/>
  <c r="AB2359" i="27"/>
  <c r="R2359" i="27"/>
  <c r="Q2359" i="27"/>
  <c r="P2359" i="27"/>
  <c r="E2359" i="27"/>
  <c r="D2359" i="27"/>
  <c r="AF1773" i="27"/>
  <c r="AE1773" i="27"/>
  <c r="AD1773" i="27"/>
  <c r="AC1773" i="27"/>
  <c r="AB1773" i="27"/>
  <c r="R1773" i="27"/>
  <c r="Q1773" i="27"/>
  <c r="P1773" i="27"/>
  <c r="E1773" i="27"/>
  <c r="D1773" i="27"/>
  <c r="A2248" i="32"/>
  <c r="B2248" i="32" s="1"/>
  <c r="C2248" i="32"/>
  <c r="A1438" i="32"/>
  <c r="B1438" i="32" s="1"/>
  <c r="C1438" i="32"/>
  <c r="A1996" i="32"/>
  <c r="B1996" i="32" s="1"/>
  <c r="C1996" i="32"/>
  <c r="A404" i="32"/>
  <c r="B404" i="32" s="1"/>
  <c r="C404" i="32"/>
  <c r="A1288" i="32"/>
  <c r="B1288" i="32" s="1"/>
  <c r="C1288" i="32"/>
  <c r="A1397" i="32"/>
  <c r="B1397" i="32" s="1"/>
  <c r="C1397" i="32"/>
  <c r="A36" i="32"/>
  <c r="B36" i="32" s="1"/>
  <c r="C36" i="32"/>
  <c r="A1651" i="32"/>
  <c r="B1651" i="32" s="1"/>
  <c r="C1651" i="32"/>
  <c r="A2475" i="32"/>
  <c r="B2475" i="32" s="1"/>
  <c r="C2475" i="32"/>
  <c r="A2616" i="32"/>
  <c r="B2616" i="32" s="1"/>
  <c r="C2616" i="32"/>
  <c r="A1878" i="32"/>
  <c r="B1878" i="32" s="1"/>
  <c r="C1878" i="32"/>
  <c r="A1338" i="32"/>
  <c r="B1338" i="32" s="1"/>
  <c r="C1338" i="32"/>
  <c r="B121" i="30"/>
  <c r="AF1721" i="27"/>
  <c r="AE1721" i="27"/>
  <c r="AD1721" i="27"/>
  <c r="AC1721" i="27"/>
  <c r="AB1721" i="27"/>
  <c r="R1721" i="27"/>
  <c r="Q1721" i="27"/>
  <c r="P1721" i="27"/>
  <c r="E1721" i="27"/>
  <c r="D1721" i="27"/>
  <c r="AF1665" i="27"/>
  <c r="AE1665" i="27"/>
  <c r="AD1665" i="27"/>
  <c r="AC1665" i="27"/>
  <c r="AB1665" i="27"/>
  <c r="R1665" i="27"/>
  <c r="Q1665" i="27"/>
  <c r="P1665" i="27"/>
  <c r="E1665" i="27"/>
  <c r="D1665" i="27"/>
  <c r="AM1665" i="27" s="1"/>
  <c r="AH1665" i="27" s="1"/>
  <c r="AF1697" i="27"/>
  <c r="AE1697" i="27"/>
  <c r="AD1697" i="27"/>
  <c r="AC1697" i="27"/>
  <c r="AB1697" i="27"/>
  <c r="R1697" i="27"/>
  <c r="Q1697" i="27"/>
  <c r="P1697" i="27"/>
  <c r="E1697" i="27"/>
  <c r="D1697" i="27"/>
  <c r="A694" i="32"/>
  <c r="B694" i="32" s="1"/>
  <c r="C694" i="32"/>
  <c r="A827" i="32"/>
  <c r="B827" i="32" s="1"/>
  <c r="C827" i="32"/>
  <c r="A1773" i="32"/>
  <c r="B1773" i="32" s="1"/>
  <c r="C1773" i="32"/>
  <c r="A336" i="32"/>
  <c r="B336" i="32" s="1"/>
  <c r="D336" i="32" s="1"/>
  <c r="C336" i="32"/>
  <c r="A2194" i="32"/>
  <c r="B2194" i="32" s="1"/>
  <c r="C2194" i="32"/>
  <c r="A1112" i="32"/>
  <c r="B1112" i="32" s="1"/>
  <c r="C1112" i="32"/>
  <c r="E1597" i="27"/>
  <c r="AF3199" i="27"/>
  <c r="AE3199" i="27"/>
  <c r="AD3199" i="27"/>
  <c r="AC3199" i="27"/>
  <c r="AB3199" i="27"/>
  <c r="R3199" i="27"/>
  <c r="Q3199" i="27"/>
  <c r="P3199" i="27"/>
  <c r="E3199" i="27"/>
  <c r="D3199" i="27"/>
  <c r="AF1756" i="27"/>
  <c r="AE1756" i="27"/>
  <c r="AD1756" i="27"/>
  <c r="AC1756" i="27"/>
  <c r="AB1756" i="27"/>
  <c r="R1756" i="27"/>
  <c r="Q1756" i="27"/>
  <c r="P1756" i="27"/>
  <c r="E1756" i="27"/>
  <c r="D1756" i="27"/>
  <c r="AM1756" i="27" s="1"/>
  <c r="AH1756" i="27" s="1"/>
  <c r="AF3123" i="27"/>
  <c r="AE3123" i="27"/>
  <c r="AD3123" i="27"/>
  <c r="AC3123" i="27"/>
  <c r="AB3123" i="27"/>
  <c r="R3123" i="27"/>
  <c r="Q3123" i="27"/>
  <c r="P3123" i="27"/>
  <c r="E3123" i="27"/>
  <c r="D3123" i="27"/>
  <c r="AF95" i="27"/>
  <c r="AE95" i="27"/>
  <c r="AD95" i="27"/>
  <c r="AC95" i="27"/>
  <c r="AB95" i="27"/>
  <c r="R95" i="27"/>
  <c r="Q95" i="27"/>
  <c r="P95" i="27"/>
  <c r="AF3120" i="27"/>
  <c r="AE3120" i="27"/>
  <c r="AD3120" i="27"/>
  <c r="AC3120" i="27"/>
  <c r="AB3120" i="27"/>
  <c r="R3120" i="27"/>
  <c r="Q3120" i="27"/>
  <c r="P3120" i="27"/>
  <c r="E3120" i="27"/>
  <c r="D3120" i="27"/>
  <c r="AF3122" i="27"/>
  <c r="AE3122" i="27"/>
  <c r="AD3122" i="27"/>
  <c r="AC3122" i="27"/>
  <c r="AB3122" i="27"/>
  <c r="R3122" i="27"/>
  <c r="Q3122" i="27"/>
  <c r="P3122" i="27"/>
  <c r="E3122" i="27"/>
  <c r="D3122" i="27"/>
  <c r="AF1755" i="27"/>
  <c r="AE1755" i="27"/>
  <c r="AD1755" i="27"/>
  <c r="AC1755" i="27"/>
  <c r="AB1755" i="27"/>
  <c r="R1755" i="27"/>
  <c r="Q1755" i="27"/>
  <c r="P1755" i="27"/>
  <c r="E1755" i="27"/>
  <c r="D1755" i="27"/>
  <c r="AF3202" i="27"/>
  <c r="AE3202" i="27"/>
  <c r="AD3202" i="27"/>
  <c r="AC3202" i="27"/>
  <c r="AB3202" i="27"/>
  <c r="R3202" i="27"/>
  <c r="Q3202" i="27"/>
  <c r="P3202" i="27"/>
  <c r="E3202" i="27"/>
  <c r="D3202" i="27"/>
  <c r="AF1682" i="27"/>
  <c r="AE1682" i="27"/>
  <c r="AD1682" i="27"/>
  <c r="AC1682" i="27"/>
  <c r="AB1682" i="27"/>
  <c r="R1682" i="27"/>
  <c r="Q1682" i="27"/>
  <c r="P1682" i="27"/>
  <c r="E1682" i="27"/>
  <c r="D1682" i="27"/>
  <c r="AF3323" i="27"/>
  <c r="AE3323" i="27"/>
  <c r="AD3323" i="27"/>
  <c r="AC3323" i="27"/>
  <c r="AB3323" i="27"/>
  <c r="R3323" i="27"/>
  <c r="Q3323" i="27"/>
  <c r="P3323" i="27"/>
  <c r="E3323" i="27"/>
  <c r="D3323" i="27"/>
  <c r="AF3248" i="27"/>
  <c r="AE3248" i="27"/>
  <c r="AD3248" i="27"/>
  <c r="AC3248" i="27"/>
  <c r="AB3248" i="27"/>
  <c r="R3248" i="27"/>
  <c r="Q3248" i="27"/>
  <c r="P3248" i="27"/>
  <c r="E3248" i="27"/>
  <c r="D3248" i="27"/>
  <c r="AF2061" i="27"/>
  <c r="AE2061" i="27"/>
  <c r="AD2061" i="27"/>
  <c r="AC2061" i="27"/>
  <c r="AB2061" i="27"/>
  <c r="R2061" i="27"/>
  <c r="Q2061" i="27"/>
  <c r="P2061" i="27"/>
  <c r="E2061" i="27"/>
  <c r="D2061" i="27"/>
  <c r="AF3121" i="27"/>
  <c r="AE3121" i="27"/>
  <c r="AD3121" i="27"/>
  <c r="AC3121" i="27"/>
  <c r="AB3121" i="27"/>
  <c r="R3121" i="27"/>
  <c r="Q3121" i="27"/>
  <c r="P3121" i="27"/>
  <c r="E3121" i="27"/>
  <c r="D3121" i="27"/>
  <c r="AF2347" i="27"/>
  <c r="AE2347" i="27"/>
  <c r="AD2347" i="27"/>
  <c r="AC2347" i="27"/>
  <c r="AB2347" i="27"/>
  <c r="R2347" i="27"/>
  <c r="Q2347" i="27"/>
  <c r="P2347" i="27"/>
  <c r="E2347" i="27"/>
  <c r="D2347" i="27"/>
  <c r="AF3234" i="27"/>
  <c r="AE3234" i="27"/>
  <c r="AD3234" i="27"/>
  <c r="AC3234" i="27"/>
  <c r="AB3234" i="27"/>
  <c r="R3234" i="27"/>
  <c r="Q3234" i="27"/>
  <c r="P3234" i="27"/>
  <c r="E3234" i="27"/>
  <c r="D3234" i="27"/>
  <c r="AF3317" i="27"/>
  <c r="AE3317" i="27"/>
  <c r="AD3317" i="27"/>
  <c r="AC3317" i="27"/>
  <c r="AB3317" i="27"/>
  <c r="R3317" i="27"/>
  <c r="Q3317" i="27"/>
  <c r="P3317" i="27"/>
  <c r="E3317" i="27"/>
  <c r="D3317" i="27"/>
  <c r="AF3060" i="27"/>
  <c r="AE3060" i="27"/>
  <c r="AD3060" i="27"/>
  <c r="AC3060" i="27"/>
  <c r="AB3060" i="27"/>
  <c r="R3060" i="27"/>
  <c r="Q3060" i="27"/>
  <c r="P3060" i="27"/>
  <c r="E3060" i="27"/>
  <c r="D3060" i="27"/>
  <c r="AM3060" i="27" s="1"/>
  <c r="AH3060" i="27" s="1"/>
  <c r="AF212" i="27"/>
  <c r="AE212" i="27"/>
  <c r="AD212" i="27"/>
  <c r="AC212" i="27"/>
  <c r="AB212" i="27"/>
  <c r="R212" i="27"/>
  <c r="Q212" i="27"/>
  <c r="P212" i="27"/>
  <c r="E212" i="27"/>
  <c r="D212" i="27"/>
  <c r="AF235" i="27"/>
  <c r="AE235" i="27"/>
  <c r="AD235" i="27"/>
  <c r="AC235" i="27"/>
  <c r="AB235" i="27"/>
  <c r="R235" i="27"/>
  <c r="Q235" i="27"/>
  <c r="P235" i="27"/>
  <c r="E235" i="27"/>
  <c r="D235" i="27"/>
  <c r="A2372" i="32"/>
  <c r="B2372" i="32" s="1"/>
  <c r="C2372" i="32"/>
  <c r="A92" i="32"/>
  <c r="B92" i="32" s="1"/>
  <c r="C92" i="32"/>
  <c r="A2132" i="32"/>
  <c r="B2132" i="32" s="1"/>
  <c r="C2132" i="32"/>
  <c r="A1958" i="32"/>
  <c r="B1958" i="32" s="1"/>
  <c r="C1958" i="32"/>
  <c r="A1399" i="32"/>
  <c r="B1399" i="32" s="1"/>
  <c r="C1399" i="32"/>
  <c r="A135" i="32"/>
  <c r="B135" i="32" s="1"/>
  <c r="C135" i="32"/>
  <c r="A2607" i="32"/>
  <c r="B2607" i="32" s="1"/>
  <c r="C2607" i="32"/>
  <c r="A211" i="32"/>
  <c r="B211" i="32" s="1"/>
  <c r="C211" i="32"/>
  <c r="A245" i="32"/>
  <c r="B245" i="32" s="1"/>
  <c r="C245" i="32"/>
  <c r="A1606" i="32"/>
  <c r="B1606" i="32" s="1"/>
  <c r="C1606" i="32"/>
  <c r="A40" i="32"/>
  <c r="B40" i="32" s="1"/>
  <c r="C40" i="32"/>
  <c r="A1456" i="32"/>
  <c r="B1456" i="32" s="1"/>
  <c r="C1456" i="32"/>
  <c r="A1110" i="32"/>
  <c r="B1110" i="32" s="1"/>
  <c r="C1110" i="32"/>
  <c r="AF3314" i="27"/>
  <c r="AE3314" i="27"/>
  <c r="AD3314" i="27"/>
  <c r="AC3314" i="27"/>
  <c r="AB3314" i="27"/>
  <c r="R3314" i="27"/>
  <c r="Q3314" i="27"/>
  <c r="P3314" i="27"/>
  <c r="E3314" i="27"/>
  <c r="D3314" i="27"/>
  <c r="AF1701" i="27"/>
  <c r="AE1701" i="27"/>
  <c r="AD1701" i="27"/>
  <c r="AC1701" i="27"/>
  <c r="AB1701" i="27"/>
  <c r="R1701" i="27"/>
  <c r="Q1701" i="27"/>
  <c r="P1701" i="27"/>
  <c r="E1701" i="27"/>
  <c r="D1701" i="27"/>
  <c r="AF1669" i="27"/>
  <c r="AE1669" i="27"/>
  <c r="AD1669" i="27"/>
  <c r="AC1669" i="27"/>
  <c r="AB1669" i="27"/>
  <c r="R1669" i="27"/>
  <c r="Q1669" i="27"/>
  <c r="P1669" i="27"/>
  <c r="E1669" i="27"/>
  <c r="D1669" i="27"/>
  <c r="AF1664" i="27"/>
  <c r="AE1664" i="27"/>
  <c r="AD1664" i="27"/>
  <c r="AC1664" i="27"/>
  <c r="AB1664" i="27"/>
  <c r="R1664" i="27"/>
  <c r="Q1664" i="27"/>
  <c r="P1664" i="27"/>
  <c r="E1664" i="27"/>
  <c r="D1664" i="27"/>
  <c r="AF1766" i="27"/>
  <c r="AE1766" i="27"/>
  <c r="AD1766" i="27"/>
  <c r="AB1766" i="27"/>
  <c r="R1766" i="27"/>
  <c r="Q1766" i="27"/>
  <c r="P1766" i="27"/>
  <c r="E1766" i="27"/>
  <c r="D1766" i="27"/>
  <c r="A570" i="32"/>
  <c r="B570" i="32" s="1"/>
  <c r="C570" i="32"/>
  <c r="A2558" i="32"/>
  <c r="B2558" i="32" s="1"/>
  <c r="C2558" i="32"/>
  <c r="A63" i="32"/>
  <c r="B63" i="32" s="1"/>
  <c r="C63" i="32"/>
  <c r="A131" i="32"/>
  <c r="B131" i="32" s="1"/>
  <c r="C131" i="32"/>
  <c r="A2585" i="32"/>
  <c r="B2585" i="32" s="1"/>
  <c r="C2585" i="32"/>
  <c r="A1692" i="32"/>
  <c r="B1692" i="32" s="1"/>
  <c r="C1692" i="32"/>
  <c r="A2505" i="32"/>
  <c r="B2505" i="32" s="1"/>
  <c r="C2505" i="32"/>
  <c r="A499" i="32"/>
  <c r="B499" i="32" s="1"/>
  <c r="C499" i="32"/>
  <c r="A132" i="32"/>
  <c r="B132" i="32" s="1"/>
  <c r="C132" i="32"/>
  <c r="A1311" i="32"/>
  <c r="B1311" i="32" s="1"/>
  <c r="C1311" i="32"/>
  <c r="A773" i="32"/>
  <c r="B773" i="32" s="1"/>
  <c r="C773" i="32"/>
  <c r="A2591" i="32"/>
  <c r="B2591" i="32" s="1"/>
  <c r="C2591" i="32"/>
  <c r="AF3219" i="27"/>
  <c r="AE3219" i="27"/>
  <c r="AD3219" i="27"/>
  <c r="AC3219" i="27"/>
  <c r="AB3219" i="27"/>
  <c r="R3219" i="27"/>
  <c r="Q3219" i="27"/>
  <c r="P3219" i="27"/>
  <c r="E3219" i="27"/>
  <c r="D3219" i="27"/>
  <c r="AF3311" i="27"/>
  <c r="AE3311" i="27"/>
  <c r="AD3311" i="27"/>
  <c r="AC3311" i="27"/>
  <c r="AB3311" i="27"/>
  <c r="R3311" i="27"/>
  <c r="Q3311" i="27"/>
  <c r="P3311" i="27"/>
  <c r="E3311" i="27"/>
  <c r="D3311" i="27"/>
  <c r="AF1754" i="27"/>
  <c r="AE1754" i="27"/>
  <c r="AD1754" i="27"/>
  <c r="AC1754" i="27"/>
  <c r="AB1754" i="27"/>
  <c r="R1754" i="27"/>
  <c r="Q1754" i="27"/>
  <c r="P1754" i="27"/>
  <c r="E1754" i="27"/>
  <c r="D1754" i="27"/>
  <c r="AF1772" i="27"/>
  <c r="AE1772" i="27"/>
  <c r="AD1772" i="27"/>
  <c r="AC1772" i="27"/>
  <c r="AB1772" i="27"/>
  <c r="R1772" i="27"/>
  <c r="Q1772" i="27"/>
  <c r="P1772" i="27"/>
  <c r="E1772" i="27"/>
  <c r="D1772" i="27"/>
  <c r="AF3113" i="27"/>
  <c r="AE3113" i="27"/>
  <c r="AD3113" i="27"/>
  <c r="AC3113" i="27"/>
  <c r="AB3113" i="27"/>
  <c r="R3113" i="27"/>
  <c r="Q3113" i="27"/>
  <c r="P3113" i="27"/>
  <c r="E3113" i="27"/>
  <c r="D3113" i="27"/>
  <c r="AF1724" i="27"/>
  <c r="AE1724" i="27"/>
  <c r="AD1724" i="27"/>
  <c r="AC1724" i="27"/>
  <c r="AB1724" i="27"/>
  <c r="R1724" i="27"/>
  <c r="Q1724" i="27"/>
  <c r="P1724" i="27"/>
  <c r="E1724" i="27"/>
  <c r="D1724" i="27"/>
  <c r="AF2055" i="27"/>
  <c r="AE2055" i="27"/>
  <c r="AD2055" i="27"/>
  <c r="AC2055" i="27"/>
  <c r="AB2055" i="27"/>
  <c r="R2055" i="27"/>
  <c r="Q2055" i="27"/>
  <c r="P2055" i="27"/>
  <c r="E2055" i="27"/>
  <c r="D2055" i="27"/>
  <c r="AF2060" i="27"/>
  <c r="AE2060" i="27"/>
  <c r="AD2060" i="27"/>
  <c r="AC2060" i="27"/>
  <c r="AB2060" i="27"/>
  <c r="R2060" i="27"/>
  <c r="Q2060" i="27"/>
  <c r="P2060" i="27"/>
  <c r="E2060" i="27"/>
  <c r="D2060" i="27"/>
  <c r="AF1705" i="27"/>
  <c r="AE1705" i="27"/>
  <c r="AD1705" i="27"/>
  <c r="AC1705" i="27"/>
  <c r="AB1705" i="27"/>
  <c r="R1705" i="27"/>
  <c r="Q1705" i="27"/>
  <c r="P1705" i="27"/>
  <c r="E1705" i="27"/>
  <c r="D1705" i="27"/>
  <c r="AF3119" i="27"/>
  <c r="AE3119" i="27"/>
  <c r="AD3119" i="27"/>
  <c r="AC3119" i="27"/>
  <c r="AB3119" i="27"/>
  <c r="R3119" i="27"/>
  <c r="Q3119" i="27"/>
  <c r="P3119" i="27"/>
  <c r="E3119" i="27"/>
  <c r="D3119" i="27"/>
  <c r="AF3242" i="27"/>
  <c r="AE3242" i="27"/>
  <c r="AD3242" i="27"/>
  <c r="AC3242" i="27"/>
  <c r="AB3242" i="27"/>
  <c r="R3242" i="27"/>
  <c r="Q3242" i="27"/>
  <c r="P3242" i="27"/>
  <c r="E3242" i="27"/>
  <c r="D3242" i="27"/>
  <c r="AM3242" i="27" s="1"/>
  <c r="AN3242" i="27" s="1"/>
  <c r="AO3242" i="27" s="1"/>
  <c r="AF3220" i="27"/>
  <c r="AE3220" i="27"/>
  <c r="AD3220" i="27"/>
  <c r="AC3220" i="27"/>
  <c r="AB3220" i="27"/>
  <c r="R3220" i="27"/>
  <c r="Q3220" i="27"/>
  <c r="P3220" i="27"/>
  <c r="E3220" i="27"/>
  <c r="D3220" i="27"/>
  <c r="AF3075" i="27"/>
  <c r="AE3075" i="27"/>
  <c r="AD3075" i="27"/>
  <c r="AC3075" i="27"/>
  <c r="AB3075" i="27"/>
  <c r="R3075" i="27"/>
  <c r="Q3075" i="27"/>
  <c r="P3075" i="27"/>
  <c r="E3075" i="27"/>
  <c r="D3075" i="27"/>
  <c r="AF1655" i="27"/>
  <c r="AE1655" i="27"/>
  <c r="AD1655" i="27"/>
  <c r="AC1655" i="27"/>
  <c r="AB1655" i="27"/>
  <c r="R1655" i="27"/>
  <c r="Q1655" i="27"/>
  <c r="P1655" i="27"/>
  <c r="E1655" i="27"/>
  <c r="D1655" i="27"/>
  <c r="AF3243" i="27"/>
  <c r="AE3243" i="27"/>
  <c r="AD3243" i="27"/>
  <c r="AC3243" i="27"/>
  <c r="AB3243" i="27"/>
  <c r="R3243" i="27"/>
  <c r="Q3243" i="27"/>
  <c r="P3243" i="27"/>
  <c r="E3243" i="27"/>
  <c r="D3243" i="27"/>
  <c r="AF1753" i="27"/>
  <c r="AE1753" i="27"/>
  <c r="AD1753" i="27"/>
  <c r="AC1753" i="27"/>
  <c r="AB1753" i="27"/>
  <c r="R1753" i="27"/>
  <c r="Q1753" i="27"/>
  <c r="P1753" i="27"/>
  <c r="E1753" i="27"/>
  <c r="D1753" i="27"/>
  <c r="AF1686" i="27"/>
  <c r="AE1686" i="27"/>
  <c r="AD1686" i="27"/>
  <c r="AC1686" i="27"/>
  <c r="AB1686" i="27"/>
  <c r="R1686" i="27"/>
  <c r="Q1686" i="27"/>
  <c r="P1686" i="27"/>
  <c r="E1686" i="27"/>
  <c r="D1686" i="27"/>
  <c r="AM1686" i="27" s="1"/>
  <c r="AF1832" i="27"/>
  <c r="AE1832" i="27"/>
  <c r="AD1832" i="27"/>
  <c r="AC1832" i="27"/>
  <c r="AB1832" i="27"/>
  <c r="R1832" i="27"/>
  <c r="Q1832" i="27"/>
  <c r="P1832" i="27"/>
  <c r="AF30" i="27"/>
  <c r="AE30" i="27"/>
  <c r="AD30" i="27"/>
  <c r="AC30" i="27"/>
  <c r="AB30" i="27"/>
  <c r="R30" i="27"/>
  <c r="Q30" i="27"/>
  <c r="P30" i="27"/>
  <c r="AF3109" i="27"/>
  <c r="AE3109" i="27"/>
  <c r="AD3109" i="27"/>
  <c r="AC3109" i="27"/>
  <c r="AB3109" i="27"/>
  <c r="R3109" i="27"/>
  <c r="Q3109" i="27"/>
  <c r="P3109" i="27"/>
  <c r="E3109" i="27"/>
  <c r="D3109" i="27"/>
  <c r="AF3316" i="27"/>
  <c r="AE3316" i="27"/>
  <c r="AD3316" i="27"/>
  <c r="AC3316" i="27"/>
  <c r="AB3316" i="27"/>
  <c r="R3316" i="27"/>
  <c r="Q3316" i="27"/>
  <c r="P3316" i="27"/>
  <c r="E3316" i="27"/>
  <c r="D3316" i="27"/>
  <c r="AF62" i="27"/>
  <c r="AE62" i="27"/>
  <c r="AD62" i="27"/>
  <c r="AC62" i="27"/>
  <c r="AB62" i="27"/>
  <c r="R62" i="27"/>
  <c r="Q62" i="27"/>
  <c r="P62" i="27"/>
  <c r="D1709" i="27"/>
  <c r="D3319" i="27"/>
  <c r="A2488" i="32"/>
  <c r="B2488" i="32" s="1"/>
  <c r="C2488" i="32"/>
  <c r="A2726" i="32"/>
  <c r="B2726" i="32" s="1"/>
  <c r="C2726" i="32"/>
  <c r="AF1565" i="27"/>
  <c r="AE1565" i="27"/>
  <c r="AD1565" i="27"/>
  <c r="AC1565" i="27"/>
  <c r="AB1565" i="27"/>
  <c r="R1565" i="27"/>
  <c r="Q1565" i="27"/>
  <c r="P1565" i="27"/>
  <c r="E1565" i="27"/>
  <c r="D1565" i="27"/>
  <c r="AM1565" i="27" s="1"/>
  <c r="AN1565" i="27" s="1"/>
  <c r="AO1565" i="27" s="1"/>
  <c r="AF1632" i="27"/>
  <c r="AE1632" i="27"/>
  <c r="AD1632" i="27"/>
  <c r="AB1632" i="27"/>
  <c r="R1632" i="27"/>
  <c r="Q1632" i="27"/>
  <c r="P1632" i="27"/>
  <c r="E1632" i="27"/>
  <c r="D1632" i="27"/>
  <c r="AC2333" i="27"/>
  <c r="D1672" i="27"/>
  <c r="D1673" i="27"/>
  <c r="D1680" i="27"/>
  <c r="A625" i="32"/>
  <c r="B625" i="32" s="1"/>
  <c r="C625" i="32"/>
  <c r="A2617" i="32"/>
  <c r="B2617" i="32" s="1"/>
  <c r="C2617" i="32"/>
  <c r="AF3191" i="27"/>
  <c r="AE3191" i="27"/>
  <c r="AD3191" i="27"/>
  <c r="AC3191" i="27"/>
  <c r="AB3191" i="27"/>
  <c r="R3191" i="27"/>
  <c r="Q3191" i="27"/>
  <c r="P3191" i="27"/>
  <c r="E3191" i="27"/>
  <c r="D3191" i="27"/>
  <c r="AF2364" i="27"/>
  <c r="AE2364" i="27"/>
  <c r="AD2364" i="27"/>
  <c r="AC2364" i="27"/>
  <c r="AB2364" i="27"/>
  <c r="R2364" i="27"/>
  <c r="Q2364" i="27"/>
  <c r="P2364" i="27"/>
  <c r="E2364" i="27"/>
  <c r="D2364" i="27"/>
  <c r="A1471" i="32"/>
  <c r="B1471" i="32" s="1"/>
  <c r="C1471" i="32"/>
  <c r="A2422" i="32"/>
  <c r="B2422" i="32" s="1"/>
  <c r="C2422" i="32"/>
  <c r="A2565" i="32"/>
  <c r="B2565" i="32" s="1"/>
  <c r="C2565" i="32"/>
  <c r="A2445" i="32"/>
  <c r="B2445" i="32" s="1"/>
  <c r="C2445" i="32"/>
  <c r="A896" i="32"/>
  <c r="B896" i="32" s="1"/>
  <c r="C896" i="32"/>
  <c r="A1776" i="32"/>
  <c r="B1776" i="32" s="1"/>
  <c r="C1776" i="32"/>
  <c r="A1971" i="32"/>
  <c r="B1971" i="32" s="1"/>
  <c r="C1971" i="32"/>
  <c r="A554" i="32"/>
  <c r="B554" i="32" s="1"/>
  <c r="C554" i="32"/>
  <c r="A1824" i="32"/>
  <c r="B1824" i="32" s="1"/>
  <c r="C1824" i="32"/>
  <c r="A69" i="32"/>
  <c r="B69" i="32" s="1"/>
  <c r="C69" i="32"/>
  <c r="A795" i="32"/>
  <c r="B795" i="32" s="1"/>
  <c r="C795" i="32"/>
  <c r="A1578" i="32"/>
  <c r="B1578" i="32" s="1"/>
  <c r="C1578" i="32"/>
  <c r="A1687" i="32"/>
  <c r="B1687" i="32" s="1"/>
  <c r="C1687" i="32"/>
  <c r="A1076" i="32"/>
  <c r="B1076" i="32" s="1"/>
  <c r="C1076" i="32"/>
  <c r="A151" i="32"/>
  <c r="B151" i="32" s="1"/>
  <c r="C151" i="32"/>
  <c r="AF60" i="27"/>
  <c r="AE60" i="27"/>
  <c r="AD60" i="27"/>
  <c r="AC60" i="27"/>
  <c r="AB60" i="27"/>
  <c r="R60" i="27"/>
  <c r="Q60" i="27"/>
  <c r="P60" i="27"/>
  <c r="AF58" i="27"/>
  <c r="AE58" i="27"/>
  <c r="AD58" i="27"/>
  <c r="AC58" i="27"/>
  <c r="AB58" i="27"/>
  <c r="R58" i="27"/>
  <c r="Q58" i="27"/>
  <c r="P58" i="27"/>
  <c r="AF1734" i="27"/>
  <c r="AE1734" i="27"/>
  <c r="AD1734" i="27"/>
  <c r="AC1734" i="27"/>
  <c r="AB1734" i="27"/>
  <c r="R1734" i="27"/>
  <c r="Q1734" i="27"/>
  <c r="P1734" i="27"/>
  <c r="E1734" i="27"/>
  <c r="D1734" i="27"/>
  <c r="AF1733" i="27"/>
  <c r="AE1733" i="27"/>
  <c r="AD1733" i="27"/>
  <c r="AC1733" i="27"/>
  <c r="AB1733" i="27"/>
  <c r="R1733" i="27"/>
  <c r="Q1733" i="27"/>
  <c r="P1733" i="27"/>
  <c r="E1733" i="27"/>
  <c r="D1733" i="27"/>
  <c r="AF3118" i="27"/>
  <c r="AE3118" i="27"/>
  <c r="AD3118" i="27"/>
  <c r="AC3118" i="27"/>
  <c r="AB3118" i="27"/>
  <c r="R3118" i="27"/>
  <c r="Q3118" i="27"/>
  <c r="P3118" i="27"/>
  <c r="E3118" i="27"/>
  <c r="D3118" i="27"/>
  <c r="AF2345" i="27"/>
  <c r="AE2345" i="27"/>
  <c r="AD2345" i="27"/>
  <c r="AC2345" i="27"/>
  <c r="AB2345" i="27"/>
  <c r="R2345" i="27"/>
  <c r="Q2345" i="27"/>
  <c r="P2345" i="27"/>
  <c r="E2345" i="27"/>
  <c r="D2345" i="27"/>
  <c r="AF3112" i="27"/>
  <c r="AE3112" i="27"/>
  <c r="AD3112" i="27"/>
  <c r="AC3112" i="27"/>
  <c r="AB3112" i="27"/>
  <c r="R3112" i="27"/>
  <c r="Q3112" i="27"/>
  <c r="P3112" i="27"/>
  <c r="E3112" i="27"/>
  <c r="D3112" i="27"/>
  <c r="AF234" i="27"/>
  <c r="AE234" i="27"/>
  <c r="AD234" i="27"/>
  <c r="AC234" i="27"/>
  <c r="AB234" i="27"/>
  <c r="R234" i="27"/>
  <c r="Q234" i="27"/>
  <c r="P234" i="27"/>
  <c r="E234" i="27"/>
  <c r="D234" i="27"/>
  <c r="AF225" i="27"/>
  <c r="AE225" i="27"/>
  <c r="AD225" i="27"/>
  <c r="AC225" i="27"/>
  <c r="AB225" i="27"/>
  <c r="R225" i="27"/>
  <c r="Q225" i="27"/>
  <c r="P225" i="27"/>
  <c r="E225" i="27"/>
  <c r="D225" i="27"/>
  <c r="AF59" i="27"/>
  <c r="AE59" i="27"/>
  <c r="AD59" i="27"/>
  <c r="AC59" i="27"/>
  <c r="AB59" i="27"/>
  <c r="R59" i="27"/>
  <c r="Q59" i="27"/>
  <c r="P59" i="27"/>
  <c r="AF2366" i="27"/>
  <c r="AE2366" i="27"/>
  <c r="AD2366" i="27"/>
  <c r="AC2366" i="27"/>
  <c r="AB2366" i="27"/>
  <c r="R2366" i="27"/>
  <c r="Q2366" i="27"/>
  <c r="P2366" i="27"/>
  <c r="E2366" i="27"/>
  <c r="D2366" i="27"/>
  <c r="AF1791" i="27"/>
  <c r="AE1791" i="27"/>
  <c r="AD1791" i="27"/>
  <c r="AC1791" i="27"/>
  <c r="AB1791" i="27"/>
  <c r="R1791" i="27"/>
  <c r="Q1791" i="27"/>
  <c r="P1791" i="27"/>
  <c r="E1791" i="27"/>
  <c r="D1791" i="27"/>
  <c r="AF1790" i="27"/>
  <c r="AE1790" i="27"/>
  <c r="AD1790" i="27"/>
  <c r="AC1790" i="27"/>
  <c r="AB1790" i="27"/>
  <c r="R1790" i="27"/>
  <c r="Q1790" i="27"/>
  <c r="P1790" i="27"/>
  <c r="E1790" i="27"/>
  <c r="D1790" i="27"/>
  <c r="AF3239" i="27"/>
  <c r="AE3239" i="27"/>
  <c r="AD3239" i="27"/>
  <c r="AC3239" i="27"/>
  <c r="AB3239" i="27"/>
  <c r="R3239" i="27"/>
  <c r="Q3239" i="27"/>
  <c r="P3239" i="27"/>
  <c r="E3239" i="27"/>
  <c r="D3239" i="27"/>
  <c r="AF1624" i="27"/>
  <c r="AE1624" i="27"/>
  <c r="AD1624" i="27"/>
  <c r="AC1624" i="27"/>
  <c r="AB1624" i="27"/>
  <c r="R1624" i="27"/>
  <c r="Q1624" i="27"/>
  <c r="P1624" i="27"/>
  <c r="E1624" i="27"/>
  <c r="D1624" i="27"/>
  <c r="AF1718" i="27"/>
  <c r="AE1718" i="27"/>
  <c r="AD1718" i="27"/>
  <c r="AC1718" i="27"/>
  <c r="AB1718" i="27"/>
  <c r="R1718" i="27"/>
  <c r="Q1718" i="27"/>
  <c r="P1718" i="27"/>
  <c r="E1718" i="27"/>
  <c r="D1718" i="27"/>
  <c r="AF3231" i="27"/>
  <c r="AE3231" i="27"/>
  <c r="AD3231" i="27"/>
  <c r="AC3231" i="27"/>
  <c r="AB3231" i="27"/>
  <c r="R3231" i="27"/>
  <c r="Q3231" i="27"/>
  <c r="P3231" i="27"/>
  <c r="E3231" i="27"/>
  <c r="D3231" i="27"/>
  <c r="AF3217" i="27"/>
  <c r="AE3217" i="27"/>
  <c r="AD3217" i="27"/>
  <c r="AC3217" i="27"/>
  <c r="AB3217" i="27"/>
  <c r="R3217" i="27"/>
  <c r="Q3217" i="27"/>
  <c r="P3217" i="27"/>
  <c r="E3217" i="27"/>
  <c r="D3217" i="27"/>
  <c r="AF2058" i="27"/>
  <c r="AE2058" i="27"/>
  <c r="AD2058" i="27"/>
  <c r="AC2058" i="27"/>
  <c r="AB2058" i="27"/>
  <c r="R2058" i="27"/>
  <c r="Q2058" i="27"/>
  <c r="P2058" i="27"/>
  <c r="E2058" i="27"/>
  <c r="D2058" i="27"/>
  <c r="AF3238" i="27"/>
  <c r="AE3238" i="27"/>
  <c r="AD3238" i="27"/>
  <c r="AC3238" i="27"/>
  <c r="AB3238" i="27"/>
  <c r="R3238" i="27"/>
  <c r="Q3238" i="27"/>
  <c r="P3238" i="27"/>
  <c r="E3238" i="27"/>
  <c r="D3238" i="27"/>
  <c r="AF3237" i="27"/>
  <c r="AE3237" i="27"/>
  <c r="AD3237" i="27"/>
  <c r="AC3237" i="27"/>
  <c r="AB3237" i="27"/>
  <c r="R3237" i="27"/>
  <c r="Q3237" i="27"/>
  <c r="P3237" i="27"/>
  <c r="E3237" i="27"/>
  <c r="D3237" i="27"/>
  <c r="AF3236" i="27"/>
  <c r="AE3236" i="27"/>
  <c r="AD3236" i="27"/>
  <c r="AC3236" i="27"/>
  <c r="AB3236" i="27"/>
  <c r="R3236" i="27"/>
  <c r="Q3236" i="27"/>
  <c r="P3236" i="27"/>
  <c r="E3236" i="27"/>
  <c r="D3236" i="27"/>
  <c r="AF3114" i="27"/>
  <c r="AE3114" i="27"/>
  <c r="AD3114" i="27"/>
  <c r="AC3114" i="27"/>
  <c r="AB3114" i="27"/>
  <c r="R3114" i="27"/>
  <c r="Q3114" i="27"/>
  <c r="P3114" i="27"/>
  <c r="E3114" i="27"/>
  <c r="D3114" i="27"/>
  <c r="AF3235" i="27"/>
  <c r="AE3235" i="27"/>
  <c r="AD3235" i="27"/>
  <c r="AC3235" i="27"/>
  <c r="AB3235" i="27"/>
  <c r="R3235" i="27"/>
  <c r="Q3235" i="27"/>
  <c r="P3235" i="27"/>
  <c r="E3235" i="27"/>
  <c r="D3235" i="27"/>
  <c r="AF2059" i="27"/>
  <c r="AE2059" i="27"/>
  <c r="AD2059" i="27"/>
  <c r="AC2059" i="27"/>
  <c r="AB2059" i="27"/>
  <c r="R2059" i="27"/>
  <c r="Q2059" i="27"/>
  <c r="P2059" i="27"/>
  <c r="E2059" i="27"/>
  <c r="D2059" i="27"/>
  <c r="AF2342" i="27"/>
  <c r="AE2342" i="27"/>
  <c r="AD2342" i="27"/>
  <c r="AC2342" i="27"/>
  <c r="AB2342" i="27"/>
  <c r="R2342" i="27"/>
  <c r="Q2342" i="27"/>
  <c r="P2342" i="27"/>
  <c r="E2342" i="27"/>
  <c r="D2342" i="27"/>
  <c r="AF1727" i="27"/>
  <c r="AE1727" i="27"/>
  <c r="AD1727" i="27"/>
  <c r="AC1727" i="27"/>
  <c r="AB1727" i="27"/>
  <c r="R1727" i="27"/>
  <c r="Q1727" i="27"/>
  <c r="P1727" i="27"/>
  <c r="E1727" i="27"/>
  <c r="D1727" i="27"/>
  <c r="AF1723" i="27"/>
  <c r="AE1723" i="27"/>
  <c r="AD1723" i="27"/>
  <c r="AC1723" i="27"/>
  <c r="AB1723" i="27"/>
  <c r="R1723" i="27"/>
  <c r="Q1723" i="27"/>
  <c r="P1723" i="27"/>
  <c r="E1723" i="27"/>
  <c r="D1723" i="27"/>
  <c r="AF134" i="27"/>
  <c r="AE134" i="27"/>
  <c r="AD134" i="27"/>
  <c r="AC134" i="27"/>
  <c r="AB134" i="27"/>
  <c r="R134" i="27"/>
  <c r="Q134" i="27"/>
  <c r="P134" i="27"/>
  <c r="AF1678" i="27"/>
  <c r="AE1678" i="27"/>
  <c r="AD1678" i="27"/>
  <c r="AC1678" i="27"/>
  <c r="AB1678" i="27"/>
  <c r="R1678" i="27"/>
  <c r="Q1678" i="27"/>
  <c r="P1678" i="27"/>
  <c r="E1678" i="27"/>
  <c r="D1678" i="27"/>
  <c r="AF3115" i="27"/>
  <c r="AE3115" i="27"/>
  <c r="AD3115" i="27"/>
  <c r="AC3115" i="27"/>
  <c r="AB3115" i="27"/>
  <c r="R3115" i="27"/>
  <c r="Q3115" i="27"/>
  <c r="P3115" i="27"/>
  <c r="E3115" i="27"/>
  <c r="D3115" i="27"/>
  <c r="AF2357" i="27"/>
  <c r="AE2357" i="27"/>
  <c r="AD2357" i="27"/>
  <c r="AC2357" i="27"/>
  <c r="AB2357" i="27"/>
  <c r="R2357" i="27"/>
  <c r="Q2357" i="27"/>
  <c r="P2357" i="27"/>
  <c r="E2357" i="27"/>
  <c r="D2357" i="27"/>
  <c r="AF1771" i="27"/>
  <c r="AE1771" i="27"/>
  <c r="AD1771" i="27"/>
  <c r="AC1771" i="27"/>
  <c r="AB1771" i="27"/>
  <c r="R1771" i="27"/>
  <c r="Q1771" i="27"/>
  <c r="P1771" i="27"/>
  <c r="E1771" i="27"/>
  <c r="D1771" i="27"/>
  <c r="AF2339" i="27"/>
  <c r="AE2339" i="27"/>
  <c r="AD2339" i="27"/>
  <c r="AC2339" i="27"/>
  <c r="AB2339" i="27"/>
  <c r="R2339" i="27"/>
  <c r="Q2339" i="27"/>
  <c r="P2339" i="27"/>
  <c r="E2339" i="27"/>
  <c r="D2339" i="27"/>
  <c r="AF3319" i="27"/>
  <c r="AE3319" i="27"/>
  <c r="AD3319" i="27"/>
  <c r="AC3319" i="27"/>
  <c r="AB3319" i="27"/>
  <c r="R3319" i="27"/>
  <c r="Q3319" i="27"/>
  <c r="P3319" i="27"/>
  <c r="E3319" i="27"/>
  <c r="AF1709" i="27"/>
  <c r="AE1709" i="27"/>
  <c r="AD1709" i="27"/>
  <c r="AC1709" i="27"/>
  <c r="AB1709" i="27"/>
  <c r="R1709" i="27"/>
  <c r="Q1709" i="27"/>
  <c r="P1709" i="27"/>
  <c r="E1709" i="27"/>
  <c r="AF2358" i="27"/>
  <c r="AE2358" i="27"/>
  <c r="AD2358" i="27"/>
  <c r="AC2358" i="27"/>
  <c r="AB2358" i="27"/>
  <c r="R2358" i="27"/>
  <c r="Q2358" i="27"/>
  <c r="P2358" i="27"/>
  <c r="E2358" i="27"/>
  <c r="D2358" i="27"/>
  <c r="AF125" i="27"/>
  <c r="AE125" i="27"/>
  <c r="AD125" i="27"/>
  <c r="AC125" i="27"/>
  <c r="AB125" i="27"/>
  <c r="R125" i="27"/>
  <c r="Q125" i="27"/>
  <c r="P125" i="27"/>
  <c r="AF61" i="27"/>
  <c r="AE61" i="27"/>
  <c r="AD61" i="27"/>
  <c r="AC61" i="27"/>
  <c r="AB61" i="27"/>
  <c r="R61" i="27"/>
  <c r="Q61" i="27"/>
  <c r="P61" i="27"/>
  <c r="A708" i="32"/>
  <c r="B708" i="32" s="1"/>
  <c r="C708" i="32"/>
  <c r="A1434" i="32"/>
  <c r="B1434" i="32" s="1"/>
  <c r="C1434" i="32"/>
  <c r="A1559" i="32"/>
  <c r="B1559" i="32" s="1"/>
  <c r="C1559" i="32"/>
  <c r="A1166" i="32"/>
  <c r="B1166" i="32" s="1"/>
  <c r="C1166" i="32"/>
  <c r="A1911" i="32"/>
  <c r="B1911" i="32" s="1"/>
  <c r="C1911" i="32"/>
  <c r="A21" i="32"/>
  <c r="B21" i="32" s="1"/>
  <c r="C21" i="32"/>
  <c r="A974" i="32"/>
  <c r="B974" i="32" s="1"/>
  <c r="C974" i="32"/>
  <c r="A20" i="32"/>
  <c r="B20" i="32" s="1"/>
  <c r="C20" i="32"/>
  <c r="A385" i="32"/>
  <c r="B385" i="32" s="1"/>
  <c r="C385" i="32"/>
  <c r="A1775" i="32"/>
  <c r="B1775" i="32" s="1"/>
  <c r="C1775" i="32"/>
  <c r="A741" i="32"/>
  <c r="B741" i="32" s="1"/>
  <c r="C741" i="32"/>
  <c r="AM1660" i="27"/>
  <c r="AN1660" i="27" s="1"/>
  <c r="AO1660" i="27" s="1"/>
  <c r="AF1660" i="27"/>
  <c r="AE1660" i="27"/>
  <c r="AD1660" i="27"/>
  <c r="AC1660" i="27"/>
  <c r="AB1660" i="27"/>
  <c r="R1660" i="27"/>
  <c r="Q1660" i="27"/>
  <c r="P1660" i="27"/>
  <c r="B171" i="30"/>
  <c r="A2169" i="32"/>
  <c r="B2169" i="32" s="1"/>
  <c r="C2169" i="32"/>
  <c r="A2588" i="32"/>
  <c r="B2588" i="32" s="1"/>
  <c r="C2588" i="32"/>
  <c r="A1348" i="32"/>
  <c r="B1348" i="32" s="1"/>
  <c r="C1348" i="32"/>
  <c r="A350" i="32"/>
  <c r="B350" i="32" s="1"/>
  <c r="C350" i="32"/>
  <c r="A415" i="32"/>
  <c r="B415" i="32" s="1"/>
  <c r="C415" i="32"/>
  <c r="A2673" i="32"/>
  <c r="B2673" i="32" s="1"/>
  <c r="C2673" i="32"/>
  <c r="A715" i="32"/>
  <c r="B715" i="32" s="1"/>
  <c r="C715" i="32"/>
  <c r="A1334" i="32"/>
  <c r="B1334" i="32" s="1"/>
  <c r="C1334" i="32"/>
  <c r="A536" i="32"/>
  <c r="B536" i="32" s="1"/>
  <c r="C536" i="32"/>
  <c r="A1655" i="32"/>
  <c r="B1655" i="32" s="1"/>
  <c r="C1655" i="32"/>
  <c r="A2341" i="32"/>
  <c r="B2341" i="32" s="1"/>
  <c r="C2341" i="32"/>
  <c r="A1461" i="32"/>
  <c r="B1461" i="32" s="1"/>
  <c r="C1461" i="32"/>
  <c r="A2370" i="32"/>
  <c r="B2370" i="32" s="1"/>
  <c r="C2370" i="32"/>
  <c r="A2367" i="32"/>
  <c r="B2367" i="32" s="1"/>
  <c r="C2367" i="32"/>
  <c r="A927" i="32"/>
  <c r="B927" i="32" s="1"/>
  <c r="C927" i="32"/>
  <c r="A1836" i="32"/>
  <c r="B1836" i="32" s="1"/>
  <c r="C1836" i="32"/>
  <c r="A788" i="32"/>
  <c r="B788" i="32" s="1"/>
  <c r="C788" i="32"/>
  <c r="A1287" i="32"/>
  <c r="B1287" i="32" s="1"/>
  <c r="C1287" i="32"/>
  <c r="A2720" i="32"/>
  <c r="B2720" i="32" s="1"/>
  <c r="C2720" i="32"/>
  <c r="A486" i="32"/>
  <c r="B486" i="32" s="1"/>
  <c r="C486" i="32"/>
  <c r="A617" i="32"/>
  <c r="B617" i="32" s="1"/>
  <c r="C617" i="32"/>
  <c r="A233" i="32"/>
  <c r="B233" i="32" s="1"/>
  <c r="C233" i="32"/>
  <c r="A1951" i="32"/>
  <c r="B1951" i="32" s="1"/>
  <c r="C1951" i="32"/>
  <c r="A600" i="32"/>
  <c r="B600" i="32" s="1"/>
  <c r="C600" i="32"/>
  <c r="A1751" i="32"/>
  <c r="B1751" i="32" s="1"/>
  <c r="C1751" i="32"/>
  <c r="A2329" i="32"/>
  <c r="B2329" i="32" s="1"/>
  <c r="C2329" i="32"/>
  <c r="A282" i="32"/>
  <c r="B282" i="32" s="1"/>
  <c r="C282" i="32"/>
  <c r="A638" i="32"/>
  <c r="B638" i="32" s="1"/>
  <c r="C638" i="32"/>
  <c r="A768" i="32"/>
  <c r="B768" i="32" s="1"/>
  <c r="C768" i="32"/>
  <c r="A77" i="32"/>
  <c r="B77" i="32" s="1"/>
  <c r="C77" i="32"/>
  <c r="A1275" i="32"/>
  <c r="B1275" i="32" s="1"/>
  <c r="C1275" i="32"/>
  <c r="A1736" i="32"/>
  <c r="B1736" i="32" s="1"/>
  <c r="C1736" i="32"/>
  <c r="A1956" i="32"/>
  <c r="B1956" i="32" s="1"/>
  <c r="C1956" i="32"/>
  <c r="A358" i="32"/>
  <c r="B358" i="32" s="1"/>
  <c r="C358" i="32"/>
  <c r="A1261" i="32"/>
  <c r="B1261" i="32" s="1"/>
  <c r="C1261" i="32"/>
  <c r="A2217" i="32"/>
  <c r="B2217" i="32" s="1"/>
  <c r="C2217" i="32"/>
  <c r="A2027" i="32"/>
  <c r="B2027" i="32" s="1"/>
  <c r="C2027" i="32"/>
  <c r="A1496" i="32"/>
  <c r="B1496" i="32" s="1"/>
  <c r="C1496" i="32"/>
  <c r="A1841" i="32"/>
  <c r="B1841" i="32" s="1"/>
  <c r="C1841" i="32"/>
  <c r="A1694" i="32"/>
  <c r="B1694" i="32" s="1"/>
  <c r="C1694" i="32"/>
  <c r="A1594" i="32"/>
  <c r="B1594" i="32" s="1"/>
  <c r="C1594" i="32"/>
  <c r="A35" i="32"/>
  <c r="B35" i="32" s="1"/>
  <c r="C35" i="32"/>
  <c r="A2251" i="32"/>
  <c r="B2251" i="32" s="1"/>
  <c r="C2251" i="32"/>
  <c r="A1485" i="32"/>
  <c r="B1485" i="32" s="1"/>
  <c r="C1485" i="32"/>
  <c r="A134" i="32"/>
  <c r="B134" i="32" s="1"/>
  <c r="C134" i="32"/>
  <c r="A860" i="32"/>
  <c r="B860" i="32" s="1"/>
  <c r="C860" i="32"/>
  <c r="A2590" i="32"/>
  <c r="B2590" i="32" s="1"/>
  <c r="C2590" i="32"/>
  <c r="A733" i="32"/>
  <c r="B733" i="32" s="1"/>
  <c r="C733" i="32"/>
  <c r="A1303" i="32"/>
  <c r="B1303" i="32" s="1"/>
  <c r="C1303" i="32"/>
  <c r="D1742" i="27"/>
  <c r="AF1704" i="27"/>
  <c r="AE1704" i="27"/>
  <c r="AD1704" i="27"/>
  <c r="AC1704" i="27"/>
  <c r="AB1704" i="27"/>
  <c r="R1704" i="27"/>
  <c r="Q1704" i="27"/>
  <c r="P1704" i="27"/>
  <c r="E1704" i="27"/>
  <c r="D1704" i="27"/>
  <c r="AM1704" i="27" s="1"/>
  <c r="AH1704" i="27" s="1"/>
  <c r="AF1653" i="27"/>
  <c r="AE1653" i="27"/>
  <c r="AD1653" i="27"/>
  <c r="AC1653" i="27"/>
  <c r="AB1653" i="27"/>
  <c r="R1653" i="27"/>
  <c r="Q1653" i="27"/>
  <c r="P1653" i="27"/>
  <c r="E1653" i="27"/>
  <c r="D1653" i="27"/>
  <c r="AF1751" i="27"/>
  <c r="AE1751" i="27"/>
  <c r="AD1751" i="27"/>
  <c r="AC1751" i="27"/>
  <c r="AB1751" i="27"/>
  <c r="R1751" i="27"/>
  <c r="Q1751" i="27"/>
  <c r="P1751" i="27"/>
  <c r="E1751" i="27"/>
  <c r="D1751" i="27"/>
  <c r="A12" i="32"/>
  <c r="B12" i="32" s="1"/>
  <c r="D12" i="32" s="1"/>
  <c r="C12" i="32"/>
  <c r="AF1594" i="27"/>
  <c r="AE1594" i="27"/>
  <c r="AD1594" i="27"/>
  <c r="AC1594" i="27"/>
  <c r="AB1594" i="27"/>
  <c r="R1594" i="27"/>
  <c r="Q1594" i="27"/>
  <c r="P1594" i="27"/>
  <c r="E1594" i="27"/>
  <c r="D1594" i="27"/>
  <c r="AF2046" i="27"/>
  <c r="AE2046" i="27"/>
  <c r="AD2046" i="27"/>
  <c r="AC2046" i="27"/>
  <c r="AB2046" i="27"/>
  <c r="R2046" i="27"/>
  <c r="Q2046" i="27"/>
  <c r="P2046" i="27"/>
  <c r="E2046" i="27"/>
  <c r="D2046" i="27"/>
  <c r="A2847" i="32"/>
  <c r="B2847" i="32" s="1"/>
  <c r="C2847" i="32"/>
  <c r="A824" i="32"/>
  <c r="B824" i="32" s="1"/>
  <c r="C824" i="32"/>
  <c r="AF1647" i="27"/>
  <c r="AE1647" i="27"/>
  <c r="AD1647" i="27"/>
  <c r="AC1647" i="27"/>
  <c r="AB1647" i="27"/>
  <c r="R1647" i="27"/>
  <c r="Q1647" i="27"/>
  <c r="P1647" i="27"/>
  <c r="E1647" i="27"/>
  <c r="D1647" i="27"/>
  <c r="AM1647" i="27" s="1"/>
  <c r="AN1647" i="27" s="1"/>
  <c r="AO1647" i="27" s="1"/>
  <c r="AF1619" i="27"/>
  <c r="AE1619" i="27"/>
  <c r="AD1619" i="27"/>
  <c r="AC1619" i="27"/>
  <c r="AB1619" i="27"/>
  <c r="R1619" i="27"/>
  <c r="Q1619" i="27"/>
  <c r="P1619" i="27"/>
  <c r="E1619" i="27"/>
  <c r="D1619" i="27"/>
  <c r="AM1600" i="27"/>
  <c r="AN1600" i="27" s="1"/>
  <c r="AO1600" i="27" s="1"/>
  <c r="AF1600" i="27"/>
  <c r="AE1600" i="27"/>
  <c r="AD1600" i="27"/>
  <c r="AC1600" i="27"/>
  <c r="AB1600" i="27"/>
  <c r="R1600" i="27"/>
  <c r="Q1600" i="27"/>
  <c r="P1600" i="27"/>
  <c r="A2787" i="32"/>
  <c r="B2787" i="32" s="1"/>
  <c r="C2787" i="32"/>
  <c r="AF1593" i="27"/>
  <c r="AE1593" i="27"/>
  <c r="AD1593" i="27"/>
  <c r="AC1593" i="27"/>
  <c r="AB1593" i="27"/>
  <c r="R1593" i="27"/>
  <c r="Q1593" i="27"/>
  <c r="P1593" i="27"/>
  <c r="E1593" i="27"/>
  <c r="D1593" i="27"/>
  <c r="AF1744" i="27"/>
  <c r="AE1744" i="27"/>
  <c r="AD1744" i="27"/>
  <c r="AC1744" i="27"/>
  <c r="AB1744" i="27"/>
  <c r="R1744" i="27"/>
  <c r="Q1744" i="27"/>
  <c r="P1744" i="27"/>
  <c r="E1744" i="27"/>
  <c r="D1744" i="27"/>
  <c r="A2404" i="32"/>
  <c r="B2404" i="32" s="1"/>
  <c r="C2404" i="32"/>
  <c r="A2423" i="32"/>
  <c r="B2423" i="32" s="1"/>
  <c r="C2423" i="32"/>
  <c r="A2344" i="32"/>
  <c r="B2344" i="32" s="1"/>
  <c r="C2344" i="32"/>
  <c r="A1596" i="32"/>
  <c r="B1596" i="32" s="1"/>
  <c r="C1596" i="32"/>
  <c r="A1721" i="32"/>
  <c r="B1721" i="32" s="1"/>
  <c r="C1721" i="32"/>
  <c r="A2421" i="32"/>
  <c r="B2421" i="32" s="1"/>
  <c r="C2421" i="32"/>
  <c r="B117" i="30"/>
  <c r="B115" i="30"/>
  <c r="D1609" i="27"/>
  <c r="AF1609" i="27"/>
  <c r="AE1609" i="27"/>
  <c r="AD1609" i="27"/>
  <c r="AC1609" i="27"/>
  <c r="AB1609" i="27"/>
  <c r="R1609" i="27"/>
  <c r="Q1609" i="27"/>
  <c r="P1609" i="27"/>
  <c r="E1609" i="27"/>
  <c r="AF1685" i="27"/>
  <c r="AE1685" i="27"/>
  <c r="AD1685" i="27"/>
  <c r="AC1685" i="27"/>
  <c r="AB1685" i="27"/>
  <c r="R1685" i="27"/>
  <c r="Q1685" i="27"/>
  <c r="P1685" i="27"/>
  <c r="E1685" i="27"/>
  <c r="D1685" i="27"/>
  <c r="A1885" i="32"/>
  <c r="B1885" i="32" s="1"/>
  <c r="C1885" i="32"/>
  <c r="A1933" i="32"/>
  <c r="B1933" i="32" s="1"/>
  <c r="C1933" i="32"/>
  <c r="A1876" i="32"/>
  <c r="B1876" i="32" s="1"/>
  <c r="C1876" i="32"/>
  <c r="A1063" i="32"/>
  <c r="B1063" i="32" s="1"/>
  <c r="C1063" i="32"/>
  <c r="A2066" i="32"/>
  <c r="B2066" i="32" s="1"/>
  <c r="C2066" i="32"/>
  <c r="A1222" i="32"/>
  <c r="B1222" i="32" s="1"/>
  <c r="C1222" i="32"/>
  <c r="A2242" i="32"/>
  <c r="B2242" i="32" s="1"/>
  <c r="C2242" i="32"/>
  <c r="A2213" i="32"/>
  <c r="B2213" i="32" s="1"/>
  <c r="C2213" i="32"/>
  <c r="A544" i="32"/>
  <c r="B544" i="32" s="1"/>
  <c r="C544" i="32"/>
  <c r="A1667" i="32"/>
  <c r="B1667" i="32" s="1"/>
  <c r="C1667" i="32"/>
  <c r="A99" i="32"/>
  <c r="B99" i="32" s="1"/>
  <c r="C99" i="32"/>
  <c r="AB2316" i="27"/>
  <c r="AF1592" i="27"/>
  <c r="AE1592" i="27"/>
  <c r="AD1592" i="27"/>
  <c r="AC1592" i="27"/>
  <c r="AB1592" i="27"/>
  <c r="R1592" i="27"/>
  <c r="Q1592" i="27"/>
  <c r="P1592" i="27"/>
  <c r="E1592" i="27"/>
  <c r="D1592" i="27"/>
  <c r="AF1527" i="27"/>
  <c r="AE1527" i="27"/>
  <c r="AD1527" i="27"/>
  <c r="AC1527" i="27"/>
  <c r="AB1527" i="27"/>
  <c r="R1527" i="27"/>
  <c r="Q1527" i="27"/>
  <c r="P1527" i="27"/>
  <c r="E1527" i="27"/>
  <c r="D1527" i="27"/>
  <c r="AF1558" i="27"/>
  <c r="AE1558" i="27"/>
  <c r="AD1558" i="27"/>
  <c r="AC1558" i="27"/>
  <c r="AB1558" i="27"/>
  <c r="R1558" i="27"/>
  <c r="Q1558" i="27"/>
  <c r="P1558" i="27"/>
  <c r="E1558" i="27"/>
  <c r="D1558" i="27"/>
  <c r="AF2332" i="27"/>
  <c r="AE2332" i="27"/>
  <c r="AD2332" i="27"/>
  <c r="AC2332" i="27"/>
  <c r="AB2332" i="27"/>
  <c r="R2332" i="27"/>
  <c r="Q2332" i="27"/>
  <c r="P2332" i="27"/>
  <c r="E2332" i="27"/>
  <c r="D2332" i="27"/>
  <c r="A332" i="32"/>
  <c r="B332" i="32" s="1"/>
  <c r="C332" i="32"/>
  <c r="A2718" i="32"/>
  <c r="B2718" i="32" s="1"/>
  <c r="C2718" i="32"/>
  <c r="A518" i="32"/>
  <c r="B518" i="32" s="1"/>
  <c r="C518" i="32"/>
  <c r="AF3312" i="27"/>
  <c r="AE3312" i="27"/>
  <c r="AD3312" i="27"/>
  <c r="AC3312" i="27"/>
  <c r="AB3312" i="27"/>
  <c r="R3312" i="27"/>
  <c r="Q3312" i="27"/>
  <c r="P3312" i="27"/>
  <c r="E3312" i="27"/>
  <c r="D3312" i="27"/>
  <c r="AF1726" i="27"/>
  <c r="AE1726" i="27"/>
  <c r="AD1726" i="27"/>
  <c r="AC1726" i="27"/>
  <c r="AB1726" i="27"/>
  <c r="R1726" i="27"/>
  <c r="Q1726" i="27"/>
  <c r="P1726" i="27"/>
  <c r="E1726" i="27"/>
  <c r="D1726" i="27"/>
  <c r="AM1726" i="27" s="1"/>
  <c r="AH1726" i="27" s="1"/>
  <c r="AF1725" i="27"/>
  <c r="AE1725" i="27"/>
  <c r="AD1725" i="27"/>
  <c r="AC1725" i="27"/>
  <c r="AB1725" i="27"/>
  <c r="R1725" i="27"/>
  <c r="Q1725" i="27"/>
  <c r="P1725" i="27"/>
  <c r="E1725" i="27"/>
  <c r="D1725" i="27"/>
  <c r="AF1732" i="27"/>
  <c r="AE1732" i="27"/>
  <c r="AD1732" i="27"/>
  <c r="AC1732" i="27"/>
  <c r="AB1732" i="27"/>
  <c r="R1732" i="27"/>
  <c r="Q1732" i="27"/>
  <c r="P1732" i="27"/>
  <c r="E1732" i="27"/>
  <c r="D1732" i="27"/>
  <c r="AF1746" i="27"/>
  <c r="AE1746" i="27"/>
  <c r="AD1746" i="27"/>
  <c r="AC1746" i="27"/>
  <c r="AB1746" i="27"/>
  <c r="R1746" i="27"/>
  <c r="Q1746" i="27"/>
  <c r="P1746" i="27"/>
  <c r="E1746" i="27"/>
  <c r="D1746" i="27"/>
  <c r="AF3117" i="27"/>
  <c r="AE3117" i="27"/>
  <c r="AD3117" i="27"/>
  <c r="AC3117" i="27"/>
  <c r="AB3117" i="27"/>
  <c r="R3117" i="27"/>
  <c r="Q3117" i="27"/>
  <c r="P3117" i="27"/>
  <c r="E3117" i="27"/>
  <c r="D3117" i="27"/>
  <c r="AM3117" i="27" s="1"/>
  <c r="AH3117" i="27" s="1"/>
  <c r="AF1658" i="27"/>
  <c r="AE1658" i="27"/>
  <c r="AD1658" i="27"/>
  <c r="AC1658" i="27"/>
  <c r="AB1658" i="27"/>
  <c r="R1658" i="27"/>
  <c r="Q1658" i="27"/>
  <c r="P1658" i="27"/>
  <c r="E1658" i="27"/>
  <c r="D1658" i="27"/>
  <c r="AF1749" i="27"/>
  <c r="AE1749" i="27"/>
  <c r="AD1749" i="27"/>
  <c r="AC1749" i="27"/>
  <c r="AB1749" i="27"/>
  <c r="R1749" i="27"/>
  <c r="Q1749" i="27"/>
  <c r="P1749" i="27"/>
  <c r="E1749" i="27"/>
  <c r="D1749" i="27"/>
  <c r="AF3309" i="27"/>
  <c r="AE3309" i="27"/>
  <c r="AD3309" i="27"/>
  <c r="AC3309" i="27"/>
  <c r="AB3309" i="27"/>
  <c r="R3309" i="27"/>
  <c r="Q3309" i="27"/>
  <c r="P3309" i="27"/>
  <c r="E3309" i="27"/>
  <c r="D3309" i="27"/>
  <c r="AF1708" i="27"/>
  <c r="AE1708" i="27"/>
  <c r="AD1708" i="27"/>
  <c r="AC1708" i="27"/>
  <c r="AB1708" i="27"/>
  <c r="R1708" i="27"/>
  <c r="Q1708" i="27"/>
  <c r="P1708" i="27"/>
  <c r="E1708" i="27"/>
  <c r="D1708" i="27"/>
  <c r="AM1708" i="27" s="1"/>
  <c r="AF1681" i="27"/>
  <c r="AE1681" i="27"/>
  <c r="AD1681" i="27"/>
  <c r="AC1681" i="27"/>
  <c r="AB1681" i="27"/>
  <c r="R1681" i="27"/>
  <c r="Q1681" i="27"/>
  <c r="P1681" i="27"/>
  <c r="E1681" i="27"/>
  <c r="D1681" i="27"/>
  <c r="AF3241" i="27"/>
  <c r="AE3241" i="27"/>
  <c r="AD3241" i="27"/>
  <c r="AC3241" i="27"/>
  <c r="AB3241" i="27"/>
  <c r="R3241" i="27"/>
  <c r="Q3241" i="27"/>
  <c r="P3241" i="27"/>
  <c r="E3241" i="27"/>
  <c r="D3241" i="27"/>
  <c r="AM3241" i="27" s="1"/>
  <c r="AH3241" i="27" s="1"/>
  <c r="AF3240" i="27"/>
  <c r="AE3240" i="27"/>
  <c r="AD3240" i="27"/>
  <c r="AC3240" i="27"/>
  <c r="AB3240" i="27"/>
  <c r="R3240" i="27"/>
  <c r="Q3240" i="27"/>
  <c r="P3240" i="27"/>
  <c r="E3240" i="27"/>
  <c r="D3240" i="27"/>
  <c r="AF1673" i="27"/>
  <c r="AE1673" i="27"/>
  <c r="AD1673" i="27"/>
  <c r="AC1673" i="27"/>
  <c r="AB1673" i="27"/>
  <c r="R1673" i="27"/>
  <c r="Q1673" i="27"/>
  <c r="P1673" i="27"/>
  <c r="E1673" i="27"/>
  <c r="AF1672" i="27"/>
  <c r="AE1672" i="27"/>
  <c r="AD1672" i="27"/>
  <c r="AC1672" i="27"/>
  <c r="AB1672" i="27"/>
  <c r="R1672" i="27"/>
  <c r="Q1672" i="27"/>
  <c r="P1672" i="27"/>
  <c r="E1672" i="27"/>
  <c r="AF1657" i="27"/>
  <c r="AE1657" i="27"/>
  <c r="AD1657" i="27"/>
  <c r="AC1657" i="27"/>
  <c r="AB1657" i="27"/>
  <c r="R1657" i="27"/>
  <c r="Q1657" i="27"/>
  <c r="P1657" i="27"/>
  <c r="E1657" i="27"/>
  <c r="D1657" i="27"/>
  <c r="AF1656" i="27"/>
  <c r="AE1656" i="27"/>
  <c r="AD1656" i="27"/>
  <c r="AC1656" i="27"/>
  <c r="AB1656" i="27"/>
  <c r="R1656" i="27"/>
  <c r="Q1656" i="27"/>
  <c r="P1656" i="27"/>
  <c r="E1656" i="27"/>
  <c r="D1656" i="27"/>
  <c r="AM1656" i="27" s="1"/>
  <c r="AF3320" i="27"/>
  <c r="AE3320" i="27"/>
  <c r="AD3320" i="27"/>
  <c r="AC3320" i="27"/>
  <c r="AB3320" i="27"/>
  <c r="R3320" i="27"/>
  <c r="Q3320" i="27"/>
  <c r="P3320" i="27"/>
  <c r="E3320" i="27"/>
  <c r="D3320" i="27"/>
  <c r="AF3026" i="27"/>
  <c r="AE3026" i="27"/>
  <c r="AD3026" i="27"/>
  <c r="AC3026" i="27"/>
  <c r="AB3026" i="27"/>
  <c r="R3026" i="27"/>
  <c r="Q3026" i="27"/>
  <c r="P3026" i="27"/>
  <c r="E3026" i="27"/>
  <c r="D3026" i="27"/>
  <c r="AF1671" i="27"/>
  <c r="AE1671" i="27"/>
  <c r="AD1671" i="27"/>
  <c r="AC1671" i="27"/>
  <c r="AB1671" i="27"/>
  <c r="R1671" i="27"/>
  <c r="Q1671" i="27"/>
  <c r="P1671" i="27"/>
  <c r="E1671" i="27"/>
  <c r="D1671" i="27"/>
  <c r="AF1680" i="27"/>
  <c r="AE1680" i="27"/>
  <c r="AD1680" i="27"/>
  <c r="AC1680" i="27"/>
  <c r="AB1680" i="27"/>
  <c r="R1680" i="27"/>
  <c r="Q1680" i="27"/>
  <c r="P1680" i="27"/>
  <c r="E1680" i="27"/>
  <c r="AF1654" i="27"/>
  <c r="AE1654" i="27"/>
  <c r="AD1654" i="27"/>
  <c r="AC1654" i="27"/>
  <c r="AB1654" i="27"/>
  <c r="R1654" i="27"/>
  <c r="Q1654" i="27"/>
  <c r="P1654" i="27"/>
  <c r="E1654" i="27"/>
  <c r="D1654" i="27"/>
  <c r="AF1621" i="27"/>
  <c r="AE1621" i="27"/>
  <c r="AD1621" i="27"/>
  <c r="AC1621" i="27"/>
  <c r="AB1621" i="27"/>
  <c r="R1621" i="27"/>
  <c r="Q1621" i="27"/>
  <c r="P1621" i="27"/>
  <c r="E1621" i="27"/>
  <c r="D1621" i="27"/>
  <c r="AF2970" i="27"/>
  <c r="AE2970" i="27"/>
  <c r="AD2970" i="27"/>
  <c r="AC2970" i="27"/>
  <c r="AB2970" i="27"/>
  <c r="R2970" i="27"/>
  <c r="Q2970" i="27"/>
  <c r="P2970" i="27"/>
  <c r="E2970" i="27"/>
  <c r="D2970" i="27"/>
  <c r="AF1651" i="27"/>
  <c r="AE1651" i="27"/>
  <c r="AD1651" i="27"/>
  <c r="AC1651" i="27"/>
  <c r="AB1651" i="27"/>
  <c r="R1651" i="27"/>
  <c r="Q1651" i="27"/>
  <c r="P1651" i="27"/>
  <c r="E1651" i="27"/>
  <c r="D1651" i="27"/>
  <c r="AF1789" i="27"/>
  <c r="AE1789" i="27"/>
  <c r="AD1789" i="27"/>
  <c r="AC1789" i="27"/>
  <c r="AB1789" i="27"/>
  <c r="R1789" i="27"/>
  <c r="Q1789" i="27"/>
  <c r="P1789" i="27"/>
  <c r="E1789" i="27"/>
  <c r="D1789" i="27"/>
  <c r="AF3110" i="27"/>
  <c r="AE3110" i="27"/>
  <c r="AD3110" i="27"/>
  <c r="AC3110" i="27"/>
  <c r="AB3110" i="27"/>
  <c r="R3110" i="27"/>
  <c r="Q3110" i="27"/>
  <c r="P3110" i="27"/>
  <c r="E3110" i="27"/>
  <c r="D3110" i="27"/>
  <c r="AF1720" i="27"/>
  <c r="AE1720" i="27"/>
  <c r="AD1720" i="27"/>
  <c r="AC1720" i="27"/>
  <c r="AB1720" i="27"/>
  <c r="R1720" i="27"/>
  <c r="Q1720" i="27"/>
  <c r="P1720" i="27"/>
  <c r="E1720" i="27"/>
  <c r="D1720" i="27"/>
  <c r="AF3213" i="27"/>
  <c r="AE3213" i="27"/>
  <c r="AD3213" i="27"/>
  <c r="AC3213" i="27"/>
  <c r="AB3213" i="27"/>
  <c r="R3213" i="27"/>
  <c r="Q3213" i="27"/>
  <c r="P3213" i="27"/>
  <c r="E3213" i="27"/>
  <c r="D3213" i="27"/>
  <c r="AF3111" i="27"/>
  <c r="AE3111" i="27"/>
  <c r="AD3111" i="27"/>
  <c r="AC3111" i="27"/>
  <c r="AB3111" i="27"/>
  <c r="R3111" i="27"/>
  <c r="Q3111" i="27"/>
  <c r="P3111" i="27"/>
  <c r="E3111" i="27"/>
  <c r="D3111" i="27"/>
  <c r="AF1626" i="27"/>
  <c r="AE1626" i="27"/>
  <c r="AD1626" i="27"/>
  <c r="AC1626" i="27"/>
  <c r="AB1626" i="27"/>
  <c r="R1626" i="27"/>
  <c r="Q1626" i="27"/>
  <c r="P1626" i="27"/>
  <c r="E1626" i="27"/>
  <c r="D1626" i="27"/>
  <c r="AF1652" i="27"/>
  <c r="AE1652" i="27"/>
  <c r="AD1652" i="27"/>
  <c r="AC1652" i="27"/>
  <c r="AB1652" i="27"/>
  <c r="R1652" i="27"/>
  <c r="Q1652" i="27"/>
  <c r="P1652" i="27"/>
  <c r="E1652" i="27"/>
  <c r="D1652" i="27"/>
  <c r="AF1620" i="27"/>
  <c r="AE1620" i="27"/>
  <c r="AD1620" i="27"/>
  <c r="AC1620" i="27"/>
  <c r="AB1620" i="27"/>
  <c r="R1620" i="27"/>
  <c r="Q1620" i="27"/>
  <c r="P1620" i="27"/>
  <c r="E1620" i="27"/>
  <c r="D1620" i="27"/>
  <c r="AF1635" i="27"/>
  <c r="AE1635" i="27"/>
  <c r="AD1635" i="27"/>
  <c r="AC1635" i="27"/>
  <c r="AB1635" i="27"/>
  <c r="R1635" i="27"/>
  <c r="Q1635" i="27"/>
  <c r="P1635" i="27"/>
  <c r="E1635" i="27"/>
  <c r="D1635" i="27"/>
  <c r="A1630" i="32"/>
  <c r="B1630" i="32" s="1"/>
  <c r="C1630" i="32"/>
  <c r="A1886" i="32"/>
  <c r="B1886" i="32" s="1"/>
  <c r="C1886" i="32"/>
  <c r="A2037" i="32"/>
  <c r="B2037" i="32" s="1"/>
  <c r="C2037" i="32"/>
  <c r="A692" i="32"/>
  <c r="B692" i="32" s="1"/>
  <c r="C692" i="32"/>
  <c r="A657" i="32"/>
  <c r="B657" i="32" s="1"/>
  <c r="C657" i="32"/>
  <c r="A2175" i="32"/>
  <c r="B2175" i="32" s="1"/>
  <c r="C2175" i="32"/>
  <c r="A2846" i="32"/>
  <c r="B2846" i="32" s="1"/>
  <c r="C2846" i="32"/>
  <c r="AF1666" i="27"/>
  <c r="AE1666" i="27"/>
  <c r="AD1666" i="27"/>
  <c r="AB1666" i="27"/>
  <c r="R1666" i="27"/>
  <c r="Q1666" i="27"/>
  <c r="P1666" i="27"/>
  <c r="E1666" i="27"/>
  <c r="D1666" i="27"/>
  <c r="AM1666" i="27" s="1"/>
  <c r="AH1666" i="27" s="1"/>
  <c r="AF1690" i="27"/>
  <c r="AE1690" i="27"/>
  <c r="AD1690" i="27"/>
  <c r="AC1690" i="27"/>
  <c r="AB1690" i="27"/>
  <c r="R1690" i="27"/>
  <c r="Q1690" i="27"/>
  <c r="P1690" i="27"/>
  <c r="E1690" i="27"/>
  <c r="D1690" i="27"/>
  <c r="AF1778" i="27"/>
  <c r="AE1778" i="27"/>
  <c r="AD1778" i="27"/>
  <c r="AC1778" i="27"/>
  <c r="AB1778" i="27"/>
  <c r="R1778" i="27"/>
  <c r="Q1778" i="27"/>
  <c r="P1778" i="27"/>
  <c r="E1778" i="27"/>
  <c r="D1778" i="27"/>
  <c r="AF175" i="27"/>
  <c r="AE175" i="27"/>
  <c r="AD175" i="27"/>
  <c r="AC175" i="27"/>
  <c r="AB175" i="27"/>
  <c r="R175" i="27"/>
  <c r="Q175" i="27"/>
  <c r="P175" i="27"/>
  <c r="AF3232" i="27"/>
  <c r="AE3232" i="27"/>
  <c r="AD3232" i="27"/>
  <c r="AC3232" i="27"/>
  <c r="AB3232" i="27"/>
  <c r="R3232" i="27"/>
  <c r="Q3232" i="27"/>
  <c r="P3232" i="27"/>
  <c r="E3232" i="27"/>
  <c r="D3232" i="27"/>
  <c r="AF3315" i="27"/>
  <c r="AE3315" i="27"/>
  <c r="AD3315" i="27"/>
  <c r="AC3315" i="27"/>
  <c r="AB3315" i="27"/>
  <c r="R3315" i="27"/>
  <c r="Q3315" i="27"/>
  <c r="P3315" i="27"/>
  <c r="E3315" i="27"/>
  <c r="D3315" i="27"/>
  <c r="AM3315" i="27" s="1"/>
  <c r="AF1700" i="27"/>
  <c r="AE1700" i="27"/>
  <c r="AD1700" i="27"/>
  <c r="AC1700" i="27"/>
  <c r="AB1700" i="27"/>
  <c r="R1700" i="27"/>
  <c r="Q1700" i="27"/>
  <c r="P1700" i="27"/>
  <c r="E1700" i="27"/>
  <c r="D1700" i="27"/>
  <c r="A2587" i="32"/>
  <c r="B2587" i="32" s="1"/>
  <c r="C2587" i="32"/>
  <c r="A227" i="32"/>
  <c r="B227" i="32" s="1"/>
  <c r="C227" i="32"/>
  <c r="A1231" i="32"/>
  <c r="B1231" i="32" s="1"/>
  <c r="C1231" i="32"/>
  <c r="A548" i="32"/>
  <c r="B548" i="32" s="1"/>
  <c r="C548" i="32"/>
  <c r="A2308" i="32"/>
  <c r="B2308" i="32" s="1"/>
  <c r="C2308" i="32"/>
  <c r="A2031" i="32"/>
  <c r="B2031" i="32" s="1"/>
  <c r="C2031" i="32"/>
  <c r="A1716" i="32"/>
  <c r="B1716" i="32" s="1"/>
  <c r="C1716" i="32"/>
  <c r="A913" i="32"/>
  <c r="B913" i="32" s="1"/>
  <c r="C913" i="32"/>
  <c r="A900" i="32"/>
  <c r="B900" i="32" s="1"/>
  <c r="C900" i="32"/>
  <c r="A11" i="32"/>
  <c r="B11" i="32" s="1"/>
  <c r="C11" i="32"/>
  <c r="AF1785" i="27"/>
  <c r="AE1785" i="27"/>
  <c r="AD1785" i="27"/>
  <c r="AC1785" i="27"/>
  <c r="AB1785" i="27"/>
  <c r="R1785" i="27"/>
  <c r="Q1785" i="27"/>
  <c r="P1785" i="27"/>
  <c r="E1785" i="27"/>
  <c r="D1785" i="27"/>
  <c r="AF3229" i="27"/>
  <c r="AE3229" i="27"/>
  <c r="AD3229" i="27"/>
  <c r="AC3229" i="27"/>
  <c r="AB3229" i="27"/>
  <c r="R3229" i="27"/>
  <c r="Q3229" i="27"/>
  <c r="P3229" i="27"/>
  <c r="E3229" i="27"/>
  <c r="D3229" i="27"/>
  <c r="AF1769" i="27"/>
  <c r="AE1769" i="27"/>
  <c r="AD1769" i="27"/>
  <c r="AC1769" i="27"/>
  <c r="AB1769" i="27"/>
  <c r="R1769" i="27"/>
  <c r="Q1769" i="27"/>
  <c r="P1769" i="27"/>
  <c r="E1769" i="27"/>
  <c r="D1769" i="27"/>
  <c r="AF3104" i="27"/>
  <c r="AE3104" i="27"/>
  <c r="AD3104" i="27"/>
  <c r="AC3104" i="27"/>
  <c r="AB3104" i="27"/>
  <c r="R3104" i="27"/>
  <c r="Q3104" i="27"/>
  <c r="P3104" i="27"/>
  <c r="E3104" i="27"/>
  <c r="D3104" i="27"/>
  <c r="AF2350" i="27"/>
  <c r="AE2350" i="27"/>
  <c r="AD2350" i="27"/>
  <c r="AC2350" i="27"/>
  <c r="AB2350" i="27"/>
  <c r="R2350" i="27"/>
  <c r="Q2350" i="27"/>
  <c r="P2350" i="27"/>
  <c r="E2350" i="27"/>
  <c r="D2350" i="27"/>
  <c r="AM2350" i="27" s="1"/>
  <c r="AF3321" i="27"/>
  <c r="AE3321" i="27"/>
  <c r="AD3321" i="27"/>
  <c r="AC3321" i="27"/>
  <c r="AB3321" i="27"/>
  <c r="R3321" i="27"/>
  <c r="Q3321" i="27"/>
  <c r="P3321" i="27"/>
  <c r="E3321" i="27"/>
  <c r="D3321" i="27"/>
  <c r="AF3108" i="27"/>
  <c r="AE3108" i="27"/>
  <c r="AD3108" i="27"/>
  <c r="AC3108" i="27"/>
  <c r="AB3108" i="27"/>
  <c r="R3108" i="27"/>
  <c r="Q3108" i="27"/>
  <c r="P3108" i="27"/>
  <c r="E3108" i="27"/>
  <c r="D3108" i="27"/>
  <c r="AM3108" i="27" s="1"/>
  <c r="AN3108" i="27" s="1"/>
  <c r="AO3108" i="27" s="1"/>
  <c r="AF3228" i="27"/>
  <c r="AE3228" i="27"/>
  <c r="AD3228" i="27"/>
  <c r="AC3228" i="27"/>
  <c r="AB3228" i="27"/>
  <c r="R3228" i="27"/>
  <c r="Q3228" i="27"/>
  <c r="P3228" i="27"/>
  <c r="E3228" i="27"/>
  <c r="D3228" i="27"/>
  <c r="AF3227" i="27"/>
  <c r="AE3227" i="27"/>
  <c r="AD3227" i="27"/>
  <c r="AC3227" i="27"/>
  <c r="AB3227" i="27"/>
  <c r="R3227" i="27"/>
  <c r="Q3227" i="27"/>
  <c r="P3227" i="27"/>
  <c r="E3227" i="27"/>
  <c r="D3227" i="27"/>
  <c r="AF3106" i="27"/>
  <c r="AE3106" i="27"/>
  <c r="AD3106" i="27"/>
  <c r="AC3106" i="27"/>
  <c r="AB3106" i="27"/>
  <c r="R3106" i="27"/>
  <c r="Q3106" i="27"/>
  <c r="P3106" i="27"/>
  <c r="E3106" i="27"/>
  <c r="D3106" i="27"/>
  <c r="A897" i="32"/>
  <c r="B897" i="32" s="1"/>
  <c r="C897" i="32"/>
  <c r="AM1661" i="27"/>
  <c r="AN1661" i="27" s="1"/>
  <c r="AO1661" i="27" s="1"/>
  <c r="AF1661" i="27"/>
  <c r="AE1661" i="27"/>
  <c r="AD1661" i="27"/>
  <c r="AC1661" i="27"/>
  <c r="AB1661" i="27"/>
  <c r="R1661" i="27"/>
  <c r="Q1661" i="27"/>
  <c r="P1661" i="27"/>
  <c r="AF1648" i="27"/>
  <c r="AE1648" i="27"/>
  <c r="AD1648" i="27"/>
  <c r="AC1648" i="27"/>
  <c r="AB1648" i="27"/>
  <c r="R1648" i="27"/>
  <c r="Q1648" i="27"/>
  <c r="P1648" i="27"/>
  <c r="E1648" i="27"/>
  <c r="D1648" i="27"/>
  <c r="AF1641" i="27"/>
  <c r="AE1641" i="27"/>
  <c r="AD1641" i="27"/>
  <c r="AC1641" i="27"/>
  <c r="AB1641" i="27"/>
  <c r="R1641" i="27"/>
  <c r="Q1641" i="27"/>
  <c r="P1641" i="27"/>
  <c r="E1641" i="27"/>
  <c r="D1641" i="27"/>
  <c r="AF1640" i="27"/>
  <c r="AE1640" i="27"/>
  <c r="AD1640" i="27"/>
  <c r="AC1640" i="27"/>
  <c r="AB1640" i="27"/>
  <c r="R1640" i="27"/>
  <c r="Q1640" i="27"/>
  <c r="P1640" i="27"/>
  <c r="E1640" i="27"/>
  <c r="D1640" i="27"/>
  <c r="AF1639" i="27"/>
  <c r="AE1639" i="27"/>
  <c r="AD1639" i="27"/>
  <c r="AC1639" i="27"/>
  <c r="AB1639" i="27"/>
  <c r="R1639" i="27"/>
  <c r="Q1639" i="27"/>
  <c r="P1639" i="27"/>
  <c r="E1639" i="27"/>
  <c r="D1639" i="27"/>
  <c r="AF1591" i="27"/>
  <c r="AE1591" i="27"/>
  <c r="AD1591" i="27"/>
  <c r="AC1591" i="27"/>
  <c r="AB1591" i="27"/>
  <c r="R1591" i="27"/>
  <c r="Q1591" i="27"/>
  <c r="P1591" i="27"/>
  <c r="E1591" i="27"/>
  <c r="D1591" i="27"/>
  <c r="AF1517" i="27"/>
  <c r="AE1517" i="27"/>
  <c r="AD1517" i="27"/>
  <c r="AC1517" i="27"/>
  <c r="AB1517" i="27"/>
  <c r="R1517" i="27"/>
  <c r="Q1517" i="27"/>
  <c r="P1517" i="27"/>
  <c r="E1517" i="27"/>
  <c r="D1517" i="27"/>
  <c r="A1930" i="32"/>
  <c r="B1930" i="32" s="1"/>
  <c r="C1930" i="32"/>
  <c r="A1402" i="32"/>
  <c r="B1402" i="32" s="1"/>
  <c r="C1402" i="32"/>
  <c r="A260" i="32"/>
  <c r="B260" i="32" s="1"/>
  <c r="C260" i="32"/>
  <c r="A710" i="32"/>
  <c r="B710" i="32" s="1"/>
  <c r="C710" i="32"/>
  <c r="A15" i="32"/>
  <c r="B15" i="32" s="1"/>
  <c r="C15" i="32"/>
  <c r="AF1473" i="27"/>
  <c r="AE1473" i="27"/>
  <c r="AD1473" i="27"/>
  <c r="AC1473" i="27"/>
  <c r="AB1473" i="27"/>
  <c r="R1473" i="27"/>
  <c r="Q1473" i="27"/>
  <c r="P1473" i="27"/>
  <c r="E1473" i="27"/>
  <c r="D1473" i="27"/>
  <c r="AF1638" i="27"/>
  <c r="AE1638" i="27"/>
  <c r="AD1638" i="27"/>
  <c r="AC1638" i="27"/>
  <c r="AB1638" i="27"/>
  <c r="R1638" i="27"/>
  <c r="Q1638" i="27"/>
  <c r="P1638" i="27"/>
  <c r="E1638" i="27"/>
  <c r="D1638" i="27"/>
  <c r="AF1570" i="27"/>
  <c r="AE1570" i="27"/>
  <c r="AD1570" i="27"/>
  <c r="AC1570" i="27"/>
  <c r="AB1570" i="27"/>
  <c r="R1570" i="27"/>
  <c r="Q1570" i="27"/>
  <c r="P1570" i="27"/>
  <c r="E1570" i="27"/>
  <c r="D1570" i="27"/>
  <c r="AF1625" i="27"/>
  <c r="AE1625" i="27"/>
  <c r="AD1625" i="27"/>
  <c r="AC1625" i="27"/>
  <c r="AB1625" i="27"/>
  <c r="R1625" i="27"/>
  <c r="Q1625" i="27"/>
  <c r="P1625" i="27"/>
  <c r="E1625" i="27"/>
  <c r="D1625" i="27"/>
  <c r="AF2331" i="27"/>
  <c r="AE2331" i="27"/>
  <c r="AD2331" i="27"/>
  <c r="AC2331" i="27"/>
  <c r="AB2331" i="27"/>
  <c r="R2331" i="27"/>
  <c r="Q2331" i="27"/>
  <c r="P2331" i="27"/>
  <c r="E2331" i="27"/>
  <c r="D2331" i="27"/>
  <c r="AF1630" i="27"/>
  <c r="AE1630" i="27"/>
  <c r="AD1630" i="27"/>
  <c r="AC1630" i="27"/>
  <c r="AB1630" i="27"/>
  <c r="R1630" i="27"/>
  <c r="Q1630" i="27"/>
  <c r="P1630" i="27"/>
  <c r="E1630" i="27"/>
  <c r="D1630" i="27"/>
  <c r="A305" i="32"/>
  <c r="B305" i="32" s="1"/>
  <c r="C305" i="32"/>
  <c r="A1368" i="32"/>
  <c r="B1368" i="32" s="1"/>
  <c r="C1368" i="32"/>
  <c r="A516" i="32"/>
  <c r="B516" i="32" s="1"/>
  <c r="C516" i="32"/>
  <c r="AF132" i="27"/>
  <c r="AE132" i="27"/>
  <c r="AD132" i="27"/>
  <c r="AC132" i="27"/>
  <c r="AB132" i="27"/>
  <c r="R132" i="27"/>
  <c r="Q132" i="27"/>
  <c r="P132" i="27"/>
  <c r="AF3098" i="27"/>
  <c r="AE3098" i="27"/>
  <c r="AD3098" i="27"/>
  <c r="AC3098" i="27"/>
  <c r="AB3098" i="27"/>
  <c r="R3098" i="27"/>
  <c r="Q3098" i="27"/>
  <c r="P3098" i="27"/>
  <c r="E3098" i="27"/>
  <c r="D3098" i="27"/>
  <c r="AF3226" i="27"/>
  <c r="AE3226" i="27"/>
  <c r="AD3226" i="27"/>
  <c r="AC3226" i="27"/>
  <c r="AB3226" i="27"/>
  <c r="R3226" i="27"/>
  <c r="Q3226" i="27"/>
  <c r="P3226" i="27"/>
  <c r="E3226" i="27"/>
  <c r="D3226" i="27"/>
  <c r="AF1650" i="27"/>
  <c r="AE1650" i="27"/>
  <c r="AD1650" i="27"/>
  <c r="AC1650" i="27"/>
  <c r="AB1650" i="27"/>
  <c r="R1650" i="27"/>
  <c r="Q1650" i="27"/>
  <c r="P1650" i="27"/>
  <c r="E1650" i="27"/>
  <c r="D1650" i="27"/>
  <c r="AF1598" i="27"/>
  <c r="AE1598" i="27"/>
  <c r="AD1598" i="27"/>
  <c r="AC1598" i="27"/>
  <c r="AB1598" i="27"/>
  <c r="R1598" i="27"/>
  <c r="Q1598" i="27"/>
  <c r="P1598" i="27"/>
  <c r="E1598" i="27"/>
  <c r="D1598" i="27"/>
  <c r="AF1849" i="27"/>
  <c r="AE1849" i="27"/>
  <c r="AD1849" i="27"/>
  <c r="AC1849" i="27"/>
  <c r="AB1849" i="27"/>
  <c r="R1849" i="27"/>
  <c r="Q1849" i="27"/>
  <c r="P1849" i="27"/>
  <c r="AF3068" i="27"/>
  <c r="AE3068" i="27"/>
  <c r="AD3068" i="27"/>
  <c r="AC3068" i="27"/>
  <c r="AB3068" i="27"/>
  <c r="R3068" i="27"/>
  <c r="Q3068" i="27"/>
  <c r="P3068" i="27"/>
  <c r="E3068" i="27"/>
  <c r="D3068" i="27"/>
  <c r="AF3059" i="27"/>
  <c r="AE3059" i="27"/>
  <c r="AD3059" i="27"/>
  <c r="AC3059" i="27"/>
  <c r="AB3059" i="27"/>
  <c r="R3059" i="27"/>
  <c r="Q3059" i="27"/>
  <c r="P3059" i="27"/>
  <c r="E3059" i="27"/>
  <c r="D3059" i="27"/>
  <c r="A2199" i="32"/>
  <c r="B2199" i="32" s="1"/>
  <c r="C2199" i="32"/>
  <c r="A500" i="32"/>
  <c r="B500" i="32" s="1"/>
  <c r="C500" i="32"/>
  <c r="A1455" i="32"/>
  <c r="B1455" i="32" s="1"/>
  <c r="C1455" i="32"/>
  <c r="A333" i="32"/>
  <c r="B333" i="32" s="1"/>
  <c r="C333" i="32"/>
  <c r="A2542" i="32"/>
  <c r="B2542" i="32" s="1"/>
  <c r="C2542" i="32"/>
  <c r="A194" i="32"/>
  <c r="B194" i="32" s="1"/>
  <c r="C194" i="32"/>
  <c r="A2303" i="32"/>
  <c r="B2303" i="32" s="1"/>
  <c r="C2303" i="32"/>
  <c r="A639" i="32"/>
  <c r="B639" i="32" s="1"/>
  <c r="C639" i="32"/>
  <c r="A1664" i="32"/>
  <c r="B1664" i="32" s="1"/>
  <c r="C1664" i="32"/>
  <c r="A508" i="32"/>
  <c r="B508" i="32" s="1"/>
  <c r="C508" i="32"/>
  <c r="A1881" i="32"/>
  <c r="B1881" i="32" s="1"/>
  <c r="C1881" i="32"/>
  <c r="AF1418" i="27"/>
  <c r="AE1418" i="27"/>
  <c r="AD1418" i="27"/>
  <c r="AC1418" i="27"/>
  <c r="AB1418" i="27"/>
  <c r="R1418" i="27"/>
  <c r="Q1418" i="27"/>
  <c r="P1418" i="27"/>
  <c r="E1418" i="27"/>
  <c r="D1418" i="27"/>
  <c r="B39" i="30"/>
  <c r="AF1637" i="27"/>
  <c r="AE1637" i="27"/>
  <c r="AD1637" i="27"/>
  <c r="AC1637" i="27"/>
  <c r="AB1637" i="27"/>
  <c r="R1637" i="27"/>
  <c r="Q1637" i="27"/>
  <c r="P1637" i="27"/>
  <c r="E1637" i="27"/>
  <c r="D1637" i="27"/>
  <c r="AF3284" i="27"/>
  <c r="AE3284" i="27"/>
  <c r="AD3284" i="27"/>
  <c r="AC3284" i="27"/>
  <c r="AB3284" i="27"/>
  <c r="AA3284" i="27"/>
  <c r="Z3284" i="27"/>
  <c r="Y3284" i="27"/>
  <c r="X3284" i="27"/>
  <c r="W3284" i="27"/>
  <c r="V3284" i="27"/>
  <c r="U3284" i="27"/>
  <c r="T3284" i="27"/>
  <c r="R3284" i="27"/>
  <c r="Q3284" i="27"/>
  <c r="P3284" i="27"/>
  <c r="D3284" i="27"/>
  <c r="AF3184" i="27"/>
  <c r="AE3184" i="27"/>
  <c r="AD3184" i="27"/>
  <c r="AC3184" i="27"/>
  <c r="AB3184" i="27"/>
  <c r="AA3184" i="27"/>
  <c r="Z3184" i="27"/>
  <c r="Y3184" i="27"/>
  <c r="X3184" i="27"/>
  <c r="W3184" i="27"/>
  <c r="V3184" i="27"/>
  <c r="U3184" i="27"/>
  <c r="T3184" i="27"/>
  <c r="R3184" i="27"/>
  <c r="Q3184" i="27"/>
  <c r="P3184" i="27"/>
  <c r="D3184" i="27"/>
  <c r="A2845" i="32"/>
  <c r="B2845" i="32" s="1"/>
  <c r="C2845" i="32"/>
  <c r="AF1633" i="27"/>
  <c r="AE1633" i="27"/>
  <c r="AD1633" i="27"/>
  <c r="AB1633" i="27"/>
  <c r="R1633" i="27"/>
  <c r="Q1633" i="27"/>
  <c r="P1633" i="27"/>
  <c r="E1633" i="27"/>
  <c r="D1633" i="27"/>
  <c r="AF1587" i="27"/>
  <c r="AE1587" i="27"/>
  <c r="AD1587" i="27"/>
  <c r="AB1587" i="27"/>
  <c r="R1587" i="27"/>
  <c r="Q1587" i="27"/>
  <c r="P1587" i="27"/>
  <c r="E1587" i="27"/>
  <c r="D1587" i="27"/>
  <c r="AF93" i="27"/>
  <c r="AE93" i="27"/>
  <c r="AD93" i="27"/>
  <c r="AC93" i="27"/>
  <c r="AB93" i="27"/>
  <c r="R93" i="27"/>
  <c r="Q93" i="27"/>
  <c r="P93" i="27"/>
  <c r="AF1698" i="27"/>
  <c r="AE1698" i="27"/>
  <c r="AD1698" i="27"/>
  <c r="AC1698" i="27"/>
  <c r="AB1698" i="27"/>
  <c r="R1698" i="27"/>
  <c r="Q1698" i="27"/>
  <c r="P1698" i="27"/>
  <c r="E1698" i="27"/>
  <c r="D1698" i="27"/>
  <c r="AF1597" i="27"/>
  <c r="AE1597" i="27"/>
  <c r="AD1597" i="27"/>
  <c r="AC1597" i="27"/>
  <c r="AB1597" i="27"/>
  <c r="R1597" i="27"/>
  <c r="Q1597" i="27"/>
  <c r="P1597" i="27"/>
  <c r="D1597" i="27"/>
  <c r="AF1717" i="27"/>
  <c r="AE1717" i="27"/>
  <c r="AD1717" i="27"/>
  <c r="AC1717" i="27"/>
  <c r="AB1717" i="27"/>
  <c r="R1717" i="27"/>
  <c r="Q1717" i="27"/>
  <c r="P1717" i="27"/>
  <c r="E1717" i="27"/>
  <c r="D1717" i="27"/>
  <c r="AF2337" i="27"/>
  <c r="AE2337" i="27"/>
  <c r="AD2337" i="27"/>
  <c r="AC2337" i="27"/>
  <c r="AB2337" i="27"/>
  <c r="R2337" i="27"/>
  <c r="Q2337" i="27"/>
  <c r="P2337" i="27"/>
  <c r="E2337" i="27"/>
  <c r="D2337" i="27"/>
  <c r="AF3105" i="27"/>
  <c r="AE3105" i="27"/>
  <c r="AD3105" i="27"/>
  <c r="AC3105" i="27"/>
  <c r="AB3105" i="27"/>
  <c r="R3105" i="27"/>
  <c r="Q3105" i="27"/>
  <c r="P3105" i="27"/>
  <c r="E3105" i="27"/>
  <c r="D3105" i="27"/>
  <c r="AF3297" i="27"/>
  <c r="AE3297" i="27"/>
  <c r="AD3297" i="27"/>
  <c r="AC3297" i="27"/>
  <c r="AB3297" i="27"/>
  <c r="R3297" i="27"/>
  <c r="Q3297" i="27"/>
  <c r="P3297" i="27"/>
  <c r="E3297" i="27"/>
  <c r="D3297" i="27"/>
  <c r="AF3224" i="27"/>
  <c r="AE3224" i="27"/>
  <c r="AD3224" i="27"/>
  <c r="AC3224" i="27"/>
  <c r="AB3224" i="27"/>
  <c r="R3224" i="27"/>
  <c r="Q3224" i="27"/>
  <c r="P3224" i="27"/>
  <c r="E3224" i="27"/>
  <c r="D3224" i="27"/>
  <c r="AM3224" i="27" s="1"/>
  <c r="AH3224" i="27" s="1"/>
  <c r="AF3225" i="27"/>
  <c r="AE3225" i="27"/>
  <c r="AD3225" i="27"/>
  <c r="AC3225" i="27"/>
  <c r="AB3225" i="27"/>
  <c r="R3225" i="27"/>
  <c r="Q3225" i="27"/>
  <c r="P3225" i="27"/>
  <c r="E3225" i="27"/>
  <c r="D3225" i="27"/>
  <c r="AF2052" i="27"/>
  <c r="AE2052" i="27"/>
  <c r="AD2052" i="27"/>
  <c r="AC2052" i="27"/>
  <c r="AB2052" i="27"/>
  <c r="R2052" i="27"/>
  <c r="Q2052" i="27"/>
  <c r="P2052" i="27"/>
  <c r="E2052" i="27"/>
  <c r="D2052" i="27"/>
  <c r="AM2052" i="27" s="1"/>
  <c r="AF1438" i="27"/>
  <c r="AE1438" i="27"/>
  <c r="AD1438" i="27"/>
  <c r="AC1438" i="27"/>
  <c r="AB1438" i="27"/>
  <c r="R1438" i="27"/>
  <c r="Q1438" i="27"/>
  <c r="P1438" i="27"/>
  <c r="E1438" i="27"/>
  <c r="D1438" i="27"/>
  <c r="AF3222" i="27"/>
  <c r="AE3222" i="27"/>
  <c r="AD3222" i="27"/>
  <c r="AC3222" i="27"/>
  <c r="AB3222" i="27"/>
  <c r="R3222" i="27"/>
  <c r="Q3222" i="27"/>
  <c r="P3222" i="27"/>
  <c r="E3222" i="27"/>
  <c r="D3222" i="27"/>
  <c r="AF162" i="27"/>
  <c r="AE162" i="27"/>
  <c r="AD162" i="27"/>
  <c r="AC162" i="27"/>
  <c r="AB162" i="27"/>
  <c r="R162" i="27"/>
  <c r="Q162" i="27"/>
  <c r="P162" i="27"/>
  <c r="AF1676" i="27"/>
  <c r="AE1676" i="27"/>
  <c r="AD1676" i="27"/>
  <c r="AC1676" i="27"/>
  <c r="AB1676" i="27"/>
  <c r="R1676" i="27"/>
  <c r="Q1676" i="27"/>
  <c r="P1676" i="27"/>
  <c r="E1676" i="27"/>
  <c r="D1676" i="27"/>
  <c r="AF3208" i="27"/>
  <c r="AE3208" i="27"/>
  <c r="AD3208" i="27"/>
  <c r="AC3208" i="27"/>
  <c r="AB3208" i="27"/>
  <c r="R3208" i="27"/>
  <c r="Q3208" i="27"/>
  <c r="P3208" i="27"/>
  <c r="E3208" i="27"/>
  <c r="D3208" i="27"/>
  <c r="AM3208" i="27" s="1"/>
  <c r="AF3209" i="27"/>
  <c r="AE3209" i="27"/>
  <c r="AD3209" i="27"/>
  <c r="AC3209" i="27"/>
  <c r="AB3209" i="27"/>
  <c r="R3209" i="27"/>
  <c r="Q3209" i="27"/>
  <c r="P3209" i="27"/>
  <c r="E3209" i="27"/>
  <c r="D3209" i="27"/>
  <c r="AF1783" i="27"/>
  <c r="AE1783" i="27"/>
  <c r="AD1783" i="27"/>
  <c r="AC1783" i="27"/>
  <c r="AB1783" i="27"/>
  <c r="R1783" i="27"/>
  <c r="Q1783" i="27"/>
  <c r="P1783" i="27"/>
  <c r="E1783" i="27"/>
  <c r="D1783" i="27"/>
  <c r="AM1783" i="27" s="1"/>
  <c r="AH1783" i="27" s="1"/>
  <c r="AF3100" i="27"/>
  <c r="AE3100" i="27"/>
  <c r="AD3100" i="27"/>
  <c r="AC3100" i="27"/>
  <c r="AB3100" i="27"/>
  <c r="R3100" i="27"/>
  <c r="Q3100" i="27"/>
  <c r="P3100" i="27"/>
  <c r="E3100" i="27"/>
  <c r="D3100" i="27"/>
  <c r="AF54" i="27"/>
  <c r="AE54" i="27"/>
  <c r="AD54" i="27"/>
  <c r="AC54" i="27"/>
  <c r="AB54" i="27"/>
  <c r="R54" i="27"/>
  <c r="Q54" i="27"/>
  <c r="P54" i="27"/>
  <c r="AF1737" i="27"/>
  <c r="AE1737" i="27"/>
  <c r="AD1737" i="27"/>
  <c r="AC1737" i="27"/>
  <c r="AB1737" i="27"/>
  <c r="R1737" i="27"/>
  <c r="Q1737" i="27"/>
  <c r="P1737" i="27"/>
  <c r="E1737" i="27"/>
  <c r="D1737" i="27"/>
  <c r="AF56" i="27"/>
  <c r="AE56" i="27"/>
  <c r="AD56" i="27"/>
  <c r="AC56" i="27"/>
  <c r="AB56" i="27"/>
  <c r="R56" i="27"/>
  <c r="Q56" i="27"/>
  <c r="P56" i="27"/>
  <c r="A439" i="32"/>
  <c r="B439" i="32" s="1"/>
  <c r="C439" i="32"/>
  <c r="A2024" i="32"/>
  <c r="B2024" i="32" s="1"/>
  <c r="C2024" i="32"/>
  <c r="A869" i="32"/>
  <c r="B869" i="32" s="1"/>
  <c r="C869" i="32"/>
  <c r="A408" i="32"/>
  <c r="B408" i="32" s="1"/>
  <c r="C408" i="32"/>
  <c r="A1091" i="32"/>
  <c r="B1091" i="32" s="1"/>
  <c r="C1091" i="32"/>
  <c r="A1425" i="32"/>
  <c r="B1425" i="32" s="1"/>
  <c r="C1425" i="32"/>
  <c r="A1347" i="32"/>
  <c r="B1347" i="32" s="1"/>
  <c r="C1347" i="32"/>
  <c r="A365" i="32"/>
  <c r="B365" i="32" s="1"/>
  <c r="C365" i="32"/>
  <c r="AF47" i="27"/>
  <c r="AE47" i="27"/>
  <c r="AD47" i="27"/>
  <c r="AC47" i="27"/>
  <c r="AB47" i="27"/>
  <c r="R47" i="27"/>
  <c r="Q47" i="27"/>
  <c r="P47" i="27"/>
  <c r="AF1495" i="27"/>
  <c r="AE1495" i="27"/>
  <c r="AD1495" i="27"/>
  <c r="AC1495" i="27"/>
  <c r="AB1495" i="27"/>
  <c r="R1495" i="27"/>
  <c r="Q1495" i="27"/>
  <c r="P1495" i="27"/>
  <c r="E1495" i="27"/>
  <c r="D1495" i="27"/>
  <c r="AF1610" i="27"/>
  <c r="AE1610" i="27"/>
  <c r="AD1610" i="27"/>
  <c r="AC1610" i="27"/>
  <c r="AB1610" i="27"/>
  <c r="R1610" i="27"/>
  <c r="Q1610" i="27"/>
  <c r="P1610" i="27"/>
  <c r="E1610" i="27"/>
  <c r="D1610" i="27"/>
  <c r="AM1610" i="27" s="1"/>
  <c r="AN1610" i="27" s="1"/>
  <c r="AO1610" i="27" s="1"/>
  <c r="AF3325" i="27"/>
  <c r="AE3325" i="27"/>
  <c r="AD3325" i="27"/>
  <c r="AC3325" i="27"/>
  <c r="AB3325" i="27"/>
  <c r="AA3325" i="27"/>
  <c r="Z3325" i="27"/>
  <c r="Y3325" i="27"/>
  <c r="X3325" i="27"/>
  <c r="W3325" i="27"/>
  <c r="V3325" i="27"/>
  <c r="U3325" i="27"/>
  <c r="T3325" i="27"/>
  <c r="R3325" i="27"/>
  <c r="Q3325" i="27"/>
  <c r="P3325" i="27"/>
  <c r="D3325" i="27"/>
  <c r="AF1580" i="27"/>
  <c r="AE1580" i="27"/>
  <c r="AD1580" i="27"/>
  <c r="AC1580" i="27"/>
  <c r="AB1580" i="27"/>
  <c r="R1580" i="27"/>
  <c r="Q1580" i="27"/>
  <c r="P1580" i="27"/>
  <c r="E1580" i="27"/>
  <c r="D1580" i="27"/>
  <c r="AF3310" i="27"/>
  <c r="AE3310" i="27"/>
  <c r="AD3310" i="27"/>
  <c r="AC3310" i="27"/>
  <c r="AB3310" i="27"/>
  <c r="R3310" i="27"/>
  <c r="Q3310" i="27"/>
  <c r="P3310" i="27"/>
  <c r="E3310" i="27"/>
  <c r="D3310" i="27"/>
  <c r="A2535" i="32"/>
  <c r="B2535" i="32" s="1"/>
  <c r="C2535" i="32"/>
  <c r="A1285" i="32"/>
  <c r="B1285" i="32" s="1"/>
  <c r="C1285" i="32"/>
  <c r="A251" i="32"/>
  <c r="B251" i="32" s="1"/>
  <c r="C251" i="32"/>
  <c r="A889" i="32"/>
  <c r="B889" i="32" s="1"/>
  <c r="C889" i="32"/>
  <c r="AF1579" i="27"/>
  <c r="AE1579" i="27"/>
  <c r="AD1579" i="27"/>
  <c r="AC1579" i="27"/>
  <c r="AB1579" i="27"/>
  <c r="R1579" i="27"/>
  <c r="Q1579" i="27"/>
  <c r="P1579" i="27"/>
  <c r="E1579" i="27"/>
  <c r="D1579" i="27"/>
  <c r="AF2303" i="27"/>
  <c r="AE2303" i="27"/>
  <c r="AD2303" i="27"/>
  <c r="AC2303" i="27"/>
  <c r="AB2303" i="27"/>
  <c r="R2303" i="27"/>
  <c r="Q2303" i="27"/>
  <c r="P2303" i="27"/>
  <c r="E2303" i="27"/>
  <c r="D2303" i="27"/>
  <c r="AF2056" i="27"/>
  <c r="AE2056" i="27"/>
  <c r="AD2056" i="27"/>
  <c r="AC2056" i="27"/>
  <c r="AB2056" i="27"/>
  <c r="R2056" i="27"/>
  <c r="Q2056" i="27"/>
  <c r="P2056" i="27"/>
  <c r="E2056" i="27"/>
  <c r="D2056" i="27"/>
  <c r="AF3221" i="27"/>
  <c r="AE3221" i="27"/>
  <c r="AD3221" i="27"/>
  <c r="AC3221" i="27"/>
  <c r="AB3221" i="27"/>
  <c r="R3221" i="27"/>
  <c r="Q3221" i="27"/>
  <c r="P3221" i="27"/>
  <c r="E3221" i="27"/>
  <c r="D3221" i="27"/>
  <c r="AF1699" i="27"/>
  <c r="AE1699" i="27"/>
  <c r="AD1699" i="27"/>
  <c r="AC1699" i="27"/>
  <c r="AB1699" i="27"/>
  <c r="R1699" i="27"/>
  <c r="Q1699" i="27"/>
  <c r="P1699" i="27"/>
  <c r="E1699" i="27"/>
  <c r="D1699" i="27"/>
  <c r="AF1577" i="27"/>
  <c r="AE1577" i="27"/>
  <c r="AD1577" i="27"/>
  <c r="AC1577" i="27"/>
  <c r="AB1577" i="27"/>
  <c r="R1577" i="27"/>
  <c r="Q1577" i="27"/>
  <c r="P1577" i="27"/>
  <c r="E1577" i="27"/>
  <c r="D1577" i="27"/>
  <c r="AM1577" i="27" s="1"/>
  <c r="AN1577" i="27" s="1"/>
  <c r="AO1577" i="27" s="1"/>
  <c r="AF3206" i="27"/>
  <c r="AE3206" i="27"/>
  <c r="AD3206" i="27"/>
  <c r="AC3206" i="27"/>
  <c r="AB3206" i="27"/>
  <c r="R3206" i="27"/>
  <c r="Q3206" i="27"/>
  <c r="P3206" i="27"/>
  <c r="E3206" i="27"/>
  <c r="D3206" i="27"/>
  <c r="AF1662" i="27"/>
  <c r="AE1662" i="27"/>
  <c r="AD1662" i="27"/>
  <c r="AC1662" i="27"/>
  <c r="AB1662" i="27"/>
  <c r="R1662" i="27"/>
  <c r="Q1662" i="27"/>
  <c r="P1662" i="27"/>
  <c r="E1662" i="27"/>
  <c r="D1662" i="27"/>
  <c r="AF1743" i="27"/>
  <c r="AE1743" i="27"/>
  <c r="AD1743" i="27"/>
  <c r="AC1743" i="27"/>
  <c r="AB1743" i="27"/>
  <c r="R1743" i="27"/>
  <c r="Q1743" i="27"/>
  <c r="P1743" i="27"/>
  <c r="E1743" i="27"/>
  <c r="D1743" i="27"/>
  <c r="AF3096" i="27"/>
  <c r="AE3096" i="27"/>
  <c r="AD3096" i="27"/>
  <c r="AC3096" i="27"/>
  <c r="AB3096" i="27"/>
  <c r="R3096" i="27"/>
  <c r="Q3096" i="27"/>
  <c r="P3096" i="27"/>
  <c r="E3096" i="27"/>
  <c r="D3096" i="27"/>
  <c r="AF1742" i="27"/>
  <c r="AE1742" i="27"/>
  <c r="AD1742" i="27"/>
  <c r="AC1742" i="27"/>
  <c r="AB1742" i="27"/>
  <c r="R1742" i="27"/>
  <c r="Q1742" i="27"/>
  <c r="P1742" i="27"/>
  <c r="E1742" i="27"/>
  <c r="AF1693" i="27"/>
  <c r="AE1693" i="27"/>
  <c r="AD1693" i="27"/>
  <c r="AC1693" i="27"/>
  <c r="AB1693" i="27"/>
  <c r="R1693" i="27"/>
  <c r="Q1693" i="27"/>
  <c r="P1693" i="27"/>
  <c r="E1693" i="27"/>
  <c r="D1693" i="27"/>
  <c r="AM1693" i="27" s="1"/>
  <c r="AF3211" i="27"/>
  <c r="AE3211" i="27"/>
  <c r="AD3211" i="27"/>
  <c r="AC3211" i="27"/>
  <c r="AB3211" i="27"/>
  <c r="R3211" i="27"/>
  <c r="Q3211" i="27"/>
  <c r="P3211" i="27"/>
  <c r="E3211" i="27"/>
  <c r="D3211" i="27"/>
  <c r="AF3299" i="27"/>
  <c r="AE3299" i="27"/>
  <c r="AD3299" i="27"/>
  <c r="AC3299" i="27"/>
  <c r="AB3299" i="27"/>
  <c r="R3299" i="27"/>
  <c r="Q3299" i="27"/>
  <c r="P3299" i="27"/>
  <c r="E3299" i="27"/>
  <c r="D3299" i="27"/>
  <c r="A1016" i="32"/>
  <c r="B1016" i="32" s="1"/>
  <c r="C1016" i="32"/>
  <c r="A1725" i="32"/>
  <c r="B1725" i="32" s="1"/>
  <c r="C1725" i="32"/>
  <c r="A1810" i="32"/>
  <c r="B1810" i="32" s="1"/>
  <c r="C1810" i="32"/>
  <c r="A830" i="32"/>
  <c r="B830" i="32" s="1"/>
  <c r="C830" i="32"/>
  <c r="A115" i="32"/>
  <c r="B115" i="32" s="1"/>
  <c r="C115" i="32"/>
  <c r="A968" i="32"/>
  <c r="B968" i="32" s="1"/>
  <c r="C968" i="32"/>
  <c r="A2110" i="32"/>
  <c r="B2110" i="32" s="1"/>
  <c r="C2110" i="32"/>
  <c r="A1807" i="32"/>
  <c r="B1807" i="32" s="1"/>
  <c r="C1807" i="32"/>
  <c r="A1862" i="32"/>
  <c r="B1862" i="32" s="1"/>
  <c r="C1862" i="32"/>
  <c r="AM3180" i="27"/>
  <c r="AH3180" i="27" s="1"/>
  <c r="AF3180" i="27"/>
  <c r="AE3180" i="27"/>
  <c r="AD3180" i="27"/>
  <c r="AC3180" i="27"/>
  <c r="AB3180" i="27"/>
  <c r="R3180" i="27"/>
  <c r="Q3180" i="27"/>
  <c r="P3180" i="27"/>
  <c r="A2844" i="32"/>
  <c r="B2844" i="32" s="1"/>
  <c r="C2844" i="32"/>
  <c r="A2843" i="32"/>
  <c r="B2843" i="32" s="1"/>
  <c r="C2843" i="32"/>
  <c r="A970" i="32"/>
  <c r="B970" i="32" s="1"/>
  <c r="C970" i="32"/>
  <c r="A2842" i="32"/>
  <c r="B2842" i="32" s="1"/>
  <c r="C2842" i="32"/>
  <c r="A2841" i="32"/>
  <c r="B2841" i="32" s="1"/>
  <c r="C2841" i="32"/>
  <c r="A573" i="32"/>
  <c r="B573" i="32" s="1"/>
  <c r="C573" i="32"/>
  <c r="A2487" i="32"/>
  <c r="B2487" i="32" s="1"/>
  <c r="C2487" i="32"/>
  <c r="A1839" i="32"/>
  <c r="B1839" i="32" s="1"/>
  <c r="C1839" i="32"/>
  <c r="B43" i="30"/>
  <c r="A2691" i="32"/>
  <c r="B2691" i="32" s="1"/>
  <c r="C2691" i="32"/>
  <c r="A2227" i="32"/>
  <c r="B2227" i="32" s="1"/>
  <c r="C2227" i="32"/>
  <c r="A1180" i="32"/>
  <c r="B1180" i="32" s="1"/>
  <c r="C1180" i="32"/>
  <c r="A1017" i="32"/>
  <c r="B1017" i="32" s="1"/>
  <c r="C1017" i="32"/>
  <c r="A2775" i="32"/>
  <c r="B2775" i="32" s="1"/>
  <c r="C2775" i="32"/>
  <c r="A1442" i="32"/>
  <c r="B1442" i="32" s="1"/>
  <c r="C1442" i="32"/>
  <c r="A1332" i="32"/>
  <c r="B1332" i="32" s="1"/>
  <c r="C1332" i="32"/>
  <c r="AF1531" i="27"/>
  <c r="AE1531" i="27"/>
  <c r="AD1531" i="27"/>
  <c r="AB1531" i="27"/>
  <c r="R1531" i="27"/>
  <c r="Q1531" i="27"/>
  <c r="P1531" i="27"/>
  <c r="E1531" i="27"/>
  <c r="D1531" i="27"/>
  <c r="AF213" i="27"/>
  <c r="AE213" i="27"/>
  <c r="AD213" i="27"/>
  <c r="AC213" i="27"/>
  <c r="AB213" i="27"/>
  <c r="R213" i="27"/>
  <c r="Q213" i="27"/>
  <c r="P213" i="27"/>
  <c r="E213" i="27"/>
  <c r="D213" i="27"/>
  <c r="AF1474" i="27"/>
  <c r="AE1474" i="27"/>
  <c r="AD1474" i="27"/>
  <c r="AC1474" i="27"/>
  <c r="AB1474" i="27"/>
  <c r="R1474" i="27"/>
  <c r="Q1474" i="27"/>
  <c r="P1474" i="27"/>
  <c r="E1474" i="27"/>
  <c r="D1474" i="27"/>
  <c r="A2766" i="32"/>
  <c r="B2766" i="32" s="1"/>
  <c r="C2766" i="32"/>
  <c r="AF2054" i="27"/>
  <c r="AE2054" i="27"/>
  <c r="AD2054" i="27"/>
  <c r="AC2054" i="27"/>
  <c r="AB2054" i="27"/>
  <c r="R2054" i="27"/>
  <c r="Q2054" i="27"/>
  <c r="P2054" i="27"/>
  <c r="E2054" i="27"/>
  <c r="D2054" i="27"/>
  <c r="AF1622" i="27"/>
  <c r="AE1622" i="27"/>
  <c r="AD1622" i="27"/>
  <c r="AC1622" i="27"/>
  <c r="AB1622" i="27"/>
  <c r="R1622" i="27"/>
  <c r="Q1622" i="27"/>
  <c r="P1622" i="27"/>
  <c r="E1622" i="27"/>
  <c r="D1622" i="27"/>
  <c r="AF233" i="27"/>
  <c r="AE233" i="27"/>
  <c r="AD233" i="27"/>
  <c r="AC233" i="27"/>
  <c r="AB233" i="27"/>
  <c r="R233" i="27"/>
  <c r="Q233" i="27"/>
  <c r="P233" i="27"/>
  <c r="E233" i="27"/>
  <c r="D233" i="27"/>
  <c r="AF3223" i="27"/>
  <c r="AE3223" i="27"/>
  <c r="AD3223" i="27"/>
  <c r="AC3223" i="27"/>
  <c r="AB3223" i="27"/>
  <c r="R3223" i="27"/>
  <c r="Q3223" i="27"/>
  <c r="P3223" i="27"/>
  <c r="E3223" i="27"/>
  <c r="D3223" i="27"/>
  <c r="AM3223" i="27" s="1"/>
  <c r="AN3223" i="27" s="1"/>
  <c r="AO3223" i="27" s="1"/>
  <c r="AF2340" i="27"/>
  <c r="AE2340" i="27"/>
  <c r="AD2340" i="27"/>
  <c r="AC2340" i="27"/>
  <c r="AB2340" i="27"/>
  <c r="R2340" i="27"/>
  <c r="Q2340" i="27"/>
  <c r="P2340" i="27"/>
  <c r="E2340" i="27"/>
  <c r="D2340" i="27"/>
  <c r="AF232" i="27"/>
  <c r="AE232" i="27"/>
  <c r="AD232" i="27"/>
  <c r="AC232" i="27"/>
  <c r="AB232" i="27"/>
  <c r="R232" i="27"/>
  <c r="Q232" i="27"/>
  <c r="P232" i="27"/>
  <c r="E232" i="27"/>
  <c r="D232" i="27"/>
  <c r="A2146" i="32"/>
  <c r="B2146" i="32" s="1"/>
  <c r="C2146" i="32"/>
  <c r="A2693" i="32"/>
  <c r="B2693" i="32" s="1"/>
  <c r="C2693" i="32"/>
  <c r="A1899" i="32"/>
  <c r="B1899" i="32" s="1"/>
  <c r="C1899" i="32"/>
  <c r="A2762" i="32"/>
  <c r="B2762" i="32" s="1"/>
  <c r="C2762" i="32"/>
  <c r="A400" i="32"/>
  <c r="B400" i="32" s="1"/>
  <c r="C400" i="32"/>
  <c r="AF1569" i="27"/>
  <c r="AE1569" i="27"/>
  <c r="AD1569" i="27"/>
  <c r="AC1569" i="27"/>
  <c r="AB1569" i="27"/>
  <c r="R1569" i="27"/>
  <c r="Q1569" i="27"/>
  <c r="P1569" i="27"/>
  <c r="E1569" i="27"/>
  <c r="D1569" i="27"/>
  <c r="B208" i="30"/>
  <c r="AF3095" i="27"/>
  <c r="AE3095" i="27"/>
  <c r="AD3095" i="27"/>
  <c r="AC3095" i="27"/>
  <c r="AB3095" i="27"/>
  <c r="R3095" i="27"/>
  <c r="Q3095" i="27"/>
  <c r="P3095" i="27"/>
  <c r="E3095" i="27"/>
  <c r="D3095" i="27"/>
  <c r="AF1567" i="27"/>
  <c r="AE1567" i="27"/>
  <c r="AD1567" i="27"/>
  <c r="AC1567" i="27"/>
  <c r="AB1567" i="27"/>
  <c r="R1567" i="27"/>
  <c r="Q1567" i="27"/>
  <c r="P1567" i="27"/>
  <c r="E1567" i="27"/>
  <c r="D1567" i="27"/>
  <c r="AM1567" i="27" s="1"/>
  <c r="AN1567" i="27" s="1"/>
  <c r="AO1567" i="27" s="1"/>
  <c r="AF1596" i="27"/>
  <c r="AE1596" i="27"/>
  <c r="AD1596" i="27"/>
  <c r="AC1596" i="27"/>
  <c r="AB1596" i="27"/>
  <c r="R1596" i="27"/>
  <c r="Q1596" i="27"/>
  <c r="P1596" i="27"/>
  <c r="E1596" i="27"/>
  <c r="D1596" i="27"/>
  <c r="AM1596" i="27" s="1"/>
  <c r="AN1596" i="27" s="1"/>
  <c r="AO1596" i="27" s="1"/>
  <c r="AF3287" i="27"/>
  <c r="AE3287" i="27"/>
  <c r="AD3287" i="27"/>
  <c r="AC3287" i="27"/>
  <c r="AB3287" i="27"/>
  <c r="R3287" i="27"/>
  <c r="Q3287" i="27"/>
  <c r="P3287" i="27"/>
  <c r="E3287" i="27"/>
  <c r="D3287" i="27"/>
  <c r="AF3304" i="27"/>
  <c r="AE3304" i="27"/>
  <c r="AD3304" i="27"/>
  <c r="AC3304" i="27"/>
  <c r="AB3304" i="27"/>
  <c r="R3304" i="27"/>
  <c r="Q3304" i="27"/>
  <c r="P3304" i="27"/>
  <c r="E3304" i="27"/>
  <c r="D3304" i="27"/>
  <c r="AM3304" i="27" s="1"/>
  <c r="AF3303" i="27"/>
  <c r="AE3303" i="27"/>
  <c r="AD3303" i="27"/>
  <c r="AC3303" i="27"/>
  <c r="AB3303" i="27"/>
  <c r="R3303" i="27"/>
  <c r="Q3303" i="27"/>
  <c r="P3303" i="27"/>
  <c r="E3303" i="27"/>
  <c r="D3303" i="27"/>
  <c r="AF3302" i="27"/>
  <c r="AE3302" i="27"/>
  <c r="AD3302" i="27"/>
  <c r="AC3302" i="27"/>
  <c r="AB3302" i="27"/>
  <c r="R3302" i="27"/>
  <c r="Q3302" i="27"/>
  <c r="P3302" i="27"/>
  <c r="E3302" i="27"/>
  <c r="D3302" i="27"/>
  <c r="AF1649" i="27"/>
  <c r="AE1649" i="27"/>
  <c r="AD1649" i="27"/>
  <c r="AC1649" i="27"/>
  <c r="AB1649" i="27"/>
  <c r="R1649" i="27"/>
  <c r="Q1649" i="27"/>
  <c r="P1649" i="27"/>
  <c r="E1649" i="27"/>
  <c r="D1649" i="27"/>
  <c r="AF3288" i="27"/>
  <c r="AE3288" i="27"/>
  <c r="AD3288" i="27"/>
  <c r="AC3288" i="27"/>
  <c r="AB3288" i="27"/>
  <c r="R3288" i="27"/>
  <c r="Q3288" i="27"/>
  <c r="P3288" i="27"/>
  <c r="E3288" i="27"/>
  <c r="D3288" i="27"/>
  <c r="AM3288" i="27" s="1"/>
  <c r="AF1529" i="27"/>
  <c r="AE1529" i="27"/>
  <c r="AD1529" i="27"/>
  <c r="AC1529" i="27"/>
  <c r="AB1529" i="27"/>
  <c r="R1529" i="27"/>
  <c r="Q1529" i="27"/>
  <c r="P1529" i="27"/>
  <c r="E1529" i="27"/>
  <c r="D1529" i="27"/>
  <c r="AF1646" i="27"/>
  <c r="AE1646" i="27"/>
  <c r="AD1646" i="27"/>
  <c r="AC1646" i="27"/>
  <c r="AB1646" i="27"/>
  <c r="R1646" i="27"/>
  <c r="Q1646" i="27"/>
  <c r="P1646" i="27"/>
  <c r="E1646" i="27"/>
  <c r="D1646" i="27"/>
  <c r="AM1646" i="27" s="1"/>
  <c r="AF231" i="27"/>
  <c r="AE231" i="27"/>
  <c r="AD231" i="27"/>
  <c r="AC231" i="27"/>
  <c r="AB231" i="27"/>
  <c r="R231" i="27"/>
  <c r="Q231" i="27"/>
  <c r="P231" i="27"/>
  <c r="E231" i="27"/>
  <c r="D231" i="27"/>
  <c r="AF1670" i="27"/>
  <c r="AE1670" i="27"/>
  <c r="AD1670" i="27"/>
  <c r="AC1670" i="27"/>
  <c r="AB1670" i="27"/>
  <c r="R1670" i="27"/>
  <c r="Q1670" i="27"/>
  <c r="P1670" i="27"/>
  <c r="E1670" i="27"/>
  <c r="D1670" i="27"/>
  <c r="AF3218" i="27"/>
  <c r="AE3218" i="27"/>
  <c r="AD3218" i="27"/>
  <c r="AC3218" i="27"/>
  <c r="AB3218" i="27"/>
  <c r="R3218" i="27"/>
  <c r="Q3218" i="27"/>
  <c r="P3218" i="27"/>
  <c r="E3218" i="27"/>
  <c r="D3218" i="27"/>
  <c r="AF1628" i="27"/>
  <c r="AE1628" i="27"/>
  <c r="AD1628" i="27"/>
  <c r="AC1628" i="27"/>
  <c r="AB1628" i="27"/>
  <c r="R1628" i="27"/>
  <c r="Q1628" i="27"/>
  <c r="P1628" i="27"/>
  <c r="E1628" i="27"/>
  <c r="D1628" i="27"/>
  <c r="AF1645" i="27"/>
  <c r="AE1645" i="27"/>
  <c r="AD1645" i="27"/>
  <c r="AC1645" i="27"/>
  <c r="AB1645" i="27"/>
  <c r="R1645" i="27"/>
  <c r="Q1645" i="27"/>
  <c r="P1645" i="27"/>
  <c r="E1645" i="27"/>
  <c r="D1645" i="27"/>
  <c r="AF1713" i="27"/>
  <c r="AE1713" i="27"/>
  <c r="AD1713" i="27"/>
  <c r="AC1713" i="27"/>
  <c r="AB1713" i="27"/>
  <c r="R1713" i="27"/>
  <c r="Q1713" i="27"/>
  <c r="P1713" i="27"/>
  <c r="E1713" i="27"/>
  <c r="D1713" i="27"/>
  <c r="AM1713" i="27" s="1"/>
  <c r="A2777" i="32"/>
  <c r="B2777" i="32" s="1"/>
  <c r="C2777" i="32"/>
  <c r="A1938" i="32"/>
  <c r="B1938" i="32" s="1"/>
  <c r="C1938" i="32"/>
  <c r="A248" i="32"/>
  <c r="B248" i="32" s="1"/>
  <c r="C248" i="32"/>
  <c r="A1377" i="32"/>
  <c r="B1377" i="32" s="1"/>
  <c r="C1377" i="32"/>
  <c r="A2547" i="32"/>
  <c r="B2547" i="32" s="1"/>
  <c r="C2547" i="32"/>
  <c r="A1198" i="32"/>
  <c r="B1198" i="32" s="1"/>
  <c r="C1198" i="32"/>
  <c r="A1205" i="32"/>
  <c r="B1205" i="32" s="1"/>
  <c r="C1205" i="32"/>
  <c r="A215" i="32"/>
  <c r="B215" i="32" s="1"/>
  <c r="C215" i="32"/>
  <c r="AM1601" i="27"/>
  <c r="AN1601" i="27" s="1"/>
  <c r="AO1601" i="27" s="1"/>
  <c r="AF1601" i="27"/>
  <c r="AE1601" i="27"/>
  <c r="AD1601" i="27"/>
  <c r="AC1601" i="27"/>
  <c r="AB1601" i="27"/>
  <c r="R1601" i="27"/>
  <c r="Q1601" i="27"/>
  <c r="P1601" i="27"/>
  <c r="AF2053" i="27"/>
  <c r="AE2053" i="27"/>
  <c r="AD2053" i="27"/>
  <c r="AB2053" i="27"/>
  <c r="R2053" i="27"/>
  <c r="Q2053" i="27"/>
  <c r="P2053" i="27"/>
  <c r="E2053" i="27"/>
  <c r="D2053" i="27"/>
  <c r="AF1586" i="27"/>
  <c r="AE1586" i="27"/>
  <c r="AD1586" i="27"/>
  <c r="AB1586" i="27"/>
  <c r="R1586" i="27"/>
  <c r="Q1586" i="27"/>
  <c r="P1586" i="27"/>
  <c r="E1586" i="27"/>
  <c r="D1586" i="27"/>
  <c r="AF3093" i="27"/>
  <c r="AE3093" i="27"/>
  <c r="AD3093" i="27"/>
  <c r="AC3093" i="27"/>
  <c r="AB3093" i="27"/>
  <c r="R3093" i="27"/>
  <c r="Q3093" i="27"/>
  <c r="P3093" i="27"/>
  <c r="E3093" i="27"/>
  <c r="D3093" i="27"/>
  <c r="AF2344" i="27"/>
  <c r="AE2344" i="27"/>
  <c r="AD2344" i="27"/>
  <c r="AC2344" i="27"/>
  <c r="AB2344" i="27"/>
  <c r="R2344" i="27"/>
  <c r="Q2344" i="27"/>
  <c r="P2344" i="27"/>
  <c r="E2344" i="27"/>
  <c r="D2344" i="27"/>
  <c r="AF1741" i="27"/>
  <c r="AE1741" i="27"/>
  <c r="AD1741" i="27"/>
  <c r="AC1741" i="27"/>
  <c r="AB1741" i="27"/>
  <c r="R1741" i="27"/>
  <c r="Q1741" i="27"/>
  <c r="P1741" i="27"/>
  <c r="E1741" i="27"/>
  <c r="D1741" i="27"/>
  <c r="AF3212" i="27"/>
  <c r="AE3212" i="27"/>
  <c r="AD3212" i="27"/>
  <c r="AC3212" i="27"/>
  <c r="AB3212" i="27"/>
  <c r="R3212" i="27"/>
  <c r="Q3212" i="27"/>
  <c r="P3212" i="27"/>
  <c r="E3212" i="27"/>
  <c r="D3212" i="27"/>
  <c r="AF3187" i="27"/>
  <c r="AE3187" i="27"/>
  <c r="AD3187" i="27"/>
  <c r="AC3187" i="27"/>
  <c r="AB3187" i="27"/>
  <c r="R3187" i="27"/>
  <c r="Q3187" i="27"/>
  <c r="P3187" i="27"/>
  <c r="E3187" i="27"/>
  <c r="D3187" i="27"/>
  <c r="AM3187" i="27" s="1"/>
  <c r="AN3187" i="27" s="1"/>
  <c r="AO3187" i="27" s="1"/>
  <c r="AF3091" i="27"/>
  <c r="AE3091" i="27"/>
  <c r="AD3091" i="27"/>
  <c r="AC3091" i="27"/>
  <c r="AB3091" i="27"/>
  <c r="R3091" i="27"/>
  <c r="Q3091" i="27"/>
  <c r="P3091" i="27"/>
  <c r="E3091" i="27"/>
  <c r="D3091" i="27"/>
  <c r="AF1716" i="27"/>
  <c r="AE1716" i="27"/>
  <c r="AD1716" i="27"/>
  <c r="AC1716" i="27"/>
  <c r="AB1716" i="27"/>
  <c r="R1716" i="27"/>
  <c r="Q1716" i="27"/>
  <c r="P1716" i="27"/>
  <c r="E1716" i="27"/>
  <c r="D1716" i="27"/>
  <c r="AF1631" i="27"/>
  <c r="AE1631" i="27"/>
  <c r="AD1631" i="27"/>
  <c r="AC1631" i="27"/>
  <c r="AB1631" i="27"/>
  <c r="R1631" i="27"/>
  <c r="Q1631" i="27"/>
  <c r="P1631" i="27"/>
  <c r="E1631" i="27"/>
  <c r="D1631" i="27"/>
  <c r="AM1631" i="27" s="1"/>
  <c r="AN1631" i="27" s="1"/>
  <c r="AO1631" i="27" s="1"/>
  <c r="AF1696" i="27"/>
  <c r="AE1696" i="27"/>
  <c r="AD1696" i="27"/>
  <c r="AC1696" i="27"/>
  <c r="AB1696" i="27"/>
  <c r="R1696" i="27"/>
  <c r="Q1696" i="27"/>
  <c r="P1696" i="27"/>
  <c r="E1696" i="27"/>
  <c r="D1696" i="27"/>
  <c r="AF1535" i="27"/>
  <c r="AE1535" i="27"/>
  <c r="AD1535" i="27"/>
  <c r="AC1535" i="27"/>
  <c r="AB1535" i="27"/>
  <c r="R1535" i="27"/>
  <c r="Q1535" i="27"/>
  <c r="P1535" i="27"/>
  <c r="E1535" i="27"/>
  <c r="D1535" i="27"/>
  <c r="AF1510" i="27"/>
  <c r="AE1510" i="27"/>
  <c r="AD1510" i="27"/>
  <c r="AC1510" i="27"/>
  <c r="AB1510" i="27"/>
  <c r="R1510" i="27"/>
  <c r="Q1510" i="27"/>
  <c r="P1510" i="27"/>
  <c r="E1510" i="27"/>
  <c r="D1510" i="27"/>
  <c r="AF3090" i="27"/>
  <c r="AE3090" i="27"/>
  <c r="AD3090" i="27"/>
  <c r="AC3090" i="27"/>
  <c r="AB3090" i="27"/>
  <c r="R3090" i="27"/>
  <c r="Q3090" i="27"/>
  <c r="P3090" i="27"/>
  <c r="E3090" i="27"/>
  <c r="D3090" i="27"/>
  <c r="A1437" i="32"/>
  <c r="B1437" i="32" s="1"/>
  <c r="C1437" i="32"/>
  <c r="A2453" i="32"/>
  <c r="B2453" i="32" s="1"/>
  <c r="C2453" i="32"/>
  <c r="A1995" i="32"/>
  <c r="B1995" i="32" s="1"/>
  <c r="C1995" i="32"/>
  <c r="A2440" i="32"/>
  <c r="B2440" i="32" s="1"/>
  <c r="C2440" i="32"/>
  <c r="A2004" i="32"/>
  <c r="B2004" i="32" s="1"/>
  <c r="C2004" i="32"/>
  <c r="A2215" i="32"/>
  <c r="B2215" i="32" s="1"/>
  <c r="C2215" i="32"/>
  <c r="A1928" i="32"/>
  <c r="B1928" i="32" s="1"/>
  <c r="C1928" i="32"/>
  <c r="AF1479" i="27"/>
  <c r="AE1479" i="27"/>
  <c r="AD1479" i="27"/>
  <c r="AC1479" i="27"/>
  <c r="AB1479" i="27"/>
  <c r="R1479" i="27"/>
  <c r="Q1479" i="27"/>
  <c r="P1479" i="27"/>
  <c r="E1479" i="27"/>
  <c r="D1479" i="27"/>
  <c r="AF3305" i="27"/>
  <c r="AE3305" i="27"/>
  <c r="AD3305" i="27"/>
  <c r="AC3305" i="27"/>
  <c r="AB3305" i="27"/>
  <c r="R3305" i="27"/>
  <c r="Q3305" i="27"/>
  <c r="P3305" i="27"/>
  <c r="E3305" i="27"/>
  <c r="D3305" i="27"/>
  <c r="AF3101" i="27"/>
  <c r="AE3101" i="27"/>
  <c r="AD3101" i="27"/>
  <c r="AC3101" i="27"/>
  <c r="AB3101" i="27"/>
  <c r="R3101" i="27"/>
  <c r="Q3101" i="27"/>
  <c r="P3101" i="27"/>
  <c r="E3101" i="27"/>
  <c r="D3101" i="27"/>
  <c r="AF3102" i="27"/>
  <c r="AE3102" i="27"/>
  <c r="AD3102" i="27"/>
  <c r="AC3102" i="27"/>
  <c r="AB3102" i="27"/>
  <c r="R3102" i="27"/>
  <c r="Q3102" i="27"/>
  <c r="P3102" i="27"/>
  <c r="E3102" i="27"/>
  <c r="D3102" i="27"/>
  <c r="AF1623" i="27"/>
  <c r="AE1623" i="27"/>
  <c r="AD1623" i="27"/>
  <c r="AC1623" i="27"/>
  <c r="AB1623" i="27"/>
  <c r="R1623" i="27"/>
  <c r="Q1623" i="27"/>
  <c r="P1623" i="27"/>
  <c r="E1623" i="27"/>
  <c r="D1623" i="27"/>
  <c r="AF1745" i="27"/>
  <c r="AE1745" i="27"/>
  <c r="AD1745" i="27"/>
  <c r="AC1745" i="27"/>
  <c r="AB1745" i="27"/>
  <c r="R1745" i="27"/>
  <c r="Q1745" i="27"/>
  <c r="P1745" i="27"/>
  <c r="E1745" i="27"/>
  <c r="D1745" i="27"/>
  <c r="AF1585" i="27"/>
  <c r="AE1585" i="27"/>
  <c r="AD1585" i="27"/>
  <c r="AB1585" i="27"/>
  <c r="R1585" i="27"/>
  <c r="Q1585" i="27"/>
  <c r="P1585" i="27"/>
  <c r="E1585" i="27"/>
  <c r="D1585" i="27"/>
  <c r="AM2330" i="27"/>
  <c r="AN2330" i="27" s="1"/>
  <c r="AO2330" i="27" s="1"/>
  <c r="AF2330" i="27"/>
  <c r="AE2330" i="27"/>
  <c r="AD2330" i="27"/>
  <c r="AC2330" i="27"/>
  <c r="AB2330" i="27"/>
  <c r="R2330" i="27"/>
  <c r="Q2330" i="27"/>
  <c r="P2330" i="27"/>
  <c r="AM1602" i="27"/>
  <c r="AN1602" i="27" s="1"/>
  <c r="AO1602" i="27" s="1"/>
  <c r="AF1602" i="27"/>
  <c r="AE1602" i="27"/>
  <c r="AD1602" i="27"/>
  <c r="AC1602" i="27"/>
  <c r="AB1602" i="27"/>
  <c r="R1602" i="27"/>
  <c r="Q1602" i="27"/>
  <c r="P1602" i="27"/>
  <c r="AM1659" i="27"/>
  <c r="AH1659" i="27" s="1"/>
  <c r="AF1659" i="27"/>
  <c r="AE1659" i="27"/>
  <c r="AD1659" i="27"/>
  <c r="AC1659" i="27"/>
  <c r="AB1659" i="27"/>
  <c r="R1659" i="27"/>
  <c r="Q1659" i="27"/>
  <c r="P1659" i="27"/>
  <c r="AM1612" i="27"/>
  <c r="AH1612" i="27" s="1"/>
  <c r="AF1612" i="27"/>
  <c r="AE1612" i="27"/>
  <c r="AD1612" i="27"/>
  <c r="AC1612" i="27"/>
  <c r="AB1612" i="27"/>
  <c r="R1612" i="27"/>
  <c r="Q1612" i="27"/>
  <c r="P1612" i="27"/>
  <c r="AM3181" i="27"/>
  <c r="AN3181" i="27" s="1"/>
  <c r="AO3181" i="27" s="1"/>
  <c r="AF3181" i="27"/>
  <c r="AE3181" i="27"/>
  <c r="AD3181" i="27"/>
  <c r="AC3181" i="27"/>
  <c r="AB3181" i="27"/>
  <c r="R3181" i="27"/>
  <c r="Q3181" i="27"/>
  <c r="P3181" i="27"/>
  <c r="A2710" i="32"/>
  <c r="B2710" i="32" s="1"/>
  <c r="C2710" i="32"/>
  <c r="A1993" i="32"/>
  <c r="B1993" i="32" s="1"/>
  <c r="C1993" i="32"/>
  <c r="A2347" i="32"/>
  <c r="B2347" i="32" s="1"/>
  <c r="C2347" i="32"/>
  <c r="A2316" i="32"/>
  <c r="B2316" i="32" s="1"/>
  <c r="C2316" i="32"/>
  <c r="A1860" i="32"/>
  <c r="B1860" i="32" s="1"/>
  <c r="C1860" i="32"/>
  <c r="A509" i="32"/>
  <c r="B509" i="32" s="1"/>
  <c r="C509" i="32"/>
  <c r="AF1522" i="27"/>
  <c r="AE1522" i="27"/>
  <c r="AD1522" i="27"/>
  <c r="AC1522" i="27"/>
  <c r="AB1522" i="27"/>
  <c r="R1522" i="27"/>
  <c r="Q1522" i="27"/>
  <c r="P1522" i="27"/>
  <c r="E1522" i="27"/>
  <c r="D1522" i="27"/>
  <c r="A421" i="32"/>
  <c r="B421" i="32" s="1"/>
  <c r="C421" i="32"/>
  <c r="A2760" i="32"/>
  <c r="B2760" i="32" s="1"/>
  <c r="C2760" i="32"/>
  <c r="A89" i="32"/>
  <c r="B89" i="32" s="1"/>
  <c r="C89" i="32"/>
  <c r="A1083" i="32"/>
  <c r="B1083" i="32" s="1"/>
  <c r="C1083" i="32"/>
  <c r="AF2325" i="27"/>
  <c r="AE2325" i="27"/>
  <c r="AD2325" i="27"/>
  <c r="AC2325" i="27"/>
  <c r="AB2325" i="27"/>
  <c r="R2325" i="27"/>
  <c r="Q2325" i="27"/>
  <c r="P2325" i="27"/>
  <c r="E2325" i="27"/>
  <c r="D2325" i="27"/>
  <c r="AF3054" i="27"/>
  <c r="AE3054" i="27"/>
  <c r="AD3054" i="27"/>
  <c r="AC3054" i="27"/>
  <c r="AB3054" i="27"/>
  <c r="R3054" i="27"/>
  <c r="Q3054" i="27"/>
  <c r="P3054" i="27"/>
  <c r="E3054" i="27"/>
  <c r="D3054" i="27"/>
  <c r="AF1544" i="27"/>
  <c r="AE1544" i="27"/>
  <c r="AD1544" i="27"/>
  <c r="AC1544" i="27"/>
  <c r="AB1544" i="27"/>
  <c r="R1544" i="27"/>
  <c r="Q1544" i="27"/>
  <c r="P1544" i="27"/>
  <c r="E1544" i="27"/>
  <c r="D1544" i="27"/>
  <c r="AF1505" i="27"/>
  <c r="AE1505" i="27"/>
  <c r="AD1505" i="27"/>
  <c r="AC1505" i="27"/>
  <c r="AB1505" i="27"/>
  <c r="R1505" i="27"/>
  <c r="Q1505" i="27"/>
  <c r="P1505" i="27"/>
  <c r="E1505" i="27"/>
  <c r="D1505" i="27"/>
  <c r="AF1828" i="27"/>
  <c r="AE1828" i="27"/>
  <c r="AD1828" i="27"/>
  <c r="AC1828" i="27"/>
  <c r="AB1828" i="27"/>
  <c r="R1828" i="27"/>
  <c r="Q1828" i="27"/>
  <c r="P1828" i="27"/>
  <c r="E1828" i="27"/>
  <c r="D1828" i="27"/>
  <c r="AF3099" i="27"/>
  <c r="AE3099" i="27"/>
  <c r="AD3099" i="27"/>
  <c r="AC3099" i="27"/>
  <c r="AB3099" i="27"/>
  <c r="R3099" i="27"/>
  <c r="Q3099" i="27"/>
  <c r="P3099" i="27"/>
  <c r="E3099" i="27"/>
  <c r="D3099" i="27"/>
  <c r="AF3097" i="27"/>
  <c r="AE3097" i="27"/>
  <c r="AD3097" i="27"/>
  <c r="AC3097" i="27"/>
  <c r="AB3097" i="27"/>
  <c r="R3097" i="27"/>
  <c r="Q3097" i="27"/>
  <c r="P3097" i="27"/>
  <c r="E3097" i="27"/>
  <c r="D3097" i="27"/>
  <c r="AF2333" i="27"/>
  <c r="AE2333" i="27"/>
  <c r="AD2333" i="27"/>
  <c r="AB2333" i="27"/>
  <c r="R2333" i="27"/>
  <c r="Q2333" i="27"/>
  <c r="P2333" i="27"/>
  <c r="E2333" i="27"/>
  <c r="D2333" i="27"/>
  <c r="AM2333" i="27" s="1"/>
  <c r="AF3087" i="27"/>
  <c r="AE3087" i="27"/>
  <c r="AD3087" i="27"/>
  <c r="AC3087" i="27"/>
  <c r="AB3087" i="27"/>
  <c r="R3087" i="27"/>
  <c r="Q3087" i="27"/>
  <c r="P3087" i="27"/>
  <c r="E3087" i="27"/>
  <c r="D3087" i="27"/>
  <c r="AF3092" i="27"/>
  <c r="AE3092" i="27"/>
  <c r="AD3092" i="27"/>
  <c r="AC3092" i="27"/>
  <c r="AB3092" i="27"/>
  <c r="R3092" i="27"/>
  <c r="Q3092" i="27"/>
  <c r="P3092" i="27"/>
  <c r="E3092" i="27"/>
  <c r="D3092" i="27"/>
  <c r="AM3092" i="27" s="1"/>
  <c r="AH3092" i="27" s="1"/>
  <c r="AF3094" i="27"/>
  <c r="AE3094" i="27"/>
  <c r="AD3094" i="27"/>
  <c r="AC3094" i="27"/>
  <c r="AB3094" i="27"/>
  <c r="R3094" i="27"/>
  <c r="Q3094" i="27"/>
  <c r="P3094" i="27"/>
  <c r="E3094" i="27"/>
  <c r="D3094" i="27"/>
  <c r="AF230" i="27"/>
  <c r="AE230" i="27"/>
  <c r="AD230" i="27"/>
  <c r="AC230" i="27"/>
  <c r="AB230" i="27"/>
  <c r="R230" i="27"/>
  <c r="Q230" i="27"/>
  <c r="P230" i="27"/>
  <c r="E230" i="27"/>
  <c r="D230" i="27"/>
  <c r="AM230" i="27" s="1"/>
  <c r="AF2335" i="27"/>
  <c r="AE2335" i="27"/>
  <c r="AD2335" i="27"/>
  <c r="AC2335" i="27"/>
  <c r="AB2335" i="27"/>
  <c r="R2335" i="27"/>
  <c r="Q2335" i="27"/>
  <c r="P2335" i="27"/>
  <c r="E2335" i="27"/>
  <c r="D2335" i="27"/>
  <c r="AF3214" i="27"/>
  <c r="AE3214" i="27"/>
  <c r="AD3214" i="27"/>
  <c r="AC3214" i="27"/>
  <c r="AB3214" i="27"/>
  <c r="R3214" i="27"/>
  <c r="Q3214" i="27"/>
  <c r="P3214" i="27"/>
  <c r="E3214" i="27"/>
  <c r="D3214" i="27"/>
  <c r="AF3207" i="27"/>
  <c r="AE3207" i="27"/>
  <c r="AD3207" i="27"/>
  <c r="AC3207" i="27"/>
  <c r="AB3207" i="27"/>
  <c r="R3207" i="27"/>
  <c r="Q3207" i="27"/>
  <c r="P3207" i="27"/>
  <c r="E3207" i="27"/>
  <c r="D3207" i="27"/>
  <c r="AF3291" i="27"/>
  <c r="AE3291" i="27"/>
  <c r="AD3291" i="27"/>
  <c r="AC3291" i="27"/>
  <c r="AB3291" i="27"/>
  <c r="R3291" i="27"/>
  <c r="Q3291" i="27"/>
  <c r="P3291" i="27"/>
  <c r="E3291" i="27"/>
  <c r="D3291" i="27"/>
  <c r="AF3088" i="27"/>
  <c r="AE3088" i="27"/>
  <c r="AD3088" i="27"/>
  <c r="AC3088" i="27"/>
  <c r="AB3088" i="27"/>
  <c r="R3088" i="27"/>
  <c r="Q3088" i="27"/>
  <c r="P3088" i="27"/>
  <c r="E3088" i="27"/>
  <c r="D3088" i="27"/>
  <c r="AF3089" i="27"/>
  <c r="AE3089" i="27"/>
  <c r="AD3089" i="27"/>
  <c r="AC3089" i="27"/>
  <c r="AB3089" i="27"/>
  <c r="R3089" i="27"/>
  <c r="Q3089" i="27"/>
  <c r="P3089" i="27"/>
  <c r="E3089" i="27"/>
  <c r="D3089" i="27"/>
  <c r="AM3089" i="27" s="1"/>
  <c r="AF3085" i="27"/>
  <c r="AE3085" i="27"/>
  <c r="AD3085" i="27"/>
  <c r="AC3085" i="27"/>
  <c r="AB3085" i="27"/>
  <c r="R3085" i="27"/>
  <c r="Q3085" i="27"/>
  <c r="P3085" i="27"/>
  <c r="E3085" i="27"/>
  <c r="D3085" i="27"/>
  <c r="AF3077" i="27"/>
  <c r="AE3077" i="27"/>
  <c r="AD3077" i="27"/>
  <c r="AC3077" i="27"/>
  <c r="AB3077" i="27"/>
  <c r="R3077" i="27"/>
  <c r="Q3077" i="27"/>
  <c r="P3077" i="27"/>
  <c r="E3077" i="27"/>
  <c r="D3077" i="27"/>
  <c r="AF229" i="27"/>
  <c r="AE229" i="27"/>
  <c r="AD229" i="27"/>
  <c r="AC229" i="27"/>
  <c r="AB229" i="27"/>
  <c r="R229" i="27"/>
  <c r="Q229" i="27"/>
  <c r="P229" i="27"/>
  <c r="E229" i="27"/>
  <c r="D229" i="27"/>
  <c r="AF3086" i="27"/>
  <c r="AE3086" i="27"/>
  <c r="AD3086" i="27"/>
  <c r="AC3086" i="27"/>
  <c r="AB3086" i="27"/>
  <c r="R3086" i="27"/>
  <c r="Q3086" i="27"/>
  <c r="P3086" i="27"/>
  <c r="E3086" i="27"/>
  <c r="D3086" i="27"/>
  <c r="AM3086" i="27" s="1"/>
  <c r="AH3086" i="27" s="1"/>
  <c r="A2457" i="32"/>
  <c r="B2457" i="32" s="1"/>
  <c r="C2457" i="32"/>
  <c r="A2755" i="32"/>
  <c r="B2755" i="32" s="1"/>
  <c r="C2755" i="32"/>
  <c r="A1239" i="32"/>
  <c r="B1239" i="32" s="1"/>
  <c r="C1239" i="32"/>
  <c r="A903" i="32"/>
  <c r="B903" i="32" s="1"/>
  <c r="C903" i="32"/>
  <c r="A479" i="32"/>
  <c r="B479" i="32" s="1"/>
  <c r="C479" i="32"/>
  <c r="A790" i="32"/>
  <c r="B790" i="32" s="1"/>
  <c r="C790" i="32"/>
  <c r="A2707" i="32"/>
  <c r="B2707" i="32" s="1"/>
  <c r="C2707" i="32"/>
  <c r="A2666" i="32"/>
  <c r="B2666" i="32" s="1"/>
  <c r="C2666" i="32"/>
  <c r="A815" i="32"/>
  <c r="B815" i="32" s="1"/>
  <c r="C815" i="32"/>
  <c r="A86" i="32"/>
  <c r="B86" i="32" s="1"/>
  <c r="C86" i="32"/>
  <c r="A384" i="32"/>
  <c r="B384" i="32" s="1"/>
  <c r="C384" i="32"/>
  <c r="A2289" i="32"/>
  <c r="B2289" i="32" s="1"/>
  <c r="C2289" i="32"/>
  <c r="AF1695" i="27"/>
  <c r="AE1695" i="27"/>
  <c r="AD1695" i="27"/>
  <c r="AC1695" i="27"/>
  <c r="AB1695" i="27"/>
  <c r="R1695" i="27"/>
  <c r="Q1695" i="27"/>
  <c r="P1695" i="27"/>
  <c r="E1695" i="27"/>
  <c r="D1695" i="27"/>
  <c r="AF1644" i="27"/>
  <c r="AE1644" i="27"/>
  <c r="AD1644" i="27"/>
  <c r="AC1644" i="27"/>
  <c r="AB1644" i="27"/>
  <c r="R1644" i="27"/>
  <c r="Q1644" i="27"/>
  <c r="P1644" i="27"/>
  <c r="E1644" i="27"/>
  <c r="D1644" i="27"/>
  <c r="AF1782" i="27"/>
  <c r="AE1782" i="27"/>
  <c r="AD1782" i="27"/>
  <c r="AC1782" i="27"/>
  <c r="AB1782" i="27"/>
  <c r="R1782" i="27"/>
  <c r="Q1782" i="27"/>
  <c r="P1782" i="27"/>
  <c r="E1782" i="27"/>
  <c r="D1782" i="27"/>
  <c r="AF1781" i="27"/>
  <c r="AE1781" i="27"/>
  <c r="AD1781" i="27"/>
  <c r="AC1781" i="27"/>
  <c r="AB1781" i="27"/>
  <c r="R1781" i="27"/>
  <c r="Q1781" i="27"/>
  <c r="P1781" i="27"/>
  <c r="E1781" i="27"/>
  <c r="D1781" i="27"/>
  <c r="AM1781" i="27" s="1"/>
  <c r="AF1694" i="27"/>
  <c r="AE1694" i="27"/>
  <c r="AD1694" i="27"/>
  <c r="AC1694" i="27"/>
  <c r="AB1694" i="27"/>
  <c r="R1694" i="27"/>
  <c r="Q1694" i="27"/>
  <c r="P1694" i="27"/>
  <c r="E1694" i="27"/>
  <c r="D1694" i="27"/>
  <c r="AM1694" i="27" s="1"/>
  <c r="AH1694" i="27" s="1"/>
  <c r="AF1643" i="27"/>
  <c r="AE1643" i="27"/>
  <c r="AD1643" i="27"/>
  <c r="AC1643" i="27"/>
  <c r="AB1643" i="27"/>
  <c r="R1643" i="27"/>
  <c r="Q1643" i="27"/>
  <c r="P1643" i="27"/>
  <c r="E1643" i="27"/>
  <c r="D1643" i="27"/>
  <c r="AM1643" i="27" s="1"/>
  <c r="AF1549" i="27"/>
  <c r="AE1549" i="27"/>
  <c r="AD1549" i="27"/>
  <c r="AC1549" i="27"/>
  <c r="AB1549" i="27"/>
  <c r="R1549" i="27"/>
  <c r="Q1549" i="27"/>
  <c r="P1549" i="27"/>
  <c r="E1549" i="27"/>
  <c r="D1549" i="27"/>
  <c r="AF3298" i="27"/>
  <c r="AE3298" i="27"/>
  <c r="AD3298" i="27"/>
  <c r="AC3298" i="27"/>
  <c r="AB3298" i="27"/>
  <c r="R3298" i="27"/>
  <c r="Q3298" i="27"/>
  <c r="P3298" i="27"/>
  <c r="E3298" i="27"/>
  <c r="D3298" i="27"/>
  <c r="AF3216" i="27"/>
  <c r="AE3216" i="27"/>
  <c r="AD3216" i="27"/>
  <c r="AC3216" i="27"/>
  <c r="AB3216" i="27"/>
  <c r="R3216" i="27"/>
  <c r="Q3216" i="27"/>
  <c r="P3216" i="27"/>
  <c r="E3216" i="27"/>
  <c r="D3216" i="27"/>
  <c r="AM1554" i="27"/>
  <c r="AH1554" i="27" s="1"/>
  <c r="AF1554" i="27"/>
  <c r="AE1554" i="27"/>
  <c r="AD1554" i="27"/>
  <c r="AC1554" i="27"/>
  <c r="AB1554" i="27"/>
  <c r="R1554" i="27"/>
  <c r="Q1554" i="27"/>
  <c r="P1554" i="27"/>
  <c r="A1185" i="32"/>
  <c r="B1185" i="32" s="1"/>
  <c r="C1185" i="32"/>
  <c r="A807" i="32"/>
  <c r="B807" i="32" s="1"/>
  <c r="C807" i="32"/>
  <c r="A1937" i="32"/>
  <c r="B1937" i="32" s="1"/>
  <c r="C1937" i="32"/>
  <c r="A533" i="32"/>
  <c r="B533" i="32" s="1"/>
  <c r="C533" i="32"/>
  <c r="A1504" i="32"/>
  <c r="B1504" i="32" s="1"/>
  <c r="C1504" i="32"/>
  <c r="A1778" i="32"/>
  <c r="B1778" i="32" s="1"/>
  <c r="C1778" i="32"/>
  <c r="A2767" i="32"/>
  <c r="B2767" i="32" s="1"/>
  <c r="C2767" i="32"/>
  <c r="A1339" i="32"/>
  <c r="B1339" i="32" s="1"/>
  <c r="C1339" i="32"/>
  <c r="A2784" i="32"/>
  <c r="B2784" i="32" s="1"/>
  <c r="C2784" i="32"/>
  <c r="A2079" i="32"/>
  <c r="B2079" i="32" s="1"/>
  <c r="C2079" i="32"/>
  <c r="A1416" i="32"/>
  <c r="B1416" i="32" s="1"/>
  <c r="C1416" i="32"/>
  <c r="A1459" i="32"/>
  <c r="B1459" i="32" s="1"/>
  <c r="C1459" i="32"/>
  <c r="A376" i="32"/>
  <c r="B376" i="32" s="1"/>
  <c r="C376" i="32"/>
  <c r="A2104" i="32"/>
  <c r="B2104" i="32" s="1"/>
  <c r="C2104" i="32"/>
  <c r="A2577" i="32"/>
  <c r="B2577" i="32" s="1"/>
  <c r="C2577" i="32"/>
  <c r="A455" i="32"/>
  <c r="B455" i="32" s="1"/>
  <c r="C455" i="32"/>
  <c r="A1064" i="32"/>
  <c r="B1064" i="32" s="1"/>
  <c r="C1064" i="32"/>
  <c r="A1072" i="32"/>
  <c r="B1072" i="32" s="1"/>
  <c r="C1072" i="32"/>
  <c r="A163" i="32"/>
  <c r="B163" i="32" s="1"/>
  <c r="C163" i="32"/>
  <c r="A2236" i="32"/>
  <c r="B2236" i="32" s="1"/>
  <c r="C2236" i="32"/>
  <c r="A2283" i="32"/>
  <c r="B2283" i="32" s="1"/>
  <c r="C2283" i="32"/>
  <c r="A153" i="32"/>
  <c r="B153" i="32" s="1"/>
  <c r="C153" i="32"/>
  <c r="A2007" i="32"/>
  <c r="B2007" i="32" s="1"/>
  <c r="C2007" i="32"/>
  <c r="A1009" i="32"/>
  <c r="B1009" i="32" s="1"/>
  <c r="C1009" i="32"/>
  <c r="A2092" i="32"/>
  <c r="B2092" i="32" s="1"/>
  <c r="C2092" i="32"/>
  <c r="A2046" i="32"/>
  <c r="B2046" i="32" s="1"/>
  <c r="C2046" i="32"/>
  <c r="A1465" i="32"/>
  <c r="B1465" i="32" s="1"/>
  <c r="C1465" i="32"/>
  <c r="A1564" i="32"/>
  <c r="B1564" i="32" s="1"/>
  <c r="C1564" i="32"/>
  <c r="A934" i="32"/>
  <c r="B934" i="32" s="1"/>
  <c r="C934" i="32"/>
  <c r="A2510" i="32"/>
  <c r="B2510" i="32" s="1"/>
  <c r="C2510" i="32"/>
  <c r="A2678" i="32"/>
  <c r="B2678" i="32" s="1"/>
  <c r="C2678" i="32"/>
  <c r="A164" i="32"/>
  <c r="B164" i="32" s="1"/>
  <c r="C164" i="32"/>
  <c r="A1715" i="32"/>
  <c r="B1715" i="32" s="1"/>
  <c r="C1715" i="32"/>
  <c r="A1991" i="32"/>
  <c r="B1991" i="32" s="1"/>
  <c r="C1991" i="32"/>
  <c r="A656" i="32"/>
  <c r="B656" i="32" s="1"/>
  <c r="C656" i="32"/>
  <c r="A665" i="32"/>
  <c r="B665" i="32" s="1"/>
  <c r="C665" i="32"/>
  <c r="A2571" i="32"/>
  <c r="B2571" i="32" s="1"/>
  <c r="C2571" i="32"/>
  <c r="A1734" i="32"/>
  <c r="B1734" i="32" s="1"/>
  <c r="C1734" i="32"/>
  <c r="A2315" i="32"/>
  <c r="B2315" i="32" s="1"/>
  <c r="C2315" i="32"/>
  <c r="A1829" i="32"/>
  <c r="B1829" i="32" s="1"/>
  <c r="C1829" i="32"/>
  <c r="A845" i="32"/>
  <c r="B845" i="32" s="1"/>
  <c r="C845" i="32"/>
  <c r="A1713" i="32"/>
  <c r="B1713" i="32" s="1"/>
  <c r="C1713" i="32"/>
  <c r="A30" i="32"/>
  <c r="B30" i="32" s="1"/>
  <c r="C30" i="32"/>
  <c r="A1111" i="32"/>
  <c r="B1111" i="32" s="1"/>
  <c r="C1111" i="32"/>
  <c r="A219" i="32"/>
  <c r="B219" i="32" s="1"/>
  <c r="C219" i="32"/>
  <c r="A2038" i="32"/>
  <c r="B2038" i="32" s="1"/>
  <c r="C2038" i="32"/>
  <c r="A423" i="32"/>
  <c r="B423" i="32" s="1"/>
  <c r="C423" i="32"/>
  <c r="A2125" i="32"/>
  <c r="B2125" i="32" s="1"/>
  <c r="C2125" i="32"/>
  <c r="A1812" i="32"/>
  <c r="B1812" i="32" s="1"/>
  <c r="C1812" i="32"/>
  <c r="A1502" i="32"/>
  <c r="B1502" i="32" s="1"/>
  <c r="C1502" i="32"/>
  <c r="A712" i="32"/>
  <c r="B712" i="32" s="1"/>
  <c r="C712" i="32"/>
  <c r="A616" i="32"/>
  <c r="B616" i="32" s="1"/>
  <c r="C616" i="32"/>
  <c r="A59" i="32"/>
  <c r="B59" i="32" s="1"/>
  <c r="C59" i="32"/>
  <c r="A2763" i="32"/>
  <c r="B2763" i="32" s="1"/>
  <c r="C2763" i="32"/>
  <c r="A159" i="32"/>
  <c r="B159" i="32" s="1"/>
  <c r="C159" i="32"/>
  <c r="A2336" i="32"/>
  <c r="B2336" i="32" s="1"/>
  <c r="C2336" i="32"/>
  <c r="A1173" i="32"/>
  <c r="B1173" i="32" s="1"/>
  <c r="C1173" i="32"/>
  <c r="A791" i="32"/>
  <c r="B791" i="32" s="1"/>
  <c r="C791" i="32"/>
  <c r="A199" i="32"/>
  <c r="B199" i="32" s="1"/>
  <c r="C199" i="32"/>
  <c r="A2782" i="32"/>
  <c r="B2782" i="32" s="1"/>
  <c r="C2782" i="32"/>
  <c r="A2705" i="32"/>
  <c r="B2705" i="32" s="1"/>
  <c r="C2705" i="32"/>
  <c r="A1268" i="32"/>
  <c r="B1268" i="32" s="1"/>
  <c r="C1268" i="32"/>
  <c r="A2243" i="32"/>
  <c r="B2243" i="32" s="1"/>
  <c r="C2243" i="32"/>
  <c r="A413" i="32"/>
  <c r="B413" i="32" s="1"/>
  <c r="C413" i="32"/>
  <c r="A2176" i="32"/>
  <c r="B2176" i="32" s="1"/>
  <c r="C2176" i="32"/>
  <c r="A320" i="32"/>
  <c r="B320" i="32" s="1"/>
  <c r="C320" i="32"/>
  <c r="A1545" i="32"/>
  <c r="B1545" i="32" s="1"/>
  <c r="C1545" i="32"/>
  <c r="A1985" i="32"/>
  <c r="B1985" i="32" s="1"/>
  <c r="C1985" i="32"/>
  <c r="A1868" i="32"/>
  <c r="B1868" i="32" s="1"/>
  <c r="C1868" i="32"/>
  <c r="A2224" i="32"/>
  <c r="B2224" i="32" s="1"/>
  <c r="C2224" i="32"/>
  <c r="A604" i="32"/>
  <c r="B604" i="32" s="1"/>
  <c r="C604" i="32"/>
  <c r="A2538" i="32"/>
  <c r="B2538" i="32" s="1"/>
  <c r="C2538" i="32"/>
  <c r="A1858" i="32"/>
  <c r="B1858" i="32" s="1"/>
  <c r="C1858" i="32"/>
  <c r="A2055" i="32"/>
  <c r="B2055" i="32" s="1"/>
  <c r="C2055" i="32"/>
  <c r="A2177" i="32"/>
  <c r="B2177" i="32" s="1"/>
  <c r="C2177" i="32"/>
  <c r="A491" i="32"/>
  <c r="B491" i="32" s="1"/>
  <c r="C491" i="32"/>
  <c r="A2258" i="32"/>
  <c r="B2258" i="32" s="1"/>
  <c r="C2258" i="32"/>
  <c r="A989" i="32"/>
  <c r="B989" i="32" s="1"/>
  <c r="C989" i="32"/>
  <c r="A1405" i="32"/>
  <c r="B1405" i="32" s="1"/>
  <c r="C1405" i="32"/>
  <c r="A951" i="32"/>
  <c r="B951" i="32" s="1"/>
  <c r="C951" i="32"/>
  <c r="A1101" i="32"/>
  <c r="B1101" i="32" s="1"/>
  <c r="C1101" i="32"/>
  <c r="A1196" i="32"/>
  <c r="B1196" i="32" s="1"/>
  <c r="C1196" i="32"/>
  <c r="A2301" i="32"/>
  <c r="B2301" i="32" s="1"/>
  <c r="C2301" i="32"/>
  <c r="A390" i="32"/>
  <c r="B390" i="32" s="1"/>
  <c r="C390" i="32"/>
  <c r="A1646" i="32"/>
  <c r="B1646" i="32" s="1"/>
  <c r="C1646" i="32"/>
  <c r="A637" i="32"/>
  <c r="B637" i="32" s="1"/>
  <c r="C637" i="32"/>
  <c r="A634" i="32"/>
  <c r="B634" i="32" s="1"/>
  <c r="C634" i="32"/>
  <c r="A473" i="32"/>
  <c r="B473" i="32" s="1"/>
  <c r="C473" i="32"/>
  <c r="A1582" i="32"/>
  <c r="B1582" i="32" s="1"/>
  <c r="C1582" i="32"/>
  <c r="A1429" i="32"/>
  <c r="B1429" i="32" s="1"/>
  <c r="C1429" i="32"/>
  <c r="A281" i="32"/>
  <c r="B281" i="32" s="1"/>
  <c r="C281" i="32"/>
  <c r="A16" i="32"/>
  <c r="B16" i="32" s="1"/>
  <c r="C16" i="32"/>
  <c r="A75" i="32"/>
  <c r="B75" i="32" s="1"/>
  <c r="C75" i="32"/>
  <c r="A427" i="32"/>
  <c r="B427" i="32" s="1"/>
  <c r="C427" i="32"/>
  <c r="A1050" i="32"/>
  <c r="B1050" i="32" s="1"/>
  <c r="C1050" i="32"/>
  <c r="A1134" i="32"/>
  <c r="B1134" i="32" s="1"/>
  <c r="C1134" i="32"/>
  <c r="A1612" i="32"/>
  <c r="B1612" i="32" s="1"/>
  <c r="C1612" i="32"/>
  <c r="A1443" i="32"/>
  <c r="B1443" i="32" s="1"/>
  <c r="C1443" i="32"/>
  <c r="A1752" i="32"/>
  <c r="B1752" i="32" s="1"/>
  <c r="C1752" i="32"/>
  <c r="A2164" i="32"/>
  <c r="B2164" i="32" s="1"/>
  <c r="C2164" i="32"/>
  <c r="A2285" i="32"/>
  <c r="B2285" i="32" s="1"/>
  <c r="C2285" i="32"/>
  <c r="A2687" i="32"/>
  <c r="B2687" i="32" s="1"/>
  <c r="C2687" i="32"/>
  <c r="A1486" i="32"/>
  <c r="B1486" i="32" s="1"/>
  <c r="C1486" i="32"/>
  <c r="A2641" i="32"/>
  <c r="B2641" i="32" s="1"/>
  <c r="C2641" i="32"/>
  <c r="A1182" i="32"/>
  <c r="B1182" i="32" s="1"/>
  <c r="C1182" i="32"/>
  <c r="A873" i="32"/>
  <c r="B873" i="32" s="1"/>
  <c r="C873" i="32"/>
  <c r="A1536" i="32"/>
  <c r="B1536" i="32" s="1"/>
  <c r="C1536" i="32"/>
  <c r="A2532" i="32"/>
  <c r="B2532" i="32" s="1"/>
  <c r="C2532" i="32"/>
  <c r="A1027" i="32"/>
  <c r="B1027" i="32" s="1"/>
  <c r="C1027" i="32"/>
  <c r="A1323" i="32"/>
  <c r="B1323" i="32" s="1"/>
  <c r="C1323" i="32"/>
  <c r="A1252" i="32"/>
  <c r="B1252" i="32" s="1"/>
  <c r="C1252" i="32"/>
  <c r="A98" i="32"/>
  <c r="B98" i="32" s="1"/>
  <c r="C98" i="32"/>
  <c r="A2128" i="32"/>
  <c r="B2128" i="32" s="1"/>
  <c r="C2128" i="32"/>
  <c r="A1398" i="32"/>
  <c r="B1398" i="32" s="1"/>
  <c r="C1398" i="32"/>
  <c r="A699" i="32"/>
  <c r="B699" i="32" s="1"/>
  <c r="C699" i="32"/>
  <c r="A2202" i="32"/>
  <c r="B2202" i="32" s="1"/>
  <c r="C2202" i="32"/>
  <c r="A841" i="32"/>
  <c r="B841" i="32" s="1"/>
  <c r="C841" i="32"/>
  <c r="A114" i="32"/>
  <c r="B114" i="32" s="1"/>
  <c r="C114" i="32"/>
  <c r="A881" i="32"/>
  <c r="B881" i="32" s="1"/>
  <c r="C881" i="32"/>
  <c r="A545" i="32"/>
  <c r="B545" i="32" s="1"/>
  <c r="C545" i="32"/>
  <c r="A2278" i="32"/>
  <c r="B2278" i="32" s="1"/>
  <c r="C2278" i="32"/>
  <c r="A2277" i="32"/>
  <c r="B2277" i="32" s="1"/>
  <c r="C2277" i="32"/>
  <c r="A960" i="32"/>
  <c r="B960" i="32" s="1"/>
  <c r="C960" i="32"/>
  <c r="A2047" i="32"/>
  <c r="B2047" i="32" s="1"/>
  <c r="C2047" i="32"/>
  <c r="A263" i="32"/>
  <c r="B263" i="32" s="1"/>
  <c r="C263" i="32"/>
  <c r="A808" i="32"/>
  <c r="B808" i="32" s="1"/>
  <c r="C808" i="32"/>
  <c r="A127" i="32"/>
  <c r="B127" i="32" s="1"/>
  <c r="C127" i="32"/>
  <c r="A1792" i="32"/>
  <c r="B1792" i="32" s="1"/>
  <c r="C1792" i="32"/>
  <c r="A1249" i="32"/>
  <c r="B1249" i="32" s="1"/>
  <c r="C1249" i="32"/>
  <c r="A1497" i="32"/>
  <c r="B1497" i="32" s="1"/>
  <c r="C1497" i="32"/>
  <c r="A1340" i="32"/>
  <c r="B1340" i="32" s="1"/>
  <c r="C1340" i="32"/>
  <c r="A2218" i="32"/>
  <c r="B2218" i="32" s="1"/>
  <c r="C2218" i="32"/>
  <c r="A624" i="32"/>
  <c r="B624" i="32" s="1"/>
  <c r="C624" i="32"/>
  <c r="A1604" i="32"/>
  <c r="B1604" i="32" s="1"/>
  <c r="C1604" i="32"/>
  <c r="A1587" i="32"/>
  <c r="B1587" i="32" s="1"/>
  <c r="C1587" i="32"/>
  <c r="A2250" i="32"/>
  <c r="B2250" i="32" s="1"/>
  <c r="C2250" i="32"/>
  <c r="A794" i="32"/>
  <c r="B794" i="32" s="1"/>
  <c r="C794" i="32"/>
  <c r="A1820" i="32"/>
  <c r="B1820" i="32" s="1"/>
  <c r="C1820" i="32"/>
  <c r="A1532" i="32"/>
  <c r="B1532" i="32" s="1"/>
  <c r="C1532" i="32"/>
  <c r="A1441" i="32"/>
  <c r="B1441" i="32" s="1"/>
  <c r="C1441" i="32"/>
  <c r="A1750" i="32"/>
  <c r="B1750" i="32" s="1"/>
  <c r="C1750" i="32"/>
  <c r="A2518" i="32"/>
  <c r="B2518" i="32" s="1"/>
  <c r="C2518" i="32"/>
  <c r="A2134" i="32"/>
  <c r="B2134" i="32" s="1"/>
  <c r="C2134" i="32"/>
  <c r="A1435" i="32"/>
  <c r="B1435" i="32" s="1"/>
  <c r="C1435" i="32"/>
  <c r="A1040" i="32"/>
  <c r="B1040" i="32" s="1"/>
  <c r="C1040" i="32"/>
  <c r="A658" i="32"/>
  <c r="B658" i="32" s="1"/>
  <c r="C658" i="32"/>
  <c r="A488" i="32"/>
  <c r="B488" i="32" s="1"/>
  <c r="C488" i="32"/>
  <c r="A2158" i="32"/>
  <c r="B2158" i="32" s="1"/>
  <c r="C2158" i="32"/>
  <c r="A2802" i="32"/>
  <c r="B2802" i="32" s="1"/>
  <c r="C2802" i="32"/>
  <c r="A2403" i="32"/>
  <c r="B2403" i="32" s="1"/>
  <c r="C2403" i="32"/>
  <c r="A411" i="32"/>
  <c r="B411" i="32" s="1"/>
  <c r="C411" i="32"/>
  <c r="A2754" i="32"/>
  <c r="B2754" i="32" s="1"/>
  <c r="C2754" i="32"/>
  <c r="A480" i="32"/>
  <c r="B480" i="32" s="1"/>
  <c r="C480" i="32"/>
  <c r="A105" i="32"/>
  <c r="B105" i="32" s="1"/>
  <c r="C105" i="32"/>
  <c r="A1219" i="32"/>
  <c r="B1219" i="32" s="1"/>
  <c r="C1219" i="32"/>
  <c r="A2769" i="32"/>
  <c r="B2769" i="32" s="1"/>
  <c r="C2769" i="32"/>
  <c r="A2797" i="32"/>
  <c r="B2797" i="32" s="1"/>
  <c r="C2797" i="32"/>
  <c r="A2595" i="32"/>
  <c r="B2595" i="32" s="1"/>
  <c r="C2595" i="32"/>
  <c r="A1126" i="32"/>
  <c r="B1126" i="32" s="1"/>
  <c r="C1126" i="32"/>
  <c r="A981" i="32"/>
  <c r="B981" i="32" s="1"/>
  <c r="C981" i="32"/>
  <c r="A2306" i="32"/>
  <c r="B2306" i="32" s="1"/>
  <c r="C2306" i="32"/>
  <c r="A642" i="32"/>
  <c r="B642" i="32" s="1"/>
  <c r="C642" i="32"/>
  <c r="A825" i="32"/>
  <c r="B825" i="32" s="1"/>
  <c r="C825" i="32"/>
  <c r="A330" i="32"/>
  <c r="B330" i="32" s="1"/>
  <c r="C330" i="32"/>
  <c r="A1357" i="32"/>
  <c r="B1357" i="32" s="1"/>
  <c r="C1357" i="32"/>
  <c r="A84" i="32"/>
  <c r="B84" i="32" s="1"/>
  <c r="C84" i="32"/>
  <c r="A1818" i="32"/>
  <c r="B1818" i="32" s="1"/>
  <c r="C1818" i="32"/>
  <c r="A770" i="32"/>
  <c r="B770" i="32" s="1"/>
  <c r="C770" i="32"/>
  <c r="A1378" i="32"/>
  <c r="B1378" i="32" s="1"/>
  <c r="C1378" i="32"/>
  <c r="A720" i="32"/>
  <c r="B720" i="32" s="1"/>
  <c r="C720" i="32"/>
  <c r="A862" i="32"/>
  <c r="B862" i="32" s="1"/>
  <c r="C862" i="32"/>
  <c r="A615" i="32"/>
  <c r="B615" i="32" s="1"/>
  <c r="C615" i="32"/>
  <c r="A1842" i="32"/>
  <c r="B1842" i="32" s="1"/>
  <c r="C1842" i="32"/>
  <c r="A816" i="32"/>
  <c r="B816" i="32" s="1"/>
  <c r="C816" i="32"/>
  <c r="A1982" i="32"/>
  <c r="B1982" i="32" s="1"/>
  <c r="C1982" i="32"/>
  <c r="A1689" i="32"/>
  <c r="B1689" i="32" s="1"/>
  <c r="C1689" i="32"/>
  <c r="A1279" i="32"/>
  <c r="B1279" i="32" s="1"/>
  <c r="C1279" i="32"/>
  <c r="A1395" i="32"/>
  <c r="B1395" i="32" s="1"/>
  <c r="C1395" i="32"/>
  <c r="A1116" i="32"/>
  <c r="B1116" i="32" s="1"/>
  <c r="C1116" i="32"/>
  <c r="A1711" i="32"/>
  <c r="B1711" i="32" s="1"/>
  <c r="C1711" i="32"/>
  <c r="A2528" i="32"/>
  <c r="B2528" i="32" s="1"/>
  <c r="C2528" i="32"/>
  <c r="A53" i="32"/>
  <c r="B53" i="32" s="1"/>
  <c r="C53" i="32"/>
  <c r="A1641" i="32"/>
  <c r="B1641" i="32" s="1"/>
  <c r="C1641" i="32"/>
  <c r="A1548" i="32"/>
  <c r="B1548" i="32" s="1"/>
  <c r="C1548" i="32"/>
  <c r="A2511" i="32"/>
  <c r="B2511" i="32" s="1"/>
  <c r="C2511" i="32"/>
  <c r="A2091" i="32"/>
  <c r="B2091" i="32" s="1"/>
  <c r="C2091" i="32"/>
  <c r="A2608" i="32"/>
  <c r="B2608" i="32" s="1"/>
  <c r="C2608" i="32"/>
  <c r="A522" i="32"/>
  <c r="B522" i="32" s="1"/>
  <c r="C522" i="32"/>
  <c r="A2668" i="32"/>
  <c r="B2668" i="32" s="1"/>
  <c r="C2668" i="32"/>
  <c r="A85" i="32"/>
  <c r="B85" i="32" s="1"/>
  <c r="C85" i="32"/>
  <c r="A2708" i="32"/>
  <c r="B2708" i="32" s="1"/>
  <c r="C2708" i="32"/>
  <c r="A1376" i="32"/>
  <c r="B1376" i="32" s="1"/>
  <c r="C1376" i="32"/>
  <c r="A2388" i="32"/>
  <c r="B2388" i="32" s="1"/>
  <c r="C2388" i="32"/>
  <c r="A1510" i="32"/>
  <c r="B1510" i="32" s="1"/>
  <c r="C1510" i="32"/>
  <c r="A2357" i="32"/>
  <c r="B2357" i="32" s="1"/>
  <c r="C2357" i="32"/>
  <c r="A840" i="32"/>
  <c r="B840" i="32" s="1"/>
  <c r="C840" i="32"/>
  <c r="A32" i="32"/>
  <c r="B32" i="32" s="1"/>
  <c r="C32" i="32"/>
  <c r="A1214" i="32"/>
  <c r="B1214" i="32" s="1"/>
  <c r="C1214" i="32"/>
  <c r="A2639" i="32"/>
  <c r="B2639" i="32" s="1"/>
  <c r="C2639" i="32"/>
  <c r="A1790" i="32"/>
  <c r="B1790" i="32" s="1"/>
  <c r="C1790" i="32"/>
  <c r="A724" i="32"/>
  <c r="B724" i="32" s="1"/>
  <c r="C724" i="32"/>
  <c r="A471" i="32"/>
  <c r="B471" i="32" s="1"/>
  <c r="C471" i="32"/>
  <c r="A2119" i="32"/>
  <c r="B2119" i="32" s="1"/>
  <c r="C2119" i="32"/>
  <c r="A67" i="32"/>
  <c r="B67" i="32" s="1"/>
  <c r="C67" i="32"/>
  <c r="A557" i="32"/>
  <c r="B557" i="32" s="1"/>
  <c r="C557" i="32"/>
  <c r="A1383" i="32"/>
  <c r="B1383" i="32" s="1"/>
  <c r="C1383" i="32"/>
  <c r="A2138" i="32"/>
  <c r="B2138" i="32" s="1"/>
  <c r="C2138" i="32"/>
  <c r="A1932" i="32"/>
  <c r="B1932" i="32" s="1"/>
  <c r="C1932" i="32"/>
  <c r="A2745" i="32"/>
  <c r="B2745" i="32" s="1"/>
  <c r="C2745" i="32"/>
  <c r="A1766" i="32"/>
  <c r="B1766" i="32" s="1"/>
  <c r="C1766" i="32"/>
  <c r="A828" i="32"/>
  <c r="B828" i="32" s="1"/>
  <c r="C828" i="32"/>
  <c r="A1390" i="32"/>
  <c r="B1390" i="32" s="1"/>
  <c r="C1390" i="32"/>
  <c r="A1272" i="32"/>
  <c r="B1272" i="32" s="1"/>
  <c r="C1272" i="32"/>
  <c r="A2575" i="32"/>
  <c r="B2575" i="32" s="1"/>
  <c r="C2575" i="32"/>
  <c r="A2573" i="32"/>
  <c r="B2573" i="32" s="1"/>
  <c r="C2573" i="32"/>
  <c r="A2556" i="32"/>
  <c r="B2556" i="32" s="1"/>
  <c r="C2556" i="32"/>
  <c r="A1544" i="32"/>
  <c r="B1544" i="32" s="1"/>
  <c r="C1544" i="32"/>
  <c r="A1936" i="32"/>
  <c r="B1936" i="32" s="1"/>
  <c r="C1936" i="32"/>
  <c r="A2759" i="32"/>
  <c r="B2759" i="32" s="1"/>
  <c r="C2759" i="32"/>
  <c r="A432" i="32"/>
  <c r="B432" i="32" s="1"/>
  <c r="C432" i="32"/>
  <c r="A302" i="32"/>
  <c r="B302" i="32" s="1"/>
  <c r="C302" i="32"/>
  <c r="A636" i="32"/>
  <c r="B636" i="32" s="1"/>
  <c r="C636" i="32"/>
  <c r="A1409" i="32"/>
  <c r="B1409" i="32" s="1"/>
  <c r="C1409" i="32"/>
  <c r="A2021" i="32"/>
  <c r="B2021" i="32" s="1"/>
  <c r="C2021" i="32"/>
  <c r="A1223" i="32"/>
  <c r="B1223" i="32" s="1"/>
  <c r="C1223" i="32"/>
  <c r="A2651" i="32"/>
  <c r="B2651" i="32" s="1"/>
  <c r="C2651" i="32"/>
  <c r="A2439" i="32"/>
  <c r="B2439" i="32" s="1"/>
  <c r="C2439" i="32"/>
  <c r="A1702" i="32"/>
  <c r="B1702" i="32" s="1"/>
  <c r="C1702" i="32"/>
  <c r="A120" i="32"/>
  <c r="B120" i="32" s="1"/>
  <c r="C120" i="32"/>
  <c r="A734" i="32"/>
  <c r="B734" i="32" s="1"/>
  <c r="C734" i="32"/>
  <c r="A2319" i="32"/>
  <c r="B2319" i="32" s="1"/>
  <c r="C2319" i="32"/>
  <c r="A1859" i="32"/>
  <c r="B1859" i="32" s="1"/>
  <c r="C1859" i="32"/>
  <c r="A297" i="32"/>
  <c r="B297" i="32" s="1"/>
  <c r="C297" i="32"/>
  <c r="A2758" i="32"/>
  <c r="B2758" i="32" s="1"/>
  <c r="C2758" i="32"/>
  <c r="A303" i="32"/>
  <c r="B303" i="32" s="1"/>
  <c r="C303" i="32"/>
  <c r="A2786" i="32"/>
  <c r="B2786" i="32" s="1"/>
  <c r="C2786" i="32"/>
  <c r="A2042" i="32"/>
  <c r="B2042" i="32" s="1"/>
  <c r="C2042" i="32"/>
  <c r="A363" i="32"/>
  <c r="B363" i="32" s="1"/>
  <c r="C363" i="32"/>
  <c r="A2386" i="32"/>
  <c r="B2386" i="32" s="1"/>
  <c r="C2386" i="32"/>
  <c r="A707" i="32"/>
  <c r="B707" i="32" s="1"/>
  <c r="C707" i="32"/>
  <c r="A1828" i="32"/>
  <c r="B1828" i="32" s="1"/>
  <c r="C1828" i="32"/>
  <c r="A2679" i="32"/>
  <c r="B2679" i="32" s="1"/>
  <c r="C2679" i="32"/>
  <c r="A1420" i="32"/>
  <c r="B1420" i="32" s="1"/>
  <c r="C1420" i="32"/>
  <c r="A112" i="32"/>
  <c r="B112" i="32" s="1"/>
  <c r="C112" i="32"/>
  <c r="A498" i="32"/>
  <c r="B498" i="32" s="1"/>
  <c r="C498" i="32"/>
  <c r="A1963" i="32"/>
  <c r="B1963" i="32" s="1"/>
  <c r="C1963" i="32"/>
  <c r="A2778" i="32"/>
  <c r="B2778" i="32" s="1"/>
  <c r="C2778" i="32"/>
  <c r="A521" i="32"/>
  <c r="B521" i="32" s="1"/>
  <c r="C521" i="32"/>
  <c r="A392" i="32"/>
  <c r="B392" i="32" s="1"/>
  <c r="C392" i="32"/>
  <c r="A1487" i="32"/>
  <c r="B1487" i="32" s="1"/>
  <c r="C1487" i="32"/>
  <c r="A2015" i="32"/>
  <c r="B2015" i="32" s="1"/>
  <c r="C2015" i="32"/>
  <c r="A2391" i="32"/>
  <c r="B2391" i="32" s="1"/>
  <c r="C2391" i="32"/>
  <c r="A1431" i="32"/>
  <c r="B1431" i="32" s="1"/>
  <c r="C1431" i="32"/>
  <c r="A2296" i="32"/>
  <c r="B2296" i="32" s="1"/>
  <c r="C2296" i="32"/>
  <c r="A716" i="32"/>
  <c r="B716" i="32" s="1"/>
  <c r="C716" i="32"/>
  <c r="A1954" i="32"/>
  <c r="B1954" i="32" s="1"/>
  <c r="C1954" i="32"/>
  <c r="A736" i="32"/>
  <c r="B736" i="32" s="1"/>
  <c r="C736" i="32"/>
  <c r="A926" i="32"/>
  <c r="B926" i="32" s="1"/>
  <c r="C926" i="32"/>
  <c r="A2170" i="32"/>
  <c r="B2170" i="32" s="1"/>
  <c r="C2170" i="32"/>
  <c r="A1756" i="32"/>
  <c r="B1756" i="32" s="1"/>
  <c r="C1756" i="32"/>
  <c r="A1045" i="32"/>
  <c r="B1045" i="32" s="1"/>
  <c r="C1045" i="32"/>
  <c r="A2184" i="32"/>
  <c r="B2184" i="32" s="1"/>
  <c r="C2184" i="32"/>
  <c r="A908" i="32"/>
  <c r="B908" i="32" s="1"/>
  <c r="C908" i="32"/>
  <c r="A923" i="32"/>
  <c r="B923" i="32" s="1"/>
  <c r="C923" i="32"/>
  <c r="A1054" i="32"/>
  <c r="B1054" i="32" s="1"/>
  <c r="C1054" i="32"/>
  <c r="A758" i="32"/>
  <c r="B758" i="32" s="1"/>
  <c r="C758" i="32"/>
  <c r="A2773" i="32"/>
  <c r="B2773" i="32" s="1"/>
  <c r="C2773" i="32"/>
  <c r="A2615" i="32"/>
  <c r="B2615" i="32" s="1"/>
  <c r="C2615" i="32"/>
  <c r="A193" i="32"/>
  <c r="B193" i="32" s="1"/>
  <c r="C193" i="32"/>
  <c r="A646" i="32"/>
  <c r="B646" i="32" s="1"/>
  <c r="C646" i="32"/>
  <c r="A2448" i="32"/>
  <c r="B2448" i="32" s="1"/>
  <c r="C2448" i="32"/>
  <c r="A765" i="32"/>
  <c r="B765" i="32" s="1"/>
  <c r="C765" i="32"/>
  <c r="A2252" i="32"/>
  <c r="B2252" i="32" s="1"/>
  <c r="C2252" i="32"/>
  <c r="A906" i="32"/>
  <c r="B906" i="32" s="1"/>
  <c r="C906" i="32"/>
  <c r="A1817" i="32"/>
  <c r="B1817" i="32" s="1"/>
  <c r="C1817" i="32"/>
  <c r="A1506" i="32"/>
  <c r="B1506" i="32" s="1"/>
  <c r="C1506" i="32"/>
  <c r="A1897" i="32"/>
  <c r="B1897" i="32" s="1"/>
  <c r="C1897" i="32"/>
  <c r="A1444" i="32"/>
  <c r="B1444" i="32" s="1"/>
  <c r="C1444" i="32"/>
  <c r="A2515" i="32"/>
  <c r="B2515" i="32" s="1"/>
  <c r="C2515" i="32"/>
  <c r="A2267" i="32"/>
  <c r="B2267" i="32" s="1"/>
  <c r="C2267" i="32"/>
  <c r="A1258" i="32"/>
  <c r="B1258" i="32" s="1"/>
  <c r="C1258" i="32"/>
  <c r="A49" i="32"/>
  <c r="B49" i="32" s="1"/>
  <c r="C49" i="32"/>
  <c r="A117" i="32"/>
  <c r="B117" i="32" s="1"/>
  <c r="C117" i="32"/>
  <c r="A1570" i="32"/>
  <c r="B1570" i="32" s="1"/>
  <c r="C1570" i="32"/>
  <c r="A2711" i="32"/>
  <c r="B2711" i="32" s="1"/>
  <c r="C2711" i="32"/>
  <c r="A1919" i="32"/>
  <c r="B1919" i="32" s="1"/>
  <c r="C1919" i="32"/>
  <c r="A505" i="32"/>
  <c r="B505" i="32" s="1"/>
  <c r="C505" i="32"/>
  <c r="A1671" i="32"/>
  <c r="B1671" i="32" s="1"/>
  <c r="C1671" i="32"/>
  <c r="A1714" i="32"/>
  <c r="B1714" i="32" s="1"/>
  <c r="C1714" i="32"/>
  <c r="A1257" i="32"/>
  <c r="B1257" i="32" s="1"/>
  <c r="C1257" i="32"/>
  <c r="A863" i="32"/>
  <c r="B863" i="32" s="1"/>
  <c r="C863" i="32"/>
  <c r="A2197" i="32"/>
  <c r="B2197" i="32" s="1"/>
  <c r="C2197" i="32"/>
  <c r="A2108" i="32"/>
  <c r="B2108" i="32" s="1"/>
  <c r="C2108" i="32"/>
  <c r="A529" i="32"/>
  <c r="B529" i="32" s="1"/>
  <c r="C529" i="32"/>
  <c r="A1269" i="32"/>
  <c r="B1269" i="32" s="1"/>
  <c r="C1269" i="32"/>
  <c r="A377" i="32"/>
  <c r="B377" i="32" s="1"/>
  <c r="C377" i="32"/>
  <c r="A1062" i="32"/>
  <c r="B1062" i="32" s="1"/>
  <c r="C1062" i="32"/>
  <c r="A798" i="32"/>
  <c r="B798" i="32" s="1"/>
  <c r="C798" i="32"/>
  <c r="A2103" i="32"/>
  <c r="B2103" i="32" s="1"/>
  <c r="C2103" i="32"/>
  <c r="A460" i="32"/>
  <c r="B460" i="32" s="1"/>
  <c r="C460" i="32"/>
  <c r="A593" i="32"/>
  <c r="B593" i="32" s="1"/>
  <c r="C593" i="32"/>
  <c r="A2130" i="32"/>
  <c r="B2130" i="32" s="1"/>
  <c r="C2130" i="32"/>
  <c r="A819" i="32"/>
  <c r="B819" i="32" s="1"/>
  <c r="C819" i="32"/>
  <c r="A2265" i="32"/>
  <c r="B2265" i="32" s="1"/>
  <c r="C2265" i="32"/>
  <c r="A2072" i="32"/>
  <c r="B2072" i="32" s="1"/>
  <c r="C2072" i="32"/>
  <c r="A1216" i="32"/>
  <c r="B1216" i="32" s="1"/>
  <c r="C1216" i="32"/>
  <c r="A2185" i="32"/>
  <c r="B2185" i="32" s="1"/>
  <c r="C2185" i="32"/>
  <c r="A2525" i="32"/>
  <c r="B2525" i="32" s="1"/>
  <c r="C2525" i="32"/>
  <c r="A871" i="32"/>
  <c r="B871" i="32" s="1"/>
  <c r="C871" i="32"/>
  <c r="A265" i="32"/>
  <c r="B265" i="32" s="1"/>
  <c r="C265" i="32"/>
  <c r="A343" i="32"/>
  <c r="B343" i="32" s="1"/>
  <c r="C343" i="32"/>
  <c r="A1976" i="32"/>
  <c r="B1976" i="32" s="1"/>
  <c r="C1976" i="32"/>
  <c r="A901" i="32"/>
  <c r="B901" i="32" s="1"/>
  <c r="C901" i="32"/>
  <c r="A23" i="32"/>
  <c r="B23" i="32" s="1"/>
  <c r="C23" i="32"/>
  <c r="A2321" i="32"/>
  <c r="B2321" i="32" s="1"/>
  <c r="C2321" i="32"/>
  <c r="A1940" i="32"/>
  <c r="B1940" i="32" s="1"/>
  <c r="C1940" i="32"/>
  <c r="A468" i="32"/>
  <c r="B468" i="32" s="1"/>
  <c r="C468" i="32"/>
  <c r="A2281" i="32"/>
  <c r="B2281" i="32" s="1"/>
  <c r="C2281" i="32"/>
  <c r="A2655" i="32"/>
  <c r="B2655" i="32" s="1"/>
  <c r="C2655" i="32"/>
  <c r="A2728" i="32"/>
  <c r="B2728" i="32" s="1"/>
  <c r="C2728" i="32"/>
  <c r="A1391" i="32"/>
  <c r="B1391" i="32" s="1"/>
  <c r="C1391" i="32"/>
  <c r="A853" i="32"/>
  <c r="B853" i="32" s="1"/>
  <c r="C853" i="32"/>
  <c r="A925" i="32"/>
  <c r="B925" i="32" s="1"/>
  <c r="C925" i="32"/>
  <c r="A61" i="32"/>
  <c r="B61" i="32" s="1"/>
  <c r="C61" i="32"/>
  <c r="A800" i="32"/>
  <c r="B800" i="32" s="1"/>
  <c r="C800" i="32"/>
  <c r="A1746" i="32"/>
  <c r="B1746" i="32" s="1"/>
  <c r="C1746" i="32"/>
  <c r="A1094" i="32"/>
  <c r="B1094" i="32" s="1"/>
  <c r="C1094" i="32"/>
  <c r="A1653" i="32"/>
  <c r="B1653" i="32" s="1"/>
  <c r="C1653" i="32"/>
  <c r="A1254" i="32"/>
  <c r="B1254" i="32" s="1"/>
  <c r="C1254" i="32"/>
  <c r="A517" i="32"/>
  <c r="B517" i="32" s="1"/>
  <c r="C517" i="32"/>
  <c r="A2111" i="32"/>
  <c r="B2111" i="32" s="1"/>
  <c r="C2111" i="32"/>
  <c r="A1415" i="32"/>
  <c r="B1415" i="32" s="1"/>
  <c r="C1415" i="32"/>
  <c r="A1394" i="32"/>
  <c r="B1394" i="32" s="1"/>
  <c r="C1394" i="32"/>
  <c r="A919" i="32"/>
  <c r="B919" i="32" s="1"/>
  <c r="C919" i="32"/>
  <c r="A2087" i="32"/>
  <c r="B2087" i="32" s="1"/>
  <c r="C2087" i="32"/>
  <c r="A412" i="32"/>
  <c r="B412" i="32" s="1"/>
  <c r="C412" i="32"/>
  <c r="A1271" i="32"/>
  <c r="B1271" i="32" s="1"/>
  <c r="C1271" i="32"/>
  <c r="A2734" i="32"/>
  <c r="B2734" i="32" s="1"/>
  <c r="C2734" i="32"/>
  <c r="A2000" i="32"/>
  <c r="B2000" i="32" s="1"/>
  <c r="C2000" i="32"/>
  <c r="A846" i="32"/>
  <c r="B846" i="32" s="1"/>
  <c r="C846" i="32"/>
  <c r="A156" i="32"/>
  <c r="B156" i="32" s="1"/>
  <c r="C156" i="32"/>
  <c r="A980" i="32"/>
  <c r="B980" i="32" s="1"/>
  <c r="C980" i="32"/>
  <c r="A599" i="32"/>
  <c r="B599" i="32" s="1"/>
  <c r="C599" i="32"/>
  <c r="A294" i="32"/>
  <c r="B294" i="32" s="1"/>
  <c r="C294" i="32"/>
  <c r="A141" i="32"/>
  <c r="B141" i="32" s="1"/>
  <c r="C141" i="32"/>
  <c r="A2507" i="32"/>
  <c r="B2507" i="32" s="1"/>
  <c r="C2507" i="32"/>
  <c r="A2508" i="32"/>
  <c r="B2508" i="32" s="1"/>
  <c r="C2508" i="32"/>
  <c r="A2719" i="32"/>
  <c r="B2719" i="32" s="1"/>
  <c r="C2719" i="32"/>
  <c r="A2276" i="32"/>
  <c r="B2276" i="32" s="1"/>
  <c r="C2276" i="32"/>
  <c r="A172" i="32"/>
  <c r="B172" i="32" s="1"/>
  <c r="C172" i="32"/>
  <c r="A887" i="32"/>
  <c r="B887" i="32" s="1"/>
  <c r="C887" i="32"/>
  <c r="A1331" i="32"/>
  <c r="B1331" i="32" s="1"/>
  <c r="C1331" i="32"/>
  <c r="A2424" i="32"/>
  <c r="B2424" i="32" s="1"/>
  <c r="C2424" i="32"/>
  <c r="A944" i="32"/>
  <c r="B944" i="32" s="1"/>
  <c r="C944" i="32"/>
  <c r="A2583" i="32"/>
  <c r="B2583" i="32" s="1"/>
  <c r="C2583" i="32"/>
  <c r="A811" i="32"/>
  <c r="B811" i="32" s="1"/>
  <c r="C811" i="32"/>
  <c r="A891" i="32"/>
  <c r="B891" i="32" s="1"/>
  <c r="C891" i="32"/>
  <c r="A2365" i="32"/>
  <c r="B2365" i="32" s="1"/>
  <c r="C2365" i="32"/>
  <c r="A1097" i="32"/>
  <c r="B1097" i="32" s="1"/>
  <c r="C1097" i="32"/>
  <c r="A139" i="32"/>
  <c r="B139" i="32" s="1"/>
  <c r="C139" i="32"/>
  <c r="A1783" i="32"/>
  <c r="B1783" i="32" s="1"/>
  <c r="C1783" i="32"/>
  <c r="A2211" i="32"/>
  <c r="B2211" i="32" s="1"/>
  <c r="C2211" i="32"/>
  <c r="A1514" i="32"/>
  <c r="B1514" i="32" s="1"/>
  <c r="C1514" i="32"/>
  <c r="A2165" i="32"/>
  <c r="B2165" i="32" s="1"/>
  <c r="C2165" i="32"/>
  <c r="A2468" i="32"/>
  <c r="B2468" i="32" s="1"/>
  <c r="C2468" i="32"/>
  <c r="A1677" i="32"/>
  <c r="B1677" i="32" s="1"/>
  <c r="C1677" i="32"/>
  <c r="A928" i="32"/>
  <c r="B928" i="32" s="1"/>
  <c r="C928" i="32"/>
  <c r="A2733" i="32"/>
  <c r="B2733" i="32" s="1"/>
  <c r="C2733" i="32"/>
  <c r="A1598" i="32"/>
  <c r="B1598" i="32" s="1"/>
  <c r="C1598" i="32"/>
  <c r="A614" i="32"/>
  <c r="B614" i="32" s="1"/>
  <c r="C614" i="32"/>
  <c r="A1871" i="32"/>
  <c r="B1871" i="32" s="1"/>
  <c r="C1871" i="32"/>
  <c r="A675" i="32"/>
  <c r="B675" i="32" s="1"/>
  <c r="C675" i="32"/>
  <c r="A1813" i="32"/>
  <c r="B1813" i="32" s="1"/>
  <c r="C1813" i="32"/>
  <c r="A478" i="32"/>
  <c r="B478" i="32" s="1"/>
  <c r="C478" i="32"/>
  <c r="A1281" i="32"/>
  <c r="B1281" i="32" s="1"/>
  <c r="C1281" i="32"/>
  <c r="A428" i="32"/>
  <c r="B428" i="32" s="1"/>
  <c r="C428" i="32"/>
  <c r="A2738" i="32"/>
  <c r="B2738" i="32" s="1"/>
  <c r="C2738" i="32"/>
  <c r="A1643" i="32"/>
  <c r="B1643" i="32" s="1"/>
  <c r="C1643" i="32"/>
  <c r="A208" i="32"/>
  <c r="B208" i="32" s="1"/>
  <c r="C208" i="32"/>
  <c r="A569" i="32"/>
  <c r="B569" i="32" s="1"/>
  <c r="C569" i="32"/>
  <c r="A1614" i="32"/>
  <c r="B1614" i="32" s="1"/>
  <c r="C1614" i="32"/>
  <c r="A465" i="32"/>
  <c r="B465" i="32" s="1"/>
  <c r="C465" i="32"/>
  <c r="A205" i="32"/>
  <c r="B205" i="32" s="1"/>
  <c r="C205" i="32"/>
  <c r="A1690" i="32"/>
  <c r="B1690" i="32" s="1"/>
  <c r="C1690" i="32"/>
  <c r="A202" i="32"/>
  <c r="B202" i="32" s="1"/>
  <c r="C202" i="32"/>
  <c r="A1579" i="32"/>
  <c r="B1579" i="32" s="1"/>
  <c r="C1579" i="32"/>
  <c r="A767" i="32"/>
  <c r="B767" i="32" s="1"/>
  <c r="C767" i="32"/>
  <c r="A244" i="32"/>
  <c r="B244" i="32" s="1"/>
  <c r="C244" i="32"/>
  <c r="A526" i="32"/>
  <c r="B526" i="32" s="1"/>
  <c r="C526" i="32"/>
  <c r="A1417" i="32"/>
  <c r="B1417" i="32" s="1"/>
  <c r="C1417" i="32"/>
  <c r="A848" i="32"/>
  <c r="B848" i="32" s="1"/>
  <c r="C848" i="32"/>
  <c r="A1499" i="32"/>
  <c r="B1499" i="32" s="1"/>
  <c r="C1499" i="32"/>
  <c r="A1512" i="32"/>
  <c r="B1512" i="32" s="1"/>
  <c r="C1512" i="32"/>
  <c r="A1935" i="32"/>
  <c r="B1935" i="32" s="1"/>
  <c r="C1935" i="32"/>
  <c r="A209" i="32"/>
  <c r="B209" i="32" s="1"/>
  <c r="C209" i="32"/>
  <c r="A1675" i="32"/>
  <c r="B1675" i="32" s="1"/>
  <c r="C1675" i="32"/>
  <c r="A984" i="32"/>
  <c r="B984" i="32" s="1"/>
  <c r="C984" i="32"/>
  <c r="A137" i="32"/>
  <c r="B137" i="32" s="1"/>
  <c r="C137" i="32"/>
  <c r="A1967" i="32"/>
  <c r="B1967" i="32" s="1"/>
  <c r="C1967" i="32"/>
  <c r="A1165" i="32"/>
  <c r="B1165" i="32" s="1"/>
  <c r="C1165" i="32"/>
  <c r="A667" i="32"/>
  <c r="B667" i="32" s="1"/>
  <c r="C667" i="32"/>
  <c r="A2203" i="32"/>
  <c r="B2203" i="32" s="1"/>
  <c r="C2203" i="32"/>
  <c r="A1706" i="32"/>
  <c r="B1706" i="32" s="1"/>
  <c r="C1706" i="32"/>
  <c r="A1753" i="32"/>
  <c r="B1753" i="32" s="1"/>
  <c r="C1753" i="32"/>
  <c r="A2307" i="32"/>
  <c r="B2307" i="32" s="1"/>
  <c r="C2307" i="32"/>
  <c r="A300" i="32"/>
  <c r="B300" i="32" s="1"/>
  <c r="C300" i="32"/>
  <c r="A1306" i="32"/>
  <c r="B1306" i="32" s="1"/>
  <c r="C1306" i="32"/>
  <c r="A1267" i="32"/>
  <c r="B1267" i="32" s="1"/>
  <c r="C1267" i="32"/>
  <c r="A751" i="32"/>
  <c r="B751" i="32" s="1"/>
  <c r="C751" i="32"/>
  <c r="A2748" i="32"/>
  <c r="B2748" i="32" s="1"/>
  <c r="C2748" i="32"/>
  <c r="A659" i="32"/>
  <c r="B659" i="32" s="1"/>
  <c r="C659" i="32"/>
  <c r="A9" i="32"/>
  <c r="B9" i="32" s="1"/>
  <c r="C9" i="32"/>
  <c r="A745" i="32"/>
  <c r="B745" i="32" s="1"/>
  <c r="C745" i="32"/>
  <c r="A111" i="32"/>
  <c r="B111" i="32" s="1"/>
  <c r="C111" i="32"/>
  <c r="A1462" i="32"/>
  <c r="B1462" i="32" s="1"/>
  <c r="C1462" i="32"/>
  <c r="A1962" i="32"/>
  <c r="B1962" i="32" s="1"/>
  <c r="C1962" i="32"/>
  <c r="A870" i="32"/>
  <c r="B870" i="32" s="1"/>
  <c r="C870" i="32"/>
  <c r="A1168" i="32"/>
  <c r="B1168" i="32" s="1"/>
  <c r="C1168" i="32"/>
  <c r="A1171" i="32"/>
  <c r="B1171" i="32" s="1"/>
  <c r="C1171" i="32"/>
  <c r="A1580" i="32"/>
  <c r="B1580" i="32" s="1"/>
  <c r="C1580" i="32"/>
  <c r="A2064" i="32"/>
  <c r="B2064" i="32" s="1"/>
  <c r="C2064" i="32"/>
  <c r="A534" i="32"/>
  <c r="B534" i="32" s="1"/>
  <c r="C534" i="32"/>
  <c r="A1227" i="32"/>
  <c r="B1227" i="32" s="1"/>
  <c r="C1227" i="32"/>
  <c r="A1336" i="32"/>
  <c r="B1336" i="32" s="1"/>
  <c r="C1336" i="32"/>
  <c r="A2339" i="32"/>
  <c r="B2339" i="32" s="1"/>
  <c r="C2339" i="32"/>
  <c r="A2198" i="32"/>
  <c r="B2198" i="32" s="1"/>
  <c r="C2198" i="32"/>
  <c r="A2172" i="32"/>
  <c r="B2172" i="32" s="1"/>
  <c r="C2172" i="32"/>
  <c r="A2459" i="32"/>
  <c r="B2459" i="32" s="1"/>
  <c r="C2459" i="32"/>
  <c r="A1931" i="32"/>
  <c r="B1931" i="32" s="1"/>
  <c r="C1931" i="32"/>
  <c r="A242" i="32"/>
  <c r="B242" i="32" s="1"/>
  <c r="C242" i="32"/>
  <c r="A2060" i="32"/>
  <c r="B2060" i="32" s="1"/>
  <c r="C2060" i="32"/>
  <c r="A892" i="32"/>
  <c r="B892" i="32" s="1"/>
  <c r="C892" i="32"/>
  <c r="A1167" i="32"/>
  <c r="B1167" i="32" s="1"/>
  <c r="C1167" i="32"/>
  <c r="A1632" i="32"/>
  <c r="B1632" i="32" s="1"/>
  <c r="C1632" i="32"/>
  <c r="A396" i="32"/>
  <c r="B396" i="32" s="1"/>
  <c r="C396" i="32"/>
  <c r="A375" i="32"/>
  <c r="B375" i="32" s="1"/>
  <c r="C375" i="32"/>
  <c r="A2133" i="32"/>
  <c r="B2133" i="32" s="1"/>
  <c r="C2133" i="32"/>
  <c r="A1917" i="32"/>
  <c r="B1917" i="32" s="1"/>
  <c r="C1917" i="32"/>
  <c r="A2543" i="32"/>
  <c r="B2543" i="32" s="1"/>
  <c r="C2543" i="32"/>
  <c r="A2798" i="32"/>
  <c r="B2798" i="32" s="1"/>
  <c r="C2798" i="32"/>
  <c r="A1259" i="32"/>
  <c r="B1259" i="32" s="1"/>
  <c r="C1259" i="32"/>
  <c r="A31" i="32"/>
  <c r="B31" i="32" s="1"/>
  <c r="C31" i="32"/>
  <c r="A595" i="32"/>
  <c r="B595" i="32" s="1"/>
  <c r="C595" i="32"/>
  <c r="A797" i="32"/>
  <c r="B797" i="32" s="1"/>
  <c r="C797" i="32"/>
  <c r="A2340" i="32"/>
  <c r="B2340" i="32" s="1"/>
  <c r="C2340" i="32"/>
  <c r="A1724" i="32"/>
  <c r="B1724" i="32" s="1"/>
  <c r="C1724" i="32"/>
  <c r="A2107" i="32"/>
  <c r="B2107" i="32" s="1"/>
  <c r="C2107" i="32"/>
  <c r="A1320" i="32"/>
  <c r="B1320" i="32" s="1"/>
  <c r="C1320" i="32"/>
  <c r="A2779" i="32"/>
  <c r="B2779" i="32" s="1"/>
  <c r="C2779" i="32"/>
  <c r="A2016" i="32"/>
  <c r="B2016" i="32" s="1"/>
  <c r="C2016" i="32"/>
  <c r="A1525" i="32"/>
  <c r="B1525" i="32" s="1"/>
  <c r="C1525" i="32"/>
  <c r="A535" i="32"/>
  <c r="B535" i="32" s="1"/>
  <c r="C535" i="32"/>
  <c r="A1177" i="32"/>
  <c r="B1177" i="32" s="1"/>
  <c r="C1177" i="32"/>
  <c r="A72" i="32"/>
  <c r="B72" i="32" s="1"/>
  <c r="C72" i="32"/>
  <c r="A564" i="32"/>
  <c r="B564" i="32" s="1"/>
  <c r="C564" i="32"/>
  <c r="A26" i="32"/>
  <c r="B26" i="32" s="1"/>
  <c r="C26" i="32"/>
  <c r="A229" i="32"/>
  <c r="B229" i="32" s="1"/>
  <c r="C229" i="32"/>
  <c r="A2229" i="32"/>
  <c r="B2229" i="32" s="1"/>
  <c r="C2229" i="32"/>
  <c r="A2514" i="32"/>
  <c r="B2514" i="32" s="1"/>
  <c r="C2514" i="32"/>
  <c r="A2208" i="32"/>
  <c r="B2208" i="32" s="1"/>
  <c r="C2208" i="32"/>
  <c r="A1551" i="32"/>
  <c r="B1551" i="32" s="1"/>
  <c r="C1551" i="32"/>
  <c r="A188" i="32"/>
  <c r="B188" i="32" s="1"/>
  <c r="C188" i="32"/>
  <c r="A1591" i="32"/>
  <c r="B1591" i="32" s="1"/>
  <c r="C1591" i="32"/>
  <c r="A207" i="32"/>
  <c r="B207" i="32" s="1"/>
  <c r="C207" i="32"/>
  <c r="A1528" i="32"/>
  <c r="B1528" i="32" s="1"/>
  <c r="C1528" i="32"/>
  <c r="A1680" i="32"/>
  <c r="B1680" i="32" s="1"/>
  <c r="C1680" i="32"/>
  <c r="A532" i="32"/>
  <c r="B532" i="32" s="1"/>
  <c r="C532" i="32"/>
  <c r="A2485" i="32"/>
  <c r="B2485" i="32" s="1"/>
  <c r="C2485" i="32"/>
  <c r="A1717" i="32"/>
  <c r="B1717" i="32" s="1"/>
  <c r="C1717" i="32"/>
  <c r="A1295" i="32"/>
  <c r="B1295" i="32" s="1"/>
  <c r="C1295" i="32"/>
  <c r="A2399" i="32"/>
  <c r="B2399" i="32" s="1"/>
  <c r="C2399" i="32"/>
  <c r="A540" i="32"/>
  <c r="B540" i="32" s="1"/>
  <c r="C540" i="32"/>
  <c r="A2436" i="32"/>
  <c r="B2436" i="32" s="1"/>
  <c r="C2436" i="32"/>
  <c r="A2280" i="32"/>
  <c r="B2280" i="32" s="1"/>
  <c r="C2280" i="32"/>
  <c r="A1705" i="32"/>
  <c r="B1705" i="32" s="1"/>
  <c r="C1705" i="32"/>
  <c r="A101" i="32"/>
  <c r="B101" i="32" s="1"/>
  <c r="C101" i="32"/>
  <c r="A291" i="32"/>
  <c r="B291" i="32" s="1"/>
  <c r="C291" i="32"/>
  <c r="A2020" i="32"/>
  <c r="B2020" i="32" s="1"/>
  <c r="C2020" i="32"/>
  <c r="A2106" i="32"/>
  <c r="B2106" i="32" s="1"/>
  <c r="C2106" i="32"/>
  <c r="A1516" i="32"/>
  <c r="B1516" i="32" s="1"/>
  <c r="C1516" i="32"/>
  <c r="A1193" i="32"/>
  <c r="B1193" i="32" s="1"/>
  <c r="C1193" i="32"/>
  <c r="A1747" i="32"/>
  <c r="B1747" i="32" s="1"/>
  <c r="C1747" i="32"/>
  <c r="A240" i="32"/>
  <c r="B240" i="32" s="1"/>
  <c r="C240" i="32"/>
  <c r="A967" i="32"/>
  <c r="B967" i="32" s="1"/>
  <c r="C967" i="32"/>
  <c r="A2667" i="32"/>
  <c r="B2667" i="32" s="1"/>
  <c r="C2667" i="32"/>
  <c r="A2476" i="32"/>
  <c r="B2476" i="32" s="1"/>
  <c r="C2476" i="32"/>
  <c r="A1874" i="32"/>
  <c r="B1874" i="32" s="1"/>
  <c r="C1874" i="32"/>
  <c r="A2560" i="32"/>
  <c r="B2560" i="32" s="1"/>
  <c r="C2560" i="32"/>
  <c r="A1639" i="32"/>
  <c r="B1639" i="32" s="1"/>
  <c r="C1639" i="32"/>
  <c r="A107" i="32"/>
  <c r="B107" i="32" s="1"/>
  <c r="C107" i="32"/>
  <c r="A138" i="32"/>
  <c r="B138" i="32" s="1"/>
  <c r="C138" i="32"/>
  <c r="A1873" i="32"/>
  <c r="B1873" i="32" s="1"/>
  <c r="C1873" i="32"/>
  <c r="A398" i="32"/>
  <c r="B398" i="32" s="1"/>
  <c r="C398" i="32"/>
  <c r="A2750" i="32"/>
  <c r="B2750" i="32" s="1"/>
  <c r="C2750" i="32"/>
  <c r="A1793" i="32"/>
  <c r="B1793" i="32" s="1"/>
  <c r="C1793" i="32"/>
  <c r="A867" i="32"/>
  <c r="B867" i="32" s="1"/>
  <c r="C867" i="32"/>
  <c r="A2426" i="32"/>
  <c r="B2426" i="32" s="1"/>
  <c r="C2426" i="32"/>
  <c r="A1312" i="32"/>
  <c r="B1312" i="32" s="1"/>
  <c r="C1312" i="32"/>
  <c r="A1856" i="32"/>
  <c r="B1856" i="32" s="1"/>
  <c r="C1856" i="32"/>
  <c r="A630" i="32"/>
  <c r="B630" i="32" s="1"/>
  <c r="C630" i="32"/>
  <c r="A2620" i="32"/>
  <c r="B2620" i="32" s="1"/>
  <c r="C2620" i="32"/>
  <c r="A2621" i="32"/>
  <c r="B2621" i="32" s="1"/>
  <c r="C2621" i="32"/>
  <c r="A80" i="32"/>
  <c r="B80" i="32" s="1"/>
  <c r="C80" i="32"/>
  <c r="A1590" i="32"/>
  <c r="B1590" i="32" s="1"/>
  <c r="C1590" i="32"/>
  <c r="A349" i="32"/>
  <c r="B349" i="32" s="1"/>
  <c r="C349" i="32"/>
  <c r="A434" i="32"/>
  <c r="B434" i="32" s="1"/>
  <c r="C434" i="32"/>
  <c r="A2262" i="32"/>
  <c r="B2262" i="32" s="1"/>
  <c r="C2262" i="32"/>
  <c r="A367" i="32"/>
  <c r="B367" i="32" s="1"/>
  <c r="C367" i="32"/>
  <c r="A1065" i="32"/>
  <c r="B1065" i="32" s="1"/>
  <c r="C1065" i="32"/>
  <c r="A1051" i="32"/>
  <c r="B1051" i="32" s="1"/>
  <c r="C1051" i="32"/>
  <c r="A2065" i="32"/>
  <c r="B2065" i="32" s="1"/>
  <c r="C2065" i="32"/>
  <c r="A2192" i="32"/>
  <c r="B2192" i="32" s="1"/>
  <c r="C2192" i="32"/>
  <c r="A2140" i="32"/>
  <c r="B2140" i="32" s="1"/>
  <c r="C2140" i="32"/>
  <c r="A140" i="32"/>
  <c r="B140" i="32" s="1"/>
  <c r="C140" i="32"/>
  <c r="A574" i="32"/>
  <c r="B574" i="32" s="1"/>
  <c r="C574" i="32"/>
  <c r="A579" i="32"/>
  <c r="B579" i="32" s="1"/>
  <c r="C579" i="32"/>
  <c r="A1634" i="32"/>
  <c r="B1634" i="32" s="1"/>
  <c r="C1634" i="32"/>
  <c r="A2631" i="32"/>
  <c r="B2631" i="32" s="1"/>
  <c r="C2631" i="32"/>
  <c r="A1224" i="32"/>
  <c r="B1224" i="32" s="1"/>
  <c r="C1224" i="32"/>
  <c r="A2736" i="32"/>
  <c r="B2736" i="32" s="1"/>
  <c r="C2736" i="32"/>
  <c r="A2088" i="32"/>
  <c r="B2088" i="32" s="1"/>
  <c r="C2088" i="32"/>
  <c r="A50" i="32"/>
  <c r="B50" i="32" s="1"/>
  <c r="C50" i="32"/>
  <c r="A2783" i="32"/>
  <c r="B2783" i="32" s="1"/>
  <c r="C2783" i="32"/>
  <c r="A1966" i="32"/>
  <c r="B1966" i="32" s="1"/>
  <c r="C1966" i="32"/>
  <c r="A2379" i="32"/>
  <c r="B2379" i="32" s="1"/>
  <c r="C2379" i="32"/>
  <c r="A1572" i="32"/>
  <c r="B1572" i="32" s="1"/>
  <c r="C1572" i="32"/>
  <c r="A1019" i="32"/>
  <c r="B1019" i="32" s="1"/>
  <c r="C1019" i="32"/>
  <c r="A2661" i="32"/>
  <c r="B2661" i="32" s="1"/>
  <c r="C2661" i="32"/>
  <c r="A1893" i="32"/>
  <c r="B1893" i="32" s="1"/>
  <c r="C1893" i="32"/>
  <c r="A1901" i="32"/>
  <c r="B1901" i="32" s="1"/>
  <c r="C1901" i="32"/>
  <c r="A1440" i="32"/>
  <c r="B1440" i="32" s="1"/>
  <c r="C1440" i="32"/>
  <c r="A401" i="32"/>
  <c r="B401" i="32" s="1"/>
  <c r="C401" i="32"/>
  <c r="A1230" i="32"/>
  <c r="B1230" i="32" s="1"/>
  <c r="C1230" i="32"/>
  <c r="A2451" i="32"/>
  <c r="B2451" i="32" s="1"/>
  <c r="C2451" i="32"/>
  <c r="A1654" i="32"/>
  <c r="B1654" i="32" s="1"/>
  <c r="C1654" i="32"/>
  <c r="A37" i="32"/>
  <c r="B37" i="32" s="1"/>
  <c r="C37" i="32"/>
  <c r="A663" i="32"/>
  <c r="B663" i="32" s="1"/>
  <c r="C663" i="32"/>
  <c r="A241" i="32"/>
  <c r="B241" i="32" s="1"/>
  <c r="C241" i="32"/>
  <c r="A54" i="32"/>
  <c r="B54" i="32" s="1"/>
  <c r="C54" i="32"/>
  <c r="A2174" i="32"/>
  <c r="B2174" i="32" s="1"/>
  <c r="C2174" i="32"/>
  <c r="A1321" i="32"/>
  <c r="B1321" i="32" s="1"/>
  <c r="C1321" i="32"/>
  <c r="A2652" i="32"/>
  <c r="B2652" i="32" s="1"/>
  <c r="C2652" i="32"/>
  <c r="A1557" i="32"/>
  <c r="B1557" i="32" s="1"/>
  <c r="C1557" i="32"/>
  <c r="A2195" i="32"/>
  <c r="B2195" i="32" s="1"/>
  <c r="C2195" i="32"/>
  <c r="A2190" i="32"/>
  <c r="B2190" i="32" s="1"/>
  <c r="C2190" i="32"/>
  <c r="A231" i="32"/>
  <c r="B231" i="32" s="1"/>
  <c r="C231" i="32"/>
  <c r="A501" i="32"/>
  <c r="B501" i="32" s="1"/>
  <c r="C501" i="32"/>
  <c r="A2628" i="32"/>
  <c r="B2628" i="32" s="1"/>
  <c r="C2628" i="32"/>
  <c r="A996" i="32"/>
  <c r="B996" i="32" s="1"/>
  <c r="C996" i="32"/>
  <c r="A754" i="32"/>
  <c r="B754" i="32" s="1"/>
  <c r="C754" i="32"/>
  <c r="A1422" i="32"/>
  <c r="B1422" i="32" s="1"/>
  <c r="C1422" i="32"/>
  <c r="A1898" i="32"/>
  <c r="B1898" i="32" s="1"/>
  <c r="C1898" i="32"/>
  <c r="A1638" i="32"/>
  <c r="B1638" i="32" s="1"/>
  <c r="C1638" i="32"/>
  <c r="A1037" i="32"/>
  <c r="B1037" i="32" s="1"/>
  <c r="C1037" i="32"/>
  <c r="A552" i="32"/>
  <c r="B552" i="32" s="1"/>
  <c r="C552" i="32"/>
  <c r="A1558" i="32"/>
  <c r="B1558" i="32" s="1"/>
  <c r="C1558" i="32"/>
  <c r="A1627" i="32"/>
  <c r="B1627" i="32" s="1"/>
  <c r="C1627" i="32"/>
  <c r="A837" i="32"/>
  <c r="B837" i="32" s="1"/>
  <c r="C837" i="32"/>
  <c r="A174" i="32"/>
  <c r="B174" i="32" s="1"/>
  <c r="C174" i="32"/>
  <c r="A1515" i="32"/>
  <c r="B1515" i="32" s="1"/>
  <c r="C1515" i="32"/>
  <c r="A1192" i="32"/>
  <c r="B1192" i="32" s="1"/>
  <c r="C1192" i="32"/>
  <c r="A560" i="32"/>
  <c r="B560" i="32" s="1"/>
  <c r="C560" i="32"/>
  <c r="A180" i="32"/>
  <c r="B180" i="32" s="1"/>
  <c r="C180" i="32"/>
  <c r="A2796" i="32"/>
  <c r="B2796" i="32" s="1"/>
  <c r="C2796" i="32"/>
  <c r="A762" i="32"/>
  <c r="B762" i="32" s="1"/>
  <c r="C762" i="32"/>
  <c r="A1787" i="32"/>
  <c r="B1787" i="32" s="1"/>
  <c r="C1787" i="32"/>
  <c r="A124" i="32"/>
  <c r="B124" i="32" s="1"/>
  <c r="C124" i="32"/>
  <c r="A307" i="32"/>
  <c r="B307" i="32" s="1"/>
  <c r="C307" i="32"/>
  <c r="A1573" i="32"/>
  <c r="B1573" i="32" s="1"/>
  <c r="C1573" i="32"/>
  <c r="A186" i="32"/>
  <c r="B186" i="32" s="1"/>
  <c r="C186" i="32"/>
  <c r="A2544" i="32"/>
  <c r="B2544" i="32" s="1"/>
  <c r="C2544" i="32"/>
  <c r="A1605" i="32"/>
  <c r="B1605" i="32" s="1"/>
  <c r="C1605" i="32"/>
  <c r="A2417" i="32"/>
  <c r="B2417" i="32" s="1"/>
  <c r="C2417" i="32"/>
  <c r="A1373" i="32"/>
  <c r="B1373" i="32" s="1"/>
  <c r="C1373" i="32"/>
  <c r="A2801" i="32"/>
  <c r="B2801" i="32" s="1"/>
  <c r="C2801" i="32"/>
  <c r="A2298" i="32"/>
  <c r="B2298" i="32" s="1"/>
  <c r="C2298" i="32"/>
  <c r="A2593" i="32"/>
  <c r="B2593" i="32" s="1"/>
  <c r="C2593" i="32"/>
  <c r="A2116" i="32"/>
  <c r="B2116" i="32" s="1"/>
  <c r="C2116" i="32"/>
  <c r="A1460" i="32"/>
  <c r="B1460" i="32" s="1"/>
  <c r="C1460" i="32"/>
  <c r="A670" i="32"/>
  <c r="B670" i="32" s="1"/>
  <c r="C670" i="32"/>
  <c r="A2602" i="32"/>
  <c r="B2602" i="32" s="1"/>
  <c r="C2602" i="32"/>
  <c r="A1650" i="32"/>
  <c r="B1650" i="32" s="1"/>
  <c r="C1650" i="32"/>
  <c r="A652" i="32"/>
  <c r="B652" i="32" s="1"/>
  <c r="C652" i="32"/>
  <c r="A1048" i="32"/>
  <c r="B1048" i="32" s="1"/>
  <c r="C1048" i="32"/>
  <c r="A2622" i="32"/>
  <c r="B2622" i="32" s="1"/>
  <c r="C2622" i="32"/>
  <c r="A2153" i="32"/>
  <c r="B2153" i="32" s="1"/>
  <c r="C2153" i="32"/>
  <c r="A296" i="32"/>
  <c r="B296" i="32" s="1"/>
  <c r="C296" i="32"/>
  <c r="A2374" i="32"/>
  <c r="B2374" i="32" s="1"/>
  <c r="C2374" i="32"/>
  <c r="A393" i="32"/>
  <c r="B393" i="32" s="1"/>
  <c r="C393" i="32"/>
  <c r="A73" i="32"/>
  <c r="B73" i="32" s="1"/>
  <c r="C73" i="32"/>
  <c r="A1354" i="32"/>
  <c r="B1354" i="32" s="1"/>
  <c r="C1354" i="32"/>
  <c r="A1741" i="32"/>
  <c r="B1741" i="32" s="1"/>
  <c r="C1741" i="32"/>
  <c r="A911" i="32"/>
  <c r="B911" i="32" s="1"/>
  <c r="C911" i="32"/>
  <c r="A2226" i="32"/>
  <c r="B2226" i="32" s="1"/>
  <c r="C2226" i="32"/>
  <c r="A1318" i="32"/>
  <c r="B1318" i="32" s="1"/>
  <c r="C1318" i="32"/>
  <c r="A2193" i="32"/>
  <c r="B2193" i="32" s="1"/>
  <c r="C2193" i="32"/>
  <c r="A1179" i="32"/>
  <c r="B1179" i="32" s="1"/>
  <c r="C1179" i="32"/>
  <c r="A313" i="32"/>
  <c r="B313" i="32" s="1"/>
  <c r="C313" i="32"/>
  <c r="A2210" i="32"/>
  <c r="B2210" i="32" s="1"/>
  <c r="C2210" i="32"/>
  <c r="A2112" i="32"/>
  <c r="B2112" i="32" s="1"/>
  <c r="C2112" i="32"/>
  <c r="A44" i="32"/>
  <c r="B44" i="32" s="1"/>
  <c r="C44" i="32"/>
  <c r="A737" i="32"/>
  <c r="B737" i="32" s="1"/>
  <c r="C737" i="32"/>
  <c r="A1981" i="32"/>
  <c r="B1981" i="32" s="1"/>
  <c r="C1981" i="32"/>
  <c r="A2171" i="32"/>
  <c r="B2171" i="32" s="1"/>
  <c r="C2171" i="32"/>
  <c r="A1221" i="32"/>
  <c r="B1221" i="32" s="1"/>
  <c r="C1221" i="32"/>
  <c r="A987" i="32"/>
  <c r="B987" i="32" s="1"/>
  <c r="C987" i="32"/>
  <c r="A802" i="32"/>
  <c r="B802" i="32" s="1"/>
  <c r="C802" i="32"/>
  <c r="A2405" i="32"/>
  <c r="B2405" i="32" s="1"/>
  <c r="C2405" i="32"/>
  <c r="A2377" i="32"/>
  <c r="B2377" i="32" s="1"/>
  <c r="C2377" i="32"/>
  <c r="A2709" i="32"/>
  <c r="B2709" i="32" s="1"/>
  <c r="C2709" i="32"/>
  <c r="A1088" i="32"/>
  <c r="B1088" i="32" s="1"/>
  <c r="C1088" i="32"/>
  <c r="A2390" i="32"/>
  <c r="B2390" i="32" s="1"/>
  <c r="C2390" i="32"/>
  <c r="A1289" i="32"/>
  <c r="B1289" i="32" s="1"/>
  <c r="C1289" i="32"/>
  <c r="A2555" i="32"/>
  <c r="B2555" i="32" s="1"/>
  <c r="C2555" i="32"/>
  <c r="A2323" i="32"/>
  <c r="B2323" i="32" s="1"/>
  <c r="C2323" i="32"/>
  <c r="A2395" i="32"/>
  <c r="B2395" i="32" s="1"/>
  <c r="C2395" i="32"/>
  <c r="A27" i="32"/>
  <c r="B27" i="32" s="1"/>
  <c r="C27" i="32"/>
  <c r="A909" i="32"/>
  <c r="B909" i="32" s="1"/>
  <c r="C909" i="32"/>
  <c r="A1701" i="32"/>
  <c r="B1701" i="32" s="1"/>
  <c r="C1701" i="32"/>
  <c r="A1075" i="32"/>
  <c r="B1075" i="32" s="1"/>
  <c r="C1075" i="32"/>
  <c r="A1791" i="32"/>
  <c r="B1791" i="32" s="1"/>
  <c r="C1791" i="32"/>
  <c r="A1151" i="32"/>
  <c r="B1151" i="32" s="1"/>
  <c r="C1151" i="32"/>
  <c r="A1637" i="32"/>
  <c r="B1637" i="32" s="1"/>
  <c r="C1637" i="32"/>
  <c r="A469" i="32"/>
  <c r="B469" i="32" s="1"/>
  <c r="C469" i="32"/>
  <c r="A594" i="32"/>
  <c r="B594" i="32" s="1"/>
  <c r="C594" i="32"/>
  <c r="A2129" i="32"/>
  <c r="B2129" i="32" s="1"/>
  <c r="C2129" i="32"/>
  <c r="A2083" i="32"/>
  <c r="B2083" i="32" s="1"/>
  <c r="C2083" i="32"/>
  <c r="A2483" i="32"/>
  <c r="B2483" i="32" s="1"/>
  <c r="C2483" i="32"/>
  <c r="A1367" i="32"/>
  <c r="B1367" i="32" s="1"/>
  <c r="C1367" i="32"/>
  <c r="A22" i="32"/>
  <c r="B22" i="32" s="1"/>
  <c r="C22" i="32"/>
  <c r="A884" i="32"/>
  <c r="B884" i="32" s="1"/>
  <c r="C884" i="32"/>
  <c r="A154" i="32"/>
  <c r="B154" i="32" s="1"/>
  <c r="C154" i="32"/>
  <c r="A1389" i="32"/>
  <c r="B1389" i="32" s="1"/>
  <c r="C1389" i="32"/>
  <c r="A1156" i="32"/>
  <c r="B1156" i="32" s="1"/>
  <c r="C1156" i="32"/>
  <c r="A232" i="32"/>
  <c r="B232" i="32" s="1"/>
  <c r="C232" i="32"/>
  <c r="A280" i="32"/>
  <c r="B280" i="32" s="1"/>
  <c r="C280" i="32"/>
  <c r="A839" i="32"/>
  <c r="B839" i="32" s="1"/>
  <c r="C839" i="32"/>
  <c r="A804" i="32"/>
  <c r="B804" i="32" s="1"/>
  <c r="C804" i="32"/>
  <c r="A1534" i="32"/>
  <c r="B1534" i="32" s="1"/>
  <c r="C1534" i="32"/>
  <c r="A1685" i="32"/>
  <c r="B1685" i="32" s="1"/>
  <c r="C1685" i="32"/>
  <c r="A110" i="32"/>
  <c r="B110" i="32" s="1"/>
  <c r="C110" i="32"/>
  <c r="A2013" i="32"/>
  <c r="B2013" i="32" s="1"/>
  <c r="C2013" i="32"/>
  <c r="A2714" i="32"/>
  <c r="B2714" i="32" s="1"/>
  <c r="C2714" i="32"/>
  <c r="A1903" i="32"/>
  <c r="B1903" i="32" s="1"/>
  <c r="C1903" i="32"/>
  <c r="A1372" i="32"/>
  <c r="B1372" i="32" s="1"/>
  <c r="C1372" i="32"/>
  <c r="A1600" i="32"/>
  <c r="B1600" i="32" s="1"/>
  <c r="C1600" i="32"/>
  <c r="A2230" i="32"/>
  <c r="B2230" i="32" s="1"/>
  <c r="C2230" i="32"/>
  <c r="A1241" i="32"/>
  <c r="B1241" i="32" s="1"/>
  <c r="C1241" i="32"/>
  <c r="A1676" i="32"/>
  <c r="B1676" i="32" s="1"/>
  <c r="C1676" i="32"/>
  <c r="A2789" i="32"/>
  <c r="B2789" i="32" s="1"/>
  <c r="C2789" i="32"/>
  <c r="A2680" i="32"/>
  <c r="B2680" i="32" s="1"/>
  <c r="C2680" i="32"/>
  <c r="A886" i="32"/>
  <c r="B886" i="32" s="1"/>
  <c r="C886" i="32"/>
  <c r="A155" i="32"/>
  <c r="B155" i="32" s="1"/>
  <c r="C155" i="32"/>
  <c r="A447" i="32"/>
  <c r="B447" i="32" s="1"/>
  <c r="C447" i="32"/>
  <c r="A1092" i="32"/>
  <c r="B1092" i="32" s="1"/>
  <c r="C1092" i="32"/>
  <c r="A2124" i="32"/>
  <c r="B2124" i="32" s="1"/>
  <c r="C2124" i="32"/>
  <c r="A2690" i="32"/>
  <c r="B2690" i="32" s="1"/>
  <c r="C2690" i="32"/>
  <c r="A995" i="32"/>
  <c r="B995" i="32" s="1"/>
  <c r="C995" i="32"/>
  <c r="A648" i="32"/>
  <c r="B648" i="32" s="1"/>
  <c r="C648" i="32"/>
  <c r="A1060" i="32"/>
  <c r="B1060" i="32" s="1"/>
  <c r="C1060" i="32"/>
  <c r="A1292" i="32"/>
  <c r="B1292" i="32" s="1"/>
  <c r="C1292" i="32"/>
  <c r="A1758" i="32"/>
  <c r="B1758" i="32" s="1"/>
  <c r="C1758" i="32"/>
  <c r="A176" i="32"/>
  <c r="B176" i="32" s="1"/>
  <c r="C176" i="32"/>
  <c r="A346" i="32"/>
  <c r="B346" i="32" s="1"/>
  <c r="C346" i="32"/>
  <c r="A904" i="32"/>
  <c r="B904" i="32" s="1"/>
  <c r="C904" i="32"/>
  <c r="A2220" i="32"/>
  <c r="B2220" i="32" s="1"/>
  <c r="C2220" i="32"/>
  <c r="A1785" i="32"/>
  <c r="B1785" i="32" s="1"/>
  <c r="C1785" i="32"/>
  <c r="A1302" i="32"/>
  <c r="B1302" i="32" s="1"/>
  <c r="C1302" i="32"/>
  <c r="A1423" i="32"/>
  <c r="B1423" i="32" s="1"/>
  <c r="C1423" i="32"/>
  <c r="A1274" i="32"/>
  <c r="B1274" i="32" s="1"/>
  <c r="C1274" i="32"/>
  <c r="A1439" i="32"/>
  <c r="B1439" i="32" s="1"/>
  <c r="C1439" i="32"/>
  <c r="A2491" i="32"/>
  <c r="B2491" i="32" s="1"/>
  <c r="C2491" i="32"/>
  <c r="A458" i="32"/>
  <c r="B458" i="32" s="1"/>
  <c r="C458" i="32"/>
  <c r="A2234" i="32"/>
  <c r="B2234" i="32" s="1"/>
  <c r="C2234" i="32"/>
  <c r="A1767" i="32"/>
  <c r="B1767" i="32" s="1"/>
  <c r="C1767" i="32"/>
  <c r="A2127" i="32"/>
  <c r="B2127" i="32" s="1"/>
  <c r="C2127" i="32"/>
  <c r="A1067" i="32"/>
  <c r="B1067" i="32" s="1"/>
  <c r="C1067" i="32"/>
  <c r="A2601" i="32"/>
  <c r="B2601" i="32" s="1"/>
  <c r="C2601" i="32"/>
  <c r="A1784" i="32"/>
  <c r="B1784" i="32" s="1"/>
  <c r="C1784" i="32"/>
  <c r="A2178" i="32"/>
  <c r="B2178" i="32" s="1"/>
  <c r="C2178" i="32"/>
  <c r="A771" i="32"/>
  <c r="B771" i="32" s="1"/>
  <c r="C771" i="32"/>
  <c r="A2274" i="32"/>
  <c r="B2274" i="32" s="1"/>
  <c r="C2274" i="32"/>
  <c r="A1458" i="32"/>
  <c r="B1458" i="32" s="1"/>
  <c r="C1458" i="32"/>
  <c r="A2630" i="32"/>
  <c r="B2630" i="32" s="1"/>
  <c r="C2630" i="32"/>
  <c r="A1074" i="32"/>
  <c r="B1074" i="32" s="1"/>
  <c r="C1074" i="32"/>
  <c r="A2209" i="32"/>
  <c r="B2209" i="32" s="1"/>
  <c r="C2209" i="32"/>
  <c r="A2523" i="32"/>
  <c r="B2523" i="32" s="1"/>
  <c r="C2523" i="32"/>
  <c r="A2688" i="32"/>
  <c r="B2688" i="32" s="1"/>
  <c r="C2688" i="32"/>
  <c r="A175" i="32"/>
  <c r="B175" i="32" s="1"/>
  <c r="C175" i="32"/>
  <c r="A266" i="32"/>
  <c r="B266" i="32" s="1"/>
  <c r="C266" i="32"/>
  <c r="A589" i="32"/>
  <c r="B589" i="32" s="1"/>
  <c r="C589" i="32"/>
  <c r="A976" i="32"/>
  <c r="B976" i="32" s="1"/>
  <c r="C976" i="32"/>
  <c r="A435" i="32"/>
  <c r="B435" i="32" s="1"/>
  <c r="C435" i="32"/>
  <c r="A108" i="32"/>
  <c r="B108" i="32" s="1"/>
  <c r="C108" i="32"/>
  <c r="A1396" i="32"/>
  <c r="B1396" i="32" s="1"/>
  <c r="C1396" i="32"/>
  <c r="A688" i="32"/>
  <c r="B688" i="32" s="1"/>
  <c r="C688" i="32"/>
  <c r="A836" i="32"/>
  <c r="B836" i="32" s="1"/>
  <c r="C836" i="32"/>
  <c r="A1245" i="32"/>
  <c r="B1245" i="32" s="1"/>
  <c r="C1245" i="32"/>
  <c r="A876" i="32"/>
  <c r="B876" i="32" s="1"/>
  <c r="C876" i="32"/>
  <c r="A78" i="32"/>
  <c r="B78" i="32" s="1"/>
  <c r="C78" i="32"/>
  <c r="A603" i="32"/>
  <c r="B603" i="32" s="1"/>
  <c r="C603" i="32"/>
  <c r="A1186" i="32"/>
  <c r="B1186" i="32" s="1"/>
  <c r="C1186" i="32"/>
  <c r="A1560" i="32"/>
  <c r="B1560" i="32" s="1"/>
  <c r="C1560" i="32"/>
  <c r="A2387" i="32"/>
  <c r="B2387" i="32" s="1"/>
  <c r="C2387" i="32"/>
  <c r="A547" i="32"/>
  <c r="B547" i="32" s="1"/>
  <c r="C547" i="32"/>
  <c r="A910" i="32"/>
  <c r="B910" i="32" s="1"/>
  <c r="C910" i="32"/>
  <c r="A1978" i="32"/>
  <c r="B1978" i="32" s="1"/>
  <c r="C1978" i="32"/>
  <c r="A1137" i="32"/>
  <c r="B1137" i="32" s="1"/>
  <c r="C1137" i="32"/>
  <c r="A1133" i="32"/>
  <c r="B1133" i="32" s="1"/>
  <c r="C1133" i="32"/>
  <c r="A1244" i="32"/>
  <c r="B1244" i="32" s="1"/>
  <c r="C1244" i="32"/>
  <c r="A669" i="32"/>
  <c r="B669" i="32" s="1"/>
  <c r="C669" i="32"/>
  <c r="A2181" i="32"/>
  <c r="B2181" i="32" s="1"/>
  <c r="C2181" i="32"/>
  <c r="A1742" i="32"/>
  <c r="B1742" i="32" s="1"/>
  <c r="C1742" i="32"/>
  <c r="A1453" i="32"/>
  <c r="B1453" i="32" s="1"/>
  <c r="C1453" i="32"/>
  <c r="A939" i="32"/>
  <c r="B939" i="32" s="1"/>
  <c r="C939" i="32"/>
  <c r="A1513" i="32"/>
  <c r="B1513" i="32" s="1"/>
  <c r="C1513" i="32"/>
  <c r="A504" i="32"/>
  <c r="B504" i="32" s="1"/>
  <c r="C504" i="32"/>
  <c r="A2135" i="32"/>
  <c r="B2135" i="32" s="1"/>
  <c r="C2135" i="32"/>
  <c r="A1213" i="32"/>
  <c r="B1213" i="32" s="1"/>
  <c r="C1213" i="32"/>
  <c r="A1276" i="32"/>
  <c r="B1276" i="32" s="1"/>
  <c r="C1276" i="32"/>
  <c r="A461" i="32"/>
  <c r="B461" i="32" s="1"/>
  <c r="C461" i="32"/>
  <c r="A493" i="32"/>
  <c r="B493" i="32" s="1"/>
  <c r="C493" i="32"/>
  <c r="A2131" i="32"/>
  <c r="B2131" i="32" s="1"/>
  <c r="C2131" i="32"/>
  <c r="A743" i="32"/>
  <c r="B743" i="32" s="1"/>
  <c r="C743" i="32"/>
  <c r="A1233" i="32"/>
  <c r="B1233" i="32" s="1"/>
  <c r="C1233" i="32"/>
  <c r="A2735" i="32"/>
  <c r="B2735" i="32" s="1"/>
  <c r="C2735" i="32"/>
  <c r="A686" i="32"/>
  <c r="B686" i="32" s="1"/>
  <c r="C686" i="32"/>
  <c r="A1129" i="32"/>
  <c r="B1129" i="32" s="1"/>
  <c r="C1129" i="32"/>
  <c r="A1393" i="32"/>
  <c r="B1393" i="32" s="1"/>
  <c r="C1393" i="32"/>
  <c r="A725" i="32"/>
  <c r="B725" i="32" s="1"/>
  <c r="C725" i="32"/>
  <c r="A2161" i="32"/>
  <c r="B2161" i="32" s="1"/>
  <c r="C2161" i="32"/>
  <c r="A988" i="32"/>
  <c r="B988" i="32" s="1"/>
  <c r="C988" i="32"/>
  <c r="A2244" i="32"/>
  <c r="B2244" i="32" s="1"/>
  <c r="C2244" i="32"/>
  <c r="A1047" i="32"/>
  <c r="B1047" i="32" s="1"/>
  <c r="C1047" i="32"/>
  <c r="A128" i="32"/>
  <c r="B128" i="32" s="1"/>
  <c r="C128" i="32"/>
  <c r="A1636" i="32"/>
  <c r="B1636" i="32" s="1"/>
  <c r="C1636" i="32"/>
  <c r="A1633" i="32"/>
  <c r="B1633" i="32" s="1"/>
  <c r="C1633" i="32"/>
  <c r="A2137" i="32"/>
  <c r="B2137" i="32" s="1"/>
  <c r="C2137" i="32"/>
  <c r="A299" i="32"/>
  <c r="B299" i="32" s="1"/>
  <c r="C299" i="32"/>
  <c r="A2026" i="32"/>
  <c r="B2026" i="32" s="1"/>
  <c r="C2026" i="32"/>
  <c r="A2623" i="32"/>
  <c r="B2623" i="32" s="1"/>
  <c r="C2623" i="32"/>
  <c r="A2014" i="32"/>
  <c r="B2014" i="32" s="1"/>
  <c r="C2014" i="32"/>
  <c r="A325" i="32"/>
  <c r="B325" i="32" s="1"/>
  <c r="C325" i="32"/>
  <c r="A48" i="32"/>
  <c r="B48" i="32" s="1"/>
  <c r="C48" i="32"/>
  <c r="A2721" i="32"/>
  <c r="B2721" i="32" s="1"/>
  <c r="C2721" i="32"/>
  <c r="A230" i="32"/>
  <c r="B230" i="32" s="1"/>
  <c r="C230" i="32"/>
  <c r="A2464" i="32"/>
  <c r="B2464" i="32" s="1"/>
  <c r="C2464" i="32"/>
  <c r="A632" i="32"/>
  <c r="B632" i="32" s="1"/>
  <c r="C632" i="32"/>
  <c r="A2257" i="32"/>
  <c r="B2257" i="32" s="1"/>
  <c r="C2257" i="32"/>
  <c r="A1872" i="32"/>
  <c r="B1872" i="32" s="1"/>
  <c r="C1872" i="32"/>
  <c r="A1700" i="32"/>
  <c r="B1700" i="32" s="1"/>
  <c r="C1700" i="32"/>
  <c r="A1827" i="32"/>
  <c r="B1827" i="32" s="1"/>
  <c r="C1827" i="32"/>
  <c r="A1628" i="32"/>
  <c r="B1628" i="32" s="1"/>
  <c r="C1628" i="32"/>
  <c r="A2732" i="32"/>
  <c r="B2732" i="32" s="1"/>
  <c r="C2732" i="32"/>
  <c r="A1863" i="32"/>
  <c r="B1863" i="32" s="1"/>
  <c r="C1863" i="32"/>
  <c r="A2398" i="32"/>
  <c r="B2398" i="32" s="1"/>
  <c r="C2398" i="32"/>
  <c r="A1759" i="32"/>
  <c r="B1759" i="32" s="1"/>
  <c r="C1759" i="32"/>
  <c r="A1286" i="32"/>
  <c r="B1286" i="32" s="1"/>
  <c r="C1286" i="32"/>
  <c r="A146" i="32"/>
  <c r="B146" i="32" s="1"/>
  <c r="C146" i="32"/>
  <c r="A1905" i="32"/>
  <c r="B1905" i="32" s="1"/>
  <c r="C1905" i="32"/>
  <c r="A1388" i="32"/>
  <c r="B1388" i="32" s="1"/>
  <c r="C1388" i="32"/>
  <c r="A1816" i="32"/>
  <c r="B1816" i="32" s="1"/>
  <c r="C1816" i="32"/>
  <c r="A1358" i="32"/>
  <c r="B1358" i="32" s="1"/>
  <c r="C1358" i="32"/>
  <c r="A2080" i="32"/>
  <c r="B2080" i="32" s="1"/>
  <c r="C2080" i="32"/>
  <c r="A1883" i="32"/>
  <c r="B1883" i="32" s="1"/>
  <c r="C1883" i="32"/>
  <c r="A257" i="32"/>
  <c r="B257" i="32" s="1"/>
  <c r="C257" i="32"/>
  <c r="A789" i="32"/>
  <c r="B789" i="32" s="1"/>
  <c r="C789" i="32"/>
  <c r="A2561" i="32"/>
  <c r="B2561" i="32" s="1"/>
  <c r="C2561" i="32"/>
  <c r="A2458" i="32"/>
  <c r="B2458" i="32" s="1"/>
  <c r="C2458" i="32"/>
  <c r="A2063" i="32"/>
  <c r="B2063" i="32" s="1"/>
  <c r="C2063" i="32"/>
  <c r="A759" i="32"/>
  <c r="B759" i="32" s="1"/>
  <c r="C759" i="32"/>
  <c r="A18" i="32"/>
  <c r="B18" i="32" s="1"/>
  <c r="C18" i="32"/>
  <c r="A157" i="32"/>
  <c r="B157" i="32" s="1"/>
  <c r="C157" i="32"/>
  <c r="A690" i="32"/>
  <c r="B690" i="32" s="1"/>
  <c r="C690" i="32"/>
  <c r="A88" i="32"/>
  <c r="B88" i="32" s="1"/>
  <c r="C88" i="32"/>
  <c r="A1020" i="32"/>
  <c r="B1020" i="32" s="1"/>
  <c r="C1020" i="32"/>
  <c r="A1314" i="32"/>
  <c r="B1314" i="32" s="1"/>
  <c r="C1314" i="32"/>
  <c r="A446" i="32"/>
  <c r="B446" i="32" s="1"/>
  <c r="C446" i="32"/>
  <c r="A796" i="32"/>
  <c r="B796" i="32" s="1"/>
  <c r="C796" i="32"/>
  <c r="A1540" i="32"/>
  <c r="B1540" i="32" s="1"/>
  <c r="C1540" i="32"/>
  <c r="A1770" i="32"/>
  <c r="B1770" i="32" s="1"/>
  <c r="C1770" i="32"/>
  <c r="A935" i="32"/>
  <c r="B935" i="32" s="1"/>
  <c r="C935" i="32"/>
  <c r="A1584" i="32"/>
  <c r="B1584" i="32" s="1"/>
  <c r="C1584" i="32"/>
  <c r="A810" i="32"/>
  <c r="B810" i="32" s="1"/>
  <c r="C810" i="32"/>
  <c r="A2300" i="32"/>
  <c r="B2300" i="32" s="1"/>
  <c r="C2300" i="32"/>
  <c r="A1260" i="32"/>
  <c r="B1260" i="32" s="1"/>
  <c r="C1260" i="32"/>
  <c r="A730" i="32"/>
  <c r="B730" i="32" s="1"/>
  <c r="C730" i="32"/>
  <c r="A2019" i="32"/>
  <c r="B2019" i="32" s="1"/>
  <c r="C2019" i="32"/>
  <c r="A370" i="32"/>
  <c r="B370" i="32" s="1"/>
  <c r="C370" i="32"/>
  <c r="A46" i="32"/>
  <c r="B46" i="32" s="1"/>
  <c r="C46" i="32"/>
  <c r="A2350" i="32"/>
  <c r="B2350" i="32" s="1"/>
  <c r="C2350" i="32"/>
  <c r="A888" i="32"/>
  <c r="B888" i="32" s="1"/>
  <c r="C888" i="32"/>
  <c r="A1386" i="32"/>
  <c r="B1386" i="32" s="1"/>
  <c r="C1386" i="32"/>
  <c r="A2287" i="32"/>
  <c r="B2287" i="32" s="1"/>
  <c r="C2287" i="32"/>
  <c r="A1324" i="32"/>
  <c r="B1324" i="32" s="1"/>
  <c r="C1324" i="32"/>
  <c r="A2331" i="32"/>
  <c r="B2331" i="32" s="1"/>
  <c r="C2331" i="32"/>
  <c r="A965" i="32"/>
  <c r="B965" i="32" s="1"/>
  <c r="C965" i="32"/>
  <c r="A1732" i="32"/>
  <c r="B1732" i="32" s="1"/>
  <c r="C1732" i="32"/>
  <c r="A481" i="32"/>
  <c r="B481" i="32" s="1"/>
  <c r="C481" i="32"/>
  <c r="A1526" i="32"/>
  <c r="B1526" i="32" s="1"/>
  <c r="C1526" i="32"/>
  <c r="A2470" i="32"/>
  <c r="B2470" i="32" s="1"/>
  <c r="C2470" i="32"/>
  <c r="A1815" i="32"/>
  <c r="B1815" i="32" s="1"/>
  <c r="C1815" i="32"/>
  <c r="A1848" i="32"/>
  <c r="B1848" i="32" s="1"/>
  <c r="C1848" i="32"/>
  <c r="A627" i="32"/>
  <c r="B627" i="32" s="1"/>
  <c r="C627" i="32"/>
  <c r="A997" i="32"/>
  <c r="B997" i="32" s="1"/>
  <c r="C997" i="32"/>
  <c r="A1904" i="32"/>
  <c r="B1904" i="32" s="1"/>
  <c r="C1904" i="32"/>
  <c r="A2496" i="32"/>
  <c r="B2496" i="32" s="1"/>
  <c r="C2496" i="32"/>
  <c r="A1401" i="32"/>
  <c r="B1401" i="32" s="1"/>
  <c r="C1401" i="32"/>
  <c r="A602" i="32"/>
  <c r="B602" i="32" s="1"/>
  <c r="C602" i="32"/>
  <c r="A1452" i="32"/>
  <c r="B1452" i="32" s="1"/>
  <c r="C1452" i="32"/>
  <c r="A1846" i="32"/>
  <c r="B1846" i="32" s="1"/>
  <c r="C1846" i="32"/>
  <c r="A2670" i="32"/>
  <c r="B2670" i="32" s="1"/>
  <c r="C2670" i="32"/>
  <c r="A2232" i="32"/>
  <c r="B2232" i="32" s="1"/>
  <c r="C2232" i="32"/>
  <c r="A705" i="32"/>
  <c r="B705" i="32" s="1"/>
  <c r="C705" i="32"/>
  <c r="A1910" i="32"/>
  <c r="B1910" i="32" s="1"/>
  <c r="C1910" i="32"/>
  <c r="A301" i="32"/>
  <c r="B301" i="32" s="1"/>
  <c r="C301" i="32"/>
  <c r="A1920" i="32"/>
  <c r="B1920" i="32" s="1"/>
  <c r="C1920" i="32"/>
  <c r="A713" i="32"/>
  <c r="B713" i="32" s="1"/>
  <c r="C713" i="32"/>
  <c r="A102" i="32"/>
  <c r="B102" i="32" s="1"/>
  <c r="C102" i="32"/>
  <c r="A1857" i="32"/>
  <c r="B1857" i="32" s="1"/>
  <c r="C1857" i="32"/>
  <c r="A2413" i="32"/>
  <c r="B2413" i="32" s="1"/>
  <c r="C2413" i="32"/>
  <c r="A1803" i="32"/>
  <c r="B1803" i="32" s="1"/>
  <c r="C1803" i="32"/>
  <c r="A318" i="32"/>
  <c r="B318" i="32" s="1"/>
  <c r="C318" i="32"/>
  <c r="A247" i="32"/>
  <c r="B247" i="32" s="1"/>
  <c r="C247" i="32"/>
  <c r="A787" i="32"/>
  <c r="B787" i="32" s="1"/>
  <c r="C787" i="32"/>
  <c r="A187" i="32"/>
  <c r="B187" i="32" s="1"/>
  <c r="C187" i="32"/>
  <c r="A2003" i="32"/>
  <c r="B2003" i="32" s="1"/>
  <c r="C2003" i="32"/>
  <c r="A1010" i="32"/>
  <c r="B1010" i="32" s="1"/>
  <c r="C1010" i="32"/>
  <c r="A775" i="32"/>
  <c r="B775" i="32" s="1"/>
  <c r="C775" i="32"/>
  <c r="A2740" i="32"/>
  <c r="B2740" i="32" s="1"/>
  <c r="C2740" i="32"/>
  <c r="A2328" i="32"/>
  <c r="B2328" i="32" s="1"/>
  <c r="C2328" i="32"/>
  <c r="A1447" i="32"/>
  <c r="B1447" i="32" s="1"/>
  <c r="C1447" i="32"/>
  <c r="A2524" i="32"/>
  <c r="B2524" i="32" s="1"/>
  <c r="C2524" i="32"/>
  <c r="A511" i="32"/>
  <c r="B511" i="32" s="1"/>
  <c r="C511" i="32"/>
  <c r="A1345" i="32"/>
  <c r="B1345" i="32" s="1"/>
  <c r="C1345" i="32"/>
  <c r="A17" i="32"/>
  <c r="B17" i="32" s="1"/>
  <c r="C17" i="32"/>
  <c r="A246" i="32"/>
  <c r="B246" i="32" s="1"/>
  <c r="C246" i="32"/>
  <c r="A1683" i="32"/>
  <c r="B1683" i="32" s="1"/>
  <c r="C1683" i="32"/>
  <c r="A1140" i="32"/>
  <c r="B1140" i="32" s="1"/>
  <c r="C1140" i="32"/>
  <c r="A661" i="32"/>
  <c r="B661" i="32" s="1"/>
  <c r="C661" i="32"/>
  <c r="A1316" i="32"/>
  <c r="B1316" i="32" s="1"/>
  <c r="C1316" i="32"/>
  <c r="A8" i="32"/>
  <c r="B8" i="32" s="1"/>
  <c r="C8" i="32"/>
  <c r="A2356" i="32"/>
  <c r="B2356" i="32" s="1"/>
  <c r="C2356" i="32"/>
  <c r="A76" i="32"/>
  <c r="B76" i="32" s="1"/>
  <c r="C76" i="32"/>
  <c r="A1575" i="32"/>
  <c r="B1575" i="32" s="1"/>
  <c r="C1575" i="32"/>
  <c r="A147" i="32"/>
  <c r="B147" i="32" s="1"/>
  <c r="C147" i="32"/>
  <c r="A1002" i="32"/>
  <c r="B1002" i="32" s="1"/>
  <c r="C1002" i="32"/>
  <c r="A224" i="32"/>
  <c r="B224" i="32" s="1"/>
  <c r="C224" i="32"/>
  <c r="A793" i="32"/>
  <c r="B793" i="32" s="1"/>
  <c r="C793" i="32"/>
  <c r="A457" i="32"/>
  <c r="B457" i="32" s="1"/>
  <c r="C457" i="32"/>
  <c r="A14" i="32"/>
  <c r="B14" i="32" s="1"/>
  <c r="C14" i="32"/>
  <c r="A161" i="32"/>
  <c r="B161" i="32" s="1"/>
  <c r="C161" i="32"/>
  <c r="A2559" i="32"/>
  <c r="B2559" i="32" s="1"/>
  <c r="C2559" i="32"/>
  <c r="A1464" i="32"/>
  <c r="B1464" i="32" s="1"/>
  <c r="C1464" i="32"/>
  <c r="A1362" i="32"/>
  <c r="B1362" i="32" s="1"/>
  <c r="C1362" i="32"/>
  <c r="A496" i="32"/>
  <c r="B496" i="32" s="1"/>
  <c r="C496" i="32"/>
  <c r="A1652" i="32"/>
  <c r="B1652" i="32" s="1"/>
  <c r="C1652" i="32"/>
  <c r="A1472" i="32"/>
  <c r="B1472" i="32" s="1"/>
  <c r="C1472" i="32"/>
  <c r="A2360" i="32"/>
  <c r="B2360" i="32" s="1"/>
  <c r="C2360" i="32"/>
  <c r="A1098" i="32"/>
  <c r="B1098" i="32" s="1"/>
  <c r="C1098" i="32"/>
  <c r="A1085" i="32"/>
  <c r="B1085" i="32" s="1"/>
  <c r="C1085" i="32"/>
  <c r="A1317" i="32"/>
  <c r="B1317" i="32" s="1"/>
  <c r="C1317" i="32"/>
  <c r="A2434" i="32"/>
  <c r="B2434" i="32" s="1"/>
  <c r="C2434" i="32"/>
  <c r="A1043" i="32"/>
  <c r="B1043" i="32" s="1"/>
  <c r="C1043" i="32"/>
  <c r="A1782" i="32"/>
  <c r="B1782" i="32" s="1"/>
  <c r="C1782" i="32"/>
  <c r="A2056" i="32"/>
  <c r="B2056" i="32" s="1"/>
  <c r="C2056" i="32"/>
  <c r="A2352" i="32"/>
  <c r="B2352" i="32" s="1"/>
  <c r="C2352" i="32"/>
  <c r="A1325" i="32"/>
  <c r="B1325" i="32" s="1"/>
  <c r="C1325" i="32"/>
  <c r="A2527" i="32"/>
  <c r="B2527" i="32" s="1"/>
  <c r="C2527" i="32"/>
  <c r="A1760" i="32"/>
  <c r="B1760" i="32" s="1"/>
  <c r="C1760" i="32"/>
  <c r="A2094" i="32"/>
  <c r="B2094" i="32" s="1"/>
  <c r="C2094" i="32"/>
  <c r="A1476" i="32"/>
  <c r="B1476" i="32" s="1"/>
  <c r="C1476" i="32"/>
  <c r="A553" i="32"/>
  <c r="B553" i="32" s="1"/>
  <c r="C553" i="32"/>
  <c r="A1212" i="32"/>
  <c r="B1212" i="32" s="1"/>
  <c r="C1212" i="32"/>
  <c r="A1189" i="32"/>
  <c r="B1189" i="32" s="1"/>
  <c r="C1189" i="32"/>
  <c r="A1477" i="32"/>
  <c r="B1477" i="32" s="1"/>
  <c r="C1477" i="32"/>
  <c r="A2034" i="32"/>
  <c r="B2034" i="32" s="1"/>
  <c r="C2034" i="32"/>
  <c r="A1865" i="32"/>
  <c r="B1865" i="32" s="1"/>
  <c r="C1865" i="32"/>
  <c r="A2099" i="32"/>
  <c r="B2099" i="32" s="1"/>
  <c r="C2099" i="32"/>
  <c r="A1483" i="32"/>
  <c r="B1483" i="32" s="1"/>
  <c r="C1483" i="32"/>
  <c r="A2183" i="32"/>
  <c r="B2183" i="32" s="1"/>
  <c r="C2183" i="32"/>
  <c r="A2152" i="32"/>
  <c r="B2152" i="32" s="1"/>
  <c r="C2152" i="32"/>
  <c r="A2204" i="32"/>
  <c r="B2204" i="32" s="1"/>
  <c r="C2204" i="32"/>
  <c r="A1034" i="32"/>
  <c r="B1034" i="32" s="1"/>
  <c r="C1034" i="32"/>
  <c r="A1955" i="32"/>
  <c r="B1955" i="32" s="1"/>
  <c r="C1955" i="32"/>
  <c r="A449" i="32"/>
  <c r="B449" i="32" s="1"/>
  <c r="C449" i="32"/>
  <c r="A145" i="32"/>
  <c r="B145" i="32" s="1"/>
  <c r="C145" i="32"/>
  <c r="A2022" i="32"/>
  <c r="B2022" i="32" s="1"/>
  <c r="C2022" i="32"/>
  <c r="A317" i="32"/>
  <c r="B317" i="32" s="1"/>
  <c r="C317" i="32"/>
  <c r="A2366" i="32"/>
  <c r="B2366" i="32" s="1"/>
  <c r="C2366" i="32"/>
  <c r="A949" i="32"/>
  <c r="B949" i="32" s="1"/>
  <c r="C949" i="32"/>
  <c r="A1811" i="32"/>
  <c r="B1811" i="32" s="1"/>
  <c r="C1811" i="32"/>
  <c r="A1208" i="32"/>
  <c r="B1208" i="32" s="1"/>
  <c r="C1208" i="32"/>
  <c r="A1488" i="32"/>
  <c r="B1488" i="32" s="1"/>
  <c r="C1488" i="32"/>
  <c r="A2427" i="32"/>
  <c r="B2427" i="32" s="1"/>
  <c r="C2427" i="32"/>
  <c r="A2792" i="32"/>
  <c r="B2792" i="32" s="1"/>
  <c r="C2792" i="32"/>
  <c r="A858" i="32"/>
  <c r="B858" i="32" s="1"/>
  <c r="C858" i="32"/>
  <c r="A1507" i="32"/>
  <c r="B1507" i="32" s="1"/>
  <c r="C1507" i="32"/>
  <c r="A414" i="32"/>
  <c r="B414" i="32" s="1"/>
  <c r="C414" i="32"/>
  <c r="A757" i="32"/>
  <c r="B757" i="32" s="1"/>
  <c r="C757" i="32"/>
  <c r="A1262" i="32"/>
  <c r="B1262" i="32" s="1"/>
  <c r="C1262" i="32"/>
  <c r="A96" i="32"/>
  <c r="B96" i="32" s="1"/>
  <c r="C96" i="32"/>
  <c r="A2803" i="32"/>
  <c r="B2803" i="32" s="1"/>
  <c r="C2803" i="32"/>
  <c r="A1152" i="32"/>
  <c r="B1152" i="32" s="1"/>
  <c r="C1152" i="32"/>
  <c r="A2090" i="32"/>
  <c r="B2090" i="32" s="1"/>
  <c r="C2090" i="32"/>
  <c r="A2332" i="32"/>
  <c r="B2332" i="32" s="1"/>
  <c r="C2332" i="32"/>
  <c r="A314" i="32"/>
  <c r="B314" i="32" s="1"/>
  <c r="C314" i="32"/>
  <c r="A931" i="32"/>
  <c r="B931" i="32" s="1"/>
  <c r="C931" i="32"/>
  <c r="A1631" i="32"/>
  <c r="B1631" i="32" s="1"/>
  <c r="C1631" i="32"/>
  <c r="A2731" i="32"/>
  <c r="B2731" i="32" s="1"/>
  <c r="C2731" i="32"/>
  <c r="A2689" i="32"/>
  <c r="B2689" i="32" s="1"/>
  <c r="C2689" i="32"/>
  <c r="A2036" i="32"/>
  <c r="B2036" i="32" s="1"/>
  <c r="C2036" i="32"/>
  <c r="A2638" i="32"/>
  <c r="B2638" i="32" s="1"/>
  <c r="C2638" i="32"/>
  <c r="A1626" i="32"/>
  <c r="B1626" i="32" s="1"/>
  <c r="C1626" i="32"/>
  <c r="A2746" i="32"/>
  <c r="B2746" i="32" s="1"/>
  <c r="C2746" i="32"/>
  <c r="A160" i="32"/>
  <c r="B160" i="32" s="1"/>
  <c r="C160" i="32"/>
  <c r="A567" i="32"/>
  <c r="B567" i="32" s="1"/>
  <c r="C567" i="32"/>
  <c r="A2454" i="32"/>
  <c r="B2454" i="32" s="1"/>
  <c r="C2454" i="32"/>
  <c r="A2592" i="32"/>
  <c r="B2592" i="32" s="1"/>
  <c r="C2592" i="32"/>
  <c r="A2596" i="32"/>
  <c r="B2596" i="32" s="1"/>
  <c r="C2596" i="32"/>
  <c r="A528" i="32"/>
  <c r="B528" i="32" s="1"/>
  <c r="C528" i="32"/>
  <c r="A2435" i="32"/>
  <c r="B2435" i="32" s="1"/>
  <c r="C2435" i="32"/>
  <c r="A1894" i="32"/>
  <c r="B1894" i="32" s="1"/>
  <c r="C1894" i="32"/>
  <c r="A238" i="32"/>
  <c r="B238" i="32" s="1"/>
  <c r="C238" i="32"/>
  <c r="A359" i="32"/>
  <c r="B359" i="32" s="1"/>
  <c r="C359" i="32"/>
  <c r="A1280" i="32"/>
  <c r="B1280" i="32" s="1"/>
  <c r="C1280" i="32"/>
  <c r="A2703" i="32"/>
  <c r="B2703" i="32" s="1"/>
  <c r="C2703" i="32"/>
  <c r="A680" i="32"/>
  <c r="B680" i="32" s="1"/>
  <c r="C680" i="32"/>
  <c r="A2654" i="32"/>
  <c r="B2654" i="32" s="1"/>
  <c r="C2654" i="32"/>
  <c r="A2581" i="32"/>
  <c r="B2581" i="32" s="1"/>
  <c r="C2581" i="32"/>
  <c r="A963" i="32"/>
  <c r="B963" i="32" s="1"/>
  <c r="C963" i="32"/>
  <c r="A1754" i="32"/>
  <c r="B1754" i="32" s="1"/>
  <c r="C1754" i="32"/>
  <c r="A1913" i="32"/>
  <c r="B1913" i="32" s="1"/>
  <c r="C1913" i="32"/>
  <c r="A1344" i="32"/>
  <c r="B1344" i="32" s="1"/>
  <c r="C1344" i="32"/>
  <c r="A2214" i="32"/>
  <c r="B2214" i="32" s="1"/>
  <c r="C2214" i="32"/>
  <c r="A1046" i="32"/>
  <c r="B1046" i="32" s="1"/>
  <c r="C1046" i="32"/>
  <c r="A2156" i="32"/>
  <c r="B2156" i="32" s="1"/>
  <c r="C2156" i="32"/>
  <c r="A2633" i="32"/>
  <c r="B2633" i="32" s="1"/>
  <c r="C2633" i="32"/>
  <c r="A1220" i="32"/>
  <c r="B1220" i="32" s="1"/>
  <c r="C1220" i="32"/>
  <c r="A1999" i="32"/>
  <c r="B1999" i="32" s="1"/>
  <c r="C1999" i="32"/>
  <c r="A206" i="32"/>
  <c r="B206" i="32" s="1"/>
  <c r="C206" i="32"/>
  <c r="A236" i="32"/>
  <c r="B236" i="32" s="1"/>
  <c r="C236" i="32"/>
  <c r="A2253" i="32"/>
  <c r="B2253" i="32" s="1"/>
  <c r="C2253" i="32"/>
  <c r="A2489" i="32"/>
  <c r="B2489" i="32" s="1"/>
  <c r="C2489" i="32"/>
  <c r="A2502" i="32"/>
  <c r="B2502" i="32" s="1"/>
  <c r="C2502" i="32"/>
  <c r="A1073" i="32"/>
  <c r="B1073" i="32" s="1"/>
  <c r="C1073" i="32"/>
  <c r="A1149" i="32"/>
  <c r="B1149" i="32" s="1"/>
  <c r="C1149" i="32"/>
  <c r="A1718" i="32"/>
  <c r="B1718" i="32" s="1"/>
  <c r="C1718" i="32"/>
  <c r="A854" i="32"/>
  <c r="B854" i="32" s="1"/>
  <c r="C854" i="32"/>
  <c r="A2383" i="32"/>
  <c r="B2383" i="32" s="1"/>
  <c r="C2383" i="32"/>
  <c r="A562" i="32"/>
  <c r="B562" i="32" s="1"/>
  <c r="C562" i="32"/>
  <c r="A2462" i="32"/>
  <c r="B2462" i="32" s="1"/>
  <c r="C2462" i="32"/>
  <c r="A2772" i="32"/>
  <c r="B2772" i="32" s="1"/>
  <c r="C2772" i="32"/>
  <c r="A113" i="32"/>
  <c r="B113" i="32" s="1"/>
  <c r="C113" i="32"/>
  <c r="A51" i="32"/>
  <c r="B51" i="32" s="1"/>
  <c r="C51" i="32"/>
  <c r="A1170" i="32"/>
  <c r="B1170" i="32" s="1"/>
  <c r="C1170" i="32"/>
  <c r="A1888" i="32"/>
  <c r="B1888" i="32" s="1"/>
  <c r="C1888" i="32"/>
  <c r="A902" i="32"/>
  <c r="B902" i="32" s="1"/>
  <c r="C902" i="32"/>
  <c r="A2472" i="32"/>
  <c r="B2472" i="32" s="1"/>
  <c r="C2472" i="32"/>
  <c r="A386" i="32"/>
  <c r="B386" i="32" s="1"/>
  <c r="C386" i="32"/>
  <c r="A684" i="32"/>
  <c r="B684" i="32" s="1"/>
  <c r="C684" i="32"/>
  <c r="A2795" i="32"/>
  <c r="B2795" i="32" s="1"/>
  <c r="C2795" i="32"/>
  <c r="A1708" i="32"/>
  <c r="B1708" i="32" s="1"/>
  <c r="C1708" i="32"/>
  <c r="A2081" i="32"/>
  <c r="B2081" i="32" s="1"/>
  <c r="C2081" i="32"/>
  <c r="A2768" i="32"/>
  <c r="B2768" i="32" s="1"/>
  <c r="C2768" i="32"/>
  <c r="A1053" i="32"/>
  <c r="B1053" i="32" s="1"/>
  <c r="C1053" i="32"/>
  <c r="A407" i="32"/>
  <c r="B407" i="32" s="1"/>
  <c r="C407" i="32"/>
  <c r="A772" i="32"/>
  <c r="B772" i="32" s="1"/>
  <c r="C772" i="32"/>
  <c r="A1879" i="32"/>
  <c r="B1879" i="32" s="1"/>
  <c r="C1879" i="32"/>
  <c r="A1895" i="32"/>
  <c r="B1895" i="32" s="1"/>
  <c r="C1895" i="32"/>
  <c r="A1543" i="32"/>
  <c r="B1543" i="32" s="1"/>
  <c r="C1543" i="32"/>
  <c r="A565" i="32"/>
  <c r="B565" i="32" s="1"/>
  <c r="C565" i="32"/>
  <c r="A1710" i="32"/>
  <c r="B1710" i="32" s="1"/>
  <c r="C1710" i="32"/>
  <c r="A821" i="32"/>
  <c r="B821" i="32" s="1"/>
  <c r="C821" i="32"/>
  <c r="A2053" i="32"/>
  <c r="B2053" i="32" s="1"/>
  <c r="C2053" i="32"/>
  <c r="A454" i="32"/>
  <c r="B454" i="32" s="1"/>
  <c r="C454" i="32"/>
  <c r="A2695" i="32"/>
  <c r="B2695" i="32" s="1"/>
  <c r="C2695" i="32"/>
  <c r="A2605" i="32"/>
  <c r="B2605" i="32" s="1"/>
  <c r="C2605" i="32"/>
  <c r="A1154" i="32"/>
  <c r="B1154" i="32" s="1"/>
  <c r="C1154" i="32"/>
  <c r="A1761" i="32"/>
  <c r="B1761" i="32" s="1"/>
  <c r="C1761" i="32"/>
  <c r="A2771" i="32"/>
  <c r="B2771" i="32" s="1"/>
  <c r="C2771" i="32"/>
  <c r="A2378" i="32"/>
  <c r="B2378" i="32" s="1"/>
  <c r="C2378" i="32"/>
  <c r="A2144" i="32"/>
  <c r="B2144" i="32" s="1"/>
  <c r="C2144" i="32"/>
  <c r="A992" i="32"/>
  <c r="B992" i="32" s="1"/>
  <c r="C992" i="32"/>
  <c r="A527" i="32"/>
  <c r="B527" i="32" s="1"/>
  <c r="C527" i="32"/>
  <c r="A1450" i="32"/>
  <c r="B1450" i="32" s="1"/>
  <c r="C1450" i="32"/>
  <c r="A1735" i="32"/>
  <c r="B1735" i="32" s="1"/>
  <c r="C1735" i="32"/>
  <c r="A1013" i="32"/>
  <c r="B1013" i="32" s="1"/>
  <c r="C1013" i="32"/>
  <c r="A1494" i="32"/>
  <c r="B1494" i="32" s="1"/>
  <c r="C1494" i="32"/>
  <c r="A1352" i="32"/>
  <c r="B1352" i="32" s="1"/>
  <c r="C1352" i="32"/>
  <c r="A2163" i="32"/>
  <c r="B2163" i="32" s="1"/>
  <c r="C2163" i="32"/>
  <c r="A267" i="32"/>
  <c r="B267" i="32" s="1"/>
  <c r="C267" i="32"/>
  <c r="A2402" i="32"/>
  <c r="B2402" i="32" s="1"/>
  <c r="C2402" i="32"/>
  <c r="A1200" i="32"/>
  <c r="B1200" i="32" s="1"/>
  <c r="C1200" i="32"/>
  <c r="A2100" i="32"/>
  <c r="B2100" i="32" s="1"/>
  <c r="C2100" i="32"/>
  <c r="A1960" i="32"/>
  <c r="B1960" i="32" s="1"/>
  <c r="C1960" i="32"/>
  <c r="A29" i="32"/>
  <c r="B29" i="32" s="1"/>
  <c r="C29" i="32"/>
  <c r="A433" i="32"/>
  <c r="B433" i="32" s="1"/>
  <c r="C433" i="32"/>
  <c r="A2354" i="32"/>
  <c r="B2354" i="32" s="1"/>
  <c r="C2354" i="32"/>
  <c r="A1326" i="32"/>
  <c r="B1326" i="32" s="1"/>
  <c r="C1326" i="32"/>
  <c r="A2437" i="32"/>
  <c r="B2437" i="32" s="1"/>
  <c r="C2437" i="32"/>
  <c r="A1163" i="32"/>
  <c r="B1163" i="32" s="1"/>
  <c r="C1163" i="32"/>
  <c r="A2645" i="32"/>
  <c r="B2645" i="32" s="1"/>
  <c r="C2645" i="32"/>
  <c r="A1157" i="32"/>
  <c r="B1157" i="32" s="1"/>
  <c r="C1157" i="32"/>
  <c r="A1146" i="32"/>
  <c r="B1146" i="32" s="1"/>
  <c r="C1146" i="32"/>
  <c r="A1617" i="32"/>
  <c r="B1617" i="32" s="1"/>
  <c r="C1617" i="32"/>
  <c r="A1503" i="32"/>
  <c r="B1503" i="32" s="1"/>
  <c r="C1503" i="32"/>
  <c r="A679" i="32"/>
  <c r="B679" i="32" s="1"/>
  <c r="C679" i="32"/>
  <c r="A410" i="32"/>
  <c r="B410" i="32" s="1"/>
  <c r="C410" i="32"/>
  <c r="A352" i="32"/>
  <c r="B352" i="32" s="1"/>
  <c r="C352" i="32"/>
  <c r="A1595" i="32"/>
  <c r="B1595" i="32" s="1"/>
  <c r="C1595" i="32"/>
  <c r="A718" i="32"/>
  <c r="B718" i="32" s="1"/>
  <c r="C718" i="32"/>
  <c r="A2480" i="32"/>
  <c r="B2480" i="32" s="1"/>
  <c r="C2480" i="32"/>
  <c r="A1988" i="32"/>
  <c r="B1988" i="32" s="1"/>
  <c r="C1988" i="32"/>
  <c r="A842" i="32"/>
  <c r="B842" i="32" s="1"/>
  <c r="C842" i="32"/>
  <c r="A1900" i="32"/>
  <c r="B1900" i="32" s="1"/>
  <c r="C1900" i="32"/>
  <c r="A2048" i="32"/>
  <c r="B2048" i="32" s="1"/>
  <c r="C2048" i="32"/>
  <c r="A685" i="32"/>
  <c r="B685" i="32" s="1"/>
  <c r="C685" i="32"/>
  <c r="A1128" i="32"/>
  <c r="B1128" i="32" s="1"/>
  <c r="C1128" i="32"/>
  <c r="A1674" i="32"/>
  <c r="B1674" i="32" s="1"/>
  <c r="C1674" i="32"/>
  <c r="A477" i="32"/>
  <c r="B477" i="32" s="1"/>
  <c r="C477" i="32"/>
  <c r="A1854" i="32"/>
  <c r="B1854" i="32" s="1"/>
  <c r="C1854" i="32"/>
  <c r="A1103" i="32"/>
  <c r="B1103" i="32" s="1"/>
  <c r="C1103" i="32"/>
  <c r="A2077" i="32"/>
  <c r="B2077" i="32" s="1"/>
  <c r="C2077" i="32"/>
  <c r="A1315" i="32"/>
  <c r="B1315" i="32" s="1"/>
  <c r="C1315" i="32"/>
  <c r="A103" i="32"/>
  <c r="B103" i="32" s="1"/>
  <c r="C103" i="32"/>
  <c r="A2001" i="32"/>
  <c r="B2001" i="32" s="1"/>
  <c r="C2001" i="32"/>
  <c r="A907" i="32"/>
  <c r="B907" i="32" s="1"/>
  <c r="C907" i="32"/>
  <c r="A1028" i="32"/>
  <c r="B1028" i="32" s="1"/>
  <c r="C1028" i="32"/>
  <c r="A298" i="32"/>
  <c r="B298" i="32" s="1"/>
  <c r="C298" i="32"/>
  <c r="A286" i="32"/>
  <c r="B286" i="32" s="1"/>
  <c r="C286" i="32"/>
  <c r="A2597" i="32"/>
  <c r="B2597" i="32" s="1"/>
  <c r="C2597" i="32"/>
  <c r="A2539" i="32"/>
  <c r="B2539" i="32" s="1"/>
  <c r="C2539" i="32"/>
  <c r="A2145" i="32"/>
  <c r="B2145" i="32" s="1"/>
  <c r="C2145" i="32"/>
  <c r="A784" i="32"/>
  <c r="B784" i="32" s="1"/>
  <c r="C784" i="32"/>
  <c r="A2600" i="32"/>
  <c r="B2600" i="32" s="1"/>
  <c r="C2600" i="32"/>
  <c r="A1975" i="32"/>
  <c r="B1975" i="32" s="1"/>
  <c r="C1975" i="32"/>
  <c r="A1243" i="32"/>
  <c r="B1243" i="32" s="1"/>
  <c r="C1243" i="32"/>
  <c r="A2739" i="32"/>
  <c r="B2739" i="32" s="1"/>
  <c r="C2739" i="32"/>
  <c r="A374" i="32"/>
  <c r="B374" i="32" s="1"/>
  <c r="C374" i="32"/>
  <c r="A1102" i="32"/>
  <c r="B1102" i="32" s="1"/>
  <c r="C1102" i="32"/>
  <c r="A1229" i="32"/>
  <c r="B1229" i="32" s="1"/>
  <c r="C1229" i="32"/>
  <c r="A1251" i="32"/>
  <c r="B1251" i="32" s="1"/>
  <c r="C1251" i="32"/>
  <c r="A1407" i="32"/>
  <c r="B1407" i="32" s="1"/>
  <c r="C1407" i="32"/>
  <c r="A700" i="32"/>
  <c r="B700" i="32" s="1"/>
  <c r="C700" i="32"/>
  <c r="A2416" i="32"/>
  <c r="B2416" i="32" s="1"/>
  <c r="C2416" i="32"/>
  <c r="A2268" i="32"/>
  <c r="B2268" i="32" s="1"/>
  <c r="C2268" i="32"/>
  <c r="A1266" i="32"/>
  <c r="B1266" i="32" s="1"/>
  <c r="C1266" i="32"/>
  <c r="A1645" i="32"/>
  <c r="B1645" i="32" s="1"/>
  <c r="C1645" i="32"/>
  <c r="A2040" i="32"/>
  <c r="B2040" i="32" s="1"/>
  <c r="C2040" i="32"/>
  <c r="A252" i="32"/>
  <c r="B252" i="32" s="1"/>
  <c r="C252" i="32"/>
  <c r="A2043" i="32"/>
  <c r="B2043" i="32" s="1"/>
  <c r="C2043" i="32"/>
  <c r="A2752" i="32"/>
  <c r="B2752" i="32" s="1"/>
  <c r="C2752" i="32"/>
  <c r="A785" i="32"/>
  <c r="B785" i="32" s="1"/>
  <c r="C785" i="32"/>
  <c r="A2115" i="32"/>
  <c r="B2115" i="32" s="1"/>
  <c r="C2115" i="32"/>
  <c r="A1176" i="32"/>
  <c r="B1176" i="32" s="1"/>
  <c r="C1176" i="32"/>
  <c r="A990" i="32"/>
  <c r="B990" i="32" s="1"/>
  <c r="C990" i="32"/>
  <c r="A566" i="32"/>
  <c r="B566" i="32" s="1"/>
  <c r="C566" i="32"/>
  <c r="A2096" i="32"/>
  <c r="B2096" i="32" s="1"/>
  <c r="C2096" i="32"/>
  <c r="A1300" i="32"/>
  <c r="B1300" i="32" s="1"/>
  <c r="C1300" i="32"/>
  <c r="A2724" i="32"/>
  <c r="B2724" i="32" s="1"/>
  <c r="C2724" i="32"/>
  <c r="A255" i="32"/>
  <c r="B255" i="32" s="1"/>
  <c r="C255" i="32"/>
  <c r="A2384" i="32"/>
  <c r="B2384" i="32" s="1"/>
  <c r="C2384" i="32"/>
  <c r="A121" i="32"/>
  <c r="B121" i="32" s="1"/>
  <c r="C121" i="32"/>
  <c r="A1974" i="32"/>
  <c r="B1974" i="32" s="1"/>
  <c r="C1974" i="32"/>
  <c r="A1648" i="32"/>
  <c r="B1648" i="32" s="1"/>
  <c r="C1648" i="32"/>
  <c r="A2785" i="32"/>
  <c r="B2785" i="32" s="1"/>
  <c r="C2785" i="32"/>
  <c r="A2692" i="32"/>
  <c r="B2692" i="32" s="1"/>
  <c r="C2692" i="32"/>
  <c r="A1814" i="32"/>
  <c r="B1814" i="32" s="1"/>
  <c r="C1814" i="32"/>
  <c r="A1201" i="32"/>
  <c r="B1201" i="32" s="1"/>
  <c r="C1201" i="32"/>
  <c r="A2342" i="32"/>
  <c r="B2342" i="32" s="1"/>
  <c r="C2342" i="32"/>
  <c r="A1640" i="32"/>
  <c r="B1640" i="32" s="1"/>
  <c r="C1640" i="32"/>
  <c r="A1371" i="32"/>
  <c r="B1371" i="32" s="1"/>
  <c r="C1371" i="32"/>
  <c r="A993" i="32"/>
  <c r="B993" i="32" s="1"/>
  <c r="C993" i="32"/>
  <c r="A577" i="32"/>
  <c r="B577" i="32" s="1"/>
  <c r="C577" i="32"/>
  <c r="A1608" i="32"/>
  <c r="B1608" i="32" s="1"/>
  <c r="C1608" i="32"/>
  <c r="A1030" i="32"/>
  <c r="B1030" i="32" s="1"/>
  <c r="C1030" i="32"/>
  <c r="A2677" i="32"/>
  <c r="B2677" i="32" s="1"/>
  <c r="C2677" i="32"/>
  <c r="A1649" i="32"/>
  <c r="B1649" i="32" s="1"/>
  <c r="C1649" i="32"/>
  <c r="A1926" i="32"/>
  <c r="B1926" i="32" s="1"/>
  <c r="C1926" i="32"/>
  <c r="A1428" i="32"/>
  <c r="B1428" i="32" s="1"/>
  <c r="C1428" i="32"/>
  <c r="A2241" i="32"/>
  <c r="B2241" i="32" s="1"/>
  <c r="C2241" i="32"/>
  <c r="A2337" i="32"/>
  <c r="B2337" i="32" s="1"/>
  <c r="C2337" i="32"/>
  <c r="A1380" i="32"/>
  <c r="B1380" i="32" s="1"/>
  <c r="C1380" i="32"/>
  <c r="A2529" i="32"/>
  <c r="B2529" i="32" s="1"/>
  <c r="C2529" i="32"/>
  <c r="A674" i="32"/>
  <c r="B674" i="32" s="1"/>
  <c r="C674" i="32"/>
  <c r="A2205" i="32"/>
  <c r="B2205" i="32" s="1"/>
  <c r="C2205" i="32"/>
  <c r="A2420" i="32"/>
  <c r="B2420" i="32" s="1"/>
  <c r="C2420" i="32"/>
  <c r="A34" i="32"/>
  <c r="B34" i="32" s="1"/>
  <c r="C34" i="32"/>
  <c r="A2394" i="32"/>
  <c r="B2394" i="32" s="1"/>
  <c r="C2394" i="32"/>
  <c r="A2408" i="32"/>
  <c r="B2408" i="32" s="1"/>
  <c r="C2408" i="32"/>
  <c r="A1195" i="32"/>
  <c r="B1195" i="32" s="1"/>
  <c r="C1195" i="32"/>
  <c r="A1809" i="32"/>
  <c r="B1809" i="32" s="1"/>
  <c r="C1809" i="32"/>
  <c r="A184" i="32"/>
  <c r="B184" i="32" s="1"/>
  <c r="C184" i="32"/>
  <c r="A2484" i="32"/>
  <c r="B2484" i="32" s="1"/>
  <c r="C2484" i="32"/>
  <c r="A416" i="32"/>
  <c r="B416" i="32" s="1"/>
  <c r="C416" i="32"/>
  <c r="A739" i="32"/>
  <c r="B739" i="32" s="1"/>
  <c r="C739" i="32"/>
  <c r="A714" i="32"/>
  <c r="B714" i="32" s="1"/>
  <c r="C714" i="32"/>
  <c r="A2142" i="32"/>
  <c r="B2142" i="32" s="1"/>
  <c r="C2142" i="32"/>
  <c r="A1523" i="32"/>
  <c r="B1523" i="32" s="1"/>
  <c r="C1523" i="32"/>
  <c r="A2363" i="32"/>
  <c r="B2363" i="32" s="1"/>
  <c r="C2363" i="32"/>
  <c r="A1979" i="32"/>
  <c r="B1979" i="32" s="1"/>
  <c r="C1979" i="32"/>
  <c r="A2433" i="32"/>
  <c r="B2433" i="32" s="1"/>
  <c r="C2433" i="32"/>
  <c r="A2499" i="32"/>
  <c r="B2499" i="32" s="1"/>
  <c r="C2499" i="32"/>
  <c r="A1877" i="32"/>
  <c r="B1877" i="32" s="1"/>
  <c r="C1877" i="32"/>
  <c r="A2254" i="32"/>
  <c r="B2254" i="32" s="1"/>
  <c r="C2254" i="32"/>
  <c r="A530" i="32"/>
  <c r="B530" i="32" s="1"/>
  <c r="C530" i="32"/>
  <c r="A643" i="32"/>
  <c r="B643" i="32" s="1"/>
  <c r="C643" i="32"/>
  <c r="A1492" i="32"/>
  <c r="B1492" i="32" s="1"/>
  <c r="C1492" i="32"/>
  <c r="A351" i="32"/>
  <c r="B351" i="32" s="1"/>
  <c r="C351" i="32"/>
  <c r="A929" i="32"/>
  <c r="B929" i="32" s="1"/>
  <c r="C929" i="32"/>
  <c r="A2611" i="32"/>
  <c r="B2611" i="32" s="1"/>
  <c r="C2611" i="32"/>
  <c r="A2756" i="32"/>
  <c r="B2756" i="32" s="1"/>
  <c r="C2756" i="32"/>
  <c r="A379" i="32"/>
  <c r="B379" i="32" s="1"/>
  <c r="C379" i="32"/>
  <c r="A2282" i="32"/>
  <c r="B2282" i="32" s="1"/>
  <c r="C2282" i="32"/>
  <c r="A2765" i="32"/>
  <c r="B2765" i="32" s="1"/>
  <c r="C2765" i="32"/>
  <c r="A2002" i="32"/>
  <c r="B2002" i="32" s="1"/>
  <c r="C2002" i="32"/>
  <c r="A2093" i="32"/>
  <c r="B2093" i="32" s="1"/>
  <c r="C2093" i="32"/>
  <c r="A1089" i="32"/>
  <c r="B1089" i="32" s="1"/>
  <c r="C1089" i="32"/>
  <c r="A1265" i="32"/>
  <c r="B1265" i="32" s="1"/>
  <c r="C1265" i="32"/>
  <c r="A2409" i="32"/>
  <c r="B2409" i="32" s="1"/>
  <c r="C2409" i="32"/>
  <c r="A735" i="32"/>
  <c r="B735" i="32" s="1"/>
  <c r="C735" i="32"/>
  <c r="A475" i="32"/>
  <c r="B475" i="32" s="1"/>
  <c r="C475" i="32"/>
  <c r="A1923" i="32"/>
  <c r="B1923" i="32" s="1"/>
  <c r="C1923" i="32"/>
  <c r="A1553" i="32"/>
  <c r="B1553" i="32" s="1"/>
  <c r="C1553" i="32"/>
  <c r="A1934" i="32"/>
  <c r="B1934" i="32" s="1"/>
  <c r="C1934" i="32"/>
  <c r="A1366" i="32"/>
  <c r="B1366" i="32" s="1"/>
  <c r="C1366" i="32"/>
  <c r="A2225" i="32"/>
  <c r="B2225" i="32" s="1"/>
  <c r="C2225" i="32"/>
  <c r="A2669" i="32"/>
  <c r="B2669" i="32" s="1"/>
  <c r="C2669" i="32"/>
  <c r="A2139" i="32"/>
  <c r="B2139" i="32" s="1"/>
  <c r="C2139" i="32"/>
  <c r="A2553" i="32"/>
  <c r="B2553" i="32" s="1"/>
  <c r="C2553" i="32"/>
  <c r="A882" i="32"/>
  <c r="B882" i="32" s="1"/>
  <c r="C882" i="32"/>
  <c r="A2023" i="32"/>
  <c r="B2023" i="32" s="1"/>
  <c r="C2023" i="32"/>
  <c r="A1576" i="32"/>
  <c r="B1576" i="32" s="1"/>
  <c r="C1576" i="32"/>
  <c r="A2392" i="32"/>
  <c r="B2392" i="32" s="1"/>
  <c r="C2392" i="32"/>
  <c r="A2201" i="32"/>
  <c r="B2201" i="32" s="1"/>
  <c r="C2201" i="32"/>
  <c r="A450" i="32"/>
  <c r="B450" i="32" s="1"/>
  <c r="C450" i="32"/>
  <c r="A2788" i="32"/>
  <c r="B2788" i="32" s="1"/>
  <c r="C2788" i="32"/>
  <c r="A1663" i="32"/>
  <c r="B1663" i="32" s="1"/>
  <c r="C1663" i="32"/>
  <c r="A1364" i="32"/>
  <c r="B1364" i="32" s="1"/>
  <c r="C1364" i="32"/>
  <c r="A1122" i="32"/>
  <c r="B1122" i="32" s="1"/>
  <c r="C1122" i="32"/>
  <c r="A2359" i="32"/>
  <c r="B2359" i="32" s="1"/>
  <c r="C2359" i="32"/>
  <c r="A2221" i="32"/>
  <c r="B2221" i="32" s="1"/>
  <c r="C2221" i="32"/>
  <c r="A1662" i="32"/>
  <c r="B1662" i="32" s="1"/>
  <c r="C1662" i="32"/>
  <c r="A792" i="32"/>
  <c r="B792" i="32" s="1"/>
  <c r="C792" i="32"/>
  <c r="A2701" i="32"/>
  <c r="B2701" i="32" s="1"/>
  <c r="C2701" i="32"/>
  <c r="A964" i="32"/>
  <c r="B964" i="32" s="1"/>
  <c r="C964" i="32"/>
  <c r="A1341" i="32"/>
  <c r="B1341" i="32" s="1"/>
  <c r="C1341" i="32"/>
  <c r="A571" i="32"/>
  <c r="B571" i="32" s="1"/>
  <c r="C571" i="32"/>
  <c r="A979" i="32"/>
  <c r="B979" i="32" s="1"/>
  <c r="C979" i="32"/>
  <c r="A1749" i="32"/>
  <c r="B1749" i="32" s="1"/>
  <c r="C1749" i="32"/>
  <c r="A1565" i="32"/>
  <c r="B1565" i="32" s="1"/>
  <c r="C1565" i="32"/>
  <c r="A778" i="32"/>
  <c r="B778" i="32" s="1"/>
  <c r="C778" i="32"/>
  <c r="A786" i="32"/>
  <c r="B786" i="32" s="1"/>
  <c r="C786" i="32"/>
  <c r="A1355" i="32"/>
  <c r="B1355" i="32" s="1"/>
  <c r="C1355" i="32"/>
  <c r="A2643" i="32"/>
  <c r="B2643" i="32" s="1"/>
  <c r="C2643" i="32"/>
  <c r="A1763" i="32"/>
  <c r="B1763" i="32" s="1"/>
  <c r="C1763" i="32"/>
  <c r="A2461" i="32"/>
  <c r="B2461" i="32" s="1"/>
  <c r="C2461" i="32"/>
  <c r="A1681" i="32"/>
  <c r="B1681" i="32" s="1"/>
  <c r="C1681" i="32"/>
  <c r="A590" i="32"/>
  <c r="B590" i="32" s="1"/>
  <c r="C590" i="32"/>
  <c r="A1015" i="32"/>
  <c r="B1015" i="32" s="1"/>
  <c r="C1015" i="32"/>
  <c r="A1970" i="32"/>
  <c r="B1970" i="32" s="1"/>
  <c r="C1970" i="32"/>
  <c r="A1517" i="32"/>
  <c r="B1517" i="32" s="1"/>
  <c r="C1517" i="32"/>
  <c r="A2612" i="32"/>
  <c r="B2612" i="32" s="1"/>
  <c r="C2612" i="32"/>
  <c r="A1084" i="32"/>
  <c r="B1084" i="32" s="1"/>
  <c r="C1084" i="32"/>
  <c r="A1541" i="32"/>
  <c r="B1541" i="32" s="1"/>
  <c r="C1541" i="32"/>
  <c r="A41" i="32"/>
  <c r="B41" i="32" s="1"/>
  <c r="C41" i="32"/>
  <c r="A226" i="32"/>
  <c r="B226" i="32" s="1"/>
  <c r="C226" i="32"/>
  <c r="A561" i="32"/>
  <c r="B561" i="32" s="1"/>
  <c r="C561" i="32"/>
  <c r="A1568" i="32"/>
  <c r="B1568" i="32" s="1"/>
  <c r="C1568" i="32"/>
  <c r="A1158" i="32"/>
  <c r="B1158" i="32" s="1"/>
  <c r="C1158" i="32"/>
  <c r="A1175" i="32"/>
  <c r="B1175" i="32" s="1"/>
  <c r="C1175" i="32"/>
  <c r="A1656" i="32"/>
  <c r="B1656" i="32" s="1"/>
  <c r="C1656" i="32"/>
  <c r="A445" i="32"/>
  <c r="B445" i="32" s="1"/>
  <c r="C445" i="32"/>
  <c r="A641" i="32"/>
  <c r="B641" i="32" s="1"/>
  <c r="C641" i="32"/>
  <c r="A601" i="32"/>
  <c r="B601" i="32" s="1"/>
  <c r="C601" i="32"/>
  <c r="A378" i="32"/>
  <c r="B378" i="32" s="1"/>
  <c r="C378" i="32"/>
  <c r="A628" i="32"/>
  <c r="B628" i="32" s="1"/>
  <c r="C628" i="32"/>
  <c r="A362" i="32"/>
  <c r="B362" i="32" s="1"/>
  <c r="C362" i="32"/>
  <c r="A2722" i="32"/>
  <c r="B2722" i="32" s="1"/>
  <c r="C2722" i="32"/>
  <c r="A591" i="32"/>
  <c r="B591" i="32" s="1"/>
  <c r="C591" i="32"/>
  <c r="A592" i="32"/>
  <c r="B592" i="32" s="1"/>
  <c r="C592" i="32"/>
  <c r="A2521" i="32"/>
  <c r="B2521" i="32" s="1"/>
  <c r="C2521" i="32"/>
  <c r="A456" i="32"/>
  <c r="B456" i="32" s="1"/>
  <c r="C456" i="32"/>
  <c r="A847" i="32"/>
  <c r="B847" i="32" s="1"/>
  <c r="C847" i="32"/>
  <c r="A850" i="32"/>
  <c r="B850" i="32" s="1"/>
  <c r="C850" i="32"/>
  <c r="A2712" i="32"/>
  <c r="B2712" i="32" s="1"/>
  <c r="C2712" i="32"/>
  <c r="A2141" i="32"/>
  <c r="B2141" i="32" s="1"/>
  <c r="C2141" i="32"/>
  <c r="A586" i="32"/>
  <c r="B586" i="32" s="1"/>
  <c r="C586" i="32"/>
  <c r="A1509" i="32"/>
  <c r="B1509" i="32" s="1"/>
  <c r="C1509" i="32"/>
  <c r="A71" i="32"/>
  <c r="B71" i="32" s="1"/>
  <c r="C71" i="32"/>
  <c r="A223" i="32"/>
  <c r="B223" i="32" s="1"/>
  <c r="C223" i="32"/>
  <c r="A1375" i="32"/>
  <c r="B1375" i="32" s="1"/>
  <c r="C1375" i="32"/>
  <c r="A1445" i="32"/>
  <c r="B1445" i="32" s="1"/>
  <c r="C1445" i="32"/>
  <c r="A33" i="32"/>
  <c r="B33" i="32" s="1"/>
  <c r="C33" i="32"/>
  <c r="A1071" i="32"/>
  <c r="B1071" i="32" s="1"/>
  <c r="C1071" i="32"/>
  <c r="A2432" i="32"/>
  <c r="B2432" i="32" s="1"/>
  <c r="C2432" i="32"/>
  <c r="A769" i="32"/>
  <c r="B769" i="32" s="1"/>
  <c r="C769" i="32"/>
  <c r="A2369" i="32"/>
  <c r="B2369" i="32" s="1"/>
  <c r="C2369" i="32"/>
  <c r="A389" i="32"/>
  <c r="B389" i="32" s="1"/>
  <c r="C389" i="32"/>
  <c r="A91" i="32"/>
  <c r="B91" i="32" s="1"/>
  <c r="C91" i="32"/>
  <c r="A2317" i="32"/>
  <c r="B2317" i="32" s="1"/>
  <c r="C2317" i="32"/>
  <c r="A1957" i="32"/>
  <c r="B1957" i="32" s="1"/>
  <c r="C1957" i="32"/>
  <c r="A2151" i="32"/>
  <c r="B2151" i="32" s="1"/>
  <c r="C2151" i="32"/>
  <c r="A2050" i="32"/>
  <c r="B2050" i="32" s="1"/>
  <c r="C2050" i="32"/>
  <c r="A2757" i="32"/>
  <c r="B2757" i="32" s="1"/>
  <c r="C2757" i="32"/>
  <c r="A2325" i="32"/>
  <c r="B2325" i="32" s="1"/>
  <c r="C2325" i="32"/>
  <c r="A2574" i="32"/>
  <c r="B2574" i="32" s="1"/>
  <c r="C2574" i="32"/>
  <c r="A2155" i="32"/>
  <c r="B2155" i="32" s="1"/>
  <c r="C2155" i="32"/>
  <c r="A1135" i="32"/>
  <c r="C1135" i="32"/>
  <c r="D1135" i="32" s="1"/>
  <c r="A1310" i="32"/>
  <c r="B1310" i="32" s="1"/>
  <c r="C1310" i="32"/>
  <c r="A1202" i="32"/>
  <c r="B1202" i="32" s="1"/>
  <c r="C1202" i="32"/>
  <c r="A1446" i="32"/>
  <c r="B1446" i="32" s="1"/>
  <c r="C1446" i="32"/>
  <c r="A1430" i="32"/>
  <c r="B1430" i="32" s="1"/>
  <c r="C1430" i="32"/>
  <c r="A1668" i="32"/>
  <c r="B1668" i="32" s="1"/>
  <c r="C1668" i="32"/>
  <c r="A2324" i="32"/>
  <c r="B2324" i="32" s="1"/>
  <c r="C2324" i="32"/>
  <c r="A555" i="32"/>
  <c r="B555" i="32" s="1"/>
  <c r="C555" i="32"/>
  <c r="A651" i="32"/>
  <c r="B651" i="32" s="1"/>
  <c r="C651" i="32"/>
  <c r="A2618" i="32"/>
  <c r="B2618" i="32" s="1"/>
  <c r="C2618" i="32"/>
  <c r="A2216" i="32"/>
  <c r="B2216" i="32" s="1"/>
  <c r="C2216" i="32"/>
  <c r="A2351" i="32"/>
  <c r="B2351" i="32" s="1"/>
  <c r="C2351" i="32"/>
  <c r="A701" i="32"/>
  <c r="B701" i="32" s="1"/>
  <c r="C701" i="32"/>
  <c r="A986" i="32"/>
  <c r="B986" i="32" s="1"/>
  <c r="C986" i="32"/>
  <c r="A2018" i="32"/>
  <c r="B2018" i="32" s="1"/>
  <c r="C2018" i="32"/>
  <c r="A956" i="32"/>
  <c r="B956" i="32" s="1"/>
  <c r="C956" i="32"/>
  <c r="A2288" i="32"/>
  <c r="B2288" i="32" s="1"/>
  <c r="C2288" i="32"/>
  <c r="A1427" i="32"/>
  <c r="B1427" i="32" s="1"/>
  <c r="C1427" i="32"/>
  <c r="A1277" i="32"/>
  <c r="B1277" i="32" s="1"/>
  <c r="C1277" i="32"/>
  <c r="A97" i="32"/>
  <c r="B97" i="32" s="1"/>
  <c r="C97" i="32"/>
  <c r="A353" i="32"/>
  <c r="B353" i="32" s="1"/>
  <c r="C353" i="32"/>
  <c r="A912" i="32"/>
  <c r="B912" i="32" s="1"/>
  <c r="C912" i="32"/>
  <c r="A2441" i="32"/>
  <c r="B2441" i="32" s="1"/>
  <c r="C2441" i="32"/>
  <c r="A2604" i="32"/>
  <c r="B2604" i="32" s="1"/>
  <c r="C2604" i="32"/>
  <c r="A738" i="32"/>
  <c r="B738" i="32" s="1"/>
  <c r="C738" i="32"/>
  <c r="A1896" i="32"/>
  <c r="B1896" i="32" s="1"/>
  <c r="C1896" i="32"/>
  <c r="A1333" i="32"/>
  <c r="B1333" i="32" s="1"/>
  <c r="C1333" i="32"/>
  <c r="A1737" i="32"/>
  <c r="B1737" i="32" s="1"/>
  <c r="C1737" i="32"/>
  <c r="A2005" i="32"/>
  <c r="B2005" i="32" s="1"/>
  <c r="C2005" i="32"/>
  <c r="A866" i="32"/>
  <c r="B866" i="32" s="1"/>
  <c r="C866" i="32"/>
  <c r="A2466" i="32"/>
  <c r="B2466" i="32" s="1"/>
  <c r="C2466" i="32"/>
  <c r="A126" i="32"/>
  <c r="B126" i="32" s="1"/>
  <c r="C126" i="32"/>
  <c r="A2741" i="32"/>
  <c r="B2741" i="32" s="1"/>
  <c r="C2741" i="32"/>
  <c r="A2263" i="32"/>
  <c r="B2263" i="32" s="1"/>
  <c r="C2263" i="32"/>
  <c r="A2723" i="32"/>
  <c r="B2723" i="32" s="1"/>
  <c r="C2723" i="32"/>
  <c r="A192" i="32"/>
  <c r="B192" i="32" s="1"/>
  <c r="C192" i="32"/>
  <c r="A275" i="32"/>
  <c r="B275" i="32" s="1"/>
  <c r="C275" i="32"/>
  <c r="A1115" i="32"/>
  <c r="B1115" i="32" s="1"/>
  <c r="C1115" i="32"/>
  <c r="A1052" i="32"/>
  <c r="B1052" i="32" s="1"/>
  <c r="C1052" i="32"/>
  <c r="A994" i="32"/>
  <c r="B994" i="32" s="1"/>
  <c r="C994" i="32"/>
  <c r="A2743" i="32"/>
  <c r="B2743" i="32" s="1"/>
  <c r="C2743" i="32"/>
  <c r="A1826" i="32"/>
  <c r="B1826" i="32" s="1"/>
  <c r="C1826" i="32"/>
  <c r="A1909" i="32"/>
  <c r="B1909" i="32" s="1"/>
  <c r="C1909" i="32"/>
  <c r="A409" i="32"/>
  <c r="B409" i="32" s="1"/>
  <c r="C409" i="32"/>
  <c r="A2512" i="32"/>
  <c r="B2512" i="32" s="1"/>
  <c r="C2512" i="32"/>
  <c r="A487" i="32"/>
  <c r="B487" i="32" s="1"/>
  <c r="C487" i="32"/>
  <c r="A2653" i="32"/>
  <c r="B2653" i="32" s="1"/>
  <c r="C2653" i="32"/>
  <c r="A2460" i="32"/>
  <c r="B2460" i="32" s="1"/>
  <c r="C2460" i="32"/>
  <c r="A1950" i="32"/>
  <c r="B1950" i="32" s="1"/>
  <c r="C1950" i="32"/>
  <c r="A1381" i="32"/>
  <c r="B1381" i="32" s="1"/>
  <c r="C1381" i="32"/>
  <c r="A2589" i="32"/>
  <c r="B2589" i="32" s="1"/>
  <c r="C2589" i="32"/>
  <c r="A1527" i="32"/>
  <c r="B1527" i="32" s="1"/>
  <c r="C1527" i="32"/>
  <c r="A2247" i="32"/>
  <c r="B2247" i="32" s="1"/>
  <c r="C2247" i="32"/>
  <c r="A279" i="32"/>
  <c r="B279" i="32" s="1"/>
  <c r="C279" i="32"/>
  <c r="A2438" i="32"/>
  <c r="B2438" i="32" s="1"/>
  <c r="C2438" i="32"/>
  <c r="A190" i="32"/>
  <c r="B190" i="32" s="1"/>
  <c r="C190" i="32"/>
  <c r="A165" i="32"/>
  <c r="B165" i="32" s="1"/>
  <c r="C165" i="32"/>
  <c r="A1843" i="32"/>
  <c r="B1843" i="32" s="1"/>
  <c r="C1843" i="32"/>
  <c r="A2101" i="32"/>
  <c r="B2101" i="32" s="1"/>
  <c r="C2101" i="32"/>
  <c r="A662" i="32"/>
  <c r="B662" i="32" s="1"/>
  <c r="C662" i="32"/>
  <c r="A1127" i="32"/>
  <c r="B1127" i="32" s="1"/>
  <c r="C1127" i="32"/>
  <c r="A2041" i="32"/>
  <c r="B2041" i="32" s="1"/>
  <c r="C2041" i="32"/>
  <c r="A1947" i="32"/>
  <c r="B1947" i="32" s="1"/>
  <c r="C1947" i="32"/>
  <c r="A668" i="32"/>
  <c r="B668" i="32" s="1"/>
  <c r="C668" i="32"/>
  <c r="A2541" i="32"/>
  <c r="B2541" i="32" s="1"/>
  <c r="C2541" i="32"/>
  <c r="A2610" i="32"/>
  <c r="B2610" i="32" s="1"/>
  <c r="C2610" i="32"/>
  <c r="A383" i="32"/>
  <c r="B383" i="32" s="1"/>
  <c r="C383" i="32"/>
  <c r="A1731" i="32"/>
  <c r="B1731" i="32" s="1"/>
  <c r="C1731" i="32"/>
  <c r="A261" i="32"/>
  <c r="B261" i="32" s="1"/>
  <c r="C261" i="32"/>
  <c r="A1972" i="32"/>
  <c r="B1972" i="32" s="1"/>
  <c r="C1972" i="32"/>
  <c r="A422" i="32"/>
  <c r="B422" i="32" s="1"/>
  <c r="C422" i="32"/>
  <c r="A2519" i="32"/>
  <c r="B2519" i="32" s="1"/>
  <c r="C2519" i="32"/>
  <c r="A991" i="32"/>
  <c r="B991" i="32" s="1"/>
  <c r="C991" i="32"/>
  <c r="A1508" i="32"/>
  <c r="B1508" i="32" s="1"/>
  <c r="C1508" i="32"/>
  <c r="A1821" i="32"/>
  <c r="B1821" i="32" s="1"/>
  <c r="C1821" i="32"/>
  <c r="A2566" i="32"/>
  <c r="B2566" i="32" s="1"/>
  <c r="C2566" i="32"/>
  <c r="A326" i="32"/>
  <c r="B326" i="32" s="1"/>
  <c r="C326" i="32"/>
  <c r="A10" i="32"/>
  <c r="B10" i="32" s="1"/>
  <c r="C10" i="32"/>
  <c r="A2749" i="32"/>
  <c r="B2749" i="32" s="1"/>
  <c r="C2749" i="32"/>
  <c r="A612" i="32"/>
  <c r="B612" i="32" s="1"/>
  <c r="C612" i="32"/>
  <c r="A1907" i="32"/>
  <c r="B1907" i="32" s="1"/>
  <c r="C1907" i="32"/>
  <c r="A2068" i="32"/>
  <c r="B2068" i="32" s="1"/>
  <c r="C2068" i="32"/>
  <c r="A1915" i="32"/>
  <c r="B1915" i="32" s="1"/>
  <c r="C1915" i="32"/>
  <c r="A1159" i="32"/>
  <c r="B1159" i="32" s="1"/>
  <c r="C1159" i="32"/>
  <c r="A525" i="32"/>
  <c r="B525" i="32" s="1"/>
  <c r="C525" i="32"/>
  <c r="A1914" i="32"/>
  <c r="B1914" i="32" s="1"/>
  <c r="C1914" i="32"/>
  <c r="A1789" i="32"/>
  <c r="B1789" i="32" s="1"/>
  <c r="C1789" i="32"/>
  <c r="A2400" i="32"/>
  <c r="B2400" i="32" s="1"/>
  <c r="C2400" i="32"/>
  <c r="A1032" i="32"/>
  <c r="B1032" i="32" s="1"/>
  <c r="C1032" i="32"/>
  <c r="A1849" i="32"/>
  <c r="B1849" i="32" s="1"/>
  <c r="C1849" i="32"/>
  <c r="A2375" i="32"/>
  <c r="B2375" i="32" s="1"/>
  <c r="C2375" i="32"/>
  <c r="A2568" i="32"/>
  <c r="B2568" i="32" s="1"/>
  <c r="C2568" i="32"/>
  <c r="A484" i="32"/>
  <c r="B484" i="32" s="1"/>
  <c r="C484" i="32"/>
  <c r="A635" i="32"/>
  <c r="B635" i="32" s="1"/>
  <c r="C635" i="32"/>
  <c r="A1583" i="32"/>
  <c r="B1583" i="32" s="1"/>
  <c r="C1583" i="32"/>
  <c r="A1237" i="32"/>
  <c r="B1237" i="32" s="1"/>
  <c r="C1237" i="32"/>
  <c r="A1359" i="32"/>
  <c r="B1359" i="32" s="1"/>
  <c r="C1359" i="32"/>
  <c r="A2742" i="32"/>
  <c r="B2742" i="32" s="1"/>
  <c r="C2742" i="32"/>
  <c r="A814" i="32"/>
  <c r="B814" i="32" s="1"/>
  <c r="C814" i="32"/>
  <c r="A2702" i="32"/>
  <c r="B2702" i="32" s="1"/>
  <c r="C2702" i="32"/>
  <c r="A664" i="32"/>
  <c r="B664" i="32" s="1"/>
  <c r="C664" i="32"/>
  <c r="A1068" i="32"/>
  <c r="B1068" i="32" s="1"/>
  <c r="C1068" i="32"/>
  <c r="A844" i="32"/>
  <c r="B844" i="32" s="1"/>
  <c r="C844" i="32"/>
  <c r="A203" i="32"/>
  <c r="B203" i="32" s="1"/>
  <c r="C203" i="32"/>
  <c r="A470" i="32"/>
  <c r="B470" i="32" s="1"/>
  <c r="C470" i="32"/>
  <c r="A2136" i="32"/>
  <c r="B2136" i="32" s="1"/>
  <c r="C2136" i="32"/>
  <c r="A2799" i="32"/>
  <c r="B2799" i="32" s="1"/>
  <c r="C2799" i="32"/>
  <c r="A1491" i="32"/>
  <c r="B1491" i="32" s="1"/>
  <c r="C1491" i="32"/>
  <c r="A2761" i="32"/>
  <c r="B2761" i="32" s="1"/>
  <c r="C2761" i="32"/>
  <c r="A1739" i="32"/>
  <c r="B1739" i="32" s="1"/>
  <c r="C1739" i="32"/>
  <c r="A2656" i="32"/>
  <c r="B2656" i="32" s="1"/>
  <c r="C2656" i="32"/>
  <c r="A2035" i="32"/>
  <c r="B2035" i="32" s="1"/>
  <c r="C2035" i="32"/>
  <c r="A2212" i="32"/>
  <c r="B2212" i="32" s="1"/>
  <c r="C2212" i="32"/>
  <c r="A344" i="32"/>
  <c r="B344" i="32" s="1"/>
  <c r="C344" i="32"/>
  <c r="A1026" i="32"/>
  <c r="B1026" i="32" s="1"/>
  <c r="C1026" i="32"/>
  <c r="A1038" i="32"/>
  <c r="B1038" i="32" s="1"/>
  <c r="C1038" i="32"/>
  <c r="A198" i="32"/>
  <c r="B198" i="32" s="1"/>
  <c r="C198" i="32"/>
  <c r="A1069" i="32"/>
  <c r="B1069" i="32" s="1"/>
  <c r="C1069" i="32"/>
  <c r="A1623" i="32"/>
  <c r="B1623" i="32" s="1"/>
  <c r="C1623" i="32"/>
  <c r="A399" i="32"/>
  <c r="B399" i="32" s="1"/>
  <c r="C399" i="32"/>
  <c r="A1093" i="32"/>
  <c r="B1093" i="32" s="1"/>
  <c r="C1093" i="32"/>
  <c r="A43" i="32"/>
  <c r="B43" i="32" s="1"/>
  <c r="C43" i="32"/>
  <c r="A958" i="32"/>
  <c r="B958" i="32" s="1"/>
  <c r="C958" i="32"/>
  <c r="A2353" i="32"/>
  <c r="B2353" i="32" s="1"/>
  <c r="C2353" i="32"/>
  <c r="A1987" i="32"/>
  <c r="B1987" i="32" s="1"/>
  <c r="C1987" i="32"/>
  <c r="A1105" i="32"/>
  <c r="B1105" i="32" s="1"/>
  <c r="C1105" i="32"/>
  <c r="A1712" i="32"/>
  <c r="B1712" i="32" s="1"/>
  <c r="C1712" i="32"/>
  <c r="A1678" i="32"/>
  <c r="B1678" i="32" s="1"/>
  <c r="C1678" i="32"/>
  <c r="A443" i="32"/>
  <c r="B443" i="32" s="1"/>
  <c r="C443" i="32"/>
  <c r="A1106" i="32"/>
  <c r="B1106" i="32" s="1"/>
  <c r="C1106" i="32"/>
  <c r="A463" i="32"/>
  <c r="B463" i="32" s="1"/>
  <c r="C463" i="32"/>
  <c r="A2407" i="32"/>
  <c r="B2407" i="32" s="1"/>
  <c r="C2407" i="32"/>
  <c r="A936" i="32"/>
  <c r="B936" i="32" s="1"/>
  <c r="C936" i="32"/>
  <c r="A831" i="32"/>
  <c r="B831" i="32" s="1"/>
  <c r="C831" i="32"/>
  <c r="A2663" i="32"/>
  <c r="B2663" i="32" s="1"/>
  <c r="C2663" i="32"/>
  <c r="A1263" i="32"/>
  <c r="B1263" i="32" s="1"/>
  <c r="C1263" i="32"/>
  <c r="A2239" i="32"/>
  <c r="B2239" i="32" s="1"/>
  <c r="C2239" i="32"/>
  <c r="A2069" i="32"/>
  <c r="B2069" i="32" s="1"/>
  <c r="C2069" i="32"/>
  <c r="A361" i="32"/>
  <c r="B361" i="32" s="1"/>
  <c r="C361" i="32"/>
  <c r="A1833" i="32"/>
  <c r="B1833" i="32" s="1"/>
  <c r="C1833" i="32"/>
  <c r="A519" i="32"/>
  <c r="B519" i="32" s="1"/>
  <c r="C519" i="32"/>
  <c r="A1875" i="32"/>
  <c r="B1875" i="32" s="1"/>
  <c r="C1875" i="32"/>
  <c r="A2302" i="32"/>
  <c r="B2302" i="32" s="1"/>
  <c r="C2302" i="32"/>
  <c r="A1284" i="32"/>
  <c r="B1284" i="32" s="1"/>
  <c r="C1284" i="32"/>
  <c r="A623" i="32"/>
  <c r="B623" i="32" s="1"/>
  <c r="C623" i="32"/>
  <c r="A1973" i="32"/>
  <c r="B1973" i="32" s="1"/>
  <c r="C1973" i="32"/>
  <c r="A2780" i="32"/>
  <c r="B2780" i="32" s="1"/>
  <c r="C2780" i="32"/>
  <c r="A2044" i="32"/>
  <c r="B2044" i="32" s="1"/>
  <c r="C2044" i="32"/>
  <c r="A2126" i="32"/>
  <c r="B2126" i="32" s="1"/>
  <c r="C2126" i="32"/>
  <c r="A749" i="32"/>
  <c r="B749" i="32" s="1"/>
  <c r="C749" i="32"/>
  <c r="A1610" i="32"/>
  <c r="B1610" i="32" s="1"/>
  <c r="C1610" i="32"/>
  <c r="A338" i="32"/>
  <c r="B338" i="32" s="1"/>
  <c r="C338" i="32"/>
  <c r="A438" i="32"/>
  <c r="B438" i="32" s="1"/>
  <c r="C438" i="32"/>
  <c r="A341" i="32"/>
  <c r="B341" i="32" s="1"/>
  <c r="C341" i="32"/>
  <c r="A645" i="32"/>
  <c r="B645" i="32" s="1"/>
  <c r="C645" i="32"/>
  <c r="A1880" i="32"/>
  <c r="B1880" i="32" s="1"/>
  <c r="C1880" i="32"/>
  <c r="A1082" i="32"/>
  <c r="B1082" i="32" s="1"/>
  <c r="C1082" i="32"/>
  <c r="A495" i="32"/>
  <c r="B495" i="32" s="1"/>
  <c r="C495" i="32"/>
  <c r="A1786" i="32"/>
  <c r="B1786" i="32" s="1"/>
  <c r="C1786" i="32"/>
  <c r="A1884" i="32"/>
  <c r="B1884" i="32" s="1"/>
  <c r="C1884" i="32"/>
  <c r="A1823" i="32"/>
  <c r="B1823" i="32" s="1"/>
  <c r="C1823" i="32"/>
  <c r="A2662" i="32"/>
  <c r="B2662" i="32" s="1"/>
  <c r="C2662" i="32"/>
  <c r="A1400" i="32"/>
  <c r="B1400" i="32" s="1"/>
  <c r="C1400" i="32"/>
  <c r="A1613" i="32"/>
  <c r="B1613" i="32" s="1"/>
  <c r="C1613" i="32"/>
  <c r="A1882" i="32"/>
  <c r="B1882" i="32" s="1"/>
  <c r="C1882" i="32"/>
  <c r="A2012" i="32"/>
  <c r="B2012" i="32" s="1"/>
  <c r="C2012" i="32"/>
  <c r="A2109" i="32"/>
  <c r="B2109" i="32" s="1"/>
  <c r="C2109" i="32"/>
  <c r="A2431" i="32"/>
  <c r="B2431" i="32" s="1"/>
  <c r="C2431" i="32"/>
  <c r="A129" i="32"/>
  <c r="B129" i="32" s="1"/>
  <c r="C129" i="32"/>
  <c r="A2073" i="32"/>
  <c r="B2073" i="32" s="1"/>
  <c r="C2073" i="32"/>
  <c r="A217" i="32"/>
  <c r="B217" i="32" s="1"/>
  <c r="C217" i="32"/>
  <c r="A81" i="32"/>
  <c r="B81" i="32" s="1"/>
  <c r="C81" i="32"/>
  <c r="A1757" i="32"/>
  <c r="B1757" i="32" s="1"/>
  <c r="C1757" i="32"/>
  <c r="A2684" i="32"/>
  <c r="B2684" i="32" s="1"/>
  <c r="C2684" i="32"/>
  <c r="A588" i="32"/>
  <c r="B588" i="32" s="1"/>
  <c r="C588" i="32"/>
  <c r="A1188" i="32"/>
  <c r="B1188" i="32" s="1"/>
  <c r="C1188" i="32"/>
  <c r="A1234" i="32"/>
  <c r="B1234" i="32" s="1"/>
  <c r="C1234" i="32"/>
  <c r="A905" i="32"/>
  <c r="B905" i="32" s="1"/>
  <c r="C905" i="32"/>
  <c r="A1924" i="32"/>
  <c r="B1924" i="32" s="1"/>
  <c r="C1924" i="32"/>
  <c r="A1199" i="32"/>
  <c r="B1199" i="32" s="1"/>
  <c r="C1199" i="32"/>
  <c r="A1436" i="32"/>
  <c r="B1436" i="32" s="1"/>
  <c r="C1436" i="32"/>
  <c r="A2503" i="32"/>
  <c r="B2503" i="32" s="1"/>
  <c r="C2503" i="32"/>
  <c r="A1160" i="32"/>
  <c r="B1160" i="32" s="1"/>
  <c r="C1160" i="32"/>
  <c r="A619" i="32"/>
  <c r="B619" i="32" s="1"/>
  <c r="C619" i="32"/>
  <c r="A220" i="32"/>
  <c r="B220" i="32" s="1"/>
  <c r="C220" i="32"/>
  <c r="A1727" i="32"/>
  <c r="B1727" i="32" s="1"/>
  <c r="C1727" i="32"/>
  <c r="A2309" i="32"/>
  <c r="B2309" i="32" s="1"/>
  <c r="C2309" i="32"/>
  <c r="A2078" i="32"/>
  <c r="B2078" i="32" s="1"/>
  <c r="C2078" i="32"/>
  <c r="A58" i="32"/>
  <c r="B58" i="32" s="1"/>
  <c r="C58" i="32"/>
  <c r="A2546" i="32"/>
  <c r="B2546" i="32" s="1"/>
  <c r="C2546" i="32"/>
  <c r="A2334" i="32"/>
  <c r="B2334" i="32" s="1"/>
  <c r="C2334" i="32"/>
  <c r="A339" i="32"/>
  <c r="B339" i="32" s="1"/>
  <c r="C339" i="32"/>
  <c r="A2293" i="32"/>
  <c r="B2293" i="32" s="1"/>
  <c r="C2293" i="32"/>
  <c r="A442" i="32"/>
  <c r="B442" i="32" s="1"/>
  <c r="C442" i="32"/>
  <c r="A2753" i="32"/>
  <c r="B2753" i="32" s="1"/>
  <c r="C2753" i="32"/>
  <c r="A1121" i="32"/>
  <c r="B1121" i="32" s="1"/>
  <c r="C1121" i="32"/>
  <c r="A2497" i="32"/>
  <c r="B2497" i="32" s="1"/>
  <c r="C2497" i="32"/>
  <c r="A1343" i="32"/>
  <c r="B1343" i="32" s="1"/>
  <c r="C1343" i="32"/>
  <c r="A269" i="32"/>
  <c r="B269" i="32" s="1"/>
  <c r="C269" i="32"/>
  <c r="A682" i="32"/>
  <c r="B682" i="32" s="1"/>
  <c r="C682" i="32"/>
  <c r="A1143" i="32"/>
  <c r="B1143" i="32" s="1"/>
  <c r="C1143" i="32"/>
  <c r="A290" i="32"/>
  <c r="B290" i="32" s="1"/>
  <c r="C290" i="32"/>
  <c r="A2312" i="32"/>
  <c r="B2312" i="32" s="1"/>
  <c r="C2312" i="32"/>
  <c r="A2727" i="32"/>
  <c r="B2727" i="32" s="1"/>
  <c r="C2727" i="32"/>
  <c r="A1278" i="32"/>
  <c r="B1278" i="32" s="1"/>
  <c r="C1278" i="32"/>
  <c r="A629" i="32"/>
  <c r="B629" i="32" s="1"/>
  <c r="C629" i="32"/>
  <c r="A1566" i="32"/>
  <c r="B1566" i="32" s="1"/>
  <c r="C1566" i="32"/>
  <c r="A1597" i="32"/>
  <c r="B1597" i="32" s="1"/>
  <c r="C1597" i="32"/>
  <c r="A1413" i="32"/>
  <c r="B1413" i="32" s="1"/>
  <c r="C1413" i="32"/>
  <c r="A316" i="32"/>
  <c r="B316" i="32" s="1"/>
  <c r="C316" i="32"/>
  <c r="A2696" i="32"/>
  <c r="B2696" i="32" s="1"/>
  <c r="C2696" i="32"/>
  <c r="A883" i="32"/>
  <c r="B883" i="32" s="1"/>
  <c r="C883" i="32"/>
  <c r="A605" i="32"/>
  <c r="B605" i="32" s="1"/>
  <c r="C605" i="32"/>
  <c r="A1203" i="32"/>
  <c r="B1203" i="32" s="1"/>
  <c r="C1203" i="32"/>
  <c r="A2725" i="32"/>
  <c r="B2725" i="32" s="1"/>
  <c r="C2725" i="32"/>
  <c r="A1406" i="32"/>
  <c r="B1406" i="32" s="1"/>
  <c r="C1406" i="32"/>
  <c r="A2233" i="32"/>
  <c r="B2233" i="32" s="1"/>
  <c r="C2233" i="32"/>
  <c r="A306" i="32"/>
  <c r="B306" i="32" s="1"/>
  <c r="C306" i="32"/>
  <c r="A356" i="32"/>
  <c r="B356" i="32" s="1"/>
  <c r="C356" i="32"/>
  <c r="A1466" i="32"/>
  <c r="B1466" i="32" s="1"/>
  <c r="C1466" i="32"/>
  <c r="A1603" i="32"/>
  <c r="B1603" i="32" s="1"/>
  <c r="C1603" i="32"/>
  <c r="A2272" i="32"/>
  <c r="B2272" i="32" s="1"/>
  <c r="C2272" i="32"/>
  <c r="A1755" i="32"/>
  <c r="B1755" i="32" s="1"/>
  <c r="C1755" i="32"/>
  <c r="A962" i="32"/>
  <c r="B962" i="32" s="1"/>
  <c r="C962" i="32"/>
  <c r="A130" i="32"/>
  <c r="B130" i="32" s="1"/>
  <c r="C130" i="32"/>
  <c r="A2240" i="32"/>
  <c r="B2240" i="32" s="1"/>
  <c r="C2240" i="32"/>
  <c r="A2010" i="32"/>
  <c r="B2010" i="32" s="1"/>
  <c r="C2010" i="32"/>
  <c r="A364" i="32"/>
  <c r="B364" i="32" s="1"/>
  <c r="C364" i="32"/>
  <c r="A2737" i="32"/>
  <c r="B2737" i="32" s="1"/>
  <c r="C2737" i="32"/>
  <c r="A118" i="32"/>
  <c r="B118" i="32" s="1"/>
  <c r="C118" i="32"/>
  <c r="A2764" i="32"/>
  <c r="B2764" i="32" s="1"/>
  <c r="C2764" i="32"/>
  <c r="A216" i="32"/>
  <c r="B216" i="32" s="1"/>
  <c r="C216" i="32"/>
  <c r="A711" i="32"/>
  <c r="B711" i="32" s="1"/>
  <c r="C711" i="32"/>
  <c r="A1869" i="32"/>
  <c r="B1869" i="32" s="1"/>
  <c r="C1869" i="32"/>
  <c r="A1729" i="32"/>
  <c r="B1729" i="32" s="1"/>
  <c r="C1729" i="32"/>
  <c r="A440" i="32"/>
  <c r="B440" i="32" s="1"/>
  <c r="C440" i="32"/>
  <c r="A1561" i="32"/>
  <c r="B1561" i="32" s="1"/>
  <c r="C1561" i="32"/>
  <c r="A2706" i="32"/>
  <c r="B2706" i="32" s="1"/>
  <c r="C2706" i="32"/>
  <c r="A1522" i="32"/>
  <c r="B1522" i="32" s="1"/>
  <c r="C1522" i="32"/>
  <c r="A1569" i="32"/>
  <c r="B1569" i="32" s="1"/>
  <c r="C1569" i="32"/>
  <c r="A597" i="32"/>
  <c r="B597" i="32" s="1"/>
  <c r="C597" i="32"/>
  <c r="A1238" i="32"/>
  <c r="B1238" i="32" s="1"/>
  <c r="C1238" i="32"/>
  <c r="A1011" i="32"/>
  <c r="B1011" i="32" s="1"/>
  <c r="C1011" i="32"/>
  <c r="A1298" i="32"/>
  <c r="B1298" i="32" s="1"/>
  <c r="C1298" i="32"/>
  <c r="A2627" i="32"/>
  <c r="B2627" i="32" s="1"/>
  <c r="C2627" i="32"/>
  <c r="A2228" i="32"/>
  <c r="B2228" i="32" s="1"/>
  <c r="C2228" i="32"/>
  <c r="A1834" i="32"/>
  <c r="B1834" i="32" s="1"/>
  <c r="C1834" i="32"/>
  <c r="A999" i="32"/>
  <c r="B999" i="32" s="1"/>
  <c r="C999" i="32"/>
  <c r="A1798" i="32"/>
  <c r="B1798" i="32" s="1"/>
  <c r="C1798" i="32"/>
  <c r="A877" i="32"/>
  <c r="B877" i="32" s="1"/>
  <c r="C877" i="32"/>
  <c r="A2418" i="32"/>
  <c r="B2418" i="32" s="1"/>
  <c r="C2418" i="32"/>
  <c r="A1535" i="32"/>
  <c r="B1535" i="32" s="1"/>
  <c r="C1535" i="32"/>
  <c r="A1141" i="32"/>
  <c r="B1141" i="32" s="1"/>
  <c r="C1141" i="32"/>
  <c r="A868" i="32"/>
  <c r="B868" i="32" s="1"/>
  <c r="C868" i="32"/>
  <c r="A1822" i="32"/>
  <c r="B1822" i="32" s="1"/>
  <c r="C1822" i="32"/>
  <c r="A693" i="32"/>
  <c r="B693" i="32" s="1"/>
  <c r="C693" i="32"/>
  <c r="A2580" i="32"/>
  <c r="B2580" i="32" s="1"/>
  <c r="C2580" i="32"/>
  <c r="A2114" i="32"/>
  <c r="B2114" i="32" s="1"/>
  <c r="C2114" i="32"/>
  <c r="A483" i="32"/>
  <c r="B483" i="32" s="1"/>
  <c r="C483" i="32"/>
  <c r="A2062" i="32"/>
  <c r="B2062" i="32" s="1"/>
  <c r="C2062" i="32"/>
  <c r="A1335" i="32"/>
  <c r="B1335" i="32" s="1"/>
  <c r="C1335" i="32"/>
  <c r="A1521" i="32"/>
  <c r="B1521" i="32" s="1"/>
  <c r="C1521" i="32"/>
  <c r="A1635" i="32"/>
  <c r="B1635" i="32" s="1"/>
  <c r="C1635" i="32"/>
  <c r="A2320" i="32"/>
  <c r="B2320" i="32" s="1"/>
  <c r="C2320" i="32"/>
  <c r="A855" i="32"/>
  <c r="B855" i="32" s="1"/>
  <c r="C855" i="32"/>
  <c r="A523" i="32"/>
  <c r="B523" i="32" s="1"/>
  <c r="C523" i="32"/>
  <c r="A2790" i="32"/>
  <c r="B2790" i="32" s="1"/>
  <c r="C2790" i="32"/>
  <c r="A2449" i="32"/>
  <c r="B2449" i="32" s="1"/>
  <c r="C2449" i="32"/>
  <c r="A1370" i="32"/>
  <c r="B1370" i="32" s="1"/>
  <c r="C1370" i="32"/>
  <c r="A1290" i="32"/>
  <c r="B1290" i="32" s="1"/>
  <c r="C1290" i="32"/>
  <c r="A2586" i="32"/>
  <c r="B2586" i="32" s="1"/>
  <c r="C2586" i="32"/>
  <c r="A1699" i="32"/>
  <c r="B1699" i="32" s="1"/>
  <c r="C1699" i="32"/>
  <c r="A852" i="32"/>
  <c r="B852" i="32" s="1"/>
  <c r="C852" i="32"/>
  <c r="A1838" i="32"/>
  <c r="B1838" i="32" s="1"/>
  <c r="C1838" i="32"/>
  <c r="A2297" i="32"/>
  <c r="B2297" i="32" s="1"/>
  <c r="C2297" i="32"/>
  <c r="A1365" i="32"/>
  <c r="B1365" i="32" s="1"/>
  <c r="C1365" i="32"/>
  <c r="A781" i="32"/>
  <c r="B781" i="32" s="1"/>
  <c r="C781" i="32"/>
  <c r="A100" i="32"/>
  <c r="B100" i="32" s="1"/>
  <c r="C100" i="32"/>
  <c r="A340" i="32"/>
  <c r="B340" i="32" s="1"/>
  <c r="C340" i="32"/>
  <c r="A1206" i="32"/>
  <c r="B1206" i="32" s="1"/>
  <c r="C1206" i="32"/>
  <c r="A1301" i="32"/>
  <c r="B1301" i="32" s="1"/>
  <c r="C1301" i="32"/>
  <c r="A2122" i="32"/>
  <c r="B2122" i="32" s="1"/>
  <c r="C2122" i="32"/>
  <c r="A335" i="32"/>
  <c r="B335" i="32" s="1"/>
  <c r="C335" i="32"/>
  <c r="A2477" i="32"/>
  <c r="B2477" i="32" s="1"/>
  <c r="C2477" i="32"/>
  <c r="A1618" i="32"/>
  <c r="B1618" i="32" s="1"/>
  <c r="C1618" i="32"/>
  <c r="A1319" i="32"/>
  <c r="B1319" i="32" s="1"/>
  <c r="C1319" i="32"/>
  <c r="A1474" i="32"/>
  <c r="B1474" i="32" s="1"/>
  <c r="C1474" i="32"/>
  <c r="A1866" i="32"/>
  <c r="B1866" i="32" s="1"/>
  <c r="C1866" i="32"/>
  <c r="A838" i="32"/>
  <c r="B838" i="32" s="1"/>
  <c r="C838" i="32"/>
  <c r="A2646" i="32"/>
  <c r="B2646" i="32" s="1"/>
  <c r="C2646" i="32"/>
  <c r="A7" i="32"/>
  <c r="B7" i="32" s="1"/>
  <c r="C7" i="32"/>
  <c r="A820" i="32"/>
  <c r="B820" i="32" s="1"/>
  <c r="C820" i="32"/>
  <c r="A1997" i="32"/>
  <c r="B1997" i="32" s="1"/>
  <c r="C1997" i="32"/>
  <c r="A2154" i="32"/>
  <c r="B2154" i="32" s="1"/>
  <c r="C2154" i="32"/>
  <c r="A2173" i="32"/>
  <c r="B2173" i="32" s="1"/>
  <c r="C2173" i="32"/>
  <c r="A2105" i="32"/>
  <c r="B2105" i="32" s="1"/>
  <c r="C2105" i="32"/>
  <c r="A721" i="32"/>
  <c r="B721" i="32" s="1"/>
  <c r="C721" i="32"/>
  <c r="A1124" i="32"/>
  <c r="B1124" i="32" s="1"/>
  <c r="C1124" i="32"/>
  <c r="A1210" i="32"/>
  <c r="B1210" i="32" s="1"/>
  <c r="C1210" i="32"/>
  <c r="A916" i="32"/>
  <c r="B916" i="32" s="1"/>
  <c r="C916" i="32"/>
  <c r="A1730" i="32"/>
  <c r="B1730" i="32" s="1"/>
  <c r="C1730" i="32"/>
  <c r="A1463" i="32"/>
  <c r="B1463" i="32" s="1"/>
  <c r="C1463" i="32"/>
  <c r="A42" i="32"/>
  <c r="B42" i="32" s="1"/>
  <c r="C42" i="32"/>
  <c r="A1081" i="32"/>
  <c r="B1081" i="32" s="1"/>
  <c r="C1081" i="32"/>
  <c r="A779" i="32"/>
  <c r="B779" i="32" s="1"/>
  <c r="C779" i="32"/>
  <c r="A2465" i="32"/>
  <c r="B2465" i="32" s="1"/>
  <c r="C2465" i="32"/>
  <c r="A2481" i="32"/>
  <c r="B2481" i="32" s="1"/>
  <c r="C2481" i="32"/>
  <c r="A1308" i="32"/>
  <c r="B1308" i="32" s="1"/>
  <c r="C1308" i="32"/>
  <c r="A1799" i="32"/>
  <c r="B1799" i="32" s="1"/>
  <c r="C1799" i="32"/>
  <c r="A2603" i="32"/>
  <c r="B2603" i="32" s="1"/>
  <c r="C2603" i="32"/>
  <c r="A752" i="32"/>
  <c r="B752" i="32" s="1"/>
  <c r="C752" i="32"/>
  <c r="A851" i="32"/>
  <c r="B851" i="32" s="1"/>
  <c r="C851" i="32"/>
  <c r="A1563" i="32"/>
  <c r="B1563" i="32" s="1"/>
  <c r="C1563" i="32"/>
  <c r="A2770" i="32"/>
  <c r="B2770" i="32" s="1"/>
  <c r="C2770" i="32"/>
  <c r="A1296" i="32"/>
  <c r="B1296" i="32" s="1"/>
  <c r="C1296" i="32"/>
  <c r="A2660" i="32"/>
  <c r="B2660" i="32" s="1"/>
  <c r="C2660" i="32"/>
  <c r="A1948" i="32"/>
  <c r="B1948" i="32" s="1"/>
  <c r="C1948" i="32"/>
  <c r="A319" i="32"/>
  <c r="B319" i="32" s="1"/>
  <c r="C319" i="32"/>
  <c r="A1161" i="32"/>
  <c r="B1161" i="32" s="1"/>
  <c r="C1161" i="32"/>
  <c r="A1772" i="32"/>
  <c r="B1772" i="32" s="1"/>
  <c r="C1772" i="32"/>
  <c r="A2578" i="32"/>
  <c r="B2578" i="32" s="1"/>
  <c r="C2578" i="32"/>
  <c r="A2249" i="32"/>
  <c r="B2249" i="32" s="1"/>
  <c r="C2249" i="32"/>
  <c r="A2166" i="32"/>
  <c r="B2166" i="32" s="1"/>
  <c r="C2166" i="32"/>
  <c r="A2536" i="32"/>
  <c r="B2536" i="32" s="1"/>
  <c r="C2536" i="32"/>
  <c r="A672" i="32"/>
  <c r="B672" i="32" s="1"/>
  <c r="C672" i="32"/>
  <c r="A596" i="32"/>
  <c r="B596" i="32" s="1"/>
  <c r="C596" i="32"/>
  <c r="A2113" i="32"/>
  <c r="B2113" i="32" s="1"/>
  <c r="C2113" i="32"/>
  <c r="A507" i="32"/>
  <c r="B507" i="32" s="1"/>
  <c r="C507" i="32"/>
  <c r="A1743" i="32"/>
  <c r="B1743" i="32" s="1"/>
  <c r="C1743" i="32"/>
  <c r="A324" i="32"/>
  <c r="B324" i="32" s="1"/>
  <c r="C324" i="32"/>
  <c r="A576" i="32"/>
  <c r="B576" i="32" s="1"/>
  <c r="C576" i="32"/>
  <c r="A1042" i="32"/>
  <c r="B1042" i="32" s="1"/>
  <c r="C1042" i="32"/>
  <c r="A2295" i="32"/>
  <c r="B2295" i="32" s="1"/>
  <c r="C2295" i="32"/>
  <c r="A1218" i="32"/>
  <c r="B1218" i="32" s="1"/>
  <c r="C1218" i="32"/>
  <c r="A2469" i="32"/>
  <c r="B2469" i="32" s="1"/>
  <c r="C2469" i="32"/>
  <c r="A2545" i="32"/>
  <c r="B2545" i="32" s="1"/>
  <c r="C2545" i="32"/>
  <c r="A2671" i="32"/>
  <c r="B2671" i="32" s="1"/>
  <c r="C2671" i="32"/>
  <c r="A654" i="32"/>
  <c r="B654" i="32" s="1"/>
  <c r="C654" i="32"/>
  <c r="A1329" i="32"/>
  <c r="B1329" i="32" s="1"/>
  <c r="C1329" i="32"/>
  <c r="A2554" i="32"/>
  <c r="B2554" i="32" s="1"/>
  <c r="C2554" i="32"/>
  <c r="A1870" i="32"/>
  <c r="B1870" i="32" s="1"/>
  <c r="C1870" i="32"/>
  <c r="A2362" i="32"/>
  <c r="B2362" i="32" s="1"/>
  <c r="C2362" i="32"/>
  <c r="A287" i="32"/>
  <c r="B287" i="32" s="1"/>
  <c r="C287" i="32"/>
  <c r="A1035" i="32"/>
  <c r="B1035" i="32" s="1"/>
  <c r="C1035" i="32"/>
  <c r="A898" i="32"/>
  <c r="B898" i="32" s="1"/>
  <c r="C898" i="32"/>
  <c r="A391" i="32"/>
  <c r="B391" i="32" s="1"/>
  <c r="C391" i="32"/>
  <c r="A1697" i="32"/>
  <c r="B1697" i="32" s="1"/>
  <c r="C1697" i="32"/>
  <c r="A709" i="32"/>
  <c r="B709" i="32" s="1"/>
  <c r="C709" i="32"/>
  <c r="A2011" i="32"/>
  <c r="B2011" i="32" s="1"/>
  <c r="C2011" i="32"/>
  <c r="A2008" i="32"/>
  <c r="B2008" i="32" s="1"/>
  <c r="C2008" i="32"/>
  <c r="A1008" i="32"/>
  <c r="B1008" i="32" s="1"/>
  <c r="C1008" i="32"/>
  <c r="A1322" i="32"/>
  <c r="B1322" i="32" s="1"/>
  <c r="C1322" i="32"/>
  <c r="A2456" i="32"/>
  <c r="B2456" i="32" s="1"/>
  <c r="C2456" i="32"/>
  <c r="A2781" i="32"/>
  <c r="B2781" i="32" s="1"/>
  <c r="C2781" i="32"/>
  <c r="A253" i="32"/>
  <c r="B253" i="32" s="1"/>
  <c r="C253" i="32"/>
  <c r="A1939" i="32"/>
  <c r="B1939" i="32" s="1"/>
  <c r="C1939" i="32"/>
  <c r="A462" i="32"/>
  <c r="B462" i="32" s="1"/>
  <c r="C462" i="32"/>
  <c r="A1363" i="32"/>
  <c r="B1363" i="32" s="1"/>
  <c r="C1363" i="32"/>
  <c r="A288" i="32"/>
  <c r="B288" i="32" s="1"/>
  <c r="C288" i="32"/>
  <c r="A24" i="32"/>
  <c r="B24" i="32" s="1"/>
  <c r="C24" i="32"/>
  <c r="A2509" i="32"/>
  <c r="B2509" i="32" s="1"/>
  <c r="C2509" i="32"/>
  <c r="A1659" i="32"/>
  <c r="B1659" i="32" s="1"/>
  <c r="C1659" i="32"/>
  <c r="A1998" i="32"/>
  <c r="B1998" i="32" s="1"/>
  <c r="C1998" i="32"/>
  <c r="A2028" i="32"/>
  <c r="B2028" i="32" s="1"/>
  <c r="C2028" i="32"/>
  <c r="A1707" i="32"/>
  <c r="B1707" i="32" s="1"/>
  <c r="C1707" i="32"/>
  <c r="A82" i="32"/>
  <c r="B82" i="32" s="1"/>
  <c r="C82" i="32"/>
  <c r="A2747" i="32"/>
  <c r="B2747" i="32" s="1"/>
  <c r="C2747" i="32"/>
  <c r="A550" i="32"/>
  <c r="B550" i="32" s="1"/>
  <c r="C550" i="32"/>
  <c r="A930" i="32"/>
  <c r="B930" i="32" s="1"/>
  <c r="C930" i="32"/>
  <c r="A1615" i="32"/>
  <c r="B1615" i="32" s="1"/>
  <c r="C1615" i="32"/>
  <c r="A1599" i="32"/>
  <c r="B1599" i="32" s="1"/>
  <c r="C1599" i="32"/>
  <c r="A2335" i="32"/>
  <c r="B2335" i="32" s="1"/>
  <c r="C2335" i="32"/>
  <c r="A1031" i="32"/>
  <c r="B1031" i="32" s="1"/>
  <c r="C1031" i="32"/>
  <c r="A60" i="32"/>
  <c r="B60" i="32" s="1"/>
  <c r="C60" i="32"/>
  <c r="A2576" i="32"/>
  <c r="B2576" i="32" s="1"/>
  <c r="C2576" i="32"/>
  <c r="A626" i="32"/>
  <c r="B626" i="32" s="1"/>
  <c r="C626" i="32"/>
  <c r="A1113" i="32"/>
  <c r="B1113" i="32" s="1"/>
  <c r="C1113" i="32"/>
  <c r="A2084" i="32"/>
  <c r="B2084" i="32" s="1"/>
  <c r="C2084" i="32"/>
  <c r="A1132" i="32"/>
  <c r="B1132" i="32" s="1"/>
  <c r="C1132" i="32"/>
  <c r="A2490" i="32"/>
  <c r="B2490" i="32" s="1"/>
  <c r="C2490" i="32"/>
  <c r="A1704" i="32"/>
  <c r="B1704" i="32" s="1"/>
  <c r="C1704" i="32"/>
  <c r="A1147" i="32"/>
  <c r="B1147" i="32" s="1"/>
  <c r="C1147" i="32"/>
  <c r="A56" i="32"/>
  <c r="B56" i="32" s="1"/>
  <c r="C56" i="32"/>
  <c r="A2713" i="32"/>
  <c r="B2713" i="32" s="1"/>
  <c r="C2713" i="32"/>
  <c r="A1804" i="32"/>
  <c r="B1804" i="32" s="1"/>
  <c r="C1804" i="32"/>
  <c r="A466" i="32"/>
  <c r="B466" i="32" s="1"/>
  <c r="C466" i="32"/>
  <c r="A1621" i="32"/>
  <c r="B1621" i="32" s="1"/>
  <c r="C1621" i="32"/>
  <c r="A1550" i="32"/>
  <c r="B1550" i="32" s="1"/>
  <c r="C1550" i="32"/>
  <c r="A1788" i="32"/>
  <c r="B1788" i="32" s="1"/>
  <c r="C1788" i="32"/>
  <c r="A2364" i="32"/>
  <c r="B2364" i="32" s="1"/>
  <c r="C2364" i="32"/>
  <c r="A1852" i="32"/>
  <c r="B1852" i="32" s="1"/>
  <c r="C1852" i="32"/>
  <c r="A235" i="32"/>
  <c r="B235" i="32" s="1"/>
  <c r="C235" i="32"/>
  <c r="A613" i="32"/>
  <c r="B613" i="32" s="1"/>
  <c r="C613" i="32"/>
  <c r="A543" i="32"/>
  <c r="B543" i="32" s="1"/>
  <c r="C543" i="32"/>
  <c r="A1593" i="32"/>
  <c r="B1593" i="32" s="1"/>
  <c r="C1593" i="32"/>
  <c r="A122" i="32"/>
  <c r="B122" i="32" s="1"/>
  <c r="C122" i="32"/>
  <c r="A2579" i="32"/>
  <c r="B2579" i="32" s="1"/>
  <c r="C2579" i="32"/>
  <c r="A818" i="32"/>
  <c r="B818" i="32" s="1"/>
  <c r="C818" i="32"/>
  <c r="A1235" i="32"/>
  <c r="B1235" i="32" s="1"/>
  <c r="C1235" i="32"/>
  <c r="A1236" i="32"/>
  <c r="B1236" i="32" s="1"/>
  <c r="C1236" i="32"/>
  <c r="A357" i="32"/>
  <c r="B357" i="32" s="1"/>
  <c r="C357" i="32"/>
  <c r="A1282" i="32"/>
  <c r="B1282" i="32" s="1"/>
  <c r="C1282" i="32"/>
  <c r="A144" i="32"/>
  <c r="B144" i="32" s="1"/>
  <c r="C144" i="32"/>
  <c r="A373" i="32"/>
  <c r="B373" i="32" s="1"/>
  <c r="C373" i="32"/>
  <c r="A1125" i="32"/>
  <c r="B1125" i="32" s="1"/>
  <c r="C1125" i="32"/>
  <c r="A732" i="32"/>
  <c r="B732" i="32" s="1"/>
  <c r="C732" i="32"/>
  <c r="A166" i="32"/>
  <c r="B166" i="32" s="1"/>
  <c r="C166" i="32"/>
  <c r="A2744" i="32"/>
  <c r="B2744" i="32" s="1"/>
  <c r="C2744" i="32"/>
  <c r="A879" i="32"/>
  <c r="B879" i="32" s="1"/>
  <c r="C879" i="32"/>
  <c r="A512" i="32"/>
  <c r="B512" i="32" s="1"/>
  <c r="C512" i="32"/>
  <c r="A1184" i="32"/>
  <c r="B1184" i="32" s="1"/>
  <c r="C1184" i="32"/>
  <c r="A2052" i="32"/>
  <c r="B2052" i="32" s="1"/>
  <c r="C2052" i="32"/>
  <c r="A2657" i="32"/>
  <c r="B2657" i="32" s="1"/>
  <c r="C2657" i="32"/>
  <c r="A2700" i="32"/>
  <c r="B2700" i="32" s="1"/>
  <c r="C2700" i="32"/>
  <c r="A783" i="32"/>
  <c r="B783" i="32" s="1"/>
  <c r="C783" i="32"/>
  <c r="A2333" i="32"/>
  <c r="B2333" i="32" s="1"/>
  <c r="C2333" i="32"/>
  <c r="A1672" i="32"/>
  <c r="B1672" i="32" s="1"/>
  <c r="C1672" i="32"/>
  <c r="A864" i="32"/>
  <c r="B864" i="32" s="1"/>
  <c r="C864" i="32"/>
  <c r="A2428" i="32"/>
  <c r="B2428" i="32" s="1"/>
  <c r="C2428" i="32"/>
  <c r="A109" i="32"/>
  <c r="B109" i="32" s="1"/>
  <c r="C109" i="32"/>
  <c r="A940" i="32"/>
  <c r="B940" i="32" s="1"/>
  <c r="C940" i="32"/>
  <c r="A467" i="32"/>
  <c r="B467" i="32" s="1"/>
  <c r="C467" i="32"/>
  <c r="A1107" i="32"/>
  <c r="B1107" i="32" s="1"/>
  <c r="C1107" i="32"/>
  <c r="A348" i="32"/>
  <c r="B348" i="32" s="1"/>
  <c r="C348" i="32"/>
  <c r="A764" i="32"/>
  <c r="B764" i="32" s="1"/>
  <c r="C764" i="32"/>
  <c r="A1247" i="32"/>
  <c r="B1247" i="32" s="1"/>
  <c r="C1247" i="32"/>
  <c r="A38" i="32"/>
  <c r="B38" i="32" s="1"/>
  <c r="C38" i="32"/>
  <c r="A2494" i="32"/>
  <c r="B2494" i="32" s="1"/>
  <c r="C2494" i="32"/>
  <c r="A1505" i="32"/>
  <c r="B1505" i="32" s="1"/>
  <c r="C1505" i="32"/>
  <c r="A311" i="32"/>
  <c r="B311" i="32" s="1"/>
  <c r="C311" i="32"/>
  <c r="A1090" i="32"/>
  <c r="B1090" i="32" s="1"/>
  <c r="C1090" i="32"/>
  <c r="A2397" i="32"/>
  <c r="B2397" i="32" s="1"/>
  <c r="C2397" i="32"/>
  <c r="A683" i="32"/>
  <c r="B683" i="32" s="1"/>
  <c r="C683" i="32"/>
  <c r="A2338" i="32"/>
  <c r="B2338" i="32" s="1"/>
  <c r="C2338" i="32"/>
  <c r="A2776" i="32"/>
  <c r="B2776" i="32" s="1"/>
  <c r="C2776" i="32"/>
  <c r="A2382" i="32"/>
  <c r="B2382" i="32" s="1"/>
  <c r="C2382" i="32"/>
  <c r="A234" i="32"/>
  <c r="B234" i="32" s="1"/>
  <c r="C234" i="32"/>
  <c r="A1056" i="32"/>
  <c r="B1056" i="32" s="1"/>
  <c r="C1056" i="32"/>
  <c r="A1055" i="32"/>
  <c r="B1055" i="32" s="1"/>
  <c r="C1055" i="32"/>
  <c r="A1616" i="32"/>
  <c r="B1616" i="32" s="1"/>
  <c r="C1616" i="32"/>
  <c r="A673" i="32"/>
  <c r="B673" i="32" s="1"/>
  <c r="C673" i="32"/>
  <c r="A1949" i="32"/>
  <c r="B1949" i="32" s="1"/>
  <c r="C1949" i="32"/>
  <c r="A1493" i="32"/>
  <c r="B1493" i="32" s="1"/>
  <c r="C1493" i="32"/>
  <c r="A225" i="32"/>
  <c r="B225" i="32" s="1"/>
  <c r="C225" i="32"/>
  <c r="A2326" i="32"/>
  <c r="B2326" i="32" s="1"/>
  <c r="C2326" i="32"/>
  <c r="A1328" i="32"/>
  <c r="B1328" i="32" s="1"/>
  <c r="C1328" i="32"/>
  <c r="A1095" i="32"/>
  <c r="B1095" i="32" s="1"/>
  <c r="C1095" i="32"/>
  <c r="A1049" i="32"/>
  <c r="B1049" i="32" s="1"/>
  <c r="C1049" i="32"/>
  <c r="A782" i="32"/>
  <c r="B782" i="32" s="1"/>
  <c r="C782" i="32"/>
  <c r="A2794" i="32"/>
  <c r="B2794" i="32" s="1"/>
  <c r="C2794" i="32"/>
  <c r="A2061" i="32"/>
  <c r="B2061" i="32" s="1"/>
  <c r="C2061" i="32"/>
  <c r="A283" i="32"/>
  <c r="B283" i="32" s="1"/>
  <c r="C283" i="32"/>
  <c r="A1469" i="32"/>
  <c r="B1469" i="32" s="1"/>
  <c r="C1469" i="32"/>
  <c r="A327" i="32"/>
  <c r="B327" i="32" s="1"/>
  <c r="C327" i="32"/>
  <c r="A2619" i="32"/>
  <c r="B2619" i="32" s="1"/>
  <c r="C2619" i="32"/>
  <c r="A2102" i="32"/>
  <c r="B2102" i="32" s="1"/>
  <c r="C2102" i="32"/>
  <c r="A1665" i="32"/>
  <c r="B1665" i="32" s="1"/>
  <c r="C1665" i="32"/>
  <c r="A119" i="32"/>
  <c r="B119" i="32" s="1"/>
  <c r="C119" i="32"/>
  <c r="A878" i="32"/>
  <c r="B878" i="32" s="1"/>
  <c r="C878" i="32"/>
  <c r="A945" i="32"/>
  <c r="B945" i="32" s="1"/>
  <c r="C945" i="32"/>
  <c r="A2256" i="32"/>
  <c r="B2256" i="32" s="1"/>
  <c r="C2256" i="32"/>
  <c r="A2715" i="32"/>
  <c r="B2715" i="32" s="1"/>
  <c r="C2715" i="32"/>
  <c r="A2346" i="32"/>
  <c r="B2346" i="32" s="1"/>
  <c r="C2346" i="32"/>
  <c r="A312" i="32"/>
  <c r="B312" i="32" s="1"/>
  <c r="C312" i="32"/>
  <c r="A1529" i="32"/>
  <c r="B1529" i="32" s="1"/>
  <c r="C1529" i="32"/>
  <c r="A1977" i="32"/>
  <c r="B1977" i="32" s="1"/>
  <c r="C1977" i="32"/>
  <c r="A2751" i="32"/>
  <c r="B2751" i="32" s="1"/>
  <c r="C2751" i="32"/>
  <c r="A1845" i="32"/>
  <c r="B1845" i="32" s="1"/>
  <c r="C1845" i="32"/>
  <c r="A2699" i="32"/>
  <c r="B2699" i="32" s="1"/>
  <c r="C2699" i="32"/>
  <c r="A1164" i="32"/>
  <c r="B1164" i="32" s="1"/>
  <c r="C1164" i="32"/>
  <c r="A2530" i="32"/>
  <c r="B2530" i="32" s="1"/>
  <c r="C2530" i="32"/>
  <c r="A1392" i="32"/>
  <c r="B1392" i="32" s="1"/>
  <c r="C1392" i="32"/>
  <c r="A388" i="32"/>
  <c r="B388" i="32" s="1"/>
  <c r="C388" i="32"/>
  <c r="A2368" i="32"/>
  <c r="B2368" i="32" s="1"/>
  <c r="C2368" i="32"/>
  <c r="A1696" i="32"/>
  <c r="B1696" i="32" s="1"/>
  <c r="C1696" i="32"/>
  <c r="A448" i="32"/>
  <c r="B448" i="32" s="1"/>
  <c r="C448" i="32"/>
  <c r="A270" i="32"/>
  <c r="B270" i="32" s="1"/>
  <c r="C270" i="32"/>
  <c r="A2304" i="32"/>
  <c r="B2304" i="32" s="1"/>
  <c r="C2304" i="32"/>
  <c r="A185" i="32"/>
  <c r="B185" i="32" s="1"/>
  <c r="C185" i="32"/>
  <c r="A1207" i="32"/>
  <c r="B1207" i="32" s="1"/>
  <c r="C1207" i="32"/>
  <c r="A1114" i="32"/>
  <c r="B1114" i="32" s="1"/>
  <c r="C1114" i="32"/>
  <c r="A1780" i="32"/>
  <c r="B1780" i="32" s="1"/>
  <c r="C1780" i="32"/>
  <c r="A1120" i="32"/>
  <c r="B1120" i="32" s="1"/>
  <c r="C1120" i="32"/>
  <c r="A1078" i="32"/>
  <c r="B1078" i="32" s="1"/>
  <c r="C1078" i="32"/>
  <c r="A696" i="32"/>
  <c r="B696" i="32" s="1"/>
  <c r="C696" i="32"/>
  <c r="A106" i="32"/>
  <c r="B106" i="32" s="1"/>
  <c r="C106" i="32"/>
  <c r="A1190" i="32"/>
  <c r="B1190" i="32" s="1"/>
  <c r="C1190" i="32"/>
  <c r="A1346" i="32"/>
  <c r="B1346" i="32" s="1"/>
  <c r="C1346" i="32"/>
  <c r="A953" i="32"/>
  <c r="B953" i="32" s="1"/>
  <c r="C953" i="32"/>
  <c r="A2314" i="32"/>
  <c r="B2314" i="32" s="1"/>
  <c r="C2314" i="32"/>
  <c r="A2120" i="32"/>
  <c r="B2120" i="32" s="1"/>
  <c r="C2120" i="32"/>
  <c r="A2549" i="32"/>
  <c r="B2549" i="32" s="1"/>
  <c r="C2549" i="32"/>
  <c r="A644" i="32"/>
  <c r="B644" i="32" s="1"/>
  <c r="C644" i="32"/>
  <c r="A1136" i="32"/>
  <c r="B1136" i="32" s="1"/>
  <c r="C1136" i="32"/>
  <c r="A1226" i="32"/>
  <c r="B1226" i="32" s="1"/>
  <c r="C1226" i="32"/>
  <c r="A1549" i="32"/>
  <c r="B1549" i="32" s="1"/>
  <c r="C1549" i="32"/>
  <c r="A45" i="32"/>
  <c r="B45" i="32" s="1"/>
  <c r="C45" i="32"/>
  <c r="A489" i="32"/>
  <c r="B489" i="32" s="1"/>
  <c r="C489" i="32"/>
  <c r="A542" i="32"/>
  <c r="B542" i="32" s="1"/>
  <c r="C542" i="32"/>
  <c r="A95" i="32"/>
  <c r="B95" i="32" s="1"/>
  <c r="C95" i="32"/>
  <c r="A2774" i="32"/>
  <c r="B2774" i="32" s="1"/>
  <c r="C2774" i="32"/>
  <c r="A1983" i="32"/>
  <c r="B1983" i="32" s="1"/>
  <c r="C1983" i="32"/>
  <c r="A2493" i="32"/>
  <c r="B2493" i="32" s="1"/>
  <c r="C2493" i="32"/>
  <c r="A1520" i="32"/>
  <c r="B1520" i="32" s="1"/>
  <c r="C1520" i="32"/>
  <c r="A162" i="32"/>
  <c r="B162" i="32" s="1"/>
  <c r="C162" i="32"/>
  <c r="A2310" i="32"/>
  <c r="B2310" i="32" s="1"/>
  <c r="C2310" i="32"/>
  <c r="A2148" i="32"/>
  <c r="B2148" i="32" s="1"/>
  <c r="C2148" i="32"/>
  <c r="A1581" i="32"/>
  <c r="B1581" i="32" s="1"/>
  <c r="C1581" i="32"/>
  <c r="A1356" i="32"/>
  <c r="B1356" i="32" s="1"/>
  <c r="C1356" i="32"/>
  <c r="A136" i="32"/>
  <c r="B136" i="32" s="1"/>
  <c r="C136" i="32"/>
  <c r="A368" i="32"/>
  <c r="B368" i="32" s="1"/>
  <c r="C368" i="32"/>
  <c r="A1005" i="32"/>
  <c r="B1005" i="32" s="1"/>
  <c r="C1005" i="32"/>
  <c r="A1806" i="32"/>
  <c r="B1806" i="32" s="1"/>
  <c r="C1806" i="32"/>
  <c r="A1964" i="32"/>
  <c r="B1964" i="32" s="1"/>
  <c r="C1964" i="32"/>
  <c r="A1669" i="32"/>
  <c r="B1669" i="32" s="1"/>
  <c r="C1669" i="32"/>
  <c r="A671" i="32"/>
  <c r="B671" i="32" s="1"/>
  <c r="C671" i="32"/>
  <c r="A497" i="32"/>
  <c r="B497" i="32" s="1"/>
  <c r="C497" i="32"/>
  <c r="A170" i="32"/>
  <c r="B170" i="32" s="1"/>
  <c r="C170" i="32"/>
  <c r="A513" i="32"/>
  <c r="B513" i="32" s="1"/>
  <c r="C513" i="32"/>
  <c r="A1374" i="32"/>
  <c r="B1374" i="32" s="1"/>
  <c r="C1374" i="32"/>
  <c r="A394" i="32"/>
  <c r="B394" i="32" s="1"/>
  <c r="C394" i="32"/>
  <c r="A262" i="32"/>
  <c r="B262" i="32" s="1"/>
  <c r="C262" i="32"/>
  <c r="A1611" i="32"/>
  <c r="B1611" i="32" s="1"/>
  <c r="C1611" i="32"/>
  <c r="A424" i="32"/>
  <c r="B424" i="32" s="1"/>
  <c r="C424" i="32"/>
  <c r="A1006" i="32"/>
  <c r="B1006" i="32" s="1"/>
  <c r="C1006" i="32"/>
  <c r="A369" i="32"/>
  <c r="B369" i="32" s="1"/>
  <c r="C369" i="32"/>
  <c r="A1079" i="32"/>
  <c r="B1079" i="32" s="1"/>
  <c r="C1079" i="32"/>
  <c r="A2649" i="32"/>
  <c r="B2649" i="32" s="1"/>
  <c r="C2649" i="32"/>
  <c r="A1805" i="32"/>
  <c r="B1805" i="32" s="1"/>
  <c r="C1805" i="32"/>
  <c r="A2406" i="32"/>
  <c r="B2406" i="32" s="1"/>
  <c r="C2406" i="32"/>
  <c r="A65" i="32"/>
  <c r="B65" i="32" s="1"/>
  <c r="C65" i="32"/>
  <c r="A801" i="32"/>
  <c r="B801" i="32" s="1"/>
  <c r="C801" i="32"/>
  <c r="A1153" i="32"/>
  <c r="B1153" i="32" s="1"/>
  <c r="C1153" i="32"/>
  <c r="A177" i="32"/>
  <c r="B177" i="32" s="1"/>
  <c r="C177" i="32"/>
  <c r="A1349" i="32"/>
  <c r="B1349" i="32" s="1"/>
  <c r="C1349" i="32"/>
  <c r="A2550" i="32"/>
  <c r="B2550" i="32" s="1"/>
  <c r="C2550" i="32"/>
  <c r="A342" i="32"/>
  <c r="B342" i="32" s="1"/>
  <c r="C342" i="32"/>
  <c r="A1695" i="32"/>
  <c r="B1695" i="32" s="1"/>
  <c r="C1695" i="32"/>
  <c r="A1246" i="32"/>
  <c r="B1246" i="32" s="1"/>
  <c r="C1246" i="32"/>
  <c r="A1264" i="32"/>
  <c r="B1264" i="32" s="1"/>
  <c r="C1264" i="32"/>
  <c r="A1119" i="32"/>
  <c r="B1119" i="32" s="1"/>
  <c r="C1119" i="32"/>
  <c r="A403" i="32"/>
  <c r="B403" i="32" s="1"/>
  <c r="C403" i="32"/>
  <c r="A1131" i="32"/>
  <c r="B1131" i="32" s="1"/>
  <c r="C1131" i="32"/>
  <c r="A609" i="32"/>
  <c r="B609" i="32" s="1"/>
  <c r="C609" i="32"/>
  <c r="A315" i="32"/>
  <c r="B315" i="32" s="1"/>
  <c r="C315" i="32"/>
  <c r="A1104" i="32"/>
  <c r="B1104" i="32" s="1"/>
  <c r="C1104" i="32"/>
  <c r="A2381" i="32"/>
  <c r="B2381" i="32" s="1"/>
  <c r="C2381" i="32"/>
  <c r="A1644" i="32"/>
  <c r="B1644" i="32" s="1"/>
  <c r="C1644" i="32"/>
  <c r="A677" i="32"/>
  <c r="B677" i="32" s="1"/>
  <c r="C677" i="32"/>
  <c r="A2686" i="32"/>
  <c r="B2686" i="32" s="1"/>
  <c r="C2686" i="32"/>
  <c r="A2410" i="32"/>
  <c r="B2410" i="32" s="1"/>
  <c r="C2410" i="32"/>
  <c r="A2442" i="32"/>
  <c r="B2442" i="32" s="1"/>
  <c r="C2442" i="32"/>
  <c r="A756" i="32"/>
  <c r="B756" i="32" s="1"/>
  <c r="C756" i="32"/>
  <c r="A182" i="32"/>
  <c r="B182" i="32" s="1"/>
  <c r="C182" i="32"/>
  <c r="A1426" i="32"/>
  <c r="B1426" i="32" s="1"/>
  <c r="C1426" i="32"/>
  <c r="A563" i="32"/>
  <c r="B563" i="32" s="1"/>
  <c r="C563" i="32"/>
  <c r="A1421" i="32"/>
  <c r="B1421" i="32" s="1"/>
  <c r="C1421" i="32"/>
  <c r="A430" i="32"/>
  <c r="B430" i="32" s="1"/>
  <c r="C430" i="32"/>
  <c r="A331" i="32"/>
  <c r="B331" i="32" s="1"/>
  <c r="C331" i="32"/>
  <c r="A490" i="32"/>
  <c r="B490" i="32" s="1"/>
  <c r="C490" i="32"/>
  <c r="A2486" i="32"/>
  <c r="B2486" i="32" s="1"/>
  <c r="C2486" i="32"/>
  <c r="A360" i="32"/>
  <c r="B360" i="32" s="1"/>
  <c r="C360" i="32"/>
  <c r="A2642" i="32"/>
  <c r="B2642" i="32" s="1"/>
  <c r="C2642" i="32"/>
  <c r="A436" i="32"/>
  <c r="B436" i="32" s="1"/>
  <c r="C436" i="32"/>
  <c r="A1661" i="32"/>
  <c r="B1661" i="32" s="1"/>
  <c r="C1661" i="32"/>
  <c r="A920" i="32"/>
  <c r="B920" i="32" s="1"/>
  <c r="C920" i="32"/>
  <c r="A606" i="32"/>
  <c r="B606" i="32" s="1"/>
  <c r="C606" i="32"/>
  <c r="A1765" i="32"/>
  <c r="B1765" i="32" s="1"/>
  <c r="C1765" i="32"/>
  <c r="A2030" i="32"/>
  <c r="B2030" i="32" s="1"/>
  <c r="C2030" i="32"/>
  <c r="A250" i="32"/>
  <c r="B250" i="32" s="1"/>
  <c r="C250" i="32"/>
  <c r="A173" i="32"/>
  <c r="B173" i="32" s="1"/>
  <c r="C173" i="32"/>
  <c r="A1722" i="32"/>
  <c r="B1722" i="32" s="1"/>
  <c r="C1722" i="32"/>
  <c r="A196" i="32"/>
  <c r="B196" i="32" s="1"/>
  <c r="C196" i="32"/>
  <c r="A895" i="32"/>
  <c r="B895" i="32" s="1"/>
  <c r="C895" i="32"/>
  <c r="A998" i="32"/>
  <c r="B998" i="32" s="1"/>
  <c r="C998" i="32"/>
  <c r="A832" i="32"/>
  <c r="B832" i="32" s="1"/>
  <c r="C832" i="32"/>
  <c r="A1183" i="32"/>
  <c r="B1183" i="32" s="1"/>
  <c r="C1183" i="32"/>
  <c r="A1800" i="32"/>
  <c r="B1800" i="32" s="1"/>
  <c r="C1800" i="32"/>
  <c r="A1080" i="32"/>
  <c r="B1080" i="32" s="1"/>
  <c r="C1080" i="32"/>
  <c r="A1524" i="32"/>
  <c r="B1524" i="32" s="1"/>
  <c r="C1524" i="32"/>
  <c r="A214" i="32"/>
  <c r="B214" i="32" s="1"/>
  <c r="C214" i="32"/>
  <c r="A726" i="32"/>
  <c r="B726" i="32" s="1"/>
  <c r="C726" i="32"/>
  <c r="A2570" i="32"/>
  <c r="B2570" i="32" s="1"/>
  <c r="C2570" i="32"/>
  <c r="A2613" i="32"/>
  <c r="B2613" i="32" s="1"/>
  <c r="C2613" i="32"/>
  <c r="A978" i="32"/>
  <c r="B978" i="32" s="1"/>
  <c r="C978" i="32"/>
  <c r="A2313" i="32"/>
  <c r="B2313" i="32" s="1"/>
  <c r="C2313" i="32"/>
  <c r="A973" i="32"/>
  <c r="B973" i="32" s="1"/>
  <c r="C973" i="32"/>
  <c r="A1291" i="32"/>
  <c r="B1291" i="32" s="1"/>
  <c r="C1291" i="32"/>
  <c r="A1890" i="32"/>
  <c r="B1890" i="32" s="1"/>
  <c r="C1890" i="32"/>
  <c r="A1832" i="32"/>
  <c r="B1832" i="32" s="1"/>
  <c r="C1832" i="32"/>
  <c r="A1703" i="32"/>
  <c r="B1703" i="32" s="1"/>
  <c r="C1703" i="32"/>
  <c r="A2629" i="32"/>
  <c r="B2629" i="32" s="1"/>
  <c r="C2629" i="32"/>
  <c r="A1024" i="32"/>
  <c r="B1024" i="32" s="1"/>
  <c r="C1024" i="32"/>
  <c r="A2222" i="32"/>
  <c r="B2222" i="32" s="1"/>
  <c r="C2222" i="32"/>
  <c r="A950" i="32"/>
  <c r="B950" i="32" s="1"/>
  <c r="C950" i="32"/>
  <c r="A2291" i="32"/>
  <c r="B2291" i="32" s="1"/>
  <c r="C2291" i="32"/>
  <c r="A2419" i="32"/>
  <c r="B2419" i="32" s="1"/>
  <c r="C2419" i="32"/>
  <c r="A941" i="32"/>
  <c r="B941" i="32" s="1"/>
  <c r="C941" i="32"/>
  <c r="A1961" i="32"/>
  <c r="B1961" i="32" s="1"/>
  <c r="C1961" i="32"/>
  <c r="A402" i="32"/>
  <c r="B402" i="32" s="1"/>
  <c r="C402" i="32"/>
  <c r="A1018" i="32"/>
  <c r="B1018" i="32" s="1"/>
  <c r="C1018" i="32"/>
  <c r="A1481" i="32"/>
  <c r="B1481" i="32" s="1"/>
  <c r="C1481" i="32"/>
  <c r="A510" i="32"/>
  <c r="B510" i="32" s="1"/>
  <c r="C510" i="32"/>
  <c r="A1861" i="32"/>
  <c r="B1861" i="32" s="1"/>
  <c r="C1861" i="32"/>
  <c r="A1225" i="32"/>
  <c r="B1225" i="32" s="1"/>
  <c r="C1225" i="32"/>
  <c r="A1123" i="32"/>
  <c r="B1123" i="32" s="1"/>
  <c r="C1123" i="32"/>
  <c r="A1330" i="32"/>
  <c r="B1330" i="32" s="1"/>
  <c r="C1330" i="32"/>
  <c r="A537" i="32"/>
  <c r="B537" i="32" s="1"/>
  <c r="C537" i="32"/>
  <c r="A1001" i="32"/>
  <c r="B1001" i="32" s="1"/>
  <c r="C1001" i="32"/>
  <c r="A13" i="32"/>
  <c r="B13" i="32" s="1"/>
  <c r="C13" i="32"/>
  <c r="A1684" i="32"/>
  <c r="B1684" i="32" s="1"/>
  <c r="C1684" i="32"/>
  <c r="A441" i="32"/>
  <c r="B441" i="32" s="1"/>
  <c r="C441" i="32"/>
  <c r="A1454" i="32"/>
  <c r="B1454" i="32" s="1"/>
  <c r="C1454" i="32"/>
  <c r="A28" i="32"/>
  <c r="B28" i="32" s="1"/>
  <c r="C28" i="32"/>
  <c r="A1096" i="32"/>
  <c r="B1096" i="32" s="1"/>
  <c r="C1096" i="32"/>
  <c r="A2039" i="32"/>
  <c r="B2039" i="32" s="1"/>
  <c r="C2039" i="32"/>
  <c r="A494" i="32"/>
  <c r="B494" i="32" s="1"/>
  <c r="C494" i="32"/>
  <c r="A2533" i="32"/>
  <c r="B2533" i="32" s="1"/>
  <c r="C2533" i="32"/>
  <c r="A2498" i="32"/>
  <c r="B2498" i="32" s="1"/>
  <c r="C2498" i="32"/>
  <c r="A1925" i="32"/>
  <c r="B1925" i="32" s="1"/>
  <c r="C1925" i="32"/>
  <c r="A249" i="32"/>
  <c r="B249" i="32" s="1"/>
  <c r="C249" i="32"/>
  <c r="A1588" i="32"/>
  <c r="B1588" i="32" s="1"/>
  <c r="C1588" i="32"/>
  <c r="A308" i="32"/>
  <c r="B308" i="32" s="1"/>
  <c r="C308" i="32"/>
  <c r="A829" i="32"/>
  <c r="B829" i="32" s="1"/>
  <c r="C829" i="32"/>
  <c r="A676" i="32"/>
  <c r="B676" i="32" s="1"/>
  <c r="C676" i="32"/>
  <c r="A1679" i="32"/>
  <c r="B1679" i="32" s="1"/>
  <c r="C1679" i="32"/>
  <c r="A1779" i="32"/>
  <c r="B1779" i="32" s="1"/>
  <c r="C1779" i="32"/>
  <c r="A116" i="32"/>
  <c r="B116" i="32" s="1"/>
  <c r="C116" i="32"/>
  <c r="A2730" i="32"/>
  <c r="B2730" i="32" s="1"/>
  <c r="C2730" i="32"/>
  <c r="A1404" i="32"/>
  <c r="B1404" i="32" s="1"/>
  <c r="C1404" i="32"/>
  <c r="A740" i="32"/>
  <c r="B740" i="32" s="1"/>
  <c r="C740" i="32"/>
  <c r="A2075" i="32"/>
  <c r="B2075" i="32" s="1"/>
  <c r="C2075" i="32"/>
  <c r="A2150" i="32"/>
  <c r="B2150" i="32" s="1"/>
  <c r="C2150" i="32"/>
  <c r="A2658" i="32"/>
  <c r="B2658" i="32" s="1"/>
  <c r="C2658" i="32"/>
  <c r="A2305" i="32"/>
  <c r="B2305" i="32" s="1"/>
  <c r="C2305" i="32"/>
  <c r="A2516" i="32"/>
  <c r="B2516" i="32" s="1"/>
  <c r="C2516" i="32"/>
  <c r="A2058" i="32"/>
  <c r="B2058" i="32" s="1"/>
  <c r="C2058" i="32"/>
  <c r="A618" i="32"/>
  <c r="B618" i="32" s="1"/>
  <c r="C618" i="32"/>
  <c r="A655" i="32"/>
  <c r="B655" i="32" s="1"/>
  <c r="C655" i="32"/>
  <c r="A1851" i="32"/>
  <c r="B1851" i="32" s="1"/>
  <c r="C1851" i="32"/>
  <c r="A2791" i="32"/>
  <c r="B2791" i="32" s="1"/>
  <c r="C2791" i="32"/>
  <c r="A1178" i="32"/>
  <c r="B1178" i="32" s="1"/>
  <c r="C1178" i="32"/>
  <c r="A123" i="32"/>
  <c r="B123" i="32" s="1"/>
  <c r="C123" i="32"/>
  <c r="A780" i="32"/>
  <c r="B780" i="32" s="1"/>
  <c r="C780" i="32"/>
  <c r="A1342" i="32"/>
  <c r="B1342" i="32" s="1"/>
  <c r="C1342" i="32"/>
  <c r="A2082" i="32"/>
  <c r="B2082" i="32" s="1"/>
  <c r="C2082" i="32"/>
  <c r="A952" i="32"/>
  <c r="B952" i="32" s="1"/>
  <c r="C952" i="32"/>
  <c r="A955" i="32"/>
  <c r="B955" i="32" s="1"/>
  <c r="C955" i="32"/>
  <c r="A1850" i="32"/>
  <c r="B1850" i="32" s="1"/>
  <c r="C1850" i="32"/>
  <c r="A503" i="32"/>
  <c r="B503" i="32" s="1"/>
  <c r="C503" i="32"/>
  <c r="A2430" i="32"/>
  <c r="B2430" i="32" s="1"/>
  <c r="C2430" i="32"/>
  <c r="A849" i="32"/>
  <c r="B849" i="32" s="1"/>
  <c r="C849" i="32"/>
  <c r="A1586" i="32"/>
  <c r="B1586" i="32" s="1"/>
  <c r="C1586" i="32"/>
  <c r="A1658" i="32"/>
  <c r="B1658" i="32" s="1"/>
  <c r="C1658" i="32"/>
  <c r="A622" i="32"/>
  <c r="B622" i="32" s="1"/>
  <c r="C622" i="32"/>
  <c r="A1847" i="32"/>
  <c r="B1847" i="32" s="1"/>
  <c r="C1847" i="32"/>
  <c r="A2685" i="32"/>
  <c r="B2685" i="32" s="1"/>
  <c r="C2685" i="32"/>
  <c r="A2235" i="32"/>
  <c r="B2235" i="32" s="1"/>
  <c r="C2235" i="32"/>
  <c r="A1419" i="32"/>
  <c r="B1419" i="32" s="1"/>
  <c r="C1419" i="32"/>
  <c r="A1061" i="32"/>
  <c r="B1061" i="32" s="1"/>
  <c r="C1061" i="32"/>
  <c r="A1036" i="32"/>
  <c r="B1036" i="32" s="1"/>
  <c r="C1036" i="32"/>
  <c r="A1555" i="32"/>
  <c r="B1555" i="32" s="1"/>
  <c r="C1555" i="32"/>
  <c r="A975" i="32"/>
  <c r="B975" i="32" s="1"/>
  <c r="C975" i="32"/>
  <c r="A806" i="32"/>
  <c r="B806" i="32" s="1"/>
  <c r="C806" i="32"/>
  <c r="A2385" i="32"/>
  <c r="B2385" i="32" s="1"/>
  <c r="C2385" i="32"/>
  <c r="A631" i="32"/>
  <c r="B631" i="32" s="1"/>
  <c r="C631" i="32"/>
  <c r="A293" i="32"/>
  <c r="B293" i="32" s="1"/>
  <c r="C293" i="32"/>
  <c r="A2123" i="32"/>
  <c r="B2123" i="32" s="1"/>
  <c r="C2123" i="32"/>
  <c r="A608" i="32"/>
  <c r="B608" i="32" s="1"/>
  <c r="C608" i="32"/>
  <c r="A167" i="32"/>
  <c r="B167" i="32" s="1"/>
  <c r="C167" i="32"/>
  <c r="A1327" i="32"/>
  <c r="B1327" i="32" s="1"/>
  <c r="C1327" i="32"/>
  <c r="A25" i="32"/>
  <c r="B25" i="32" s="1"/>
  <c r="C25" i="32"/>
  <c r="A1448" i="32"/>
  <c r="B1448" i="32" s="1"/>
  <c r="C1448" i="32"/>
  <c r="A425" i="32"/>
  <c r="B425" i="32" s="1"/>
  <c r="C425" i="32"/>
  <c r="A1531" i="32"/>
  <c r="B1531" i="32" s="1"/>
  <c r="C1531" i="32"/>
  <c r="A2219" i="32"/>
  <c r="B2219" i="32" s="1"/>
  <c r="C2219" i="32"/>
  <c r="A1139" i="32"/>
  <c r="B1139" i="32" s="1"/>
  <c r="C1139" i="32"/>
  <c r="A1387" i="32"/>
  <c r="B1387" i="32" s="1"/>
  <c r="C1387" i="32"/>
  <c r="A1916" i="32"/>
  <c r="B1916" i="32" s="1"/>
  <c r="C1916" i="32"/>
  <c r="A1473" i="32"/>
  <c r="B1473" i="32" s="1"/>
  <c r="C1473" i="32"/>
  <c r="A183" i="32"/>
  <c r="B183" i="32" s="1"/>
  <c r="C183" i="32"/>
  <c r="A1984" i="32"/>
  <c r="B1984" i="32" s="1"/>
  <c r="C1984" i="32"/>
  <c r="A2049" i="32"/>
  <c r="B2049" i="32" s="1"/>
  <c r="C2049" i="32"/>
  <c r="A1250" i="32"/>
  <c r="B1250" i="32" s="1"/>
  <c r="C1250" i="32"/>
  <c r="A607" i="32"/>
  <c r="B607" i="32" s="1"/>
  <c r="C607" i="32"/>
  <c r="A2672" i="32"/>
  <c r="B2672" i="32" s="1"/>
  <c r="C2672" i="32"/>
  <c r="A239" i="32"/>
  <c r="B239" i="32" s="1"/>
  <c r="C239" i="32"/>
  <c r="A719" i="32"/>
  <c r="B719" i="32" s="1"/>
  <c r="C719" i="32"/>
  <c r="A322" i="32"/>
  <c r="B322" i="32" s="1"/>
  <c r="C322" i="32"/>
  <c r="A813" i="32"/>
  <c r="B813" i="32" s="1"/>
  <c r="C813" i="32"/>
  <c r="A2284" i="32"/>
  <c r="B2284" i="32" s="1"/>
  <c r="C2284" i="32"/>
  <c r="A1379" i="32"/>
  <c r="B1379" i="32" s="1"/>
  <c r="C1379" i="32"/>
  <c r="A1562" i="32"/>
  <c r="B1562" i="32" s="1"/>
  <c r="C1562" i="32"/>
  <c r="A1918" i="32"/>
  <c r="B1918" i="32" s="1"/>
  <c r="C1918" i="32"/>
  <c r="A1228" i="32"/>
  <c r="B1228" i="32" s="1"/>
  <c r="C1228" i="32"/>
  <c r="A2255" i="32"/>
  <c r="B2255" i="32" s="1"/>
  <c r="C2255" i="32"/>
  <c r="A1533" i="32"/>
  <c r="B1533" i="32" s="1"/>
  <c r="C1533" i="32"/>
  <c r="A419" i="32"/>
  <c r="B419" i="32" s="1"/>
  <c r="C419" i="32"/>
  <c r="A1619" i="32"/>
  <c r="B1619" i="32" s="1"/>
  <c r="C1619" i="32"/>
  <c r="A957" i="32"/>
  <c r="B957" i="32" s="1"/>
  <c r="C957" i="32"/>
  <c r="A142" i="32"/>
  <c r="B142" i="32" s="1"/>
  <c r="C142" i="32"/>
  <c r="A200" i="32"/>
  <c r="B200" i="32" s="1"/>
  <c r="C200" i="32"/>
  <c r="A538" i="32"/>
  <c r="B538" i="32" s="1"/>
  <c r="C538" i="32"/>
  <c r="A2186" i="32"/>
  <c r="B2186" i="32" s="1"/>
  <c r="C2186" i="32"/>
  <c r="A68" i="32"/>
  <c r="B68" i="32" s="1"/>
  <c r="C68" i="32"/>
  <c r="A1293" i="32"/>
  <c r="B1293" i="32" s="1"/>
  <c r="C1293" i="32"/>
  <c r="A1253" i="32"/>
  <c r="B1253" i="32" s="1"/>
  <c r="C1253" i="32"/>
  <c r="A345" i="32"/>
  <c r="B345" i="32" s="1"/>
  <c r="C345" i="32"/>
  <c r="A2237" i="32"/>
  <c r="B2237" i="32" s="1"/>
  <c r="C2237" i="32"/>
  <c r="A2716" i="32"/>
  <c r="B2716" i="32" s="1"/>
  <c r="C2716" i="32"/>
  <c r="A395" i="32"/>
  <c r="B395" i="32" s="1"/>
  <c r="C395" i="32"/>
  <c r="A189" i="32"/>
  <c r="B189" i="32" s="1"/>
  <c r="C189" i="32"/>
  <c r="A805" i="32"/>
  <c r="B805" i="32" s="1"/>
  <c r="C805" i="32"/>
  <c r="A1305" i="32"/>
  <c r="B1305" i="32" s="1"/>
  <c r="C1305" i="32"/>
  <c r="A2187" i="32"/>
  <c r="B2187" i="32" s="1"/>
  <c r="C2187" i="32"/>
  <c r="A1673" i="32"/>
  <c r="B1673" i="32" s="1"/>
  <c r="C1673" i="32"/>
  <c r="A2609" i="32"/>
  <c r="B2609" i="32" s="1"/>
  <c r="C2609" i="32"/>
  <c r="A284" i="32"/>
  <c r="B284" i="32" s="1"/>
  <c r="C284" i="32"/>
  <c r="A1467" i="32"/>
  <c r="B1467" i="32" s="1"/>
  <c r="C1467" i="32"/>
  <c r="A942" i="32"/>
  <c r="B942" i="32" s="1"/>
  <c r="C942" i="32"/>
  <c r="A2526" i="32"/>
  <c r="B2526" i="32" s="1"/>
  <c r="C2526" i="32"/>
  <c r="A1744" i="32"/>
  <c r="B1744" i="32" s="1"/>
  <c r="C1744" i="32"/>
  <c r="A1989" i="32"/>
  <c r="B1989" i="32" s="1"/>
  <c r="C1989" i="32"/>
  <c r="A271" i="32"/>
  <c r="B271" i="32" s="1"/>
  <c r="C271" i="32"/>
  <c r="A1350" i="32"/>
  <c r="B1350" i="32" s="1"/>
  <c r="C1350" i="32"/>
  <c r="A585" i="32"/>
  <c r="B585" i="32" s="1"/>
  <c r="C585" i="32"/>
  <c r="A748" i="32"/>
  <c r="B748" i="32" s="1"/>
  <c r="C748" i="32"/>
  <c r="A1825" i="32"/>
  <c r="B1825" i="32" s="1"/>
  <c r="C1825" i="32"/>
  <c r="A1908" i="32"/>
  <c r="B1908" i="32" s="1"/>
  <c r="C1908" i="32"/>
  <c r="A143" i="32"/>
  <c r="B143" i="32" s="1"/>
  <c r="C143" i="32"/>
  <c r="A2443" i="32"/>
  <c r="B2443" i="32" s="1"/>
  <c r="C2443" i="32"/>
  <c r="A371" i="32"/>
  <c r="B371" i="32" s="1"/>
  <c r="C371" i="32"/>
  <c r="A212" i="32"/>
  <c r="B212" i="32" s="1"/>
  <c r="C212" i="32"/>
  <c r="A258" i="32"/>
  <c r="B258" i="32" s="1"/>
  <c r="C258" i="32"/>
  <c r="A954" i="32"/>
  <c r="B954" i="32" s="1"/>
  <c r="C954" i="32"/>
  <c r="A1577" i="32"/>
  <c r="B1577" i="32" s="1"/>
  <c r="C1577" i="32"/>
  <c r="A2147" i="32"/>
  <c r="B2147" i="32" s="1"/>
  <c r="C2147" i="32"/>
  <c r="A583" i="32"/>
  <c r="B583" i="32" s="1"/>
  <c r="C583" i="32"/>
  <c r="A382" i="32"/>
  <c r="B382" i="32" s="1"/>
  <c r="C382" i="32"/>
  <c r="A1969" i="32"/>
  <c r="B1969" i="32" s="1"/>
  <c r="C1969" i="32"/>
  <c r="A323" i="32"/>
  <c r="B323" i="32" s="1"/>
  <c r="C323" i="32"/>
  <c r="A520" i="32"/>
  <c r="B520" i="32" s="1"/>
  <c r="C520" i="32"/>
  <c r="A1620" i="32"/>
  <c r="B1620" i="32" s="1"/>
  <c r="C1620" i="32"/>
  <c r="A2683" i="32"/>
  <c r="B2683" i="32" s="1"/>
  <c r="C2683" i="32"/>
  <c r="A1941" i="32"/>
  <c r="B1941" i="32" s="1"/>
  <c r="C1941" i="32"/>
  <c r="A444" i="32"/>
  <c r="B444" i="32" s="1"/>
  <c r="C444" i="32"/>
  <c r="A64" i="32"/>
  <c r="B64" i="32" s="1"/>
  <c r="C64" i="32"/>
  <c r="A2396" i="32"/>
  <c r="B2396" i="32" s="1"/>
  <c r="C2396" i="32"/>
  <c r="A1424" i="32"/>
  <c r="B1424" i="32" s="1"/>
  <c r="C1424" i="32"/>
  <c r="A982" i="32"/>
  <c r="B982" i="32" s="1"/>
  <c r="C982" i="32"/>
  <c r="A289" i="32"/>
  <c r="B289" i="32" s="1"/>
  <c r="C289" i="32"/>
  <c r="A559" i="32"/>
  <c r="B559" i="32" s="1"/>
  <c r="C559" i="32"/>
  <c r="A1625" i="32"/>
  <c r="B1625" i="32" s="1"/>
  <c r="C1625" i="32"/>
  <c r="A2664" i="32"/>
  <c r="B2664" i="32" s="1"/>
  <c r="C2664" i="32"/>
  <c r="A2401" i="32"/>
  <c r="B2401" i="32" s="1"/>
  <c r="C2401" i="32"/>
  <c r="A2729" i="32"/>
  <c r="B2729" i="32" s="1"/>
  <c r="C2729" i="32"/>
  <c r="A2361" i="32"/>
  <c r="B2361" i="32" s="1"/>
  <c r="C2361" i="32"/>
  <c r="A2463" i="32"/>
  <c r="B2463" i="32" s="1"/>
  <c r="C2463" i="32"/>
  <c r="A2070" i="32"/>
  <c r="B2070" i="32" s="1"/>
  <c r="C2070" i="32"/>
  <c r="A1830" i="32"/>
  <c r="B1830" i="32" s="1"/>
  <c r="C1830" i="32"/>
  <c r="A524" i="32"/>
  <c r="B524" i="32" s="1"/>
  <c r="C524" i="32"/>
  <c r="A2149" i="32"/>
  <c r="B2149" i="32" s="1"/>
  <c r="C2149" i="32"/>
  <c r="A1484" i="32"/>
  <c r="B1484" i="32" s="1"/>
  <c r="C1484" i="32"/>
  <c r="A1385" i="32"/>
  <c r="B1385" i="32" s="1"/>
  <c r="C1385" i="32"/>
  <c r="A39" i="32"/>
  <c r="B39" i="32" s="1"/>
  <c r="C39" i="32"/>
  <c r="A917" i="32"/>
  <c r="B917" i="32" s="1"/>
  <c r="C917" i="32"/>
  <c r="A1451" i="32"/>
  <c r="B1451" i="32" s="1"/>
  <c r="C1451" i="32"/>
  <c r="A133" i="32"/>
  <c r="B133" i="32" s="1"/>
  <c r="C133" i="32"/>
  <c r="A650" i="32"/>
  <c r="B650" i="32" s="1"/>
  <c r="C650" i="32"/>
  <c r="A354" i="32"/>
  <c r="B354" i="32" s="1"/>
  <c r="C354" i="32"/>
  <c r="A598" i="32"/>
  <c r="B598" i="32" s="1"/>
  <c r="C598" i="32"/>
  <c r="A1592" i="32"/>
  <c r="B1592" i="32" s="1"/>
  <c r="C1592" i="32"/>
  <c r="A861" i="32"/>
  <c r="B861" i="32" s="1"/>
  <c r="C861" i="32"/>
  <c r="A1479" i="32"/>
  <c r="B1479" i="32" s="1"/>
  <c r="C1479" i="32"/>
  <c r="A2551" i="32"/>
  <c r="B2551" i="32" s="1"/>
  <c r="C2551" i="32"/>
  <c r="A310" i="32"/>
  <c r="B310" i="32" s="1"/>
  <c r="C310" i="32"/>
  <c r="A2032" i="32"/>
  <c r="B2032" i="32" s="1"/>
  <c r="C2032" i="32"/>
  <c r="A292" i="32"/>
  <c r="B292" i="32" s="1"/>
  <c r="C292" i="32"/>
  <c r="A1511" i="32"/>
  <c r="B1511" i="32" s="1"/>
  <c r="C1511" i="32"/>
  <c r="A1538" i="32"/>
  <c r="B1538" i="32" s="1"/>
  <c r="C1538" i="32"/>
  <c r="A1906" i="32"/>
  <c r="B1906" i="32" s="1"/>
  <c r="C1906" i="32"/>
  <c r="A6" i="32"/>
  <c r="B6" i="32" s="1"/>
  <c r="C6" i="32"/>
  <c r="A924" i="32"/>
  <c r="B924" i="32" s="1"/>
  <c r="C924" i="32"/>
  <c r="A1232" i="32"/>
  <c r="B1232" i="32" s="1"/>
  <c r="C1232" i="32"/>
  <c r="A2793" i="32"/>
  <c r="B2793" i="32" s="1"/>
  <c r="C2793" i="32"/>
  <c r="A2238" i="32"/>
  <c r="B2238" i="32" s="1"/>
  <c r="C2238" i="32"/>
  <c r="A822" i="32"/>
  <c r="B822" i="32" s="1"/>
  <c r="C822" i="32"/>
  <c r="A1118" i="32"/>
  <c r="B1118" i="32" s="1"/>
  <c r="C1118" i="32"/>
  <c r="A195" i="32"/>
  <c r="B195" i="32" s="1"/>
  <c r="C195" i="32"/>
  <c r="A277" i="32"/>
  <c r="B277" i="32" s="1"/>
  <c r="C277" i="32"/>
  <c r="A337" i="32"/>
  <c r="B337" i="32" s="1"/>
  <c r="C337" i="32"/>
  <c r="A181" i="32"/>
  <c r="B181" i="32" s="1"/>
  <c r="C181" i="32"/>
  <c r="A2086" i="32"/>
  <c r="B2086" i="32" s="1"/>
  <c r="C2086" i="32"/>
  <c r="A397" i="32"/>
  <c r="B397" i="32" s="1"/>
  <c r="C397" i="32"/>
  <c r="A1891" i="32"/>
  <c r="B1891" i="32" s="1"/>
  <c r="C1891" i="32"/>
  <c r="A2355" i="32"/>
  <c r="B2355" i="32" s="1"/>
  <c r="C2355" i="32"/>
  <c r="A1959" i="32"/>
  <c r="B1959" i="32" s="1"/>
  <c r="C1959" i="32"/>
  <c r="A777" i="32"/>
  <c r="B777" i="32" s="1"/>
  <c r="C777" i="32"/>
  <c r="A1449" i="32"/>
  <c r="B1449" i="32" s="1"/>
  <c r="C1449" i="32"/>
  <c r="A1150" i="32"/>
  <c r="B1150" i="32" s="1"/>
  <c r="C1150" i="32"/>
  <c r="A558" i="32"/>
  <c r="B558" i="32" s="1"/>
  <c r="C558" i="32"/>
  <c r="A539" i="32"/>
  <c r="B539" i="32" s="1"/>
  <c r="C539" i="32"/>
  <c r="A1351" i="32"/>
  <c r="B1351" i="32" s="1"/>
  <c r="C1351" i="32"/>
  <c r="A1007" i="32"/>
  <c r="B1007" i="32" s="1"/>
  <c r="C1007" i="32"/>
  <c r="A1574" i="32"/>
  <c r="B1574" i="32" s="1"/>
  <c r="C1574" i="32"/>
  <c r="A1666" i="32"/>
  <c r="B1666" i="32" s="1"/>
  <c r="C1666" i="32"/>
  <c r="A578" i="32"/>
  <c r="B578" i="32" s="1"/>
  <c r="C578" i="32"/>
  <c r="A228" i="32"/>
  <c r="B228" i="32" s="1"/>
  <c r="C228" i="32"/>
  <c r="A1169" i="32"/>
  <c r="B1169" i="32" s="1"/>
  <c r="C1169" i="32"/>
  <c r="A2697" i="32"/>
  <c r="B2697" i="32" s="1"/>
  <c r="C2697" i="32"/>
  <c r="A2290" i="32"/>
  <c r="B2290" i="32" s="1"/>
  <c r="C2290" i="32"/>
  <c r="A2717" i="32"/>
  <c r="B2717" i="32" s="1"/>
  <c r="C2717" i="32"/>
  <c r="A1418" i="32"/>
  <c r="B1418" i="32" s="1"/>
  <c r="C1418" i="32"/>
  <c r="A2474" i="32"/>
  <c r="B2474" i="32" s="1"/>
  <c r="C2474" i="32"/>
  <c r="A1044" i="32"/>
  <c r="B1044" i="32" s="1"/>
  <c r="C1044" i="32"/>
  <c r="A2373" i="32"/>
  <c r="B2373" i="32" s="1"/>
  <c r="C2373" i="32"/>
  <c r="A256" i="32"/>
  <c r="B256" i="32" s="1"/>
  <c r="C256" i="32"/>
  <c r="A653" i="32"/>
  <c r="B653" i="32" s="1"/>
  <c r="C653" i="32"/>
  <c r="A1215" i="32"/>
  <c r="B1215" i="32" s="1"/>
  <c r="C1215" i="32"/>
  <c r="A1556" i="32"/>
  <c r="B1556" i="32" s="1"/>
  <c r="C1556" i="32"/>
  <c r="A2479" i="32"/>
  <c r="B2479" i="32" s="1"/>
  <c r="C2479" i="32"/>
  <c r="A2624" i="32"/>
  <c r="B2624" i="32" s="1"/>
  <c r="C2624" i="32"/>
  <c r="A572" i="32"/>
  <c r="B572" i="32" s="1"/>
  <c r="C572" i="32"/>
  <c r="A2231" i="32"/>
  <c r="B2231" i="32" s="1"/>
  <c r="C2231" i="32"/>
  <c r="A620" i="32"/>
  <c r="B620" i="32" s="1"/>
  <c r="C620" i="32"/>
  <c r="A1475" i="32"/>
  <c r="B1475" i="32" s="1"/>
  <c r="C1475" i="32"/>
  <c r="A1495" i="32"/>
  <c r="B1495" i="32" s="1"/>
  <c r="C1495" i="32"/>
  <c r="A2180" i="32"/>
  <c r="B2180" i="32" s="1"/>
  <c r="C2180" i="32"/>
  <c r="A723" i="32"/>
  <c r="B723" i="32" s="1"/>
  <c r="C723" i="32"/>
  <c r="A580" i="32"/>
  <c r="B580" i="32" s="1"/>
  <c r="C580" i="32"/>
  <c r="A148" i="32"/>
  <c r="B148" i="32" s="1"/>
  <c r="C148" i="32"/>
  <c r="A1530" i="32"/>
  <c r="B1530" i="32" s="1"/>
  <c r="C1530" i="32"/>
  <c r="A2097" i="32"/>
  <c r="B2097" i="32" s="1"/>
  <c r="C2097" i="32"/>
  <c r="A575" i="32"/>
  <c r="B575" i="32" s="1"/>
  <c r="C575" i="32"/>
  <c r="A2273" i="32"/>
  <c r="B2273" i="32" s="1"/>
  <c r="C2273" i="32"/>
  <c r="A2482" i="32"/>
  <c r="B2482" i="32" s="1"/>
  <c r="C2482" i="32"/>
  <c r="A1733" i="32"/>
  <c r="B1733" i="32" s="1"/>
  <c r="C1733" i="32"/>
  <c r="A812" i="32"/>
  <c r="B812" i="32" s="1"/>
  <c r="C812" i="32"/>
  <c r="A1242" i="32"/>
  <c r="B1242" i="32" s="1"/>
  <c r="C1242" i="32"/>
  <c r="A2348" i="32"/>
  <c r="B2348" i="32" s="1"/>
  <c r="C2348" i="32"/>
  <c r="A921" i="32"/>
  <c r="B921" i="32" s="1"/>
  <c r="C921" i="32"/>
  <c r="A1622" i="32"/>
  <c r="B1622" i="32" s="1"/>
  <c r="C1622" i="32"/>
  <c r="A1361" i="32"/>
  <c r="B1361" i="32" s="1"/>
  <c r="C1361" i="32"/>
  <c r="A2444" i="32"/>
  <c r="B2444" i="32" s="1"/>
  <c r="C2444" i="32"/>
  <c r="A1033" i="32"/>
  <c r="B1033" i="32" s="1"/>
  <c r="C1033" i="32"/>
  <c r="A474" i="32"/>
  <c r="B474" i="32" s="1"/>
  <c r="C474" i="32"/>
  <c r="A865" i="32"/>
  <c r="B865" i="32" s="1"/>
  <c r="C865" i="32"/>
  <c r="A1414" i="32"/>
  <c r="B1414" i="32" s="1"/>
  <c r="C1414" i="32"/>
  <c r="A1412" i="32"/>
  <c r="B1412" i="32" s="1"/>
  <c r="C1412" i="32"/>
  <c r="A2800" i="32"/>
  <c r="B2800" i="32" s="1"/>
  <c r="C2800" i="32"/>
  <c r="A451" i="32"/>
  <c r="B451" i="32" s="1"/>
  <c r="C451" i="32"/>
  <c r="A1270" i="32"/>
  <c r="B1270" i="32" s="1"/>
  <c r="C1270" i="32"/>
  <c r="A1546" i="32"/>
  <c r="B1546" i="32" s="1"/>
  <c r="C1546" i="32"/>
  <c r="A922" i="32"/>
  <c r="B922" i="32" s="1"/>
  <c r="C922" i="32"/>
  <c r="A1609" i="32"/>
  <c r="B1609" i="32" s="1"/>
  <c r="C1609" i="32"/>
  <c r="A2054" i="32"/>
  <c r="B2054" i="32" s="1"/>
  <c r="C2054" i="32"/>
  <c r="A1927" i="32"/>
  <c r="B1927" i="32" s="1"/>
  <c r="C1927" i="32"/>
  <c r="A2279" i="32"/>
  <c r="B2279" i="32" s="1"/>
  <c r="C2279" i="32"/>
  <c r="A1209" i="32"/>
  <c r="B1209" i="32" s="1"/>
  <c r="C1209" i="32"/>
  <c r="A1837" i="32"/>
  <c r="B1837" i="32" s="1"/>
  <c r="C1837" i="32"/>
  <c r="A272" i="32"/>
  <c r="B272" i="32" s="1"/>
  <c r="C272" i="32"/>
  <c r="A1855" i="32"/>
  <c r="B1855" i="32" s="1"/>
  <c r="C1855" i="32"/>
  <c r="A1518" i="32"/>
  <c r="B1518" i="32" s="1"/>
  <c r="C1518" i="32"/>
  <c r="A1248" i="32"/>
  <c r="B1248" i="32" s="1"/>
  <c r="C1248" i="32"/>
  <c r="A747" i="32"/>
  <c r="B747" i="32" s="1"/>
  <c r="C747" i="32"/>
  <c r="A2534" i="32"/>
  <c r="B2534" i="32" s="1"/>
  <c r="C2534" i="32"/>
  <c r="A1537" i="32"/>
  <c r="B1537" i="32" s="1"/>
  <c r="C1537" i="32"/>
  <c r="A666" i="32"/>
  <c r="B666" i="32" s="1"/>
  <c r="C666" i="32"/>
  <c r="A2059" i="32"/>
  <c r="B2059" i="32" s="1"/>
  <c r="C2059" i="32"/>
  <c r="A2264" i="32"/>
  <c r="B2264" i="32" s="1"/>
  <c r="C2264" i="32"/>
  <c r="A2322" i="32"/>
  <c r="B2322" i="32" s="1"/>
  <c r="C2322" i="32"/>
  <c r="A387" i="32"/>
  <c r="B387" i="32" s="1"/>
  <c r="C387" i="32"/>
  <c r="A1889" i="32"/>
  <c r="B1889" i="32" s="1"/>
  <c r="C1889" i="32"/>
  <c r="A2504" i="32"/>
  <c r="B2504" i="32" s="1"/>
  <c r="C2504" i="32"/>
  <c r="A1552" i="32"/>
  <c r="B1552" i="32" s="1"/>
  <c r="C1552" i="32"/>
  <c r="A610" i="32"/>
  <c r="B610" i="32" s="1"/>
  <c r="C610" i="32"/>
  <c r="AF1492" i="27"/>
  <c r="AE1492" i="27"/>
  <c r="AD1492" i="27"/>
  <c r="AC1492" i="27"/>
  <c r="AB1492" i="27"/>
  <c r="R1492" i="27"/>
  <c r="Q1492" i="27"/>
  <c r="P1492" i="27"/>
  <c r="E1492" i="27"/>
  <c r="D1492" i="27"/>
  <c r="A2840" i="32"/>
  <c r="B2840" i="32" s="1"/>
  <c r="C2840" i="32"/>
  <c r="AM1553" i="27"/>
  <c r="AF1553" i="27"/>
  <c r="AE1553" i="27"/>
  <c r="AD1553" i="27"/>
  <c r="AC1553" i="27"/>
  <c r="AB1553" i="27"/>
  <c r="R1553" i="27"/>
  <c r="Q1553" i="27"/>
  <c r="P1553" i="27"/>
  <c r="AM1557" i="27"/>
  <c r="AN1557" i="27" s="1"/>
  <c r="AO1557" i="27" s="1"/>
  <c r="AF1557" i="27"/>
  <c r="AE1557" i="27"/>
  <c r="AD1557" i="27"/>
  <c r="AC1557" i="27"/>
  <c r="AB1557" i="27"/>
  <c r="R1557" i="27"/>
  <c r="Q1557" i="27"/>
  <c r="P1557" i="27"/>
  <c r="AM1605" i="27"/>
  <c r="AN1605" i="27" s="1"/>
  <c r="AO1605" i="27" s="1"/>
  <c r="AF1605" i="27"/>
  <c r="AE1605" i="27"/>
  <c r="AD1605" i="27"/>
  <c r="AC1605" i="27"/>
  <c r="AB1605" i="27"/>
  <c r="R1605" i="27"/>
  <c r="Q1605" i="27"/>
  <c r="P1605" i="27"/>
  <c r="AM1556" i="27"/>
  <c r="AH1556" i="27" s="1"/>
  <c r="AF1556" i="27"/>
  <c r="AE1556" i="27"/>
  <c r="AD1556" i="27"/>
  <c r="AC1556" i="27"/>
  <c r="AB1556" i="27"/>
  <c r="R1556" i="27"/>
  <c r="Q1556" i="27"/>
  <c r="P1556" i="27"/>
  <c r="AM1604" i="27"/>
  <c r="AF1604" i="27"/>
  <c r="AE1604" i="27"/>
  <c r="AD1604" i="27"/>
  <c r="AC1604" i="27"/>
  <c r="AB1604" i="27"/>
  <c r="R1604" i="27"/>
  <c r="Q1604" i="27"/>
  <c r="P1604" i="27"/>
  <c r="AM1539" i="27"/>
  <c r="AN1539" i="27" s="1"/>
  <c r="AO1539" i="27" s="1"/>
  <c r="AF1539" i="27"/>
  <c r="AE1539" i="27"/>
  <c r="AD1539" i="27"/>
  <c r="AC1539" i="27"/>
  <c r="AB1539" i="27"/>
  <c r="R1539" i="27"/>
  <c r="Q1539" i="27"/>
  <c r="P1539" i="27"/>
  <c r="AM1538" i="27"/>
  <c r="AF1538" i="27"/>
  <c r="AE1538" i="27"/>
  <c r="AD1538" i="27"/>
  <c r="AC1538" i="27"/>
  <c r="AB1538" i="27"/>
  <c r="R1538" i="27"/>
  <c r="Q1538" i="27"/>
  <c r="P1538" i="27"/>
  <c r="AM1537" i="27"/>
  <c r="AN1537" i="27" s="1"/>
  <c r="AO1537" i="27" s="1"/>
  <c r="AF1537" i="27"/>
  <c r="AE1537" i="27"/>
  <c r="AD1537" i="27"/>
  <c r="AC1537" i="27"/>
  <c r="AB1537" i="27"/>
  <c r="R1537" i="27"/>
  <c r="Q1537" i="27"/>
  <c r="P1537" i="27"/>
  <c r="AM1536" i="27"/>
  <c r="AH1536" i="27" s="1"/>
  <c r="AF1536" i="27"/>
  <c r="AE1536" i="27"/>
  <c r="AD1536" i="27"/>
  <c r="AC1536" i="27"/>
  <c r="AB1536" i="27"/>
  <c r="R1536" i="27"/>
  <c r="Q1536" i="27"/>
  <c r="P1536" i="27"/>
  <c r="AF1530" i="27"/>
  <c r="AE1530" i="27"/>
  <c r="AD1530" i="27"/>
  <c r="AC1530" i="27"/>
  <c r="AB1530" i="27"/>
  <c r="R1530" i="27"/>
  <c r="Q1530" i="27"/>
  <c r="P1530" i="27"/>
  <c r="E1530" i="27"/>
  <c r="D1530" i="27"/>
  <c r="AF2308" i="27"/>
  <c r="AE2308" i="27"/>
  <c r="AD2308" i="27"/>
  <c r="AC2308" i="27"/>
  <c r="AB2308" i="27"/>
  <c r="R2308" i="27"/>
  <c r="Q2308" i="27"/>
  <c r="P2308" i="27"/>
  <c r="E2308" i="27"/>
  <c r="D2308" i="27"/>
  <c r="AF3289" i="27"/>
  <c r="AE3289" i="27"/>
  <c r="AD3289" i="27"/>
  <c r="AC3289" i="27"/>
  <c r="AB3289" i="27"/>
  <c r="R3289" i="27"/>
  <c r="Q3289" i="27"/>
  <c r="P3289" i="27"/>
  <c r="E3289" i="27"/>
  <c r="D3289" i="27"/>
  <c r="AF3083" i="27"/>
  <c r="AE3083" i="27"/>
  <c r="AD3083" i="27"/>
  <c r="AC3083" i="27"/>
  <c r="AB3083" i="27"/>
  <c r="R3083" i="27"/>
  <c r="Q3083" i="27"/>
  <c r="P3083" i="27"/>
  <c r="E3083" i="27"/>
  <c r="D3083" i="27"/>
  <c r="AM3083" i="27" s="1"/>
  <c r="AN3083" i="27" s="1"/>
  <c r="AO3083" i="27" s="1"/>
  <c r="AF2329" i="27"/>
  <c r="AE2329" i="27"/>
  <c r="AD2329" i="27"/>
  <c r="AC2329" i="27"/>
  <c r="AB2329" i="27"/>
  <c r="R2329" i="27"/>
  <c r="Q2329" i="27"/>
  <c r="P2329" i="27"/>
  <c r="E2329" i="27"/>
  <c r="D2329" i="27"/>
  <c r="AM2329" i="27" s="1"/>
  <c r="AF3186" i="27"/>
  <c r="AE3186" i="27"/>
  <c r="AD3186" i="27"/>
  <c r="AC3186" i="27"/>
  <c r="AB3186" i="27"/>
  <c r="R3186" i="27"/>
  <c r="Q3186" i="27"/>
  <c r="P3186" i="27"/>
  <c r="E3186" i="27"/>
  <c r="D3186" i="27"/>
  <c r="AM3186" i="27" s="1"/>
  <c r="AN3186" i="27" s="1"/>
  <c r="AO3186" i="27" s="1"/>
  <c r="AF1627" i="27"/>
  <c r="AE1627" i="27"/>
  <c r="AD1627" i="27"/>
  <c r="AC1627" i="27"/>
  <c r="AB1627" i="27"/>
  <c r="R1627" i="27"/>
  <c r="Q1627" i="27"/>
  <c r="P1627" i="27"/>
  <c r="E1627" i="27"/>
  <c r="D1627" i="27"/>
  <c r="AM1627" i="27" s="1"/>
  <c r="AF1599" i="27"/>
  <c r="AE1599" i="27"/>
  <c r="AD1599" i="27"/>
  <c r="AC1599" i="27"/>
  <c r="AB1599" i="27"/>
  <c r="R1599" i="27"/>
  <c r="Q1599" i="27"/>
  <c r="P1599" i="27"/>
  <c r="E1599" i="27"/>
  <c r="D1599" i="27"/>
  <c r="AF1370" i="27"/>
  <c r="AE1370" i="27"/>
  <c r="AD1370" i="27"/>
  <c r="AC1370" i="27"/>
  <c r="AB1370" i="27"/>
  <c r="R1370" i="27"/>
  <c r="Q1370" i="27"/>
  <c r="P1370" i="27"/>
  <c r="E1370" i="27"/>
  <c r="D1370" i="27"/>
  <c r="AM1402" i="27"/>
  <c r="AF1402" i="27"/>
  <c r="AE1402" i="27"/>
  <c r="AD1402" i="27"/>
  <c r="AC1402" i="27"/>
  <c r="AB1402" i="27"/>
  <c r="R1402" i="27"/>
  <c r="Q1402" i="27"/>
  <c r="P1402" i="27"/>
  <c r="AF2319" i="27"/>
  <c r="AE2319" i="27"/>
  <c r="AD2319" i="27"/>
  <c r="AB2319" i="27"/>
  <c r="R2319" i="27"/>
  <c r="Q2319" i="27"/>
  <c r="P2319" i="27"/>
  <c r="E2319" i="27"/>
  <c r="D2319" i="27"/>
  <c r="AM2319" i="27" s="1"/>
  <c r="AN2319" i="27" s="1"/>
  <c r="AO2319" i="27" s="1"/>
  <c r="AF3285" i="27"/>
  <c r="AE3285" i="27"/>
  <c r="AD3285" i="27"/>
  <c r="AC3285" i="27"/>
  <c r="AB3285" i="27"/>
  <c r="R3285" i="27"/>
  <c r="Q3285" i="27"/>
  <c r="P3285" i="27"/>
  <c r="E3285" i="27"/>
  <c r="D3285" i="27"/>
  <c r="AM3285" i="27" s="1"/>
  <c r="AH3285" i="27" s="1"/>
  <c r="AF1608" i="27"/>
  <c r="AE1608" i="27"/>
  <c r="AD1608" i="27"/>
  <c r="AC1608" i="27"/>
  <c r="AB1608" i="27"/>
  <c r="R1608" i="27"/>
  <c r="Q1608" i="27"/>
  <c r="P1608" i="27"/>
  <c r="E1608" i="27"/>
  <c r="D1608" i="27"/>
  <c r="AM1608" i="27" s="1"/>
  <c r="AN1608" i="27" s="1"/>
  <c r="AO1608" i="27" s="1"/>
  <c r="AF1642" i="27"/>
  <c r="AE1642" i="27"/>
  <c r="AD1642" i="27"/>
  <c r="AC1642" i="27"/>
  <c r="AB1642" i="27"/>
  <c r="R1642" i="27"/>
  <c r="Q1642" i="27"/>
  <c r="P1642" i="27"/>
  <c r="E1642" i="27"/>
  <c r="D1642" i="27"/>
  <c r="AM1642" i="27" s="1"/>
  <c r="AN1642" i="27" s="1"/>
  <c r="AO1642" i="27" s="1"/>
  <c r="AF1582" i="27"/>
  <c r="AE1582" i="27"/>
  <c r="AD1582" i="27"/>
  <c r="AC1582" i="27"/>
  <c r="AB1582" i="27"/>
  <c r="R1582" i="27"/>
  <c r="Q1582" i="27"/>
  <c r="P1582" i="27"/>
  <c r="E1582" i="27"/>
  <c r="D1582" i="27"/>
  <c r="AM1582" i="27" s="1"/>
  <c r="AN1582" i="27" s="1"/>
  <c r="AO1582" i="27" s="1"/>
  <c r="AF3292" i="27"/>
  <c r="AE3292" i="27"/>
  <c r="AD3292" i="27"/>
  <c r="AC3292" i="27"/>
  <c r="AB3292" i="27"/>
  <c r="R3292" i="27"/>
  <c r="Q3292" i="27"/>
  <c r="P3292" i="27"/>
  <c r="E3292" i="27"/>
  <c r="D3292" i="27"/>
  <c r="AF1550" i="27"/>
  <c r="AE1550" i="27"/>
  <c r="AD1550" i="27"/>
  <c r="AC1550" i="27"/>
  <c r="AB1550" i="27"/>
  <c r="R1550" i="27"/>
  <c r="Q1550" i="27"/>
  <c r="P1550" i="27"/>
  <c r="E1550" i="27"/>
  <c r="D1550" i="27"/>
  <c r="AM1550" i="27" s="1"/>
  <c r="AH1550" i="27" s="1"/>
  <c r="AF3082" i="27"/>
  <c r="AE3082" i="27"/>
  <c r="AD3082" i="27"/>
  <c r="AC3082" i="27"/>
  <c r="AB3082" i="27"/>
  <c r="R3082" i="27"/>
  <c r="Q3082" i="27"/>
  <c r="P3082" i="27"/>
  <c r="E3082" i="27"/>
  <c r="D3082" i="27"/>
  <c r="AM3082" i="27" s="1"/>
  <c r="AH3082" i="27" s="1"/>
  <c r="AF1590" i="27"/>
  <c r="AE1590" i="27"/>
  <c r="AD1590" i="27"/>
  <c r="AC1590" i="27"/>
  <c r="AB1590" i="27"/>
  <c r="R1590" i="27"/>
  <c r="Q1590" i="27"/>
  <c r="P1590" i="27"/>
  <c r="E1590" i="27"/>
  <c r="D1590" i="27"/>
  <c r="AF1541" i="27"/>
  <c r="AE1541" i="27"/>
  <c r="AD1541" i="27"/>
  <c r="AC1541" i="27"/>
  <c r="AB1541" i="27"/>
  <c r="R1541" i="27"/>
  <c r="Q1541" i="27"/>
  <c r="P1541" i="27"/>
  <c r="E1541" i="27"/>
  <c r="D1541" i="27"/>
  <c r="AM1541" i="27" s="1"/>
  <c r="AF3078" i="27"/>
  <c r="AE3078" i="27"/>
  <c r="AD3078" i="27"/>
  <c r="AC3078" i="27"/>
  <c r="AB3078" i="27"/>
  <c r="R3078" i="27"/>
  <c r="Q3078" i="27"/>
  <c r="P3078" i="27"/>
  <c r="E3078" i="27"/>
  <c r="D3078" i="27"/>
  <c r="AF1692" i="27"/>
  <c r="AE1692" i="27"/>
  <c r="AD1692" i="27"/>
  <c r="AC1692" i="27"/>
  <c r="AB1692" i="27"/>
  <c r="R1692" i="27"/>
  <c r="Q1692" i="27"/>
  <c r="P1692" i="27"/>
  <c r="E1692" i="27"/>
  <c r="D1692" i="27"/>
  <c r="AF1548" i="27"/>
  <c r="AE1548" i="27"/>
  <c r="AD1548" i="27"/>
  <c r="AC1548" i="27"/>
  <c r="AB1548" i="27"/>
  <c r="R1548" i="27"/>
  <c r="Q1548" i="27"/>
  <c r="P1548" i="27"/>
  <c r="E1548" i="27"/>
  <c r="D1548" i="27"/>
  <c r="AF1583" i="27"/>
  <c r="AE1583" i="27"/>
  <c r="AD1583" i="27"/>
  <c r="AC1583" i="27"/>
  <c r="AB1583" i="27"/>
  <c r="R1583" i="27"/>
  <c r="Q1583" i="27"/>
  <c r="P1583" i="27"/>
  <c r="E1583" i="27"/>
  <c r="D1583" i="27"/>
  <c r="AM1583" i="27" s="1"/>
  <c r="AN1583" i="27" s="1"/>
  <c r="AO1583" i="27" s="1"/>
  <c r="B122" i="30"/>
  <c r="AF1450" i="27"/>
  <c r="AE1450" i="27"/>
  <c r="AD1450" i="27"/>
  <c r="AC1450" i="27"/>
  <c r="AB1450" i="27"/>
  <c r="R1450" i="27"/>
  <c r="Q1450" i="27"/>
  <c r="P1450" i="27"/>
  <c r="E1450" i="27"/>
  <c r="D1450" i="27"/>
  <c r="AM1450" i="27" s="1"/>
  <c r="AN1450" i="27" s="1"/>
  <c r="AO1450" i="27" s="1"/>
  <c r="AF1419" i="27"/>
  <c r="AE1419" i="27"/>
  <c r="AD1419" i="27"/>
  <c r="AC1419" i="27"/>
  <c r="AB1419" i="27"/>
  <c r="R1419" i="27"/>
  <c r="Q1419" i="27"/>
  <c r="P1419" i="27"/>
  <c r="E1419" i="27"/>
  <c r="D1419" i="27"/>
  <c r="AM1675" i="27"/>
  <c r="AF1675" i="27"/>
  <c r="AE1675" i="27"/>
  <c r="AD1675" i="27"/>
  <c r="AC1675" i="27"/>
  <c r="AB1675" i="27"/>
  <c r="R1675" i="27"/>
  <c r="Q1675" i="27"/>
  <c r="P1675" i="27"/>
  <c r="AF3215" i="27"/>
  <c r="AE3215" i="27"/>
  <c r="AD3215" i="27"/>
  <c r="AC3215" i="27"/>
  <c r="AB3215" i="27"/>
  <c r="R3215" i="27"/>
  <c r="Q3215" i="27"/>
  <c r="P3215" i="27"/>
  <c r="E3215" i="27"/>
  <c r="D3215" i="27"/>
  <c r="AM3215" i="27" s="1"/>
  <c r="AN3215" i="27" s="1"/>
  <c r="AO3215" i="27" s="1"/>
  <c r="AF3293" i="27"/>
  <c r="AE3293" i="27"/>
  <c r="AD3293" i="27"/>
  <c r="AC3293" i="27"/>
  <c r="AB3293" i="27"/>
  <c r="R3293" i="27"/>
  <c r="Q3293" i="27"/>
  <c r="P3293" i="27"/>
  <c r="E3293" i="27"/>
  <c r="D3293" i="27"/>
  <c r="AF3081" i="27"/>
  <c r="AE3081" i="27"/>
  <c r="AD3081" i="27"/>
  <c r="AC3081" i="27"/>
  <c r="AB3081" i="27"/>
  <c r="R3081" i="27"/>
  <c r="Q3081" i="27"/>
  <c r="P3081" i="27"/>
  <c r="E3081" i="27"/>
  <c r="D3081" i="27"/>
  <c r="AF1489" i="27"/>
  <c r="AE1489" i="27"/>
  <c r="AD1489" i="27"/>
  <c r="AC1489" i="27"/>
  <c r="AB1489" i="27"/>
  <c r="R1489" i="27"/>
  <c r="Q1489" i="27"/>
  <c r="P1489" i="27"/>
  <c r="E1489" i="27"/>
  <c r="D1489" i="27"/>
  <c r="AM1489" i="27" s="1"/>
  <c r="AN1489" i="27" s="1"/>
  <c r="AO1489" i="27" s="1"/>
  <c r="AF3080" i="27"/>
  <c r="AE3080" i="27"/>
  <c r="AD3080" i="27"/>
  <c r="AC3080" i="27"/>
  <c r="AB3080" i="27"/>
  <c r="R3080" i="27"/>
  <c r="Q3080" i="27"/>
  <c r="P3080" i="27"/>
  <c r="E3080" i="27"/>
  <c r="D3080" i="27"/>
  <c r="AM3080" i="27" s="1"/>
  <c r="AF3079" i="27"/>
  <c r="AE3079" i="27"/>
  <c r="AD3079" i="27"/>
  <c r="AC3079" i="27"/>
  <c r="AB3079" i="27"/>
  <c r="R3079" i="27"/>
  <c r="Q3079" i="27"/>
  <c r="P3079" i="27"/>
  <c r="E3079" i="27"/>
  <c r="D3079" i="27"/>
  <c r="AF1491" i="27"/>
  <c r="AE1491" i="27"/>
  <c r="AD1491" i="27"/>
  <c r="AC1491" i="27"/>
  <c r="AB1491" i="27"/>
  <c r="R1491" i="27"/>
  <c r="Q1491" i="27"/>
  <c r="P1491" i="27"/>
  <c r="E1491" i="27"/>
  <c r="D1491" i="27"/>
  <c r="AM1509" i="27"/>
  <c r="AF1509" i="27"/>
  <c r="AE1509" i="27"/>
  <c r="AD1509" i="27"/>
  <c r="AC1509" i="27"/>
  <c r="AB1509" i="27"/>
  <c r="R1509" i="27"/>
  <c r="Q1509" i="27"/>
  <c r="P1509" i="27"/>
  <c r="AF1496" i="27"/>
  <c r="AE1496" i="27"/>
  <c r="AD1496" i="27"/>
  <c r="AC1496" i="27"/>
  <c r="AB1496" i="27"/>
  <c r="R1496" i="27"/>
  <c r="Q1496" i="27"/>
  <c r="P1496" i="27"/>
  <c r="E1496" i="27"/>
  <c r="D1496" i="27"/>
  <c r="AM1496" i="27" s="1"/>
  <c r="AH1496" i="27" s="1"/>
  <c r="D1663" i="27"/>
  <c r="AM1663" i="27" s="1"/>
  <c r="AF1684" i="27"/>
  <c r="AE1684" i="27"/>
  <c r="AD1684" i="27"/>
  <c r="AC1684" i="27"/>
  <c r="AB1684" i="27"/>
  <c r="R1684" i="27"/>
  <c r="Q1684" i="27"/>
  <c r="P1684" i="27"/>
  <c r="E1684" i="27"/>
  <c r="D1684" i="27"/>
  <c r="AF1615" i="27"/>
  <c r="AE1615" i="27"/>
  <c r="AD1615" i="27"/>
  <c r="AC1615" i="27"/>
  <c r="AB1615" i="27"/>
  <c r="R1615" i="27"/>
  <c r="Q1615" i="27"/>
  <c r="P1615" i="27"/>
  <c r="E1615" i="27"/>
  <c r="D1615" i="27"/>
  <c r="AF1449" i="27"/>
  <c r="AE1449" i="27"/>
  <c r="AD1449" i="27"/>
  <c r="AC1449" i="27"/>
  <c r="AB1449" i="27"/>
  <c r="R1449" i="27"/>
  <c r="Q1449" i="27"/>
  <c r="P1449" i="27"/>
  <c r="E1449" i="27"/>
  <c r="D1449" i="27"/>
  <c r="AF1520" i="27"/>
  <c r="AE1520" i="27"/>
  <c r="AD1520" i="27"/>
  <c r="AC1520" i="27"/>
  <c r="AB1520" i="27"/>
  <c r="R1520" i="27"/>
  <c r="Q1520" i="27"/>
  <c r="P1520" i="27"/>
  <c r="E1520" i="27"/>
  <c r="D1520" i="27"/>
  <c r="AM1520" i="27" s="1"/>
  <c r="AF2316" i="27"/>
  <c r="AE2316" i="27"/>
  <c r="AD2316" i="27"/>
  <c r="AC2316" i="27"/>
  <c r="R2316" i="27"/>
  <c r="Q2316" i="27"/>
  <c r="P2316" i="27"/>
  <c r="E2316" i="27"/>
  <c r="D2316" i="27"/>
  <c r="AM2316" i="27" s="1"/>
  <c r="AF1488" i="27"/>
  <c r="AE1488" i="27"/>
  <c r="AD1488" i="27"/>
  <c r="AC1488" i="27"/>
  <c r="AB1488" i="27"/>
  <c r="R1488" i="27"/>
  <c r="Q1488" i="27"/>
  <c r="P1488" i="27"/>
  <c r="E1488" i="27"/>
  <c r="D1488" i="27"/>
  <c r="AF1533" i="27"/>
  <c r="AE1533" i="27"/>
  <c r="AD1533" i="27"/>
  <c r="AC1533" i="27"/>
  <c r="AB1533" i="27"/>
  <c r="R1533" i="27"/>
  <c r="Q1533" i="27"/>
  <c r="P1533" i="27"/>
  <c r="E1533" i="27"/>
  <c r="D1533" i="27"/>
  <c r="AM1533" i="27" s="1"/>
  <c r="AH1533" i="27" s="1"/>
  <c r="AF3074" i="27"/>
  <c r="AE3074" i="27"/>
  <c r="AD3074" i="27"/>
  <c r="AC3074" i="27"/>
  <c r="AB3074" i="27"/>
  <c r="R3074" i="27"/>
  <c r="Q3074" i="27"/>
  <c r="P3074" i="27"/>
  <c r="E3074" i="27"/>
  <c r="D3074" i="27"/>
  <c r="AM3074" i="27" s="1"/>
  <c r="AF3076" i="27"/>
  <c r="AE3076" i="27"/>
  <c r="AD3076" i="27"/>
  <c r="AC3076" i="27"/>
  <c r="AB3076" i="27"/>
  <c r="R3076" i="27"/>
  <c r="Q3076" i="27"/>
  <c r="P3076" i="27"/>
  <c r="E3076" i="27"/>
  <c r="D3076" i="27"/>
  <c r="AM3076" i="27" s="1"/>
  <c r="AH3076" i="27" s="1"/>
  <c r="AF2328" i="27"/>
  <c r="AE2328" i="27"/>
  <c r="AD2328" i="27"/>
  <c r="AC2328" i="27"/>
  <c r="AB2328" i="27"/>
  <c r="R2328" i="27"/>
  <c r="Q2328" i="27"/>
  <c r="P2328" i="27"/>
  <c r="E2328" i="27"/>
  <c r="D2328" i="27"/>
  <c r="AM2328" i="27" s="1"/>
  <c r="AF3188" i="27"/>
  <c r="AE3188" i="27"/>
  <c r="AD3188" i="27"/>
  <c r="AC3188" i="27"/>
  <c r="AB3188" i="27"/>
  <c r="R3188" i="27"/>
  <c r="Q3188" i="27"/>
  <c r="P3188" i="27"/>
  <c r="E3188" i="27"/>
  <c r="D3188" i="27"/>
  <c r="AF1506" i="27"/>
  <c r="AE1506" i="27"/>
  <c r="AD1506" i="27"/>
  <c r="AC1506" i="27"/>
  <c r="AB1506" i="27"/>
  <c r="R1506" i="27"/>
  <c r="Q1506" i="27"/>
  <c r="P1506" i="27"/>
  <c r="E1506" i="27"/>
  <c r="D1506" i="27"/>
  <c r="AM1506" i="27" s="1"/>
  <c r="AF2355" i="27"/>
  <c r="AE2355" i="27"/>
  <c r="AD2355" i="27"/>
  <c r="AC2355" i="27"/>
  <c r="AB2355" i="27"/>
  <c r="R2355" i="27"/>
  <c r="Q2355" i="27"/>
  <c r="P2355" i="27"/>
  <c r="AF3307" i="27"/>
  <c r="AE3307" i="27"/>
  <c r="AD3307" i="27"/>
  <c r="AC3307" i="27"/>
  <c r="AB3307" i="27"/>
  <c r="R3307" i="27"/>
  <c r="Q3307" i="27"/>
  <c r="P3307" i="27"/>
  <c r="E3307" i="27"/>
  <c r="D3307" i="27"/>
  <c r="AF2341" i="27"/>
  <c r="AE2341" i="27"/>
  <c r="AD2341" i="27"/>
  <c r="AC2341" i="27"/>
  <c r="AB2341" i="27"/>
  <c r="R2341" i="27"/>
  <c r="Q2341" i="27"/>
  <c r="P2341" i="27"/>
  <c r="E2341" i="27"/>
  <c r="D2341" i="27"/>
  <c r="AM2318" i="27"/>
  <c r="AH2318" i="27" s="1"/>
  <c r="AB2318" i="27"/>
  <c r="AD2318" i="27"/>
  <c r="AE2318" i="27"/>
  <c r="AF2318" i="27"/>
  <c r="AF1374" i="27"/>
  <c r="AE1374" i="27"/>
  <c r="AD1374" i="27"/>
  <c r="AC1374" i="27"/>
  <c r="AB1374" i="27"/>
  <c r="R1374" i="27"/>
  <c r="Q1374" i="27"/>
  <c r="P1374" i="27"/>
  <c r="E1374" i="27"/>
  <c r="D1374" i="27"/>
  <c r="E1441" i="27"/>
  <c r="AF2306" i="27"/>
  <c r="AE2306" i="27"/>
  <c r="AD2306" i="27"/>
  <c r="AC2306" i="27"/>
  <c r="AB2306" i="27"/>
  <c r="R2306" i="27"/>
  <c r="Q2306" i="27"/>
  <c r="P2306" i="27"/>
  <c r="E2306" i="27"/>
  <c r="D2306" i="27"/>
  <c r="AF1375" i="27"/>
  <c r="AE1375" i="27"/>
  <c r="AD1375" i="27"/>
  <c r="AC1375" i="27"/>
  <c r="AB1375" i="27"/>
  <c r="R1375" i="27"/>
  <c r="Q1375" i="27"/>
  <c r="P1375" i="27"/>
  <c r="E1375" i="27"/>
  <c r="D1375" i="27"/>
  <c r="AM1375" i="27" s="1"/>
  <c r="AF3073" i="27"/>
  <c r="AE3073" i="27"/>
  <c r="AD3073" i="27"/>
  <c r="AB3073" i="27"/>
  <c r="R3073" i="27"/>
  <c r="Q3073" i="27"/>
  <c r="P3073" i="27"/>
  <c r="E3073" i="27"/>
  <c r="D3073" i="27"/>
  <c r="AM3073" i="27" s="1"/>
  <c r="AH3073" i="27" s="1"/>
  <c r="AF1508" i="27"/>
  <c r="AE1508" i="27"/>
  <c r="AD1508" i="27"/>
  <c r="AB1508" i="27"/>
  <c r="R1508" i="27"/>
  <c r="Q1508" i="27"/>
  <c r="P1508" i="27"/>
  <c r="E1508" i="27"/>
  <c r="D1508" i="27"/>
  <c r="AF1511" i="27"/>
  <c r="AE1511" i="27"/>
  <c r="AD1511" i="27"/>
  <c r="AB1511" i="27"/>
  <c r="R1511" i="27"/>
  <c r="Q1511" i="27"/>
  <c r="P1511" i="27"/>
  <c r="E1511" i="27"/>
  <c r="D1511" i="27"/>
  <c r="AM1511" i="27" s="1"/>
  <c r="AF1483" i="27"/>
  <c r="AE1483" i="27"/>
  <c r="AD1483" i="27"/>
  <c r="AC1483" i="27"/>
  <c r="AB1483" i="27"/>
  <c r="R1483" i="27"/>
  <c r="Q1483" i="27"/>
  <c r="P1483" i="27"/>
  <c r="E1483" i="27"/>
  <c r="D1483" i="27"/>
  <c r="AM1483" i="27" s="1"/>
  <c r="AF3072" i="27"/>
  <c r="AE3072" i="27"/>
  <c r="AD3072" i="27"/>
  <c r="AB3072" i="27"/>
  <c r="R3072" i="27"/>
  <c r="Q3072" i="27"/>
  <c r="P3072" i="27"/>
  <c r="E3072" i="27"/>
  <c r="D3072" i="27"/>
  <c r="AM3072" i="27" s="1"/>
  <c r="AF3071" i="27"/>
  <c r="AE3071" i="27"/>
  <c r="AD3071" i="27"/>
  <c r="AB3071" i="27"/>
  <c r="R3071" i="27"/>
  <c r="Q3071" i="27"/>
  <c r="P3071" i="27"/>
  <c r="E3071" i="27"/>
  <c r="D3071" i="27"/>
  <c r="AF3070" i="27"/>
  <c r="AE3070" i="27"/>
  <c r="AD3070" i="27"/>
  <c r="AB3070" i="27"/>
  <c r="R3070" i="27"/>
  <c r="Q3070" i="27"/>
  <c r="P3070" i="27"/>
  <c r="E3070" i="27"/>
  <c r="D3070" i="27"/>
  <c r="AM3070" i="27" s="1"/>
  <c r="AF2326" i="27"/>
  <c r="AE2326" i="27"/>
  <c r="AD2326" i="27"/>
  <c r="AC2326" i="27"/>
  <c r="AB2326" i="27"/>
  <c r="R2326" i="27"/>
  <c r="Q2326" i="27"/>
  <c r="P2326" i="27"/>
  <c r="E2326" i="27"/>
  <c r="D2326" i="27"/>
  <c r="AF2048" i="27"/>
  <c r="AE2048" i="27"/>
  <c r="AD2048" i="27"/>
  <c r="AC2048" i="27"/>
  <c r="AB2048" i="27"/>
  <c r="R2048" i="27"/>
  <c r="Q2048" i="27"/>
  <c r="P2048" i="27"/>
  <c r="E2048" i="27"/>
  <c r="D2048" i="27"/>
  <c r="AM2048" i="27" s="1"/>
  <c r="AF1532" i="27"/>
  <c r="AE1532" i="27"/>
  <c r="AD1532" i="27"/>
  <c r="AB1532" i="27"/>
  <c r="R1532" i="27"/>
  <c r="Q1532" i="27"/>
  <c r="P1532" i="27"/>
  <c r="E1532" i="27"/>
  <c r="D1532" i="27"/>
  <c r="AF1563" i="27"/>
  <c r="AE1563" i="27"/>
  <c r="AD1563" i="27"/>
  <c r="AC1563" i="27"/>
  <c r="AB1563" i="27"/>
  <c r="R1563" i="27"/>
  <c r="Q1563" i="27"/>
  <c r="P1563" i="27"/>
  <c r="E1563" i="27"/>
  <c r="D1563" i="27"/>
  <c r="AF1584" i="27"/>
  <c r="AE1584" i="27"/>
  <c r="AD1584" i="27"/>
  <c r="AB1584" i="27"/>
  <c r="R1584" i="27"/>
  <c r="Q1584" i="27"/>
  <c r="P1584" i="27"/>
  <c r="E1584" i="27"/>
  <c r="D1584" i="27"/>
  <c r="AF1459" i="27"/>
  <c r="AE1459" i="27"/>
  <c r="AD1459" i="27"/>
  <c r="AC1459" i="27"/>
  <c r="AB1459" i="27"/>
  <c r="R1459" i="27"/>
  <c r="Q1459" i="27"/>
  <c r="P1459" i="27"/>
  <c r="E1459" i="27"/>
  <c r="D1459" i="27"/>
  <c r="AM1459" i="27" s="1"/>
  <c r="AN1459" i="27" s="1"/>
  <c r="AO1459" i="27" s="1"/>
  <c r="AF1467" i="27"/>
  <c r="AE1467" i="27"/>
  <c r="AD1467" i="27"/>
  <c r="AC1467" i="27"/>
  <c r="AB1467" i="27"/>
  <c r="R1467" i="27"/>
  <c r="Q1467" i="27"/>
  <c r="P1467" i="27"/>
  <c r="E1467" i="27"/>
  <c r="D1467" i="27"/>
  <c r="AM1467" i="27" s="1"/>
  <c r="AF1494" i="27"/>
  <c r="AE1494" i="27"/>
  <c r="AD1494" i="27"/>
  <c r="AC1494" i="27"/>
  <c r="AB1494" i="27"/>
  <c r="R1494" i="27"/>
  <c r="Q1494" i="27"/>
  <c r="P1494" i="27"/>
  <c r="E1494" i="27"/>
  <c r="D1494" i="27"/>
  <c r="AM1494" i="27" s="1"/>
  <c r="AF1498" i="27"/>
  <c r="AE1498" i="27"/>
  <c r="AD1498" i="27"/>
  <c r="AC1498" i="27"/>
  <c r="AB1498" i="27"/>
  <c r="R1498" i="27"/>
  <c r="Q1498" i="27"/>
  <c r="P1498" i="27"/>
  <c r="E1498" i="27"/>
  <c r="D1498" i="27"/>
  <c r="AF1369" i="27"/>
  <c r="AE1369" i="27"/>
  <c r="AD1369" i="27"/>
  <c r="AC1369" i="27"/>
  <c r="AB1369" i="27"/>
  <c r="R1369" i="27"/>
  <c r="Q1369" i="27"/>
  <c r="P1369" i="27"/>
  <c r="E1369" i="27"/>
  <c r="D1369" i="27"/>
  <c r="AF1611" i="27"/>
  <c r="AE1611" i="27"/>
  <c r="AD1611" i="27"/>
  <c r="AC1611" i="27"/>
  <c r="AB1611" i="27"/>
  <c r="R1611" i="27"/>
  <c r="Q1611" i="27"/>
  <c r="P1611" i="27"/>
  <c r="E1611" i="27"/>
  <c r="D1611" i="27"/>
  <c r="AM1611" i="27" s="1"/>
  <c r="AN1611" i="27" s="1"/>
  <c r="AO1611" i="27" s="1"/>
  <c r="AF1534" i="27"/>
  <c r="AE1534" i="27"/>
  <c r="AD1534" i="27"/>
  <c r="AC1534" i="27"/>
  <c r="AB1534" i="27"/>
  <c r="R1534" i="27"/>
  <c r="Q1534" i="27"/>
  <c r="P1534" i="27"/>
  <c r="E1534" i="27"/>
  <c r="D1534" i="27"/>
  <c r="AM1534" i="27" s="1"/>
  <c r="AH1534" i="27" s="1"/>
  <c r="AF1472" i="27"/>
  <c r="AE1472" i="27"/>
  <c r="AD1472" i="27"/>
  <c r="AC1472" i="27"/>
  <c r="AB1472" i="27"/>
  <c r="R1472" i="27"/>
  <c r="Q1472" i="27"/>
  <c r="P1472" i="27"/>
  <c r="E1472" i="27"/>
  <c r="D1472" i="27"/>
  <c r="AM1472" i="27" s="1"/>
  <c r="AN1472" i="27" s="1"/>
  <c r="AO1472" i="27" s="1"/>
  <c r="AF3290" i="27"/>
  <c r="AE3290" i="27"/>
  <c r="AD3290" i="27"/>
  <c r="AC3290" i="27"/>
  <c r="AB3290" i="27"/>
  <c r="R3290" i="27"/>
  <c r="Q3290" i="27"/>
  <c r="P3290" i="27"/>
  <c r="E3290" i="27"/>
  <c r="D3290" i="27"/>
  <c r="AM3290" i="27" s="1"/>
  <c r="AF222" i="27"/>
  <c r="AE222" i="27"/>
  <c r="AD222" i="27"/>
  <c r="AC222" i="27"/>
  <c r="AB222" i="27"/>
  <c r="R222" i="27"/>
  <c r="Q222" i="27"/>
  <c r="P222" i="27"/>
  <c r="E222" i="27"/>
  <c r="D222" i="27"/>
  <c r="AM222" i="27" s="1"/>
  <c r="AH222" i="27" s="1"/>
  <c r="AF1636" i="27"/>
  <c r="AE1636" i="27"/>
  <c r="AD1636" i="27"/>
  <c r="AB1636" i="27"/>
  <c r="R1636" i="27"/>
  <c r="Q1636" i="27"/>
  <c r="P1636" i="27"/>
  <c r="E1636" i="27"/>
  <c r="D1636" i="27"/>
  <c r="AM1636" i="27" s="1"/>
  <c r="AF1460" i="27"/>
  <c r="AE1460" i="27"/>
  <c r="AD1460" i="27"/>
  <c r="AC1460" i="27"/>
  <c r="AB1460" i="27"/>
  <c r="R1460" i="27"/>
  <c r="Q1460" i="27"/>
  <c r="P1460" i="27"/>
  <c r="E1460" i="27"/>
  <c r="D1460" i="27"/>
  <c r="AF3190" i="27"/>
  <c r="AE3190" i="27"/>
  <c r="AD3190" i="27"/>
  <c r="AC3190" i="27"/>
  <c r="AB3190" i="27"/>
  <c r="R3190" i="27"/>
  <c r="Q3190" i="27"/>
  <c r="P3190" i="27"/>
  <c r="E3190" i="27"/>
  <c r="D3190" i="27"/>
  <c r="AF3066" i="27"/>
  <c r="AE3066" i="27"/>
  <c r="AD3066" i="27"/>
  <c r="AB3066" i="27"/>
  <c r="R3066" i="27"/>
  <c r="Q3066" i="27"/>
  <c r="P3066" i="27"/>
  <c r="E3066" i="27"/>
  <c r="D3066" i="27"/>
  <c r="AF1589" i="27"/>
  <c r="AE1589" i="27"/>
  <c r="AD1589" i="27"/>
  <c r="AB1589" i="27"/>
  <c r="R1589" i="27"/>
  <c r="Q1589" i="27"/>
  <c r="P1589" i="27"/>
  <c r="E1589" i="27"/>
  <c r="D1589" i="27"/>
  <c r="AM1589" i="27" s="1"/>
  <c r="AN1589" i="27" s="1"/>
  <c r="AO1589" i="27" s="1"/>
  <c r="AF3210" i="27"/>
  <c r="AE3210" i="27"/>
  <c r="AD3210" i="27"/>
  <c r="AB3210" i="27"/>
  <c r="R3210" i="27"/>
  <c r="Q3210" i="27"/>
  <c r="P3210" i="27"/>
  <c r="E3210" i="27"/>
  <c r="D3210" i="27"/>
  <c r="AM3210" i="27" s="1"/>
  <c r="AF3069" i="27"/>
  <c r="AE3069" i="27"/>
  <c r="AD3069" i="27"/>
  <c r="AB3069" i="27"/>
  <c r="R3069" i="27"/>
  <c r="Q3069" i="27"/>
  <c r="P3069" i="27"/>
  <c r="E3069" i="27"/>
  <c r="D3069" i="27"/>
  <c r="AM3069" i="27" s="1"/>
  <c r="AF3063" i="27"/>
  <c r="AE3063" i="27"/>
  <c r="AD3063" i="27"/>
  <c r="AB3063" i="27"/>
  <c r="R3063" i="27"/>
  <c r="Q3063" i="27"/>
  <c r="P3063" i="27"/>
  <c r="E3063" i="27"/>
  <c r="D3063" i="27"/>
  <c r="AF1588" i="27"/>
  <c r="AE1588" i="27"/>
  <c r="AD1588" i="27"/>
  <c r="AB1588" i="27"/>
  <c r="R1588" i="27"/>
  <c r="Q1588" i="27"/>
  <c r="P1588" i="27"/>
  <c r="E1588" i="27"/>
  <c r="D1588" i="27"/>
  <c r="AF226" i="27"/>
  <c r="AE226" i="27"/>
  <c r="AD226" i="27"/>
  <c r="AB226" i="27"/>
  <c r="R226" i="27"/>
  <c r="Q226" i="27"/>
  <c r="P226" i="27"/>
  <c r="E226" i="27"/>
  <c r="D226" i="27"/>
  <c r="AM226" i="27" s="1"/>
  <c r="AN226" i="27" s="1"/>
  <c r="AO226" i="27" s="1"/>
  <c r="AF3061" i="27"/>
  <c r="AE3061" i="27"/>
  <c r="AD3061" i="27"/>
  <c r="AB3061" i="27"/>
  <c r="R3061" i="27"/>
  <c r="Q3061" i="27"/>
  <c r="P3061" i="27"/>
  <c r="E3061" i="27"/>
  <c r="D3061" i="27"/>
  <c r="AF1634" i="27"/>
  <c r="AE1634" i="27"/>
  <c r="AD1634" i="27"/>
  <c r="AB1634" i="27"/>
  <c r="R1634" i="27"/>
  <c r="Q1634" i="27"/>
  <c r="P1634" i="27"/>
  <c r="E1634" i="27"/>
  <c r="D1634" i="27"/>
  <c r="AM1634" i="27" s="1"/>
  <c r="AN1634" i="27" s="1"/>
  <c r="AO1634" i="27" s="1"/>
  <c r="AF3065" i="27"/>
  <c r="AE3065" i="27"/>
  <c r="AD3065" i="27"/>
  <c r="AB3065" i="27"/>
  <c r="R3065" i="27"/>
  <c r="Q3065" i="27"/>
  <c r="P3065" i="27"/>
  <c r="E3065" i="27"/>
  <c r="D3065" i="27"/>
  <c r="AF1277" i="27"/>
  <c r="AE1277" i="27"/>
  <c r="AD1277" i="27"/>
  <c r="AC1277" i="27"/>
  <c r="AB1277" i="27"/>
  <c r="R1277" i="27"/>
  <c r="Q1277" i="27"/>
  <c r="P1277" i="27"/>
  <c r="E1277" i="27"/>
  <c r="D1277" i="27"/>
  <c r="AF2305" i="27"/>
  <c r="AE2305" i="27"/>
  <c r="AD2305" i="27"/>
  <c r="AC2305" i="27"/>
  <c r="AB2305" i="27"/>
  <c r="R2305" i="27"/>
  <c r="Q2305" i="27"/>
  <c r="P2305" i="27"/>
  <c r="E2305" i="27"/>
  <c r="D2305" i="27"/>
  <c r="D1578" i="27"/>
  <c r="D2952" i="27"/>
  <c r="AM2952" i="27" s="1"/>
  <c r="D1573" i="27"/>
  <c r="AM1573" i="27" s="1"/>
  <c r="AH1573" i="27" s="1"/>
  <c r="D1581" i="27"/>
  <c r="AF1667" i="27"/>
  <c r="AE1667" i="27"/>
  <c r="AD1667" i="27"/>
  <c r="AB1667" i="27"/>
  <c r="R1667" i="27"/>
  <c r="Q1667" i="27"/>
  <c r="P1667" i="27"/>
  <c r="E1667" i="27"/>
  <c r="D1667" i="27"/>
  <c r="AM1667" i="27" s="1"/>
  <c r="AN1667" i="27" s="1"/>
  <c r="AO1667" i="27" s="1"/>
  <c r="AF3064" i="27"/>
  <c r="AE3064" i="27"/>
  <c r="AD3064" i="27"/>
  <c r="AB3064" i="27"/>
  <c r="R3064" i="27"/>
  <c r="Q3064" i="27"/>
  <c r="P3064" i="27"/>
  <c r="E3064" i="27"/>
  <c r="D3064" i="27"/>
  <c r="AF3047" i="27"/>
  <c r="AE3047" i="27"/>
  <c r="AD3047" i="27"/>
  <c r="AB3047" i="27"/>
  <c r="R3047" i="27"/>
  <c r="Q3047" i="27"/>
  <c r="P3047" i="27"/>
  <c r="E3047" i="27"/>
  <c r="D3047" i="27"/>
  <c r="AF1471" i="27"/>
  <c r="AE1471" i="27"/>
  <c r="AD1471" i="27"/>
  <c r="AC1471" i="27"/>
  <c r="AB1471" i="27"/>
  <c r="R1471" i="27"/>
  <c r="Q1471" i="27"/>
  <c r="P1471" i="27"/>
  <c r="E1471" i="27"/>
  <c r="D1471" i="27"/>
  <c r="AM1471" i="27" s="1"/>
  <c r="AN1471" i="27" s="1"/>
  <c r="AO1471" i="27" s="1"/>
  <c r="AF1689" i="27"/>
  <c r="AE1689" i="27"/>
  <c r="AD1689" i="27"/>
  <c r="AC1689" i="27"/>
  <c r="AB1689" i="27"/>
  <c r="R1689" i="27"/>
  <c r="Q1689" i="27"/>
  <c r="P1689" i="27"/>
  <c r="E1689" i="27"/>
  <c r="D1689" i="27"/>
  <c r="AM1689" i="27" s="1"/>
  <c r="AF1547" i="27"/>
  <c r="AE1547" i="27"/>
  <c r="AD1547" i="27"/>
  <c r="AB1547" i="27"/>
  <c r="R1547" i="27"/>
  <c r="Q1547" i="27"/>
  <c r="P1547" i="27"/>
  <c r="E1547" i="27"/>
  <c r="D1547" i="27"/>
  <c r="AF1507" i="27"/>
  <c r="AE1507" i="27"/>
  <c r="AD1507" i="27"/>
  <c r="AB1507" i="27"/>
  <c r="R1507" i="27"/>
  <c r="Q1507" i="27"/>
  <c r="P1507" i="27"/>
  <c r="E1507" i="27"/>
  <c r="D1507" i="27"/>
  <c r="AM1507" i="27" s="1"/>
  <c r="AF3062" i="27"/>
  <c r="AE3062" i="27"/>
  <c r="AD3062" i="27"/>
  <c r="AB3062" i="27"/>
  <c r="R3062" i="27"/>
  <c r="Q3062" i="27"/>
  <c r="P3062" i="27"/>
  <c r="E3062" i="27"/>
  <c r="D3062" i="27"/>
  <c r="AM3062" i="27" s="1"/>
  <c r="AF1581" i="27"/>
  <c r="AE1581" i="27"/>
  <c r="AD1581" i="27"/>
  <c r="AB1581" i="27"/>
  <c r="R1581" i="27"/>
  <c r="Q1581" i="27"/>
  <c r="P1581" i="27"/>
  <c r="E1581" i="27"/>
  <c r="AF1573" i="27"/>
  <c r="AE1573" i="27"/>
  <c r="AD1573" i="27"/>
  <c r="AC1573" i="27"/>
  <c r="AB1573" i="27"/>
  <c r="R1573" i="27"/>
  <c r="Q1573" i="27"/>
  <c r="P1573" i="27"/>
  <c r="E1573" i="27"/>
  <c r="AF2952" i="27"/>
  <c r="AE2952" i="27"/>
  <c r="AD2952" i="27"/>
  <c r="AC2952" i="27"/>
  <c r="AB2952" i="27"/>
  <c r="R2952" i="27"/>
  <c r="Q2952" i="27"/>
  <c r="P2952" i="27"/>
  <c r="E2952" i="27"/>
  <c r="AF1578" i="27"/>
  <c r="AE1578" i="27"/>
  <c r="AD1578" i="27"/>
  <c r="AC1578" i="27"/>
  <c r="AB1578" i="27"/>
  <c r="R1578" i="27"/>
  <c r="Q1578" i="27"/>
  <c r="P1578" i="27"/>
  <c r="E1578" i="27"/>
  <c r="A2806" i="32"/>
  <c r="B2806" i="32" s="1"/>
  <c r="C2806" i="32"/>
  <c r="A834" i="32"/>
  <c r="B834" i="32" s="1"/>
  <c r="C834" i="32"/>
  <c r="A2807" i="32"/>
  <c r="B2807" i="32" s="1"/>
  <c r="C2807" i="32"/>
  <c r="A1781" i="32"/>
  <c r="B1781" i="32" s="1"/>
  <c r="C1781" i="32"/>
  <c r="A2808" i="32"/>
  <c r="B2808" i="32" s="1"/>
  <c r="C2808" i="32"/>
  <c r="A2813" i="32"/>
  <c r="B2813" i="32" s="1"/>
  <c r="C2813" i="32"/>
  <c r="A2804" i="32"/>
  <c r="B2804" i="32" s="1"/>
  <c r="C2804" i="32"/>
  <c r="A2805" i="32"/>
  <c r="B2805" i="32" s="1"/>
  <c r="C2805" i="32"/>
  <c r="A2811" i="32"/>
  <c r="B2811" i="32" s="1"/>
  <c r="C2811" i="32"/>
  <c r="A2810" i="32"/>
  <c r="B2810" i="32" s="1"/>
  <c r="C2810" i="32"/>
  <c r="A2809" i="32"/>
  <c r="B2809" i="32" s="1"/>
  <c r="C2809" i="32"/>
  <c r="A2074" i="32"/>
  <c r="B2074" i="32" s="1"/>
  <c r="C2074" i="32"/>
  <c r="A2812" i="32"/>
  <c r="B2812" i="32" s="1"/>
  <c r="C2812" i="32"/>
  <c r="A2814" i="32"/>
  <c r="B2814" i="32" s="1"/>
  <c r="C2814" i="32"/>
  <c r="AF1354" i="27"/>
  <c r="AE1354" i="27"/>
  <c r="AD1354" i="27"/>
  <c r="AC1354" i="27"/>
  <c r="AB1354" i="27"/>
  <c r="R1354" i="27"/>
  <c r="Q1354" i="27"/>
  <c r="P1354" i="27"/>
  <c r="I1354" i="27"/>
  <c r="E1354" i="27"/>
  <c r="D1354" i="27"/>
  <c r="AF1443" i="27"/>
  <c r="AE1443" i="27"/>
  <c r="AD1443" i="27"/>
  <c r="AC1443" i="27"/>
  <c r="AB1443" i="27"/>
  <c r="R1443" i="27"/>
  <c r="Q1443" i="27"/>
  <c r="P1443" i="27"/>
  <c r="E1443" i="27"/>
  <c r="D1443" i="27"/>
  <c r="AM1443" i="27" s="1"/>
  <c r="AF1278" i="27"/>
  <c r="AE1278" i="27"/>
  <c r="AD1278" i="27"/>
  <c r="AC1278" i="27"/>
  <c r="AB1278" i="27"/>
  <c r="R1278" i="27"/>
  <c r="Q1278" i="27"/>
  <c r="P1278" i="27"/>
  <c r="E1278" i="27"/>
  <c r="D1278" i="27"/>
  <c r="AM1278" i="27" s="1"/>
  <c r="AM1457" i="27"/>
  <c r="AH1457" i="27" s="1"/>
  <c r="AF1457" i="27"/>
  <c r="AE1457" i="27"/>
  <c r="AD1457" i="27"/>
  <c r="AC1457" i="27"/>
  <c r="AB1457" i="27"/>
  <c r="R1457" i="27"/>
  <c r="Q1457" i="27"/>
  <c r="P1457" i="27"/>
  <c r="AF1575" i="27"/>
  <c r="AE1575" i="27"/>
  <c r="AD1575" i="27"/>
  <c r="AC1575" i="27"/>
  <c r="AB1575" i="27"/>
  <c r="R1575" i="27"/>
  <c r="Q1575" i="27"/>
  <c r="P1575" i="27"/>
  <c r="E1575" i="27"/>
  <c r="D1575" i="27"/>
  <c r="AM1575" i="27" s="1"/>
  <c r="AH1575" i="27" s="1"/>
  <c r="AF3055" i="27"/>
  <c r="AE3055" i="27"/>
  <c r="AD3055" i="27"/>
  <c r="AC3055" i="27"/>
  <c r="AB3055" i="27"/>
  <c r="R3055" i="27"/>
  <c r="Q3055" i="27"/>
  <c r="P3055" i="27"/>
  <c r="E3055" i="27"/>
  <c r="D3055" i="27"/>
  <c r="AM3055" i="27" s="1"/>
  <c r="AF3050" i="27"/>
  <c r="AE3050" i="27"/>
  <c r="AD3050" i="27"/>
  <c r="AC3050" i="27"/>
  <c r="AB3050" i="27"/>
  <c r="R3050" i="27"/>
  <c r="Q3050" i="27"/>
  <c r="P3050" i="27"/>
  <c r="E3050" i="27"/>
  <c r="D3050" i="27"/>
  <c r="AF2317" i="27"/>
  <c r="AE2317" i="27"/>
  <c r="AD2317" i="27"/>
  <c r="AC2317" i="27"/>
  <c r="AB2317" i="27"/>
  <c r="R2317" i="27"/>
  <c r="Q2317" i="27"/>
  <c r="P2317" i="27"/>
  <c r="E2317" i="27"/>
  <c r="D2317" i="27"/>
  <c r="AF3049" i="27"/>
  <c r="AE3049" i="27"/>
  <c r="AD3049" i="27"/>
  <c r="AC3049" i="27"/>
  <c r="AB3049" i="27"/>
  <c r="R3049" i="27"/>
  <c r="Q3049" i="27"/>
  <c r="P3049" i="27"/>
  <c r="E3049" i="27"/>
  <c r="D3049" i="27"/>
  <c r="AM3049" i="27" s="1"/>
  <c r="AN3049" i="27" s="1"/>
  <c r="AO3049" i="27" s="1"/>
  <c r="AF3057" i="27"/>
  <c r="AE3057" i="27"/>
  <c r="AD3057" i="27"/>
  <c r="AC3057" i="27"/>
  <c r="AB3057" i="27"/>
  <c r="R3057" i="27"/>
  <c r="Q3057" i="27"/>
  <c r="P3057" i="27"/>
  <c r="E3057" i="27"/>
  <c r="D3057" i="27"/>
  <c r="AM3057" i="27" s="1"/>
  <c r="AH3057" i="27" s="1"/>
  <c r="AF3056" i="27"/>
  <c r="AE3056" i="27"/>
  <c r="AD3056" i="27"/>
  <c r="AC3056" i="27"/>
  <c r="AB3056" i="27"/>
  <c r="R3056" i="27"/>
  <c r="Q3056" i="27"/>
  <c r="P3056" i="27"/>
  <c r="E3056" i="27"/>
  <c r="D3056" i="27"/>
  <c r="AM3056" i="27" s="1"/>
  <c r="AF1454" i="27"/>
  <c r="AE1454" i="27"/>
  <c r="AD1454" i="27"/>
  <c r="AC1454" i="27"/>
  <c r="AB1454" i="27"/>
  <c r="R1454" i="27"/>
  <c r="Q1454" i="27"/>
  <c r="P1454" i="27"/>
  <c r="E1454" i="27"/>
  <c r="D1454" i="27"/>
  <c r="AM1454" i="27" s="1"/>
  <c r="AF1504" i="27"/>
  <c r="AE1504" i="27"/>
  <c r="AD1504" i="27"/>
  <c r="AC1504" i="27"/>
  <c r="AB1504" i="27"/>
  <c r="R1504" i="27"/>
  <c r="Q1504" i="27"/>
  <c r="P1504" i="27"/>
  <c r="E1504" i="27"/>
  <c r="D1504" i="27"/>
  <c r="AM1504" i="27" s="1"/>
  <c r="AF126" i="27"/>
  <c r="AE126" i="27"/>
  <c r="AD126" i="27"/>
  <c r="AC126" i="27"/>
  <c r="AB126" i="27"/>
  <c r="R126" i="27"/>
  <c r="Q126" i="27"/>
  <c r="P126" i="27"/>
  <c r="AF1735" i="27"/>
  <c r="AE1735" i="27"/>
  <c r="AD1735" i="27"/>
  <c r="AC1735" i="27"/>
  <c r="AB1735" i="27"/>
  <c r="R1735" i="27"/>
  <c r="Q1735" i="27"/>
  <c r="P1735" i="27"/>
  <c r="E1735" i="27"/>
  <c r="D1735" i="27"/>
  <c r="AM1735" i="27" s="1"/>
  <c r="AF21" i="27"/>
  <c r="AE21" i="27"/>
  <c r="AD21" i="27"/>
  <c r="AC21" i="27"/>
  <c r="AB21" i="27"/>
  <c r="R21" i="27"/>
  <c r="Q21" i="27"/>
  <c r="P21" i="27"/>
  <c r="AF3306" i="27"/>
  <c r="AE3306" i="27"/>
  <c r="AD3306" i="27"/>
  <c r="AC3306" i="27"/>
  <c r="AB3306" i="27"/>
  <c r="R3306" i="27"/>
  <c r="Q3306" i="27"/>
  <c r="P3306" i="27"/>
  <c r="E3306" i="27"/>
  <c r="D3306" i="27"/>
  <c r="AM3306" i="27" s="1"/>
  <c r="AH3306" i="27" s="1"/>
  <c r="AF3045" i="27"/>
  <c r="AE3045" i="27"/>
  <c r="AD3045" i="27"/>
  <c r="AC3045" i="27"/>
  <c r="AB3045" i="27"/>
  <c r="R3045" i="27"/>
  <c r="Q3045" i="27"/>
  <c r="P3045" i="27"/>
  <c r="E3045" i="27"/>
  <c r="D3045" i="27"/>
  <c r="AF1617" i="27"/>
  <c r="AE1617" i="27"/>
  <c r="AD1617" i="27"/>
  <c r="AC1617" i="27"/>
  <c r="AB1617" i="27"/>
  <c r="R1617" i="27"/>
  <c r="Q1617" i="27"/>
  <c r="P1617" i="27"/>
  <c r="E1617" i="27"/>
  <c r="D1617" i="27"/>
  <c r="AM1617" i="27" s="1"/>
  <c r="AN1617" i="27" s="1"/>
  <c r="AO1617" i="27" s="1"/>
  <c r="AF1486" i="27"/>
  <c r="AE1486" i="27"/>
  <c r="AD1486" i="27"/>
  <c r="AC1486" i="27"/>
  <c r="AB1486" i="27"/>
  <c r="R1486" i="27"/>
  <c r="Q1486" i="27"/>
  <c r="P1486" i="27"/>
  <c r="E1486" i="27"/>
  <c r="D1486" i="27"/>
  <c r="AM1486" i="27" s="1"/>
  <c r="AF3048" i="27"/>
  <c r="AE3048" i="27"/>
  <c r="AD3048" i="27"/>
  <c r="AC3048" i="27"/>
  <c r="AB3048" i="27"/>
  <c r="R3048" i="27"/>
  <c r="Q3048" i="27"/>
  <c r="P3048" i="27"/>
  <c r="E3048" i="27"/>
  <c r="D3048" i="27"/>
  <c r="AM3048" i="27" s="1"/>
  <c r="AF1528" i="27"/>
  <c r="AE1528" i="27"/>
  <c r="AD1528" i="27"/>
  <c r="AC1528" i="27"/>
  <c r="AB1528" i="27"/>
  <c r="R1528" i="27"/>
  <c r="Q1528" i="27"/>
  <c r="P1528" i="27"/>
  <c r="E1528" i="27"/>
  <c r="D1528" i="27"/>
  <c r="AM1528" i="27" s="1"/>
  <c r="AF3046" i="27"/>
  <c r="AE3046" i="27"/>
  <c r="AD3046" i="27"/>
  <c r="AC3046" i="27"/>
  <c r="AB3046" i="27"/>
  <c r="R3046" i="27"/>
  <c r="Q3046" i="27"/>
  <c r="P3046" i="27"/>
  <c r="E3046" i="27"/>
  <c r="D3046" i="27"/>
  <c r="AM3046" i="27" s="1"/>
  <c r="AF1485" i="27"/>
  <c r="AE1485" i="27"/>
  <c r="AD1485" i="27"/>
  <c r="AC1485" i="27"/>
  <c r="AB1485" i="27"/>
  <c r="R1485" i="27"/>
  <c r="Q1485" i="27"/>
  <c r="P1485" i="27"/>
  <c r="E1485" i="27"/>
  <c r="D1485" i="27"/>
  <c r="AM1485" i="27" s="1"/>
  <c r="AN1485" i="27" s="1"/>
  <c r="AO1485" i="27" s="1"/>
  <c r="AF3053" i="27"/>
  <c r="AE3053" i="27"/>
  <c r="AD3053" i="27"/>
  <c r="AC3053" i="27"/>
  <c r="AB3053" i="27"/>
  <c r="R3053" i="27"/>
  <c r="Q3053" i="27"/>
  <c r="P3053" i="27"/>
  <c r="E3053" i="27"/>
  <c r="D3053" i="27"/>
  <c r="AF3052" i="27"/>
  <c r="AE3052" i="27"/>
  <c r="AD3052" i="27"/>
  <c r="AC3052" i="27"/>
  <c r="AB3052" i="27"/>
  <c r="R3052" i="27"/>
  <c r="Q3052" i="27"/>
  <c r="P3052" i="27"/>
  <c r="E3052" i="27"/>
  <c r="D3052" i="27"/>
  <c r="AF3051" i="27"/>
  <c r="AE3051" i="27"/>
  <c r="AD3051" i="27"/>
  <c r="AC3051" i="27"/>
  <c r="AB3051" i="27"/>
  <c r="R3051" i="27"/>
  <c r="Q3051" i="27"/>
  <c r="P3051" i="27"/>
  <c r="E3051" i="27"/>
  <c r="D3051" i="27"/>
  <c r="AM3051" i="27" s="1"/>
  <c r="D1421" i="27"/>
  <c r="D1490" i="27"/>
  <c r="AM1490" i="27" s="1"/>
  <c r="AN1490" i="27" s="1"/>
  <c r="AO1490" i="27" s="1"/>
  <c r="D1503" i="27"/>
  <c r="D1427" i="27"/>
  <c r="AM1427" i="27" s="1"/>
  <c r="AH1427" i="27" s="1"/>
  <c r="D2321" i="27"/>
  <c r="D2997" i="27"/>
  <c r="AM2997" i="27" s="1"/>
  <c r="D2322" i="27"/>
  <c r="AM2322" i="27" s="1"/>
  <c r="AH2322" i="27" s="1"/>
  <c r="D2334" i="27"/>
  <c r="D1468" i="27"/>
  <c r="AM1468" i="27" s="1"/>
  <c r="AN1468" i="27" s="1"/>
  <c r="AO1468" i="27" s="1"/>
  <c r="D1497" i="27"/>
  <c r="AM1497" i="27" s="1"/>
  <c r="D224" i="27"/>
  <c r="AM224" i="27" s="1"/>
  <c r="AH224" i="27" s="1"/>
  <c r="D1616" i="27"/>
  <c r="D1606" i="27"/>
  <c r="D2327" i="27"/>
  <c r="D2312" i="27"/>
  <c r="AM2312" i="27" s="1"/>
  <c r="AH2312" i="27" s="1"/>
  <c r="D3058" i="27"/>
  <c r="D1618" i="27"/>
  <c r="AM1618" i="27" s="1"/>
  <c r="AN1618" i="27" s="1"/>
  <c r="AO1618" i="27" s="1"/>
  <c r="D1825" i="27"/>
  <c r="AM1825" i="27" s="1"/>
  <c r="D1455" i="27"/>
  <c r="AM1455" i="27" s="1"/>
  <c r="D2320" i="27"/>
  <c r="AM2320" i="27" s="1"/>
  <c r="D3067" i="27"/>
  <c r="AM3067" i="27" s="1"/>
  <c r="D1487" i="27"/>
  <c r="D1691" i="27"/>
  <c r="D1668" i="27"/>
  <c r="AM1668" i="27" s="1"/>
  <c r="D3286" i="27"/>
  <c r="AM3286" i="27" s="1"/>
  <c r="AN3286" i="27" s="1"/>
  <c r="AO3286" i="27" s="1"/>
  <c r="D3300" i="27"/>
  <c r="AM3300" i="27" s="1"/>
  <c r="AF2327" i="27"/>
  <c r="AE2327" i="27"/>
  <c r="AD2327" i="27"/>
  <c r="AB2327" i="27"/>
  <c r="R2327" i="27"/>
  <c r="Q2327" i="27"/>
  <c r="P2327" i="27"/>
  <c r="E2327" i="27"/>
  <c r="AF1606" i="27"/>
  <c r="AE1606" i="27"/>
  <c r="AD1606" i="27"/>
  <c r="AB1606" i="27"/>
  <c r="R1606" i="27"/>
  <c r="Q1606" i="27"/>
  <c r="P1606" i="27"/>
  <c r="E1606" i="27"/>
  <c r="AF1824" i="27"/>
  <c r="AE1824" i="27"/>
  <c r="AD1824" i="27"/>
  <c r="AC1824" i="27"/>
  <c r="AB1824" i="27"/>
  <c r="R1824" i="27"/>
  <c r="Q1824" i="27"/>
  <c r="P1824" i="27"/>
  <c r="AF1616" i="27"/>
  <c r="AE1616" i="27"/>
  <c r="AD1616" i="27"/>
  <c r="AC1616" i="27"/>
  <c r="AB1616" i="27"/>
  <c r="R1616" i="27"/>
  <c r="Q1616" i="27"/>
  <c r="P1616" i="27"/>
  <c r="E1616" i="27"/>
  <c r="AF224" i="27"/>
  <c r="AE224" i="27"/>
  <c r="AD224" i="27"/>
  <c r="AB224" i="27"/>
  <c r="R224" i="27"/>
  <c r="Q224" i="27"/>
  <c r="P224" i="27"/>
  <c r="E224" i="27"/>
  <c r="AF1497" i="27"/>
  <c r="AE1497" i="27"/>
  <c r="AD1497" i="27"/>
  <c r="AC1497" i="27"/>
  <c r="AB1497" i="27"/>
  <c r="R1497" i="27"/>
  <c r="Q1497" i="27"/>
  <c r="P1497" i="27"/>
  <c r="E1497" i="27"/>
  <c r="AF1468" i="27"/>
  <c r="AE1468" i="27"/>
  <c r="AD1468" i="27"/>
  <c r="AC1468" i="27"/>
  <c r="AB1468" i="27"/>
  <c r="R1468" i="27"/>
  <c r="Q1468" i="27"/>
  <c r="P1468" i="27"/>
  <c r="E1468" i="27"/>
  <c r="AF2334" i="27"/>
  <c r="AE2334" i="27"/>
  <c r="AD2334" i="27"/>
  <c r="AC2334" i="27"/>
  <c r="AB2334" i="27"/>
  <c r="R2334" i="27"/>
  <c r="Q2334" i="27"/>
  <c r="P2334" i="27"/>
  <c r="E2334" i="27"/>
  <c r="AF2322" i="27"/>
  <c r="AE2322" i="27"/>
  <c r="AD2322" i="27"/>
  <c r="AC2322" i="27"/>
  <c r="AB2322" i="27"/>
  <c r="R2322" i="27"/>
  <c r="Q2322" i="27"/>
  <c r="P2322" i="27"/>
  <c r="E2322" i="27"/>
  <c r="AF2997" i="27"/>
  <c r="AE2997" i="27"/>
  <c r="AD2997" i="27"/>
  <c r="AC2997" i="27"/>
  <c r="AB2997" i="27"/>
  <c r="R2997" i="27"/>
  <c r="Q2997" i="27"/>
  <c r="P2997" i="27"/>
  <c r="E2997" i="27"/>
  <c r="AF2321" i="27"/>
  <c r="AE2321" i="27"/>
  <c r="AD2321" i="27"/>
  <c r="AC2321" i="27"/>
  <c r="AB2321" i="27"/>
  <c r="R2321" i="27"/>
  <c r="Q2321" i="27"/>
  <c r="P2321" i="27"/>
  <c r="E2321" i="27"/>
  <c r="AF1427" i="27"/>
  <c r="AE1427" i="27"/>
  <c r="AD1427" i="27"/>
  <c r="AC1427" i="27"/>
  <c r="AB1427" i="27"/>
  <c r="R1427" i="27"/>
  <c r="Q1427" i="27"/>
  <c r="P1427" i="27"/>
  <c r="E1427" i="27"/>
  <c r="AF1503" i="27"/>
  <c r="AE1503" i="27"/>
  <c r="AD1503" i="27"/>
  <c r="AC1503" i="27"/>
  <c r="AB1503" i="27"/>
  <c r="R1503" i="27"/>
  <c r="Q1503" i="27"/>
  <c r="P1503" i="27"/>
  <c r="E1503" i="27"/>
  <c r="AF1490" i="27"/>
  <c r="AE1490" i="27"/>
  <c r="AD1490" i="27"/>
  <c r="AC1490" i="27"/>
  <c r="AB1490" i="27"/>
  <c r="R1490" i="27"/>
  <c r="Q1490" i="27"/>
  <c r="P1490" i="27"/>
  <c r="E1490" i="27"/>
  <c r="AF1421" i="27"/>
  <c r="AE1421" i="27"/>
  <c r="AD1421" i="27"/>
  <c r="AC1421" i="27"/>
  <c r="AB1421" i="27"/>
  <c r="R1421" i="27"/>
  <c r="Q1421" i="27"/>
  <c r="P1421" i="27"/>
  <c r="E1421" i="27"/>
  <c r="AM1428" i="27"/>
  <c r="AN1428" i="27" s="1"/>
  <c r="AO1428" i="27" s="1"/>
  <c r="AF1428" i="27"/>
  <c r="AE1428" i="27"/>
  <c r="AD1428" i="27"/>
  <c r="AC1428" i="27"/>
  <c r="AB1428" i="27"/>
  <c r="R1428" i="27"/>
  <c r="Q1428" i="27"/>
  <c r="P1428" i="27"/>
  <c r="AF1499" i="27"/>
  <c r="AE1499" i="27"/>
  <c r="AD1499" i="27"/>
  <c r="AC1499" i="27"/>
  <c r="AB1499" i="27"/>
  <c r="R1499" i="27"/>
  <c r="Q1499" i="27"/>
  <c r="P1499" i="27"/>
  <c r="E1499" i="27"/>
  <c r="D1499" i="27"/>
  <c r="AM1499" i="27" s="1"/>
  <c r="AN1499" i="27" s="1"/>
  <c r="AO1499" i="27" s="1"/>
  <c r="AF1540" i="27"/>
  <c r="AE1540" i="27"/>
  <c r="AD1540" i="27"/>
  <c r="AC1540" i="27"/>
  <c r="AB1540" i="27"/>
  <c r="R1540" i="27"/>
  <c r="Q1540" i="27"/>
  <c r="P1540" i="27"/>
  <c r="E1540" i="27"/>
  <c r="D1540" i="27"/>
  <c r="AF3007" i="27"/>
  <c r="AE3007" i="27"/>
  <c r="AD3007" i="27"/>
  <c r="AC3007" i="27"/>
  <c r="AB3007" i="27"/>
  <c r="R3007" i="27"/>
  <c r="Q3007" i="27"/>
  <c r="P3007" i="27"/>
  <c r="E3007" i="27"/>
  <c r="D3007" i="27"/>
  <c r="AM3007" i="27" s="1"/>
  <c r="AM3183" i="27"/>
  <c r="AF3183" i="27"/>
  <c r="AE3183" i="27"/>
  <c r="AD3183" i="27"/>
  <c r="AC3183" i="27"/>
  <c r="AB3183" i="27"/>
  <c r="R3183" i="27"/>
  <c r="Q3183" i="27"/>
  <c r="P3183" i="27"/>
  <c r="AM3182" i="27"/>
  <c r="AN3182" i="27" s="1"/>
  <c r="AO3182" i="27" s="1"/>
  <c r="AF3182" i="27"/>
  <c r="AE3182" i="27"/>
  <c r="AD3182" i="27"/>
  <c r="AC3182" i="27"/>
  <c r="AB3182" i="27"/>
  <c r="R3182" i="27"/>
  <c r="Q3182" i="27"/>
  <c r="P3182" i="27"/>
  <c r="AF1381" i="27"/>
  <c r="AE1381" i="27"/>
  <c r="AD1381" i="27"/>
  <c r="AC1381" i="27"/>
  <c r="AB1381" i="27"/>
  <c r="R1381" i="27"/>
  <c r="Q1381" i="27"/>
  <c r="P1381" i="27"/>
  <c r="E1381" i="27"/>
  <c r="D1381" i="27"/>
  <c r="AM1381" i="27" s="1"/>
  <c r="AH1381" i="27" s="1"/>
  <c r="AF48" i="27"/>
  <c r="AE48" i="27"/>
  <c r="AD48" i="27"/>
  <c r="AC48" i="27"/>
  <c r="AB48" i="27"/>
  <c r="R48" i="27"/>
  <c r="Q48" i="27"/>
  <c r="P48" i="27"/>
  <c r="AF1480" i="27"/>
  <c r="AE1480" i="27"/>
  <c r="AD1480" i="27"/>
  <c r="AC1480" i="27"/>
  <c r="AB1480" i="27"/>
  <c r="R1480" i="27"/>
  <c r="Q1480" i="27"/>
  <c r="P1480" i="27"/>
  <c r="E1480" i="27"/>
  <c r="D1480" i="27"/>
  <c r="AM1480" i="27" s="1"/>
  <c r="AN1480" i="27" s="1"/>
  <c r="AO1480" i="27" s="1"/>
  <c r="AF1451" i="27"/>
  <c r="AE1451" i="27"/>
  <c r="AD1451" i="27"/>
  <c r="AC1451" i="27"/>
  <c r="AB1451" i="27"/>
  <c r="R1451" i="27"/>
  <c r="Q1451" i="27"/>
  <c r="P1451" i="27"/>
  <c r="E1451" i="27"/>
  <c r="D1451" i="27"/>
  <c r="AM1451" i="27" s="1"/>
  <c r="AF1524" i="27"/>
  <c r="AE1524" i="27"/>
  <c r="AD1524" i="27"/>
  <c r="AC1524" i="27"/>
  <c r="AB1524" i="27"/>
  <c r="R1524" i="27"/>
  <c r="Q1524" i="27"/>
  <c r="P1524" i="27"/>
  <c r="E1524" i="27"/>
  <c r="D1524" i="27"/>
  <c r="AM1524" i="27" s="1"/>
  <c r="AF1412" i="27"/>
  <c r="AE1412" i="27"/>
  <c r="AD1412" i="27"/>
  <c r="AC1412" i="27"/>
  <c r="AB1412" i="27"/>
  <c r="R1412" i="27"/>
  <c r="Q1412" i="27"/>
  <c r="P1412" i="27"/>
  <c r="E1412" i="27"/>
  <c r="D1412" i="27"/>
  <c r="AM1412" i="27" s="1"/>
  <c r="AH1412" i="27" s="1"/>
  <c r="AF1378" i="27"/>
  <c r="AE1378" i="27"/>
  <c r="AD1378" i="27"/>
  <c r="AC1378" i="27"/>
  <c r="AB1378" i="27"/>
  <c r="R1378" i="27"/>
  <c r="Q1378" i="27"/>
  <c r="P1378" i="27"/>
  <c r="E1378" i="27"/>
  <c r="D1378" i="27"/>
  <c r="AF1372" i="27"/>
  <c r="AE1372" i="27"/>
  <c r="AD1372" i="27"/>
  <c r="AC1372" i="27"/>
  <c r="AB1372" i="27"/>
  <c r="R1372" i="27"/>
  <c r="Q1372" i="27"/>
  <c r="P1372" i="27"/>
  <c r="E1372" i="27"/>
  <c r="D1372" i="27"/>
  <c r="AF1338" i="27"/>
  <c r="AE1338" i="27"/>
  <c r="AD1338" i="27"/>
  <c r="AC1338" i="27"/>
  <c r="AB1338" i="27"/>
  <c r="R1338" i="27"/>
  <c r="Q1338" i="27"/>
  <c r="P1338" i="27"/>
  <c r="E1338" i="27"/>
  <c r="D1338" i="27"/>
  <c r="AM1338" i="27" s="1"/>
  <c r="AF1461" i="27"/>
  <c r="AE1461" i="27"/>
  <c r="AD1461" i="27"/>
  <c r="AC1461" i="27"/>
  <c r="AB1461" i="27"/>
  <c r="R1461" i="27"/>
  <c r="Q1461" i="27"/>
  <c r="P1461" i="27"/>
  <c r="E1461" i="27"/>
  <c r="D1461" i="27"/>
  <c r="AM1436" i="27"/>
  <c r="AH1436" i="27" s="1"/>
  <c r="AF1436" i="27"/>
  <c r="AE1436" i="27"/>
  <c r="AD1436" i="27"/>
  <c r="AC1436" i="27"/>
  <c r="AB1436" i="27"/>
  <c r="R1436" i="27"/>
  <c r="Q1436" i="27"/>
  <c r="P1436" i="27"/>
  <c r="AM1437" i="27"/>
  <c r="AF1437" i="27"/>
  <c r="AE1437" i="27"/>
  <c r="AD1437" i="27"/>
  <c r="AC1437" i="27"/>
  <c r="AB1437" i="27"/>
  <c r="R1437" i="27"/>
  <c r="Q1437" i="27"/>
  <c r="P1437" i="27"/>
  <c r="AF1463" i="27"/>
  <c r="AE1463" i="27"/>
  <c r="AD1463" i="27"/>
  <c r="AC1463" i="27"/>
  <c r="AB1463" i="27"/>
  <c r="R1463" i="27"/>
  <c r="Q1463" i="27"/>
  <c r="P1463" i="27"/>
  <c r="E1463" i="27"/>
  <c r="D1463" i="27"/>
  <c r="AM1463" i="27" s="1"/>
  <c r="AH1463" i="27" s="1"/>
  <c r="AF1406" i="27"/>
  <c r="AE1406" i="27"/>
  <c r="AD1406" i="27"/>
  <c r="AC1406" i="27"/>
  <c r="AB1406" i="27"/>
  <c r="R1406" i="27"/>
  <c r="Q1406" i="27"/>
  <c r="P1406" i="27"/>
  <c r="E1406" i="27"/>
  <c r="D1406" i="27"/>
  <c r="AM1406" i="27" s="1"/>
  <c r="AN1406" i="27" s="1"/>
  <c r="AO1406" i="27" s="1"/>
  <c r="AF2050" i="27"/>
  <c r="AE2050" i="27"/>
  <c r="AD2050" i="27"/>
  <c r="AC2050" i="27"/>
  <c r="AB2050" i="27"/>
  <c r="R2050" i="27"/>
  <c r="Q2050" i="27"/>
  <c r="P2050" i="27"/>
  <c r="E2050" i="27"/>
  <c r="D2050" i="27"/>
  <c r="AF3296" i="27"/>
  <c r="AE3296" i="27"/>
  <c r="AD3296" i="27"/>
  <c r="AC3296" i="27"/>
  <c r="AB3296" i="27"/>
  <c r="R3296" i="27"/>
  <c r="Q3296" i="27"/>
  <c r="P3296" i="27"/>
  <c r="E3296" i="27"/>
  <c r="D3296" i="27"/>
  <c r="AF2323" i="27"/>
  <c r="AE2323" i="27"/>
  <c r="AD2323" i="27"/>
  <c r="AC2323" i="27"/>
  <c r="AB2323" i="27"/>
  <c r="R2323" i="27"/>
  <c r="Q2323" i="27"/>
  <c r="P2323" i="27"/>
  <c r="E2323" i="27"/>
  <c r="D2323" i="27"/>
  <c r="AM2323" i="27" s="1"/>
  <c r="AF3041" i="27"/>
  <c r="AE3041" i="27"/>
  <c r="AD3041" i="27"/>
  <c r="AC3041" i="27"/>
  <c r="AB3041" i="27"/>
  <c r="R3041" i="27"/>
  <c r="Q3041" i="27"/>
  <c r="P3041" i="27"/>
  <c r="E3041" i="27"/>
  <c r="D3041" i="27"/>
  <c r="AM3041" i="27" s="1"/>
  <c r="AN3041" i="27" s="1"/>
  <c r="AO3041" i="27" s="1"/>
  <c r="AF1526" i="27"/>
  <c r="AE1526" i="27"/>
  <c r="AD1526" i="27"/>
  <c r="AC1526" i="27"/>
  <c r="AB1526" i="27"/>
  <c r="R1526" i="27"/>
  <c r="Q1526" i="27"/>
  <c r="P1526" i="27"/>
  <c r="E1526" i="27"/>
  <c r="D1526" i="27"/>
  <c r="AM1526" i="27" s="1"/>
  <c r="AF3043" i="27"/>
  <c r="AE3043" i="27"/>
  <c r="AD3043" i="27"/>
  <c r="AC3043" i="27"/>
  <c r="AB3043" i="27"/>
  <c r="R3043" i="27"/>
  <c r="Q3043" i="27"/>
  <c r="P3043" i="27"/>
  <c r="E3043" i="27"/>
  <c r="D3043" i="27"/>
  <c r="AM3043" i="27" s="1"/>
  <c r="AH3043" i="27" s="1"/>
  <c r="AF2343" i="27"/>
  <c r="AE2343" i="27"/>
  <c r="AD2343" i="27"/>
  <c r="AC2343" i="27"/>
  <c r="AB2343" i="27"/>
  <c r="R2343" i="27"/>
  <c r="Q2343" i="27"/>
  <c r="P2343" i="27"/>
  <c r="E2343" i="27"/>
  <c r="D2343" i="27"/>
  <c r="AM2343" i="27" s="1"/>
  <c r="AF1525" i="27"/>
  <c r="AE1525" i="27"/>
  <c r="AD1525" i="27"/>
  <c r="AC1525" i="27"/>
  <c r="AB1525" i="27"/>
  <c r="R1525" i="27"/>
  <c r="Q1525" i="27"/>
  <c r="P1525" i="27"/>
  <c r="E1525" i="27"/>
  <c r="D1525" i="27"/>
  <c r="AM1525" i="27" s="1"/>
  <c r="AF1484" i="27"/>
  <c r="AE1484" i="27"/>
  <c r="AD1484" i="27"/>
  <c r="AC1484" i="27"/>
  <c r="AB1484" i="27"/>
  <c r="R1484" i="27"/>
  <c r="Q1484" i="27"/>
  <c r="P1484" i="27"/>
  <c r="E1484" i="27"/>
  <c r="D1484" i="27"/>
  <c r="AM1484" i="27" s="1"/>
  <c r="AF91" i="27"/>
  <c r="AE91" i="27"/>
  <c r="AD91" i="27"/>
  <c r="AC91" i="27"/>
  <c r="AB91" i="27"/>
  <c r="R91" i="27"/>
  <c r="Q91" i="27"/>
  <c r="P91" i="27"/>
  <c r="AF3040" i="27"/>
  <c r="AE3040" i="27"/>
  <c r="AD3040" i="27"/>
  <c r="AC3040" i="27"/>
  <c r="AB3040" i="27"/>
  <c r="R3040" i="27"/>
  <c r="Q3040" i="27"/>
  <c r="P3040" i="27"/>
  <c r="E3040" i="27"/>
  <c r="D3040" i="27"/>
  <c r="AM3040" i="27" s="1"/>
  <c r="AN3040" i="27" s="1"/>
  <c r="AO3040" i="27" s="1"/>
  <c r="AF1453" i="27"/>
  <c r="AE1453" i="27"/>
  <c r="AD1453" i="27"/>
  <c r="AC1453" i="27"/>
  <c r="AB1453" i="27"/>
  <c r="R1453" i="27"/>
  <c r="Q1453" i="27"/>
  <c r="P1453" i="27"/>
  <c r="E1453" i="27"/>
  <c r="D1453" i="27"/>
  <c r="AM1453" i="27" s="1"/>
  <c r="AH1453" i="27" s="1"/>
  <c r="AF3044" i="27"/>
  <c r="AE3044" i="27"/>
  <c r="AD3044" i="27"/>
  <c r="AC3044" i="27"/>
  <c r="AB3044" i="27"/>
  <c r="R3044" i="27"/>
  <c r="Q3044" i="27"/>
  <c r="P3044" i="27"/>
  <c r="E3044" i="27"/>
  <c r="D3044" i="27"/>
  <c r="AM3044" i="27" s="1"/>
  <c r="AH3044" i="27" s="1"/>
  <c r="AF3032" i="27"/>
  <c r="AE3032" i="27"/>
  <c r="AD3032" i="27"/>
  <c r="AC3032" i="27"/>
  <c r="AB3032" i="27"/>
  <c r="R3032" i="27"/>
  <c r="Q3032" i="27"/>
  <c r="P3032" i="27"/>
  <c r="E3032" i="27"/>
  <c r="D3032" i="27"/>
  <c r="AM3032" i="27" s="1"/>
  <c r="B194" i="30"/>
  <c r="AF1327" i="27"/>
  <c r="AE1327" i="27"/>
  <c r="AD1327" i="27"/>
  <c r="AC1327" i="27"/>
  <c r="AB1327" i="27"/>
  <c r="R1327" i="27"/>
  <c r="Q1327" i="27"/>
  <c r="P1327" i="27"/>
  <c r="E1327" i="27"/>
  <c r="D1327" i="27"/>
  <c r="D1413" i="27"/>
  <c r="AM1413" i="27" s="1"/>
  <c r="AF1458" i="27"/>
  <c r="AE1458" i="27"/>
  <c r="AD1458" i="27"/>
  <c r="AC1458" i="27"/>
  <c r="AB1458" i="27"/>
  <c r="R1458" i="27"/>
  <c r="Q1458" i="27"/>
  <c r="P1458" i="27"/>
  <c r="E1458" i="27"/>
  <c r="D1458" i="27"/>
  <c r="AF1373" i="27"/>
  <c r="AE1373" i="27"/>
  <c r="AD1373" i="27"/>
  <c r="AC1373" i="27"/>
  <c r="AB1373" i="27"/>
  <c r="R1373" i="27"/>
  <c r="Q1373" i="27"/>
  <c r="P1373" i="27"/>
  <c r="E1373" i="27"/>
  <c r="D1373" i="27"/>
  <c r="AM1373" i="27" s="1"/>
  <c r="AN1373" i="27" s="1"/>
  <c r="AO1373" i="27" s="1"/>
  <c r="AF1371" i="27"/>
  <c r="AE1371" i="27"/>
  <c r="AD1371" i="27"/>
  <c r="AC1371" i="27"/>
  <c r="AB1371" i="27"/>
  <c r="R1371" i="27"/>
  <c r="Q1371" i="27"/>
  <c r="P1371" i="27"/>
  <c r="E1371" i="27"/>
  <c r="D1371" i="27"/>
  <c r="AM1371" i="27" s="1"/>
  <c r="AH1371" i="27" s="1"/>
  <c r="AF1411" i="27"/>
  <c r="AE1411" i="27"/>
  <c r="AD1411" i="27"/>
  <c r="AC1411" i="27"/>
  <c r="AB1411" i="27"/>
  <c r="R1411" i="27"/>
  <c r="Q1411" i="27"/>
  <c r="P1411" i="27"/>
  <c r="E1411" i="27"/>
  <c r="D1411" i="27"/>
  <c r="AF1442" i="27"/>
  <c r="AE1442" i="27"/>
  <c r="AD1442" i="27"/>
  <c r="AC1442" i="27"/>
  <c r="AB1442" i="27"/>
  <c r="R1442" i="27"/>
  <c r="Q1442" i="27"/>
  <c r="P1442" i="27"/>
  <c r="E1442" i="27"/>
  <c r="D1442" i="27"/>
  <c r="AF1400" i="27"/>
  <c r="AE1400" i="27"/>
  <c r="AD1400" i="27"/>
  <c r="AC1400" i="27"/>
  <c r="AB1400" i="27"/>
  <c r="R1400" i="27"/>
  <c r="Q1400" i="27"/>
  <c r="P1400" i="27"/>
  <c r="E1400" i="27"/>
  <c r="D1400" i="27"/>
  <c r="AM1400" i="27" s="1"/>
  <c r="AF1302" i="27"/>
  <c r="AE1302" i="27"/>
  <c r="AD1302" i="27"/>
  <c r="AC1302" i="27"/>
  <c r="AB1302" i="27"/>
  <c r="R1302" i="27"/>
  <c r="Q1302" i="27"/>
  <c r="P1302" i="27"/>
  <c r="E1302" i="27"/>
  <c r="D1302" i="27"/>
  <c r="AM1302" i="27" s="1"/>
  <c r="AF1316" i="27"/>
  <c r="AE1316" i="27"/>
  <c r="AD1316" i="27"/>
  <c r="AC1316" i="27"/>
  <c r="AB1316" i="27"/>
  <c r="R1316" i="27"/>
  <c r="Q1316" i="27"/>
  <c r="P1316" i="27"/>
  <c r="E1316" i="27"/>
  <c r="D1316" i="27"/>
  <c r="AM1316" i="27" s="1"/>
  <c r="AF1455" i="27"/>
  <c r="AE1455" i="27"/>
  <c r="AD1455" i="27"/>
  <c r="AC1455" i="27"/>
  <c r="AB1455" i="27"/>
  <c r="R1455" i="27"/>
  <c r="Q1455" i="27"/>
  <c r="P1455" i="27"/>
  <c r="E1455" i="27"/>
  <c r="AF1825" i="27"/>
  <c r="AE1825" i="27"/>
  <c r="AD1825" i="27"/>
  <c r="AC1825" i="27"/>
  <c r="AB1825" i="27"/>
  <c r="R1825" i="27"/>
  <c r="Q1825" i="27"/>
  <c r="P1825" i="27"/>
  <c r="E1825" i="27"/>
  <c r="AF1618" i="27"/>
  <c r="AE1618" i="27"/>
  <c r="AD1618" i="27"/>
  <c r="AB1618" i="27"/>
  <c r="R1618" i="27"/>
  <c r="Q1618" i="27"/>
  <c r="P1618" i="27"/>
  <c r="E1618" i="27"/>
  <c r="AF3058" i="27"/>
  <c r="AE3058" i="27"/>
  <c r="AD3058" i="27"/>
  <c r="AC3058" i="27"/>
  <c r="AB3058" i="27"/>
  <c r="R3058" i="27"/>
  <c r="Q3058" i="27"/>
  <c r="P3058" i="27"/>
  <c r="E3058" i="27"/>
  <c r="AF2312" i="27"/>
  <c r="AE2312" i="27"/>
  <c r="AD2312" i="27"/>
  <c r="AC2312" i="27"/>
  <c r="AB2312" i="27"/>
  <c r="R2312" i="27"/>
  <c r="Q2312" i="27"/>
  <c r="P2312" i="27"/>
  <c r="E2312" i="27"/>
  <c r="AF3042" i="27"/>
  <c r="AE3042" i="27"/>
  <c r="AD3042" i="27"/>
  <c r="AB3042" i="27"/>
  <c r="R3042" i="27"/>
  <c r="Q3042" i="27"/>
  <c r="P3042" i="27"/>
  <c r="E3042" i="27"/>
  <c r="D3042" i="27"/>
  <c r="AF3295" i="27"/>
  <c r="AE3295" i="27"/>
  <c r="AD3295" i="27"/>
  <c r="AC3295" i="27"/>
  <c r="AB3295" i="27"/>
  <c r="R3295" i="27"/>
  <c r="Q3295" i="27"/>
  <c r="P3295" i="27"/>
  <c r="E3295" i="27"/>
  <c r="D3295" i="27"/>
  <c r="AF3034" i="27"/>
  <c r="AE3034" i="27"/>
  <c r="AD3034" i="27"/>
  <c r="AC3034" i="27"/>
  <c r="AB3034" i="27"/>
  <c r="R3034" i="27"/>
  <c r="Q3034" i="27"/>
  <c r="P3034" i="27"/>
  <c r="E3034" i="27"/>
  <c r="D3034" i="27"/>
  <c r="AF3033" i="27"/>
  <c r="AE3033" i="27"/>
  <c r="AD3033" i="27"/>
  <c r="AC3033" i="27"/>
  <c r="AB3033" i="27"/>
  <c r="R3033" i="27"/>
  <c r="Q3033" i="27"/>
  <c r="P3033" i="27"/>
  <c r="E3033" i="27"/>
  <c r="D3033" i="27"/>
  <c r="AM3033" i="27" s="1"/>
  <c r="AN3033" i="27" s="1"/>
  <c r="AO3033" i="27" s="1"/>
  <c r="AF221" i="27"/>
  <c r="AE221" i="27"/>
  <c r="AD221" i="27"/>
  <c r="AC221" i="27"/>
  <c r="AB221" i="27"/>
  <c r="R221" i="27"/>
  <c r="Q221" i="27"/>
  <c r="P221" i="27"/>
  <c r="E221" i="27"/>
  <c r="D221" i="27"/>
  <c r="AF3039" i="27"/>
  <c r="AE3039" i="27"/>
  <c r="AD3039" i="27"/>
  <c r="AC3039" i="27"/>
  <c r="AB3039" i="27"/>
  <c r="R3039" i="27"/>
  <c r="Q3039" i="27"/>
  <c r="P3039" i="27"/>
  <c r="E3039" i="27"/>
  <c r="D3039" i="27"/>
  <c r="AF210" i="27"/>
  <c r="AE210" i="27"/>
  <c r="AD210" i="27"/>
  <c r="AC210" i="27"/>
  <c r="AB210" i="27"/>
  <c r="R210" i="27"/>
  <c r="Q210" i="27"/>
  <c r="P210" i="27"/>
  <c r="E210" i="27"/>
  <c r="D210" i="27"/>
  <c r="AF1403" i="27"/>
  <c r="AE1403" i="27"/>
  <c r="AD1403" i="27"/>
  <c r="AC1403" i="27"/>
  <c r="AB1403" i="27"/>
  <c r="R1403" i="27"/>
  <c r="Q1403" i="27"/>
  <c r="P1403" i="27"/>
  <c r="E1403" i="27"/>
  <c r="D1403" i="27"/>
  <c r="AF3025" i="27"/>
  <c r="AE3025" i="27"/>
  <c r="AD3025" i="27"/>
  <c r="AC3025" i="27"/>
  <c r="AB3025" i="27"/>
  <c r="R3025" i="27"/>
  <c r="Q3025" i="27"/>
  <c r="P3025" i="27"/>
  <c r="E3025" i="27"/>
  <c r="D3025" i="27"/>
  <c r="AF3021" i="27"/>
  <c r="AE3021" i="27"/>
  <c r="AD3021" i="27"/>
  <c r="AC3021" i="27"/>
  <c r="AB3021" i="27"/>
  <c r="R3021" i="27"/>
  <c r="Q3021" i="27"/>
  <c r="P3021" i="27"/>
  <c r="E3021" i="27"/>
  <c r="D3021" i="27"/>
  <c r="AM3021" i="27" s="1"/>
  <c r="AF1519" i="27"/>
  <c r="AE1519" i="27"/>
  <c r="AD1519" i="27"/>
  <c r="AC1519" i="27"/>
  <c r="AB1519" i="27"/>
  <c r="R1519" i="27"/>
  <c r="Q1519" i="27"/>
  <c r="P1519" i="27"/>
  <c r="E1519" i="27"/>
  <c r="D1519" i="27"/>
  <c r="AF1452" i="27"/>
  <c r="AE1452" i="27"/>
  <c r="AD1452" i="27"/>
  <c r="AC1452" i="27"/>
  <c r="AB1452" i="27"/>
  <c r="R1452" i="27"/>
  <c r="Q1452" i="27"/>
  <c r="P1452" i="27"/>
  <c r="E1452" i="27"/>
  <c r="D1452" i="27"/>
  <c r="AM1452" i="27" s="1"/>
  <c r="AF2307" i="27"/>
  <c r="AE2307" i="27"/>
  <c r="AD2307" i="27"/>
  <c r="AC2307" i="27"/>
  <c r="AB2307" i="27"/>
  <c r="R2307" i="27"/>
  <c r="Q2307" i="27"/>
  <c r="P2307" i="27"/>
  <c r="E2307" i="27"/>
  <c r="D2307" i="27"/>
  <c r="AM2307" i="27" s="1"/>
  <c r="AH2307" i="27" s="1"/>
  <c r="AF1475" i="27"/>
  <c r="AE1475" i="27"/>
  <c r="AD1475" i="27"/>
  <c r="AC1475" i="27"/>
  <c r="AB1475" i="27"/>
  <c r="R1475" i="27"/>
  <c r="Q1475" i="27"/>
  <c r="P1475" i="27"/>
  <c r="E1475" i="27"/>
  <c r="D1475" i="27"/>
  <c r="AF3036" i="27"/>
  <c r="AE3036" i="27"/>
  <c r="AD3036" i="27"/>
  <c r="AC3036" i="27"/>
  <c r="AB3036" i="27"/>
  <c r="R3036" i="27"/>
  <c r="Q3036" i="27"/>
  <c r="P3036" i="27"/>
  <c r="E3036" i="27"/>
  <c r="D3036" i="27"/>
  <c r="AF3035" i="27"/>
  <c r="AE3035" i="27"/>
  <c r="AD3035" i="27"/>
  <c r="AC3035" i="27"/>
  <c r="AB3035" i="27"/>
  <c r="R3035" i="27"/>
  <c r="Q3035" i="27"/>
  <c r="P3035" i="27"/>
  <c r="E3035" i="27"/>
  <c r="D3035" i="27"/>
  <c r="AM3035" i="27" s="1"/>
  <c r="AN3035" i="27" s="1"/>
  <c r="AO3035" i="27" s="1"/>
  <c r="AF1502" i="27"/>
  <c r="AE1502" i="27"/>
  <c r="AD1502" i="27"/>
  <c r="AC1502" i="27"/>
  <c r="AB1502" i="27"/>
  <c r="R1502" i="27"/>
  <c r="Q1502" i="27"/>
  <c r="P1502" i="27"/>
  <c r="E1502" i="27"/>
  <c r="D1502" i="27"/>
  <c r="AF2047" i="27"/>
  <c r="AE2047" i="27"/>
  <c r="AD2047" i="27"/>
  <c r="AC2047" i="27"/>
  <c r="AB2047" i="27"/>
  <c r="R2047" i="27"/>
  <c r="Q2047" i="27"/>
  <c r="P2047" i="27"/>
  <c r="E2047" i="27"/>
  <c r="D2047" i="27"/>
  <c r="AF1576" i="27"/>
  <c r="AE1576" i="27"/>
  <c r="AD1576" i="27"/>
  <c r="AC1576" i="27"/>
  <c r="AB1576" i="27"/>
  <c r="R1576" i="27"/>
  <c r="Q1576" i="27"/>
  <c r="P1576" i="27"/>
  <c r="E1576" i="27"/>
  <c r="D1576" i="27"/>
  <c r="AM1576" i="27" s="1"/>
  <c r="AF3038" i="27"/>
  <c r="AE3038" i="27"/>
  <c r="AD3038" i="27"/>
  <c r="AC3038" i="27"/>
  <c r="AB3038" i="27"/>
  <c r="R3038" i="27"/>
  <c r="Q3038" i="27"/>
  <c r="P3038" i="27"/>
  <c r="E3038" i="27"/>
  <c r="D3038" i="27"/>
  <c r="AF3031" i="27"/>
  <c r="AE3031" i="27"/>
  <c r="AD3031" i="27"/>
  <c r="AC3031" i="27"/>
  <c r="AB3031" i="27"/>
  <c r="R3031" i="27"/>
  <c r="Q3031" i="27"/>
  <c r="P3031" i="27"/>
  <c r="E3031" i="27"/>
  <c r="D3031" i="27"/>
  <c r="AF1426" i="27"/>
  <c r="AE1426" i="27"/>
  <c r="AD1426" i="27"/>
  <c r="AC1426" i="27"/>
  <c r="AB1426" i="27"/>
  <c r="R1426" i="27"/>
  <c r="Q1426" i="27"/>
  <c r="P1426" i="27"/>
  <c r="E1426" i="27"/>
  <c r="D1426" i="27"/>
  <c r="AF218" i="27"/>
  <c r="AE218" i="27"/>
  <c r="AD218" i="27"/>
  <c r="AC218" i="27"/>
  <c r="AB218" i="27"/>
  <c r="R218" i="27"/>
  <c r="Q218" i="27"/>
  <c r="P218" i="27"/>
  <c r="E218" i="27"/>
  <c r="D218" i="27"/>
  <c r="AM218" i="27" s="1"/>
  <c r="AF3024" i="27"/>
  <c r="AE3024" i="27"/>
  <c r="AD3024" i="27"/>
  <c r="AC3024" i="27"/>
  <c r="AB3024" i="27"/>
  <c r="R3024" i="27"/>
  <c r="Q3024" i="27"/>
  <c r="P3024" i="27"/>
  <c r="E3024" i="27"/>
  <c r="D3024" i="27"/>
  <c r="AM3024" i="27" s="1"/>
  <c r="AF1337" i="27"/>
  <c r="AE1337" i="27"/>
  <c r="AD1337" i="27"/>
  <c r="AC1337" i="27"/>
  <c r="AB1337" i="27"/>
  <c r="R1337" i="27"/>
  <c r="Q1337" i="27"/>
  <c r="P1337" i="27"/>
  <c r="E1337" i="27"/>
  <c r="D1337" i="27"/>
  <c r="AF2964" i="27"/>
  <c r="AE2964" i="27"/>
  <c r="AD2964" i="27"/>
  <c r="AC2964" i="27"/>
  <c r="AB2964" i="27"/>
  <c r="R2964" i="27"/>
  <c r="Q2964" i="27"/>
  <c r="P2964" i="27"/>
  <c r="E2964" i="27"/>
  <c r="D2964" i="27"/>
  <c r="AM2964" i="27" s="1"/>
  <c r="AN2964" i="27" s="1"/>
  <c r="AO2964" i="27" s="1"/>
  <c r="D1364" i="27"/>
  <c r="AF1440" i="27"/>
  <c r="AE1440" i="27"/>
  <c r="AD1440" i="27"/>
  <c r="AC1440" i="27"/>
  <c r="AB1440" i="27"/>
  <c r="R1440" i="27"/>
  <c r="Q1440" i="27"/>
  <c r="P1440" i="27"/>
  <c r="E1440" i="27"/>
  <c r="D1440" i="27"/>
  <c r="AM1440" i="27" s="1"/>
  <c r="AF3067" i="27"/>
  <c r="AE3067" i="27"/>
  <c r="AD3067" i="27"/>
  <c r="AB3067" i="27"/>
  <c r="R3067" i="27"/>
  <c r="Q3067" i="27"/>
  <c r="P3067" i="27"/>
  <c r="E3067" i="27"/>
  <c r="AF2320" i="27"/>
  <c r="AE2320" i="27"/>
  <c r="AD2320" i="27"/>
  <c r="AC2320" i="27"/>
  <c r="AB2320" i="27"/>
  <c r="R2320" i="27"/>
  <c r="Q2320" i="27"/>
  <c r="P2320" i="27"/>
  <c r="E2320" i="27"/>
  <c r="AF2044" i="27"/>
  <c r="AE2044" i="27"/>
  <c r="AD2044" i="27"/>
  <c r="AC2044" i="27"/>
  <c r="AB2044" i="27"/>
  <c r="R2044" i="27"/>
  <c r="Q2044" i="27"/>
  <c r="P2044" i="27"/>
  <c r="D2044" i="27"/>
  <c r="AM2044" i="27" s="1"/>
  <c r="AF1425" i="27"/>
  <c r="AE1425" i="27"/>
  <c r="AD1425" i="27"/>
  <c r="AC1425" i="27"/>
  <c r="AB1425" i="27"/>
  <c r="R1425" i="27"/>
  <c r="Q1425" i="27"/>
  <c r="P1425" i="27"/>
  <c r="E1425" i="27"/>
  <c r="D1425" i="27"/>
  <c r="AF2049" i="27"/>
  <c r="AE2049" i="27"/>
  <c r="AD2049" i="27"/>
  <c r="AC2049" i="27"/>
  <c r="AB2049" i="27"/>
  <c r="R2049" i="27"/>
  <c r="Q2049" i="27"/>
  <c r="P2049" i="27"/>
  <c r="E2049" i="27"/>
  <c r="D2049" i="27"/>
  <c r="AF3037" i="27"/>
  <c r="AE3037" i="27"/>
  <c r="AD3037" i="27"/>
  <c r="AC3037" i="27"/>
  <c r="AB3037" i="27"/>
  <c r="R3037" i="27"/>
  <c r="Q3037" i="27"/>
  <c r="P3037" i="27"/>
  <c r="E3037" i="27"/>
  <c r="D3037" i="27"/>
  <c r="AF1546" i="27"/>
  <c r="AE1546" i="27"/>
  <c r="AD1546" i="27"/>
  <c r="AC1546" i="27"/>
  <c r="AB1546" i="27"/>
  <c r="R1546" i="27"/>
  <c r="Q1546" i="27"/>
  <c r="P1546" i="27"/>
  <c r="E1546" i="27"/>
  <c r="D1546" i="27"/>
  <c r="AM1546" i="27" s="1"/>
  <c r="AF3030" i="27"/>
  <c r="AE3030" i="27"/>
  <c r="AD3030" i="27"/>
  <c r="AC3030" i="27"/>
  <c r="AB3030" i="27"/>
  <c r="R3030" i="27"/>
  <c r="Q3030" i="27"/>
  <c r="P3030" i="27"/>
  <c r="E3030" i="27"/>
  <c r="D3030" i="27"/>
  <c r="AF3029" i="27"/>
  <c r="AE3029" i="27"/>
  <c r="AD3029" i="27"/>
  <c r="AC3029" i="27"/>
  <c r="AB3029" i="27"/>
  <c r="R3029" i="27"/>
  <c r="Q3029" i="27"/>
  <c r="P3029" i="27"/>
  <c r="E3029" i="27"/>
  <c r="D3029" i="27"/>
  <c r="AM3029" i="27" s="1"/>
  <c r="AN3029" i="27" s="1"/>
  <c r="AO3029" i="27" s="1"/>
  <c r="AF1345" i="27"/>
  <c r="AE1345" i="27"/>
  <c r="AD1345" i="27"/>
  <c r="AC1345" i="27"/>
  <c r="AB1345" i="27"/>
  <c r="R1345" i="27"/>
  <c r="Q1345" i="27"/>
  <c r="P1345" i="27"/>
  <c r="E1345" i="27"/>
  <c r="D1345" i="27"/>
  <c r="AH2957" i="27"/>
  <c r="AF1574" i="27"/>
  <c r="AE1574" i="27"/>
  <c r="AD1574" i="27"/>
  <c r="AC1574" i="27"/>
  <c r="AB1574" i="27"/>
  <c r="R1574" i="27"/>
  <c r="Q1574" i="27"/>
  <c r="P1574" i="27"/>
  <c r="E1574" i="27"/>
  <c r="D1574" i="27"/>
  <c r="AF3020" i="27"/>
  <c r="AE3020" i="27"/>
  <c r="AD3020" i="27"/>
  <c r="AC3020" i="27"/>
  <c r="AB3020" i="27"/>
  <c r="R3020" i="27"/>
  <c r="Q3020" i="27"/>
  <c r="P3020" i="27"/>
  <c r="E3020" i="27"/>
  <c r="D3020" i="27"/>
  <c r="AM3020" i="27" s="1"/>
  <c r="AN3020" i="27" s="1"/>
  <c r="AO3020" i="27" s="1"/>
  <c r="AF3022" i="27"/>
  <c r="AE3022" i="27"/>
  <c r="AD3022" i="27"/>
  <c r="AC3022" i="27"/>
  <c r="AB3022" i="27"/>
  <c r="R3022" i="27"/>
  <c r="Q3022" i="27"/>
  <c r="P3022" i="27"/>
  <c r="E3022" i="27"/>
  <c r="D3022" i="27"/>
  <c r="AF1572" i="27"/>
  <c r="AE1572" i="27"/>
  <c r="AD1572" i="27"/>
  <c r="AC1572" i="27"/>
  <c r="AB1572" i="27"/>
  <c r="R1572" i="27"/>
  <c r="Q1572" i="27"/>
  <c r="P1572" i="27"/>
  <c r="E1572" i="27"/>
  <c r="D1572" i="27"/>
  <c r="AF1478" i="27"/>
  <c r="AE1478" i="27"/>
  <c r="AD1478" i="27"/>
  <c r="AC1478" i="27"/>
  <c r="AB1478" i="27"/>
  <c r="R1478" i="27"/>
  <c r="Q1478" i="27"/>
  <c r="P1478" i="27"/>
  <c r="E1478" i="27"/>
  <c r="D1478" i="27"/>
  <c r="AF1614" i="27"/>
  <c r="AE1614" i="27"/>
  <c r="AD1614" i="27"/>
  <c r="AC1614" i="27"/>
  <c r="AB1614" i="27"/>
  <c r="R1614" i="27"/>
  <c r="Q1614" i="27"/>
  <c r="P1614" i="27"/>
  <c r="E1614" i="27"/>
  <c r="D1614" i="27"/>
  <c r="AM1614" i="27" s="1"/>
  <c r="AF1523" i="27"/>
  <c r="AE1523" i="27"/>
  <c r="AD1523" i="27"/>
  <c r="AC1523" i="27"/>
  <c r="AB1523" i="27"/>
  <c r="R1523" i="27"/>
  <c r="Q1523" i="27"/>
  <c r="P1523" i="27"/>
  <c r="E1523" i="27"/>
  <c r="D1523" i="27"/>
  <c r="AM1523" i="27" s="1"/>
  <c r="AN1523" i="27" s="1"/>
  <c r="AO1523" i="27" s="1"/>
  <c r="AF3023" i="27"/>
  <c r="AE3023" i="27"/>
  <c r="AD3023" i="27"/>
  <c r="AC3023" i="27"/>
  <c r="AB3023" i="27"/>
  <c r="R3023" i="27"/>
  <c r="Q3023" i="27"/>
  <c r="P3023" i="27"/>
  <c r="E3023" i="27"/>
  <c r="D3023" i="27"/>
  <c r="AM3023" i="27" s="1"/>
  <c r="AN3023" i="27" s="1"/>
  <c r="AO3023" i="27" s="1"/>
  <c r="AF2045" i="27"/>
  <c r="AE2045" i="27"/>
  <c r="AD2045" i="27"/>
  <c r="AC2045" i="27"/>
  <c r="AB2045" i="27"/>
  <c r="R2045" i="27"/>
  <c r="Q2045" i="27"/>
  <c r="P2045" i="27"/>
  <c r="E2045" i="27"/>
  <c r="D2045" i="27"/>
  <c r="AM2045" i="27" s="1"/>
  <c r="AF1571" i="27"/>
  <c r="AE1571" i="27"/>
  <c r="AD1571" i="27"/>
  <c r="AC1571" i="27"/>
  <c r="AB1571" i="27"/>
  <c r="R1571" i="27"/>
  <c r="Q1571" i="27"/>
  <c r="P1571" i="27"/>
  <c r="E1571" i="27"/>
  <c r="D1571" i="27"/>
  <c r="AF1545" i="27"/>
  <c r="AE1545" i="27"/>
  <c r="AD1545" i="27"/>
  <c r="AC1545" i="27"/>
  <c r="AB1545" i="27"/>
  <c r="R1545" i="27"/>
  <c r="Q1545" i="27"/>
  <c r="P1545" i="27"/>
  <c r="E1545" i="27"/>
  <c r="D1545" i="27"/>
  <c r="AM1545" i="27" s="1"/>
  <c r="AF1347" i="27"/>
  <c r="AE1347" i="27"/>
  <c r="AD1347" i="27"/>
  <c r="AC1347" i="27"/>
  <c r="AB1347" i="27"/>
  <c r="R1347" i="27"/>
  <c r="Q1347" i="27"/>
  <c r="P1347" i="27"/>
  <c r="E1347" i="27"/>
  <c r="D1347" i="27"/>
  <c r="AM1347" i="27" s="1"/>
  <c r="AN1347" i="27" s="1"/>
  <c r="AO1347" i="27" s="1"/>
  <c r="AF1398" i="27"/>
  <c r="AE1398" i="27"/>
  <c r="AD1398" i="27"/>
  <c r="AC1398" i="27"/>
  <c r="AB1398" i="27"/>
  <c r="R1398" i="27"/>
  <c r="Q1398" i="27"/>
  <c r="P1398" i="27"/>
  <c r="E1398" i="27"/>
  <c r="D1398" i="27"/>
  <c r="AF3018" i="27"/>
  <c r="AE3018" i="27"/>
  <c r="AD3018" i="27"/>
  <c r="AC3018" i="27"/>
  <c r="AB3018" i="27"/>
  <c r="R3018" i="27"/>
  <c r="Q3018" i="27"/>
  <c r="P3018" i="27"/>
  <c r="E3018" i="27"/>
  <c r="D3018" i="27"/>
  <c r="AF1363" i="27"/>
  <c r="AE1363" i="27"/>
  <c r="AD1363" i="27"/>
  <c r="AC1363" i="27"/>
  <c r="AB1363" i="27"/>
  <c r="R1363" i="27"/>
  <c r="Q1363" i="27"/>
  <c r="P1363" i="27"/>
  <c r="E1363" i="27"/>
  <c r="D1363" i="27"/>
  <c r="AF1356" i="27"/>
  <c r="AE1356" i="27"/>
  <c r="AD1356" i="27"/>
  <c r="AC1356" i="27"/>
  <c r="AB1356" i="27"/>
  <c r="R1356" i="27"/>
  <c r="Q1356" i="27"/>
  <c r="P1356" i="27"/>
  <c r="E1356" i="27"/>
  <c r="D1356" i="27"/>
  <c r="AF3019" i="27"/>
  <c r="AE3019" i="27"/>
  <c r="AD3019" i="27"/>
  <c r="AC3019" i="27"/>
  <c r="AB3019" i="27"/>
  <c r="R3019" i="27"/>
  <c r="Q3019" i="27"/>
  <c r="P3019" i="27"/>
  <c r="E3019" i="27"/>
  <c r="D3019" i="27"/>
  <c r="AF2324" i="27"/>
  <c r="AE2324" i="27"/>
  <c r="AD2324" i="27"/>
  <c r="AC2324" i="27"/>
  <c r="AB2324" i="27"/>
  <c r="R2324" i="27"/>
  <c r="Q2324" i="27"/>
  <c r="P2324" i="27"/>
  <c r="E2324" i="27"/>
  <c r="D2324" i="27"/>
  <c r="D1303" i="27"/>
  <c r="AM1303" i="27" s="1"/>
  <c r="AH1303" i="27" s="1"/>
  <c r="E1303" i="27"/>
  <c r="D1304" i="27"/>
  <c r="AM1304" i="27" s="1"/>
  <c r="E1304" i="27"/>
  <c r="D1305" i="27"/>
  <c r="E1305" i="27"/>
  <c r="AF1310" i="27"/>
  <c r="AE1310" i="27"/>
  <c r="AD1310" i="27"/>
  <c r="AC1310" i="27"/>
  <c r="AB1310" i="27"/>
  <c r="R1310" i="27"/>
  <c r="Q1310" i="27"/>
  <c r="P1310" i="27"/>
  <c r="E1310" i="27"/>
  <c r="D1310" i="27"/>
  <c r="AM1310" i="27" s="1"/>
  <c r="AH1310" i="27" s="1"/>
  <c r="AF1355" i="27"/>
  <c r="AE1355" i="27"/>
  <c r="AD1355" i="27"/>
  <c r="AC1355" i="27"/>
  <c r="AB1355" i="27"/>
  <c r="R1355" i="27"/>
  <c r="Q1355" i="27"/>
  <c r="P1355" i="27"/>
  <c r="E1355" i="27"/>
  <c r="D1355" i="27"/>
  <c r="AF1335" i="27"/>
  <c r="AE1335" i="27"/>
  <c r="AD1335" i="27"/>
  <c r="AC1335" i="27"/>
  <c r="AB1335" i="27"/>
  <c r="R1335" i="27"/>
  <c r="Q1335" i="27"/>
  <c r="P1335" i="27"/>
  <c r="E1335" i="27"/>
  <c r="D1335" i="27"/>
  <c r="AM1335" i="27" s="1"/>
  <c r="D1445" i="27"/>
  <c r="AF1407" i="27"/>
  <c r="AE1407" i="27"/>
  <c r="AD1407" i="27"/>
  <c r="AC1407" i="27"/>
  <c r="AB1407" i="27"/>
  <c r="R1407" i="27"/>
  <c r="Q1407" i="27"/>
  <c r="P1407" i="27"/>
  <c r="E1407" i="27"/>
  <c r="D1407" i="27"/>
  <c r="AF1464" i="27"/>
  <c r="AE1464" i="27"/>
  <c r="AD1464" i="27"/>
  <c r="AC1464" i="27"/>
  <c r="AB1464" i="27"/>
  <c r="R1464" i="27"/>
  <c r="Q1464" i="27"/>
  <c r="P1464" i="27"/>
  <c r="E1464" i="27"/>
  <c r="D1464" i="27"/>
  <c r="AF1462" i="27"/>
  <c r="AE1462" i="27"/>
  <c r="AD1462" i="27"/>
  <c r="AC1462" i="27"/>
  <c r="AB1462" i="27"/>
  <c r="R1462" i="27"/>
  <c r="Q1462" i="27"/>
  <c r="P1462" i="27"/>
  <c r="E1462" i="27"/>
  <c r="D1462" i="27"/>
  <c r="AM1462" i="27" s="1"/>
  <c r="AN1462" i="27" s="1"/>
  <c r="AO1462" i="27" s="1"/>
  <c r="AF1405" i="27"/>
  <c r="AE1405" i="27"/>
  <c r="AD1405" i="27"/>
  <c r="AC1405" i="27"/>
  <c r="AB1405" i="27"/>
  <c r="R1405" i="27"/>
  <c r="Q1405" i="27"/>
  <c r="P1405" i="27"/>
  <c r="E1405" i="27"/>
  <c r="D1405" i="27"/>
  <c r="AM1405" i="27" s="1"/>
  <c r="AN1405" i="27" s="1"/>
  <c r="AO1405" i="27" s="1"/>
  <c r="AF3028" i="27"/>
  <c r="AE3028" i="27"/>
  <c r="AD3028" i="27"/>
  <c r="AC3028" i="27"/>
  <c r="AB3028" i="27"/>
  <c r="R3028" i="27"/>
  <c r="Q3028" i="27"/>
  <c r="P3028" i="27"/>
  <c r="E3028" i="27"/>
  <c r="D3028" i="27"/>
  <c r="AM3028" i="27" s="1"/>
  <c r="AF1501" i="27"/>
  <c r="AE1501" i="27"/>
  <c r="AD1501" i="27"/>
  <c r="AC1501" i="27"/>
  <c r="AB1501" i="27"/>
  <c r="R1501" i="27"/>
  <c r="Q1501" i="27"/>
  <c r="P1501" i="27"/>
  <c r="E1501" i="27"/>
  <c r="D1501" i="27"/>
  <c r="AF1481" i="27"/>
  <c r="AE1481" i="27"/>
  <c r="AD1481" i="27"/>
  <c r="AC1481" i="27"/>
  <c r="AB1481" i="27"/>
  <c r="R1481" i="27"/>
  <c r="Q1481" i="27"/>
  <c r="P1481" i="27"/>
  <c r="E1481" i="27"/>
  <c r="D1481" i="27"/>
  <c r="AM1481" i="27" s="1"/>
  <c r="AN1481" i="27" s="1"/>
  <c r="AO1481" i="27" s="1"/>
  <c r="AF2311" i="27"/>
  <c r="AE2311" i="27"/>
  <c r="AD2311" i="27"/>
  <c r="AC2311" i="27"/>
  <c r="AB2311" i="27"/>
  <c r="R2311" i="27"/>
  <c r="Q2311" i="27"/>
  <c r="P2311" i="27"/>
  <c r="E2311" i="27"/>
  <c r="D2311" i="27"/>
  <c r="AF217" i="27"/>
  <c r="AE217" i="27"/>
  <c r="AD217" i="27"/>
  <c r="AC217" i="27"/>
  <c r="AB217" i="27"/>
  <c r="R217" i="27"/>
  <c r="Q217" i="27"/>
  <c r="P217" i="27"/>
  <c r="E217" i="27"/>
  <c r="D217" i="27"/>
  <c r="AF216" i="27"/>
  <c r="AE216" i="27"/>
  <c r="AD216" i="27"/>
  <c r="AC216" i="27"/>
  <c r="AB216" i="27"/>
  <c r="R216" i="27"/>
  <c r="Q216" i="27"/>
  <c r="P216" i="27"/>
  <c r="E216" i="27"/>
  <c r="D216" i="27"/>
  <c r="AF1379" i="27"/>
  <c r="AE1379" i="27"/>
  <c r="AD1379" i="27"/>
  <c r="AC1379" i="27"/>
  <c r="AB1379" i="27"/>
  <c r="R1379" i="27"/>
  <c r="Q1379" i="27"/>
  <c r="P1379" i="27"/>
  <c r="E1379" i="27"/>
  <c r="D1379" i="27"/>
  <c r="AF3027" i="27"/>
  <c r="AE3027" i="27"/>
  <c r="AD3027" i="27"/>
  <c r="AC3027" i="27"/>
  <c r="AB3027" i="27"/>
  <c r="R3027" i="27"/>
  <c r="Q3027" i="27"/>
  <c r="P3027" i="27"/>
  <c r="E3027" i="27"/>
  <c r="D3027" i="27"/>
  <c r="AM3027" i="27" s="1"/>
  <c r="AN3027" i="27" s="1"/>
  <c r="AO3027" i="27" s="1"/>
  <c r="AF1424" i="27"/>
  <c r="AE1424" i="27"/>
  <c r="AD1424" i="27"/>
  <c r="AC1424" i="27"/>
  <c r="AB1424" i="27"/>
  <c r="R1424" i="27"/>
  <c r="Q1424" i="27"/>
  <c r="P1424" i="27"/>
  <c r="E1424" i="27"/>
  <c r="D1424" i="27"/>
  <c r="A2834" i="32"/>
  <c r="B2834" i="32" s="1"/>
  <c r="C2834" i="32"/>
  <c r="AF1360" i="27"/>
  <c r="AE1360" i="27"/>
  <c r="AD1360" i="27"/>
  <c r="AC1360" i="27"/>
  <c r="AB1360" i="27"/>
  <c r="R1360" i="27"/>
  <c r="Q1360" i="27"/>
  <c r="P1360" i="27"/>
  <c r="E1360" i="27"/>
  <c r="D1360" i="27"/>
  <c r="AM1432" i="27"/>
  <c r="AF1432" i="27"/>
  <c r="AE1432" i="27"/>
  <c r="AD1432" i="27"/>
  <c r="AC1432" i="27"/>
  <c r="AB1432" i="27"/>
  <c r="R1432" i="27"/>
  <c r="Q1432" i="27"/>
  <c r="P1432" i="27"/>
  <c r="AM1435" i="27"/>
  <c r="AN1435" i="27" s="1"/>
  <c r="AO1435" i="27" s="1"/>
  <c r="AF1435" i="27"/>
  <c r="AE1435" i="27"/>
  <c r="AD1435" i="27"/>
  <c r="AC1435" i="27"/>
  <c r="AB1435" i="27"/>
  <c r="R1435" i="27"/>
  <c r="Q1435" i="27"/>
  <c r="P1435" i="27"/>
  <c r="AM1434" i="27"/>
  <c r="AF1434" i="27"/>
  <c r="AE1434" i="27"/>
  <c r="AD1434" i="27"/>
  <c r="AC1434" i="27"/>
  <c r="AB1434" i="27"/>
  <c r="R1434" i="27"/>
  <c r="Q1434" i="27"/>
  <c r="P1434" i="27"/>
  <c r="AM1430" i="27"/>
  <c r="AF1430" i="27"/>
  <c r="AE1430" i="27"/>
  <c r="AD1430" i="27"/>
  <c r="AC1430" i="27"/>
  <c r="AB1430" i="27"/>
  <c r="R1430" i="27"/>
  <c r="Q1430" i="27"/>
  <c r="P1430" i="27"/>
  <c r="AF1332" i="27"/>
  <c r="AE1332" i="27"/>
  <c r="AD1332" i="27"/>
  <c r="AC1332" i="27"/>
  <c r="AB1332" i="27"/>
  <c r="R1332" i="27"/>
  <c r="Q1332" i="27"/>
  <c r="P1332" i="27"/>
  <c r="E1332" i="27"/>
  <c r="D1332" i="27"/>
  <c r="AF1408" i="27"/>
  <c r="AE1408" i="27"/>
  <c r="AD1408" i="27"/>
  <c r="AC1408" i="27"/>
  <c r="AB1408" i="27"/>
  <c r="R1408" i="27"/>
  <c r="Q1408" i="27"/>
  <c r="P1408" i="27"/>
  <c r="E1408" i="27"/>
  <c r="D1408" i="27"/>
  <c r="D1289" i="27"/>
  <c r="D1290" i="27"/>
  <c r="AM1290" i="27" s="1"/>
  <c r="AH1290" i="27" s="1"/>
  <c r="D1291" i="27"/>
  <c r="D1292" i="27"/>
  <c r="D1293" i="27"/>
  <c r="D1294" i="27"/>
  <c r="AM1294" i="27" s="1"/>
  <c r="AN1294" i="27" s="1"/>
  <c r="AO1294" i="27" s="1"/>
  <c r="D1295" i="27"/>
  <c r="D1296" i="27"/>
  <c r="AM1296" i="27" s="1"/>
  <c r="AH1296" i="27" s="1"/>
  <c r="D1297" i="27"/>
  <c r="D1298" i="27"/>
  <c r="D1299" i="27"/>
  <c r="D1300" i="27"/>
  <c r="D2292" i="27"/>
  <c r="D1417" i="27"/>
  <c r="D1320" i="27"/>
  <c r="AM1320" i="27" s="1"/>
  <c r="D1321" i="27"/>
  <c r="D1341" i="27"/>
  <c r="AM1341" i="27" s="1"/>
  <c r="AH1341" i="27" s="1"/>
  <c r="D1301" i="27"/>
  <c r="D2297" i="27"/>
  <c r="D1306" i="27"/>
  <c r="D1307" i="27"/>
  <c r="AM1307" i="27" s="1"/>
  <c r="D1515" i="27"/>
  <c r="AM1515" i="27" s="1"/>
  <c r="D1308" i="27"/>
  <c r="AM1308" i="27" s="1"/>
  <c r="D1309" i="27"/>
  <c r="D1312" i="27"/>
  <c r="AM1312" i="27" s="1"/>
  <c r="D1362" i="27"/>
  <c r="D1313" i="27"/>
  <c r="D1314" i="27"/>
  <c r="AM1314" i="27" s="1"/>
  <c r="D1315" i="27"/>
  <c r="D2295" i="27"/>
  <c r="D1465" i="27"/>
  <c r="D1318" i="27"/>
  <c r="D1559" i="27"/>
  <c r="AM1559" i="27" s="1"/>
  <c r="D1339" i="27"/>
  <c r="D1342" i="27"/>
  <c r="D1446" i="27"/>
  <c r="D1323" i="27"/>
  <c r="AM1323" i="27" s="1"/>
  <c r="D1324" i="27"/>
  <c r="D1325" i="27"/>
  <c r="D1343" i="27"/>
  <c r="D1326" i="27"/>
  <c r="D1331" i="27"/>
  <c r="D1414" i="27"/>
  <c r="D1334" i="27"/>
  <c r="D1415" i="27"/>
  <c r="AM1415" i="27" s="1"/>
  <c r="AH1415" i="27" s="1"/>
  <c r="D1336" i="27"/>
  <c r="D1340" i="27"/>
  <c r="D1330" i="27"/>
  <c r="AM1330" i="27" s="1"/>
  <c r="D1392" i="27"/>
  <c r="AM1392" i="27" s="1"/>
  <c r="E1392" i="27"/>
  <c r="AF2295" i="27"/>
  <c r="AE2295" i="27"/>
  <c r="AD2295" i="27"/>
  <c r="AC2295" i="27"/>
  <c r="AB2295" i="27"/>
  <c r="R2295" i="27"/>
  <c r="Q2295" i="27"/>
  <c r="P2295" i="27"/>
  <c r="E2295" i="27"/>
  <c r="D1404" i="27"/>
  <c r="D1513" i="27"/>
  <c r="D1357" i="27"/>
  <c r="D1353" i="27"/>
  <c r="AM1353" i="27" s="1"/>
  <c r="AN1353" i="27" s="1"/>
  <c r="AO1353" i="27" s="1"/>
  <c r="D1358" i="27"/>
  <c r="AM1358" i="27" s="1"/>
  <c r="D1359" i="27"/>
  <c r="AM1359" i="27" s="1"/>
  <c r="AH1359" i="27" s="1"/>
  <c r="D1361" i="27"/>
  <c r="D1399" i="27"/>
  <c r="AM1399" i="27" s="1"/>
  <c r="D2315" i="27"/>
  <c r="D1366" i="27"/>
  <c r="AM1366" i="27" s="1"/>
  <c r="AN1366" i="27" s="1"/>
  <c r="AO1366" i="27" s="1"/>
  <c r="D1367" i="27"/>
  <c r="D1368" i="27"/>
  <c r="D1441" i="27"/>
  <c r="AM1441" i="27" s="1"/>
  <c r="D1542" i="27"/>
  <c r="AM1542" i="27" s="1"/>
  <c r="AN1542" i="27" s="1"/>
  <c r="AO1542" i="27" s="1"/>
  <c r="D1518" i="27"/>
  <c r="D1444" i="27"/>
  <c r="D1493" i="27"/>
  <c r="AM1493" i="27" s="1"/>
  <c r="AH1493" i="27" s="1"/>
  <c r="D1376" i="27"/>
  <c r="AM1376" i="27" s="1"/>
  <c r="D1380" i="27"/>
  <c r="D1560" i="27"/>
  <c r="D1382" i="27"/>
  <c r="D1383" i="27"/>
  <c r="AM1383" i="27" s="1"/>
  <c r="AH1383" i="27" s="1"/>
  <c r="D1384" i="27"/>
  <c r="D1390" i="27"/>
  <c r="D1409" i="27"/>
  <c r="D1466" i="27"/>
  <c r="AM1466" i="27" s="1"/>
  <c r="AN1466" i="27" s="1"/>
  <c r="AO1466" i="27" s="1"/>
  <c r="D1561" i="27"/>
  <c r="AM1561" i="27" s="1"/>
  <c r="D1416" i="27"/>
  <c r="D2300" i="27"/>
  <c r="D1562" i="27"/>
  <c r="AM1562" i="27" s="1"/>
  <c r="D1516" i="27"/>
  <c r="D1317" i="27"/>
  <c r="D1203" i="27"/>
  <c r="D1995" i="27"/>
  <c r="AM1995" i="27" s="1"/>
  <c r="AN1995" i="27" s="1"/>
  <c r="AO1995" i="27" s="1"/>
  <c r="D2000" i="27"/>
  <c r="D1512" i="27"/>
  <c r="AM1512" i="27" s="1"/>
  <c r="D2314" i="27"/>
  <c r="D1514" i="27"/>
  <c r="AM1514" i="27" s="1"/>
  <c r="AN1514" i="27" s="1"/>
  <c r="AO1514" i="27" s="1"/>
  <c r="D2017" i="27"/>
  <c r="AM2017" i="27" s="1"/>
  <c r="AN2017" i="27" s="1"/>
  <c r="AO2017" i="27" s="1"/>
  <c r="D2020" i="27"/>
  <c r="D2928" i="27"/>
  <c r="D1311" i="27"/>
  <c r="AM1311" i="27" s="1"/>
  <c r="AN1311" i="27" s="1"/>
  <c r="AO1311" i="27" s="1"/>
  <c r="D2929" i="27"/>
  <c r="AM2929" i="27" s="1"/>
  <c r="D2933" i="27"/>
  <c r="D2935" i="27"/>
  <c r="D2025" i="27"/>
  <c r="AM2025" i="27" s="1"/>
  <c r="D2938" i="27"/>
  <c r="D2939" i="27"/>
  <c r="AM2939" i="27" s="1"/>
  <c r="D2940" i="27"/>
  <c r="AM2940" i="27" s="1"/>
  <c r="D2942" i="27"/>
  <c r="AM2942" i="27" s="1"/>
  <c r="D1439" i="27"/>
  <c r="D2028" i="27"/>
  <c r="D2029" i="27"/>
  <c r="D2030" i="27"/>
  <c r="D2948" i="27"/>
  <c r="AM2948" i="27" s="1"/>
  <c r="D1410" i="27"/>
  <c r="D2033" i="27"/>
  <c r="AM2033" i="27" s="1"/>
  <c r="AH2033" i="27" s="1"/>
  <c r="D2034" i="27"/>
  <c r="D2954" i="27"/>
  <c r="D2955" i="27"/>
  <c r="AM2955" i="27" s="1"/>
  <c r="D214" i="27"/>
  <c r="D2956" i="27"/>
  <c r="D2037" i="27"/>
  <c r="D2957" i="27"/>
  <c r="D2038" i="27"/>
  <c r="D2961" i="27"/>
  <c r="D2965" i="27"/>
  <c r="AM2965" i="27" s="1"/>
  <c r="AN2965" i="27" s="1"/>
  <c r="AO2965" i="27" s="1"/>
  <c r="D2968" i="27"/>
  <c r="D1469" i="27"/>
  <c r="D2969" i="27"/>
  <c r="AM2969" i="27" s="1"/>
  <c r="D1385" i="27"/>
  <c r="D1319" i="27"/>
  <c r="D1470" i="27"/>
  <c r="D2971" i="27"/>
  <c r="D2972" i="27"/>
  <c r="D2973" i="27"/>
  <c r="AM2973" i="27" s="1"/>
  <c r="D2974" i="27"/>
  <c r="D2040" i="27"/>
  <c r="AM2040" i="27" s="1"/>
  <c r="AH2040" i="27" s="1"/>
  <c r="D2975" i="27"/>
  <c r="D2977" i="27"/>
  <c r="AM2977" i="27" s="1"/>
  <c r="D1387" i="27"/>
  <c r="D2980" i="27"/>
  <c r="D1388" i="27"/>
  <c r="D2981" i="27"/>
  <c r="D1389" i="27"/>
  <c r="D2982" i="27"/>
  <c r="AM2982" i="27" s="1"/>
  <c r="D2984" i="27"/>
  <c r="D2301" i="27"/>
  <c r="AM2301" i="27" s="1"/>
  <c r="D2985" i="27"/>
  <c r="D2986" i="27"/>
  <c r="AM2986" i="27" s="1"/>
  <c r="D215" i="27"/>
  <c r="AM215" i="27" s="1"/>
  <c r="AH215" i="27" s="1"/>
  <c r="D2987" i="27"/>
  <c r="D2988" i="27"/>
  <c r="AM2988" i="27" s="1"/>
  <c r="AH2988" i="27" s="1"/>
  <c r="D2989" i="27"/>
  <c r="AM2989" i="27" s="1"/>
  <c r="D2990" i="27"/>
  <c r="AM2990" i="27" s="1"/>
  <c r="D2991" i="27"/>
  <c r="D2992" i="27"/>
  <c r="AM2992" i="27" s="1"/>
  <c r="AH2992" i="27" s="1"/>
  <c r="D2993" i="27"/>
  <c r="AM2993" i="27" s="1"/>
  <c r="AH2993" i="27" s="1"/>
  <c r="D1391" i="27"/>
  <c r="AM1391" i="27" s="1"/>
  <c r="D2994" i="27"/>
  <c r="AM2994" i="27" s="1"/>
  <c r="AN2994" i="27" s="1"/>
  <c r="AO2994" i="27" s="1"/>
  <c r="D2995" i="27"/>
  <c r="AM2995" i="27" s="1"/>
  <c r="D2996" i="27"/>
  <c r="D2998" i="27"/>
  <c r="D2999" i="27"/>
  <c r="D2302" i="27"/>
  <c r="D1564" i="27"/>
  <c r="AM1564" i="27" s="1"/>
  <c r="AN1564" i="27" s="1"/>
  <c r="AO1564" i="27" s="1"/>
  <c r="D1393" i="27"/>
  <c r="D1420" i="27"/>
  <c r="AM1420" i="27" s="1"/>
  <c r="D3000" i="27"/>
  <c r="AM3000" i="27" s="1"/>
  <c r="AN3000" i="27" s="1"/>
  <c r="AO3000" i="27" s="1"/>
  <c r="D300" i="27"/>
  <c r="AM300" i="27" s="1"/>
  <c r="AN300" i="27" s="1"/>
  <c r="AO300" i="27" s="1"/>
  <c r="D301" i="27"/>
  <c r="AM301" i="27" s="1"/>
  <c r="D302" i="27"/>
  <c r="AM302" i="27" s="1"/>
  <c r="AN302" i="27" s="1"/>
  <c r="AO302" i="27" s="1"/>
  <c r="D303" i="27"/>
  <c r="AM303" i="27" s="1"/>
  <c r="D304" i="27"/>
  <c r="D305" i="27"/>
  <c r="D306" i="27"/>
  <c r="AM306" i="27" s="1"/>
  <c r="D307" i="27"/>
  <c r="D308" i="27"/>
  <c r="D309" i="27"/>
  <c r="AM309" i="27" s="1"/>
  <c r="D310" i="27"/>
  <c r="D311" i="27"/>
  <c r="D312" i="27"/>
  <c r="D313" i="27"/>
  <c r="D314" i="27"/>
  <c r="D315" i="27"/>
  <c r="D316" i="27"/>
  <c r="D317" i="27"/>
  <c r="D318" i="27"/>
  <c r="D319" i="27"/>
  <c r="D320" i="27"/>
  <c r="D321" i="27"/>
  <c r="D322" i="27"/>
  <c r="D323" i="27"/>
  <c r="D324" i="27"/>
  <c r="D325" i="27"/>
  <c r="D326" i="27"/>
  <c r="AM326" i="27" s="1"/>
  <c r="AN326" i="27" s="1"/>
  <c r="AO326" i="27" s="1"/>
  <c r="D327" i="27"/>
  <c r="D328" i="27"/>
  <c r="AM328" i="27" s="1"/>
  <c r="AN328" i="27" s="1"/>
  <c r="AO328" i="27" s="1"/>
  <c r="D329" i="27"/>
  <c r="AM329" i="27" s="1"/>
  <c r="AN329" i="27" s="1"/>
  <c r="AO329" i="27" s="1"/>
  <c r="D330" i="27"/>
  <c r="D331" i="27"/>
  <c r="AM331" i="27" s="1"/>
  <c r="D332" i="27"/>
  <c r="D333" i="27"/>
  <c r="AM333" i="27" s="1"/>
  <c r="D334" i="27"/>
  <c r="D335" i="27"/>
  <c r="D336" i="27"/>
  <c r="AM336" i="27" s="1"/>
  <c r="D337" i="27"/>
  <c r="AM337" i="27" s="1"/>
  <c r="D338" i="27"/>
  <c r="D339" i="27"/>
  <c r="AM339" i="27" s="1"/>
  <c r="D340" i="27"/>
  <c r="AM340" i="27" s="1"/>
  <c r="AH340" i="27" s="1"/>
  <c r="D341" i="27"/>
  <c r="D342" i="27"/>
  <c r="D343" i="27"/>
  <c r="D344" i="27"/>
  <c r="D345" i="27"/>
  <c r="D346" i="27"/>
  <c r="D347" i="27"/>
  <c r="AM347" i="27" s="1"/>
  <c r="AN347" i="27" s="1"/>
  <c r="AO347" i="27" s="1"/>
  <c r="D348" i="27"/>
  <c r="AM348" i="27" s="1"/>
  <c r="D349" i="27"/>
  <c r="AM349" i="27" s="1"/>
  <c r="AH349" i="27" s="1"/>
  <c r="D350" i="27"/>
  <c r="D351" i="27"/>
  <c r="AM351" i="27" s="1"/>
  <c r="AH351" i="27" s="1"/>
  <c r="D352" i="27"/>
  <c r="D353" i="27"/>
  <c r="D354" i="27"/>
  <c r="D355" i="27"/>
  <c r="AM355" i="27" s="1"/>
  <c r="AH355" i="27" s="1"/>
  <c r="D356" i="27"/>
  <c r="AM356" i="27" s="1"/>
  <c r="D357" i="27"/>
  <c r="AM357" i="27" s="1"/>
  <c r="D358" i="27"/>
  <c r="AM358" i="27" s="1"/>
  <c r="D359" i="27"/>
  <c r="D360" i="27"/>
  <c r="D361" i="27"/>
  <c r="AM361" i="27" s="1"/>
  <c r="AN361" i="27" s="1"/>
  <c r="AO361" i="27" s="1"/>
  <c r="D362" i="27"/>
  <c r="D363" i="27"/>
  <c r="D364" i="27"/>
  <c r="D365" i="27"/>
  <c r="D366" i="27"/>
  <c r="D367" i="27"/>
  <c r="AM367" i="27" s="1"/>
  <c r="AN367" i="27" s="1"/>
  <c r="AO367" i="27" s="1"/>
  <c r="D368" i="27"/>
  <c r="AM368" i="27" s="1"/>
  <c r="D369" i="27"/>
  <c r="D370" i="27"/>
  <c r="D371" i="27"/>
  <c r="D372" i="27"/>
  <c r="D373" i="27"/>
  <c r="D374" i="27"/>
  <c r="D375" i="27"/>
  <c r="D376" i="27"/>
  <c r="AM376" i="27" s="1"/>
  <c r="D377" i="27"/>
  <c r="D378" i="27"/>
  <c r="AM378" i="27" s="1"/>
  <c r="D379" i="27"/>
  <c r="D380" i="27"/>
  <c r="AM380" i="27" s="1"/>
  <c r="D381" i="27"/>
  <c r="AM381" i="27" s="1"/>
  <c r="AN381" i="27" s="1"/>
  <c r="AO381" i="27" s="1"/>
  <c r="D382" i="27"/>
  <c r="AM382" i="27" s="1"/>
  <c r="D383" i="27"/>
  <c r="D384" i="27"/>
  <c r="AM384" i="27" s="1"/>
  <c r="AH384" i="27" s="1"/>
  <c r="D385" i="27"/>
  <c r="D386" i="27"/>
  <c r="D387" i="27"/>
  <c r="AM387" i="27" s="1"/>
  <c r="AH387" i="27" s="1"/>
  <c r="D388" i="27"/>
  <c r="AM388" i="27" s="1"/>
  <c r="AH388" i="27" s="1"/>
  <c r="D389" i="27"/>
  <c r="D390" i="27"/>
  <c r="D391" i="27"/>
  <c r="AM391" i="27" s="1"/>
  <c r="D392" i="27"/>
  <c r="AM392" i="27" s="1"/>
  <c r="AH392" i="27" s="1"/>
  <c r="D393" i="27"/>
  <c r="D394" i="27"/>
  <c r="AM394" i="27" s="1"/>
  <c r="AN394" i="27" s="1"/>
  <c r="AO394" i="27" s="1"/>
  <c r="D395" i="27"/>
  <c r="D396" i="27"/>
  <c r="D397" i="27"/>
  <c r="D398" i="27"/>
  <c r="D399" i="27"/>
  <c r="AM399" i="27" s="1"/>
  <c r="D400" i="27"/>
  <c r="D401" i="27"/>
  <c r="AM401" i="27" s="1"/>
  <c r="D402" i="27"/>
  <c r="D403" i="27"/>
  <c r="D404" i="27"/>
  <c r="AM404" i="27" s="1"/>
  <c r="AH404" i="27" s="1"/>
  <c r="D405" i="27"/>
  <c r="AM405" i="27" s="1"/>
  <c r="D406" i="27"/>
  <c r="D407" i="27"/>
  <c r="D408" i="27"/>
  <c r="AM408" i="27" s="1"/>
  <c r="D409" i="27"/>
  <c r="D410" i="27"/>
  <c r="D411" i="27"/>
  <c r="AM411" i="27" s="1"/>
  <c r="AN411" i="27" s="1"/>
  <c r="AO411" i="27" s="1"/>
  <c r="D412" i="27"/>
  <c r="D413" i="27"/>
  <c r="D414" i="27"/>
  <c r="D415" i="27"/>
  <c r="D416" i="27"/>
  <c r="D417" i="27"/>
  <c r="D418" i="27"/>
  <c r="D419" i="27"/>
  <c r="D420" i="27"/>
  <c r="D421" i="27"/>
  <c r="AM421" i="27" s="1"/>
  <c r="D422" i="27"/>
  <c r="D423" i="27"/>
  <c r="D424" i="27"/>
  <c r="D425" i="27"/>
  <c r="AM425" i="27" s="1"/>
  <c r="AN425" i="27" s="1"/>
  <c r="AO425" i="27" s="1"/>
  <c r="D426" i="27"/>
  <c r="D427" i="27"/>
  <c r="D428" i="27"/>
  <c r="AM428" i="27" s="1"/>
  <c r="AH428" i="27" s="1"/>
  <c r="D429" i="27"/>
  <c r="D430" i="27"/>
  <c r="AM430" i="27" s="1"/>
  <c r="AH430" i="27" s="1"/>
  <c r="D431" i="27"/>
  <c r="D432" i="27"/>
  <c r="AM432" i="27" s="1"/>
  <c r="AH432" i="27" s="1"/>
  <c r="D433" i="27"/>
  <c r="AM433" i="27" s="1"/>
  <c r="AH433" i="27" s="1"/>
  <c r="D434" i="27"/>
  <c r="D435" i="27"/>
  <c r="D436" i="27"/>
  <c r="D437" i="27"/>
  <c r="D438" i="27"/>
  <c r="AM438" i="27" s="1"/>
  <c r="D439" i="27"/>
  <c r="D440" i="27"/>
  <c r="D441" i="27"/>
  <c r="AM441" i="27" s="1"/>
  <c r="AN441" i="27" s="1"/>
  <c r="AO441" i="27" s="1"/>
  <c r="D442" i="27"/>
  <c r="D443" i="27"/>
  <c r="AM443" i="27" s="1"/>
  <c r="AH443" i="27" s="1"/>
  <c r="D444" i="27"/>
  <c r="D445" i="27"/>
  <c r="D446" i="27"/>
  <c r="D447" i="27"/>
  <c r="AM447" i="27" s="1"/>
  <c r="D448" i="27"/>
  <c r="AM448" i="27" s="1"/>
  <c r="D449" i="27"/>
  <c r="D450" i="27"/>
  <c r="D451" i="27"/>
  <c r="D452" i="27"/>
  <c r="AM452" i="27" s="1"/>
  <c r="AN452" i="27" s="1"/>
  <c r="AO452" i="27" s="1"/>
  <c r="D453" i="27"/>
  <c r="D454" i="27"/>
  <c r="D455" i="27"/>
  <c r="D456" i="27"/>
  <c r="AM456" i="27" s="1"/>
  <c r="D457" i="27"/>
  <c r="AM457" i="27" s="1"/>
  <c r="AH457" i="27" s="1"/>
  <c r="D458" i="27"/>
  <c r="D459" i="27"/>
  <c r="AM459" i="27" s="1"/>
  <c r="AN459" i="27" s="1"/>
  <c r="AO459" i="27" s="1"/>
  <c r="D460" i="27"/>
  <c r="AM460" i="27" s="1"/>
  <c r="AH460" i="27" s="1"/>
  <c r="D461" i="27"/>
  <c r="D462" i="27"/>
  <c r="AM462" i="27" s="1"/>
  <c r="D463" i="27"/>
  <c r="AM463" i="27" s="1"/>
  <c r="AN463" i="27" s="1"/>
  <c r="AO463" i="27" s="1"/>
  <c r="D464" i="27"/>
  <c r="D465" i="27"/>
  <c r="D466" i="27"/>
  <c r="D467" i="27"/>
  <c r="D468" i="27"/>
  <c r="D469" i="27"/>
  <c r="D470" i="27"/>
  <c r="D471" i="27"/>
  <c r="AM471" i="27" s="1"/>
  <c r="D472" i="27"/>
  <c r="AM472" i="27" s="1"/>
  <c r="D473" i="27"/>
  <c r="AM473" i="27" s="1"/>
  <c r="D474" i="27"/>
  <c r="D475" i="27"/>
  <c r="D476" i="27"/>
  <c r="D477" i="27"/>
  <c r="D478" i="27"/>
  <c r="D479" i="27"/>
  <c r="AM479" i="27" s="1"/>
  <c r="D480" i="27"/>
  <c r="AM480" i="27" s="1"/>
  <c r="AH480" i="27" s="1"/>
  <c r="D481" i="27"/>
  <c r="D482" i="27"/>
  <c r="D483" i="27"/>
  <c r="D484" i="27"/>
  <c r="AM484" i="27" s="1"/>
  <c r="D485" i="27"/>
  <c r="D486" i="27"/>
  <c r="D487" i="27"/>
  <c r="AM487" i="27" s="1"/>
  <c r="D488" i="27"/>
  <c r="D489" i="27"/>
  <c r="D490" i="27"/>
  <c r="AM490" i="27" s="1"/>
  <c r="AH490" i="27" s="1"/>
  <c r="D491" i="27"/>
  <c r="D492" i="27"/>
  <c r="D493" i="27"/>
  <c r="D494" i="27"/>
  <c r="D495" i="27"/>
  <c r="AM495" i="27" s="1"/>
  <c r="D496" i="27"/>
  <c r="D497" i="27"/>
  <c r="AM497" i="27" s="1"/>
  <c r="D498" i="27"/>
  <c r="D499" i="27"/>
  <c r="D500" i="27"/>
  <c r="D501" i="27"/>
  <c r="D502" i="27"/>
  <c r="D503" i="27"/>
  <c r="D504" i="27"/>
  <c r="D505" i="27"/>
  <c r="AM505" i="27" s="1"/>
  <c r="AN505" i="27" s="1"/>
  <c r="AO505" i="27" s="1"/>
  <c r="D506" i="27"/>
  <c r="D507" i="27"/>
  <c r="AM507" i="27" s="1"/>
  <c r="AN507" i="27" s="1"/>
  <c r="AO507" i="27" s="1"/>
  <c r="D508" i="27"/>
  <c r="AM508" i="27" s="1"/>
  <c r="AH508" i="27" s="1"/>
  <c r="D509" i="27"/>
  <c r="D510" i="27"/>
  <c r="D511" i="27"/>
  <c r="D512" i="27"/>
  <c r="AM512" i="27" s="1"/>
  <c r="AN512" i="27" s="1"/>
  <c r="AO512" i="27" s="1"/>
  <c r="D513" i="27"/>
  <c r="AM513" i="27" s="1"/>
  <c r="D514" i="27"/>
  <c r="AM514" i="27" s="1"/>
  <c r="D515" i="27"/>
  <c r="AM515" i="27" s="1"/>
  <c r="D516" i="27"/>
  <c r="AM516" i="27" s="1"/>
  <c r="AH516" i="27" s="1"/>
  <c r="D517" i="27"/>
  <c r="D518" i="27"/>
  <c r="D519" i="27"/>
  <c r="AM519" i="27" s="1"/>
  <c r="D520" i="27"/>
  <c r="AM520" i="27" s="1"/>
  <c r="AH520" i="27" s="1"/>
  <c r="D521" i="27"/>
  <c r="D522" i="27"/>
  <c r="AM522" i="27" s="1"/>
  <c r="D523" i="27"/>
  <c r="AM523" i="27" s="1"/>
  <c r="AN523" i="27" s="1"/>
  <c r="AO523" i="27" s="1"/>
  <c r="D524" i="27"/>
  <c r="AM524" i="27" s="1"/>
  <c r="AN524" i="27" s="1"/>
  <c r="AO524" i="27" s="1"/>
  <c r="D525" i="27"/>
  <c r="D526" i="27"/>
  <c r="AM526" i="27" s="1"/>
  <c r="AH526" i="27" s="1"/>
  <c r="D527" i="27"/>
  <c r="D528" i="27"/>
  <c r="AM528" i="27" s="1"/>
  <c r="AN528" i="27" s="1"/>
  <c r="AO528" i="27" s="1"/>
  <c r="D529" i="27"/>
  <c r="AM529" i="27" s="1"/>
  <c r="D530" i="27"/>
  <c r="D531" i="27"/>
  <c r="D532" i="27"/>
  <c r="AM532" i="27" s="1"/>
  <c r="AH532" i="27" s="1"/>
  <c r="D533" i="27"/>
  <c r="D534" i="27"/>
  <c r="D535" i="27"/>
  <c r="AM535" i="27" s="1"/>
  <c r="D536" i="27"/>
  <c r="D537" i="27"/>
  <c r="AM537" i="27" s="1"/>
  <c r="D538" i="27"/>
  <c r="D539" i="27"/>
  <c r="D540" i="27"/>
  <c r="AM540" i="27" s="1"/>
  <c r="D541" i="27"/>
  <c r="D542" i="27"/>
  <c r="D543" i="27"/>
  <c r="D544" i="27"/>
  <c r="D545" i="27"/>
  <c r="D546" i="27"/>
  <c r="D547" i="27"/>
  <c r="D548" i="27"/>
  <c r="D549" i="27"/>
  <c r="D550" i="27"/>
  <c r="D551" i="27"/>
  <c r="D552" i="27"/>
  <c r="D553" i="27"/>
  <c r="D554" i="27"/>
  <c r="D555" i="27"/>
  <c r="AM555" i="27" s="1"/>
  <c r="AH555" i="27" s="1"/>
  <c r="D556" i="27"/>
  <c r="D557" i="27"/>
  <c r="D558" i="27"/>
  <c r="D559" i="27"/>
  <c r="AM559" i="27" s="1"/>
  <c r="AH559" i="27" s="1"/>
  <c r="D560" i="27"/>
  <c r="AM560" i="27" s="1"/>
  <c r="D561" i="27"/>
  <c r="D562" i="27"/>
  <c r="D563" i="27"/>
  <c r="D564" i="27"/>
  <c r="AM564" i="27" s="1"/>
  <c r="AH564" i="27" s="1"/>
  <c r="D565" i="27"/>
  <c r="D566" i="27"/>
  <c r="AM566" i="27" s="1"/>
  <c r="D567" i="27"/>
  <c r="D568" i="27"/>
  <c r="D569" i="27"/>
  <c r="D570" i="27"/>
  <c r="D571" i="27"/>
  <c r="D572" i="27"/>
  <c r="AM572" i="27" s="1"/>
  <c r="AN572" i="27" s="1"/>
  <c r="AO572" i="27" s="1"/>
  <c r="D573" i="27"/>
  <c r="D574" i="27"/>
  <c r="D575" i="27"/>
  <c r="AM575" i="27" s="1"/>
  <c r="D576" i="27"/>
  <c r="D577" i="27"/>
  <c r="D578" i="27"/>
  <c r="D579" i="27"/>
  <c r="D580" i="27"/>
  <c r="AM580" i="27" s="1"/>
  <c r="AH580" i="27" s="1"/>
  <c r="D581" i="27"/>
  <c r="D582" i="27"/>
  <c r="D583" i="27"/>
  <c r="D584" i="27"/>
  <c r="D585" i="27"/>
  <c r="AM585" i="27" s="1"/>
  <c r="D586" i="27"/>
  <c r="D587" i="27"/>
  <c r="D588" i="27"/>
  <c r="D589" i="27"/>
  <c r="D590" i="27"/>
  <c r="D591" i="27"/>
  <c r="AM591" i="27" s="1"/>
  <c r="D592" i="27"/>
  <c r="D593" i="27"/>
  <c r="AM593" i="27" s="1"/>
  <c r="D594" i="27"/>
  <c r="AM594" i="27" s="1"/>
  <c r="AN594" i="27" s="1"/>
  <c r="AO594" i="27" s="1"/>
  <c r="D595" i="27"/>
  <c r="AM595" i="27" s="1"/>
  <c r="AH595" i="27" s="1"/>
  <c r="D596" i="27"/>
  <c r="D597" i="27"/>
  <c r="D598" i="27"/>
  <c r="AM598" i="27" s="1"/>
  <c r="AN598" i="27" s="1"/>
  <c r="AO598" i="27" s="1"/>
  <c r="D599" i="27"/>
  <c r="AM599" i="27" s="1"/>
  <c r="D600" i="27"/>
  <c r="D601" i="27"/>
  <c r="AM601" i="27" s="1"/>
  <c r="D602" i="27"/>
  <c r="D603" i="27"/>
  <c r="AM603" i="27" s="1"/>
  <c r="D604" i="27"/>
  <c r="AM604" i="27" s="1"/>
  <c r="AN604" i="27" s="1"/>
  <c r="AO604" i="27" s="1"/>
  <c r="D605" i="27"/>
  <c r="D606" i="27"/>
  <c r="D607" i="27"/>
  <c r="D608" i="27"/>
  <c r="AM608" i="27" s="1"/>
  <c r="D609" i="27"/>
  <c r="D610" i="27"/>
  <c r="D611" i="27"/>
  <c r="AM611" i="27" s="1"/>
  <c r="D612" i="27"/>
  <c r="D613" i="27"/>
  <c r="D614" i="27"/>
  <c r="D615" i="27"/>
  <c r="D616" i="27"/>
  <c r="D617" i="27"/>
  <c r="D618" i="27"/>
  <c r="AM618" i="27" s="1"/>
  <c r="D619" i="27"/>
  <c r="AM619" i="27" s="1"/>
  <c r="AH619" i="27" s="1"/>
  <c r="D620" i="27"/>
  <c r="D621" i="27"/>
  <c r="AM621" i="27" s="1"/>
  <c r="AH621" i="27" s="1"/>
  <c r="D622" i="27"/>
  <c r="D623" i="27"/>
  <c r="D624" i="27"/>
  <c r="AM624" i="27" s="1"/>
  <c r="D625" i="27"/>
  <c r="D626" i="27"/>
  <c r="AM626" i="27" s="1"/>
  <c r="D627" i="27"/>
  <c r="AM627" i="27" s="1"/>
  <c r="AN627" i="27" s="1"/>
  <c r="AO627" i="27" s="1"/>
  <c r="D628" i="27"/>
  <c r="D629" i="27"/>
  <c r="D630" i="27"/>
  <c r="AM630" i="27" s="1"/>
  <c r="D631" i="27"/>
  <c r="AM631" i="27" s="1"/>
  <c r="AH631" i="27" s="1"/>
  <c r="D632" i="27"/>
  <c r="AM632" i="27" s="1"/>
  <c r="D633" i="27"/>
  <c r="D634" i="27"/>
  <c r="D635" i="27"/>
  <c r="AM635" i="27" s="1"/>
  <c r="D636" i="27"/>
  <c r="AM636" i="27" s="1"/>
  <c r="AH636" i="27" s="1"/>
  <c r="D637" i="27"/>
  <c r="D638" i="27"/>
  <c r="D639" i="27"/>
  <c r="D640" i="27"/>
  <c r="D641" i="27"/>
  <c r="AM641" i="27" s="1"/>
  <c r="AH641" i="27" s="1"/>
  <c r="D642" i="27"/>
  <c r="AM642" i="27" s="1"/>
  <c r="D643" i="27"/>
  <c r="D644" i="27"/>
  <c r="D645" i="27"/>
  <c r="AM645" i="27" s="1"/>
  <c r="D646" i="27"/>
  <c r="AM646" i="27" s="1"/>
  <c r="AN646" i="27" s="1"/>
  <c r="AO646" i="27" s="1"/>
  <c r="D647" i="27"/>
  <c r="AM647" i="27" s="1"/>
  <c r="AH647" i="27" s="1"/>
  <c r="D648" i="27"/>
  <c r="AM648" i="27" s="1"/>
  <c r="D649" i="27"/>
  <c r="D650" i="27"/>
  <c r="D651" i="27"/>
  <c r="AM651" i="27" s="1"/>
  <c r="AN651" i="27" s="1"/>
  <c r="AO651" i="27" s="1"/>
  <c r="D652" i="27"/>
  <c r="AM652" i="27" s="1"/>
  <c r="AN652" i="27" s="1"/>
  <c r="AO652" i="27" s="1"/>
  <c r="D653" i="27"/>
  <c r="D654" i="27"/>
  <c r="D655" i="27"/>
  <c r="D656" i="27"/>
  <c r="D657" i="27"/>
  <c r="AM657" i="27" s="1"/>
  <c r="D658" i="27"/>
  <c r="D659" i="27"/>
  <c r="D660" i="27"/>
  <c r="D661" i="27"/>
  <c r="D662" i="27"/>
  <c r="D663" i="27"/>
  <c r="AM663" i="27" s="1"/>
  <c r="AH663" i="27" s="1"/>
  <c r="D664" i="27"/>
  <c r="AM664" i="27" s="1"/>
  <c r="D665" i="27"/>
  <c r="D666" i="27"/>
  <c r="D667" i="27"/>
  <c r="AM667" i="27" s="1"/>
  <c r="AH667" i="27" s="1"/>
  <c r="D668" i="27"/>
  <c r="AM668" i="27" s="1"/>
  <c r="AN668" i="27" s="1"/>
  <c r="AO668" i="27" s="1"/>
  <c r="D669" i="27"/>
  <c r="D670" i="27"/>
  <c r="AM670" i="27" s="1"/>
  <c r="AN670" i="27" s="1"/>
  <c r="AO670" i="27" s="1"/>
  <c r="D671" i="27"/>
  <c r="AM671" i="27" s="1"/>
  <c r="D672" i="27"/>
  <c r="D673" i="27"/>
  <c r="AM673" i="27" s="1"/>
  <c r="D674" i="27"/>
  <c r="AM674" i="27" s="1"/>
  <c r="AH674" i="27" s="1"/>
  <c r="D675" i="27"/>
  <c r="D676" i="27"/>
  <c r="D677" i="27"/>
  <c r="AM677" i="27" s="1"/>
  <c r="D678" i="27"/>
  <c r="D679" i="27"/>
  <c r="D680" i="27"/>
  <c r="D681" i="27"/>
  <c r="AM681" i="27" s="1"/>
  <c r="D682" i="27"/>
  <c r="AM682" i="27" s="1"/>
  <c r="D683" i="27"/>
  <c r="AM683" i="27" s="1"/>
  <c r="D684" i="27"/>
  <c r="D685" i="27"/>
  <c r="D686" i="27"/>
  <c r="AM686" i="27" s="1"/>
  <c r="AN686" i="27" s="1"/>
  <c r="AO686" i="27" s="1"/>
  <c r="D687" i="27"/>
  <c r="D688" i="27"/>
  <c r="AM688" i="27" s="1"/>
  <c r="D689" i="27"/>
  <c r="D690" i="27"/>
  <c r="AM690" i="27" s="1"/>
  <c r="AH690" i="27" s="1"/>
  <c r="D691" i="27"/>
  <c r="D692" i="27"/>
  <c r="AM692" i="27" s="1"/>
  <c r="D693" i="27"/>
  <c r="D694" i="27"/>
  <c r="AM694" i="27" s="1"/>
  <c r="D695" i="27"/>
  <c r="AM695" i="27" s="1"/>
  <c r="D696" i="27"/>
  <c r="AM696" i="27" s="1"/>
  <c r="AH696" i="27" s="1"/>
  <c r="D697" i="27"/>
  <c r="D698" i="27"/>
  <c r="D699" i="27"/>
  <c r="AM699" i="27" s="1"/>
  <c r="AH699" i="27" s="1"/>
  <c r="D700" i="27"/>
  <c r="D701" i="27"/>
  <c r="AM701" i="27" s="1"/>
  <c r="D702" i="27"/>
  <c r="AM702" i="27" s="1"/>
  <c r="D703" i="27"/>
  <c r="D704" i="27"/>
  <c r="D705" i="27"/>
  <c r="AM705" i="27" s="1"/>
  <c r="AH705" i="27" s="1"/>
  <c r="D706" i="27"/>
  <c r="D707" i="27"/>
  <c r="AM707" i="27" s="1"/>
  <c r="D708" i="27"/>
  <c r="D709" i="27"/>
  <c r="AM709" i="27" s="1"/>
  <c r="D710" i="27"/>
  <c r="D711" i="27"/>
  <c r="AM711" i="27" s="1"/>
  <c r="AN711" i="27" s="1"/>
  <c r="AO711" i="27" s="1"/>
  <c r="D712" i="27"/>
  <c r="D713" i="27"/>
  <c r="D714" i="27"/>
  <c r="D715" i="27"/>
  <c r="D716" i="27"/>
  <c r="D717" i="27"/>
  <c r="D718" i="27"/>
  <c r="D719" i="27"/>
  <c r="AM719" i="27" s="1"/>
  <c r="AH719" i="27" s="1"/>
  <c r="D720" i="27"/>
  <c r="D721" i="27"/>
  <c r="AM721" i="27" s="1"/>
  <c r="AH721" i="27" s="1"/>
  <c r="D722" i="27"/>
  <c r="D723" i="27"/>
  <c r="D724" i="27"/>
  <c r="D725" i="27"/>
  <c r="AM725" i="27" s="1"/>
  <c r="AH725" i="27" s="1"/>
  <c r="D726" i="27"/>
  <c r="D727" i="27"/>
  <c r="AM727" i="27" s="1"/>
  <c r="D728" i="27"/>
  <c r="D729" i="27"/>
  <c r="D730" i="27"/>
  <c r="AM730" i="27" s="1"/>
  <c r="AN730" i="27" s="1"/>
  <c r="AO730" i="27" s="1"/>
  <c r="D731" i="27"/>
  <c r="D732" i="27"/>
  <c r="AM732" i="27" s="1"/>
  <c r="AH732" i="27" s="1"/>
  <c r="D733" i="27"/>
  <c r="AM733" i="27" s="1"/>
  <c r="D734" i="27"/>
  <c r="AM734" i="27" s="1"/>
  <c r="D735" i="27"/>
  <c r="AM735" i="27" s="1"/>
  <c r="D736" i="27"/>
  <c r="D737" i="27"/>
  <c r="D738" i="27"/>
  <c r="AM738" i="27" s="1"/>
  <c r="D739" i="27"/>
  <c r="AM739" i="27" s="1"/>
  <c r="D740" i="27"/>
  <c r="D741" i="27"/>
  <c r="D742" i="27"/>
  <c r="D743" i="27"/>
  <c r="AM743" i="27" s="1"/>
  <c r="AH743" i="27" s="1"/>
  <c r="D744" i="27"/>
  <c r="D745" i="27"/>
  <c r="D746" i="27"/>
  <c r="D747" i="27"/>
  <c r="D748" i="27"/>
  <c r="AM748" i="27" s="1"/>
  <c r="D749" i="27"/>
  <c r="D750" i="27"/>
  <c r="D751" i="27"/>
  <c r="AM751" i="27" s="1"/>
  <c r="D752" i="27"/>
  <c r="D753" i="27"/>
  <c r="D754" i="27"/>
  <c r="AM754" i="27" s="1"/>
  <c r="D755" i="27"/>
  <c r="AM755" i="27" s="1"/>
  <c r="D756" i="27"/>
  <c r="D757" i="27"/>
  <c r="D758" i="27"/>
  <c r="AM758" i="27" s="1"/>
  <c r="D759" i="27"/>
  <c r="AM759" i="27" s="1"/>
  <c r="AN759" i="27" s="1"/>
  <c r="AO759" i="27" s="1"/>
  <c r="D760" i="27"/>
  <c r="D761" i="27"/>
  <c r="D762" i="27"/>
  <c r="AM762" i="27" s="1"/>
  <c r="D763" i="27"/>
  <c r="D764" i="27"/>
  <c r="D765" i="27"/>
  <c r="D766" i="27"/>
  <c r="D767" i="27"/>
  <c r="D768" i="27"/>
  <c r="D769" i="27"/>
  <c r="D770" i="27"/>
  <c r="D771" i="27"/>
  <c r="D772" i="27"/>
  <c r="AM772" i="27" s="1"/>
  <c r="AH772" i="27" s="1"/>
  <c r="D773" i="27"/>
  <c r="D774" i="27"/>
  <c r="D775" i="27"/>
  <c r="D776" i="27"/>
  <c r="D777" i="27"/>
  <c r="AM777" i="27" s="1"/>
  <c r="D778" i="27"/>
  <c r="D779" i="27"/>
  <c r="D780" i="27"/>
  <c r="D781" i="27"/>
  <c r="AM781" i="27" s="1"/>
  <c r="D782" i="27"/>
  <c r="D783" i="27"/>
  <c r="D784" i="27"/>
  <c r="AM784" i="27" s="1"/>
  <c r="D785" i="27"/>
  <c r="D786" i="27"/>
  <c r="AM786" i="27" s="1"/>
  <c r="D787" i="27"/>
  <c r="AM787" i="27" s="1"/>
  <c r="D788" i="27"/>
  <c r="D789" i="27"/>
  <c r="D790" i="27"/>
  <c r="D791" i="27"/>
  <c r="D792" i="27"/>
  <c r="D793" i="27"/>
  <c r="AM793" i="27" s="1"/>
  <c r="D794" i="27"/>
  <c r="D795" i="27"/>
  <c r="AM795" i="27" s="1"/>
  <c r="AH795" i="27" s="1"/>
  <c r="D796" i="27"/>
  <c r="D797" i="27"/>
  <c r="AM797" i="27" s="1"/>
  <c r="D798" i="27"/>
  <c r="D799" i="27"/>
  <c r="D800" i="27"/>
  <c r="D801" i="27"/>
  <c r="AM801" i="27" s="1"/>
  <c r="AN801" i="27" s="1"/>
  <c r="AO801" i="27" s="1"/>
  <c r="D802" i="27"/>
  <c r="D803" i="27"/>
  <c r="AM803" i="27" s="1"/>
  <c r="AN803" i="27" s="1"/>
  <c r="AO803" i="27" s="1"/>
  <c r="D804" i="27"/>
  <c r="D805" i="27"/>
  <c r="D806" i="27"/>
  <c r="D807" i="27"/>
  <c r="D808" i="27"/>
  <c r="AM808" i="27" s="1"/>
  <c r="AN808" i="27" s="1"/>
  <c r="AO808" i="27" s="1"/>
  <c r="D809" i="27"/>
  <c r="D810" i="27"/>
  <c r="AM810" i="27" s="1"/>
  <c r="D811" i="27"/>
  <c r="D812" i="27"/>
  <c r="D813" i="27"/>
  <c r="AM813" i="27" s="1"/>
  <c r="AN813" i="27" s="1"/>
  <c r="AO813" i="27" s="1"/>
  <c r="D814" i="27"/>
  <c r="D815" i="27"/>
  <c r="D816" i="27"/>
  <c r="D817" i="27"/>
  <c r="D818" i="27"/>
  <c r="AM818" i="27" s="1"/>
  <c r="AN818" i="27" s="1"/>
  <c r="AO818" i="27" s="1"/>
  <c r="D819" i="27"/>
  <c r="D820" i="27"/>
  <c r="D821" i="27"/>
  <c r="AM821" i="27" s="1"/>
  <c r="AH821" i="27" s="1"/>
  <c r="D822" i="27"/>
  <c r="D823" i="27"/>
  <c r="AM823" i="27" s="1"/>
  <c r="AH823" i="27" s="1"/>
  <c r="D824" i="27"/>
  <c r="D825" i="27"/>
  <c r="AM825" i="27" s="1"/>
  <c r="AH825" i="27" s="1"/>
  <c r="D826" i="27"/>
  <c r="D827" i="27"/>
  <c r="D828" i="27"/>
  <c r="D829" i="27"/>
  <c r="D830" i="27"/>
  <c r="D831" i="27"/>
  <c r="D832" i="27"/>
  <c r="D833" i="27"/>
  <c r="D834" i="27"/>
  <c r="AM834" i="27" s="1"/>
  <c r="AN834" i="27" s="1"/>
  <c r="AO834" i="27" s="1"/>
  <c r="D835" i="27"/>
  <c r="AM835" i="27" s="1"/>
  <c r="D836" i="27"/>
  <c r="D837" i="27"/>
  <c r="D838" i="27"/>
  <c r="D839" i="27"/>
  <c r="AM839" i="27" s="1"/>
  <c r="D840" i="27"/>
  <c r="D841" i="27"/>
  <c r="AM841" i="27" s="1"/>
  <c r="AH841" i="27" s="1"/>
  <c r="D842" i="27"/>
  <c r="D843" i="27"/>
  <c r="AM843" i="27" s="1"/>
  <c r="D844" i="27"/>
  <c r="D845" i="27"/>
  <c r="AM845" i="27" s="1"/>
  <c r="D846" i="27"/>
  <c r="D847" i="27"/>
  <c r="AM847" i="27" s="1"/>
  <c r="D848" i="27"/>
  <c r="D849" i="27"/>
  <c r="AM849" i="27" s="1"/>
  <c r="AN849" i="27" s="1"/>
  <c r="AO849" i="27" s="1"/>
  <c r="D850" i="27"/>
  <c r="D851" i="27"/>
  <c r="AM851" i="27" s="1"/>
  <c r="D852" i="27"/>
  <c r="D853" i="27"/>
  <c r="D854" i="27"/>
  <c r="D855" i="27"/>
  <c r="D856" i="27"/>
  <c r="D857" i="27"/>
  <c r="D858" i="27"/>
  <c r="D859" i="27"/>
  <c r="AM859" i="27" s="1"/>
  <c r="AH859" i="27" s="1"/>
  <c r="D860" i="27"/>
  <c r="D861" i="27"/>
  <c r="D862" i="27"/>
  <c r="AM862" i="27" s="1"/>
  <c r="D863" i="27"/>
  <c r="D864" i="27"/>
  <c r="AM864" i="27" s="1"/>
  <c r="AH864" i="27" s="1"/>
  <c r="D865" i="27"/>
  <c r="AM865" i="27" s="1"/>
  <c r="D866" i="27"/>
  <c r="AM866" i="27" s="1"/>
  <c r="D867" i="27"/>
  <c r="D868" i="27"/>
  <c r="D869" i="27"/>
  <c r="AM869" i="27" s="1"/>
  <c r="D870" i="27"/>
  <c r="D871" i="27"/>
  <c r="D872" i="27"/>
  <c r="D873" i="27"/>
  <c r="D874" i="27"/>
  <c r="D875" i="27"/>
  <c r="D876" i="27"/>
  <c r="AM876" i="27" s="1"/>
  <c r="AH876" i="27" s="1"/>
  <c r="D877" i="27"/>
  <c r="AM877" i="27" s="1"/>
  <c r="D878" i="27"/>
  <c r="D879" i="27"/>
  <c r="AM879" i="27" s="1"/>
  <c r="D880" i="27"/>
  <c r="D881" i="27"/>
  <c r="D882" i="27"/>
  <c r="D883" i="27"/>
  <c r="AM883" i="27" s="1"/>
  <c r="AH883" i="27" s="1"/>
  <c r="D884" i="27"/>
  <c r="D885" i="27"/>
  <c r="AM885" i="27" s="1"/>
  <c r="AH885" i="27" s="1"/>
  <c r="D886" i="27"/>
  <c r="D887" i="27"/>
  <c r="AM887" i="27" s="1"/>
  <c r="AH887" i="27" s="1"/>
  <c r="D888" i="27"/>
  <c r="AM888" i="27" s="1"/>
  <c r="AH888" i="27" s="1"/>
  <c r="D889" i="27"/>
  <c r="AM889" i="27" s="1"/>
  <c r="D890" i="27"/>
  <c r="D891" i="27"/>
  <c r="D892" i="27"/>
  <c r="D893" i="27"/>
  <c r="D894" i="27"/>
  <c r="AM894" i="27" s="1"/>
  <c r="D895" i="27"/>
  <c r="D896" i="27"/>
  <c r="D897" i="27"/>
  <c r="AM897" i="27" s="1"/>
  <c r="AN897" i="27" s="1"/>
  <c r="AO897" i="27" s="1"/>
  <c r="D898" i="27"/>
  <c r="D899" i="27"/>
  <c r="AM899" i="27" s="1"/>
  <c r="D900" i="27"/>
  <c r="D901" i="27"/>
  <c r="AM901" i="27" s="1"/>
  <c r="AH901" i="27" s="1"/>
  <c r="D902" i="27"/>
  <c r="D903" i="27"/>
  <c r="D904" i="27"/>
  <c r="AM904" i="27" s="1"/>
  <c r="D905" i="27"/>
  <c r="AM905" i="27" s="1"/>
  <c r="AN905" i="27" s="1"/>
  <c r="AO905" i="27" s="1"/>
  <c r="D906" i="27"/>
  <c r="D907" i="27"/>
  <c r="AM907" i="27" s="1"/>
  <c r="AN907" i="27" s="1"/>
  <c r="AO907" i="27" s="1"/>
  <c r="D908" i="27"/>
  <c r="D909" i="27"/>
  <c r="AM909" i="27" s="1"/>
  <c r="D910" i="27"/>
  <c r="D911" i="27"/>
  <c r="AM911" i="27" s="1"/>
  <c r="AH911" i="27" s="1"/>
  <c r="D912" i="27"/>
  <c r="D913" i="27"/>
  <c r="AM913" i="27" s="1"/>
  <c r="D914" i="27"/>
  <c r="D915" i="27"/>
  <c r="AM915" i="27" s="1"/>
  <c r="D916" i="27"/>
  <c r="D917" i="27"/>
  <c r="D918" i="27"/>
  <c r="AM918" i="27" s="1"/>
  <c r="D919" i="27"/>
  <c r="D920" i="27"/>
  <c r="D921" i="27"/>
  <c r="D922" i="27"/>
  <c r="D923" i="27"/>
  <c r="AM923" i="27" s="1"/>
  <c r="AH923" i="27" s="1"/>
  <c r="D924" i="27"/>
  <c r="D925" i="27"/>
  <c r="AM925" i="27" s="1"/>
  <c r="D926" i="27"/>
  <c r="D927" i="27"/>
  <c r="D928" i="27"/>
  <c r="D929" i="27"/>
  <c r="D930" i="27"/>
  <c r="D931" i="27"/>
  <c r="AM931" i="27" s="1"/>
  <c r="AH931" i="27" s="1"/>
  <c r="D932" i="27"/>
  <c r="D933" i="27"/>
  <c r="AM933" i="27" s="1"/>
  <c r="AH933" i="27" s="1"/>
  <c r="D934" i="27"/>
  <c r="AM934" i="27" s="1"/>
  <c r="AN934" i="27" s="1"/>
  <c r="AO934" i="27" s="1"/>
  <c r="D935" i="27"/>
  <c r="AM935" i="27" s="1"/>
  <c r="AH935" i="27" s="1"/>
  <c r="D936" i="27"/>
  <c r="D937" i="27"/>
  <c r="AM937" i="27" s="1"/>
  <c r="AN937" i="27" s="1"/>
  <c r="AO937" i="27" s="1"/>
  <c r="D938" i="27"/>
  <c r="D939" i="27"/>
  <c r="AM939" i="27" s="1"/>
  <c r="D940" i="27"/>
  <c r="D941" i="27"/>
  <c r="AM941" i="27" s="1"/>
  <c r="AH941" i="27" s="1"/>
  <c r="D942" i="27"/>
  <c r="D943" i="27"/>
  <c r="AM943" i="27" s="1"/>
  <c r="AN943" i="27" s="1"/>
  <c r="AO943" i="27" s="1"/>
  <c r="D944" i="27"/>
  <c r="D945" i="27"/>
  <c r="AM945" i="27" s="1"/>
  <c r="AH945" i="27" s="1"/>
  <c r="D946" i="27"/>
  <c r="AM946" i="27" s="1"/>
  <c r="D947" i="27"/>
  <c r="D948" i="27"/>
  <c r="D949" i="27"/>
  <c r="D950" i="27"/>
  <c r="D951" i="27"/>
  <c r="D952" i="27"/>
  <c r="D953" i="27"/>
  <c r="D954" i="27"/>
  <c r="D955" i="27"/>
  <c r="D956" i="27"/>
  <c r="D957" i="27"/>
  <c r="D958" i="27"/>
  <c r="AM958" i="27" s="1"/>
  <c r="D959" i="27"/>
  <c r="AM959" i="27" s="1"/>
  <c r="AN959" i="27" s="1"/>
  <c r="AO959" i="27" s="1"/>
  <c r="D960" i="27"/>
  <c r="AM960" i="27" s="1"/>
  <c r="D961" i="27"/>
  <c r="D962" i="27"/>
  <c r="D963" i="27"/>
  <c r="D964" i="27"/>
  <c r="AM964" i="27" s="1"/>
  <c r="D965" i="27"/>
  <c r="D966" i="27"/>
  <c r="D967" i="27"/>
  <c r="D968" i="27"/>
  <c r="D969" i="27"/>
  <c r="D970" i="27"/>
  <c r="D971" i="27"/>
  <c r="D972" i="27"/>
  <c r="D973" i="27"/>
  <c r="AM973" i="27" s="1"/>
  <c r="AH973" i="27" s="1"/>
  <c r="D974" i="27"/>
  <c r="D975" i="27"/>
  <c r="AM975" i="27" s="1"/>
  <c r="D976" i="27"/>
  <c r="AM976" i="27" s="1"/>
  <c r="D977" i="27"/>
  <c r="AM977" i="27" s="1"/>
  <c r="D978" i="27"/>
  <c r="D979" i="27"/>
  <c r="AM979" i="27" s="1"/>
  <c r="D980" i="27"/>
  <c r="D981" i="27"/>
  <c r="AM981" i="27" s="1"/>
  <c r="AH981" i="27" s="1"/>
  <c r="D982" i="27"/>
  <c r="D983" i="27"/>
  <c r="AM983" i="27" s="1"/>
  <c r="D984" i="27"/>
  <c r="AM984" i="27" s="1"/>
  <c r="D985" i="27"/>
  <c r="D986" i="27"/>
  <c r="AM986" i="27" s="1"/>
  <c r="D987" i="27"/>
  <c r="D988" i="27"/>
  <c r="AM988" i="27" s="1"/>
  <c r="D989" i="27"/>
  <c r="D990" i="27"/>
  <c r="AM990" i="27" s="1"/>
  <c r="D991" i="27"/>
  <c r="AM991" i="27" s="1"/>
  <c r="D992" i="27"/>
  <c r="AM992" i="27" s="1"/>
  <c r="D993" i="27"/>
  <c r="D994" i="27"/>
  <c r="D995" i="27"/>
  <c r="D996" i="27"/>
  <c r="D997" i="27"/>
  <c r="AM997" i="27" s="1"/>
  <c r="AN997" i="27" s="1"/>
  <c r="AO997" i="27" s="1"/>
  <c r="D998" i="27"/>
  <c r="AM998" i="27" s="1"/>
  <c r="AN998" i="27" s="1"/>
  <c r="AO998" i="27" s="1"/>
  <c r="D999" i="27"/>
  <c r="AM999" i="27" s="1"/>
  <c r="D1000" i="27"/>
  <c r="D1001" i="27"/>
  <c r="AM1001" i="27" s="1"/>
  <c r="AN1001" i="27" s="1"/>
  <c r="AO1001" i="27" s="1"/>
  <c r="D1002" i="27"/>
  <c r="D1003" i="27"/>
  <c r="D1004" i="27"/>
  <c r="D1005" i="27"/>
  <c r="AM1005" i="27" s="1"/>
  <c r="D1006" i="27"/>
  <c r="D1007" i="27"/>
  <c r="AM1007" i="27" s="1"/>
  <c r="D1008" i="27"/>
  <c r="D1009" i="27"/>
  <c r="AM1009" i="27" s="1"/>
  <c r="AH1009" i="27" s="1"/>
  <c r="D1010" i="27"/>
  <c r="D1011" i="27"/>
  <c r="AM1011" i="27" s="1"/>
  <c r="D1012" i="27"/>
  <c r="AM1012" i="27" s="1"/>
  <c r="AH1012" i="27" s="1"/>
  <c r="D1013" i="27"/>
  <c r="AM1013" i="27" s="1"/>
  <c r="D1014" i="27"/>
  <c r="AM1014" i="27" s="1"/>
  <c r="AN1014" i="27" s="1"/>
  <c r="AO1014" i="27" s="1"/>
  <c r="D1015" i="27"/>
  <c r="AM1015" i="27" s="1"/>
  <c r="D1016" i="27"/>
  <c r="D1017" i="27"/>
  <c r="D1018" i="27"/>
  <c r="D1019" i="27"/>
  <c r="D1020" i="27"/>
  <c r="D1021" i="27"/>
  <c r="AM1021" i="27" s="1"/>
  <c r="D1022" i="27"/>
  <c r="AM1022" i="27" s="1"/>
  <c r="D1023" i="27"/>
  <c r="D1024" i="27"/>
  <c r="AM1024" i="27" s="1"/>
  <c r="D1025" i="27"/>
  <c r="D1026" i="27"/>
  <c r="AM1026" i="27" s="1"/>
  <c r="D1027" i="27"/>
  <c r="D1028" i="27"/>
  <c r="D1029" i="27"/>
  <c r="AM1029" i="27" s="1"/>
  <c r="AH1029" i="27" s="1"/>
  <c r="D1030" i="27"/>
  <c r="D1031" i="27"/>
  <c r="AM1031" i="27" s="1"/>
  <c r="AN1031" i="27" s="1"/>
  <c r="AO1031" i="27" s="1"/>
  <c r="D1032" i="27"/>
  <c r="D1033" i="27"/>
  <c r="AM1033" i="27" s="1"/>
  <c r="D1034" i="27"/>
  <c r="D1035" i="27"/>
  <c r="D1036" i="27"/>
  <c r="D1037" i="27"/>
  <c r="AM1037" i="27" s="1"/>
  <c r="AH1037" i="27" s="1"/>
  <c r="D1038" i="27"/>
  <c r="AM1038" i="27" s="1"/>
  <c r="D1039" i="27"/>
  <c r="AM1039" i="27" s="1"/>
  <c r="AH1039" i="27" s="1"/>
  <c r="D1040" i="27"/>
  <c r="D1041" i="27"/>
  <c r="AM1041" i="27" s="1"/>
  <c r="AH1041" i="27" s="1"/>
  <c r="D1042" i="27"/>
  <c r="D1043" i="27"/>
  <c r="AM1043" i="27" s="1"/>
  <c r="AN1043" i="27" s="1"/>
  <c r="AO1043" i="27" s="1"/>
  <c r="D1044" i="27"/>
  <c r="D1045" i="27"/>
  <c r="D1046" i="27"/>
  <c r="AM1046" i="27" s="1"/>
  <c r="D1047" i="27"/>
  <c r="AM1047" i="27" s="1"/>
  <c r="AN1047" i="27" s="1"/>
  <c r="AO1047" i="27" s="1"/>
  <c r="D1048" i="27"/>
  <c r="D1049" i="27"/>
  <c r="AM1049" i="27" s="1"/>
  <c r="D1050" i="27"/>
  <c r="AM1050" i="27" s="1"/>
  <c r="AH1050" i="27" s="1"/>
  <c r="D1051" i="27"/>
  <c r="AM1051" i="27" s="1"/>
  <c r="D1052" i="27"/>
  <c r="D1053" i="27"/>
  <c r="AM1053" i="27" s="1"/>
  <c r="D1054" i="27"/>
  <c r="D1055" i="27"/>
  <c r="D1056" i="27"/>
  <c r="D1057" i="27"/>
  <c r="AM1057" i="27" s="1"/>
  <c r="D1058" i="27"/>
  <c r="D1059" i="27"/>
  <c r="AM1059" i="27" s="1"/>
  <c r="AN1059" i="27" s="1"/>
  <c r="AO1059" i="27" s="1"/>
  <c r="D1060" i="27"/>
  <c r="D1061" i="27"/>
  <c r="AM1061" i="27" s="1"/>
  <c r="D1062" i="27"/>
  <c r="AM1062" i="27" s="1"/>
  <c r="AH1062" i="27" s="1"/>
  <c r="D1063" i="27"/>
  <c r="D1064" i="27"/>
  <c r="D1065" i="27"/>
  <c r="AM1065" i="27" s="1"/>
  <c r="D1066" i="27"/>
  <c r="AM1066" i="27" s="1"/>
  <c r="D1067" i="27"/>
  <c r="AM1067" i="27" s="1"/>
  <c r="AN1067" i="27" s="1"/>
  <c r="AO1067" i="27" s="1"/>
  <c r="D1068" i="27"/>
  <c r="D1069" i="27"/>
  <c r="AM1069" i="27" s="1"/>
  <c r="D1070" i="27"/>
  <c r="D1071" i="27"/>
  <c r="AM1071" i="27" s="1"/>
  <c r="D1072" i="27"/>
  <c r="D1073" i="27"/>
  <c r="AM1073" i="27" s="1"/>
  <c r="D1074" i="27"/>
  <c r="D1075" i="27"/>
  <c r="AM1075" i="27" s="1"/>
  <c r="D1076" i="27"/>
  <c r="D1077" i="27"/>
  <c r="AM1077" i="27" s="1"/>
  <c r="D1078" i="27"/>
  <c r="D1079" i="27"/>
  <c r="D1080" i="27"/>
  <c r="D1081" i="27"/>
  <c r="AM1081" i="27" s="1"/>
  <c r="AH1081" i="27" s="1"/>
  <c r="D1082" i="27"/>
  <c r="AM1082" i="27" s="1"/>
  <c r="AN1082" i="27" s="1"/>
  <c r="AO1082" i="27" s="1"/>
  <c r="D1083" i="27"/>
  <c r="D1084" i="27"/>
  <c r="D1085" i="27"/>
  <c r="D1086" i="27"/>
  <c r="D1087" i="27"/>
  <c r="AM1087" i="27" s="1"/>
  <c r="D1088" i="27"/>
  <c r="D1089" i="27"/>
  <c r="AM1089" i="27" s="1"/>
  <c r="D1090" i="27"/>
  <c r="D1091" i="27"/>
  <c r="AM1091" i="27" s="1"/>
  <c r="D1092" i="27"/>
  <c r="D1093" i="27"/>
  <c r="D1094" i="27"/>
  <c r="D1095" i="27"/>
  <c r="D1096" i="27"/>
  <c r="D1097" i="27"/>
  <c r="D1098" i="27"/>
  <c r="D1099" i="27"/>
  <c r="AM1099" i="27" s="1"/>
  <c r="D1100" i="27"/>
  <c r="AM1100" i="27" s="1"/>
  <c r="D1101" i="27"/>
  <c r="AM1101" i="27" s="1"/>
  <c r="D1102" i="27"/>
  <c r="D1103" i="27"/>
  <c r="D1104" i="27"/>
  <c r="D1105" i="27"/>
  <c r="D1106" i="27"/>
  <c r="AM1106" i="27" s="1"/>
  <c r="AN1106" i="27" s="1"/>
  <c r="AO1106" i="27" s="1"/>
  <c r="D1107" i="27"/>
  <c r="AM1107" i="27" s="1"/>
  <c r="D1108" i="27"/>
  <c r="AM1108" i="27" s="1"/>
  <c r="AH1108" i="27" s="1"/>
  <c r="D1109" i="27"/>
  <c r="D1110" i="27"/>
  <c r="D1111" i="27"/>
  <c r="AM1111" i="27" s="1"/>
  <c r="D1112" i="27"/>
  <c r="D1113" i="27"/>
  <c r="D1114" i="27"/>
  <c r="AM1114" i="27" s="1"/>
  <c r="D1115" i="27"/>
  <c r="AM1115" i="27" s="1"/>
  <c r="AN1115" i="27" s="1"/>
  <c r="AO1115" i="27" s="1"/>
  <c r="D1116" i="27"/>
  <c r="AM1116" i="27" s="1"/>
  <c r="D1122" i="27"/>
  <c r="AM1122" i="27" s="1"/>
  <c r="D1123" i="27"/>
  <c r="D1124" i="27"/>
  <c r="AM1124" i="27" s="1"/>
  <c r="D1125" i="27"/>
  <c r="D1126" i="27"/>
  <c r="AM1126" i="27" s="1"/>
  <c r="D1127" i="27"/>
  <c r="D1128" i="27"/>
  <c r="AM1128" i="27" s="1"/>
  <c r="D1129" i="27"/>
  <c r="D1132" i="27"/>
  <c r="AM1132" i="27" s="1"/>
  <c r="D1140" i="27"/>
  <c r="AM1140" i="27" s="1"/>
  <c r="D1141" i="27"/>
  <c r="AM1141" i="27" s="1"/>
  <c r="D1142" i="27"/>
  <c r="D1143" i="27"/>
  <c r="D1144" i="27"/>
  <c r="D1145" i="27"/>
  <c r="D1146" i="27"/>
  <c r="D1147" i="27"/>
  <c r="AM1147" i="27" s="1"/>
  <c r="AH1147" i="27" s="1"/>
  <c r="D1148" i="27"/>
  <c r="D1151" i="27"/>
  <c r="AM1151" i="27" s="1"/>
  <c r="D1153" i="27"/>
  <c r="D1154" i="27"/>
  <c r="AM1154" i="27" s="1"/>
  <c r="AH1154" i="27" s="1"/>
  <c r="D1155" i="27"/>
  <c r="AM1155" i="27" s="1"/>
  <c r="D1156" i="27"/>
  <c r="D1157" i="27"/>
  <c r="D1158" i="27"/>
  <c r="D1159" i="27"/>
  <c r="AM1159" i="27" s="1"/>
  <c r="D1160" i="27"/>
  <c r="D1161" i="27"/>
  <c r="D1162" i="27"/>
  <c r="D1163" i="27"/>
  <c r="AM1163" i="27" s="1"/>
  <c r="D1164" i="27"/>
  <c r="AM1164" i="27" s="1"/>
  <c r="D1165" i="27"/>
  <c r="D1166" i="27"/>
  <c r="D1167" i="27"/>
  <c r="D1168" i="27"/>
  <c r="D1169" i="27"/>
  <c r="D1170" i="27"/>
  <c r="D1171" i="27"/>
  <c r="D1172" i="27"/>
  <c r="D1173" i="27"/>
  <c r="D1174" i="27"/>
  <c r="AM1174" i="27" s="1"/>
  <c r="AH1174" i="27" s="1"/>
  <c r="D1175" i="27"/>
  <c r="D1176" i="27"/>
  <c r="AM1176" i="27" s="1"/>
  <c r="D1177" i="27"/>
  <c r="D1178" i="27"/>
  <c r="AM1178" i="27" s="1"/>
  <c r="AN1178" i="27" s="1"/>
  <c r="AO1178" i="27" s="1"/>
  <c r="D1179" i="27"/>
  <c r="AM1179" i="27" s="1"/>
  <c r="D1180" i="27"/>
  <c r="AM1180" i="27" s="1"/>
  <c r="AN1180" i="27" s="1"/>
  <c r="AO1180" i="27" s="1"/>
  <c r="D1181" i="27"/>
  <c r="D1182" i="27"/>
  <c r="AM1182" i="27" s="1"/>
  <c r="D1183" i="27"/>
  <c r="D1184" i="27"/>
  <c r="D1185" i="27"/>
  <c r="D1186" i="27"/>
  <c r="AM1186" i="27" s="1"/>
  <c r="D1187" i="27"/>
  <c r="D1188" i="27"/>
  <c r="AM1188" i="27" s="1"/>
  <c r="D1189" i="27"/>
  <c r="D1190" i="27"/>
  <c r="D1194" i="27"/>
  <c r="D1195" i="27"/>
  <c r="AM1195" i="27" s="1"/>
  <c r="D1196" i="27"/>
  <c r="D1197" i="27"/>
  <c r="AM1197" i="27" s="1"/>
  <c r="D1198" i="27"/>
  <c r="AM1198" i="27" s="1"/>
  <c r="D1199" i="27"/>
  <c r="D1200" i="27"/>
  <c r="D1201" i="27"/>
  <c r="AM1201" i="27" s="1"/>
  <c r="D1202" i="27"/>
  <c r="D1204" i="27"/>
  <c r="AM1204" i="27" s="1"/>
  <c r="AH1204" i="27" s="1"/>
  <c r="D1205" i="27"/>
  <c r="D1206" i="27"/>
  <c r="D1207" i="27"/>
  <c r="AM1207" i="27" s="1"/>
  <c r="D1208" i="27"/>
  <c r="D1212" i="27"/>
  <c r="D1213" i="27"/>
  <c r="D1214" i="27"/>
  <c r="AM1214" i="27" s="1"/>
  <c r="AN1214" i="27" s="1"/>
  <c r="AO1214" i="27" s="1"/>
  <c r="D1215" i="27"/>
  <c r="AM1215" i="27" s="1"/>
  <c r="D1216" i="27"/>
  <c r="AM1216" i="27" s="1"/>
  <c r="D1217" i="27"/>
  <c r="AM1217" i="27" s="1"/>
  <c r="AH1217" i="27" s="1"/>
  <c r="D1218" i="27"/>
  <c r="D1219" i="27"/>
  <c r="AM1219" i="27" s="1"/>
  <c r="AN1219" i="27" s="1"/>
  <c r="AO1219" i="27" s="1"/>
  <c r="D1220" i="27"/>
  <c r="D1221" i="27"/>
  <c r="D1222" i="27"/>
  <c r="D1223" i="27"/>
  <c r="AM1223" i="27" s="1"/>
  <c r="D1224" i="27"/>
  <c r="D1225" i="27"/>
  <c r="AM1225" i="27" s="1"/>
  <c r="AH1225" i="27" s="1"/>
  <c r="D1226" i="27"/>
  <c r="AM1226" i="27" s="1"/>
  <c r="D1227" i="27"/>
  <c r="D1230" i="27"/>
  <c r="D1231" i="27"/>
  <c r="D1232" i="27"/>
  <c r="D1233" i="27"/>
  <c r="D1234" i="27"/>
  <c r="D1235" i="27"/>
  <c r="AM1235" i="27" s="1"/>
  <c r="AH1235" i="27" s="1"/>
  <c r="D1236" i="27"/>
  <c r="D1237" i="27"/>
  <c r="AM1237" i="27" s="1"/>
  <c r="D1238" i="27"/>
  <c r="AM1238" i="27" s="1"/>
  <c r="AH1238" i="27" s="1"/>
  <c r="D1239" i="27"/>
  <c r="D1240" i="27"/>
  <c r="D1241" i="27"/>
  <c r="D1242" i="27"/>
  <c r="D1243" i="27"/>
  <c r="AM1243" i="27" s="1"/>
  <c r="D1244" i="27"/>
  <c r="D1245" i="27"/>
  <c r="AM1245" i="27" s="1"/>
  <c r="D1246" i="27"/>
  <c r="D1247" i="27"/>
  <c r="AM1247" i="27" s="1"/>
  <c r="D1248" i="27"/>
  <c r="D1249" i="27"/>
  <c r="D1250" i="27"/>
  <c r="D1251" i="27"/>
  <c r="D1252" i="27"/>
  <c r="AM1252" i="27" s="1"/>
  <c r="D1257" i="27"/>
  <c r="D1258" i="27"/>
  <c r="D1259" i="27"/>
  <c r="AM1259" i="27" s="1"/>
  <c r="D1260" i="27"/>
  <c r="AM1260" i="27" s="1"/>
  <c r="AN1260" i="27" s="1"/>
  <c r="AO1260" i="27" s="1"/>
  <c r="D1261" i="27"/>
  <c r="D1264" i="27"/>
  <c r="D1265" i="27"/>
  <c r="AM1265" i="27" s="1"/>
  <c r="AN1265" i="27" s="1"/>
  <c r="AO1265" i="27" s="1"/>
  <c r="D1266" i="27"/>
  <c r="AM1266" i="27" s="1"/>
  <c r="D1267" i="27"/>
  <c r="AM1267" i="27" s="1"/>
  <c r="D1268" i="27"/>
  <c r="D1269" i="27"/>
  <c r="D1270" i="27"/>
  <c r="AM1270" i="27" s="1"/>
  <c r="D1271" i="27"/>
  <c r="D1272" i="27"/>
  <c r="D1273" i="27"/>
  <c r="AM1273" i="27" s="1"/>
  <c r="AH1273" i="27" s="1"/>
  <c r="D1274" i="27"/>
  <c r="D1275" i="27"/>
  <c r="AM1275" i="27" s="1"/>
  <c r="D1276" i="27"/>
  <c r="AM1276" i="27" s="1"/>
  <c r="AN1276" i="27" s="1"/>
  <c r="AO1276" i="27" s="1"/>
  <c r="D1279" i="27"/>
  <c r="D1280" i="27"/>
  <c r="AM1280" i="27" s="1"/>
  <c r="D1281" i="27"/>
  <c r="AM1281" i="27" s="1"/>
  <c r="D1282" i="27"/>
  <c r="D1288" i="27"/>
  <c r="D2294" i="27"/>
  <c r="AM2294" i="27" s="1"/>
  <c r="D1365" i="27"/>
  <c r="D1868" i="27"/>
  <c r="D1869" i="27"/>
  <c r="AM1869" i="27" s="1"/>
  <c r="AH1869" i="27" s="1"/>
  <c r="D1870" i="27"/>
  <c r="D1871" i="27"/>
  <c r="AM1871" i="27" s="1"/>
  <c r="D1872" i="27"/>
  <c r="D1873" i="27"/>
  <c r="AM1873" i="27" s="1"/>
  <c r="AH1873" i="27" s="1"/>
  <c r="D1874" i="27"/>
  <c r="AM1874" i="27" s="1"/>
  <c r="D1875" i="27"/>
  <c r="AM1875" i="27" s="1"/>
  <c r="D1876" i="27"/>
  <c r="D1877" i="27"/>
  <c r="AM1877" i="27" s="1"/>
  <c r="D1878" i="27"/>
  <c r="D1879" i="27"/>
  <c r="AM1879" i="27" s="1"/>
  <c r="D1880" i="27"/>
  <c r="AM1880" i="27" s="1"/>
  <c r="AN1880" i="27" s="1"/>
  <c r="AO1880" i="27" s="1"/>
  <c r="D1881" i="27"/>
  <c r="D1882" i="27"/>
  <c r="D1883" i="27"/>
  <c r="AM1883" i="27" s="1"/>
  <c r="D1884" i="27"/>
  <c r="D1885" i="27"/>
  <c r="AM1885" i="27" s="1"/>
  <c r="D1886" i="27"/>
  <c r="D1887" i="27"/>
  <c r="D1888" i="27"/>
  <c r="D1889" i="27"/>
  <c r="AM1889" i="27" s="1"/>
  <c r="AN1889" i="27" s="1"/>
  <c r="AO1889" i="27" s="1"/>
  <c r="D1890" i="27"/>
  <c r="AM1890" i="27" s="1"/>
  <c r="AN1890" i="27" s="1"/>
  <c r="AO1890" i="27" s="1"/>
  <c r="D1891" i="27"/>
  <c r="AM1891" i="27" s="1"/>
  <c r="D1892" i="27"/>
  <c r="D1893" i="27"/>
  <c r="AM1893" i="27" s="1"/>
  <c r="D1894" i="27"/>
  <c r="D1895" i="27"/>
  <c r="AM1895" i="27" s="1"/>
  <c r="AN1895" i="27" s="1"/>
  <c r="AO1895" i="27" s="1"/>
  <c r="D1896" i="27"/>
  <c r="AM1896" i="27" s="1"/>
  <c r="AH1896" i="27" s="1"/>
  <c r="D1897" i="27"/>
  <c r="AM1897" i="27" s="1"/>
  <c r="D1898" i="27"/>
  <c r="D1899" i="27"/>
  <c r="AM1899" i="27" s="1"/>
  <c r="D1900" i="27"/>
  <c r="D1901" i="27"/>
  <c r="D1902" i="27"/>
  <c r="AM1902" i="27" s="1"/>
  <c r="D1903" i="27"/>
  <c r="D1904" i="27"/>
  <c r="D1905" i="27"/>
  <c r="AM1905" i="27" s="1"/>
  <c r="AH1905" i="27" s="1"/>
  <c r="D1906" i="27"/>
  <c r="D1907" i="27"/>
  <c r="D1908" i="27"/>
  <c r="D1909" i="27"/>
  <c r="D1910" i="27"/>
  <c r="AM1910" i="27" s="1"/>
  <c r="AN1910" i="27" s="1"/>
  <c r="AO1910" i="27" s="1"/>
  <c r="D1911" i="27"/>
  <c r="AM1911" i="27" s="1"/>
  <c r="AH1911" i="27" s="1"/>
  <c r="D1912" i="27"/>
  <c r="D1913" i="27"/>
  <c r="D1914" i="27"/>
  <c r="D1915" i="27"/>
  <c r="AM1915" i="27" s="1"/>
  <c r="AN1915" i="27" s="1"/>
  <c r="AO1915" i="27" s="1"/>
  <c r="D1916" i="27"/>
  <c r="D1917" i="27"/>
  <c r="D1918" i="27"/>
  <c r="D1919" i="27"/>
  <c r="D1920" i="27"/>
  <c r="D1921" i="27"/>
  <c r="AM1921" i="27" s="1"/>
  <c r="D1922" i="27"/>
  <c r="D1923" i="27"/>
  <c r="AM1923" i="27" s="1"/>
  <c r="D1924" i="27"/>
  <c r="D1925" i="27"/>
  <c r="AM1925" i="27" s="1"/>
  <c r="D1926" i="27"/>
  <c r="D1927" i="27"/>
  <c r="AM1927" i="27" s="1"/>
  <c r="D1928" i="27"/>
  <c r="D1929" i="27"/>
  <c r="AM1929" i="27" s="1"/>
  <c r="AH1929" i="27" s="1"/>
  <c r="D1930" i="27"/>
  <c r="D1931" i="27"/>
  <c r="AM1931" i="27" s="1"/>
  <c r="D1932" i="27"/>
  <c r="D1933" i="27"/>
  <c r="AM1933" i="27" s="1"/>
  <c r="AH1933" i="27" s="1"/>
  <c r="D1934" i="27"/>
  <c r="AM1934" i="27" s="1"/>
  <c r="AH1934" i="27" s="1"/>
  <c r="D1935" i="27"/>
  <c r="AM1935" i="27" s="1"/>
  <c r="AH1935" i="27" s="1"/>
  <c r="D1936" i="27"/>
  <c r="AM1936" i="27" s="1"/>
  <c r="AN1936" i="27" s="1"/>
  <c r="AO1936" i="27" s="1"/>
  <c r="D1937" i="27"/>
  <c r="AM1937" i="27" s="1"/>
  <c r="D1938" i="27"/>
  <c r="D1939" i="27"/>
  <c r="AM1939" i="27" s="1"/>
  <c r="D1940" i="27"/>
  <c r="D1941" i="27"/>
  <c r="D1942" i="27"/>
  <c r="D1943" i="27"/>
  <c r="D1944" i="27"/>
  <c r="AM1944" i="27" s="1"/>
  <c r="D1945" i="27"/>
  <c r="AM1945" i="27" s="1"/>
  <c r="D1946" i="27"/>
  <c r="D1947" i="27"/>
  <c r="D1948" i="27"/>
  <c r="D1949" i="27"/>
  <c r="D1950" i="27"/>
  <c r="AM1950" i="27" s="1"/>
  <c r="AN1950" i="27" s="1"/>
  <c r="AO1950" i="27" s="1"/>
  <c r="D1951" i="27"/>
  <c r="AM1951" i="27" s="1"/>
  <c r="AN1951" i="27" s="1"/>
  <c r="AO1951" i="27" s="1"/>
  <c r="D1952" i="27"/>
  <c r="AM1952" i="27" s="1"/>
  <c r="D1953" i="27"/>
  <c r="AM1953" i="27" s="1"/>
  <c r="D1954" i="27"/>
  <c r="D1955" i="27"/>
  <c r="AM1955" i="27" s="1"/>
  <c r="AN1955" i="27" s="1"/>
  <c r="AO1955" i="27" s="1"/>
  <c r="D1956" i="27"/>
  <c r="D1957" i="27"/>
  <c r="AM1957" i="27" s="1"/>
  <c r="D1958" i="27"/>
  <c r="AM1958" i="27" s="1"/>
  <c r="AN1958" i="27" s="1"/>
  <c r="AO1958" i="27" s="1"/>
  <c r="D1959" i="27"/>
  <c r="AM1959" i="27" s="1"/>
  <c r="AN1959" i="27" s="1"/>
  <c r="AO1959" i="27" s="1"/>
  <c r="D1960" i="27"/>
  <c r="D1961" i="27"/>
  <c r="AM1961" i="27" s="1"/>
  <c r="D1962" i="27"/>
  <c r="AM1962" i="27" s="1"/>
  <c r="AH1962" i="27" s="1"/>
  <c r="D1963" i="27"/>
  <c r="AM1963" i="27" s="1"/>
  <c r="D1964" i="27"/>
  <c r="D1965" i="27"/>
  <c r="AM1965" i="27" s="1"/>
  <c r="D1966" i="27"/>
  <c r="D1967" i="27"/>
  <c r="D1968" i="27"/>
  <c r="AM1968" i="27" s="1"/>
  <c r="D1969" i="27"/>
  <c r="AM1969" i="27" s="1"/>
  <c r="D1970" i="27"/>
  <c r="D1971" i="27"/>
  <c r="AM1971" i="27" s="1"/>
  <c r="AN1971" i="27" s="1"/>
  <c r="AO1971" i="27" s="1"/>
  <c r="D1972" i="27"/>
  <c r="D1973" i="27"/>
  <c r="D1974" i="27"/>
  <c r="D1975" i="27"/>
  <c r="AM1975" i="27" s="1"/>
  <c r="AH1975" i="27" s="1"/>
  <c r="D1976" i="27"/>
  <c r="D1977" i="27"/>
  <c r="AM1977" i="27" s="1"/>
  <c r="D1978" i="27"/>
  <c r="D1979" i="27"/>
  <c r="AM1979" i="27" s="1"/>
  <c r="AN1979" i="27" s="1"/>
  <c r="AO1979" i="27" s="1"/>
  <c r="D1980" i="27"/>
  <c r="AM1980" i="27" s="1"/>
  <c r="AH1980" i="27" s="1"/>
  <c r="D1981" i="27"/>
  <c r="D1982" i="27"/>
  <c r="AM1982" i="27" s="1"/>
  <c r="D1983" i="27"/>
  <c r="AM1983" i="27" s="1"/>
  <c r="AH1983" i="27" s="1"/>
  <c r="D1984" i="27"/>
  <c r="AM1984" i="27" s="1"/>
  <c r="D1985" i="27"/>
  <c r="AM1985" i="27" s="1"/>
  <c r="D1986" i="27"/>
  <c r="D1987" i="27"/>
  <c r="AM1987" i="27" s="1"/>
  <c r="AN1987" i="27" s="1"/>
  <c r="AO1987" i="27" s="1"/>
  <c r="D1988" i="27"/>
  <c r="D1989" i="27"/>
  <c r="AM1989" i="27" s="1"/>
  <c r="AN1989" i="27" s="1"/>
  <c r="AO1989" i="27" s="1"/>
  <c r="D1990" i="27"/>
  <c r="D1991" i="27"/>
  <c r="AM1991" i="27" s="1"/>
  <c r="D1992" i="27"/>
  <c r="D1993" i="27"/>
  <c r="D1994" i="27"/>
  <c r="AM1994" i="27" s="1"/>
  <c r="D1996" i="27"/>
  <c r="AM1996" i="27" s="1"/>
  <c r="D1997" i="27"/>
  <c r="AM1997" i="27" s="1"/>
  <c r="D1998" i="27"/>
  <c r="AM1998" i="27" s="1"/>
  <c r="AN1998" i="27" s="1"/>
  <c r="AO1998" i="27" s="1"/>
  <c r="D1999" i="27"/>
  <c r="D2001" i="27"/>
  <c r="D2002" i="27"/>
  <c r="D2003" i="27"/>
  <c r="AM2003" i="27" s="1"/>
  <c r="D2004" i="27"/>
  <c r="D2005" i="27"/>
  <c r="AM2005" i="27" s="1"/>
  <c r="AH2005" i="27" s="1"/>
  <c r="D2006" i="27"/>
  <c r="AM2006" i="27" s="1"/>
  <c r="AN2006" i="27" s="1"/>
  <c r="AO2006" i="27" s="1"/>
  <c r="D2007" i="27"/>
  <c r="AM2007" i="27" s="1"/>
  <c r="AH2007" i="27" s="1"/>
  <c r="D2008" i="27"/>
  <c r="AM2008" i="27" s="1"/>
  <c r="D2009" i="27"/>
  <c r="D2010" i="27"/>
  <c r="D2011" i="27"/>
  <c r="AM2011" i="27" s="1"/>
  <c r="D2012" i="27"/>
  <c r="D2013" i="27"/>
  <c r="AM2013" i="27" s="1"/>
  <c r="D2014" i="27"/>
  <c r="AM2014" i="27" s="1"/>
  <c r="D2015" i="27"/>
  <c r="AM2015" i="27" s="1"/>
  <c r="D2016" i="27"/>
  <c r="D2018" i="27"/>
  <c r="D2019" i="27"/>
  <c r="D2021" i="27"/>
  <c r="AM2021" i="27" s="1"/>
  <c r="D2022" i="27"/>
  <c r="D2024" i="27"/>
  <c r="AM2024" i="27" s="1"/>
  <c r="D2026" i="27"/>
  <c r="D2027" i="27"/>
  <c r="AM2027" i="27" s="1"/>
  <c r="AH2027" i="27" s="1"/>
  <c r="D2031" i="27"/>
  <c r="D2032" i="27"/>
  <c r="AM2032" i="27" s="1"/>
  <c r="AN2032" i="27" s="1"/>
  <c r="AO2032" i="27" s="1"/>
  <c r="D2035" i="27"/>
  <c r="D2036" i="27"/>
  <c r="AM2036" i="27" s="1"/>
  <c r="D2039" i="27"/>
  <c r="AM2039" i="27" s="1"/>
  <c r="AN2039" i="27" s="1"/>
  <c r="AO2039" i="27" s="1"/>
  <c r="D2041" i="27"/>
  <c r="AM2041" i="27" s="1"/>
  <c r="AH2041" i="27" s="1"/>
  <c r="D2043" i="27"/>
  <c r="AM2043" i="27" s="1"/>
  <c r="D2068" i="27"/>
  <c r="D2069" i="27"/>
  <c r="D2070" i="27"/>
  <c r="D2071" i="27"/>
  <c r="D2072" i="27"/>
  <c r="AM2072" i="27" s="1"/>
  <c r="D2073" i="27"/>
  <c r="AM2073" i="27" s="1"/>
  <c r="D2074" i="27"/>
  <c r="D2075" i="27"/>
  <c r="AM2075" i="27" s="1"/>
  <c r="D2076" i="27"/>
  <c r="D2077" i="27"/>
  <c r="D2078" i="27"/>
  <c r="AM2078" i="27" s="1"/>
  <c r="D2079" i="27"/>
  <c r="D2080" i="27"/>
  <c r="AM2080" i="27" s="1"/>
  <c r="AN2080" i="27" s="1"/>
  <c r="AO2080" i="27" s="1"/>
  <c r="D2081" i="27"/>
  <c r="D2082" i="27"/>
  <c r="D2083" i="27"/>
  <c r="D2084" i="27"/>
  <c r="D2085" i="27"/>
  <c r="D2086" i="27"/>
  <c r="AM2086" i="27" s="1"/>
  <c r="D2087" i="27"/>
  <c r="AM2087" i="27" s="1"/>
  <c r="D2088" i="27"/>
  <c r="AM2088" i="27" s="1"/>
  <c r="D2089" i="27"/>
  <c r="D2090" i="27"/>
  <c r="AM2090" i="27" s="1"/>
  <c r="AH2090" i="27" s="1"/>
  <c r="D2091" i="27"/>
  <c r="AM2091" i="27" s="1"/>
  <c r="D2092" i="27"/>
  <c r="D2093" i="27"/>
  <c r="D2094" i="27"/>
  <c r="D2095" i="27"/>
  <c r="D2096" i="27"/>
  <c r="D2097" i="27"/>
  <c r="D2098" i="27"/>
  <c r="D2099" i="27"/>
  <c r="AM2099" i="27" s="1"/>
  <c r="D2100" i="27"/>
  <c r="AM2100" i="27" s="1"/>
  <c r="AN2100" i="27" s="1"/>
  <c r="AO2100" i="27" s="1"/>
  <c r="D2101" i="27"/>
  <c r="AM2101" i="27" s="1"/>
  <c r="AH2101" i="27" s="1"/>
  <c r="D2102" i="27"/>
  <c r="AM2102" i="27" s="1"/>
  <c r="D2103" i="27"/>
  <c r="AM2103" i="27" s="1"/>
  <c r="AN2103" i="27" s="1"/>
  <c r="AO2103" i="27" s="1"/>
  <c r="D2104" i="27"/>
  <c r="D2105" i="27"/>
  <c r="AM2105" i="27" s="1"/>
  <c r="D2106" i="27"/>
  <c r="D2107" i="27"/>
  <c r="D2108" i="27"/>
  <c r="D2109" i="27"/>
  <c r="D2110" i="27"/>
  <c r="AM2110" i="27" s="1"/>
  <c r="D2111" i="27"/>
  <c r="D2112" i="27"/>
  <c r="D2113" i="27"/>
  <c r="D2114" i="27"/>
  <c r="AM2114" i="27" s="1"/>
  <c r="D2115" i="27"/>
  <c r="D2116" i="27"/>
  <c r="AM2116" i="27" s="1"/>
  <c r="D2117" i="27"/>
  <c r="AM2117" i="27" s="1"/>
  <c r="D2118" i="27"/>
  <c r="AM2118" i="27" s="1"/>
  <c r="AN2118" i="27" s="1"/>
  <c r="AO2118" i="27" s="1"/>
  <c r="D2119" i="27"/>
  <c r="D2120" i="27"/>
  <c r="AM2120" i="27" s="1"/>
  <c r="AN2120" i="27" s="1"/>
  <c r="AO2120" i="27" s="1"/>
  <c r="D2121" i="27"/>
  <c r="D2122" i="27"/>
  <c r="D2123" i="27"/>
  <c r="D2124" i="27"/>
  <c r="AM2124" i="27" s="1"/>
  <c r="D2125" i="27"/>
  <c r="D2126" i="27"/>
  <c r="D2127" i="27"/>
  <c r="D2128" i="27"/>
  <c r="D2129" i="27"/>
  <c r="D2130" i="27"/>
  <c r="AM2130" i="27" s="1"/>
  <c r="AH2130" i="27" s="1"/>
  <c r="D2131" i="27"/>
  <c r="D2132" i="27"/>
  <c r="AM2132" i="27" s="1"/>
  <c r="D2133" i="27"/>
  <c r="D2134" i="27"/>
  <c r="AM2134" i="27" s="1"/>
  <c r="AN2134" i="27" s="1"/>
  <c r="AO2134" i="27" s="1"/>
  <c r="D2135" i="27"/>
  <c r="AM2135" i="27" s="1"/>
  <c r="D2136" i="27"/>
  <c r="D2137" i="27"/>
  <c r="D2138" i="27"/>
  <c r="D2139" i="27"/>
  <c r="D2140" i="27"/>
  <c r="AM2140" i="27" s="1"/>
  <c r="AH2140" i="27" s="1"/>
  <c r="D2141" i="27"/>
  <c r="D2142" i="27"/>
  <c r="AM2142" i="27" s="1"/>
  <c r="D2143" i="27"/>
  <c r="D2144" i="27"/>
  <c r="AM2144" i="27" s="1"/>
  <c r="AH2144" i="27" s="1"/>
  <c r="D2145" i="27"/>
  <c r="D2146" i="27"/>
  <c r="D2147" i="27"/>
  <c r="D2148" i="27"/>
  <c r="AM2148" i="27" s="1"/>
  <c r="AH2148" i="27" s="1"/>
  <c r="D2149" i="27"/>
  <c r="D2150" i="27"/>
  <c r="AM2150" i="27" s="1"/>
  <c r="AH2150" i="27" s="1"/>
  <c r="D2151" i="27"/>
  <c r="D2152" i="27"/>
  <c r="AM2152" i="27" s="1"/>
  <c r="D2153" i="27"/>
  <c r="D2154" i="27"/>
  <c r="AM2154" i="27" s="1"/>
  <c r="D2155" i="27"/>
  <c r="D2156" i="27"/>
  <c r="AM2156" i="27" s="1"/>
  <c r="D2157" i="27"/>
  <c r="AM2157" i="27" s="1"/>
  <c r="AN2157" i="27" s="1"/>
  <c r="AO2157" i="27" s="1"/>
  <c r="D2158" i="27"/>
  <c r="AM2158" i="27" s="1"/>
  <c r="AH2158" i="27" s="1"/>
  <c r="D2159" i="27"/>
  <c r="D2160" i="27"/>
  <c r="AM2160" i="27" s="1"/>
  <c r="D2161" i="27"/>
  <c r="D2162" i="27"/>
  <c r="D2163" i="27"/>
  <c r="D2164" i="27"/>
  <c r="AM2164" i="27" s="1"/>
  <c r="D2165" i="27"/>
  <c r="AM2165" i="27" s="1"/>
  <c r="AH2165" i="27" s="1"/>
  <c r="D2166" i="27"/>
  <c r="AM2166" i="27" s="1"/>
  <c r="AH2166" i="27" s="1"/>
  <c r="D2167" i="27"/>
  <c r="AM2167" i="27" s="1"/>
  <c r="AN2167" i="27" s="1"/>
  <c r="AO2167" i="27" s="1"/>
  <c r="D2168" i="27"/>
  <c r="D2169" i="27"/>
  <c r="D2170" i="27"/>
  <c r="D2171" i="27"/>
  <c r="D2172" i="27"/>
  <c r="AM2172" i="27" s="1"/>
  <c r="AH2172" i="27" s="1"/>
  <c r="D2173" i="27"/>
  <c r="D2174" i="27"/>
  <c r="AM2174" i="27" s="1"/>
  <c r="AN2174" i="27" s="1"/>
  <c r="AO2174" i="27" s="1"/>
  <c r="D2175" i="27"/>
  <c r="D2176" i="27"/>
  <c r="AM2176" i="27" s="1"/>
  <c r="AN2176" i="27" s="1"/>
  <c r="AO2176" i="27" s="1"/>
  <c r="D2177" i="27"/>
  <c r="AM2177" i="27" s="1"/>
  <c r="D2178" i="27"/>
  <c r="AM2178" i="27" s="1"/>
  <c r="D2179" i="27"/>
  <c r="D2180" i="27"/>
  <c r="AM2180" i="27" s="1"/>
  <c r="D2181" i="27"/>
  <c r="AM2181" i="27" s="1"/>
  <c r="D2182" i="27"/>
  <c r="AM2182" i="27" s="1"/>
  <c r="D2183" i="27"/>
  <c r="D2184" i="27"/>
  <c r="AM2184" i="27" s="1"/>
  <c r="AH2184" i="27" s="1"/>
  <c r="D2185" i="27"/>
  <c r="AM2185" i="27" s="1"/>
  <c r="D2186" i="27"/>
  <c r="AM2186" i="27" s="1"/>
  <c r="D2187" i="27"/>
  <c r="D2188" i="27"/>
  <c r="D2189" i="27"/>
  <c r="D2190" i="27"/>
  <c r="D2191" i="27"/>
  <c r="D2192" i="27"/>
  <c r="AM2192" i="27" s="1"/>
  <c r="AN2192" i="27" s="1"/>
  <c r="AO2192" i="27" s="1"/>
  <c r="D2193" i="27"/>
  <c r="D2194" i="27"/>
  <c r="D2195" i="27"/>
  <c r="D2196" i="27"/>
  <c r="AM2196" i="27" s="1"/>
  <c r="AN2196" i="27" s="1"/>
  <c r="AO2196" i="27" s="1"/>
  <c r="D2197" i="27"/>
  <c r="AM2197" i="27" s="1"/>
  <c r="D2198" i="27"/>
  <c r="AM2198" i="27" s="1"/>
  <c r="D2199" i="27"/>
  <c r="D2200" i="27"/>
  <c r="D2201" i="27"/>
  <c r="AM2201" i="27" s="1"/>
  <c r="AH2201" i="27" s="1"/>
  <c r="D2202" i="27"/>
  <c r="D2203" i="27"/>
  <c r="D2204" i="27"/>
  <c r="AM2204" i="27" s="1"/>
  <c r="D2205" i="27"/>
  <c r="D2206" i="27"/>
  <c r="D2207" i="27"/>
  <c r="D2208" i="27"/>
  <c r="AM2208" i="27" s="1"/>
  <c r="D2209" i="27"/>
  <c r="AM2209" i="27" s="1"/>
  <c r="D2210" i="27"/>
  <c r="AM2210" i="27" s="1"/>
  <c r="D2211" i="27"/>
  <c r="AM2211" i="27" s="1"/>
  <c r="D2212" i="27"/>
  <c r="AM2212" i="27" s="1"/>
  <c r="AH2212" i="27" s="1"/>
  <c r="D2213" i="27"/>
  <c r="AM2213" i="27" s="1"/>
  <c r="AH2213" i="27" s="1"/>
  <c r="D2214" i="27"/>
  <c r="AM2214" i="27" s="1"/>
  <c r="AN2214" i="27" s="1"/>
  <c r="AO2214" i="27" s="1"/>
  <c r="D2215" i="27"/>
  <c r="D2216" i="27"/>
  <c r="AM2216" i="27" s="1"/>
  <c r="AN2216" i="27" s="1"/>
  <c r="AO2216" i="27" s="1"/>
  <c r="D2217" i="27"/>
  <c r="D2218" i="27"/>
  <c r="AM2218" i="27" s="1"/>
  <c r="D2219" i="27"/>
  <c r="D2220" i="27"/>
  <c r="AM2220" i="27" s="1"/>
  <c r="AH2220" i="27" s="1"/>
  <c r="D2221" i="27"/>
  <c r="D2222" i="27"/>
  <c r="AM2222" i="27" s="1"/>
  <c r="D2223" i="27"/>
  <c r="AM2223" i="27" s="1"/>
  <c r="D2224" i="27"/>
  <c r="AM2224" i="27" s="1"/>
  <c r="AN2224" i="27" s="1"/>
  <c r="AO2224" i="27" s="1"/>
  <c r="D2225" i="27"/>
  <c r="AM2225" i="27" s="1"/>
  <c r="D2226" i="27"/>
  <c r="AM2226" i="27" s="1"/>
  <c r="AH2226" i="27" s="1"/>
  <c r="D2227" i="27"/>
  <c r="AM2227" i="27" s="1"/>
  <c r="D2228" i="27"/>
  <c r="D2229" i="27"/>
  <c r="AM2229" i="27" s="1"/>
  <c r="D2230" i="27"/>
  <c r="AM2230" i="27" s="1"/>
  <c r="AN2230" i="27" s="1"/>
  <c r="AO2230" i="27" s="1"/>
  <c r="D2231" i="27"/>
  <c r="AM2231" i="27" s="1"/>
  <c r="AH2231" i="27" s="1"/>
  <c r="D2232" i="27"/>
  <c r="AM2232" i="27" s="1"/>
  <c r="AN2232" i="27" s="1"/>
  <c r="AO2232" i="27" s="1"/>
  <c r="D2233" i="27"/>
  <c r="D2234" i="27"/>
  <c r="AM2234" i="27" s="1"/>
  <c r="D2235" i="27"/>
  <c r="AM2235" i="27" s="1"/>
  <c r="D2236" i="27"/>
  <c r="AM2236" i="27" s="1"/>
  <c r="AH2236" i="27" s="1"/>
  <c r="D2237" i="27"/>
  <c r="AM2237" i="27" s="1"/>
  <c r="D2238" i="27"/>
  <c r="AM2238" i="27" s="1"/>
  <c r="D2239" i="27"/>
  <c r="D2240" i="27"/>
  <c r="AM2240" i="27" s="1"/>
  <c r="D2241" i="27"/>
  <c r="AM2241" i="27" s="1"/>
  <c r="D2242" i="27"/>
  <c r="D2243" i="27"/>
  <c r="D2244" i="27"/>
  <c r="D2245" i="27"/>
  <c r="D2246" i="27"/>
  <c r="AM2246" i="27" s="1"/>
  <c r="AN2246" i="27" s="1"/>
  <c r="AO2246" i="27" s="1"/>
  <c r="D2247" i="27"/>
  <c r="D2248" i="27"/>
  <c r="AM2248" i="27" s="1"/>
  <c r="D2249" i="27"/>
  <c r="AM2249" i="27" s="1"/>
  <c r="AN2249" i="27" s="1"/>
  <c r="AO2249" i="27" s="1"/>
  <c r="D2250" i="27"/>
  <c r="AM2250" i="27" s="1"/>
  <c r="D2251" i="27"/>
  <c r="D2252" i="27"/>
  <c r="AM2252" i="27" s="1"/>
  <c r="AH2252" i="27" s="1"/>
  <c r="D2253" i="27"/>
  <c r="D2254" i="27"/>
  <c r="AM2254" i="27" s="1"/>
  <c r="D2255" i="27"/>
  <c r="D2256" i="27"/>
  <c r="AM2256" i="27" s="1"/>
  <c r="D2257" i="27"/>
  <c r="AM2257" i="27" s="1"/>
  <c r="D2258" i="27"/>
  <c r="AM2258" i="27" s="1"/>
  <c r="AH2258" i="27" s="1"/>
  <c r="D2259" i="27"/>
  <c r="D2260" i="27"/>
  <c r="AM2260" i="27" s="1"/>
  <c r="AH2260" i="27" s="1"/>
  <c r="D2261" i="27"/>
  <c r="D2262" i="27"/>
  <c r="AM2262" i="27" s="1"/>
  <c r="D2263" i="27"/>
  <c r="AM2263" i="27" s="1"/>
  <c r="D2264" i="27"/>
  <c r="D2265" i="27"/>
  <c r="D2266" i="27"/>
  <c r="AM2266" i="27" s="1"/>
  <c r="D2267" i="27"/>
  <c r="D2268" i="27"/>
  <c r="AM2268" i="27" s="1"/>
  <c r="AN2268" i="27" s="1"/>
  <c r="AO2268" i="27" s="1"/>
  <c r="D2269" i="27"/>
  <c r="AM2269" i="27" s="1"/>
  <c r="AN2269" i="27" s="1"/>
  <c r="AO2269" i="27" s="1"/>
  <c r="D2270" i="27"/>
  <c r="D2271" i="27"/>
  <c r="D2272" i="27"/>
  <c r="AM2272" i="27" s="1"/>
  <c r="D2273" i="27"/>
  <c r="D2274" i="27"/>
  <c r="D2275" i="27"/>
  <c r="D2276" i="27"/>
  <c r="D2277" i="27"/>
  <c r="AM2277" i="27" s="1"/>
  <c r="AN2277" i="27" s="1"/>
  <c r="AO2277" i="27" s="1"/>
  <c r="D2278" i="27"/>
  <c r="D2279" i="27"/>
  <c r="D2280" i="27"/>
  <c r="AM2280" i="27" s="1"/>
  <c r="D2281" i="27"/>
  <c r="D2282" i="27"/>
  <c r="AM2282" i="27" s="1"/>
  <c r="D2283" i="27"/>
  <c r="D2284" i="27"/>
  <c r="AM2284" i="27" s="1"/>
  <c r="AN2284" i="27" s="1"/>
  <c r="AO2284" i="27" s="1"/>
  <c r="D2285" i="27"/>
  <c r="D2286" i="27"/>
  <c r="AM2286" i="27" s="1"/>
  <c r="D2287" i="27"/>
  <c r="AM2287" i="27" s="1"/>
  <c r="AN2287" i="27" s="1"/>
  <c r="AO2287" i="27" s="1"/>
  <c r="D2288" i="27"/>
  <c r="AM2288" i="27" s="1"/>
  <c r="D2289" i="27"/>
  <c r="D2290" i="27"/>
  <c r="AM2290" i="27" s="1"/>
  <c r="D2291" i="27"/>
  <c r="AM2291" i="27" s="1"/>
  <c r="AN2291" i="27" s="1"/>
  <c r="AO2291" i="27" s="1"/>
  <c r="D2293" i="27"/>
  <c r="D2296" i="27"/>
  <c r="D2299" i="27"/>
  <c r="D2304" i="27"/>
  <c r="D2372" i="27"/>
  <c r="AM2372" i="27" s="1"/>
  <c r="AH2372" i="27" s="1"/>
  <c r="D2373" i="27"/>
  <c r="AM2373" i="27" s="1"/>
  <c r="D2374" i="27"/>
  <c r="AM2374" i="27" s="1"/>
  <c r="D2375" i="27"/>
  <c r="D2376" i="27"/>
  <c r="D2377" i="27"/>
  <c r="D2378" i="27"/>
  <c r="AM2378" i="27" s="1"/>
  <c r="D2379" i="27"/>
  <c r="D2380" i="27"/>
  <c r="D2381" i="27"/>
  <c r="D2382" i="27"/>
  <c r="D2383" i="27"/>
  <c r="D2384" i="27"/>
  <c r="D2385" i="27"/>
  <c r="D2386" i="27"/>
  <c r="AM2386" i="27" s="1"/>
  <c r="AH2386" i="27" s="1"/>
  <c r="D2387" i="27"/>
  <c r="D2388" i="27"/>
  <c r="D2389" i="27"/>
  <c r="D2390" i="27"/>
  <c r="D2391" i="27"/>
  <c r="D2392" i="27"/>
  <c r="D2393" i="27"/>
  <c r="D2394" i="27"/>
  <c r="AM2394" i="27" s="1"/>
  <c r="AH2394" i="27" s="1"/>
  <c r="D2395" i="27"/>
  <c r="D2396" i="27"/>
  <c r="AM2396" i="27" s="1"/>
  <c r="D2397" i="27"/>
  <c r="D2398" i="27"/>
  <c r="AM2398" i="27" s="1"/>
  <c r="AH2398" i="27" s="1"/>
  <c r="D2399" i="27"/>
  <c r="D2400" i="27"/>
  <c r="AM2400" i="27" s="1"/>
  <c r="AH2400" i="27" s="1"/>
  <c r="D2401" i="27"/>
  <c r="D2402" i="27"/>
  <c r="D2403" i="27"/>
  <c r="D2404" i="27"/>
  <c r="AM2404" i="27" s="1"/>
  <c r="D2405" i="27"/>
  <c r="D2406" i="27"/>
  <c r="D2407" i="27"/>
  <c r="D2408" i="27"/>
  <c r="AM2408" i="27" s="1"/>
  <c r="D2409" i="27"/>
  <c r="AM2409" i="27" s="1"/>
  <c r="AH2409" i="27" s="1"/>
  <c r="D2410" i="27"/>
  <c r="AM2410" i="27" s="1"/>
  <c r="D2411" i="27"/>
  <c r="D2412" i="27"/>
  <c r="AM2412" i="27" s="1"/>
  <c r="AH2412" i="27" s="1"/>
  <c r="D2413" i="27"/>
  <c r="AM2413" i="27" s="1"/>
  <c r="D2414" i="27"/>
  <c r="D2415" i="27"/>
  <c r="D2416" i="27"/>
  <c r="AM2416" i="27" s="1"/>
  <c r="D2417" i="27"/>
  <c r="D2418" i="27"/>
  <c r="D2419" i="27"/>
  <c r="D2420" i="27"/>
  <c r="AM2420" i="27" s="1"/>
  <c r="AN2420" i="27" s="1"/>
  <c r="AO2420" i="27" s="1"/>
  <c r="D2421" i="27"/>
  <c r="D2422" i="27"/>
  <c r="AM2422" i="27" s="1"/>
  <c r="D2423" i="27"/>
  <c r="D2424" i="27"/>
  <c r="AM2424" i="27" s="1"/>
  <c r="AH2424" i="27" s="1"/>
  <c r="D2425" i="27"/>
  <c r="D2426" i="27"/>
  <c r="AM2426" i="27" s="1"/>
  <c r="D2427" i="27"/>
  <c r="D2428" i="27"/>
  <c r="D2429" i="27"/>
  <c r="AM2429" i="27" s="1"/>
  <c r="AH2429" i="27" s="1"/>
  <c r="D2430" i="27"/>
  <c r="AM2430" i="27" s="1"/>
  <c r="AN2430" i="27" s="1"/>
  <c r="AO2430" i="27" s="1"/>
  <c r="D2431" i="27"/>
  <c r="AM2431" i="27" s="1"/>
  <c r="AH2431" i="27" s="1"/>
  <c r="D2432" i="27"/>
  <c r="D2433" i="27"/>
  <c r="AM2433" i="27" s="1"/>
  <c r="D2434" i="27"/>
  <c r="D2435" i="27"/>
  <c r="D2436" i="27"/>
  <c r="D2437" i="27"/>
  <c r="D2438" i="27"/>
  <c r="D2439" i="27"/>
  <c r="AM2439" i="27" s="1"/>
  <c r="D2440" i="27"/>
  <c r="D2441" i="27"/>
  <c r="D2442" i="27"/>
  <c r="D2443" i="27"/>
  <c r="D2444" i="27"/>
  <c r="D2445" i="27"/>
  <c r="D2446" i="27"/>
  <c r="AM2446" i="27" s="1"/>
  <c r="AH2446" i="27" s="1"/>
  <c r="D2447" i="27"/>
  <c r="AM2447" i="27" s="1"/>
  <c r="D2448" i="27"/>
  <c r="AM2448" i="27" s="1"/>
  <c r="D2449" i="27"/>
  <c r="D2450" i="27"/>
  <c r="D2451" i="27"/>
  <c r="D2452" i="27"/>
  <c r="AM2452" i="27" s="1"/>
  <c r="D2453" i="27"/>
  <c r="D2454" i="27"/>
  <c r="D2455" i="27"/>
  <c r="D2456" i="27"/>
  <c r="AM2456" i="27" s="1"/>
  <c r="D2457" i="27"/>
  <c r="AM2457" i="27" s="1"/>
  <c r="AH2457" i="27" s="1"/>
  <c r="D2458" i="27"/>
  <c r="AM2458" i="27" s="1"/>
  <c r="AH2458" i="27" s="1"/>
  <c r="D2459" i="27"/>
  <c r="D2460" i="27"/>
  <c r="AM2460" i="27" s="1"/>
  <c r="D2461" i="27"/>
  <c r="AM2461" i="27" s="1"/>
  <c r="AH2461" i="27" s="1"/>
  <c r="D2462" i="27"/>
  <c r="AM2462" i="27" s="1"/>
  <c r="AH2462" i="27" s="1"/>
  <c r="D2463" i="27"/>
  <c r="D2464" i="27"/>
  <c r="D2465" i="27"/>
  <c r="D2466" i="27"/>
  <c r="D2467" i="27"/>
  <c r="D2468" i="27"/>
  <c r="AM2468" i="27" s="1"/>
  <c r="D2469" i="27"/>
  <c r="AM2469" i="27" s="1"/>
  <c r="D2470" i="27"/>
  <c r="AM2470" i="27" s="1"/>
  <c r="D2471" i="27"/>
  <c r="D2472" i="27"/>
  <c r="AM2472" i="27" s="1"/>
  <c r="D2473" i="27"/>
  <c r="D2474" i="27"/>
  <c r="AM2474" i="27" s="1"/>
  <c r="D2475" i="27"/>
  <c r="D2476" i="27"/>
  <c r="AM2476" i="27" s="1"/>
  <c r="D2477" i="27"/>
  <c r="D2478" i="27"/>
  <c r="D2479" i="27"/>
  <c r="D2480" i="27"/>
  <c r="AM2480" i="27" s="1"/>
  <c r="AH2480" i="27" s="1"/>
  <c r="D2481" i="27"/>
  <c r="D2482" i="27"/>
  <c r="AM2482" i="27" s="1"/>
  <c r="D2483" i="27"/>
  <c r="D2484" i="27"/>
  <c r="AM2484" i="27" s="1"/>
  <c r="D2485" i="27"/>
  <c r="D2486" i="27"/>
  <c r="D2487" i="27"/>
  <c r="AM2487" i="27" s="1"/>
  <c r="AH2487" i="27" s="1"/>
  <c r="D2488" i="27"/>
  <c r="AM2488" i="27" s="1"/>
  <c r="D2489" i="27"/>
  <c r="D2490" i="27"/>
  <c r="AM2490" i="27" s="1"/>
  <c r="AH2490" i="27" s="1"/>
  <c r="D2491" i="27"/>
  <c r="D2492" i="27"/>
  <c r="D2493" i="27"/>
  <c r="D2494" i="27"/>
  <c r="D2495" i="27"/>
  <c r="AM2495" i="27" s="1"/>
  <c r="D2496" i="27"/>
  <c r="D2497" i="27"/>
  <c r="D2498" i="27"/>
  <c r="AM2498" i="27" s="1"/>
  <c r="AH2498" i="27" s="1"/>
  <c r="D2499" i="27"/>
  <c r="AM2499" i="27" s="1"/>
  <c r="D2500" i="27"/>
  <c r="D2501" i="27"/>
  <c r="D2502" i="27"/>
  <c r="D2503" i="27"/>
  <c r="D2504" i="27"/>
  <c r="AM2504" i="27" s="1"/>
  <c r="AN2504" i="27" s="1"/>
  <c r="AO2504" i="27" s="1"/>
  <c r="D2505" i="27"/>
  <c r="D2506" i="27"/>
  <c r="AM2506" i="27" s="1"/>
  <c r="AN2506" i="27" s="1"/>
  <c r="AO2506" i="27" s="1"/>
  <c r="D2507" i="27"/>
  <c r="D2508" i="27"/>
  <c r="AM2508" i="27" s="1"/>
  <c r="D2509" i="27"/>
  <c r="D2510" i="27"/>
  <c r="D2511" i="27"/>
  <c r="AM2511" i="27" s="1"/>
  <c r="D2512" i="27"/>
  <c r="AM2512" i="27" s="1"/>
  <c r="D2513" i="27"/>
  <c r="D2514" i="27"/>
  <c r="AM2514" i="27" s="1"/>
  <c r="D2515" i="27"/>
  <c r="AM2515" i="27" s="1"/>
  <c r="D2516" i="27"/>
  <c r="AM2516" i="27" s="1"/>
  <c r="D2517" i="27"/>
  <c r="AM2517" i="27" s="1"/>
  <c r="D2518" i="27"/>
  <c r="D2519" i="27"/>
  <c r="AM2519" i="27" s="1"/>
  <c r="D2520" i="27"/>
  <c r="AM2520" i="27" s="1"/>
  <c r="AN2520" i="27" s="1"/>
  <c r="AO2520" i="27" s="1"/>
  <c r="D2521" i="27"/>
  <c r="D2522" i="27"/>
  <c r="AM2522" i="27" s="1"/>
  <c r="AH2522" i="27" s="1"/>
  <c r="D2523" i="27"/>
  <c r="D2524" i="27"/>
  <c r="AM2524" i="27" s="1"/>
  <c r="D2525" i="27"/>
  <c r="D2526" i="27"/>
  <c r="AM2526" i="27" s="1"/>
  <c r="AH2526" i="27" s="1"/>
  <c r="D2527" i="27"/>
  <c r="AM2527" i="27" s="1"/>
  <c r="D2528" i="27"/>
  <c r="D2529" i="27"/>
  <c r="D2530" i="27"/>
  <c r="D2531" i="27"/>
  <c r="D2532" i="27"/>
  <c r="D2533" i="27"/>
  <c r="D2534" i="27"/>
  <c r="AM2534" i="27" s="1"/>
  <c r="D2535" i="27"/>
  <c r="D2536" i="27"/>
  <c r="AM2536" i="27" s="1"/>
  <c r="D2537" i="27"/>
  <c r="D2538" i="27"/>
  <c r="AM2538" i="27" s="1"/>
  <c r="AN2538" i="27" s="1"/>
  <c r="AO2538" i="27" s="1"/>
  <c r="D2539" i="27"/>
  <c r="D2540" i="27"/>
  <c r="AM2540" i="27" s="1"/>
  <c r="AH2540" i="27" s="1"/>
  <c r="D2541" i="27"/>
  <c r="D2542" i="27"/>
  <c r="AM2542" i="27" s="1"/>
  <c r="D2543" i="27"/>
  <c r="D2544" i="27"/>
  <c r="D2545" i="27"/>
  <c r="D2546" i="27"/>
  <c r="D2547" i="27"/>
  <c r="AM2547" i="27" s="1"/>
  <c r="D2548" i="27"/>
  <c r="AM2548" i="27" s="1"/>
  <c r="AH2548" i="27" s="1"/>
  <c r="D2549" i="27"/>
  <c r="D2550" i="27"/>
  <c r="AM2550" i="27" s="1"/>
  <c r="AN2550" i="27" s="1"/>
  <c r="AO2550" i="27" s="1"/>
  <c r="D2551" i="27"/>
  <c r="D2552" i="27"/>
  <c r="AM2552" i="27" s="1"/>
  <c r="AH2552" i="27" s="1"/>
  <c r="D2553" i="27"/>
  <c r="AM2553" i="27" s="1"/>
  <c r="AN2553" i="27" s="1"/>
  <c r="AO2553" i="27" s="1"/>
  <c r="D2554" i="27"/>
  <c r="AM2554" i="27" s="1"/>
  <c r="D2555" i="27"/>
  <c r="D2556" i="27"/>
  <c r="AM2556" i="27" s="1"/>
  <c r="AH2556" i="27" s="1"/>
  <c r="D2557" i="27"/>
  <c r="AM2557" i="27" s="1"/>
  <c r="AN2557" i="27" s="1"/>
  <c r="AO2557" i="27" s="1"/>
  <c r="D2558" i="27"/>
  <c r="AM2558" i="27" s="1"/>
  <c r="D2559" i="27"/>
  <c r="D2560" i="27"/>
  <c r="AM2560" i="27" s="1"/>
  <c r="AH2560" i="27" s="1"/>
  <c r="D2561" i="27"/>
  <c r="D2562" i="27"/>
  <c r="D2563" i="27"/>
  <c r="AM2563" i="27" s="1"/>
  <c r="D2564" i="27"/>
  <c r="D2565" i="27"/>
  <c r="D2566" i="27"/>
  <c r="AM2566" i="27" s="1"/>
  <c r="D2567" i="27"/>
  <c r="AM2567" i="27" s="1"/>
  <c r="AH2567" i="27" s="1"/>
  <c r="D2568" i="27"/>
  <c r="AM2568" i="27" s="1"/>
  <c r="D2569" i="27"/>
  <c r="AM2569" i="27" s="1"/>
  <c r="D2570" i="27"/>
  <c r="D2571" i="27"/>
  <c r="D2572" i="27"/>
  <c r="D2573" i="27"/>
  <c r="D2574" i="27"/>
  <c r="AM2574" i="27" s="1"/>
  <c r="D2575" i="27"/>
  <c r="D2576" i="27"/>
  <c r="AM2576" i="27" s="1"/>
  <c r="D2577" i="27"/>
  <c r="AM2577" i="27" s="1"/>
  <c r="D2578" i="27"/>
  <c r="AM2578" i="27" s="1"/>
  <c r="AN2578" i="27" s="1"/>
  <c r="AO2578" i="27" s="1"/>
  <c r="D2579" i="27"/>
  <c r="D2580" i="27"/>
  <c r="D2581" i="27"/>
  <c r="D2582" i="27"/>
  <c r="AM2582" i="27" s="1"/>
  <c r="AN2582" i="27" s="1"/>
  <c r="AO2582" i="27" s="1"/>
  <c r="D2583" i="27"/>
  <c r="AM2583" i="27" s="1"/>
  <c r="AN2583" i="27" s="1"/>
  <c r="AO2583" i="27" s="1"/>
  <c r="D2584" i="27"/>
  <c r="AM2584" i="27" s="1"/>
  <c r="D2585" i="27"/>
  <c r="AM2585" i="27" s="1"/>
  <c r="D2586" i="27"/>
  <c r="D2587" i="27"/>
  <c r="D2588" i="27"/>
  <c r="D2589" i="27"/>
  <c r="D2590" i="27"/>
  <c r="AM2590" i="27" s="1"/>
  <c r="AN2590" i="27" s="1"/>
  <c r="AO2590" i="27" s="1"/>
  <c r="D2591" i="27"/>
  <c r="D2592" i="27"/>
  <c r="AM2592" i="27" s="1"/>
  <c r="D2593" i="27"/>
  <c r="AM2593" i="27" s="1"/>
  <c r="AN2593" i="27" s="1"/>
  <c r="AO2593" i="27" s="1"/>
  <c r="D2594" i="27"/>
  <c r="D2595" i="27"/>
  <c r="D2596" i="27"/>
  <c r="AM2596" i="27" s="1"/>
  <c r="D2597" i="27"/>
  <c r="AM2597" i="27" s="1"/>
  <c r="AN2597" i="27" s="1"/>
  <c r="AO2597" i="27" s="1"/>
  <c r="D2598" i="27"/>
  <c r="D2599" i="27"/>
  <c r="D2600" i="27"/>
  <c r="AM2600" i="27" s="1"/>
  <c r="AN2600" i="27" s="1"/>
  <c r="AO2600" i="27" s="1"/>
  <c r="D2601" i="27"/>
  <c r="AM2601" i="27" s="1"/>
  <c r="AH2601" i="27" s="1"/>
  <c r="D2602" i="27"/>
  <c r="D2603" i="27"/>
  <c r="AM2603" i="27" s="1"/>
  <c r="D2604" i="27"/>
  <c r="D2605" i="27"/>
  <c r="D2606" i="27"/>
  <c r="D2607" i="27"/>
  <c r="D2608" i="27"/>
  <c r="AM2608" i="27" s="1"/>
  <c r="D2609" i="27"/>
  <c r="D2610" i="27"/>
  <c r="AM2610" i="27" s="1"/>
  <c r="D2611" i="27"/>
  <c r="AM2611" i="27" s="1"/>
  <c r="AN2611" i="27" s="1"/>
  <c r="AO2611" i="27" s="1"/>
  <c r="D2612" i="27"/>
  <c r="AM2612" i="27" s="1"/>
  <c r="AH2612" i="27" s="1"/>
  <c r="D2613" i="27"/>
  <c r="D2614" i="27"/>
  <c r="D2615" i="27"/>
  <c r="D2616" i="27"/>
  <c r="AM2616" i="27" s="1"/>
  <c r="AN2616" i="27" s="1"/>
  <c r="AO2616" i="27" s="1"/>
  <c r="D2617" i="27"/>
  <c r="D2618" i="27"/>
  <c r="AM2618" i="27" s="1"/>
  <c r="D2619" i="27"/>
  <c r="AM2619" i="27" s="1"/>
  <c r="D2620" i="27"/>
  <c r="AM2620" i="27" s="1"/>
  <c r="D2621" i="27"/>
  <c r="D2622" i="27"/>
  <c r="AM2622" i="27" s="1"/>
  <c r="D2623" i="27"/>
  <c r="D2624" i="27"/>
  <c r="D2625" i="27"/>
  <c r="AM2625" i="27" s="1"/>
  <c r="D2626" i="27"/>
  <c r="D2627" i="27"/>
  <c r="D2628" i="27"/>
  <c r="AM2628" i="27" s="1"/>
  <c r="D2629" i="27"/>
  <c r="AM2629" i="27" s="1"/>
  <c r="D2630" i="27"/>
  <c r="D2631" i="27"/>
  <c r="AM2631" i="27" s="1"/>
  <c r="AN2631" i="27" s="1"/>
  <c r="AO2631" i="27" s="1"/>
  <c r="D2632" i="27"/>
  <c r="AM2632" i="27" s="1"/>
  <c r="AN2632" i="27" s="1"/>
  <c r="AO2632" i="27" s="1"/>
  <c r="D2633" i="27"/>
  <c r="AM2633" i="27" s="1"/>
  <c r="D2634" i="27"/>
  <c r="AM2634" i="27" s="1"/>
  <c r="AH2634" i="27" s="1"/>
  <c r="D2635" i="27"/>
  <c r="D2636" i="27"/>
  <c r="AM2636" i="27" s="1"/>
  <c r="AN2636" i="27" s="1"/>
  <c r="AO2636" i="27" s="1"/>
  <c r="D2637" i="27"/>
  <c r="D2638" i="27"/>
  <c r="AM2638" i="27" s="1"/>
  <c r="AH2638" i="27" s="1"/>
  <c r="D2639" i="27"/>
  <c r="D2640" i="27"/>
  <c r="AM2640" i="27" s="1"/>
  <c r="AH2640" i="27" s="1"/>
  <c r="D2641" i="27"/>
  <c r="D2642" i="27"/>
  <c r="AM2642" i="27" s="1"/>
  <c r="AH2642" i="27" s="1"/>
  <c r="D2643" i="27"/>
  <c r="D2644" i="27"/>
  <c r="AM2644" i="27" s="1"/>
  <c r="AN2644" i="27" s="1"/>
  <c r="AO2644" i="27" s="1"/>
  <c r="D2645" i="27"/>
  <c r="D2646" i="27"/>
  <c r="AM2646" i="27" s="1"/>
  <c r="D2647" i="27"/>
  <c r="D2648" i="27"/>
  <c r="AM2648" i="27" s="1"/>
  <c r="AN2648" i="27" s="1"/>
  <c r="AO2648" i="27" s="1"/>
  <c r="D2649" i="27"/>
  <c r="D2650" i="27"/>
  <c r="AM2650" i="27" s="1"/>
  <c r="AN2650" i="27" s="1"/>
  <c r="AO2650" i="27" s="1"/>
  <c r="D2651" i="27"/>
  <c r="AM2651" i="27" s="1"/>
  <c r="AN2651" i="27" s="1"/>
  <c r="AO2651" i="27" s="1"/>
  <c r="D2652" i="27"/>
  <c r="AM2652" i="27" s="1"/>
  <c r="D2653" i="27"/>
  <c r="D2654" i="27"/>
  <c r="AM2654" i="27" s="1"/>
  <c r="AN2654" i="27" s="1"/>
  <c r="AO2654" i="27" s="1"/>
  <c r="D2655" i="27"/>
  <c r="D2656" i="27"/>
  <c r="D2657" i="27"/>
  <c r="AM2657" i="27" s="1"/>
  <c r="D2658" i="27"/>
  <c r="AM2658" i="27" s="1"/>
  <c r="AH2658" i="27" s="1"/>
  <c r="D2659" i="27"/>
  <c r="D2660" i="27"/>
  <c r="D2661" i="27"/>
  <c r="D2662" i="27"/>
  <c r="AM2662" i="27" s="1"/>
  <c r="AH2662" i="27" s="1"/>
  <c r="D2663" i="27"/>
  <c r="D2664" i="27"/>
  <c r="D2665" i="27"/>
  <c r="D2666" i="27"/>
  <c r="AM2666" i="27" s="1"/>
  <c r="AH2666" i="27" s="1"/>
  <c r="D2667" i="27"/>
  <c r="AM2667" i="27" s="1"/>
  <c r="AN2667" i="27" s="1"/>
  <c r="AO2667" i="27" s="1"/>
  <c r="D2668" i="27"/>
  <c r="AM2668" i="27" s="1"/>
  <c r="D2669" i="27"/>
  <c r="AM2669" i="27" s="1"/>
  <c r="D2670" i="27"/>
  <c r="D2671" i="27"/>
  <c r="AM2671" i="27" s="1"/>
  <c r="D2672" i="27"/>
  <c r="AM2672" i="27" s="1"/>
  <c r="D2673" i="27"/>
  <c r="AM2673" i="27" s="1"/>
  <c r="D2674" i="27"/>
  <c r="D2675" i="27"/>
  <c r="AM2675" i="27" s="1"/>
  <c r="AN2675" i="27" s="1"/>
  <c r="AO2675" i="27" s="1"/>
  <c r="D2676" i="27"/>
  <c r="D2677" i="27"/>
  <c r="AM2677" i="27" s="1"/>
  <c r="D2678" i="27"/>
  <c r="AM2678" i="27" s="1"/>
  <c r="AH2678" i="27" s="1"/>
  <c r="D2679" i="27"/>
  <c r="AM2679" i="27" s="1"/>
  <c r="AH2679" i="27" s="1"/>
  <c r="D2680" i="27"/>
  <c r="AM2680" i="27" s="1"/>
  <c r="AN2680" i="27" s="1"/>
  <c r="AO2680" i="27" s="1"/>
  <c r="D2681" i="27"/>
  <c r="D2682" i="27"/>
  <c r="AM2682" i="27" s="1"/>
  <c r="D2683" i="27"/>
  <c r="D2684" i="27"/>
  <c r="AM2684" i="27" s="1"/>
  <c r="D2685" i="27"/>
  <c r="D2686" i="27"/>
  <c r="D2687" i="27"/>
  <c r="AM2687" i="27" s="1"/>
  <c r="AN2687" i="27" s="1"/>
  <c r="AO2687" i="27" s="1"/>
  <c r="D2688" i="27"/>
  <c r="AM2688" i="27" s="1"/>
  <c r="AN2688" i="27" s="1"/>
  <c r="AO2688" i="27" s="1"/>
  <c r="D2689" i="27"/>
  <c r="AM2689" i="27" s="1"/>
  <c r="AN2689" i="27" s="1"/>
  <c r="AO2689" i="27" s="1"/>
  <c r="D2690" i="27"/>
  <c r="AM2690" i="27" s="1"/>
  <c r="D2691" i="27"/>
  <c r="AM2691" i="27" s="1"/>
  <c r="AH2691" i="27" s="1"/>
  <c r="D2692" i="27"/>
  <c r="D2693" i="27"/>
  <c r="AM2693" i="27" s="1"/>
  <c r="AH2693" i="27" s="1"/>
  <c r="D2694" i="27"/>
  <c r="AM2694" i="27" s="1"/>
  <c r="AN2694" i="27" s="1"/>
  <c r="AO2694" i="27" s="1"/>
  <c r="D2695" i="27"/>
  <c r="AM2695" i="27" s="1"/>
  <c r="D2696" i="27"/>
  <c r="D2697" i="27"/>
  <c r="AM2697" i="27" s="1"/>
  <c r="AN2697" i="27" s="1"/>
  <c r="AO2697" i="27" s="1"/>
  <c r="D2698" i="27"/>
  <c r="AM2698" i="27" s="1"/>
  <c r="AH2698" i="27" s="1"/>
  <c r="D2699" i="27"/>
  <c r="AM2699" i="27" s="1"/>
  <c r="AH2699" i="27" s="1"/>
  <c r="D2700" i="27"/>
  <c r="AM2700" i="27" s="1"/>
  <c r="D2701" i="27"/>
  <c r="D2702" i="27"/>
  <c r="D2703" i="27"/>
  <c r="D2704" i="27"/>
  <c r="AM2704" i="27" s="1"/>
  <c r="AH2704" i="27" s="1"/>
  <c r="D2705" i="27"/>
  <c r="D2706" i="27"/>
  <c r="AM2706" i="27" s="1"/>
  <c r="AN2706" i="27" s="1"/>
  <c r="AO2706" i="27" s="1"/>
  <c r="D2707" i="27"/>
  <c r="D2708" i="27"/>
  <c r="AM2708" i="27" s="1"/>
  <c r="D2709" i="27"/>
  <c r="AM2709" i="27" s="1"/>
  <c r="D2710" i="27"/>
  <c r="D2711" i="27"/>
  <c r="D2712" i="27"/>
  <c r="AM2712" i="27" s="1"/>
  <c r="AN2712" i="27" s="1"/>
  <c r="AO2712" i="27" s="1"/>
  <c r="D2713" i="27"/>
  <c r="D2714" i="27"/>
  <c r="D2715" i="27"/>
  <c r="D2716" i="27"/>
  <c r="D2717" i="27"/>
  <c r="D2718" i="27"/>
  <c r="D2719" i="27"/>
  <c r="D2720" i="27"/>
  <c r="AM2720" i="27" s="1"/>
  <c r="D2721" i="27"/>
  <c r="D2722" i="27"/>
  <c r="AM2722" i="27" s="1"/>
  <c r="AH2722" i="27" s="1"/>
  <c r="D2723" i="27"/>
  <c r="AM2723" i="27" s="1"/>
  <c r="AH2723" i="27" s="1"/>
  <c r="D2724" i="27"/>
  <c r="D2725" i="27"/>
  <c r="AM2725" i="27" s="1"/>
  <c r="AN2725" i="27" s="1"/>
  <c r="AO2725" i="27" s="1"/>
  <c r="D2726" i="27"/>
  <c r="D2727" i="27"/>
  <c r="D2728" i="27"/>
  <c r="D2729" i="27"/>
  <c r="D2730" i="27"/>
  <c r="AM2730" i="27" s="1"/>
  <c r="D2731" i="27"/>
  <c r="D2732" i="27"/>
  <c r="AM2732" i="27" s="1"/>
  <c r="AN2732" i="27" s="1"/>
  <c r="AO2732" i="27" s="1"/>
  <c r="D2733" i="27"/>
  <c r="D2734" i="27"/>
  <c r="AM2734" i="27" s="1"/>
  <c r="AN2734" i="27" s="1"/>
  <c r="AO2734" i="27" s="1"/>
  <c r="D2735" i="27"/>
  <c r="D2736" i="27"/>
  <c r="AM2736" i="27" s="1"/>
  <c r="AH2736" i="27" s="1"/>
  <c r="D2737" i="27"/>
  <c r="D2738" i="27"/>
  <c r="AM2738" i="27" s="1"/>
  <c r="AH2738" i="27" s="1"/>
  <c r="D2739" i="27"/>
  <c r="AM2739" i="27" s="1"/>
  <c r="D2740" i="27"/>
  <c r="AM2740" i="27" s="1"/>
  <c r="D2741" i="27"/>
  <c r="D2742" i="27"/>
  <c r="AM2742" i="27" s="1"/>
  <c r="AH2742" i="27" s="1"/>
  <c r="D2743" i="27"/>
  <c r="D2744" i="27"/>
  <c r="D2745" i="27"/>
  <c r="AM2745" i="27" s="1"/>
  <c r="AH2745" i="27" s="1"/>
  <c r="D2746" i="27"/>
  <c r="D2747" i="27"/>
  <c r="D2748" i="27"/>
  <c r="AM2748" i="27" s="1"/>
  <c r="D2749" i="27"/>
  <c r="D2750" i="27"/>
  <c r="AM2750" i="27" s="1"/>
  <c r="AN2750" i="27" s="1"/>
  <c r="AO2750" i="27" s="1"/>
  <c r="D2751" i="27"/>
  <c r="D2752" i="27"/>
  <c r="AM2752" i="27" s="1"/>
  <c r="D2753" i="27"/>
  <c r="D2754" i="27"/>
  <c r="AM2754" i="27" s="1"/>
  <c r="AN2754" i="27" s="1"/>
  <c r="AO2754" i="27" s="1"/>
  <c r="D2755" i="27"/>
  <c r="AM2755" i="27" s="1"/>
  <c r="AN2755" i="27" s="1"/>
  <c r="AO2755" i="27" s="1"/>
  <c r="D2756" i="27"/>
  <c r="AM2756" i="27" s="1"/>
  <c r="AH2756" i="27" s="1"/>
  <c r="D2757" i="27"/>
  <c r="AM2757" i="27" s="1"/>
  <c r="AN2757" i="27" s="1"/>
  <c r="AO2757" i="27" s="1"/>
  <c r="D2758" i="27"/>
  <c r="D2759" i="27"/>
  <c r="D2760" i="27"/>
  <c r="AM2760" i="27" s="1"/>
  <c r="D2761" i="27"/>
  <c r="D2762" i="27"/>
  <c r="AM2762" i="27" s="1"/>
  <c r="D2763" i="27"/>
  <c r="D2764" i="27"/>
  <c r="AM2764" i="27" s="1"/>
  <c r="AH2764" i="27" s="1"/>
  <c r="D2765" i="27"/>
  <c r="D2766" i="27"/>
  <c r="AM2766" i="27" s="1"/>
  <c r="AN2766" i="27" s="1"/>
  <c r="AO2766" i="27" s="1"/>
  <c r="D2767" i="27"/>
  <c r="D2768" i="27"/>
  <c r="AM2768" i="27" s="1"/>
  <c r="D2769" i="27"/>
  <c r="D2770" i="27"/>
  <c r="AM2770" i="27" s="1"/>
  <c r="D2771" i="27"/>
  <c r="AM2771" i="27" s="1"/>
  <c r="D2772" i="27"/>
  <c r="D2773" i="27"/>
  <c r="D2774" i="27"/>
  <c r="AM2774" i="27" s="1"/>
  <c r="D2775" i="27"/>
  <c r="D2776" i="27"/>
  <c r="AM2776" i="27" s="1"/>
  <c r="AN2776" i="27" s="1"/>
  <c r="AO2776" i="27" s="1"/>
  <c r="D2777" i="27"/>
  <c r="D2778" i="27"/>
  <c r="D2779" i="27"/>
  <c r="D2780" i="27"/>
  <c r="AM2780" i="27" s="1"/>
  <c r="D2781" i="27"/>
  <c r="AM2781" i="27" s="1"/>
  <c r="D2782" i="27"/>
  <c r="AM2782" i="27" s="1"/>
  <c r="D2783" i="27"/>
  <c r="AM2783" i="27" s="1"/>
  <c r="AH2783" i="27" s="1"/>
  <c r="D2784" i="27"/>
  <c r="D2785" i="27"/>
  <c r="D2786" i="27"/>
  <c r="D2787" i="27"/>
  <c r="D2788" i="27"/>
  <c r="AM2788" i="27" s="1"/>
  <c r="D2789" i="27"/>
  <c r="D2790" i="27"/>
  <c r="AM2790" i="27" s="1"/>
  <c r="AN2790" i="27" s="1"/>
  <c r="AO2790" i="27" s="1"/>
  <c r="D2791" i="27"/>
  <c r="D2792" i="27"/>
  <c r="AM2792" i="27" s="1"/>
  <c r="D2793" i="27"/>
  <c r="AM2793" i="27" s="1"/>
  <c r="AN2793" i="27" s="1"/>
  <c r="AO2793" i="27" s="1"/>
  <c r="D2794" i="27"/>
  <c r="AM2794" i="27" s="1"/>
  <c r="D2795" i="27"/>
  <c r="D2796" i="27"/>
  <c r="AM2796" i="27" s="1"/>
  <c r="D2797" i="27"/>
  <c r="AM2797" i="27" s="1"/>
  <c r="AN2797" i="27" s="1"/>
  <c r="AO2797" i="27" s="1"/>
  <c r="D2798" i="27"/>
  <c r="AM2798" i="27" s="1"/>
  <c r="D2799" i="27"/>
  <c r="AM2799" i="27" s="1"/>
  <c r="AH2799" i="27" s="1"/>
  <c r="D2800" i="27"/>
  <c r="AM2800" i="27" s="1"/>
  <c r="D2801" i="27"/>
  <c r="AM2801" i="27" s="1"/>
  <c r="AH2801" i="27" s="1"/>
  <c r="D2802" i="27"/>
  <c r="AM2802" i="27" s="1"/>
  <c r="D2803" i="27"/>
  <c r="D2804" i="27"/>
  <c r="AM2804" i="27" s="1"/>
  <c r="AH2804" i="27" s="1"/>
  <c r="D2805" i="27"/>
  <c r="D2806" i="27"/>
  <c r="AM2806" i="27" s="1"/>
  <c r="D2807" i="27"/>
  <c r="D2808" i="27"/>
  <c r="D2809" i="27"/>
  <c r="D2810" i="27"/>
  <c r="D2811" i="27"/>
  <c r="D2812" i="27"/>
  <c r="D2813" i="27"/>
  <c r="D2814" i="27"/>
  <c r="D2815" i="27"/>
  <c r="D2816" i="27"/>
  <c r="AM2816" i="27" s="1"/>
  <c r="D2817" i="27"/>
  <c r="AM2817" i="27" s="1"/>
  <c r="AH2817" i="27" s="1"/>
  <c r="D2818" i="27"/>
  <c r="AM2818" i="27" s="1"/>
  <c r="D2819" i="27"/>
  <c r="D2820" i="27"/>
  <c r="AM2820" i="27" s="1"/>
  <c r="AN2820" i="27" s="1"/>
  <c r="AO2820" i="27" s="1"/>
  <c r="D2821" i="27"/>
  <c r="D2822" i="27"/>
  <c r="D2823" i="27"/>
  <c r="AM2823" i="27" s="1"/>
  <c r="D2824" i="27"/>
  <c r="AM2824" i="27" s="1"/>
  <c r="D2825" i="27"/>
  <c r="D2826" i="27"/>
  <c r="AM2826" i="27" s="1"/>
  <c r="AH2826" i="27" s="1"/>
  <c r="D2827" i="27"/>
  <c r="D2828" i="27"/>
  <c r="D2829" i="27"/>
  <c r="D2830" i="27"/>
  <c r="D2831" i="27"/>
  <c r="AM2831" i="27" s="1"/>
  <c r="AN2831" i="27" s="1"/>
  <c r="AO2831" i="27" s="1"/>
  <c r="D2832" i="27"/>
  <c r="AM2832" i="27" s="1"/>
  <c r="D2833" i="27"/>
  <c r="D2834" i="27"/>
  <c r="AM2834" i="27" s="1"/>
  <c r="AH2834" i="27" s="1"/>
  <c r="D2835" i="27"/>
  <c r="D2836" i="27"/>
  <c r="AM2836" i="27" s="1"/>
  <c r="D2837" i="27"/>
  <c r="D2838" i="27"/>
  <c r="AM2838" i="27" s="1"/>
  <c r="D2839" i="27"/>
  <c r="D2840" i="27"/>
  <c r="AM2840" i="27" s="1"/>
  <c r="AN2840" i="27" s="1"/>
  <c r="AO2840" i="27" s="1"/>
  <c r="D2841" i="27"/>
  <c r="D2842" i="27"/>
  <c r="AM2842" i="27" s="1"/>
  <c r="D2843" i="27"/>
  <c r="D2844" i="27"/>
  <c r="AM2844" i="27" s="1"/>
  <c r="AN2844" i="27" s="1"/>
  <c r="AO2844" i="27" s="1"/>
  <c r="D2845" i="27"/>
  <c r="D2846" i="27"/>
  <c r="AM2846" i="27" s="1"/>
  <c r="AN2846" i="27" s="1"/>
  <c r="AO2846" i="27" s="1"/>
  <c r="D2847" i="27"/>
  <c r="D2848" i="27"/>
  <c r="AM2848" i="27" s="1"/>
  <c r="D2849" i="27"/>
  <c r="D2850" i="27"/>
  <c r="AM2850" i="27" s="1"/>
  <c r="AH2850" i="27" s="1"/>
  <c r="D2851" i="27"/>
  <c r="AM2851" i="27" s="1"/>
  <c r="D2852" i="27"/>
  <c r="AM2852" i="27" s="1"/>
  <c r="D2853" i="27"/>
  <c r="D2854" i="27"/>
  <c r="AM2854" i="27" s="1"/>
  <c r="AH2854" i="27" s="1"/>
  <c r="D2855" i="27"/>
  <c r="AM2855" i="27" s="1"/>
  <c r="AH2855" i="27" s="1"/>
  <c r="D2856" i="27"/>
  <c r="AM2856" i="27" s="1"/>
  <c r="D2857" i="27"/>
  <c r="AM2857" i="27" s="1"/>
  <c r="D2858" i="27"/>
  <c r="AM2858" i="27" s="1"/>
  <c r="D2859" i="27"/>
  <c r="AM2859" i="27" s="1"/>
  <c r="AH2859" i="27" s="1"/>
  <c r="D2860" i="27"/>
  <c r="AM2860" i="27" s="1"/>
  <c r="AN2860" i="27" s="1"/>
  <c r="AO2860" i="27" s="1"/>
  <c r="D2861" i="27"/>
  <c r="D2862" i="27"/>
  <c r="AM2862" i="27" s="1"/>
  <c r="D2863" i="27"/>
  <c r="D2864" i="27"/>
  <c r="D2865" i="27"/>
  <c r="D2866" i="27"/>
  <c r="D2867" i="27"/>
  <c r="AM2867" i="27" s="1"/>
  <c r="AN2867" i="27" s="1"/>
  <c r="AO2867" i="27" s="1"/>
  <c r="D2868" i="27"/>
  <c r="D2869" i="27"/>
  <c r="D2870" i="27"/>
  <c r="AM2870" i="27" s="1"/>
  <c r="D2871" i="27"/>
  <c r="AM2871" i="27" s="1"/>
  <c r="D2872" i="27"/>
  <c r="AM2872" i="27" s="1"/>
  <c r="AH2872" i="27" s="1"/>
  <c r="D2873" i="27"/>
  <c r="AM2873" i="27" s="1"/>
  <c r="D2874" i="27"/>
  <c r="AM2874" i="27" s="1"/>
  <c r="AN2874" i="27" s="1"/>
  <c r="AO2874" i="27" s="1"/>
  <c r="D2875" i="27"/>
  <c r="D2876" i="27"/>
  <c r="D2877" i="27"/>
  <c r="D2878" i="27"/>
  <c r="D2879" i="27"/>
  <c r="AM2879" i="27" s="1"/>
  <c r="D2880" i="27"/>
  <c r="D2881" i="27"/>
  <c r="D2882" i="27"/>
  <c r="D2883" i="27"/>
  <c r="D2884" i="27"/>
  <c r="D2885" i="27"/>
  <c r="D2886" i="27"/>
  <c r="AM2886" i="27" s="1"/>
  <c r="D2887" i="27"/>
  <c r="D2888" i="27"/>
  <c r="AM2888" i="27" s="1"/>
  <c r="AH2888" i="27" s="1"/>
  <c r="D2889" i="27"/>
  <c r="AM2889" i="27" s="1"/>
  <c r="D2890" i="27"/>
  <c r="D2891" i="27"/>
  <c r="AM2891" i="27" s="1"/>
  <c r="AN2891" i="27" s="1"/>
  <c r="AO2891" i="27" s="1"/>
  <c r="D2892" i="27"/>
  <c r="D2893" i="27"/>
  <c r="D2894" i="27"/>
  <c r="D2895" i="27"/>
  <c r="D2896" i="27"/>
  <c r="AM2896" i="27" s="1"/>
  <c r="D2897" i="27"/>
  <c r="D2898" i="27"/>
  <c r="AM2898" i="27" s="1"/>
  <c r="AH2898" i="27" s="1"/>
  <c r="D2899" i="27"/>
  <c r="D2900" i="27"/>
  <c r="AM2900" i="27" s="1"/>
  <c r="D2901" i="27"/>
  <c r="D2902" i="27"/>
  <c r="AM2902" i="27" s="1"/>
  <c r="D2903" i="27"/>
  <c r="AM2903" i="27" s="1"/>
  <c r="AH2903" i="27" s="1"/>
  <c r="D2904" i="27"/>
  <c r="D2905" i="27"/>
  <c r="D2906" i="27"/>
  <c r="AM2906" i="27" s="1"/>
  <c r="AN2906" i="27" s="1"/>
  <c r="AO2906" i="27" s="1"/>
  <c r="D2907" i="27"/>
  <c r="D2908" i="27"/>
  <c r="D2909" i="27"/>
  <c r="D2910" i="27"/>
  <c r="AM2910" i="27" s="1"/>
  <c r="AH2910" i="27" s="1"/>
  <c r="D2911" i="27"/>
  <c r="AM2911" i="27" s="1"/>
  <c r="D2912" i="27"/>
  <c r="AM2912" i="27" s="1"/>
  <c r="D2913" i="27"/>
  <c r="AM2913" i="27" s="1"/>
  <c r="AN2913" i="27" s="1"/>
  <c r="AO2913" i="27" s="1"/>
  <c r="D2914" i="27"/>
  <c r="D2915" i="27"/>
  <c r="D2916" i="27"/>
  <c r="AM2916" i="27" s="1"/>
  <c r="AH2916" i="27" s="1"/>
  <c r="D2917" i="27"/>
  <c r="AM2917" i="27" s="1"/>
  <c r="D2918" i="27"/>
  <c r="AM2918" i="27" s="1"/>
  <c r="D2919" i="27"/>
  <c r="D2920" i="27"/>
  <c r="AM2920" i="27" s="1"/>
  <c r="AH2920" i="27" s="1"/>
  <c r="D2921" i="27"/>
  <c r="D2922" i="27"/>
  <c r="D2923" i="27"/>
  <c r="AM2923" i="27" s="1"/>
  <c r="AN2923" i="27" s="1"/>
  <c r="AO2923" i="27" s="1"/>
  <c r="D2924" i="27"/>
  <c r="D2925" i="27"/>
  <c r="AM2925" i="27" s="1"/>
  <c r="AN2925" i="27" s="1"/>
  <c r="AO2925" i="27" s="1"/>
  <c r="D2926" i="27"/>
  <c r="AM2926" i="27" s="1"/>
  <c r="D2927" i="27"/>
  <c r="D2930" i="27"/>
  <c r="D2931" i="27"/>
  <c r="D2932" i="27"/>
  <c r="AM2932" i="27" s="1"/>
  <c r="D2934" i="27"/>
  <c r="D2936" i="27"/>
  <c r="AM2936" i="27" s="1"/>
  <c r="AH2936" i="27" s="1"/>
  <c r="D2937" i="27"/>
  <c r="AM2937" i="27" s="1"/>
  <c r="AN2937" i="27" s="1"/>
  <c r="AO2937" i="27" s="1"/>
  <c r="D2941" i="27"/>
  <c r="AM2941" i="27" s="1"/>
  <c r="AH2941" i="27" s="1"/>
  <c r="D2943" i="27"/>
  <c r="D2944" i="27"/>
  <c r="AM2944" i="27" s="1"/>
  <c r="D2945" i="27"/>
  <c r="D2946" i="27"/>
  <c r="D2947" i="27"/>
  <c r="D2949" i="27"/>
  <c r="D2950" i="27"/>
  <c r="D2951" i="27"/>
  <c r="D2953" i="27"/>
  <c r="D2958" i="27"/>
  <c r="AM2958" i="27" s="1"/>
  <c r="AH2958" i="27" s="1"/>
  <c r="D2959" i="27"/>
  <c r="D2960" i="27"/>
  <c r="AM2960" i="27" s="1"/>
  <c r="D2962" i="27"/>
  <c r="AM2962" i="27" s="1"/>
  <c r="AH2962" i="27" s="1"/>
  <c r="D2963" i="27"/>
  <c r="D2966" i="27"/>
  <c r="D2967" i="27"/>
  <c r="D2976" i="27"/>
  <c r="AM2976" i="27" s="1"/>
  <c r="AH2976" i="27" s="1"/>
  <c r="D2978" i="27"/>
  <c r="AM2978" i="27" s="1"/>
  <c r="AH2978" i="27" s="1"/>
  <c r="D2023" i="27"/>
  <c r="D1377" i="27"/>
  <c r="D1386" i="27"/>
  <c r="AM1386" i="27" s="1"/>
  <c r="D2979" i="27"/>
  <c r="AM2979" i="27" s="1"/>
  <c r="AH2979" i="27" s="1"/>
  <c r="D1322" i="27"/>
  <c r="AM1322" i="27" s="1"/>
  <c r="AN1322" i="27" s="1"/>
  <c r="AO1322" i="27" s="1"/>
  <c r="D3189" i="27"/>
  <c r="AM3189" i="27" s="1"/>
  <c r="AH3189" i="27" s="1"/>
  <c r="D3003" i="27"/>
  <c r="AM3003" i="27" s="1"/>
  <c r="AH3003" i="27" s="1"/>
  <c r="D3004" i="27"/>
  <c r="AM3004" i="27" s="1"/>
  <c r="D1394" i="27"/>
  <c r="D3005" i="27"/>
  <c r="AM3005" i="27" s="1"/>
  <c r="D3006" i="27"/>
  <c r="D1333" i="27"/>
  <c r="AM1333" i="27" s="1"/>
  <c r="AN1333" i="27" s="1"/>
  <c r="AO1333" i="27" s="1"/>
  <c r="D1566" i="27"/>
  <c r="AM1566" i="27" s="1"/>
  <c r="D1500" i="27"/>
  <c r="AM1500" i="27" s="1"/>
  <c r="D1344" i="27"/>
  <c r="AM1344" i="27" s="1"/>
  <c r="AH1344" i="27" s="1"/>
  <c r="D3294" i="27"/>
  <c r="D1447" i="27"/>
  <c r="D2298" i="27"/>
  <c r="AM2298" i="27" s="1"/>
  <c r="D3010" i="27"/>
  <c r="D3008" i="27"/>
  <c r="D3009" i="27"/>
  <c r="D1396" i="27"/>
  <c r="AM1396" i="27" s="1"/>
  <c r="D3002" i="27"/>
  <c r="AM3002" i="27" s="1"/>
  <c r="D1448" i="27"/>
  <c r="D2042" i="27"/>
  <c r="AM2042" i="27" s="1"/>
  <c r="D1395" i="27"/>
  <c r="AM1395" i="27" s="1"/>
  <c r="D3013" i="27"/>
  <c r="D1423" i="27"/>
  <c r="D1477" i="27"/>
  <c r="D1521" i="27"/>
  <c r="D1568" i="27"/>
  <c r="D1397" i="27"/>
  <c r="D1613" i="27"/>
  <c r="AM1613" i="27" s="1"/>
  <c r="AH1613" i="27" s="1"/>
  <c r="D1346" i="27"/>
  <c r="AM1346" i="27" s="1"/>
  <c r="D3016" i="27"/>
  <c r="AM3016" i="27" s="1"/>
  <c r="AH3016" i="27" s="1"/>
  <c r="D3017" i="27"/>
  <c r="AM3017" i="27" s="1"/>
  <c r="D3185" i="27"/>
  <c r="D1422" i="27"/>
  <c r="D1476" i="27"/>
  <c r="D3001" i="27"/>
  <c r="AM3001" i="27" s="1"/>
  <c r="AN3001" i="27" s="1"/>
  <c r="AO3001" i="27" s="1"/>
  <c r="D3011" i="27"/>
  <c r="D3012" i="27"/>
  <c r="AM3012" i="27" s="1"/>
  <c r="D3014" i="27"/>
  <c r="D3015" i="27"/>
  <c r="AM3015" i="27" s="1"/>
  <c r="D3205" i="27"/>
  <c r="D2983" i="27"/>
  <c r="D1543" i="27"/>
  <c r="D1482" i="27"/>
  <c r="D3301" i="27"/>
  <c r="AM3301" i="27" s="1"/>
  <c r="D1607" i="27"/>
  <c r="AM1607" i="27" s="1"/>
  <c r="D3308" i="27"/>
  <c r="AM3308" i="27" s="1"/>
  <c r="AM1433" i="27"/>
  <c r="AF1433" i="27"/>
  <c r="AE1433" i="27"/>
  <c r="AD1433" i="27"/>
  <c r="AC1433" i="27"/>
  <c r="AB1433" i="27"/>
  <c r="R1433" i="27"/>
  <c r="Q1433" i="27"/>
  <c r="P1433" i="27"/>
  <c r="AM2310" i="27"/>
  <c r="AF2310" i="27"/>
  <c r="AE2310" i="27"/>
  <c r="AD2310" i="27"/>
  <c r="AC2310" i="27"/>
  <c r="AB2310" i="27"/>
  <c r="R2310" i="27"/>
  <c r="Q2310" i="27"/>
  <c r="P2310" i="27"/>
  <c r="AM1712" i="27"/>
  <c r="AF1712" i="27"/>
  <c r="AE1712" i="27"/>
  <c r="AD1712" i="27"/>
  <c r="AC1712" i="27"/>
  <c r="AB1712" i="27"/>
  <c r="R1712" i="27"/>
  <c r="Q1712" i="27"/>
  <c r="P1712" i="27"/>
  <c r="AM3179" i="27"/>
  <c r="AH3179" i="27" s="1"/>
  <c r="AF3179" i="27"/>
  <c r="AE3179" i="27"/>
  <c r="AD3179" i="27"/>
  <c r="AC3179" i="27"/>
  <c r="AB3179" i="27"/>
  <c r="R3179" i="27"/>
  <c r="Q3179" i="27"/>
  <c r="P3179" i="27"/>
  <c r="AM3178" i="27"/>
  <c r="AN3178" i="27" s="1"/>
  <c r="AO3178" i="27" s="1"/>
  <c r="AF3178" i="27"/>
  <c r="AE3178" i="27"/>
  <c r="AD3178" i="27"/>
  <c r="AB3178" i="27"/>
  <c r="R3178" i="27"/>
  <c r="Q3178" i="27"/>
  <c r="P3178" i="27"/>
  <c r="AF1306" i="27"/>
  <c r="AE1306" i="27"/>
  <c r="AD1306" i="27"/>
  <c r="AC1306" i="27"/>
  <c r="AB1306" i="27"/>
  <c r="R1306" i="27"/>
  <c r="Q1306" i="27"/>
  <c r="P1306" i="27"/>
  <c r="E1306" i="27"/>
  <c r="AF1361" i="27"/>
  <c r="AE1361" i="27"/>
  <c r="AD1361" i="27"/>
  <c r="AC1361" i="27"/>
  <c r="AB1361" i="27"/>
  <c r="R1361" i="27"/>
  <c r="Q1361" i="27"/>
  <c r="P1361" i="27"/>
  <c r="E1361" i="27"/>
  <c r="AF3010" i="27"/>
  <c r="AE3010" i="27"/>
  <c r="AD3010" i="27"/>
  <c r="AC3010" i="27"/>
  <c r="AB3010" i="27"/>
  <c r="R3010" i="27"/>
  <c r="Q3010" i="27"/>
  <c r="P3010" i="27"/>
  <c r="E3010" i="27"/>
  <c r="AF2298" i="27"/>
  <c r="AE2298" i="27"/>
  <c r="AD2298" i="27"/>
  <c r="AC2298" i="27"/>
  <c r="AB2298" i="27"/>
  <c r="R2298" i="27"/>
  <c r="Q2298" i="27"/>
  <c r="P2298" i="27"/>
  <c r="E2298" i="27"/>
  <c r="AF1447" i="27"/>
  <c r="AE1447" i="27"/>
  <c r="AD1447" i="27"/>
  <c r="AC1447" i="27"/>
  <c r="AB1447" i="27"/>
  <c r="R1447" i="27"/>
  <c r="Q1447" i="27"/>
  <c r="P1447" i="27"/>
  <c r="E1447" i="27"/>
  <c r="AF3294" i="27"/>
  <c r="AE3294" i="27"/>
  <c r="AD3294" i="27"/>
  <c r="AC3294" i="27"/>
  <c r="AB3294" i="27"/>
  <c r="R3294" i="27"/>
  <c r="Q3294" i="27"/>
  <c r="P3294" i="27"/>
  <c r="E3294" i="27"/>
  <c r="AF1344" i="27"/>
  <c r="AE1344" i="27"/>
  <c r="AD1344" i="27"/>
  <c r="AC1344" i="27"/>
  <c r="AB1344" i="27"/>
  <c r="R1344" i="27"/>
  <c r="Q1344" i="27"/>
  <c r="P1344" i="27"/>
  <c r="E1344" i="27"/>
  <c r="AF1500" i="27"/>
  <c r="AE1500" i="27"/>
  <c r="AD1500" i="27"/>
  <c r="AC1500" i="27"/>
  <c r="AB1500" i="27"/>
  <c r="R1500" i="27"/>
  <c r="Q1500" i="27"/>
  <c r="P1500" i="27"/>
  <c r="E1500" i="27"/>
  <c r="AF1566" i="27"/>
  <c r="AE1566" i="27"/>
  <c r="AD1566" i="27"/>
  <c r="AC1566" i="27"/>
  <c r="AB1566" i="27"/>
  <c r="R1566" i="27"/>
  <c r="Q1566" i="27"/>
  <c r="P1566" i="27"/>
  <c r="E1566" i="27"/>
  <c r="AF1333" i="27"/>
  <c r="AE1333" i="27"/>
  <c r="AD1333" i="27"/>
  <c r="AC1333" i="27"/>
  <c r="AB1333" i="27"/>
  <c r="R1333" i="27"/>
  <c r="Q1333" i="27"/>
  <c r="P1333" i="27"/>
  <c r="E1333" i="27"/>
  <c r="AF3006" i="27"/>
  <c r="AE3006" i="27"/>
  <c r="AD3006" i="27"/>
  <c r="AC3006" i="27"/>
  <c r="AB3006" i="27"/>
  <c r="R3006" i="27"/>
  <c r="Q3006" i="27"/>
  <c r="P3006" i="27"/>
  <c r="E3006" i="27"/>
  <c r="AF3005" i="27"/>
  <c r="AE3005" i="27"/>
  <c r="AD3005" i="27"/>
  <c r="AC3005" i="27"/>
  <c r="AB3005" i="27"/>
  <c r="R3005" i="27"/>
  <c r="Q3005" i="27"/>
  <c r="P3005" i="27"/>
  <c r="E3005" i="27"/>
  <c r="AF1394" i="27"/>
  <c r="AE1394" i="27"/>
  <c r="AD1394" i="27"/>
  <c r="AC1394" i="27"/>
  <c r="AB1394" i="27"/>
  <c r="R1394" i="27"/>
  <c r="Q1394" i="27"/>
  <c r="P1394" i="27"/>
  <c r="E1394" i="27"/>
  <c r="AF3004" i="27"/>
  <c r="AE3004" i="27"/>
  <c r="AD3004" i="27"/>
  <c r="AC3004" i="27"/>
  <c r="AB3004" i="27"/>
  <c r="R3004" i="27"/>
  <c r="Q3004" i="27"/>
  <c r="P3004" i="27"/>
  <c r="E3004" i="27"/>
  <c r="AF3003" i="27"/>
  <c r="AE3003" i="27"/>
  <c r="AD3003" i="27"/>
  <c r="AC3003" i="27"/>
  <c r="AB3003" i="27"/>
  <c r="R3003" i="27"/>
  <c r="Q3003" i="27"/>
  <c r="P3003" i="27"/>
  <c r="E3003" i="27"/>
  <c r="AF3189" i="27"/>
  <c r="AE3189" i="27"/>
  <c r="AD3189" i="27"/>
  <c r="AC3189" i="27"/>
  <c r="AB3189" i="27"/>
  <c r="R3189" i="27"/>
  <c r="Q3189" i="27"/>
  <c r="P3189" i="27"/>
  <c r="E3189" i="27"/>
  <c r="AF1322" i="27"/>
  <c r="AE1322" i="27"/>
  <c r="AD1322" i="27"/>
  <c r="AC1322" i="27"/>
  <c r="AB1322" i="27"/>
  <c r="R1322" i="27"/>
  <c r="Q1322" i="27"/>
  <c r="P1322" i="27"/>
  <c r="E1322" i="27"/>
  <c r="AF2979" i="27"/>
  <c r="AE2979" i="27"/>
  <c r="AD2979" i="27"/>
  <c r="AC2979" i="27"/>
  <c r="AB2979" i="27"/>
  <c r="R2979" i="27"/>
  <c r="Q2979" i="27"/>
  <c r="P2979" i="27"/>
  <c r="E2979" i="27"/>
  <c r="AF1386" i="27"/>
  <c r="AE1386" i="27"/>
  <c r="AD1386" i="27"/>
  <c r="AC1386" i="27"/>
  <c r="AB1386" i="27"/>
  <c r="R1386" i="27"/>
  <c r="Q1386" i="27"/>
  <c r="P1386" i="27"/>
  <c r="E1386" i="27"/>
  <c r="AF1377" i="27"/>
  <c r="AE1377" i="27"/>
  <c r="AD1377" i="27"/>
  <c r="AC1377" i="27"/>
  <c r="AB1377" i="27"/>
  <c r="R1377" i="27"/>
  <c r="Q1377" i="27"/>
  <c r="P1377" i="27"/>
  <c r="E1377" i="27"/>
  <c r="AF2023" i="27"/>
  <c r="AE2023" i="27"/>
  <c r="AD2023" i="27"/>
  <c r="AC2023" i="27"/>
  <c r="AB2023" i="27"/>
  <c r="R2023" i="27"/>
  <c r="Q2023" i="27"/>
  <c r="P2023" i="27"/>
  <c r="E2023" i="27"/>
  <c r="AF1663" i="27"/>
  <c r="AE1663" i="27"/>
  <c r="AD1663" i="27"/>
  <c r="AC1663" i="27"/>
  <c r="AB1663" i="27"/>
  <c r="R1663" i="27"/>
  <c r="Q1663" i="27"/>
  <c r="P1663" i="27"/>
  <c r="E1663" i="27"/>
  <c r="AF3000" i="27"/>
  <c r="AE3000" i="27"/>
  <c r="AD3000" i="27"/>
  <c r="AC3000" i="27"/>
  <c r="AB3000" i="27"/>
  <c r="R3000" i="27"/>
  <c r="Q3000" i="27"/>
  <c r="P3000" i="27"/>
  <c r="E3000" i="27"/>
  <c r="AF1420" i="27"/>
  <c r="AE1420" i="27"/>
  <c r="AD1420" i="27"/>
  <c r="AC1420" i="27"/>
  <c r="AB1420" i="27"/>
  <c r="R1420" i="27"/>
  <c r="Q1420" i="27"/>
  <c r="P1420" i="27"/>
  <c r="E1420" i="27"/>
  <c r="AF1393" i="27"/>
  <c r="AE1393" i="27"/>
  <c r="AD1393" i="27"/>
  <c r="AC1393" i="27"/>
  <c r="AB1393" i="27"/>
  <c r="R1393" i="27"/>
  <c r="Q1393" i="27"/>
  <c r="P1393" i="27"/>
  <c r="E1393" i="27"/>
  <c r="AF1564" i="27"/>
  <c r="AE1564" i="27"/>
  <c r="AD1564" i="27"/>
  <c r="AC1564" i="27"/>
  <c r="AB1564" i="27"/>
  <c r="R1564" i="27"/>
  <c r="Q1564" i="27"/>
  <c r="P1564" i="27"/>
  <c r="E1564" i="27"/>
  <c r="AF1326" i="27"/>
  <c r="AE1326" i="27"/>
  <c r="AD1326" i="27"/>
  <c r="AC1326" i="27"/>
  <c r="AB1326" i="27"/>
  <c r="R1326" i="27"/>
  <c r="Q1326" i="27"/>
  <c r="P1326" i="27"/>
  <c r="E1326" i="27"/>
  <c r="AF2297" i="27"/>
  <c r="AE2297" i="27"/>
  <c r="AD2297" i="27"/>
  <c r="AC2297" i="27"/>
  <c r="AB2297" i="27"/>
  <c r="R2297" i="27"/>
  <c r="Q2297" i="27"/>
  <c r="P2297" i="27"/>
  <c r="E2297" i="27"/>
  <c r="AF2302" i="27"/>
  <c r="AE2302" i="27"/>
  <c r="AD2302" i="27"/>
  <c r="AC2302" i="27"/>
  <c r="AB2302" i="27"/>
  <c r="R2302" i="27"/>
  <c r="Q2302" i="27"/>
  <c r="P2302" i="27"/>
  <c r="E2302" i="27"/>
  <c r="AF2999" i="27"/>
  <c r="AE2999" i="27"/>
  <c r="AD2999" i="27"/>
  <c r="AC2999" i="27"/>
  <c r="AB2999" i="27"/>
  <c r="R2999" i="27"/>
  <c r="Q2999" i="27"/>
  <c r="P2999" i="27"/>
  <c r="E2999" i="27"/>
  <c r="AF1343" i="27"/>
  <c r="AE1343" i="27"/>
  <c r="AD1343" i="27"/>
  <c r="AC1343" i="27"/>
  <c r="AB1343" i="27"/>
  <c r="R1343" i="27"/>
  <c r="Q1343" i="27"/>
  <c r="P1343" i="27"/>
  <c r="E1343" i="27"/>
  <c r="AF2982" i="27"/>
  <c r="AE2982" i="27"/>
  <c r="AD2982" i="27"/>
  <c r="AC2982" i="27"/>
  <c r="AB2982" i="27"/>
  <c r="R2982" i="27"/>
  <c r="Q2982" i="27"/>
  <c r="P2982" i="27"/>
  <c r="E2982" i="27"/>
  <c r="AF1342" i="27"/>
  <c r="AE1342" i="27"/>
  <c r="AD1342" i="27"/>
  <c r="AC1342" i="27"/>
  <c r="AB1342" i="27"/>
  <c r="R1342" i="27"/>
  <c r="Q1342" i="27"/>
  <c r="P1342" i="27"/>
  <c r="E1342" i="27"/>
  <c r="AF2971" i="27"/>
  <c r="AE2971" i="27"/>
  <c r="AD2971" i="27"/>
  <c r="AC2971" i="27"/>
  <c r="AB2971" i="27"/>
  <c r="R2971" i="27"/>
  <c r="Q2971" i="27"/>
  <c r="P2971" i="27"/>
  <c r="E2971" i="27"/>
  <c r="AF1340" i="27"/>
  <c r="AE1340" i="27"/>
  <c r="AD1340" i="27"/>
  <c r="AC1340" i="27"/>
  <c r="AB1340" i="27"/>
  <c r="R1340" i="27"/>
  <c r="Q1340" i="27"/>
  <c r="P1340" i="27"/>
  <c r="E1340" i="27"/>
  <c r="AF2037" i="27"/>
  <c r="AE2037" i="27"/>
  <c r="AD2037" i="27"/>
  <c r="AC2037" i="27"/>
  <c r="AB2037" i="27"/>
  <c r="R2037" i="27"/>
  <c r="Q2037" i="27"/>
  <c r="P2037" i="27"/>
  <c r="E2037" i="27"/>
  <c r="AF2028" i="27"/>
  <c r="AE2028" i="27"/>
  <c r="AD2028" i="27"/>
  <c r="AC2028" i="27"/>
  <c r="AB2028" i="27"/>
  <c r="R2028" i="27"/>
  <c r="Q2028" i="27"/>
  <c r="P2028" i="27"/>
  <c r="E2028" i="27"/>
  <c r="AF2928" i="27"/>
  <c r="AE2928" i="27"/>
  <c r="AD2928" i="27"/>
  <c r="AC2928" i="27"/>
  <c r="AB2928" i="27"/>
  <c r="R2928" i="27"/>
  <c r="Q2928" i="27"/>
  <c r="P2928" i="27"/>
  <c r="E2928" i="27"/>
  <c r="AF2314" i="27"/>
  <c r="AE2314" i="27"/>
  <c r="AD2314" i="27"/>
  <c r="AC2314" i="27"/>
  <c r="AB2314" i="27"/>
  <c r="R2314" i="27"/>
  <c r="Q2314" i="27"/>
  <c r="P2314" i="27"/>
  <c r="E2314" i="27"/>
  <c r="AF2000" i="27"/>
  <c r="AE2000" i="27"/>
  <c r="AD2000" i="27"/>
  <c r="AC2000" i="27"/>
  <c r="AB2000" i="27"/>
  <c r="R2000" i="27"/>
  <c r="Q2000" i="27"/>
  <c r="P2000" i="27"/>
  <c r="E2000" i="27"/>
  <c r="AF1422" i="27"/>
  <c r="AE1422" i="27"/>
  <c r="AD1422" i="27"/>
  <c r="AC1422" i="27"/>
  <c r="AB1422" i="27"/>
  <c r="R1422" i="27"/>
  <c r="Q1422" i="27"/>
  <c r="P1422" i="27"/>
  <c r="E1422" i="27"/>
  <c r="AF3185" i="27"/>
  <c r="AE3185" i="27"/>
  <c r="AD3185" i="27"/>
  <c r="AC3185" i="27"/>
  <c r="AB3185" i="27"/>
  <c r="R3185" i="27"/>
  <c r="Q3185" i="27"/>
  <c r="P3185" i="27"/>
  <c r="E3185" i="27"/>
  <c r="AF3017" i="27"/>
  <c r="AE3017" i="27"/>
  <c r="AD3017" i="27"/>
  <c r="AC3017" i="27"/>
  <c r="AB3017" i="27"/>
  <c r="R3017" i="27"/>
  <c r="Q3017" i="27"/>
  <c r="P3017" i="27"/>
  <c r="E3017" i="27"/>
  <c r="AF3016" i="27"/>
  <c r="AE3016" i="27"/>
  <c r="AD3016" i="27"/>
  <c r="AC3016" i="27"/>
  <c r="AB3016" i="27"/>
  <c r="R3016" i="27"/>
  <c r="Q3016" i="27"/>
  <c r="P3016" i="27"/>
  <c r="E3016" i="27"/>
  <c r="AF1346" i="27"/>
  <c r="AE1346" i="27"/>
  <c r="AD1346" i="27"/>
  <c r="AC1346" i="27"/>
  <c r="AB1346" i="27"/>
  <c r="R1346" i="27"/>
  <c r="Q1346" i="27"/>
  <c r="P1346" i="27"/>
  <c r="E1346" i="27"/>
  <c r="AF1613" i="27"/>
  <c r="AE1613" i="27"/>
  <c r="AD1613" i="27"/>
  <c r="AC1613" i="27"/>
  <c r="AB1613" i="27"/>
  <c r="R1613" i="27"/>
  <c r="Q1613" i="27"/>
  <c r="P1613" i="27"/>
  <c r="E1613" i="27"/>
  <c r="AF1397" i="27"/>
  <c r="AE1397" i="27"/>
  <c r="AD1397" i="27"/>
  <c r="AC1397" i="27"/>
  <c r="AB1397" i="27"/>
  <c r="R1397" i="27"/>
  <c r="Q1397" i="27"/>
  <c r="P1397" i="27"/>
  <c r="E1397" i="27"/>
  <c r="AF1568" i="27"/>
  <c r="AE1568" i="27"/>
  <c r="AD1568" i="27"/>
  <c r="AC1568" i="27"/>
  <c r="AB1568" i="27"/>
  <c r="R1568" i="27"/>
  <c r="Q1568" i="27"/>
  <c r="P1568" i="27"/>
  <c r="E1568" i="27"/>
  <c r="AF1521" i="27"/>
  <c r="AE1521" i="27"/>
  <c r="AD1521" i="27"/>
  <c r="AC1521" i="27"/>
  <c r="AB1521" i="27"/>
  <c r="R1521" i="27"/>
  <c r="Q1521" i="27"/>
  <c r="P1521" i="27"/>
  <c r="E1521" i="27"/>
  <c r="AF1477" i="27"/>
  <c r="AE1477" i="27"/>
  <c r="AD1477" i="27"/>
  <c r="AC1477" i="27"/>
  <c r="AB1477" i="27"/>
  <c r="R1477" i="27"/>
  <c r="Q1477" i="27"/>
  <c r="P1477" i="27"/>
  <c r="E1477" i="27"/>
  <c r="AF1423" i="27"/>
  <c r="AE1423" i="27"/>
  <c r="AD1423" i="27"/>
  <c r="AC1423" i="27"/>
  <c r="AB1423" i="27"/>
  <c r="R1423" i="27"/>
  <c r="Q1423" i="27"/>
  <c r="P1423" i="27"/>
  <c r="E1423" i="27"/>
  <c r="AF3013" i="27"/>
  <c r="AE3013" i="27"/>
  <c r="AD3013" i="27"/>
  <c r="AC3013" i="27"/>
  <c r="AB3013" i="27"/>
  <c r="R3013" i="27"/>
  <c r="Q3013" i="27"/>
  <c r="P3013" i="27"/>
  <c r="E3013" i="27"/>
  <c r="AF1395" i="27"/>
  <c r="AE1395" i="27"/>
  <c r="AD1395" i="27"/>
  <c r="AC1395" i="27"/>
  <c r="AB1395" i="27"/>
  <c r="R1395" i="27"/>
  <c r="Q1395" i="27"/>
  <c r="P1395" i="27"/>
  <c r="E1395" i="27"/>
  <c r="AF2042" i="27"/>
  <c r="AE2042" i="27"/>
  <c r="AD2042" i="27"/>
  <c r="AC2042" i="27"/>
  <c r="AB2042" i="27"/>
  <c r="R2042" i="27"/>
  <c r="Q2042" i="27"/>
  <c r="P2042" i="27"/>
  <c r="E2042" i="27"/>
  <c r="AF1448" i="27"/>
  <c r="AE1448" i="27"/>
  <c r="AD1448" i="27"/>
  <c r="AC1448" i="27"/>
  <c r="AB1448" i="27"/>
  <c r="R1448" i="27"/>
  <c r="Q1448" i="27"/>
  <c r="P1448" i="27"/>
  <c r="E1448" i="27"/>
  <c r="AF3002" i="27"/>
  <c r="AE3002" i="27"/>
  <c r="AD3002" i="27"/>
  <c r="AC3002" i="27"/>
  <c r="AB3002" i="27"/>
  <c r="R3002" i="27"/>
  <c r="Q3002" i="27"/>
  <c r="P3002" i="27"/>
  <c r="E3002" i="27"/>
  <c r="AF1396" i="27"/>
  <c r="AE1396" i="27"/>
  <c r="AD1396" i="27"/>
  <c r="AC1396" i="27"/>
  <c r="AB1396" i="27"/>
  <c r="R1396" i="27"/>
  <c r="Q1396" i="27"/>
  <c r="P1396" i="27"/>
  <c r="E1396" i="27"/>
  <c r="AF3009" i="27"/>
  <c r="AE3009" i="27"/>
  <c r="AD3009" i="27"/>
  <c r="AC3009" i="27"/>
  <c r="AB3009" i="27"/>
  <c r="R3009" i="27"/>
  <c r="Q3009" i="27"/>
  <c r="P3009" i="27"/>
  <c r="E3009" i="27"/>
  <c r="AF3008" i="27"/>
  <c r="AE3008" i="27"/>
  <c r="AD3008" i="27"/>
  <c r="AC3008" i="27"/>
  <c r="AB3008" i="27"/>
  <c r="R3008" i="27"/>
  <c r="Q3008" i="27"/>
  <c r="P3008" i="27"/>
  <c r="E3008" i="27"/>
  <c r="AF1559" i="27"/>
  <c r="AE1559" i="27"/>
  <c r="AD1559" i="27"/>
  <c r="AC1559" i="27"/>
  <c r="AB1559" i="27"/>
  <c r="R1559" i="27"/>
  <c r="Q1559" i="27"/>
  <c r="P1559" i="27"/>
  <c r="E1559" i="27"/>
  <c r="AF1336" i="27"/>
  <c r="AE1336" i="27"/>
  <c r="AD1336" i="27"/>
  <c r="AC1336" i="27"/>
  <c r="AB1336" i="27"/>
  <c r="R1336" i="27"/>
  <c r="Q1336" i="27"/>
  <c r="P1336" i="27"/>
  <c r="E1336" i="27"/>
  <c r="AF1309" i="27"/>
  <c r="AE1309" i="27"/>
  <c r="AD1309" i="27"/>
  <c r="AC1309" i="27"/>
  <c r="AB1309" i="27"/>
  <c r="R1309" i="27"/>
  <c r="Q1309" i="27"/>
  <c r="P1309" i="27"/>
  <c r="E1309" i="27"/>
  <c r="AF1376" i="27"/>
  <c r="AE1376" i="27"/>
  <c r="AD1376" i="27"/>
  <c r="AC1376" i="27"/>
  <c r="AB1376" i="27"/>
  <c r="R1376" i="27"/>
  <c r="Q1376" i="27"/>
  <c r="P1376" i="27"/>
  <c r="E1376" i="27"/>
  <c r="AF1334" i="27"/>
  <c r="AE1334" i="27"/>
  <c r="AD1334" i="27"/>
  <c r="AC1334" i="27"/>
  <c r="AB1334" i="27"/>
  <c r="R1334" i="27"/>
  <c r="Q1334" i="27"/>
  <c r="P1334" i="27"/>
  <c r="E1334" i="27"/>
  <c r="AF1288" i="27"/>
  <c r="AE1288" i="27"/>
  <c r="AD1288" i="27"/>
  <c r="AC1288" i="27"/>
  <c r="AB1288" i="27"/>
  <c r="R1288" i="27"/>
  <c r="Q1288" i="27"/>
  <c r="P1288" i="27"/>
  <c r="E1288" i="27"/>
  <c r="AF1518" i="27"/>
  <c r="AE1518" i="27"/>
  <c r="AD1518" i="27"/>
  <c r="AC1518" i="27"/>
  <c r="AB1518" i="27"/>
  <c r="R1518" i="27"/>
  <c r="Q1518" i="27"/>
  <c r="P1518" i="27"/>
  <c r="E1518" i="27"/>
  <c r="AM1429" i="27"/>
  <c r="AF1429" i="27"/>
  <c r="AE1429" i="27"/>
  <c r="AD1429" i="27"/>
  <c r="AC1429" i="27"/>
  <c r="AB1429" i="27"/>
  <c r="R1429" i="27"/>
  <c r="Q1429" i="27"/>
  <c r="P1429" i="27"/>
  <c r="AF1325" i="27"/>
  <c r="AE1325" i="27"/>
  <c r="AD1325" i="27"/>
  <c r="AC1325" i="27"/>
  <c r="AB1325" i="27"/>
  <c r="R1325" i="27"/>
  <c r="Q1325" i="27"/>
  <c r="P1325" i="27"/>
  <c r="E1325" i="27"/>
  <c r="AF2995" i="27"/>
  <c r="AE2995" i="27"/>
  <c r="AD2995" i="27"/>
  <c r="AC2995" i="27"/>
  <c r="AB2995" i="27"/>
  <c r="R2995" i="27"/>
  <c r="Q2995" i="27"/>
  <c r="P2995" i="27"/>
  <c r="E2995" i="27"/>
  <c r="AF2994" i="27"/>
  <c r="AE2994" i="27"/>
  <c r="AD2994" i="27"/>
  <c r="AC2994" i="27"/>
  <c r="AB2994" i="27"/>
  <c r="R2994" i="27"/>
  <c r="Q2994" i="27"/>
  <c r="P2994" i="27"/>
  <c r="E2994" i="27"/>
  <c r="AF1324" i="27"/>
  <c r="AE1324" i="27"/>
  <c r="AD1324" i="27"/>
  <c r="AC1324" i="27"/>
  <c r="AB1324" i="27"/>
  <c r="R1324" i="27"/>
  <c r="Q1324" i="27"/>
  <c r="P1324" i="27"/>
  <c r="E1324" i="27"/>
  <c r="AF1391" i="27"/>
  <c r="AE1391" i="27"/>
  <c r="AD1391" i="27"/>
  <c r="AC1391" i="27"/>
  <c r="AB1391" i="27"/>
  <c r="R1391" i="27"/>
  <c r="Q1391" i="27"/>
  <c r="P1391" i="27"/>
  <c r="E1391" i="27"/>
  <c r="AF2988" i="27"/>
  <c r="AE2988" i="27"/>
  <c r="AD2988" i="27"/>
  <c r="AC2988" i="27"/>
  <c r="AB2988" i="27"/>
  <c r="R2988" i="27"/>
  <c r="Q2988" i="27"/>
  <c r="P2988" i="27"/>
  <c r="E2988" i="27"/>
  <c r="AF2987" i="27"/>
  <c r="AE2987" i="27"/>
  <c r="AD2987" i="27"/>
  <c r="AC2987" i="27"/>
  <c r="AB2987" i="27"/>
  <c r="R2987" i="27"/>
  <c r="Q2987" i="27"/>
  <c r="P2987" i="27"/>
  <c r="E2987" i="27"/>
  <c r="AF1390" i="27"/>
  <c r="AE1390" i="27"/>
  <c r="AD1390" i="27"/>
  <c r="AC1390" i="27"/>
  <c r="AB1390" i="27"/>
  <c r="R1390" i="27"/>
  <c r="Q1390" i="27"/>
  <c r="P1390" i="27"/>
  <c r="E1390" i="27"/>
  <c r="AF1389" i="27"/>
  <c r="AE1389" i="27"/>
  <c r="AD1389" i="27"/>
  <c r="AC1389" i="27"/>
  <c r="AB1389" i="27"/>
  <c r="R1389" i="27"/>
  <c r="Q1389" i="27"/>
  <c r="P1389" i="27"/>
  <c r="E1389" i="27"/>
  <c r="AF2968" i="27"/>
  <c r="AE2968" i="27"/>
  <c r="AD2968" i="27"/>
  <c r="AC2968" i="27"/>
  <c r="AB2968" i="27"/>
  <c r="R2968" i="27"/>
  <c r="Q2968" i="27"/>
  <c r="P2968" i="27"/>
  <c r="E2968" i="27"/>
  <c r="AF2939" i="27"/>
  <c r="AE2939" i="27"/>
  <c r="AD2939" i="27"/>
  <c r="AC2939" i="27"/>
  <c r="AB2939" i="27"/>
  <c r="R2939" i="27"/>
  <c r="Q2939" i="27"/>
  <c r="P2939" i="27"/>
  <c r="E2939" i="27"/>
  <c r="AF2983" i="27"/>
  <c r="AE2983" i="27"/>
  <c r="AD2983" i="27"/>
  <c r="AC2983" i="27"/>
  <c r="AB2983" i="27"/>
  <c r="R2983" i="27"/>
  <c r="Q2983" i="27"/>
  <c r="P2983" i="27"/>
  <c r="E2983" i="27"/>
  <c r="AF3205" i="27"/>
  <c r="AE3205" i="27"/>
  <c r="AD3205" i="27"/>
  <c r="AC3205" i="27"/>
  <c r="AB3205" i="27"/>
  <c r="R3205" i="27"/>
  <c r="Q3205" i="27"/>
  <c r="P3205" i="27"/>
  <c r="E3205" i="27"/>
  <c r="AF3015" i="27"/>
  <c r="AE3015" i="27"/>
  <c r="AD3015" i="27"/>
  <c r="AC3015" i="27"/>
  <c r="AB3015" i="27"/>
  <c r="R3015" i="27"/>
  <c r="Q3015" i="27"/>
  <c r="P3015" i="27"/>
  <c r="E3015" i="27"/>
  <c r="AF3014" i="27"/>
  <c r="AE3014" i="27"/>
  <c r="AD3014" i="27"/>
  <c r="AC3014" i="27"/>
  <c r="AB3014" i="27"/>
  <c r="R3014" i="27"/>
  <c r="Q3014" i="27"/>
  <c r="P3014" i="27"/>
  <c r="E3014" i="27"/>
  <c r="AF3012" i="27"/>
  <c r="AE3012" i="27"/>
  <c r="AD3012" i="27"/>
  <c r="AC3012" i="27"/>
  <c r="AB3012" i="27"/>
  <c r="R3012" i="27"/>
  <c r="Q3012" i="27"/>
  <c r="P3012" i="27"/>
  <c r="E3012" i="27"/>
  <c r="AF3011" i="27"/>
  <c r="AE3011" i="27"/>
  <c r="AD3011" i="27"/>
  <c r="AC3011" i="27"/>
  <c r="AB3011" i="27"/>
  <c r="R3011" i="27"/>
  <c r="Q3011" i="27"/>
  <c r="P3011" i="27"/>
  <c r="E3011" i="27"/>
  <c r="AF3001" i="27"/>
  <c r="AE3001" i="27"/>
  <c r="AD3001" i="27"/>
  <c r="AC3001" i="27"/>
  <c r="AB3001" i="27"/>
  <c r="R3001" i="27"/>
  <c r="Q3001" i="27"/>
  <c r="P3001" i="27"/>
  <c r="E3001" i="27"/>
  <c r="AF1476" i="27"/>
  <c r="AE1476" i="27"/>
  <c r="AD1476" i="27"/>
  <c r="AC1476" i="27"/>
  <c r="AB1476" i="27"/>
  <c r="R1476" i="27"/>
  <c r="Q1476" i="27"/>
  <c r="P1476" i="27"/>
  <c r="E1476" i="27"/>
  <c r="AF2998" i="27"/>
  <c r="AE2998" i="27"/>
  <c r="AD2998" i="27"/>
  <c r="AC2998" i="27"/>
  <c r="AB2998" i="27"/>
  <c r="R2998" i="27"/>
  <c r="Q2998" i="27"/>
  <c r="P2998" i="27"/>
  <c r="E2998" i="27"/>
  <c r="AF2996" i="27"/>
  <c r="AE2996" i="27"/>
  <c r="AD2996" i="27"/>
  <c r="AC2996" i="27"/>
  <c r="AB2996" i="27"/>
  <c r="R2996" i="27"/>
  <c r="Q2996" i="27"/>
  <c r="P2996" i="27"/>
  <c r="E2996" i="27"/>
  <c r="AF1392" i="27"/>
  <c r="AE1392" i="27"/>
  <c r="AD1392" i="27"/>
  <c r="AC1392" i="27"/>
  <c r="AB1392" i="27"/>
  <c r="R1392" i="27"/>
  <c r="Q1392" i="27"/>
  <c r="P1392" i="27"/>
  <c r="A2816" i="32"/>
  <c r="B2816" i="32" s="1"/>
  <c r="C2816" i="32"/>
  <c r="A2830" i="32"/>
  <c r="B2830" i="32" s="1"/>
  <c r="C2830" i="32"/>
  <c r="A2839" i="32"/>
  <c r="B2839" i="32" s="1"/>
  <c r="C2839" i="32"/>
  <c r="A2820" i="32"/>
  <c r="B2820" i="32" s="1"/>
  <c r="C2820" i="32"/>
  <c r="A1840" i="32"/>
  <c r="B1840" i="32" s="1"/>
  <c r="C1840" i="32"/>
  <c r="A2815" i="32"/>
  <c r="B2815" i="32" s="1"/>
  <c r="C2815" i="32"/>
  <c r="A2821" i="32"/>
  <c r="B2821" i="32" s="1"/>
  <c r="C2821" i="32"/>
  <c r="A2818" i="32"/>
  <c r="B2818" i="32" s="1"/>
  <c r="C2818" i="32"/>
  <c r="A2838" i="32"/>
  <c r="B2838" i="32" s="1"/>
  <c r="C2838" i="32"/>
  <c r="A1501" i="32"/>
  <c r="B1501" i="32" s="1"/>
  <c r="C1501" i="32"/>
  <c r="A2825" i="32"/>
  <c r="B2825" i="32" s="1"/>
  <c r="C2825" i="32"/>
  <c r="A2836" i="32"/>
  <c r="B2836" i="32" s="1"/>
  <c r="C2836" i="32"/>
  <c r="A2819" i="32"/>
  <c r="B2819" i="32" s="1"/>
  <c r="C2819" i="32"/>
  <c r="A2835" i="32"/>
  <c r="B2835" i="32" s="1"/>
  <c r="C2835" i="32"/>
  <c r="A2826" i="32"/>
  <c r="B2826" i="32" s="1"/>
  <c r="C2826" i="32"/>
  <c r="A2817" i="32"/>
  <c r="B2817" i="32" s="1"/>
  <c r="C2817" i="32"/>
  <c r="AM1287" i="27"/>
  <c r="AH1287" i="27" s="1"/>
  <c r="AF1287" i="27"/>
  <c r="AE1287" i="27"/>
  <c r="AD1287" i="27"/>
  <c r="AC1287" i="27"/>
  <c r="AB1287" i="27"/>
  <c r="R1287" i="27"/>
  <c r="Q1287" i="27"/>
  <c r="P1287" i="27"/>
  <c r="AM1286" i="27"/>
  <c r="AF1286" i="27"/>
  <c r="AE1286" i="27"/>
  <c r="AD1286" i="27"/>
  <c r="AC1286" i="27"/>
  <c r="AB1286" i="27"/>
  <c r="R1286" i="27"/>
  <c r="Q1286" i="27"/>
  <c r="P1286" i="27"/>
  <c r="AM1285" i="27"/>
  <c r="AN1285" i="27" s="1"/>
  <c r="AO1285" i="27" s="1"/>
  <c r="AF1285" i="27"/>
  <c r="AE1285" i="27"/>
  <c r="AD1285" i="27"/>
  <c r="AC1285" i="27"/>
  <c r="AB1285" i="27"/>
  <c r="R1285" i="27"/>
  <c r="Q1285" i="27"/>
  <c r="P1285" i="27"/>
  <c r="AM1284" i="27"/>
  <c r="AH1284" i="27" s="1"/>
  <c r="AF1284" i="27"/>
  <c r="AE1284" i="27"/>
  <c r="AD1284" i="27"/>
  <c r="AC1284" i="27"/>
  <c r="AB1284" i="27"/>
  <c r="R1284" i="27"/>
  <c r="Q1284" i="27"/>
  <c r="P1284" i="27"/>
  <c r="AF2992" i="27"/>
  <c r="AE2992" i="27"/>
  <c r="AD2992" i="27"/>
  <c r="AC2992" i="27"/>
  <c r="AB2992" i="27"/>
  <c r="R2992" i="27"/>
  <c r="Q2992" i="27"/>
  <c r="P2992" i="27"/>
  <c r="E2992" i="27"/>
  <c r="AF2991" i="27"/>
  <c r="AE2991" i="27"/>
  <c r="AD2991" i="27"/>
  <c r="AC2991" i="27"/>
  <c r="AB2991" i="27"/>
  <c r="R2991" i="27"/>
  <c r="Q2991" i="27"/>
  <c r="P2991" i="27"/>
  <c r="E2991" i="27"/>
  <c r="AF2990" i="27"/>
  <c r="AE2990" i="27"/>
  <c r="AD2990" i="27"/>
  <c r="AC2990" i="27"/>
  <c r="AB2990" i="27"/>
  <c r="R2990" i="27"/>
  <c r="Q2990" i="27"/>
  <c r="P2990" i="27"/>
  <c r="E2990" i="27"/>
  <c r="AF2989" i="27"/>
  <c r="AE2989" i="27"/>
  <c r="AD2989" i="27"/>
  <c r="AC2989" i="27"/>
  <c r="AB2989" i="27"/>
  <c r="R2989" i="27"/>
  <c r="Q2989" i="27"/>
  <c r="P2989" i="27"/>
  <c r="E2989" i="27"/>
  <c r="AF215" i="27"/>
  <c r="AE215" i="27"/>
  <c r="AD215" i="27"/>
  <c r="AC215" i="27"/>
  <c r="AB215" i="27"/>
  <c r="R215" i="27"/>
  <c r="Q215" i="27"/>
  <c r="P215" i="27"/>
  <c r="E215" i="27"/>
  <c r="AF2986" i="27"/>
  <c r="AE2986" i="27"/>
  <c r="AD2986" i="27"/>
  <c r="AC2986" i="27"/>
  <c r="AB2986" i="27"/>
  <c r="R2986" i="27"/>
  <c r="Q2986" i="27"/>
  <c r="P2986" i="27"/>
  <c r="E2986" i="27"/>
  <c r="AF2043" i="27"/>
  <c r="AE2043" i="27"/>
  <c r="AD2043" i="27"/>
  <c r="AC2043" i="27"/>
  <c r="AB2043" i="27"/>
  <c r="R2043" i="27"/>
  <c r="Q2043" i="27"/>
  <c r="P2043" i="27"/>
  <c r="E2043" i="27"/>
  <c r="AF1301" i="27"/>
  <c r="AE1301" i="27"/>
  <c r="AD1301" i="27"/>
  <c r="AC1301" i="27"/>
  <c r="AB1301" i="27"/>
  <c r="R1301" i="27"/>
  <c r="Q1301" i="27"/>
  <c r="P1301" i="27"/>
  <c r="E1301" i="27"/>
  <c r="AF1319" i="27"/>
  <c r="AE1319" i="27"/>
  <c r="AD1319" i="27"/>
  <c r="AC1319" i="27"/>
  <c r="AB1319" i="27"/>
  <c r="R1319" i="27"/>
  <c r="Q1319" i="27"/>
  <c r="P1319" i="27"/>
  <c r="E1319" i="27"/>
  <c r="AF1385" i="27"/>
  <c r="AE1385" i="27"/>
  <c r="AD1385" i="27"/>
  <c r="AC1385" i="27"/>
  <c r="AB1385" i="27"/>
  <c r="R1385" i="27"/>
  <c r="Q1385" i="27"/>
  <c r="P1385" i="27"/>
  <c r="E1385" i="27"/>
  <c r="AF1439" i="27"/>
  <c r="AE1439" i="27"/>
  <c r="AD1439" i="27"/>
  <c r="AC1439" i="27"/>
  <c r="AB1439" i="27"/>
  <c r="R1439" i="27"/>
  <c r="Q1439" i="27"/>
  <c r="P1439" i="27"/>
  <c r="E1439" i="27"/>
  <c r="AF1311" i="27"/>
  <c r="AE1311" i="27"/>
  <c r="AD1311" i="27"/>
  <c r="AC1311" i="27"/>
  <c r="AB1311" i="27"/>
  <c r="R1311" i="27"/>
  <c r="Q1311" i="27"/>
  <c r="P1311" i="27"/>
  <c r="E1311" i="27"/>
  <c r="AF1668" i="27"/>
  <c r="AE1668" i="27"/>
  <c r="AD1668" i="27"/>
  <c r="AC1668" i="27"/>
  <c r="AB1668" i="27"/>
  <c r="R1668" i="27"/>
  <c r="Q1668" i="27"/>
  <c r="P1668" i="27"/>
  <c r="E1668" i="27"/>
  <c r="AF1691" i="27"/>
  <c r="AE1691" i="27"/>
  <c r="AD1691" i="27"/>
  <c r="AB1691" i="27"/>
  <c r="R1691" i="27"/>
  <c r="Q1691" i="27"/>
  <c r="P1691" i="27"/>
  <c r="E1691" i="27"/>
  <c r="AF1487" i="27"/>
  <c r="AE1487" i="27"/>
  <c r="AD1487" i="27"/>
  <c r="AC1487" i="27"/>
  <c r="AB1487" i="27"/>
  <c r="R1487" i="27"/>
  <c r="Q1487" i="27"/>
  <c r="P1487" i="27"/>
  <c r="E1487" i="27"/>
  <c r="AF1482" i="27"/>
  <c r="AE1482" i="27"/>
  <c r="AD1482" i="27"/>
  <c r="AC1482" i="27"/>
  <c r="AB1482" i="27"/>
  <c r="R1482" i="27"/>
  <c r="Q1482" i="27"/>
  <c r="P1482" i="27"/>
  <c r="E1482" i="27"/>
  <c r="AF1543" i="27"/>
  <c r="AE1543" i="27"/>
  <c r="AD1543" i="27"/>
  <c r="AC1543" i="27"/>
  <c r="AB1543" i="27"/>
  <c r="R1543" i="27"/>
  <c r="Q1543" i="27"/>
  <c r="P1543" i="27"/>
  <c r="E1543" i="27"/>
  <c r="AF2993" i="27"/>
  <c r="AE2993" i="27"/>
  <c r="AD2993" i="27"/>
  <c r="AC2993" i="27"/>
  <c r="AB2993" i="27"/>
  <c r="R2993" i="27"/>
  <c r="Q2993" i="27"/>
  <c r="P2993" i="27"/>
  <c r="E2993" i="27"/>
  <c r="AF3301" i="27"/>
  <c r="AE3301" i="27"/>
  <c r="AD3301" i="27"/>
  <c r="AC3301" i="27"/>
  <c r="AB3301" i="27"/>
  <c r="R3301" i="27"/>
  <c r="Q3301" i="27"/>
  <c r="P3301" i="27"/>
  <c r="E3301" i="27"/>
  <c r="AF3300" i="27"/>
  <c r="AE3300" i="27"/>
  <c r="AD3300" i="27"/>
  <c r="AC3300" i="27"/>
  <c r="AB3300" i="27"/>
  <c r="R3300" i="27"/>
  <c r="Q3300" i="27"/>
  <c r="P3300" i="27"/>
  <c r="E3300" i="27"/>
  <c r="AF3286" i="27"/>
  <c r="AE3286" i="27"/>
  <c r="AD3286" i="27"/>
  <c r="AC3286" i="27"/>
  <c r="AB3286" i="27"/>
  <c r="R3286" i="27"/>
  <c r="Q3286" i="27"/>
  <c r="P3286" i="27"/>
  <c r="E3286" i="27"/>
  <c r="E1561" i="27"/>
  <c r="E1383" i="27"/>
  <c r="E1560" i="27"/>
  <c r="E2293" i="27"/>
  <c r="E1315" i="27"/>
  <c r="E1330" i="27"/>
  <c r="P1562" i="27"/>
  <c r="E1562" i="27"/>
  <c r="P1561" i="27"/>
  <c r="P1383" i="27"/>
  <c r="P1560" i="27"/>
  <c r="P2293" i="27"/>
  <c r="P1315" i="27"/>
  <c r="P1330" i="27"/>
  <c r="AF1560" i="27"/>
  <c r="AE1560" i="27"/>
  <c r="AD1560" i="27"/>
  <c r="AC1560" i="27"/>
  <c r="AB1560" i="27"/>
  <c r="R1560" i="27"/>
  <c r="Q1560" i="27"/>
  <c r="AF2291" i="27"/>
  <c r="AE2291" i="27"/>
  <c r="AD2291" i="27"/>
  <c r="AC2291" i="27"/>
  <c r="AB2291" i="27"/>
  <c r="R2291" i="27"/>
  <c r="Q2291" i="27"/>
  <c r="P2291" i="27"/>
  <c r="E2291" i="27"/>
  <c r="AF1561" i="27"/>
  <c r="AE1561" i="27"/>
  <c r="AD1561" i="27"/>
  <c r="AC1561" i="27"/>
  <c r="AB1561" i="27"/>
  <c r="R1561" i="27"/>
  <c r="Q1561" i="27"/>
  <c r="AC1562" i="27"/>
  <c r="AC1383" i="27"/>
  <c r="AC2293" i="27"/>
  <c r="AC1315" i="27"/>
  <c r="AC1330" i="27"/>
  <c r="P1351" i="27"/>
  <c r="P1674" i="27"/>
  <c r="AC1282" i="27"/>
  <c r="E1282" i="27"/>
  <c r="AC1296" i="27"/>
  <c r="E1296" i="27"/>
  <c r="AC1445" i="27"/>
  <c r="E1445" i="27"/>
  <c r="AC2962" i="27"/>
  <c r="E2962" i="27"/>
  <c r="E1362" i="27"/>
  <c r="E1307" i="27"/>
  <c r="E1261" i="27"/>
  <c r="E1399" i="27"/>
  <c r="E1415" i="27"/>
  <c r="E1320" i="27"/>
  <c r="E2304" i="27"/>
  <c r="AC2304" i="27"/>
  <c r="AC1329" i="27"/>
  <c r="AC1362" i="27"/>
  <c r="AC1307" i="27"/>
  <c r="AC1304" i="27"/>
  <c r="AC1303" i="27"/>
  <c r="AC2309" i="27"/>
  <c r="AC1456" i="27"/>
  <c r="AC1674" i="27"/>
  <c r="AC1261" i="27"/>
  <c r="AC1399" i="27"/>
  <c r="AC1415" i="27"/>
  <c r="AC1320" i="27"/>
  <c r="P1307" i="27"/>
  <c r="P1304" i="27"/>
  <c r="P1303" i="27"/>
  <c r="P2309" i="27"/>
  <c r="P1456" i="27"/>
  <c r="P1261" i="27"/>
  <c r="P1282" i="27"/>
  <c r="P1399" i="27"/>
  <c r="P1415" i="27"/>
  <c r="P1320" i="27"/>
  <c r="P2304" i="27"/>
  <c r="P1329" i="27"/>
  <c r="P1362" i="27"/>
  <c r="AM1350" i="27"/>
  <c r="AF1350" i="27"/>
  <c r="AE1350" i="27"/>
  <c r="AD1350" i="27"/>
  <c r="AC1350" i="27"/>
  <c r="AB1350" i="27"/>
  <c r="R1350" i="27"/>
  <c r="Q1350" i="27"/>
  <c r="P1350" i="27"/>
  <c r="AM2309" i="27"/>
  <c r="AN2309" i="27" s="1"/>
  <c r="AO2309" i="27" s="1"/>
  <c r="AF2309" i="27"/>
  <c r="AE2309" i="27"/>
  <c r="AD2309" i="27"/>
  <c r="AB2309" i="27"/>
  <c r="R2309" i="27"/>
  <c r="Q2309" i="27"/>
  <c r="AM1552" i="27"/>
  <c r="AF1552" i="27"/>
  <c r="AE1552" i="27"/>
  <c r="AD1552" i="27"/>
  <c r="AC1552" i="27"/>
  <c r="AB1552" i="27"/>
  <c r="R1552" i="27"/>
  <c r="Q1552" i="27"/>
  <c r="P1552" i="27"/>
  <c r="AM1551" i="27"/>
  <c r="AH1551" i="27" s="1"/>
  <c r="AF1551" i="27"/>
  <c r="AE1551" i="27"/>
  <c r="AD1551" i="27"/>
  <c r="AC1551" i="27"/>
  <c r="AB1551" i="27"/>
  <c r="R1551" i="27"/>
  <c r="Q1551" i="27"/>
  <c r="P1551" i="27"/>
  <c r="AF1303" i="27"/>
  <c r="AE1303" i="27"/>
  <c r="AD1303" i="27"/>
  <c r="AB1303" i="27"/>
  <c r="R1303" i="27"/>
  <c r="Q1303" i="27"/>
  <c r="A2822" i="32"/>
  <c r="B2822" i="32" s="1"/>
  <c r="C2822" i="32"/>
  <c r="AF1357" i="27"/>
  <c r="AE1357" i="27"/>
  <c r="AD1357" i="27"/>
  <c r="AC1357" i="27"/>
  <c r="AB1357" i="27"/>
  <c r="R1357" i="27"/>
  <c r="Q1357" i="27"/>
  <c r="P1357" i="27"/>
  <c r="E1357" i="27"/>
  <c r="P1380" i="27"/>
  <c r="E1380" i="27"/>
  <c r="P1314" i="27"/>
  <c r="E1314" i="27"/>
  <c r="AC1380" i="27"/>
  <c r="AC1314" i="27"/>
  <c r="AF1260" i="27"/>
  <c r="AE1260" i="27"/>
  <c r="AD1260" i="27"/>
  <c r="AC1260" i="27"/>
  <c r="AB1260" i="27"/>
  <c r="R1260" i="27"/>
  <c r="Q1260" i="27"/>
  <c r="P1260" i="27"/>
  <c r="E1260" i="27"/>
  <c r="AF1313" i="27"/>
  <c r="AE1313" i="27"/>
  <c r="AD1313" i="27"/>
  <c r="AC1313" i="27"/>
  <c r="AB1313" i="27"/>
  <c r="R1313" i="27"/>
  <c r="Q1313" i="27"/>
  <c r="P1313" i="27"/>
  <c r="E1313" i="27"/>
  <c r="AF2041" i="27"/>
  <c r="AE2041" i="27"/>
  <c r="AD2041" i="27"/>
  <c r="AC2041" i="27"/>
  <c r="AB2041" i="27"/>
  <c r="R2041" i="27"/>
  <c r="Q2041" i="27"/>
  <c r="P2041" i="27"/>
  <c r="E2041" i="27"/>
  <c r="AF2977" i="27"/>
  <c r="AE2977" i="27"/>
  <c r="AD2977" i="27"/>
  <c r="AC2977" i="27"/>
  <c r="AB2977" i="27"/>
  <c r="R2977" i="27"/>
  <c r="Q2977" i="27"/>
  <c r="P2977" i="27"/>
  <c r="E2977" i="27"/>
  <c r="AF2976" i="27"/>
  <c r="AE2976" i="27"/>
  <c r="AD2976" i="27"/>
  <c r="AC2976" i="27"/>
  <c r="AB2976" i="27"/>
  <c r="R2976" i="27"/>
  <c r="Q2976" i="27"/>
  <c r="P2976" i="27"/>
  <c r="E2976" i="27"/>
  <c r="AF2040" i="27"/>
  <c r="AE2040" i="27"/>
  <c r="AD2040" i="27"/>
  <c r="AC2040" i="27"/>
  <c r="AB2040" i="27"/>
  <c r="R2040" i="27"/>
  <c r="Q2040" i="27"/>
  <c r="P2040" i="27"/>
  <c r="E2040" i="27"/>
  <c r="AF1341" i="27"/>
  <c r="AE1341" i="27"/>
  <c r="AD1341" i="27"/>
  <c r="AC1341" i="27"/>
  <c r="AB1341" i="27"/>
  <c r="R1341" i="27"/>
  <c r="Q1341" i="27"/>
  <c r="P1341" i="27"/>
  <c r="E1341" i="27"/>
  <c r="AF2974" i="27"/>
  <c r="AE2974" i="27"/>
  <c r="AD2974" i="27"/>
  <c r="AC2974" i="27"/>
  <c r="AB2974" i="27"/>
  <c r="R2974" i="27"/>
  <c r="Q2974" i="27"/>
  <c r="P2974" i="27"/>
  <c r="E2974" i="27"/>
  <c r="AF1282" i="27"/>
  <c r="AE1282" i="27"/>
  <c r="AD1282" i="27"/>
  <c r="AB1282" i="27"/>
  <c r="R1282" i="27"/>
  <c r="Q1282" i="27"/>
  <c r="AF2973" i="27"/>
  <c r="AE2973" i="27"/>
  <c r="AD2973" i="27"/>
  <c r="AC2973" i="27"/>
  <c r="AB2973" i="27"/>
  <c r="R2973" i="27"/>
  <c r="Q2973" i="27"/>
  <c r="P2973" i="27"/>
  <c r="E2973" i="27"/>
  <c r="AF1321" i="27"/>
  <c r="AE1321" i="27"/>
  <c r="AD1321" i="27"/>
  <c r="AC1321" i="27"/>
  <c r="AB1321" i="27"/>
  <c r="R1321" i="27"/>
  <c r="Q1321" i="27"/>
  <c r="P1321" i="27"/>
  <c r="E1321" i="27"/>
  <c r="AF1470" i="27"/>
  <c r="AE1470" i="27"/>
  <c r="AD1470" i="27"/>
  <c r="AC1470" i="27"/>
  <c r="AB1470" i="27"/>
  <c r="R1470" i="27"/>
  <c r="Q1470" i="27"/>
  <c r="P1470" i="27"/>
  <c r="E1470" i="27"/>
  <c r="AF1320" i="27"/>
  <c r="AE1320" i="27"/>
  <c r="AD1320" i="27"/>
  <c r="AB1320" i="27"/>
  <c r="R1320" i="27"/>
  <c r="Q1320" i="27"/>
  <c r="AF2300" i="27"/>
  <c r="AE2300" i="27"/>
  <c r="AD2300" i="27"/>
  <c r="AC2300" i="27"/>
  <c r="AB2300" i="27"/>
  <c r="R2300" i="27"/>
  <c r="Q2300" i="27"/>
  <c r="P2300" i="27"/>
  <c r="E2300" i="27"/>
  <c r="AF2969" i="27"/>
  <c r="AE2969" i="27"/>
  <c r="AD2969" i="27"/>
  <c r="AC2969" i="27"/>
  <c r="AB2969" i="27"/>
  <c r="R2969" i="27"/>
  <c r="Q2969" i="27"/>
  <c r="P2969" i="27"/>
  <c r="E2969" i="27"/>
  <c r="E1409" i="27"/>
  <c r="E1358" i="27"/>
  <c r="AC1409" i="27"/>
  <c r="AC1358" i="27"/>
  <c r="P1409" i="27"/>
  <c r="P1358" i="27"/>
  <c r="AF1274" i="27"/>
  <c r="AE1274" i="27"/>
  <c r="AD1274" i="27"/>
  <c r="AC1274" i="27"/>
  <c r="R1274" i="27"/>
  <c r="Q1274" i="27"/>
  <c r="P1274" i="27"/>
  <c r="E1274" i="27"/>
  <c r="E1242" i="27"/>
  <c r="AF1292" i="27"/>
  <c r="AE1292" i="27"/>
  <c r="AD1292" i="27"/>
  <c r="AC1292" i="27"/>
  <c r="AB1292" i="27"/>
  <c r="R1292" i="27"/>
  <c r="Q1292" i="27"/>
  <c r="P1292" i="27"/>
  <c r="E1292" i="27"/>
  <c r="AF1290" i="27"/>
  <c r="AE1290" i="27"/>
  <c r="AD1290" i="27"/>
  <c r="AC1290" i="27"/>
  <c r="AB1290" i="27"/>
  <c r="R1290" i="27"/>
  <c r="Q1290" i="27"/>
  <c r="P1290" i="27"/>
  <c r="E1290" i="27"/>
  <c r="E2289" i="27"/>
  <c r="E1312" i="27"/>
  <c r="E1275" i="27"/>
  <c r="E1339" i="27"/>
  <c r="E1359" i="27"/>
  <c r="E1331" i="27"/>
  <c r="AC1359" i="27"/>
  <c r="AC1331" i="27"/>
  <c r="AC2289" i="27"/>
  <c r="AC1312" i="27"/>
  <c r="AC2313" i="27"/>
  <c r="AC1275" i="27"/>
  <c r="AC1339" i="27"/>
  <c r="P1359" i="27"/>
  <c r="P1331" i="27"/>
  <c r="P2289" i="27"/>
  <c r="P1312" i="27"/>
  <c r="P2313" i="27"/>
  <c r="P1275" i="27"/>
  <c r="P1339" i="27"/>
  <c r="P1242" i="27"/>
  <c r="AM1229" i="27"/>
  <c r="AN1229" i="27" s="1"/>
  <c r="AO1229" i="27" s="1"/>
  <c r="AF1229" i="27"/>
  <c r="AE1229" i="27"/>
  <c r="AD1229" i="27"/>
  <c r="AC1229" i="27"/>
  <c r="AB1229" i="27"/>
  <c r="R1229" i="27"/>
  <c r="Q1229" i="27"/>
  <c r="P1229" i="27"/>
  <c r="AF1270" i="27"/>
  <c r="AE1270" i="27"/>
  <c r="AD1270" i="27"/>
  <c r="AC1270" i="27"/>
  <c r="AB1270" i="27"/>
  <c r="R1270" i="27"/>
  <c r="Q1270" i="27"/>
  <c r="P1270" i="27"/>
  <c r="E1270" i="27"/>
  <c r="AF2030" i="27"/>
  <c r="AE2030" i="27"/>
  <c r="AD2030" i="27"/>
  <c r="AC2030" i="27"/>
  <c r="AB2030" i="27"/>
  <c r="R2030" i="27"/>
  <c r="Q2030" i="27"/>
  <c r="P2030" i="27"/>
  <c r="E2030" i="27"/>
  <c r="AF1261" i="27"/>
  <c r="AE1261" i="27"/>
  <c r="AD1261" i="27"/>
  <c r="AB1261" i="27"/>
  <c r="R1261" i="27"/>
  <c r="Q1261" i="27"/>
  <c r="AF1296" i="27"/>
  <c r="AE1296" i="27"/>
  <c r="AD1296" i="27"/>
  <c r="AB1296" i="27"/>
  <c r="R1296" i="27"/>
  <c r="Q1296" i="27"/>
  <c r="P1296" i="27"/>
  <c r="AF1445" i="27"/>
  <c r="AE1445" i="27"/>
  <c r="AD1445" i="27"/>
  <c r="AB1445" i="27"/>
  <c r="R1445" i="27"/>
  <c r="Q1445" i="27"/>
  <c r="P1445" i="27"/>
  <c r="AF2978" i="27"/>
  <c r="AE2978" i="27"/>
  <c r="AD2978" i="27"/>
  <c r="AC2978" i="27"/>
  <c r="AB2978" i="27"/>
  <c r="R2978" i="27"/>
  <c r="Q2978" i="27"/>
  <c r="P2978" i="27"/>
  <c r="E2978" i="27"/>
  <c r="AF2966" i="27"/>
  <c r="AE2966" i="27"/>
  <c r="AD2966" i="27"/>
  <c r="AC2966" i="27"/>
  <c r="AB2966" i="27"/>
  <c r="R2966" i="27"/>
  <c r="Q2966" i="27"/>
  <c r="P2966" i="27"/>
  <c r="E2966" i="27"/>
  <c r="AF2036" i="27"/>
  <c r="AE2036" i="27"/>
  <c r="AD2036" i="27"/>
  <c r="AC2036" i="27"/>
  <c r="AB2036" i="27"/>
  <c r="R2036" i="27"/>
  <c r="Q2036" i="27"/>
  <c r="P2036" i="27"/>
  <c r="E2036" i="27"/>
  <c r="AF1384" i="27"/>
  <c r="AE1384" i="27"/>
  <c r="AD1384" i="27"/>
  <c r="AC1384" i="27"/>
  <c r="AB1384" i="27"/>
  <c r="R1384" i="27"/>
  <c r="Q1384" i="27"/>
  <c r="P1384" i="27"/>
  <c r="E1384" i="27"/>
  <c r="AF1387" i="27"/>
  <c r="AE1387" i="27"/>
  <c r="AD1387" i="27"/>
  <c r="AC1387" i="27"/>
  <c r="AB1387" i="27"/>
  <c r="R1387" i="27"/>
  <c r="Q1387" i="27"/>
  <c r="P1387" i="27"/>
  <c r="E1387" i="27"/>
  <c r="AF1446" i="27"/>
  <c r="AE1446" i="27"/>
  <c r="AD1446" i="27"/>
  <c r="AC1446" i="27"/>
  <c r="AB1446" i="27"/>
  <c r="R1446" i="27"/>
  <c r="Q1446" i="27"/>
  <c r="P1446" i="27"/>
  <c r="E1446" i="27"/>
  <c r="AF1323" i="27"/>
  <c r="AE1323" i="27"/>
  <c r="AD1323" i="27"/>
  <c r="AC1323" i="27"/>
  <c r="AB1323" i="27"/>
  <c r="R1323" i="27"/>
  <c r="Q1323" i="27"/>
  <c r="P1323" i="27"/>
  <c r="E1323" i="27"/>
  <c r="AF2020" i="27"/>
  <c r="AE2020" i="27"/>
  <c r="AD2020" i="27"/>
  <c r="AC2020" i="27"/>
  <c r="AB2020" i="27"/>
  <c r="R2020" i="27"/>
  <c r="Q2020" i="27"/>
  <c r="P2020" i="27"/>
  <c r="E2020" i="27"/>
  <c r="AF2981" i="27"/>
  <c r="AE2981" i="27"/>
  <c r="AD2981" i="27"/>
  <c r="AC2981" i="27"/>
  <c r="AB2981" i="27"/>
  <c r="R2981" i="27"/>
  <c r="Q2981" i="27"/>
  <c r="P2981" i="27"/>
  <c r="E2981" i="27"/>
  <c r="AF1258" i="27"/>
  <c r="AE1258" i="27"/>
  <c r="AD1258" i="27"/>
  <c r="AC1258" i="27"/>
  <c r="AB1258" i="27"/>
  <c r="R1258" i="27"/>
  <c r="Q1258" i="27"/>
  <c r="P1258" i="27"/>
  <c r="E1258" i="27"/>
  <c r="AF1330" i="27"/>
  <c r="AE1330" i="27"/>
  <c r="AD1330" i="27"/>
  <c r="AB1330" i="27"/>
  <c r="R1330" i="27"/>
  <c r="Q1330" i="27"/>
  <c r="AF2956" i="27"/>
  <c r="AE2956" i="27"/>
  <c r="AD2956" i="27"/>
  <c r="AC2956" i="27"/>
  <c r="AB2956" i="27"/>
  <c r="R2956" i="27"/>
  <c r="Q2956" i="27"/>
  <c r="P2956" i="27"/>
  <c r="E2956" i="27"/>
  <c r="AF1388" i="27"/>
  <c r="AE1388" i="27"/>
  <c r="AD1388" i="27"/>
  <c r="AC1388" i="27"/>
  <c r="AB1388" i="27"/>
  <c r="R1388" i="27"/>
  <c r="Q1388" i="27"/>
  <c r="P1388" i="27"/>
  <c r="E1388" i="27"/>
  <c r="AF2980" i="27"/>
  <c r="AE2980" i="27"/>
  <c r="AD2980" i="27"/>
  <c r="AC2980" i="27"/>
  <c r="AB2980" i="27"/>
  <c r="R2980" i="27"/>
  <c r="Q2980" i="27"/>
  <c r="P2980" i="27"/>
  <c r="E2980" i="27"/>
  <c r="AF2911" i="27"/>
  <c r="AE2911" i="27"/>
  <c r="AD2911" i="27"/>
  <c r="AC2911" i="27"/>
  <c r="AB2911" i="27"/>
  <c r="R2911" i="27"/>
  <c r="Q2911" i="27"/>
  <c r="P2911" i="27"/>
  <c r="E2911" i="27"/>
  <c r="AF2975" i="27"/>
  <c r="AE2975" i="27"/>
  <c r="AD2975" i="27"/>
  <c r="AC2975" i="27"/>
  <c r="AB2975" i="27"/>
  <c r="R2975" i="27"/>
  <c r="Q2975" i="27"/>
  <c r="P2975" i="27"/>
  <c r="E2975" i="27"/>
  <c r="AF1512" i="27"/>
  <c r="AE1512" i="27"/>
  <c r="AD1512" i="27"/>
  <c r="AC1512" i="27"/>
  <c r="AB1512" i="27"/>
  <c r="R1512" i="27"/>
  <c r="Q1512" i="27"/>
  <c r="P1512" i="27"/>
  <c r="E1512" i="27"/>
  <c r="AF1514" i="27"/>
  <c r="AE1514" i="27"/>
  <c r="AD1514" i="27"/>
  <c r="AC1514" i="27"/>
  <c r="AB1514" i="27"/>
  <c r="R1514" i="27"/>
  <c r="Q1514" i="27"/>
  <c r="P1514" i="27"/>
  <c r="E1514" i="27"/>
  <c r="AF2301" i="27"/>
  <c r="AE2301" i="27"/>
  <c r="AD2301" i="27"/>
  <c r="AC2301" i="27"/>
  <c r="AB2301" i="27"/>
  <c r="R2301" i="27"/>
  <c r="Q2301" i="27"/>
  <c r="P2301" i="27"/>
  <c r="E2301" i="27"/>
  <c r="AF2961" i="27"/>
  <c r="AE2961" i="27"/>
  <c r="AD2961" i="27"/>
  <c r="AC2961" i="27"/>
  <c r="AB2961" i="27"/>
  <c r="R2961" i="27"/>
  <c r="Q2961" i="27"/>
  <c r="P2961" i="27"/>
  <c r="E2961" i="27"/>
  <c r="E2315" i="27"/>
  <c r="E1297" i="27"/>
  <c r="E1298" i="27"/>
  <c r="E1281" i="27"/>
  <c r="E1249" i="27"/>
  <c r="E1240" i="27"/>
  <c r="AC2315" i="27"/>
  <c r="AC1297" i="27"/>
  <c r="AC1298" i="27"/>
  <c r="AC1281" i="27"/>
  <c r="AC1256" i="27"/>
  <c r="AC1249" i="27"/>
  <c r="AC1240" i="27"/>
  <c r="P2315" i="27"/>
  <c r="P1297" i="27"/>
  <c r="P1298" i="27"/>
  <c r="P1281" i="27"/>
  <c r="P1256" i="27"/>
  <c r="P1249" i="27"/>
  <c r="P1240" i="27"/>
  <c r="AF1280" i="27"/>
  <c r="AE1280" i="27"/>
  <c r="AD1280" i="27"/>
  <c r="AC1280" i="27"/>
  <c r="AB1280" i="27"/>
  <c r="R1280" i="27"/>
  <c r="Q1280" i="27"/>
  <c r="P1280" i="27"/>
  <c r="E1280" i="27"/>
  <c r="AM1262" i="27"/>
  <c r="AN1262" i="27" s="1"/>
  <c r="AO1262" i="27" s="1"/>
  <c r="AF1262" i="27"/>
  <c r="AE1262" i="27"/>
  <c r="AD1262" i="27"/>
  <c r="AC1262" i="27"/>
  <c r="AB1262" i="27"/>
  <c r="R1262" i="27"/>
  <c r="Q1262" i="27"/>
  <c r="P1262" i="27"/>
  <c r="AF1297" i="27"/>
  <c r="AE1297" i="27"/>
  <c r="AD1297" i="27"/>
  <c r="AB1297" i="27"/>
  <c r="R1297" i="27"/>
  <c r="Q1297" i="27"/>
  <c r="AF1252" i="27"/>
  <c r="AE1252" i="27"/>
  <c r="AD1252" i="27"/>
  <c r="AC1252" i="27"/>
  <c r="AB1252" i="27"/>
  <c r="R1252" i="27"/>
  <c r="Q1252" i="27"/>
  <c r="P1252" i="27"/>
  <c r="E1252" i="27"/>
  <c r="AF1317" i="27"/>
  <c r="AE1317" i="27"/>
  <c r="AD1317" i="27"/>
  <c r="AC1317" i="27"/>
  <c r="AB1317" i="27"/>
  <c r="R1317" i="27"/>
  <c r="Q1317" i="27"/>
  <c r="P1317" i="27"/>
  <c r="E1317" i="27"/>
  <c r="AF2315" i="27"/>
  <c r="AE2315" i="27"/>
  <c r="AD2315" i="27"/>
  <c r="AB2315" i="27"/>
  <c r="R2315" i="27"/>
  <c r="Q2315" i="27"/>
  <c r="E214" i="27"/>
  <c r="E1268" i="27"/>
  <c r="AC214" i="27"/>
  <c r="AC1268" i="27"/>
  <c r="P214" i="27"/>
  <c r="P1268" i="27"/>
  <c r="AF1216" i="27"/>
  <c r="AE1216" i="27"/>
  <c r="AD1216" i="27"/>
  <c r="AC1216" i="27"/>
  <c r="AB1216" i="27"/>
  <c r="R1216" i="27"/>
  <c r="Q1216" i="27"/>
  <c r="P1216" i="27"/>
  <c r="E1216" i="27"/>
  <c r="E1289" i="27"/>
  <c r="E1414" i="27"/>
  <c r="E1250" i="27"/>
  <c r="E1239" i="27"/>
  <c r="AF1223" i="27"/>
  <c r="AE1223" i="27"/>
  <c r="AD1223" i="27"/>
  <c r="AC1223" i="27"/>
  <c r="AB1223" i="27"/>
  <c r="R1223" i="27"/>
  <c r="Q1223" i="27"/>
  <c r="P1223" i="27"/>
  <c r="E1223" i="27"/>
  <c r="AF2039" i="27"/>
  <c r="AE2039" i="27"/>
  <c r="AD2039" i="27"/>
  <c r="AC2039" i="27"/>
  <c r="AB2039" i="27"/>
  <c r="R2039" i="27"/>
  <c r="Q2039" i="27"/>
  <c r="P2039" i="27"/>
  <c r="E2039" i="27"/>
  <c r="AF2972" i="27"/>
  <c r="AE2972" i="27"/>
  <c r="AD2972" i="27"/>
  <c r="AC2972" i="27"/>
  <c r="AB2972" i="27"/>
  <c r="R2972" i="27"/>
  <c r="Q2972" i="27"/>
  <c r="P2972" i="27"/>
  <c r="E2972" i="27"/>
  <c r="AF2029" i="27"/>
  <c r="AE2029" i="27"/>
  <c r="AD2029" i="27"/>
  <c r="AC2029" i="27"/>
  <c r="AB2029" i="27"/>
  <c r="R2029" i="27"/>
  <c r="Q2029" i="27"/>
  <c r="P2029" i="27"/>
  <c r="E2029" i="27"/>
  <c r="AF1383" i="27"/>
  <c r="AE1383" i="27"/>
  <c r="AD1383" i="27"/>
  <c r="AB1383" i="27"/>
  <c r="R1383" i="27"/>
  <c r="Q1383" i="27"/>
  <c r="AF1295" i="27"/>
  <c r="AE1295" i="27"/>
  <c r="AD1295" i="27"/>
  <c r="AC1295" i="27"/>
  <c r="AB1295" i="27"/>
  <c r="R1295" i="27"/>
  <c r="Q1295" i="27"/>
  <c r="P1295" i="27"/>
  <c r="E1295" i="27"/>
  <c r="AF1415" i="27"/>
  <c r="AE1415" i="27"/>
  <c r="AD1415" i="27"/>
  <c r="AB1415" i="27"/>
  <c r="R1415" i="27"/>
  <c r="Q1415" i="27"/>
  <c r="AF2034" i="27"/>
  <c r="AE2034" i="27"/>
  <c r="AD2034" i="27"/>
  <c r="AC2034" i="27"/>
  <c r="AB2034" i="27"/>
  <c r="R2034" i="27"/>
  <c r="Q2034" i="27"/>
  <c r="P2034" i="27"/>
  <c r="E2034" i="27"/>
  <c r="E1444" i="27"/>
  <c r="E1465" i="27"/>
  <c r="E2296" i="27"/>
  <c r="E1368" i="27"/>
  <c r="E1367" i="27"/>
  <c r="E1516" i="27"/>
  <c r="AC1299" i="27"/>
  <c r="E1299" i="27"/>
  <c r="AC1444" i="27"/>
  <c r="AC1465" i="27"/>
  <c r="AC2296" i="27"/>
  <c r="AC1441" i="27"/>
  <c r="AC1368" i="27"/>
  <c r="AC1367" i="27"/>
  <c r="AC1516" i="27"/>
  <c r="P1542" i="27"/>
  <c r="E1542" i="27"/>
  <c r="P1493" i="27"/>
  <c r="E1493" i="27"/>
  <c r="P1444" i="27"/>
  <c r="P1465" i="27"/>
  <c r="P2296" i="27"/>
  <c r="P1441" i="27"/>
  <c r="P1368" i="27"/>
  <c r="P1367" i="27"/>
  <c r="P1516" i="27"/>
  <c r="AB1382" i="27"/>
  <c r="R1382" i="27"/>
  <c r="Q1382" i="27"/>
  <c r="P1382" i="27"/>
  <c r="AC1382" i="27"/>
  <c r="E1382" i="27"/>
  <c r="AB2293" i="27"/>
  <c r="R2293" i="27"/>
  <c r="Q2293" i="27"/>
  <c r="E1215" i="27"/>
  <c r="E1416" i="27"/>
  <c r="E2290" i="27"/>
  <c r="AC1493" i="27"/>
  <c r="AC1416" i="27"/>
  <c r="AC2290" i="27"/>
  <c r="P1299" i="27"/>
  <c r="P1416" i="27"/>
  <c r="E1224" i="27"/>
  <c r="P2290" i="27"/>
  <c r="AC1542" i="27"/>
  <c r="P1289" i="27"/>
  <c r="P1250" i="27"/>
  <c r="AM2313" i="27"/>
  <c r="AN2313" i="27" s="1"/>
  <c r="AO2313" i="27" s="1"/>
  <c r="AF2313" i="27"/>
  <c r="AE2313" i="27"/>
  <c r="AD2313" i="27"/>
  <c r="AB2313" i="27"/>
  <c r="R2313" i="27"/>
  <c r="Q2313" i="27"/>
  <c r="AB1331" i="27"/>
  <c r="AB2953" i="27"/>
  <c r="R2953" i="27"/>
  <c r="Q2953" i="27"/>
  <c r="P2953" i="27"/>
  <c r="AC2953" i="27"/>
  <c r="E2953" i="27"/>
  <c r="AB2292" i="27"/>
  <c r="R2292" i="27"/>
  <c r="Q2292" i="27"/>
  <c r="P2292" i="27"/>
  <c r="AC2292" i="27"/>
  <c r="E2292" i="27"/>
  <c r="AB1339" i="27"/>
  <c r="R1339" i="27"/>
  <c r="Q1339" i="27"/>
  <c r="AB1416" i="27"/>
  <c r="R1416" i="27"/>
  <c r="Q1416" i="27"/>
  <c r="AB2304" i="27"/>
  <c r="R2304" i="27"/>
  <c r="Q2304" i="27"/>
  <c r="AB2299" i="27"/>
  <c r="R2299" i="27"/>
  <c r="Q2299" i="27"/>
  <c r="P2299" i="27"/>
  <c r="AC2299" i="27"/>
  <c r="E2299" i="27"/>
  <c r="AB1562" i="27"/>
  <c r="R1562" i="27"/>
  <c r="Q1562" i="27"/>
  <c r="AB2955" i="27"/>
  <c r="R2955" i="27"/>
  <c r="Q2955" i="27"/>
  <c r="P2955" i="27"/>
  <c r="AC2955" i="27"/>
  <c r="E2955" i="27"/>
  <c r="AB1257" i="27"/>
  <c r="R1257" i="27"/>
  <c r="Q1257" i="27"/>
  <c r="P1257" i="27"/>
  <c r="AC1257" i="27"/>
  <c r="E1257" i="27"/>
  <c r="AB1417" i="27"/>
  <c r="R1417" i="27"/>
  <c r="Q1417" i="27"/>
  <c r="P1417" i="27"/>
  <c r="AC1417" i="27"/>
  <c r="E1417" i="27"/>
  <c r="AB2967" i="27"/>
  <c r="R2967" i="27"/>
  <c r="Q2967" i="27"/>
  <c r="P2967" i="27"/>
  <c r="AC2967" i="27"/>
  <c r="E2967" i="27"/>
  <c r="AB1298" i="27"/>
  <c r="R1298" i="27"/>
  <c r="Q1298" i="27"/>
  <c r="AB1466" i="27"/>
  <c r="R1466" i="27"/>
  <c r="Q1466" i="27"/>
  <c r="P1466" i="27"/>
  <c r="AC1466" i="27"/>
  <c r="E1466" i="27"/>
  <c r="AF2025" i="27"/>
  <c r="AE2025" i="27"/>
  <c r="AD2025" i="27"/>
  <c r="AC2025" i="27"/>
  <c r="AB2025" i="27"/>
  <c r="R2025" i="27"/>
  <c r="Q2025" i="27"/>
  <c r="P2025" i="27"/>
  <c r="E2025" i="27"/>
  <c r="AF1315" i="27"/>
  <c r="AE1315" i="27"/>
  <c r="AD1315" i="27"/>
  <c r="AB1315" i="27"/>
  <c r="R1315" i="27"/>
  <c r="Q1315" i="27"/>
  <c r="AF2965" i="27"/>
  <c r="AE2965" i="27"/>
  <c r="AD2965" i="27"/>
  <c r="AC2965" i="27"/>
  <c r="AB2965" i="27"/>
  <c r="R2965" i="27"/>
  <c r="Q2965" i="27"/>
  <c r="P2965" i="27"/>
  <c r="E2965" i="27"/>
  <c r="AF2953" i="27"/>
  <c r="AE2953" i="27"/>
  <c r="AD2953" i="27"/>
  <c r="AF2292" i="27"/>
  <c r="AE2292" i="27"/>
  <c r="AD2292" i="27"/>
  <c r="AF1339" i="27"/>
  <c r="AE1339" i="27"/>
  <c r="AD1339" i="27"/>
  <c r="AF1416" i="27"/>
  <c r="AE1416" i="27"/>
  <c r="AD1416" i="27"/>
  <c r="AF2304" i="27"/>
  <c r="AE2304" i="27"/>
  <c r="AD2304" i="27"/>
  <c r="AF2299" i="27"/>
  <c r="AE2299" i="27"/>
  <c r="AD2299" i="27"/>
  <c r="AF1562" i="27"/>
  <c r="AE1562" i="27"/>
  <c r="AD1562" i="27"/>
  <c r="AF2955" i="27"/>
  <c r="AE2955" i="27"/>
  <c r="AD2955" i="27"/>
  <c r="AF1257" i="27"/>
  <c r="AE1257" i="27"/>
  <c r="AD1257" i="27"/>
  <c r="AF1417" i="27"/>
  <c r="AE1417" i="27"/>
  <c r="AD1417" i="27"/>
  <c r="AF2967" i="27"/>
  <c r="AE2967" i="27"/>
  <c r="AD2967" i="27"/>
  <c r="AF1298" i="27"/>
  <c r="AE1298" i="27"/>
  <c r="AD1298" i="27"/>
  <c r="AF1466" i="27"/>
  <c r="AE1466" i="27"/>
  <c r="AD1466" i="27"/>
  <c r="AF2293" i="27"/>
  <c r="AE2293" i="27"/>
  <c r="AD2293" i="27"/>
  <c r="AF1469" i="27"/>
  <c r="AE1469" i="27"/>
  <c r="AD1469" i="27"/>
  <c r="AC1469" i="27"/>
  <c r="AB1469" i="27"/>
  <c r="R1469" i="27"/>
  <c r="Q1469" i="27"/>
  <c r="P1469" i="27"/>
  <c r="E1469" i="27"/>
  <c r="AF2963" i="27"/>
  <c r="AE2963" i="27"/>
  <c r="AD2963" i="27"/>
  <c r="AC2963" i="27"/>
  <c r="AB2963" i="27"/>
  <c r="R2963" i="27"/>
  <c r="Q2963" i="27"/>
  <c r="P2963" i="27"/>
  <c r="E2963" i="27"/>
  <c r="AF2962" i="27"/>
  <c r="AE2962" i="27"/>
  <c r="AD2962" i="27"/>
  <c r="AB2962" i="27"/>
  <c r="R2962" i="27"/>
  <c r="Q2962" i="27"/>
  <c r="P2962" i="27"/>
  <c r="AF2933" i="27"/>
  <c r="AE2933" i="27"/>
  <c r="AD2933" i="27"/>
  <c r="AC2933" i="27"/>
  <c r="AB2933" i="27"/>
  <c r="R2933" i="27"/>
  <c r="Q2933" i="27"/>
  <c r="P2933" i="27"/>
  <c r="E2933" i="27"/>
  <c r="AF2959" i="27"/>
  <c r="AE2959" i="27"/>
  <c r="AD2959" i="27"/>
  <c r="AC2959" i="27"/>
  <c r="AB2959" i="27"/>
  <c r="R2959" i="27"/>
  <c r="Q2959" i="27"/>
  <c r="P2959" i="27"/>
  <c r="E2959" i="27"/>
  <c r="AF1308" i="27"/>
  <c r="AE1308" i="27"/>
  <c r="AD1308" i="27"/>
  <c r="AC1308" i="27"/>
  <c r="AB1308" i="27"/>
  <c r="R1308" i="27"/>
  <c r="Q1308" i="27"/>
  <c r="P1308" i="27"/>
  <c r="E1308" i="27"/>
  <c r="AF2984" i="27"/>
  <c r="AE2984" i="27"/>
  <c r="AD2984" i="27"/>
  <c r="AC2984" i="27"/>
  <c r="AB2984" i="27"/>
  <c r="R2984" i="27"/>
  <c r="Q2984" i="27"/>
  <c r="P2984" i="27"/>
  <c r="E2984" i="27"/>
  <c r="AF1268" i="27"/>
  <c r="AE1268" i="27"/>
  <c r="AD1268" i="27"/>
  <c r="AB1268" i="27"/>
  <c r="R1268" i="27"/>
  <c r="Q1268" i="27"/>
  <c r="AF1239" i="27"/>
  <c r="AE1239" i="27"/>
  <c r="AD1239" i="27"/>
  <c r="AC1239" i="27"/>
  <c r="AB1239" i="27"/>
  <c r="R1239" i="27"/>
  <c r="Q1239" i="27"/>
  <c r="P1239" i="27"/>
  <c r="AF1382" i="27"/>
  <c r="AE1382" i="27"/>
  <c r="AD1382" i="27"/>
  <c r="E1364" i="27"/>
  <c r="AB2038" i="27"/>
  <c r="R2038" i="27"/>
  <c r="Q2038" i="27"/>
  <c r="P2038" i="27"/>
  <c r="AC2038" i="27"/>
  <c r="E2038" i="27"/>
  <c r="AB2958" i="27"/>
  <c r="R2958" i="27"/>
  <c r="Q2958" i="27"/>
  <c r="P2958" i="27"/>
  <c r="AC2958" i="27"/>
  <c r="E2958" i="27"/>
  <c r="AB2017" i="27"/>
  <c r="R2017" i="27"/>
  <c r="Q2017" i="27"/>
  <c r="P2017" i="27"/>
  <c r="AC2017" i="27"/>
  <c r="E2017" i="27"/>
  <c r="AB1299" i="27"/>
  <c r="R1299" i="27"/>
  <c r="Q1299" i="27"/>
  <c r="AB2035" i="27"/>
  <c r="R2035" i="27"/>
  <c r="Q2035" i="27"/>
  <c r="P2035" i="27"/>
  <c r="AC2035" i="27"/>
  <c r="E2035" i="27"/>
  <c r="AB1380" i="27"/>
  <c r="R1380" i="27"/>
  <c r="Q1380" i="27"/>
  <c r="AB2957" i="27"/>
  <c r="R2957" i="27"/>
  <c r="Q2957" i="27"/>
  <c r="P2957" i="27"/>
  <c r="AC2957" i="27"/>
  <c r="E2957" i="27"/>
  <c r="AB1493" i="27"/>
  <c r="R1493" i="27"/>
  <c r="Q1493" i="27"/>
  <c r="AB1444" i="27"/>
  <c r="R1444" i="27"/>
  <c r="Q1444" i="27"/>
  <c r="AB2296" i="27"/>
  <c r="R2296" i="27"/>
  <c r="Q2296" i="27"/>
  <c r="AB1542" i="27"/>
  <c r="R1542" i="27"/>
  <c r="Q1542" i="27"/>
  <c r="AB1441" i="27"/>
  <c r="R1441" i="27"/>
  <c r="Q1441" i="27"/>
  <c r="AB1368" i="27"/>
  <c r="R1368" i="27"/>
  <c r="Q1368" i="27"/>
  <c r="AB1367" i="27"/>
  <c r="R1367" i="27"/>
  <c r="Q1367" i="27"/>
  <c r="AB2960" i="27"/>
  <c r="R2960" i="27"/>
  <c r="Q2960" i="27"/>
  <c r="P2960" i="27"/>
  <c r="AC2960" i="27"/>
  <c r="E2960" i="27"/>
  <c r="AB2948" i="27"/>
  <c r="R2948" i="27"/>
  <c r="Q2948" i="27"/>
  <c r="P2948" i="27"/>
  <c r="AC2948" i="27"/>
  <c r="E2948" i="27"/>
  <c r="AB1300" i="27"/>
  <c r="R1300" i="27"/>
  <c r="Q1300" i="27"/>
  <c r="P1300" i="27"/>
  <c r="AC1300" i="27"/>
  <c r="E1300" i="27"/>
  <c r="AF2017" i="27"/>
  <c r="AE2017" i="27"/>
  <c r="AD2017" i="27"/>
  <c r="AF1299" i="27"/>
  <c r="AE1299" i="27"/>
  <c r="AD1299" i="27"/>
  <c r="AF2035" i="27"/>
  <c r="AE2035" i="27"/>
  <c r="AD2035" i="27"/>
  <c r="AF1380" i="27"/>
  <c r="AE1380" i="27"/>
  <c r="AD1380" i="27"/>
  <c r="AF2957" i="27"/>
  <c r="AE2957" i="27"/>
  <c r="AD2957" i="27"/>
  <c r="AF1493" i="27"/>
  <c r="AE1493" i="27"/>
  <c r="AD1493" i="27"/>
  <c r="AF1444" i="27"/>
  <c r="AE1444" i="27"/>
  <c r="AD1444" i="27"/>
  <c r="AF2296" i="27"/>
  <c r="AE2296" i="27"/>
  <c r="AD2296" i="27"/>
  <c r="AF1542" i="27"/>
  <c r="AE1542" i="27"/>
  <c r="AD1542" i="27"/>
  <c r="AF1441" i="27"/>
  <c r="AE1441" i="27"/>
  <c r="AD1441" i="27"/>
  <c r="AF1368" i="27"/>
  <c r="AE1368" i="27"/>
  <c r="AD1368" i="27"/>
  <c r="AF1367" i="27"/>
  <c r="AE1367" i="27"/>
  <c r="AD1367" i="27"/>
  <c r="AF2948" i="27"/>
  <c r="AE2948" i="27"/>
  <c r="AD2948" i="27"/>
  <c r="AF1300" i="27"/>
  <c r="AE1300" i="27"/>
  <c r="AD1300" i="27"/>
  <c r="AF2038" i="27"/>
  <c r="AE2038" i="27"/>
  <c r="AD2038" i="27"/>
  <c r="AF2958" i="27"/>
  <c r="AE2958" i="27"/>
  <c r="AD2958" i="27"/>
  <c r="AF2985" i="27"/>
  <c r="AE2985" i="27"/>
  <c r="AD2985" i="27"/>
  <c r="AC2985" i="27"/>
  <c r="AB2985" i="27"/>
  <c r="R2985" i="27"/>
  <c r="Q2985" i="27"/>
  <c r="P2985" i="27"/>
  <c r="E2985" i="27"/>
  <c r="AF1304" i="27"/>
  <c r="AE1304" i="27"/>
  <c r="AD1304" i="27"/>
  <c r="AB1304" i="27"/>
  <c r="R1304" i="27"/>
  <c r="Q1304" i="27"/>
  <c r="AF2960" i="27"/>
  <c r="AE2960" i="27"/>
  <c r="AD2960" i="27"/>
  <c r="AC1364" i="27"/>
  <c r="AM1456" i="27"/>
  <c r="AH1456" i="27" s="1"/>
  <c r="AF1456" i="27"/>
  <c r="AE1456" i="27"/>
  <c r="AD1456" i="27"/>
  <c r="AB1456" i="27"/>
  <c r="R1456" i="27"/>
  <c r="Q1456" i="27"/>
  <c r="AM1228" i="27"/>
  <c r="AH1228" i="27" s="1"/>
  <c r="AF1228" i="27"/>
  <c r="AE1228" i="27"/>
  <c r="AD1228" i="27"/>
  <c r="AC1228" i="27"/>
  <c r="AB1228" i="27"/>
  <c r="R1228" i="27"/>
  <c r="Q1228" i="27"/>
  <c r="P1228" i="27"/>
  <c r="AC1401" i="27"/>
  <c r="AC1279" i="27"/>
  <c r="E1279" i="27"/>
  <c r="AC1294" i="27"/>
  <c r="E1294" i="27"/>
  <c r="AC1251" i="27"/>
  <c r="E1251" i="27"/>
  <c r="AB1251" i="27"/>
  <c r="AB2926" i="27"/>
  <c r="AF1251" i="27"/>
  <c r="AE1251" i="27"/>
  <c r="AD1251" i="27"/>
  <c r="R1251" i="27"/>
  <c r="Q1251" i="27"/>
  <c r="P1251" i="27"/>
  <c r="E1237" i="27"/>
  <c r="E2279" i="27"/>
  <c r="E1366" i="27"/>
  <c r="E1318" i="27"/>
  <c r="E2288" i="27"/>
  <c r="AC2288" i="27"/>
  <c r="AC1237" i="27"/>
  <c r="AC1555" i="27"/>
  <c r="AC2279" i="27"/>
  <c r="AC1366" i="27"/>
  <c r="AC1431" i="27"/>
  <c r="AC1352" i="27"/>
  <c r="AC1318" i="27"/>
  <c r="P1366" i="27"/>
  <c r="P1431" i="27"/>
  <c r="P1352" i="27"/>
  <c r="P1318" i="27"/>
  <c r="P2288" i="27"/>
  <c r="P1237" i="27"/>
  <c r="P1555" i="27"/>
  <c r="P1401" i="27"/>
  <c r="P2279" i="27"/>
  <c r="P1279" i="27"/>
  <c r="P1294" i="27"/>
  <c r="AM1401" i="27"/>
  <c r="AF1401" i="27"/>
  <c r="AE1401" i="27"/>
  <c r="AD1401" i="27"/>
  <c r="AB1401" i="27"/>
  <c r="R1401" i="27"/>
  <c r="Q1401" i="27"/>
  <c r="AM1674" i="27"/>
  <c r="AF1674" i="27"/>
  <c r="AE1674" i="27"/>
  <c r="AD1674" i="27"/>
  <c r="AB1674" i="27"/>
  <c r="R1674" i="27"/>
  <c r="Q1674" i="27"/>
  <c r="AM1329" i="27"/>
  <c r="AF1329" i="27"/>
  <c r="AE1329" i="27"/>
  <c r="AD1329" i="27"/>
  <c r="AB1329" i="27"/>
  <c r="R1329" i="27"/>
  <c r="Q1329" i="27"/>
  <c r="AM1328" i="27"/>
  <c r="AF1328" i="27"/>
  <c r="AE1328" i="27"/>
  <c r="AD1328" i="27"/>
  <c r="AC1328" i="27"/>
  <c r="AB1328" i="27"/>
  <c r="R1328" i="27"/>
  <c r="Q1328" i="27"/>
  <c r="P1328" i="27"/>
  <c r="AF214" i="27"/>
  <c r="AE214" i="27"/>
  <c r="AD214" i="27"/>
  <c r="AB214" i="27"/>
  <c r="R214" i="27"/>
  <c r="Q214" i="27"/>
  <c r="A2824" i="32"/>
  <c r="B2824" i="32" s="1"/>
  <c r="C2824" i="32"/>
  <c r="A2823" i="32"/>
  <c r="B2823" i="32" s="1"/>
  <c r="C2823" i="32"/>
  <c r="A2829" i="32"/>
  <c r="B2829" i="32" s="1"/>
  <c r="C2829" i="32"/>
  <c r="A2831" i="32"/>
  <c r="B2831" i="32" s="1"/>
  <c r="C2831" i="32"/>
  <c r="A2837" i="32"/>
  <c r="B2837" i="32" s="1"/>
  <c r="C2837" i="32"/>
  <c r="A2827" i="32"/>
  <c r="B2827" i="32" s="1"/>
  <c r="C2827" i="32"/>
  <c r="A2833" i="32"/>
  <c r="B2833" i="32" s="1"/>
  <c r="C2833" i="32"/>
  <c r="A2828" i="32"/>
  <c r="B2828" i="32" s="1"/>
  <c r="C2828" i="32"/>
  <c r="A2832" i="32"/>
  <c r="B2832" i="32" s="1"/>
  <c r="C2832" i="32"/>
  <c r="D5" i="30"/>
  <c r="E1194" i="27"/>
  <c r="E1195" i="27"/>
  <c r="E1196" i="27"/>
  <c r="E1197" i="27"/>
  <c r="E1198" i="27"/>
  <c r="E1199" i="27"/>
  <c r="E1200" i="27"/>
  <c r="E1201" i="27"/>
  <c r="E1202" i="27"/>
  <c r="E1204" i="27"/>
  <c r="E1205" i="27"/>
  <c r="E1207" i="27"/>
  <c r="E1208" i="27"/>
  <c r="E1212" i="27"/>
  <c r="E1214" i="27"/>
  <c r="E1233" i="27"/>
  <c r="E1218" i="27"/>
  <c r="E1219" i="27"/>
  <c r="E1222" i="27"/>
  <c r="E1225" i="27"/>
  <c r="E1226" i="27"/>
  <c r="E1227" i="27"/>
  <c r="E1230" i="27"/>
  <c r="I1230" i="27"/>
  <c r="E1231" i="27"/>
  <c r="E1232" i="27"/>
  <c r="E1234" i="27"/>
  <c r="E1235" i="27"/>
  <c r="E1236" i="27"/>
  <c r="E2280" i="27"/>
  <c r="E2281" i="27"/>
  <c r="E1238" i="27"/>
  <c r="E1273" i="27"/>
  <c r="E1259" i="27"/>
  <c r="E1241" i="27"/>
  <c r="E2019" i="27"/>
  <c r="E1243" i="27"/>
  <c r="E1245" i="27"/>
  <c r="E1247" i="27"/>
  <c r="E1248" i="27"/>
  <c r="E1265" i="27"/>
  <c r="E1266" i="27"/>
  <c r="E1267" i="27"/>
  <c r="E1269" i="27"/>
  <c r="E1513" i="27"/>
  <c r="E1271" i="27"/>
  <c r="E1272" i="27"/>
  <c r="E1515" i="27"/>
  <c r="E1291" i="27"/>
  <c r="E1293" i="27"/>
  <c r="E1404" i="27"/>
  <c r="E2934" i="27"/>
  <c r="E2285" i="27"/>
  <c r="E1353" i="27"/>
  <c r="E2294" i="27"/>
  <c r="E2284" i="27"/>
  <c r="E2286" i="27"/>
  <c r="E2287" i="27"/>
  <c r="E1365" i="27"/>
  <c r="E2282" i="27"/>
  <c r="E1217" i="27"/>
  <c r="AB1314" i="27"/>
  <c r="Q1314" i="27"/>
  <c r="R1314" i="27"/>
  <c r="AB2288" i="27"/>
  <c r="Q2288" i="27"/>
  <c r="R2288" i="27"/>
  <c r="E2935" i="27"/>
  <c r="AC2935" i="27"/>
  <c r="AB2935" i="27"/>
  <c r="P2935" i="27"/>
  <c r="Q2935" i="27"/>
  <c r="R2935" i="27"/>
  <c r="E2932" i="27"/>
  <c r="AC2932" i="27"/>
  <c r="AB2932" i="27"/>
  <c r="P2932" i="27"/>
  <c r="Q2932" i="27"/>
  <c r="R2932" i="27"/>
  <c r="E2024" i="27"/>
  <c r="AC2024" i="27"/>
  <c r="AB2024" i="27"/>
  <c r="P2024" i="27"/>
  <c r="Q2024" i="27"/>
  <c r="R2024" i="27"/>
  <c r="E2942" i="27"/>
  <c r="AC2942" i="27"/>
  <c r="AB2942" i="27"/>
  <c r="P2942" i="27"/>
  <c r="Q2942" i="27"/>
  <c r="R2942" i="27"/>
  <c r="E1244" i="27"/>
  <c r="AC1244" i="27"/>
  <c r="AB1244" i="27"/>
  <c r="P1244" i="27"/>
  <c r="Q1244" i="27"/>
  <c r="R1244" i="27"/>
  <c r="AB1275" i="27"/>
  <c r="Q1275" i="27"/>
  <c r="R1275" i="27"/>
  <c r="AB1312" i="27"/>
  <c r="Q1312" i="27"/>
  <c r="R1312" i="27"/>
  <c r="AB1359" i="27"/>
  <c r="Q1359" i="27"/>
  <c r="R1359" i="27"/>
  <c r="AC2287" i="27"/>
  <c r="AB2287" i="27"/>
  <c r="P2287" i="27"/>
  <c r="Q2287" i="27"/>
  <c r="R2287" i="27"/>
  <c r="E2946" i="27"/>
  <c r="AC2946" i="27"/>
  <c r="AB2946" i="27"/>
  <c r="P2946" i="27"/>
  <c r="Q2946" i="27"/>
  <c r="R2946" i="27"/>
  <c r="E2870" i="27"/>
  <c r="AC2870" i="27"/>
  <c r="AB2870" i="27"/>
  <c r="P2870" i="27"/>
  <c r="Q2870" i="27"/>
  <c r="R2870" i="27"/>
  <c r="E2905" i="27"/>
  <c r="AC2905" i="27"/>
  <c r="AB2905" i="27"/>
  <c r="P2905" i="27"/>
  <c r="Q2905" i="27"/>
  <c r="R2905" i="27"/>
  <c r="E2797" i="27"/>
  <c r="AC2797" i="27"/>
  <c r="AB2797" i="27"/>
  <c r="I2797" i="27"/>
  <c r="P2797" i="27"/>
  <c r="Q2797" i="27"/>
  <c r="R2797" i="27"/>
  <c r="E2001" i="27"/>
  <c r="AC2001" i="27"/>
  <c r="AB2001" i="27"/>
  <c r="P2001" i="27"/>
  <c r="Q2001" i="27"/>
  <c r="R2001" i="27"/>
  <c r="AB1516" i="27"/>
  <c r="Q1516" i="27"/>
  <c r="R1516" i="27"/>
  <c r="E2899" i="27"/>
  <c r="AC2899" i="27"/>
  <c r="AB2899" i="27"/>
  <c r="P2899" i="27"/>
  <c r="Q2899" i="27"/>
  <c r="R2899" i="27"/>
  <c r="E2901" i="27"/>
  <c r="AC2901" i="27"/>
  <c r="AB2901" i="27"/>
  <c r="P2901" i="27"/>
  <c r="Q2901" i="27"/>
  <c r="R2901" i="27"/>
  <c r="E2926" i="27"/>
  <c r="AC2926" i="27"/>
  <c r="P2926" i="27"/>
  <c r="Q2926" i="27"/>
  <c r="R2926" i="27"/>
  <c r="E2941" i="27"/>
  <c r="AC2941" i="27"/>
  <c r="AB2941" i="27"/>
  <c r="P2941" i="27"/>
  <c r="Q2941" i="27"/>
  <c r="R2941" i="27"/>
  <c r="AB1281" i="27"/>
  <c r="Q1281" i="27"/>
  <c r="R1281" i="27"/>
  <c r="E2929" i="27"/>
  <c r="AC2929" i="27"/>
  <c r="AB2929" i="27"/>
  <c r="P2929" i="27"/>
  <c r="Q2929" i="27"/>
  <c r="R2929" i="27"/>
  <c r="AC2285" i="27"/>
  <c r="AB2285" i="27"/>
  <c r="P2285" i="27"/>
  <c r="Q2285" i="27"/>
  <c r="R2285" i="27"/>
  <c r="AB1240" i="27"/>
  <c r="Q1240" i="27"/>
  <c r="R1240" i="27"/>
  <c r="AB1399" i="27"/>
  <c r="Q1399" i="27"/>
  <c r="R1399" i="27"/>
  <c r="AB1362" i="27"/>
  <c r="Q1362" i="27"/>
  <c r="R1362" i="27"/>
  <c r="AB1294" i="27"/>
  <c r="Q1294" i="27"/>
  <c r="R1294" i="27"/>
  <c r="AC2294" i="27"/>
  <c r="AB2294" i="27"/>
  <c r="P2294" i="27"/>
  <c r="Q2294" i="27"/>
  <c r="R2294" i="27"/>
  <c r="AB2279" i="27"/>
  <c r="Q2279" i="27"/>
  <c r="R2279" i="27"/>
  <c r="AC1217" i="27"/>
  <c r="AB1217" i="27"/>
  <c r="P1217" i="27"/>
  <c r="Q1217" i="27"/>
  <c r="R1217" i="27"/>
  <c r="E2018" i="27"/>
  <c r="AC2018" i="27"/>
  <c r="AB2018" i="27"/>
  <c r="P2018" i="27"/>
  <c r="Q2018" i="27"/>
  <c r="R2018" i="27"/>
  <c r="E2938" i="27"/>
  <c r="AC2938" i="27"/>
  <c r="AB2938" i="27"/>
  <c r="P2938" i="27"/>
  <c r="Q2938" i="27"/>
  <c r="R2938" i="27"/>
  <c r="AC1265" i="27"/>
  <c r="AB1265" i="27"/>
  <c r="P1265" i="27"/>
  <c r="Q1265" i="27"/>
  <c r="R1265" i="27"/>
  <c r="E1995" i="27"/>
  <c r="AC1995" i="27"/>
  <c r="AB1995" i="27"/>
  <c r="P1995" i="27"/>
  <c r="Q1995" i="27"/>
  <c r="R1995" i="27"/>
  <c r="E2010" i="27"/>
  <c r="AC2010" i="27"/>
  <c r="AB2010" i="27"/>
  <c r="P2010" i="27"/>
  <c r="Q2010" i="27"/>
  <c r="R2010" i="27"/>
  <c r="E2945" i="27"/>
  <c r="AC2945" i="27"/>
  <c r="AB2945" i="27"/>
  <c r="P2945" i="27"/>
  <c r="Q2945" i="27"/>
  <c r="R2945" i="27"/>
  <c r="AB1364" i="27"/>
  <c r="P1364" i="27"/>
  <c r="Q1364" i="27"/>
  <c r="R1364" i="27"/>
  <c r="E2947" i="27"/>
  <c r="AC2947" i="27"/>
  <c r="AB2947" i="27"/>
  <c r="P2947" i="27"/>
  <c r="Q2947" i="27"/>
  <c r="R2947" i="27"/>
  <c r="AC1365" i="27"/>
  <c r="AB1365" i="27"/>
  <c r="P1365" i="27"/>
  <c r="Q1365" i="27"/>
  <c r="R1365" i="27"/>
  <c r="AB2289" i="27"/>
  <c r="Q2289" i="27"/>
  <c r="R2289" i="27"/>
  <c r="AB1409" i="27"/>
  <c r="Q1409" i="27"/>
  <c r="R1409" i="27"/>
  <c r="AC2282" i="27"/>
  <c r="AB2282" i="27"/>
  <c r="P2282" i="27"/>
  <c r="Q2282" i="27"/>
  <c r="R2282" i="27"/>
  <c r="AC1250" i="27"/>
  <c r="AB1250" i="27"/>
  <c r="Q1250" i="27"/>
  <c r="R1250" i="27"/>
  <c r="E2940" i="27"/>
  <c r="AC2940" i="27"/>
  <c r="AB2940" i="27"/>
  <c r="P2940" i="27"/>
  <c r="Q2940" i="27"/>
  <c r="R2940" i="27"/>
  <c r="E2032" i="27"/>
  <c r="AC2032" i="27"/>
  <c r="AB2032" i="27"/>
  <c r="P2032" i="27"/>
  <c r="Q2032" i="27"/>
  <c r="R2032" i="27"/>
  <c r="E1410" i="27"/>
  <c r="AC1410" i="27"/>
  <c r="AB1410" i="27"/>
  <c r="P1410" i="27"/>
  <c r="Q1410" i="27"/>
  <c r="R1410" i="27"/>
  <c r="AB1366" i="27"/>
  <c r="Q1366" i="27"/>
  <c r="R1366" i="27"/>
  <c r="AB2290" i="27"/>
  <c r="Q2290" i="27"/>
  <c r="R2290" i="27"/>
  <c r="AB1279" i="27"/>
  <c r="Q1279" i="27"/>
  <c r="R1279" i="27"/>
  <c r="E2950" i="27"/>
  <c r="AC2950" i="27"/>
  <c r="AB2950" i="27"/>
  <c r="P2950" i="27"/>
  <c r="Q2950" i="27"/>
  <c r="R2950" i="27"/>
  <c r="AB1465" i="27"/>
  <c r="Q1465" i="27"/>
  <c r="R1465" i="27"/>
  <c r="E2031" i="27"/>
  <c r="AC2031" i="27"/>
  <c r="AB2031" i="27"/>
  <c r="P2031" i="27"/>
  <c r="Q2031" i="27"/>
  <c r="R2031" i="27"/>
  <c r="E2027" i="27"/>
  <c r="AC2027" i="27"/>
  <c r="AB2027" i="27"/>
  <c r="P2027" i="27"/>
  <c r="Q2027" i="27"/>
  <c r="R2027" i="27"/>
  <c r="AC1305" i="27"/>
  <c r="AB1305" i="27"/>
  <c r="P1305" i="27"/>
  <c r="Q1305" i="27"/>
  <c r="R1305" i="27"/>
  <c r="AB1237" i="27"/>
  <c r="Q1237" i="27"/>
  <c r="R1237" i="27"/>
  <c r="E2951" i="27"/>
  <c r="AC2951" i="27"/>
  <c r="AB2951" i="27"/>
  <c r="P2951" i="27"/>
  <c r="Q2951" i="27"/>
  <c r="R2951" i="27"/>
  <c r="E2033" i="27"/>
  <c r="AC2033" i="27"/>
  <c r="AB2033" i="27"/>
  <c r="P2033" i="27"/>
  <c r="Q2033" i="27"/>
  <c r="R2033" i="27"/>
  <c r="E2026" i="27"/>
  <c r="AC2026" i="27"/>
  <c r="AB2026" i="27"/>
  <c r="P2026" i="27"/>
  <c r="Q2026" i="27"/>
  <c r="R2026" i="27"/>
  <c r="AB1249" i="27"/>
  <c r="Q1249" i="27"/>
  <c r="R1249" i="27"/>
  <c r="E2936" i="27"/>
  <c r="AC2936" i="27"/>
  <c r="AB2936" i="27"/>
  <c r="P2936" i="27"/>
  <c r="Q2936" i="27"/>
  <c r="R2936" i="27"/>
  <c r="E1413" i="27"/>
  <c r="AC1413" i="27"/>
  <c r="AB1413" i="27"/>
  <c r="P1413" i="27"/>
  <c r="Q1413" i="27"/>
  <c r="R1413" i="27"/>
  <c r="AC1414" i="27"/>
  <c r="AB1414" i="27"/>
  <c r="P1414" i="27"/>
  <c r="Q1414" i="27"/>
  <c r="R1414" i="27"/>
  <c r="E2954" i="27"/>
  <c r="AC2954" i="27"/>
  <c r="AB2954" i="27"/>
  <c r="P2954" i="27"/>
  <c r="Q2954" i="27"/>
  <c r="R2954" i="27"/>
  <c r="E1203" i="27"/>
  <c r="AC1203" i="27"/>
  <c r="AB1203" i="27"/>
  <c r="P1203" i="27"/>
  <c r="Q1203" i="27"/>
  <c r="R1203" i="27"/>
  <c r="E2409" i="27"/>
  <c r="AC1194" i="27"/>
  <c r="AC1195" i="27"/>
  <c r="AC1196" i="27"/>
  <c r="AC1197" i="27"/>
  <c r="AC1198" i="27"/>
  <c r="AC1199" i="27"/>
  <c r="AC1200" i="27"/>
  <c r="AC1201" i="27"/>
  <c r="AC1202" i="27"/>
  <c r="AC1204" i="27"/>
  <c r="AC1205" i="27"/>
  <c r="AC1206" i="27"/>
  <c r="AC1207" i="27"/>
  <c r="AC1208" i="27"/>
  <c r="AC1209" i="27"/>
  <c r="AC1210" i="27"/>
  <c r="AC1263" i="27"/>
  <c r="AC1211" i="27"/>
  <c r="E1213" i="27"/>
  <c r="AC1212" i="27"/>
  <c r="AC1213" i="27"/>
  <c r="AC1214" i="27"/>
  <c r="AC1233" i="27"/>
  <c r="AC1215" i="27"/>
  <c r="AC1289" i="27"/>
  <c r="AC1218" i="27"/>
  <c r="AC1219" i="27"/>
  <c r="AC1221" i="27"/>
  <c r="AC1222" i="27"/>
  <c r="AC1224" i="27"/>
  <c r="AC1225" i="27"/>
  <c r="AC1226" i="27"/>
  <c r="AC1227" i="27"/>
  <c r="AC1349" i="27"/>
  <c r="AC1238" i="27"/>
  <c r="AC1241" i="27"/>
  <c r="AC1248" i="27"/>
  <c r="AC1230" i="27"/>
  <c r="AC1231" i="27"/>
  <c r="AC1232" i="27"/>
  <c r="AC1234" i="27"/>
  <c r="AC1235" i="27"/>
  <c r="AC1236" i="27"/>
  <c r="AC2280" i="27"/>
  <c r="AC2281" i="27"/>
  <c r="AC1273" i="27"/>
  <c r="AC1259" i="27"/>
  <c r="AC2019" i="27"/>
  <c r="AC1243" i="27"/>
  <c r="AC1245" i="27"/>
  <c r="AC1246" i="27"/>
  <c r="AC1247" i="27"/>
  <c r="AC1253" i="27"/>
  <c r="AC1254" i="27"/>
  <c r="AC1255" i="27"/>
  <c r="AC1513" i="27"/>
  <c r="AC1271" i="27"/>
  <c r="AC1272" i="27"/>
  <c r="AC1266" i="27"/>
  <c r="AC1267" i="27"/>
  <c r="AC1269" i="27"/>
  <c r="AC1515" i="27"/>
  <c r="AC1291" i="27"/>
  <c r="AC1293" i="27"/>
  <c r="AC1283" i="27"/>
  <c r="AC1351" i="27"/>
  <c r="AC1603" i="27"/>
  <c r="AC1404" i="27"/>
  <c r="AC1242" i="27"/>
  <c r="AC1353" i="27"/>
  <c r="AC2284" i="27"/>
  <c r="AC2934" i="27"/>
  <c r="AC2286" i="27"/>
  <c r="AC1348" i="27"/>
  <c r="E1182" i="27"/>
  <c r="AC1182" i="27"/>
  <c r="E1154" i="27"/>
  <c r="AC1154" i="27"/>
  <c r="E1155" i="27"/>
  <c r="AC1155" i="27"/>
  <c r="E1161" i="27"/>
  <c r="AC1161" i="27"/>
  <c r="E1162" i="27"/>
  <c r="AC1162" i="27"/>
  <c r="E1163" i="27"/>
  <c r="AC1163" i="27"/>
  <c r="AC1191" i="27"/>
  <c r="AC1193" i="27"/>
  <c r="E869" i="27"/>
  <c r="P869" i="27"/>
  <c r="E870" i="27"/>
  <c r="P870" i="27"/>
  <c r="E872" i="27"/>
  <c r="P872" i="27"/>
  <c r="E873" i="27"/>
  <c r="P873" i="27"/>
  <c r="E874" i="27"/>
  <c r="P874" i="27"/>
  <c r="E876" i="27"/>
  <c r="P876" i="27"/>
  <c r="E877" i="27"/>
  <c r="P877" i="27"/>
  <c r="E878" i="27"/>
  <c r="P878" i="27"/>
  <c r="E879" i="27"/>
  <c r="P879" i="27"/>
  <c r="E880" i="27"/>
  <c r="P880" i="27"/>
  <c r="E946" i="27"/>
  <c r="P946" i="27"/>
  <c r="E881" i="27"/>
  <c r="P881" i="27"/>
  <c r="E882" i="27"/>
  <c r="P882" i="27"/>
  <c r="E883" i="27"/>
  <c r="P883" i="27"/>
  <c r="E884" i="27"/>
  <c r="P884" i="27"/>
  <c r="E885" i="27"/>
  <c r="P885" i="27"/>
  <c r="E886" i="27"/>
  <c r="I886" i="27"/>
  <c r="P886" i="27"/>
  <c r="E887" i="27"/>
  <c r="P887" i="27"/>
  <c r="E888" i="27"/>
  <c r="P888" i="27"/>
  <c r="E889" i="27"/>
  <c r="P889" i="27"/>
  <c r="E890" i="27"/>
  <c r="P890" i="27"/>
  <c r="E891" i="27"/>
  <c r="P891" i="27"/>
  <c r="E892" i="27"/>
  <c r="P892" i="27"/>
  <c r="E893" i="27"/>
  <c r="P893" i="27"/>
  <c r="E894" i="27"/>
  <c r="I894" i="27"/>
  <c r="P894" i="27"/>
  <c r="E895" i="27"/>
  <c r="P895" i="27"/>
  <c r="E896" i="27"/>
  <c r="P896" i="27"/>
  <c r="E897" i="27"/>
  <c r="P897" i="27"/>
  <c r="E898" i="27"/>
  <c r="P898" i="27"/>
  <c r="E899" i="27"/>
  <c r="P899" i="27"/>
  <c r="E900" i="27"/>
  <c r="P900" i="27"/>
  <c r="E901" i="27"/>
  <c r="P901" i="27"/>
  <c r="I902" i="27"/>
  <c r="P902" i="27"/>
  <c r="E903" i="27"/>
  <c r="I903" i="27"/>
  <c r="P903" i="27"/>
  <c r="E904" i="27"/>
  <c r="P904" i="27"/>
  <c r="E905" i="27"/>
  <c r="P905" i="27"/>
  <c r="E907" i="27"/>
  <c r="P907" i="27"/>
  <c r="E910" i="27"/>
  <c r="P910" i="27"/>
  <c r="P911" i="27"/>
  <c r="E912" i="27"/>
  <c r="P912" i="27"/>
  <c r="E913" i="27"/>
  <c r="P913" i="27"/>
  <c r="E914" i="27"/>
  <c r="P914" i="27"/>
  <c r="E915" i="27"/>
  <c r="P915" i="27"/>
  <c r="E916" i="27"/>
  <c r="P916" i="27"/>
  <c r="E917" i="27"/>
  <c r="P917" i="27"/>
  <c r="E919" i="27"/>
  <c r="P919" i="27"/>
  <c r="E920" i="27"/>
  <c r="P920" i="27"/>
  <c r="E921" i="27"/>
  <c r="P921" i="27"/>
  <c r="E922" i="27"/>
  <c r="P922" i="27"/>
  <c r="E923" i="27"/>
  <c r="I923" i="27"/>
  <c r="P923" i="27"/>
  <c r="E924" i="27"/>
  <c r="P924" i="27"/>
  <c r="E925" i="27"/>
  <c r="P925" i="27"/>
  <c r="E926" i="27"/>
  <c r="P926" i="27"/>
  <c r="E927" i="27"/>
  <c r="P927" i="27"/>
  <c r="E928" i="27"/>
  <c r="P928" i="27"/>
  <c r="E929" i="27"/>
  <c r="P929" i="27"/>
  <c r="E930" i="27"/>
  <c r="P930" i="27"/>
  <c r="E931" i="27"/>
  <c r="I931" i="27"/>
  <c r="P931" i="27"/>
  <c r="E932" i="27"/>
  <c r="I932" i="27"/>
  <c r="P932" i="27"/>
  <c r="E933" i="27"/>
  <c r="P933" i="27"/>
  <c r="E934" i="27"/>
  <c r="I934" i="27"/>
  <c r="P934" i="27"/>
  <c r="E935" i="27"/>
  <c r="P935" i="27"/>
  <c r="E936" i="27"/>
  <c r="P936" i="27"/>
  <c r="E937" i="27"/>
  <c r="P937" i="27"/>
  <c r="E939" i="27"/>
  <c r="P939" i="27"/>
  <c r="E940" i="27"/>
  <c r="P940" i="27"/>
  <c r="P941" i="27"/>
  <c r="E942" i="27"/>
  <c r="P942" i="27"/>
  <c r="E943" i="27"/>
  <c r="P943" i="27"/>
  <c r="E944" i="27"/>
  <c r="P944" i="27"/>
  <c r="E945" i="27"/>
  <c r="P945" i="27"/>
  <c r="E948" i="27"/>
  <c r="P948" i="27"/>
  <c r="E949" i="27"/>
  <c r="P949" i="27"/>
  <c r="E950" i="27"/>
  <c r="P950" i="27"/>
  <c r="E951" i="27"/>
  <c r="P951" i="27"/>
  <c r="E953" i="27"/>
  <c r="I953" i="27"/>
  <c r="P953" i="27"/>
  <c r="E954" i="27"/>
  <c r="P954" i="27"/>
  <c r="E955" i="27"/>
  <c r="P955" i="27"/>
  <c r="E956" i="27"/>
  <c r="P956" i="27"/>
  <c r="E957" i="27"/>
  <c r="P957" i="27"/>
  <c r="E958" i="27"/>
  <c r="P958" i="27"/>
  <c r="P959" i="27"/>
  <c r="E960" i="27"/>
  <c r="P960" i="27"/>
  <c r="E961" i="27"/>
  <c r="P961" i="27"/>
  <c r="P963" i="27"/>
  <c r="E965" i="27"/>
  <c r="P965" i="27"/>
  <c r="E966" i="27"/>
  <c r="P966" i="27"/>
  <c r="E967" i="27"/>
  <c r="P967" i="27"/>
  <c r="E968" i="27"/>
  <c r="P968" i="27"/>
  <c r="E969" i="27"/>
  <c r="P969" i="27"/>
  <c r="E970" i="27"/>
  <c r="I970" i="27"/>
  <c r="P970" i="27"/>
  <c r="E972" i="27"/>
  <c r="P972" i="27"/>
  <c r="E973" i="27"/>
  <c r="P973" i="27"/>
  <c r="E976" i="27"/>
  <c r="P976" i="27"/>
  <c r="E977" i="27"/>
  <c r="P977" i="27"/>
  <c r="E978" i="27"/>
  <c r="I978" i="27"/>
  <c r="P978" i="27"/>
  <c r="E979" i="27"/>
  <c r="P979" i="27"/>
  <c r="E981" i="27"/>
  <c r="P981" i="27"/>
  <c r="E982" i="27"/>
  <c r="I982" i="27"/>
  <c r="P982" i="27"/>
  <c r="E983" i="27"/>
  <c r="P983" i="27"/>
  <c r="E984" i="27"/>
  <c r="P984" i="27"/>
  <c r="E985" i="27"/>
  <c r="P985" i="27"/>
  <c r="E986" i="27"/>
  <c r="P986" i="27"/>
  <c r="E987" i="27"/>
  <c r="P987" i="27"/>
  <c r="E988" i="27"/>
  <c r="P988" i="27"/>
  <c r="E989" i="27"/>
  <c r="I989" i="27"/>
  <c r="P989" i="27"/>
  <c r="E990" i="27"/>
  <c r="P990" i="27"/>
  <c r="E991" i="27"/>
  <c r="I991" i="27"/>
  <c r="P991" i="27"/>
  <c r="E992" i="27"/>
  <c r="P992" i="27"/>
  <c r="P993" i="27"/>
  <c r="E994" i="27"/>
  <c r="P994" i="27"/>
  <c r="E995" i="27"/>
  <c r="P995" i="27"/>
  <c r="E998" i="27"/>
  <c r="P998" i="27"/>
  <c r="E999" i="27"/>
  <c r="P999" i="27"/>
  <c r="E1000" i="27"/>
  <c r="I1000" i="27"/>
  <c r="P1000" i="27"/>
  <c r="E1001" i="27"/>
  <c r="I1001" i="27"/>
  <c r="P1001" i="27"/>
  <c r="E1002" i="27"/>
  <c r="P1002" i="27"/>
  <c r="E1003" i="27"/>
  <c r="P1003" i="27"/>
  <c r="E1004" i="27"/>
  <c r="I1004" i="27"/>
  <c r="P1004" i="27"/>
  <c r="E1005" i="27"/>
  <c r="P1005" i="27"/>
  <c r="E1007" i="27"/>
  <c r="P1007" i="27"/>
  <c r="E2240" i="27"/>
  <c r="I2240" i="27"/>
  <c r="P2240" i="27"/>
  <c r="E1008" i="27"/>
  <c r="P1008" i="27"/>
  <c r="E1009" i="27"/>
  <c r="P1009" i="27"/>
  <c r="E1010" i="27"/>
  <c r="I1010" i="27"/>
  <c r="P1010" i="27"/>
  <c r="E1011" i="27"/>
  <c r="P1011" i="27"/>
  <c r="E1012" i="27"/>
  <c r="P1012" i="27"/>
  <c r="E1013" i="27"/>
  <c r="P1013" i="27"/>
  <c r="E1014" i="27"/>
  <c r="P1014" i="27"/>
  <c r="E1015" i="27"/>
  <c r="P1015" i="27"/>
  <c r="E1016" i="27"/>
  <c r="P1016" i="27"/>
  <c r="E1017" i="27"/>
  <c r="I1017" i="27"/>
  <c r="P1017" i="27"/>
  <c r="E1018" i="27"/>
  <c r="P1018" i="27"/>
  <c r="E1019" i="27"/>
  <c r="P1019" i="27"/>
  <c r="E1020" i="27"/>
  <c r="P1020" i="27"/>
  <c r="E1021" i="27"/>
  <c r="P1021" i="27"/>
  <c r="E1022" i="27"/>
  <c r="I1022" i="27"/>
  <c r="P1022" i="27"/>
  <c r="P1023" i="27"/>
  <c r="I1024" i="27"/>
  <c r="P1024" i="27"/>
  <c r="I1025" i="27"/>
  <c r="P1025" i="27"/>
  <c r="P1026" i="27"/>
  <c r="E1027" i="27"/>
  <c r="P1027" i="27"/>
  <c r="E1028" i="27"/>
  <c r="P1028" i="27"/>
  <c r="E1031" i="27"/>
  <c r="P1031" i="27"/>
  <c r="E1032" i="27"/>
  <c r="P1032" i="27"/>
  <c r="E1033" i="27"/>
  <c r="P1033" i="27"/>
  <c r="E1034" i="27"/>
  <c r="P1034" i="27"/>
  <c r="E1036" i="27"/>
  <c r="P1036" i="27"/>
  <c r="E1038" i="27"/>
  <c r="I1038" i="27"/>
  <c r="P1038" i="27"/>
  <c r="E1039" i="27"/>
  <c r="P1039" i="27"/>
  <c r="E1041" i="27"/>
  <c r="P1041" i="27"/>
  <c r="E1042" i="27"/>
  <c r="P1042" i="27"/>
  <c r="P1043" i="27"/>
  <c r="P1044" i="27"/>
  <c r="P1045" i="27"/>
  <c r="P1046" i="27"/>
  <c r="I1047" i="27"/>
  <c r="P1047" i="27"/>
  <c r="P1048" i="27"/>
  <c r="E1049" i="27"/>
  <c r="I1049" i="27"/>
  <c r="P1049" i="27"/>
  <c r="E1050" i="27"/>
  <c r="P1050" i="27"/>
  <c r="E1051" i="27"/>
  <c r="P1051" i="27"/>
  <c r="E1052" i="27"/>
  <c r="I1052" i="27"/>
  <c r="P1052" i="27"/>
  <c r="E1053" i="27"/>
  <c r="P1053" i="27"/>
  <c r="E1056" i="27"/>
  <c r="P1056" i="27"/>
  <c r="E1057" i="27"/>
  <c r="P1057" i="27"/>
  <c r="E1058" i="27"/>
  <c r="P1058" i="27"/>
  <c r="E1059" i="27"/>
  <c r="P1059" i="27"/>
  <c r="E1060" i="27"/>
  <c r="P1060" i="27"/>
  <c r="E1061" i="27"/>
  <c r="P1061" i="27"/>
  <c r="E1062" i="27"/>
  <c r="I1062" i="27"/>
  <c r="P1062" i="27"/>
  <c r="P1063" i="27"/>
  <c r="P1064" i="27"/>
  <c r="P1065" i="27"/>
  <c r="I1066" i="27"/>
  <c r="P1066" i="27"/>
  <c r="I1067" i="27"/>
  <c r="P1067" i="27"/>
  <c r="P1068" i="27"/>
  <c r="P1069" i="27"/>
  <c r="E1070" i="27"/>
  <c r="P1070" i="27"/>
  <c r="E1072" i="27"/>
  <c r="P1072" i="27"/>
  <c r="E1073" i="27"/>
  <c r="P1073" i="27"/>
  <c r="I1074" i="27"/>
  <c r="P1074" i="27"/>
  <c r="E1075" i="27"/>
  <c r="I1075" i="27"/>
  <c r="P1075" i="27"/>
  <c r="E1076" i="27"/>
  <c r="I1076" i="27"/>
  <c r="P1076" i="27"/>
  <c r="E1077" i="27"/>
  <c r="I1077" i="27"/>
  <c r="P1077" i="27"/>
  <c r="E1078" i="27"/>
  <c r="I1078" i="27"/>
  <c r="P1078" i="27"/>
  <c r="E1079" i="27"/>
  <c r="P1079" i="27"/>
  <c r="E1080" i="27"/>
  <c r="P1080" i="27"/>
  <c r="E1081" i="27"/>
  <c r="I1081" i="27"/>
  <c r="P1081" i="27"/>
  <c r="E1082" i="27"/>
  <c r="P1082" i="27"/>
  <c r="E1083" i="27"/>
  <c r="P1083" i="27"/>
  <c r="E1084" i="27"/>
  <c r="P1084" i="27"/>
  <c r="E1085" i="27"/>
  <c r="I1085" i="27"/>
  <c r="P1085" i="27"/>
  <c r="E1086" i="27"/>
  <c r="I1086" i="27"/>
  <c r="P1086" i="27"/>
  <c r="E1087" i="27"/>
  <c r="P1087" i="27"/>
  <c r="E1088" i="27"/>
  <c r="P1088" i="27"/>
  <c r="E1089" i="27"/>
  <c r="P1089" i="27"/>
  <c r="E1090" i="27"/>
  <c r="P1090" i="27"/>
  <c r="P1093" i="27"/>
  <c r="I1094" i="27"/>
  <c r="P1094" i="27"/>
  <c r="E1095" i="27"/>
  <c r="P1095" i="27"/>
  <c r="E1096" i="27"/>
  <c r="P1096" i="27"/>
  <c r="E1097" i="27"/>
  <c r="P1097" i="27"/>
  <c r="E1098" i="27"/>
  <c r="P1098" i="27"/>
  <c r="E1099" i="27"/>
  <c r="P1099" i="27"/>
  <c r="E1100" i="27"/>
  <c r="P1100" i="27"/>
  <c r="E1101" i="27"/>
  <c r="P1101" i="27"/>
  <c r="E1102" i="27"/>
  <c r="P1102" i="27"/>
  <c r="E1103" i="27"/>
  <c r="P1103" i="27"/>
  <c r="E1105" i="27"/>
  <c r="P1105" i="27"/>
  <c r="E1106" i="27"/>
  <c r="P1106" i="27"/>
  <c r="E1107" i="27"/>
  <c r="P1107" i="27"/>
  <c r="E1108" i="27"/>
  <c r="P1108" i="27"/>
  <c r="E1109" i="27"/>
  <c r="P1109" i="27"/>
  <c r="E1110" i="27"/>
  <c r="P1110" i="27"/>
  <c r="E1111" i="27"/>
  <c r="P1111" i="27"/>
  <c r="E1112" i="27"/>
  <c r="P1112" i="27"/>
  <c r="E1113" i="27"/>
  <c r="P1113" i="27"/>
  <c r="E1114" i="27"/>
  <c r="P1114" i="27"/>
  <c r="I1115" i="27"/>
  <c r="P1115" i="27"/>
  <c r="I1116" i="27"/>
  <c r="P1116" i="27"/>
  <c r="P1117" i="27"/>
  <c r="P1118" i="27"/>
  <c r="P1119" i="27"/>
  <c r="P1120" i="27"/>
  <c r="P1121" i="27"/>
  <c r="E1122" i="27"/>
  <c r="P1122" i="27"/>
  <c r="E1123" i="27"/>
  <c r="P1123" i="27"/>
  <c r="E1124" i="27"/>
  <c r="I1124" i="27"/>
  <c r="P1124" i="27"/>
  <c r="E1126" i="27"/>
  <c r="P1126" i="27"/>
  <c r="E1127" i="27"/>
  <c r="P1127" i="27"/>
  <c r="E1128" i="27"/>
  <c r="P1128" i="27"/>
  <c r="E1129" i="27"/>
  <c r="P1129" i="27"/>
  <c r="P1130" i="27"/>
  <c r="P1131" i="27"/>
  <c r="E1132" i="27"/>
  <c r="P1132" i="27"/>
  <c r="P1133" i="27"/>
  <c r="P1134" i="27"/>
  <c r="P1135" i="27"/>
  <c r="P1136" i="27"/>
  <c r="P1137" i="27"/>
  <c r="P1138" i="27"/>
  <c r="P1139" i="27"/>
  <c r="E1140" i="27"/>
  <c r="P1140" i="27"/>
  <c r="E1141" i="27"/>
  <c r="I1141" i="27"/>
  <c r="P1141" i="27"/>
  <c r="E1142" i="27"/>
  <c r="P1142" i="27"/>
  <c r="E1143" i="27"/>
  <c r="P1143" i="27"/>
  <c r="E1144" i="27"/>
  <c r="AM1121" i="27"/>
  <c r="P1144" i="27"/>
  <c r="E1145" i="27"/>
  <c r="P1145" i="27"/>
  <c r="E1146" i="27"/>
  <c r="P1146" i="27"/>
  <c r="E2267" i="27"/>
  <c r="P2267" i="27"/>
  <c r="E1147" i="27"/>
  <c r="P1147" i="27"/>
  <c r="E1148" i="27"/>
  <c r="P1148" i="27"/>
  <c r="P1149" i="27"/>
  <c r="P1150" i="27"/>
  <c r="E1151" i="27"/>
  <c r="P1151" i="27"/>
  <c r="P1152" i="27"/>
  <c r="P1154" i="27"/>
  <c r="P1155" i="27"/>
  <c r="E2268" i="27"/>
  <c r="P2268" i="27"/>
  <c r="E1156" i="27"/>
  <c r="P1156" i="27"/>
  <c r="E1157" i="27"/>
  <c r="P1157" i="27"/>
  <c r="E1158" i="27"/>
  <c r="P1158" i="27"/>
  <c r="E1159" i="27"/>
  <c r="P1159" i="27"/>
  <c r="E1160" i="27"/>
  <c r="P1160" i="27"/>
  <c r="P1161" i="27"/>
  <c r="P1162" i="27"/>
  <c r="P1163" i="27"/>
  <c r="E1164" i="27"/>
  <c r="P1164" i="27"/>
  <c r="E1165" i="27"/>
  <c r="P1165" i="27"/>
  <c r="E2273" i="27"/>
  <c r="P2273" i="27"/>
  <c r="E1166" i="27"/>
  <c r="P1166" i="27"/>
  <c r="E1167" i="27"/>
  <c r="P1167" i="27"/>
  <c r="E1168" i="27"/>
  <c r="P1168" i="27"/>
  <c r="E1169" i="27"/>
  <c r="P1169" i="27"/>
  <c r="E1170" i="27"/>
  <c r="P1170" i="27"/>
  <c r="E1171" i="27"/>
  <c r="P1171" i="27"/>
  <c r="E1172" i="27"/>
  <c r="P1172" i="27"/>
  <c r="E1173" i="27"/>
  <c r="P1173" i="27"/>
  <c r="E1174" i="27"/>
  <c r="P1174" i="27"/>
  <c r="E1175" i="27"/>
  <c r="P1175" i="27"/>
  <c r="E1176" i="27"/>
  <c r="P1176" i="27"/>
  <c r="E1177" i="27"/>
  <c r="P1177" i="27"/>
  <c r="E1178" i="27"/>
  <c r="P1178" i="27"/>
  <c r="E1179" i="27"/>
  <c r="P1179" i="27"/>
  <c r="E1180" i="27"/>
  <c r="P1180" i="27"/>
  <c r="E1181" i="27"/>
  <c r="P1181" i="27"/>
  <c r="P1182" i="27"/>
  <c r="E1183" i="27"/>
  <c r="P1183" i="27"/>
  <c r="E1184" i="27"/>
  <c r="P1184" i="27"/>
  <c r="E1185" i="27"/>
  <c r="P1185" i="27"/>
  <c r="E1186" i="27"/>
  <c r="P1186" i="27"/>
  <c r="E1187" i="27"/>
  <c r="P1187" i="27"/>
  <c r="E1188" i="27"/>
  <c r="P1188" i="27"/>
  <c r="E1189" i="27"/>
  <c r="P1189" i="27"/>
  <c r="E1190" i="27"/>
  <c r="P1190" i="27"/>
  <c r="P1191" i="27"/>
  <c r="P1192" i="27"/>
  <c r="P1193" i="27"/>
  <c r="P1194" i="27"/>
  <c r="P1195" i="27"/>
  <c r="P1196" i="27"/>
  <c r="P1197" i="27"/>
  <c r="P1198" i="27"/>
  <c r="P1199" i="27"/>
  <c r="P1200" i="27"/>
  <c r="P1201" i="27"/>
  <c r="P1202" i="27"/>
  <c r="P1204" i="27"/>
  <c r="E2274" i="27"/>
  <c r="P2274" i="27"/>
  <c r="E2275" i="27"/>
  <c r="P2275" i="27"/>
  <c r="P1205" i="27"/>
  <c r="E1206" i="27"/>
  <c r="P1206" i="27"/>
  <c r="E2276" i="27"/>
  <c r="P2276" i="27"/>
  <c r="P1207" i="27"/>
  <c r="P1208" i="27"/>
  <c r="P1209" i="27"/>
  <c r="P1210" i="27"/>
  <c r="P1263" i="27"/>
  <c r="P1211" i="27"/>
  <c r="P1212" i="27"/>
  <c r="P1213" i="27"/>
  <c r="P1214" i="27"/>
  <c r="P1233" i="27"/>
  <c r="P1215" i="27"/>
  <c r="P1218" i="27"/>
  <c r="P1219" i="27"/>
  <c r="E1220" i="27"/>
  <c r="P1220" i="27"/>
  <c r="E1221" i="27"/>
  <c r="P1221" i="27"/>
  <c r="P1222" i="27"/>
  <c r="E2277" i="27"/>
  <c r="P2277" i="27"/>
  <c r="P1224" i="27"/>
  <c r="E2278" i="27"/>
  <c r="P2278" i="27"/>
  <c r="P1225" i="27"/>
  <c r="P1226" i="27"/>
  <c r="P1227" i="27"/>
  <c r="P1349" i="27"/>
  <c r="P1230" i="27"/>
  <c r="P1231" i="27"/>
  <c r="P1232" i="27"/>
  <c r="P1234" i="27"/>
  <c r="P1235" i="27"/>
  <c r="P1236" i="27"/>
  <c r="P2280" i="27"/>
  <c r="P2281" i="27"/>
  <c r="P1238" i="27"/>
  <c r="P1273" i="27"/>
  <c r="P1259" i="27"/>
  <c r="P1241" i="27"/>
  <c r="P2019" i="27"/>
  <c r="P1243" i="27"/>
  <c r="P1245" i="27"/>
  <c r="E1246" i="27"/>
  <c r="P1246" i="27"/>
  <c r="P1247" i="27"/>
  <c r="P1248" i="27"/>
  <c r="P1253" i="27"/>
  <c r="P1254" i="27"/>
  <c r="P1255" i="27"/>
  <c r="E1264" i="27"/>
  <c r="I1264" i="27"/>
  <c r="P1264" i="27"/>
  <c r="P1266" i="27"/>
  <c r="E2283" i="27"/>
  <c r="P2283" i="27"/>
  <c r="P1267" i="27"/>
  <c r="P1269" i="27"/>
  <c r="P1513" i="27"/>
  <c r="P1271" i="27"/>
  <c r="P1272" i="27"/>
  <c r="P1515" i="27"/>
  <c r="P1291" i="27"/>
  <c r="P1293" i="27"/>
  <c r="E1276" i="27"/>
  <c r="P1276" i="27"/>
  <c r="P1283" i="27"/>
  <c r="P1603" i="27"/>
  <c r="P1404" i="27"/>
  <c r="P1353" i="27"/>
  <c r="P2284" i="27"/>
  <c r="P2934" i="27"/>
  <c r="P2286" i="27"/>
  <c r="P1348" i="27"/>
  <c r="AJ13" i="27"/>
  <c r="Q1194" i="27"/>
  <c r="R1194" i="27"/>
  <c r="AB1194" i="27"/>
  <c r="AD1194" i="27"/>
  <c r="AE1194" i="27"/>
  <c r="AF1194" i="27"/>
  <c r="Q1195" i="27"/>
  <c r="R1195" i="27"/>
  <c r="AB1195" i="27"/>
  <c r="AD1195" i="27"/>
  <c r="AE1195" i="27"/>
  <c r="AF1195" i="27"/>
  <c r="Q1196" i="27"/>
  <c r="R1196" i="27"/>
  <c r="AB1196" i="27"/>
  <c r="AD1196" i="27"/>
  <c r="AE1196" i="27"/>
  <c r="AF1196" i="27"/>
  <c r="Q1197" i="27"/>
  <c r="R1197" i="27"/>
  <c r="AB1197" i="27"/>
  <c r="AD1197" i="27"/>
  <c r="AE1197" i="27"/>
  <c r="AF1197" i="27"/>
  <c r="Q1198" i="27"/>
  <c r="R1198" i="27"/>
  <c r="AB1198" i="27"/>
  <c r="AD1198" i="27"/>
  <c r="AE1198" i="27"/>
  <c r="AF1198" i="27"/>
  <c r="Q1199" i="27"/>
  <c r="R1199" i="27"/>
  <c r="AB1199" i="27"/>
  <c r="AD1199" i="27"/>
  <c r="AE1199" i="27"/>
  <c r="AF1199" i="27"/>
  <c r="Q1200" i="27"/>
  <c r="R1200" i="27"/>
  <c r="AB1200" i="27"/>
  <c r="AD1200" i="27"/>
  <c r="AE1200" i="27"/>
  <c r="AF1200" i="27"/>
  <c r="Q1201" i="27"/>
  <c r="R1201" i="27"/>
  <c r="AB1201" i="27"/>
  <c r="AD1201" i="27"/>
  <c r="AE1201" i="27"/>
  <c r="AF1201" i="27"/>
  <c r="Q1202" i="27"/>
  <c r="R1202" i="27"/>
  <c r="AB1202" i="27"/>
  <c r="AD1202" i="27"/>
  <c r="AE1202" i="27"/>
  <c r="AF1202" i="27"/>
  <c r="Q1204" i="27"/>
  <c r="R1204" i="27"/>
  <c r="AB1204" i="27"/>
  <c r="AD1204" i="27"/>
  <c r="AE1204" i="27"/>
  <c r="AF1204" i="27"/>
  <c r="Q1205" i="27"/>
  <c r="R1205" i="27"/>
  <c r="AD1205" i="27"/>
  <c r="AE1205" i="27"/>
  <c r="AF1205" i="27"/>
  <c r="Q1206" i="27"/>
  <c r="R1206" i="27"/>
  <c r="AD1206" i="27"/>
  <c r="AE1206" i="27"/>
  <c r="AF1206" i="27"/>
  <c r="Q1207" i="27"/>
  <c r="R1207" i="27"/>
  <c r="AB1207" i="27"/>
  <c r="AD1207" i="27"/>
  <c r="AE1207" i="27"/>
  <c r="AF1207" i="27"/>
  <c r="Q1208" i="27"/>
  <c r="R1208" i="27"/>
  <c r="AB1208" i="27"/>
  <c r="AD1208" i="27"/>
  <c r="AE1208" i="27"/>
  <c r="AF1208" i="27"/>
  <c r="Q1209" i="27"/>
  <c r="R1209" i="27"/>
  <c r="AB1209" i="27"/>
  <c r="AD1209" i="27"/>
  <c r="AE1209" i="27"/>
  <c r="AF1209" i="27"/>
  <c r="AM1209" i="27"/>
  <c r="Q1210" i="27"/>
  <c r="R1210" i="27"/>
  <c r="AB1210" i="27"/>
  <c r="AD1210" i="27"/>
  <c r="AE1210" i="27"/>
  <c r="AF1210" i="27"/>
  <c r="AM1210" i="27"/>
  <c r="AN1210" i="27" s="1"/>
  <c r="AO1210" i="27" s="1"/>
  <c r="Q1263" i="27"/>
  <c r="R1263" i="27"/>
  <c r="AB1263" i="27"/>
  <c r="AD1263" i="27"/>
  <c r="AE1263" i="27"/>
  <c r="AF1263" i="27"/>
  <c r="AM1263" i="27"/>
  <c r="AN1263" i="27" s="1"/>
  <c r="AO1263" i="27" s="1"/>
  <c r="Q1211" i="27"/>
  <c r="R1211" i="27"/>
  <c r="AB1211" i="27"/>
  <c r="AD1211" i="27"/>
  <c r="AE1211" i="27"/>
  <c r="AF1211" i="27"/>
  <c r="AM1211" i="27"/>
  <c r="Q1212" i="27"/>
  <c r="R1212" i="27"/>
  <c r="AB1212" i="27"/>
  <c r="AD1212" i="27"/>
  <c r="AE1212" i="27"/>
  <c r="AF1212" i="27"/>
  <c r="Q1213" i="27"/>
  <c r="R1213" i="27"/>
  <c r="AB1213" i="27"/>
  <c r="AD1213" i="27"/>
  <c r="AE1213" i="27"/>
  <c r="AF1213" i="27"/>
  <c r="Q1214" i="27"/>
  <c r="R1214" i="27"/>
  <c r="AB1214" i="27"/>
  <c r="AD1214" i="27"/>
  <c r="AE1214" i="27"/>
  <c r="AF1214" i="27"/>
  <c r="Q1233" i="27"/>
  <c r="R1233" i="27"/>
  <c r="AB1233" i="27"/>
  <c r="AD1233" i="27"/>
  <c r="AE1233" i="27"/>
  <c r="AF1233" i="27"/>
  <c r="Q1215" i="27"/>
  <c r="R1215" i="27"/>
  <c r="AB1215" i="27"/>
  <c r="AD1215" i="27"/>
  <c r="AE1215" i="27"/>
  <c r="AF1215" i="27"/>
  <c r="Q1289" i="27"/>
  <c r="R1289" i="27"/>
  <c r="AB1289" i="27"/>
  <c r="AD1289" i="27"/>
  <c r="AE1289" i="27"/>
  <c r="AF1289" i="27"/>
  <c r="Q1218" i="27"/>
  <c r="R1218" i="27"/>
  <c r="AB1218" i="27"/>
  <c r="AD1218" i="27"/>
  <c r="AE1218" i="27"/>
  <c r="AF1218" i="27"/>
  <c r="Q1219" i="27"/>
  <c r="R1219" i="27"/>
  <c r="AB1219" i="27"/>
  <c r="AD1219" i="27"/>
  <c r="AE1219" i="27"/>
  <c r="AF1219" i="27"/>
  <c r="Q1221" i="27"/>
  <c r="R1221" i="27"/>
  <c r="AB1221" i="27"/>
  <c r="AD1221" i="27"/>
  <c r="AE1221" i="27"/>
  <c r="AF1221" i="27"/>
  <c r="Q1222" i="27"/>
  <c r="R1222" i="27"/>
  <c r="AB1222" i="27"/>
  <c r="AD1222" i="27"/>
  <c r="AE1222" i="27"/>
  <c r="AF1222" i="27"/>
  <c r="Q1224" i="27"/>
  <c r="R1224" i="27"/>
  <c r="AB1224" i="27"/>
  <c r="AD1224" i="27"/>
  <c r="AE1224" i="27"/>
  <c r="AF1224" i="27"/>
  <c r="Q1225" i="27"/>
  <c r="R1225" i="27"/>
  <c r="AB1225" i="27"/>
  <c r="AD1225" i="27"/>
  <c r="AE1225" i="27"/>
  <c r="AF1225" i="27"/>
  <c r="Q1226" i="27"/>
  <c r="R1226" i="27"/>
  <c r="AB1226" i="27"/>
  <c r="AD1226" i="27"/>
  <c r="AE1226" i="27"/>
  <c r="AF1226" i="27"/>
  <c r="Q1227" i="27"/>
  <c r="R1227" i="27"/>
  <c r="AB1227" i="27"/>
  <c r="AD1227" i="27"/>
  <c r="AE1227" i="27"/>
  <c r="AF1227" i="27"/>
  <c r="Q1256" i="27"/>
  <c r="R1256" i="27"/>
  <c r="AB1256" i="27"/>
  <c r="AD1256" i="27"/>
  <c r="AE1256" i="27"/>
  <c r="AF1256" i="27"/>
  <c r="AM1256" i="27"/>
  <c r="AH1256" i="27" s="1"/>
  <c r="Q1349" i="27"/>
  <c r="R1349" i="27"/>
  <c r="AB1349" i="27"/>
  <c r="AD1349" i="27"/>
  <c r="AE1349" i="27"/>
  <c r="AF1349" i="27"/>
  <c r="AM1349" i="27"/>
  <c r="AH1349" i="27" s="1"/>
  <c r="Q1230" i="27"/>
  <c r="R1230" i="27"/>
  <c r="AB1230" i="27"/>
  <c r="AD1230" i="27"/>
  <c r="AE1230" i="27"/>
  <c r="AF1230" i="27"/>
  <c r="Q1231" i="27"/>
  <c r="R1231" i="27"/>
  <c r="AB1231" i="27"/>
  <c r="AD1231" i="27"/>
  <c r="AE1231" i="27"/>
  <c r="AF1231" i="27"/>
  <c r="Q1232" i="27"/>
  <c r="R1232" i="27"/>
  <c r="AB1232" i="27"/>
  <c r="AD1232" i="27"/>
  <c r="AE1232" i="27"/>
  <c r="AF1232" i="27"/>
  <c r="Q1234" i="27"/>
  <c r="R1234" i="27"/>
  <c r="AB1234" i="27"/>
  <c r="AD1234" i="27"/>
  <c r="AE1234" i="27"/>
  <c r="AF1234" i="27"/>
  <c r="Q1235" i="27"/>
  <c r="R1235" i="27"/>
  <c r="AB1235" i="27"/>
  <c r="AD1235" i="27"/>
  <c r="AE1235" i="27"/>
  <c r="AF1235" i="27"/>
  <c r="Q1236" i="27"/>
  <c r="R1236" i="27"/>
  <c r="AB1236" i="27"/>
  <c r="AD1236" i="27"/>
  <c r="AE1236" i="27"/>
  <c r="AF1236" i="27"/>
  <c r="Q1331" i="27"/>
  <c r="R1331" i="27"/>
  <c r="AD1331" i="27"/>
  <c r="AE1331" i="27"/>
  <c r="AF1331" i="27"/>
  <c r="Q2280" i="27"/>
  <c r="R2280" i="27"/>
  <c r="AB2280" i="27"/>
  <c r="AD2280" i="27"/>
  <c r="AE2280" i="27"/>
  <c r="AF2280" i="27"/>
  <c r="Q2281" i="27"/>
  <c r="R2281" i="27"/>
  <c r="AB2281" i="27"/>
  <c r="AD2281" i="27"/>
  <c r="AE2281" i="27"/>
  <c r="AF2281" i="27"/>
  <c r="Q1238" i="27"/>
  <c r="R1238" i="27"/>
  <c r="AB1238" i="27"/>
  <c r="AD1238" i="27"/>
  <c r="AE1238" i="27"/>
  <c r="AF1238" i="27"/>
  <c r="AM1191" i="27"/>
  <c r="AH1191" i="27" s="1"/>
  <c r="Q1273" i="27"/>
  <c r="R1273" i="27"/>
  <c r="AB1273" i="27"/>
  <c r="AD1273" i="27"/>
  <c r="AE1273" i="27"/>
  <c r="AF1273" i="27"/>
  <c r="Q1259" i="27"/>
  <c r="R1259" i="27"/>
  <c r="AB1259" i="27"/>
  <c r="AD1259" i="27"/>
  <c r="AE1259" i="27"/>
  <c r="AF1259" i="27"/>
  <c r="Q1241" i="27"/>
  <c r="R1241" i="27"/>
  <c r="AB1241" i="27"/>
  <c r="AD1241" i="27"/>
  <c r="AE1241" i="27"/>
  <c r="AF1241" i="27"/>
  <c r="Q2019" i="27"/>
  <c r="R2019" i="27"/>
  <c r="AB2019" i="27"/>
  <c r="AD2019" i="27"/>
  <c r="AE2019" i="27"/>
  <c r="AF2019" i="27"/>
  <c r="Q1243" i="27"/>
  <c r="R1243" i="27"/>
  <c r="AB1243" i="27"/>
  <c r="AD1243" i="27"/>
  <c r="AE1243" i="27"/>
  <c r="AF1243" i="27"/>
  <c r="Q1245" i="27"/>
  <c r="R1245" i="27"/>
  <c r="AB1245" i="27"/>
  <c r="AD1245" i="27"/>
  <c r="AE1245" i="27"/>
  <c r="AF1245" i="27"/>
  <c r="Q1246" i="27"/>
  <c r="R1246" i="27"/>
  <c r="AB1246" i="27"/>
  <c r="AD1246" i="27"/>
  <c r="AE1246" i="27"/>
  <c r="AF1246" i="27"/>
  <c r="Q1247" i="27"/>
  <c r="R1247" i="27"/>
  <c r="AB1247" i="27"/>
  <c r="AD1247" i="27"/>
  <c r="AE1247" i="27"/>
  <c r="AF1247" i="27"/>
  <c r="Q1248" i="27"/>
  <c r="R1248" i="27"/>
  <c r="AB1248" i="27"/>
  <c r="AD1248" i="27"/>
  <c r="AE1248" i="27"/>
  <c r="AF1248" i="27"/>
  <c r="Q1253" i="27"/>
  <c r="R1253" i="27"/>
  <c r="AB1253" i="27"/>
  <c r="AD1253" i="27"/>
  <c r="AE1253" i="27"/>
  <c r="AF1253" i="27"/>
  <c r="AM1253" i="27"/>
  <c r="AN1253" i="27" s="1"/>
  <c r="AO1253" i="27" s="1"/>
  <c r="Q1254" i="27"/>
  <c r="R1254" i="27"/>
  <c r="AB1254" i="27"/>
  <c r="AD1254" i="27"/>
  <c r="AE1254" i="27"/>
  <c r="AF1254" i="27"/>
  <c r="AM1254" i="27"/>
  <c r="AN1254" i="27" s="1"/>
  <c r="AO1254" i="27" s="1"/>
  <c r="Q1255" i="27"/>
  <c r="R1255" i="27"/>
  <c r="AB1255" i="27"/>
  <c r="AD1255" i="27"/>
  <c r="AE1255" i="27"/>
  <c r="AF1255" i="27"/>
  <c r="AM1255" i="27"/>
  <c r="AN1255" i="27" s="1"/>
  <c r="AO1255" i="27" s="1"/>
  <c r="AD1265" i="27"/>
  <c r="AE1265" i="27"/>
  <c r="AF1265" i="27"/>
  <c r="Q1266" i="27"/>
  <c r="R1266" i="27"/>
  <c r="AB1266" i="27"/>
  <c r="AD1266" i="27"/>
  <c r="AE1266" i="27"/>
  <c r="AF1266" i="27"/>
  <c r="Q1267" i="27"/>
  <c r="R1267" i="27"/>
  <c r="AB1267" i="27"/>
  <c r="AD1267" i="27"/>
  <c r="AE1267" i="27"/>
  <c r="AF1267" i="27"/>
  <c r="Q1269" i="27"/>
  <c r="R1269" i="27"/>
  <c r="AB1269" i="27"/>
  <c r="AD1269" i="27"/>
  <c r="AE1269" i="27"/>
  <c r="AF1269" i="27"/>
  <c r="Q1513" i="27"/>
  <c r="R1513" i="27"/>
  <c r="AB1513" i="27"/>
  <c r="AD1513" i="27"/>
  <c r="AE1513" i="27"/>
  <c r="AF1513" i="27"/>
  <c r="Q1271" i="27"/>
  <c r="R1271" i="27"/>
  <c r="AB1271" i="27"/>
  <c r="AD1271" i="27"/>
  <c r="AE1271" i="27"/>
  <c r="AF1271" i="27"/>
  <c r="Q1272" i="27"/>
  <c r="R1272" i="27"/>
  <c r="AB1272" i="27"/>
  <c r="AD1272" i="27"/>
  <c r="AE1272" i="27"/>
  <c r="AF1272" i="27"/>
  <c r="AM1193" i="27"/>
  <c r="Q1515" i="27"/>
  <c r="R1515" i="27"/>
  <c r="AB1515" i="27"/>
  <c r="AD1515" i="27"/>
  <c r="AE1515" i="27"/>
  <c r="AF1515" i="27"/>
  <c r="Q1291" i="27"/>
  <c r="R1291" i="27"/>
  <c r="AB1291" i="27"/>
  <c r="AD1291" i="27"/>
  <c r="AE1291" i="27"/>
  <c r="AF1291" i="27"/>
  <c r="Q1358" i="27"/>
  <c r="R1358" i="27"/>
  <c r="AD1358" i="27"/>
  <c r="AE1358" i="27"/>
  <c r="AF1358" i="27"/>
  <c r="Q1293" i="27"/>
  <c r="R1293" i="27"/>
  <c r="AB1293" i="27"/>
  <c r="AD1293" i="27"/>
  <c r="AE1293" i="27"/>
  <c r="AF1293" i="27"/>
  <c r="Q1283" i="27"/>
  <c r="R1283" i="27"/>
  <c r="AB1283" i="27"/>
  <c r="AD1283" i="27"/>
  <c r="AE1283" i="27"/>
  <c r="AF1283" i="27"/>
  <c r="AM1283" i="27"/>
  <c r="AN1283" i="27" s="1"/>
  <c r="AO1283" i="27" s="1"/>
  <c r="Q1351" i="27"/>
  <c r="R1351" i="27"/>
  <c r="AB1351" i="27"/>
  <c r="AD1351" i="27"/>
  <c r="AE1351" i="27"/>
  <c r="AF1351" i="27"/>
  <c r="AM1351" i="27"/>
  <c r="Q1603" i="27"/>
  <c r="R1603" i="27"/>
  <c r="AB1603" i="27"/>
  <c r="AD1603" i="27"/>
  <c r="AE1603" i="27"/>
  <c r="AF1603" i="27"/>
  <c r="AM1603" i="27"/>
  <c r="AN1603" i="27" s="1"/>
  <c r="AO1603" i="27" s="1"/>
  <c r="Q1404" i="27"/>
  <c r="R1404" i="27"/>
  <c r="AB1404" i="27"/>
  <c r="AD1404" i="27"/>
  <c r="AE1404" i="27"/>
  <c r="AF1404" i="27"/>
  <c r="Q1242" i="27"/>
  <c r="R1242" i="27"/>
  <c r="AB1242" i="27"/>
  <c r="AD1242" i="27"/>
  <c r="AE1242" i="27"/>
  <c r="AF1242" i="27"/>
  <c r="Q1307" i="27"/>
  <c r="R1307" i="27"/>
  <c r="AB1307" i="27"/>
  <c r="AD1307" i="27"/>
  <c r="AE1307" i="27"/>
  <c r="AF1307" i="27"/>
  <c r="Q1353" i="27"/>
  <c r="R1353" i="27"/>
  <c r="AB1353" i="27"/>
  <c r="AD1353" i="27"/>
  <c r="AE1353" i="27"/>
  <c r="AF1353" i="27"/>
  <c r="AD2294" i="27"/>
  <c r="AE2294" i="27"/>
  <c r="AF2294" i="27"/>
  <c r="Q2284" i="27"/>
  <c r="R2284" i="27"/>
  <c r="AB2284" i="27"/>
  <c r="AD2284" i="27"/>
  <c r="AE2284" i="27"/>
  <c r="AF2284" i="27"/>
  <c r="AD2285" i="27"/>
  <c r="AE2285" i="27"/>
  <c r="AF2285" i="27"/>
  <c r="Q2934" i="27"/>
  <c r="R2934" i="27"/>
  <c r="AB2934" i="27"/>
  <c r="AD2934" i="27"/>
  <c r="AE2934" i="27"/>
  <c r="AF2934" i="27"/>
  <c r="Q2286" i="27"/>
  <c r="R2286" i="27"/>
  <c r="AB2286" i="27"/>
  <c r="AD2286" i="27"/>
  <c r="AE2286" i="27"/>
  <c r="AF2286" i="27"/>
  <c r="AD2287" i="27"/>
  <c r="AE2287" i="27"/>
  <c r="AF2287" i="27"/>
  <c r="Q1348" i="27"/>
  <c r="R1348" i="27"/>
  <c r="AB1348" i="27"/>
  <c r="AD1348" i="27"/>
  <c r="AE1348" i="27"/>
  <c r="AF1348" i="27"/>
  <c r="AM1348" i="27"/>
  <c r="Q1352" i="27"/>
  <c r="R1352" i="27"/>
  <c r="AB1352" i="27"/>
  <c r="AD1352" i="27"/>
  <c r="AE1352" i="27"/>
  <c r="AF1352" i="27"/>
  <c r="AM1352" i="27"/>
  <c r="AN1352" i="27" s="1"/>
  <c r="AO1352" i="27" s="1"/>
  <c r="Q1431" i="27"/>
  <c r="R1431" i="27"/>
  <c r="AB1431" i="27"/>
  <c r="AD1431" i="27"/>
  <c r="AE1431" i="27"/>
  <c r="AF1431" i="27"/>
  <c r="AM1431" i="27"/>
  <c r="AN1431" i="27" s="1"/>
  <c r="AO1431" i="27" s="1"/>
  <c r="Q1555" i="27"/>
  <c r="R1555" i="27"/>
  <c r="AB1555" i="27"/>
  <c r="AD1555" i="27"/>
  <c r="AE1555" i="27"/>
  <c r="AF1555" i="27"/>
  <c r="AM1555" i="27"/>
  <c r="AH1555" i="27" s="1"/>
  <c r="AD1365" i="27"/>
  <c r="AE1365" i="27"/>
  <c r="AF1365" i="27"/>
  <c r="P209" i="27"/>
  <c r="Q209" i="27"/>
  <c r="R209" i="27"/>
  <c r="T209" i="27"/>
  <c r="U209" i="27"/>
  <c r="V209" i="27"/>
  <c r="W209" i="27"/>
  <c r="X209" i="27"/>
  <c r="Y209" i="27"/>
  <c r="Z209" i="27"/>
  <c r="AA209" i="27"/>
  <c r="AB209" i="27"/>
  <c r="AC209" i="27"/>
  <c r="AD209" i="27"/>
  <c r="AE209" i="27"/>
  <c r="AF209" i="27"/>
  <c r="AM209" i="27"/>
  <c r="AH209" i="27" s="1"/>
  <c r="Q1182" i="27"/>
  <c r="R1182" i="27"/>
  <c r="AB1182" i="27"/>
  <c r="AD1182" i="27"/>
  <c r="AE1182" i="27"/>
  <c r="AF1182" i="27"/>
  <c r="AD1217" i="27"/>
  <c r="AE1217" i="27"/>
  <c r="AF1217" i="27"/>
  <c r="AD1203" i="27"/>
  <c r="AE1203" i="27"/>
  <c r="AF1203" i="27"/>
  <c r="AD2797" i="27"/>
  <c r="AE2797" i="27"/>
  <c r="AF2797" i="27"/>
  <c r="AD1995" i="27"/>
  <c r="AE1995" i="27"/>
  <c r="AF1995" i="27"/>
  <c r="AD2870" i="27"/>
  <c r="AE2870" i="27"/>
  <c r="AF2870" i="27"/>
  <c r="AD2001" i="27"/>
  <c r="AE2001" i="27"/>
  <c r="AF2001" i="27"/>
  <c r="AD2899" i="27"/>
  <c r="AE2899" i="27"/>
  <c r="AF2899" i="27"/>
  <c r="AD2901" i="27"/>
  <c r="AE2901" i="27"/>
  <c r="AF2901" i="27"/>
  <c r="AD1237" i="27"/>
  <c r="AE1237" i="27"/>
  <c r="AF1237" i="27"/>
  <c r="AD2010" i="27"/>
  <c r="AE2010" i="27"/>
  <c r="AF2010" i="27"/>
  <c r="AD2905" i="27"/>
  <c r="AE2905" i="27"/>
  <c r="AF2905" i="27"/>
  <c r="AD1305" i="27"/>
  <c r="AE1305" i="27"/>
  <c r="AF1305" i="27"/>
  <c r="AD1240" i="27"/>
  <c r="AE1240" i="27"/>
  <c r="AF1240" i="27"/>
  <c r="AD2018" i="27"/>
  <c r="AE2018" i="27"/>
  <c r="AF2018" i="27"/>
  <c r="AD2926" i="27"/>
  <c r="AE2926" i="27"/>
  <c r="AF2926" i="27"/>
  <c r="AD2929" i="27"/>
  <c r="AE2929" i="27"/>
  <c r="AF2929" i="27"/>
  <c r="AD2024" i="27"/>
  <c r="AE2024" i="27"/>
  <c r="AF2024" i="27"/>
  <c r="AD1244" i="27"/>
  <c r="AE1244" i="27"/>
  <c r="AF1244" i="27"/>
  <c r="AD1275" i="27"/>
  <c r="AE1275" i="27"/>
  <c r="AF1275" i="27"/>
  <c r="AD1312" i="27"/>
  <c r="AE1312" i="27"/>
  <c r="AF1312" i="27"/>
  <c r="AD1359" i="27"/>
  <c r="AE1359" i="27"/>
  <c r="AF1359" i="27"/>
  <c r="AD1516" i="27"/>
  <c r="AE1516" i="27"/>
  <c r="AF1516" i="27"/>
  <c r="AD1362" i="27"/>
  <c r="AE1362" i="27"/>
  <c r="AF1362" i="27"/>
  <c r="AD2932" i="27"/>
  <c r="AE2932" i="27"/>
  <c r="AF2932" i="27"/>
  <c r="AD1294" i="27"/>
  <c r="AE1294" i="27"/>
  <c r="AF1294" i="27"/>
  <c r="AD2935" i="27"/>
  <c r="AE2935" i="27"/>
  <c r="AF2935" i="27"/>
  <c r="AD2279" i="27"/>
  <c r="AE2279" i="27"/>
  <c r="AF2279" i="27"/>
  <c r="AD2936" i="27"/>
  <c r="AE2936" i="27"/>
  <c r="AF2936" i="27"/>
  <c r="AD1249" i="27"/>
  <c r="AE1249" i="27"/>
  <c r="AF1249" i="27"/>
  <c r="AD2938" i="27"/>
  <c r="AE2938" i="27"/>
  <c r="AF2938" i="27"/>
  <c r="AD2026" i="27"/>
  <c r="AE2026" i="27"/>
  <c r="AF2026" i="27"/>
  <c r="AD2940" i="27"/>
  <c r="AE2940" i="27"/>
  <c r="AF2940" i="27"/>
  <c r="AD2941" i="27"/>
  <c r="AE2941" i="27"/>
  <c r="AF2941" i="27"/>
  <c r="AD2027" i="27"/>
  <c r="AE2027" i="27"/>
  <c r="AF2027" i="27"/>
  <c r="AD2942" i="27"/>
  <c r="AE2942" i="27"/>
  <c r="AF2942" i="27"/>
  <c r="AD2282" i="27"/>
  <c r="AE2282" i="27"/>
  <c r="AF2282" i="27"/>
  <c r="AD2945" i="27"/>
  <c r="AE2945" i="27"/>
  <c r="AF2945" i="27"/>
  <c r="AD2946" i="27"/>
  <c r="AE2946" i="27"/>
  <c r="AF2946" i="27"/>
  <c r="AD1364" i="27"/>
  <c r="AE1364" i="27"/>
  <c r="AF1364" i="27"/>
  <c r="AD2947" i="27"/>
  <c r="AE2947" i="27"/>
  <c r="AF2947" i="27"/>
  <c r="AD1314" i="27"/>
  <c r="AE1314" i="27"/>
  <c r="AF1314" i="27"/>
  <c r="AD2288" i="27"/>
  <c r="AE2288" i="27"/>
  <c r="AF2288" i="27"/>
  <c r="AD1399" i="27"/>
  <c r="AE1399" i="27"/>
  <c r="AF1399" i="27"/>
  <c r="AD2289" i="27"/>
  <c r="AE2289" i="27"/>
  <c r="AF2289" i="27"/>
  <c r="AD1409" i="27"/>
  <c r="AE1409" i="27"/>
  <c r="AF1409" i="27"/>
  <c r="AD2031" i="27"/>
  <c r="AE2031" i="27"/>
  <c r="AF2031" i="27"/>
  <c r="AD2032" i="27"/>
  <c r="AE2032" i="27"/>
  <c r="AF2032" i="27"/>
  <c r="AD1410" i="27"/>
  <c r="AE1410" i="27"/>
  <c r="AF1410" i="27"/>
  <c r="AD1366" i="27"/>
  <c r="AE1366" i="27"/>
  <c r="AF1366" i="27"/>
  <c r="AD1250" i="27"/>
  <c r="AE1250" i="27"/>
  <c r="AF1250" i="27"/>
  <c r="AD2290" i="27"/>
  <c r="AE2290" i="27"/>
  <c r="AF2290" i="27"/>
  <c r="AD1279" i="27"/>
  <c r="AE1279" i="27"/>
  <c r="AF1279" i="27"/>
  <c r="AD2950" i="27"/>
  <c r="AE2950" i="27"/>
  <c r="AF2950" i="27"/>
  <c r="AD2951" i="27"/>
  <c r="AE2951" i="27"/>
  <c r="AF2951" i="27"/>
  <c r="AD1465" i="27"/>
  <c r="AE1465" i="27"/>
  <c r="AF1465" i="27"/>
  <c r="AD2033" i="27"/>
  <c r="AE2033" i="27"/>
  <c r="AF2033" i="27"/>
  <c r="AD1413" i="27"/>
  <c r="AE1413" i="27"/>
  <c r="AF1413" i="27"/>
  <c r="AD1414" i="27"/>
  <c r="AE1414" i="27"/>
  <c r="AF1414" i="27"/>
  <c r="AD2954" i="27"/>
  <c r="AE2954" i="27"/>
  <c r="AF2954" i="27"/>
  <c r="AD1281" i="27"/>
  <c r="AE1281" i="27"/>
  <c r="AF1281" i="27"/>
  <c r="E301" i="27"/>
  <c r="P301" i="27"/>
  <c r="Q301" i="27"/>
  <c r="R301" i="27"/>
  <c r="AB301" i="27"/>
  <c r="AC301" i="27"/>
  <c r="AD301" i="27"/>
  <c r="AE301" i="27"/>
  <c r="AF301" i="27"/>
  <c r="E302" i="27"/>
  <c r="P302" i="27"/>
  <c r="Q302" i="27"/>
  <c r="R302" i="27"/>
  <c r="AB302" i="27"/>
  <c r="AC302" i="27"/>
  <c r="AD302" i="27"/>
  <c r="AE302" i="27"/>
  <c r="AF302" i="27"/>
  <c r="E303" i="27"/>
  <c r="P303" i="27"/>
  <c r="Q303" i="27"/>
  <c r="R303" i="27"/>
  <c r="AB303" i="27"/>
  <c r="AC303" i="27"/>
  <c r="AD303" i="27"/>
  <c r="AE303" i="27"/>
  <c r="AF303" i="27"/>
  <c r="E304" i="27"/>
  <c r="P304" i="27"/>
  <c r="Q304" i="27"/>
  <c r="R304" i="27"/>
  <c r="AB304" i="27"/>
  <c r="AC304" i="27"/>
  <c r="AD304" i="27"/>
  <c r="AE304" i="27"/>
  <c r="AF304" i="27"/>
  <c r="E305" i="27"/>
  <c r="P305" i="27"/>
  <c r="Q305" i="27"/>
  <c r="R305" i="27"/>
  <c r="AB305" i="27"/>
  <c r="AC305" i="27"/>
  <c r="AD305" i="27"/>
  <c r="AE305" i="27"/>
  <c r="AF305" i="27"/>
  <c r="E306" i="27"/>
  <c r="P306" i="27"/>
  <c r="Q306" i="27"/>
  <c r="R306" i="27"/>
  <c r="AB306" i="27"/>
  <c r="AC306" i="27"/>
  <c r="AD306" i="27"/>
  <c r="AE306" i="27"/>
  <c r="AF306" i="27"/>
  <c r="E307" i="27"/>
  <c r="P307" i="27"/>
  <c r="Q307" i="27"/>
  <c r="R307" i="27"/>
  <c r="AB307" i="27"/>
  <c r="AC307" i="27"/>
  <c r="AD307" i="27"/>
  <c r="AE307" i="27"/>
  <c r="AF307" i="27"/>
  <c r="E308" i="27"/>
  <c r="P308" i="27"/>
  <c r="Q308" i="27"/>
  <c r="R308" i="27"/>
  <c r="AB308" i="27"/>
  <c r="AC308" i="27"/>
  <c r="AD308" i="27"/>
  <c r="AE308" i="27"/>
  <c r="AF308" i="27"/>
  <c r="E309" i="27"/>
  <c r="P309" i="27"/>
  <c r="Q309" i="27"/>
  <c r="R309" i="27"/>
  <c r="AB309" i="27"/>
  <c r="AC309" i="27"/>
  <c r="AD309" i="27"/>
  <c r="AE309" i="27"/>
  <c r="AF309" i="27"/>
  <c r="E310" i="27"/>
  <c r="P310" i="27"/>
  <c r="Q310" i="27"/>
  <c r="R310" i="27"/>
  <c r="AB310" i="27"/>
  <c r="AC310" i="27"/>
  <c r="AD310" i="27"/>
  <c r="AE310" i="27"/>
  <c r="AF310" i="27"/>
  <c r="E311" i="27"/>
  <c r="P311" i="27"/>
  <c r="Q311" i="27"/>
  <c r="R311" i="27"/>
  <c r="AB311" i="27"/>
  <c r="AC311" i="27"/>
  <c r="AD311" i="27"/>
  <c r="AE311" i="27"/>
  <c r="AF311" i="27"/>
  <c r="E312" i="27"/>
  <c r="P312" i="27"/>
  <c r="Q312" i="27"/>
  <c r="R312" i="27"/>
  <c r="AB312" i="27"/>
  <c r="AC312" i="27"/>
  <c r="AD312" i="27"/>
  <c r="AE312" i="27"/>
  <c r="AF312" i="27"/>
  <c r="E313" i="27"/>
  <c r="P313" i="27"/>
  <c r="Q313" i="27"/>
  <c r="R313" i="27"/>
  <c r="AB313" i="27"/>
  <c r="AC313" i="27"/>
  <c r="AD313" i="27"/>
  <c r="AE313" i="27"/>
  <c r="AF313" i="27"/>
  <c r="E314" i="27"/>
  <c r="P314" i="27"/>
  <c r="Q314" i="27"/>
  <c r="R314" i="27"/>
  <c r="AB314" i="27"/>
  <c r="AC314" i="27"/>
  <c r="AD314" i="27"/>
  <c r="AE314" i="27"/>
  <c r="AF314" i="27"/>
  <c r="E315" i="27"/>
  <c r="P315" i="27"/>
  <c r="Q315" i="27"/>
  <c r="R315" i="27"/>
  <c r="AB315" i="27"/>
  <c r="AC315" i="27"/>
  <c r="AD315" i="27"/>
  <c r="AE315" i="27"/>
  <c r="AF315" i="27"/>
  <c r="E316" i="27"/>
  <c r="P316" i="27"/>
  <c r="Q316" i="27"/>
  <c r="R316" i="27"/>
  <c r="AB316" i="27"/>
  <c r="AC316" i="27"/>
  <c r="AD316" i="27"/>
  <c r="AE316" i="27"/>
  <c r="AF316" i="27"/>
  <c r="E317" i="27"/>
  <c r="P317" i="27"/>
  <c r="Q317" i="27"/>
  <c r="R317" i="27"/>
  <c r="AB317" i="27"/>
  <c r="AC317" i="27"/>
  <c r="AD317" i="27"/>
  <c r="AE317" i="27"/>
  <c r="AF317" i="27"/>
  <c r="E318" i="27"/>
  <c r="P318" i="27"/>
  <c r="Q318" i="27"/>
  <c r="R318" i="27"/>
  <c r="AB318" i="27"/>
  <c r="AC318" i="27"/>
  <c r="AD318" i="27"/>
  <c r="AE318" i="27"/>
  <c r="AF318" i="27"/>
  <c r="E319" i="27"/>
  <c r="P319" i="27"/>
  <c r="Q319" i="27"/>
  <c r="R319" i="27"/>
  <c r="AB319" i="27"/>
  <c r="AC319" i="27"/>
  <c r="AD319" i="27"/>
  <c r="AE319" i="27"/>
  <c r="AF319" i="27"/>
  <c r="E320" i="27"/>
  <c r="P320" i="27"/>
  <c r="Q320" i="27"/>
  <c r="R320" i="27"/>
  <c r="AB320" i="27"/>
  <c r="AC320" i="27"/>
  <c r="AD320" i="27"/>
  <c r="AE320" i="27"/>
  <c r="AF320" i="27"/>
  <c r="E321" i="27"/>
  <c r="P321" i="27"/>
  <c r="Q321" i="27"/>
  <c r="R321" i="27"/>
  <c r="AB321" i="27"/>
  <c r="AC321" i="27"/>
  <c r="AD321" i="27"/>
  <c r="AE321" i="27"/>
  <c r="AF321" i="27"/>
  <c r="E322" i="27"/>
  <c r="P322" i="27"/>
  <c r="Q322" i="27"/>
  <c r="R322" i="27"/>
  <c r="AB322" i="27"/>
  <c r="AC322" i="27"/>
  <c r="AD322" i="27"/>
  <c r="AE322" i="27"/>
  <c r="AF322" i="27"/>
  <c r="E323" i="27"/>
  <c r="P323" i="27"/>
  <c r="Q323" i="27"/>
  <c r="R323" i="27"/>
  <c r="AB323" i="27"/>
  <c r="AC323" i="27"/>
  <c r="AD323" i="27"/>
  <c r="AE323" i="27"/>
  <c r="AF323" i="27"/>
  <c r="E324" i="27"/>
  <c r="P324" i="27"/>
  <c r="Q324" i="27"/>
  <c r="R324" i="27"/>
  <c r="AB324" i="27"/>
  <c r="AC324" i="27"/>
  <c r="AD324" i="27"/>
  <c r="AE324" i="27"/>
  <c r="AF324" i="27"/>
  <c r="E325" i="27"/>
  <c r="P325" i="27"/>
  <c r="Q325" i="27"/>
  <c r="R325" i="27"/>
  <c r="AB325" i="27"/>
  <c r="AC325" i="27"/>
  <c r="AD325" i="27"/>
  <c r="AE325" i="27"/>
  <c r="AF325" i="27"/>
  <c r="E326" i="27"/>
  <c r="P326" i="27"/>
  <c r="Q326" i="27"/>
  <c r="R326" i="27"/>
  <c r="AB326" i="27"/>
  <c r="AC326" i="27"/>
  <c r="AD326" i="27"/>
  <c r="AE326" i="27"/>
  <c r="AF326" i="27"/>
  <c r="E327" i="27"/>
  <c r="P327" i="27"/>
  <c r="Q327" i="27"/>
  <c r="R327" i="27"/>
  <c r="AB327" i="27"/>
  <c r="AC327" i="27"/>
  <c r="AD327" i="27"/>
  <c r="AE327" i="27"/>
  <c r="AF327" i="27"/>
  <c r="E328" i="27"/>
  <c r="P328" i="27"/>
  <c r="Q328" i="27"/>
  <c r="R328" i="27"/>
  <c r="AB328" i="27"/>
  <c r="AC328" i="27"/>
  <c r="AD328" i="27"/>
  <c r="AE328" i="27"/>
  <c r="AF328" i="27"/>
  <c r="E329" i="27"/>
  <c r="P329" i="27"/>
  <c r="Q329" i="27"/>
  <c r="R329" i="27"/>
  <c r="AB329" i="27"/>
  <c r="AC329" i="27"/>
  <c r="AD329" i="27"/>
  <c r="AE329" i="27"/>
  <c r="AF329" i="27"/>
  <c r="E330" i="27"/>
  <c r="P330" i="27"/>
  <c r="Q330" i="27"/>
  <c r="R330" i="27"/>
  <c r="AB330" i="27"/>
  <c r="AC330" i="27"/>
  <c r="AD330" i="27"/>
  <c r="AE330" i="27"/>
  <c r="AF330" i="27"/>
  <c r="E331" i="27"/>
  <c r="P331" i="27"/>
  <c r="Q331" i="27"/>
  <c r="R331" i="27"/>
  <c r="AB331" i="27"/>
  <c r="AC331" i="27"/>
  <c r="AD331" i="27"/>
  <c r="AE331" i="27"/>
  <c r="AF331" i="27"/>
  <c r="E332" i="27"/>
  <c r="P332" i="27"/>
  <c r="Q332" i="27"/>
  <c r="R332" i="27"/>
  <c r="AB332" i="27"/>
  <c r="AC332" i="27"/>
  <c r="AD332" i="27"/>
  <c r="AE332" i="27"/>
  <c r="AF332" i="27"/>
  <c r="E333" i="27"/>
  <c r="P333" i="27"/>
  <c r="Q333" i="27"/>
  <c r="R333" i="27"/>
  <c r="AB333" i="27"/>
  <c r="AC333" i="27"/>
  <c r="AD333" i="27"/>
  <c r="AE333" i="27"/>
  <c r="AF333" i="27"/>
  <c r="E334" i="27"/>
  <c r="P334" i="27"/>
  <c r="Q334" i="27"/>
  <c r="R334" i="27"/>
  <c r="AB334" i="27"/>
  <c r="AC334" i="27"/>
  <c r="AD334" i="27"/>
  <c r="AE334" i="27"/>
  <c r="AF334" i="27"/>
  <c r="E335" i="27"/>
  <c r="P335" i="27"/>
  <c r="Q335" i="27"/>
  <c r="R335" i="27"/>
  <c r="AB335" i="27"/>
  <c r="AC335" i="27"/>
  <c r="AD335" i="27"/>
  <c r="AE335" i="27"/>
  <c r="AF335" i="27"/>
  <c r="E336" i="27"/>
  <c r="P336" i="27"/>
  <c r="Q336" i="27"/>
  <c r="R336" i="27"/>
  <c r="AB336" i="27"/>
  <c r="AC336" i="27"/>
  <c r="AD336" i="27"/>
  <c r="AE336" i="27"/>
  <c r="AF336" i="27"/>
  <c r="E337" i="27"/>
  <c r="P337" i="27"/>
  <c r="Q337" i="27"/>
  <c r="R337" i="27"/>
  <c r="AB337" i="27"/>
  <c r="AC337" i="27"/>
  <c r="AD337" i="27"/>
  <c r="AE337" i="27"/>
  <c r="AF337" i="27"/>
  <c r="E338" i="27"/>
  <c r="P338" i="27"/>
  <c r="Q338" i="27"/>
  <c r="R338" i="27"/>
  <c r="AB338" i="27"/>
  <c r="AC338" i="27"/>
  <c r="AD338" i="27"/>
  <c r="AE338" i="27"/>
  <c r="AF338" i="27"/>
  <c r="E339" i="27"/>
  <c r="P339" i="27"/>
  <c r="Q339" i="27"/>
  <c r="R339" i="27"/>
  <c r="AB339" i="27"/>
  <c r="AC339" i="27"/>
  <c r="AD339" i="27"/>
  <c r="AE339" i="27"/>
  <c r="AF339" i="27"/>
  <c r="E340" i="27"/>
  <c r="P340" i="27"/>
  <c r="Q340" i="27"/>
  <c r="R340" i="27"/>
  <c r="AB340" i="27"/>
  <c r="AC340" i="27"/>
  <c r="AD340" i="27"/>
  <c r="AE340" i="27"/>
  <c r="AF340" i="27"/>
  <c r="E341" i="27"/>
  <c r="P341" i="27"/>
  <c r="Q341" i="27"/>
  <c r="R341" i="27"/>
  <c r="AB341" i="27"/>
  <c r="AC341" i="27"/>
  <c r="AD341" i="27"/>
  <c r="AE341" i="27"/>
  <c r="AF341" i="27"/>
  <c r="E342" i="27"/>
  <c r="P342" i="27"/>
  <c r="Q342" i="27"/>
  <c r="R342" i="27"/>
  <c r="AB342" i="27"/>
  <c r="AC342" i="27"/>
  <c r="AD342" i="27"/>
  <c r="AE342" i="27"/>
  <c r="AF342" i="27"/>
  <c r="E343" i="27"/>
  <c r="P343" i="27"/>
  <c r="Q343" i="27"/>
  <c r="R343" i="27"/>
  <c r="AB343" i="27"/>
  <c r="AC343" i="27"/>
  <c r="AD343" i="27"/>
  <c r="AE343" i="27"/>
  <c r="AF343" i="27"/>
  <c r="E344" i="27"/>
  <c r="P344" i="27"/>
  <c r="Q344" i="27"/>
  <c r="R344" i="27"/>
  <c r="AB344" i="27"/>
  <c r="AC344" i="27"/>
  <c r="AD344" i="27"/>
  <c r="AE344" i="27"/>
  <c r="AF344" i="27"/>
  <c r="E345" i="27"/>
  <c r="P345" i="27"/>
  <c r="Q345" i="27"/>
  <c r="R345" i="27"/>
  <c r="AB345" i="27"/>
  <c r="AC345" i="27"/>
  <c r="AD345" i="27"/>
  <c r="AE345" i="27"/>
  <c r="AF345" i="27"/>
  <c r="E346" i="27"/>
  <c r="P346" i="27"/>
  <c r="Q346" i="27"/>
  <c r="R346" i="27"/>
  <c r="AB346" i="27"/>
  <c r="AC346" i="27"/>
  <c r="AD346" i="27"/>
  <c r="AE346" i="27"/>
  <c r="AF346" i="27"/>
  <c r="E347" i="27"/>
  <c r="P347" i="27"/>
  <c r="Q347" i="27"/>
  <c r="R347" i="27"/>
  <c r="AB347" i="27"/>
  <c r="AC347" i="27"/>
  <c r="AD347" i="27"/>
  <c r="AE347" i="27"/>
  <c r="AF347" i="27"/>
  <c r="E348" i="27"/>
  <c r="P348" i="27"/>
  <c r="Q348" i="27"/>
  <c r="R348" i="27"/>
  <c r="AB348" i="27"/>
  <c r="AC348" i="27"/>
  <c r="AD348" i="27"/>
  <c r="AE348" i="27"/>
  <c r="AF348" i="27"/>
  <c r="E349" i="27"/>
  <c r="P349" i="27"/>
  <c r="Q349" i="27"/>
  <c r="R349" i="27"/>
  <c r="AB349" i="27"/>
  <c r="AC349" i="27"/>
  <c r="AD349" i="27"/>
  <c r="AE349" i="27"/>
  <c r="AF349" i="27"/>
  <c r="E350" i="27"/>
  <c r="P350" i="27"/>
  <c r="Q350" i="27"/>
  <c r="R350" i="27"/>
  <c r="AB350" i="27"/>
  <c r="AC350" i="27"/>
  <c r="AD350" i="27"/>
  <c r="AE350" i="27"/>
  <c r="AF350" i="27"/>
  <c r="E351" i="27"/>
  <c r="P351" i="27"/>
  <c r="Q351" i="27"/>
  <c r="R351" i="27"/>
  <c r="AB351" i="27"/>
  <c r="AC351" i="27"/>
  <c r="AD351" i="27"/>
  <c r="AE351" i="27"/>
  <c r="AF351" i="27"/>
  <c r="E352" i="27"/>
  <c r="P352" i="27"/>
  <c r="Q352" i="27"/>
  <c r="R352" i="27"/>
  <c r="AB352" i="27"/>
  <c r="AC352" i="27"/>
  <c r="AD352" i="27"/>
  <c r="AE352" i="27"/>
  <c r="AF352" i="27"/>
  <c r="E353" i="27"/>
  <c r="P353" i="27"/>
  <c r="Q353" i="27"/>
  <c r="R353" i="27"/>
  <c r="AB353" i="27"/>
  <c r="AC353" i="27"/>
  <c r="AD353" i="27"/>
  <c r="AE353" i="27"/>
  <c r="AF353" i="27"/>
  <c r="E354" i="27"/>
  <c r="P354" i="27"/>
  <c r="Q354" i="27"/>
  <c r="R354" i="27"/>
  <c r="AB354" i="27"/>
  <c r="AC354" i="27"/>
  <c r="AD354" i="27"/>
  <c r="AE354" i="27"/>
  <c r="AF354" i="27"/>
  <c r="E355" i="27"/>
  <c r="P355" i="27"/>
  <c r="Q355" i="27"/>
  <c r="R355" i="27"/>
  <c r="AB355" i="27"/>
  <c r="AC355" i="27"/>
  <c r="AD355" i="27"/>
  <c r="AE355" i="27"/>
  <c r="AF355" i="27"/>
  <c r="E356" i="27"/>
  <c r="P356" i="27"/>
  <c r="Q356" i="27"/>
  <c r="R356" i="27"/>
  <c r="AB356" i="27"/>
  <c r="AC356" i="27"/>
  <c r="AD356" i="27"/>
  <c r="AE356" i="27"/>
  <c r="AF356" i="27"/>
  <c r="E357" i="27"/>
  <c r="P357" i="27"/>
  <c r="Q357" i="27"/>
  <c r="R357" i="27"/>
  <c r="AB357" i="27"/>
  <c r="AC357" i="27"/>
  <c r="AD357" i="27"/>
  <c r="AE357" i="27"/>
  <c r="AF357" i="27"/>
  <c r="E358" i="27"/>
  <c r="P358" i="27"/>
  <c r="Q358" i="27"/>
  <c r="R358" i="27"/>
  <c r="AB358" i="27"/>
  <c r="AC358" i="27"/>
  <c r="AD358" i="27"/>
  <c r="AE358" i="27"/>
  <c r="AF358" i="27"/>
  <c r="E359" i="27"/>
  <c r="P359" i="27"/>
  <c r="Q359" i="27"/>
  <c r="R359" i="27"/>
  <c r="AB359" i="27"/>
  <c r="AC359" i="27"/>
  <c r="AD359" i="27"/>
  <c r="AE359" i="27"/>
  <c r="AF359" i="27"/>
  <c r="E360" i="27"/>
  <c r="P360" i="27"/>
  <c r="Q360" i="27"/>
  <c r="R360" i="27"/>
  <c r="AB360" i="27"/>
  <c r="AC360" i="27"/>
  <c r="AD360" i="27"/>
  <c r="AE360" i="27"/>
  <c r="AF360" i="27"/>
  <c r="E361" i="27"/>
  <c r="P361" i="27"/>
  <c r="Q361" i="27"/>
  <c r="R361" i="27"/>
  <c r="AB361" i="27"/>
  <c r="AC361" i="27"/>
  <c r="AD361" i="27"/>
  <c r="AE361" i="27"/>
  <c r="AF361" i="27"/>
  <c r="E362" i="27"/>
  <c r="P362" i="27"/>
  <c r="Q362" i="27"/>
  <c r="R362" i="27"/>
  <c r="AB362" i="27"/>
  <c r="AC362" i="27"/>
  <c r="AD362" i="27"/>
  <c r="AE362" i="27"/>
  <c r="AF362" i="27"/>
  <c r="E363" i="27"/>
  <c r="P363" i="27"/>
  <c r="Q363" i="27"/>
  <c r="R363" i="27"/>
  <c r="AB363" i="27"/>
  <c r="AC363" i="27"/>
  <c r="AD363" i="27"/>
  <c r="AE363" i="27"/>
  <c r="AF363" i="27"/>
  <c r="E364" i="27"/>
  <c r="P364" i="27"/>
  <c r="Q364" i="27"/>
  <c r="R364" i="27"/>
  <c r="AB364" i="27"/>
  <c r="AC364" i="27"/>
  <c r="AD364" i="27"/>
  <c r="AE364" i="27"/>
  <c r="AF364" i="27"/>
  <c r="E365" i="27"/>
  <c r="P365" i="27"/>
  <c r="Q365" i="27"/>
  <c r="R365" i="27"/>
  <c r="AB365" i="27"/>
  <c r="AC365" i="27"/>
  <c r="AD365" i="27"/>
  <c r="AE365" i="27"/>
  <c r="AF365" i="27"/>
  <c r="E366" i="27"/>
  <c r="P366" i="27"/>
  <c r="Q366" i="27"/>
  <c r="R366" i="27"/>
  <c r="AB366" i="27"/>
  <c r="AC366" i="27"/>
  <c r="AD366" i="27"/>
  <c r="AE366" i="27"/>
  <c r="AF366" i="27"/>
  <c r="E367" i="27"/>
  <c r="P367" i="27"/>
  <c r="Q367" i="27"/>
  <c r="R367" i="27"/>
  <c r="AB367" i="27"/>
  <c r="AC367" i="27"/>
  <c r="AD367" i="27"/>
  <c r="AE367" i="27"/>
  <c r="AF367" i="27"/>
  <c r="E368" i="27"/>
  <c r="P368" i="27"/>
  <c r="Q368" i="27"/>
  <c r="R368" i="27"/>
  <c r="AB368" i="27"/>
  <c r="AC368" i="27"/>
  <c r="AD368" i="27"/>
  <c r="AE368" i="27"/>
  <c r="AF368" i="27"/>
  <c r="E369" i="27"/>
  <c r="P369" i="27"/>
  <c r="Q369" i="27"/>
  <c r="R369" i="27"/>
  <c r="AB369" i="27"/>
  <c r="AC369" i="27"/>
  <c r="AD369" i="27"/>
  <c r="AE369" i="27"/>
  <c r="AF369" i="27"/>
  <c r="E370" i="27"/>
  <c r="P370" i="27"/>
  <c r="Q370" i="27"/>
  <c r="R370" i="27"/>
  <c r="AB370" i="27"/>
  <c r="AC370" i="27"/>
  <c r="AD370" i="27"/>
  <c r="AE370" i="27"/>
  <c r="AF370" i="27"/>
  <c r="E371" i="27"/>
  <c r="P371" i="27"/>
  <c r="Q371" i="27"/>
  <c r="R371" i="27"/>
  <c r="AB371" i="27"/>
  <c r="AC371" i="27"/>
  <c r="AD371" i="27"/>
  <c r="AE371" i="27"/>
  <c r="AF371" i="27"/>
  <c r="E372" i="27"/>
  <c r="P372" i="27"/>
  <c r="Q372" i="27"/>
  <c r="R372" i="27"/>
  <c r="AB372" i="27"/>
  <c r="AC372" i="27"/>
  <c r="AD372" i="27"/>
  <c r="AE372" i="27"/>
  <c r="AF372" i="27"/>
  <c r="E373" i="27"/>
  <c r="P373" i="27"/>
  <c r="Q373" i="27"/>
  <c r="R373" i="27"/>
  <c r="AB373" i="27"/>
  <c r="AC373" i="27"/>
  <c r="AD373" i="27"/>
  <c r="AE373" i="27"/>
  <c r="AF373" i="27"/>
  <c r="E374" i="27"/>
  <c r="P374" i="27"/>
  <c r="Q374" i="27"/>
  <c r="R374" i="27"/>
  <c r="AB374" i="27"/>
  <c r="AC374" i="27"/>
  <c r="AD374" i="27"/>
  <c r="AE374" i="27"/>
  <c r="AF374" i="27"/>
  <c r="E375" i="27"/>
  <c r="P375" i="27"/>
  <c r="Q375" i="27"/>
  <c r="R375" i="27"/>
  <c r="AB375" i="27"/>
  <c r="AC375" i="27"/>
  <c r="AD375" i="27"/>
  <c r="AE375" i="27"/>
  <c r="AF375" i="27"/>
  <c r="E376" i="27"/>
  <c r="P376" i="27"/>
  <c r="Q376" i="27"/>
  <c r="R376" i="27"/>
  <c r="AB376" i="27"/>
  <c r="AC376" i="27"/>
  <c r="AD376" i="27"/>
  <c r="AE376" i="27"/>
  <c r="AF376" i="27"/>
  <c r="E377" i="27"/>
  <c r="P377" i="27"/>
  <c r="Q377" i="27"/>
  <c r="R377" i="27"/>
  <c r="AB377" i="27"/>
  <c r="AC377" i="27"/>
  <c r="AD377" i="27"/>
  <c r="AE377" i="27"/>
  <c r="AF377" i="27"/>
  <c r="E378" i="27"/>
  <c r="P378" i="27"/>
  <c r="Q378" i="27"/>
  <c r="R378" i="27"/>
  <c r="AB378" i="27"/>
  <c r="AC378" i="27"/>
  <c r="AD378" i="27"/>
  <c r="AE378" i="27"/>
  <c r="AF378" i="27"/>
  <c r="E379" i="27"/>
  <c r="P379" i="27"/>
  <c r="Q379" i="27"/>
  <c r="R379" i="27"/>
  <c r="AB379" i="27"/>
  <c r="AC379" i="27"/>
  <c r="AD379" i="27"/>
  <c r="AE379" i="27"/>
  <c r="AF379" i="27"/>
  <c r="E380" i="27"/>
  <c r="P380" i="27"/>
  <c r="Q380" i="27"/>
  <c r="R380" i="27"/>
  <c r="AB380" i="27"/>
  <c r="AC380" i="27"/>
  <c r="AD380" i="27"/>
  <c r="AE380" i="27"/>
  <c r="AF380" i="27"/>
  <c r="E381" i="27"/>
  <c r="P381" i="27"/>
  <c r="Q381" i="27"/>
  <c r="R381" i="27"/>
  <c r="AB381" i="27"/>
  <c r="AC381" i="27"/>
  <c r="AD381" i="27"/>
  <c r="AE381" i="27"/>
  <c r="AF381" i="27"/>
  <c r="E382" i="27"/>
  <c r="P382" i="27"/>
  <c r="Q382" i="27"/>
  <c r="R382" i="27"/>
  <c r="AB382" i="27"/>
  <c r="AC382" i="27"/>
  <c r="AD382" i="27"/>
  <c r="AE382" i="27"/>
  <c r="AF382" i="27"/>
  <c r="E383" i="27"/>
  <c r="P383" i="27"/>
  <c r="Q383" i="27"/>
  <c r="R383" i="27"/>
  <c r="AB383" i="27"/>
  <c r="AC383" i="27"/>
  <c r="AD383" i="27"/>
  <c r="AE383" i="27"/>
  <c r="AF383" i="27"/>
  <c r="E384" i="27"/>
  <c r="P384" i="27"/>
  <c r="Q384" i="27"/>
  <c r="R384" i="27"/>
  <c r="AB384" i="27"/>
  <c r="AC384" i="27"/>
  <c r="AD384" i="27"/>
  <c r="AE384" i="27"/>
  <c r="AF384" i="27"/>
  <c r="E385" i="27"/>
  <c r="P385" i="27"/>
  <c r="Q385" i="27"/>
  <c r="R385" i="27"/>
  <c r="AB385" i="27"/>
  <c r="AC385" i="27"/>
  <c r="AD385" i="27"/>
  <c r="AE385" i="27"/>
  <c r="AF385" i="27"/>
  <c r="E386" i="27"/>
  <c r="P386" i="27"/>
  <c r="Q386" i="27"/>
  <c r="R386" i="27"/>
  <c r="AB386" i="27"/>
  <c r="AC386" i="27"/>
  <c r="AD386" i="27"/>
  <c r="AE386" i="27"/>
  <c r="AF386" i="27"/>
  <c r="E387" i="27"/>
  <c r="P387" i="27"/>
  <c r="Q387" i="27"/>
  <c r="R387" i="27"/>
  <c r="AB387" i="27"/>
  <c r="AC387" i="27"/>
  <c r="AD387" i="27"/>
  <c r="AE387" i="27"/>
  <c r="AF387" i="27"/>
  <c r="E388" i="27"/>
  <c r="P388" i="27"/>
  <c r="Q388" i="27"/>
  <c r="R388" i="27"/>
  <c r="AB388" i="27"/>
  <c r="AC388" i="27"/>
  <c r="AD388" i="27"/>
  <c r="AE388" i="27"/>
  <c r="AF388" i="27"/>
  <c r="E389" i="27"/>
  <c r="P389" i="27"/>
  <c r="Q389" i="27"/>
  <c r="R389" i="27"/>
  <c r="AB389" i="27"/>
  <c r="AC389" i="27"/>
  <c r="AD389" i="27"/>
  <c r="AE389" i="27"/>
  <c r="AF389" i="27"/>
  <c r="E390" i="27"/>
  <c r="P390" i="27"/>
  <c r="Q390" i="27"/>
  <c r="R390" i="27"/>
  <c r="AB390" i="27"/>
  <c r="AC390" i="27"/>
  <c r="AD390" i="27"/>
  <c r="AE390" i="27"/>
  <c r="AF390" i="27"/>
  <c r="E391" i="27"/>
  <c r="P391" i="27"/>
  <c r="Q391" i="27"/>
  <c r="R391" i="27"/>
  <c r="AB391" i="27"/>
  <c r="AC391" i="27"/>
  <c r="AD391" i="27"/>
  <c r="AE391" i="27"/>
  <c r="AF391" i="27"/>
  <c r="E392" i="27"/>
  <c r="P392" i="27"/>
  <c r="Q392" i="27"/>
  <c r="R392" i="27"/>
  <c r="AB392" i="27"/>
  <c r="AC392" i="27"/>
  <c r="AD392" i="27"/>
  <c r="AE392" i="27"/>
  <c r="AF392" i="27"/>
  <c r="E393" i="27"/>
  <c r="P393" i="27"/>
  <c r="Q393" i="27"/>
  <c r="R393" i="27"/>
  <c r="AB393" i="27"/>
  <c r="AC393" i="27"/>
  <c r="AD393" i="27"/>
  <c r="AE393" i="27"/>
  <c r="AF393" i="27"/>
  <c r="E394" i="27"/>
  <c r="P394" i="27"/>
  <c r="Q394" i="27"/>
  <c r="R394" i="27"/>
  <c r="AB394" i="27"/>
  <c r="AC394" i="27"/>
  <c r="AD394" i="27"/>
  <c r="AE394" i="27"/>
  <c r="AF394" i="27"/>
  <c r="E395" i="27"/>
  <c r="P395" i="27"/>
  <c r="Q395" i="27"/>
  <c r="R395" i="27"/>
  <c r="AB395" i="27"/>
  <c r="AC395" i="27"/>
  <c r="AD395" i="27"/>
  <c r="AE395" i="27"/>
  <c r="AF395" i="27"/>
  <c r="E396" i="27"/>
  <c r="P396" i="27"/>
  <c r="Q396" i="27"/>
  <c r="R396" i="27"/>
  <c r="AB396" i="27"/>
  <c r="AC396" i="27"/>
  <c r="AD396" i="27"/>
  <c r="AE396" i="27"/>
  <c r="AF396" i="27"/>
  <c r="E397" i="27"/>
  <c r="P397" i="27"/>
  <c r="Q397" i="27"/>
  <c r="R397" i="27"/>
  <c r="AB397" i="27"/>
  <c r="AC397" i="27"/>
  <c r="AD397" i="27"/>
  <c r="AE397" i="27"/>
  <c r="AF397" i="27"/>
  <c r="E398" i="27"/>
  <c r="P398" i="27"/>
  <c r="Q398" i="27"/>
  <c r="R398" i="27"/>
  <c r="AB398" i="27"/>
  <c r="AC398" i="27"/>
  <c r="AD398" i="27"/>
  <c r="AE398" i="27"/>
  <c r="AF398" i="27"/>
  <c r="E399" i="27"/>
  <c r="P399" i="27"/>
  <c r="Q399" i="27"/>
  <c r="R399" i="27"/>
  <c r="AB399" i="27"/>
  <c r="AC399" i="27"/>
  <c r="AD399" i="27"/>
  <c r="AE399" i="27"/>
  <c r="AF399" i="27"/>
  <c r="E400" i="27"/>
  <c r="P400" i="27"/>
  <c r="Q400" i="27"/>
  <c r="R400" i="27"/>
  <c r="AB400" i="27"/>
  <c r="AC400" i="27"/>
  <c r="AD400" i="27"/>
  <c r="AE400" i="27"/>
  <c r="AF400" i="27"/>
  <c r="E401" i="27"/>
  <c r="P401" i="27"/>
  <c r="Q401" i="27"/>
  <c r="R401" i="27"/>
  <c r="AB401" i="27"/>
  <c r="AC401" i="27"/>
  <c r="AD401" i="27"/>
  <c r="AE401" i="27"/>
  <c r="AF401" i="27"/>
  <c r="E402" i="27"/>
  <c r="P402" i="27"/>
  <c r="Q402" i="27"/>
  <c r="R402" i="27"/>
  <c r="AB402" i="27"/>
  <c r="AC402" i="27"/>
  <c r="AD402" i="27"/>
  <c r="AE402" i="27"/>
  <c r="AF402" i="27"/>
  <c r="E403" i="27"/>
  <c r="P403" i="27"/>
  <c r="Q403" i="27"/>
  <c r="R403" i="27"/>
  <c r="AB403" i="27"/>
  <c r="AC403" i="27"/>
  <c r="AD403" i="27"/>
  <c r="AE403" i="27"/>
  <c r="AF403" i="27"/>
  <c r="E404" i="27"/>
  <c r="P404" i="27"/>
  <c r="Q404" i="27"/>
  <c r="R404" i="27"/>
  <c r="AB404" i="27"/>
  <c r="AC404" i="27"/>
  <c r="AD404" i="27"/>
  <c r="AE404" i="27"/>
  <c r="AF404" i="27"/>
  <c r="E405" i="27"/>
  <c r="P405" i="27"/>
  <c r="Q405" i="27"/>
  <c r="R405" i="27"/>
  <c r="AB405" i="27"/>
  <c r="AC405" i="27"/>
  <c r="AD405" i="27"/>
  <c r="AE405" i="27"/>
  <c r="AF405" i="27"/>
  <c r="E406" i="27"/>
  <c r="P406" i="27"/>
  <c r="Q406" i="27"/>
  <c r="R406" i="27"/>
  <c r="AB406" i="27"/>
  <c r="AC406" i="27"/>
  <c r="AD406" i="27"/>
  <c r="AE406" i="27"/>
  <c r="AF406" i="27"/>
  <c r="E407" i="27"/>
  <c r="P407" i="27"/>
  <c r="Q407" i="27"/>
  <c r="R407" i="27"/>
  <c r="AB407" i="27"/>
  <c r="AC407" i="27"/>
  <c r="AD407" i="27"/>
  <c r="AE407" i="27"/>
  <c r="AF407" i="27"/>
  <c r="E408" i="27"/>
  <c r="P408" i="27"/>
  <c r="Q408" i="27"/>
  <c r="R408" i="27"/>
  <c r="AB408" i="27"/>
  <c r="AC408" i="27"/>
  <c r="AD408" i="27"/>
  <c r="AE408" i="27"/>
  <c r="AF408" i="27"/>
  <c r="E409" i="27"/>
  <c r="P409" i="27"/>
  <c r="Q409" i="27"/>
  <c r="R409" i="27"/>
  <c r="AB409" i="27"/>
  <c r="AC409" i="27"/>
  <c r="AD409" i="27"/>
  <c r="AE409" i="27"/>
  <c r="AF409" i="27"/>
  <c r="E410" i="27"/>
  <c r="P410" i="27"/>
  <c r="Q410" i="27"/>
  <c r="R410" i="27"/>
  <c r="AB410" i="27"/>
  <c r="AC410" i="27"/>
  <c r="AD410" i="27"/>
  <c r="AE410" i="27"/>
  <c r="AF410" i="27"/>
  <c r="E411" i="27"/>
  <c r="P411" i="27"/>
  <c r="Q411" i="27"/>
  <c r="R411" i="27"/>
  <c r="AB411" i="27"/>
  <c r="AC411" i="27"/>
  <c r="AD411" i="27"/>
  <c r="AE411" i="27"/>
  <c r="AF411" i="27"/>
  <c r="E412" i="27"/>
  <c r="P412" i="27"/>
  <c r="Q412" i="27"/>
  <c r="R412" i="27"/>
  <c r="AB412" i="27"/>
  <c r="AC412" i="27"/>
  <c r="AD412" i="27"/>
  <c r="AE412" i="27"/>
  <c r="AF412" i="27"/>
  <c r="E413" i="27"/>
  <c r="P413" i="27"/>
  <c r="Q413" i="27"/>
  <c r="R413" i="27"/>
  <c r="AB413" i="27"/>
  <c r="AC413" i="27"/>
  <c r="AD413" i="27"/>
  <c r="AE413" i="27"/>
  <c r="AF413" i="27"/>
  <c r="E414" i="27"/>
  <c r="P414" i="27"/>
  <c r="Q414" i="27"/>
  <c r="R414" i="27"/>
  <c r="AB414" i="27"/>
  <c r="AC414" i="27"/>
  <c r="AD414" i="27"/>
  <c r="AE414" i="27"/>
  <c r="AF414" i="27"/>
  <c r="E415" i="27"/>
  <c r="P415" i="27"/>
  <c r="Q415" i="27"/>
  <c r="R415" i="27"/>
  <c r="AB415" i="27"/>
  <c r="AC415" i="27"/>
  <c r="AD415" i="27"/>
  <c r="AE415" i="27"/>
  <c r="AF415" i="27"/>
  <c r="E416" i="27"/>
  <c r="P416" i="27"/>
  <c r="Q416" i="27"/>
  <c r="R416" i="27"/>
  <c r="AB416" i="27"/>
  <c r="AC416" i="27"/>
  <c r="AD416" i="27"/>
  <c r="AE416" i="27"/>
  <c r="AF416" i="27"/>
  <c r="E417" i="27"/>
  <c r="P417" i="27"/>
  <c r="Q417" i="27"/>
  <c r="R417" i="27"/>
  <c r="AB417" i="27"/>
  <c r="AC417" i="27"/>
  <c r="AD417" i="27"/>
  <c r="AE417" i="27"/>
  <c r="AF417" i="27"/>
  <c r="E418" i="27"/>
  <c r="P418" i="27"/>
  <c r="Q418" i="27"/>
  <c r="R418" i="27"/>
  <c r="AB418" i="27"/>
  <c r="AC418" i="27"/>
  <c r="AD418" i="27"/>
  <c r="AE418" i="27"/>
  <c r="AF418" i="27"/>
  <c r="E419" i="27"/>
  <c r="P419" i="27"/>
  <c r="Q419" i="27"/>
  <c r="R419" i="27"/>
  <c r="AB419" i="27"/>
  <c r="AC419" i="27"/>
  <c r="AD419" i="27"/>
  <c r="AE419" i="27"/>
  <c r="AF419" i="27"/>
  <c r="E420" i="27"/>
  <c r="P420" i="27"/>
  <c r="Q420" i="27"/>
  <c r="R420" i="27"/>
  <c r="AB420" i="27"/>
  <c r="AC420" i="27"/>
  <c r="AD420" i="27"/>
  <c r="AE420" i="27"/>
  <c r="AF420" i="27"/>
  <c r="E421" i="27"/>
  <c r="P421" i="27"/>
  <c r="Q421" i="27"/>
  <c r="R421" i="27"/>
  <c r="AB421" i="27"/>
  <c r="AC421" i="27"/>
  <c r="AD421" i="27"/>
  <c r="AE421" i="27"/>
  <c r="AF421" i="27"/>
  <c r="E422" i="27"/>
  <c r="P422" i="27"/>
  <c r="Q422" i="27"/>
  <c r="R422" i="27"/>
  <c r="AB422" i="27"/>
  <c r="AC422" i="27"/>
  <c r="AD422" i="27"/>
  <c r="AE422" i="27"/>
  <c r="AF422" i="27"/>
  <c r="E423" i="27"/>
  <c r="P423" i="27"/>
  <c r="Q423" i="27"/>
  <c r="R423" i="27"/>
  <c r="AB423" i="27"/>
  <c r="AC423" i="27"/>
  <c r="AD423" i="27"/>
  <c r="AE423" i="27"/>
  <c r="AF423" i="27"/>
  <c r="E424" i="27"/>
  <c r="P424" i="27"/>
  <c r="Q424" i="27"/>
  <c r="R424" i="27"/>
  <c r="AB424" i="27"/>
  <c r="AC424" i="27"/>
  <c r="AD424" i="27"/>
  <c r="AE424" i="27"/>
  <c r="AF424" i="27"/>
  <c r="E425" i="27"/>
  <c r="P425" i="27"/>
  <c r="Q425" i="27"/>
  <c r="R425" i="27"/>
  <c r="AB425" i="27"/>
  <c r="AC425" i="27"/>
  <c r="AD425" i="27"/>
  <c r="AE425" i="27"/>
  <c r="AF425" i="27"/>
  <c r="E426" i="27"/>
  <c r="P426" i="27"/>
  <c r="Q426" i="27"/>
  <c r="R426" i="27"/>
  <c r="AB426" i="27"/>
  <c r="AC426" i="27"/>
  <c r="AD426" i="27"/>
  <c r="AE426" i="27"/>
  <c r="AF426" i="27"/>
  <c r="E427" i="27"/>
  <c r="P427" i="27"/>
  <c r="Q427" i="27"/>
  <c r="R427" i="27"/>
  <c r="AB427" i="27"/>
  <c r="AC427" i="27"/>
  <c r="AD427" i="27"/>
  <c r="AE427" i="27"/>
  <c r="AF427" i="27"/>
  <c r="E428" i="27"/>
  <c r="P428" i="27"/>
  <c r="Q428" i="27"/>
  <c r="R428" i="27"/>
  <c r="AB428" i="27"/>
  <c r="AC428" i="27"/>
  <c r="AD428" i="27"/>
  <c r="AE428" i="27"/>
  <c r="AF428" i="27"/>
  <c r="E429" i="27"/>
  <c r="P429" i="27"/>
  <c r="Q429" i="27"/>
  <c r="R429" i="27"/>
  <c r="AB429" i="27"/>
  <c r="AC429" i="27"/>
  <c r="AD429" i="27"/>
  <c r="AE429" i="27"/>
  <c r="AF429" i="27"/>
  <c r="E430" i="27"/>
  <c r="P430" i="27"/>
  <c r="Q430" i="27"/>
  <c r="R430" i="27"/>
  <c r="AB430" i="27"/>
  <c r="AC430" i="27"/>
  <c r="AD430" i="27"/>
  <c r="AE430" i="27"/>
  <c r="AF430" i="27"/>
  <c r="E431" i="27"/>
  <c r="P431" i="27"/>
  <c r="Q431" i="27"/>
  <c r="R431" i="27"/>
  <c r="AB431" i="27"/>
  <c r="AC431" i="27"/>
  <c r="AD431" i="27"/>
  <c r="AE431" i="27"/>
  <c r="AF431" i="27"/>
  <c r="E432" i="27"/>
  <c r="P432" i="27"/>
  <c r="Q432" i="27"/>
  <c r="R432" i="27"/>
  <c r="AB432" i="27"/>
  <c r="AC432" i="27"/>
  <c r="AD432" i="27"/>
  <c r="AE432" i="27"/>
  <c r="AF432" i="27"/>
  <c r="E433" i="27"/>
  <c r="P433" i="27"/>
  <c r="Q433" i="27"/>
  <c r="R433" i="27"/>
  <c r="AB433" i="27"/>
  <c r="AC433" i="27"/>
  <c r="AD433" i="27"/>
  <c r="AE433" i="27"/>
  <c r="AF433" i="27"/>
  <c r="E434" i="27"/>
  <c r="P434" i="27"/>
  <c r="Q434" i="27"/>
  <c r="R434" i="27"/>
  <c r="AB434" i="27"/>
  <c r="AC434" i="27"/>
  <c r="AD434" i="27"/>
  <c r="AE434" i="27"/>
  <c r="AF434" i="27"/>
  <c r="E435" i="27"/>
  <c r="P435" i="27"/>
  <c r="Q435" i="27"/>
  <c r="R435" i="27"/>
  <c r="AB435" i="27"/>
  <c r="AC435" i="27"/>
  <c r="AD435" i="27"/>
  <c r="AE435" i="27"/>
  <c r="AF435" i="27"/>
  <c r="E436" i="27"/>
  <c r="P436" i="27"/>
  <c r="Q436" i="27"/>
  <c r="R436" i="27"/>
  <c r="AB436" i="27"/>
  <c r="AC436" i="27"/>
  <c r="AD436" i="27"/>
  <c r="AE436" i="27"/>
  <c r="AF436" i="27"/>
  <c r="E437" i="27"/>
  <c r="P437" i="27"/>
  <c r="Q437" i="27"/>
  <c r="R437" i="27"/>
  <c r="AB437" i="27"/>
  <c r="AC437" i="27"/>
  <c r="AD437" i="27"/>
  <c r="AE437" i="27"/>
  <c r="AF437" i="27"/>
  <c r="E438" i="27"/>
  <c r="P438" i="27"/>
  <c r="Q438" i="27"/>
  <c r="R438" i="27"/>
  <c r="AB438" i="27"/>
  <c r="AC438" i="27"/>
  <c r="AD438" i="27"/>
  <c r="AE438" i="27"/>
  <c r="AF438" i="27"/>
  <c r="E439" i="27"/>
  <c r="P439" i="27"/>
  <c r="Q439" i="27"/>
  <c r="R439" i="27"/>
  <c r="AB439" i="27"/>
  <c r="AC439" i="27"/>
  <c r="AD439" i="27"/>
  <c r="AE439" i="27"/>
  <c r="AF439" i="27"/>
  <c r="E440" i="27"/>
  <c r="P440" i="27"/>
  <c r="Q440" i="27"/>
  <c r="R440" i="27"/>
  <c r="AB440" i="27"/>
  <c r="AC440" i="27"/>
  <c r="AD440" i="27"/>
  <c r="AE440" i="27"/>
  <c r="AF440" i="27"/>
  <c r="E441" i="27"/>
  <c r="P441" i="27"/>
  <c r="Q441" i="27"/>
  <c r="R441" i="27"/>
  <c r="AB441" i="27"/>
  <c r="AC441" i="27"/>
  <c r="AD441" i="27"/>
  <c r="AE441" i="27"/>
  <c r="AF441" i="27"/>
  <c r="E442" i="27"/>
  <c r="P442" i="27"/>
  <c r="Q442" i="27"/>
  <c r="R442" i="27"/>
  <c r="AB442" i="27"/>
  <c r="AC442" i="27"/>
  <c r="AD442" i="27"/>
  <c r="AE442" i="27"/>
  <c r="AF442" i="27"/>
  <c r="E443" i="27"/>
  <c r="P443" i="27"/>
  <c r="Q443" i="27"/>
  <c r="R443" i="27"/>
  <c r="AB443" i="27"/>
  <c r="AC443" i="27"/>
  <c r="AD443" i="27"/>
  <c r="AE443" i="27"/>
  <c r="AF443" i="27"/>
  <c r="E444" i="27"/>
  <c r="P444" i="27"/>
  <c r="Q444" i="27"/>
  <c r="R444" i="27"/>
  <c r="AB444" i="27"/>
  <c r="AC444" i="27"/>
  <c r="AD444" i="27"/>
  <c r="AE444" i="27"/>
  <c r="AF444" i="27"/>
  <c r="E445" i="27"/>
  <c r="P445" i="27"/>
  <c r="Q445" i="27"/>
  <c r="R445" i="27"/>
  <c r="AB445" i="27"/>
  <c r="AC445" i="27"/>
  <c r="AD445" i="27"/>
  <c r="AE445" i="27"/>
  <c r="AF445" i="27"/>
  <c r="E446" i="27"/>
  <c r="P446" i="27"/>
  <c r="Q446" i="27"/>
  <c r="R446" i="27"/>
  <c r="AB446" i="27"/>
  <c r="AC446" i="27"/>
  <c r="AD446" i="27"/>
  <c r="AE446" i="27"/>
  <c r="AF446" i="27"/>
  <c r="E447" i="27"/>
  <c r="P447" i="27"/>
  <c r="Q447" i="27"/>
  <c r="R447" i="27"/>
  <c r="AB447" i="27"/>
  <c r="AC447" i="27"/>
  <c r="AD447" i="27"/>
  <c r="AE447" i="27"/>
  <c r="AF447" i="27"/>
  <c r="E448" i="27"/>
  <c r="P448" i="27"/>
  <c r="Q448" i="27"/>
  <c r="R448" i="27"/>
  <c r="AB448" i="27"/>
  <c r="AC448" i="27"/>
  <c r="AD448" i="27"/>
  <c r="AE448" i="27"/>
  <c r="AF448" i="27"/>
  <c r="E449" i="27"/>
  <c r="P449" i="27"/>
  <c r="Q449" i="27"/>
  <c r="R449" i="27"/>
  <c r="AB449" i="27"/>
  <c r="AC449" i="27"/>
  <c r="AD449" i="27"/>
  <c r="AE449" i="27"/>
  <c r="AF449" i="27"/>
  <c r="E450" i="27"/>
  <c r="Q450" i="27"/>
  <c r="R450" i="27"/>
  <c r="AB450" i="27"/>
  <c r="AC450" i="27"/>
  <c r="AD450" i="27"/>
  <c r="AE450" i="27"/>
  <c r="AF450" i="27"/>
  <c r="E451" i="27"/>
  <c r="P451" i="27"/>
  <c r="Q451" i="27"/>
  <c r="R451" i="27"/>
  <c r="AB451" i="27"/>
  <c r="AC451" i="27"/>
  <c r="AD451" i="27"/>
  <c r="AE451" i="27"/>
  <c r="AF451" i="27"/>
  <c r="E452" i="27"/>
  <c r="P452" i="27"/>
  <c r="Q452" i="27"/>
  <c r="R452" i="27"/>
  <c r="AB452" i="27"/>
  <c r="AC452" i="27"/>
  <c r="AD452" i="27"/>
  <c r="AE452" i="27"/>
  <c r="AF452" i="27"/>
  <c r="E453" i="27"/>
  <c r="P453" i="27"/>
  <c r="Q453" i="27"/>
  <c r="R453" i="27"/>
  <c r="AB453" i="27"/>
  <c r="AC453" i="27"/>
  <c r="AD453" i="27"/>
  <c r="AE453" i="27"/>
  <c r="AF453" i="27"/>
  <c r="E454" i="27"/>
  <c r="P454" i="27"/>
  <c r="Q454" i="27"/>
  <c r="R454" i="27"/>
  <c r="AB454" i="27"/>
  <c r="AC454" i="27"/>
  <c r="AD454" i="27"/>
  <c r="AE454" i="27"/>
  <c r="AF454" i="27"/>
  <c r="E455" i="27"/>
  <c r="P455" i="27"/>
  <c r="Q455" i="27"/>
  <c r="R455" i="27"/>
  <c r="AB455" i="27"/>
  <c r="AC455" i="27"/>
  <c r="AD455" i="27"/>
  <c r="AE455" i="27"/>
  <c r="AF455" i="27"/>
  <c r="E456" i="27"/>
  <c r="P456" i="27"/>
  <c r="Q456" i="27"/>
  <c r="R456" i="27"/>
  <c r="AB456" i="27"/>
  <c r="AC456" i="27"/>
  <c r="AD456" i="27"/>
  <c r="AE456" i="27"/>
  <c r="AF456" i="27"/>
  <c r="E457" i="27"/>
  <c r="P457" i="27"/>
  <c r="Q457" i="27"/>
  <c r="R457" i="27"/>
  <c r="AB457" i="27"/>
  <c r="AC457" i="27"/>
  <c r="AD457" i="27"/>
  <c r="AE457" i="27"/>
  <c r="AF457" i="27"/>
  <c r="E458" i="27"/>
  <c r="P458" i="27"/>
  <c r="Q458" i="27"/>
  <c r="R458" i="27"/>
  <c r="AB458" i="27"/>
  <c r="AC458" i="27"/>
  <c r="AD458" i="27"/>
  <c r="AE458" i="27"/>
  <c r="AF458" i="27"/>
  <c r="E459" i="27"/>
  <c r="P459" i="27"/>
  <c r="Q459" i="27"/>
  <c r="R459" i="27"/>
  <c r="AB459" i="27"/>
  <c r="AC459" i="27"/>
  <c r="AD459" i="27"/>
  <c r="AE459" i="27"/>
  <c r="AF459" i="27"/>
  <c r="E460" i="27"/>
  <c r="P460" i="27"/>
  <c r="Q460" i="27"/>
  <c r="R460" i="27"/>
  <c r="AB460" i="27"/>
  <c r="AC460" i="27"/>
  <c r="AD460" i="27"/>
  <c r="AE460" i="27"/>
  <c r="AF460" i="27"/>
  <c r="E461" i="27"/>
  <c r="P461" i="27"/>
  <c r="Q461" i="27"/>
  <c r="R461" i="27"/>
  <c r="AB461" i="27"/>
  <c r="AC461" i="27"/>
  <c r="AD461" i="27"/>
  <c r="AE461" i="27"/>
  <c r="AF461" i="27"/>
  <c r="E462" i="27"/>
  <c r="P462" i="27"/>
  <c r="Q462" i="27"/>
  <c r="R462" i="27"/>
  <c r="AB462" i="27"/>
  <c r="AC462" i="27"/>
  <c r="AD462" i="27"/>
  <c r="AE462" i="27"/>
  <c r="AF462" i="27"/>
  <c r="E463" i="27"/>
  <c r="P463" i="27"/>
  <c r="Q463" i="27"/>
  <c r="R463" i="27"/>
  <c r="AB463" i="27"/>
  <c r="AC463" i="27"/>
  <c r="AD463" i="27"/>
  <c r="AE463" i="27"/>
  <c r="AF463" i="27"/>
  <c r="E464" i="27"/>
  <c r="P464" i="27"/>
  <c r="Q464" i="27"/>
  <c r="R464" i="27"/>
  <c r="AB464" i="27"/>
  <c r="AC464" i="27"/>
  <c r="AD464" i="27"/>
  <c r="AE464" i="27"/>
  <c r="AF464" i="27"/>
  <c r="E465" i="27"/>
  <c r="P465" i="27"/>
  <c r="Q465" i="27"/>
  <c r="R465" i="27"/>
  <c r="AB465" i="27"/>
  <c r="AC465" i="27"/>
  <c r="AD465" i="27"/>
  <c r="AE465" i="27"/>
  <c r="AF465" i="27"/>
  <c r="E466" i="27"/>
  <c r="P466" i="27"/>
  <c r="Q466" i="27"/>
  <c r="R466" i="27"/>
  <c r="AB466" i="27"/>
  <c r="AC466" i="27"/>
  <c r="AD466" i="27"/>
  <c r="AE466" i="27"/>
  <c r="AF466" i="27"/>
  <c r="E467" i="27"/>
  <c r="P467" i="27"/>
  <c r="Q467" i="27"/>
  <c r="R467" i="27"/>
  <c r="AB467" i="27"/>
  <c r="AC467" i="27"/>
  <c r="AD467" i="27"/>
  <c r="AE467" i="27"/>
  <c r="AF467" i="27"/>
  <c r="E468" i="27"/>
  <c r="P468" i="27"/>
  <c r="Q468" i="27"/>
  <c r="R468" i="27"/>
  <c r="AB468" i="27"/>
  <c r="AC468" i="27"/>
  <c r="AD468" i="27"/>
  <c r="AE468" i="27"/>
  <c r="AF468" i="27"/>
  <c r="E469" i="27"/>
  <c r="P469" i="27"/>
  <c r="Q469" i="27"/>
  <c r="R469" i="27"/>
  <c r="AB469" i="27"/>
  <c r="AC469" i="27"/>
  <c r="AD469" i="27"/>
  <c r="AE469" i="27"/>
  <c r="AF469" i="27"/>
  <c r="E470" i="27"/>
  <c r="P470" i="27"/>
  <c r="Q470" i="27"/>
  <c r="R470" i="27"/>
  <c r="AB470" i="27"/>
  <c r="AC470" i="27"/>
  <c r="AD470" i="27"/>
  <c r="AE470" i="27"/>
  <c r="AF470" i="27"/>
  <c r="E471" i="27"/>
  <c r="Q471" i="27"/>
  <c r="R471" i="27"/>
  <c r="AB471" i="27"/>
  <c r="AC471" i="27"/>
  <c r="AD471" i="27"/>
  <c r="AE471" i="27"/>
  <c r="AF471" i="27"/>
  <c r="E472" i="27"/>
  <c r="P472" i="27"/>
  <c r="Q472" i="27"/>
  <c r="R472" i="27"/>
  <c r="AB472" i="27"/>
  <c r="AC472" i="27"/>
  <c r="AD472" i="27"/>
  <c r="AE472" i="27"/>
  <c r="AF472" i="27"/>
  <c r="E473" i="27"/>
  <c r="P473" i="27"/>
  <c r="Q473" i="27"/>
  <c r="R473" i="27"/>
  <c r="AB473" i="27"/>
  <c r="AC473" i="27"/>
  <c r="AD473" i="27"/>
  <c r="AE473" i="27"/>
  <c r="AF473" i="27"/>
  <c r="E474" i="27"/>
  <c r="P474" i="27"/>
  <c r="Q474" i="27"/>
  <c r="R474" i="27"/>
  <c r="AB474" i="27"/>
  <c r="AC474" i="27"/>
  <c r="AD474" i="27"/>
  <c r="AE474" i="27"/>
  <c r="AF474" i="27"/>
  <c r="E475" i="27"/>
  <c r="P475" i="27"/>
  <c r="Q475" i="27"/>
  <c r="R475" i="27"/>
  <c r="AB475" i="27"/>
  <c r="AC475" i="27"/>
  <c r="AD475" i="27"/>
  <c r="AE475" i="27"/>
  <c r="AF475" i="27"/>
  <c r="E476" i="27"/>
  <c r="P476" i="27"/>
  <c r="Q476" i="27"/>
  <c r="R476" i="27"/>
  <c r="AB476" i="27"/>
  <c r="AC476" i="27"/>
  <c r="AD476" i="27"/>
  <c r="AE476" i="27"/>
  <c r="AF476" i="27"/>
  <c r="E477" i="27"/>
  <c r="P477" i="27"/>
  <c r="Q477" i="27"/>
  <c r="R477" i="27"/>
  <c r="AB477" i="27"/>
  <c r="AC477" i="27"/>
  <c r="AD477" i="27"/>
  <c r="AE477" i="27"/>
  <c r="AF477" i="27"/>
  <c r="E478" i="27"/>
  <c r="P478" i="27"/>
  <c r="Q478" i="27"/>
  <c r="R478" i="27"/>
  <c r="AB478" i="27"/>
  <c r="AC478" i="27"/>
  <c r="AD478" i="27"/>
  <c r="AE478" i="27"/>
  <c r="AF478" i="27"/>
  <c r="E479" i="27"/>
  <c r="P479" i="27"/>
  <c r="Q479" i="27"/>
  <c r="R479" i="27"/>
  <c r="AB479" i="27"/>
  <c r="AC479" i="27"/>
  <c r="AD479" i="27"/>
  <c r="AE479" i="27"/>
  <c r="AF479" i="27"/>
  <c r="E480" i="27"/>
  <c r="P480" i="27"/>
  <c r="Q480" i="27"/>
  <c r="R480" i="27"/>
  <c r="AB480" i="27"/>
  <c r="AC480" i="27"/>
  <c r="AD480" i="27"/>
  <c r="AE480" i="27"/>
  <c r="AF480" i="27"/>
  <c r="E481" i="27"/>
  <c r="P481" i="27"/>
  <c r="Q481" i="27"/>
  <c r="R481" i="27"/>
  <c r="AB481" i="27"/>
  <c r="AC481" i="27"/>
  <c r="AD481" i="27"/>
  <c r="AE481" i="27"/>
  <c r="AF481" i="27"/>
  <c r="E482" i="27"/>
  <c r="P482" i="27"/>
  <c r="Q482" i="27"/>
  <c r="R482" i="27"/>
  <c r="AB482" i="27"/>
  <c r="AC482" i="27"/>
  <c r="AD482" i="27"/>
  <c r="AE482" i="27"/>
  <c r="AF482" i="27"/>
  <c r="E483" i="27"/>
  <c r="P483" i="27"/>
  <c r="Q483" i="27"/>
  <c r="R483" i="27"/>
  <c r="AB483" i="27"/>
  <c r="AC483" i="27"/>
  <c r="AD483" i="27"/>
  <c r="AE483" i="27"/>
  <c r="AF483" i="27"/>
  <c r="E484" i="27"/>
  <c r="P484" i="27"/>
  <c r="Q484" i="27"/>
  <c r="R484" i="27"/>
  <c r="AB484" i="27"/>
  <c r="AC484" i="27"/>
  <c r="AD484" i="27"/>
  <c r="AE484" i="27"/>
  <c r="AF484" i="27"/>
  <c r="E485" i="27"/>
  <c r="P485" i="27"/>
  <c r="Q485" i="27"/>
  <c r="R485" i="27"/>
  <c r="AB485" i="27"/>
  <c r="AC485" i="27"/>
  <c r="AD485" i="27"/>
  <c r="AE485" i="27"/>
  <c r="AF485" i="27"/>
  <c r="E486" i="27"/>
  <c r="P486" i="27"/>
  <c r="Q486" i="27"/>
  <c r="R486" i="27"/>
  <c r="AB486" i="27"/>
  <c r="AC486" i="27"/>
  <c r="AD486" i="27"/>
  <c r="AE486" i="27"/>
  <c r="AF486" i="27"/>
  <c r="E487" i="27"/>
  <c r="P487" i="27"/>
  <c r="Q487" i="27"/>
  <c r="R487" i="27"/>
  <c r="AB487" i="27"/>
  <c r="AC487" i="27"/>
  <c r="AD487" i="27"/>
  <c r="AE487" i="27"/>
  <c r="AF487" i="27"/>
  <c r="E488" i="27"/>
  <c r="P488" i="27"/>
  <c r="Q488" i="27"/>
  <c r="R488" i="27"/>
  <c r="AB488" i="27"/>
  <c r="AC488" i="27"/>
  <c r="AD488" i="27"/>
  <c r="AE488" i="27"/>
  <c r="AF488" i="27"/>
  <c r="E489" i="27"/>
  <c r="P489" i="27"/>
  <c r="Q489" i="27"/>
  <c r="R489" i="27"/>
  <c r="AB489" i="27"/>
  <c r="AC489" i="27"/>
  <c r="AD489" i="27"/>
  <c r="AE489" i="27"/>
  <c r="AF489" i="27"/>
  <c r="E490" i="27"/>
  <c r="P490" i="27"/>
  <c r="Q490" i="27"/>
  <c r="R490" i="27"/>
  <c r="AB490" i="27"/>
  <c r="AC490" i="27"/>
  <c r="AD490" i="27"/>
  <c r="AE490" i="27"/>
  <c r="AF490" i="27"/>
  <c r="E491" i="27"/>
  <c r="P491" i="27"/>
  <c r="Q491" i="27"/>
  <c r="R491" i="27"/>
  <c r="AB491" i="27"/>
  <c r="AC491" i="27"/>
  <c r="AD491" i="27"/>
  <c r="AE491" i="27"/>
  <c r="AF491" i="27"/>
  <c r="E492" i="27"/>
  <c r="P492" i="27"/>
  <c r="Q492" i="27"/>
  <c r="R492" i="27"/>
  <c r="AB492" i="27"/>
  <c r="AC492" i="27"/>
  <c r="AD492" i="27"/>
  <c r="AE492" i="27"/>
  <c r="AF492" i="27"/>
  <c r="E493" i="27"/>
  <c r="P493" i="27"/>
  <c r="Q493" i="27"/>
  <c r="R493" i="27"/>
  <c r="AB493" i="27"/>
  <c r="AC493" i="27"/>
  <c r="AD493" i="27"/>
  <c r="AE493" i="27"/>
  <c r="AF493" i="27"/>
  <c r="E494" i="27"/>
  <c r="P494" i="27"/>
  <c r="Q494" i="27"/>
  <c r="R494" i="27"/>
  <c r="AB494" i="27"/>
  <c r="AC494" i="27"/>
  <c r="AD494" i="27"/>
  <c r="AE494" i="27"/>
  <c r="AF494" i="27"/>
  <c r="E495" i="27"/>
  <c r="P495" i="27"/>
  <c r="Q495" i="27"/>
  <c r="R495" i="27"/>
  <c r="AB495" i="27"/>
  <c r="AC495" i="27"/>
  <c r="AD495" i="27"/>
  <c r="AE495" i="27"/>
  <c r="AF495" i="27"/>
  <c r="E496" i="27"/>
  <c r="P496" i="27"/>
  <c r="Q496" i="27"/>
  <c r="R496" i="27"/>
  <c r="AB496" i="27"/>
  <c r="AC496" i="27"/>
  <c r="AD496" i="27"/>
  <c r="AE496" i="27"/>
  <c r="AF496" i="27"/>
  <c r="E497" i="27"/>
  <c r="P497" i="27"/>
  <c r="Q497" i="27"/>
  <c r="R497" i="27"/>
  <c r="AB497" i="27"/>
  <c r="AC497" i="27"/>
  <c r="AD497" i="27"/>
  <c r="AE497" i="27"/>
  <c r="AF497" i="27"/>
  <c r="E498" i="27"/>
  <c r="P498" i="27"/>
  <c r="Q498" i="27"/>
  <c r="R498" i="27"/>
  <c r="AB498" i="27"/>
  <c r="AC498" i="27"/>
  <c r="AD498" i="27"/>
  <c r="AE498" i="27"/>
  <c r="AF498" i="27"/>
  <c r="E499" i="27"/>
  <c r="P499" i="27"/>
  <c r="Q499" i="27"/>
  <c r="AB499" i="27"/>
  <c r="AC499" i="27"/>
  <c r="AD499" i="27"/>
  <c r="AE499" i="27"/>
  <c r="AF499" i="27"/>
  <c r="E500" i="27"/>
  <c r="P500" i="27"/>
  <c r="Q500" i="27"/>
  <c r="R500" i="27"/>
  <c r="AB500" i="27"/>
  <c r="AC500" i="27"/>
  <c r="AD500" i="27"/>
  <c r="AE500" i="27"/>
  <c r="AF500" i="27"/>
  <c r="E501" i="27"/>
  <c r="P501" i="27"/>
  <c r="Q501" i="27"/>
  <c r="R501" i="27"/>
  <c r="AB501" i="27"/>
  <c r="AC501" i="27"/>
  <c r="AD501" i="27"/>
  <c r="AE501" i="27"/>
  <c r="AF501" i="27"/>
  <c r="E502" i="27"/>
  <c r="P502" i="27"/>
  <c r="Q502" i="27"/>
  <c r="R502" i="27"/>
  <c r="AB502" i="27"/>
  <c r="AC502" i="27"/>
  <c r="AD502" i="27"/>
  <c r="AE502" i="27"/>
  <c r="AF502" i="27"/>
  <c r="E503" i="27"/>
  <c r="P503" i="27"/>
  <c r="Q503" i="27"/>
  <c r="R503" i="27"/>
  <c r="AB503" i="27"/>
  <c r="AC503" i="27"/>
  <c r="AD503" i="27"/>
  <c r="AE503" i="27"/>
  <c r="AF503" i="27"/>
  <c r="E504" i="27"/>
  <c r="P504" i="27"/>
  <c r="Q504" i="27"/>
  <c r="R504" i="27"/>
  <c r="AB504" i="27"/>
  <c r="AC504" i="27"/>
  <c r="AD504" i="27"/>
  <c r="AE504" i="27"/>
  <c r="AF504" i="27"/>
  <c r="E505" i="27"/>
  <c r="P505" i="27"/>
  <c r="Q505" i="27"/>
  <c r="R505" i="27"/>
  <c r="AB505" i="27"/>
  <c r="AC505" i="27"/>
  <c r="AD505" i="27"/>
  <c r="AE505" i="27"/>
  <c r="AF505" i="27"/>
  <c r="E506" i="27"/>
  <c r="P506" i="27"/>
  <c r="Q506" i="27"/>
  <c r="R506" i="27"/>
  <c r="AB506" i="27"/>
  <c r="AC506" i="27"/>
  <c r="AD506" i="27"/>
  <c r="AE506" i="27"/>
  <c r="AF506" i="27"/>
  <c r="E507" i="27"/>
  <c r="P507" i="27"/>
  <c r="Q507" i="27"/>
  <c r="R507" i="27"/>
  <c r="AB507" i="27"/>
  <c r="AC507" i="27"/>
  <c r="AD507" i="27"/>
  <c r="AE507" i="27"/>
  <c r="AF507" i="27"/>
  <c r="E508" i="27"/>
  <c r="P508" i="27"/>
  <c r="Q508" i="27"/>
  <c r="R508" i="27"/>
  <c r="AB508" i="27"/>
  <c r="AC508" i="27"/>
  <c r="AD508" i="27"/>
  <c r="AE508" i="27"/>
  <c r="AF508" i="27"/>
  <c r="E509" i="27"/>
  <c r="P509" i="27"/>
  <c r="Q509" i="27"/>
  <c r="R509" i="27"/>
  <c r="AB509" i="27"/>
  <c r="AC509" i="27"/>
  <c r="AD509" i="27"/>
  <c r="AE509" i="27"/>
  <c r="AF509" i="27"/>
  <c r="E510" i="27"/>
  <c r="P510" i="27"/>
  <c r="Q510" i="27"/>
  <c r="R510" i="27"/>
  <c r="AB510" i="27"/>
  <c r="AC510" i="27"/>
  <c r="AD510" i="27"/>
  <c r="AE510" i="27"/>
  <c r="AF510" i="27"/>
  <c r="E511" i="27"/>
  <c r="P511" i="27"/>
  <c r="Q511" i="27"/>
  <c r="R511" i="27"/>
  <c r="AB511" i="27"/>
  <c r="AC511" i="27"/>
  <c r="AD511" i="27"/>
  <c r="AE511" i="27"/>
  <c r="AF511" i="27"/>
  <c r="E512" i="27"/>
  <c r="P512" i="27"/>
  <c r="Q512" i="27"/>
  <c r="R512" i="27"/>
  <c r="AB512" i="27"/>
  <c r="AC512" i="27"/>
  <c r="AD512" i="27"/>
  <c r="AE512" i="27"/>
  <c r="AF512" i="27"/>
  <c r="E513" i="27"/>
  <c r="P513" i="27"/>
  <c r="Q513" i="27"/>
  <c r="R513" i="27"/>
  <c r="AB513" i="27"/>
  <c r="AC513" i="27"/>
  <c r="AD513" i="27"/>
  <c r="AE513" i="27"/>
  <c r="AF513" i="27"/>
  <c r="E514" i="27"/>
  <c r="P514" i="27"/>
  <c r="Q514" i="27"/>
  <c r="R514" i="27"/>
  <c r="AB514" i="27"/>
  <c r="AC514" i="27"/>
  <c r="AD514" i="27"/>
  <c r="AE514" i="27"/>
  <c r="AF514" i="27"/>
  <c r="E515" i="27"/>
  <c r="P515" i="27"/>
  <c r="Q515" i="27"/>
  <c r="R515" i="27"/>
  <c r="AB515" i="27"/>
  <c r="AC515" i="27"/>
  <c r="AD515" i="27"/>
  <c r="AE515" i="27"/>
  <c r="AF515" i="27"/>
  <c r="E516" i="27"/>
  <c r="P516" i="27"/>
  <c r="Q516" i="27"/>
  <c r="R516" i="27"/>
  <c r="AB516" i="27"/>
  <c r="AC516" i="27"/>
  <c r="AD516" i="27"/>
  <c r="AE516" i="27"/>
  <c r="AF516" i="27"/>
  <c r="E517" i="27"/>
  <c r="P517" i="27"/>
  <c r="Q517" i="27"/>
  <c r="R517" i="27"/>
  <c r="AB517" i="27"/>
  <c r="AC517" i="27"/>
  <c r="AD517" i="27"/>
  <c r="AE517" i="27"/>
  <c r="AF517" i="27"/>
  <c r="E518" i="27"/>
  <c r="P518" i="27"/>
  <c r="Q518" i="27"/>
  <c r="R518" i="27"/>
  <c r="AB518" i="27"/>
  <c r="AC518" i="27"/>
  <c r="AD518" i="27"/>
  <c r="AE518" i="27"/>
  <c r="AF518" i="27"/>
  <c r="E519" i="27"/>
  <c r="P519" i="27"/>
  <c r="Q519" i="27"/>
  <c r="R519" i="27"/>
  <c r="AB519" i="27"/>
  <c r="AC519" i="27"/>
  <c r="AD519" i="27"/>
  <c r="AE519" i="27"/>
  <c r="AF519" i="27"/>
  <c r="E520" i="27"/>
  <c r="P520" i="27"/>
  <c r="Q520" i="27"/>
  <c r="R520" i="27"/>
  <c r="AB520" i="27"/>
  <c r="AC520" i="27"/>
  <c r="AD520" i="27"/>
  <c r="AE520" i="27"/>
  <c r="AF520" i="27"/>
  <c r="E521" i="27"/>
  <c r="P521" i="27"/>
  <c r="Q521" i="27"/>
  <c r="R521" i="27"/>
  <c r="AB521" i="27"/>
  <c r="AC521" i="27"/>
  <c r="AD521" i="27"/>
  <c r="AE521" i="27"/>
  <c r="AF521" i="27"/>
  <c r="E522" i="27"/>
  <c r="P522" i="27"/>
  <c r="Q522" i="27"/>
  <c r="R522" i="27"/>
  <c r="AB522" i="27"/>
  <c r="AC522" i="27"/>
  <c r="AD522" i="27"/>
  <c r="AE522" i="27"/>
  <c r="AF522" i="27"/>
  <c r="E523" i="27"/>
  <c r="P523" i="27"/>
  <c r="Q523" i="27"/>
  <c r="R523" i="27"/>
  <c r="AB523" i="27"/>
  <c r="AC523" i="27"/>
  <c r="AD523" i="27"/>
  <c r="AE523" i="27"/>
  <c r="AF523" i="27"/>
  <c r="E524" i="27"/>
  <c r="P524" i="27"/>
  <c r="Q524" i="27"/>
  <c r="R524" i="27"/>
  <c r="AB524" i="27"/>
  <c r="AC524" i="27"/>
  <c r="AD524" i="27"/>
  <c r="AE524" i="27"/>
  <c r="AF524" i="27"/>
  <c r="E525" i="27"/>
  <c r="P525" i="27"/>
  <c r="Q525" i="27"/>
  <c r="R525" i="27"/>
  <c r="AB525" i="27"/>
  <c r="AC525" i="27"/>
  <c r="AD525" i="27"/>
  <c r="AE525" i="27"/>
  <c r="AF525" i="27"/>
  <c r="E526" i="27"/>
  <c r="P526" i="27"/>
  <c r="Q526" i="27"/>
  <c r="R526" i="27"/>
  <c r="AB526" i="27"/>
  <c r="AC526" i="27"/>
  <c r="AD526" i="27"/>
  <c r="AE526" i="27"/>
  <c r="AF526" i="27"/>
  <c r="E527" i="27"/>
  <c r="P527" i="27"/>
  <c r="Q527" i="27"/>
  <c r="R527" i="27"/>
  <c r="AB527" i="27"/>
  <c r="AC527" i="27"/>
  <c r="AD527" i="27"/>
  <c r="AE527" i="27"/>
  <c r="AF527" i="27"/>
  <c r="E528" i="27"/>
  <c r="P528" i="27"/>
  <c r="Q528" i="27"/>
  <c r="R528" i="27"/>
  <c r="AB528" i="27"/>
  <c r="AC528" i="27"/>
  <c r="AD528" i="27"/>
  <c r="AE528" i="27"/>
  <c r="AF528" i="27"/>
  <c r="E529" i="27"/>
  <c r="P529" i="27"/>
  <c r="Q529" i="27"/>
  <c r="R529" i="27"/>
  <c r="AB529" i="27"/>
  <c r="AC529" i="27"/>
  <c r="AD529" i="27"/>
  <c r="AE529" i="27"/>
  <c r="AF529" i="27"/>
  <c r="E530" i="27"/>
  <c r="P530" i="27"/>
  <c r="Q530" i="27"/>
  <c r="R530" i="27"/>
  <c r="AB530" i="27"/>
  <c r="AC530" i="27"/>
  <c r="AD530" i="27"/>
  <c r="AE530" i="27"/>
  <c r="AF530" i="27"/>
  <c r="E531" i="27"/>
  <c r="P531" i="27"/>
  <c r="Q531" i="27"/>
  <c r="R531" i="27"/>
  <c r="AB531" i="27"/>
  <c r="AC531" i="27"/>
  <c r="AD531" i="27"/>
  <c r="AE531" i="27"/>
  <c r="AF531" i="27"/>
  <c r="E532" i="27"/>
  <c r="P532" i="27"/>
  <c r="Q532" i="27"/>
  <c r="R532" i="27"/>
  <c r="AB532" i="27"/>
  <c r="AC532" i="27"/>
  <c r="AD532" i="27"/>
  <c r="AE532" i="27"/>
  <c r="AF532" i="27"/>
  <c r="E533" i="27"/>
  <c r="P533" i="27"/>
  <c r="Q533" i="27"/>
  <c r="R533" i="27"/>
  <c r="AB533" i="27"/>
  <c r="AC533" i="27"/>
  <c r="AD533" i="27"/>
  <c r="AE533" i="27"/>
  <c r="AF533" i="27"/>
  <c r="E534" i="27"/>
  <c r="P534" i="27"/>
  <c r="Q534" i="27"/>
  <c r="R534" i="27"/>
  <c r="AB534" i="27"/>
  <c r="AC534" i="27"/>
  <c r="AD534" i="27"/>
  <c r="AE534" i="27"/>
  <c r="AF534" i="27"/>
  <c r="E535" i="27"/>
  <c r="P535" i="27"/>
  <c r="Q535" i="27"/>
  <c r="R535" i="27"/>
  <c r="AB535" i="27"/>
  <c r="AC535" i="27"/>
  <c r="AD535" i="27"/>
  <c r="AE535" i="27"/>
  <c r="AF535" i="27"/>
  <c r="E536" i="27"/>
  <c r="P536" i="27"/>
  <c r="Q536" i="27"/>
  <c r="R536" i="27"/>
  <c r="AB536" i="27"/>
  <c r="AC536" i="27"/>
  <c r="AD536" i="27"/>
  <c r="AE536" i="27"/>
  <c r="AF536" i="27"/>
  <c r="E537" i="27"/>
  <c r="P537" i="27"/>
  <c r="Q537" i="27"/>
  <c r="R537" i="27"/>
  <c r="AB537" i="27"/>
  <c r="AC537" i="27"/>
  <c r="AD537" i="27"/>
  <c r="AE537" i="27"/>
  <c r="AF537" i="27"/>
  <c r="E538" i="27"/>
  <c r="P538" i="27"/>
  <c r="Q538" i="27"/>
  <c r="R538" i="27"/>
  <c r="AB538" i="27"/>
  <c r="AC538" i="27"/>
  <c r="AD538" i="27"/>
  <c r="AE538" i="27"/>
  <c r="AF538" i="27"/>
  <c r="E539" i="27"/>
  <c r="P539" i="27"/>
  <c r="Q539" i="27"/>
  <c r="R539" i="27"/>
  <c r="AB539" i="27"/>
  <c r="AC539" i="27"/>
  <c r="AD539" i="27"/>
  <c r="AE539" i="27"/>
  <c r="AF539" i="27"/>
  <c r="E540" i="27"/>
  <c r="P540" i="27"/>
  <c r="Q540" i="27"/>
  <c r="R540" i="27"/>
  <c r="AB540" i="27"/>
  <c r="AC540" i="27"/>
  <c r="AD540" i="27"/>
  <c r="AE540" i="27"/>
  <c r="AF540" i="27"/>
  <c r="E541" i="27"/>
  <c r="P541" i="27"/>
  <c r="Q541" i="27"/>
  <c r="R541" i="27"/>
  <c r="AB541" i="27"/>
  <c r="AC541" i="27"/>
  <c r="AD541" i="27"/>
  <c r="AE541" i="27"/>
  <c r="AF541" i="27"/>
  <c r="E542" i="27"/>
  <c r="P542" i="27"/>
  <c r="Q542" i="27"/>
  <c r="R542" i="27"/>
  <c r="AB542" i="27"/>
  <c r="AC542" i="27"/>
  <c r="AD542" i="27"/>
  <c r="AE542" i="27"/>
  <c r="AF542" i="27"/>
  <c r="E543" i="27"/>
  <c r="P543" i="27"/>
  <c r="Q543" i="27"/>
  <c r="R543" i="27"/>
  <c r="AB543" i="27"/>
  <c r="AC543" i="27"/>
  <c r="AD543" i="27"/>
  <c r="AE543" i="27"/>
  <c r="AF543" i="27"/>
  <c r="E544" i="27"/>
  <c r="P544" i="27"/>
  <c r="Q544" i="27"/>
  <c r="R544" i="27"/>
  <c r="AB544" i="27"/>
  <c r="AC544" i="27"/>
  <c r="AD544" i="27"/>
  <c r="AE544" i="27"/>
  <c r="AF544" i="27"/>
  <c r="E545" i="27"/>
  <c r="P545" i="27"/>
  <c r="Q545" i="27"/>
  <c r="R545" i="27"/>
  <c r="AB545" i="27"/>
  <c r="AC545" i="27"/>
  <c r="AD545" i="27"/>
  <c r="AE545" i="27"/>
  <c r="AF545" i="27"/>
  <c r="E546" i="27"/>
  <c r="P546" i="27"/>
  <c r="Q546" i="27"/>
  <c r="R546" i="27"/>
  <c r="AB546" i="27"/>
  <c r="AC546" i="27"/>
  <c r="AD546" i="27"/>
  <c r="AE546" i="27"/>
  <c r="AF546" i="27"/>
  <c r="E547" i="27"/>
  <c r="P547" i="27"/>
  <c r="Q547" i="27"/>
  <c r="R547" i="27"/>
  <c r="AB547" i="27"/>
  <c r="AC547" i="27"/>
  <c r="AD547" i="27"/>
  <c r="AE547" i="27"/>
  <c r="AF547" i="27"/>
  <c r="E548" i="27"/>
  <c r="P548" i="27"/>
  <c r="Q548" i="27"/>
  <c r="R548" i="27"/>
  <c r="AB548" i="27"/>
  <c r="AC548" i="27"/>
  <c r="AD548" i="27"/>
  <c r="AE548" i="27"/>
  <c r="AF548" i="27"/>
  <c r="E549" i="27"/>
  <c r="P549" i="27"/>
  <c r="Q549" i="27"/>
  <c r="R549" i="27"/>
  <c r="AB549" i="27"/>
  <c r="AC549" i="27"/>
  <c r="AD549" i="27"/>
  <c r="AE549" i="27"/>
  <c r="AF549" i="27"/>
  <c r="E550" i="27"/>
  <c r="P550" i="27"/>
  <c r="Q550" i="27"/>
  <c r="R550" i="27"/>
  <c r="AB550" i="27"/>
  <c r="AC550" i="27"/>
  <c r="AD550" i="27"/>
  <c r="AE550" i="27"/>
  <c r="AF550" i="27"/>
  <c r="E551" i="27"/>
  <c r="P551" i="27"/>
  <c r="Q551" i="27"/>
  <c r="R551" i="27"/>
  <c r="AB551" i="27"/>
  <c r="AC551" i="27"/>
  <c r="AD551" i="27"/>
  <c r="AE551" i="27"/>
  <c r="AF551" i="27"/>
  <c r="E552" i="27"/>
  <c r="P552" i="27"/>
  <c r="Q552" i="27"/>
  <c r="R552" i="27"/>
  <c r="AB552" i="27"/>
  <c r="AC552" i="27"/>
  <c r="AD552" i="27"/>
  <c r="AE552" i="27"/>
  <c r="AF552" i="27"/>
  <c r="E553" i="27"/>
  <c r="P553" i="27"/>
  <c r="Q553" i="27"/>
  <c r="R553" i="27"/>
  <c r="AB553" i="27"/>
  <c r="AC553" i="27"/>
  <c r="AD553" i="27"/>
  <c r="AE553" i="27"/>
  <c r="AF553" i="27"/>
  <c r="E554" i="27"/>
  <c r="P554" i="27"/>
  <c r="Q554" i="27"/>
  <c r="R554" i="27"/>
  <c r="AB554" i="27"/>
  <c r="AC554" i="27"/>
  <c r="AD554" i="27"/>
  <c r="AE554" i="27"/>
  <c r="AF554" i="27"/>
  <c r="E555" i="27"/>
  <c r="P555" i="27"/>
  <c r="Q555" i="27"/>
  <c r="R555" i="27"/>
  <c r="AB555" i="27"/>
  <c r="AC555" i="27"/>
  <c r="AD555" i="27"/>
  <c r="AE555" i="27"/>
  <c r="AF555" i="27"/>
  <c r="E556" i="27"/>
  <c r="P556" i="27"/>
  <c r="Q556" i="27"/>
  <c r="R556" i="27"/>
  <c r="AB556" i="27"/>
  <c r="AC556" i="27"/>
  <c r="AD556" i="27"/>
  <c r="AE556" i="27"/>
  <c r="AF556" i="27"/>
  <c r="E557" i="27"/>
  <c r="P557" i="27"/>
  <c r="Q557" i="27"/>
  <c r="R557" i="27"/>
  <c r="AB557" i="27"/>
  <c r="AC557" i="27"/>
  <c r="AD557" i="27"/>
  <c r="AE557" i="27"/>
  <c r="AF557" i="27"/>
  <c r="E558" i="27"/>
  <c r="P558" i="27"/>
  <c r="Q558" i="27"/>
  <c r="R558" i="27"/>
  <c r="AB558" i="27"/>
  <c r="AC558" i="27"/>
  <c r="AD558" i="27"/>
  <c r="AE558" i="27"/>
  <c r="AF558" i="27"/>
  <c r="E559" i="27"/>
  <c r="P559" i="27"/>
  <c r="Q559" i="27"/>
  <c r="R559" i="27"/>
  <c r="AB559" i="27"/>
  <c r="AC559" i="27"/>
  <c r="AD559" i="27"/>
  <c r="AE559" i="27"/>
  <c r="AF559" i="27"/>
  <c r="E560" i="27"/>
  <c r="P560" i="27"/>
  <c r="Q560" i="27"/>
  <c r="R560" i="27"/>
  <c r="AB560" i="27"/>
  <c r="AC560" i="27"/>
  <c r="AD560" i="27"/>
  <c r="AE560" i="27"/>
  <c r="AF560" i="27"/>
  <c r="E561" i="27"/>
  <c r="P561" i="27"/>
  <c r="Q561" i="27"/>
  <c r="R561" i="27"/>
  <c r="AB561" i="27"/>
  <c r="AC561" i="27"/>
  <c r="AD561" i="27"/>
  <c r="AE561" i="27"/>
  <c r="AF561" i="27"/>
  <c r="E562" i="27"/>
  <c r="P562" i="27"/>
  <c r="Q562" i="27"/>
  <c r="R562" i="27"/>
  <c r="AB562" i="27"/>
  <c r="AC562" i="27"/>
  <c r="AD562" i="27"/>
  <c r="AE562" i="27"/>
  <c r="AF562" i="27"/>
  <c r="E563" i="27"/>
  <c r="P563" i="27"/>
  <c r="Q563" i="27"/>
  <c r="R563" i="27"/>
  <c r="AB563" i="27"/>
  <c r="AC563" i="27"/>
  <c r="AD563" i="27"/>
  <c r="AE563" i="27"/>
  <c r="AF563" i="27"/>
  <c r="E564" i="27"/>
  <c r="P564" i="27"/>
  <c r="Q564" i="27"/>
  <c r="R564" i="27"/>
  <c r="AB564" i="27"/>
  <c r="AC564" i="27"/>
  <c r="AD564" i="27"/>
  <c r="AE564" i="27"/>
  <c r="AF564" i="27"/>
  <c r="E565" i="27"/>
  <c r="P565" i="27"/>
  <c r="Q565" i="27"/>
  <c r="R565" i="27"/>
  <c r="AB565" i="27"/>
  <c r="AC565" i="27"/>
  <c r="AD565" i="27"/>
  <c r="AE565" i="27"/>
  <c r="AF565" i="27"/>
  <c r="E566" i="27"/>
  <c r="P566" i="27"/>
  <c r="Q566" i="27"/>
  <c r="R566" i="27"/>
  <c r="AB566" i="27"/>
  <c r="AC566" i="27"/>
  <c r="AD566" i="27"/>
  <c r="AE566" i="27"/>
  <c r="AF566" i="27"/>
  <c r="E567" i="27"/>
  <c r="P567" i="27"/>
  <c r="Q567" i="27"/>
  <c r="R567" i="27"/>
  <c r="AB567" i="27"/>
  <c r="AC567" i="27"/>
  <c r="AD567" i="27"/>
  <c r="AE567" i="27"/>
  <c r="AF567" i="27"/>
  <c r="E568" i="27"/>
  <c r="P568" i="27"/>
  <c r="Q568" i="27"/>
  <c r="R568" i="27"/>
  <c r="AB568" i="27"/>
  <c r="AC568" i="27"/>
  <c r="AD568" i="27"/>
  <c r="AE568" i="27"/>
  <c r="AF568" i="27"/>
  <c r="E569" i="27"/>
  <c r="P569" i="27"/>
  <c r="Q569" i="27"/>
  <c r="R569" i="27"/>
  <c r="AB569" i="27"/>
  <c r="AC569" i="27"/>
  <c r="AD569" i="27"/>
  <c r="AE569" i="27"/>
  <c r="AF569" i="27"/>
  <c r="E570" i="27"/>
  <c r="P570" i="27"/>
  <c r="Q570" i="27"/>
  <c r="R570" i="27"/>
  <c r="AB570" i="27"/>
  <c r="AC570" i="27"/>
  <c r="AD570" i="27"/>
  <c r="AE570" i="27"/>
  <c r="AF570" i="27"/>
  <c r="E571" i="27"/>
  <c r="P571" i="27"/>
  <c r="Q571" i="27"/>
  <c r="R571" i="27"/>
  <c r="AB571" i="27"/>
  <c r="AC571" i="27"/>
  <c r="AD571" i="27"/>
  <c r="AE571" i="27"/>
  <c r="AF571" i="27"/>
  <c r="E572" i="27"/>
  <c r="P572" i="27"/>
  <c r="Q572" i="27"/>
  <c r="R572" i="27"/>
  <c r="AB572" i="27"/>
  <c r="AC572" i="27"/>
  <c r="AD572" i="27"/>
  <c r="AE572" i="27"/>
  <c r="AF572" i="27"/>
  <c r="E573" i="27"/>
  <c r="P573" i="27"/>
  <c r="Q573" i="27"/>
  <c r="R573" i="27"/>
  <c r="AB573" i="27"/>
  <c r="AC573" i="27"/>
  <c r="AD573" i="27"/>
  <c r="AE573" i="27"/>
  <c r="AF573" i="27"/>
  <c r="E574" i="27"/>
  <c r="P574" i="27"/>
  <c r="Q574" i="27"/>
  <c r="R574" i="27"/>
  <c r="AB574" i="27"/>
  <c r="AC574" i="27"/>
  <c r="AD574" i="27"/>
  <c r="AE574" i="27"/>
  <c r="AF574" i="27"/>
  <c r="E575" i="27"/>
  <c r="P575" i="27"/>
  <c r="Q575" i="27"/>
  <c r="R575" i="27"/>
  <c r="AB575" i="27"/>
  <c r="AC575" i="27"/>
  <c r="AD575" i="27"/>
  <c r="AE575" i="27"/>
  <c r="AF575" i="27"/>
  <c r="E576" i="27"/>
  <c r="P576" i="27"/>
  <c r="Q576" i="27"/>
  <c r="R576" i="27"/>
  <c r="AB576" i="27"/>
  <c r="AC576" i="27"/>
  <c r="AD576" i="27"/>
  <c r="AE576" i="27"/>
  <c r="AF576" i="27"/>
  <c r="E577" i="27"/>
  <c r="P577" i="27"/>
  <c r="Q577" i="27"/>
  <c r="R577" i="27"/>
  <c r="AB577" i="27"/>
  <c r="AC577" i="27"/>
  <c r="AD577" i="27"/>
  <c r="AE577" i="27"/>
  <c r="AF577" i="27"/>
  <c r="E578" i="27"/>
  <c r="P578" i="27"/>
  <c r="Q578" i="27"/>
  <c r="R578" i="27"/>
  <c r="AB578" i="27"/>
  <c r="AC578" i="27"/>
  <c r="AD578" i="27"/>
  <c r="AE578" i="27"/>
  <c r="AF578" i="27"/>
  <c r="E579" i="27"/>
  <c r="P579" i="27"/>
  <c r="Q579" i="27"/>
  <c r="R579" i="27"/>
  <c r="AB579" i="27"/>
  <c r="AC579" i="27"/>
  <c r="AD579" i="27"/>
  <c r="AE579" i="27"/>
  <c r="AF579" i="27"/>
  <c r="E580" i="27"/>
  <c r="P580" i="27"/>
  <c r="Q580" i="27"/>
  <c r="R580" i="27"/>
  <c r="AB580" i="27"/>
  <c r="AC580" i="27"/>
  <c r="AD580" i="27"/>
  <c r="AE580" i="27"/>
  <c r="AF580" i="27"/>
  <c r="E581" i="27"/>
  <c r="P581" i="27"/>
  <c r="Q581" i="27"/>
  <c r="R581" i="27"/>
  <c r="AB581" i="27"/>
  <c r="AC581" i="27"/>
  <c r="AD581" i="27"/>
  <c r="AE581" i="27"/>
  <c r="AF581" i="27"/>
  <c r="E582" i="27"/>
  <c r="P582" i="27"/>
  <c r="Q582" i="27"/>
  <c r="R582" i="27"/>
  <c r="AB582" i="27"/>
  <c r="AC582" i="27"/>
  <c r="AD582" i="27"/>
  <c r="AE582" i="27"/>
  <c r="AF582" i="27"/>
  <c r="E583" i="27"/>
  <c r="P583" i="27"/>
  <c r="Q583" i="27"/>
  <c r="R583" i="27"/>
  <c r="AB583" i="27"/>
  <c r="AC583" i="27"/>
  <c r="AD583" i="27"/>
  <c r="AE583" i="27"/>
  <c r="AF583" i="27"/>
  <c r="E584" i="27"/>
  <c r="P584" i="27"/>
  <c r="Q584" i="27"/>
  <c r="R584" i="27"/>
  <c r="AB584" i="27"/>
  <c r="AC584" i="27"/>
  <c r="AD584" i="27"/>
  <c r="AE584" i="27"/>
  <c r="AF584" i="27"/>
  <c r="E585" i="27"/>
  <c r="P585" i="27"/>
  <c r="Q585" i="27"/>
  <c r="R585" i="27"/>
  <c r="AB585" i="27"/>
  <c r="AC585" i="27"/>
  <c r="AD585" i="27"/>
  <c r="AE585" i="27"/>
  <c r="AF585" i="27"/>
  <c r="E586" i="27"/>
  <c r="P586" i="27"/>
  <c r="Q586" i="27"/>
  <c r="R586" i="27"/>
  <c r="AB586" i="27"/>
  <c r="AC586" i="27"/>
  <c r="AD586" i="27"/>
  <c r="AE586" i="27"/>
  <c r="AF586" i="27"/>
  <c r="E587" i="27"/>
  <c r="P587" i="27"/>
  <c r="Q587" i="27"/>
  <c r="R587" i="27"/>
  <c r="AB587" i="27"/>
  <c r="AC587" i="27"/>
  <c r="AD587" i="27"/>
  <c r="AE587" i="27"/>
  <c r="AF587" i="27"/>
  <c r="E588" i="27"/>
  <c r="P588" i="27"/>
  <c r="Q588" i="27"/>
  <c r="R588" i="27"/>
  <c r="AB588" i="27"/>
  <c r="AC588" i="27"/>
  <c r="AD588" i="27"/>
  <c r="AE588" i="27"/>
  <c r="AF588" i="27"/>
  <c r="E589" i="27"/>
  <c r="P589" i="27"/>
  <c r="Q589" i="27"/>
  <c r="R589" i="27"/>
  <c r="AB589" i="27"/>
  <c r="AC589" i="27"/>
  <c r="AD589" i="27"/>
  <c r="AE589" i="27"/>
  <c r="AF589" i="27"/>
  <c r="E590" i="27"/>
  <c r="P590" i="27"/>
  <c r="Q590" i="27"/>
  <c r="R590" i="27"/>
  <c r="AB590" i="27"/>
  <c r="AC590" i="27"/>
  <c r="AD590" i="27"/>
  <c r="AE590" i="27"/>
  <c r="AF590" i="27"/>
  <c r="E591" i="27"/>
  <c r="P591" i="27"/>
  <c r="Q591" i="27"/>
  <c r="R591" i="27"/>
  <c r="AB591" i="27"/>
  <c r="AC591" i="27"/>
  <c r="AD591" i="27"/>
  <c r="AE591" i="27"/>
  <c r="AF591" i="27"/>
  <c r="E592" i="27"/>
  <c r="P592" i="27"/>
  <c r="Q592" i="27"/>
  <c r="R592" i="27"/>
  <c r="AB592" i="27"/>
  <c r="AC592" i="27"/>
  <c r="AD592" i="27"/>
  <c r="AE592" i="27"/>
  <c r="AF592" i="27"/>
  <c r="E593" i="27"/>
  <c r="P593" i="27"/>
  <c r="Q593" i="27"/>
  <c r="R593" i="27"/>
  <c r="AB593" i="27"/>
  <c r="AC593" i="27"/>
  <c r="AD593" i="27"/>
  <c r="AE593" i="27"/>
  <c r="AF593" i="27"/>
  <c r="E594" i="27"/>
  <c r="P594" i="27"/>
  <c r="Q594" i="27"/>
  <c r="R594" i="27"/>
  <c r="AB594" i="27"/>
  <c r="AC594" i="27"/>
  <c r="AD594" i="27"/>
  <c r="AE594" i="27"/>
  <c r="AF594" i="27"/>
  <c r="E595" i="27"/>
  <c r="P595" i="27"/>
  <c r="Q595" i="27"/>
  <c r="R595" i="27"/>
  <c r="AB595" i="27"/>
  <c r="AC595" i="27"/>
  <c r="AD595" i="27"/>
  <c r="AE595" i="27"/>
  <c r="AF595" i="27"/>
  <c r="E596" i="27"/>
  <c r="P596" i="27"/>
  <c r="Q596" i="27"/>
  <c r="R596" i="27"/>
  <c r="AB596" i="27"/>
  <c r="AC596" i="27"/>
  <c r="AD596" i="27"/>
  <c r="AE596" i="27"/>
  <c r="AF596" i="27"/>
  <c r="E597" i="27"/>
  <c r="P597" i="27"/>
  <c r="Q597" i="27"/>
  <c r="R597" i="27"/>
  <c r="AB597" i="27"/>
  <c r="AC597" i="27"/>
  <c r="AD597" i="27"/>
  <c r="AE597" i="27"/>
  <c r="AF597" i="27"/>
  <c r="E598" i="27"/>
  <c r="P598" i="27"/>
  <c r="Q598" i="27"/>
  <c r="R598" i="27"/>
  <c r="AB598" i="27"/>
  <c r="AC598" i="27"/>
  <c r="AD598" i="27"/>
  <c r="AE598" i="27"/>
  <c r="AF598" i="27"/>
  <c r="E599" i="27"/>
  <c r="P599" i="27"/>
  <c r="Q599" i="27"/>
  <c r="R599" i="27"/>
  <c r="AB599" i="27"/>
  <c r="AC599" i="27"/>
  <c r="AD599" i="27"/>
  <c r="AE599" i="27"/>
  <c r="AF599" i="27"/>
  <c r="E600" i="27"/>
  <c r="P600" i="27"/>
  <c r="Q600" i="27"/>
  <c r="R600" i="27"/>
  <c r="AB600" i="27"/>
  <c r="AC600" i="27"/>
  <c r="AD600" i="27"/>
  <c r="AE600" i="27"/>
  <c r="AF600" i="27"/>
  <c r="E601" i="27"/>
  <c r="P601" i="27"/>
  <c r="Q601" i="27"/>
  <c r="R601" i="27"/>
  <c r="AB601" i="27"/>
  <c r="AC601" i="27"/>
  <c r="AD601" i="27"/>
  <c r="AE601" i="27"/>
  <c r="AF601" i="27"/>
  <c r="E602" i="27"/>
  <c r="P602" i="27"/>
  <c r="Q602" i="27"/>
  <c r="R602" i="27"/>
  <c r="AB602" i="27"/>
  <c r="AC602" i="27"/>
  <c r="AD602" i="27"/>
  <c r="AE602" i="27"/>
  <c r="AF602" i="27"/>
  <c r="E603" i="27"/>
  <c r="P603" i="27"/>
  <c r="Q603" i="27"/>
  <c r="R603" i="27"/>
  <c r="AB603" i="27"/>
  <c r="AC603" i="27"/>
  <c r="AD603" i="27"/>
  <c r="AE603" i="27"/>
  <c r="AF603" i="27"/>
  <c r="E604" i="27"/>
  <c r="P604" i="27"/>
  <c r="Q604" i="27"/>
  <c r="R604" i="27"/>
  <c r="AB604" i="27"/>
  <c r="AC604" i="27"/>
  <c r="AD604" i="27"/>
  <c r="AE604" i="27"/>
  <c r="AF604" i="27"/>
  <c r="E605" i="27"/>
  <c r="P605" i="27"/>
  <c r="Q605" i="27"/>
  <c r="R605" i="27"/>
  <c r="AB605" i="27"/>
  <c r="AC605" i="27"/>
  <c r="AD605" i="27"/>
  <c r="AE605" i="27"/>
  <c r="AF605" i="27"/>
  <c r="E606" i="27"/>
  <c r="I606" i="27"/>
  <c r="P606" i="27"/>
  <c r="Q606" i="27"/>
  <c r="R606" i="27"/>
  <c r="AB606" i="27"/>
  <c r="AC606" i="27"/>
  <c r="AD606" i="27"/>
  <c r="AE606" i="27"/>
  <c r="AF606" i="27"/>
  <c r="E607" i="27"/>
  <c r="P607" i="27"/>
  <c r="Q607" i="27"/>
  <c r="R607" i="27"/>
  <c r="AB607" i="27"/>
  <c r="AC607" i="27"/>
  <c r="AD607" i="27"/>
  <c r="AE607" i="27"/>
  <c r="AF607" i="27"/>
  <c r="E608" i="27"/>
  <c r="P608" i="27"/>
  <c r="Q608" i="27"/>
  <c r="R608" i="27"/>
  <c r="AB608" i="27"/>
  <c r="AC608" i="27"/>
  <c r="AD608" i="27"/>
  <c r="AE608" i="27"/>
  <c r="AF608" i="27"/>
  <c r="E609" i="27"/>
  <c r="P609" i="27"/>
  <c r="Q609" i="27"/>
  <c r="R609" i="27"/>
  <c r="AB609" i="27"/>
  <c r="AC609" i="27"/>
  <c r="AD609" i="27"/>
  <c r="AE609" i="27"/>
  <c r="AF609" i="27"/>
  <c r="E610" i="27"/>
  <c r="P610" i="27"/>
  <c r="Q610" i="27"/>
  <c r="R610" i="27"/>
  <c r="AB610" i="27"/>
  <c r="AC610" i="27"/>
  <c r="AD610" i="27"/>
  <c r="AE610" i="27"/>
  <c r="AF610" i="27"/>
  <c r="E611" i="27"/>
  <c r="P611" i="27"/>
  <c r="Q611" i="27"/>
  <c r="R611" i="27"/>
  <c r="AB611" i="27"/>
  <c r="AC611" i="27"/>
  <c r="AD611" i="27"/>
  <c r="AE611" i="27"/>
  <c r="AF611" i="27"/>
  <c r="E612" i="27"/>
  <c r="P612" i="27"/>
  <c r="Q612" i="27"/>
  <c r="R612" i="27"/>
  <c r="AB612" i="27"/>
  <c r="AC612" i="27"/>
  <c r="AD612" i="27"/>
  <c r="AE612" i="27"/>
  <c r="AF612" i="27"/>
  <c r="E613" i="27"/>
  <c r="P613" i="27"/>
  <c r="Q613" i="27"/>
  <c r="R613" i="27"/>
  <c r="AB613" i="27"/>
  <c r="AC613" i="27"/>
  <c r="AD613" i="27"/>
  <c r="AE613" i="27"/>
  <c r="AF613" i="27"/>
  <c r="E614" i="27"/>
  <c r="P614" i="27"/>
  <c r="Q614" i="27"/>
  <c r="R614" i="27"/>
  <c r="AB614" i="27"/>
  <c r="AC614" i="27"/>
  <c r="AD614" i="27"/>
  <c r="AE614" i="27"/>
  <c r="AF614" i="27"/>
  <c r="E615" i="27"/>
  <c r="P615" i="27"/>
  <c r="Q615" i="27"/>
  <c r="R615" i="27"/>
  <c r="AB615" i="27"/>
  <c r="AC615" i="27"/>
  <c r="AD615" i="27"/>
  <c r="AE615" i="27"/>
  <c r="AF615" i="27"/>
  <c r="E616" i="27"/>
  <c r="P616" i="27"/>
  <c r="Q616" i="27"/>
  <c r="R616" i="27"/>
  <c r="AB616" i="27"/>
  <c r="AC616" i="27"/>
  <c r="AD616" i="27"/>
  <c r="AE616" i="27"/>
  <c r="AF616" i="27"/>
  <c r="E617" i="27"/>
  <c r="P617" i="27"/>
  <c r="Q617" i="27"/>
  <c r="R617" i="27"/>
  <c r="AB617" i="27"/>
  <c r="AC617" i="27"/>
  <c r="AD617" i="27"/>
  <c r="AE617" i="27"/>
  <c r="AF617" i="27"/>
  <c r="E618" i="27"/>
  <c r="P618" i="27"/>
  <c r="Q618" i="27"/>
  <c r="R618" i="27"/>
  <c r="AB618" i="27"/>
  <c r="AC618" i="27"/>
  <c r="AD618" i="27"/>
  <c r="AE618" i="27"/>
  <c r="AF618" i="27"/>
  <c r="E619" i="27"/>
  <c r="P619" i="27"/>
  <c r="Q619" i="27"/>
  <c r="R619" i="27"/>
  <c r="AB619" i="27"/>
  <c r="AC619" i="27"/>
  <c r="AD619" i="27"/>
  <c r="AE619" i="27"/>
  <c r="AF619" i="27"/>
  <c r="E620" i="27"/>
  <c r="P620" i="27"/>
  <c r="Q620" i="27"/>
  <c r="R620" i="27"/>
  <c r="AB620" i="27"/>
  <c r="AC620" i="27"/>
  <c r="AD620" i="27"/>
  <c r="AE620" i="27"/>
  <c r="AF620" i="27"/>
  <c r="E621" i="27"/>
  <c r="P621" i="27"/>
  <c r="Q621" i="27"/>
  <c r="R621" i="27"/>
  <c r="AB621" i="27"/>
  <c r="AC621" i="27"/>
  <c r="AD621" i="27"/>
  <c r="AE621" i="27"/>
  <c r="AF621" i="27"/>
  <c r="E622" i="27"/>
  <c r="P622" i="27"/>
  <c r="Q622" i="27"/>
  <c r="R622" i="27"/>
  <c r="AB622" i="27"/>
  <c r="AC622" i="27"/>
  <c r="AD622" i="27"/>
  <c r="AE622" i="27"/>
  <c r="AF622" i="27"/>
  <c r="E623" i="27"/>
  <c r="P623" i="27"/>
  <c r="Q623" i="27"/>
  <c r="R623" i="27"/>
  <c r="AB623" i="27"/>
  <c r="AC623" i="27"/>
  <c r="AD623" i="27"/>
  <c r="AE623" i="27"/>
  <c r="AF623" i="27"/>
  <c r="E624" i="27"/>
  <c r="P624" i="27"/>
  <c r="Q624" i="27"/>
  <c r="R624" i="27"/>
  <c r="AB624" i="27"/>
  <c r="AC624" i="27"/>
  <c r="AD624" i="27"/>
  <c r="AE624" i="27"/>
  <c r="AF624" i="27"/>
  <c r="E625" i="27"/>
  <c r="P625" i="27"/>
  <c r="Q625" i="27"/>
  <c r="R625" i="27"/>
  <c r="AB625" i="27"/>
  <c r="AC625" i="27"/>
  <c r="AD625" i="27"/>
  <c r="AE625" i="27"/>
  <c r="AF625" i="27"/>
  <c r="E626" i="27"/>
  <c r="P626" i="27"/>
  <c r="Q626" i="27"/>
  <c r="R626" i="27"/>
  <c r="AB626" i="27"/>
  <c r="AC626" i="27"/>
  <c r="AD626" i="27"/>
  <c r="AE626" i="27"/>
  <c r="AF626" i="27"/>
  <c r="E627" i="27"/>
  <c r="P627" i="27"/>
  <c r="Q627" i="27"/>
  <c r="R627" i="27"/>
  <c r="AB627" i="27"/>
  <c r="AC627" i="27"/>
  <c r="AD627" i="27"/>
  <c r="AE627" i="27"/>
  <c r="AF627" i="27"/>
  <c r="E628" i="27"/>
  <c r="P628" i="27"/>
  <c r="Q628" i="27"/>
  <c r="R628" i="27"/>
  <c r="AB628" i="27"/>
  <c r="AC628" i="27"/>
  <c r="AD628" i="27"/>
  <c r="AE628" i="27"/>
  <c r="AF628" i="27"/>
  <c r="E629" i="27"/>
  <c r="I629" i="27"/>
  <c r="P629" i="27"/>
  <c r="Q629" i="27"/>
  <c r="R629" i="27"/>
  <c r="AB629" i="27"/>
  <c r="AC629" i="27"/>
  <c r="AD629" i="27"/>
  <c r="AE629" i="27"/>
  <c r="AF629" i="27"/>
  <c r="E630" i="27"/>
  <c r="P630" i="27"/>
  <c r="Q630" i="27"/>
  <c r="R630" i="27"/>
  <c r="AB630" i="27"/>
  <c r="AC630" i="27"/>
  <c r="AD630" i="27"/>
  <c r="AE630" i="27"/>
  <c r="AF630" i="27"/>
  <c r="E631" i="27"/>
  <c r="P631" i="27"/>
  <c r="Q631" i="27"/>
  <c r="R631" i="27"/>
  <c r="AB631" i="27"/>
  <c r="AC631" i="27"/>
  <c r="AD631" i="27"/>
  <c r="AE631" i="27"/>
  <c r="AF631" i="27"/>
  <c r="E632" i="27"/>
  <c r="P632" i="27"/>
  <c r="Q632" i="27"/>
  <c r="R632" i="27"/>
  <c r="AB632" i="27"/>
  <c r="AC632" i="27"/>
  <c r="AD632" i="27"/>
  <c r="AE632" i="27"/>
  <c r="AF632" i="27"/>
  <c r="E633" i="27"/>
  <c r="P633" i="27"/>
  <c r="Q633" i="27"/>
  <c r="R633" i="27"/>
  <c r="AB633" i="27"/>
  <c r="AC633" i="27"/>
  <c r="AD633" i="27"/>
  <c r="AE633" i="27"/>
  <c r="AF633" i="27"/>
  <c r="E634" i="27"/>
  <c r="P634" i="27"/>
  <c r="Q634" i="27"/>
  <c r="R634" i="27"/>
  <c r="AB634" i="27"/>
  <c r="AC634" i="27"/>
  <c r="AD634" i="27"/>
  <c r="AE634" i="27"/>
  <c r="AF634" i="27"/>
  <c r="E635" i="27"/>
  <c r="P635" i="27"/>
  <c r="Q635" i="27"/>
  <c r="R635" i="27"/>
  <c r="AB635" i="27"/>
  <c r="AC635" i="27"/>
  <c r="AD635" i="27"/>
  <c r="AE635" i="27"/>
  <c r="AF635" i="27"/>
  <c r="E636" i="27"/>
  <c r="P636" i="27"/>
  <c r="Q636" i="27"/>
  <c r="R636" i="27"/>
  <c r="AB636" i="27"/>
  <c r="AC636" i="27"/>
  <c r="AD636" i="27"/>
  <c r="AE636" i="27"/>
  <c r="AF636" i="27"/>
  <c r="E637" i="27"/>
  <c r="P637" i="27"/>
  <c r="Q637" i="27"/>
  <c r="R637" i="27"/>
  <c r="AB637" i="27"/>
  <c r="AC637" i="27"/>
  <c r="AD637" i="27"/>
  <c r="AE637" i="27"/>
  <c r="AF637" i="27"/>
  <c r="E638" i="27"/>
  <c r="P638" i="27"/>
  <c r="Q638" i="27"/>
  <c r="R638" i="27"/>
  <c r="AB638" i="27"/>
  <c r="AC638" i="27"/>
  <c r="AD638" i="27"/>
  <c r="AE638" i="27"/>
  <c r="AF638" i="27"/>
  <c r="E639" i="27"/>
  <c r="P639" i="27"/>
  <c r="Q639" i="27"/>
  <c r="R639" i="27"/>
  <c r="AB639" i="27"/>
  <c r="AC639" i="27"/>
  <c r="AD639" i="27"/>
  <c r="AE639" i="27"/>
  <c r="AF639" i="27"/>
  <c r="E640" i="27"/>
  <c r="P640" i="27"/>
  <c r="Q640" i="27"/>
  <c r="R640" i="27"/>
  <c r="AB640" i="27"/>
  <c r="AC640" i="27"/>
  <c r="AD640" i="27"/>
  <c r="AE640" i="27"/>
  <c r="AF640" i="27"/>
  <c r="E641" i="27"/>
  <c r="P641" i="27"/>
  <c r="Q641" i="27"/>
  <c r="R641" i="27"/>
  <c r="AB641" i="27"/>
  <c r="AC641" i="27"/>
  <c r="AD641" i="27"/>
  <c r="AE641" i="27"/>
  <c r="AF641" i="27"/>
  <c r="E642" i="27"/>
  <c r="P642" i="27"/>
  <c r="Q642" i="27"/>
  <c r="R642" i="27"/>
  <c r="AB642" i="27"/>
  <c r="AC642" i="27"/>
  <c r="AD642" i="27"/>
  <c r="AE642" i="27"/>
  <c r="AF642" i="27"/>
  <c r="E643" i="27"/>
  <c r="P643" i="27"/>
  <c r="Q643" i="27"/>
  <c r="R643" i="27"/>
  <c r="AB643" i="27"/>
  <c r="AC643" i="27"/>
  <c r="AD643" i="27"/>
  <c r="AE643" i="27"/>
  <c r="AF643" i="27"/>
  <c r="E644" i="27"/>
  <c r="P644" i="27"/>
  <c r="Q644" i="27"/>
  <c r="R644" i="27"/>
  <c r="AB644" i="27"/>
  <c r="AC644" i="27"/>
  <c r="AD644" i="27"/>
  <c r="AE644" i="27"/>
  <c r="AF644" i="27"/>
  <c r="E645" i="27"/>
  <c r="P645" i="27"/>
  <c r="Q645" i="27"/>
  <c r="R645" i="27"/>
  <c r="AB645" i="27"/>
  <c r="AC645" i="27"/>
  <c r="AD645" i="27"/>
  <c r="AE645" i="27"/>
  <c r="AF645" i="27"/>
  <c r="E646" i="27"/>
  <c r="P646" i="27"/>
  <c r="Q646" i="27"/>
  <c r="R646" i="27"/>
  <c r="AB646" i="27"/>
  <c r="AC646" i="27"/>
  <c r="AD646" i="27"/>
  <c r="AE646" i="27"/>
  <c r="AF646" i="27"/>
  <c r="E647" i="27"/>
  <c r="P647" i="27"/>
  <c r="Q647" i="27"/>
  <c r="R647" i="27"/>
  <c r="AB647" i="27"/>
  <c r="AC647" i="27"/>
  <c r="AD647" i="27"/>
  <c r="AE647" i="27"/>
  <c r="AF647" i="27"/>
  <c r="E648" i="27"/>
  <c r="P648" i="27"/>
  <c r="Q648" i="27"/>
  <c r="R648" i="27"/>
  <c r="AB648" i="27"/>
  <c r="AC648" i="27"/>
  <c r="AD648" i="27"/>
  <c r="AE648" i="27"/>
  <c r="AF648" i="27"/>
  <c r="E649" i="27"/>
  <c r="P649" i="27"/>
  <c r="Q649" i="27"/>
  <c r="R649" i="27"/>
  <c r="AB649" i="27"/>
  <c r="AC649" i="27"/>
  <c r="AD649" i="27"/>
  <c r="AE649" i="27"/>
  <c r="AF649" i="27"/>
  <c r="E650" i="27"/>
  <c r="P650" i="27"/>
  <c r="Q650" i="27"/>
  <c r="R650" i="27"/>
  <c r="AB650" i="27"/>
  <c r="AC650" i="27"/>
  <c r="AD650" i="27"/>
  <c r="AE650" i="27"/>
  <c r="AF650" i="27"/>
  <c r="E651" i="27"/>
  <c r="P651" i="27"/>
  <c r="Q651" i="27"/>
  <c r="R651" i="27"/>
  <c r="AB651" i="27"/>
  <c r="AC651" i="27"/>
  <c r="AD651" i="27"/>
  <c r="AE651" i="27"/>
  <c r="AF651" i="27"/>
  <c r="E652" i="27"/>
  <c r="P652" i="27"/>
  <c r="Q652" i="27"/>
  <c r="R652" i="27"/>
  <c r="AB652" i="27"/>
  <c r="AC652" i="27"/>
  <c r="AD652" i="27"/>
  <c r="AE652" i="27"/>
  <c r="AF652" i="27"/>
  <c r="E653" i="27"/>
  <c r="P653" i="27"/>
  <c r="Q653" i="27"/>
  <c r="R653" i="27"/>
  <c r="AB653" i="27"/>
  <c r="AC653" i="27"/>
  <c r="AD653" i="27"/>
  <c r="AE653" i="27"/>
  <c r="AF653" i="27"/>
  <c r="E654" i="27"/>
  <c r="P654" i="27"/>
  <c r="Q654" i="27"/>
  <c r="R654" i="27"/>
  <c r="AB654" i="27"/>
  <c r="AC654" i="27"/>
  <c r="AD654" i="27"/>
  <c r="AE654" i="27"/>
  <c r="AF654" i="27"/>
  <c r="E655" i="27"/>
  <c r="P655" i="27"/>
  <c r="Q655" i="27"/>
  <c r="R655" i="27"/>
  <c r="AB655" i="27"/>
  <c r="AC655" i="27"/>
  <c r="AD655" i="27"/>
  <c r="AE655" i="27"/>
  <c r="AF655" i="27"/>
  <c r="E656" i="27"/>
  <c r="P656" i="27"/>
  <c r="Q656" i="27"/>
  <c r="R656" i="27"/>
  <c r="AB656" i="27"/>
  <c r="AC656" i="27"/>
  <c r="AD656" i="27"/>
  <c r="AE656" i="27"/>
  <c r="AF656" i="27"/>
  <c r="E657" i="27"/>
  <c r="P657" i="27"/>
  <c r="Q657" i="27"/>
  <c r="R657" i="27"/>
  <c r="AB657" i="27"/>
  <c r="AC657" i="27"/>
  <c r="AD657" i="27"/>
  <c r="AE657" i="27"/>
  <c r="AF657" i="27"/>
  <c r="E658" i="27"/>
  <c r="P658" i="27"/>
  <c r="Q658" i="27"/>
  <c r="R658" i="27"/>
  <c r="AB658" i="27"/>
  <c r="AC658" i="27"/>
  <c r="AD658" i="27"/>
  <c r="AE658" i="27"/>
  <c r="AF658" i="27"/>
  <c r="E659" i="27"/>
  <c r="P659" i="27"/>
  <c r="Q659" i="27"/>
  <c r="R659" i="27"/>
  <c r="AB659" i="27"/>
  <c r="AC659" i="27"/>
  <c r="AD659" i="27"/>
  <c r="AE659" i="27"/>
  <c r="AF659" i="27"/>
  <c r="E660" i="27"/>
  <c r="P660" i="27"/>
  <c r="Q660" i="27"/>
  <c r="R660" i="27"/>
  <c r="AB660" i="27"/>
  <c r="AC660" i="27"/>
  <c r="AD660" i="27"/>
  <c r="AE660" i="27"/>
  <c r="AF660" i="27"/>
  <c r="E661" i="27"/>
  <c r="P661" i="27"/>
  <c r="Q661" i="27"/>
  <c r="R661" i="27"/>
  <c r="AB661" i="27"/>
  <c r="AC661" i="27"/>
  <c r="AD661" i="27"/>
  <c r="AE661" i="27"/>
  <c r="AF661" i="27"/>
  <c r="E662" i="27"/>
  <c r="P662" i="27"/>
  <c r="Q662" i="27"/>
  <c r="R662" i="27"/>
  <c r="AB662" i="27"/>
  <c r="AC662" i="27"/>
  <c r="AD662" i="27"/>
  <c r="AE662" i="27"/>
  <c r="AF662" i="27"/>
  <c r="E663" i="27"/>
  <c r="P663" i="27"/>
  <c r="Q663" i="27"/>
  <c r="R663" i="27"/>
  <c r="AB663" i="27"/>
  <c r="AC663" i="27"/>
  <c r="AD663" i="27"/>
  <c r="AE663" i="27"/>
  <c r="AF663" i="27"/>
  <c r="E664" i="27"/>
  <c r="P664" i="27"/>
  <c r="Q664" i="27"/>
  <c r="R664" i="27"/>
  <c r="AB664" i="27"/>
  <c r="AC664" i="27"/>
  <c r="AD664" i="27"/>
  <c r="AE664" i="27"/>
  <c r="AF664" i="27"/>
  <c r="E665" i="27"/>
  <c r="P665" i="27"/>
  <c r="Q665" i="27"/>
  <c r="R665" i="27"/>
  <c r="AB665" i="27"/>
  <c r="AC665" i="27"/>
  <c r="AD665" i="27"/>
  <c r="AE665" i="27"/>
  <c r="AF665" i="27"/>
  <c r="E666" i="27"/>
  <c r="P666" i="27"/>
  <c r="Q666" i="27"/>
  <c r="R666" i="27"/>
  <c r="AB666" i="27"/>
  <c r="AC666" i="27"/>
  <c r="AD666" i="27"/>
  <c r="AE666" i="27"/>
  <c r="AF666" i="27"/>
  <c r="E667" i="27"/>
  <c r="P667" i="27"/>
  <c r="Q667" i="27"/>
  <c r="R667" i="27"/>
  <c r="AB667" i="27"/>
  <c r="AC667" i="27"/>
  <c r="AD667" i="27"/>
  <c r="AE667" i="27"/>
  <c r="AF667" i="27"/>
  <c r="E668" i="27"/>
  <c r="P668" i="27"/>
  <c r="Q668" i="27"/>
  <c r="R668" i="27"/>
  <c r="AB668" i="27"/>
  <c r="AC668" i="27"/>
  <c r="AD668" i="27"/>
  <c r="AE668" i="27"/>
  <c r="AF668" i="27"/>
  <c r="E669" i="27"/>
  <c r="P669" i="27"/>
  <c r="Q669" i="27"/>
  <c r="R669" i="27"/>
  <c r="AB669" i="27"/>
  <c r="AC669" i="27"/>
  <c r="AD669" i="27"/>
  <c r="AE669" i="27"/>
  <c r="AF669" i="27"/>
  <c r="E670" i="27"/>
  <c r="P670" i="27"/>
  <c r="Q670" i="27"/>
  <c r="R670" i="27"/>
  <c r="AB670" i="27"/>
  <c r="AC670" i="27"/>
  <c r="AD670" i="27"/>
  <c r="AE670" i="27"/>
  <c r="AF670" i="27"/>
  <c r="E671" i="27"/>
  <c r="P671" i="27"/>
  <c r="Q671" i="27"/>
  <c r="R671" i="27"/>
  <c r="AB671" i="27"/>
  <c r="AC671" i="27"/>
  <c r="AD671" i="27"/>
  <c r="AE671" i="27"/>
  <c r="AF671" i="27"/>
  <c r="E672" i="27"/>
  <c r="P672" i="27"/>
  <c r="Q672" i="27"/>
  <c r="R672" i="27"/>
  <c r="AB672" i="27"/>
  <c r="AC672" i="27"/>
  <c r="AD672" i="27"/>
  <c r="AE672" i="27"/>
  <c r="AF672" i="27"/>
  <c r="E673" i="27"/>
  <c r="P673" i="27"/>
  <c r="Q673" i="27"/>
  <c r="R673" i="27"/>
  <c r="AB673" i="27"/>
  <c r="AC673" i="27"/>
  <c r="AD673" i="27"/>
  <c r="AE673" i="27"/>
  <c r="AF673" i="27"/>
  <c r="E674" i="27"/>
  <c r="P674" i="27"/>
  <c r="Q674" i="27"/>
  <c r="R674" i="27"/>
  <c r="AB674" i="27"/>
  <c r="AC674" i="27"/>
  <c r="AD674" i="27"/>
  <c r="AE674" i="27"/>
  <c r="AF674" i="27"/>
  <c r="E675" i="27"/>
  <c r="P675" i="27"/>
  <c r="Q675" i="27"/>
  <c r="R675" i="27"/>
  <c r="AB675" i="27"/>
  <c r="AC675" i="27"/>
  <c r="AD675" i="27"/>
  <c r="AE675" i="27"/>
  <c r="AF675" i="27"/>
  <c r="E676" i="27"/>
  <c r="P676" i="27"/>
  <c r="Q676" i="27"/>
  <c r="R676" i="27"/>
  <c r="AB676" i="27"/>
  <c r="AC676" i="27"/>
  <c r="AD676" i="27"/>
  <c r="AE676" i="27"/>
  <c r="AF676" i="27"/>
  <c r="E677" i="27"/>
  <c r="P677" i="27"/>
  <c r="Q677" i="27"/>
  <c r="R677" i="27"/>
  <c r="AB677" i="27"/>
  <c r="AC677" i="27"/>
  <c r="AD677" i="27"/>
  <c r="AE677" i="27"/>
  <c r="AF677" i="27"/>
  <c r="E678" i="27"/>
  <c r="P678" i="27"/>
  <c r="Q678" i="27"/>
  <c r="R678" i="27"/>
  <c r="AB678" i="27"/>
  <c r="AC678" i="27"/>
  <c r="AD678" i="27"/>
  <c r="AE678" i="27"/>
  <c r="AF678" i="27"/>
  <c r="E679" i="27"/>
  <c r="P679" i="27"/>
  <c r="Q679" i="27"/>
  <c r="R679" i="27"/>
  <c r="AB679" i="27"/>
  <c r="AC679" i="27"/>
  <c r="AD679" i="27"/>
  <c r="AE679" i="27"/>
  <c r="AF679" i="27"/>
  <c r="E680" i="27"/>
  <c r="P680" i="27"/>
  <c r="Q680" i="27"/>
  <c r="R680" i="27"/>
  <c r="AB680" i="27"/>
  <c r="AC680" i="27"/>
  <c r="AD680" i="27"/>
  <c r="AE680" i="27"/>
  <c r="AF680" i="27"/>
  <c r="E681" i="27"/>
  <c r="P681" i="27"/>
  <c r="Q681" i="27"/>
  <c r="R681" i="27"/>
  <c r="AB681" i="27"/>
  <c r="AC681" i="27"/>
  <c r="AD681" i="27"/>
  <c r="AE681" i="27"/>
  <c r="AF681" i="27"/>
  <c r="E682" i="27"/>
  <c r="P682" i="27"/>
  <c r="Q682" i="27"/>
  <c r="R682" i="27"/>
  <c r="AB682" i="27"/>
  <c r="AC682" i="27"/>
  <c r="AD682" i="27"/>
  <c r="AE682" i="27"/>
  <c r="AF682" i="27"/>
  <c r="E683" i="27"/>
  <c r="P683" i="27"/>
  <c r="Q683" i="27"/>
  <c r="R683" i="27"/>
  <c r="AB683" i="27"/>
  <c r="AC683" i="27"/>
  <c r="AD683" i="27"/>
  <c r="AE683" i="27"/>
  <c r="AF683" i="27"/>
  <c r="E684" i="27"/>
  <c r="P684" i="27"/>
  <c r="Q684" i="27"/>
  <c r="R684" i="27"/>
  <c r="AB684" i="27"/>
  <c r="AC684" i="27"/>
  <c r="AD684" i="27"/>
  <c r="AE684" i="27"/>
  <c r="AF684" i="27"/>
  <c r="E685" i="27"/>
  <c r="P685" i="27"/>
  <c r="Q685" i="27"/>
  <c r="R685" i="27"/>
  <c r="AB685" i="27"/>
  <c r="AC685" i="27"/>
  <c r="AD685" i="27"/>
  <c r="AE685" i="27"/>
  <c r="AF685" i="27"/>
  <c r="E686" i="27"/>
  <c r="P686" i="27"/>
  <c r="Q686" i="27"/>
  <c r="R686" i="27"/>
  <c r="AB686" i="27"/>
  <c r="AC686" i="27"/>
  <c r="AD686" i="27"/>
  <c r="AE686" i="27"/>
  <c r="AF686" i="27"/>
  <c r="E687" i="27"/>
  <c r="P687" i="27"/>
  <c r="Q687" i="27"/>
  <c r="R687" i="27"/>
  <c r="AB687" i="27"/>
  <c r="AC687" i="27"/>
  <c r="AD687" i="27"/>
  <c r="AE687" i="27"/>
  <c r="AF687" i="27"/>
  <c r="E688" i="27"/>
  <c r="P688" i="27"/>
  <c r="Q688" i="27"/>
  <c r="R688" i="27"/>
  <c r="AB688" i="27"/>
  <c r="AC688" i="27"/>
  <c r="AD688" i="27"/>
  <c r="AE688" i="27"/>
  <c r="AF688" i="27"/>
  <c r="E689" i="27"/>
  <c r="P689" i="27"/>
  <c r="Q689" i="27"/>
  <c r="R689" i="27"/>
  <c r="AB689" i="27"/>
  <c r="AC689" i="27"/>
  <c r="AD689" i="27"/>
  <c r="AE689" i="27"/>
  <c r="AF689" i="27"/>
  <c r="E690" i="27"/>
  <c r="I690" i="27"/>
  <c r="P690" i="27"/>
  <c r="Q690" i="27"/>
  <c r="R690" i="27"/>
  <c r="AB690" i="27"/>
  <c r="AC690" i="27"/>
  <c r="AD690" i="27"/>
  <c r="AE690" i="27"/>
  <c r="AF690" i="27"/>
  <c r="E691" i="27"/>
  <c r="P691" i="27"/>
  <c r="Q691" i="27"/>
  <c r="R691" i="27"/>
  <c r="AB691" i="27"/>
  <c r="AC691" i="27"/>
  <c r="AD691" i="27"/>
  <c r="AE691" i="27"/>
  <c r="AF691" i="27"/>
  <c r="E692" i="27"/>
  <c r="P692" i="27"/>
  <c r="Q692" i="27"/>
  <c r="R692" i="27"/>
  <c r="AB692" i="27"/>
  <c r="AC692" i="27"/>
  <c r="AD692" i="27"/>
  <c r="AE692" i="27"/>
  <c r="AF692" i="27"/>
  <c r="E693" i="27"/>
  <c r="P693" i="27"/>
  <c r="Q693" i="27"/>
  <c r="R693" i="27"/>
  <c r="AB693" i="27"/>
  <c r="AC693" i="27"/>
  <c r="AD693" i="27"/>
  <c r="AE693" i="27"/>
  <c r="AF693" i="27"/>
  <c r="E694" i="27"/>
  <c r="P694" i="27"/>
  <c r="Q694" i="27"/>
  <c r="R694" i="27"/>
  <c r="AB694" i="27"/>
  <c r="AC694" i="27"/>
  <c r="AD694" i="27"/>
  <c r="AE694" i="27"/>
  <c r="AF694" i="27"/>
  <c r="E695" i="27"/>
  <c r="P695" i="27"/>
  <c r="Q695" i="27"/>
  <c r="R695" i="27"/>
  <c r="AB695" i="27"/>
  <c r="AC695" i="27"/>
  <c r="AD695" i="27"/>
  <c r="AE695" i="27"/>
  <c r="AF695" i="27"/>
  <c r="E696" i="27"/>
  <c r="P696" i="27"/>
  <c r="Q696" i="27"/>
  <c r="R696" i="27"/>
  <c r="AB696" i="27"/>
  <c r="AC696" i="27"/>
  <c r="AD696" i="27"/>
  <c r="AE696" i="27"/>
  <c r="AF696" i="27"/>
  <c r="E697" i="27"/>
  <c r="P697" i="27"/>
  <c r="Q697" i="27"/>
  <c r="R697" i="27"/>
  <c r="AB697" i="27"/>
  <c r="AC697" i="27"/>
  <c r="AD697" i="27"/>
  <c r="AE697" i="27"/>
  <c r="AF697" i="27"/>
  <c r="E698" i="27"/>
  <c r="P698" i="27"/>
  <c r="Q698" i="27"/>
  <c r="R698" i="27"/>
  <c r="AB698" i="27"/>
  <c r="AC698" i="27"/>
  <c r="AD698" i="27"/>
  <c r="AE698" i="27"/>
  <c r="AF698" i="27"/>
  <c r="E699" i="27"/>
  <c r="P699" i="27"/>
  <c r="Q699" i="27"/>
  <c r="R699" i="27"/>
  <c r="AB699" i="27"/>
  <c r="AC699" i="27"/>
  <c r="AD699" i="27"/>
  <c r="AE699" i="27"/>
  <c r="AF699" i="27"/>
  <c r="E700" i="27"/>
  <c r="P700" i="27"/>
  <c r="Q700" i="27"/>
  <c r="R700" i="27"/>
  <c r="AB700" i="27"/>
  <c r="AC700" i="27"/>
  <c r="AD700" i="27"/>
  <c r="AE700" i="27"/>
  <c r="AF700" i="27"/>
  <c r="E701" i="27"/>
  <c r="P701" i="27"/>
  <c r="Q701" i="27"/>
  <c r="R701" i="27"/>
  <c r="AB701" i="27"/>
  <c r="AC701" i="27"/>
  <c r="AD701" i="27"/>
  <c r="AE701" i="27"/>
  <c r="AF701" i="27"/>
  <c r="E702" i="27"/>
  <c r="P702" i="27"/>
  <c r="Q702" i="27"/>
  <c r="R702" i="27"/>
  <c r="AB702" i="27"/>
  <c r="AC702" i="27"/>
  <c r="AD702" i="27"/>
  <c r="AE702" i="27"/>
  <c r="AF702" i="27"/>
  <c r="E703" i="27"/>
  <c r="P703" i="27"/>
  <c r="Q703" i="27"/>
  <c r="R703" i="27"/>
  <c r="AB703" i="27"/>
  <c r="AC703" i="27"/>
  <c r="AD703" i="27"/>
  <c r="AE703" i="27"/>
  <c r="AF703" i="27"/>
  <c r="E704" i="27"/>
  <c r="P704" i="27"/>
  <c r="Q704" i="27"/>
  <c r="R704" i="27"/>
  <c r="AB704" i="27"/>
  <c r="AC704" i="27"/>
  <c r="AD704" i="27"/>
  <c r="AE704" i="27"/>
  <c r="AF704" i="27"/>
  <c r="E705" i="27"/>
  <c r="P705" i="27"/>
  <c r="Q705" i="27"/>
  <c r="R705" i="27"/>
  <c r="AB705" i="27"/>
  <c r="AC705" i="27"/>
  <c r="AD705" i="27"/>
  <c r="AE705" i="27"/>
  <c r="AF705" i="27"/>
  <c r="E706" i="27"/>
  <c r="P706" i="27"/>
  <c r="Q706" i="27"/>
  <c r="R706" i="27"/>
  <c r="AB706" i="27"/>
  <c r="AC706" i="27"/>
  <c r="AD706" i="27"/>
  <c r="AE706" i="27"/>
  <c r="AF706" i="27"/>
  <c r="E707" i="27"/>
  <c r="P707" i="27"/>
  <c r="Q707" i="27"/>
  <c r="R707" i="27"/>
  <c r="AB707" i="27"/>
  <c r="AC707" i="27"/>
  <c r="AD707" i="27"/>
  <c r="AE707" i="27"/>
  <c r="AF707" i="27"/>
  <c r="E708" i="27"/>
  <c r="P708" i="27"/>
  <c r="Q708" i="27"/>
  <c r="R708" i="27"/>
  <c r="AB708" i="27"/>
  <c r="AC708" i="27"/>
  <c r="AD708" i="27"/>
  <c r="AE708" i="27"/>
  <c r="AF708" i="27"/>
  <c r="E709" i="27"/>
  <c r="P709" i="27"/>
  <c r="Q709" i="27"/>
  <c r="R709" i="27"/>
  <c r="AB709" i="27"/>
  <c r="AC709" i="27"/>
  <c r="AD709" i="27"/>
  <c r="AE709" i="27"/>
  <c r="AF709" i="27"/>
  <c r="E710" i="27"/>
  <c r="P710" i="27"/>
  <c r="Q710" i="27"/>
  <c r="R710" i="27"/>
  <c r="AB710" i="27"/>
  <c r="AC710" i="27"/>
  <c r="AD710" i="27"/>
  <c r="AE710" i="27"/>
  <c r="AF710" i="27"/>
  <c r="E711" i="27"/>
  <c r="I711" i="27"/>
  <c r="P711" i="27"/>
  <c r="Q711" i="27"/>
  <c r="R711" i="27"/>
  <c r="AB711" i="27"/>
  <c r="AC711" i="27"/>
  <c r="AD711" i="27"/>
  <c r="AE711" i="27"/>
  <c r="AF711" i="27"/>
  <c r="E712" i="27"/>
  <c r="P712" i="27"/>
  <c r="Q712" i="27"/>
  <c r="R712" i="27"/>
  <c r="AB712" i="27"/>
  <c r="AC712" i="27"/>
  <c r="AD712" i="27"/>
  <c r="AE712" i="27"/>
  <c r="AF712" i="27"/>
  <c r="E713" i="27"/>
  <c r="P713" i="27"/>
  <c r="Q713" i="27"/>
  <c r="R713" i="27"/>
  <c r="AB713" i="27"/>
  <c r="AC713" i="27"/>
  <c r="AD713" i="27"/>
  <c r="AE713" i="27"/>
  <c r="AF713" i="27"/>
  <c r="E714" i="27"/>
  <c r="P714" i="27"/>
  <c r="Q714" i="27"/>
  <c r="R714" i="27"/>
  <c r="AB714" i="27"/>
  <c r="AC714" i="27"/>
  <c r="AD714" i="27"/>
  <c r="AE714" i="27"/>
  <c r="AF714" i="27"/>
  <c r="E715" i="27"/>
  <c r="P715" i="27"/>
  <c r="Q715" i="27"/>
  <c r="R715" i="27"/>
  <c r="AB715" i="27"/>
  <c r="AC715" i="27"/>
  <c r="AD715" i="27"/>
  <c r="AE715" i="27"/>
  <c r="AF715" i="27"/>
  <c r="E716" i="27"/>
  <c r="P716" i="27"/>
  <c r="Q716" i="27"/>
  <c r="R716" i="27"/>
  <c r="AB716" i="27"/>
  <c r="AC716" i="27"/>
  <c r="AD716" i="27"/>
  <c r="AE716" i="27"/>
  <c r="AF716" i="27"/>
  <c r="E717" i="27"/>
  <c r="P717" i="27"/>
  <c r="Q717" i="27"/>
  <c r="R717" i="27"/>
  <c r="AB717" i="27"/>
  <c r="AC717" i="27"/>
  <c r="AD717" i="27"/>
  <c r="AE717" i="27"/>
  <c r="AF717" i="27"/>
  <c r="E718" i="27"/>
  <c r="P718" i="27"/>
  <c r="Q718" i="27"/>
  <c r="R718" i="27"/>
  <c r="AB718" i="27"/>
  <c r="AC718" i="27"/>
  <c r="AD718" i="27"/>
  <c r="AE718" i="27"/>
  <c r="AF718" i="27"/>
  <c r="E719" i="27"/>
  <c r="P719" i="27"/>
  <c r="Q719" i="27"/>
  <c r="R719" i="27"/>
  <c r="AB719" i="27"/>
  <c r="AC719" i="27"/>
  <c r="AD719" i="27"/>
  <c r="AE719" i="27"/>
  <c r="AF719" i="27"/>
  <c r="E720" i="27"/>
  <c r="P720" i="27"/>
  <c r="Q720" i="27"/>
  <c r="R720" i="27"/>
  <c r="AB720" i="27"/>
  <c r="AC720" i="27"/>
  <c r="AD720" i="27"/>
  <c r="AE720" i="27"/>
  <c r="AF720" i="27"/>
  <c r="E721" i="27"/>
  <c r="P721" i="27"/>
  <c r="Q721" i="27"/>
  <c r="R721" i="27"/>
  <c r="AB721" i="27"/>
  <c r="AC721" i="27"/>
  <c r="AD721" i="27"/>
  <c r="AE721" i="27"/>
  <c r="AF721" i="27"/>
  <c r="E722" i="27"/>
  <c r="P722" i="27"/>
  <c r="Q722" i="27"/>
  <c r="R722" i="27"/>
  <c r="AB722" i="27"/>
  <c r="AC722" i="27"/>
  <c r="AD722" i="27"/>
  <c r="AE722" i="27"/>
  <c r="AF722" i="27"/>
  <c r="E723" i="27"/>
  <c r="I723" i="27"/>
  <c r="P723" i="27"/>
  <c r="Q723" i="27"/>
  <c r="R723" i="27"/>
  <c r="AB723" i="27"/>
  <c r="AC723" i="27"/>
  <c r="AD723" i="27"/>
  <c r="AE723" i="27"/>
  <c r="AF723" i="27"/>
  <c r="E724" i="27"/>
  <c r="P724" i="27"/>
  <c r="Q724" i="27"/>
  <c r="R724" i="27"/>
  <c r="AB724" i="27"/>
  <c r="AC724" i="27"/>
  <c r="AD724" i="27"/>
  <c r="AE724" i="27"/>
  <c r="AF724" i="27"/>
  <c r="E725" i="27"/>
  <c r="P725" i="27"/>
  <c r="Q725" i="27"/>
  <c r="R725" i="27"/>
  <c r="AB725" i="27"/>
  <c r="AC725" i="27"/>
  <c r="AD725" i="27"/>
  <c r="AE725" i="27"/>
  <c r="AF725" i="27"/>
  <c r="E726" i="27"/>
  <c r="P726" i="27"/>
  <c r="Q726" i="27"/>
  <c r="R726" i="27"/>
  <c r="AB726" i="27"/>
  <c r="AC726" i="27"/>
  <c r="AD726" i="27"/>
  <c r="AE726" i="27"/>
  <c r="AF726" i="27"/>
  <c r="E727" i="27"/>
  <c r="P727" i="27"/>
  <c r="Q727" i="27"/>
  <c r="R727" i="27"/>
  <c r="AB727" i="27"/>
  <c r="AC727" i="27"/>
  <c r="AD727" i="27"/>
  <c r="AE727" i="27"/>
  <c r="AF727" i="27"/>
  <c r="E728" i="27"/>
  <c r="P728" i="27"/>
  <c r="Q728" i="27"/>
  <c r="R728" i="27"/>
  <c r="AB728" i="27"/>
  <c r="AC728" i="27"/>
  <c r="AD728" i="27"/>
  <c r="AE728" i="27"/>
  <c r="AF728" i="27"/>
  <c r="E729" i="27"/>
  <c r="P729" i="27"/>
  <c r="Q729" i="27"/>
  <c r="R729" i="27"/>
  <c r="AB729" i="27"/>
  <c r="AC729" i="27"/>
  <c r="AD729" i="27"/>
  <c r="AE729" i="27"/>
  <c r="AF729" i="27"/>
  <c r="E730" i="27"/>
  <c r="P730" i="27"/>
  <c r="Q730" i="27"/>
  <c r="R730" i="27"/>
  <c r="AB730" i="27"/>
  <c r="AC730" i="27"/>
  <c r="AD730" i="27"/>
  <c r="AE730" i="27"/>
  <c r="AF730" i="27"/>
  <c r="E731" i="27"/>
  <c r="P731" i="27"/>
  <c r="Q731" i="27"/>
  <c r="R731" i="27"/>
  <c r="AB731" i="27"/>
  <c r="AC731" i="27"/>
  <c r="AD731" i="27"/>
  <c r="AE731" i="27"/>
  <c r="AF731" i="27"/>
  <c r="E732" i="27"/>
  <c r="P732" i="27"/>
  <c r="Q732" i="27"/>
  <c r="R732" i="27"/>
  <c r="AB732" i="27"/>
  <c r="AC732" i="27"/>
  <c r="AD732" i="27"/>
  <c r="AE732" i="27"/>
  <c r="AF732" i="27"/>
  <c r="E733" i="27"/>
  <c r="P733" i="27"/>
  <c r="Q733" i="27"/>
  <c r="R733" i="27"/>
  <c r="AB733" i="27"/>
  <c r="AC733" i="27"/>
  <c r="AD733" i="27"/>
  <c r="AE733" i="27"/>
  <c r="AF733" i="27"/>
  <c r="E734" i="27"/>
  <c r="P734" i="27"/>
  <c r="Q734" i="27"/>
  <c r="R734" i="27"/>
  <c r="AB734" i="27"/>
  <c r="AC734" i="27"/>
  <c r="AD734" i="27"/>
  <c r="AE734" i="27"/>
  <c r="AF734" i="27"/>
  <c r="E735" i="27"/>
  <c r="P735" i="27"/>
  <c r="Q735" i="27"/>
  <c r="R735" i="27"/>
  <c r="AB735" i="27"/>
  <c r="AC735" i="27"/>
  <c r="AD735" i="27"/>
  <c r="AE735" i="27"/>
  <c r="AF735" i="27"/>
  <c r="E736" i="27"/>
  <c r="P736" i="27"/>
  <c r="Q736" i="27"/>
  <c r="R736" i="27"/>
  <c r="AB736" i="27"/>
  <c r="AC736" i="27"/>
  <c r="AD736" i="27"/>
  <c r="AE736" i="27"/>
  <c r="AF736" i="27"/>
  <c r="E737" i="27"/>
  <c r="P737" i="27"/>
  <c r="Q737" i="27"/>
  <c r="R737" i="27"/>
  <c r="AB737" i="27"/>
  <c r="AC737" i="27"/>
  <c r="AD737" i="27"/>
  <c r="AE737" i="27"/>
  <c r="AF737" i="27"/>
  <c r="E738" i="27"/>
  <c r="P738" i="27"/>
  <c r="Q738" i="27"/>
  <c r="R738" i="27"/>
  <c r="AB738" i="27"/>
  <c r="AC738" i="27"/>
  <c r="AD738" i="27"/>
  <c r="AE738" i="27"/>
  <c r="AF738" i="27"/>
  <c r="E739" i="27"/>
  <c r="P739" i="27"/>
  <c r="Q739" i="27"/>
  <c r="R739" i="27"/>
  <c r="AB739" i="27"/>
  <c r="AC739" i="27"/>
  <c r="AD739" i="27"/>
  <c r="AE739" i="27"/>
  <c r="AF739" i="27"/>
  <c r="E740" i="27"/>
  <c r="P740" i="27"/>
  <c r="Q740" i="27"/>
  <c r="R740" i="27"/>
  <c r="AB740" i="27"/>
  <c r="AC740" i="27"/>
  <c r="AD740" i="27"/>
  <c r="AE740" i="27"/>
  <c r="AF740" i="27"/>
  <c r="E741" i="27"/>
  <c r="P741" i="27"/>
  <c r="Q741" i="27"/>
  <c r="R741" i="27"/>
  <c r="AB741" i="27"/>
  <c r="AC741" i="27"/>
  <c r="AD741" i="27"/>
  <c r="AE741" i="27"/>
  <c r="AF741" i="27"/>
  <c r="E742" i="27"/>
  <c r="P742" i="27"/>
  <c r="Q742" i="27"/>
  <c r="R742" i="27"/>
  <c r="AB742" i="27"/>
  <c r="AC742" i="27"/>
  <c r="AD742" i="27"/>
  <c r="AE742" i="27"/>
  <c r="AF742" i="27"/>
  <c r="E743" i="27"/>
  <c r="P743" i="27"/>
  <c r="Q743" i="27"/>
  <c r="R743" i="27"/>
  <c r="AB743" i="27"/>
  <c r="AC743" i="27"/>
  <c r="AD743" i="27"/>
  <c r="AE743" i="27"/>
  <c r="AF743" i="27"/>
  <c r="E744" i="27"/>
  <c r="P744" i="27"/>
  <c r="Q744" i="27"/>
  <c r="R744" i="27"/>
  <c r="AB744" i="27"/>
  <c r="AC744" i="27"/>
  <c r="AD744" i="27"/>
  <c r="AE744" i="27"/>
  <c r="AF744" i="27"/>
  <c r="E745" i="27"/>
  <c r="P745" i="27"/>
  <c r="Q745" i="27"/>
  <c r="R745" i="27"/>
  <c r="AB745" i="27"/>
  <c r="AC745" i="27"/>
  <c r="AD745" i="27"/>
  <c r="AE745" i="27"/>
  <c r="AF745" i="27"/>
  <c r="E746" i="27"/>
  <c r="P746" i="27"/>
  <c r="Q746" i="27"/>
  <c r="R746" i="27"/>
  <c r="AB746" i="27"/>
  <c r="AC746" i="27"/>
  <c r="AD746" i="27"/>
  <c r="AE746" i="27"/>
  <c r="AF746" i="27"/>
  <c r="E747" i="27"/>
  <c r="P747" i="27"/>
  <c r="Q747" i="27"/>
  <c r="R747" i="27"/>
  <c r="AB747" i="27"/>
  <c r="AC747" i="27"/>
  <c r="AD747" i="27"/>
  <c r="AE747" i="27"/>
  <c r="AF747" i="27"/>
  <c r="E748" i="27"/>
  <c r="P748" i="27"/>
  <c r="Q748" i="27"/>
  <c r="R748" i="27"/>
  <c r="AB748" i="27"/>
  <c r="AC748" i="27"/>
  <c r="AD748" i="27"/>
  <c r="AE748" i="27"/>
  <c r="AF748" i="27"/>
  <c r="E749" i="27"/>
  <c r="P749" i="27"/>
  <c r="Q749" i="27"/>
  <c r="R749" i="27"/>
  <c r="AB749" i="27"/>
  <c r="AC749" i="27"/>
  <c r="AD749" i="27"/>
  <c r="AE749" i="27"/>
  <c r="AF749" i="27"/>
  <c r="E750" i="27"/>
  <c r="P750" i="27"/>
  <c r="Q750" i="27"/>
  <c r="R750" i="27"/>
  <c r="AB750" i="27"/>
  <c r="AC750" i="27"/>
  <c r="AD750" i="27"/>
  <c r="AE750" i="27"/>
  <c r="AF750" i="27"/>
  <c r="E751" i="27"/>
  <c r="P751" i="27"/>
  <c r="Q751" i="27"/>
  <c r="R751" i="27"/>
  <c r="AB751" i="27"/>
  <c r="AC751" i="27"/>
  <c r="AD751" i="27"/>
  <c r="AE751" i="27"/>
  <c r="AF751" i="27"/>
  <c r="E752" i="27"/>
  <c r="P752" i="27"/>
  <c r="Q752" i="27"/>
  <c r="R752" i="27"/>
  <c r="AB752" i="27"/>
  <c r="AC752" i="27"/>
  <c r="AD752" i="27"/>
  <c r="AE752" i="27"/>
  <c r="AF752" i="27"/>
  <c r="E753" i="27"/>
  <c r="P753" i="27"/>
  <c r="Q753" i="27"/>
  <c r="R753" i="27"/>
  <c r="AB753" i="27"/>
  <c r="AC753" i="27"/>
  <c r="AD753" i="27"/>
  <c r="AE753" i="27"/>
  <c r="AF753" i="27"/>
  <c r="E754" i="27"/>
  <c r="P754" i="27"/>
  <c r="Q754" i="27"/>
  <c r="R754" i="27"/>
  <c r="AB754" i="27"/>
  <c r="AC754" i="27"/>
  <c r="AD754" i="27"/>
  <c r="AE754" i="27"/>
  <c r="AF754" i="27"/>
  <c r="E755" i="27"/>
  <c r="P755" i="27"/>
  <c r="Q755" i="27"/>
  <c r="R755" i="27"/>
  <c r="AB755" i="27"/>
  <c r="AC755" i="27"/>
  <c r="AD755" i="27"/>
  <c r="AE755" i="27"/>
  <c r="AF755" i="27"/>
  <c r="E756" i="27"/>
  <c r="P756" i="27"/>
  <c r="Q756" i="27"/>
  <c r="R756" i="27"/>
  <c r="AB756" i="27"/>
  <c r="AC756" i="27"/>
  <c r="AD756" i="27"/>
  <c r="AE756" i="27"/>
  <c r="AF756" i="27"/>
  <c r="E757" i="27"/>
  <c r="P757" i="27"/>
  <c r="Q757" i="27"/>
  <c r="R757" i="27"/>
  <c r="AB757" i="27"/>
  <c r="AC757" i="27"/>
  <c r="AD757" i="27"/>
  <c r="AE757" i="27"/>
  <c r="AF757" i="27"/>
  <c r="E758" i="27"/>
  <c r="P758" i="27"/>
  <c r="Q758" i="27"/>
  <c r="R758" i="27"/>
  <c r="AB758" i="27"/>
  <c r="AC758" i="27"/>
  <c r="AD758" i="27"/>
  <c r="AE758" i="27"/>
  <c r="AF758" i="27"/>
  <c r="E759" i="27"/>
  <c r="P759" i="27"/>
  <c r="Q759" i="27"/>
  <c r="R759" i="27"/>
  <c r="AB759" i="27"/>
  <c r="AC759" i="27"/>
  <c r="AD759" i="27"/>
  <c r="AE759" i="27"/>
  <c r="AF759" i="27"/>
  <c r="E760" i="27"/>
  <c r="P760" i="27"/>
  <c r="Q760" i="27"/>
  <c r="R760" i="27"/>
  <c r="AB760" i="27"/>
  <c r="AC760" i="27"/>
  <c r="AD760" i="27"/>
  <c r="AE760" i="27"/>
  <c r="AF760" i="27"/>
  <c r="E761" i="27"/>
  <c r="P761" i="27"/>
  <c r="Q761" i="27"/>
  <c r="R761" i="27"/>
  <c r="AB761" i="27"/>
  <c r="AC761" i="27"/>
  <c r="AD761" i="27"/>
  <c r="AE761" i="27"/>
  <c r="AF761" i="27"/>
  <c r="E762" i="27"/>
  <c r="P762" i="27"/>
  <c r="Q762" i="27"/>
  <c r="R762" i="27"/>
  <c r="AB762" i="27"/>
  <c r="AC762" i="27"/>
  <c r="AD762" i="27"/>
  <c r="AE762" i="27"/>
  <c r="AF762" i="27"/>
  <c r="E763" i="27"/>
  <c r="P763" i="27"/>
  <c r="Q763" i="27"/>
  <c r="R763" i="27"/>
  <c r="AB763" i="27"/>
  <c r="AC763" i="27"/>
  <c r="AD763" i="27"/>
  <c r="AE763" i="27"/>
  <c r="AF763" i="27"/>
  <c r="E764" i="27"/>
  <c r="P764" i="27"/>
  <c r="Q764" i="27"/>
  <c r="R764" i="27"/>
  <c r="AB764" i="27"/>
  <c r="AC764" i="27"/>
  <c r="AD764" i="27"/>
  <c r="AE764" i="27"/>
  <c r="AF764" i="27"/>
  <c r="E765" i="27"/>
  <c r="P765" i="27"/>
  <c r="Q765" i="27"/>
  <c r="R765" i="27"/>
  <c r="AB765" i="27"/>
  <c r="AC765" i="27"/>
  <c r="AD765" i="27"/>
  <c r="AE765" i="27"/>
  <c r="AF765" i="27"/>
  <c r="E766" i="27"/>
  <c r="P766" i="27"/>
  <c r="Q766" i="27"/>
  <c r="R766" i="27"/>
  <c r="AB766" i="27"/>
  <c r="AC766" i="27"/>
  <c r="AD766" i="27"/>
  <c r="AE766" i="27"/>
  <c r="AF766" i="27"/>
  <c r="E767" i="27"/>
  <c r="P767" i="27"/>
  <c r="Q767" i="27"/>
  <c r="R767" i="27"/>
  <c r="AB767" i="27"/>
  <c r="AC767" i="27"/>
  <c r="AD767" i="27"/>
  <c r="AE767" i="27"/>
  <c r="AF767" i="27"/>
  <c r="E768" i="27"/>
  <c r="P768" i="27"/>
  <c r="Q768" i="27"/>
  <c r="R768" i="27"/>
  <c r="AB768" i="27"/>
  <c r="AC768" i="27"/>
  <c r="AD768" i="27"/>
  <c r="AE768" i="27"/>
  <c r="AF768" i="27"/>
  <c r="E769" i="27"/>
  <c r="P769" i="27"/>
  <c r="Q769" i="27"/>
  <c r="R769" i="27"/>
  <c r="AB769" i="27"/>
  <c r="AC769" i="27"/>
  <c r="AD769" i="27"/>
  <c r="AE769" i="27"/>
  <c r="AF769" i="27"/>
  <c r="E770" i="27"/>
  <c r="P770" i="27"/>
  <c r="Q770" i="27"/>
  <c r="R770" i="27"/>
  <c r="AB770" i="27"/>
  <c r="AC770" i="27"/>
  <c r="AD770" i="27"/>
  <c r="AE770" i="27"/>
  <c r="AF770" i="27"/>
  <c r="E771" i="27"/>
  <c r="P771" i="27"/>
  <c r="Q771" i="27"/>
  <c r="R771" i="27"/>
  <c r="AB771" i="27"/>
  <c r="AC771" i="27"/>
  <c r="AD771" i="27"/>
  <c r="AE771" i="27"/>
  <c r="AF771" i="27"/>
  <c r="E772" i="27"/>
  <c r="P772" i="27"/>
  <c r="Q772" i="27"/>
  <c r="R772" i="27"/>
  <c r="AB772" i="27"/>
  <c r="AC772" i="27"/>
  <c r="AD772" i="27"/>
  <c r="AE772" i="27"/>
  <c r="AF772" i="27"/>
  <c r="E773" i="27"/>
  <c r="P773" i="27"/>
  <c r="Q773" i="27"/>
  <c r="R773" i="27"/>
  <c r="AB773" i="27"/>
  <c r="AC773" i="27"/>
  <c r="AD773" i="27"/>
  <c r="AE773" i="27"/>
  <c r="AF773" i="27"/>
  <c r="E774" i="27"/>
  <c r="P774" i="27"/>
  <c r="Q774" i="27"/>
  <c r="R774" i="27"/>
  <c r="AB774" i="27"/>
  <c r="AC774" i="27"/>
  <c r="AD774" i="27"/>
  <c r="AE774" i="27"/>
  <c r="AF774" i="27"/>
  <c r="E775" i="27"/>
  <c r="P775" i="27"/>
  <c r="Q775" i="27"/>
  <c r="R775" i="27"/>
  <c r="AB775" i="27"/>
  <c r="AC775" i="27"/>
  <c r="AD775" i="27"/>
  <c r="AE775" i="27"/>
  <c r="AF775" i="27"/>
  <c r="E776" i="27"/>
  <c r="P776" i="27"/>
  <c r="Q776" i="27"/>
  <c r="R776" i="27"/>
  <c r="AB776" i="27"/>
  <c r="AC776" i="27"/>
  <c r="AD776" i="27"/>
  <c r="AE776" i="27"/>
  <c r="AF776" i="27"/>
  <c r="E777" i="27"/>
  <c r="P777" i="27"/>
  <c r="Q777" i="27"/>
  <c r="R777" i="27"/>
  <c r="AB777" i="27"/>
  <c r="AC777" i="27"/>
  <c r="AD777" i="27"/>
  <c r="AE777" i="27"/>
  <c r="AF777" i="27"/>
  <c r="E778" i="27"/>
  <c r="P778" i="27"/>
  <c r="Q778" i="27"/>
  <c r="R778" i="27"/>
  <c r="AB778" i="27"/>
  <c r="AC778" i="27"/>
  <c r="AD778" i="27"/>
  <c r="AE778" i="27"/>
  <c r="AF778" i="27"/>
  <c r="E779" i="27"/>
  <c r="P779" i="27"/>
  <c r="Q779" i="27"/>
  <c r="R779" i="27"/>
  <c r="AB779" i="27"/>
  <c r="AC779" i="27"/>
  <c r="AD779" i="27"/>
  <c r="AE779" i="27"/>
  <c r="AF779" i="27"/>
  <c r="P780" i="27"/>
  <c r="Q780" i="27"/>
  <c r="R780" i="27"/>
  <c r="AB780" i="27"/>
  <c r="AC780" i="27"/>
  <c r="AD780" i="27"/>
  <c r="AE780" i="27"/>
  <c r="AF780" i="27"/>
  <c r="P781" i="27"/>
  <c r="Q781" i="27"/>
  <c r="R781" i="27"/>
  <c r="AB781" i="27"/>
  <c r="AC781" i="27"/>
  <c r="AD781" i="27"/>
  <c r="AE781" i="27"/>
  <c r="AF781" i="27"/>
  <c r="E782" i="27"/>
  <c r="P782" i="27"/>
  <c r="Q782" i="27"/>
  <c r="R782" i="27"/>
  <c r="AB782" i="27"/>
  <c r="AC782" i="27"/>
  <c r="AD782" i="27"/>
  <c r="AE782" i="27"/>
  <c r="AF782" i="27"/>
  <c r="P783" i="27"/>
  <c r="Q783" i="27"/>
  <c r="R783" i="27"/>
  <c r="AB783" i="27"/>
  <c r="AC783" i="27"/>
  <c r="AD783" i="27"/>
  <c r="AE783" i="27"/>
  <c r="AF783" i="27"/>
  <c r="P784" i="27"/>
  <c r="Q784" i="27"/>
  <c r="R784" i="27"/>
  <c r="AB784" i="27"/>
  <c r="AC784" i="27"/>
  <c r="AD784" i="27"/>
  <c r="AE784" i="27"/>
  <c r="AF784" i="27"/>
  <c r="E785" i="27"/>
  <c r="P785" i="27"/>
  <c r="Q785" i="27"/>
  <c r="R785" i="27"/>
  <c r="AB785" i="27"/>
  <c r="AC785" i="27"/>
  <c r="AD785" i="27"/>
  <c r="AE785" i="27"/>
  <c r="AF785" i="27"/>
  <c r="E786" i="27"/>
  <c r="P786" i="27"/>
  <c r="Q786" i="27"/>
  <c r="R786" i="27"/>
  <c r="AB786" i="27"/>
  <c r="AC786" i="27"/>
  <c r="AD786" i="27"/>
  <c r="AE786" i="27"/>
  <c r="AF786" i="27"/>
  <c r="E787" i="27"/>
  <c r="P787" i="27"/>
  <c r="Q787" i="27"/>
  <c r="R787" i="27"/>
  <c r="AB787" i="27"/>
  <c r="AC787" i="27"/>
  <c r="AD787" i="27"/>
  <c r="AE787" i="27"/>
  <c r="AF787" i="27"/>
  <c r="E788" i="27"/>
  <c r="P788" i="27"/>
  <c r="Q788" i="27"/>
  <c r="R788" i="27"/>
  <c r="AB788" i="27"/>
  <c r="AC788" i="27"/>
  <c r="AD788" i="27"/>
  <c r="AE788" i="27"/>
  <c r="AF788" i="27"/>
  <c r="E789" i="27"/>
  <c r="P789" i="27"/>
  <c r="Q789" i="27"/>
  <c r="R789" i="27"/>
  <c r="AB789" i="27"/>
  <c r="AC789" i="27"/>
  <c r="AD789" i="27"/>
  <c r="AE789" i="27"/>
  <c r="AF789" i="27"/>
  <c r="E790" i="27"/>
  <c r="P790" i="27"/>
  <c r="Q790" i="27"/>
  <c r="R790" i="27"/>
  <c r="AB790" i="27"/>
  <c r="AC790" i="27"/>
  <c r="AD790" i="27"/>
  <c r="AE790" i="27"/>
  <c r="AF790" i="27"/>
  <c r="E791" i="27"/>
  <c r="P791" i="27"/>
  <c r="Q791" i="27"/>
  <c r="R791" i="27"/>
  <c r="AB791" i="27"/>
  <c r="AC791" i="27"/>
  <c r="AD791" i="27"/>
  <c r="AE791" i="27"/>
  <c r="AF791" i="27"/>
  <c r="E792" i="27"/>
  <c r="P792" i="27"/>
  <c r="Q792" i="27"/>
  <c r="R792" i="27"/>
  <c r="AB792" i="27"/>
  <c r="AC792" i="27"/>
  <c r="AD792" i="27"/>
  <c r="AE792" i="27"/>
  <c r="AF792" i="27"/>
  <c r="E793" i="27"/>
  <c r="P793" i="27"/>
  <c r="Q793" i="27"/>
  <c r="R793" i="27"/>
  <c r="AB793" i="27"/>
  <c r="AC793" i="27"/>
  <c r="AD793" i="27"/>
  <c r="AE793" i="27"/>
  <c r="AF793" i="27"/>
  <c r="E794" i="27"/>
  <c r="P794" i="27"/>
  <c r="Q794" i="27"/>
  <c r="R794" i="27"/>
  <c r="AB794" i="27"/>
  <c r="AC794" i="27"/>
  <c r="AD794" i="27"/>
  <c r="AE794" i="27"/>
  <c r="AF794" i="27"/>
  <c r="E795" i="27"/>
  <c r="P795" i="27"/>
  <c r="Q795" i="27"/>
  <c r="R795" i="27"/>
  <c r="AB795" i="27"/>
  <c r="AC795" i="27"/>
  <c r="AD795" i="27"/>
  <c r="AE795" i="27"/>
  <c r="AF795" i="27"/>
  <c r="E796" i="27"/>
  <c r="P796" i="27"/>
  <c r="Q796" i="27"/>
  <c r="R796" i="27"/>
  <c r="AB796" i="27"/>
  <c r="AC796" i="27"/>
  <c r="AD796" i="27"/>
  <c r="AE796" i="27"/>
  <c r="AF796" i="27"/>
  <c r="E797" i="27"/>
  <c r="P797" i="27"/>
  <c r="Q797" i="27"/>
  <c r="R797" i="27"/>
  <c r="AB797" i="27"/>
  <c r="AC797" i="27"/>
  <c r="AD797" i="27"/>
  <c r="AE797" i="27"/>
  <c r="AF797" i="27"/>
  <c r="E798" i="27"/>
  <c r="P798" i="27"/>
  <c r="Q798" i="27"/>
  <c r="R798" i="27"/>
  <c r="AB798" i="27"/>
  <c r="AC798" i="27"/>
  <c r="AD798" i="27"/>
  <c r="AE798" i="27"/>
  <c r="AF798" i="27"/>
  <c r="E799" i="27"/>
  <c r="P799" i="27"/>
  <c r="Q799" i="27"/>
  <c r="R799" i="27"/>
  <c r="AB799" i="27"/>
  <c r="AC799" i="27"/>
  <c r="AD799" i="27"/>
  <c r="AE799" i="27"/>
  <c r="AF799" i="27"/>
  <c r="E800" i="27"/>
  <c r="P800" i="27"/>
  <c r="Q800" i="27"/>
  <c r="R800" i="27"/>
  <c r="AB800" i="27"/>
  <c r="AC800" i="27"/>
  <c r="AD800" i="27"/>
  <c r="AE800" i="27"/>
  <c r="AF800" i="27"/>
  <c r="E801" i="27"/>
  <c r="P801" i="27"/>
  <c r="Q801" i="27"/>
  <c r="R801" i="27"/>
  <c r="AB801" i="27"/>
  <c r="AC801" i="27"/>
  <c r="AD801" i="27"/>
  <c r="AE801" i="27"/>
  <c r="AF801" i="27"/>
  <c r="E802" i="27"/>
  <c r="P802" i="27"/>
  <c r="Q802" i="27"/>
  <c r="R802" i="27"/>
  <c r="AB802" i="27"/>
  <c r="AC802" i="27"/>
  <c r="AD802" i="27"/>
  <c r="AE802" i="27"/>
  <c r="AF802" i="27"/>
  <c r="E803" i="27"/>
  <c r="P803" i="27"/>
  <c r="Q803" i="27"/>
  <c r="R803" i="27"/>
  <c r="AB803" i="27"/>
  <c r="AC803" i="27"/>
  <c r="AD803" i="27"/>
  <c r="AE803" i="27"/>
  <c r="AF803" i="27"/>
  <c r="E804" i="27"/>
  <c r="P804" i="27"/>
  <c r="Q804" i="27"/>
  <c r="R804" i="27"/>
  <c r="AB804" i="27"/>
  <c r="AC804" i="27"/>
  <c r="AD804" i="27"/>
  <c r="AE804" i="27"/>
  <c r="AF804" i="27"/>
  <c r="E805" i="27"/>
  <c r="P805" i="27"/>
  <c r="Q805" i="27"/>
  <c r="R805" i="27"/>
  <c r="AB805" i="27"/>
  <c r="AC805" i="27"/>
  <c r="AD805" i="27"/>
  <c r="AE805" i="27"/>
  <c r="AF805" i="27"/>
  <c r="E806" i="27"/>
  <c r="P806" i="27"/>
  <c r="Q806" i="27"/>
  <c r="R806" i="27"/>
  <c r="AB806" i="27"/>
  <c r="AC806" i="27"/>
  <c r="AD806" i="27"/>
  <c r="AE806" i="27"/>
  <c r="AF806" i="27"/>
  <c r="E807" i="27"/>
  <c r="P807" i="27"/>
  <c r="Q807" i="27"/>
  <c r="R807" i="27"/>
  <c r="AB807" i="27"/>
  <c r="AC807" i="27"/>
  <c r="AD807" i="27"/>
  <c r="AE807" i="27"/>
  <c r="AF807" i="27"/>
  <c r="E808" i="27"/>
  <c r="P808" i="27"/>
  <c r="Q808" i="27"/>
  <c r="R808" i="27"/>
  <c r="AB808" i="27"/>
  <c r="AC808" i="27"/>
  <c r="AD808" i="27"/>
  <c r="AE808" i="27"/>
  <c r="AF808" i="27"/>
  <c r="E809" i="27"/>
  <c r="P809" i="27"/>
  <c r="Q809" i="27"/>
  <c r="R809" i="27"/>
  <c r="AB809" i="27"/>
  <c r="AC809" i="27"/>
  <c r="AD809" i="27"/>
  <c r="AE809" i="27"/>
  <c r="AF809" i="27"/>
  <c r="E810" i="27"/>
  <c r="P810" i="27"/>
  <c r="Q810" i="27"/>
  <c r="R810" i="27"/>
  <c r="AB810" i="27"/>
  <c r="AC810" i="27"/>
  <c r="AD810" i="27"/>
  <c r="AE810" i="27"/>
  <c r="AF810" i="27"/>
  <c r="E811" i="27"/>
  <c r="P811" i="27"/>
  <c r="Q811" i="27"/>
  <c r="R811" i="27"/>
  <c r="AB811" i="27"/>
  <c r="AC811" i="27"/>
  <c r="AD811" i="27"/>
  <c r="AE811" i="27"/>
  <c r="AF811" i="27"/>
  <c r="E812" i="27"/>
  <c r="P812" i="27"/>
  <c r="Q812" i="27"/>
  <c r="R812" i="27"/>
  <c r="AB812" i="27"/>
  <c r="AC812" i="27"/>
  <c r="AD812" i="27"/>
  <c r="AE812" i="27"/>
  <c r="AF812" i="27"/>
  <c r="E813" i="27"/>
  <c r="P813" i="27"/>
  <c r="Q813" i="27"/>
  <c r="R813" i="27"/>
  <c r="AB813" i="27"/>
  <c r="AC813" i="27"/>
  <c r="AD813" i="27"/>
  <c r="AE813" i="27"/>
  <c r="AF813" i="27"/>
  <c r="E814" i="27"/>
  <c r="P814" i="27"/>
  <c r="Q814" i="27"/>
  <c r="R814" i="27"/>
  <c r="AB814" i="27"/>
  <c r="AC814" i="27"/>
  <c r="AD814" i="27"/>
  <c r="AE814" i="27"/>
  <c r="AF814" i="27"/>
  <c r="E815" i="27"/>
  <c r="P815" i="27"/>
  <c r="Q815" i="27"/>
  <c r="R815" i="27"/>
  <c r="AB815" i="27"/>
  <c r="AC815" i="27"/>
  <c r="AD815" i="27"/>
  <c r="AE815" i="27"/>
  <c r="AF815" i="27"/>
  <c r="E816" i="27"/>
  <c r="I816" i="27"/>
  <c r="P816" i="27"/>
  <c r="Q816" i="27"/>
  <c r="R816" i="27"/>
  <c r="AB816" i="27"/>
  <c r="AC816" i="27"/>
  <c r="AD816" i="27"/>
  <c r="AE816" i="27"/>
  <c r="AF816" i="27"/>
  <c r="E817" i="27"/>
  <c r="P817" i="27"/>
  <c r="Q817" i="27"/>
  <c r="R817" i="27"/>
  <c r="AB817" i="27"/>
  <c r="AC817" i="27"/>
  <c r="AD817" i="27"/>
  <c r="AE817" i="27"/>
  <c r="AF817" i="27"/>
  <c r="E818" i="27"/>
  <c r="P818" i="27"/>
  <c r="Q818" i="27"/>
  <c r="R818" i="27"/>
  <c r="AB818" i="27"/>
  <c r="AC818" i="27"/>
  <c r="AD818" i="27"/>
  <c r="AE818" i="27"/>
  <c r="AF818" i="27"/>
  <c r="E819" i="27"/>
  <c r="P819" i="27"/>
  <c r="Q819" i="27"/>
  <c r="R819" i="27"/>
  <c r="AB819" i="27"/>
  <c r="AC819" i="27"/>
  <c r="AD819" i="27"/>
  <c r="AE819" i="27"/>
  <c r="AF819" i="27"/>
  <c r="E820" i="27"/>
  <c r="P820" i="27"/>
  <c r="Q820" i="27"/>
  <c r="R820" i="27"/>
  <c r="AB820" i="27"/>
  <c r="AC820" i="27"/>
  <c r="AD820" i="27"/>
  <c r="AE820" i="27"/>
  <c r="AF820" i="27"/>
  <c r="E821" i="27"/>
  <c r="P821" i="27"/>
  <c r="Q821" i="27"/>
  <c r="R821" i="27"/>
  <c r="AB821" i="27"/>
  <c r="AC821" i="27"/>
  <c r="AD821" i="27"/>
  <c r="AE821" i="27"/>
  <c r="AF821" i="27"/>
  <c r="E822" i="27"/>
  <c r="P822" i="27"/>
  <c r="Q822" i="27"/>
  <c r="R822" i="27"/>
  <c r="AB822" i="27"/>
  <c r="AC822" i="27"/>
  <c r="AD822" i="27"/>
  <c r="AE822" i="27"/>
  <c r="AF822" i="27"/>
  <c r="E823" i="27"/>
  <c r="P823" i="27"/>
  <c r="Q823" i="27"/>
  <c r="R823" i="27"/>
  <c r="AB823" i="27"/>
  <c r="AC823" i="27"/>
  <c r="AD823" i="27"/>
  <c r="AE823" i="27"/>
  <c r="AF823" i="27"/>
  <c r="E824" i="27"/>
  <c r="P824" i="27"/>
  <c r="Q824" i="27"/>
  <c r="R824" i="27"/>
  <c r="AB824" i="27"/>
  <c r="AC824" i="27"/>
  <c r="AD824" i="27"/>
  <c r="AE824" i="27"/>
  <c r="AF824" i="27"/>
  <c r="E825" i="27"/>
  <c r="P825" i="27"/>
  <c r="Q825" i="27"/>
  <c r="R825" i="27"/>
  <c r="AB825" i="27"/>
  <c r="AC825" i="27"/>
  <c r="AD825" i="27"/>
  <c r="AE825" i="27"/>
  <c r="AF825" i="27"/>
  <c r="E826" i="27"/>
  <c r="P826" i="27"/>
  <c r="Q826" i="27"/>
  <c r="R826" i="27"/>
  <c r="AB826" i="27"/>
  <c r="AC826" i="27"/>
  <c r="AD826" i="27"/>
  <c r="AE826" i="27"/>
  <c r="AF826" i="27"/>
  <c r="E827" i="27"/>
  <c r="P827" i="27"/>
  <c r="Q827" i="27"/>
  <c r="R827" i="27"/>
  <c r="AB827" i="27"/>
  <c r="AC827" i="27"/>
  <c r="AD827" i="27"/>
  <c r="AE827" i="27"/>
  <c r="AF827" i="27"/>
  <c r="E828" i="27"/>
  <c r="P828" i="27"/>
  <c r="Q828" i="27"/>
  <c r="R828" i="27"/>
  <c r="AB828" i="27"/>
  <c r="AC828" i="27"/>
  <c r="AD828" i="27"/>
  <c r="AE828" i="27"/>
  <c r="AF828" i="27"/>
  <c r="E829" i="27"/>
  <c r="P829" i="27"/>
  <c r="Q829" i="27"/>
  <c r="R829" i="27"/>
  <c r="AB829" i="27"/>
  <c r="AC829" i="27"/>
  <c r="AD829" i="27"/>
  <c r="AE829" i="27"/>
  <c r="AF829" i="27"/>
  <c r="E830" i="27"/>
  <c r="P830" i="27"/>
  <c r="Q830" i="27"/>
  <c r="R830" i="27"/>
  <c r="AB830" i="27"/>
  <c r="AC830" i="27"/>
  <c r="AD830" i="27"/>
  <c r="AE830" i="27"/>
  <c r="AF830" i="27"/>
  <c r="E831" i="27"/>
  <c r="P831" i="27"/>
  <c r="Q831" i="27"/>
  <c r="R831" i="27"/>
  <c r="AB831" i="27"/>
  <c r="AC831" i="27"/>
  <c r="AD831" i="27"/>
  <c r="AE831" i="27"/>
  <c r="AF831" i="27"/>
  <c r="E832" i="27"/>
  <c r="P832" i="27"/>
  <c r="Q832" i="27"/>
  <c r="R832" i="27"/>
  <c r="AB832" i="27"/>
  <c r="AC832" i="27"/>
  <c r="AD832" i="27"/>
  <c r="AE832" i="27"/>
  <c r="AF832" i="27"/>
  <c r="E833" i="27"/>
  <c r="P833" i="27"/>
  <c r="Q833" i="27"/>
  <c r="R833" i="27"/>
  <c r="AB833" i="27"/>
  <c r="AC833" i="27"/>
  <c r="AD833" i="27"/>
  <c r="AE833" i="27"/>
  <c r="AF833" i="27"/>
  <c r="E834" i="27"/>
  <c r="I834" i="27"/>
  <c r="P834" i="27"/>
  <c r="Q834" i="27"/>
  <c r="R834" i="27"/>
  <c r="AB834" i="27"/>
  <c r="AC834" i="27"/>
  <c r="AD834" i="27"/>
  <c r="AE834" i="27"/>
  <c r="AF834" i="27"/>
  <c r="E835" i="27"/>
  <c r="P835" i="27"/>
  <c r="Q835" i="27"/>
  <c r="R835" i="27"/>
  <c r="AB835" i="27"/>
  <c r="AC835" i="27"/>
  <c r="AD835" i="27"/>
  <c r="AE835" i="27"/>
  <c r="AF835" i="27"/>
  <c r="E836" i="27"/>
  <c r="P836" i="27"/>
  <c r="Q836" i="27"/>
  <c r="R836" i="27"/>
  <c r="AB836" i="27"/>
  <c r="AC836" i="27"/>
  <c r="AD836" i="27"/>
  <c r="AE836" i="27"/>
  <c r="AF836" i="27"/>
  <c r="E837" i="27"/>
  <c r="P837" i="27"/>
  <c r="Q837" i="27"/>
  <c r="R837" i="27"/>
  <c r="AB837" i="27"/>
  <c r="AC837" i="27"/>
  <c r="AD837" i="27"/>
  <c r="AE837" i="27"/>
  <c r="AF837" i="27"/>
  <c r="E838" i="27"/>
  <c r="P838" i="27"/>
  <c r="Q838" i="27"/>
  <c r="R838" i="27"/>
  <c r="AB838" i="27"/>
  <c r="AC838" i="27"/>
  <c r="AD838" i="27"/>
  <c r="AE838" i="27"/>
  <c r="AF838" i="27"/>
  <c r="E839" i="27"/>
  <c r="P839" i="27"/>
  <c r="Q839" i="27"/>
  <c r="R839" i="27"/>
  <c r="AB839" i="27"/>
  <c r="AC839" i="27"/>
  <c r="AD839" i="27"/>
  <c r="AE839" i="27"/>
  <c r="AF839" i="27"/>
  <c r="E840" i="27"/>
  <c r="P840" i="27"/>
  <c r="Q840" i="27"/>
  <c r="R840" i="27"/>
  <c r="AB840" i="27"/>
  <c r="AC840" i="27"/>
  <c r="AD840" i="27"/>
  <c r="AE840" i="27"/>
  <c r="AF840" i="27"/>
  <c r="E841" i="27"/>
  <c r="P841" i="27"/>
  <c r="Q841" i="27"/>
  <c r="R841" i="27"/>
  <c r="AB841" i="27"/>
  <c r="AC841" i="27"/>
  <c r="AD841" i="27"/>
  <c r="AE841" i="27"/>
  <c r="AF841" i="27"/>
  <c r="E842" i="27"/>
  <c r="P842" i="27"/>
  <c r="Q842" i="27"/>
  <c r="R842" i="27"/>
  <c r="AB842" i="27"/>
  <c r="AC842" i="27"/>
  <c r="AD842" i="27"/>
  <c r="AE842" i="27"/>
  <c r="AF842" i="27"/>
  <c r="E843" i="27"/>
  <c r="P843" i="27"/>
  <c r="Q843" i="27"/>
  <c r="R843" i="27"/>
  <c r="AB843" i="27"/>
  <c r="AC843" i="27"/>
  <c r="AD843" i="27"/>
  <c r="AE843" i="27"/>
  <c r="AF843" i="27"/>
  <c r="E844" i="27"/>
  <c r="P844" i="27"/>
  <c r="Q844" i="27"/>
  <c r="R844" i="27"/>
  <c r="AB844" i="27"/>
  <c r="AC844" i="27"/>
  <c r="AD844" i="27"/>
  <c r="AE844" i="27"/>
  <c r="AF844" i="27"/>
  <c r="E845" i="27"/>
  <c r="P845" i="27"/>
  <c r="Q845" i="27"/>
  <c r="R845" i="27"/>
  <c r="AB845" i="27"/>
  <c r="AC845" i="27"/>
  <c r="AD845" i="27"/>
  <c r="AE845" i="27"/>
  <c r="AF845" i="27"/>
  <c r="E846" i="27"/>
  <c r="P846" i="27"/>
  <c r="Q846" i="27"/>
  <c r="R846" i="27"/>
  <c r="AB846" i="27"/>
  <c r="AC846" i="27"/>
  <c r="AD846" i="27"/>
  <c r="AE846" i="27"/>
  <c r="AF846" i="27"/>
  <c r="E847" i="27"/>
  <c r="P847" i="27"/>
  <c r="Q847" i="27"/>
  <c r="R847" i="27"/>
  <c r="AB847" i="27"/>
  <c r="AC847" i="27"/>
  <c r="AD847" i="27"/>
  <c r="AE847" i="27"/>
  <c r="AF847" i="27"/>
  <c r="E848" i="27"/>
  <c r="P848" i="27"/>
  <c r="Q848" i="27"/>
  <c r="R848" i="27"/>
  <c r="AB848" i="27"/>
  <c r="AC848" i="27"/>
  <c r="AD848" i="27"/>
  <c r="AE848" i="27"/>
  <c r="AF848" i="27"/>
  <c r="E849" i="27"/>
  <c r="P849" i="27"/>
  <c r="Q849" i="27"/>
  <c r="R849" i="27"/>
  <c r="AB849" i="27"/>
  <c r="AC849" i="27"/>
  <c r="AD849" i="27"/>
  <c r="AE849" i="27"/>
  <c r="AF849" i="27"/>
  <c r="E850" i="27"/>
  <c r="P850" i="27"/>
  <c r="Q850" i="27"/>
  <c r="R850" i="27"/>
  <c r="AB850" i="27"/>
  <c r="AC850" i="27"/>
  <c r="AD850" i="27"/>
  <c r="AE850" i="27"/>
  <c r="AF850" i="27"/>
  <c r="E851" i="27"/>
  <c r="P851" i="27"/>
  <c r="Q851" i="27"/>
  <c r="R851" i="27"/>
  <c r="AB851" i="27"/>
  <c r="AC851" i="27"/>
  <c r="AD851" i="27"/>
  <c r="AE851" i="27"/>
  <c r="AF851" i="27"/>
  <c r="E852" i="27"/>
  <c r="P852" i="27"/>
  <c r="Q852" i="27"/>
  <c r="R852" i="27"/>
  <c r="AB852" i="27"/>
  <c r="AC852" i="27"/>
  <c r="AD852" i="27"/>
  <c r="AE852" i="27"/>
  <c r="AF852" i="27"/>
  <c r="E853" i="27"/>
  <c r="P853" i="27"/>
  <c r="Q853" i="27"/>
  <c r="R853" i="27"/>
  <c r="AB853" i="27"/>
  <c r="AC853" i="27"/>
  <c r="AD853" i="27"/>
  <c r="AE853" i="27"/>
  <c r="AF853" i="27"/>
  <c r="E854" i="27"/>
  <c r="P854" i="27"/>
  <c r="Q854" i="27"/>
  <c r="R854" i="27"/>
  <c r="AB854" i="27"/>
  <c r="AC854" i="27"/>
  <c r="AD854" i="27"/>
  <c r="AE854" i="27"/>
  <c r="AF854" i="27"/>
  <c r="E855" i="27"/>
  <c r="P855" i="27"/>
  <c r="Q855" i="27"/>
  <c r="R855" i="27"/>
  <c r="AB855" i="27"/>
  <c r="AC855" i="27"/>
  <c r="AD855" i="27"/>
  <c r="AE855" i="27"/>
  <c r="AF855" i="27"/>
  <c r="E856" i="27"/>
  <c r="I856" i="27"/>
  <c r="P856" i="27"/>
  <c r="Q856" i="27"/>
  <c r="R856" i="27"/>
  <c r="AB856" i="27"/>
  <c r="AC856" i="27"/>
  <c r="AD856" i="27"/>
  <c r="AE856" i="27"/>
  <c r="AF856" i="27"/>
  <c r="E857" i="27"/>
  <c r="P857" i="27"/>
  <c r="Q857" i="27"/>
  <c r="R857" i="27"/>
  <c r="AB857" i="27"/>
  <c r="AC857" i="27"/>
  <c r="AD857" i="27"/>
  <c r="AE857" i="27"/>
  <c r="AF857" i="27"/>
  <c r="E858" i="27"/>
  <c r="P858" i="27"/>
  <c r="Q858" i="27"/>
  <c r="R858" i="27"/>
  <c r="AB858" i="27"/>
  <c r="AC858" i="27"/>
  <c r="AD858" i="27"/>
  <c r="AE858" i="27"/>
  <c r="AF858" i="27"/>
  <c r="E859" i="27"/>
  <c r="P859" i="27"/>
  <c r="Q859" i="27"/>
  <c r="R859" i="27"/>
  <c r="AB859" i="27"/>
  <c r="AC859" i="27"/>
  <c r="AD859" i="27"/>
  <c r="AE859" i="27"/>
  <c r="AF859" i="27"/>
  <c r="E860" i="27"/>
  <c r="P860" i="27"/>
  <c r="Q860" i="27"/>
  <c r="R860" i="27"/>
  <c r="AB860" i="27"/>
  <c r="AC860" i="27"/>
  <c r="AD860" i="27"/>
  <c r="AE860" i="27"/>
  <c r="AF860" i="27"/>
  <c r="E861" i="27"/>
  <c r="P861" i="27"/>
  <c r="Q861" i="27"/>
  <c r="R861" i="27"/>
  <c r="AB861" i="27"/>
  <c r="AC861" i="27"/>
  <c r="AD861" i="27"/>
  <c r="AE861" i="27"/>
  <c r="AF861" i="27"/>
  <c r="E862" i="27"/>
  <c r="P862" i="27"/>
  <c r="Q862" i="27"/>
  <c r="R862" i="27"/>
  <c r="AB862" i="27"/>
  <c r="AC862" i="27"/>
  <c r="AD862" i="27"/>
  <c r="AE862" i="27"/>
  <c r="AF862" i="27"/>
  <c r="E863" i="27"/>
  <c r="P863" i="27"/>
  <c r="Q863" i="27"/>
  <c r="R863" i="27"/>
  <c r="AB863" i="27"/>
  <c r="AC863" i="27"/>
  <c r="AD863" i="27"/>
  <c r="AE863" i="27"/>
  <c r="AF863" i="27"/>
  <c r="E864" i="27"/>
  <c r="P864" i="27"/>
  <c r="Q864" i="27"/>
  <c r="R864" i="27"/>
  <c r="AB864" i="27"/>
  <c r="AC864" i="27"/>
  <c r="AD864" i="27"/>
  <c r="AE864" i="27"/>
  <c r="AF864" i="27"/>
  <c r="E865" i="27"/>
  <c r="P865" i="27"/>
  <c r="Q865" i="27"/>
  <c r="R865" i="27"/>
  <c r="AB865" i="27"/>
  <c r="AC865" i="27"/>
  <c r="AD865" i="27"/>
  <c r="AE865" i="27"/>
  <c r="AF865" i="27"/>
  <c r="E866" i="27"/>
  <c r="P866" i="27"/>
  <c r="Q866" i="27"/>
  <c r="R866" i="27"/>
  <c r="AB866" i="27"/>
  <c r="AC866" i="27"/>
  <c r="AD866" i="27"/>
  <c r="AE866" i="27"/>
  <c r="AF866" i="27"/>
  <c r="P867" i="27"/>
  <c r="Q867" i="27"/>
  <c r="R867" i="27"/>
  <c r="AB867" i="27"/>
  <c r="AC867" i="27"/>
  <c r="AD867" i="27"/>
  <c r="AE867" i="27"/>
  <c r="AF867" i="27"/>
  <c r="E868" i="27"/>
  <c r="P868" i="27"/>
  <c r="Q868" i="27"/>
  <c r="R868" i="27"/>
  <c r="AB868" i="27"/>
  <c r="AC868" i="27"/>
  <c r="AD868" i="27"/>
  <c r="AE868" i="27"/>
  <c r="AF868" i="27"/>
  <c r="Q869" i="27"/>
  <c r="R869" i="27"/>
  <c r="AB869" i="27"/>
  <c r="AC869" i="27"/>
  <c r="AD869" i="27"/>
  <c r="AE869" i="27"/>
  <c r="AF869" i="27"/>
  <c r="Q870" i="27"/>
  <c r="R870" i="27"/>
  <c r="AB870" i="27"/>
  <c r="AC870" i="27"/>
  <c r="AD870" i="27"/>
  <c r="AE870" i="27"/>
  <c r="AF870" i="27"/>
  <c r="E871" i="27"/>
  <c r="P871" i="27"/>
  <c r="Q871" i="27"/>
  <c r="R871" i="27"/>
  <c r="AB871" i="27"/>
  <c r="AC871" i="27"/>
  <c r="AD871" i="27"/>
  <c r="AE871" i="27"/>
  <c r="AF871" i="27"/>
  <c r="Q872" i="27"/>
  <c r="R872" i="27"/>
  <c r="AB872" i="27"/>
  <c r="AC872" i="27"/>
  <c r="AD872" i="27"/>
  <c r="AE872" i="27"/>
  <c r="AF872" i="27"/>
  <c r="Q873" i="27"/>
  <c r="R873" i="27"/>
  <c r="AB873" i="27"/>
  <c r="AC873" i="27"/>
  <c r="AD873" i="27"/>
  <c r="AE873" i="27"/>
  <c r="AF873" i="27"/>
  <c r="Q874" i="27"/>
  <c r="R874" i="27"/>
  <c r="AB874" i="27"/>
  <c r="AC874" i="27"/>
  <c r="AD874" i="27"/>
  <c r="AE874" i="27"/>
  <c r="AF874" i="27"/>
  <c r="E875" i="27"/>
  <c r="P875" i="27"/>
  <c r="Q875" i="27"/>
  <c r="R875" i="27"/>
  <c r="AB875" i="27"/>
  <c r="AC875" i="27"/>
  <c r="AD875" i="27"/>
  <c r="AE875" i="27"/>
  <c r="AF875" i="27"/>
  <c r="Q876" i="27"/>
  <c r="R876" i="27"/>
  <c r="AB876" i="27"/>
  <c r="AC876" i="27"/>
  <c r="AD876" i="27"/>
  <c r="AE876" i="27"/>
  <c r="AF876" i="27"/>
  <c r="Q877" i="27"/>
  <c r="R877" i="27"/>
  <c r="AB877" i="27"/>
  <c r="AC877" i="27"/>
  <c r="AD877" i="27"/>
  <c r="AE877" i="27"/>
  <c r="AF877" i="27"/>
  <c r="Q878" i="27"/>
  <c r="R878" i="27"/>
  <c r="AB878" i="27"/>
  <c r="AC878" i="27"/>
  <c r="AD878" i="27"/>
  <c r="AE878" i="27"/>
  <c r="AF878" i="27"/>
  <c r="Q879" i="27"/>
  <c r="R879" i="27"/>
  <c r="AB879" i="27"/>
  <c r="AC879" i="27"/>
  <c r="AD879" i="27"/>
  <c r="AE879" i="27"/>
  <c r="AF879" i="27"/>
  <c r="Q880" i="27"/>
  <c r="R880" i="27"/>
  <c r="AB880" i="27"/>
  <c r="AC880" i="27"/>
  <c r="AD880" i="27"/>
  <c r="AE880" i="27"/>
  <c r="AF880" i="27"/>
  <c r="Q881" i="27"/>
  <c r="R881" i="27"/>
  <c r="AB881" i="27"/>
  <c r="AC881" i="27"/>
  <c r="AD881" i="27"/>
  <c r="AE881" i="27"/>
  <c r="AF881" i="27"/>
  <c r="Q882" i="27"/>
  <c r="R882" i="27"/>
  <c r="AB882" i="27"/>
  <c r="AC882" i="27"/>
  <c r="AD882" i="27"/>
  <c r="AE882" i="27"/>
  <c r="AF882" i="27"/>
  <c r="Q883" i="27"/>
  <c r="R883" i="27"/>
  <c r="AB883" i="27"/>
  <c r="AC883" i="27"/>
  <c r="AD883" i="27"/>
  <c r="AE883" i="27"/>
  <c r="AF883" i="27"/>
  <c r="Q884" i="27"/>
  <c r="R884" i="27"/>
  <c r="AB884" i="27"/>
  <c r="AC884" i="27"/>
  <c r="AD884" i="27"/>
  <c r="AE884" i="27"/>
  <c r="AF884" i="27"/>
  <c r="Q885" i="27"/>
  <c r="R885" i="27"/>
  <c r="AB885" i="27"/>
  <c r="AC885" i="27"/>
  <c r="AD885" i="27"/>
  <c r="AE885" i="27"/>
  <c r="AF885" i="27"/>
  <c r="Q886" i="27"/>
  <c r="R886" i="27"/>
  <c r="AB886" i="27"/>
  <c r="AC886" i="27"/>
  <c r="AD886" i="27"/>
  <c r="AE886" i="27"/>
  <c r="AF886" i="27"/>
  <c r="Q887" i="27"/>
  <c r="R887" i="27"/>
  <c r="AB887" i="27"/>
  <c r="AC887" i="27"/>
  <c r="AD887" i="27"/>
  <c r="AE887" i="27"/>
  <c r="AF887" i="27"/>
  <c r="Q888" i="27"/>
  <c r="R888" i="27"/>
  <c r="AB888" i="27"/>
  <c r="AC888" i="27"/>
  <c r="AD888" i="27"/>
  <c r="AE888" i="27"/>
  <c r="AF888" i="27"/>
  <c r="Q889" i="27"/>
  <c r="R889" i="27"/>
  <c r="AB889" i="27"/>
  <c r="AC889" i="27"/>
  <c r="AD889" i="27"/>
  <c r="AE889" i="27"/>
  <c r="AF889" i="27"/>
  <c r="Q890" i="27"/>
  <c r="R890" i="27"/>
  <c r="AB890" i="27"/>
  <c r="AC890" i="27"/>
  <c r="AD890" i="27"/>
  <c r="AE890" i="27"/>
  <c r="AF890" i="27"/>
  <c r="Q891" i="27"/>
  <c r="R891" i="27"/>
  <c r="AB891" i="27"/>
  <c r="AC891" i="27"/>
  <c r="AD891" i="27"/>
  <c r="AE891" i="27"/>
  <c r="AF891" i="27"/>
  <c r="Q892" i="27"/>
  <c r="R892" i="27"/>
  <c r="AB892" i="27"/>
  <c r="AC892" i="27"/>
  <c r="AD892" i="27"/>
  <c r="AE892" i="27"/>
  <c r="AF892" i="27"/>
  <c r="Q893" i="27"/>
  <c r="R893" i="27"/>
  <c r="AB893" i="27"/>
  <c r="AC893" i="27"/>
  <c r="AD893" i="27"/>
  <c r="AE893" i="27"/>
  <c r="AF893" i="27"/>
  <c r="Q894" i="27"/>
  <c r="R894" i="27"/>
  <c r="AB894" i="27"/>
  <c r="AC894" i="27"/>
  <c r="AD894" i="27"/>
  <c r="AE894" i="27"/>
  <c r="AF894" i="27"/>
  <c r="Q895" i="27"/>
  <c r="R895" i="27"/>
  <c r="AB895" i="27"/>
  <c r="AC895" i="27"/>
  <c r="AD895" i="27"/>
  <c r="AE895" i="27"/>
  <c r="AF895" i="27"/>
  <c r="Q896" i="27"/>
  <c r="R896" i="27"/>
  <c r="AB896" i="27"/>
  <c r="AC896" i="27"/>
  <c r="AD896" i="27"/>
  <c r="AE896" i="27"/>
  <c r="AF896" i="27"/>
  <c r="Q897" i="27"/>
  <c r="R897" i="27"/>
  <c r="AB897" i="27"/>
  <c r="AC897" i="27"/>
  <c r="AD897" i="27"/>
  <c r="AE897" i="27"/>
  <c r="AF897" i="27"/>
  <c r="Q898" i="27"/>
  <c r="R898" i="27"/>
  <c r="AB898" i="27"/>
  <c r="AC898" i="27"/>
  <c r="AD898" i="27"/>
  <c r="AE898" i="27"/>
  <c r="AF898" i="27"/>
  <c r="Q899" i="27"/>
  <c r="R899" i="27"/>
  <c r="AB899" i="27"/>
  <c r="AC899" i="27"/>
  <c r="AD899" i="27"/>
  <c r="AE899" i="27"/>
  <c r="AF899" i="27"/>
  <c r="Q900" i="27"/>
  <c r="R900" i="27"/>
  <c r="AB900" i="27"/>
  <c r="AC900" i="27"/>
  <c r="AD900" i="27"/>
  <c r="AE900" i="27"/>
  <c r="AF900" i="27"/>
  <c r="Q901" i="27"/>
  <c r="R901" i="27"/>
  <c r="AB901" i="27"/>
  <c r="AC901" i="27"/>
  <c r="AD901" i="27"/>
  <c r="AE901" i="27"/>
  <c r="AF901" i="27"/>
  <c r="Q902" i="27"/>
  <c r="R902" i="27"/>
  <c r="AB902" i="27"/>
  <c r="AC902" i="27"/>
  <c r="AD902" i="27"/>
  <c r="AE902" i="27"/>
  <c r="AF902" i="27"/>
  <c r="Q903" i="27"/>
  <c r="R903" i="27"/>
  <c r="AB903" i="27"/>
  <c r="AC903" i="27"/>
  <c r="AD903" i="27"/>
  <c r="AE903" i="27"/>
  <c r="AF903" i="27"/>
  <c r="Q904" i="27"/>
  <c r="R904" i="27"/>
  <c r="AB904" i="27"/>
  <c r="AC904" i="27"/>
  <c r="AD904" i="27"/>
  <c r="AE904" i="27"/>
  <c r="AF904" i="27"/>
  <c r="Q905" i="27"/>
  <c r="R905" i="27"/>
  <c r="AB905" i="27"/>
  <c r="AC905" i="27"/>
  <c r="AD905" i="27"/>
  <c r="AE905" i="27"/>
  <c r="AF905" i="27"/>
  <c r="E906" i="27"/>
  <c r="P906" i="27"/>
  <c r="Q906" i="27"/>
  <c r="R906" i="27"/>
  <c r="AB906" i="27"/>
  <c r="AC906" i="27"/>
  <c r="AD906" i="27"/>
  <c r="AE906" i="27"/>
  <c r="AF906" i="27"/>
  <c r="Q907" i="27"/>
  <c r="R907" i="27"/>
  <c r="AB907" i="27"/>
  <c r="AC907" i="27"/>
  <c r="AD907" i="27"/>
  <c r="AE907" i="27"/>
  <c r="AF907" i="27"/>
  <c r="P908" i="27"/>
  <c r="Q908" i="27"/>
  <c r="R908" i="27"/>
  <c r="AB908" i="27"/>
  <c r="AC908" i="27"/>
  <c r="AD908" i="27"/>
  <c r="AE908" i="27"/>
  <c r="AF908" i="27"/>
  <c r="P909" i="27"/>
  <c r="Q909" i="27"/>
  <c r="R909" i="27"/>
  <c r="AB909" i="27"/>
  <c r="AC909" i="27"/>
  <c r="AD909" i="27"/>
  <c r="AE909" i="27"/>
  <c r="AF909" i="27"/>
  <c r="Q910" i="27"/>
  <c r="R910" i="27"/>
  <c r="AB910" i="27"/>
  <c r="AC910" i="27"/>
  <c r="AD910" i="27"/>
  <c r="AE910" i="27"/>
  <c r="AF910" i="27"/>
  <c r="Q911" i="27"/>
  <c r="R911" i="27"/>
  <c r="AB911" i="27"/>
  <c r="AC911" i="27"/>
  <c r="AD911" i="27"/>
  <c r="AE911" i="27"/>
  <c r="AF911" i="27"/>
  <c r="Q912" i="27"/>
  <c r="R912" i="27"/>
  <c r="AB912" i="27"/>
  <c r="AC912" i="27"/>
  <c r="AD912" i="27"/>
  <c r="AE912" i="27"/>
  <c r="AF912" i="27"/>
  <c r="Q913" i="27"/>
  <c r="R913" i="27"/>
  <c r="AB913" i="27"/>
  <c r="AC913" i="27"/>
  <c r="AD913" i="27"/>
  <c r="AE913" i="27"/>
  <c r="AF913" i="27"/>
  <c r="Q914" i="27"/>
  <c r="R914" i="27"/>
  <c r="AB914" i="27"/>
  <c r="AC914" i="27"/>
  <c r="AD914" i="27"/>
  <c r="AE914" i="27"/>
  <c r="AF914" i="27"/>
  <c r="Q915" i="27"/>
  <c r="R915" i="27"/>
  <c r="AB915" i="27"/>
  <c r="AC915" i="27"/>
  <c r="AD915" i="27"/>
  <c r="AE915" i="27"/>
  <c r="AF915" i="27"/>
  <c r="Q916" i="27"/>
  <c r="R916" i="27"/>
  <c r="AB916" i="27"/>
  <c r="AC916" i="27"/>
  <c r="AD916" i="27"/>
  <c r="AE916" i="27"/>
  <c r="AF916" i="27"/>
  <c r="Q917" i="27"/>
  <c r="R917" i="27"/>
  <c r="AB917" i="27"/>
  <c r="AC917" i="27"/>
  <c r="AD917" i="27"/>
  <c r="AE917" i="27"/>
  <c r="AF917" i="27"/>
  <c r="E918" i="27"/>
  <c r="P918" i="27"/>
  <c r="Q918" i="27"/>
  <c r="R918" i="27"/>
  <c r="AB918" i="27"/>
  <c r="AC918" i="27"/>
  <c r="AD918" i="27"/>
  <c r="AE918" i="27"/>
  <c r="AF918" i="27"/>
  <c r="Q919" i="27"/>
  <c r="R919" i="27"/>
  <c r="AB919" i="27"/>
  <c r="AC919" i="27"/>
  <c r="AD919" i="27"/>
  <c r="AE919" i="27"/>
  <c r="AF919" i="27"/>
  <c r="Q920" i="27"/>
  <c r="R920" i="27"/>
  <c r="AB920" i="27"/>
  <c r="AC920" i="27"/>
  <c r="AD920" i="27"/>
  <c r="AE920" i="27"/>
  <c r="AF920" i="27"/>
  <c r="Q921" i="27"/>
  <c r="R921" i="27"/>
  <c r="AB921" i="27"/>
  <c r="AC921" i="27"/>
  <c r="AD921" i="27"/>
  <c r="AE921" i="27"/>
  <c r="AF921" i="27"/>
  <c r="Q922" i="27"/>
  <c r="R922" i="27"/>
  <c r="AB922" i="27"/>
  <c r="AC922" i="27"/>
  <c r="AD922" i="27"/>
  <c r="AE922" i="27"/>
  <c r="AF922" i="27"/>
  <c r="Q923" i="27"/>
  <c r="R923" i="27"/>
  <c r="AB923" i="27"/>
  <c r="AC923" i="27"/>
  <c r="AD923" i="27"/>
  <c r="AE923" i="27"/>
  <c r="AF923" i="27"/>
  <c r="Q924" i="27"/>
  <c r="R924" i="27"/>
  <c r="AB924" i="27"/>
  <c r="AC924" i="27"/>
  <c r="AD924" i="27"/>
  <c r="AE924" i="27"/>
  <c r="AF924" i="27"/>
  <c r="Q925" i="27"/>
  <c r="R925" i="27"/>
  <c r="AB925" i="27"/>
  <c r="AC925" i="27"/>
  <c r="AD925" i="27"/>
  <c r="AE925" i="27"/>
  <c r="AF925" i="27"/>
  <c r="Q926" i="27"/>
  <c r="R926" i="27"/>
  <c r="AB926" i="27"/>
  <c r="AC926" i="27"/>
  <c r="AD926" i="27"/>
  <c r="AE926" i="27"/>
  <c r="AF926" i="27"/>
  <c r="Q927" i="27"/>
  <c r="R927" i="27"/>
  <c r="AB927" i="27"/>
  <c r="AC927" i="27"/>
  <c r="AD927" i="27"/>
  <c r="AE927" i="27"/>
  <c r="AF927" i="27"/>
  <c r="Q928" i="27"/>
  <c r="R928" i="27"/>
  <c r="AB928" i="27"/>
  <c r="AC928" i="27"/>
  <c r="AD928" i="27"/>
  <c r="AE928" i="27"/>
  <c r="AF928" i="27"/>
  <c r="Q929" i="27"/>
  <c r="R929" i="27"/>
  <c r="AB929" i="27"/>
  <c r="AC929" i="27"/>
  <c r="AD929" i="27"/>
  <c r="AE929" i="27"/>
  <c r="AF929" i="27"/>
  <c r="Q930" i="27"/>
  <c r="R930" i="27"/>
  <c r="AB930" i="27"/>
  <c r="AC930" i="27"/>
  <c r="AD930" i="27"/>
  <c r="AE930" i="27"/>
  <c r="AF930" i="27"/>
  <c r="Q931" i="27"/>
  <c r="R931" i="27"/>
  <c r="AB931" i="27"/>
  <c r="AC931" i="27"/>
  <c r="AD931" i="27"/>
  <c r="AE931" i="27"/>
  <c r="AF931" i="27"/>
  <c r="Q932" i="27"/>
  <c r="R932" i="27"/>
  <c r="AB932" i="27"/>
  <c r="AC932" i="27"/>
  <c r="AD932" i="27"/>
  <c r="AE932" i="27"/>
  <c r="AF932" i="27"/>
  <c r="Q933" i="27"/>
  <c r="R933" i="27"/>
  <c r="AB933" i="27"/>
  <c r="AC933" i="27"/>
  <c r="AD933" i="27"/>
  <c r="AE933" i="27"/>
  <c r="AF933" i="27"/>
  <c r="Q934" i="27"/>
  <c r="R934" i="27"/>
  <c r="AB934" i="27"/>
  <c r="AC934" i="27"/>
  <c r="AD934" i="27"/>
  <c r="AE934" i="27"/>
  <c r="AF934" i="27"/>
  <c r="Q935" i="27"/>
  <c r="R935" i="27"/>
  <c r="AB935" i="27"/>
  <c r="AC935" i="27"/>
  <c r="AD935" i="27"/>
  <c r="AE935" i="27"/>
  <c r="AF935" i="27"/>
  <c r="Q936" i="27"/>
  <c r="R936" i="27"/>
  <c r="AB936" i="27"/>
  <c r="AC936" i="27"/>
  <c r="AD936" i="27"/>
  <c r="AE936" i="27"/>
  <c r="AF936" i="27"/>
  <c r="Q937" i="27"/>
  <c r="R937" i="27"/>
  <c r="AB937" i="27"/>
  <c r="AC937" i="27"/>
  <c r="AD937" i="27"/>
  <c r="AE937" i="27"/>
  <c r="AF937" i="27"/>
  <c r="E938" i="27"/>
  <c r="I938" i="27"/>
  <c r="P938" i="27"/>
  <c r="Q938" i="27"/>
  <c r="R938" i="27"/>
  <c r="AB938" i="27"/>
  <c r="AC938" i="27"/>
  <c r="AD938" i="27"/>
  <c r="AE938" i="27"/>
  <c r="AF938" i="27"/>
  <c r="Q939" i="27"/>
  <c r="R939" i="27"/>
  <c r="AB939" i="27"/>
  <c r="AC939" i="27"/>
  <c r="AD939" i="27"/>
  <c r="AE939" i="27"/>
  <c r="AF939" i="27"/>
  <c r="Q940" i="27"/>
  <c r="R940" i="27"/>
  <c r="AB940" i="27"/>
  <c r="AC940" i="27"/>
  <c r="AD940" i="27"/>
  <c r="AE940" i="27"/>
  <c r="AF940" i="27"/>
  <c r="Q941" i="27"/>
  <c r="R941" i="27"/>
  <c r="AB941" i="27"/>
  <c r="AC941" i="27"/>
  <c r="AD941" i="27"/>
  <c r="AE941" i="27"/>
  <c r="AF941" i="27"/>
  <c r="Q942" i="27"/>
  <c r="R942" i="27"/>
  <c r="AB942" i="27"/>
  <c r="AC942" i="27"/>
  <c r="AD942" i="27"/>
  <c r="AE942" i="27"/>
  <c r="AF942" i="27"/>
  <c r="Q943" i="27"/>
  <c r="R943" i="27"/>
  <c r="AB943" i="27"/>
  <c r="AC943" i="27"/>
  <c r="AD943" i="27"/>
  <c r="AE943" i="27"/>
  <c r="AF943" i="27"/>
  <c r="Q944" i="27"/>
  <c r="R944" i="27"/>
  <c r="AB944" i="27"/>
  <c r="AC944" i="27"/>
  <c r="AD944" i="27"/>
  <c r="AE944" i="27"/>
  <c r="AF944" i="27"/>
  <c r="Q945" i="27"/>
  <c r="R945" i="27"/>
  <c r="AB945" i="27"/>
  <c r="AC945" i="27"/>
  <c r="AD945" i="27"/>
  <c r="AE945" i="27"/>
  <c r="AF945" i="27"/>
  <c r="Q946" i="27"/>
  <c r="R946" i="27"/>
  <c r="AB946" i="27"/>
  <c r="AC946" i="27"/>
  <c r="AD946" i="27"/>
  <c r="AE946" i="27"/>
  <c r="AF946" i="27"/>
  <c r="E947" i="27"/>
  <c r="I947" i="27"/>
  <c r="P947" i="27"/>
  <c r="Q947" i="27"/>
  <c r="R947" i="27"/>
  <c r="AB947" i="27"/>
  <c r="AC947" i="27"/>
  <c r="AD947" i="27"/>
  <c r="AE947" i="27"/>
  <c r="AF947" i="27"/>
  <c r="Q948" i="27"/>
  <c r="R948" i="27"/>
  <c r="AB948" i="27"/>
  <c r="AC948" i="27"/>
  <c r="AD948" i="27"/>
  <c r="AE948" i="27"/>
  <c r="AF948" i="27"/>
  <c r="Q949" i="27"/>
  <c r="R949" i="27"/>
  <c r="AB949" i="27"/>
  <c r="AC949" i="27"/>
  <c r="AD949" i="27"/>
  <c r="AE949" i="27"/>
  <c r="AF949" i="27"/>
  <c r="Q950" i="27"/>
  <c r="R950" i="27"/>
  <c r="AB950" i="27"/>
  <c r="AC950" i="27"/>
  <c r="AD950" i="27"/>
  <c r="AE950" i="27"/>
  <c r="AF950" i="27"/>
  <c r="Q951" i="27"/>
  <c r="R951" i="27"/>
  <c r="AB951" i="27"/>
  <c r="AC951" i="27"/>
  <c r="AD951" i="27"/>
  <c r="AE951" i="27"/>
  <c r="AF951" i="27"/>
  <c r="E952" i="27"/>
  <c r="I952" i="27"/>
  <c r="P952" i="27"/>
  <c r="Q952" i="27"/>
  <c r="R952" i="27"/>
  <c r="AB952" i="27"/>
  <c r="AC952" i="27"/>
  <c r="AD952" i="27"/>
  <c r="AE952" i="27"/>
  <c r="AF952" i="27"/>
  <c r="Q953" i="27"/>
  <c r="R953" i="27"/>
  <c r="AB953" i="27"/>
  <c r="AC953" i="27"/>
  <c r="AD953" i="27"/>
  <c r="AE953" i="27"/>
  <c r="AF953" i="27"/>
  <c r="Q954" i="27"/>
  <c r="R954" i="27"/>
  <c r="AB954" i="27"/>
  <c r="AC954" i="27"/>
  <c r="AD954" i="27"/>
  <c r="AE954" i="27"/>
  <c r="AF954" i="27"/>
  <c r="Q955" i="27"/>
  <c r="R955" i="27"/>
  <c r="AB955" i="27"/>
  <c r="AC955" i="27"/>
  <c r="AD955" i="27"/>
  <c r="AE955" i="27"/>
  <c r="AF955" i="27"/>
  <c r="Q956" i="27"/>
  <c r="R956" i="27"/>
  <c r="AB956" i="27"/>
  <c r="AC956" i="27"/>
  <c r="AD956" i="27"/>
  <c r="AE956" i="27"/>
  <c r="AF956" i="27"/>
  <c r="Q957" i="27"/>
  <c r="R957" i="27"/>
  <c r="AB957" i="27"/>
  <c r="AC957" i="27"/>
  <c r="AD957" i="27"/>
  <c r="AE957" i="27"/>
  <c r="AF957" i="27"/>
  <c r="Q958" i="27"/>
  <c r="R958" i="27"/>
  <c r="AB958" i="27"/>
  <c r="AC958" i="27"/>
  <c r="AD958" i="27"/>
  <c r="AE958" i="27"/>
  <c r="AF958" i="27"/>
  <c r="Q959" i="27"/>
  <c r="R959" i="27"/>
  <c r="AB959" i="27"/>
  <c r="AC959" i="27"/>
  <c r="AD959" i="27"/>
  <c r="AE959" i="27"/>
  <c r="AF959" i="27"/>
  <c r="Q960" i="27"/>
  <c r="R960" i="27"/>
  <c r="AB960" i="27"/>
  <c r="AC960" i="27"/>
  <c r="AD960" i="27"/>
  <c r="AE960" i="27"/>
  <c r="AF960" i="27"/>
  <c r="Q961" i="27"/>
  <c r="R961" i="27"/>
  <c r="AB961" i="27"/>
  <c r="AC961" i="27"/>
  <c r="AD961" i="27"/>
  <c r="AE961" i="27"/>
  <c r="AF961" i="27"/>
  <c r="E962" i="27"/>
  <c r="P962" i="27"/>
  <c r="Q962" i="27"/>
  <c r="R962" i="27"/>
  <c r="AB962" i="27"/>
  <c r="AC962" i="27"/>
  <c r="AD962" i="27"/>
  <c r="AE962" i="27"/>
  <c r="AF962" i="27"/>
  <c r="Q963" i="27"/>
  <c r="R963" i="27"/>
  <c r="AB963" i="27"/>
  <c r="AC963" i="27"/>
  <c r="AD963" i="27"/>
  <c r="AE963" i="27"/>
  <c r="AF963" i="27"/>
  <c r="P964" i="27"/>
  <c r="Q964" i="27"/>
  <c r="R964" i="27"/>
  <c r="AB964" i="27"/>
  <c r="AC964" i="27"/>
  <c r="AD964" i="27"/>
  <c r="AE964" i="27"/>
  <c r="AF964" i="27"/>
  <c r="Q965" i="27"/>
  <c r="R965" i="27"/>
  <c r="AB965" i="27"/>
  <c r="AC965" i="27"/>
  <c r="AD965" i="27"/>
  <c r="AE965" i="27"/>
  <c r="AF965" i="27"/>
  <c r="Q966" i="27"/>
  <c r="R966" i="27"/>
  <c r="AB966" i="27"/>
  <c r="AC966" i="27"/>
  <c r="AD966" i="27"/>
  <c r="AE966" i="27"/>
  <c r="AF966" i="27"/>
  <c r="Q967" i="27"/>
  <c r="R967" i="27"/>
  <c r="AB967" i="27"/>
  <c r="AC967" i="27"/>
  <c r="AD967" i="27"/>
  <c r="AE967" i="27"/>
  <c r="AF967" i="27"/>
  <c r="Q968" i="27"/>
  <c r="R968" i="27"/>
  <c r="AB968" i="27"/>
  <c r="AC968" i="27"/>
  <c r="AD968" i="27"/>
  <c r="AE968" i="27"/>
  <c r="AF968" i="27"/>
  <c r="Q969" i="27"/>
  <c r="R969" i="27"/>
  <c r="AB969" i="27"/>
  <c r="AC969" i="27"/>
  <c r="AD969" i="27"/>
  <c r="AE969" i="27"/>
  <c r="AF969" i="27"/>
  <c r="Q970" i="27"/>
  <c r="R970" i="27"/>
  <c r="AB970" i="27"/>
  <c r="AC970" i="27"/>
  <c r="AD970" i="27"/>
  <c r="AE970" i="27"/>
  <c r="AF970" i="27"/>
  <c r="E971" i="27"/>
  <c r="P971" i="27"/>
  <c r="Q971" i="27"/>
  <c r="R971" i="27"/>
  <c r="AB971" i="27"/>
  <c r="AC971" i="27"/>
  <c r="AD971" i="27"/>
  <c r="AE971" i="27"/>
  <c r="AF971" i="27"/>
  <c r="Q972" i="27"/>
  <c r="R972" i="27"/>
  <c r="AB972" i="27"/>
  <c r="AC972" i="27"/>
  <c r="AD972" i="27"/>
  <c r="AE972" i="27"/>
  <c r="AF972" i="27"/>
  <c r="Q973" i="27"/>
  <c r="R973" i="27"/>
  <c r="AB973" i="27"/>
  <c r="AC973" i="27"/>
  <c r="AD973" i="27"/>
  <c r="AE973" i="27"/>
  <c r="AF973" i="27"/>
  <c r="P974" i="27"/>
  <c r="Q974" i="27"/>
  <c r="R974" i="27"/>
  <c r="AB974" i="27"/>
  <c r="AC974" i="27"/>
  <c r="AD974" i="27"/>
  <c r="AE974" i="27"/>
  <c r="AF974" i="27"/>
  <c r="P975" i="27"/>
  <c r="Q975" i="27"/>
  <c r="R975" i="27"/>
  <c r="AB975" i="27"/>
  <c r="AC975" i="27"/>
  <c r="AD975" i="27"/>
  <c r="AE975" i="27"/>
  <c r="AF975" i="27"/>
  <c r="Q976" i="27"/>
  <c r="R976" i="27"/>
  <c r="AB976" i="27"/>
  <c r="AC976" i="27"/>
  <c r="AD976" i="27"/>
  <c r="AE976" i="27"/>
  <c r="AF976" i="27"/>
  <c r="Q977" i="27"/>
  <c r="R977" i="27"/>
  <c r="AB977" i="27"/>
  <c r="AC977" i="27"/>
  <c r="AD977" i="27"/>
  <c r="AE977" i="27"/>
  <c r="AF977" i="27"/>
  <c r="Q978" i="27"/>
  <c r="R978" i="27"/>
  <c r="AB978" i="27"/>
  <c r="AC978" i="27"/>
  <c r="AD978" i="27"/>
  <c r="AE978" i="27"/>
  <c r="AF978" i="27"/>
  <c r="Q979" i="27"/>
  <c r="R979" i="27"/>
  <c r="AB979" i="27"/>
  <c r="AC979" i="27"/>
  <c r="AD979" i="27"/>
  <c r="AE979" i="27"/>
  <c r="AF979" i="27"/>
  <c r="E980" i="27"/>
  <c r="P980" i="27"/>
  <c r="Q980" i="27"/>
  <c r="R980" i="27"/>
  <c r="AB980" i="27"/>
  <c r="AC980" i="27"/>
  <c r="AD980" i="27"/>
  <c r="AE980" i="27"/>
  <c r="AF980" i="27"/>
  <c r="Q981" i="27"/>
  <c r="R981" i="27"/>
  <c r="AB981" i="27"/>
  <c r="AC981" i="27"/>
  <c r="AD981" i="27"/>
  <c r="AE981" i="27"/>
  <c r="AF981" i="27"/>
  <c r="Q982" i="27"/>
  <c r="R982" i="27"/>
  <c r="AB982" i="27"/>
  <c r="AC982" i="27"/>
  <c r="AD982" i="27"/>
  <c r="AE982" i="27"/>
  <c r="AF982" i="27"/>
  <c r="Q983" i="27"/>
  <c r="R983" i="27"/>
  <c r="AB983" i="27"/>
  <c r="AC983" i="27"/>
  <c r="AD983" i="27"/>
  <c r="AE983" i="27"/>
  <c r="AF983" i="27"/>
  <c r="Q984" i="27"/>
  <c r="R984" i="27"/>
  <c r="AB984" i="27"/>
  <c r="AC984" i="27"/>
  <c r="AD984" i="27"/>
  <c r="AE984" i="27"/>
  <c r="AF984" i="27"/>
  <c r="Q985" i="27"/>
  <c r="R985" i="27"/>
  <c r="AB985" i="27"/>
  <c r="AC985" i="27"/>
  <c r="AD985" i="27"/>
  <c r="AE985" i="27"/>
  <c r="AF985" i="27"/>
  <c r="Q986" i="27"/>
  <c r="R986" i="27"/>
  <c r="AB986" i="27"/>
  <c r="AC986" i="27"/>
  <c r="AD986" i="27"/>
  <c r="AE986" i="27"/>
  <c r="AF986" i="27"/>
  <c r="Q987" i="27"/>
  <c r="R987" i="27"/>
  <c r="AB987" i="27"/>
  <c r="AC987" i="27"/>
  <c r="AD987" i="27"/>
  <c r="AE987" i="27"/>
  <c r="AF987" i="27"/>
  <c r="Q988" i="27"/>
  <c r="R988" i="27"/>
  <c r="AB988" i="27"/>
  <c r="AC988" i="27"/>
  <c r="AD988" i="27"/>
  <c r="AE988" i="27"/>
  <c r="AF988" i="27"/>
  <c r="Q989" i="27"/>
  <c r="R989" i="27"/>
  <c r="AB989" i="27"/>
  <c r="AC989" i="27"/>
  <c r="AD989" i="27"/>
  <c r="AE989" i="27"/>
  <c r="AF989" i="27"/>
  <c r="Q990" i="27"/>
  <c r="R990" i="27"/>
  <c r="AB990" i="27"/>
  <c r="AC990" i="27"/>
  <c r="AD990" i="27"/>
  <c r="AE990" i="27"/>
  <c r="AF990" i="27"/>
  <c r="Q991" i="27"/>
  <c r="R991" i="27"/>
  <c r="AB991" i="27"/>
  <c r="AC991" i="27"/>
  <c r="AD991" i="27"/>
  <c r="AE991" i="27"/>
  <c r="AF991" i="27"/>
  <c r="Q992" i="27"/>
  <c r="R992" i="27"/>
  <c r="AB992" i="27"/>
  <c r="AC992" i="27"/>
  <c r="AD992" i="27"/>
  <c r="AE992" i="27"/>
  <c r="AF992" i="27"/>
  <c r="Q993" i="27"/>
  <c r="R993" i="27"/>
  <c r="AB993" i="27"/>
  <c r="AC993" i="27"/>
  <c r="AD993" i="27"/>
  <c r="AE993" i="27"/>
  <c r="AF993" i="27"/>
  <c r="Q994" i="27"/>
  <c r="R994" i="27"/>
  <c r="AB994" i="27"/>
  <c r="AC994" i="27"/>
  <c r="AD994" i="27"/>
  <c r="AE994" i="27"/>
  <c r="AF994" i="27"/>
  <c r="Q995" i="27"/>
  <c r="R995" i="27"/>
  <c r="AB995" i="27"/>
  <c r="AC995" i="27"/>
  <c r="AD995" i="27"/>
  <c r="AE995" i="27"/>
  <c r="AF995" i="27"/>
  <c r="E996" i="27"/>
  <c r="P996" i="27"/>
  <c r="Q996" i="27"/>
  <c r="R996" i="27"/>
  <c r="AB996" i="27"/>
  <c r="AC996" i="27"/>
  <c r="AD996" i="27"/>
  <c r="AE996" i="27"/>
  <c r="AF996" i="27"/>
  <c r="I997" i="27"/>
  <c r="P997" i="27"/>
  <c r="Q997" i="27"/>
  <c r="R997" i="27"/>
  <c r="AB997" i="27"/>
  <c r="AC997" i="27"/>
  <c r="AD997" i="27"/>
  <c r="AE997" i="27"/>
  <c r="AF997" i="27"/>
  <c r="Q998" i="27"/>
  <c r="R998" i="27"/>
  <c r="AB998" i="27"/>
  <c r="AC998" i="27"/>
  <c r="AD998" i="27"/>
  <c r="AE998" i="27"/>
  <c r="AF998" i="27"/>
  <c r="Q999" i="27"/>
  <c r="R999" i="27"/>
  <c r="AB999" i="27"/>
  <c r="AC999" i="27"/>
  <c r="AD999" i="27"/>
  <c r="AE999" i="27"/>
  <c r="AF999" i="27"/>
  <c r="Q1000" i="27"/>
  <c r="R1000" i="27"/>
  <c r="AB1000" i="27"/>
  <c r="AC1000" i="27"/>
  <c r="AD1000" i="27"/>
  <c r="AE1000" i="27"/>
  <c r="AF1000" i="27"/>
  <c r="Q1001" i="27"/>
  <c r="R1001" i="27"/>
  <c r="AB1001" i="27"/>
  <c r="AC1001" i="27"/>
  <c r="AD1001" i="27"/>
  <c r="AE1001" i="27"/>
  <c r="AF1001" i="27"/>
  <c r="Q1002" i="27"/>
  <c r="R1002" i="27"/>
  <c r="AB1002" i="27"/>
  <c r="AC1002" i="27"/>
  <c r="AD1002" i="27"/>
  <c r="AE1002" i="27"/>
  <c r="AF1002" i="27"/>
  <c r="Q1003" i="27"/>
  <c r="R1003" i="27"/>
  <c r="AB1003" i="27"/>
  <c r="AC1003" i="27"/>
  <c r="AD1003" i="27"/>
  <c r="AE1003" i="27"/>
  <c r="AF1003" i="27"/>
  <c r="Q1004" i="27"/>
  <c r="R1004" i="27"/>
  <c r="AB1004" i="27"/>
  <c r="AC1004" i="27"/>
  <c r="AD1004" i="27"/>
  <c r="AE1004" i="27"/>
  <c r="AF1004" i="27"/>
  <c r="Q1005" i="27"/>
  <c r="R1005" i="27"/>
  <c r="AB1005" i="27"/>
  <c r="AC1005" i="27"/>
  <c r="AD1005" i="27"/>
  <c r="AE1005" i="27"/>
  <c r="AF1005" i="27"/>
  <c r="E1006" i="27"/>
  <c r="I1006" i="27"/>
  <c r="P1006" i="27"/>
  <c r="Q1006" i="27"/>
  <c r="R1006" i="27"/>
  <c r="AB1006" i="27"/>
  <c r="AC1006" i="27"/>
  <c r="AD1006" i="27"/>
  <c r="AE1006" i="27"/>
  <c r="AF1006" i="27"/>
  <c r="Q1007" i="27"/>
  <c r="R1007" i="27"/>
  <c r="AB1007" i="27"/>
  <c r="AC1007" i="27"/>
  <c r="AD1007" i="27"/>
  <c r="AE1007" i="27"/>
  <c r="AF1007" i="27"/>
  <c r="Q1008" i="27"/>
  <c r="R1008" i="27"/>
  <c r="AB1008" i="27"/>
  <c r="AC1008" i="27"/>
  <c r="AD1008" i="27"/>
  <c r="AE1008" i="27"/>
  <c r="AF1008" i="27"/>
  <c r="Q1009" i="27"/>
  <c r="R1009" i="27"/>
  <c r="AB1009" i="27"/>
  <c r="AC1009" i="27"/>
  <c r="AD1009" i="27"/>
  <c r="AE1009" i="27"/>
  <c r="AF1009" i="27"/>
  <c r="Q1010" i="27"/>
  <c r="R1010" i="27"/>
  <c r="AB1010" i="27"/>
  <c r="AC1010" i="27"/>
  <c r="AD1010" i="27"/>
  <c r="AE1010" i="27"/>
  <c r="AF1010" i="27"/>
  <c r="Q1011" i="27"/>
  <c r="R1011" i="27"/>
  <c r="AB1011" i="27"/>
  <c r="AC1011" i="27"/>
  <c r="AD1011" i="27"/>
  <c r="AE1011" i="27"/>
  <c r="AF1011" i="27"/>
  <c r="Q1012" i="27"/>
  <c r="R1012" i="27"/>
  <c r="AB1012" i="27"/>
  <c r="AC1012" i="27"/>
  <c r="AD1012" i="27"/>
  <c r="AE1012" i="27"/>
  <c r="AF1012" i="27"/>
  <c r="Q1013" i="27"/>
  <c r="R1013" i="27"/>
  <c r="AB1013" i="27"/>
  <c r="AC1013" i="27"/>
  <c r="AD1013" i="27"/>
  <c r="AE1013" i="27"/>
  <c r="AF1013" i="27"/>
  <c r="Q1014" i="27"/>
  <c r="R1014" i="27"/>
  <c r="AB1014" i="27"/>
  <c r="AC1014" i="27"/>
  <c r="AD1014" i="27"/>
  <c r="AE1014" i="27"/>
  <c r="AF1014" i="27"/>
  <c r="Q1015" i="27"/>
  <c r="R1015" i="27"/>
  <c r="AB1015" i="27"/>
  <c r="AC1015" i="27"/>
  <c r="AD1015" i="27"/>
  <c r="AE1015" i="27"/>
  <c r="AF1015" i="27"/>
  <c r="Q1016" i="27"/>
  <c r="R1016" i="27"/>
  <c r="AB1016" i="27"/>
  <c r="AC1016" i="27"/>
  <c r="AD1016" i="27"/>
  <c r="AE1016" i="27"/>
  <c r="AF1016" i="27"/>
  <c r="Q1017" i="27"/>
  <c r="R1017" i="27"/>
  <c r="AB1017" i="27"/>
  <c r="AC1017" i="27"/>
  <c r="AD1017" i="27"/>
  <c r="AE1017" i="27"/>
  <c r="AF1017" i="27"/>
  <c r="Q1018" i="27"/>
  <c r="R1018" i="27"/>
  <c r="AB1018" i="27"/>
  <c r="AC1018" i="27"/>
  <c r="AD1018" i="27"/>
  <c r="AE1018" i="27"/>
  <c r="AF1018" i="27"/>
  <c r="Q1019" i="27"/>
  <c r="R1019" i="27"/>
  <c r="AB1019" i="27"/>
  <c r="AC1019" i="27"/>
  <c r="AD1019" i="27"/>
  <c r="AE1019" i="27"/>
  <c r="AF1019" i="27"/>
  <c r="Q1020" i="27"/>
  <c r="R1020" i="27"/>
  <c r="AB1020" i="27"/>
  <c r="AC1020" i="27"/>
  <c r="AD1020" i="27"/>
  <c r="AE1020" i="27"/>
  <c r="AF1020" i="27"/>
  <c r="Q1021" i="27"/>
  <c r="R1021" i="27"/>
  <c r="AB1021" i="27"/>
  <c r="AC1021" i="27"/>
  <c r="AD1021" i="27"/>
  <c r="AE1021" i="27"/>
  <c r="AF1021" i="27"/>
  <c r="Q1022" i="27"/>
  <c r="R1022" i="27"/>
  <c r="AB1022" i="27"/>
  <c r="AC1022" i="27"/>
  <c r="AD1022" i="27"/>
  <c r="AE1022" i="27"/>
  <c r="AF1022" i="27"/>
  <c r="Q1023" i="27"/>
  <c r="R1023" i="27"/>
  <c r="AB1023" i="27"/>
  <c r="AC1023" i="27"/>
  <c r="AD1023" i="27"/>
  <c r="AE1023" i="27"/>
  <c r="AF1023" i="27"/>
  <c r="Q1024" i="27"/>
  <c r="R1024" i="27"/>
  <c r="AB1024" i="27"/>
  <c r="AC1024" i="27"/>
  <c r="AD1024" i="27"/>
  <c r="AE1024" i="27"/>
  <c r="AF1024" i="27"/>
  <c r="Q1025" i="27"/>
  <c r="R1025" i="27"/>
  <c r="AB1025" i="27"/>
  <c r="AC1025" i="27"/>
  <c r="AD1025" i="27"/>
  <c r="AE1025" i="27"/>
  <c r="AF1025" i="27"/>
  <c r="Q1026" i="27"/>
  <c r="R1026" i="27"/>
  <c r="AB1026" i="27"/>
  <c r="AC1026" i="27"/>
  <c r="AD1026" i="27"/>
  <c r="AE1026" i="27"/>
  <c r="AF1026" i="27"/>
  <c r="Q1027" i="27"/>
  <c r="R1027" i="27"/>
  <c r="AB1027" i="27"/>
  <c r="AC1027" i="27"/>
  <c r="AD1027" i="27"/>
  <c r="AE1027" i="27"/>
  <c r="AF1027" i="27"/>
  <c r="Q1028" i="27"/>
  <c r="R1028" i="27"/>
  <c r="AB1028" i="27"/>
  <c r="AC1028" i="27"/>
  <c r="AD1028" i="27"/>
  <c r="AE1028" i="27"/>
  <c r="AF1028" i="27"/>
  <c r="E1029" i="27"/>
  <c r="P1029" i="27"/>
  <c r="Q1029" i="27"/>
  <c r="R1029" i="27"/>
  <c r="AB1029" i="27"/>
  <c r="AC1029" i="27"/>
  <c r="AD1029" i="27"/>
  <c r="AE1029" i="27"/>
  <c r="AF1029" i="27"/>
  <c r="E1030" i="27"/>
  <c r="P1030" i="27"/>
  <c r="Q1030" i="27"/>
  <c r="R1030" i="27"/>
  <c r="AB1030" i="27"/>
  <c r="AC1030" i="27"/>
  <c r="AD1030" i="27"/>
  <c r="AE1030" i="27"/>
  <c r="AF1030" i="27"/>
  <c r="Q1031" i="27"/>
  <c r="R1031" i="27"/>
  <c r="AB1031" i="27"/>
  <c r="AC1031" i="27"/>
  <c r="AD1031" i="27"/>
  <c r="AE1031" i="27"/>
  <c r="AF1031" i="27"/>
  <c r="Q1032" i="27"/>
  <c r="R1032" i="27"/>
  <c r="AB1032" i="27"/>
  <c r="AC1032" i="27"/>
  <c r="AD1032" i="27"/>
  <c r="AE1032" i="27"/>
  <c r="AF1032" i="27"/>
  <c r="Q1033" i="27"/>
  <c r="R1033" i="27"/>
  <c r="AB1033" i="27"/>
  <c r="AC1033" i="27"/>
  <c r="AD1033" i="27"/>
  <c r="AE1033" i="27"/>
  <c r="AF1033" i="27"/>
  <c r="Q1034" i="27"/>
  <c r="R1034" i="27"/>
  <c r="AB1034" i="27"/>
  <c r="AC1034" i="27"/>
  <c r="AD1034" i="27"/>
  <c r="AE1034" i="27"/>
  <c r="AF1034" i="27"/>
  <c r="E1035" i="27"/>
  <c r="P1035" i="27"/>
  <c r="Q1035" i="27"/>
  <c r="R1035" i="27"/>
  <c r="AB1035" i="27"/>
  <c r="AC1035" i="27"/>
  <c r="AD1035" i="27"/>
  <c r="AE1035" i="27"/>
  <c r="AF1035" i="27"/>
  <c r="Q1036" i="27"/>
  <c r="R1036" i="27"/>
  <c r="AB1036" i="27"/>
  <c r="AC1036" i="27"/>
  <c r="AD1036" i="27"/>
  <c r="AE1036" i="27"/>
  <c r="AF1036" i="27"/>
  <c r="E1037" i="27"/>
  <c r="P1037" i="27"/>
  <c r="Q1037" i="27"/>
  <c r="R1037" i="27"/>
  <c r="AB1037" i="27"/>
  <c r="AC1037" i="27"/>
  <c r="AD1037" i="27"/>
  <c r="AE1037" i="27"/>
  <c r="AF1037" i="27"/>
  <c r="Q1038" i="27"/>
  <c r="R1038" i="27"/>
  <c r="AB1038" i="27"/>
  <c r="AC1038" i="27"/>
  <c r="AD1038" i="27"/>
  <c r="AE1038" i="27"/>
  <c r="AF1038" i="27"/>
  <c r="Q1039" i="27"/>
  <c r="R1039" i="27"/>
  <c r="AB1039" i="27"/>
  <c r="AC1039" i="27"/>
  <c r="AD1039" i="27"/>
  <c r="AE1039" i="27"/>
  <c r="AF1039" i="27"/>
  <c r="E1040" i="27"/>
  <c r="P1040" i="27"/>
  <c r="Q1040" i="27"/>
  <c r="R1040" i="27"/>
  <c r="AB1040" i="27"/>
  <c r="AC1040" i="27"/>
  <c r="AD1040" i="27"/>
  <c r="AE1040" i="27"/>
  <c r="AF1040" i="27"/>
  <c r="Q1041" i="27"/>
  <c r="R1041" i="27"/>
  <c r="AB1041" i="27"/>
  <c r="AC1041" i="27"/>
  <c r="AD1041" i="27"/>
  <c r="AE1041" i="27"/>
  <c r="AF1041" i="27"/>
  <c r="Q1042" i="27"/>
  <c r="R1042" i="27"/>
  <c r="AB1042" i="27"/>
  <c r="AC1042" i="27"/>
  <c r="AD1042" i="27"/>
  <c r="AE1042" i="27"/>
  <c r="AF1042" i="27"/>
  <c r="Q1043" i="27"/>
  <c r="R1043" i="27"/>
  <c r="AB1043" i="27"/>
  <c r="AC1043" i="27"/>
  <c r="AD1043" i="27"/>
  <c r="AE1043" i="27"/>
  <c r="AF1043" i="27"/>
  <c r="Q1044" i="27"/>
  <c r="R1044" i="27"/>
  <c r="AB1044" i="27"/>
  <c r="AC1044" i="27"/>
  <c r="AD1044" i="27"/>
  <c r="AE1044" i="27"/>
  <c r="AF1044" i="27"/>
  <c r="Q1045" i="27"/>
  <c r="R1045" i="27"/>
  <c r="AB1045" i="27"/>
  <c r="AC1045" i="27"/>
  <c r="AD1045" i="27"/>
  <c r="AE1045" i="27"/>
  <c r="AF1045" i="27"/>
  <c r="Q1046" i="27"/>
  <c r="R1046" i="27"/>
  <c r="AB1046" i="27"/>
  <c r="AC1046" i="27"/>
  <c r="AD1046" i="27"/>
  <c r="AE1046" i="27"/>
  <c r="AF1046" i="27"/>
  <c r="Q1047" i="27"/>
  <c r="R1047" i="27"/>
  <c r="AB1047" i="27"/>
  <c r="AC1047" i="27"/>
  <c r="AD1047" i="27"/>
  <c r="AE1047" i="27"/>
  <c r="AF1047" i="27"/>
  <c r="Q1048" i="27"/>
  <c r="R1048" i="27"/>
  <c r="AB1048" i="27"/>
  <c r="AC1048" i="27"/>
  <c r="AD1048" i="27"/>
  <c r="AE1048" i="27"/>
  <c r="AF1048" i="27"/>
  <c r="Q1049" i="27"/>
  <c r="R1049" i="27"/>
  <c r="AB1049" i="27"/>
  <c r="AC1049" i="27"/>
  <c r="AD1049" i="27"/>
  <c r="AE1049" i="27"/>
  <c r="AF1049" i="27"/>
  <c r="Q1050" i="27"/>
  <c r="R1050" i="27"/>
  <c r="AB1050" i="27"/>
  <c r="AC1050" i="27"/>
  <c r="AD1050" i="27"/>
  <c r="AE1050" i="27"/>
  <c r="AF1050" i="27"/>
  <c r="Q1051" i="27"/>
  <c r="R1051" i="27"/>
  <c r="AB1051" i="27"/>
  <c r="AC1051" i="27"/>
  <c r="AD1051" i="27"/>
  <c r="AE1051" i="27"/>
  <c r="AF1051" i="27"/>
  <c r="Q1052" i="27"/>
  <c r="R1052" i="27"/>
  <c r="AB1052" i="27"/>
  <c r="AC1052" i="27"/>
  <c r="AD1052" i="27"/>
  <c r="AE1052" i="27"/>
  <c r="AF1052" i="27"/>
  <c r="Q1053" i="27"/>
  <c r="R1053" i="27"/>
  <c r="AB1053" i="27"/>
  <c r="AC1053" i="27"/>
  <c r="AD1053" i="27"/>
  <c r="AE1053" i="27"/>
  <c r="AF1053" i="27"/>
  <c r="E1054" i="27"/>
  <c r="P1054" i="27"/>
  <c r="Q1054" i="27"/>
  <c r="R1054" i="27"/>
  <c r="AB1054" i="27"/>
  <c r="AC1054" i="27"/>
  <c r="AD1054" i="27"/>
  <c r="AE1054" i="27"/>
  <c r="AF1054" i="27"/>
  <c r="E1055" i="27"/>
  <c r="P1055" i="27"/>
  <c r="Q1055" i="27"/>
  <c r="R1055" i="27"/>
  <c r="AB1055" i="27"/>
  <c r="AC1055" i="27"/>
  <c r="AD1055" i="27"/>
  <c r="AE1055" i="27"/>
  <c r="AF1055" i="27"/>
  <c r="Q1056" i="27"/>
  <c r="R1056" i="27"/>
  <c r="AB1056" i="27"/>
  <c r="AC1056" i="27"/>
  <c r="AD1056" i="27"/>
  <c r="AE1056" i="27"/>
  <c r="AF1056" i="27"/>
  <c r="Q1057" i="27"/>
  <c r="R1057" i="27"/>
  <c r="AB1057" i="27"/>
  <c r="AC1057" i="27"/>
  <c r="AD1057" i="27"/>
  <c r="AE1057" i="27"/>
  <c r="AF1057" i="27"/>
  <c r="Q1058" i="27"/>
  <c r="R1058" i="27"/>
  <c r="AB1058" i="27"/>
  <c r="AC1058" i="27"/>
  <c r="AD1058" i="27"/>
  <c r="AE1058" i="27"/>
  <c r="AF1058" i="27"/>
  <c r="Q1059" i="27"/>
  <c r="R1059" i="27"/>
  <c r="AB1059" i="27"/>
  <c r="AC1059" i="27"/>
  <c r="AD1059" i="27"/>
  <c r="AE1059" i="27"/>
  <c r="AF1059" i="27"/>
  <c r="Q1060" i="27"/>
  <c r="R1060" i="27"/>
  <c r="AB1060" i="27"/>
  <c r="AC1060" i="27"/>
  <c r="AD1060" i="27"/>
  <c r="AE1060" i="27"/>
  <c r="AF1060" i="27"/>
  <c r="Q1061" i="27"/>
  <c r="R1061" i="27"/>
  <c r="AB1061" i="27"/>
  <c r="AC1061" i="27"/>
  <c r="AD1061" i="27"/>
  <c r="AE1061" i="27"/>
  <c r="AF1061" i="27"/>
  <c r="Q1062" i="27"/>
  <c r="R1062" i="27"/>
  <c r="AB1062" i="27"/>
  <c r="AC1062" i="27"/>
  <c r="AD1062" i="27"/>
  <c r="AE1062" i="27"/>
  <c r="AF1062" i="27"/>
  <c r="Q1063" i="27"/>
  <c r="R1063" i="27"/>
  <c r="AB1063" i="27"/>
  <c r="AC1063" i="27"/>
  <c r="AD1063" i="27"/>
  <c r="AE1063" i="27"/>
  <c r="AF1063" i="27"/>
  <c r="Q1064" i="27"/>
  <c r="R1064" i="27"/>
  <c r="AB1064" i="27"/>
  <c r="AC1064" i="27"/>
  <c r="AD1064" i="27"/>
  <c r="AE1064" i="27"/>
  <c r="AF1064" i="27"/>
  <c r="Q1065" i="27"/>
  <c r="R1065" i="27"/>
  <c r="AB1065" i="27"/>
  <c r="AC1065" i="27"/>
  <c r="AD1065" i="27"/>
  <c r="AE1065" i="27"/>
  <c r="AF1065" i="27"/>
  <c r="Q1066" i="27"/>
  <c r="R1066" i="27"/>
  <c r="AB1066" i="27"/>
  <c r="AC1066" i="27"/>
  <c r="AD1066" i="27"/>
  <c r="AE1066" i="27"/>
  <c r="AF1066" i="27"/>
  <c r="Q1067" i="27"/>
  <c r="R1067" i="27"/>
  <c r="AB1067" i="27"/>
  <c r="AC1067" i="27"/>
  <c r="AD1067" i="27"/>
  <c r="AE1067" i="27"/>
  <c r="AF1067" i="27"/>
  <c r="Q1068" i="27"/>
  <c r="R1068" i="27"/>
  <c r="AB1068" i="27"/>
  <c r="AC1068" i="27"/>
  <c r="AD1068" i="27"/>
  <c r="AE1068" i="27"/>
  <c r="AF1068" i="27"/>
  <c r="Q1069" i="27"/>
  <c r="R1069" i="27"/>
  <c r="AB1069" i="27"/>
  <c r="AC1069" i="27"/>
  <c r="AD1069" i="27"/>
  <c r="AE1069" i="27"/>
  <c r="AF1069" i="27"/>
  <c r="Q1070" i="27"/>
  <c r="R1070" i="27"/>
  <c r="AB1070" i="27"/>
  <c r="AC1070" i="27"/>
  <c r="AD1070" i="27"/>
  <c r="AE1070" i="27"/>
  <c r="AF1070" i="27"/>
  <c r="E1071" i="27"/>
  <c r="P1071" i="27"/>
  <c r="Q1071" i="27"/>
  <c r="R1071" i="27"/>
  <c r="AB1071" i="27"/>
  <c r="AC1071" i="27"/>
  <c r="AD1071" i="27"/>
  <c r="AE1071" i="27"/>
  <c r="AF1071" i="27"/>
  <c r="Q1072" i="27"/>
  <c r="R1072" i="27"/>
  <c r="AB1072" i="27"/>
  <c r="AC1072" i="27"/>
  <c r="AD1072" i="27"/>
  <c r="AE1072" i="27"/>
  <c r="AF1072" i="27"/>
  <c r="Q1073" i="27"/>
  <c r="R1073" i="27"/>
  <c r="AB1073" i="27"/>
  <c r="AC1073" i="27"/>
  <c r="AD1073" i="27"/>
  <c r="AE1073" i="27"/>
  <c r="AF1073" i="27"/>
  <c r="Q1074" i="27"/>
  <c r="R1074" i="27"/>
  <c r="AB1074" i="27"/>
  <c r="AC1074" i="27"/>
  <c r="AD1074" i="27"/>
  <c r="AE1074" i="27"/>
  <c r="AF1074" i="27"/>
  <c r="Q1075" i="27"/>
  <c r="R1075" i="27"/>
  <c r="AB1075" i="27"/>
  <c r="AC1075" i="27"/>
  <c r="AD1075" i="27"/>
  <c r="AE1075" i="27"/>
  <c r="AF1075" i="27"/>
  <c r="Q1076" i="27"/>
  <c r="R1076" i="27"/>
  <c r="AB1076" i="27"/>
  <c r="AC1076" i="27"/>
  <c r="AD1076" i="27"/>
  <c r="AE1076" i="27"/>
  <c r="AF1076" i="27"/>
  <c r="Q1077" i="27"/>
  <c r="R1077" i="27"/>
  <c r="AB1077" i="27"/>
  <c r="AC1077" i="27"/>
  <c r="AD1077" i="27"/>
  <c r="AE1077" i="27"/>
  <c r="AF1077" i="27"/>
  <c r="Q1078" i="27"/>
  <c r="R1078" i="27"/>
  <c r="AB1078" i="27"/>
  <c r="AC1078" i="27"/>
  <c r="AD1078" i="27"/>
  <c r="AE1078" i="27"/>
  <c r="AF1078" i="27"/>
  <c r="Q1079" i="27"/>
  <c r="R1079" i="27"/>
  <c r="AB1079" i="27"/>
  <c r="AC1079" i="27"/>
  <c r="AD1079" i="27"/>
  <c r="AE1079" i="27"/>
  <c r="AF1079" i="27"/>
  <c r="Q1080" i="27"/>
  <c r="R1080" i="27"/>
  <c r="AB1080" i="27"/>
  <c r="AC1080" i="27"/>
  <c r="AD1080" i="27"/>
  <c r="AE1080" i="27"/>
  <c r="AF1080" i="27"/>
  <c r="Q1081" i="27"/>
  <c r="R1081" i="27"/>
  <c r="AB1081" i="27"/>
  <c r="AC1081" i="27"/>
  <c r="AD1081" i="27"/>
  <c r="AE1081" i="27"/>
  <c r="AF1081" i="27"/>
  <c r="Q1082" i="27"/>
  <c r="R1082" i="27"/>
  <c r="AB1082" i="27"/>
  <c r="AC1082" i="27"/>
  <c r="AD1082" i="27"/>
  <c r="AE1082" i="27"/>
  <c r="AF1082" i="27"/>
  <c r="Q1083" i="27"/>
  <c r="R1083" i="27"/>
  <c r="AB1083" i="27"/>
  <c r="AC1083" i="27"/>
  <c r="AD1083" i="27"/>
  <c r="AE1083" i="27"/>
  <c r="AF1083" i="27"/>
  <c r="Q1084" i="27"/>
  <c r="R1084" i="27"/>
  <c r="AB1084" i="27"/>
  <c r="AC1084" i="27"/>
  <c r="AD1084" i="27"/>
  <c r="AE1084" i="27"/>
  <c r="AF1084" i="27"/>
  <c r="Q1085" i="27"/>
  <c r="R1085" i="27"/>
  <c r="AB1085" i="27"/>
  <c r="AC1085" i="27"/>
  <c r="AD1085" i="27"/>
  <c r="AE1085" i="27"/>
  <c r="AF1085" i="27"/>
  <c r="Q1086" i="27"/>
  <c r="R1086" i="27"/>
  <c r="AB1086" i="27"/>
  <c r="AC1086" i="27"/>
  <c r="AD1086" i="27"/>
  <c r="AE1086" i="27"/>
  <c r="AF1086" i="27"/>
  <c r="Q1087" i="27"/>
  <c r="R1087" i="27"/>
  <c r="AB1087" i="27"/>
  <c r="AC1087" i="27"/>
  <c r="AD1087" i="27"/>
  <c r="AE1087" i="27"/>
  <c r="AF1087" i="27"/>
  <c r="Q1088" i="27"/>
  <c r="R1088" i="27"/>
  <c r="AB1088" i="27"/>
  <c r="AC1088" i="27"/>
  <c r="AD1088" i="27"/>
  <c r="AE1088" i="27"/>
  <c r="AF1088" i="27"/>
  <c r="Q1089" i="27"/>
  <c r="R1089" i="27"/>
  <c r="AB1089" i="27"/>
  <c r="AC1089" i="27"/>
  <c r="AD1089" i="27"/>
  <c r="AE1089" i="27"/>
  <c r="AF1089" i="27"/>
  <c r="Q1090" i="27"/>
  <c r="R1090" i="27"/>
  <c r="AB1090" i="27"/>
  <c r="AC1090" i="27"/>
  <c r="AD1090" i="27"/>
  <c r="AE1090" i="27"/>
  <c r="AF1090" i="27"/>
  <c r="E1091" i="27"/>
  <c r="P1091" i="27"/>
  <c r="Q1091" i="27"/>
  <c r="R1091" i="27"/>
  <c r="AB1091" i="27"/>
  <c r="AC1091" i="27"/>
  <c r="AD1091" i="27"/>
  <c r="AE1091" i="27"/>
  <c r="AF1091" i="27"/>
  <c r="E1092" i="27"/>
  <c r="P1092" i="27"/>
  <c r="Q1092" i="27"/>
  <c r="R1092" i="27"/>
  <c r="AB1092" i="27"/>
  <c r="AC1092" i="27"/>
  <c r="AD1092" i="27"/>
  <c r="AE1092" i="27"/>
  <c r="AF1092" i="27"/>
  <c r="Q1093" i="27"/>
  <c r="R1093" i="27"/>
  <c r="AB1093" i="27"/>
  <c r="AC1093" i="27"/>
  <c r="AD1093" i="27"/>
  <c r="AE1093" i="27"/>
  <c r="AF1093" i="27"/>
  <c r="Q1094" i="27"/>
  <c r="R1094" i="27"/>
  <c r="AB1094" i="27"/>
  <c r="AC1094" i="27"/>
  <c r="AD1094" i="27"/>
  <c r="AE1094" i="27"/>
  <c r="AF1094" i="27"/>
  <c r="Q1095" i="27"/>
  <c r="R1095" i="27"/>
  <c r="AB1095" i="27"/>
  <c r="AC1095" i="27"/>
  <c r="AD1095" i="27"/>
  <c r="AE1095" i="27"/>
  <c r="AF1095" i="27"/>
  <c r="Q1096" i="27"/>
  <c r="R1096" i="27"/>
  <c r="AB1096" i="27"/>
  <c r="AC1096" i="27"/>
  <c r="AD1096" i="27"/>
  <c r="AE1096" i="27"/>
  <c r="AF1096" i="27"/>
  <c r="Q1097" i="27"/>
  <c r="R1097" i="27"/>
  <c r="AB1097" i="27"/>
  <c r="AC1097" i="27"/>
  <c r="AD1097" i="27"/>
  <c r="AE1097" i="27"/>
  <c r="AF1097" i="27"/>
  <c r="Q1098" i="27"/>
  <c r="R1098" i="27"/>
  <c r="AB1098" i="27"/>
  <c r="AC1098" i="27"/>
  <c r="AD1098" i="27"/>
  <c r="AE1098" i="27"/>
  <c r="AF1098" i="27"/>
  <c r="Q1099" i="27"/>
  <c r="R1099" i="27"/>
  <c r="AB1099" i="27"/>
  <c r="AC1099" i="27"/>
  <c r="AD1099" i="27"/>
  <c r="AE1099" i="27"/>
  <c r="AF1099" i="27"/>
  <c r="Q1100" i="27"/>
  <c r="R1100" i="27"/>
  <c r="AB1100" i="27"/>
  <c r="AC1100" i="27"/>
  <c r="AD1100" i="27"/>
  <c r="AE1100" i="27"/>
  <c r="AF1100" i="27"/>
  <c r="Q1101" i="27"/>
  <c r="R1101" i="27"/>
  <c r="AB1101" i="27"/>
  <c r="AC1101" i="27"/>
  <c r="AD1101" i="27"/>
  <c r="AE1101" i="27"/>
  <c r="AF1101" i="27"/>
  <c r="Q1102" i="27"/>
  <c r="R1102" i="27"/>
  <c r="AB1102" i="27"/>
  <c r="AC1102" i="27"/>
  <c r="AD1102" i="27"/>
  <c r="AE1102" i="27"/>
  <c r="AF1102" i="27"/>
  <c r="Q1103" i="27"/>
  <c r="R1103" i="27"/>
  <c r="AB1103" i="27"/>
  <c r="AC1103" i="27"/>
  <c r="AD1103" i="27"/>
  <c r="AE1103" i="27"/>
  <c r="AF1103" i="27"/>
  <c r="E1104" i="27"/>
  <c r="P1104" i="27"/>
  <c r="Q1104" i="27"/>
  <c r="R1104" i="27"/>
  <c r="AB1104" i="27"/>
  <c r="AC1104" i="27"/>
  <c r="AD1104" i="27"/>
  <c r="AE1104" i="27"/>
  <c r="AF1104" i="27"/>
  <c r="Q1105" i="27"/>
  <c r="R1105" i="27"/>
  <c r="AB1105" i="27"/>
  <c r="AC1105" i="27"/>
  <c r="AD1105" i="27"/>
  <c r="AE1105" i="27"/>
  <c r="AF1105" i="27"/>
  <c r="Q1106" i="27"/>
  <c r="R1106" i="27"/>
  <c r="AB1106" i="27"/>
  <c r="AC1106" i="27"/>
  <c r="AD1106" i="27"/>
  <c r="AE1106" i="27"/>
  <c r="AF1106" i="27"/>
  <c r="Q1107" i="27"/>
  <c r="R1107" i="27"/>
  <c r="AB1107" i="27"/>
  <c r="AC1107" i="27"/>
  <c r="AD1107" i="27"/>
  <c r="AE1107" i="27"/>
  <c r="AF1107" i="27"/>
  <c r="Q1108" i="27"/>
  <c r="R1108" i="27"/>
  <c r="AB1108" i="27"/>
  <c r="AC1108" i="27"/>
  <c r="AD1108" i="27"/>
  <c r="AE1108" i="27"/>
  <c r="AF1108" i="27"/>
  <c r="Q1109" i="27"/>
  <c r="R1109" i="27"/>
  <c r="AB1109" i="27"/>
  <c r="AC1109" i="27"/>
  <c r="AD1109" i="27"/>
  <c r="AE1109" i="27"/>
  <c r="AF1109" i="27"/>
  <c r="Q1110" i="27"/>
  <c r="R1110" i="27"/>
  <c r="AB1110" i="27"/>
  <c r="AC1110" i="27"/>
  <c r="AD1110" i="27"/>
  <c r="AE1110" i="27"/>
  <c r="AF1110" i="27"/>
  <c r="Q1111" i="27"/>
  <c r="R1111" i="27"/>
  <c r="AB1111" i="27"/>
  <c r="AC1111" i="27"/>
  <c r="AD1111" i="27"/>
  <c r="AE1111" i="27"/>
  <c r="AF1111" i="27"/>
  <c r="Q1112" i="27"/>
  <c r="R1112" i="27"/>
  <c r="AB1112" i="27"/>
  <c r="AC1112" i="27"/>
  <c r="AD1112" i="27"/>
  <c r="AE1112" i="27"/>
  <c r="AF1112" i="27"/>
  <c r="Q1113" i="27"/>
  <c r="R1113" i="27"/>
  <c r="AB1113" i="27"/>
  <c r="AC1113" i="27"/>
  <c r="AD1113" i="27"/>
  <c r="AE1113" i="27"/>
  <c r="AF1113" i="27"/>
  <c r="Q1114" i="27"/>
  <c r="R1114" i="27"/>
  <c r="AB1114" i="27"/>
  <c r="AC1114" i="27"/>
  <c r="AD1114" i="27"/>
  <c r="AE1114" i="27"/>
  <c r="AF1114" i="27"/>
  <c r="Q1115" i="27"/>
  <c r="R1115" i="27"/>
  <c r="AB1115" i="27"/>
  <c r="AC1115" i="27"/>
  <c r="AD1115" i="27"/>
  <c r="AE1115" i="27"/>
  <c r="AF1115" i="27"/>
  <c r="Q1116" i="27"/>
  <c r="R1116" i="27"/>
  <c r="AB1116" i="27"/>
  <c r="AC1116" i="27"/>
  <c r="AD1116" i="27"/>
  <c r="AE1116" i="27"/>
  <c r="AF1116" i="27"/>
  <c r="Q1117" i="27"/>
  <c r="R1117" i="27"/>
  <c r="AB1117" i="27"/>
  <c r="AC1117" i="27"/>
  <c r="AD1117" i="27"/>
  <c r="AE1117" i="27"/>
  <c r="AF1117" i="27"/>
  <c r="AM1117" i="27"/>
  <c r="Q1118" i="27"/>
  <c r="R1118" i="27"/>
  <c r="AB1118" i="27"/>
  <c r="AC1118" i="27"/>
  <c r="AD1118" i="27"/>
  <c r="AE1118" i="27"/>
  <c r="AF1118" i="27"/>
  <c r="AM1118" i="27"/>
  <c r="Q1119" i="27"/>
  <c r="R1119" i="27"/>
  <c r="AB1119" i="27"/>
  <c r="AC1119" i="27"/>
  <c r="AD1119" i="27"/>
  <c r="AE1119" i="27"/>
  <c r="AF1119" i="27"/>
  <c r="AM1119" i="27"/>
  <c r="Q1120" i="27"/>
  <c r="R1120" i="27"/>
  <c r="AB1120" i="27"/>
  <c r="AC1120" i="27"/>
  <c r="AD1120" i="27"/>
  <c r="AE1120" i="27"/>
  <c r="AF1120" i="27"/>
  <c r="AM1120" i="27"/>
  <c r="AN1120" i="27" s="1"/>
  <c r="AO1120" i="27" s="1"/>
  <c r="Q1121" i="27"/>
  <c r="R1121" i="27"/>
  <c r="AB1121" i="27"/>
  <c r="AC1121" i="27"/>
  <c r="AD1121" i="27"/>
  <c r="AE1121" i="27"/>
  <c r="AF1121" i="27"/>
  <c r="Q1122" i="27"/>
  <c r="R1122" i="27"/>
  <c r="AB1122" i="27"/>
  <c r="AC1122" i="27"/>
  <c r="AD1122" i="27"/>
  <c r="AE1122" i="27"/>
  <c r="AF1122" i="27"/>
  <c r="Q1123" i="27"/>
  <c r="R1123" i="27"/>
  <c r="AB1123" i="27"/>
  <c r="AC1123" i="27"/>
  <c r="AD1123" i="27"/>
  <c r="AE1123" i="27"/>
  <c r="AF1123" i="27"/>
  <c r="Q1124" i="27"/>
  <c r="R1124" i="27"/>
  <c r="AB1124" i="27"/>
  <c r="AC1124" i="27"/>
  <c r="AD1124" i="27"/>
  <c r="AE1124" i="27"/>
  <c r="AF1124" i="27"/>
  <c r="E1125" i="27"/>
  <c r="P1125" i="27"/>
  <c r="Q1125" i="27"/>
  <c r="R1125" i="27"/>
  <c r="AB1125" i="27"/>
  <c r="AC1125" i="27"/>
  <c r="AD1125" i="27"/>
  <c r="AE1125" i="27"/>
  <c r="AF1125" i="27"/>
  <c r="Q1126" i="27"/>
  <c r="R1126" i="27"/>
  <c r="AB1126" i="27"/>
  <c r="AC1126" i="27"/>
  <c r="AD1126" i="27"/>
  <c r="AE1126" i="27"/>
  <c r="AF1126" i="27"/>
  <c r="Q1127" i="27"/>
  <c r="R1127" i="27"/>
  <c r="AB1127" i="27"/>
  <c r="AC1127" i="27"/>
  <c r="AD1127" i="27"/>
  <c r="AE1127" i="27"/>
  <c r="AF1127" i="27"/>
  <c r="Q1128" i="27"/>
  <c r="R1128" i="27"/>
  <c r="AB1128" i="27"/>
  <c r="AC1128" i="27"/>
  <c r="AD1128" i="27"/>
  <c r="AE1128" i="27"/>
  <c r="AF1128" i="27"/>
  <c r="Q1129" i="27"/>
  <c r="R1129" i="27"/>
  <c r="AB1129" i="27"/>
  <c r="AC1129" i="27"/>
  <c r="AD1129" i="27"/>
  <c r="AE1129" i="27"/>
  <c r="AF1129" i="27"/>
  <c r="Q1130" i="27"/>
  <c r="R1130" i="27"/>
  <c r="AB1130" i="27"/>
  <c r="AC1130" i="27"/>
  <c r="AD1130" i="27"/>
  <c r="AE1130" i="27"/>
  <c r="AF1130" i="27"/>
  <c r="AM1130" i="27"/>
  <c r="Q1131" i="27"/>
  <c r="R1131" i="27"/>
  <c r="AB1131" i="27"/>
  <c r="AC1131" i="27"/>
  <c r="AD1131" i="27"/>
  <c r="AE1131" i="27"/>
  <c r="AF1131" i="27"/>
  <c r="AM1131" i="27"/>
  <c r="AN1131" i="27" s="1"/>
  <c r="AO1131" i="27" s="1"/>
  <c r="Q1132" i="27"/>
  <c r="R1132" i="27"/>
  <c r="AB1132" i="27"/>
  <c r="AC1132" i="27"/>
  <c r="AD1132" i="27"/>
  <c r="AE1132" i="27"/>
  <c r="AF1132" i="27"/>
  <c r="Q1133" i="27"/>
  <c r="R1133" i="27"/>
  <c r="AB1133" i="27"/>
  <c r="AC1133" i="27"/>
  <c r="AD1133" i="27"/>
  <c r="AE1133" i="27"/>
  <c r="AF1133" i="27"/>
  <c r="AM1133" i="27"/>
  <c r="AN1133" i="27" s="1"/>
  <c r="AO1133" i="27" s="1"/>
  <c r="Q1134" i="27"/>
  <c r="R1134" i="27"/>
  <c r="AB1134" i="27"/>
  <c r="AC1134" i="27"/>
  <c r="AD1134" i="27"/>
  <c r="AE1134" i="27"/>
  <c r="AF1134" i="27"/>
  <c r="AM1134" i="27"/>
  <c r="Q1135" i="27"/>
  <c r="R1135" i="27"/>
  <c r="AB1135" i="27"/>
  <c r="AC1135" i="27"/>
  <c r="AD1135" i="27"/>
  <c r="AE1135" i="27"/>
  <c r="AF1135" i="27"/>
  <c r="AM1135" i="27"/>
  <c r="Q1136" i="27"/>
  <c r="R1136" i="27"/>
  <c r="AB1136" i="27"/>
  <c r="AC1136" i="27"/>
  <c r="AD1136" i="27"/>
  <c r="AE1136" i="27"/>
  <c r="AF1136" i="27"/>
  <c r="AM1136" i="27"/>
  <c r="AN1136" i="27" s="1"/>
  <c r="AO1136" i="27" s="1"/>
  <c r="Q1137" i="27"/>
  <c r="R1137" i="27"/>
  <c r="AB1137" i="27"/>
  <c r="AC1137" i="27"/>
  <c r="AD1137" i="27"/>
  <c r="AE1137" i="27"/>
  <c r="AF1137" i="27"/>
  <c r="AM1137" i="27"/>
  <c r="AH1137" i="27" s="1"/>
  <c r="Q1138" i="27"/>
  <c r="R1138" i="27"/>
  <c r="AB1138" i="27"/>
  <c r="AC1138" i="27"/>
  <c r="AD1138" i="27"/>
  <c r="AE1138" i="27"/>
  <c r="AF1138" i="27"/>
  <c r="AM1138" i="27"/>
  <c r="AN1138" i="27" s="1"/>
  <c r="AO1138" i="27" s="1"/>
  <c r="Q1139" i="27"/>
  <c r="R1139" i="27"/>
  <c r="AB1139" i="27"/>
  <c r="AC1139" i="27"/>
  <c r="AD1139" i="27"/>
  <c r="AE1139" i="27"/>
  <c r="AF1139" i="27"/>
  <c r="AM1139" i="27"/>
  <c r="AN1139" i="27" s="1"/>
  <c r="AO1139" i="27" s="1"/>
  <c r="Q1140" i="27"/>
  <c r="R1140" i="27"/>
  <c r="AB1140" i="27"/>
  <c r="AC1140" i="27"/>
  <c r="AD1140" i="27"/>
  <c r="AE1140" i="27"/>
  <c r="AF1140" i="27"/>
  <c r="Q1141" i="27"/>
  <c r="R1141" i="27"/>
  <c r="AB1141" i="27"/>
  <c r="AC1141" i="27"/>
  <c r="AD1141" i="27"/>
  <c r="AE1141" i="27"/>
  <c r="AF1141" i="27"/>
  <c r="Q1142" i="27"/>
  <c r="R1142" i="27"/>
  <c r="AB1142" i="27"/>
  <c r="AC1142" i="27"/>
  <c r="AD1142" i="27"/>
  <c r="AE1142" i="27"/>
  <c r="AF1142" i="27"/>
  <c r="Q1143" i="27"/>
  <c r="R1143" i="27"/>
  <c r="AB1143" i="27"/>
  <c r="AC1143" i="27"/>
  <c r="AD1143" i="27"/>
  <c r="AE1143" i="27"/>
  <c r="AF1143" i="27"/>
  <c r="Q1144" i="27"/>
  <c r="R1144" i="27"/>
  <c r="AB1144" i="27"/>
  <c r="AC1144" i="27"/>
  <c r="AD1144" i="27"/>
  <c r="AE1144" i="27"/>
  <c r="AF1144" i="27"/>
  <c r="Q1145" i="27"/>
  <c r="R1145" i="27"/>
  <c r="AB1145" i="27"/>
  <c r="AC1145" i="27"/>
  <c r="AD1145" i="27"/>
  <c r="AE1145" i="27"/>
  <c r="AF1145" i="27"/>
  <c r="Q1146" i="27"/>
  <c r="R1146" i="27"/>
  <c r="AB1146" i="27"/>
  <c r="AC1146" i="27"/>
  <c r="AD1146" i="27"/>
  <c r="AE1146" i="27"/>
  <c r="AF1146" i="27"/>
  <c r="Q1147" i="27"/>
  <c r="R1147" i="27"/>
  <c r="AB1147" i="27"/>
  <c r="AC1147" i="27"/>
  <c r="AD1147" i="27"/>
  <c r="AE1147" i="27"/>
  <c r="AF1147" i="27"/>
  <c r="Q1148" i="27"/>
  <c r="R1148" i="27"/>
  <c r="AB1148" i="27"/>
  <c r="AC1148" i="27"/>
  <c r="AD1148" i="27"/>
  <c r="AE1148" i="27"/>
  <c r="AF1148" i="27"/>
  <c r="Q1149" i="27"/>
  <c r="R1149" i="27"/>
  <c r="AB1149" i="27"/>
  <c r="AC1149" i="27"/>
  <c r="AD1149" i="27"/>
  <c r="AE1149" i="27"/>
  <c r="AF1149" i="27"/>
  <c r="AM1149" i="27"/>
  <c r="Q1150" i="27"/>
  <c r="R1150" i="27"/>
  <c r="AB1150" i="27"/>
  <c r="AC1150" i="27"/>
  <c r="AD1150" i="27"/>
  <c r="AE1150" i="27"/>
  <c r="AF1150" i="27"/>
  <c r="AM1150" i="27"/>
  <c r="Q1151" i="27"/>
  <c r="R1151" i="27"/>
  <c r="AB1151" i="27"/>
  <c r="AC1151" i="27"/>
  <c r="AD1151" i="27"/>
  <c r="AE1151" i="27"/>
  <c r="AF1151" i="27"/>
  <c r="Q1152" i="27"/>
  <c r="R1152" i="27"/>
  <c r="AB1152" i="27"/>
  <c r="AC1152" i="27"/>
  <c r="AD1152" i="27"/>
  <c r="AE1152" i="27"/>
  <c r="AF1152" i="27"/>
  <c r="AM1152" i="27"/>
  <c r="AN1152" i="27" s="1"/>
  <c r="AO1152" i="27" s="1"/>
  <c r="E1153" i="27"/>
  <c r="I1153" i="27"/>
  <c r="P1153" i="27"/>
  <c r="Q1153" i="27"/>
  <c r="R1153" i="27"/>
  <c r="AB1153" i="27"/>
  <c r="AC1153" i="27"/>
  <c r="AD1153" i="27"/>
  <c r="AE1153" i="27"/>
  <c r="AF1153" i="27"/>
  <c r="Q1154" i="27"/>
  <c r="R1154" i="27"/>
  <c r="AB1154" i="27"/>
  <c r="AD1154" i="27"/>
  <c r="AE1154" i="27"/>
  <c r="AF1154" i="27"/>
  <c r="Q1155" i="27"/>
  <c r="R1155" i="27"/>
  <c r="AB1155" i="27"/>
  <c r="AD1155" i="27"/>
  <c r="AE1155" i="27"/>
  <c r="AF1155" i="27"/>
  <c r="Q1156" i="27"/>
  <c r="R1156" i="27"/>
  <c r="AB1156" i="27"/>
  <c r="AC1156" i="27"/>
  <c r="AD1156" i="27"/>
  <c r="AE1156" i="27"/>
  <c r="AF1156" i="27"/>
  <c r="Q1157" i="27"/>
  <c r="R1157" i="27"/>
  <c r="AB1157" i="27"/>
  <c r="AC1157" i="27"/>
  <c r="AD1157" i="27"/>
  <c r="AE1157" i="27"/>
  <c r="AF1157" i="27"/>
  <c r="Q1158" i="27"/>
  <c r="R1158" i="27"/>
  <c r="AB1158" i="27"/>
  <c r="AC1158" i="27"/>
  <c r="AD1158" i="27"/>
  <c r="AE1158" i="27"/>
  <c r="AF1158" i="27"/>
  <c r="Q1159" i="27"/>
  <c r="R1159" i="27"/>
  <c r="AB1159" i="27"/>
  <c r="AC1159" i="27"/>
  <c r="AD1159" i="27"/>
  <c r="AE1159" i="27"/>
  <c r="AF1159" i="27"/>
  <c r="Q1160" i="27"/>
  <c r="R1160" i="27"/>
  <c r="AB1160" i="27"/>
  <c r="AC1160" i="27"/>
  <c r="AD1160" i="27"/>
  <c r="AE1160" i="27"/>
  <c r="AF1160" i="27"/>
  <c r="Q1161" i="27"/>
  <c r="R1161" i="27"/>
  <c r="AB1161" i="27"/>
  <c r="AD1161" i="27"/>
  <c r="AE1161" i="27"/>
  <c r="AF1161" i="27"/>
  <c r="Q1162" i="27"/>
  <c r="R1162" i="27"/>
  <c r="AB1162" i="27"/>
  <c r="AD1162" i="27"/>
  <c r="AE1162" i="27"/>
  <c r="AF1162" i="27"/>
  <c r="Q1163" i="27"/>
  <c r="R1163" i="27"/>
  <c r="AB1163" i="27"/>
  <c r="AD1163" i="27"/>
  <c r="AE1163" i="27"/>
  <c r="AF1163" i="27"/>
  <c r="Q1164" i="27"/>
  <c r="R1164" i="27"/>
  <c r="AB1164" i="27"/>
  <c r="AC1164" i="27"/>
  <c r="AD1164" i="27"/>
  <c r="AE1164" i="27"/>
  <c r="AF1164" i="27"/>
  <c r="Q1165" i="27"/>
  <c r="R1165" i="27"/>
  <c r="AB1165" i="27"/>
  <c r="AC1165" i="27"/>
  <c r="AD1165" i="27"/>
  <c r="AE1165" i="27"/>
  <c r="AF1165" i="27"/>
  <c r="Q1166" i="27"/>
  <c r="R1166" i="27"/>
  <c r="AB1166" i="27"/>
  <c r="AC1166" i="27"/>
  <c r="AD1166" i="27"/>
  <c r="AE1166" i="27"/>
  <c r="AF1166" i="27"/>
  <c r="Q1167" i="27"/>
  <c r="R1167" i="27"/>
  <c r="AB1167" i="27"/>
  <c r="AC1167" i="27"/>
  <c r="AD1167" i="27"/>
  <c r="AE1167" i="27"/>
  <c r="AF1167" i="27"/>
  <c r="Q1168" i="27"/>
  <c r="R1168" i="27"/>
  <c r="AB1168" i="27"/>
  <c r="AC1168" i="27"/>
  <c r="AD1168" i="27"/>
  <c r="AE1168" i="27"/>
  <c r="AF1168" i="27"/>
  <c r="Q1169" i="27"/>
  <c r="R1169" i="27"/>
  <c r="AB1169" i="27"/>
  <c r="AC1169" i="27"/>
  <c r="AD1169" i="27"/>
  <c r="AE1169" i="27"/>
  <c r="AF1169" i="27"/>
  <c r="Q1170" i="27"/>
  <c r="R1170" i="27"/>
  <c r="AB1170" i="27"/>
  <c r="AC1170" i="27"/>
  <c r="AD1170" i="27"/>
  <c r="AE1170" i="27"/>
  <c r="AF1170" i="27"/>
  <c r="Q1171" i="27"/>
  <c r="R1171" i="27"/>
  <c r="AB1171" i="27"/>
  <c r="AC1171" i="27"/>
  <c r="AD1171" i="27"/>
  <c r="AE1171" i="27"/>
  <c r="AF1171" i="27"/>
  <c r="Q1172" i="27"/>
  <c r="R1172" i="27"/>
  <c r="AB1172" i="27"/>
  <c r="AC1172" i="27"/>
  <c r="AD1172" i="27"/>
  <c r="AE1172" i="27"/>
  <c r="AF1172" i="27"/>
  <c r="Q1173" i="27"/>
  <c r="R1173" i="27"/>
  <c r="AB1173" i="27"/>
  <c r="AC1173" i="27"/>
  <c r="AD1173" i="27"/>
  <c r="AE1173" i="27"/>
  <c r="AF1173" i="27"/>
  <c r="Q1174" i="27"/>
  <c r="R1174" i="27"/>
  <c r="AB1174" i="27"/>
  <c r="AC1174" i="27"/>
  <c r="AD1174" i="27"/>
  <c r="AE1174" i="27"/>
  <c r="AF1174" i="27"/>
  <c r="Q1175" i="27"/>
  <c r="R1175" i="27"/>
  <c r="AB1175" i="27"/>
  <c r="AC1175" i="27"/>
  <c r="AD1175" i="27"/>
  <c r="AE1175" i="27"/>
  <c r="AF1175" i="27"/>
  <c r="Q1176" i="27"/>
  <c r="R1176" i="27"/>
  <c r="AB1176" i="27"/>
  <c r="AC1176" i="27"/>
  <c r="AD1176" i="27"/>
  <c r="AE1176" i="27"/>
  <c r="AF1176" i="27"/>
  <c r="Q1177" i="27"/>
  <c r="R1177" i="27"/>
  <c r="AB1177" i="27"/>
  <c r="AC1177" i="27"/>
  <c r="AD1177" i="27"/>
  <c r="AE1177" i="27"/>
  <c r="AF1177" i="27"/>
  <c r="Q1178" i="27"/>
  <c r="R1178" i="27"/>
  <c r="AB1178" i="27"/>
  <c r="AC1178" i="27"/>
  <c r="AD1178" i="27"/>
  <c r="AE1178" i="27"/>
  <c r="AF1178" i="27"/>
  <c r="Q1179" i="27"/>
  <c r="R1179" i="27"/>
  <c r="AB1179" i="27"/>
  <c r="AC1179" i="27"/>
  <c r="AD1179" i="27"/>
  <c r="AE1179" i="27"/>
  <c r="AF1179" i="27"/>
  <c r="Q1180" i="27"/>
  <c r="R1180" i="27"/>
  <c r="AB1180" i="27"/>
  <c r="AC1180" i="27"/>
  <c r="AD1180" i="27"/>
  <c r="AE1180" i="27"/>
  <c r="AF1180" i="27"/>
  <c r="Q1181" i="27"/>
  <c r="R1181" i="27"/>
  <c r="AB1181" i="27"/>
  <c r="AC1181" i="27"/>
  <c r="AD1181" i="27"/>
  <c r="AE1181" i="27"/>
  <c r="AF1181" i="27"/>
  <c r="Q1183" i="27"/>
  <c r="R1183" i="27"/>
  <c r="AB1183" i="27"/>
  <c r="AC1183" i="27"/>
  <c r="AD1183" i="27"/>
  <c r="AE1183" i="27"/>
  <c r="AF1183" i="27"/>
  <c r="Q1184" i="27"/>
  <c r="R1184" i="27"/>
  <c r="AB1184" i="27"/>
  <c r="AC1184" i="27"/>
  <c r="AD1184" i="27"/>
  <c r="AE1184" i="27"/>
  <c r="AF1184" i="27"/>
  <c r="Q1185" i="27"/>
  <c r="R1185" i="27"/>
  <c r="AB1185" i="27"/>
  <c r="AC1185" i="27"/>
  <c r="AD1185" i="27"/>
  <c r="AE1185" i="27"/>
  <c r="AF1185" i="27"/>
  <c r="Q1186" i="27"/>
  <c r="R1186" i="27"/>
  <c r="AB1186" i="27"/>
  <c r="AC1186" i="27"/>
  <c r="AD1186" i="27"/>
  <c r="AE1186" i="27"/>
  <c r="AF1186" i="27"/>
  <c r="Q1187" i="27"/>
  <c r="R1187" i="27"/>
  <c r="AB1187" i="27"/>
  <c r="AC1187" i="27"/>
  <c r="AD1187" i="27"/>
  <c r="AE1187" i="27"/>
  <c r="AF1187" i="27"/>
  <c r="Q1188" i="27"/>
  <c r="R1188" i="27"/>
  <c r="AB1188" i="27"/>
  <c r="AC1188" i="27"/>
  <c r="AD1188" i="27"/>
  <c r="AE1188" i="27"/>
  <c r="AF1188" i="27"/>
  <c r="Q1189" i="27"/>
  <c r="R1189" i="27"/>
  <c r="AB1189" i="27"/>
  <c r="AC1189" i="27"/>
  <c r="AD1189" i="27"/>
  <c r="AE1189" i="27"/>
  <c r="AF1189" i="27"/>
  <c r="Q1190" i="27"/>
  <c r="R1190" i="27"/>
  <c r="AB1190" i="27"/>
  <c r="AC1190" i="27"/>
  <c r="AD1190" i="27"/>
  <c r="AE1190" i="27"/>
  <c r="AF1190" i="27"/>
  <c r="Q1191" i="27"/>
  <c r="R1191" i="27"/>
  <c r="AB1191" i="27"/>
  <c r="AD1191" i="27"/>
  <c r="AE1191" i="27"/>
  <c r="AF1191" i="27"/>
  <c r="Q1192" i="27"/>
  <c r="R1192" i="27"/>
  <c r="AB1192" i="27"/>
  <c r="AC1192" i="27"/>
  <c r="AD1192" i="27"/>
  <c r="AE1192" i="27"/>
  <c r="AF1192" i="27"/>
  <c r="AM1192" i="27"/>
  <c r="AN1192" i="27" s="1"/>
  <c r="AO1192" i="27" s="1"/>
  <c r="Q1193" i="27"/>
  <c r="R1193" i="27"/>
  <c r="AB1193" i="27"/>
  <c r="AD1193" i="27"/>
  <c r="AE1193" i="27"/>
  <c r="AF1193" i="27"/>
  <c r="Q1220" i="27"/>
  <c r="R1220" i="27"/>
  <c r="AB1220" i="27"/>
  <c r="AC1220" i="27"/>
  <c r="AD1220" i="27"/>
  <c r="AE1220" i="27"/>
  <c r="AF1220" i="27"/>
  <c r="Q1264" i="27"/>
  <c r="R1264" i="27"/>
  <c r="AB1264" i="27"/>
  <c r="AC1264" i="27"/>
  <c r="AD1264" i="27"/>
  <c r="AE1264" i="27"/>
  <c r="AF1264" i="27"/>
  <c r="Q1276" i="27"/>
  <c r="R1276" i="27"/>
  <c r="AB1276" i="27"/>
  <c r="AC1276" i="27"/>
  <c r="AD1276" i="27"/>
  <c r="AE1276" i="27"/>
  <c r="AF1276" i="27"/>
  <c r="E1868" i="27"/>
  <c r="P1868" i="27"/>
  <c r="Q1868" i="27"/>
  <c r="R1868" i="27"/>
  <c r="AB1868" i="27"/>
  <c r="AC1868" i="27"/>
  <c r="AD1868" i="27"/>
  <c r="AE1868" i="27"/>
  <c r="AF1868" i="27"/>
  <c r="E1869" i="27"/>
  <c r="P1869" i="27"/>
  <c r="Q1869" i="27"/>
  <c r="R1869" i="27"/>
  <c r="AB1869" i="27"/>
  <c r="AC1869" i="27"/>
  <c r="AD1869" i="27"/>
  <c r="AE1869" i="27"/>
  <c r="AF1869" i="27"/>
  <c r="E1870" i="27"/>
  <c r="P1870" i="27"/>
  <c r="Q1870" i="27"/>
  <c r="R1870" i="27"/>
  <c r="AB1870" i="27"/>
  <c r="AC1870" i="27"/>
  <c r="AD1870" i="27"/>
  <c r="AE1870" i="27"/>
  <c r="AF1870" i="27"/>
  <c r="E1871" i="27"/>
  <c r="P1871" i="27"/>
  <c r="Q1871" i="27"/>
  <c r="R1871" i="27"/>
  <c r="AB1871" i="27"/>
  <c r="AC1871" i="27"/>
  <c r="AD1871" i="27"/>
  <c r="AE1871" i="27"/>
  <c r="AF1871" i="27"/>
  <c r="E1872" i="27"/>
  <c r="P1872" i="27"/>
  <c r="Q1872" i="27"/>
  <c r="R1872" i="27"/>
  <c r="AB1872" i="27"/>
  <c r="AC1872" i="27"/>
  <c r="AD1872" i="27"/>
  <c r="AE1872" i="27"/>
  <c r="AF1872" i="27"/>
  <c r="E1873" i="27"/>
  <c r="P1873" i="27"/>
  <c r="Q1873" i="27"/>
  <c r="R1873" i="27"/>
  <c r="AB1873" i="27"/>
  <c r="AC1873" i="27"/>
  <c r="AD1873" i="27"/>
  <c r="AE1873" i="27"/>
  <c r="AF1873" i="27"/>
  <c r="E1874" i="27"/>
  <c r="P1874" i="27"/>
  <c r="Q1874" i="27"/>
  <c r="R1874" i="27"/>
  <c r="AB1874" i="27"/>
  <c r="AC1874" i="27"/>
  <c r="AD1874" i="27"/>
  <c r="AE1874" i="27"/>
  <c r="AF1874" i="27"/>
  <c r="E1875" i="27"/>
  <c r="P1875" i="27"/>
  <c r="Q1875" i="27"/>
  <c r="R1875" i="27"/>
  <c r="AB1875" i="27"/>
  <c r="AC1875" i="27"/>
  <c r="AD1875" i="27"/>
  <c r="AE1875" i="27"/>
  <c r="AF1875" i="27"/>
  <c r="E1876" i="27"/>
  <c r="P1876" i="27"/>
  <c r="Q1876" i="27"/>
  <c r="R1876" i="27"/>
  <c r="AB1876" i="27"/>
  <c r="AC1876" i="27"/>
  <c r="AD1876" i="27"/>
  <c r="AE1876" i="27"/>
  <c r="AF1876" i="27"/>
  <c r="E1877" i="27"/>
  <c r="P1877" i="27"/>
  <c r="Q1877" i="27"/>
  <c r="R1877" i="27"/>
  <c r="AB1877" i="27"/>
  <c r="AC1877" i="27"/>
  <c r="AD1877" i="27"/>
  <c r="AE1877" i="27"/>
  <c r="AF1877" i="27"/>
  <c r="E1878" i="27"/>
  <c r="P1878" i="27"/>
  <c r="Q1878" i="27"/>
  <c r="R1878" i="27"/>
  <c r="AB1878" i="27"/>
  <c r="AC1878" i="27"/>
  <c r="AD1878" i="27"/>
  <c r="AE1878" i="27"/>
  <c r="AF1878" i="27"/>
  <c r="E1879" i="27"/>
  <c r="P1879" i="27"/>
  <c r="Q1879" i="27"/>
  <c r="R1879" i="27"/>
  <c r="AB1879" i="27"/>
  <c r="AC1879" i="27"/>
  <c r="AD1879" i="27"/>
  <c r="AE1879" i="27"/>
  <c r="AF1879" i="27"/>
  <c r="E1880" i="27"/>
  <c r="P1880" i="27"/>
  <c r="Q1880" i="27"/>
  <c r="R1880" i="27"/>
  <c r="AB1880" i="27"/>
  <c r="AC1880" i="27"/>
  <c r="AD1880" i="27"/>
  <c r="AE1880" i="27"/>
  <c r="AF1880" i="27"/>
  <c r="E1881" i="27"/>
  <c r="P1881" i="27"/>
  <c r="Q1881" i="27"/>
  <c r="R1881" i="27"/>
  <c r="AB1881" i="27"/>
  <c r="AC1881" i="27"/>
  <c r="AD1881" i="27"/>
  <c r="AE1881" i="27"/>
  <c r="AF1881" i="27"/>
  <c r="E1882" i="27"/>
  <c r="P1882" i="27"/>
  <c r="Q1882" i="27"/>
  <c r="R1882" i="27"/>
  <c r="AB1882" i="27"/>
  <c r="AC1882" i="27"/>
  <c r="AD1882" i="27"/>
  <c r="AE1882" i="27"/>
  <c r="AF1882" i="27"/>
  <c r="E1883" i="27"/>
  <c r="P1883" i="27"/>
  <c r="Q1883" i="27"/>
  <c r="R1883" i="27"/>
  <c r="AB1883" i="27"/>
  <c r="AC1883" i="27"/>
  <c r="AD1883" i="27"/>
  <c r="AE1883" i="27"/>
  <c r="AF1883" i="27"/>
  <c r="E1884" i="27"/>
  <c r="P1884" i="27"/>
  <c r="Q1884" i="27"/>
  <c r="R1884" i="27"/>
  <c r="AB1884" i="27"/>
  <c r="AC1884" i="27"/>
  <c r="AD1884" i="27"/>
  <c r="AE1884" i="27"/>
  <c r="AF1884" i="27"/>
  <c r="E1885" i="27"/>
  <c r="P1885" i="27"/>
  <c r="Q1885" i="27"/>
  <c r="R1885" i="27"/>
  <c r="AB1885" i="27"/>
  <c r="AC1885" i="27"/>
  <c r="AD1885" i="27"/>
  <c r="AE1885" i="27"/>
  <c r="AF1885" i="27"/>
  <c r="E1886" i="27"/>
  <c r="P1886" i="27"/>
  <c r="Q1886" i="27"/>
  <c r="R1886" i="27"/>
  <c r="AB1886" i="27"/>
  <c r="AC1886" i="27"/>
  <c r="AD1886" i="27"/>
  <c r="AE1886" i="27"/>
  <c r="AF1886" i="27"/>
  <c r="E1887" i="27"/>
  <c r="P1887" i="27"/>
  <c r="Q1887" i="27"/>
  <c r="R1887" i="27"/>
  <c r="AB1887" i="27"/>
  <c r="AC1887" i="27"/>
  <c r="AD1887" i="27"/>
  <c r="AE1887" i="27"/>
  <c r="AF1887" i="27"/>
  <c r="E1888" i="27"/>
  <c r="P1888" i="27"/>
  <c r="Q1888" i="27"/>
  <c r="R1888" i="27"/>
  <c r="AB1888" i="27"/>
  <c r="AC1888" i="27"/>
  <c r="AD1888" i="27"/>
  <c r="AE1888" i="27"/>
  <c r="AF1888" i="27"/>
  <c r="E1889" i="27"/>
  <c r="P1889" i="27"/>
  <c r="Q1889" i="27"/>
  <c r="R1889" i="27"/>
  <c r="AB1889" i="27"/>
  <c r="AC1889" i="27"/>
  <c r="AD1889" i="27"/>
  <c r="AE1889" i="27"/>
  <c r="AF1889" i="27"/>
  <c r="E1890" i="27"/>
  <c r="P1890" i="27"/>
  <c r="Q1890" i="27"/>
  <c r="R1890" i="27"/>
  <c r="AB1890" i="27"/>
  <c r="AC1890" i="27"/>
  <c r="AD1890" i="27"/>
  <c r="AE1890" i="27"/>
  <c r="AF1890" i="27"/>
  <c r="E1891" i="27"/>
  <c r="P1891" i="27"/>
  <c r="Q1891" i="27"/>
  <c r="R1891" i="27"/>
  <c r="AB1891" i="27"/>
  <c r="AC1891" i="27"/>
  <c r="AD1891" i="27"/>
  <c r="AE1891" i="27"/>
  <c r="AF1891" i="27"/>
  <c r="E1892" i="27"/>
  <c r="P1892" i="27"/>
  <c r="Q1892" i="27"/>
  <c r="R1892" i="27"/>
  <c r="AB1892" i="27"/>
  <c r="AC1892" i="27"/>
  <c r="AD1892" i="27"/>
  <c r="AE1892" i="27"/>
  <c r="AF1892" i="27"/>
  <c r="E1893" i="27"/>
  <c r="P1893" i="27"/>
  <c r="Q1893" i="27"/>
  <c r="R1893" i="27"/>
  <c r="AB1893" i="27"/>
  <c r="AC1893" i="27"/>
  <c r="AD1893" i="27"/>
  <c r="AE1893" i="27"/>
  <c r="AF1893" i="27"/>
  <c r="E1894" i="27"/>
  <c r="P1894" i="27"/>
  <c r="Q1894" i="27"/>
  <c r="R1894" i="27"/>
  <c r="AB1894" i="27"/>
  <c r="AC1894" i="27"/>
  <c r="AD1894" i="27"/>
  <c r="AE1894" i="27"/>
  <c r="AF1894" i="27"/>
  <c r="E1895" i="27"/>
  <c r="P1895" i="27"/>
  <c r="Q1895" i="27"/>
  <c r="R1895" i="27"/>
  <c r="AB1895" i="27"/>
  <c r="AC1895" i="27"/>
  <c r="AD1895" i="27"/>
  <c r="AE1895" i="27"/>
  <c r="AF1895" i="27"/>
  <c r="E1896" i="27"/>
  <c r="P1896" i="27"/>
  <c r="Q1896" i="27"/>
  <c r="R1896" i="27"/>
  <c r="AB1896" i="27"/>
  <c r="AC1896" i="27"/>
  <c r="AD1896" i="27"/>
  <c r="AE1896" i="27"/>
  <c r="AF1896" i="27"/>
  <c r="E1897" i="27"/>
  <c r="P1897" i="27"/>
  <c r="Q1897" i="27"/>
  <c r="R1897" i="27"/>
  <c r="AB1897" i="27"/>
  <c r="AC1897" i="27"/>
  <c r="AD1897" i="27"/>
  <c r="AE1897" i="27"/>
  <c r="AF1897" i="27"/>
  <c r="E1898" i="27"/>
  <c r="P1898" i="27"/>
  <c r="Q1898" i="27"/>
  <c r="R1898" i="27"/>
  <c r="AB1898" i="27"/>
  <c r="AC1898" i="27"/>
  <c r="AD1898" i="27"/>
  <c r="AE1898" i="27"/>
  <c r="AF1898" i="27"/>
  <c r="E1899" i="27"/>
  <c r="P1899" i="27"/>
  <c r="Q1899" i="27"/>
  <c r="R1899" i="27"/>
  <c r="AB1899" i="27"/>
  <c r="AC1899" i="27"/>
  <c r="AD1899" i="27"/>
  <c r="AE1899" i="27"/>
  <c r="AF1899" i="27"/>
  <c r="E1900" i="27"/>
  <c r="P1900" i="27"/>
  <c r="Q1900" i="27"/>
  <c r="R1900" i="27"/>
  <c r="AB1900" i="27"/>
  <c r="AC1900" i="27"/>
  <c r="AD1900" i="27"/>
  <c r="AE1900" i="27"/>
  <c r="AF1900" i="27"/>
  <c r="E1901" i="27"/>
  <c r="P1901" i="27"/>
  <c r="Q1901" i="27"/>
  <c r="R1901" i="27"/>
  <c r="AB1901" i="27"/>
  <c r="AC1901" i="27"/>
  <c r="AD1901" i="27"/>
  <c r="AE1901" i="27"/>
  <c r="AF1901" i="27"/>
  <c r="E1902" i="27"/>
  <c r="P1902" i="27"/>
  <c r="Q1902" i="27"/>
  <c r="R1902" i="27"/>
  <c r="AB1902" i="27"/>
  <c r="AC1902" i="27"/>
  <c r="AD1902" i="27"/>
  <c r="AE1902" i="27"/>
  <c r="AF1902" i="27"/>
  <c r="E1903" i="27"/>
  <c r="P1903" i="27"/>
  <c r="Q1903" i="27"/>
  <c r="R1903" i="27"/>
  <c r="AB1903" i="27"/>
  <c r="AC1903" i="27"/>
  <c r="AD1903" i="27"/>
  <c r="AE1903" i="27"/>
  <c r="AF1903" i="27"/>
  <c r="E1904" i="27"/>
  <c r="P1904" i="27"/>
  <c r="Q1904" i="27"/>
  <c r="R1904" i="27"/>
  <c r="AB1904" i="27"/>
  <c r="AC1904" i="27"/>
  <c r="AD1904" i="27"/>
  <c r="AE1904" i="27"/>
  <c r="AF1904" i="27"/>
  <c r="E1905" i="27"/>
  <c r="P1905" i="27"/>
  <c r="Q1905" i="27"/>
  <c r="R1905" i="27"/>
  <c r="AB1905" i="27"/>
  <c r="AC1905" i="27"/>
  <c r="AD1905" i="27"/>
  <c r="AE1905" i="27"/>
  <c r="AF1905" i="27"/>
  <c r="E1906" i="27"/>
  <c r="P1906" i="27"/>
  <c r="Q1906" i="27"/>
  <c r="R1906" i="27"/>
  <c r="AB1906" i="27"/>
  <c r="AC1906" i="27"/>
  <c r="AD1906" i="27"/>
  <c r="AE1906" i="27"/>
  <c r="AF1906" i="27"/>
  <c r="E1907" i="27"/>
  <c r="P1907" i="27"/>
  <c r="Q1907" i="27"/>
  <c r="R1907" i="27"/>
  <c r="AB1907" i="27"/>
  <c r="AC1907" i="27"/>
  <c r="AD1907" i="27"/>
  <c r="AE1907" i="27"/>
  <c r="AF1907" i="27"/>
  <c r="E1908" i="27"/>
  <c r="P1908" i="27"/>
  <c r="Q1908" i="27"/>
  <c r="R1908" i="27"/>
  <c r="AB1908" i="27"/>
  <c r="AC1908" i="27"/>
  <c r="AD1908" i="27"/>
  <c r="AE1908" i="27"/>
  <c r="AF1908" i="27"/>
  <c r="E1909" i="27"/>
  <c r="P1909" i="27"/>
  <c r="Q1909" i="27"/>
  <c r="R1909" i="27"/>
  <c r="AB1909" i="27"/>
  <c r="AC1909" i="27"/>
  <c r="AD1909" i="27"/>
  <c r="AE1909" i="27"/>
  <c r="AF1909" i="27"/>
  <c r="E1910" i="27"/>
  <c r="P1910" i="27"/>
  <c r="Q1910" i="27"/>
  <c r="R1910" i="27"/>
  <c r="AB1910" i="27"/>
  <c r="AC1910" i="27"/>
  <c r="AD1910" i="27"/>
  <c r="AE1910" i="27"/>
  <c r="AF1910" i="27"/>
  <c r="E1911" i="27"/>
  <c r="P1911" i="27"/>
  <c r="Q1911" i="27"/>
  <c r="R1911" i="27"/>
  <c r="AB1911" i="27"/>
  <c r="AC1911" i="27"/>
  <c r="AD1911" i="27"/>
  <c r="AE1911" i="27"/>
  <c r="AF1911" i="27"/>
  <c r="E1912" i="27"/>
  <c r="P1912" i="27"/>
  <c r="Q1912" i="27"/>
  <c r="R1912" i="27"/>
  <c r="AB1912" i="27"/>
  <c r="AC1912" i="27"/>
  <c r="AD1912" i="27"/>
  <c r="AE1912" i="27"/>
  <c r="AF1912" i="27"/>
  <c r="E1913" i="27"/>
  <c r="P1913" i="27"/>
  <c r="Q1913" i="27"/>
  <c r="R1913" i="27"/>
  <c r="AB1913" i="27"/>
  <c r="AC1913" i="27"/>
  <c r="AD1913" i="27"/>
  <c r="AE1913" i="27"/>
  <c r="AF1913" i="27"/>
  <c r="E1914" i="27"/>
  <c r="P1914" i="27"/>
  <c r="Q1914" i="27"/>
  <c r="R1914" i="27"/>
  <c r="AB1914" i="27"/>
  <c r="AC1914" i="27"/>
  <c r="AD1914" i="27"/>
  <c r="AE1914" i="27"/>
  <c r="AF1914" i="27"/>
  <c r="E1915" i="27"/>
  <c r="P1915" i="27"/>
  <c r="Q1915" i="27"/>
  <c r="R1915" i="27"/>
  <c r="AB1915" i="27"/>
  <c r="AC1915" i="27"/>
  <c r="AD1915" i="27"/>
  <c r="AE1915" i="27"/>
  <c r="AF1915" i="27"/>
  <c r="E1916" i="27"/>
  <c r="P1916" i="27"/>
  <c r="Q1916" i="27"/>
  <c r="R1916" i="27"/>
  <c r="AB1916" i="27"/>
  <c r="AC1916" i="27"/>
  <c r="AD1916" i="27"/>
  <c r="AE1916" i="27"/>
  <c r="AF1916" i="27"/>
  <c r="E1917" i="27"/>
  <c r="P1917" i="27"/>
  <c r="Q1917" i="27"/>
  <c r="R1917" i="27"/>
  <c r="AB1917" i="27"/>
  <c r="AC1917" i="27"/>
  <c r="AD1917" i="27"/>
  <c r="AE1917" i="27"/>
  <c r="AF1917" i="27"/>
  <c r="E1918" i="27"/>
  <c r="P1918" i="27"/>
  <c r="Q1918" i="27"/>
  <c r="R1918" i="27"/>
  <c r="AB1918" i="27"/>
  <c r="AC1918" i="27"/>
  <c r="AD1918" i="27"/>
  <c r="AE1918" i="27"/>
  <c r="AF1918" i="27"/>
  <c r="E1919" i="27"/>
  <c r="P1919" i="27"/>
  <c r="Q1919" i="27"/>
  <c r="R1919" i="27"/>
  <c r="AB1919" i="27"/>
  <c r="AC1919" i="27"/>
  <c r="AD1919" i="27"/>
  <c r="AE1919" i="27"/>
  <c r="AF1919" i="27"/>
  <c r="E1920" i="27"/>
  <c r="P1920" i="27"/>
  <c r="Q1920" i="27"/>
  <c r="R1920" i="27"/>
  <c r="AB1920" i="27"/>
  <c r="AC1920" i="27"/>
  <c r="AD1920" i="27"/>
  <c r="AE1920" i="27"/>
  <c r="AF1920" i="27"/>
  <c r="E1921" i="27"/>
  <c r="P1921" i="27"/>
  <c r="Q1921" i="27"/>
  <c r="R1921" i="27"/>
  <c r="AB1921" i="27"/>
  <c r="AC1921" i="27"/>
  <c r="AD1921" i="27"/>
  <c r="AE1921" i="27"/>
  <c r="AF1921" i="27"/>
  <c r="E1922" i="27"/>
  <c r="P1922" i="27"/>
  <c r="Q1922" i="27"/>
  <c r="R1922" i="27"/>
  <c r="AB1922" i="27"/>
  <c r="AC1922" i="27"/>
  <c r="AD1922" i="27"/>
  <c r="AE1922" i="27"/>
  <c r="AF1922" i="27"/>
  <c r="E1923" i="27"/>
  <c r="P1923" i="27"/>
  <c r="Q1923" i="27"/>
  <c r="R1923" i="27"/>
  <c r="AB1923" i="27"/>
  <c r="AC1923" i="27"/>
  <c r="AD1923" i="27"/>
  <c r="AE1923" i="27"/>
  <c r="AF1923" i="27"/>
  <c r="E1924" i="27"/>
  <c r="P1924" i="27"/>
  <c r="Q1924" i="27"/>
  <c r="R1924" i="27"/>
  <c r="AB1924" i="27"/>
  <c r="AC1924" i="27"/>
  <c r="AD1924" i="27"/>
  <c r="AE1924" i="27"/>
  <c r="AF1924" i="27"/>
  <c r="E1925" i="27"/>
  <c r="P1925" i="27"/>
  <c r="Q1925" i="27"/>
  <c r="R1925" i="27"/>
  <c r="AB1925" i="27"/>
  <c r="AC1925" i="27"/>
  <c r="AD1925" i="27"/>
  <c r="AE1925" i="27"/>
  <c r="AF1925" i="27"/>
  <c r="E1926" i="27"/>
  <c r="P1926" i="27"/>
  <c r="Q1926" i="27"/>
  <c r="R1926" i="27"/>
  <c r="AB1926" i="27"/>
  <c r="AC1926" i="27"/>
  <c r="AD1926" i="27"/>
  <c r="AE1926" i="27"/>
  <c r="AF1926" i="27"/>
  <c r="E1927" i="27"/>
  <c r="P1927" i="27"/>
  <c r="Q1927" i="27"/>
  <c r="R1927" i="27"/>
  <c r="AB1927" i="27"/>
  <c r="AC1927" i="27"/>
  <c r="AD1927" i="27"/>
  <c r="AE1927" i="27"/>
  <c r="AF1927" i="27"/>
  <c r="E1928" i="27"/>
  <c r="P1928" i="27"/>
  <c r="Q1928" i="27"/>
  <c r="R1928" i="27"/>
  <c r="AB1928" i="27"/>
  <c r="AC1928" i="27"/>
  <c r="AD1928" i="27"/>
  <c r="AE1928" i="27"/>
  <c r="AF1928" i="27"/>
  <c r="E1929" i="27"/>
  <c r="P1929" i="27"/>
  <c r="Q1929" i="27"/>
  <c r="R1929" i="27"/>
  <c r="AB1929" i="27"/>
  <c r="AC1929" i="27"/>
  <c r="AD1929" i="27"/>
  <c r="AE1929" i="27"/>
  <c r="AF1929" i="27"/>
  <c r="E1930" i="27"/>
  <c r="P1930" i="27"/>
  <c r="Q1930" i="27"/>
  <c r="R1930" i="27"/>
  <c r="AB1930" i="27"/>
  <c r="AC1930" i="27"/>
  <c r="AD1930" i="27"/>
  <c r="AE1930" i="27"/>
  <c r="AF1930" i="27"/>
  <c r="E1931" i="27"/>
  <c r="P1931" i="27"/>
  <c r="Q1931" i="27"/>
  <c r="R1931" i="27"/>
  <c r="AB1931" i="27"/>
  <c r="AC1931" i="27"/>
  <c r="AD1931" i="27"/>
  <c r="AE1931" i="27"/>
  <c r="AF1931" i="27"/>
  <c r="E1932" i="27"/>
  <c r="P1932" i="27"/>
  <c r="Q1932" i="27"/>
  <c r="R1932" i="27"/>
  <c r="AB1932" i="27"/>
  <c r="AC1932" i="27"/>
  <c r="AD1932" i="27"/>
  <c r="AE1932" i="27"/>
  <c r="AF1932" i="27"/>
  <c r="E1933" i="27"/>
  <c r="P1933" i="27"/>
  <c r="Q1933" i="27"/>
  <c r="R1933" i="27"/>
  <c r="AB1933" i="27"/>
  <c r="AC1933" i="27"/>
  <c r="AD1933" i="27"/>
  <c r="AE1933" i="27"/>
  <c r="AF1933" i="27"/>
  <c r="E1934" i="27"/>
  <c r="P1934" i="27"/>
  <c r="Q1934" i="27"/>
  <c r="R1934" i="27"/>
  <c r="AB1934" i="27"/>
  <c r="AC1934" i="27"/>
  <c r="AD1934" i="27"/>
  <c r="AE1934" i="27"/>
  <c r="AF1934" i="27"/>
  <c r="E1935" i="27"/>
  <c r="P1935" i="27"/>
  <c r="Q1935" i="27"/>
  <c r="R1935" i="27"/>
  <c r="AB1935" i="27"/>
  <c r="AC1935" i="27"/>
  <c r="AD1935" i="27"/>
  <c r="AE1935" i="27"/>
  <c r="AF1935" i="27"/>
  <c r="E1936" i="27"/>
  <c r="P1936" i="27"/>
  <c r="Q1936" i="27"/>
  <c r="R1936" i="27"/>
  <c r="AB1936" i="27"/>
  <c r="AC1936" i="27"/>
  <c r="AD1936" i="27"/>
  <c r="AE1936" i="27"/>
  <c r="AF1936" i="27"/>
  <c r="E1937" i="27"/>
  <c r="P1937" i="27"/>
  <c r="Q1937" i="27"/>
  <c r="R1937" i="27"/>
  <c r="AB1937" i="27"/>
  <c r="AC1937" i="27"/>
  <c r="AD1937" i="27"/>
  <c r="AE1937" i="27"/>
  <c r="AF1937" i="27"/>
  <c r="E1938" i="27"/>
  <c r="P1938" i="27"/>
  <c r="Q1938" i="27"/>
  <c r="R1938" i="27"/>
  <c r="AB1938" i="27"/>
  <c r="AC1938" i="27"/>
  <c r="AD1938" i="27"/>
  <c r="AE1938" i="27"/>
  <c r="AF1938" i="27"/>
  <c r="E1939" i="27"/>
  <c r="P1939" i="27"/>
  <c r="Q1939" i="27"/>
  <c r="R1939" i="27"/>
  <c r="AB1939" i="27"/>
  <c r="AC1939" i="27"/>
  <c r="AD1939" i="27"/>
  <c r="AE1939" i="27"/>
  <c r="AF1939" i="27"/>
  <c r="E1940" i="27"/>
  <c r="P1940" i="27"/>
  <c r="Q1940" i="27"/>
  <c r="R1940" i="27"/>
  <c r="AB1940" i="27"/>
  <c r="AC1940" i="27"/>
  <c r="AD1940" i="27"/>
  <c r="AE1940" i="27"/>
  <c r="AF1940" i="27"/>
  <c r="E1941" i="27"/>
  <c r="P1941" i="27"/>
  <c r="Q1941" i="27"/>
  <c r="R1941" i="27"/>
  <c r="AB1941" i="27"/>
  <c r="AC1941" i="27"/>
  <c r="AD1941" i="27"/>
  <c r="AE1941" i="27"/>
  <c r="AF1941" i="27"/>
  <c r="E1942" i="27"/>
  <c r="P1942" i="27"/>
  <c r="Q1942" i="27"/>
  <c r="R1942" i="27"/>
  <c r="AB1942" i="27"/>
  <c r="AC1942" i="27"/>
  <c r="AD1942" i="27"/>
  <c r="AE1942" i="27"/>
  <c r="AF1942" i="27"/>
  <c r="E1943" i="27"/>
  <c r="P1943" i="27"/>
  <c r="Q1943" i="27"/>
  <c r="R1943" i="27"/>
  <c r="AB1943" i="27"/>
  <c r="AC1943" i="27"/>
  <c r="AD1943" i="27"/>
  <c r="AE1943" i="27"/>
  <c r="AF1943" i="27"/>
  <c r="E1944" i="27"/>
  <c r="P1944" i="27"/>
  <c r="Q1944" i="27"/>
  <c r="R1944" i="27"/>
  <c r="AB1944" i="27"/>
  <c r="AC1944" i="27"/>
  <c r="AD1944" i="27"/>
  <c r="AE1944" i="27"/>
  <c r="AF1944" i="27"/>
  <c r="E1945" i="27"/>
  <c r="P1945" i="27"/>
  <c r="Q1945" i="27"/>
  <c r="R1945" i="27"/>
  <c r="AB1945" i="27"/>
  <c r="AC1945" i="27"/>
  <c r="AD1945" i="27"/>
  <c r="AE1945" i="27"/>
  <c r="AF1945" i="27"/>
  <c r="E1946" i="27"/>
  <c r="P1946" i="27"/>
  <c r="Q1946" i="27"/>
  <c r="R1946" i="27"/>
  <c r="AB1946" i="27"/>
  <c r="AC1946" i="27"/>
  <c r="AD1946" i="27"/>
  <c r="AE1946" i="27"/>
  <c r="AF1946" i="27"/>
  <c r="E1947" i="27"/>
  <c r="P1947" i="27"/>
  <c r="Q1947" i="27"/>
  <c r="R1947" i="27"/>
  <c r="AB1947" i="27"/>
  <c r="AC1947" i="27"/>
  <c r="AD1947" i="27"/>
  <c r="AE1947" i="27"/>
  <c r="AF1947" i="27"/>
  <c r="E1948" i="27"/>
  <c r="P1948" i="27"/>
  <c r="Q1948" i="27"/>
  <c r="R1948" i="27"/>
  <c r="AB1948" i="27"/>
  <c r="AC1948" i="27"/>
  <c r="AD1948" i="27"/>
  <c r="AE1948" i="27"/>
  <c r="AF1948" i="27"/>
  <c r="E1949" i="27"/>
  <c r="I1949" i="27"/>
  <c r="P1949" i="27"/>
  <c r="Q1949" i="27"/>
  <c r="R1949" i="27"/>
  <c r="AB1949" i="27"/>
  <c r="AC1949" i="27"/>
  <c r="AD1949" i="27"/>
  <c r="AE1949" i="27"/>
  <c r="AF1949" i="27"/>
  <c r="E1950" i="27"/>
  <c r="P1950" i="27"/>
  <c r="Q1950" i="27"/>
  <c r="R1950" i="27"/>
  <c r="AB1950" i="27"/>
  <c r="AC1950" i="27"/>
  <c r="AD1950" i="27"/>
  <c r="AE1950" i="27"/>
  <c r="AF1950" i="27"/>
  <c r="E1951" i="27"/>
  <c r="P1951" i="27"/>
  <c r="Q1951" i="27"/>
  <c r="R1951" i="27"/>
  <c r="AB1951" i="27"/>
  <c r="AC1951" i="27"/>
  <c r="AD1951" i="27"/>
  <c r="AE1951" i="27"/>
  <c r="AF1951" i="27"/>
  <c r="E1952" i="27"/>
  <c r="P1952" i="27"/>
  <c r="Q1952" i="27"/>
  <c r="R1952" i="27"/>
  <c r="AB1952" i="27"/>
  <c r="AC1952" i="27"/>
  <c r="AD1952" i="27"/>
  <c r="AE1952" i="27"/>
  <c r="AF1952" i="27"/>
  <c r="E1953" i="27"/>
  <c r="P1953" i="27"/>
  <c r="Q1953" i="27"/>
  <c r="R1953" i="27"/>
  <c r="AB1953" i="27"/>
  <c r="AC1953" i="27"/>
  <c r="AD1953" i="27"/>
  <c r="AE1953" i="27"/>
  <c r="AF1953" i="27"/>
  <c r="E1954" i="27"/>
  <c r="P1954" i="27"/>
  <c r="Q1954" i="27"/>
  <c r="R1954" i="27"/>
  <c r="AB1954" i="27"/>
  <c r="AC1954" i="27"/>
  <c r="AD1954" i="27"/>
  <c r="AE1954" i="27"/>
  <c r="AF1954" i="27"/>
  <c r="E1955" i="27"/>
  <c r="P1955" i="27"/>
  <c r="Q1955" i="27"/>
  <c r="R1955" i="27"/>
  <c r="AB1955" i="27"/>
  <c r="AC1955" i="27"/>
  <c r="AD1955" i="27"/>
  <c r="AE1955" i="27"/>
  <c r="AF1955" i="27"/>
  <c r="E1956" i="27"/>
  <c r="P1956" i="27"/>
  <c r="Q1956" i="27"/>
  <c r="R1956" i="27"/>
  <c r="AB1956" i="27"/>
  <c r="AC1956" i="27"/>
  <c r="AD1956" i="27"/>
  <c r="AE1956" i="27"/>
  <c r="AF1956" i="27"/>
  <c r="E1957" i="27"/>
  <c r="P1957" i="27"/>
  <c r="Q1957" i="27"/>
  <c r="R1957" i="27"/>
  <c r="AB1957" i="27"/>
  <c r="AC1957" i="27"/>
  <c r="AD1957" i="27"/>
  <c r="AE1957" i="27"/>
  <c r="AF1957" i="27"/>
  <c r="E1958" i="27"/>
  <c r="P1958" i="27"/>
  <c r="Q1958" i="27"/>
  <c r="R1958" i="27"/>
  <c r="AB1958" i="27"/>
  <c r="AC1958" i="27"/>
  <c r="AD1958" i="27"/>
  <c r="AE1958" i="27"/>
  <c r="AF1958" i="27"/>
  <c r="E1959" i="27"/>
  <c r="P1959" i="27"/>
  <c r="Q1959" i="27"/>
  <c r="R1959" i="27"/>
  <c r="AB1959" i="27"/>
  <c r="AC1959" i="27"/>
  <c r="AD1959" i="27"/>
  <c r="AE1959" i="27"/>
  <c r="AF1959" i="27"/>
  <c r="E1960" i="27"/>
  <c r="P1960" i="27"/>
  <c r="Q1960" i="27"/>
  <c r="R1960" i="27"/>
  <c r="AB1960" i="27"/>
  <c r="AC1960" i="27"/>
  <c r="AD1960" i="27"/>
  <c r="AE1960" i="27"/>
  <c r="AF1960" i="27"/>
  <c r="E1961" i="27"/>
  <c r="I1961" i="27"/>
  <c r="P1961" i="27"/>
  <c r="Q1961" i="27"/>
  <c r="R1961" i="27"/>
  <c r="AB1961" i="27"/>
  <c r="AC1961" i="27"/>
  <c r="AD1961" i="27"/>
  <c r="AE1961" i="27"/>
  <c r="AF1961" i="27"/>
  <c r="E1962" i="27"/>
  <c r="I1962" i="27"/>
  <c r="P1962" i="27"/>
  <c r="Q1962" i="27"/>
  <c r="R1962" i="27"/>
  <c r="AB1962" i="27"/>
  <c r="AC1962" i="27"/>
  <c r="AD1962" i="27"/>
  <c r="AE1962" i="27"/>
  <c r="AF1962" i="27"/>
  <c r="E1963" i="27"/>
  <c r="P1963" i="27"/>
  <c r="Q1963" i="27"/>
  <c r="R1963" i="27"/>
  <c r="AB1963" i="27"/>
  <c r="AC1963" i="27"/>
  <c r="AD1963" i="27"/>
  <c r="AE1963" i="27"/>
  <c r="AF1963" i="27"/>
  <c r="E1964" i="27"/>
  <c r="P1964" i="27"/>
  <c r="Q1964" i="27"/>
  <c r="R1964" i="27"/>
  <c r="AB1964" i="27"/>
  <c r="AC1964" i="27"/>
  <c r="AD1964" i="27"/>
  <c r="AE1964" i="27"/>
  <c r="AF1964" i="27"/>
  <c r="E1965" i="27"/>
  <c r="P1965" i="27"/>
  <c r="Q1965" i="27"/>
  <c r="R1965" i="27"/>
  <c r="AB1965" i="27"/>
  <c r="AC1965" i="27"/>
  <c r="AD1965" i="27"/>
  <c r="AE1965" i="27"/>
  <c r="AF1965" i="27"/>
  <c r="E1966" i="27"/>
  <c r="P1966" i="27"/>
  <c r="Q1966" i="27"/>
  <c r="R1966" i="27"/>
  <c r="AB1966" i="27"/>
  <c r="AC1966" i="27"/>
  <c r="AD1966" i="27"/>
  <c r="AE1966" i="27"/>
  <c r="AF1966" i="27"/>
  <c r="E1967" i="27"/>
  <c r="P1967" i="27"/>
  <c r="Q1967" i="27"/>
  <c r="R1967" i="27"/>
  <c r="AB1967" i="27"/>
  <c r="AC1967" i="27"/>
  <c r="AD1967" i="27"/>
  <c r="AE1967" i="27"/>
  <c r="AF1967" i="27"/>
  <c r="E1968" i="27"/>
  <c r="P1968" i="27"/>
  <c r="Q1968" i="27"/>
  <c r="R1968" i="27"/>
  <c r="AB1968" i="27"/>
  <c r="AC1968" i="27"/>
  <c r="AD1968" i="27"/>
  <c r="AE1968" i="27"/>
  <c r="AF1968" i="27"/>
  <c r="E1969" i="27"/>
  <c r="P1969" i="27"/>
  <c r="Q1969" i="27"/>
  <c r="R1969" i="27"/>
  <c r="AB1969" i="27"/>
  <c r="AC1969" i="27"/>
  <c r="AD1969" i="27"/>
  <c r="AE1969" i="27"/>
  <c r="AF1969" i="27"/>
  <c r="E1970" i="27"/>
  <c r="P1970" i="27"/>
  <c r="Q1970" i="27"/>
  <c r="R1970" i="27"/>
  <c r="AB1970" i="27"/>
  <c r="AC1970" i="27"/>
  <c r="AD1970" i="27"/>
  <c r="AE1970" i="27"/>
  <c r="AF1970" i="27"/>
  <c r="E1971" i="27"/>
  <c r="I1971" i="27"/>
  <c r="P1971" i="27"/>
  <c r="Q1971" i="27"/>
  <c r="R1971" i="27"/>
  <c r="AB1971" i="27"/>
  <c r="AC1971" i="27"/>
  <c r="AD1971" i="27"/>
  <c r="AE1971" i="27"/>
  <c r="AF1971" i="27"/>
  <c r="E1972" i="27"/>
  <c r="I1972" i="27"/>
  <c r="P1972" i="27"/>
  <c r="Q1972" i="27"/>
  <c r="R1972" i="27"/>
  <c r="AB1972" i="27"/>
  <c r="AC1972" i="27"/>
  <c r="AD1972" i="27"/>
  <c r="AE1972" i="27"/>
  <c r="AF1972" i="27"/>
  <c r="E1973" i="27"/>
  <c r="P1973" i="27"/>
  <c r="Q1973" i="27"/>
  <c r="R1973" i="27"/>
  <c r="AB1973" i="27"/>
  <c r="AC1973" i="27"/>
  <c r="AD1973" i="27"/>
  <c r="AE1973" i="27"/>
  <c r="AF1973" i="27"/>
  <c r="E1974" i="27"/>
  <c r="I1974" i="27"/>
  <c r="P1974" i="27"/>
  <c r="Q1974" i="27"/>
  <c r="R1974" i="27"/>
  <c r="AB1974" i="27"/>
  <c r="AC1974" i="27"/>
  <c r="AD1974" i="27"/>
  <c r="AE1974" i="27"/>
  <c r="AF1974" i="27"/>
  <c r="E1975" i="27"/>
  <c r="P1975" i="27"/>
  <c r="Q1975" i="27"/>
  <c r="R1975" i="27"/>
  <c r="AB1975" i="27"/>
  <c r="AC1975" i="27"/>
  <c r="AD1975" i="27"/>
  <c r="AE1975" i="27"/>
  <c r="AF1975" i="27"/>
  <c r="E1976" i="27"/>
  <c r="I1976" i="27"/>
  <c r="P1976" i="27"/>
  <c r="Q1976" i="27"/>
  <c r="R1976" i="27"/>
  <c r="AB1976" i="27"/>
  <c r="AC1976" i="27"/>
  <c r="AD1976" i="27"/>
  <c r="AE1976" i="27"/>
  <c r="AF1976" i="27"/>
  <c r="E1977" i="27"/>
  <c r="P1977" i="27"/>
  <c r="Q1977" i="27"/>
  <c r="R1977" i="27"/>
  <c r="AB1977" i="27"/>
  <c r="AC1977" i="27"/>
  <c r="AD1977" i="27"/>
  <c r="AE1977" i="27"/>
  <c r="AF1977" i="27"/>
  <c r="E1978" i="27"/>
  <c r="I1978" i="27"/>
  <c r="P1978" i="27"/>
  <c r="Q1978" i="27"/>
  <c r="R1978" i="27"/>
  <c r="AB1978" i="27"/>
  <c r="AC1978" i="27"/>
  <c r="AD1978" i="27"/>
  <c r="AE1978" i="27"/>
  <c r="AF1978" i="27"/>
  <c r="E1979" i="27"/>
  <c r="P1979" i="27"/>
  <c r="Q1979" i="27"/>
  <c r="R1979" i="27"/>
  <c r="AB1979" i="27"/>
  <c r="AC1979" i="27"/>
  <c r="AD1979" i="27"/>
  <c r="AE1979" i="27"/>
  <c r="AF1979" i="27"/>
  <c r="E1980" i="27"/>
  <c r="P1980" i="27"/>
  <c r="Q1980" i="27"/>
  <c r="R1980" i="27"/>
  <c r="AB1980" i="27"/>
  <c r="AC1980" i="27"/>
  <c r="AD1980" i="27"/>
  <c r="AE1980" i="27"/>
  <c r="AF1980" i="27"/>
  <c r="E1981" i="27"/>
  <c r="P1981" i="27"/>
  <c r="Q1981" i="27"/>
  <c r="R1981" i="27"/>
  <c r="AB1981" i="27"/>
  <c r="AC1981" i="27"/>
  <c r="AD1981" i="27"/>
  <c r="AE1981" i="27"/>
  <c r="AF1981" i="27"/>
  <c r="E1982" i="27"/>
  <c r="P1982" i="27"/>
  <c r="Q1982" i="27"/>
  <c r="R1982" i="27"/>
  <c r="AB1982" i="27"/>
  <c r="AC1982" i="27"/>
  <c r="AD1982" i="27"/>
  <c r="AE1982" i="27"/>
  <c r="AF1982" i="27"/>
  <c r="E1983" i="27"/>
  <c r="I1983" i="27"/>
  <c r="P1983" i="27"/>
  <c r="Q1983" i="27"/>
  <c r="R1983" i="27"/>
  <c r="AB1983" i="27"/>
  <c r="AC1983" i="27"/>
  <c r="AD1983" i="27"/>
  <c r="AE1983" i="27"/>
  <c r="AF1983" i="27"/>
  <c r="E1984" i="27"/>
  <c r="I1984" i="27"/>
  <c r="P1984" i="27"/>
  <c r="Q1984" i="27"/>
  <c r="R1984" i="27"/>
  <c r="AB1984" i="27"/>
  <c r="AC1984" i="27"/>
  <c r="AD1984" i="27"/>
  <c r="AE1984" i="27"/>
  <c r="AF1984" i="27"/>
  <c r="E1985" i="27"/>
  <c r="I1985" i="27"/>
  <c r="P1985" i="27"/>
  <c r="Q1985" i="27"/>
  <c r="R1985" i="27"/>
  <c r="AB1985" i="27"/>
  <c r="AC1985" i="27"/>
  <c r="AD1985" i="27"/>
  <c r="AE1985" i="27"/>
  <c r="AF1985" i="27"/>
  <c r="E1986" i="27"/>
  <c r="I1986" i="27"/>
  <c r="P1986" i="27"/>
  <c r="Q1986" i="27"/>
  <c r="R1986" i="27"/>
  <c r="AB1986" i="27"/>
  <c r="AC1986" i="27"/>
  <c r="AD1986" i="27"/>
  <c r="AE1986" i="27"/>
  <c r="AF1986" i="27"/>
  <c r="E1987" i="27"/>
  <c r="P1987" i="27"/>
  <c r="Q1987" i="27"/>
  <c r="R1987" i="27"/>
  <c r="AB1987" i="27"/>
  <c r="AC1987" i="27"/>
  <c r="AD1987" i="27"/>
  <c r="AE1987" i="27"/>
  <c r="AF1987" i="27"/>
  <c r="E1988" i="27"/>
  <c r="P1988" i="27"/>
  <c r="Q1988" i="27"/>
  <c r="R1988" i="27"/>
  <c r="AB1988" i="27"/>
  <c r="AC1988" i="27"/>
  <c r="AD1988" i="27"/>
  <c r="AE1988" i="27"/>
  <c r="AF1988" i="27"/>
  <c r="E1989" i="27"/>
  <c r="I1989" i="27"/>
  <c r="P1989" i="27"/>
  <c r="Q1989" i="27"/>
  <c r="R1989" i="27"/>
  <c r="AB1989" i="27"/>
  <c r="AC1989" i="27"/>
  <c r="AD1989" i="27"/>
  <c r="AE1989" i="27"/>
  <c r="AF1989" i="27"/>
  <c r="E1990" i="27"/>
  <c r="I1990" i="27"/>
  <c r="P1990" i="27"/>
  <c r="Q1990" i="27"/>
  <c r="R1990" i="27"/>
  <c r="AB1990" i="27"/>
  <c r="AC1990" i="27"/>
  <c r="AD1990" i="27"/>
  <c r="AE1990" i="27"/>
  <c r="AF1990" i="27"/>
  <c r="E1991" i="27"/>
  <c r="P1991" i="27"/>
  <c r="Q1991" i="27"/>
  <c r="R1991" i="27"/>
  <c r="AB1991" i="27"/>
  <c r="AC1991" i="27"/>
  <c r="AD1991" i="27"/>
  <c r="AE1991" i="27"/>
  <c r="AF1991" i="27"/>
  <c r="E1992" i="27"/>
  <c r="P1992" i="27"/>
  <c r="Q1992" i="27"/>
  <c r="R1992" i="27"/>
  <c r="AB1992" i="27"/>
  <c r="AC1992" i="27"/>
  <c r="AD1992" i="27"/>
  <c r="AE1992" i="27"/>
  <c r="AF1992" i="27"/>
  <c r="E1993" i="27"/>
  <c r="P1993" i="27"/>
  <c r="Q1993" i="27"/>
  <c r="R1993" i="27"/>
  <c r="AB1993" i="27"/>
  <c r="AC1993" i="27"/>
  <c r="AD1993" i="27"/>
  <c r="AE1993" i="27"/>
  <c r="AF1993" i="27"/>
  <c r="P1994" i="27"/>
  <c r="Q1994" i="27"/>
  <c r="R1994" i="27"/>
  <c r="AB1994" i="27"/>
  <c r="AC1994" i="27"/>
  <c r="AD1994" i="27"/>
  <c r="AE1994" i="27"/>
  <c r="AF1994" i="27"/>
  <c r="P1996" i="27"/>
  <c r="Q1996" i="27"/>
  <c r="R1996" i="27"/>
  <c r="AB1996" i="27"/>
  <c r="AC1996" i="27"/>
  <c r="AD1996" i="27"/>
  <c r="AE1996" i="27"/>
  <c r="AF1996" i="27"/>
  <c r="E1997" i="27"/>
  <c r="P1997" i="27"/>
  <c r="Q1997" i="27"/>
  <c r="R1997" i="27"/>
  <c r="AB1997" i="27"/>
  <c r="AC1997" i="27"/>
  <c r="AD1997" i="27"/>
  <c r="AE1997" i="27"/>
  <c r="AF1997" i="27"/>
  <c r="E1998" i="27"/>
  <c r="P1998" i="27"/>
  <c r="Q1998" i="27"/>
  <c r="R1998" i="27"/>
  <c r="AB1998" i="27"/>
  <c r="AC1998" i="27"/>
  <c r="AD1998" i="27"/>
  <c r="AE1998" i="27"/>
  <c r="AF1998" i="27"/>
  <c r="E1999" i="27"/>
  <c r="P1999" i="27"/>
  <c r="Q1999" i="27"/>
  <c r="R1999" i="27"/>
  <c r="AB1999" i="27"/>
  <c r="AC1999" i="27"/>
  <c r="AD1999" i="27"/>
  <c r="AE1999" i="27"/>
  <c r="AF1999" i="27"/>
  <c r="E2002" i="27"/>
  <c r="P2002" i="27"/>
  <c r="Q2002" i="27"/>
  <c r="R2002" i="27"/>
  <c r="AB2002" i="27"/>
  <c r="AC2002" i="27"/>
  <c r="AD2002" i="27"/>
  <c r="AE2002" i="27"/>
  <c r="AF2002" i="27"/>
  <c r="E2003" i="27"/>
  <c r="P2003" i="27"/>
  <c r="Q2003" i="27"/>
  <c r="R2003" i="27"/>
  <c r="AB2003" i="27"/>
  <c r="AC2003" i="27"/>
  <c r="AD2003" i="27"/>
  <c r="AE2003" i="27"/>
  <c r="AF2003" i="27"/>
  <c r="P2004" i="27"/>
  <c r="Q2004" i="27"/>
  <c r="R2004" i="27"/>
  <c r="AB2004" i="27"/>
  <c r="AC2004" i="27"/>
  <c r="AD2004" i="27"/>
  <c r="AE2004" i="27"/>
  <c r="AF2004" i="27"/>
  <c r="E2005" i="27"/>
  <c r="P2005" i="27"/>
  <c r="Q2005" i="27"/>
  <c r="R2005" i="27"/>
  <c r="AB2005" i="27"/>
  <c r="AC2005" i="27"/>
  <c r="AD2005" i="27"/>
  <c r="AE2005" i="27"/>
  <c r="AF2005" i="27"/>
  <c r="E2006" i="27"/>
  <c r="P2006" i="27"/>
  <c r="Q2006" i="27"/>
  <c r="R2006" i="27"/>
  <c r="AB2006" i="27"/>
  <c r="AC2006" i="27"/>
  <c r="AD2006" i="27"/>
  <c r="AE2006" i="27"/>
  <c r="AF2006" i="27"/>
  <c r="E2007" i="27"/>
  <c r="P2007" i="27"/>
  <c r="Q2007" i="27"/>
  <c r="R2007" i="27"/>
  <c r="AB2007" i="27"/>
  <c r="AC2007" i="27"/>
  <c r="AD2007" i="27"/>
  <c r="AE2007" i="27"/>
  <c r="AF2007" i="27"/>
  <c r="E2008" i="27"/>
  <c r="P2008" i="27"/>
  <c r="Q2008" i="27"/>
  <c r="R2008" i="27"/>
  <c r="AB2008" i="27"/>
  <c r="AC2008" i="27"/>
  <c r="AD2008" i="27"/>
  <c r="AE2008" i="27"/>
  <c r="AF2008" i="27"/>
  <c r="E2009" i="27"/>
  <c r="P2009" i="27"/>
  <c r="Q2009" i="27"/>
  <c r="R2009" i="27"/>
  <c r="AB2009" i="27"/>
  <c r="AC2009" i="27"/>
  <c r="AD2009" i="27"/>
  <c r="AE2009" i="27"/>
  <c r="AF2009" i="27"/>
  <c r="E2011" i="27"/>
  <c r="P2011" i="27"/>
  <c r="Q2011" i="27"/>
  <c r="R2011" i="27"/>
  <c r="AB2011" i="27"/>
  <c r="AC2011" i="27"/>
  <c r="AD2011" i="27"/>
  <c r="AE2011" i="27"/>
  <c r="AF2011" i="27"/>
  <c r="E2012" i="27"/>
  <c r="P2012" i="27"/>
  <c r="Q2012" i="27"/>
  <c r="R2012" i="27"/>
  <c r="AB2012" i="27"/>
  <c r="AC2012" i="27"/>
  <c r="AD2012" i="27"/>
  <c r="AE2012" i="27"/>
  <c r="AF2012" i="27"/>
  <c r="E2013" i="27"/>
  <c r="P2013" i="27"/>
  <c r="Q2013" i="27"/>
  <c r="R2013" i="27"/>
  <c r="AB2013" i="27"/>
  <c r="AC2013" i="27"/>
  <c r="AD2013" i="27"/>
  <c r="AE2013" i="27"/>
  <c r="AF2013" i="27"/>
  <c r="E2014" i="27"/>
  <c r="P2014" i="27"/>
  <c r="Q2014" i="27"/>
  <c r="R2014" i="27"/>
  <c r="AB2014" i="27"/>
  <c r="AC2014" i="27"/>
  <c r="AD2014" i="27"/>
  <c r="AE2014" i="27"/>
  <c r="AF2014" i="27"/>
  <c r="E2015" i="27"/>
  <c r="P2015" i="27"/>
  <c r="Q2015" i="27"/>
  <c r="R2015" i="27"/>
  <c r="AB2015" i="27"/>
  <c r="AC2015" i="27"/>
  <c r="AD2015" i="27"/>
  <c r="AE2015" i="27"/>
  <c r="AF2015" i="27"/>
  <c r="E2016" i="27"/>
  <c r="P2016" i="27"/>
  <c r="Q2016" i="27"/>
  <c r="R2016" i="27"/>
  <c r="AB2016" i="27"/>
  <c r="AC2016" i="27"/>
  <c r="AD2016" i="27"/>
  <c r="AE2016" i="27"/>
  <c r="AF2016" i="27"/>
  <c r="E2021" i="27"/>
  <c r="P2021" i="27"/>
  <c r="Q2021" i="27"/>
  <c r="R2021" i="27"/>
  <c r="AB2021" i="27"/>
  <c r="AC2021" i="27"/>
  <c r="AD2021" i="27"/>
  <c r="AE2021" i="27"/>
  <c r="AF2021" i="27"/>
  <c r="E2022" i="27"/>
  <c r="P2022" i="27"/>
  <c r="Q2022" i="27"/>
  <c r="R2022" i="27"/>
  <c r="AB2022" i="27"/>
  <c r="AC2022" i="27"/>
  <c r="AD2022" i="27"/>
  <c r="AE2022" i="27"/>
  <c r="AF2022" i="27"/>
  <c r="P2068" i="27"/>
  <c r="Q2068" i="27"/>
  <c r="R2068" i="27"/>
  <c r="T2068" i="27"/>
  <c r="U2068" i="27"/>
  <c r="V2068" i="27"/>
  <c r="W2068" i="27"/>
  <c r="X2068" i="27"/>
  <c r="Y2068" i="27"/>
  <c r="Z2068" i="27"/>
  <c r="AA2068" i="27"/>
  <c r="AB2068" i="27"/>
  <c r="AC2068" i="27"/>
  <c r="AD2068" i="27"/>
  <c r="AE2068" i="27"/>
  <c r="AF2068" i="27"/>
  <c r="E2069" i="27"/>
  <c r="P2069" i="27"/>
  <c r="Q2069" i="27"/>
  <c r="R2069" i="27"/>
  <c r="AB2069" i="27"/>
  <c r="AC2069" i="27"/>
  <c r="AD2069" i="27"/>
  <c r="AE2069" i="27"/>
  <c r="AF2069" i="27"/>
  <c r="E2070" i="27"/>
  <c r="P2070" i="27"/>
  <c r="Q2070" i="27"/>
  <c r="R2070" i="27"/>
  <c r="AB2070" i="27"/>
  <c r="AC2070" i="27"/>
  <c r="AD2070" i="27"/>
  <c r="AE2070" i="27"/>
  <c r="AF2070" i="27"/>
  <c r="E2071" i="27"/>
  <c r="P2071" i="27"/>
  <c r="Q2071" i="27"/>
  <c r="R2071" i="27"/>
  <c r="AB2071" i="27"/>
  <c r="AC2071" i="27"/>
  <c r="AD2071" i="27"/>
  <c r="AE2071" i="27"/>
  <c r="AF2071" i="27"/>
  <c r="E2072" i="27"/>
  <c r="P2072" i="27"/>
  <c r="Q2072" i="27"/>
  <c r="R2072" i="27"/>
  <c r="AB2072" i="27"/>
  <c r="AC2072" i="27"/>
  <c r="AD2072" i="27"/>
  <c r="AE2072" i="27"/>
  <c r="AF2072" i="27"/>
  <c r="E2073" i="27"/>
  <c r="P2073" i="27"/>
  <c r="Q2073" i="27"/>
  <c r="R2073" i="27"/>
  <c r="AB2073" i="27"/>
  <c r="AC2073" i="27"/>
  <c r="AD2073" i="27"/>
  <c r="AE2073" i="27"/>
  <c r="AF2073" i="27"/>
  <c r="E2074" i="27"/>
  <c r="P2074" i="27"/>
  <c r="Q2074" i="27"/>
  <c r="R2074" i="27"/>
  <c r="AB2074" i="27"/>
  <c r="AC2074" i="27"/>
  <c r="AD2074" i="27"/>
  <c r="AE2074" i="27"/>
  <c r="AF2074" i="27"/>
  <c r="E2075" i="27"/>
  <c r="P2075" i="27"/>
  <c r="Q2075" i="27"/>
  <c r="R2075" i="27"/>
  <c r="AB2075" i="27"/>
  <c r="AC2075" i="27"/>
  <c r="AD2075" i="27"/>
  <c r="AE2075" i="27"/>
  <c r="AF2075" i="27"/>
  <c r="E2076" i="27"/>
  <c r="P2076" i="27"/>
  <c r="Q2076" i="27"/>
  <c r="R2076" i="27"/>
  <c r="AB2076" i="27"/>
  <c r="AC2076" i="27"/>
  <c r="AD2076" i="27"/>
  <c r="AE2076" i="27"/>
  <c r="AF2076" i="27"/>
  <c r="E2077" i="27"/>
  <c r="P2077" i="27"/>
  <c r="Q2077" i="27"/>
  <c r="R2077" i="27"/>
  <c r="AB2077" i="27"/>
  <c r="AC2077" i="27"/>
  <c r="AD2077" i="27"/>
  <c r="AE2077" i="27"/>
  <c r="AF2077" i="27"/>
  <c r="E2078" i="27"/>
  <c r="P2078" i="27"/>
  <c r="Q2078" i="27"/>
  <c r="R2078" i="27"/>
  <c r="AB2078" i="27"/>
  <c r="AC2078" i="27"/>
  <c r="AD2078" i="27"/>
  <c r="AE2078" i="27"/>
  <c r="AF2078" i="27"/>
  <c r="E2079" i="27"/>
  <c r="P2079" i="27"/>
  <c r="Q2079" i="27"/>
  <c r="R2079" i="27"/>
  <c r="AB2079" i="27"/>
  <c r="AC2079" i="27"/>
  <c r="AD2079" i="27"/>
  <c r="AE2079" i="27"/>
  <c r="AF2079" i="27"/>
  <c r="E2080" i="27"/>
  <c r="P2080" i="27"/>
  <c r="Q2080" i="27"/>
  <c r="R2080" i="27"/>
  <c r="AB2080" i="27"/>
  <c r="AC2080" i="27"/>
  <c r="AD2080" i="27"/>
  <c r="AE2080" i="27"/>
  <c r="AF2080" i="27"/>
  <c r="E2081" i="27"/>
  <c r="P2081" i="27"/>
  <c r="Q2081" i="27"/>
  <c r="R2081" i="27"/>
  <c r="AB2081" i="27"/>
  <c r="AC2081" i="27"/>
  <c r="AD2081" i="27"/>
  <c r="AE2081" i="27"/>
  <c r="AF2081" i="27"/>
  <c r="E2082" i="27"/>
  <c r="P2082" i="27"/>
  <c r="Q2082" i="27"/>
  <c r="R2082" i="27"/>
  <c r="AB2082" i="27"/>
  <c r="AC2082" i="27"/>
  <c r="AD2082" i="27"/>
  <c r="AE2082" i="27"/>
  <c r="AF2082" i="27"/>
  <c r="E2083" i="27"/>
  <c r="P2083" i="27"/>
  <c r="Q2083" i="27"/>
  <c r="R2083" i="27"/>
  <c r="AB2083" i="27"/>
  <c r="AC2083" i="27"/>
  <c r="AD2083" i="27"/>
  <c r="AE2083" i="27"/>
  <c r="AF2083" i="27"/>
  <c r="P2084" i="27"/>
  <c r="Q2084" i="27"/>
  <c r="R2084" i="27"/>
  <c r="AB2084" i="27"/>
  <c r="AC2084" i="27"/>
  <c r="AD2084" i="27"/>
  <c r="AE2084" i="27"/>
  <c r="AF2084" i="27"/>
  <c r="E2085" i="27"/>
  <c r="P2085" i="27"/>
  <c r="Q2085" i="27"/>
  <c r="R2085" i="27"/>
  <c r="AB2085" i="27"/>
  <c r="AC2085" i="27"/>
  <c r="AD2085" i="27"/>
  <c r="AE2085" i="27"/>
  <c r="AF2085" i="27"/>
  <c r="E2086" i="27"/>
  <c r="P2086" i="27"/>
  <c r="Q2086" i="27"/>
  <c r="R2086" i="27"/>
  <c r="AB2086" i="27"/>
  <c r="AC2086" i="27"/>
  <c r="AD2086" i="27"/>
  <c r="AE2086" i="27"/>
  <c r="AF2086" i="27"/>
  <c r="E2087" i="27"/>
  <c r="P2087" i="27"/>
  <c r="Q2087" i="27"/>
  <c r="R2087" i="27"/>
  <c r="AB2087" i="27"/>
  <c r="AC2087" i="27"/>
  <c r="AD2087" i="27"/>
  <c r="AE2087" i="27"/>
  <c r="AF2087" i="27"/>
  <c r="E2088" i="27"/>
  <c r="P2088" i="27"/>
  <c r="Q2088" i="27"/>
  <c r="R2088" i="27"/>
  <c r="AB2088" i="27"/>
  <c r="AC2088" i="27"/>
  <c r="AD2088" i="27"/>
  <c r="AE2088" i="27"/>
  <c r="AF2088" i="27"/>
  <c r="E2089" i="27"/>
  <c r="P2089" i="27"/>
  <c r="Q2089" i="27"/>
  <c r="R2089" i="27"/>
  <c r="AB2089" i="27"/>
  <c r="AC2089" i="27"/>
  <c r="AD2089" i="27"/>
  <c r="AE2089" i="27"/>
  <c r="AF2089" i="27"/>
  <c r="E2090" i="27"/>
  <c r="P2090" i="27"/>
  <c r="Q2090" i="27"/>
  <c r="R2090" i="27"/>
  <c r="AB2090" i="27"/>
  <c r="AC2090" i="27"/>
  <c r="AD2090" i="27"/>
  <c r="AE2090" i="27"/>
  <c r="AF2090" i="27"/>
  <c r="E2091" i="27"/>
  <c r="P2091" i="27"/>
  <c r="Q2091" i="27"/>
  <c r="R2091" i="27"/>
  <c r="AB2091" i="27"/>
  <c r="AC2091" i="27"/>
  <c r="AD2091" i="27"/>
  <c r="AE2091" i="27"/>
  <c r="AF2091" i="27"/>
  <c r="E2092" i="27"/>
  <c r="P2092" i="27"/>
  <c r="Q2092" i="27"/>
  <c r="R2092" i="27"/>
  <c r="AB2092" i="27"/>
  <c r="AC2092" i="27"/>
  <c r="AD2092" i="27"/>
  <c r="AE2092" i="27"/>
  <c r="AF2092" i="27"/>
  <c r="E2093" i="27"/>
  <c r="P2093" i="27"/>
  <c r="Q2093" i="27"/>
  <c r="R2093" i="27"/>
  <c r="AB2093" i="27"/>
  <c r="AC2093" i="27"/>
  <c r="AD2093" i="27"/>
  <c r="AE2093" i="27"/>
  <c r="AF2093" i="27"/>
  <c r="E2094" i="27"/>
  <c r="P2094" i="27"/>
  <c r="Q2094" i="27"/>
  <c r="R2094" i="27"/>
  <c r="AB2094" i="27"/>
  <c r="AC2094" i="27"/>
  <c r="AD2094" i="27"/>
  <c r="AE2094" i="27"/>
  <c r="AF2094" i="27"/>
  <c r="E2095" i="27"/>
  <c r="P2095" i="27"/>
  <c r="Q2095" i="27"/>
  <c r="R2095" i="27"/>
  <c r="AB2095" i="27"/>
  <c r="AC2095" i="27"/>
  <c r="AD2095" i="27"/>
  <c r="AE2095" i="27"/>
  <c r="AF2095" i="27"/>
  <c r="E2096" i="27"/>
  <c r="P2096" i="27"/>
  <c r="Q2096" i="27"/>
  <c r="R2096" i="27"/>
  <c r="AB2096" i="27"/>
  <c r="AC2096" i="27"/>
  <c r="AD2096" i="27"/>
  <c r="AE2096" i="27"/>
  <c r="AF2096" i="27"/>
  <c r="E2097" i="27"/>
  <c r="P2097" i="27"/>
  <c r="Q2097" i="27"/>
  <c r="R2097" i="27"/>
  <c r="AB2097" i="27"/>
  <c r="AC2097" i="27"/>
  <c r="AD2097" i="27"/>
  <c r="AE2097" i="27"/>
  <c r="AF2097" i="27"/>
  <c r="E2098" i="27"/>
  <c r="P2098" i="27"/>
  <c r="Q2098" i="27"/>
  <c r="R2098" i="27"/>
  <c r="AB2098" i="27"/>
  <c r="AC2098" i="27"/>
  <c r="AD2098" i="27"/>
  <c r="AE2098" i="27"/>
  <c r="AF2098" i="27"/>
  <c r="E2099" i="27"/>
  <c r="P2099" i="27"/>
  <c r="Q2099" i="27"/>
  <c r="R2099" i="27"/>
  <c r="AB2099" i="27"/>
  <c r="AC2099" i="27"/>
  <c r="AD2099" i="27"/>
  <c r="AE2099" i="27"/>
  <c r="AF2099" i="27"/>
  <c r="E2100" i="27"/>
  <c r="P2100" i="27"/>
  <c r="Q2100" i="27"/>
  <c r="R2100" i="27"/>
  <c r="AB2100" i="27"/>
  <c r="AC2100" i="27"/>
  <c r="AD2100" i="27"/>
  <c r="AE2100" i="27"/>
  <c r="AF2100" i="27"/>
  <c r="E2101" i="27"/>
  <c r="P2101" i="27"/>
  <c r="Q2101" i="27"/>
  <c r="R2101" i="27"/>
  <c r="AB2101" i="27"/>
  <c r="AC2101" i="27"/>
  <c r="AD2101" i="27"/>
  <c r="AE2101" i="27"/>
  <c r="AF2101" i="27"/>
  <c r="E2102" i="27"/>
  <c r="P2102" i="27"/>
  <c r="Q2102" i="27"/>
  <c r="R2102" i="27"/>
  <c r="AB2102" i="27"/>
  <c r="AC2102" i="27"/>
  <c r="AD2102" i="27"/>
  <c r="AE2102" i="27"/>
  <c r="AF2102" i="27"/>
  <c r="E2103" i="27"/>
  <c r="P2103" i="27"/>
  <c r="Q2103" i="27"/>
  <c r="R2103" i="27"/>
  <c r="AB2103" i="27"/>
  <c r="AC2103" i="27"/>
  <c r="AD2103" i="27"/>
  <c r="AE2103" i="27"/>
  <c r="AF2103" i="27"/>
  <c r="E2104" i="27"/>
  <c r="P2104" i="27"/>
  <c r="Q2104" i="27"/>
  <c r="R2104" i="27"/>
  <c r="AB2104" i="27"/>
  <c r="AC2104" i="27"/>
  <c r="AD2104" i="27"/>
  <c r="AE2104" i="27"/>
  <c r="AF2104" i="27"/>
  <c r="E2105" i="27"/>
  <c r="P2105" i="27"/>
  <c r="Q2105" i="27"/>
  <c r="R2105" i="27"/>
  <c r="AB2105" i="27"/>
  <c r="AC2105" i="27"/>
  <c r="AD2105" i="27"/>
  <c r="AE2105" i="27"/>
  <c r="AF2105" i="27"/>
  <c r="E2106" i="27"/>
  <c r="P2106" i="27"/>
  <c r="Q2106" i="27"/>
  <c r="R2106" i="27"/>
  <c r="AB2106" i="27"/>
  <c r="AC2106" i="27"/>
  <c r="AD2106" i="27"/>
  <c r="AE2106" i="27"/>
  <c r="AF2106" i="27"/>
  <c r="E2107" i="27"/>
  <c r="P2107" i="27"/>
  <c r="Q2107" i="27"/>
  <c r="R2107" i="27"/>
  <c r="AB2107" i="27"/>
  <c r="AC2107" i="27"/>
  <c r="AD2107" i="27"/>
  <c r="AE2107" i="27"/>
  <c r="AF2107" i="27"/>
  <c r="E2108" i="27"/>
  <c r="P2108" i="27"/>
  <c r="Q2108" i="27"/>
  <c r="R2108" i="27"/>
  <c r="AB2108" i="27"/>
  <c r="AC2108" i="27"/>
  <c r="AD2108" i="27"/>
  <c r="AE2108" i="27"/>
  <c r="AF2108" i="27"/>
  <c r="E2109" i="27"/>
  <c r="I2109" i="27"/>
  <c r="P2109" i="27"/>
  <c r="Q2109" i="27"/>
  <c r="R2109" i="27"/>
  <c r="AB2109" i="27"/>
  <c r="AC2109" i="27"/>
  <c r="AD2109" i="27"/>
  <c r="AE2109" i="27"/>
  <c r="AF2109" i="27"/>
  <c r="E2110" i="27"/>
  <c r="P2110" i="27"/>
  <c r="Q2110" i="27"/>
  <c r="R2110" i="27"/>
  <c r="AB2110" i="27"/>
  <c r="AC2110" i="27"/>
  <c r="AD2110" i="27"/>
  <c r="AE2110" i="27"/>
  <c r="AF2110" i="27"/>
  <c r="E2111" i="27"/>
  <c r="P2111" i="27"/>
  <c r="Q2111" i="27"/>
  <c r="R2111" i="27"/>
  <c r="AB2111" i="27"/>
  <c r="AC2111" i="27"/>
  <c r="AD2111" i="27"/>
  <c r="AE2111" i="27"/>
  <c r="AF2111" i="27"/>
  <c r="E2112" i="27"/>
  <c r="P2112" i="27"/>
  <c r="Q2112" i="27"/>
  <c r="R2112" i="27"/>
  <c r="AB2112" i="27"/>
  <c r="AC2112" i="27"/>
  <c r="AD2112" i="27"/>
  <c r="AE2112" i="27"/>
  <c r="AF2112" i="27"/>
  <c r="E2113" i="27"/>
  <c r="P2113" i="27"/>
  <c r="Q2113" i="27"/>
  <c r="R2113" i="27"/>
  <c r="AB2113" i="27"/>
  <c r="AC2113" i="27"/>
  <c r="AD2113" i="27"/>
  <c r="AE2113" i="27"/>
  <c r="AF2113" i="27"/>
  <c r="E2114" i="27"/>
  <c r="P2114" i="27"/>
  <c r="Q2114" i="27"/>
  <c r="R2114" i="27"/>
  <c r="AB2114" i="27"/>
  <c r="AC2114" i="27"/>
  <c r="AD2114" i="27"/>
  <c r="AE2114" i="27"/>
  <c r="AF2114" i="27"/>
  <c r="E2115" i="27"/>
  <c r="P2115" i="27"/>
  <c r="Q2115" i="27"/>
  <c r="R2115" i="27"/>
  <c r="AB2115" i="27"/>
  <c r="AC2115" i="27"/>
  <c r="AD2115" i="27"/>
  <c r="AE2115" i="27"/>
  <c r="AF2115" i="27"/>
  <c r="E2116" i="27"/>
  <c r="P2116" i="27"/>
  <c r="Q2116" i="27"/>
  <c r="R2116" i="27"/>
  <c r="AB2116" i="27"/>
  <c r="AC2116" i="27"/>
  <c r="AD2116" i="27"/>
  <c r="AE2116" i="27"/>
  <c r="AF2116" i="27"/>
  <c r="E2117" i="27"/>
  <c r="P2117" i="27"/>
  <c r="Q2117" i="27"/>
  <c r="R2117" i="27"/>
  <c r="AB2117" i="27"/>
  <c r="AC2117" i="27"/>
  <c r="AD2117" i="27"/>
  <c r="AE2117" i="27"/>
  <c r="AF2117" i="27"/>
  <c r="E2118" i="27"/>
  <c r="P2118" i="27"/>
  <c r="Q2118" i="27"/>
  <c r="R2118" i="27"/>
  <c r="AB2118" i="27"/>
  <c r="AC2118" i="27"/>
  <c r="AD2118" i="27"/>
  <c r="AE2118" i="27"/>
  <c r="AF2118" i="27"/>
  <c r="E2119" i="27"/>
  <c r="I2119" i="27"/>
  <c r="P2119" i="27"/>
  <c r="Q2119" i="27"/>
  <c r="R2119" i="27"/>
  <c r="AB2119" i="27"/>
  <c r="AC2119" i="27"/>
  <c r="AD2119" i="27"/>
  <c r="AE2119" i="27"/>
  <c r="AF2119" i="27"/>
  <c r="E2120" i="27"/>
  <c r="P2120" i="27"/>
  <c r="Q2120" i="27"/>
  <c r="R2120" i="27"/>
  <c r="AB2120" i="27"/>
  <c r="AC2120" i="27"/>
  <c r="AD2120" i="27"/>
  <c r="AE2120" i="27"/>
  <c r="AF2120" i="27"/>
  <c r="E2121" i="27"/>
  <c r="P2121" i="27"/>
  <c r="Q2121" i="27"/>
  <c r="R2121" i="27"/>
  <c r="AB2121" i="27"/>
  <c r="AC2121" i="27"/>
  <c r="AD2121" i="27"/>
  <c r="AE2121" i="27"/>
  <c r="AF2121" i="27"/>
  <c r="E2122" i="27"/>
  <c r="P2122" i="27"/>
  <c r="Q2122" i="27"/>
  <c r="R2122" i="27"/>
  <c r="AB2122" i="27"/>
  <c r="AC2122" i="27"/>
  <c r="AD2122" i="27"/>
  <c r="AE2122" i="27"/>
  <c r="AF2122" i="27"/>
  <c r="E2123" i="27"/>
  <c r="P2123" i="27"/>
  <c r="Q2123" i="27"/>
  <c r="R2123" i="27"/>
  <c r="AB2123" i="27"/>
  <c r="AC2123" i="27"/>
  <c r="AD2123" i="27"/>
  <c r="AE2123" i="27"/>
  <c r="AF2123" i="27"/>
  <c r="E2124" i="27"/>
  <c r="P2124" i="27"/>
  <c r="Q2124" i="27"/>
  <c r="R2124" i="27"/>
  <c r="AB2124" i="27"/>
  <c r="AC2124" i="27"/>
  <c r="AD2124" i="27"/>
  <c r="AE2124" i="27"/>
  <c r="AF2124" i="27"/>
  <c r="E2125" i="27"/>
  <c r="P2125" i="27"/>
  <c r="Q2125" i="27"/>
  <c r="R2125" i="27"/>
  <c r="AB2125" i="27"/>
  <c r="AC2125" i="27"/>
  <c r="AD2125" i="27"/>
  <c r="AE2125" i="27"/>
  <c r="AF2125" i="27"/>
  <c r="E2126" i="27"/>
  <c r="P2126" i="27"/>
  <c r="Q2126" i="27"/>
  <c r="R2126" i="27"/>
  <c r="AB2126" i="27"/>
  <c r="AC2126" i="27"/>
  <c r="AD2126" i="27"/>
  <c r="AE2126" i="27"/>
  <c r="AF2126" i="27"/>
  <c r="E2127" i="27"/>
  <c r="P2127" i="27"/>
  <c r="Q2127" i="27"/>
  <c r="R2127" i="27"/>
  <c r="AB2127" i="27"/>
  <c r="AC2127" i="27"/>
  <c r="AD2127" i="27"/>
  <c r="AE2127" i="27"/>
  <c r="AF2127" i="27"/>
  <c r="E2128" i="27"/>
  <c r="P2128" i="27"/>
  <c r="Q2128" i="27"/>
  <c r="R2128" i="27"/>
  <c r="AB2128" i="27"/>
  <c r="AC2128" i="27"/>
  <c r="AD2128" i="27"/>
  <c r="AE2128" i="27"/>
  <c r="AF2128" i="27"/>
  <c r="E2129" i="27"/>
  <c r="P2129" i="27"/>
  <c r="Q2129" i="27"/>
  <c r="R2129" i="27"/>
  <c r="AB2129" i="27"/>
  <c r="AC2129" i="27"/>
  <c r="AD2129" i="27"/>
  <c r="AE2129" i="27"/>
  <c r="AF2129" i="27"/>
  <c r="E2130" i="27"/>
  <c r="P2130" i="27"/>
  <c r="Q2130" i="27"/>
  <c r="R2130" i="27"/>
  <c r="AB2130" i="27"/>
  <c r="AC2130" i="27"/>
  <c r="AD2130" i="27"/>
  <c r="AE2130" i="27"/>
  <c r="AF2130" i="27"/>
  <c r="E2131" i="27"/>
  <c r="P2131" i="27"/>
  <c r="Q2131" i="27"/>
  <c r="R2131" i="27"/>
  <c r="AB2131" i="27"/>
  <c r="AC2131" i="27"/>
  <c r="AD2131" i="27"/>
  <c r="AE2131" i="27"/>
  <c r="AF2131" i="27"/>
  <c r="E2132" i="27"/>
  <c r="P2132" i="27"/>
  <c r="Q2132" i="27"/>
  <c r="R2132" i="27"/>
  <c r="AB2132" i="27"/>
  <c r="AC2132" i="27"/>
  <c r="AD2132" i="27"/>
  <c r="AE2132" i="27"/>
  <c r="AF2132" i="27"/>
  <c r="E2133" i="27"/>
  <c r="P2133" i="27"/>
  <c r="Q2133" i="27"/>
  <c r="R2133" i="27"/>
  <c r="AB2133" i="27"/>
  <c r="AC2133" i="27"/>
  <c r="AD2133" i="27"/>
  <c r="AE2133" i="27"/>
  <c r="AF2133" i="27"/>
  <c r="E2134" i="27"/>
  <c r="P2134" i="27"/>
  <c r="Q2134" i="27"/>
  <c r="R2134" i="27"/>
  <c r="AB2134" i="27"/>
  <c r="AC2134" i="27"/>
  <c r="AD2134" i="27"/>
  <c r="AE2134" i="27"/>
  <c r="AF2134" i="27"/>
  <c r="E2135" i="27"/>
  <c r="P2135" i="27"/>
  <c r="Q2135" i="27"/>
  <c r="R2135" i="27"/>
  <c r="AB2135" i="27"/>
  <c r="AC2135" i="27"/>
  <c r="AD2135" i="27"/>
  <c r="AE2135" i="27"/>
  <c r="AF2135" i="27"/>
  <c r="E2136" i="27"/>
  <c r="P2136" i="27"/>
  <c r="Q2136" i="27"/>
  <c r="R2136" i="27"/>
  <c r="AB2136" i="27"/>
  <c r="AC2136" i="27"/>
  <c r="AD2136" i="27"/>
  <c r="AE2136" i="27"/>
  <c r="AF2136" i="27"/>
  <c r="E2137" i="27"/>
  <c r="P2137" i="27"/>
  <c r="Q2137" i="27"/>
  <c r="R2137" i="27"/>
  <c r="AB2137" i="27"/>
  <c r="AC2137" i="27"/>
  <c r="AD2137" i="27"/>
  <c r="AE2137" i="27"/>
  <c r="AF2137" i="27"/>
  <c r="E2138" i="27"/>
  <c r="P2138" i="27"/>
  <c r="Q2138" i="27"/>
  <c r="R2138" i="27"/>
  <c r="AB2138" i="27"/>
  <c r="AC2138" i="27"/>
  <c r="AD2138" i="27"/>
  <c r="AE2138" i="27"/>
  <c r="AF2138" i="27"/>
  <c r="E2139" i="27"/>
  <c r="P2139" i="27"/>
  <c r="Q2139" i="27"/>
  <c r="R2139" i="27"/>
  <c r="AB2139" i="27"/>
  <c r="AC2139" i="27"/>
  <c r="AD2139" i="27"/>
  <c r="AE2139" i="27"/>
  <c r="AF2139" i="27"/>
  <c r="E2140" i="27"/>
  <c r="P2140" i="27"/>
  <c r="Q2140" i="27"/>
  <c r="R2140" i="27"/>
  <c r="AB2140" i="27"/>
  <c r="AC2140" i="27"/>
  <c r="AD2140" i="27"/>
  <c r="AE2140" i="27"/>
  <c r="AF2140" i="27"/>
  <c r="E2141" i="27"/>
  <c r="P2141" i="27"/>
  <c r="Q2141" i="27"/>
  <c r="R2141" i="27"/>
  <c r="AB2141" i="27"/>
  <c r="AC2141" i="27"/>
  <c r="AD2141" i="27"/>
  <c r="AE2141" i="27"/>
  <c r="AF2141" i="27"/>
  <c r="E2142" i="27"/>
  <c r="P2142" i="27"/>
  <c r="Q2142" i="27"/>
  <c r="R2142" i="27"/>
  <c r="AB2142" i="27"/>
  <c r="AC2142" i="27"/>
  <c r="AD2142" i="27"/>
  <c r="AE2142" i="27"/>
  <c r="AF2142" i="27"/>
  <c r="E2143" i="27"/>
  <c r="P2143" i="27"/>
  <c r="Q2143" i="27"/>
  <c r="R2143" i="27"/>
  <c r="AB2143" i="27"/>
  <c r="AC2143" i="27"/>
  <c r="AD2143" i="27"/>
  <c r="AE2143" i="27"/>
  <c r="AF2143" i="27"/>
  <c r="E2144" i="27"/>
  <c r="P2144" i="27"/>
  <c r="Q2144" i="27"/>
  <c r="R2144" i="27"/>
  <c r="AB2144" i="27"/>
  <c r="AC2144" i="27"/>
  <c r="AD2144" i="27"/>
  <c r="AE2144" i="27"/>
  <c r="AF2144" i="27"/>
  <c r="E2145" i="27"/>
  <c r="P2145" i="27"/>
  <c r="Q2145" i="27"/>
  <c r="R2145" i="27"/>
  <c r="AB2145" i="27"/>
  <c r="AC2145" i="27"/>
  <c r="AD2145" i="27"/>
  <c r="AE2145" i="27"/>
  <c r="AF2145" i="27"/>
  <c r="P2146" i="27"/>
  <c r="Q2146" i="27"/>
  <c r="R2146" i="27"/>
  <c r="AB2146" i="27"/>
  <c r="AC2146" i="27"/>
  <c r="AD2146" i="27"/>
  <c r="AE2146" i="27"/>
  <c r="AF2146" i="27"/>
  <c r="E2147" i="27"/>
  <c r="P2147" i="27"/>
  <c r="Q2147" i="27"/>
  <c r="R2147" i="27"/>
  <c r="AB2147" i="27"/>
  <c r="AC2147" i="27"/>
  <c r="AD2147" i="27"/>
  <c r="AE2147" i="27"/>
  <c r="AF2147" i="27"/>
  <c r="E2148" i="27"/>
  <c r="P2148" i="27"/>
  <c r="Q2148" i="27"/>
  <c r="R2148" i="27"/>
  <c r="AB2148" i="27"/>
  <c r="AC2148" i="27"/>
  <c r="AD2148" i="27"/>
  <c r="AE2148" i="27"/>
  <c r="AF2148" i="27"/>
  <c r="E2149" i="27"/>
  <c r="P2149" i="27"/>
  <c r="Q2149" i="27"/>
  <c r="R2149" i="27"/>
  <c r="AB2149" i="27"/>
  <c r="AC2149" i="27"/>
  <c r="AD2149" i="27"/>
  <c r="AE2149" i="27"/>
  <c r="AF2149" i="27"/>
  <c r="E2150" i="27"/>
  <c r="P2150" i="27"/>
  <c r="Q2150" i="27"/>
  <c r="R2150" i="27"/>
  <c r="AB2150" i="27"/>
  <c r="AC2150" i="27"/>
  <c r="AD2150" i="27"/>
  <c r="AE2150" i="27"/>
  <c r="AF2150" i="27"/>
  <c r="E2151" i="27"/>
  <c r="P2151" i="27"/>
  <c r="Q2151" i="27"/>
  <c r="R2151" i="27"/>
  <c r="AB2151" i="27"/>
  <c r="AC2151" i="27"/>
  <c r="AD2151" i="27"/>
  <c r="AE2151" i="27"/>
  <c r="AF2151" i="27"/>
  <c r="E2152" i="27"/>
  <c r="P2152" i="27"/>
  <c r="Q2152" i="27"/>
  <c r="R2152" i="27"/>
  <c r="AB2152" i="27"/>
  <c r="AC2152" i="27"/>
  <c r="AD2152" i="27"/>
  <c r="AE2152" i="27"/>
  <c r="AF2152" i="27"/>
  <c r="E2153" i="27"/>
  <c r="P2153" i="27"/>
  <c r="Q2153" i="27"/>
  <c r="R2153" i="27"/>
  <c r="AB2153" i="27"/>
  <c r="AC2153" i="27"/>
  <c r="AD2153" i="27"/>
  <c r="AE2153" i="27"/>
  <c r="AF2153" i="27"/>
  <c r="E2154" i="27"/>
  <c r="P2154" i="27"/>
  <c r="Q2154" i="27"/>
  <c r="R2154" i="27"/>
  <c r="AB2154" i="27"/>
  <c r="AC2154" i="27"/>
  <c r="AD2154" i="27"/>
  <c r="AE2154" i="27"/>
  <c r="AF2154" i="27"/>
  <c r="E2155" i="27"/>
  <c r="P2155" i="27"/>
  <c r="Q2155" i="27"/>
  <c r="R2155" i="27"/>
  <c r="AB2155" i="27"/>
  <c r="AC2155" i="27"/>
  <c r="AD2155" i="27"/>
  <c r="AE2155" i="27"/>
  <c r="AF2155" i="27"/>
  <c r="E2156" i="27"/>
  <c r="P2156" i="27"/>
  <c r="Q2156" i="27"/>
  <c r="R2156" i="27"/>
  <c r="AB2156" i="27"/>
  <c r="AC2156" i="27"/>
  <c r="AD2156" i="27"/>
  <c r="AE2156" i="27"/>
  <c r="AF2156" i="27"/>
  <c r="E2157" i="27"/>
  <c r="P2157" i="27"/>
  <c r="Q2157" i="27"/>
  <c r="R2157" i="27"/>
  <c r="AB2157" i="27"/>
  <c r="AC2157" i="27"/>
  <c r="AD2157" i="27"/>
  <c r="AE2157" i="27"/>
  <c r="AF2157" i="27"/>
  <c r="E2158" i="27"/>
  <c r="P2158" i="27"/>
  <c r="Q2158" i="27"/>
  <c r="R2158" i="27"/>
  <c r="AB2158" i="27"/>
  <c r="AC2158" i="27"/>
  <c r="AD2158" i="27"/>
  <c r="AE2158" i="27"/>
  <c r="AF2158" i="27"/>
  <c r="E2159" i="27"/>
  <c r="P2159" i="27"/>
  <c r="Q2159" i="27"/>
  <c r="R2159" i="27"/>
  <c r="AB2159" i="27"/>
  <c r="AC2159" i="27"/>
  <c r="AD2159" i="27"/>
  <c r="AE2159" i="27"/>
  <c r="AF2159" i="27"/>
  <c r="P2160" i="27"/>
  <c r="Q2160" i="27"/>
  <c r="R2160" i="27"/>
  <c r="AB2160" i="27"/>
  <c r="AC2160" i="27"/>
  <c r="AD2160" i="27"/>
  <c r="AE2160" i="27"/>
  <c r="AF2160" i="27"/>
  <c r="P2161" i="27"/>
  <c r="Q2161" i="27"/>
  <c r="R2161" i="27"/>
  <c r="AB2161" i="27"/>
  <c r="AC2161" i="27"/>
  <c r="AD2161" i="27"/>
  <c r="AE2161" i="27"/>
  <c r="AF2161" i="27"/>
  <c r="E2162" i="27"/>
  <c r="P2162" i="27"/>
  <c r="Q2162" i="27"/>
  <c r="R2162" i="27"/>
  <c r="AB2162" i="27"/>
  <c r="AC2162" i="27"/>
  <c r="AD2162" i="27"/>
  <c r="AE2162" i="27"/>
  <c r="AF2162" i="27"/>
  <c r="E2163" i="27"/>
  <c r="P2163" i="27"/>
  <c r="Q2163" i="27"/>
  <c r="R2163" i="27"/>
  <c r="AB2163" i="27"/>
  <c r="AC2163" i="27"/>
  <c r="AD2163" i="27"/>
  <c r="AE2163" i="27"/>
  <c r="AF2163" i="27"/>
  <c r="E2164" i="27"/>
  <c r="P2164" i="27"/>
  <c r="Q2164" i="27"/>
  <c r="R2164" i="27"/>
  <c r="AB2164" i="27"/>
  <c r="AC2164" i="27"/>
  <c r="AD2164" i="27"/>
  <c r="AE2164" i="27"/>
  <c r="AF2164" i="27"/>
  <c r="E2165" i="27"/>
  <c r="P2165" i="27"/>
  <c r="Q2165" i="27"/>
  <c r="R2165" i="27"/>
  <c r="AB2165" i="27"/>
  <c r="AC2165" i="27"/>
  <c r="AD2165" i="27"/>
  <c r="AE2165" i="27"/>
  <c r="AF2165" i="27"/>
  <c r="E2166" i="27"/>
  <c r="P2166" i="27"/>
  <c r="Q2166" i="27"/>
  <c r="R2166" i="27"/>
  <c r="AB2166" i="27"/>
  <c r="AC2166" i="27"/>
  <c r="AD2166" i="27"/>
  <c r="AE2166" i="27"/>
  <c r="AF2166" i="27"/>
  <c r="E2167" i="27"/>
  <c r="P2167" i="27"/>
  <c r="Q2167" i="27"/>
  <c r="R2167" i="27"/>
  <c r="AB2167" i="27"/>
  <c r="AC2167" i="27"/>
  <c r="AD2167" i="27"/>
  <c r="AE2167" i="27"/>
  <c r="AF2167" i="27"/>
  <c r="P2168" i="27"/>
  <c r="Q2168" i="27"/>
  <c r="R2168" i="27"/>
  <c r="AB2168" i="27"/>
  <c r="AC2168" i="27"/>
  <c r="AD2168" i="27"/>
  <c r="AE2168" i="27"/>
  <c r="AF2168" i="27"/>
  <c r="E2169" i="27"/>
  <c r="P2169" i="27"/>
  <c r="Q2169" i="27"/>
  <c r="R2169" i="27"/>
  <c r="AB2169" i="27"/>
  <c r="AC2169" i="27"/>
  <c r="AD2169" i="27"/>
  <c r="AE2169" i="27"/>
  <c r="AF2169" i="27"/>
  <c r="E2170" i="27"/>
  <c r="P2170" i="27"/>
  <c r="Q2170" i="27"/>
  <c r="R2170" i="27"/>
  <c r="AB2170" i="27"/>
  <c r="AC2170" i="27"/>
  <c r="AD2170" i="27"/>
  <c r="AE2170" i="27"/>
  <c r="AF2170" i="27"/>
  <c r="E2171" i="27"/>
  <c r="P2171" i="27"/>
  <c r="Q2171" i="27"/>
  <c r="R2171" i="27"/>
  <c r="AB2171" i="27"/>
  <c r="AC2171" i="27"/>
  <c r="AD2171" i="27"/>
  <c r="AE2171" i="27"/>
  <c r="AF2171" i="27"/>
  <c r="E2172" i="27"/>
  <c r="P2172" i="27"/>
  <c r="Q2172" i="27"/>
  <c r="R2172" i="27"/>
  <c r="AB2172" i="27"/>
  <c r="AC2172" i="27"/>
  <c r="AD2172" i="27"/>
  <c r="AE2172" i="27"/>
  <c r="AF2172" i="27"/>
  <c r="E2173" i="27"/>
  <c r="P2173" i="27"/>
  <c r="Q2173" i="27"/>
  <c r="R2173" i="27"/>
  <c r="AB2173" i="27"/>
  <c r="AC2173" i="27"/>
  <c r="AD2173" i="27"/>
  <c r="AE2173" i="27"/>
  <c r="AF2173" i="27"/>
  <c r="E2174" i="27"/>
  <c r="P2174" i="27"/>
  <c r="Q2174" i="27"/>
  <c r="R2174" i="27"/>
  <c r="AB2174" i="27"/>
  <c r="AC2174" i="27"/>
  <c r="AD2174" i="27"/>
  <c r="AE2174" i="27"/>
  <c r="AF2174" i="27"/>
  <c r="E2175" i="27"/>
  <c r="P2175" i="27"/>
  <c r="Q2175" i="27"/>
  <c r="R2175" i="27"/>
  <c r="AB2175" i="27"/>
  <c r="AC2175" i="27"/>
  <c r="AD2175" i="27"/>
  <c r="AE2175" i="27"/>
  <c r="AF2175" i="27"/>
  <c r="E2176" i="27"/>
  <c r="P2176" i="27"/>
  <c r="Q2176" i="27"/>
  <c r="R2176" i="27"/>
  <c r="AB2176" i="27"/>
  <c r="AC2176" i="27"/>
  <c r="AD2176" i="27"/>
  <c r="AE2176" i="27"/>
  <c r="AF2176" i="27"/>
  <c r="E2177" i="27"/>
  <c r="P2177" i="27"/>
  <c r="Q2177" i="27"/>
  <c r="R2177" i="27"/>
  <c r="AB2177" i="27"/>
  <c r="AC2177" i="27"/>
  <c r="AD2177" i="27"/>
  <c r="AE2177" i="27"/>
  <c r="AF2177" i="27"/>
  <c r="E2178" i="27"/>
  <c r="P2178" i="27"/>
  <c r="Q2178" i="27"/>
  <c r="R2178" i="27"/>
  <c r="AB2178" i="27"/>
  <c r="AC2178" i="27"/>
  <c r="AD2178" i="27"/>
  <c r="AE2178" i="27"/>
  <c r="AF2178" i="27"/>
  <c r="E2179" i="27"/>
  <c r="P2179" i="27"/>
  <c r="Q2179" i="27"/>
  <c r="R2179" i="27"/>
  <c r="AB2179" i="27"/>
  <c r="AC2179" i="27"/>
  <c r="AD2179" i="27"/>
  <c r="AE2179" i="27"/>
  <c r="AF2179" i="27"/>
  <c r="P2180" i="27"/>
  <c r="Q2180" i="27"/>
  <c r="R2180" i="27"/>
  <c r="AB2180" i="27"/>
  <c r="AC2180" i="27"/>
  <c r="AD2180" i="27"/>
  <c r="AE2180" i="27"/>
  <c r="AF2180" i="27"/>
  <c r="P2181" i="27"/>
  <c r="Q2181" i="27"/>
  <c r="R2181" i="27"/>
  <c r="AB2181" i="27"/>
  <c r="AC2181" i="27"/>
  <c r="AD2181" i="27"/>
  <c r="AE2181" i="27"/>
  <c r="AF2181" i="27"/>
  <c r="E2182" i="27"/>
  <c r="P2182" i="27"/>
  <c r="Q2182" i="27"/>
  <c r="R2182" i="27"/>
  <c r="AB2182" i="27"/>
  <c r="AC2182" i="27"/>
  <c r="AD2182" i="27"/>
  <c r="AE2182" i="27"/>
  <c r="AF2182" i="27"/>
  <c r="E2183" i="27"/>
  <c r="P2183" i="27"/>
  <c r="Q2183" i="27"/>
  <c r="R2183" i="27"/>
  <c r="AB2183" i="27"/>
  <c r="AC2183" i="27"/>
  <c r="AD2183" i="27"/>
  <c r="AE2183" i="27"/>
  <c r="AF2183" i="27"/>
  <c r="E2184" i="27"/>
  <c r="P2184" i="27"/>
  <c r="Q2184" i="27"/>
  <c r="R2184" i="27"/>
  <c r="AB2184" i="27"/>
  <c r="AC2184" i="27"/>
  <c r="AD2184" i="27"/>
  <c r="AE2184" i="27"/>
  <c r="AF2184" i="27"/>
  <c r="E2185" i="27"/>
  <c r="P2185" i="27"/>
  <c r="Q2185" i="27"/>
  <c r="R2185" i="27"/>
  <c r="AB2185" i="27"/>
  <c r="AC2185" i="27"/>
  <c r="AD2185" i="27"/>
  <c r="AE2185" i="27"/>
  <c r="AF2185" i="27"/>
  <c r="E2186" i="27"/>
  <c r="P2186" i="27"/>
  <c r="Q2186" i="27"/>
  <c r="R2186" i="27"/>
  <c r="AB2186" i="27"/>
  <c r="AC2186" i="27"/>
  <c r="AD2186" i="27"/>
  <c r="AE2186" i="27"/>
  <c r="AF2186" i="27"/>
  <c r="E2187" i="27"/>
  <c r="P2187" i="27"/>
  <c r="Q2187" i="27"/>
  <c r="R2187" i="27"/>
  <c r="AB2187" i="27"/>
  <c r="AC2187" i="27"/>
  <c r="AD2187" i="27"/>
  <c r="AE2187" i="27"/>
  <c r="AF2187" i="27"/>
  <c r="E2188" i="27"/>
  <c r="P2188" i="27"/>
  <c r="Q2188" i="27"/>
  <c r="R2188" i="27"/>
  <c r="AB2188" i="27"/>
  <c r="AC2188" i="27"/>
  <c r="AD2188" i="27"/>
  <c r="AE2188" i="27"/>
  <c r="AF2188" i="27"/>
  <c r="E2189" i="27"/>
  <c r="P2189" i="27"/>
  <c r="Q2189" i="27"/>
  <c r="R2189" i="27"/>
  <c r="AB2189" i="27"/>
  <c r="AC2189" i="27"/>
  <c r="AD2189" i="27"/>
  <c r="AE2189" i="27"/>
  <c r="AF2189" i="27"/>
  <c r="E2190" i="27"/>
  <c r="P2190" i="27"/>
  <c r="Q2190" i="27"/>
  <c r="R2190" i="27"/>
  <c r="AB2190" i="27"/>
  <c r="AC2190" i="27"/>
  <c r="AD2190" i="27"/>
  <c r="AE2190" i="27"/>
  <c r="AF2190" i="27"/>
  <c r="E2191" i="27"/>
  <c r="P2191" i="27"/>
  <c r="Q2191" i="27"/>
  <c r="R2191" i="27"/>
  <c r="AB2191" i="27"/>
  <c r="AC2191" i="27"/>
  <c r="AD2191" i="27"/>
  <c r="AE2191" i="27"/>
  <c r="AF2191" i="27"/>
  <c r="E2192" i="27"/>
  <c r="P2192" i="27"/>
  <c r="Q2192" i="27"/>
  <c r="R2192" i="27"/>
  <c r="AB2192" i="27"/>
  <c r="AC2192" i="27"/>
  <c r="AD2192" i="27"/>
  <c r="AE2192" i="27"/>
  <c r="AF2192" i="27"/>
  <c r="E2193" i="27"/>
  <c r="P2193" i="27"/>
  <c r="Q2193" i="27"/>
  <c r="R2193" i="27"/>
  <c r="AB2193" i="27"/>
  <c r="AC2193" i="27"/>
  <c r="AD2193" i="27"/>
  <c r="AE2193" i="27"/>
  <c r="AF2193" i="27"/>
  <c r="E2194" i="27"/>
  <c r="P2194" i="27"/>
  <c r="Q2194" i="27"/>
  <c r="R2194" i="27"/>
  <c r="AB2194" i="27"/>
  <c r="AC2194" i="27"/>
  <c r="AD2194" i="27"/>
  <c r="AE2194" i="27"/>
  <c r="AF2194" i="27"/>
  <c r="E2195" i="27"/>
  <c r="P2195" i="27"/>
  <c r="Q2195" i="27"/>
  <c r="R2195" i="27"/>
  <c r="AB2195" i="27"/>
  <c r="AC2195" i="27"/>
  <c r="AD2195" i="27"/>
  <c r="AE2195" i="27"/>
  <c r="AF2195" i="27"/>
  <c r="E2196" i="27"/>
  <c r="P2196" i="27"/>
  <c r="Q2196" i="27"/>
  <c r="R2196" i="27"/>
  <c r="AB2196" i="27"/>
  <c r="AC2196" i="27"/>
  <c r="AD2196" i="27"/>
  <c r="AE2196" i="27"/>
  <c r="AF2196" i="27"/>
  <c r="E2197" i="27"/>
  <c r="P2197" i="27"/>
  <c r="Q2197" i="27"/>
  <c r="R2197" i="27"/>
  <c r="AB2197" i="27"/>
  <c r="AC2197" i="27"/>
  <c r="AD2197" i="27"/>
  <c r="AE2197" i="27"/>
  <c r="AF2197" i="27"/>
  <c r="E2198" i="27"/>
  <c r="I2198" i="27"/>
  <c r="P2198" i="27"/>
  <c r="Q2198" i="27"/>
  <c r="R2198" i="27"/>
  <c r="AB2198" i="27"/>
  <c r="AC2198" i="27"/>
  <c r="AD2198" i="27"/>
  <c r="AE2198" i="27"/>
  <c r="AF2198" i="27"/>
  <c r="E2199" i="27"/>
  <c r="P2199" i="27"/>
  <c r="Q2199" i="27"/>
  <c r="R2199" i="27"/>
  <c r="AB2199" i="27"/>
  <c r="AC2199" i="27"/>
  <c r="AD2199" i="27"/>
  <c r="AE2199" i="27"/>
  <c r="AF2199" i="27"/>
  <c r="E2200" i="27"/>
  <c r="P2200" i="27"/>
  <c r="Q2200" i="27"/>
  <c r="R2200" i="27"/>
  <c r="AB2200" i="27"/>
  <c r="AC2200" i="27"/>
  <c r="AD2200" i="27"/>
  <c r="AE2200" i="27"/>
  <c r="AF2200" i="27"/>
  <c r="E2201" i="27"/>
  <c r="I2201" i="27"/>
  <c r="P2201" i="27"/>
  <c r="Q2201" i="27"/>
  <c r="R2201" i="27"/>
  <c r="AB2201" i="27"/>
  <c r="AC2201" i="27"/>
  <c r="AD2201" i="27"/>
  <c r="AE2201" i="27"/>
  <c r="AF2201" i="27"/>
  <c r="P2202" i="27"/>
  <c r="Q2202" i="27"/>
  <c r="R2202" i="27"/>
  <c r="AB2202" i="27"/>
  <c r="AC2202" i="27"/>
  <c r="AD2202" i="27"/>
  <c r="AE2202" i="27"/>
  <c r="AF2202" i="27"/>
  <c r="P2203" i="27"/>
  <c r="Q2203" i="27"/>
  <c r="R2203" i="27"/>
  <c r="AB2203" i="27"/>
  <c r="AC2203" i="27"/>
  <c r="AD2203" i="27"/>
  <c r="AE2203" i="27"/>
  <c r="AF2203" i="27"/>
  <c r="P2204" i="27"/>
  <c r="Q2204" i="27"/>
  <c r="R2204" i="27"/>
  <c r="AB2204" i="27"/>
  <c r="AC2204" i="27"/>
  <c r="AD2204" i="27"/>
  <c r="AE2204" i="27"/>
  <c r="AF2204" i="27"/>
  <c r="E2205" i="27"/>
  <c r="P2205" i="27"/>
  <c r="Q2205" i="27"/>
  <c r="R2205" i="27"/>
  <c r="AB2205" i="27"/>
  <c r="AC2205" i="27"/>
  <c r="AD2205" i="27"/>
  <c r="AE2205" i="27"/>
  <c r="AF2205" i="27"/>
  <c r="E2206" i="27"/>
  <c r="P2206" i="27"/>
  <c r="Q2206" i="27"/>
  <c r="R2206" i="27"/>
  <c r="AB2206" i="27"/>
  <c r="AC2206" i="27"/>
  <c r="AD2206" i="27"/>
  <c r="AE2206" i="27"/>
  <c r="AF2206" i="27"/>
  <c r="E2207" i="27"/>
  <c r="P2207" i="27"/>
  <c r="Q2207" i="27"/>
  <c r="R2207" i="27"/>
  <c r="AB2207" i="27"/>
  <c r="AC2207" i="27"/>
  <c r="AD2207" i="27"/>
  <c r="AE2207" i="27"/>
  <c r="AF2207" i="27"/>
  <c r="E2208" i="27"/>
  <c r="P2208" i="27"/>
  <c r="Q2208" i="27"/>
  <c r="R2208" i="27"/>
  <c r="AB2208" i="27"/>
  <c r="AC2208" i="27"/>
  <c r="AD2208" i="27"/>
  <c r="AE2208" i="27"/>
  <c r="AF2208" i="27"/>
  <c r="P2209" i="27"/>
  <c r="Q2209" i="27"/>
  <c r="R2209" i="27"/>
  <c r="AB2209" i="27"/>
  <c r="AC2209" i="27"/>
  <c r="AD2209" i="27"/>
  <c r="AE2209" i="27"/>
  <c r="AF2209" i="27"/>
  <c r="P2210" i="27"/>
  <c r="Q2210" i="27"/>
  <c r="R2210" i="27"/>
  <c r="AB2210" i="27"/>
  <c r="AC2210" i="27"/>
  <c r="AD2210" i="27"/>
  <c r="AE2210" i="27"/>
  <c r="AF2210" i="27"/>
  <c r="P2211" i="27"/>
  <c r="Q2211" i="27"/>
  <c r="R2211" i="27"/>
  <c r="AB2211" i="27"/>
  <c r="AC2211" i="27"/>
  <c r="AD2211" i="27"/>
  <c r="AE2211" i="27"/>
  <c r="AF2211" i="27"/>
  <c r="P2212" i="27"/>
  <c r="Q2212" i="27"/>
  <c r="R2212" i="27"/>
  <c r="AB2212" i="27"/>
  <c r="AC2212" i="27"/>
  <c r="AD2212" i="27"/>
  <c r="AE2212" i="27"/>
  <c r="AF2212" i="27"/>
  <c r="P2213" i="27"/>
  <c r="Q2213" i="27"/>
  <c r="R2213" i="27"/>
  <c r="AB2213" i="27"/>
  <c r="AC2213" i="27"/>
  <c r="AD2213" i="27"/>
  <c r="AE2213" i="27"/>
  <c r="AF2213" i="27"/>
  <c r="E2214" i="27"/>
  <c r="P2214" i="27"/>
  <c r="Q2214" i="27"/>
  <c r="R2214" i="27"/>
  <c r="AB2214" i="27"/>
  <c r="AC2214" i="27"/>
  <c r="AD2214" i="27"/>
  <c r="AE2214" i="27"/>
  <c r="AF2214" i="27"/>
  <c r="E2215" i="27"/>
  <c r="P2215" i="27"/>
  <c r="Q2215" i="27"/>
  <c r="R2215" i="27"/>
  <c r="AB2215" i="27"/>
  <c r="AC2215" i="27"/>
  <c r="AD2215" i="27"/>
  <c r="AE2215" i="27"/>
  <c r="AF2215" i="27"/>
  <c r="E2216" i="27"/>
  <c r="P2216" i="27"/>
  <c r="Q2216" i="27"/>
  <c r="R2216" i="27"/>
  <c r="AB2216" i="27"/>
  <c r="AC2216" i="27"/>
  <c r="AD2216" i="27"/>
  <c r="AE2216" i="27"/>
  <c r="AF2216" i="27"/>
  <c r="E2217" i="27"/>
  <c r="P2217" i="27"/>
  <c r="Q2217" i="27"/>
  <c r="R2217" i="27"/>
  <c r="AB2217" i="27"/>
  <c r="AC2217" i="27"/>
  <c r="AD2217" i="27"/>
  <c r="AE2217" i="27"/>
  <c r="AF2217" i="27"/>
  <c r="E2218" i="27"/>
  <c r="P2218" i="27"/>
  <c r="Q2218" i="27"/>
  <c r="R2218" i="27"/>
  <c r="AB2218" i="27"/>
  <c r="AC2218" i="27"/>
  <c r="AD2218" i="27"/>
  <c r="AE2218" i="27"/>
  <c r="AF2218" i="27"/>
  <c r="E2219" i="27"/>
  <c r="P2219" i="27"/>
  <c r="Q2219" i="27"/>
  <c r="R2219" i="27"/>
  <c r="AB2219" i="27"/>
  <c r="AC2219" i="27"/>
  <c r="AD2219" i="27"/>
  <c r="AE2219" i="27"/>
  <c r="AF2219" i="27"/>
  <c r="P2220" i="27"/>
  <c r="Q2220" i="27"/>
  <c r="R2220" i="27"/>
  <c r="AB2220" i="27"/>
  <c r="AC2220" i="27"/>
  <c r="AD2220" i="27"/>
  <c r="AE2220" i="27"/>
  <c r="AF2220" i="27"/>
  <c r="E2221" i="27"/>
  <c r="I2221" i="27"/>
  <c r="P2221" i="27"/>
  <c r="Q2221" i="27"/>
  <c r="R2221" i="27"/>
  <c r="AB2221" i="27"/>
  <c r="AC2221" i="27"/>
  <c r="AD2221" i="27"/>
  <c r="AE2221" i="27"/>
  <c r="AF2221" i="27"/>
  <c r="E2222" i="27"/>
  <c r="I2222" i="27"/>
  <c r="P2222" i="27"/>
  <c r="Q2222" i="27"/>
  <c r="R2222" i="27"/>
  <c r="AB2222" i="27"/>
  <c r="AC2222" i="27"/>
  <c r="AD2222" i="27"/>
  <c r="AE2222" i="27"/>
  <c r="AF2222" i="27"/>
  <c r="P2223" i="27"/>
  <c r="Q2223" i="27"/>
  <c r="R2223" i="27"/>
  <c r="AB2223" i="27"/>
  <c r="AC2223" i="27"/>
  <c r="AD2223" i="27"/>
  <c r="AE2223" i="27"/>
  <c r="AF2223" i="27"/>
  <c r="P2224" i="27"/>
  <c r="Q2224" i="27"/>
  <c r="R2224" i="27"/>
  <c r="AB2224" i="27"/>
  <c r="AC2224" i="27"/>
  <c r="AD2224" i="27"/>
  <c r="AE2224" i="27"/>
  <c r="AF2224" i="27"/>
  <c r="P2225" i="27"/>
  <c r="Q2225" i="27"/>
  <c r="R2225" i="27"/>
  <c r="AB2225" i="27"/>
  <c r="AC2225" i="27"/>
  <c r="AD2225" i="27"/>
  <c r="AE2225" i="27"/>
  <c r="AF2225" i="27"/>
  <c r="P2226" i="27"/>
  <c r="Q2226" i="27"/>
  <c r="R2226" i="27"/>
  <c r="AB2226" i="27"/>
  <c r="AC2226" i="27"/>
  <c r="AD2226" i="27"/>
  <c r="AE2226" i="27"/>
  <c r="AF2226" i="27"/>
  <c r="P2227" i="27"/>
  <c r="Q2227" i="27"/>
  <c r="R2227" i="27"/>
  <c r="AB2227" i="27"/>
  <c r="AC2227" i="27"/>
  <c r="AD2227" i="27"/>
  <c r="AE2227" i="27"/>
  <c r="AF2227" i="27"/>
  <c r="E2228" i="27"/>
  <c r="P2228" i="27"/>
  <c r="Q2228" i="27"/>
  <c r="R2228" i="27"/>
  <c r="AB2228" i="27"/>
  <c r="AC2228" i="27"/>
  <c r="AD2228" i="27"/>
  <c r="AE2228" i="27"/>
  <c r="AF2228" i="27"/>
  <c r="E2229" i="27"/>
  <c r="P2229" i="27"/>
  <c r="Q2229" i="27"/>
  <c r="R2229" i="27"/>
  <c r="AB2229" i="27"/>
  <c r="AC2229" i="27"/>
  <c r="AD2229" i="27"/>
  <c r="AE2229" i="27"/>
  <c r="AF2229" i="27"/>
  <c r="P2230" i="27"/>
  <c r="Q2230" i="27"/>
  <c r="R2230" i="27"/>
  <c r="AB2230" i="27"/>
  <c r="AC2230" i="27"/>
  <c r="AD2230" i="27"/>
  <c r="AE2230" i="27"/>
  <c r="AF2230" i="27"/>
  <c r="P2231" i="27"/>
  <c r="Q2231" i="27"/>
  <c r="R2231" i="27"/>
  <c r="AB2231" i="27"/>
  <c r="AC2231" i="27"/>
  <c r="AD2231" i="27"/>
  <c r="AE2231" i="27"/>
  <c r="AF2231" i="27"/>
  <c r="P2232" i="27"/>
  <c r="Q2232" i="27"/>
  <c r="R2232" i="27"/>
  <c r="AB2232" i="27"/>
  <c r="AC2232" i="27"/>
  <c r="AD2232" i="27"/>
  <c r="AE2232" i="27"/>
  <c r="AF2232" i="27"/>
  <c r="E2233" i="27"/>
  <c r="P2233" i="27"/>
  <c r="Q2233" i="27"/>
  <c r="R2233" i="27"/>
  <c r="AB2233" i="27"/>
  <c r="AC2233" i="27"/>
  <c r="AD2233" i="27"/>
  <c r="AE2233" i="27"/>
  <c r="AF2233" i="27"/>
  <c r="E2234" i="27"/>
  <c r="P2234" i="27"/>
  <c r="Q2234" i="27"/>
  <c r="R2234" i="27"/>
  <c r="AB2234" i="27"/>
  <c r="AC2234" i="27"/>
  <c r="AD2234" i="27"/>
  <c r="AE2234" i="27"/>
  <c r="AF2234" i="27"/>
  <c r="E2235" i="27"/>
  <c r="P2235" i="27"/>
  <c r="Q2235" i="27"/>
  <c r="R2235" i="27"/>
  <c r="AB2235" i="27"/>
  <c r="AC2235" i="27"/>
  <c r="AD2235" i="27"/>
  <c r="AE2235" i="27"/>
  <c r="AF2235" i="27"/>
  <c r="E2236" i="27"/>
  <c r="I2236" i="27"/>
  <c r="P2236" i="27"/>
  <c r="Q2236" i="27"/>
  <c r="R2236" i="27"/>
  <c r="AB2236" i="27"/>
  <c r="AC2236" i="27"/>
  <c r="AD2236" i="27"/>
  <c r="AE2236" i="27"/>
  <c r="AF2236" i="27"/>
  <c r="E2237" i="27"/>
  <c r="I2237" i="27"/>
  <c r="P2237" i="27"/>
  <c r="Q2237" i="27"/>
  <c r="R2237" i="27"/>
  <c r="AB2237" i="27"/>
  <c r="AC2237" i="27"/>
  <c r="AD2237" i="27"/>
  <c r="AE2237" i="27"/>
  <c r="AF2237" i="27"/>
  <c r="E2238" i="27"/>
  <c r="I2238" i="27"/>
  <c r="P2238" i="27"/>
  <c r="Q2238" i="27"/>
  <c r="R2238" i="27"/>
  <c r="AB2238" i="27"/>
  <c r="AC2238" i="27"/>
  <c r="AD2238" i="27"/>
  <c r="AE2238" i="27"/>
  <c r="AF2238" i="27"/>
  <c r="E2239" i="27"/>
  <c r="P2239" i="27"/>
  <c r="Q2239" i="27"/>
  <c r="R2239" i="27"/>
  <c r="AB2239" i="27"/>
  <c r="AC2239" i="27"/>
  <c r="AD2239" i="27"/>
  <c r="AE2239" i="27"/>
  <c r="AF2239" i="27"/>
  <c r="Q2240" i="27"/>
  <c r="R2240" i="27"/>
  <c r="AB2240" i="27"/>
  <c r="AC2240" i="27"/>
  <c r="AD2240" i="27"/>
  <c r="AE2240" i="27"/>
  <c r="AF2240" i="27"/>
  <c r="E2241" i="27"/>
  <c r="P2241" i="27"/>
  <c r="Q2241" i="27"/>
  <c r="R2241" i="27"/>
  <c r="AB2241" i="27"/>
  <c r="AC2241" i="27"/>
  <c r="AD2241" i="27"/>
  <c r="AE2241" i="27"/>
  <c r="AF2241" i="27"/>
  <c r="E2242" i="27"/>
  <c r="P2242" i="27"/>
  <c r="Q2242" i="27"/>
  <c r="R2242" i="27"/>
  <c r="AB2242" i="27"/>
  <c r="AC2242" i="27"/>
  <c r="AD2242" i="27"/>
  <c r="AE2242" i="27"/>
  <c r="AF2242" i="27"/>
  <c r="E2243" i="27"/>
  <c r="P2243" i="27"/>
  <c r="Q2243" i="27"/>
  <c r="R2243" i="27"/>
  <c r="AB2243" i="27"/>
  <c r="AC2243" i="27"/>
  <c r="AD2243" i="27"/>
  <c r="AE2243" i="27"/>
  <c r="AF2243" i="27"/>
  <c r="P2244" i="27"/>
  <c r="Q2244" i="27"/>
  <c r="R2244" i="27"/>
  <c r="AB2244" i="27"/>
  <c r="AC2244" i="27"/>
  <c r="AD2244" i="27"/>
  <c r="AE2244" i="27"/>
  <c r="AF2244" i="27"/>
  <c r="P2245" i="27"/>
  <c r="Q2245" i="27"/>
  <c r="R2245" i="27"/>
  <c r="AB2245" i="27"/>
  <c r="AC2245" i="27"/>
  <c r="AD2245" i="27"/>
  <c r="AE2245" i="27"/>
  <c r="AF2245" i="27"/>
  <c r="P2246" i="27"/>
  <c r="Q2246" i="27"/>
  <c r="R2246" i="27"/>
  <c r="AB2246" i="27"/>
  <c r="AC2246" i="27"/>
  <c r="AD2246" i="27"/>
  <c r="AE2246" i="27"/>
  <c r="AF2246" i="27"/>
  <c r="P2247" i="27"/>
  <c r="Q2247" i="27"/>
  <c r="R2247" i="27"/>
  <c r="AB2247" i="27"/>
  <c r="AC2247" i="27"/>
  <c r="AD2247" i="27"/>
  <c r="AE2247" i="27"/>
  <c r="AF2247" i="27"/>
  <c r="P2248" i="27"/>
  <c r="Q2248" i="27"/>
  <c r="R2248" i="27"/>
  <c r="AB2248" i="27"/>
  <c r="AC2248" i="27"/>
  <c r="AD2248" i="27"/>
  <c r="AE2248" i="27"/>
  <c r="AF2248" i="27"/>
  <c r="P2249" i="27"/>
  <c r="Q2249" i="27"/>
  <c r="R2249" i="27"/>
  <c r="AB2249" i="27"/>
  <c r="AC2249" i="27"/>
  <c r="AD2249" i="27"/>
  <c r="AE2249" i="27"/>
  <c r="AF2249" i="27"/>
  <c r="P2250" i="27"/>
  <c r="Q2250" i="27"/>
  <c r="R2250" i="27"/>
  <c r="AB2250" i="27"/>
  <c r="AC2250" i="27"/>
  <c r="AD2250" i="27"/>
  <c r="AE2250" i="27"/>
  <c r="AF2250" i="27"/>
  <c r="E2251" i="27"/>
  <c r="P2251" i="27"/>
  <c r="Q2251" i="27"/>
  <c r="R2251" i="27"/>
  <c r="AB2251" i="27"/>
  <c r="AC2251" i="27"/>
  <c r="AD2251" i="27"/>
  <c r="AE2251" i="27"/>
  <c r="AF2251" i="27"/>
  <c r="E2252" i="27"/>
  <c r="I2252" i="27"/>
  <c r="P2252" i="27"/>
  <c r="Q2252" i="27"/>
  <c r="R2252" i="27"/>
  <c r="AB2252" i="27"/>
  <c r="AC2252" i="27"/>
  <c r="AD2252" i="27"/>
  <c r="AE2252" i="27"/>
  <c r="AF2252" i="27"/>
  <c r="P2253" i="27"/>
  <c r="Q2253" i="27"/>
  <c r="R2253" i="27"/>
  <c r="AB2253" i="27"/>
  <c r="AC2253" i="27"/>
  <c r="AD2253" i="27"/>
  <c r="AE2253" i="27"/>
  <c r="AF2253" i="27"/>
  <c r="E2254" i="27"/>
  <c r="P2254" i="27"/>
  <c r="Q2254" i="27"/>
  <c r="R2254" i="27"/>
  <c r="AB2254" i="27"/>
  <c r="AC2254" i="27"/>
  <c r="AD2254" i="27"/>
  <c r="AE2254" i="27"/>
  <c r="AF2254" i="27"/>
  <c r="E2255" i="27"/>
  <c r="P2255" i="27"/>
  <c r="Q2255" i="27"/>
  <c r="R2255" i="27"/>
  <c r="AB2255" i="27"/>
  <c r="AC2255" i="27"/>
  <c r="AD2255" i="27"/>
  <c r="AE2255" i="27"/>
  <c r="AF2255" i="27"/>
  <c r="E2256" i="27"/>
  <c r="I2256" i="27"/>
  <c r="P2256" i="27"/>
  <c r="Q2256" i="27"/>
  <c r="R2256" i="27"/>
  <c r="AB2256" i="27"/>
  <c r="AC2256" i="27"/>
  <c r="AD2256" i="27"/>
  <c r="AE2256" i="27"/>
  <c r="AF2256" i="27"/>
  <c r="E2257" i="27"/>
  <c r="I2257" i="27"/>
  <c r="P2257" i="27"/>
  <c r="Q2257" i="27"/>
  <c r="R2257" i="27"/>
  <c r="AB2257" i="27"/>
  <c r="AC2257" i="27"/>
  <c r="AD2257" i="27"/>
  <c r="AE2257" i="27"/>
  <c r="AF2257" i="27"/>
  <c r="E2258" i="27"/>
  <c r="P2258" i="27"/>
  <c r="Q2258" i="27"/>
  <c r="R2258" i="27"/>
  <c r="AB2258" i="27"/>
  <c r="AC2258" i="27"/>
  <c r="AD2258" i="27"/>
  <c r="AE2258" i="27"/>
  <c r="AF2258" i="27"/>
  <c r="E2259" i="27"/>
  <c r="I2259" i="27"/>
  <c r="P2259" i="27"/>
  <c r="Q2259" i="27"/>
  <c r="R2259" i="27"/>
  <c r="AB2259" i="27"/>
  <c r="AC2259" i="27"/>
  <c r="AD2259" i="27"/>
  <c r="AE2259" i="27"/>
  <c r="AF2259" i="27"/>
  <c r="E2260" i="27"/>
  <c r="I2260" i="27"/>
  <c r="P2260" i="27"/>
  <c r="Q2260" i="27"/>
  <c r="R2260" i="27"/>
  <c r="AB2260" i="27"/>
  <c r="AC2260" i="27"/>
  <c r="AD2260" i="27"/>
  <c r="AE2260" i="27"/>
  <c r="AF2260" i="27"/>
  <c r="E2261" i="27"/>
  <c r="I2261" i="27"/>
  <c r="P2261" i="27"/>
  <c r="Q2261" i="27"/>
  <c r="R2261" i="27"/>
  <c r="AB2261" i="27"/>
  <c r="AC2261" i="27"/>
  <c r="AD2261" i="27"/>
  <c r="AE2261" i="27"/>
  <c r="AF2261" i="27"/>
  <c r="E2262" i="27"/>
  <c r="P2262" i="27"/>
  <c r="Q2262" i="27"/>
  <c r="R2262" i="27"/>
  <c r="AB2262" i="27"/>
  <c r="AC2262" i="27"/>
  <c r="AD2262" i="27"/>
  <c r="AE2262" i="27"/>
  <c r="AF2262" i="27"/>
  <c r="E2263" i="27"/>
  <c r="P2263" i="27"/>
  <c r="Q2263" i="27"/>
  <c r="R2263" i="27"/>
  <c r="AB2263" i="27"/>
  <c r="AC2263" i="27"/>
  <c r="AD2263" i="27"/>
  <c r="AE2263" i="27"/>
  <c r="AF2263" i="27"/>
  <c r="E2264" i="27"/>
  <c r="P2264" i="27"/>
  <c r="Q2264" i="27"/>
  <c r="R2264" i="27"/>
  <c r="AB2264" i="27"/>
  <c r="AC2264" i="27"/>
  <c r="AD2264" i="27"/>
  <c r="AE2264" i="27"/>
  <c r="AF2264" i="27"/>
  <c r="E2265" i="27"/>
  <c r="P2265" i="27"/>
  <c r="Q2265" i="27"/>
  <c r="R2265" i="27"/>
  <c r="AB2265" i="27"/>
  <c r="AC2265" i="27"/>
  <c r="AD2265" i="27"/>
  <c r="AE2265" i="27"/>
  <c r="AF2265" i="27"/>
  <c r="E2266" i="27"/>
  <c r="P2266" i="27"/>
  <c r="Q2266" i="27"/>
  <c r="R2266" i="27"/>
  <c r="AB2266" i="27"/>
  <c r="AC2266" i="27"/>
  <c r="AD2266" i="27"/>
  <c r="AE2266" i="27"/>
  <c r="AF2266" i="27"/>
  <c r="Q2267" i="27"/>
  <c r="R2267" i="27"/>
  <c r="AB2267" i="27"/>
  <c r="AC2267" i="27"/>
  <c r="AD2267" i="27"/>
  <c r="AE2267" i="27"/>
  <c r="AF2267" i="27"/>
  <c r="Q2268" i="27"/>
  <c r="R2268" i="27"/>
  <c r="AB2268" i="27"/>
  <c r="AC2268" i="27"/>
  <c r="AD2268" i="27"/>
  <c r="AE2268" i="27"/>
  <c r="AF2268" i="27"/>
  <c r="E2269" i="27"/>
  <c r="P2269" i="27"/>
  <c r="Q2269" i="27"/>
  <c r="R2269" i="27"/>
  <c r="AB2269" i="27"/>
  <c r="AC2269" i="27"/>
  <c r="AD2269" i="27"/>
  <c r="AE2269" i="27"/>
  <c r="AF2269" i="27"/>
  <c r="E2270" i="27"/>
  <c r="P2270" i="27"/>
  <c r="Q2270" i="27"/>
  <c r="R2270" i="27"/>
  <c r="AB2270" i="27"/>
  <c r="AC2270" i="27"/>
  <c r="AD2270" i="27"/>
  <c r="AE2270" i="27"/>
  <c r="AF2270" i="27"/>
  <c r="E2271" i="27"/>
  <c r="P2271" i="27"/>
  <c r="Q2271" i="27"/>
  <c r="R2271" i="27"/>
  <c r="AB2271" i="27"/>
  <c r="AC2271" i="27"/>
  <c r="AD2271" i="27"/>
  <c r="AE2271" i="27"/>
  <c r="AF2271" i="27"/>
  <c r="E2272" i="27"/>
  <c r="P2272" i="27"/>
  <c r="Q2272" i="27"/>
  <c r="R2272" i="27"/>
  <c r="AB2272" i="27"/>
  <c r="AC2272" i="27"/>
  <c r="AD2272" i="27"/>
  <c r="AE2272" i="27"/>
  <c r="AF2272" i="27"/>
  <c r="Q2273" i="27"/>
  <c r="R2273" i="27"/>
  <c r="AB2273" i="27"/>
  <c r="AC2273" i="27"/>
  <c r="AD2273" i="27"/>
  <c r="AE2273" i="27"/>
  <c r="AF2273" i="27"/>
  <c r="Q2274" i="27"/>
  <c r="R2274" i="27"/>
  <c r="AB2274" i="27"/>
  <c r="AC2274" i="27"/>
  <c r="AD2274" i="27"/>
  <c r="AE2274" i="27"/>
  <c r="AF2274" i="27"/>
  <c r="Q2275" i="27"/>
  <c r="R2275" i="27"/>
  <c r="AB2275" i="27"/>
  <c r="AC2275" i="27"/>
  <c r="AD2275" i="27"/>
  <c r="AE2275" i="27"/>
  <c r="AF2275" i="27"/>
  <c r="Q2276" i="27"/>
  <c r="R2276" i="27"/>
  <c r="AC2276" i="27"/>
  <c r="AD2276" i="27"/>
  <c r="AE2276" i="27"/>
  <c r="AF2276" i="27"/>
  <c r="Q2277" i="27"/>
  <c r="R2277" i="27"/>
  <c r="AB2277" i="27"/>
  <c r="AC2277" i="27"/>
  <c r="AD2277" i="27"/>
  <c r="AE2277" i="27"/>
  <c r="AF2277" i="27"/>
  <c r="Q2278" i="27"/>
  <c r="R2278" i="27"/>
  <c r="AB2278" i="27"/>
  <c r="AC2278" i="27"/>
  <c r="AD2278" i="27"/>
  <c r="AE2278" i="27"/>
  <c r="AF2278" i="27"/>
  <c r="Q2283" i="27"/>
  <c r="R2283" i="27"/>
  <c r="AB2283" i="27"/>
  <c r="AC2283" i="27"/>
  <c r="AD2283" i="27"/>
  <c r="AE2283" i="27"/>
  <c r="AF2283" i="27"/>
  <c r="E2372" i="27"/>
  <c r="P2372" i="27"/>
  <c r="Q2372" i="27"/>
  <c r="R2372" i="27"/>
  <c r="AB2372" i="27"/>
  <c r="AC2372" i="27"/>
  <c r="AD2372" i="27"/>
  <c r="AE2372" i="27"/>
  <c r="AF2372" i="27"/>
  <c r="E2373" i="27"/>
  <c r="P2373" i="27"/>
  <c r="Q2373" i="27"/>
  <c r="R2373" i="27"/>
  <c r="AB2373" i="27"/>
  <c r="AC2373" i="27"/>
  <c r="AD2373" i="27"/>
  <c r="AE2373" i="27"/>
  <c r="AF2373" i="27"/>
  <c r="E2374" i="27"/>
  <c r="P2374" i="27"/>
  <c r="Q2374" i="27"/>
  <c r="R2374" i="27"/>
  <c r="AB2374" i="27"/>
  <c r="AC2374" i="27"/>
  <c r="AD2374" i="27"/>
  <c r="AE2374" i="27"/>
  <c r="AF2374" i="27"/>
  <c r="E2375" i="27"/>
  <c r="P2375" i="27"/>
  <c r="Q2375" i="27"/>
  <c r="R2375" i="27"/>
  <c r="AB2375" i="27"/>
  <c r="AC2375" i="27"/>
  <c r="AD2375" i="27"/>
  <c r="AE2375" i="27"/>
  <c r="AF2375" i="27"/>
  <c r="E2376" i="27"/>
  <c r="P2376" i="27"/>
  <c r="Q2376" i="27"/>
  <c r="R2376" i="27"/>
  <c r="AB2376" i="27"/>
  <c r="AC2376" i="27"/>
  <c r="AD2376" i="27"/>
  <c r="AE2376" i="27"/>
  <c r="AF2376" i="27"/>
  <c r="E2377" i="27"/>
  <c r="P2377" i="27"/>
  <c r="Q2377" i="27"/>
  <c r="R2377" i="27"/>
  <c r="AB2377" i="27"/>
  <c r="AC2377" i="27"/>
  <c r="AD2377" i="27"/>
  <c r="AE2377" i="27"/>
  <c r="AF2377" i="27"/>
  <c r="E2378" i="27"/>
  <c r="P2378" i="27"/>
  <c r="Q2378" i="27"/>
  <c r="R2378" i="27"/>
  <c r="AB2378" i="27"/>
  <c r="AC2378" i="27"/>
  <c r="AD2378" i="27"/>
  <c r="AE2378" i="27"/>
  <c r="AF2378" i="27"/>
  <c r="E2379" i="27"/>
  <c r="P2379" i="27"/>
  <c r="Q2379" i="27"/>
  <c r="R2379" i="27"/>
  <c r="AB2379" i="27"/>
  <c r="AC2379" i="27"/>
  <c r="AD2379" i="27"/>
  <c r="AE2379" i="27"/>
  <c r="AF2379" i="27"/>
  <c r="E2380" i="27"/>
  <c r="P2380" i="27"/>
  <c r="Q2380" i="27"/>
  <c r="R2380" i="27"/>
  <c r="AB2380" i="27"/>
  <c r="AC2380" i="27"/>
  <c r="AD2380" i="27"/>
  <c r="AE2380" i="27"/>
  <c r="AF2380" i="27"/>
  <c r="E2381" i="27"/>
  <c r="P2381" i="27"/>
  <c r="Q2381" i="27"/>
  <c r="R2381" i="27"/>
  <c r="AB2381" i="27"/>
  <c r="AC2381" i="27"/>
  <c r="AD2381" i="27"/>
  <c r="AE2381" i="27"/>
  <c r="AF2381" i="27"/>
  <c r="E2382" i="27"/>
  <c r="P2382" i="27"/>
  <c r="Q2382" i="27"/>
  <c r="R2382" i="27"/>
  <c r="AB2382" i="27"/>
  <c r="AC2382" i="27"/>
  <c r="AD2382" i="27"/>
  <c r="AE2382" i="27"/>
  <c r="AF2382" i="27"/>
  <c r="E2383" i="27"/>
  <c r="P2383" i="27"/>
  <c r="Q2383" i="27"/>
  <c r="R2383" i="27"/>
  <c r="AB2383" i="27"/>
  <c r="AC2383" i="27"/>
  <c r="AD2383" i="27"/>
  <c r="AE2383" i="27"/>
  <c r="AF2383" i="27"/>
  <c r="E2384" i="27"/>
  <c r="P2384" i="27"/>
  <c r="Q2384" i="27"/>
  <c r="R2384" i="27"/>
  <c r="AB2384" i="27"/>
  <c r="AC2384" i="27"/>
  <c r="AD2384" i="27"/>
  <c r="AE2384" i="27"/>
  <c r="AF2384" i="27"/>
  <c r="E2385" i="27"/>
  <c r="P2385" i="27"/>
  <c r="Q2385" i="27"/>
  <c r="R2385" i="27"/>
  <c r="AB2385" i="27"/>
  <c r="AC2385" i="27"/>
  <c r="AD2385" i="27"/>
  <c r="AE2385" i="27"/>
  <c r="AF2385" i="27"/>
  <c r="E2386" i="27"/>
  <c r="P2386" i="27"/>
  <c r="Q2386" i="27"/>
  <c r="R2386" i="27"/>
  <c r="AB2386" i="27"/>
  <c r="AC2386" i="27"/>
  <c r="AD2386" i="27"/>
  <c r="AE2386" i="27"/>
  <c r="AF2386" i="27"/>
  <c r="E2387" i="27"/>
  <c r="P2387" i="27"/>
  <c r="Q2387" i="27"/>
  <c r="R2387" i="27"/>
  <c r="AB2387" i="27"/>
  <c r="AC2387" i="27"/>
  <c r="AD2387" i="27"/>
  <c r="AE2387" i="27"/>
  <c r="AF2387" i="27"/>
  <c r="E2388" i="27"/>
  <c r="P2388" i="27"/>
  <c r="Q2388" i="27"/>
  <c r="R2388" i="27"/>
  <c r="AB2388" i="27"/>
  <c r="AC2388" i="27"/>
  <c r="AD2388" i="27"/>
  <c r="AE2388" i="27"/>
  <c r="AF2388" i="27"/>
  <c r="E2389" i="27"/>
  <c r="P2389" i="27"/>
  <c r="Q2389" i="27"/>
  <c r="R2389" i="27"/>
  <c r="AB2389" i="27"/>
  <c r="AC2389" i="27"/>
  <c r="AD2389" i="27"/>
  <c r="AE2389" i="27"/>
  <c r="AF2389" i="27"/>
  <c r="E2390" i="27"/>
  <c r="P2390" i="27"/>
  <c r="Q2390" i="27"/>
  <c r="R2390" i="27"/>
  <c r="AB2390" i="27"/>
  <c r="AC2390" i="27"/>
  <c r="AD2390" i="27"/>
  <c r="AE2390" i="27"/>
  <c r="AF2390" i="27"/>
  <c r="E2391" i="27"/>
  <c r="P2391" i="27"/>
  <c r="Q2391" i="27"/>
  <c r="R2391" i="27"/>
  <c r="AB2391" i="27"/>
  <c r="AC2391" i="27"/>
  <c r="AD2391" i="27"/>
  <c r="AE2391" i="27"/>
  <c r="AF2391" i="27"/>
  <c r="E2392" i="27"/>
  <c r="P2392" i="27"/>
  <c r="Q2392" i="27"/>
  <c r="R2392" i="27"/>
  <c r="AB2392" i="27"/>
  <c r="AC2392" i="27"/>
  <c r="AD2392" i="27"/>
  <c r="AE2392" i="27"/>
  <c r="AF2392" i="27"/>
  <c r="E2393" i="27"/>
  <c r="P2393" i="27"/>
  <c r="Q2393" i="27"/>
  <c r="R2393" i="27"/>
  <c r="AB2393" i="27"/>
  <c r="AC2393" i="27"/>
  <c r="AD2393" i="27"/>
  <c r="AE2393" i="27"/>
  <c r="AF2393" i="27"/>
  <c r="E2394" i="27"/>
  <c r="P2394" i="27"/>
  <c r="Q2394" i="27"/>
  <c r="R2394" i="27"/>
  <c r="AB2394" i="27"/>
  <c r="AC2394" i="27"/>
  <c r="AD2394" i="27"/>
  <c r="AE2394" i="27"/>
  <c r="AF2394" i="27"/>
  <c r="E2395" i="27"/>
  <c r="P2395" i="27"/>
  <c r="Q2395" i="27"/>
  <c r="R2395" i="27"/>
  <c r="AB2395" i="27"/>
  <c r="AC2395" i="27"/>
  <c r="AD2395" i="27"/>
  <c r="AE2395" i="27"/>
  <c r="AF2395" i="27"/>
  <c r="E2396" i="27"/>
  <c r="P2396" i="27"/>
  <c r="Q2396" i="27"/>
  <c r="R2396" i="27"/>
  <c r="AB2396" i="27"/>
  <c r="AC2396" i="27"/>
  <c r="AD2396" i="27"/>
  <c r="AE2396" i="27"/>
  <c r="AF2396" i="27"/>
  <c r="E2397" i="27"/>
  <c r="P2397" i="27"/>
  <c r="Q2397" i="27"/>
  <c r="R2397" i="27"/>
  <c r="AB2397" i="27"/>
  <c r="AC2397" i="27"/>
  <c r="AD2397" i="27"/>
  <c r="AE2397" i="27"/>
  <c r="AF2397" i="27"/>
  <c r="E2398" i="27"/>
  <c r="P2398" i="27"/>
  <c r="Q2398" i="27"/>
  <c r="R2398" i="27"/>
  <c r="AB2398" i="27"/>
  <c r="AC2398" i="27"/>
  <c r="AD2398" i="27"/>
  <c r="AE2398" i="27"/>
  <c r="AF2398" i="27"/>
  <c r="E2399" i="27"/>
  <c r="P2399" i="27"/>
  <c r="Q2399" i="27"/>
  <c r="R2399" i="27"/>
  <c r="AB2399" i="27"/>
  <c r="AC2399" i="27"/>
  <c r="AD2399" i="27"/>
  <c r="AE2399" i="27"/>
  <c r="AF2399" i="27"/>
  <c r="E2400" i="27"/>
  <c r="P2400" i="27"/>
  <c r="Q2400" i="27"/>
  <c r="R2400" i="27"/>
  <c r="AB2400" i="27"/>
  <c r="AC2400" i="27"/>
  <c r="AD2400" i="27"/>
  <c r="AE2400" i="27"/>
  <c r="AF2400" i="27"/>
  <c r="E2401" i="27"/>
  <c r="P2401" i="27"/>
  <c r="Q2401" i="27"/>
  <c r="R2401" i="27"/>
  <c r="AB2401" i="27"/>
  <c r="AC2401" i="27"/>
  <c r="AD2401" i="27"/>
  <c r="AE2401" i="27"/>
  <c r="AF2401" i="27"/>
  <c r="E2402" i="27"/>
  <c r="P2402" i="27"/>
  <c r="Q2402" i="27"/>
  <c r="R2402" i="27"/>
  <c r="AB2402" i="27"/>
  <c r="AC2402" i="27"/>
  <c r="AD2402" i="27"/>
  <c r="AE2402" i="27"/>
  <c r="AF2402" i="27"/>
  <c r="E2403" i="27"/>
  <c r="P2403" i="27"/>
  <c r="Q2403" i="27"/>
  <c r="R2403" i="27"/>
  <c r="AB2403" i="27"/>
  <c r="AC2403" i="27"/>
  <c r="AD2403" i="27"/>
  <c r="AE2403" i="27"/>
  <c r="AF2403" i="27"/>
  <c r="E2404" i="27"/>
  <c r="P2404" i="27"/>
  <c r="Q2404" i="27"/>
  <c r="R2404" i="27"/>
  <c r="AB2404" i="27"/>
  <c r="AC2404" i="27"/>
  <c r="AD2404" i="27"/>
  <c r="AE2404" i="27"/>
  <c r="AF2404" i="27"/>
  <c r="E2405" i="27"/>
  <c r="P2405" i="27"/>
  <c r="Q2405" i="27"/>
  <c r="R2405" i="27"/>
  <c r="AB2405" i="27"/>
  <c r="AC2405" i="27"/>
  <c r="AD2405" i="27"/>
  <c r="AE2405" i="27"/>
  <c r="AF2405" i="27"/>
  <c r="E2406" i="27"/>
  <c r="P2406" i="27"/>
  <c r="Q2406" i="27"/>
  <c r="R2406" i="27"/>
  <c r="AB2406" i="27"/>
  <c r="AC2406" i="27"/>
  <c r="AD2406" i="27"/>
  <c r="AE2406" i="27"/>
  <c r="AF2406" i="27"/>
  <c r="E2407" i="27"/>
  <c r="P2407" i="27"/>
  <c r="Q2407" i="27"/>
  <c r="R2407" i="27"/>
  <c r="AB2407" i="27"/>
  <c r="AC2407" i="27"/>
  <c r="AD2407" i="27"/>
  <c r="AE2407" i="27"/>
  <c r="AF2407" i="27"/>
  <c r="E2408" i="27"/>
  <c r="P2408" i="27"/>
  <c r="Q2408" i="27"/>
  <c r="R2408" i="27"/>
  <c r="AB2408" i="27"/>
  <c r="AC2408" i="27"/>
  <c r="AD2408" i="27"/>
  <c r="AE2408" i="27"/>
  <c r="AF2408" i="27"/>
  <c r="P2409" i="27"/>
  <c r="Q2409" i="27"/>
  <c r="R2409" i="27"/>
  <c r="AB2409" i="27"/>
  <c r="AC2409" i="27"/>
  <c r="AD2409" i="27"/>
  <c r="AE2409" i="27"/>
  <c r="AF2409" i="27"/>
  <c r="E2410" i="27"/>
  <c r="P2410" i="27"/>
  <c r="Q2410" i="27"/>
  <c r="R2410" i="27"/>
  <c r="AB2410" i="27"/>
  <c r="AC2410" i="27"/>
  <c r="AD2410" i="27"/>
  <c r="AE2410" i="27"/>
  <c r="AF2410" i="27"/>
  <c r="E2411" i="27"/>
  <c r="P2411" i="27"/>
  <c r="Q2411" i="27"/>
  <c r="R2411" i="27"/>
  <c r="AB2411" i="27"/>
  <c r="AC2411" i="27"/>
  <c r="AD2411" i="27"/>
  <c r="AE2411" i="27"/>
  <c r="AF2411" i="27"/>
  <c r="E2412" i="27"/>
  <c r="P2412" i="27"/>
  <c r="Q2412" i="27"/>
  <c r="R2412" i="27"/>
  <c r="AB2412" i="27"/>
  <c r="AC2412" i="27"/>
  <c r="AD2412" i="27"/>
  <c r="AE2412" i="27"/>
  <c r="AF2412" i="27"/>
  <c r="E2413" i="27"/>
  <c r="P2413" i="27"/>
  <c r="Q2413" i="27"/>
  <c r="R2413" i="27"/>
  <c r="AB2413" i="27"/>
  <c r="AC2413" i="27"/>
  <c r="AD2413" i="27"/>
  <c r="AE2413" i="27"/>
  <c r="AF2413" i="27"/>
  <c r="E2414" i="27"/>
  <c r="P2414" i="27"/>
  <c r="Q2414" i="27"/>
  <c r="R2414" i="27"/>
  <c r="AB2414" i="27"/>
  <c r="AC2414" i="27"/>
  <c r="AD2414" i="27"/>
  <c r="AE2414" i="27"/>
  <c r="AF2414" i="27"/>
  <c r="E2415" i="27"/>
  <c r="P2415" i="27"/>
  <c r="Q2415" i="27"/>
  <c r="R2415" i="27"/>
  <c r="AB2415" i="27"/>
  <c r="AC2415" i="27"/>
  <c r="AD2415" i="27"/>
  <c r="AE2415" i="27"/>
  <c r="AF2415" i="27"/>
  <c r="E2416" i="27"/>
  <c r="P2416" i="27"/>
  <c r="Q2416" i="27"/>
  <c r="R2416" i="27"/>
  <c r="AB2416" i="27"/>
  <c r="AC2416" i="27"/>
  <c r="AD2416" i="27"/>
  <c r="AE2416" i="27"/>
  <c r="AF2416" i="27"/>
  <c r="E2417" i="27"/>
  <c r="P2417" i="27"/>
  <c r="Q2417" i="27"/>
  <c r="R2417" i="27"/>
  <c r="AB2417" i="27"/>
  <c r="AC2417" i="27"/>
  <c r="AD2417" i="27"/>
  <c r="AE2417" i="27"/>
  <c r="AF2417" i="27"/>
  <c r="E2418" i="27"/>
  <c r="P2418" i="27"/>
  <c r="Q2418" i="27"/>
  <c r="R2418" i="27"/>
  <c r="AB2418" i="27"/>
  <c r="AC2418" i="27"/>
  <c r="AD2418" i="27"/>
  <c r="AE2418" i="27"/>
  <c r="AF2418" i="27"/>
  <c r="E2419" i="27"/>
  <c r="P2419" i="27"/>
  <c r="Q2419" i="27"/>
  <c r="R2419" i="27"/>
  <c r="AB2419" i="27"/>
  <c r="AC2419" i="27"/>
  <c r="AD2419" i="27"/>
  <c r="AE2419" i="27"/>
  <c r="AF2419" i="27"/>
  <c r="E2420" i="27"/>
  <c r="P2420" i="27"/>
  <c r="Q2420" i="27"/>
  <c r="R2420" i="27"/>
  <c r="AB2420" i="27"/>
  <c r="AC2420" i="27"/>
  <c r="AD2420" i="27"/>
  <c r="AE2420" i="27"/>
  <c r="AF2420" i="27"/>
  <c r="E2421" i="27"/>
  <c r="P2421" i="27"/>
  <c r="Q2421" i="27"/>
  <c r="R2421" i="27"/>
  <c r="AB2421" i="27"/>
  <c r="AC2421" i="27"/>
  <c r="AD2421" i="27"/>
  <c r="AE2421" i="27"/>
  <c r="AF2421" i="27"/>
  <c r="E2422" i="27"/>
  <c r="P2422" i="27"/>
  <c r="Q2422" i="27"/>
  <c r="R2422" i="27"/>
  <c r="AB2422" i="27"/>
  <c r="AC2422" i="27"/>
  <c r="AD2422" i="27"/>
  <c r="AE2422" i="27"/>
  <c r="AF2422" i="27"/>
  <c r="E2423" i="27"/>
  <c r="P2423" i="27"/>
  <c r="Q2423" i="27"/>
  <c r="R2423" i="27"/>
  <c r="AB2423" i="27"/>
  <c r="AC2423" i="27"/>
  <c r="AD2423" i="27"/>
  <c r="AE2423" i="27"/>
  <c r="AF2423" i="27"/>
  <c r="E2424" i="27"/>
  <c r="P2424" i="27"/>
  <c r="Q2424" i="27"/>
  <c r="R2424" i="27"/>
  <c r="AB2424" i="27"/>
  <c r="AC2424" i="27"/>
  <c r="AD2424" i="27"/>
  <c r="AE2424" i="27"/>
  <c r="AF2424" i="27"/>
  <c r="E2425" i="27"/>
  <c r="P2425" i="27"/>
  <c r="Q2425" i="27"/>
  <c r="R2425" i="27"/>
  <c r="AB2425" i="27"/>
  <c r="AC2425" i="27"/>
  <c r="AD2425" i="27"/>
  <c r="AE2425" i="27"/>
  <c r="AF2425" i="27"/>
  <c r="AM2425" i="27"/>
  <c r="AH2425" i="27" s="1"/>
  <c r="E2426" i="27"/>
  <c r="P2426" i="27"/>
  <c r="Q2426" i="27"/>
  <c r="R2426" i="27"/>
  <c r="AB2426" i="27"/>
  <c r="AC2426" i="27"/>
  <c r="AD2426" i="27"/>
  <c r="AE2426" i="27"/>
  <c r="AF2426" i="27"/>
  <c r="E2427" i="27"/>
  <c r="P2427" i="27"/>
  <c r="Q2427" i="27"/>
  <c r="R2427" i="27"/>
  <c r="AB2427" i="27"/>
  <c r="AC2427" i="27"/>
  <c r="AD2427" i="27"/>
  <c r="AE2427" i="27"/>
  <c r="AF2427" i="27"/>
  <c r="E2428" i="27"/>
  <c r="P2428" i="27"/>
  <c r="Q2428" i="27"/>
  <c r="R2428" i="27"/>
  <c r="AB2428" i="27"/>
  <c r="AC2428" i="27"/>
  <c r="AD2428" i="27"/>
  <c r="AE2428" i="27"/>
  <c r="AF2428" i="27"/>
  <c r="E2429" i="27"/>
  <c r="P2429" i="27"/>
  <c r="Q2429" i="27"/>
  <c r="R2429" i="27"/>
  <c r="AB2429" i="27"/>
  <c r="AC2429" i="27"/>
  <c r="AD2429" i="27"/>
  <c r="AE2429" i="27"/>
  <c r="AF2429" i="27"/>
  <c r="E2430" i="27"/>
  <c r="P2430" i="27"/>
  <c r="Q2430" i="27"/>
  <c r="R2430" i="27"/>
  <c r="AB2430" i="27"/>
  <c r="AC2430" i="27"/>
  <c r="AD2430" i="27"/>
  <c r="AE2430" i="27"/>
  <c r="AF2430" i="27"/>
  <c r="E2431" i="27"/>
  <c r="P2431" i="27"/>
  <c r="Q2431" i="27"/>
  <c r="R2431" i="27"/>
  <c r="AB2431" i="27"/>
  <c r="AC2431" i="27"/>
  <c r="AD2431" i="27"/>
  <c r="AE2431" i="27"/>
  <c r="AF2431" i="27"/>
  <c r="E2432" i="27"/>
  <c r="P2432" i="27"/>
  <c r="Q2432" i="27"/>
  <c r="R2432" i="27"/>
  <c r="AB2432" i="27"/>
  <c r="AC2432" i="27"/>
  <c r="AD2432" i="27"/>
  <c r="AE2432" i="27"/>
  <c r="AF2432" i="27"/>
  <c r="E2433" i="27"/>
  <c r="P2433" i="27"/>
  <c r="Q2433" i="27"/>
  <c r="R2433" i="27"/>
  <c r="AB2433" i="27"/>
  <c r="AC2433" i="27"/>
  <c r="AD2433" i="27"/>
  <c r="AE2433" i="27"/>
  <c r="AF2433" i="27"/>
  <c r="E2434" i="27"/>
  <c r="P2434" i="27"/>
  <c r="Q2434" i="27"/>
  <c r="R2434" i="27"/>
  <c r="AB2434" i="27"/>
  <c r="AC2434" i="27"/>
  <c r="AD2434" i="27"/>
  <c r="AE2434" i="27"/>
  <c r="AF2434" i="27"/>
  <c r="E2435" i="27"/>
  <c r="P2435" i="27"/>
  <c r="Q2435" i="27"/>
  <c r="R2435" i="27"/>
  <c r="AB2435" i="27"/>
  <c r="AC2435" i="27"/>
  <c r="AD2435" i="27"/>
  <c r="AE2435" i="27"/>
  <c r="AF2435" i="27"/>
  <c r="E2436" i="27"/>
  <c r="P2436" i="27"/>
  <c r="Q2436" i="27"/>
  <c r="R2436" i="27"/>
  <c r="AB2436" i="27"/>
  <c r="AC2436" i="27"/>
  <c r="AD2436" i="27"/>
  <c r="AE2436" i="27"/>
  <c r="AF2436" i="27"/>
  <c r="E2437" i="27"/>
  <c r="P2437" i="27"/>
  <c r="Q2437" i="27"/>
  <c r="R2437" i="27"/>
  <c r="AB2437" i="27"/>
  <c r="AC2437" i="27"/>
  <c r="AD2437" i="27"/>
  <c r="AE2437" i="27"/>
  <c r="AF2437" i="27"/>
  <c r="E2438" i="27"/>
  <c r="P2438" i="27"/>
  <c r="Q2438" i="27"/>
  <c r="R2438" i="27"/>
  <c r="AB2438" i="27"/>
  <c r="AC2438" i="27"/>
  <c r="AD2438" i="27"/>
  <c r="AE2438" i="27"/>
  <c r="AF2438" i="27"/>
  <c r="E2439" i="27"/>
  <c r="P2439" i="27"/>
  <c r="Q2439" i="27"/>
  <c r="R2439" i="27"/>
  <c r="AB2439" i="27"/>
  <c r="AC2439" i="27"/>
  <c r="AD2439" i="27"/>
  <c r="AE2439" i="27"/>
  <c r="AF2439" i="27"/>
  <c r="E2440" i="27"/>
  <c r="P2440" i="27"/>
  <c r="Q2440" i="27"/>
  <c r="R2440" i="27"/>
  <c r="AB2440" i="27"/>
  <c r="AC2440" i="27"/>
  <c r="AD2440" i="27"/>
  <c r="AE2440" i="27"/>
  <c r="AF2440" i="27"/>
  <c r="E2441" i="27"/>
  <c r="P2441" i="27"/>
  <c r="Q2441" i="27"/>
  <c r="R2441" i="27"/>
  <c r="AB2441" i="27"/>
  <c r="AC2441" i="27"/>
  <c r="AD2441" i="27"/>
  <c r="AE2441" i="27"/>
  <c r="AF2441" i="27"/>
  <c r="E2442" i="27"/>
  <c r="P2442" i="27"/>
  <c r="Q2442" i="27"/>
  <c r="R2442" i="27"/>
  <c r="AB2442" i="27"/>
  <c r="AC2442" i="27"/>
  <c r="AD2442" i="27"/>
  <c r="AE2442" i="27"/>
  <c r="AF2442" i="27"/>
  <c r="E2443" i="27"/>
  <c r="P2443" i="27"/>
  <c r="Q2443" i="27"/>
  <c r="R2443" i="27"/>
  <c r="AB2443" i="27"/>
  <c r="AC2443" i="27"/>
  <c r="AD2443" i="27"/>
  <c r="AE2443" i="27"/>
  <c r="AF2443" i="27"/>
  <c r="E2444" i="27"/>
  <c r="P2444" i="27"/>
  <c r="Q2444" i="27"/>
  <c r="R2444" i="27"/>
  <c r="AB2444" i="27"/>
  <c r="AC2444" i="27"/>
  <c r="AD2444" i="27"/>
  <c r="AE2444" i="27"/>
  <c r="AF2444" i="27"/>
  <c r="E2445" i="27"/>
  <c r="P2445" i="27"/>
  <c r="Q2445" i="27"/>
  <c r="R2445" i="27"/>
  <c r="AB2445" i="27"/>
  <c r="AC2445" i="27"/>
  <c r="AD2445" i="27"/>
  <c r="AE2445" i="27"/>
  <c r="AF2445" i="27"/>
  <c r="E2446" i="27"/>
  <c r="P2446" i="27"/>
  <c r="Q2446" i="27"/>
  <c r="R2446" i="27"/>
  <c r="AB2446" i="27"/>
  <c r="AC2446" i="27"/>
  <c r="AD2446" i="27"/>
  <c r="AE2446" i="27"/>
  <c r="AF2446" i="27"/>
  <c r="E2447" i="27"/>
  <c r="P2447" i="27"/>
  <c r="Q2447" i="27"/>
  <c r="R2447" i="27"/>
  <c r="AB2447" i="27"/>
  <c r="AC2447" i="27"/>
  <c r="AD2447" i="27"/>
  <c r="AE2447" i="27"/>
  <c r="AF2447" i="27"/>
  <c r="E2448" i="27"/>
  <c r="P2448" i="27"/>
  <c r="Q2448" i="27"/>
  <c r="R2448" i="27"/>
  <c r="AB2448" i="27"/>
  <c r="AC2448" i="27"/>
  <c r="AD2448" i="27"/>
  <c r="AE2448" i="27"/>
  <c r="AF2448" i="27"/>
  <c r="E2449" i="27"/>
  <c r="P2449" i="27"/>
  <c r="Q2449" i="27"/>
  <c r="R2449" i="27"/>
  <c r="AB2449" i="27"/>
  <c r="AC2449" i="27"/>
  <c r="AD2449" i="27"/>
  <c r="AE2449" i="27"/>
  <c r="AF2449" i="27"/>
  <c r="E2450" i="27"/>
  <c r="P2450" i="27"/>
  <c r="Q2450" i="27"/>
  <c r="R2450" i="27"/>
  <c r="AB2450" i="27"/>
  <c r="AC2450" i="27"/>
  <c r="AD2450" i="27"/>
  <c r="AE2450" i="27"/>
  <c r="AF2450" i="27"/>
  <c r="E2451" i="27"/>
  <c r="P2451" i="27"/>
  <c r="Q2451" i="27"/>
  <c r="R2451" i="27"/>
  <c r="AB2451" i="27"/>
  <c r="AC2451" i="27"/>
  <c r="AD2451" i="27"/>
  <c r="AE2451" i="27"/>
  <c r="AF2451" i="27"/>
  <c r="E2452" i="27"/>
  <c r="P2452" i="27"/>
  <c r="Q2452" i="27"/>
  <c r="R2452" i="27"/>
  <c r="AB2452" i="27"/>
  <c r="AC2452" i="27"/>
  <c r="AD2452" i="27"/>
  <c r="AE2452" i="27"/>
  <c r="AF2452" i="27"/>
  <c r="E2453" i="27"/>
  <c r="P2453" i="27"/>
  <c r="Q2453" i="27"/>
  <c r="R2453" i="27"/>
  <c r="AB2453" i="27"/>
  <c r="AC2453" i="27"/>
  <c r="AD2453" i="27"/>
  <c r="AE2453" i="27"/>
  <c r="AF2453" i="27"/>
  <c r="E2454" i="27"/>
  <c r="P2454" i="27"/>
  <c r="Q2454" i="27"/>
  <c r="R2454" i="27"/>
  <c r="AB2454" i="27"/>
  <c r="AC2454" i="27"/>
  <c r="AD2454" i="27"/>
  <c r="AE2454" i="27"/>
  <c r="AF2454" i="27"/>
  <c r="E2455" i="27"/>
  <c r="P2455" i="27"/>
  <c r="Q2455" i="27"/>
  <c r="R2455" i="27"/>
  <c r="AB2455" i="27"/>
  <c r="AC2455" i="27"/>
  <c r="AD2455" i="27"/>
  <c r="AE2455" i="27"/>
  <c r="AF2455" i="27"/>
  <c r="E2456" i="27"/>
  <c r="P2456" i="27"/>
  <c r="Q2456" i="27"/>
  <c r="R2456" i="27"/>
  <c r="AB2456" i="27"/>
  <c r="AC2456" i="27"/>
  <c r="AD2456" i="27"/>
  <c r="AE2456" i="27"/>
  <c r="AF2456" i="27"/>
  <c r="E2457" i="27"/>
  <c r="P2457" i="27"/>
  <c r="Q2457" i="27"/>
  <c r="R2457" i="27"/>
  <c r="AB2457" i="27"/>
  <c r="AC2457" i="27"/>
  <c r="AD2457" i="27"/>
  <c r="AE2457" i="27"/>
  <c r="AF2457" i="27"/>
  <c r="E2458" i="27"/>
  <c r="P2458" i="27"/>
  <c r="Q2458" i="27"/>
  <c r="R2458" i="27"/>
  <c r="AB2458" i="27"/>
  <c r="AC2458" i="27"/>
  <c r="AD2458" i="27"/>
  <c r="AE2458" i="27"/>
  <c r="AF2458" i="27"/>
  <c r="E2459" i="27"/>
  <c r="P2459" i="27"/>
  <c r="Q2459" i="27"/>
  <c r="R2459" i="27"/>
  <c r="AB2459" i="27"/>
  <c r="AC2459" i="27"/>
  <c r="AD2459" i="27"/>
  <c r="AE2459" i="27"/>
  <c r="AF2459" i="27"/>
  <c r="E2460" i="27"/>
  <c r="P2460" i="27"/>
  <c r="Q2460" i="27"/>
  <c r="R2460" i="27"/>
  <c r="AB2460" i="27"/>
  <c r="AC2460" i="27"/>
  <c r="AD2460" i="27"/>
  <c r="AE2460" i="27"/>
  <c r="AF2460" i="27"/>
  <c r="E2461" i="27"/>
  <c r="P2461" i="27"/>
  <c r="Q2461" i="27"/>
  <c r="R2461" i="27"/>
  <c r="AB2461" i="27"/>
  <c r="AC2461" i="27"/>
  <c r="AD2461" i="27"/>
  <c r="AE2461" i="27"/>
  <c r="AF2461" i="27"/>
  <c r="E2462" i="27"/>
  <c r="P2462" i="27"/>
  <c r="Q2462" i="27"/>
  <c r="R2462" i="27"/>
  <c r="AB2462" i="27"/>
  <c r="AC2462" i="27"/>
  <c r="AD2462" i="27"/>
  <c r="AE2462" i="27"/>
  <c r="AF2462" i="27"/>
  <c r="E2463" i="27"/>
  <c r="P2463" i="27"/>
  <c r="Q2463" i="27"/>
  <c r="R2463" i="27"/>
  <c r="AB2463" i="27"/>
  <c r="AC2463" i="27"/>
  <c r="AD2463" i="27"/>
  <c r="AE2463" i="27"/>
  <c r="AF2463" i="27"/>
  <c r="E2464" i="27"/>
  <c r="P2464" i="27"/>
  <c r="Q2464" i="27"/>
  <c r="R2464" i="27"/>
  <c r="AB2464" i="27"/>
  <c r="AC2464" i="27"/>
  <c r="AD2464" i="27"/>
  <c r="AE2464" i="27"/>
  <c r="AF2464" i="27"/>
  <c r="E2465" i="27"/>
  <c r="P2465" i="27"/>
  <c r="Q2465" i="27"/>
  <c r="R2465" i="27"/>
  <c r="AB2465" i="27"/>
  <c r="AC2465" i="27"/>
  <c r="AD2465" i="27"/>
  <c r="AE2465" i="27"/>
  <c r="AF2465" i="27"/>
  <c r="E2466" i="27"/>
  <c r="P2466" i="27"/>
  <c r="Q2466" i="27"/>
  <c r="R2466" i="27"/>
  <c r="AB2466" i="27"/>
  <c r="AC2466" i="27"/>
  <c r="AD2466" i="27"/>
  <c r="AE2466" i="27"/>
  <c r="AF2466" i="27"/>
  <c r="E2467" i="27"/>
  <c r="P2467" i="27"/>
  <c r="Q2467" i="27"/>
  <c r="R2467" i="27"/>
  <c r="AB2467" i="27"/>
  <c r="AC2467" i="27"/>
  <c r="AD2467" i="27"/>
  <c r="AE2467" i="27"/>
  <c r="AF2467" i="27"/>
  <c r="E2468" i="27"/>
  <c r="P2468" i="27"/>
  <c r="Q2468" i="27"/>
  <c r="R2468" i="27"/>
  <c r="AB2468" i="27"/>
  <c r="AC2468" i="27"/>
  <c r="AD2468" i="27"/>
  <c r="AE2468" i="27"/>
  <c r="AF2468" i="27"/>
  <c r="E2469" i="27"/>
  <c r="P2469" i="27"/>
  <c r="Q2469" i="27"/>
  <c r="R2469" i="27"/>
  <c r="AB2469" i="27"/>
  <c r="AC2469" i="27"/>
  <c r="AD2469" i="27"/>
  <c r="AE2469" i="27"/>
  <c r="AF2469" i="27"/>
  <c r="E2470" i="27"/>
  <c r="P2470" i="27"/>
  <c r="Q2470" i="27"/>
  <c r="R2470" i="27"/>
  <c r="AB2470" i="27"/>
  <c r="AC2470" i="27"/>
  <c r="AD2470" i="27"/>
  <c r="AE2470" i="27"/>
  <c r="AF2470" i="27"/>
  <c r="E2471" i="27"/>
  <c r="P2471" i="27"/>
  <c r="Q2471" i="27"/>
  <c r="R2471" i="27"/>
  <c r="AB2471" i="27"/>
  <c r="AC2471" i="27"/>
  <c r="AD2471" i="27"/>
  <c r="AE2471" i="27"/>
  <c r="AF2471" i="27"/>
  <c r="E2472" i="27"/>
  <c r="P2472" i="27"/>
  <c r="Q2472" i="27"/>
  <c r="R2472" i="27"/>
  <c r="AB2472" i="27"/>
  <c r="AC2472" i="27"/>
  <c r="AD2472" i="27"/>
  <c r="AE2472" i="27"/>
  <c r="AF2472" i="27"/>
  <c r="E2473" i="27"/>
  <c r="P2473" i="27"/>
  <c r="Q2473" i="27"/>
  <c r="R2473" i="27"/>
  <c r="AB2473" i="27"/>
  <c r="AC2473" i="27"/>
  <c r="AD2473" i="27"/>
  <c r="AE2473" i="27"/>
  <c r="AF2473" i="27"/>
  <c r="E2474" i="27"/>
  <c r="P2474" i="27"/>
  <c r="Q2474" i="27"/>
  <c r="R2474" i="27"/>
  <c r="AB2474" i="27"/>
  <c r="AC2474" i="27"/>
  <c r="AD2474" i="27"/>
  <c r="AE2474" i="27"/>
  <c r="AF2474" i="27"/>
  <c r="E2475" i="27"/>
  <c r="P2475" i="27"/>
  <c r="Q2475" i="27"/>
  <c r="R2475" i="27"/>
  <c r="AB2475" i="27"/>
  <c r="AC2475" i="27"/>
  <c r="AD2475" i="27"/>
  <c r="AE2475" i="27"/>
  <c r="AF2475" i="27"/>
  <c r="E2476" i="27"/>
  <c r="P2476" i="27"/>
  <c r="Q2476" i="27"/>
  <c r="R2476" i="27"/>
  <c r="AB2476" i="27"/>
  <c r="AC2476" i="27"/>
  <c r="AD2476" i="27"/>
  <c r="AE2476" i="27"/>
  <c r="AF2476" i="27"/>
  <c r="E2477" i="27"/>
  <c r="P2477" i="27"/>
  <c r="Q2477" i="27"/>
  <c r="R2477" i="27"/>
  <c r="AB2477" i="27"/>
  <c r="AC2477" i="27"/>
  <c r="AD2477" i="27"/>
  <c r="AE2477" i="27"/>
  <c r="AF2477" i="27"/>
  <c r="E2478" i="27"/>
  <c r="P2478" i="27"/>
  <c r="Q2478" i="27"/>
  <c r="R2478" i="27"/>
  <c r="AB2478" i="27"/>
  <c r="AC2478" i="27"/>
  <c r="AD2478" i="27"/>
  <c r="AE2478" i="27"/>
  <c r="AF2478" i="27"/>
  <c r="E2479" i="27"/>
  <c r="P2479" i="27"/>
  <c r="Q2479" i="27"/>
  <c r="R2479" i="27"/>
  <c r="AB2479" i="27"/>
  <c r="AC2479" i="27"/>
  <c r="AD2479" i="27"/>
  <c r="AE2479" i="27"/>
  <c r="AF2479" i="27"/>
  <c r="E2480" i="27"/>
  <c r="P2480" i="27"/>
  <c r="Q2480" i="27"/>
  <c r="R2480" i="27"/>
  <c r="AB2480" i="27"/>
  <c r="AC2480" i="27"/>
  <c r="AD2480" i="27"/>
  <c r="AE2480" i="27"/>
  <c r="AF2480" i="27"/>
  <c r="E2481" i="27"/>
  <c r="P2481" i="27"/>
  <c r="Q2481" i="27"/>
  <c r="R2481" i="27"/>
  <c r="AB2481" i="27"/>
  <c r="AC2481" i="27"/>
  <c r="AD2481" i="27"/>
  <c r="AE2481" i="27"/>
  <c r="AF2481" i="27"/>
  <c r="E2482" i="27"/>
  <c r="P2482" i="27"/>
  <c r="Q2482" i="27"/>
  <c r="R2482" i="27"/>
  <c r="AB2482" i="27"/>
  <c r="AC2482" i="27"/>
  <c r="AD2482" i="27"/>
  <c r="AE2482" i="27"/>
  <c r="AF2482" i="27"/>
  <c r="E2483" i="27"/>
  <c r="P2483" i="27"/>
  <c r="Q2483" i="27"/>
  <c r="R2483" i="27"/>
  <c r="AB2483" i="27"/>
  <c r="AC2483" i="27"/>
  <c r="AD2483" i="27"/>
  <c r="AE2483" i="27"/>
  <c r="AF2483" i="27"/>
  <c r="E2484" i="27"/>
  <c r="P2484" i="27"/>
  <c r="Q2484" i="27"/>
  <c r="R2484" i="27"/>
  <c r="AB2484" i="27"/>
  <c r="AC2484" i="27"/>
  <c r="AD2484" i="27"/>
  <c r="AE2484" i="27"/>
  <c r="AF2484" i="27"/>
  <c r="E2485" i="27"/>
  <c r="P2485" i="27"/>
  <c r="Q2485" i="27"/>
  <c r="R2485" i="27"/>
  <c r="AB2485" i="27"/>
  <c r="AC2485" i="27"/>
  <c r="AD2485" i="27"/>
  <c r="AE2485" i="27"/>
  <c r="AF2485" i="27"/>
  <c r="E2486" i="27"/>
  <c r="P2486" i="27"/>
  <c r="Q2486" i="27"/>
  <c r="R2486" i="27"/>
  <c r="AB2486" i="27"/>
  <c r="AC2486" i="27"/>
  <c r="AD2486" i="27"/>
  <c r="AE2486" i="27"/>
  <c r="AF2486" i="27"/>
  <c r="E2487" i="27"/>
  <c r="P2487" i="27"/>
  <c r="Q2487" i="27"/>
  <c r="R2487" i="27"/>
  <c r="AB2487" i="27"/>
  <c r="AC2487" i="27"/>
  <c r="AD2487" i="27"/>
  <c r="AE2487" i="27"/>
  <c r="AF2487" i="27"/>
  <c r="E2488" i="27"/>
  <c r="P2488" i="27"/>
  <c r="Q2488" i="27"/>
  <c r="R2488" i="27"/>
  <c r="AB2488" i="27"/>
  <c r="AC2488" i="27"/>
  <c r="AD2488" i="27"/>
  <c r="AE2488" i="27"/>
  <c r="AF2488" i="27"/>
  <c r="E2489" i="27"/>
  <c r="P2489" i="27"/>
  <c r="Q2489" i="27"/>
  <c r="R2489" i="27"/>
  <c r="AB2489" i="27"/>
  <c r="AC2489" i="27"/>
  <c r="AD2489" i="27"/>
  <c r="AE2489" i="27"/>
  <c r="AF2489" i="27"/>
  <c r="E2490" i="27"/>
  <c r="P2490" i="27"/>
  <c r="Q2490" i="27"/>
  <c r="R2490" i="27"/>
  <c r="AB2490" i="27"/>
  <c r="AC2490" i="27"/>
  <c r="AD2490" i="27"/>
  <c r="AE2490" i="27"/>
  <c r="AF2490" i="27"/>
  <c r="E2491" i="27"/>
  <c r="P2491" i="27"/>
  <c r="Q2491" i="27"/>
  <c r="R2491" i="27"/>
  <c r="AB2491" i="27"/>
  <c r="AC2491" i="27"/>
  <c r="AD2491" i="27"/>
  <c r="AE2491" i="27"/>
  <c r="AF2491" i="27"/>
  <c r="E2492" i="27"/>
  <c r="P2492" i="27"/>
  <c r="Q2492" i="27"/>
  <c r="R2492" i="27"/>
  <c r="AB2492" i="27"/>
  <c r="AC2492" i="27"/>
  <c r="AD2492" i="27"/>
  <c r="AE2492" i="27"/>
  <c r="AF2492" i="27"/>
  <c r="E2493" i="27"/>
  <c r="P2493" i="27"/>
  <c r="Q2493" i="27"/>
  <c r="R2493" i="27"/>
  <c r="AB2493" i="27"/>
  <c r="AC2493" i="27"/>
  <c r="AD2493" i="27"/>
  <c r="AE2493" i="27"/>
  <c r="AF2493" i="27"/>
  <c r="E2494" i="27"/>
  <c r="P2494" i="27"/>
  <c r="Q2494" i="27"/>
  <c r="R2494" i="27"/>
  <c r="AB2494" i="27"/>
  <c r="AC2494" i="27"/>
  <c r="AD2494" i="27"/>
  <c r="AE2494" i="27"/>
  <c r="AF2494" i="27"/>
  <c r="E2495" i="27"/>
  <c r="P2495" i="27"/>
  <c r="Q2495" i="27"/>
  <c r="R2495" i="27"/>
  <c r="AB2495" i="27"/>
  <c r="AC2495" i="27"/>
  <c r="AD2495" i="27"/>
  <c r="AE2495" i="27"/>
  <c r="AF2495" i="27"/>
  <c r="E2496" i="27"/>
  <c r="P2496" i="27"/>
  <c r="Q2496" i="27"/>
  <c r="R2496" i="27"/>
  <c r="AB2496" i="27"/>
  <c r="AC2496" i="27"/>
  <c r="AD2496" i="27"/>
  <c r="AE2496" i="27"/>
  <c r="AF2496" i="27"/>
  <c r="E2497" i="27"/>
  <c r="P2497" i="27"/>
  <c r="Q2497" i="27"/>
  <c r="R2497" i="27"/>
  <c r="AB2497" i="27"/>
  <c r="AC2497" i="27"/>
  <c r="AD2497" i="27"/>
  <c r="AE2497" i="27"/>
  <c r="AF2497" i="27"/>
  <c r="E2498" i="27"/>
  <c r="P2498" i="27"/>
  <c r="Q2498" i="27"/>
  <c r="R2498" i="27"/>
  <c r="AB2498" i="27"/>
  <c r="AC2498" i="27"/>
  <c r="AD2498" i="27"/>
  <c r="AE2498" i="27"/>
  <c r="AF2498" i="27"/>
  <c r="E2499" i="27"/>
  <c r="P2499" i="27"/>
  <c r="Q2499" i="27"/>
  <c r="R2499" i="27"/>
  <c r="AB2499" i="27"/>
  <c r="AC2499" i="27"/>
  <c r="AD2499" i="27"/>
  <c r="AE2499" i="27"/>
  <c r="AF2499" i="27"/>
  <c r="E2500" i="27"/>
  <c r="P2500" i="27"/>
  <c r="Q2500" i="27"/>
  <c r="R2500" i="27"/>
  <c r="AB2500" i="27"/>
  <c r="AC2500" i="27"/>
  <c r="AD2500" i="27"/>
  <c r="AE2500" i="27"/>
  <c r="AF2500" i="27"/>
  <c r="E2501" i="27"/>
  <c r="P2501" i="27"/>
  <c r="Q2501" i="27"/>
  <c r="R2501" i="27"/>
  <c r="AB2501" i="27"/>
  <c r="AC2501" i="27"/>
  <c r="AD2501" i="27"/>
  <c r="AE2501" i="27"/>
  <c r="AF2501" i="27"/>
  <c r="E2502" i="27"/>
  <c r="P2502" i="27"/>
  <c r="Q2502" i="27"/>
  <c r="R2502" i="27"/>
  <c r="AB2502" i="27"/>
  <c r="AC2502" i="27"/>
  <c r="AD2502" i="27"/>
  <c r="AE2502" i="27"/>
  <c r="AF2502" i="27"/>
  <c r="E2503" i="27"/>
  <c r="P2503" i="27"/>
  <c r="Q2503" i="27"/>
  <c r="R2503" i="27"/>
  <c r="AB2503" i="27"/>
  <c r="AC2503" i="27"/>
  <c r="AD2503" i="27"/>
  <c r="AE2503" i="27"/>
  <c r="AF2503" i="27"/>
  <c r="E2504" i="27"/>
  <c r="P2504" i="27"/>
  <c r="Q2504" i="27"/>
  <c r="R2504" i="27"/>
  <c r="AB2504" i="27"/>
  <c r="AC2504" i="27"/>
  <c r="AD2504" i="27"/>
  <c r="AE2504" i="27"/>
  <c r="AF2504" i="27"/>
  <c r="E2505" i="27"/>
  <c r="P2505" i="27"/>
  <c r="Q2505" i="27"/>
  <c r="R2505" i="27"/>
  <c r="AB2505" i="27"/>
  <c r="AC2505" i="27"/>
  <c r="AD2505" i="27"/>
  <c r="AE2505" i="27"/>
  <c r="AF2505" i="27"/>
  <c r="E2506" i="27"/>
  <c r="P2506" i="27"/>
  <c r="Q2506" i="27"/>
  <c r="R2506" i="27"/>
  <c r="AB2506" i="27"/>
  <c r="AC2506" i="27"/>
  <c r="AD2506" i="27"/>
  <c r="AE2506" i="27"/>
  <c r="AF2506" i="27"/>
  <c r="E2507" i="27"/>
  <c r="P2507" i="27"/>
  <c r="Q2507" i="27"/>
  <c r="R2507" i="27"/>
  <c r="AB2507" i="27"/>
  <c r="AC2507" i="27"/>
  <c r="AD2507" i="27"/>
  <c r="AE2507" i="27"/>
  <c r="AF2507" i="27"/>
  <c r="E2508" i="27"/>
  <c r="P2508" i="27"/>
  <c r="Q2508" i="27"/>
  <c r="R2508" i="27"/>
  <c r="AB2508" i="27"/>
  <c r="AC2508" i="27"/>
  <c r="AD2508" i="27"/>
  <c r="AE2508" i="27"/>
  <c r="AF2508" i="27"/>
  <c r="E2509" i="27"/>
  <c r="P2509" i="27"/>
  <c r="Q2509" i="27"/>
  <c r="R2509" i="27"/>
  <c r="AB2509" i="27"/>
  <c r="AC2509" i="27"/>
  <c r="AD2509" i="27"/>
  <c r="AE2509" i="27"/>
  <c r="AF2509" i="27"/>
  <c r="E2510" i="27"/>
  <c r="P2510" i="27"/>
  <c r="Q2510" i="27"/>
  <c r="R2510" i="27"/>
  <c r="AB2510" i="27"/>
  <c r="AC2510" i="27"/>
  <c r="AD2510" i="27"/>
  <c r="AE2510" i="27"/>
  <c r="AF2510" i="27"/>
  <c r="E2511" i="27"/>
  <c r="P2511" i="27"/>
  <c r="Q2511" i="27"/>
  <c r="R2511" i="27"/>
  <c r="AB2511" i="27"/>
  <c r="AC2511" i="27"/>
  <c r="AD2511" i="27"/>
  <c r="AE2511" i="27"/>
  <c r="AF2511" i="27"/>
  <c r="E2512" i="27"/>
  <c r="P2512" i="27"/>
  <c r="Q2512" i="27"/>
  <c r="R2512" i="27"/>
  <c r="AB2512" i="27"/>
  <c r="AC2512" i="27"/>
  <c r="AD2512" i="27"/>
  <c r="AE2512" i="27"/>
  <c r="AF2512" i="27"/>
  <c r="E2513" i="27"/>
  <c r="P2513" i="27"/>
  <c r="Q2513" i="27"/>
  <c r="R2513" i="27"/>
  <c r="AB2513" i="27"/>
  <c r="AC2513" i="27"/>
  <c r="AD2513" i="27"/>
  <c r="AE2513" i="27"/>
  <c r="AF2513" i="27"/>
  <c r="E2514" i="27"/>
  <c r="P2514" i="27"/>
  <c r="Q2514" i="27"/>
  <c r="R2514" i="27"/>
  <c r="AB2514" i="27"/>
  <c r="AC2514" i="27"/>
  <c r="AD2514" i="27"/>
  <c r="AE2514" i="27"/>
  <c r="AF2514" i="27"/>
  <c r="E2515" i="27"/>
  <c r="P2515" i="27"/>
  <c r="Q2515" i="27"/>
  <c r="R2515" i="27"/>
  <c r="AB2515" i="27"/>
  <c r="AC2515" i="27"/>
  <c r="AD2515" i="27"/>
  <c r="AE2515" i="27"/>
  <c r="AF2515" i="27"/>
  <c r="E2516" i="27"/>
  <c r="P2516" i="27"/>
  <c r="Q2516" i="27"/>
  <c r="R2516" i="27"/>
  <c r="AB2516" i="27"/>
  <c r="AC2516" i="27"/>
  <c r="AD2516" i="27"/>
  <c r="AE2516" i="27"/>
  <c r="AF2516" i="27"/>
  <c r="E2517" i="27"/>
  <c r="P2517" i="27"/>
  <c r="Q2517" i="27"/>
  <c r="R2517" i="27"/>
  <c r="AB2517" i="27"/>
  <c r="AC2517" i="27"/>
  <c r="AD2517" i="27"/>
  <c r="AE2517" i="27"/>
  <c r="AF2517" i="27"/>
  <c r="E2518" i="27"/>
  <c r="P2518" i="27"/>
  <c r="Q2518" i="27"/>
  <c r="R2518" i="27"/>
  <c r="AB2518" i="27"/>
  <c r="AC2518" i="27"/>
  <c r="AD2518" i="27"/>
  <c r="AE2518" i="27"/>
  <c r="AF2518" i="27"/>
  <c r="E2519" i="27"/>
  <c r="P2519" i="27"/>
  <c r="Q2519" i="27"/>
  <c r="R2519" i="27"/>
  <c r="AB2519" i="27"/>
  <c r="AC2519" i="27"/>
  <c r="AD2519" i="27"/>
  <c r="AE2519" i="27"/>
  <c r="AF2519" i="27"/>
  <c r="E2520" i="27"/>
  <c r="P2520" i="27"/>
  <c r="Q2520" i="27"/>
  <c r="R2520" i="27"/>
  <c r="AB2520" i="27"/>
  <c r="AC2520" i="27"/>
  <c r="AD2520" i="27"/>
  <c r="AE2520" i="27"/>
  <c r="AF2520" i="27"/>
  <c r="E2521" i="27"/>
  <c r="P2521" i="27"/>
  <c r="Q2521" i="27"/>
  <c r="R2521" i="27"/>
  <c r="AB2521" i="27"/>
  <c r="AC2521" i="27"/>
  <c r="AD2521" i="27"/>
  <c r="AE2521" i="27"/>
  <c r="AF2521" i="27"/>
  <c r="E2522" i="27"/>
  <c r="P2522" i="27"/>
  <c r="Q2522" i="27"/>
  <c r="R2522" i="27"/>
  <c r="AB2522" i="27"/>
  <c r="AC2522" i="27"/>
  <c r="AD2522" i="27"/>
  <c r="AE2522" i="27"/>
  <c r="AF2522" i="27"/>
  <c r="E2523" i="27"/>
  <c r="P2523" i="27"/>
  <c r="Q2523" i="27"/>
  <c r="R2523" i="27"/>
  <c r="AB2523" i="27"/>
  <c r="AC2523" i="27"/>
  <c r="AD2523" i="27"/>
  <c r="AE2523" i="27"/>
  <c r="AF2523" i="27"/>
  <c r="E2524" i="27"/>
  <c r="P2524" i="27"/>
  <c r="Q2524" i="27"/>
  <c r="R2524" i="27"/>
  <c r="AB2524" i="27"/>
  <c r="AC2524" i="27"/>
  <c r="AD2524" i="27"/>
  <c r="AE2524" i="27"/>
  <c r="AF2524" i="27"/>
  <c r="E2525" i="27"/>
  <c r="P2525" i="27"/>
  <c r="Q2525" i="27"/>
  <c r="R2525" i="27"/>
  <c r="AB2525" i="27"/>
  <c r="AC2525" i="27"/>
  <c r="AD2525" i="27"/>
  <c r="AE2525" i="27"/>
  <c r="AF2525" i="27"/>
  <c r="E2526" i="27"/>
  <c r="P2526" i="27"/>
  <c r="Q2526" i="27"/>
  <c r="R2526" i="27"/>
  <c r="AB2526" i="27"/>
  <c r="AC2526" i="27"/>
  <c r="AD2526" i="27"/>
  <c r="AE2526" i="27"/>
  <c r="AF2526" i="27"/>
  <c r="E2527" i="27"/>
  <c r="P2527" i="27"/>
  <c r="Q2527" i="27"/>
  <c r="R2527" i="27"/>
  <c r="AB2527" i="27"/>
  <c r="AC2527" i="27"/>
  <c r="AD2527" i="27"/>
  <c r="AE2527" i="27"/>
  <c r="AF2527" i="27"/>
  <c r="E2528" i="27"/>
  <c r="P2528" i="27"/>
  <c r="Q2528" i="27"/>
  <c r="R2528" i="27"/>
  <c r="AB2528" i="27"/>
  <c r="AC2528" i="27"/>
  <c r="AD2528" i="27"/>
  <c r="AE2528" i="27"/>
  <c r="AF2528" i="27"/>
  <c r="E2529" i="27"/>
  <c r="P2529" i="27"/>
  <c r="Q2529" i="27"/>
  <c r="R2529" i="27"/>
  <c r="AB2529" i="27"/>
  <c r="AC2529" i="27"/>
  <c r="AD2529" i="27"/>
  <c r="AE2529" i="27"/>
  <c r="AF2529" i="27"/>
  <c r="E2530" i="27"/>
  <c r="P2530" i="27"/>
  <c r="Q2530" i="27"/>
  <c r="R2530" i="27"/>
  <c r="AB2530" i="27"/>
  <c r="AC2530" i="27"/>
  <c r="AD2530" i="27"/>
  <c r="AE2530" i="27"/>
  <c r="AF2530" i="27"/>
  <c r="E2531" i="27"/>
  <c r="P2531" i="27"/>
  <c r="Q2531" i="27"/>
  <c r="R2531" i="27"/>
  <c r="AB2531" i="27"/>
  <c r="AC2531" i="27"/>
  <c r="AD2531" i="27"/>
  <c r="AE2531" i="27"/>
  <c r="AF2531" i="27"/>
  <c r="E2532" i="27"/>
  <c r="P2532" i="27"/>
  <c r="Q2532" i="27"/>
  <c r="R2532" i="27"/>
  <c r="AB2532" i="27"/>
  <c r="AC2532" i="27"/>
  <c r="AD2532" i="27"/>
  <c r="AE2532" i="27"/>
  <c r="AF2532" i="27"/>
  <c r="E2533" i="27"/>
  <c r="P2533" i="27"/>
  <c r="Q2533" i="27"/>
  <c r="R2533" i="27"/>
  <c r="AB2533" i="27"/>
  <c r="AC2533" i="27"/>
  <c r="AD2533" i="27"/>
  <c r="AE2533" i="27"/>
  <c r="AF2533" i="27"/>
  <c r="E2534" i="27"/>
  <c r="P2534" i="27"/>
  <c r="Q2534" i="27"/>
  <c r="R2534" i="27"/>
  <c r="AB2534" i="27"/>
  <c r="AC2534" i="27"/>
  <c r="AD2534" i="27"/>
  <c r="AE2534" i="27"/>
  <c r="AF2534" i="27"/>
  <c r="E2535" i="27"/>
  <c r="P2535" i="27"/>
  <c r="Q2535" i="27"/>
  <c r="R2535" i="27"/>
  <c r="AB2535" i="27"/>
  <c r="AC2535" i="27"/>
  <c r="AD2535" i="27"/>
  <c r="AE2535" i="27"/>
  <c r="AF2535" i="27"/>
  <c r="E2536" i="27"/>
  <c r="P2536" i="27"/>
  <c r="Q2536" i="27"/>
  <c r="R2536" i="27"/>
  <c r="AB2536" i="27"/>
  <c r="AC2536" i="27"/>
  <c r="AD2536" i="27"/>
  <c r="AE2536" i="27"/>
  <c r="AF2536" i="27"/>
  <c r="E2537" i="27"/>
  <c r="P2537" i="27"/>
  <c r="Q2537" i="27"/>
  <c r="R2537" i="27"/>
  <c r="AB2537" i="27"/>
  <c r="AC2537" i="27"/>
  <c r="AD2537" i="27"/>
  <c r="AE2537" i="27"/>
  <c r="AF2537" i="27"/>
  <c r="E2538" i="27"/>
  <c r="P2538" i="27"/>
  <c r="Q2538" i="27"/>
  <c r="R2538" i="27"/>
  <c r="AB2538" i="27"/>
  <c r="AC2538" i="27"/>
  <c r="AD2538" i="27"/>
  <c r="AE2538" i="27"/>
  <c r="AF2538" i="27"/>
  <c r="E2539" i="27"/>
  <c r="P2539" i="27"/>
  <c r="Q2539" i="27"/>
  <c r="R2539" i="27"/>
  <c r="AB2539" i="27"/>
  <c r="AC2539" i="27"/>
  <c r="AD2539" i="27"/>
  <c r="AE2539" i="27"/>
  <c r="AF2539" i="27"/>
  <c r="E2540" i="27"/>
  <c r="P2540" i="27"/>
  <c r="Q2540" i="27"/>
  <c r="R2540" i="27"/>
  <c r="AB2540" i="27"/>
  <c r="AC2540" i="27"/>
  <c r="AD2540" i="27"/>
  <c r="AE2540" i="27"/>
  <c r="AF2540" i="27"/>
  <c r="E2541" i="27"/>
  <c r="P2541" i="27"/>
  <c r="Q2541" i="27"/>
  <c r="R2541" i="27"/>
  <c r="AB2541" i="27"/>
  <c r="AC2541" i="27"/>
  <c r="AD2541" i="27"/>
  <c r="AE2541" i="27"/>
  <c r="AF2541" i="27"/>
  <c r="E2542" i="27"/>
  <c r="P2542" i="27"/>
  <c r="Q2542" i="27"/>
  <c r="R2542" i="27"/>
  <c r="AB2542" i="27"/>
  <c r="AC2542" i="27"/>
  <c r="AD2542" i="27"/>
  <c r="AE2542" i="27"/>
  <c r="AF2542" i="27"/>
  <c r="E2543" i="27"/>
  <c r="P2543" i="27"/>
  <c r="Q2543" i="27"/>
  <c r="R2543" i="27"/>
  <c r="AB2543" i="27"/>
  <c r="AC2543" i="27"/>
  <c r="AD2543" i="27"/>
  <c r="AE2543" i="27"/>
  <c r="AF2543" i="27"/>
  <c r="E2544" i="27"/>
  <c r="P2544" i="27"/>
  <c r="Q2544" i="27"/>
  <c r="R2544" i="27"/>
  <c r="AB2544" i="27"/>
  <c r="AC2544" i="27"/>
  <c r="AD2544" i="27"/>
  <c r="AE2544" i="27"/>
  <c r="AF2544" i="27"/>
  <c r="E2545" i="27"/>
  <c r="P2545" i="27"/>
  <c r="Q2545" i="27"/>
  <c r="R2545" i="27"/>
  <c r="AB2545" i="27"/>
  <c r="AC2545" i="27"/>
  <c r="AD2545" i="27"/>
  <c r="AE2545" i="27"/>
  <c r="AF2545" i="27"/>
  <c r="E2546" i="27"/>
  <c r="P2546" i="27"/>
  <c r="Q2546" i="27"/>
  <c r="R2546" i="27"/>
  <c r="AB2546" i="27"/>
  <c r="AC2546" i="27"/>
  <c r="AD2546" i="27"/>
  <c r="AE2546" i="27"/>
  <c r="AF2546" i="27"/>
  <c r="E2547" i="27"/>
  <c r="P2547" i="27"/>
  <c r="Q2547" i="27"/>
  <c r="R2547" i="27"/>
  <c r="AB2547" i="27"/>
  <c r="AC2547" i="27"/>
  <c r="AD2547" i="27"/>
  <c r="AE2547" i="27"/>
  <c r="AF2547" i="27"/>
  <c r="E2548" i="27"/>
  <c r="P2548" i="27"/>
  <c r="Q2548" i="27"/>
  <c r="R2548" i="27"/>
  <c r="AB2548" i="27"/>
  <c r="AC2548" i="27"/>
  <c r="AD2548" i="27"/>
  <c r="AE2548" i="27"/>
  <c r="AF2548" i="27"/>
  <c r="E2549" i="27"/>
  <c r="P2549" i="27"/>
  <c r="Q2549" i="27"/>
  <c r="R2549" i="27"/>
  <c r="AB2549" i="27"/>
  <c r="AC2549" i="27"/>
  <c r="AD2549" i="27"/>
  <c r="AE2549" i="27"/>
  <c r="AF2549" i="27"/>
  <c r="E2550" i="27"/>
  <c r="P2550" i="27"/>
  <c r="Q2550" i="27"/>
  <c r="R2550" i="27"/>
  <c r="AB2550" i="27"/>
  <c r="AC2550" i="27"/>
  <c r="AD2550" i="27"/>
  <c r="AE2550" i="27"/>
  <c r="AF2550" i="27"/>
  <c r="E2551" i="27"/>
  <c r="P2551" i="27"/>
  <c r="Q2551" i="27"/>
  <c r="R2551" i="27"/>
  <c r="AB2551" i="27"/>
  <c r="AC2551" i="27"/>
  <c r="AD2551" i="27"/>
  <c r="AE2551" i="27"/>
  <c r="AF2551" i="27"/>
  <c r="E2552" i="27"/>
  <c r="P2552" i="27"/>
  <c r="Q2552" i="27"/>
  <c r="R2552" i="27"/>
  <c r="AB2552" i="27"/>
  <c r="AC2552" i="27"/>
  <c r="AD2552" i="27"/>
  <c r="AE2552" i="27"/>
  <c r="AF2552" i="27"/>
  <c r="E2553" i="27"/>
  <c r="P2553" i="27"/>
  <c r="Q2553" i="27"/>
  <c r="R2553" i="27"/>
  <c r="AB2553" i="27"/>
  <c r="AC2553" i="27"/>
  <c r="AD2553" i="27"/>
  <c r="AE2553" i="27"/>
  <c r="AF2553" i="27"/>
  <c r="E2554" i="27"/>
  <c r="P2554" i="27"/>
  <c r="Q2554" i="27"/>
  <c r="R2554" i="27"/>
  <c r="AB2554" i="27"/>
  <c r="AC2554" i="27"/>
  <c r="AD2554" i="27"/>
  <c r="AE2554" i="27"/>
  <c r="AF2554" i="27"/>
  <c r="E2555" i="27"/>
  <c r="P2555" i="27"/>
  <c r="Q2555" i="27"/>
  <c r="R2555" i="27"/>
  <c r="AB2555" i="27"/>
  <c r="AC2555" i="27"/>
  <c r="AD2555" i="27"/>
  <c r="AE2555" i="27"/>
  <c r="AF2555" i="27"/>
  <c r="E2556" i="27"/>
  <c r="P2556" i="27"/>
  <c r="Q2556" i="27"/>
  <c r="R2556" i="27"/>
  <c r="AB2556" i="27"/>
  <c r="AC2556" i="27"/>
  <c r="AD2556" i="27"/>
  <c r="AE2556" i="27"/>
  <c r="AF2556" i="27"/>
  <c r="E2557" i="27"/>
  <c r="P2557" i="27"/>
  <c r="Q2557" i="27"/>
  <c r="R2557" i="27"/>
  <c r="AB2557" i="27"/>
  <c r="AC2557" i="27"/>
  <c r="AD2557" i="27"/>
  <c r="AE2557" i="27"/>
  <c r="AF2557" i="27"/>
  <c r="E2558" i="27"/>
  <c r="P2558" i="27"/>
  <c r="Q2558" i="27"/>
  <c r="R2558" i="27"/>
  <c r="AB2558" i="27"/>
  <c r="AC2558" i="27"/>
  <c r="AD2558" i="27"/>
  <c r="AE2558" i="27"/>
  <c r="AF2558" i="27"/>
  <c r="E2559" i="27"/>
  <c r="P2559" i="27"/>
  <c r="Q2559" i="27"/>
  <c r="R2559" i="27"/>
  <c r="AB2559" i="27"/>
  <c r="AC2559" i="27"/>
  <c r="AD2559" i="27"/>
  <c r="AE2559" i="27"/>
  <c r="AF2559" i="27"/>
  <c r="E2560" i="27"/>
  <c r="P2560" i="27"/>
  <c r="Q2560" i="27"/>
  <c r="R2560" i="27"/>
  <c r="AB2560" i="27"/>
  <c r="AC2560" i="27"/>
  <c r="AD2560" i="27"/>
  <c r="AE2560" i="27"/>
  <c r="AF2560" i="27"/>
  <c r="E2561" i="27"/>
  <c r="P2561" i="27"/>
  <c r="Q2561" i="27"/>
  <c r="R2561" i="27"/>
  <c r="AB2561" i="27"/>
  <c r="AC2561" i="27"/>
  <c r="AD2561" i="27"/>
  <c r="AE2561" i="27"/>
  <c r="AF2561" i="27"/>
  <c r="E2562" i="27"/>
  <c r="P2562" i="27"/>
  <c r="Q2562" i="27"/>
  <c r="R2562" i="27"/>
  <c r="AB2562" i="27"/>
  <c r="AC2562" i="27"/>
  <c r="AD2562" i="27"/>
  <c r="AE2562" i="27"/>
  <c r="AF2562" i="27"/>
  <c r="E2563" i="27"/>
  <c r="P2563" i="27"/>
  <c r="Q2563" i="27"/>
  <c r="R2563" i="27"/>
  <c r="AB2563" i="27"/>
  <c r="AC2563" i="27"/>
  <c r="AD2563" i="27"/>
  <c r="AE2563" i="27"/>
  <c r="AF2563" i="27"/>
  <c r="E2564" i="27"/>
  <c r="P2564" i="27"/>
  <c r="Q2564" i="27"/>
  <c r="R2564" i="27"/>
  <c r="AB2564" i="27"/>
  <c r="AC2564" i="27"/>
  <c r="AD2564" i="27"/>
  <c r="AE2564" i="27"/>
  <c r="AF2564" i="27"/>
  <c r="E2565" i="27"/>
  <c r="P2565" i="27"/>
  <c r="Q2565" i="27"/>
  <c r="R2565" i="27"/>
  <c r="AB2565" i="27"/>
  <c r="AC2565" i="27"/>
  <c r="AD2565" i="27"/>
  <c r="AE2565" i="27"/>
  <c r="AF2565" i="27"/>
  <c r="E2566" i="27"/>
  <c r="P2566" i="27"/>
  <c r="Q2566" i="27"/>
  <c r="R2566" i="27"/>
  <c r="AB2566" i="27"/>
  <c r="AC2566" i="27"/>
  <c r="AD2566" i="27"/>
  <c r="AE2566" i="27"/>
  <c r="AF2566" i="27"/>
  <c r="E2567" i="27"/>
  <c r="P2567" i="27"/>
  <c r="Q2567" i="27"/>
  <c r="R2567" i="27"/>
  <c r="AB2567" i="27"/>
  <c r="AC2567" i="27"/>
  <c r="AD2567" i="27"/>
  <c r="AE2567" i="27"/>
  <c r="AF2567" i="27"/>
  <c r="E2568" i="27"/>
  <c r="P2568" i="27"/>
  <c r="Q2568" i="27"/>
  <c r="R2568" i="27"/>
  <c r="AB2568" i="27"/>
  <c r="AC2568" i="27"/>
  <c r="AD2568" i="27"/>
  <c r="AE2568" i="27"/>
  <c r="AF2568" i="27"/>
  <c r="E2569" i="27"/>
  <c r="P2569" i="27"/>
  <c r="Q2569" i="27"/>
  <c r="R2569" i="27"/>
  <c r="AB2569" i="27"/>
  <c r="AC2569" i="27"/>
  <c r="AD2569" i="27"/>
  <c r="AE2569" i="27"/>
  <c r="AF2569" i="27"/>
  <c r="E2570" i="27"/>
  <c r="P2570" i="27"/>
  <c r="Q2570" i="27"/>
  <c r="R2570" i="27"/>
  <c r="AB2570" i="27"/>
  <c r="AC2570" i="27"/>
  <c r="AD2570" i="27"/>
  <c r="AE2570" i="27"/>
  <c r="AF2570" i="27"/>
  <c r="E2571" i="27"/>
  <c r="P2571" i="27"/>
  <c r="Q2571" i="27"/>
  <c r="R2571" i="27"/>
  <c r="AB2571" i="27"/>
  <c r="AC2571" i="27"/>
  <c r="AD2571" i="27"/>
  <c r="AE2571" i="27"/>
  <c r="AF2571" i="27"/>
  <c r="E2572" i="27"/>
  <c r="P2572" i="27"/>
  <c r="Q2572" i="27"/>
  <c r="R2572" i="27"/>
  <c r="AB2572" i="27"/>
  <c r="AC2572" i="27"/>
  <c r="AD2572" i="27"/>
  <c r="AE2572" i="27"/>
  <c r="AF2572" i="27"/>
  <c r="E2573" i="27"/>
  <c r="P2573" i="27"/>
  <c r="Q2573" i="27"/>
  <c r="R2573" i="27"/>
  <c r="AB2573" i="27"/>
  <c r="AC2573" i="27"/>
  <c r="AD2573" i="27"/>
  <c r="AE2573" i="27"/>
  <c r="AF2573" i="27"/>
  <c r="E2574" i="27"/>
  <c r="P2574" i="27"/>
  <c r="Q2574" i="27"/>
  <c r="R2574" i="27"/>
  <c r="AB2574" i="27"/>
  <c r="AC2574" i="27"/>
  <c r="AD2574" i="27"/>
  <c r="AE2574" i="27"/>
  <c r="AF2574" i="27"/>
  <c r="E2575" i="27"/>
  <c r="P2575" i="27"/>
  <c r="Q2575" i="27"/>
  <c r="R2575" i="27"/>
  <c r="AB2575" i="27"/>
  <c r="AC2575" i="27"/>
  <c r="AD2575" i="27"/>
  <c r="AE2575" i="27"/>
  <c r="AF2575" i="27"/>
  <c r="E2576" i="27"/>
  <c r="P2576" i="27"/>
  <c r="Q2576" i="27"/>
  <c r="R2576" i="27"/>
  <c r="AB2576" i="27"/>
  <c r="AC2576" i="27"/>
  <c r="AD2576" i="27"/>
  <c r="AE2576" i="27"/>
  <c r="AF2576" i="27"/>
  <c r="E2577" i="27"/>
  <c r="P2577" i="27"/>
  <c r="Q2577" i="27"/>
  <c r="R2577" i="27"/>
  <c r="AB2577" i="27"/>
  <c r="AC2577" i="27"/>
  <c r="AD2577" i="27"/>
  <c r="AE2577" i="27"/>
  <c r="AF2577" i="27"/>
  <c r="E2578" i="27"/>
  <c r="P2578" i="27"/>
  <c r="Q2578" i="27"/>
  <c r="R2578" i="27"/>
  <c r="AB2578" i="27"/>
  <c r="AC2578" i="27"/>
  <c r="AD2578" i="27"/>
  <c r="AE2578" i="27"/>
  <c r="AF2578" i="27"/>
  <c r="E2579" i="27"/>
  <c r="P2579" i="27"/>
  <c r="Q2579" i="27"/>
  <c r="R2579" i="27"/>
  <c r="AB2579" i="27"/>
  <c r="AC2579" i="27"/>
  <c r="AD2579" i="27"/>
  <c r="AE2579" i="27"/>
  <c r="AF2579" i="27"/>
  <c r="E2580" i="27"/>
  <c r="P2580" i="27"/>
  <c r="Q2580" i="27"/>
  <c r="R2580" i="27"/>
  <c r="AB2580" i="27"/>
  <c r="AC2580" i="27"/>
  <c r="AD2580" i="27"/>
  <c r="AE2580" i="27"/>
  <c r="AF2580" i="27"/>
  <c r="E2581" i="27"/>
  <c r="P2581" i="27"/>
  <c r="Q2581" i="27"/>
  <c r="R2581" i="27"/>
  <c r="AB2581" i="27"/>
  <c r="AC2581" i="27"/>
  <c r="AD2581" i="27"/>
  <c r="AE2581" i="27"/>
  <c r="AF2581" i="27"/>
  <c r="E2582" i="27"/>
  <c r="P2582" i="27"/>
  <c r="Q2582" i="27"/>
  <c r="R2582" i="27"/>
  <c r="AB2582" i="27"/>
  <c r="AC2582" i="27"/>
  <c r="AD2582" i="27"/>
  <c r="AE2582" i="27"/>
  <c r="AF2582" i="27"/>
  <c r="E2583" i="27"/>
  <c r="P2583" i="27"/>
  <c r="Q2583" i="27"/>
  <c r="R2583" i="27"/>
  <c r="AB2583" i="27"/>
  <c r="AC2583" i="27"/>
  <c r="AD2583" i="27"/>
  <c r="AE2583" i="27"/>
  <c r="AF2583" i="27"/>
  <c r="E2584" i="27"/>
  <c r="P2584" i="27"/>
  <c r="Q2584" i="27"/>
  <c r="R2584" i="27"/>
  <c r="AB2584" i="27"/>
  <c r="AC2584" i="27"/>
  <c r="AD2584" i="27"/>
  <c r="AE2584" i="27"/>
  <c r="AF2584" i="27"/>
  <c r="E2585" i="27"/>
  <c r="P2585" i="27"/>
  <c r="Q2585" i="27"/>
  <c r="R2585" i="27"/>
  <c r="AB2585" i="27"/>
  <c r="AC2585" i="27"/>
  <c r="AD2585" i="27"/>
  <c r="AE2585" i="27"/>
  <c r="AF2585" i="27"/>
  <c r="E2586" i="27"/>
  <c r="P2586" i="27"/>
  <c r="Q2586" i="27"/>
  <c r="R2586" i="27"/>
  <c r="AB2586" i="27"/>
  <c r="AC2586" i="27"/>
  <c r="AD2586" i="27"/>
  <c r="AE2586" i="27"/>
  <c r="AF2586" i="27"/>
  <c r="E2587" i="27"/>
  <c r="P2587" i="27"/>
  <c r="Q2587" i="27"/>
  <c r="R2587" i="27"/>
  <c r="AB2587" i="27"/>
  <c r="AC2587" i="27"/>
  <c r="AD2587" i="27"/>
  <c r="AE2587" i="27"/>
  <c r="AF2587" i="27"/>
  <c r="E2588" i="27"/>
  <c r="P2588" i="27"/>
  <c r="Q2588" i="27"/>
  <c r="R2588" i="27"/>
  <c r="AB2588" i="27"/>
  <c r="AC2588" i="27"/>
  <c r="AD2588" i="27"/>
  <c r="AE2588" i="27"/>
  <c r="AF2588" i="27"/>
  <c r="E2589" i="27"/>
  <c r="P2589" i="27"/>
  <c r="Q2589" i="27"/>
  <c r="R2589" i="27"/>
  <c r="AB2589" i="27"/>
  <c r="AC2589" i="27"/>
  <c r="AD2589" i="27"/>
  <c r="AE2589" i="27"/>
  <c r="AF2589" i="27"/>
  <c r="E2590" i="27"/>
  <c r="P2590" i="27"/>
  <c r="Q2590" i="27"/>
  <c r="R2590" i="27"/>
  <c r="AB2590" i="27"/>
  <c r="AC2590" i="27"/>
  <c r="AD2590" i="27"/>
  <c r="AE2590" i="27"/>
  <c r="AF2590" i="27"/>
  <c r="E2591" i="27"/>
  <c r="P2591" i="27"/>
  <c r="Q2591" i="27"/>
  <c r="R2591" i="27"/>
  <c r="AB2591" i="27"/>
  <c r="AC2591" i="27"/>
  <c r="AD2591" i="27"/>
  <c r="AE2591" i="27"/>
  <c r="AF2591" i="27"/>
  <c r="E2592" i="27"/>
  <c r="P2592" i="27"/>
  <c r="Q2592" i="27"/>
  <c r="R2592" i="27"/>
  <c r="AB2592" i="27"/>
  <c r="AC2592" i="27"/>
  <c r="AD2592" i="27"/>
  <c r="AE2592" i="27"/>
  <c r="AF2592" i="27"/>
  <c r="E2593" i="27"/>
  <c r="P2593" i="27"/>
  <c r="Q2593" i="27"/>
  <c r="R2593" i="27"/>
  <c r="AB2593" i="27"/>
  <c r="AC2593" i="27"/>
  <c r="AD2593" i="27"/>
  <c r="AE2593" i="27"/>
  <c r="AF2593" i="27"/>
  <c r="E2594" i="27"/>
  <c r="P2594" i="27"/>
  <c r="Q2594" i="27"/>
  <c r="R2594" i="27"/>
  <c r="AB2594" i="27"/>
  <c r="AC2594" i="27"/>
  <c r="AD2594" i="27"/>
  <c r="AE2594" i="27"/>
  <c r="AF2594" i="27"/>
  <c r="E2595" i="27"/>
  <c r="P2595" i="27"/>
  <c r="Q2595" i="27"/>
  <c r="R2595" i="27"/>
  <c r="AB2595" i="27"/>
  <c r="AC2595" i="27"/>
  <c r="AD2595" i="27"/>
  <c r="AE2595" i="27"/>
  <c r="AF2595" i="27"/>
  <c r="E2596" i="27"/>
  <c r="P2596" i="27"/>
  <c r="Q2596" i="27"/>
  <c r="R2596" i="27"/>
  <c r="AB2596" i="27"/>
  <c r="AC2596" i="27"/>
  <c r="AD2596" i="27"/>
  <c r="AE2596" i="27"/>
  <c r="AF2596" i="27"/>
  <c r="E2597" i="27"/>
  <c r="P2597" i="27"/>
  <c r="Q2597" i="27"/>
  <c r="R2597" i="27"/>
  <c r="AB2597" i="27"/>
  <c r="AC2597" i="27"/>
  <c r="AD2597" i="27"/>
  <c r="AE2597" i="27"/>
  <c r="AF2597" i="27"/>
  <c r="E2598" i="27"/>
  <c r="P2598" i="27"/>
  <c r="Q2598" i="27"/>
  <c r="R2598" i="27"/>
  <c r="AB2598" i="27"/>
  <c r="AC2598" i="27"/>
  <c r="AD2598" i="27"/>
  <c r="AE2598" i="27"/>
  <c r="AF2598" i="27"/>
  <c r="E2599" i="27"/>
  <c r="P2599" i="27"/>
  <c r="Q2599" i="27"/>
  <c r="R2599" i="27"/>
  <c r="AB2599" i="27"/>
  <c r="AC2599" i="27"/>
  <c r="AD2599" i="27"/>
  <c r="AE2599" i="27"/>
  <c r="AF2599" i="27"/>
  <c r="E2600" i="27"/>
  <c r="P2600" i="27"/>
  <c r="Q2600" i="27"/>
  <c r="R2600" i="27"/>
  <c r="AB2600" i="27"/>
  <c r="AC2600" i="27"/>
  <c r="AD2600" i="27"/>
  <c r="AE2600" i="27"/>
  <c r="AF2600" i="27"/>
  <c r="E2601" i="27"/>
  <c r="P2601" i="27"/>
  <c r="Q2601" i="27"/>
  <c r="R2601" i="27"/>
  <c r="AB2601" i="27"/>
  <c r="AC2601" i="27"/>
  <c r="AD2601" i="27"/>
  <c r="AE2601" i="27"/>
  <c r="AF2601" i="27"/>
  <c r="E2602" i="27"/>
  <c r="P2602" i="27"/>
  <c r="Q2602" i="27"/>
  <c r="R2602" i="27"/>
  <c r="AB2602" i="27"/>
  <c r="AC2602" i="27"/>
  <c r="AD2602" i="27"/>
  <c r="AE2602" i="27"/>
  <c r="AF2602" i="27"/>
  <c r="E2603" i="27"/>
  <c r="P2603" i="27"/>
  <c r="Q2603" i="27"/>
  <c r="R2603" i="27"/>
  <c r="AB2603" i="27"/>
  <c r="AC2603" i="27"/>
  <c r="AD2603" i="27"/>
  <c r="AE2603" i="27"/>
  <c r="AF2603" i="27"/>
  <c r="E2604" i="27"/>
  <c r="P2604" i="27"/>
  <c r="Q2604" i="27"/>
  <c r="R2604" i="27"/>
  <c r="AB2604" i="27"/>
  <c r="AC2604" i="27"/>
  <c r="AD2604" i="27"/>
  <c r="AE2604" i="27"/>
  <c r="AF2604" i="27"/>
  <c r="E2605" i="27"/>
  <c r="P2605" i="27"/>
  <c r="Q2605" i="27"/>
  <c r="R2605" i="27"/>
  <c r="AB2605" i="27"/>
  <c r="AC2605" i="27"/>
  <c r="AD2605" i="27"/>
  <c r="AE2605" i="27"/>
  <c r="AF2605" i="27"/>
  <c r="E2606" i="27"/>
  <c r="P2606" i="27"/>
  <c r="Q2606" i="27"/>
  <c r="R2606" i="27"/>
  <c r="AB2606" i="27"/>
  <c r="AC2606" i="27"/>
  <c r="AD2606" i="27"/>
  <c r="AE2606" i="27"/>
  <c r="AF2606" i="27"/>
  <c r="E2607" i="27"/>
  <c r="P2607" i="27"/>
  <c r="Q2607" i="27"/>
  <c r="R2607" i="27"/>
  <c r="AB2607" i="27"/>
  <c r="AC2607" i="27"/>
  <c r="AD2607" i="27"/>
  <c r="AE2607" i="27"/>
  <c r="AF2607" i="27"/>
  <c r="E2608" i="27"/>
  <c r="P2608" i="27"/>
  <c r="Q2608" i="27"/>
  <c r="R2608" i="27"/>
  <c r="AB2608" i="27"/>
  <c r="AC2608" i="27"/>
  <c r="AD2608" i="27"/>
  <c r="AE2608" i="27"/>
  <c r="AF2608" i="27"/>
  <c r="E2609" i="27"/>
  <c r="P2609" i="27"/>
  <c r="Q2609" i="27"/>
  <c r="R2609" i="27"/>
  <c r="AB2609" i="27"/>
  <c r="AC2609" i="27"/>
  <c r="AD2609" i="27"/>
  <c r="AE2609" i="27"/>
  <c r="AF2609" i="27"/>
  <c r="E2610" i="27"/>
  <c r="P2610" i="27"/>
  <c r="Q2610" i="27"/>
  <c r="R2610" i="27"/>
  <c r="AB2610" i="27"/>
  <c r="AC2610" i="27"/>
  <c r="AD2610" i="27"/>
  <c r="AE2610" i="27"/>
  <c r="AF2610" i="27"/>
  <c r="E2611" i="27"/>
  <c r="P2611" i="27"/>
  <c r="Q2611" i="27"/>
  <c r="R2611" i="27"/>
  <c r="AB2611" i="27"/>
  <c r="AC2611" i="27"/>
  <c r="AD2611" i="27"/>
  <c r="AE2611" i="27"/>
  <c r="AF2611" i="27"/>
  <c r="E2612" i="27"/>
  <c r="P2612" i="27"/>
  <c r="Q2612" i="27"/>
  <c r="R2612" i="27"/>
  <c r="AB2612" i="27"/>
  <c r="AC2612" i="27"/>
  <c r="AD2612" i="27"/>
  <c r="AE2612" i="27"/>
  <c r="AF2612" i="27"/>
  <c r="E2613" i="27"/>
  <c r="P2613" i="27"/>
  <c r="Q2613" i="27"/>
  <c r="R2613" i="27"/>
  <c r="AB2613" i="27"/>
  <c r="AC2613" i="27"/>
  <c r="AD2613" i="27"/>
  <c r="AE2613" i="27"/>
  <c r="AF2613" i="27"/>
  <c r="E2614" i="27"/>
  <c r="P2614" i="27"/>
  <c r="Q2614" i="27"/>
  <c r="R2614" i="27"/>
  <c r="AB2614" i="27"/>
  <c r="AC2614" i="27"/>
  <c r="AD2614" i="27"/>
  <c r="AE2614" i="27"/>
  <c r="AF2614" i="27"/>
  <c r="E2615" i="27"/>
  <c r="P2615" i="27"/>
  <c r="Q2615" i="27"/>
  <c r="R2615" i="27"/>
  <c r="AB2615" i="27"/>
  <c r="AC2615" i="27"/>
  <c r="AD2615" i="27"/>
  <c r="AE2615" i="27"/>
  <c r="AF2615" i="27"/>
  <c r="E2616" i="27"/>
  <c r="P2616" i="27"/>
  <c r="Q2616" i="27"/>
  <c r="R2616" i="27"/>
  <c r="AB2616" i="27"/>
  <c r="AC2616" i="27"/>
  <c r="AD2616" i="27"/>
  <c r="AE2616" i="27"/>
  <c r="AF2616" i="27"/>
  <c r="E2617" i="27"/>
  <c r="P2617" i="27"/>
  <c r="Q2617" i="27"/>
  <c r="R2617" i="27"/>
  <c r="AB2617" i="27"/>
  <c r="AC2617" i="27"/>
  <c r="AD2617" i="27"/>
  <c r="AE2617" i="27"/>
  <c r="AF2617" i="27"/>
  <c r="E2618" i="27"/>
  <c r="P2618" i="27"/>
  <c r="Q2618" i="27"/>
  <c r="R2618" i="27"/>
  <c r="AB2618" i="27"/>
  <c r="AC2618" i="27"/>
  <c r="AD2618" i="27"/>
  <c r="AE2618" i="27"/>
  <c r="AF2618" i="27"/>
  <c r="E2619" i="27"/>
  <c r="P2619" i="27"/>
  <c r="Q2619" i="27"/>
  <c r="R2619" i="27"/>
  <c r="AB2619" i="27"/>
  <c r="AC2619" i="27"/>
  <c r="AD2619" i="27"/>
  <c r="AE2619" i="27"/>
  <c r="AF2619" i="27"/>
  <c r="E2620" i="27"/>
  <c r="P2620" i="27"/>
  <c r="Q2620" i="27"/>
  <c r="R2620" i="27"/>
  <c r="AB2620" i="27"/>
  <c r="AC2620" i="27"/>
  <c r="AD2620" i="27"/>
  <c r="AE2620" i="27"/>
  <c r="AF2620" i="27"/>
  <c r="E2621" i="27"/>
  <c r="P2621" i="27"/>
  <c r="Q2621" i="27"/>
  <c r="R2621" i="27"/>
  <c r="AB2621" i="27"/>
  <c r="AC2621" i="27"/>
  <c r="AD2621" i="27"/>
  <c r="AE2621" i="27"/>
  <c r="AF2621" i="27"/>
  <c r="E2622" i="27"/>
  <c r="P2622" i="27"/>
  <c r="Q2622" i="27"/>
  <c r="R2622" i="27"/>
  <c r="AB2622" i="27"/>
  <c r="AC2622" i="27"/>
  <c r="AD2622" i="27"/>
  <c r="AE2622" i="27"/>
  <c r="AF2622" i="27"/>
  <c r="E2623" i="27"/>
  <c r="P2623" i="27"/>
  <c r="Q2623" i="27"/>
  <c r="R2623" i="27"/>
  <c r="AB2623" i="27"/>
  <c r="AC2623" i="27"/>
  <c r="AD2623" i="27"/>
  <c r="AE2623" i="27"/>
  <c r="AF2623" i="27"/>
  <c r="E2624" i="27"/>
  <c r="P2624" i="27"/>
  <c r="Q2624" i="27"/>
  <c r="R2624" i="27"/>
  <c r="AB2624" i="27"/>
  <c r="AC2624" i="27"/>
  <c r="AD2624" i="27"/>
  <c r="AE2624" i="27"/>
  <c r="AF2624" i="27"/>
  <c r="E2625" i="27"/>
  <c r="P2625" i="27"/>
  <c r="Q2625" i="27"/>
  <c r="R2625" i="27"/>
  <c r="AB2625" i="27"/>
  <c r="AC2625" i="27"/>
  <c r="AD2625" i="27"/>
  <c r="AE2625" i="27"/>
  <c r="AF2625" i="27"/>
  <c r="E2626" i="27"/>
  <c r="P2626" i="27"/>
  <c r="Q2626" i="27"/>
  <c r="R2626" i="27"/>
  <c r="AB2626" i="27"/>
  <c r="AC2626" i="27"/>
  <c r="AD2626" i="27"/>
  <c r="AE2626" i="27"/>
  <c r="AF2626" i="27"/>
  <c r="E2627" i="27"/>
  <c r="P2627" i="27"/>
  <c r="Q2627" i="27"/>
  <c r="R2627" i="27"/>
  <c r="AB2627" i="27"/>
  <c r="AC2627" i="27"/>
  <c r="AD2627" i="27"/>
  <c r="AE2627" i="27"/>
  <c r="AF2627" i="27"/>
  <c r="E2628" i="27"/>
  <c r="P2628" i="27"/>
  <c r="Q2628" i="27"/>
  <c r="R2628" i="27"/>
  <c r="AB2628" i="27"/>
  <c r="AC2628" i="27"/>
  <c r="AD2628" i="27"/>
  <c r="AE2628" i="27"/>
  <c r="AF2628" i="27"/>
  <c r="E2629" i="27"/>
  <c r="P2629" i="27"/>
  <c r="Q2629" i="27"/>
  <c r="R2629" i="27"/>
  <c r="AB2629" i="27"/>
  <c r="AC2629" i="27"/>
  <c r="AD2629" i="27"/>
  <c r="AE2629" i="27"/>
  <c r="AF2629" i="27"/>
  <c r="E2630" i="27"/>
  <c r="P2630" i="27"/>
  <c r="Q2630" i="27"/>
  <c r="R2630" i="27"/>
  <c r="AB2630" i="27"/>
  <c r="AC2630" i="27"/>
  <c r="AD2630" i="27"/>
  <c r="AE2630" i="27"/>
  <c r="AF2630" i="27"/>
  <c r="E2631" i="27"/>
  <c r="P2631" i="27"/>
  <c r="Q2631" i="27"/>
  <c r="R2631" i="27"/>
  <c r="AB2631" i="27"/>
  <c r="AC2631" i="27"/>
  <c r="AD2631" i="27"/>
  <c r="AE2631" i="27"/>
  <c r="AF2631" i="27"/>
  <c r="E2632" i="27"/>
  <c r="P2632" i="27"/>
  <c r="Q2632" i="27"/>
  <c r="R2632" i="27"/>
  <c r="AB2632" i="27"/>
  <c r="AC2632" i="27"/>
  <c r="AD2632" i="27"/>
  <c r="AE2632" i="27"/>
  <c r="AF2632" i="27"/>
  <c r="E2633" i="27"/>
  <c r="P2633" i="27"/>
  <c r="Q2633" i="27"/>
  <c r="R2633" i="27"/>
  <c r="AB2633" i="27"/>
  <c r="AC2633" i="27"/>
  <c r="AD2633" i="27"/>
  <c r="AE2633" i="27"/>
  <c r="AF2633" i="27"/>
  <c r="E2634" i="27"/>
  <c r="P2634" i="27"/>
  <c r="Q2634" i="27"/>
  <c r="R2634" i="27"/>
  <c r="AB2634" i="27"/>
  <c r="AC2634" i="27"/>
  <c r="AD2634" i="27"/>
  <c r="AE2634" i="27"/>
  <c r="AF2634" i="27"/>
  <c r="E2635" i="27"/>
  <c r="P2635" i="27"/>
  <c r="Q2635" i="27"/>
  <c r="R2635" i="27"/>
  <c r="AB2635" i="27"/>
  <c r="AC2635" i="27"/>
  <c r="AD2635" i="27"/>
  <c r="AE2635" i="27"/>
  <c r="AF2635" i="27"/>
  <c r="E2636" i="27"/>
  <c r="P2636" i="27"/>
  <c r="Q2636" i="27"/>
  <c r="R2636" i="27"/>
  <c r="AB2636" i="27"/>
  <c r="AC2636" i="27"/>
  <c r="AD2636" i="27"/>
  <c r="AE2636" i="27"/>
  <c r="AF2636" i="27"/>
  <c r="E2637" i="27"/>
  <c r="P2637" i="27"/>
  <c r="Q2637" i="27"/>
  <c r="R2637" i="27"/>
  <c r="AB2637" i="27"/>
  <c r="AC2637" i="27"/>
  <c r="AD2637" i="27"/>
  <c r="AE2637" i="27"/>
  <c r="AF2637" i="27"/>
  <c r="E2638" i="27"/>
  <c r="P2638" i="27"/>
  <c r="Q2638" i="27"/>
  <c r="R2638" i="27"/>
  <c r="AB2638" i="27"/>
  <c r="AC2638" i="27"/>
  <c r="AD2638" i="27"/>
  <c r="AE2638" i="27"/>
  <c r="AF2638" i="27"/>
  <c r="E2639" i="27"/>
  <c r="P2639" i="27"/>
  <c r="Q2639" i="27"/>
  <c r="R2639" i="27"/>
  <c r="AB2639" i="27"/>
  <c r="AC2639" i="27"/>
  <c r="AD2639" i="27"/>
  <c r="AE2639" i="27"/>
  <c r="AF2639" i="27"/>
  <c r="E2640" i="27"/>
  <c r="P2640" i="27"/>
  <c r="Q2640" i="27"/>
  <c r="R2640" i="27"/>
  <c r="AB2640" i="27"/>
  <c r="AC2640" i="27"/>
  <c r="AD2640" i="27"/>
  <c r="AE2640" i="27"/>
  <c r="AF2640" i="27"/>
  <c r="E2641" i="27"/>
  <c r="P2641" i="27"/>
  <c r="Q2641" i="27"/>
  <c r="R2641" i="27"/>
  <c r="AB2641" i="27"/>
  <c r="AC2641" i="27"/>
  <c r="AD2641" i="27"/>
  <c r="AE2641" i="27"/>
  <c r="AF2641" i="27"/>
  <c r="E2642" i="27"/>
  <c r="P2642" i="27"/>
  <c r="Q2642" i="27"/>
  <c r="R2642" i="27"/>
  <c r="AB2642" i="27"/>
  <c r="AC2642" i="27"/>
  <c r="AD2642" i="27"/>
  <c r="AE2642" i="27"/>
  <c r="AF2642" i="27"/>
  <c r="E2643" i="27"/>
  <c r="P2643" i="27"/>
  <c r="Q2643" i="27"/>
  <c r="R2643" i="27"/>
  <c r="AB2643" i="27"/>
  <c r="AC2643" i="27"/>
  <c r="AD2643" i="27"/>
  <c r="AE2643" i="27"/>
  <c r="AF2643" i="27"/>
  <c r="E2644" i="27"/>
  <c r="P2644" i="27"/>
  <c r="Q2644" i="27"/>
  <c r="R2644" i="27"/>
  <c r="AB2644" i="27"/>
  <c r="AC2644" i="27"/>
  <c r="AD2644" i="27"/>
  <c r="AE2644" i="27"/>
  <c r="AF2644" i="27"/>
  <c r="E2645" i="27"/>
  <c r="P2645" i="27"/>
  <c r="Q2645" i="27"/>
  <c r="R2645" i="27"/>
  <c r="AB2645" i="27"/>
  <c r="AC2645" i="27"/>
  <c r="AD2645" i="27"/>
  <c r="AE2645" i="27"/>
  <c r="AF2645" i="27"/>
  <c r="E2646" i="27"/>
  <c r="P2646" i="27"/>
  <c r="Q2646" i="27"/>
  <c r="R2646" i="27"/>
  <c r="AB2646" i="27"/>
  <c r="AC2646" i="27"/>
  <c r="AD2646" i="27"/>
  <c r="AE2646" i="27"/>
  <c r="AF2646" i="27"/>
  <c r="E2647" i="27"/>
  <c r="P2647" i="27"/>
  <c r="Q2647" i="27"/>
  <c r="R2647" i="27"/>
  <c r="AB2647" i="27"/>
  <c r="AC2647" i="27"/>
  <c r="AD2647" i="27"/>
  <c r="AE2647" i="27"/>
  <c r="AF2647" i="27"/>
  <c r="E2648" i="27"/>
  <c r="P2648" i="27"/>
  <c r="Q2648" i="27"/>
  <c r="R2648" i="27"/>
  <c r="AB2648" i="27"/>
  <c r="AC2648" i="27"/>
  <c r="AD2648" i="27"/>
  <c r="AE2648" i="27"/>
  <c r="AF2648" i="27"/>
  <c r="E2649" i="27"/>
  <c r="P2649" i="27"/>
  <c r="Q2649" i="27"/>
  <c r="R2649" i="27"/>
  <c r="AB2649" i="27"/>
  <c r="AC2649" i="27"/>
  <c r="AD2649" i="27"/>
  <c r="AE2649" i="27"/>
  <c r="AF2649" i="27"/>
  <c r="E2650" i="27"/>
  <c r="P2650" i="27"/>
  <c r="Q2650" i="27"/>
  <c r="R2650" i="27"/>
  <c r="AB2650" i="27"/>
  <c r="AC2650" i="27"/>
  <c r="AD2650" i="27"/>
  <c r="AE2650" i="27"/>
  <c r="AF2650" i="27"/>
  <c r="E2651" i="27"/>
  <c r="P2651" i="27"/>
  <c r="Q2651" i="27"/>
  <c r="R2651" i="27"/>
  <c r="AB2651" i="27"/>
  <c r="AC2651" i="27"/>
  <c r="AD2651" i="27"/>
  <c r="AE2651" i="27"/>
  <c r="AF2651" i="27"/>
  <c r="E2652" i="27"/>
  <c r="P2652" i="27"/>
  <c r="Q2652" i="27"/>
  <c r="R2652" i="27"/>
  <c r="AB2652" i="27"/>
  <c r="AC2652" i="27"/>
  <c r="AD2652" i="27"/>
  <c r="AE2652" i="27"/>
  <c r="AF2652" i="27"/>
  <c r="E2653" i="27"/>
  <c r="P2653" i="27"/>
  <c r="Q2653" i="27"/>
  <c r="R2653" i="27"/>
  <c r="AB2653" i="27"/>
  <c r="AC2653" i="27"/>
  <c r="AD2653" i="27"/>
  <c r="AE2653" i="27"/>
  <c r="AF2653" i="27"/>
  <c r="E2654" i="27"/>
  <c r="P2654" i="27"/>
  <c r="Q2654" i="27"/>
  <c r="R2654" i="27"/>
  <c r="AB2654" i="27"/>
  <c r="AC2654" i="27"/>
  <c r="AD2654" i="27"/>
  <c r="AE2654" i="27"/>
  <c r="AF2654" i="27"/>
  <c r="E2655" i="27"/>
  <c r="P2655" i="27"/>
  <c r="Q2655" i="27"/>
  <c r="R2655" i="27"/>
  <c r="AB2655" i="27"/>
  <c r="AC2655" i="27"/>
  <c r="AD2655" i="27"/>
  <c r="AE2655" i="27"/>
  <c r="AF2655" i="27"/>
  <c r="E2656" i="27"/>
  <c r="P2656" i="27"/>
  <c r="Q2656" i="27"/>
  <c r="R2656" i="27"/>
  <c r="AB2656" i="27"/>
  <c r="AC2656" i="27"/>
  <c r="AD2656" i="27"/>
  <c r="AE2656" i="27"/>
  <c r="AF2656" i="27"/>
  <c r="E2657" i="27"/>
  <c r="P2657" i="27"/>
  <c r="Q2657" i="27"/>
  <c r="R2657" i="27"/>
  <c r="AB2657" i="27"/>
  <c r="AC2657" i="27"/>
  <c r="AD2657" i="27"/>
  <c r="AE2657" i="27"/>
  <c r="AF2657" i="27"/>
  <c r="E2658" i="27"/>
  <c r="P2658" i="27"/>
  <c r="Q2658" i="27"/>
  <c r="R2658" i="27"/>
  <c r="AB2658" i="27"/>
  <c r="AC2658" i="27"/>
  <c r="AD2658" i="27"/>
  <c r="AE2658" i="27"/>
  <c r="AF2658" i="27"/>
  <c r="E2659" i="27"/>
  <c r="P2659" i="27"/>
  <c r="Q2659" i="27"/>
  <c r="R2659" i="27"/>
  <c r="AB2659" i="27"/>
  <c r="AC2659" i="27"/>
  <c r="AD2659" i="27"/>
  <c r="AE2659" i="27"/>
  <c r="AF2659" i="27"/>
  <c r="E2660" i="27"/>
  <c r="P2660" i="27"/>
  <c r="Q2660" i="27"/>
  <c r="R2660" i="27"/>
  <c r="AB2660" i="27"/>
  <c r="AC2660" i="27"/>
  <c r="AD2660" i="27"/>
  <c r="AE2660" i="27"/>
  <c r="AF2660" i="27"/>
  <c r="E2661" i="27"/>
  <c r="P2661" i="27"/>
  <c r="Q2661" i="27"/>
  <c r="R2661" i="27"/>
  <c r="AB2661" i="27"/>
  <c r="AC2661" i="27"/>
  <c r="AD2661" i="27"/>
  <c r="AE2661" i="27"/>
  <c r="AF2661" i="27"/>
  <c r="E2662" i="27"/>
  <c r="P2662" i="27"/>
  <c r="Q2662" i="27"/>
  <c r="R2662" i="27"/>
  <c r="AB2662" i="27"/>
  <c r="AC2662" i="27"/>
  <c r="AD2662" i="27"/>
  <c r="AE2662" i="27"/>
  <c r="AF2662" i="27"/>
  <c r="E2663" i="27"/>
  <c r="P2663" i="27"/>
  <c r="Q2663" i="27"/>
  <c r="R2663" i="27"/>
  <c r="AB2663" i="27"/>
  <c r="AC2663" i="27"/>
  <c r="AD2663" i="27"/>
  <c r="AE2663" i="27"/>
  <c r="AF2663" i="27"/>
  <c r="E2664" i="27"/>
  <c r="P2664" i="27"/>
  <c r="Q2664" i="27"/>
  <c r="R2664" i="27"/>
  <c r="AB2664" i="27"/>
  <c r="AC2664" i="27"/>
  <c r="AD2664" i="27"/>
  <c r="AE2664" i="27"/>
  <c r="AF2664" i="27"/>
  <c r="E2665" i="27"/>
  <c r="P2665" i="27"/>
  <c r="Q2665" i="27"/>
  <c r="R2665" i="27"/>
  <c r="AB2665" i="27"/>
  <c r="AC2665" i="27"/>
  <c r="AD2665" i="27"/>
  <c r="AE2665" i="27"/>
  <c r="AF2665" i="27"/>
  <c r="E2666" i="27"/>
  <c r="P2666" i="27"/>
  <c r="Q2666" i="27"/>
  <c r="R2666" i="27"/>
  <c r="AB2666" i="27"/>
  <c r="AC2666" i="27"/>
  <c r="AD2666" i="27"/>
  <c r="AE2666" i="27"/>
  <c r="AF2666" i="27"/>
  <c r="E2667" i="27"/>
  <c r="P2667" i="27"/>
  <c r="Q2667" i="27"/>
  <c r="R2667" i="27"/>
  <c r="AB2667" i="27"/>
  <c r="AC2667" i="27"/>
  <c r="AD2667" i="27"/>
  <c r="AE2667" i="27"/>
  <c r="AF2667" i="27"/>
  <c r="E2668" i="27"/>
  <c r="P2668" i="27"/>
  <c r="Q2668" i="27"/>
  <c r="R2668" i="27"/>
  <c r="AB2668" i="27"/>
  <c r="AC2668" i="27"/>
  <c r="AD2668" i="27"/>
  <c r="AE2668" i="27"/>
  <c r="AF2668" i="27"/>
  <c r="E2669" i="27"/>
  <c r="P2669" i="27"/>
  <c r="Q2669" i="27"/>
  <c r="R2669" i="27"/>
  <c r="AB2669" i="27"/>
  <c r="AC2669" i="27"/>
  <c r="AD2669" i="27"/>
  <c r="AE2669" i="27"/>
  <c r="AF2669" i="27"/>
  <c r="E2670" i="27"/>
  <c r="P2670" i="27"/>
  <c r="Q2670" i="27"/>
  <c r="R2670" i="27"/>
  <c r="AB2670" i="27"/>
  <c r="AC2670" i="27"/>
  <c r="AD2670" i="27"/>
  <c r="AE2670" i="27"/>
  <c r="AF2670" i="27"/>
  <c r="E2671" i="27"/>
  <c r="P2671" i="27"/>
  <c r="Q2671" i="27"/>
  <c r="R2671" i="27"/>
  <c r="AB2671" i="27"/>
  <c r="AC2671" i="27"/>
  <c r="AD2671" i="27"/>
  <c r="AE2671" i="27"/>
  <c r="AF2671" i="27"/>
  <c r="E2672" i="27"/>
  <c r="I2672" i="27"/>
  <c r="P2672" i="27"/>
  <c r="Q2672" i="27"/>
  <c r="R2672" i="27"/>
  <c r="AB2672" i="27"/>
  <c r="AC2672" i="27"/>
  <c r="AD2672" i="27"/>
  <c r="AE2672" i="27"/>
  <c r="AF2672" i="27"/>
  <c r="E2673" i="27"/>
  <c r="P2673" i="27"/>
  <c r="Q2673" i="27"/>
  <c r="R2673" i="27"/>
  <c r="AB2673" i="27"/>
  <c r="AC2673" i="27"/>
  <c r="AD2673" i="27"/>
  <c r="AE2673" i="27"/>
  <c r="AF2673" i="27"/>
  <c r="E2674" i="27"/>
  <c r="P2674" i="27"/>
  <c r="Q2674" i="27"/>
  <c r="R2674" i="27"/>
  <c r="AB2674" i="27"/>
  <c r="AC2674" i="27"/>
  <c r="AD2674" i="27"/>
  <c r="AE2674" i="27"/>
  <c r="AF2674" i="27"/>
  <c r="E2675" i="27"/>
  <c r="P2675" i="27"/>
  <c r="Q2675" i="27"/>
  <c r="R2675" i="27"/>
  <c r="AB2675" i="27"/>
  <c r="AC2675" i="27"/>
  <c r="AD2675" i="27"/>
  <c r="AE2675" i="27"/>
  <c r="AF2675" i="27"/>
  <c r="E2676" i="27"/>
  <c r="P2676" i="27"/>
  <c r="Q2676" i="27"/>
  <c r="R2676" i="27"/>
  <c r="AB2676" i="27"/>
  <c r="AC2676" i="27"/>
  <c r="AD2676" i="27"/>
  <c r="AE2676" i="27"/>
  <c r="AF2676" i="27"/>
  <c r="E2677" i="27"/>
  <c r="P2677" i="27"/>
  <c r="Q2677" i="27"/>
  <c r="R2677" i="27"/>
  <c r="AB2677" i="27"/>
  <c r="AC2677" i="27"/>
  <c r="AD2677" i="27"/>
  <c r="AE2677" i="27"/>
  <c r="AF2677" i="27"/>
  <c r="E2678" i="27"/>
  <c r="P2678" i="27"/>
  <c r="Q2678" i="27"/>
  <c r="R2678" i="27"/>
  <c r="AB2678" i="27"/>
  <c r="AC2678" i="27"/>
  <c r="AD2678" i="27"/>
  <c r="AE2678" i="27"/>
  <c r="AF2678" i="27"/>
  <c r="E2679" i="27"/>
  <c r="I2679" i="27"/>
  <c r="P2679" i="27"/>
  <c r="Q2679" i="27"/>
  <c r="R2679" i="27"/>
  <c r="AB2679" i="27"/>
  <c r="AC2679" i="27"/>
  <c r="AD2679" i="27"/>
  <c r="AE2679" i="27"/>
  <c r="AF2679" i="27"/>
  <c r="E2680" i="27"/>
  <c r="P2680" i="27"/>
  <c r="Q2680" i="27"/>
  <c r="R2680" i="27"/>
  <c r="AB2680" i="27"/>
  <c r="AC2680" i="27"/>
  <c r="AD2680" i="27"/>
  <c r="AE2680" i="27"/>
  <c r="AF2680" i="27"/>
  <c r="E2681" i="27"/>
  <c r="P2681" i="27"/>
  <c r="Q2681" i="27"/>
  <c r="R2681" i="27"/>
  <c r="AB2681" i="27"/>
  <c r="AC2681" i="27"/>
  <c r="AD2681" i="27"/>
  <c r="AE2681" i="27"/>
  <c r="AF2681" i="27"/>
  <c r="E2682" i="27"/>
  <c r="P2682" i="27"/>
  <c r="Q2682" i="27"/>
  <c r="R2682" i="27"/>
  <c r="AB2682" i="27"/>
  <c r="AC2682" i="27"/>
  <c r="AD2682" i="27"/>
  <c r="AE2682" i="27"/>
  <c r="AF2682" i="27"/>
  <c r="E2683" i="27"/>
  <c r="P2683" i="27"/>
  <c r="Q2683" i="27"/>
  <c r="R2683" i="27"/>
  <c r="AB2683" i="27"/>
  <c r="AC2683" i="27"/>
  <c r="AD2683" i="27"/>
  <c r="AE2683" i="27"/>
  <c r="AF2683" i="27"/>
  <c r="E2684" i="27"/>
  <c r="P2684" i="27"/>
  <c r="Q2684" i="27"/>
  <c r="R2684" i="27"/>
  <c r="AB2684" i="27"/>
  <c r="AC2684" i="27"/>
  <c r="AD2684" i="27"/>
  <c r="AE2684" i="27"/>
  <c r="AF2684" i="27"/>
  <c r="E2685" i="27"/>
  <c r="P2685" i="27"/>
  <c r="Q2685" i="27"/>
  <c r="R2685" i="27"/>
  <c r="AB2685" i="27"/>
  <c r="AC2685" i="27"/>
  <c r="AD2685" i="27"/>
  <c r="AE2685" i="27"/>
  <c r="AF2685" i="27"/>
  <c r="E2686" i="27"/>
  <c r="I2686" i="27"/>
  <c r="P2686" i="27"/>
  <c r="Q2686" i="27"/>
  <c r="R2686" i="27"/>
  <c r="AB2686" i="27"/>
  <c r="AC2686" i="27"/>
  <c r="AD2686" i="27"/>
  <c r="AE2686" i="27"/>
  <c r="AF2686" i="27"/>
  <c r="E2687" i="27"/>
  <c r="P2687" i="27"/>
  <c r="Q2687" i="27"/>
  <c r="R2687" i="27"/>
  <c r="AB2687" i="27"/>
  <c r="AC2687" i="27"/>
  <c r="AD2687" i="27"/>
  <c r="AE2687" i="27"/>
  <c r="AF2687" i="27"/>
  <c r="E2688" i="27"/>
  <c r="P2688" i="27"/>
  <c r="Q2688" i="27"/>
  <c r="R2688" i="27"/>
  <c r="AB2688" i="27"/>
  <c r="AC2688" i="27"/>
  <c r="AD2688" i="27"/>
  <c r="AE2688" i="27"/>
  <c r="AF2688" i="27"/>
  <c r="E2689" i="27"/>
  <c r="P2689" i="27"/>
  <c r="Q2689" i="27"/>
  <c r="R2689" i="27"/>
  <c r="AB2689" i="27"/>
  <c r="AC2689" i="27"/>
  <c r="AD2689" i="27"/>
  <c r="AE2689" i="27"/>
  <c r="AF2689" i="27"/>
  <c r="E2690" i="27"/>
  <c r="P2690" i="27"/>
  <c r="Q2690" i="27"/>
  <c r="R2690" i="27"/>
  <c r="AB2690" i="27"/>
  <c r="AC2690" i="27"/>
  <c r="AD2690" i="27"/>
  <c r="AE2690" i="27"/>
  <c r="AF2690" i="27"/>
  <c r="E2691" i="27"/>
  <c r="P2691" i="27"/>
  <c r="Q2691" i="27"/>
  <c r="R2691" i="27"/>
  <c r="AB2691" i="27"/>
  <c r="AC2691" i="27"/>
  <c r="AD2691" i="27"/>
  <c r="AE2691" i="27"/>
  <c r="AF2691" i="27"/>
  <c r="E2692" i="27"/>
  <c r="P2692" i="27"/>
  <c r="Q2692" i="27"/>
  <c r="R2692" i="27"/>
  <c r="AB2692" i="27"/>
  <c r="AC2692" i="27"/>
  <c r="AD2692" i="27"/>
  <c r="AE2692" i="27"/>
  <c r="AF2692" i="27"/>
  <c r="E2693" i="27"/>
  <c r="P2693" i="27"/>
  <c r="Q2693" i="27"/>
  <c r="R2693" i="27"/>
  <c r="AB2693" i="27"/>
  <c r="AC2693" i="27"/>
  <c r="AD2693" i="27"/>
  <c r="AE2693" i="27"/>
  <c r="AF2693" i="27"/>
  <c r="E2694" i="27"/>
  <c r="P2694" i="27"/>
  <c r="Q2694" i="27"/>
  <c r="R2694" i="27"/>
  <c r="AB2694" i="27"/>
  <c r="AC2694" i="27"/>
  <c r="AD2694" i="27"/>
  <c r="AE2694" i="27"/>
  <c r="AF2694" i="27"/>
  <c r="E2695" i="27"/>
  <c r="P2695" i="27"/>
  <c r="Q2695" i="27"/>
  <c r="R2695" i="27"/>
  <c r="AB2695" i="27"/>
  <c r="AC2695" i="27"/>
  <c r="AD2695" i="27"/>
  <c r="AE2695" i="27"/>
  <c r="AF2695" i="27"/>
  <c r="E2696" i="27"/>
  <c r="P2696" i="27"/>
  <c r="Q2696" i="27"/>
  <c r="R2696" i="27"/>
  <c r="AB2696" i="27"/>
  <c r="AC2696" i="27"/>
  <c r="AD2696" i="27"/>
  <c r="AE2696" i="27"/>
  <c r="AF2696" i="27"/>
  <c r="E2697" i="27"/>
  <c r="P2697" i="27"/>
  <c r="Q2697" i="27"/>
  <c r="R2697" i="27"/>
  <c r="AB2697" i="27"/>
  <c r="AC2697" i="27"/>
  <c r="AD2697" i="27"/>
  <c r="AE2697" i="27"/>
  <c r="AF2697" i="27"/>
  <c r="E2698" i="27"/>
  <c r="P2698" i="27"/>
  <c r="Q2698" i="27"/>
  <c r="R2698" i="27"/>
  <c r="AB2698" i="27"/>
  <c r="AC2698" i="27"/>
  <c r="AD2698" i="27"/>
  <c r="AE2698" i="27"/>
  <c r="AF2698" i="27"/>
  <c r="E2699" i="27"/>
  <c r="P2699" i="27"/>
  <c r="Q2699" i="27"/>
  <c r="R2699" i="27"/>
  <c r="AB2699" i="27"/>
  <c r="AC2699" i="27"/>
  <c r="AD2699" i="27"/>
  <c r="AE2699" i="27"/>
  <c r="AF2699" i="27"/>
  <c r="E2700" i="27"/>
  <c r="P2700" i="27"/>
  <c r="Q2700" i="27"/>
  <c r="R2700" i="27"/>
  <c r="AB2700" i="27"/>
  <c r="AC2700" i="27"/>
  <c r="AD2700" i="27"/>
  <c r="AE2700" i="27"/>
  <c r="AF2700" i="27"/>
  <c r="E2701" i="27"/>
  <c r="P2701" i="27"/>
  <c r="Q2701" i="27"/>
  <c r="R2701" i="27"/>
  <c r="AB2701" i="27"/>
  <c r="AC2701" i="27"/>
  <c r="AD2701" i="27"/>
  <c r="AE2701" i="27"/>
  <c r="AF2701" i="27"/>
  <c r="E2702" i="27"/>
  <c r="P2702" i="27"/>
  <c r="Q2702" i="27"/>
  <c r="R2702" i="27"/>
  <c r="AB2702" i="27"/>
  <c r="AC2702" i="27"/>
  <c r="AD2702" i="27"/>
  <c r="AE2702" i="27"/>
  <c r="AF2702" i="27"/>
  <c r="E2703" i="27"/>
  <c r="P2703" i="27"/>
  <c r="Q2703" i="27"/>
  <c r="R2703" i="27"/>
  <c r="AB2703" i="27"/>
  <c r="AC2703" i="27"/>
  <c r="AD2703" i="27"/>
  <c r="AE2703" i="27"/>
  <c r="AF2703" i="27"/>
  <c r="E2704" i="27"/>
  <c r="P2704" i="27"/>
  <c r="Q2704" i="27"/>
  <c r="R2704" i="27"/>
  <c r="AB2704" i="27"/>
  <c r="AC2704" i="27"/>
  <c r="AD2704" i="27"/>
  <c r="AE2704" i="27"/>
  <c r="AF2704" i="27"/>
  <c r="E2705" i="27"/>
  <c r="P2705" i="27"/>
  <c r="Q2705" i="27"/>
  <c r="R2705" i="27"/>
  <c r="AB2705" i="27"/>
  <c r="AC2705" i="27"/>
  <c r="AD2705" i="27"/>
  <c r="AE2705" i="27"/>
  <c r="AF2705" i="27"/>
  <c r="E2706" i="27"/>
  <c r="I2706" i="27"/>
  <c r="P2706" i="27"/>
  <c r="Q2706" i="27"/>
  <c r="R2706" i="27"/>
  <c r="AB2706" i="27"/>
  <c r="AC2706" i="27"/>
  <c r="AD2706" i="27"/>
  <c r="AE2706" i="27"/>
  <c r="AF2706" i="27"/>
  <c r="E2707" i="27"/>
  <c r="P2707" i="27"/>
  <c r="Q2707" i="27"/>
  <c r="R2707" i="27"/>
  <c r="AB2707" i="27"/>
  <c r="AC2707" i="27"/>
  <c r="AD2707" i="27"/>
  <c r="AE2707" i="27"/>
  <c r="AF2707" i="27"/>
  <c r="E2708" i="27"/>
  <c r="P2708" i="27"/>
  <c r="Q2708" i="27"/>
  <c r="R2708" i="27"/>
  <c r="AB2708" i="27"/>
  <c r="AC2708" i="27"/>
  <c r="AD2708" i="27"/>
  <c r="AE2708" i="27"/>
  <c r="AF2708" i="27"/>
  <c r="E2709" i="27"/>
  <c r="P2709" i="27"/>
  <c r="Q2709" i="27"/>
  <c r="R2709" i="27"/>
  <c r="AB2709" i="27"/>
  <c r="AC2709" i="27"/>
  <c r="AD2709" i="27"/>
  <c r="AE2709" i="27"/>
  <c r="AF2709" i="27"/>
  <c r="E2710" i="27"/>
  <c r="I2710" i="27"/>
  <c r="P2710" i="27"/>
  <c r="Q2710" i="27"/>
  <c r="R2710" i="27"/>
  <c r="AB2710" i="27"/>
  <c r="AC2710" i="27"/>
  <c r="AD2710" i="27"/>
  <c r="AE2710" i="27"/>
  <c r="AF2710" i="27"/>
  <c r="E2711" i="27"/>
  <c r="P2711" i="27"/>
  <c r="Q2711" i="27"/>
  <c r="R2711" i="27"/>
  <c r="AB2711" i="27"/>
  <c r="AC2711" i="27"/>
  <c r="AD2711" i="27"/>
  <c r="AE2711" i="27"/>
  <c r="AF2711" i="27"/>
  <c r="E2712" i="27"/>
  <c r="P2712" i="27"/>
  <c r="Q2712" i="27"/>
  <c r="R2712" i="27"/>
  <c r="AB2712" i="27"/>
  <c r="AC2712" i="27"/>
  <c r="AD2712" i="27"/>
  <c r="AE2712" i="27"/>
  <c r="AF2712" i="27"/>
  <c r="E2713" i="27"/>
  <c r="P2713" i="27"/>
  <c r="Q2713" i="27"/>
  <c r="R2713" i="27"/>
  <c r="AB2713" i="27"/>
  <c r="AC2713" i="27"/>
  <c r="AD2713" i="27"/>
  <c r="AE2713" i="27"/>
  <c r="AF2713" i="27"/>
  <c r="E2714" i="27"/>
  <c r="P2714" i="27"/>
  <c r="Q2714" i="27"/>
  <c r="R2714" i="27"/>
  <c r="AB2714" i="27"/>
  <c r="AC2714" i="27"/>
  <c r="AD2714" i="27"/>
  <c r="AE2714" i="27"/>
  <c r="AF2714" i="27"/>
  <c r="E2715" i="27"/>
  <c r="P2715" i="27"/>
  <c r="Q2715" i="27"/>
  <c r="R2715" i="27"/>
  <c r="AB2715" i="27"/>
  <c r="AC2715" i="27"/>
  <c r="AD2715" i="27"/>
  <c r="AE2715" i="27"/>
  <c r="AF2715" i="27"/>
  <c r="E2716" i="27"/>
  <c r="I2716" i="27"/>
  <c r="P2716" i="27"/>
  <c r="Q2716" i="27"/>
  <c r="R2716" i="27"/>
  <c r="AB2716" i="27"/>
  <c r="AC2716" i="27"/>
  <c r="AD2716" i="27"/>
  <c r="AE2716" i="27"/>
  <c r="AF2716" i="27"/>
  <c r="E2717" i="27"/>
  <c r="I2717" i="27"/>
  <c r="P2717" i="27"/>
  <c r="Q2717" i="27"/>
  <c r="R2717" i="27"/>
  <c r="AB2717" i="27"/>
  <c r="AC2717" i="27"/>
  <c r="AD2717" i="27"/>
  <c r="AE2717" i="27"/>
  <c r="AF2717" i="27"/>
  <c r="E2718" i="27"/>
  <c r="P2718" i="27"/>
  <c r="Q2718" i="27"/>
  <c r="R2718" i="27"/>
  <c r="AB2718" i="27"/>
  <c r="AC2718" i="27"/>
  <c r="AD2718" i="27"/>
  <c r="AE2718" i="27"/>
  <c r="AF2718" i="27"/>
  <c r="E2719" i="27"/>
  <c r="I2719" i="27"/>
  <c r="P2719" i="27"/>
  <c r="Q2719" i="27"/>
  <c r="R2719" i="27"/>
  <c r="AB2719" i="27"/>
  <c r="AC2719" i="27"/>
  <c r="AD2719" i="27"/>
  <c r="AE2719" i="27"/>
  <c r="AF2719" i="27"/>
  <c r="E2720" i="27"/>
  <c r="P2720" i="27"/>
  <c r="Q2720" i="27"/>
  <c r="R2720" i="27"/>
  <c r="AB2720" i="27"/>
  <c r="AC2720" i="27"/>
  <c r="AD2720" i="27"/>
  <c r="AE2720" i="27"/>
  <c r="AF2720" i="27"/>
  <c r="E2721" i="27"/>
  <c r="P2721" i="27"/>
  <c r="Q2721" i="27"/>
  <c r="R2721" i="27"/>
  <c r="AB2721" i="27"/>
  <c r="AC2721" i="27"/>
  <c r="AD2721" i="27"/>
  <c r="AE2721" i="27"/>
  <c r="AF2721" i="27"/>
  <c r="E2722" i="27"/>
  <c r="P2722" i="27"/>
  <c r="Q2722" i="27"/>
  <c r="R2722" i="27"/>
  <c r="AB2722" i="27"/>
  <c r="AC2722" i="27"/>
  <c r="AD2722" i="27"/>
  <c r="AE2722" i="27"/>
  <c r="AF2722" i="27"/>
  <c r="E2723" i="27"/>
  <c r="P2723" i="27"/>
  <c r="Q2723" i="27"/>
  <c r="R2723" i="27"/>
  <c r="AB2723" i="27"/>
  <c r="AC2723" i="27"/>
  <c r="AD2723" i="27"/>
  <c r="AE2723" i="27"/>
  <c r="AF2723" i="27"/>
  <c r="E2724" i="27"/>
  <c r="P2724" i="27"/>
  <c r="Q2724" i="27"/>
  <c r="R2724" i="27"/>
  <c r="AB2724" i="27"/>
  <c r="AC2724" i="27"/>
  <c r="AD2724" i="27"/>
  <c r="AE2724" i="27"/>
  <c r="AF2724" i="27"/>
  <c r="E2725" i="27"/>
  <c r="P2725" i="27"/>
  <c r="Q2725" i="27"/>
  <c r="R2725" i="27"/>
  <c r="AB2725" i="27"/>
  <c r="AC2725" i="27"/>
  <c r="AD2725" i="27"/>
  <c r="AE2725" i="27"/>
  <c r="AF2725" i="27"/>
  <c r="E2726" i="27"/>
  <c r="I2726" i="27"/>
  <c r="P2726" i="27"/>
  <c r="Q2726" i="27"/>
  <c r="R2726" i="27"/>
  <c r="AB2726" i="27"/>
  <c r="AC2726" i="27"/>
  <c r="AD2726" i="27"/>
  <c r="AE2726" i="27"/>
  <c r="AF2726" i="27"/>
  <c r="E2727" i="27"/>
  <c r="P2727" i="27"/>
  <c r="Q2727" i="27"/>
  <c r="R2727" i="27"/>
  <c r="AB2727" i="27"/>
  <c r="AC2727" i="27"/>
  <c r="AD2727" i="27"/>
  <c r="AE2727" i="27"/>
  <c r="AF2727" i="27"/>
  <c r="E2728" i="27"/>
  <c r="P2728" i="27"/>
  <c r="Q2728" i="27"/>
  <c r="R2728" i="27"/>
  <c r="AB2728" i="27"/>
  <c r="AC2728" i="27"/>
  <c r="AD2728" i="27"/>
  <c r="AE2728" i="27"/>
  <c r="AF2728" i="27"/>
  <c r="E2729" i="27"/>
  <c r="P2729" i="27"/>
  <c r="Q2729" i="27"/>
  <c r="R2729" i="27"/>
  <c r="AB2729" i="27"/>
  <c r="AC2729" i="27"/>
  <c r="AD2729" i="27"/>
  <c r="AE2729" i="27"/>
  <c r="AF2729" i="27"/>
  <c r="E2730" i="27"/>
  <c r="P2730" i="27"/>
  <c r="Q2730" i="27"/>
  <c r="R2730" i="27"/>
  <c r="AB2730" i="27"/>
  <c r="AC2730" i="27"/>
  <c r="AD2730" i="27"/>
  <c r="AE2730" i="27"/>
  <c r="AF2730" i="27"/>
  <c r="E2731" i="27"/>
  <c r="I2731" i="27"/>
  <c r="P2731" i="27"/>
  <c r="Q2731" i="27"/>
  <c r="R2731" i="27"/>
  <c r="AB2731" i="27"/>
  <c r="AC2731" i="27"/>
  <c r="AD2731" i="27"/>
  <c r="AE2731" i="27"/>
  <c r="AF2731" i="27"/>
  <c r="E2732" i="27"/>
  <c r="P2732" i="27"/>
  <c r="Q2732" i="27"/>
  <c r="R2732" i="27"/>
  <c r="AB2732" i="27"/>
  <c r="AC2732" i="27"/>
  <c r="AD2732" i="27"/>
  <c r="AE2732" i="27"/>
  <c r="AF2732" i="27"/>
  <c r="E2733" i="27"/>
  <c r="P2733" i="27"/>
  <c r="Q2733" i="27"/>
  <c r="R2733" i="27"/>
  <c r="AB2733" i="27"/>
  <c r="AC2733" i="27"/>
  <c r="AD2733" i="27"/>
  <c r="AE2733" i="27"/>
  <c r="AF2733" i="27"/>
  <c r="E2734" i="27"/>
  <c r="P2734" i="27"/>
  <c r="Q2734" i="27"/>
  <c r="R2734" i="27"/>
  <c r="AB2734" i="27"/>
  <c r="AC2734" i="27"/>
  <c r="AD2734" i="27"/>
  <c r="AE2734" i="27"/>
  <c r="AF2734" i="27"/>
  <c r="E2735" i="27"/>
  <c r="P2735" i="27"/>
  <c r="Q2735" i="27"/>
  <c r="R2735" i="27"/>
  <c r="AB2735" i="27"/>
  <c r="AC2735" i="27"/>
  <c r="AD2735" i="27"/>
  <c r="AE2735" i="27"/>
  <c r="AF2735" i="27"/>
  <c r="E2736" i="27"/>
  <c r="P2736" i="27"/>
  <c r="Q2736" i="27"/>
  <c r="R2736" i="27"/>
  <c r="AB2736" i="27"/>
  <c r="AC2736" i="27"/>
  <c r="AD2736" i="27"/>
  <c r="AE2736" i="27"/>
  <c r="AF2736" i="27"/>
  <c r="E2737" i="27"/>
  <c r="P2737" i="27"/>
  <c r="Q2737" i="27"/>
  <c r="R2737" i="27"/>
  <c r="AB2737" i="27"/>
  <c r="AC2737" i="27"/>
  <c r="AD2737" i="27"/>
  <c r="AE2737" i="27"/>
  <c r="AF2737" i="27"/>
  <c r="E2738" i="27"/>
  <c r="P2738" i="27"/>
  <c r="Q2738" i="27"/>
  <c r="R2738" i="27"/>
  <c r="AB2738" i="27"/>
  <c r="AC2738" i="27"/>
  <c r="AD2738" i="27"/>
  <c r="AE2738" i="27"/>
  <c r="AF2738" i="27"/>
  <c r="E2739" i="27"/>
  <c r="P2739" i="27"/>
  <c r="Q2739" i="27"/>
  <c r="R2739" i="27"/>
  <c r="AB2739" i="27"/>
  <c r="AC2739" i="27"/>
  <c r="AD2739" i="27"/>
  <c r="AE2739" i="27"/>
  <c r="AF2739" i="27"/>
  <c r="E2740" i="27"/>
  <c r="P2740" i="27"/>
  <c r="Q2740" i="27"/>
  <c r="R2740" i="27"/>
  <c r="AB2740" i="27"/>
  <c r="AC2740" i="27"/>
  <c r="AD2740" i="27"/>
  <c r="AE2740" i="27"/>
  <c r="AF2740" i="27"/>
  <c r="E2741" i="27"/>
  <c r="P2741" i="27"/>
  <c r="Q2741" i="27"/>
  <c r="R2741" i="27"/>
  <c r="AB2741" i="27"/>
  <c r="AC2741" i="27"/>
  <c r="AD2741" i="27"/>
  <c r="AE2741" i="27"/>
  <c r="AF2741" i="27"/>
  <c r="E2742" i="27"/>
  <c r="P2742" i="27"/>
  <c r="Q2742" i="27"/>
  <c r="R2742" i="27"/>
  <c r="AB2742" i="27"/>
  <c r="AC2742" i="27"/>
  <c r="AD2742" i="27"/>
  <c r="AE2742" i="27"/>
  <c r="AF2742" i="27"/>
  <c r="E2743" i="27"/>
  <c r="P2743" i="27"/>
  <c r="Q2743" i="27"/>
  <c r="R2743" i="27"/>
  <c r="AB2743" i="27"/>
  <c r="AC2743" i="27"/>
  <c r="AD2743" i="27"/>
  <c r="AE2743" i="27"/>
  <c r="AF2743" i="27"/>
  <c r="E2744" i="27"/>
  <c r="P2744" i="27"/>
  <c r="Q2744" i="27"/>
  <c r="R2744" i="27"/>
  <c r="AB2744" i="27"/>
  <c r="AC2744" i="27"/>
  <c r="AD2744" i="27"/>
  <c r="AE2744" i="27"/>
  <c r="AF2744" i="27"/>
  <c r="E2745" i="27"/>
  <c r="P2745" i="27"/>
  <c r="Q2745" i="27"/>
  <c r="R2745" i="27"/>
  <c r="AB2745" i="27"/>
  <c r="AC2745" i="27"/>
  <c r="AD2745" i="27"/>
  <c r="AE2745" i="27"/>
  <c r="AF2745" i="27"/>
  <c r="E2746" i="27"/>
  <c r="P2746" i="27"/>
  <c r="Q2746" i="27"/>
  <c r="R2746" i="27"/>
  <c r="AB2746" i="27"/>
  <c r="AC2746" i="27"/>
  <c r="AD2746" i="27"/>
  <c r="AE2746" i="27"/>
  <c r="AF2746" i="27"/>
  <c r="E2747" i="27"/>
  <c r="I2747" i="27"/>
  <c r="P2747" i="27"/>
  <c r="Q2747" i="27"/>
  <c r="R2747" i="27"/>
  <c r="AB2747" i="27"/>
  <c r="AC2747" i="27"/>
  <c r="AD2747" i="27"/>
  <c r="AE2747" i="27"/>
  <c r="AF2747" i="27"/>
  <c r="E2748" i="27"/>
  <c r="I2748" i="27"/>
  <c r="P2748" i="27"/>
  <c r="Q2748" i="27"/>
  <c r="R2748" i="27"/>
  <c r="AB2748" i="27"/>
  <c r="AC2748" i="27"/>
  <c r="AD2748" i="27"/>
  <c r="AE2748" i="27"/>
  <c r="AF2748" i="27"/>
  <c r="E2749" i="27"/>
  <c r="P2749" i="27"/>
  <c r="Q2749" i="27"/>
  <c r="R2749" i="27"/>
  <c r="AB2749" i="27"/>
  <c r="AC2749" i="27"/>
  <c r="AD2749" i="27"/>
  <c r="AE2749" i="27"/>
  <c r="AF2749" i="27"/>
  <c r="E2750" i="27"/>
  <c r="I2750" i="27"/>
  <c r="P2750" i="27"/>
  <c r="Q2750" i="27"/>
  <c r="R2750" i="27"/>
  <c r="AB2750" i="27"/>
  <c r="AC2750" i="27"/>
  <c r="AD2750" i="27"/>
  <c r="AE2750" i="27"/>
  <c r="AF2750" i="27"/>
  <c r="E2751" i="27"/>
  <c r="I2751" i="27"/>
  <c r="P2751" i="27"/>
  <c r="Q2751" i="27"/>
  <c r="R2751" i="27"/>
  <c r="AB2751" i="27"/>
  <c r="AC2751" i="27"/>
  <c r="AD2751" i="27"/>
  <c r="AE2751" i="27"/>
  <c r="AF2751" i="27"/>
  <c r="E2752" i="27"/>
  <c r="P2752" i="27"/>
  <c r="Q2752" i="27"/>
  <c r="R2752" i="27"/>
  <c r="AB2752" i="27"/>
  <c r="AC2752" i="27"/>
  <c r="AD2752" i="27"/>
  <c r="AE2752" i="27"/>
  <c r="AF2752" i="27"/>
  <c r="E2753" i="27"/>
  <c r="I2753" i="27"/>
  <c r="P2753" i="27"/>
  <c r="Q2753" i="27"/>
  <c r="R2753" i="27"/>
  <c r="AB2753" i="27"/>
  <c r="AC2753" i="27"/>
  <c r="AD2753" i="27"/>
  <c r="AE2753" i="27"/>
  <c r="AF2753" i="27"/>
  <c r="E2754" i="27"/>
  <c r="P2754" i="27"/>
  <c r="Q2754" i="27"/>
  <c r="R2754" i="27"/>
  <c r="AB2754" i="27"/>
  <c r="AC2754" i="27"/>
  <c r="AD2754" i="27"/>
  <c r="AE2754" i="27"/>
  <c r="AF2754" i="27"/>
  <c r="E2755" i="27"/>
  <c r="P2755" i="27"/>
  <c r="Q2755" i="27"/>
  <c r="R2755" i="27"/>
  <c r="AB2755" i="27"/>
  <c r="AC2755" i="27"/>
  <c r="AD2755" i="27"/>
  <c r="AE2755" i="27"/>
  <c r="AF2755" i="27"/>
  <c r="E2756" i="27"/>
  <c r="I2756" i="27"/>
  <c r="P2756" i="27"/>
  <c r="Q2756" i="27"/>
  <c r="R2756" i="27"/>
  <c r="AB2756" i="27"/>
  <c r="AC2756" i="27"/>
  <c r="AD2756" i="27"/>
  <c r="AE2756" i="27"/>
  <c r="AF2756" i="27"/>
  <c r="E2757" i="27"/>
  <c r="P2757" i="27"/>
  <c r="Q2757" i="27"/>
  <c r="R2757" i="27"/>
  <c r="AB2757" i="27"/>
  <c r="AC2757" i="27"/>
  <c r="AD2757" i="27"/>
  <c r="AE2757" i="27"/>
  <c r="AF2757" i="27"/>
  <c r="E2758" i="27"/>
  <c r="I2758" i="27"/>
  <c r="P2758" i="27"/>
  <c r="Q2758" i="27"/>
  <c r="R2758" i="27"/>
  <c r="AB2758" i="27"/>
  <c r="AC2758" i="27"/>
  <c r="AD2758" i="27"/>
  <c r="AE2758" i="27"/>
  <c r="AF2758" i="27"/>
  <c r="E2759" i="27"/>
  <c r="P2759" i="27"/>
  <c r="Q2759" i="27"/>
  <c r="R2759" i="27"/>
  <c r="AB2759" i="27"/>
  <c r="AC2759" i="27"/>
  <c r="AD2759" i="27"/>
  <c r="AE2759" i="27"/>
  <c r="AF2759" i="27"/>
  <c r="E2760" i="27"/>
  <c r="I2760" i="27"/>
  <c r="P2760" i="27"/>
  <c r="Q2760" i="27"/>
  <c r="R2760" i="27"/>
  <c r="AB2760" i="27"/>
  <c r="AC2760" i="27"/>
  <c r="AD2760" i="27"/>
  <c r="AE2760" i="27"/>
  <c r="AF2760" i="27"/>
  <c r="E2761" i="27"/>
  <c r="P2761" i="27"/>
  <c r="Q2761" i="27"/>
  <c r="R2761" i="27"/>
  <c r="AB2761" i="27"/>
  <c r="AC2761" i="27"/>
  <c r="AD2761" i="27"/>
  <c r="AE2761" i="27"/>
  <c r="AF2761" i="27"/>
  <c r="E2762" i="27"/>
  <c r="P2762" i="27"/>
  <c r="Q2762" i="27"/>
  <c r="R2762" i="27"/>
  <c r="AB2762" i="27"/>
  <c r="AC2762" i="27"/>
  <c r="AD2762" i="27"/>
  <c r="AE2762" i="27"/>
  <c r="AF2762" i="27"/>
  <c r="E2763" i="27"/>
  <c r="P2763" i="27"/>
  <c r="Q2763" i="27"/>
  <c r="R2763" i="27"/>
  <c r="AB2763" i="27"/>
  <c r="AC2763" i="27"/>
  <c r="AD2763" i="27"/>
  <c r="AE2763" i="27"/>
  <c r="AF2763" i="27"/>
  <c r="E2764" i="27"/>
  <c r="P2764" i="27"/>
  <c r="Q2764" i="27"/>
  <c r="R2764" i="27"/>
  <c r="AB2764" i="27"/>
  <c r="AC2764" i="27"/>
  <c r="AD2764" i="27"/>
  <c r="AE2764" i="27"/>
  <c r="AF2764" i="27"/>
  <c r="E2765" i="27"/>
  <c r="P2765" i="27"/>
  <c r="Q2765" i="27"/>
  <c r="R2765" i="27"/>
  <c r="AB2765" i="27"/>
  <c r="AC2765" i="27"/>
  <c r="AD2765" i="27"/>
  <c r="AE2765" i="27"/>
  <c r="AF2765" i="27"/>
  <c r="E2766" i="27"/>
  <c r="P2766" i="27"/>
  <c r="Q2766" i="27"/>
  <c r="R2766" i="27"/>
  <c r="AB2766" i="27"/>
  <c r="AC2766" i="27"/>
  <c r="AD2766" i="27"/>
  <c r="AE2766" i="27"/>
  <c r="AF2766" i="27"/>
  <c r="E2767" i="27"/>
  <c r="P2767" i="27"/>
  <c r="Q2767" i="27"/>
  <c r="R2767" i="27"/>
  <c r="AB2767" i="27"/>
  <c r="AC2767" i="27"/>
  <c r="AD2767" i="27"/>
  <c r="AE2767" i="27"/>
  <c r="AF2767" i="27"/>
  <c r="E2768" i="27"/>
  <c r="P2768" i="27"/>
  <c r="Q2768" i="27"/>
  <c r="R2768" i="27"/>
  <c r="AB2768" i="27"/>
  <c r="AC2768" i="27"/>
  <c r="AD2768" i="27"/>
  <c r="AE2768" i="27"/>
  <c r="AF2768" i="27"/>
  <c r="E2769" i="27"/>
  <c r="I2769" i="27"/>
  <c r="P2769" i="27"/>
  <c r="Q2769" i="27"/>
  <c r="R2769" i="27"/>
  <c r="AB2769" i="27"/>
  <c r="AC2769" i="27"/>
  <c r="AD2769" i="27"/>
  <c r="AE2769" i="27"/>
  <c r="AF2769" i="27"/>
  <c r="E2770" i="27"/>
  <c r="P2770" i="27"/>
  <c r="Q2770" i="27"/>
  <c r="R2770" i="27"/>
  <c r="AB2770" i="27"/>
  <c r="AC2770" i="27"/>
  <c r="AD2770" i="27"/>
  <c r="AE2770" i="27"/>
  <c r="AF2770" i="27"/>
  <c r="E2771" i="27"/>
  <c r="P2771" i="27"/>
  <c r="Q2771" i="27"/>
  <c r="R2771" i="27"/>
  <c r="AB2771" i="27"/>
  <c r="AC2771" i="27"/>
  <c r="AD2771" i="27"/>
  <c r="AE2771" i="27"/>
  <c r="AF2771" i="27"/>
  <c r="E2772" i="27"/>
  <c r="P2772" i="27"/>
  <c r="Q2772" i="27"/>
  <c r="R2772" i="27"/>
  <c r="AB2772" i="27"/>
  <c r="AC2772" i="27"/>
  <c r="AD2772" i="27"/>
  <c r="AE2772" i="27"/>
  <c r="AF2772" i="27"/>
  <c r="E2773" i="27"/>
  <c r="P2773" i="27"/>
  <c r="Q2773" i="27"/>
  <c r="R2773" i="27"/>
  <c r="AB2773" i="27"/>
  <c r="AC2773" i="27"/>
  <c r="AD2773" i="27"/>
  <c r="AE2773" i="27"/>
  <c r="AF2773" i="27"/>
  <c r="E2774" i="27"/>
  <c r="P2774" i="27"/>
  <c r="Q2774" i="27"/>
  <c r="R2774" i="27"/>
  <c r="AB2774" i="27"/>
  <c r="AC2774" i="27"/>
  <c r="AD2774" i="27"/>
  <c r="AE2774" i="27"/>
  <c r="AF2774" i="27"/>
  <c r="E2775" i="27"/>
  <c r="I2775" i="27"/>
  <c r="P2775" i="27"/>
  <c r="Q2775" i="27"/>
  <c r="R2775" i="27"/>
  <c r="AB2775" i="27"/>
  <c r="AC2775" i="27"/>
  <c r="AD2775" i="27"/>
  <c r="AE2775" i="27"/>
  <c r="AF2775" i="27"/>
  <c r="E2776" i="27"/>
  <c r="I2776" i="27"/>
  <c r="P2776" i="27"/>
  <c r="Q2776" i="27"/>
  <c r="R2776" i="27"/>
  <c r="AB2776" i="27"/>
  <c r="AC2776" i="27"/>
  <c r="AD2776" i="27"/>
  <c r="AE2776" i="27"/>
  <c r="AF2776" i="27"/>
  <c r="E2777" i="27"/>
  <c r="P2777" i="27"/>
  <c r="Q2777" i="27"/>
  <c r="R2777" i="27"/>
  <c r="AB2777" i="27"/>
  <c r="AC2777" i="27"/>
  <c r="AD2777" i="27"/>
  <c r="AE2777" i="27"/>
  <c r="AF2777" i="27"/>
  <c r="E2778" i="27"/>
  <c r="I2778" i="27"/>
  <c r="P2778" i="27"/>
  <c r="Q2778" i="27"/>
  <c r="R2778" i="27"/>
  <c r="AB2778" i="27"/>
  <c r="AC2778" i="27"/>
  <c r="AD2778" i="27"/>
  <c r="AE2778" i="27"/>
  <c r="AF2778" i="27"/>
  <c r="E2779" i="27"/>
  <c r="I2779" i="27"/>
  <c r="P2779" i="27"/>
  <c r="Q2779" i="27"/>
  <c r="R2779" i="27"/>
  <c r="AB2779" i="27"/>
  <c r="AC2779" i="27"/>
  <c r="AD2779" i="27"/>
  <c r="AE2779" i="27"/>
  <c r="AF2779" i="27"/>
  <c r="E2780" i="27"/>
  <c r="I2780" i="27"/>
  <c r="P2780" i="27"/>
  <c r="Q2780" i="27"/>
  <c r="R2780" i="27"/>
  <c r="AB2780" i="27"/>
  <c r="AC2780" i="27"/>
  <c r="AD2780" i="27"/>
  <c r="AE2780" i="27"/>
  <c r="AF2780" i="27"/>
  <c r="E2781" i="27"/>
  <c r="I2781" i="27"/>
  <c r="P2781" i="27"/>
  <c r="Q2781" i="27"/>
  <c r="R2781" i="27"/>
  <c r="AB2781" i="27"/>
  <c r="AC2781" i="27"/>
  <c r="AD2781" i="27"/>
  <c r="AE2781" i="27"/>
  <c r="AF2781" i="27"/>
  <c r="E2782" i="27"/>
  <c r="P2782" i="27"/>
  <c r="Q2782" i="27"/>
  <c r="R2782" i="27"/>
  <c r="AB2782" i="27"/>
  <c r="AC2782" i="27"/>
  <c r="AD2782" i="27"/>
  <c r="AE2782" i="27"/>
  <c r="AF2782" i="27"/>
  <c r="E2783" i="27"/>
  <c r="I2783" i="27"/>
  <c r="P2783" i="27"/>
  <c r="Q2783" i="27"/>
  <c r="R2783" i="27"/>
  <c r="AB2783" i="27"/>
  <c r="AC2783" i="27"/>
  <c r="AD2783" i="27"/>
  <c r="AE2783" i="27"/>
  <c r="AF2783" i="27"/>
  <c r="E2784" i="27"/>
  <c r="P2784" i="27"/>
  <c r="Q2784" i="27"/>
  <c r="R2784" i="27"/>
  <c r="AB2784" i="27"/>
  <c r="AC2784" i="27"/>
  <c r="AD2784" i="27"/>
  <c r="AE2784" i="27"/>
  <c r="AF2784" i="27"/>
  <c r="E2785" i="27"/>
  <c r="P2785" i="27"/>
  <c r="Q2785" i="27"/>
  <c r="R2785" i="27"/>
  <c r="AB2785" i="27"/>
  <c r="AC2785" i="27"/>
  <c r="AD2785" i="27"/>
  <c r="AE2785" i="27"/>
  <c r="AF2785" i="27"/>
  <c r="E2786" i="27"/>
  <c r="I2786" i="27"/>
  <c r="P2786" i="27"/>
  <c r="Q2786" i="27"/>
  <c r="R2786" i="27"/>
  <c r="AB2786" i="27"/>
  <c r="AC2786" i="27"/>
  <c r="AD2786" i="27"/>
  <c r="AE2786" i="27"/>
  <c r="AF2786" i="27"/>
  <c r="E2787" i="27"/>
  <c r="I2787" i="27"/>
  <c r="P2787" i="27"/>
  <c r="Q2787" i="27"/>
  <c r="R2787" i="27"/>
  <c r="AB2787" i="27"/>
  <c r="AC2787" i="27"/>
  <c r="AD2787" i="27"/>
  <c r="AE2787" i="27"/>
  <c r="AF2787" i="27"/>
  <c r="E2788" i="27"/>
  <c r="P2788" i="27"/>
  <c r="Q2788" i="27"/>
  <c r="R2788" i="27"/>
  <c r="AB2788" i="27"/>
  <c r="AC2788" i="27"/>
  <c r="AD2788" i="27"/>
  <c r="AE2788" i="27"/>
  <c r="AF2788" i="27"/>
  <c r="E2789" i="27"/>
  <c r="I2789" i="27"/>
  <c r="P2789" i="27"/>
  <c r="Q2789" i="27"/>
  <c r="R2789" i="27"/>
  <c r="AB2789" i="27"/>
  <c r="AC2789" i="27"/>
  <c r="AD2789" i="27"/>
  <c r="AE2789" i="27"/>
  <c r="AF2789" i="27"/>
  <c r="E2790" i="27"/>
  <c r="I2790" i="27"/>
  <c r="P2790" i="27"/>
  <c r="Q2790" i="27"/>
  <c r="R2790" i="27"/>
  <c r="AB2790" i="27"/>
  <c r="AC2790" i="27"/>
  <c r="AD2790" i="27"/>
  <c r="AE2790" i="27"/>
  <c r="AF2790" i="27"/>
  <c r="E2791" i="27"/>
  <c r="P2791" i="27"/>
  <c r="Q2791" i="27"/>
  <c r="R2791" i="27"/>
  <c r="AB2791" i="27"/>
  <c r="AC2791" i="27"/>
  <c r="AD2791" i="27"/>
  <c r="AE2791" i="27"/>
  <c r="AF2791" i="27"/>
  <c r="E2792" i="27"/>
  <c r="I2792" i="27"/>
  <c r="P2792" i="27"/>
  <c r="Q2792" i="27"/>
  <c r="R2792" i="27"/>
  <c r="AB2792" i="27"/>
  <c r="AC2792" i="27"/>
  <c r="AD2792" i="27"/>
  <c r="AE2792" i="27"/>
  <c r="AF2792" i="27"/>
  <c r="E2793" i="27"/>
  <c r="P2793" i="27"/>
  <c r="Q2793" i="27"/>
  <c r="R2793" i="27"/>
  <c r="AB2793" i="27"/>
  <c r="AC2793" i="27"/>
  <c r="AD2793" i="27"/>
  <c r="AE2793" i="27"/>
  <c r="AF2793" i="27"/>
  <c r="E2794" i="27"/>
  <c r="P2794" i="27"/>
  <c r="Q2794" i="27"/>
  <c r="R2794" i="27"/>
  <c r="AB2794" i="27"/>
  <c r="AC2794" i="27"/>
  <c r="AD2794" i="27"/>
  <c r="AE2794" i="27"/>
  <c r="AF2794" i="27"/>
  <c r="E2795" i="27"/>
  <c r="P2795" i="27"/>
  <c r="Q2795" i="27"/>
  <c r="R2795" i="27"/>
  <c r="AB2795" i="27"/>
  <c r="AC2795" i="27"/>
  <c r="AD2795" i="27"/>
  <c r="AE2795" i="27"/>
  <c r="AF2795" i="27"/>
  <c r="E2796" i="27"/>
  <c r="I2796" i="27"/>
  <c r="P2796" i="27"/>
  <c r="Q2796" i="27"/>
  <c r="R2796" i="27"/>
  <c r="AB2796" i="27"/>
  <c r="AC2796" i="27"/>
  <c r="AD2796" i="27"/>
  <c r="AE2796" i="27"/>
  <c r="AF2796" i="27"/>
  <c r="E2798" i="27"/>
  <c r="I2798" i="27"/>
  <c r="P2798" i="27"/>
  <c r="Q2798" i="27"/>
  <c r="R2798" i="27"/>
  <c r="AB2798" i="27"/>
  <c r="AC2798" i="27"/>
  <c r="AD2798" i="27"/>
  <c r="AE2798" i="27"/>
  <c r="AF2798" i="27"/>
  <c r="E2799" i="27"/>
  <c r="P2799" i="27"/>
  <c r="Q2799" i="27"/>
  <c r="R2799" i="27"/>
  <c r="AB2799" i="27"/>
  <c r="AC2799" i="27"/>
  <c r="AD2799" i="27"/>
  <c r="AE2799" i="27"/>
  <c r="AF2799" i="27"/>
  <c r="E2800" i="27"/>
  <c r="I2800" i="27"/>
  <c r="P2800" i="27"/>
  <c r="Q2800" i="27"/>
  <c r="R2800" i="27"/>
  <c r="AB2800" i="27"/>
  <c r="AC2800" i="27"/>
  <c r="AD2800" i="27"/>
  <c r="AE2800" i="27"/>
  <c r="AF2800" i="27"/>
  <c r="E2801" i="27"/>
  <c r="P2801" i="27"/>
  <c r="Q2801" i="27"/>
  <c r="R2801" i="27"/>
  <c r="AB2801" i="27"/>
  <c r="AC2801" i="27"/>
  <c r="AD2801" i="27"/>
  <c r="AE2801" i="27"/>
  <c r="AF2801" i="27"/>
  <c r="E2802" i="27"/>
  <c r="P2802" i="27"/>
  <c r="Q2802" i="27"/>
  <c r="R2802" i="27"/>
  <c r="AB2802" i="27"/>
  <c r="AC2802" i="27"/>
  <c r="AD2802" i="27"/>
  <c r="AE2802" i="27"/>
  <c r="AF2802" i="27"/>
  <c r="E2803" i="27"/>
  <c r="I2803" i="27"/>
  <c r="P2803" i="27"/>
  <c r="Q2803" i="27"/>
  <c r="R2803" i="27"/>
  <c r="AB2803" i="27"/>
  <c r="AC2803" i="27"/>
  <c r="AD2803" i="27"/>
  <c r="AE2803" i="27"/>
  <c r="AF2803" i="27"/>
  <c r="E2804" i="27"/>
  <c r="P2804" i="27"/>
  <c r="Q2804" i="27"/>
  <c r="R2804" i="27"/>
  <c r="AB2804" i="27"/>
  <c r="AC2804" i="27"/>
  <c r="AD2804" i="27"/>
  <c r="AE2804" i="27"/>
  <c r="AF2804" i="27"/>
  <c r="E2805" i="27"/>
  <c r="I2805" i="27"/>
  <c r="P2805" i="27"/>
  <c r="Q2805" i="27"/>
  <c r="R2805" i="27"/>
  <c r="AB2805" i="27"/>
  <c r="AC2805" i="27"/>
  <c r="AD2805" i="27"/>
  <c r="AE2805" i="27"/>
  <c r="AF2805" i="27"/>
  <c r="E2806" i="27"/>
  <c r="P2806" i="27"/>
  <c r="Q2806" i="27"/>
  <c r="R2806" i="27"/>
  <c r="AB2806" i="27"/>
  <c r="AC2806" i="27"/>
  <c r="AD2806" i="27"/>
  <c r="AE2806" i="27"/>
  <c r="AF2806" i="27"/>
  <c r="E2807" i="27"/>
  <c r="I2807" i="27"/>
  <c r="P2807" i="27"/>
  <c r="Q2807" i="27"/>
  <c r="R2807" i="27"/>
  <c r="AB2807" i="27"/>
  <c r="AC2807" i="27"/>
  <c r="AD2807" i="27"/>
  <c r="AE2807" i="27"/>
  <c r="AF2807" i="27"/>
  <c r="E2808" i="27"/>
  <c r="P2808" i="27"/>
  <c r="Q2808" i="27"/>
  <c r="R2808" i="27"/>
  <c r="AB2808" i="27"/>
  <c r="AC2808" i="27"/>
  <c r="AD2808" i="27"/>
  <c r="AE2808" i="27"/>
  <c r="AF2808" i="27"/>
  <c r="E2809" i="27"/>
  <c r="P2809" i="27"/>
  <c r="Q2809" i="27"/>
  <c r="R2809" i="27"/>
  <c r="AB2809" i="27"/>
  <c r="AC2809" i="27"/>
  <c r="AD2809" i="27"/>
  <c r="AE2809" i="27"/>
  <c r="AF2809" i="27"/>
  <c r="E2810" i="27"/>
  <c r="I2810" i="27"/>
  <c r="P2810" i="27"/>
  <c r="Q2810" i="27"/>
  <c r="R2810" i="27"/>
  <c r="AB2810" i="27"/>
  <c r="AC2810" i="27"/>
  <c r="AD2810" i="27"/>
  <c r="AE2810" i="27"/>
  <c r="AF2810" i="27"/>
  <c r="E2811" i="27"/>
  <c r="P2811" i="27"/>
  <c r="Q2811" i="27"/>
  <c r="R2811" i="27"/>
  <c r="AB2811" i="27"/>
  <c r="AC2811" i="27"/>
  <c r="AD2811" i="27"/>
  <c r="AE2811" i="27"/>
  <c r="AF2811" i="27"/>
  <c r="E2812" i="27"/>
  <c r="I2812" i="27"/>
  <c r="P2812" i="27"/>
  <c r="Q2812" i="27"/>
  <c r="R2812" i="27"/>
  <c r="AB2812" i="27"/>
  <c r="AC2812" i="27"/>
  <c r="AD2812" i="27"/>
  <c r="AE2812" i="27"/>
  <c r="AF2812" i="27"/>
  <c r="E2813" i="27"/>
  <c r="P2813" i="27"/>
  <c r="Q2813" i="27"/>
  <c r="R2813" i="27"/>
  <c r="AB2813" i="27"/>
  <c r="AC2813" i="27"/>
  <c r="AD2813" i="27"/>
  <c r="AE2813" i="27"/>
  <c r="AF2813" i="27"/>
  <c r="E2814" i="27"/>
  <c r="P2814" i="27"/>
  <c r="Q2814" i="27"/>
  <c r="R2814" i="27"/>
  <c r="AB2814" i="27"/>
  <c r="AC2814" i="27"/>
  <c r="AD2814" i="27"/>
  <c r="AE2814" i="27"/>
  <c r="AF2814" i="27"/>
  <c r="E2815" i="27"/>
  <c r="P2815" i="27"/>
  <c r="Q2815" i="27"/>
  <c r="R2815" i="27"/>
  <c r="AB2815" i="27"/>
  <c r="AC2815" i="27"/>
  <c r="AD2815" i="27"/>
  <c r="AE2815" i="27"/>
  <c r="AF2815" i="27"/>
  <c r="E2816" i="27"/>
  <c r="P2816" i="27"/>
  <c r="Q2816" i="27"/>
  <c r="R2816" i="27"/>
  <c r="AB2816" i="27"/>
  <c r="AC2816" i="27"/>
  <c r="AD2816" i="27"/>
  <c r="AE2816" i="27"/>
  <c r="AF2816" i="27"/>
  <c r="E2817" i="27"/>
  <c r="I2817" i="27"/>
  <c r="P2817" i="27"/>
  <c r="Q2817" i="27"/>
  <c r="R2817" i="27"/>
  <c r="AB2817" i="27"/>
  <c r="AC2817" i="27"/>
  <c r="AD2817" i="27"/>
  <c r="AE2817" i="27"/>
  <c r="AF2817" i="27"/>
  <c r="E2818" i="27"/>
  <c r="P2818" i="27"/>
  <c r="Q2818" i="27"/>
  <c r="R2818" i="27"/>
  <c r="AB2818" i="27"/>
  <c r="AC2818" i="27"/>
  <c r="AD2818" i="27"/>
  <c r="AE2818" i="27"/>
  <c r="AF2818" i="27"/>
  <c r="E2819" i="27"/>
  <c r="P2819" i="27"/>
  <c r="Q2819" i="27"/>
  <c r="R2819" i="27"/>
  <c r="AB2819" i="27"/>
  <c r="AC2819" i="27"/>
  <c r="AD2819" i="27"/>
  <c r="AE2819" i="27"/>
  <c r="AF2819" i="27"/>
  <c r="E2820" i="27"/>
  <c r="P2820" i="27"/>
  <c r="Q2820" i="27"/>
  <c r="R2820" i="27"/>
  <c r="AB2820" i="27"/>
  <c r="AC2820" i="27"/>
  <c r="AD2820" i="27"/>
  <c r="AE2820" i="27"/>
  <c r="AF2820" i="27"/>
  <c r="E2821" i="27"/>
  <c r="I2821" i="27"/>
  <c r="P2821" i="27"/>
  <c r="Q2821" i="27"/>
  <c r="R2821" i="27"/>
  <c r="AB2821" i="27"/>
  <c r="AC2821" i="27"/>
  <c r="AD2821" i="27"/>
  <c r="AE2821" i="27"/>
  <c r="AF2821" i="27"/>
  <c r="E2822" i="27"/>
  <c r="I2822" i="27"/>
  <c r="P2822" i="27"/>
  <c r="Q2822" i="27"/>
  <c r="R2822" i="27"/>
  <c r="AB2822" i="27"/>
  <c r="AC2822" i="27"/>
  <c r="AD2822" i="27"/>
  <c r="AE2822" i="27"/>
  <c r="AF2822" i="27"/>
  <c r="E2823" i="27"/>
  <c r="P2823" i="27"/>
  <c r="Q2823" i="27"/>
  <c r="R2823" i="27"/>
  <c r="AB2823" i="27"/>
  <c r="AC2823" i="27"/>
  <c r="AD2823" i="27"/>
  <c r="AE2823" i="27"/>
  <c r="AF2823" i="27"/>
  <c r="E2824" i="27"/>
  <c r="P2824" i="27"/>
  <c r="Q2824" i="27"/>
  <c r="R2824" i="27"/>
  <c r="AB2824" i="27"/>
  <c r="AC2824" i="27"/>
  <c r="AD2824" i="27"/>
  <c r="AE2824" i="27"/>
  <c r="AF2824" i="27"/>
  <c r="E2825" i="27"/>
  <c r="P2825" i="27"/>
  <c r="Q2825" i="27"/>
  <c r="R2825" i="27"/>
  <c r="AB2825" i="27"/>
  <c r="AC2825" i="27"/>
  <c r="AD2825" i="27"/>
  <c r="AE2825" i="27"/>
  <c r="AF2825" i="27"/>
  <c r="E2826" i="27"/>
  <c r="I2826" i="27"/>
  <c r="P2826" i="27"/>
  <c r="Q2826" i="27"/>
  <c r="R2826" i="27"/>
  <c r="AB2826" i="27"/>
  <c r="AC2826" i="27"/>
  <c r="AD2826" i="27"/>
  <c r="AE2826" i="27"/>
  <c r="AF2826" i="27"/>
  <c r="E2827" i="27"/>
  <c r="I2827" i="27"/>
  <c r="P2827" i="27"/>
  <c r="Q2827" i="27"/>
  <c r="R2827" i="27"/>
  <c r="AB2827" i="27"/>
  <c r="AC2827" i="27"/>
  <c r="AD2827" i="27"/>
  <c r="AE2827" i="27"/>
  <c r="AF2827" i="27"/>
  <c r="E2828" i="27"/>
  <c r="I2828" i="27"/>
  <c r="P2828" i="27"/>
  <c r="Q2828" i="27"/>
  <c r="R2828" i="27"/>
  <c r="AB2828" i="27"/>
  <c r="AC2828" i="27"/>
  <c r="AD2828" i="27"/>
  <c r="AE2828" i="27"/>
  <c r="AF2828" i="27"/>
  <c r="E2829" i="27"/>
  <c r="P2829" i="27"/>
  <c r="Q2829" i="27"/>
  <c r="R2829" i="27"/>
  <c r="AB2829" i="27"/>
  <c r="AC2829" i="27"/>
  <c r="AD2829" i="27"/>
  <c r="AE2829" i="27"/>
  <c r="AF2829" i="27"/>
  <c r="E2830" i="27"/>
  <c r="P2830" i="27"/>
  <c r="Q2830" i="27"/>
  <c r="R2830" i="27"/>
  <c r="AB2830" i="27"/>
  <c r="AC2830" i="27"/>
  <c r="AD2830" i="27"/>
  <c r="AE2830" i="27"/>
  <c r="AF2830" i="27"/>
  <c r="E2831" i="27"/>
  <c r="I2831" i="27"/>
  <c r="P2831" i="27"/>
  <c r="Q2831" i="27"/>
  <c r="R2831" i="27"/>
  <c r="AB2831" i="27"/>
  <c r="AC2831" i="27"/>
  <c r="AD2831" i="27"/>
  <c r="AE2831" i="27"/>
  <c r="AF2831" i="27"/>
  <c r="E2832" i="27"/>
  <c r="I2832" i="27"/>
  <c r="P2832" i="27"/>
  <c r="Q2832" i="27"/>
  <c r="R2832" i="27"/>
  <c r="AB2832" i="27"/>
  <c r="AC2832" i="27"/>
  <c r="AD2832" i="27"/>
  <c r="AE2832" i="27"/>
  <c r="AF2832" i="27"/>
  <c r="E2833" i="27"/>
  <c r="P2833" i="27"/>
  <c r="Q2833" i="27"/>
  <c r="R2833" i="27"/>
  <c r="AB2833" i="27"/>
  <c r="AC2833" i="27"/>
  <c r="AD2833" i="27"/>
  <c r="AE2833" i="27"/>
  <c r="AF2833" i="27"/>
  <c r="E2834" i="27"/>
  <c r="P2834" i="27"/>
  <c r="Q2834" i="27"/>
  <c r="R2834" i="27"/>
  <c r="AB2834" i="27"/>
  <c r="AC2834" i="27"/>
  <c r="AD2834" i="27"/>
  <c r="AE2834" i="27"/>
  <c r="AF2834" i="27"/>
  <c r="E2835" i="27"/>
  <c r="P2835" i="27"/>
  <c r="Q2835" i="27"/>
  <c r="R2835" i="27"/>
  <c r="AB2835" i="27"/>
  <c r="AC2835" i="27"/>
  <c r="AD2835" i="27"/>
  <c r="AE2835" i="27"/>
  <c r="AF2835" i="27"/>
  <c r="E2836" i="27"/>
  <c r="P2836" i="27"/>
  <c r="Q2836" i="27"/>
  <c r="R2836" i="27"/>
  <c r="AB2836" i="27"/>
  <c r="AC2836" i="27"/>
  <c r="AD2836" i="27"/>
  <c r="AE2836" i="27"/>
  <c r="AF2836" i="27"/>
  <c r="E2837" i="27"/>
  <c r="P2837" i="27"/>
  <c r="Q2837" i="27"/>
  <c r="R2837" i="27"/>
  <c r="AB2837" i="27"/>
  <c r="AC2837" i="27"/>
  <c r="AD2837" i="27"/>
  <c r="AE2837" i="27"/>
  <c r="AF2837" i="27"/>
  <c r="E2838" i="27"/>
  <c r="P2838" i="27"/>
  <c r="Q2838" i="27"/>
  <c r="R2838" i="27"/>
  <c r="AB2838" i="27"/>
  <c r="AC2838" i="27"/>
  <c r="AD2838" i="27"/>
  <c r="AE2838" i="27"/>
  <c r="AF2838" i="27"/>
  <c r="E2839" i="27"/>
  <c r="I2839" i="27"/>
  <c r="P2839" i="27"/>
  <c r="Q2839" i="27"/>
  <c r="R2839" i="27"/>
  <c r="AB2839" i="27"/>
  <c r="AC2839" i="27"/>
  <c r="AD2839" i="27"/>
  <c r="AE2839" i="27"/>
  <c r="AF2839" i="27"/>
  <c r="E2840" i="27"/>
  <c r="P2840" i="27"/>
  <c r="Q2840" i="27"/>
  <c r="R2840" i="27"/>
  <c r="AB2840" i="27"/>
  <c r="AC2840" i="27"/>
  <c r="AD2840" i="27"/>
  <c r="AE2840" i="27"/>
  <c r="AF2840" i="27"/>
  <c r="E2841" i="27"/>
  <c r="I2841" i="27"/>
  <c r="P2841" i="27"/>
  <c r="Q2841" i="27"/>
  <c r="R2841" i="27"/>
  <c r="AB2841" i="27"/>
  <c r="AC2841" i="27"/>
  <c r="AD2841" i="27"/>
  <c r="AE2841" i="27"/>
  <c r="AF2841" i="27"/>
  <c r="E2842" i="27"/>
  <c r="P2842" i="27"/>
  <c r="Q2842" i="27"/>
  <c r="R2842" i="27"/>
  <c r="AB2842" i="27"/>
  <c r="AC2842" i="27"/>
  <c r="AD2842" i="27"/>
  <c r="AE2842" i="27"/>
  <c r="AF2842" i="27"/>
  <c r="E2843" i="27"/>
  <c r="P2843" i="27"/>
  <c r="Q2843" i="27"/>
  <c r="R2843" i="27"/>
  <c r="AB2843" i="27"/>
  <c r="AC2843" i="27"/>
  <c r="AD2843" i="27"/>
  <c r="AE2843" i="27"/>
  <c r="AF2843" i="27"/>
  <c r="E2844" i="27"/>
  <c r="P2844" i="27"/>
  <c r="Q2844" i="27"/>
  <c r="R2844" i="27"/>
  <c r="AB2844" i="27"/>
  <c r="AC2844" i="27"/>
  <c r="AD2844" i="27"/>
  <c r="AE2844" i="27"/>
  <c r="AF2844" i="27"/>
  <c r="E2845" i="27"/>
  <c r="P2845" i="27"/>
  <c r="Q2845" i="27"/>
  <c r="R2845" i="27"/>
  <c r="AB2845" i="27"/>
  <c r="AC2845" i="27"/>
  <c r="AD2845" i="27"/>
  <c r="AE2845" i="27"/>
  <c r="AF2845" i="27"/>
  <c r="E2846" i="27"/>
  <c r="P2846" i="27"/>
  <c r="Q2846" i="27"/>
  <c r="R2846" i="27"/>
  <c r="AB2846" i="27"/>
  <c r="AC2846" i="27"/>
  <c r="AD2846" i="27"/>
  <c r="AE2846" i="27"/>
  <c r="AF2846" i="27"/>
  <c r="E2847" i="27"/>
  <c r="P2847" i="27"/>
  <c r="Q2847" i="27"/>
  <c r="R2847" i="27"/>
  <c r="AB2847" i="27"/>
  <c r="AC2847" i="27"/>
  <c r="AD2847" i="27"/>
  <c r="AE2847" i="27"/>
  <c r="AF2847" i="27"/>
  <c r="E2848" i="27"/>
  <c r="P2848" i="27"/>
  <c r="Q2848" i="27"/>
  <c r="R2848" i="27"/>
  <c r="AB2848" i="27"/>
  <c r="AC2848" i="27"/>
  <c r="AD2848" i="27"/>
  <c r="AE2848" i="27"/>
  <c r="AF2848" i="27"/>
  <c r="E2849" i="27"/>
  <c r="I2849" i="27"/>
  <c r="P2849" i="27"/>
  <c r="Q2849" i="27"/>
  <c r="R2849" i="27"/>
  <c r="AB2849" i="27"/>
  <c r="AC2849" i="27"/>
  <c r="AD2849" i="27"/>
  <c r="AE2849" i="27"/>
  <c r="AF2849" i="27"/>
  <c r="E2850" i="27"/>
  <c r="P2850" i="27"/>
  <c r="Q2850" i="27"/>
  <c r="R2850" i="27"/>
  <c r="AB2850" i="27"/>
  <c r="AC2850" i="27"/>
  <c r="AD2850" i="27"/>
  <c r="AE2850" i="27"/>
  <c r="AF2850" i="27"/>
  <c r="E2851" i="27"/>
  <c r="P2851" i="27"/>
  <c r="Q2851" i="27"/>
  <c r="R2851" i="27"/>
  <c r="AB2851" i="27"/>
  <c r="AC2851" i="27"/>
  <c r="AD2851" i="27"/>
  <c r="AE2851" i="27"/>
  <c r="AF2851" i="27"/>
  <c r="E2852" i="27"/>
  <c r="P2852" i="27"/>
  <c r="Q2852" i="27"/>
  <c r="R2852" i="27"/>
  <c r="AB2852" i="27"/>
  <c r="AC2852" i="27"/>
  <c r="AD2852" i="27"/>
  <c r="AE2852" i="27"/>
  <c r="AF2852" i="27"/>
  <c r="E2853" i="27"/>
  <c r="P2853" i="27"/>
  <c r="Q2853" i="27"/>
  <c r="R2853" i="27"/>
  <c r="AB2853" i="27"/>
  <c r="AC2853" i="27"/>
  <c r="AD2853" i="27"/>
  <c r="AE2853" i="27"/>
  <c r="AF2853" i="27"/>
  <c r="E2854" i="27"/>
  <c r="P2854" i="27"/>
  <c r="Q2854" i="27"/>
  <c r="R2854" i="27"/>
  <c r="AB2854" i="27"/>
  <c r="AC2854" i="27"/>
  <c r="AD2854" i="27"/>
  <c r="AE2854" i="27"/>
  <c r="AF2854" i="27"/>
  <c r="E2855" i="27"/>
  <c r="P2855" i="27"/>
  <c r="Q2855" i="27"/>
  <c r="R2855" i="27"/>
  <c r="AB2855" i="27"/>
  <c r="AC2855" i="27"/>
  <c r="AD2855" i="27"/>
  <c r="AE2855" i="27"/>
  <c r="AF2855" i="27"/>
  <c r="E2856" i="27"/>
  <c r="P2856" i="27"/>
  <c r="Q2856" i="27"/>
  <c r="R2856" i="27"/>
  <c r="AB2856" i="27"/>
  <c r="AC2856" i="27"/>
  <c r="AD2856" i="27"/>
  <c r="AE2856" i="27"/>
  <c r="AF2856" i="27"/>
  <c r="E2857" i="27"/>
  <c r="P2857" i="27"/>
  <c r="Q2857" i="27"/>
  <c r="R2857" i="27"/>
  <c r="AB2857" i="27"/>
  <c r="AC2857" i="27"/>
  <c r="AD2857" i="27"/>
  <c r="AE2857" i="27"/>
  <c r="AF2857" i="27"/>
  <c r="E2858" i="27"/>
  <c r="P2858" i="27"/>
  <c r="Q2858" i="27"/>
  <c r="R2858" i="27"/>
  <c r="AB2858" i="27"/>
  <c r="AC2858" i="27"/>
  <c r="AD2858" i="27"/>
  <c r="AE2858" i="27"/>
  <c r="AF2858" i="27"/>
  <c r="E2859" i="27"/>
  <c r="P2859" i="27"/>
  <c r="Q2859" i="27"/>
  <c r="R2859" i="27"/>
  <c r="AB2859" i="27"/>
  <c r="AC2859" i="27"/>
  <c r="AD2859" i="27"/>
  <c r="AE2859" i="27"/>
  <c r="AF2859" i="27"/>
  <c r="E2860" i="27"/>
  <c r="P2860" i="27"/>
  <c r="Q2860" i="27"/>
  <c r="R2860" i="27"/>
  <c r="AB2860" i="27"/>
  <c r="AC2860" i="27"/>
  <c r="AD2860" i="27"/>
  <c r="AE2860" i="27"/>
  <c r="AF2860" i="27"/>
  <c r="E2861" i="27"/>
  <c r="P2861" i="27"/>
  <c r="Q2861" i="27"/>
  <c r="R2861" i="27"/>
  <c r="AB2861" i="27"/>
  <c r="AC2861" i="27"/>
  <c r="AD2861" i="27"/>
  <c r="AE2861" i="27"/>
  <c r="AF2861" i="27"/>
  <c r="E2862" i="27"/>
  <c r="P2862" i="27"/>
  <c r="Q2862" i="27"/>
  <c r="R2862" i="27"/>
  <c r="AB2862" i="27"/>
  <c r="AC2862" i="27"/>
  <c r="AD2862" i="27"/>
  <c r="AE2862" i="27"/>
  <c r="AF2862" i="27"/>
  <c r="E2863" i="27"/>
  <c r="P2863" i="27"/>
  <c r="Q2863" i="27"/>
  <c r="R2863" i="27"/>
  <c r="AB2863" i="27"/>
  <c r="AC2863" i="27"/>
  <c r="AD2863" i="27"/>
  <c r="AE2863" i="27"/>
  <c r="AF2863" i="27"/>
  <c r="E2864" i="27"/>
  <c r="P2864" i="27"/>
  <c r="Q2864" i="27"/>
  <c r="R2864" i="27"/>
  <c r="AB2864" i="27"/>
  <c r="AC2864" i="27"/>
  <c r="AD2864" i="27"/>
  <c r="AE2864" i="27"/>
  <c r="AF2864" i="27"/>
  <c r="E2865" i="27"/>
  <c r="P2865" i="27"/>
  <c r="Q2865" i="27"/>
  <c r="R2865" i="27"/>
  <c r="AB2865" i="27"/>
  <c r="AC2865" i="27"/>
  <c r="AD2865" i="27"/>
  <c r="AE2865" i="27"/>
  <c r="AF2865" i="27"/>
  <c r="E2866" i="27"/>
  <c r="P2866" i="27"/>
  <c r="Q2866" i="27"/>
  <c r="R2866" i="27"/>
  <c r="AB2866" i="27"/>
  <c r="AC2866" i="27"/>
  <c r="AD2866" i="27"/>
  <c r="AE2866" i="27"/>
  <c r="AF2866" i="27"/>
  <c r="E2867" i="27"/>
  <c r="P2867" i="27"/>
  <c r="Q2867" i="27"/>
  <c r="R2867" i="27"/>
  <c r="AB2867" i="27"/>
  <c r="AC2867" i="27"/>
  <c r="AD2867" i="27"/>
  <c r="AE2867" i="27"/>
  <c r="AF2867" i="27"/>
  <c r="E2868" i="27"/>
  <c r="P2868" i="27"/>
  <c r="Q2868" i="27"/>
  <c r="R2868" i="27"/>
  <c r="AB2868" i="27"/>
  <c r="AC2868" i="27"/>
  <c r="AD2868" i="27"/>
  <c r="AE2868" i="27"/>
  <c r="AF2868" i="27"/>
  <c r="E2869" i="27"/>
  <c r="P2869" i="27"/>
  <c r="Q2869" i="27"/>
  <c r="R2869" i="27"/>
  <c r="AB2869" i="27"/>
  <c r="AC2869" i="27"/>
  <c r="AD2869" i="27"/>
  <c r="AE2869" i="27"/>
  <c r="AF2869" i="27"/>
  <c r="E2871" i="27"/>
  <c r="P2871" i="27"/>
  <c r="Q2871" i="27"/>
  <c r="R2871" i="27"/>
  <c r="AB2871" i="27"/>
  <c r="AC2871" i="27"/>
  <c r="AD2871" i="27"/>
  <c r="AE2871" i="27"/>
  <c r="AF2871" i="27"/>
  <c r="E2872" i="27"/>
  <c r="P2872" i="27"/>
  <c r="Q2872" i="27"/>
  <c r="R2872" i="27"/>
  <c r="AB2872" i="27"/>
  <c r="AC2872" i="27"/>
  <c r="AD2872" i="27"/>
  <c r="AE2872" i="27"/>
  <c r="AF2872" i="27"/>
  <c r="E2873" i="27"/>
  <c r="P2873" i="27"/>
  <c r="Q2873" i="27"/>
  <c r="R2873" i="27"/>
  <c r="AB2873" i="27"/>
  <c r="AC2873" i="27"/>
  <c r="AD2873" i="27"/>
  <c r="AE2873" i="27"/>
  <c r="AF2873" i="27"/>
  <c r="E2874" i="27"/>
  <c r="P2874" i="27"/>
  <c r="Q2874" i="27"/>
  <c r="R2874" i="27"/>
  <c r="AB2874" i="27"/>
  <c r="AC2874" i="27"/>
  <c r="AD2874" i="27"/>
  <c r="AE2874" i="27"/>
  <c r="AF2874" i="27"/>
  <c r="E2875" i="27"/>
  <c r="P2875" i="27"/>
  <c r="Q2875" i="27"/>
  <c r="R2875" i="27"/>
  <c r="AB2875" i="27"/>
  <c r="AC2875" i="27"/>
  <c r="AD2875" i="27"/>
  <c r="AE2875" i="27"/>
  <c r="AF2875" i="27"/>
  <c r="E2876" i="27"/>
  <c r="P2876" i="27"/>
  <c r="Q2876" i="27"/>
  <c r="R2876" i="27"/>
  <c r="AB2876" i="27"/>
  <c r="AC2876" i="27"/>
  <c r="AD2876" i="27"/>
  <c r="AE2876" i="27"/>
  <c r="AF2876" i="27"/>
  <c r="E2877" i="27"/>
  <c r="P2877" i="27"/>
  <c r="Q2877" i="27"/>
  <c r="R2877" i="27"/>
  <c r="AB2877" i="27"/>
  <c r="AC2877" i="27"/>
  <c r="AD2877" i="27"/>
  <c r="AE2877" i="27"/>
  <c r="AF2877" i="27"/>
  <c r="E2878" i="27"/>
  <c r="P2878" i="27"/>
  <c r="Q2878" i="27"/>
  <c r="R2878" i="27"/>
  <c r="AB2878" i="27"/>
  <c r="AC2878" i="27"/>
  <c r="AD2878" i="27"/>
  <c r="AE2878" i="27"/>
  <c r="AF2878" i="27"/>
  <c r="E2879" i="27"/>
  <c r="P2879" i="27"/>
  <c r="Q2879" i="27"/>
  <c r="R2879" i="27"/>
  <c r="AB2879" i="27"/>
  <c r="AC2879" i="27"/>
  <c r="AD2879" i="27"/>
  <c r="AE2879" i="27"/>
  <c r="AF2879" i="27"/>
  <c r="E2880" i="27"/>
  <c r="P2880" i="27"/>
  <c r="Q2880" i="27"/>
  <c r="R2880" i="27"/>
  <c r="AB2880" i="27"/>
  <c r="AC2880" i="27"/>
  <c r="AD2880" i="27"/>
  <c r="AE2880" i="27"/>
  <c r="AF2880" i="27"/>
  <c r="E2881" i="27"/>
  <c r="P2881" i="27"/>
  <c r="Q2881" i="27"/>
  <c r="R2881" i="27"/>
  <c r="AB2881" i="27"/>
  <c r="AC2881" i="27"/>
  <c r="AD2881" i="27"/>
  <c r="AE2881" i="27"/>
  <c r="AF2881" i="27"/>
  <c r="E2882" i="27"/>
  <c r="P2882" i="27"/>
  <c r="Q2882" i="27"/>
  <c r="R2882" i="27"/>
  <c r="AB2882" i="27"/>
  <c r="AC2882" i="27"/>
  <c r="AD2882" i="27"/>
  <c r="AE2882" i="27"/>
  <c r="AF2882" i="27"/>
  <c r="E2883" i="27"/>
  <c r="P2883" i="27"/>
  <c r="Q2883" i="27"/>
  <c r="R2883" i="27"/>
  <c r="AB2883" i="27"/>
  <c r="AC2883" i="27"/>
  <c r="AD2883" i="27"/>
  <c r="AE2883" i="27"/>
  <c r="AF2883" i="27"/>
  <c r="E2884" i="27"/>
  <c r="P2884" i="27"/>
  <c r="Q2884" i="27"/>
  <c r="R2884" i="27"/>
  <c r="AB2884" i="27"/>
  <c r="AC2884" i="27"/>
  <c r="AD2884" i="27"/>
  <c r="AE2884" i="27"/>
  <c r="AF2884" i="27"/>
  <c r="E2885" i="27"/>
  <c r="P2885" i="27"/>
  <c r="Q2885" i="27"/>
  <c r="R2885" i="27"/>
  <c r="AB2885" i="27"/>
  <c r="AC2885" i="27"/>
  <c r="AD2885" i="27"/>
  <c r="AE2885" i="27"/>
  <c r="AF2885" i="27"/>
  <c r="E2886" i="27"/>
  <c r="P2886" i="27"/>
  <c r="Q2886" i="27"/>
  <c r="R2886" i="27"/>
  <c r="AB2886" i="27"/>
  <c r="AC2886" i="27"/>
  <c r="AD2886" i="27"/>
  <c r="AE2886" i="27"/>
  <c r="AF2886" i="27"/>
  <c r="E2887" i="27"/>
  <c r="P2887" i="27"/>
  <c r="Q2887" i="27"/>
  <c r="R2887" i="27"/>
  <c r="AB2887" i="27"/>
  <c r="AC2887" i="27"/>
  <c r="AD2887" i="27"/>
  <c r="AE2887" i="27"/>
  <c r="AF2887" i="27"/>
  <c r="E2888" i="27"/>
  <c r="P2888" i="27"/>
  <c r="Q2888" i="27"/>
  <c r="R2888" i="27"/>
  <c r="AB2888" i="27"/>
  <c r="AC2888" i="27"/>
  <c r="AD2888" i="27"/>
  <c r="AE2888" i="27"/>
  <c r="AF2888" i="27"/>
  <c r="E2889" i="27"/>
  <c r="P2889" i="27"/>
  <c r="Q2889" i="27"/>
  <c r="R2889" i="27"/>
  <c r="AB2889" i="27"/>
  <c r="AC2889" i="27"/>
  <c r="AD2889" i="27"/>
  <c r="AE2889" i="27"/>
  <c r="AF2889" i="27"/>
  <c r="E2890" i="27"/>
  <c r="P2890" i="27"/>
  <c r="Q2890" i="27"/>
  <c r="R2890" i="27"/>
  <c r="AB2890" i="27"/>
  <c r="AC2890" i="27"/>
  <c r="AD2890" i="27"/>
  <c r="AE2890" i="27"/>
  <c r="AF2890" i="27"/>
  <c r="E2891" i="27"/>
  <c r="P2891" i="27"/>
  <c r="Q2891" i="27"/>
  <c r="R2891" i="27"/>
  <c r="AB2891" i="27"/>
  <c r="AC2891" i="27"/>
  <c r="AD2891" i="27"/>
  <c r="AE2891" i="27"/>
  <c r="AF2891" i="27"/>
  <c r="E2892" i="27"/>
  <c r="P2892" i="27"/>
  <c r="Q2892" i="27"/>
  <c r="R2892" i="27"/>
  <c r="AB2892" i="27"/>
  <c r="AC2892" i="27"/>
  <c r="AD2892" i="27"/>
  <c r="AE2892" i="27"/>
  <c r="AF2892" i="27"/>
  <c r="E2893" i="27"/>
  <c r="P2893" i="27"/>
  <c r="Q2893" i="27"/>
  <c r="R2893" i="27"/>
  <c r="AB2893" i="27"/>
  <c r="AC2893" i="27"/>
  <c r="AD2893" i="27"/>
  <c r="AE2893" i="27"/>
  <c r="AF2893" i="27"/>
  <c r="E2894" i="27"/>
  <c r="P2894" i="27"/>
  <c r="Q2894" i="27"/>
  <c r="R2894" i="27"/>
  <c r="AB2894" i="27"/>
  <c r="AC2894" i="27"/>
  <c r="AD2894" i="27"/>
  <c r="AE2894" i="27"/>
  <c r="AF2894" i="27"/>
  <c r="E2895" i="27"/>
  <c r="P2895" i="27"/>
  <c r="Q2895" i="27"/>
  <c r="R2895" i="27"/>
  <c r="AB2895" i="27"/>
  <c r="AC2895" i="27"/>
  <c r="AD2895" i="27"/>
  <c r="AE2895" i="27"/>
  <c r="AF2895" i="27"/>
  <c r="E2896" i="27"/>
  <c r="P2896" i="27"/>
  <c r="Q2896" i="27"/>
  <c r="R2896" i="27"/>
  <c r="AB2896" i="27"/>
  <c r="AC2896" i="27"/>
  <c r="AD2896" i="27"/>
  <c r="AE2896" i="27"/>
  <c r="AF2896" i="27"/>
  <c r="E2897" i="27"/>
  <c r="P2897" i="27"/>
  <c r="Q2897" i="27"/>
  <c r="R2897" i="27"/>
  <c r="AB2897" i="27"/>
  <c r="AC2897" i="27"/>
  <c r="AD2897" i="27"/>
  <c r="AE2897" i="27"/>
  <c r="AF2897" i="27"/>
  <c r="E2898" i="27"/>
  <c r="P2898" i="27"/>
  <c r="Q2898" i="27"/>
  <c r="R2898" i="27"/>
  <c r="AB2898" i="27"/>
  <c r="AC2898" i="27"/>
  <c r="AD2898" i="27"/>
  <c r="AE2898" i="27"/>
  <c r="AF2898" i="27"/>
  <c r="E2900" i="27"/>
  <c r="P2900" i="27"/>
  <c r="Q2900" i="27"/>
  <c r="R2900" i="27"/>
  <c r="AB2900" i="27"/>
  <c r="AC2900" i="27"/>
  <c r="AD2900" i="27"/>
  <c r="AE2900" i="27"/>
  <c r="AF2900" i="27"/>
  <c r="E2902" i="27"/>
  <c r="P2902" i="27"/>
  <c r="Q2902" i="27"/>
  <c r="R2902" i="27"/>
  <c r="AB2902" i="27"/>
  <c r="AC2902" i="27"/>
  <c r="AD2902" i="27"/>
  <c r="AE2902" i="27"/>
  <c r="AF2902" i="27"/>
  <c r="E2903" i="27"/>
  <c r="P2903" i="27"/>
  <c r="Q2903" i="27"/>
  <c r="R2903" i="27"/>
  <c r="AB2903" i="27"/>
  <c r="AC2903" i="27"/>
  <c r="AD2903" i="27"/>
  <c r="AE2903" i="27"/>
  <c r="AF2903" i="27"/>
  <c r="E2904" i="27"/>
  <c r="P2904" i="27"/>
  <c r="Q2904" i="27"/>
  <c r="R2904" i="27"/>
  <c r="AB2904" i="27"/>
  <c r="AC2904" i="27"/>
  <c r="AD2904" i="27"/>
  <c r="AE2904" i="27"/>
  <c r="AF2904" i="27"/>
  <c r="E2906" i="27"/>
  <c r="P2906" i="27"/>
  <c r="Q2906" i="27"/>
  <c r="R2906" i="27"/>
  <c r="AB2906" i="27"/>
  <c r="AC2906" i="27"/>
  <c r="AD2906" i="27"/>
  <c r="AE2906" i="27"/>
  <c r="AF2906" i="27"/>
  <c r="E2907" i="27"/>
  <c r="P2907" i="27"/>
  <c r="Q2907" i="27"/>
  <c r="R2907" i="27"/>
  <c r="AB2907" i="27"/>
  <c r="AC2907" i="27"/>
  <c r="AD2907" i="27"/>
  <c r="AE2907" i="27"/>
  <c r="AF2907" i="27"/>
  <c r="E2908" i="27"/>
  <c r="P2908" i="27"/>
  <c r="Q2908" i="27"/>
  <c r="R2908" i="27"/>
  <c r="AB2908" i="27"/>
  <c r="AC2908" i="27"/>
  <c r="AD2908" i="27"/>
  <c r="AE2908" i="27"/>
  <c r="AF2908" i="27"/>
  <c r="E2909" i="27"/>
  <c r="P2909" i="27"/>
  <c r="Q2909" i="27"/>
  <c r="R2909" i="27"/>
  <c r="AB2909" i="27"/>
  <c r="AC2909" i="27"/>
  <c r="AD2909" i="27"/>
  <c r="AE2909" i="27"/>
  <c r="AF2909" i="27"/>
  <c r="E2910" i="27"/>
  <c r="P2910" i="27"/>
  <c r="Q2910" i="27"/>
  <c r="R2910" i="27"/>
  <c r="AB2910" i="27"/>
  <c r="AC2910" i="27"/>
  <c r="AD2910" i="27"/>
  <c r="AE2910" i="27"/>
  <c r="AF2910" i="27"/>
  <c r="E2912" i="27"/>
  <c r="P2912" i="27"/>
  <c r="Q2912" i="27"/>
  <c r="R2912" i="27"/>
  <c r="AB2912" i="27"/>
  <c r="AC2912" i="27"/>
  <c r="AD2912" i="27"/>
  <c r="AE2912" i="27"/>
  <c r="AF2912" i="27"/>
  <c r="E2913" i="27"/>
  <c r="P2913" i="27"/>
  <c r="Q2913" i="27"/>
  <c r="R2913" i="27"/>
  <c r="AB2913" i="27"/>
  <c r="AC2913" i="27"/>
  <c r="AD2913" i="27"/>
  <c r="AE2913" i="27"/>
  <c r="AF2913" i="27"/>
  <c r="E2914" i="27"/>
  <c r="P2914" i="27"/>
  <c r="Q2914" i="27"/>
  <c r="R2914" i="27"/>
  <c r="AB2914" i="27"/>
  <c r="AC2914" i="27"/>
  <c r="AD2914" i="27"/>
  <c r="AE2914" i="27"/>
  <c r="AF2914" i="27"/>
  <c r="E2915" i="27"/>
  <c r="P2915" i="27"/>
  <c r="Q2915" i="27"/>
  <c r="R2915" i="27"/>
  <c r="AB2915" i="27"/>
  <c r="AC2915" i="27"/>
  <c r="AD2915" i="27"/>
  <c r="AE2915" i="27"/>
  <c r="AF2915" i="27"/>
  <c r="E2916" i="27"/>
  <c r="P2916" i="27"/>
  <c r="Q2916" i="27"/>
  <c r="R2916" i="27"/>
  <c r="AB2916" i="27"/>
  <c r="AC2916" i="27"/>
  <c r="AD2916" i="27"/>
  <c r="AE2916" i="27"/>
  <c r="AF2916" i="27"/>
  <c r="E2917" i="27"/>
  <c r="P2917" i="27"/>
  <c r="Q2917" i="27"/>
  <c r="R2917" i="27"/>
  <c r="AB2917" i="27"/>
  <c r="AC2917" i="27"/>
  <c r="AD2917" i="27"/>
  <c r="AE2917" i="27"/>
  <c r="AF2917" i="27"/>
  <c r="E2918" i="27"/>
  <c r="P2918" i="27"/>
  <c r="Q2918" i="27"/>
  <c r="R2918" i="27"/>
  <c r="AB2918" i="27"/>
  <c r="AC2918" i="27"/>
  <c r="AD2918" i="27"/>
  <c r="AE2918" i="27"/>
  <c r="AF2918" i="27"/>
  <c r="E2919" i="27"/>
  <c r="P2919" i="27"/>
  <c r="Q2919" i="27"/>
  <c r="R2919" i="27"/>
  <c r="AB2919" i="27"/>
  <c r="AC2919" i="27"/>
  <c r="AD2919" i="27"/>
  <c r="AE2919" i="27"/>
  <c r="AF2919" i="27"/>
  <c r="E2920" i="27"/>
  <c r="P2920" i="27"/>
  <c r="Q2920" i="27"/>
  <c r="R2920" i="27"/>
  <c r="AB2920" i="27"/>
  <c r="AC2920" i="27"/>
  <c r="AD2920" i="27"/>
  <c r="AE2920" i="27"/>
  <c r="AF2920" i="27"/>
  <c r="E2921" i="27"/>
  <c r="P2921" i="27"/>
  <c r="Q2921" i="27"/>
  <c r="R2921" i="27"/>
  <c r="AB2921" i="27"/>
  <c r="AC2921" i="27"/>
  <c r="AD2921" i="27"/>
  <c r="AE2921" i="27"/>
  <c r="AF2921" i="27"/>
  <c r="E2922" i="27"/>
  <c r="P2922" i="27"/>
  <c r="Q2922" i="27"/>
  <c r="R2922" i="27"/>
  <c r="AB2922" i="27"/>
  <c r="AC2922" i="27"/>
  <c r="AD2922" i="27"/>
  <c r="AE2922" i="27"/>
  <c r="AF2922" i="27"/>
  <c r="E2923" i="27"/>
  <c r="P2923" i="27"/>
  <c r="Q2923" i="27"/>
  <c r="R2923" i="27"/>
  <c r="AB2923" i="27"/>
  <c r="AC2923" i="27"/>
  <c r="AD2923" i="27"/>
  <c r="AE2923" i="27"/>
  <c r="AF2923" i="27"/>
  <c r="E2924" i="27"/>
  <c r="P2924" i="27"/>
  <c r="Q2924" i="27"/>
  <c r="R2924" i="27"/>
  <c r="AB2924" i="27"/>
  <c r="AC2924" i="27"/>
  <c r="AD2924" i="27"/>
  <c r="AE2924" i="27"/>
  <c r="AF2924" i="27"/>
  <c r="E2925" i="27"/>
  <c r="P2925" i="27"/>
  <c r="Q2925" i="27"/>
  <c r="R2925" i="27"/>
  <c r="AB2925" i="27"/>
  <c r="AC2925" i="27"/>
  <c r="AD2925" i="27"/>
  <c r="AE2925" i="27"/>
  <c r="AF2925" i="27"/>
  <c r="E2927" i="27"/>
  <c r="P2927" i="27"/>
  <c r="Q2927" i="27"/>
  <c r="R2927" i="27"/>
  <c r="AB2927" i="27"/>
  <c r="AC2927" i="27"/>
  <c r="AD2927" i="27"/>
  <c r="AE2927" i="27"/>
  <c r="AF2927" i="27"/>
  <c r="E2930" i="27"/>
  <c r="P2930" i="27"/>
  <c r="Q2930" i="27"/>
  <c r="R2930" i="27"/>
  <c r="AB2930" i="27"/>
  <c r="AC2930" i="27"/>
  <c r="AD2930" i="27"/>
  <c r="AE2930" i="27"/>
  <c r="AF2930" i="27"/>
  <c r="E2931" i="27"/>
  <c r="P2931" i="27"/>
  <c r="Q2931" i="27"/>
  <c r="R2931" i="27"/>
  <c r="AB2931" i="27"/>
  <c r="AC2931" i="27"/>
  <c r="AD2931" i="27"/>
  <c r="AE2931" i="27"/>
  <c r="AF2931" i="27"/>
  <c r="E2937" i="27"/>
  <c r="P2937" i="27"/>
  <c r="Q2937" i="27"/>
  <c r="R2937" i="27"/>
  <c r="AB2937" i="27"/>
  <c r="AC2937" i="27"/>
  <c r="AD2937" i="27"/>
  <c r="AE2937" i="27"/>
  <c r="AF2937" i="27"/>
  <c r="E2943" i="27"/>
  <c r="P2943" i="27"/>
  <c r="Q2943" i="27"/>
  <c r="R2943" i="27"/>
  <c r="AB2943" i="27"/>
  <c r="AC2943" i="27"/>
  <c r="AD2943" i="27"/>
  <c r="AE2943" i="27"/>
  <c r="AF2943" i="27"/>
  <c r="E2944" i="27"/>
  <c r="P2944" i="27"/>
  <c r="Q2944" i="27"/>
  <c r="R2944" i="27"/>
  <c r="AB2944" i="27"/>
  <c r="AC2944" i="27"/>
  <c r="AD2944" i="27"/>
  <c r="AE2944" i="27"/>
  <c r="AF2944" i="27"/>
  <c r="E2949" i="27"/>
  <c r="P2949" i="27"/>
  <c r="Q2949" i="27"/>
  <c r="R2949" i="27"/>
  <c r="AB2949" i="27"/>
  <c r="AC2949" i="27"/>
  <c r="AD2949" i="27"/>
  <c r="AE2949" i="27"/>
  <c r="AF2949" i="27"/>
  <c r="Q1318" i="27"/>
  <c r="R1318" i="27"/>
  <c r="AB1318" i="27"/>
  <c r="AD1318" i="27"/>
  <c r="AE1318" i="27"/>
  <c r="AF1318" i="27"/>
  <c r="E1607" i="27"/>
  <c r="P1607" i="27"/>
  <c r="Q1607" i="27"/>
  <c r="R1607" i="27"/>
  <c r="AB1607" i="27"/>
  <c r="AC1607" i="27"/>
  <c r="AD1607" i="27"/>
  <c r="AE1607" i="27"/>
  <c r="AF1607" i="27"/>
  <c r="E3308" i="27"/>
  <c r="P3308" i="27"/>
  <c r="Q3308" i="27"/>
  <c r="R3308" i="27"/>
  <c r="AB3308" i="27"/>
  <c r="AC3308" i="27"/>
  <c r="AD3308" i="27"/>
  <c r="AE3308" i="27"/>
  <c r="AF3308" i="27"/>
  <c r="AM91" i="27"/>
  <c r="AM1378" i="27"/>
  <c r="AN1378" i="27" s="1"/>
  <c r="AO1378" i="27" s="1"/>
  <c r="AM3298" i="27"/>
  <c r="AN3298" i="27" s="1"/>
  <c r="AO3298" i="27" s="1"/>
  <c r="AM1644" i="27"/>
  <c r="AH1644" i="27" s="1"/>
  <c r="AM3216" i="27"/>
  <c r="AM1549" i="27"/>
  <c r="AM1782" i="27"/>
  <c r="AM1695" i="27"/>
  <c r="AQ229" i="27"/>
  <c r="AR229" i="27" s="1"/>
  <c r="AS229" i="27" s="1"/>
  <c r="AM3077" i="27"/>
  <c r="AN3077" i="27" s="1"/>
  <c r="AO3077" i="27" s="1"/>
  <c r="AM229" i="27"/>
  <c r="AH229" i="27" s="1"/>
  <c r="AM3088" i="27"/>
  <c r="AN3088" i="27" s="1"/>
  <c r="AO3088" i="27" s="1"/>
  <c r="AM3207" i="27"/>
  <c r="AM2335" i="27"/>
  <c r="AM3097" i="27"/>
  <c r="AM1522" i="27"/>
  <c r="AM3054" i="27"/>
  <c r="AM1544" i="27"/>
  <c r="AH1544" i="27" s="1"/>
  <c r="AM1505" i="27"/>
  <c r="AN1505" i="27" s="1"/>
  <c r="AO1505" i="27" s="1"/>
  <c r="AM1585" i="27"/>
  <c r="AN1585" i="27" s="1"/>
  <c r="AO1585" i="27" s="1"/>
  <c r="AM1623" i="27"/>
  <c r="AH1623" i="27" s="1"/>
  <c r="AM3101" i="27"/>
  <c r="AM3102" i="27"/>
  <c r="AH3102" i="27" s="1"/>
  <c r="AM3305" i="27"/>
  <c r="AM1745" i="27"/>
  <c r="AM1479" i="27"/>
  <c r="AH1479" i="27" s="1"/>
  <c r="AM3090" i="27"/>
  <c r="AM1535" i="27"/>
  <c r="AN1535" i="27" s="1"/>
  <c r="AO1535" i="27" s="1"/>
  <c r="AM3212" i="27"/>
  <c r="AM2344" i="27"/>
  <c r="AN2344" i="27" s="1"/>
  <c r="AO2344" i="27" s="1"/>
  <c r="AM1510" i="27"/>
  <c r="AM2053" i="27"/>
  <c r="AM1586" i="27"/>
  <c r="AM1645" i="27"/>
  <c r="AN1645" i="27" s="1"/>
  <c r="AO1645" i="27" s="1"/>
  <c r="AM3218" i="27"/>
  <c r="AN3218" i="27" s="1"/>
  <c r="AO3218" i="27" s="1"/>
  <c r="AM1529" i="27"/>
  <c r="AM3303" i="27"/>
  <c r="AM3287" i="27"/>
  <c r="AM1628" i="27"/>
  <c r="AM3302" i="27"/>
  <c r="AM1569" i="27"/>
  <c r="AQ233" i="27"/>
  <c r="AR233" i="27" s="1"/>
  <c r="AS233" i="27" s="1"/>
  <c r="AM2340" i="27"/>
  <c r="AN2340" i="27" s="1"/>
  <c r="AO2340" i="27" s="1"/>
  <c r="AM233" i="27"/>
  <c r="AM1474" i="27"/>
  <c r="AM213" i="27"/>
  <c r="AM3211" i="27"/>
  <c r="AM1742" i="27"/>
  <c r="AM3299" i="27"/>
  <c r="AH3299" i="27" s="1"/>
  <c r="AM3206" i="27"/>
  <c r="AN3206" i="27" s="1"/>
  <c r="AO3206" i="27" s="1"/>
  <c r="AM1699" i="27"/>
  <c r="AM2056" i="27"/>
  <c r="AM1579" i="27"/>
  <c r="AH1579" i="27" s="1"/>
  <c r="E3325" i="27"/>
  <c r="AM3325" i="27"/>
  <c r="AN3325" i="27" s="1"/>
  <c r="AO3325" i="27" s="1"/>
  <c r="AM47" i="27"/>
  <c r="AM1676" i="27"/>
  <c r="AM1698" i="27"/>
  <c r="AM162" i="27"/>
  <c r="AM3225" i="27"/>
  <c r="AM2337" i="27"/>
  <c r="AM93" i="27"/>
  <c r="AH93" i="27" s="1"/>
  <c r="AM56" i="27"/>
  <c r="AH56" i="27" s="1"/>
  <c r="AM54" i="27"/>
  <c r="AH54" i="27" s="1"/>
  <c r="AM1737" i="27"/>
  <c r="AM3100" i="27"/>
  <c r="AN3100" i="27" s="1"/>
  <c r="AO3100" i="27" s="1"/>
  <c r="AM1633" i="27"/>
  <c r="AM1587" i="27"/>
  <c r="AH1587" i="27" s="1"/>
  <c r="E3184" i="27"/>
  <c r="AM1637" i="27"/>
  <c r="AM3059" i="27"/>
  <c r="AM1650" i="27"/>
  <c r="AM3068" i="27"/>
  <c r="AN3068" i="27" s="1"/>
  <c r="AO3068" i="27" s="1"/>
  <c r="AM3226" i="27"/>
  <c r="AM1473" i="27"/>
  <c r="AM1638" i="27"/>
  <c r="AN1638" i="27" s="1"/>
  <c r="AO1638" i="27" s="1"/>
  <c r="AM1625" i="27"/>
  <c r="AH1625" i="27" s="1"/>
  <c r="AM2331" i="27"/>
  <c r="AN2331" i="27" s="1"/>
  <c r="AO2331" i="27" s="1"/>
  <c r="AM1630" i="27"/>
  <c r="AM1648" i="27"/>
  <c r="AM1641" i="27"/>
  <c r="AM1640" i="27"/>
  <c r="AH1640" i="27" s="1"/>
  <c r="AM1639" i="27"/>
  <c r="AM1517" i="27"/>
  <c r="AH1517" i="27" s="1"/>
  <c r="AM3229" i="27"/>
  <c r="AM3232" i="27"/>
  <c r="AM1700" i="27"/>
  <c r="AN1700" i="27" s="1"/>
  <c r="AO1700" i="27" s="1"/>
  <c r="AM1778" i="27"/>
  <c r="AH1778" i="27" s="1"/>
  <c r="AM1654" i="27"/>
  <c r="AM1671" i="27"/>
  <c r="AM1657" i="27"/>
  <c r="AM1749" i="27"/>
  <c r="AN1749" i="27" s="1"/>
  <c r="AO1749" i="27" s="1"/>
  <c r="AM1732" i="27"/>
  <c r="AM1621" i="27"/>
  <c r="AH1621" i="27" s="1"/>
  <c r="AM1672" i="27"/>
  <c r="AH1672" i="27" s="1"/>
  <c r="AM1681" i="27"/>
  <c r="AH1681" i="27" s="1"/>
  <c r="AM1658" i="27"/>
  <c r="AM1746" i="27"/>
  <c r="AH1746" i="27" s="1"/>
  <c r="AM1725" i="27"/>
  <c r="AM1635" i="27"/>
  <c r="AM1652" i="27"/>
  <c r="AM3111" i="27"/>
  <c r="AM1720" i="27"/>
  <c r="AM3110" i="27"/>
  <c r="AH3110" i="27" s="1"/>
  <c r="AM1620" i="27"/>
  <c r="AM1626" i="27"/>
  <c r="AM3213" i="27"/>
  <c r="AM1789" i="27"/>
  <c r="AM2970" i="27"/>
  <c r="AM1527" i="27"/>
  <c r="AM2332" i="27"/>
  <c r="AN2332" i="27" s="1"/>
  <c r="AO2332" i="27" s="1"/>
  <c r="AM1685" i="27"/>
  <c r="AM1593" i="27"/>
  <c r="AN1593" i="27" s="1"/>
  <c r="AO1593" i="27" s="1"/>
  <c r="AM1744" i="27"/>
  <c r="AM2046" i="27"/>
  <c r="AM1653" i="27"/>
  <c r="AN1653" i="27" s="1"/>
  <c r="AO1653" i="27" s="1"/>
  <c r="AM1594" i="27"/>
  <c r="AM3114" i="27"/>
  <c r="AM2058" i="27"/>
  <c r="AM1624" i="27"/>
  <c r="AM3235" i="27"/>
  <c r="AM3238" i="27"/>
  <c r="AM3217" i="27"/>
  <c r="AM1718" i="27"/>
  <c r="AM3239" i="27"/>
  <c r="AM2366" i="27"/>
  <c r="AN2366" i="27" s="1"/>
  <c r="AO2366" i="27" s="1"/>
  <c r="AM225" i="27"/>
  <c r="AH225" i="27" s="1"/>
  <c r="AM3112" i="27"/>
  <c r="AM1734" i="27"/>
  <c r="AM1791" i="27"/>
  <c r="AM59" i="27"/>
  <c r="AM2345" i="27"/>
  <c r="AM58" i="27"/>
  <c r="AN58" i="27" s="1"/>
  <c r="AO58" i="27" s="1"/>
  <c r="AM61" i="27"/>
  <c r="AM2358" i="27"/>
  <c r="AM3319" i="27"/>
  <c r="AH3319" i="27" s="1"/>
  <c r="AM2339" i="27"/>
  <c r="AH2339" i="27" s="1"/>
  <c r="AM125" i="27"/>
  <c r="AH125" i="27" s="1"/>
  <c r="AM1709" i="27"/>
  <c r="AM2357" i="27"/>
  <c r="AM1723" i="27"/>
  <c r="AH1723" i="27" s="1"/>
  <c r="AM1771" i="27"/>
  <c r="AM1727" i="27"/>
  <c r="AN1727" i="27" s="1"/>
  <c r="AO1727" i="27" s="1"/>
  <c r="AM3191" i="27"/>
  <c r="AH3191" i="27" s="1"/>
  <c r="AM2364" i="27"/>
  <c r="AM1832" i="27"/>
  <c r="AM1753" i="27"/>
  <c r="AH1753" i="27" s="1"/>
  <c r="AM1655" i="27"/>
  <c r="AH1655" i="27" s="1"/>
  <c r="AM2055" i="27"/>
  <c r="AN2055" i="27" s="1"/>
  <c r="AO2055" i="27" s="1"/>
  <c r="AM1754" i="27"/>
  <c r="AH1754" i="27" s="1"/>
  <c r="AM3219" i="27"/>
  <c r="AN3219" i="27" s="1"/>
  <c r="AO3219" i="27" s="1"/>
  <c r="AM3220" i="27"/>
  <c r="AN3220" i="27" s="1"/>
  <c r="AO3220" i="27" s="1"/>
  <c r="AM2060" i="27"/>
  <c r="AM1724" i="27"/>
  <c r="AM1772" i="27"/>
  <c r="AM3311" i="27"/>
  <c r="AH3311" i="27" s="1"/>
  <c r="Q11" i="37"/>
  <c r="T11" i="37" s="1"/>
  <c r="AM1766" i="27"/>
  <c r="AN1766" i="27" s="1"/>
  <c r="AO1766" i="27" s="1"/>
  <c r="AM1664" i="27"/>
  <c r="AM3317" i="27"/>
  <c r="AN3317" i="27" s="1"/>
  <c r="AO3317" i="27" s="1"/>
  <c r="AM2347" i="27"/>
  <c r="AM2061" i="27"/>
  <c r="AH2061" i="27" s="1"/>
  <c r="AM3120" i="27"/>
  <c r="AN3120" i="27" s="1"/>
  <c r="AO3120" i="27" s="1"/>
  <c r="AM3323" i="27"/>
  <c r="AN3323" i="27" s="1"/>
  <c r="AO3323" i="27" s="1"/>
  <c r="AM3202" i="27"/>
  <c r="AN3202" i="27" s="1"/>
  <c r="AO3202" i="27" s="1"/>
  <c r="AM3122" i="27"/>
  <c r="AM95" i="27"/>
  <c r="AM1701" i="27"/>
  <c r="AM3314" i="27"/>
  <c r="AM1669" i="27"/>
  <c r="AM1721" i="27"/>
  <c r="AM1773" i="27"/>
  <c r="AM2359" i="27"/>
  <c r="AM2067" i="27"/>
  <c r="AM1711" i="27"/>
  <c r="AN1711" i="27" s="1"/>
  <c r="AO1711" i="27" s="1"/>
  <c r="AM3124" i="27"/>
  <c r="AM1797" i="27"/>
  <c r="AH1797" i="27" s="1"/>
  <c r="AM2062" i="27"/>
  <c r="P11" i="37"/>
  <c r="AM3084" i="27"/>
  <c r="AN3084" i="27" s="1"/>
  <c r="AO3084" i="27" s="1"/>
  <c r="AM1629" i="27"/>
  <c r="AM1703" i="27"/>
  <c r="AH1703" i="27" s="1"/>
  <c r="Y11" i="37"/>
  <c r="L11" i="37"/>
  <c r="K11" i="37" s="1"/>
  <c r="N11" i="37"/>
  <c r="M11" i="37" s="1"/>
  <c r="W11" i="37"/>
  <c r="G11" i="37"/>
  <c r="E11" i="37"/>
  <c r="D11" i="37"/>
  <c r="O11" i="37"/>
  <c r="F11" i="37"/>
  <c r="X11" i="37"/>
  <c r="AM2346" i="27"/>
  <c r="AN2346" i="27" s="1"/>
  <c r="AO2346" i="27" s="1"/>
  <c r="AM1706" i="27"/>
  <c r="AM3129" i="27"/>
  <c r="AH3129" i="27" s="1"/>
  <c r="AM1768" i="27"/>
  <c r="AN1768" i="27" s="1"/>
  <c r="AO1768" i="27" s="1"/>
  <c r="AM3192" i="27"/>
  <c r="AM3197" i="27"/>
  <c r="AM3250" i="27"/>
  <c r="AH3250" i="27" s="1"/>
  <c r="AM2336" i="27"/>
  <c r="AH2336" i="27" s="1"/>
  <c r="AM1707" i="27"/>
  <c r="AH1707" i="27" s="1"/>
  <c r="AM1688" i="27"/>
  <c r="AM3195" i="27"/>
  <c r="AM1731" i="27"/>
  <c r="AM3127" i="27"/>
  <c r="AH3127" i="27" s="1"/>
  <c r="AM1833" i="27"/>
  <c r="AH1833" i="27" s="1"/>
  <c r="AM3125" i="27"/>
  <c r="AN3125" i="27" s="1"/>
  <c r="AO3125" i="27" s="1"/>
  <c r="AM3103" i="27"/>
  <c r="AH3103" i="27" s="1"/>
  <c r="AM3247" i="27"/>
  <c r="AM3252" i="27"/>
  <c r="AM1730" i="27"/>
  <c r="AM1728" i="27"/>
  <c r="AM1759" i="27"/>
  <c r="AN1759" i="27" s="1"/>
  <c r="AO1759" i="27" s="1"/>
  <c r="AM3132" i="27"/>
  <c r="AM237" i="27"/>
  <c r="AN237" i="27" s="1"/>
  <c r="AO237" i="27" s="1"/>
  <c r="AM3131" i="27"/>
  <c r="AM1763" i="27"/>
  <c r="AM3137" i="27"/>
  <c r="AH3137" i="27" s="1"/>
  <c r="AM3255" i="27"/>
  <c r="AH3255" i="27" s="1"/>
  <c r="AM101" i="27"/>
  <c r="AN101" i="27" s="1"/>
  <c r="AO101" i="27" s="1"/>
  <c r="AM238" i="27"/>
  <c r="AM2352" i="27"/>
  <c r="AH2352" i="27" s="1"/>
  <c r="AM1595" i="27"/>
  <c r="AM128" i="27"/>
  <c r="AM3139" i="27"/>
  <c r="AM2057" i="27"/>
  <c r="AH2057" i="27" s="1"/>
  <c r="AM3142" i="27"/>
  <c r="AH3142" i="27" s="1"/>
  <c r="AM2064" i="27"/>
  <c r="AM239" i="27"/>
  <c r="AM1762" i="27"/>
  <c r="AM3144" i="27"/>
  <c r="AM3134" i="27"/>
  <c r="AN3134" i="27" s="1"/>
  <c r="AO3134" i="27" s="1"/>
  <c r="AM1775" i="27"/>
  <c r="AM1802" i="27"/>
  <c r="AH1802" i="27" s="1"/>
  <c r="AM3148" i="27"/>
  <c r="AN3148" i="27" s="1"/>
  <c r="AO3148" i="27" s="1"/>
  <c r="AM3149" i="27"/>
  <c r="AH3149" i="27" s="1"/>
  <c r="AM3246" i="27"/>
  <c r="AM66" i="27"/>
  <c r="AH66" i="27" s="1"/>
  <c r="AM2369" i="27"/>
  <c r="AM3150" i="27"/>
  <c r="AH3150" i="27" s="1"/>
  <c r="AQ238" i="27"/>
  <c r="AR238" i="27" s="1"/>
  <c r="AS238" i="27" s="1"/>
  <c r="AQ237" i="27"/>
  <c r="AR237" i="27" s="1"/>
  <c r="AS237" i="27" s="1"/>
  <c r="AM1752" i="27"/>
  <c r="AH1752" i="27" s="1"/>
  <c r="AM1719" i="27"/>
  <c r="AM3151" i="27"/>
  <c r="AH3151" i="27" s="1"/>
  <c r="AM3143" i="27"/>
  <c r="AN3143" i="27" s="1"/>
  <c r="AO3143" i="27" s="1"/>
  <c r="AM3259" i="27"/>
  <c r="AN3259" i="27" s="1"/>
  <c r="AO3259" i="27" s="1"/>
  <c r="AM1776" i="27"/>
  <c r="AM3138" i="27"/>
  <c r="AM3251" i="27"/>
  <c r="AH3251" i="27" s="1"/>
  <c r="AM3258" i="27"/>
  <c r="AH3258" i="27" s="1"/>
  <c r="AM3260" i="27"/>
  <c r="AN3260" i="27" s="1"/>
  <c r="AO3260" i="27" s="1"/>
  <c r="AM1788" i="27"/>
  <c r="AH1788" i="27" s="1"/>
  <c r="AM211" i="27"/>
  <c r="AN211" i="27" s="1"/>
  <c r="AO211" i="27" s="1"/>
  <c r="AM135" i="27"/>
  <c r="AM1815" i="27"/>
  <c r="AN1815" i="27" s="1"/>
  <c r="AO1815" i="27" s="1"/>
  <c r="AM89" i="27"/>
  <c r="AM43" i="27"/>
  <c r="AN43" i="27" s="1"/>
  <c r="AO43" i="27" s="1"/>
  <c r="AM34" i="27"/>
  <c r="AH34" i="27" s="1"/>
  <c r="AM3244" i="27"/>
  <c r="AH3244" i="27" s="1"/>
  <c r="AM3147" i="27"/>
  <c r="AM3141" i="27"/>
  <c r="AH3141" i="27" s="1"/>
  <c r="AM63" i="27"/>
  <c r="AH63" i="27" s="1"/>
  <c r="AM3262" i="27"/>
  <c r="AH3262" i="27" s="1"/>
  <c r="AM3153" i="27"/>
  <c r="AN3153" i="27" s="1"/>
  <c r="AO3153" i="27" s="1"/>
  <c r="AM1800" i="27"/>
  <c r="AN1800" i="27" s="1"/>
  <c r="AO1800" i="27" s="1"/>
  <c r="AM183" i="27"/>
  <c r="AM2354" i="27"/>
  <c r="AH2354" i="27" s="1"/>
  <c r="AM118" i="27"/>
  <c r="AH118" i="27" s="1"/>
  <c r="AM73" i="27"/>
  <c r="AM1739" i="27"/>
  <c r="AM177" i="27"/>
  <c r="AM3200" i="27"/>
  <c r="AM219" i="27"/>
  <c r="AM1765" i="27"/>
  <c r="AM1798" i="27"/>
  <c r="AM1736" i="27"/>
  <c r="AM57" i="27"/>
  <c r="AN57" i="27" s="1"/>
  <c r="AO57" i="27" s="1"/>
  <c r="AM3264" i="27"/>
  <c r="AM1784" i="27"/>
  <c r="AM29" i="27"/>
  <c r="AM228" i="27"/>
  <c r="AM70" i="27"/>
  <c r="AM3159" i="27"/>
  <c r="AH3159" i="27" s="1"/>
  <c r="AM242" i="27"/>
  <c r="AM76" i="27"/>
  <c r="AN76" i="27" s="1"/>
  <c r="AO76" i="27" s="1"/>
  <c r="AM3265" i="27"/>
  <c r="AN3265" i="27" s="1"/>
  <c r="AO3265" i="27" s="1"/>
  <c r="AM3157" i="27"/>
  <c r="AM90" i="27"/>
  <c r="AM3145" i="27"/>
  <c r="AM1840" i="27"/>
  <c r="AM3116" i="27"/>
  <c r="AH3116" i="27" s="1"/>
  <c r="AM1807" i="27"/>
  <c r="AM1805" i="27"/>
  <c r="AM3233" i="27"/>
  <c r="AM19" i="27"/>
  <c r="AN19" i="27" s="1"/>
  <c r="AO19" i="27" s="1"/>
  <c r="AM1793" i="27"/>
  <c r="AH1793" i="27" s="1"/>
  <c r="AM1796" i="27"/>
  <c r="AM2353" i="27"/>
  <c r="AN2353" i="27" s="1"/>
  <c r="AO2353" i="27" s="1"/>
  <c r="AM77" i="27"/>
  <c r="AH77" i="27" s="1"/>
  <c r="AM201" i="27"/>
  <c r="AM1816" i="27"/>
  <c r="AM81" i="27"/>
  <c r="AM3324" i="27"/>
  <c r="AM78" i="27"/>
  <c r="AM28" i="27"/>
  <c r="AN28" i="27" s="1"/>
  <c r="AO28" i="27" s="1"/>
  <c r="AM3126" i="27"/>
  <c r="AM1821" i="27"/>
  <c r="AM3230" i="27"/>
  <c r="AM79" i="27"/>
  <c r="AM3154" i="27"/>
  <c r="AM2368" i="27"/>
  <c r="AH2368" i="27" s="1"/>
  <c r="AM3268" i="27"/>
  <c r="AM3152" i="27"/>
  <c r="AN3152" i="27" s="1"/>
  <c r="AO3152" i="27" s="1"/>
  <c r="AM3193" i="27"/>
  <c r="AM3256" i="27"/>
  <c r="AH3256" i="27" s="1"/>
  <c r="AM3160" i="27"/>
  <c r="AM3266" i="27"/>
  <c r="AN3266" i="27" s="1"/>
  <c r="AO3266" i="27" s="1"/>
  <c r="AM3162" i="27"/>
  <c r="AH3162" i="27" s="1"/>
  <c r="AM3267" i="27"/>
  <c r="AQ232" i="27"/>
  <c r="AR232" i="27" s="1"/>
  <c r="AS232" i="27" s="1"/>
  <c r="AM232" i="27"/>
  <c r="AN232" i="27" s="1"/>
  <c r="AO232" i="27" s="1"/>
  <c r="AM1622" i="27"/>
  <c r="AM134" i="27"/>
  <c r="AN134" i="27" s="1"/>
  <c r="AO134" i="27" s="1"/>
  <c r="AM2059" i="27"/>
  <c r="AH2059" i="27" s="1"/>
  <c r="AM1632" i="27"/>
  <c r="AN1632" i="27" s="1"/>
  <c r="AO1632" i="27" s="1"/>
  <c r="AM3316" i="27"/>
  <c r="AH3316" i="27" s="1"/>
  <c r="AM3113" i="27"/>
  <c r="AN3113" i="27" s="1"/>
  <c r="AO3113" i="27" s="1"/>
  <c r="AM3214" i="27"/>
  <c r="AM1696" i="27"/>
  <c r="AN1696" i="27" s="1"/>
  <c r="AO1696" i="27" s="1"/>
  <c r="AM1680" i="27"/>
  <c r="AM235" i="27"/>
  <c r="AH235" i="27" s="1"/>
  <c r="AQ235" i="27"/>
  <c r="AR235" i="27" s="1"/>
  <c r="AS235" i="27" s="1"/>
  <c r="AM1740" i="27"/>
  <c r="AN1740" i="27" s="1"/>
  <c r="AO1740" i="27" s="1"/>
  <c r="AM1770" i="27"/>
  <c r="AM132" i="27"/>
  <c r="AM3098" i="27"/>
  <c r="AH3098" i="27" s="1"/>
  <c r="AM3227" i="27"/>
  <c r="AN3227" i="27" s="1"/>
  <c r="AO3227" i="27" s="1"/>
  <c r="AM2356" i="27"/>
  <c r="AH2356" i="27" s="1"/>
  <c r="AM1716" i="27"/>
  <c r="AH1716" i="27" s="1"/>
  <c r="AM1741" i="27"/>
  <c r="AM3128" i="27"/>
  <c r="AM65" i="27"/>
  <c r="AN65" i="27" s="1"/>
  <c r="AO65" i="27" s="1"/>
  <c r="AM3135" i="27"/>
  <c r="AM1801" i="27"/>
  <c r="AN1801" i="27" s="1"/>
  <c r="AO1801" i="27" s="1"/>
  <c r="AM1803" i="27"/>
  <c r="AM3240" i="27"/>
  <c r="AN3240" i="27" s="1"/>
  <c r="AO3240" i="27" s="1"/>
  <c r="AM1592" i="27"/>
  <c r="AN1592" i="27" s="1"/>
  <c r="AO1592" i="27" s="1"/>
  <c r="AM212" i="27"/>
  <c r="AH212" i="27" s="1"/>
  <c r="AQ212" i="27"/>
  <c r="AR212" i="27" s="1"/>
  <c r="AS212" i="27" s="1"/>
  <c r="AM3087" i="27"/>
  <c r="AM1828" i="27"/>
  <c r="AH1828" i="27" s="1"/>
  <c r="AM2325" i="27"/>
  <c r="AH2325" i="27" s="1"/>
  <c r="AM104" i="27"/>
  <c r="AM3094" i="27"/>
  <c r="AN3094" i="27" s="1"/>
  <c r="AO3094" i="27" s="1"/>
  <c r="AM3312" i="27"/>
  <c r="AQ231" i="27"/>
  <c r="AR231" i="27" s="1"/>
  <c r="AS231" i="27" s="1"/>
  <c r="AM231" i="27"/>
  <c r="AN231" i="27" s="1"/>
  <c r="AO231" i="27" s="1"/>
  <c r="AM1835" i="27"/>
  <c r="AM3085" i="27"/>
  <c r="AM1733" i="27"/>
  <c r="AM1651" i="27"/>
  <c r="AM3231" i="27"/>
  <c r="AH3231" i="27" s="1"/>
  <c r="AM1591" i="27"/>
  <c r="AM3106" i="27"/>
  <c r="AH3106" i="27" s="1"/>
  <c r="AM250" i="27"/>
  <c r="AH250" i="27" s="1"/>
  <c r="AM252" i="27"/>
  <c r="AM202" i="27"/>
  <c r="AM39" i="27"/>
  <c r="AM3271" i="27"/>
  <c r="AM3273" i="27"/>
  <c r="AM249" i="27"/>
  <c r="AM2370" i="27"/>
  <c r="AN2370" i="27" s="1"/>
  <c r="AO2370" i="27" s="1"/>
  <c r="AM3272" i="27"/>
  <c r="AM3107" i="27"/>
  <c r="AM1854" i="27"/>
  <c r="AN1854" i="27" s="1"/>
  <c r="AO1854" i="27" s="1"/>
  <c r="AM1843" i="27"/>
  <c r="AH1843" i="27" s="1"/>
  <c r="AM2066" i="27"/>
  <c r="AM3245" i="27"/>
  <c r="A8" i="30"/>
  <c r="G8" i="30" s="1"/>
  <c r="AM1495" i="27"/>
  <c r="AM220" i="27"/>
  <c r="AN220" i="27" s="1"/>
  <c r="AO220" i="27" s="1"/>
  <c r="AM2338" i="27"/>
  <c r="AM3263" i="27"/>
  <c r="AH3263" i="27" s="1"/>
  <c r="AM143" i="27"/>
  <c r="AH143" i="27" s="1"/>
  <c r="AM3095" i="27"/>
  <c r="AH3095" i="27" s="1"/>
  <c r="AM1531" i="27"/>
  <c r="AM3026" i="27"/>
  <c r="AN3026" i="27" s="1"/>
  <c r="AO3026" i="27" s="1"/>
  <c r="AM2360" i="27"/>
  <c r="AM3243" i="27"/>
  <c r="AM3234" i="27"/>
  <c r="AM3248" i="27"/>
  <c r="AM1755" i="27"/>
  <c r="AM1738" i="27"/>
  <c r="AN1738" i="27" s="1"/>
  <c r="AO1738" i="27" s="1"/>
  <c r="AM2349" i="27"/>
  <c r="AM1820" i="27"/>
  <c r="AM1714" i="27"/>
  <c r="AN1714" i="27" s="1"/>
  <c r="AO1714" i="27" s="1"/>
  <c r="AM3237" i="27"/>
  <c r="AN3237" i="27" s="1"/>
  <c r="AO3237" i="27" s="1"/>
  <c r="AM1787" i="27"/>
  <c r="AN1787" i="27" s="1"/>
  <c r="AO1787" i="27" s="1"/>
  <c r="AM3119" i="27"/>
  <c r="AM3199" i="27"/>
  <c r="AM1830" i="27"/>
  <c r="AN1830" i="27" s="1"/>
  <c r="AO1830" i="27" s="1"/>
  <c r="AM1558" i="27"/>
  <c r="AM1678" i="27"/>
  <c r="AH1678" i="27" s="1"/>
  <c r="AM3236" i="27"/>
  <c r="AM3118" i="27"/>
  <c r="AM3093" i="27"/>
  <c r="AM2348" i="27"/>
  <c r="AN2348" i="27" s="1"/>
  <c r="AO2348" i="27" s="1"/>
  <c r="AM1758" i="27"/>
  <c r="AH1758" i="27" s="1"/>
  <c r="AM1842" i="27"/>
  <c r="AN1842" i="27" s="1"/>
  <c r="AO1842" i="27" s="1"/>
  <c r="AM1705" i="27"/>
  <c r="AM3321" i="27"/>
  <c r="AM1697" i="27"/>
  <c r="AN1697" i="27" s="1"/>
  <c r="AO1697" i="27" s="1"/>
  <c r="AM3253" i="27"/>
  <c r="AN3253" i="27" s="1"/>
  <c r="AO3253" i="27" s="1"/>
  <c r="AM3133" i="27"/>
  <c r="AM69" i="27"/>
  <c r="AM80" i="27"/>
  <c r="AH80" i="27" s="1"/>
  <c r="AQ3152" i="27"/>
  <c r="AR3152" i="27" s="1"/>
  <c r="AS3152" i="27" s="1"/>
  <c r="AM1841" i="27"/>
  <c r="AM1662" i="27"/>
  <c r="AN1662" i="27" s="1"/>
  <c r="AO1662" i="27" s="1"/>
  <c r="AM1570" i="27"/>
  <c r="AM1619" i="27"/>
  <c r="AN1619" i="27" s="1"/>
  <c r="AO1619" i="27" s="1"/>
  <c r="AM3309" i="27"/>
  <c r="AN3309" i="27" s="1"/>
  <c r="AO3309" i="27" s="1"/>
  <c r="AM1764" i="27"/>
  <c r="AM3257" i="27"/>
  <c r="A20" i="30"/>
  <c r="G20" i="30" s="1"/>
  <c r="A10" i="30"/>
  <c r="AE10" i="30" s="1"/>
  <c r="AM1747" i="27"/>
  <c r="AH1747" i="27" s="1"/>
  <c r="AM3121" i="27"/>
  <c r="AM3249" i="27"/>
  <c r="AM1492" i="27"/>
  <c r="AQ3160" i="27"/>
  <c r="AR3160" i="27" s="1"/>
  <c r="AS3160" i="27" s="1"/>
  <c r="AM1682" i="27"/>
  <c r="AH1682" i="27" s="1"/>
  <c r="AM1673" i="27"/>
  <c r="A7" i="30"/>
  <c r="E7" i="30" s="1"/>
  <c r="A91" i="30"/>
  <c r="D91" i="30" s="1"/>
  <c r="AM1786" i="27"/>
  <c r="AH1786" i="27" s="1"/>
  <c r="A96" i="30"/>
  <c r="F96" i="30" s="1"/>
  <c r="A89" i="30"/>
  <c r="AF89" i="30" s="1"/>
  <c r="A15" i="30"/>
  <c r="G15" i="30" s="1"/>
  <c r="A11" i="30"/>
  <c r="D11" i="30" s="1"/>
  <c r="A72" i="30"/>
  <c r="A25" i="30"/>
  <c r="F25" i="30" s="1"/>
  <c r="A65" i="30"/>
  <c r="AM3198" i="27"/>
  <c r="AN3198" i="27" s="1"/>
  <c r="AO3198" i="27" s="1"/>
  <c r="AM1710" i="27"/>
  <c r="AM48" i="27"/>
  <c r="AN48" i="27" s="1"/>
  <c r="AO48" i="27" s="1"/>
  <c r="AM3320" i="27"/>
  <c r="AH3320" i="27" s="1"/>
  <c r="AM1690" i="27"/>
  <c r="AM3091" i="27"/>
  <c r="AM1670" i="27"/>
  <c r="AM2355" i="27"/>
  <c r="AH2355" i="27" s="1"/>
  <c r="AM3310" i="27"/>
  <c r="AM3105" i="27"/>
  <c r="AM3123" i="27"/>
  <c r="AH3123" i="27" s="1"/>
  <c r="AM2351" i="27"/>
  <c r="AN2351" i="27" s="1"/>
  <c r="AO2351" i="27" s="1"/>
  <c r="AM1598" i="27"/>
  <c r="AM3109" i="27"/>
  <c r="AM3155" i="27"/>
  <c r="AN3155" i="27" s="1"/>
  <c r="AO3155" i="27" s="1"/>
  <c r="AM3096" i="27"/>
  <c r="AM3115" i="27"/>
  <c r="A132" i="30"/>
  <c r="AF132" i="30" s="1"/>
  <c r="A23" i="30"/>
  <c r="AM3291" i="27"/>
  <c r="AN3291" i="27" s="1"/>
  <c r="AO3291" i="27" s="1"/>
  <c r="AQ230" i="27"/>
  <c r="AR230" i="27" s="1"/>
  <c r="AS230" i="27" s="1"/>
  <c r="AM1438" i="27"/>
  <c r="AN1438" i="27" s="1"/>
  <c r="AO1438" i="27" s="1"/>
  <c r="AM1743" i="27"/>
  <c r="AM3297" i="27"/>
  <c r="AM1597" i="27"/>
  <c r="AM25" i="27"/>
  <c r="AN25" i="27" s="1"/>
  <c r="AO25" i="27" s="1"/>
  <c r="AM1769" i="27"/>
  <c r="A26" i="30"/>
  <c r="AF26" i="30" s="1"/>
  <c r="AM1748" i="27"/>
  <c r="AH1748" i="27" s="1"/>
  <c r="AM1795" i="27"/>
  <c r="A35" i="30"/>
  <c r="A18" i="30"/>
  <c r="F18" i="30" s="1"/>
  <c r="A43" i="30"/>
  <c r="G43" i="30" s="1"/>
  <c r="A63" i="30"/>
  <c r="AF63" i="30" s="1"/>
  <c r="AM3209" i="27"/>
  <c r="AM3222" i="27"/>
  <c r="AH3222" i="27" s="1"/>
  <c r="AM1757" i="27"/>
  <c r="AM3196" i="27"/>
  <c r="AN3196" i="27" s="1"/>
  <c r="AO3196" i="27" s="1"/>
  <c r="AM141" i="27"/>
  <c r="AM1792" i="27"/>
  <c r="AH1792" i="27" s="1"/>
  <c r="AM1580" i="27"/>
  <c r="AM1609" i="27"/>
  <c r="AN1609" i="27" s="1"/>
  <c r="AO1609" i="27" s="1"/>
  <c r="AM2303" i="27"/>
  <c r="AM1717" i="27"/>
  <c r="AN1717" i="27" s="1"/>
  <c r="AO1717" i="27" s="1"/>
  <c r="A73" i="30"/>
  <c r="A58" i="30"/>
  <c r="AE58" i="30" s="1"/>
  <c r="A52" i="30"/>
  <c r="A51" i="30"/>
  <c r="AE51" i="30" s="1"/>
  <c r="A53" i="30"/>
  <c r="E53" i="30" s="1"/>
  <c r="A22" i="30"/>
  <c r="G22" i="30" s="1"/>
  <c r="AM3284" i="27"/>
  <c r="AN3284" i="27" s="1"/>
  <c r="AO3284" i="27" s="1"/>
  <c r="E3284" i="27"/>
  <c r="AM1418" i="27"/>
  <c r="AM31" i="27"/>
  <c r="AM1850" i="27"/>
  <c r="AM3194" i="27"/>
  <c r="AM3136" i="27"/>
  <c r="AM1715" i="27"/>
  <c r="AM1834" i="27"/>
  <c r="AN1834" i="27" s="1"/>
  <c r="AO1834" i="27" s="1"/>
  <c r="AM1729" i="27"/>
  <c r="AM2054" i="27"/>
  <c r="AM3184" i="27"/>
  <c r="AN3184" i="27" s="1"/>
  <c r="AO3184" i="27" s="1"/>
  <c r="AM3228" i="27"/>
  <c r="AH3228" i="27" s="1"/>
  <c r="AM3104" i="27"/>
  <c r="AN3104" i="27" s="1"/>
  <c r="AO3104" i="27" s="1"/>
  <c r="AM1751" i="27"/>
  <c r="AM1649" i="27"/>
  <c r="AN1649" i="27" s="1"/>
  <c r="AO1649" i="27" s="1"/>
  <c r="AM3099" i="27"/>
  <c r="AM181" i="27"/>
  <c r="AM1851" i="27"/>
  <c r="AN1851" i="27" s="1"/>
  <c r="AO1851" i="27" s="1"/>
  <c r="AM96" i="27"/>
  <c r="AM2342" i="27"/>
  <c r="AM3221" i="27"/>
  <c r="AM1785" i="27"/>
  <c r="A14" i="30"/>
  <c r="AM1790" i="27"/>
  <c r="AM1774" i="27"/>
  <c r="AQ234" i="27"/>
  <c r="AR234" i="27" s="1"/>
  <c r="AS234" i="27" s="1"/>
  <c r="AM234" i="27"/>
  <c r="AN234" i="27" s="1"/>
  <c r="AO234" i="27" s="1"/>
  <c r="AM126" i="27"/>
  <c r="AH126" i="27" s="1"/>
  <c r="AM3075" i="27"/>
  <c r="AN3075" i="27" s="1"/>
  <c r="AO3075" i="27" s="1"/>
  <c r="D131" i="32"/>
  <c r="D894" i="32"/>
  <c r="AM40" i="27"/>
  <c r="AH40" i="27" s="1"/>
  <c r="D1692" i="32"/>
  <c r="AM244" i="27"/>
  <c r="AH244" i="27" s="1"/>
  <c r="AM3274" i="27"/>
  <c r="AH3274" i="27" s="1"/>
  <c r="AM107" i="27"/>
  <c r="AM1855" i="27"/>
  <c r="AM3275" i="27"/>
  <c r="AH3275" i="27" s="1"/>
  <c r="AM3165" i="27"/>
  <c r="AM257" i="27"/>
  <c r="AQ250" i="27"/>
  <c r="AR250" i="27" s="1"/>
  <c r="AS250" i="27" s="1"/>
  <c r="AQ252" i="27"/>
  <c r="AR252" i="27" s="1"/>
  <c r="AS252" i="27" s="1"/>
  <c r="AM185" i="27"/>
  <c r="AQ249" i="27"/>
  <c r="AR249" i="27" s="1"/>
  <c r="AS249" i="27" s="1"/>
  <c r="AM251" i="27"/>
  <c r="AN251" i="27" s="1"/>
  <c r="AO251" i="27" s="1"/>
  <c r="AM151" i="27"/>
  <c r="AM164" i="27"/>
  <c r="AN164" i="27" s="1"/>
  <c r="AO164" i="27" s="1"/>
  <c r="AM38" i="27"/>
  <c r="AM3204" i="27"/>
  <c r="AM84" i="27"/>
  <c r="AM150" i="27"/>
  <c r="AM1865" i="27"/>
  <c r="AM3164" i="27"/>
  <c r="AM1844" i="27"/>
  <c r="AM1818" i="27"/>
  <c r="A57" i="30"/>
  <c r="F57" i="30" s="1"/>
  <c r="A45" i="30"/>
  <c r="A59" i="30"/>
  <c r="A75" i="30"/>
  <c r="A31" i="30"/>
  <c r="D31" i="30" s="1"/>
  <c r="AM17" i="27"/>
  <c r="AN17" i="27" s="1"/>
  <c r="AO17" i="27" s="1"/>
  <c r="AQ247" i="27"/>
  <c r="AR247" i="27" s="1"/>
  <c r="AS247" i="27" s="1"/>
  <c r="AQ202" i="27"/>
  <c r="AR202" i="27" s="1"/>
  <c r="AS202" i="27" s="1"/>
  <c r="AQ244" i="27"/>
  <c r="AR244" i="27" s="1"/>
  <c r="AS244" i="27" s="1"/>
  <c r="AQ257" i="27"/>
  <c r="AR257" i="27" s="1"/>
  <c r="AS257" i="27" s="1"/>
  <c r="AQ261" i="27"/>
  <c r="AR261" i="27" s="1"/>
  <c r="AS261" i="27" s="1"/>
  <c r="AM1822" i="27"/>
  <c r="AM44" i="27"/>
  <c r="AM3163" i="27"/>
  <c r="AM148" i="27"/>
  <c r="AN148" i="27" s="1"/>
  <c r="AO148" i="27" s="1"/>
  <c r="AM3261" i="27"/>
  <c r="AM83" i="27"/>
  <c r="AQ260" i="27"/>
  <c r="AR260" i="27" s="1"/>
  <c r="AS260" i="27" s="1"/>
  <c r="AM203" i="27"/>
  <c r="AM106" i="27"/>
  <c r="AM1780" i="27"/>
  <c r="AN1780" i="27" s="1"/>
  <c r="AO1780" i="27" s="1"/>
  <c r="AM124" i="27"/>
  <c r="AN124" i="27" s="1"/>
  <c r="AO124" i="27" s="1"/>
  <c r="A74" i="30"/>
  <c r="E74" i="30" s="1"/>
  <c r="A86" i="30"/>
  <c r="E86" i="30" s="1"/>
  <c r="AM3201" i="27"/>
  <c r="AM1813" i="27"/>
  <c r="AM165" i="27"/>
  <c r="AQ188" i="27"/>
  <c r="AR188" i="27" s="1"/>
  <c r="AS188" i="27" s="1"/>
  <c r="AM241" i="27"/>
  <c r="AM155" i="27"/>
  <c r="AM166" i="27"/>
  <c r="AH166" i="27" s="1"/>
  <c r="AM154" i="27"/>
  <c r="AM53" i="27"/>
  <c r="AM110" i="27"/>
  <c r="AM186" i="27"/>
  <c r="AH186" i="27" s="1"/>
  <c r="AM188" i="27"/>
  <c r="AQ241" i="27"/>
  <c r="AR241" i="27" s="1"/>
  <c r="AS241" i="27" s="1"/>
  <c r="D152" i="32"/>
  <c r="AM1810" i="27"/>
  <c r="AH1810" i="27" s="1"/>
  <c r="AM1760" i="27"/>
  <c r="D1311" i="32"/>
  <c r="A12" i="30"/>
  <c r="AF12" i="30" s="1"/>
  <c r="A114" i="30"/>
  <c r="E114" i="30" s="1"/>
  <c r="AM1831" i="27"/>
  <c r="AN1831" i="27" s="1"/>
  <c r="AO1831" i="27" s="1"/>
  <c r="AM3169" i="27"/>
  <c r="AH3169" i="27" s="1"/>
  <c r="AM2063" i="27"/>
  <c r="AH2063" i="27" s="1"/>
  <c r="AM1863" i="27"/>
  <c r="AM256" i="27"/>
  <c r="AM3269" i="27"/>
  <c r="AM1852" i="27"/>
  <c r="AM2065" i="27"/>
  <c r="AM227" i="27"/>
  <c r="AH227" i="27" s="1"/>
  <c r="AM246" i="27"/>
  <c r="AH246" i="27" s="1"/>
  <c r="AQ246" i="27"/>
  <c r="AR246" i="27" s="1"/>
  <c r="AS246" i="27" s="1"/>
  <c r="A30" i="30"/>
  <c r="AF30" i="30" s="1"/>
  <c r="A78" i="30"/>
  <c r="A179" i="30"/>
  <c r="F179" i="30" s="1"/>
  <c r="AM3167" i="27"/>
  <c r="AQ256" i="27"/>
  <c r="AR256" i="27" s="1"/>
  <c r="AS256" i="27" s="1"/>
  <c r="AM1853" i="27"/>
  <c r="AN1853" i="27" s="1"/>
  <c r="AO1853" i="27" s="1"/>
  <c r="AM1809" i="27"/>
  <c r="AN1809" i="27" s="1"/>
  <c r="AO1809" i="27" s="1"/>
  <c r="AM2361" i="27"/>
  <c r="A70" i="30"/>
  <c r="AE70" i="30" s="1"/>
  <c r="A47" i="30"/>
  <c r="F47" i="30" s="1"/>
  <c r="A67" i="30"/>
  <c r="G67" i="30" s="1"/>
  <c r="AM1866" i="27"/>
  <c r="AM1687" i="27"/>
  <c r="AH1687" i="27" s="1"/>
  <c r="AM51" i="27"/>
  <c r="AM1814" i="27"/>
  <c r="AM3278" i="27"/>
  <c r="AM146" i="27"/>
  <c r="AM87" i="27"/>
  <c r="AM189" i="27"/>
  <c r="AM3171" i="27"/>
  <c r="AH3171" i="27" s="1"/>
  <c r="AQ254" i="27"/>
  <c r="AR254" i="27" s="1"/>
  <c r="AS254" i="27" s="1"/>
  <c r="AM254" i="27"/>
  <c r="AM2362" i="27"/>
  <c r="AH2362" i="27" s="1"/>
  <c r="AM156" i="27"/>
  <c r="AQ156" i="27"/>
  <c r="AR156" i="27" s="1"/>
  <c r="AS156" i="27" s="1"/>
  <c r="AM3276" i="27"/>
  <c r="AH3276" i="27" s="1"/>
  <c r="AM37" i="27"/>
  <c r="AM204" i="27"/>
  <c r="AN204" i="27" s="1"/>
  <c r="AO204" i="27" s="1"/>
  <c r="AM3168" i="27"/>
  <c r="AM68" i="27"/>
  <c r="AM168" i="27"/>
  <c r="AM3161" i="27"/>
  <c r="AQ265" i="27"/>
  <c r="AR265" i="27" s="1"/>
  <c r="AS265" i="27" s="1"/>
  <c r="AM265" i="27"/>
  <c r="AM196" i="27"/>
  <c r="AN196" i="27" s="1"/>
  <c r="AO196" i="27" s="1"/>
  <c r="AM262" i="27"/>
  <c r="AM85" i="27"/>
  <c r="AM1862" i="27"/>
  <c r="AN1862" i="27" s="1"/>
  <c r="AO1862" i="27" s="1"/>
  <c r="AM111" i="27"/>
  <c r="AM194" i="27"/>
  <c r="AM264" i="27"/>
  <c r="AH264" i="27" s="1"/>
  <c r="A49" i="30"/>
  <c r="D49" i="30" s="1"/>
  <c r="A87" i="30"/>
  <c r="E87" i="30" s="1"/>
  <c r="A76" i="30"/>
  <c r="AM138" i="27"/>
  <c r="AM2367" i="27"/>
  <c r="AN2367" i="27" s="1"/>
  <c r="AO2367" i="27" s="1"/>
  <c r="AM55" i="27"/>
  <c r="AM46" i="27"/>
  <c r="AM1677" i="27"/>
  <c r="AN1677" i="27" s="1"/>
  <c r="AO1677" i="27" s="1"/>
  <c r="AM1859" i="27"/>
  <c r="AN1859" i="27" s="1"/>
  <c r="AO1859" i="27" s="1"/>
  <c r="AM1857" i="27"/>
  <c r="AM1860" i="27"/>
  <c r="AH1860" i="27" s="1"/>
  <c r="AM178" i="27"/>
  <c r="AM1858" i="27"/>
  <c r="D499" i="32"/>
  <c r="A28" i="30"/>
  <c r="E28" i="30" s="1"/>
  <c r="A41" i="30"/>
  <c r="F41" i="30" s="1"/>
  <c r="A64" i="30"/>
  <c r="AE64" i="30" s="1"/>
  <c r="AM50" i="27"/>
  <c r="AM1804" i="27"/>
  <c r="AM1683" i="27"/>
  <c r="AN1683" i="27" s="1"/>
  <c r="AO1683" i="27" s="1"/>
  <c r="AM123" i="27"/>
  <c r="A13" i="30"/>
  <c r="A29" i="30"/>
  <c r="D29" i="30" s="1"/>
  <c r="A44" i="30"/>
  <c r="A54" i="30"/>
  <c r="G54" i="30" s="1"/>
  <c r="A37" i="30"/>
  <c r="E37" i="30" s="1"/>
  <c r="A97" i="30"/>
  <c r="A32" i="30"/>
  <c r="AE32" i="30" s="1"/>
  <c r="AM1846" i="27"/>
  <c r="AM163" i="27"/>
  <c r="AM1845" i="27"/>
  <c r="AM1750" i="27"/>
  <c r="AN1750" i="27" s="1"/>
  <c r="AO1750" i="27" s="1"/>
  <c r="AM49" i="27"/>
  <c r="AN49" i="27" s="1"/>
  <c r="AO49" i="27" s="1"/>
  <c r="AM18" i="27"/>
  <c r="AM71" i="27"/>
  <c r="AM23" i="27"/>
  <c r="AM1767" i="27"/>
  <c r="AN1767" i="27" s="1"/>
  <c r="AO1767" i="27" s="1"/>
  <c r="A56" i="30"/>
  <c r="A55" i="30"/>
  <c r="E55" i="30" s="1"/>
  <c r="A71" i="30"/>
  <c r="A68" i="30"/>
  <c r="AF68" i="30" s="1"/>
  <c r="A42" i="30"/>
  <c r="AF42" i="30" s="1"/>
  <c r="A16" i="30"/>
  <c r="F16" i="30" s="1"/>
  <c r="A60" i="30"/>
  <c r="AF60" i="30" s="1"/>
  <c r="A83" i="30"/>
  <c r="A17" i="30"/>
  <c r="A85" i="30"/>
  <c r="E85" i="30" s="1"/>
  <c r="A115" i="30"/>
  <c r="E115" i="30" s="1"/>
  <c r="AM236" i="27"/>
  <c r="AN236" i="27" s="1"/>
  <c r="AO236" i="27" s="1"/>
  <c r="AQ239" i="27"/>
  <c r="AR239" i="27" s="1"/>
  <c r="AS239" i="27" s="1"/>
  <c r="AM184" i="27"/>
  <c r="AH184" i="27" s="1"/>
  <c r="AM175" i="27"/>
  <c r="AN175" i="27" s="1"/>
  <c r="AO175" i="27" s="1"/>
  <c r="AM139" i="27"/>
  <c r="AH139" i="27" s="1"/>
  <c r="AM82" i="27"/>
  <c r="AH82" i="27" s="1"/>
  <c r="AM3203" i="27"/>
  <c r="AH3203" i="27" s="1"/>
  <c r="AM99" i="27"/>
  <c r="AH99" i="27" s="1"/>
  <c r="AM60" i="27"/>
  <c r="AH60" i="27" s="1"/>
  <c r="AM30" i="27"/>
  <c r="AH30" i="27" s="1"/>
  <c r="AM1839" i="27"/>
  <c r="AN1839" i="27" s="1"/>
  <c r="AO1839" i="27" s="1"/>
  <c r="AM1838" i="27"/>
  <c r="AN1838" i="27" s="1"/>
  <c r="AO1838" i="27" s="1"/>
  <c r="AM1837" i="27"/>
  <c r="AN1837" i="27" s="1"/>
  <c r="AO1837" i="27" s="1"/>
  <c r="AM1836" i="27"/>
  <c r="AM26" i="27"/>
  <c r="AH26" i="27" s="1"/>
  <c r="AM42" i="27"/>
  <c r="AH42" i="27" s="1"/>
  <c r="AM1849" i="27"/>
  <c r="AN1849" i="27" s="1"/>
  <c r="AO1849" i="27" s="1"/>
  <c r="AM1829" i="27"/>
  <c r="AH1829" i="27" s="1"/>
  <c r="AM22" i="27"/>
  <c r="AH22" i="27" s="1"/>
  <c r="AM1824" i="27"/>
  <c r="AH1824" i="27" s="1"/>
  <c r="AM67" i="27"/>
  <c r="AH67" i="27" s="1"/>
  <c r="A39" i="30"/>
  <c r="G39" i="30" s="1"/>
  <c r="AQ236" i="27"/>
  <c r="AR236" i="27" s="1"/>
  <c r="AS236" i="27" s="1"/>
  <c r="AM1806" i="27"/>
  <c r="AN1806" i="27" s="1"/>
  <c r="AO1806" i="27" s="1"/>
  <c r="AM3270" i="27"/>
  <c r="AM3156" i="27"/>
  <c r="AH3156" i="27" s="1"/>
  <c r="AM1826" i="27"/>
  <c r="AN1826" i="27" s="1"/>
  <c r="AO1826" i="27" s="1"/>
  <c r="AM20" i="27"/>
  <c r="AN20" i="27" s="1"/>
  <c r="AO20" i="27" s="1"/>
  <c r="AM147" i="27"/>
  <c r="AM86" i="27"/>
  <c r="AN86" i="27" s="1"/>
  <c r="AO86" i="27" s="1"/>
  <c r="AM3172" i="27"/>
  <c r="AN3172" i="27" s="1"/>
  <c r="AO3172" i="27" s="1"/>
  <c r="AQ3172" i="27"/>
  <c r="AR3172" i="27" s="1"/>
  <c r="AS3172" i="27" s="1"/>
  <c r="AM41" i="27"/>
  <c r="AH41" i="27" s="1"/>
  <c r="AM190" i="27"/>
  <c r="AH190" i="27" s="1"/>
  <c r="AM3281" i="27"/>
  <c r="AN3281" i="27" s="1"/>
  <c r="AO3281" i="27" s="1"/>
  <c r="AM3277" i="27"/>
  <c r="AN3277" i="27" s="1"/>
  <c r="AO3277" i="27" s="1"/>
  <c r="AM130" i="27"/>
  <c r="AH130" i="27" s="1"/>
  <c r="AM75" i="27"/>
  <c r="AH75" i="27" s="1"/>
  <c r="A77" i="30"/>
  <c r="F77" i="30" s="1"/>
  <c r="AM1847" i="27"/>
  <c r="AH1847" i="27" s="1"/>
  <c r="AM191" i="27"/>
  <c r="AH191" i="27" s="1"/>
  <c r="AQ200" i="27"/>
  <c r="AR200" i="27" s="1"/>
  <c r="AS200" i="27" s="1"/>
  <c r="AQ267" i="27"/>
  <c r="AR267" i="27" s="1"/>
  <c r="AS267" i="27" s="1"/>
  <c r="AM267" i="27"/>
  <c r="AH267" i="27" s="1"/>
  <c r="AQ266" i="27"/>
  <c r="AR266" i="27" s="1"/>
  <c r="AS266" i="27" s="1"/>
  <c r="AM158" i="27"/>
  <c r="AN158" i="27" s="1"/>
  <c r="AO158" i="27" s="1"/>
  <c r="AM3279" i="27"/>
  <c r="AH3279" i="27" s="1"/>
  <c r="AQ158" i="27"/>
  <c r="AR158" i="27" s="1"/>
  <c r="AS158" i="27" s="1"/>
  <c r="AM167" i="27"/>
  <c r="AH167" i="27" s="1"/>
  <c r="AM3280" i="27"/>
  <c r="AN3280" i="27" s="1"/>
  <c r="AO3280" i="27" s="1"/>
  <c r="AQ253" i="27"/>
  <c r="AR253" i="27" s="1"/>
  <c r="AS253" i="27" s="1"/>
  <c r="AQ167" i="27"/>
  <c r="AR167" i="27" s="1"/>
  <c r="AS167" i="27" s="1"/>
  <c r="D2168" i="32"/>
  <c r="AN100" i="27" l="1"/>
  <c r="AO100" i="27" s="1"/>
  <c r="A198" i="30"/>
  <c r="A210" i="30"/>
  <c r="A211" i="30"/>
  <c r="A212" i="30"/>
  <c r="A213" i="30"/>
  <c r="A214" i="30"/>
  <c r="A107" i="30"/>
  <c r="A201" i="30"/>
  <c r="A193" i="30"/>
  <c r="A185" i="30"/>
  <c r="A180" i="30"/>
  <c r="A151" i="30"/>
  <c r="A173" i="30"/>
  <c r="A157" i="30"/>
  <c r="A128" i="30"/>
  <c r="AH200" i="27"/>
  <c r="A137" i="30"/>
  <c r="A131" i="30"/>
  <c r="A127" i="30"/>
  <c r="A108" i="30"/>
  <c r="A101" i="30"/>
  <c r="D101" i="30" s="1"/>
  <c r="A119" i="30"/>
  <c r="E119" i="30" s="1"/>
  <c r="A113" i="30"/>
  <c r="E113" i="30" s="1"/>
  <c r="A98" i="30"/>
  <c r="AE98" i="30" s="1"/>
  <c r="A133" i="30"/>
  <c r="F133" i="30" s="1"/>
  <c r="AH2363" i="27"/>
  <c r="AH3282" i="27"/>
  <c r="AN266" i="27"/>
  <c r="AO266" i="27" s="1"/>
  <c r="AN1556" i="27"/>
  <c r="AO1556" i="27" s="1"/>
  <c r="AH1601" i="27"/>
  <c r="AH1577" i="27"/>
  <c r="AH3223" i="27"/>
  <c r="AN1659" i="27"/>
  <c r="AO1659" i="27" s="1"/>
  <c r="A196" i="30"/>
  <c r="A188" i="30"/>
  <c r="A164" i="30"/>
  <c r="E164" i="30" s="1"/>
  <c r="A156" i="30"/>
  <c r="A100" i="30"/>
  <c r="A82" i="30"/>
  <c r="A38" i="30"/>
  <c r="A122" i="30"/>
  <c r="D122" i="30" s="1"/>
  <c r="A117" i="30"/>
  <c r="AF117" i="30" s="1"/>
  <c r="A163" i="30"/>
  <c r="E163" i="30" s="1"/>
  <c r="A134" i="30"/>
  <c r="F134" i="30" s="1"/>
  <c r="A121" i="30"/>
  <c r="AF121" i="30" s="1"/>
  <c r="A144" i="30"/>
  <c r="E144" i="30" s="1"/>
  <c r="A200" i="30"/>
  <c r="D200" i="30" s="1"/>
  <c r="A182" i="30"/>
  <c r="AE182" i="30" s="1"/>
  <c r="A161" i="30"/>
  <c r="F161" i="30" s="1"/>
  <c r="A181" i="30"/>
  <c r="G181" i="30" s="1"/>
  <c r="A138" i="30"/>
  <c r="AE138" i="30" s="1"/>
  <c r="A143" i="30"/>
  <c r="E143" i="30" s="1"/>
  <c r="A150" i="30"/>
  <c r="E150" i="30" s="1"/>
  <c r="A171" i="30"/>
  <c r="D171" i="30" s="1"/>
  <c r="AM105" i="27"/>
  <c r="AN105" i="27" s="1"/>
  <c r="AO105" i="27" s="1"/>
  <c r="A147" i="30"/>
  <c r="D147" i="30" s="1"/>
  <c r="A184" i="30"/>
  <c r="AF184" i="30" s="1"/>
  <c r="A120" i="30"/>
  <c r="F120" i="30" s="1"/>
  <c r="B98" i="37"/>
  <c r="B94" i="37"/>
  <c r="B95" i="37"/>
  <c r="B97" i="37"/>
  <c r="B93" i="37"/>
  <c r="B96" i="37"/>
  <c r="B92" i="37"/>
  <c r="B91" i="37"/>
  <c r="D1992" i="32"/>
  <c r="D729" i="32"/>
  <c r="D971" i="32"/>
  <c r="D1304" i="32"/>
  <c r="D2029" i="32"/>
  <c r="D2318" i="32"/>
  <c r="AN1694" i="27"/>
  <c r="AO1694" i="27" s="1"/>
  <c r="A186" i="30"/>
  <c r="A177" i="30"/>
  <c r="A153" i="30"/>
  <c r="A61" i="30"/>
  <c r="A50" i="30"/>
  <c r="D1023" i="32"/>
  <c r="D125" i="32"/>
  <c r="D774" i="32"/>
  <c r="D2542" i="32"/>
  <c r="D1921" i="32"/>
  <c r="D915" i="32"/>
  <c r="D429" i="32"/>
  <c r="B90" i="37"/>
  <c r="B86" i="37"/>
  <c r="B89" i="37"/>
  <c r="B85" i="37"/>
  <c r="B88" i="37"/>
  <c r="B84" i="37"/>
  <c r="B87" i="37"/>
  <c r="B83" i="37"/>
  <c r="D66" i="32"/>
  <c r="D2389" i="32"/>
  <c r="D420" i="32"/>
  <c r="D983" i="32"/>
  <c r="AN21" i="27"/>
  <c r="AO21" i="27" s="1"/>
  <c r="AN1856" i="27"/>
  <c r="AO1856" i="27" s="1"/>
  <c r="AH3318" i="27"/>
  <c r="AH33" i="27"/>
  <c r="AH1867" i="27"/>
  <c r="AN1823" i="27"/>
  <c r="AO1823" i="27" s="1"/>
  <c r="AN1726" i="27"/>
  <c r="AO1726" i="27" s="1"/>
  <c r="AN3241" i="27"/>
  <c r="AO3241" i="27" s="1"/>
  <c r="AN1554" i="27"/>
  <c r="AO1554" i="27" s="1"/>
  <c r="A140" i="30"/>
  <c r="A125" i="30"/>
  <c r="A112" i="30"/>
  <c r="A111" i="30"/>
  <c r="A110" i="30"/>
  <c r="A104" i="30"/>
  <c r="A103" i="30"/>
  <c r="A95" i="30"/>
  <c r="A66" i="30"/>
  <c r="A135" i="30"/>
  <c r="A205" i="30"/>
  <c r="A197" i="30"/>
  <c r="A167" i="30"/>
  <c r="A155" i="30"/>
  <c r="A149" i="30"/>
  <c r="AN1761" i="27"/>
  <c r="AO1761" i="27" s="1"/>
  <c r="AH3130" i="27"/>
  <c r="AH1660" i="27"/>
  <c r="AN62" i="27"/>
  <c r="AO62" i="27" s="1"/>
  <c r="AH2330" i="27"/>
  <c r="AN1799" i="27"/>
  <c r="AO1799" i="27" s="1"/>
  <c r="AH1811" i="27"/>
  <c r="AH3322" i="27"/>
  <c r="AH2365" i="27"/>
  <c r="AH1631" i="27"/>
  <c r="D2505" i="32"/>
  <c r="D150" i="32"/>
  <c r="D2380" i="32"/>
  <c r="D2347" i="32"/>
  <c r="D2710" i="32"/>
  <c r="D2004" i="32"/>
  <c r="D2693" i="32"/>
  <c r="D2766" i="32"/>
  <c r="D2841" i="32"/>
  <c r="D2844" i="32"/>
  <c r="D2845" i="32"/>
  <c r="D639" i="32"/>
  <c r="D194" i="32"/>
  <c r="D305" i="32"/>
  <c r="D2027" i="32"/>
  <c r="D927" i="32"/>
  <c r="D415" i="32"/>
  <c r="D453" i="32"/>
  <c r="D1723" i="32"/>
  <c r="D1952" i="32"/>
  <c r="D2162" i="32"/>
  <c r="D2650" i="32"/>
  <c r="D87" i="32"/>
  <c r="D966" i="32"/>
  <c r="D587" i="32"/>
  <c r="D1539" i="32"/>
  <c r="D328" i="32"/>
  <c r="D52" i="32"/>
  <c r="D932" i="32"/>
  <c r="D1313" i="32"/>
  <c r="D2572" i="32"/>
  <c r="D254" i="32"/>
  <c r="D506" i="32"/>
  <c r="D2415" i="32"/>
  <c r="D1273" i="32"/>
  <c r="D1719" i="32"/>
  <c r="D1172" i="32"/>
  <c r="D492" i="32"/>
  <c r="D1021" i="32"/>
  <c r="D946" i="32"/>
  <c r="D549" i="32"/>
  <c r="D1867" i="32"/>
  <c r="D1728" i="32"/>
  <c r="D1459" i="32"/>
  <c r="D1899" i="32"/>
  <c r="D1144" i="32"/>
  <c r="D2665" i="32"/>
  <c r="D273" i="32"/>
  <c r="D2598" i="32"/>
  <c r="D1057" i="32"/>
  <c r="A178" i="30"/>
  <c r="AE178" i="30" s="1"/>
  <c r="A160" i="30"/>
  <c r="A129" i="30"/>
  <c r="D129" i="30" s="1"/>
  <c r="A123" i="30"/>
  <c r="AF123" i="30" s="1"/>
  <c r="A206" i="30"/>
  <c r="F206" i="30" s="1"/>
  <c r="AN1704" i="27"/>
  <c r="AO1704" i="27" s="1"/>
  <c r="A176" i="30"/>
  <c r="F176" i="30" s="1"/>
  <c r="A183" i="30"/>
  <c r="D183" i="30" s="1"/>
  <c r="AN3146" i="27"/>
  <c r="AO3146" i="27" s="1"/>
  <c r="AM208" i="27"/>
  <c r="AN208" i="27" s="1"/>
  <c r="AO208" i="27" s="1"/>
  <c r="B82" i="37"/>
  <c r="B80" i="37"/>
  <c r="B77" i="37"/>
  <c r="B71" i="37"/>
  <c r="B76" i="37"/>
  <c r="B73" i="37"/>
  <c r="B70" i="37"/>
  <c r="B75" i="37"/>
  <c r="B72" i="37"/>
  <c r="B81" i="37"/>
  <c r="B74" i="37"/>
  <c r="D1425" i="32"/>
  <c r="D63" i="32"/>
  <c r="D694" i="32"/>
  <c r="D1853" i="32"/>
  <c r="D2223" i="32"/>
  <c r="D874" i="32"/>
  <c r="D1100" i="32"/>
  <c r="D880" i="32"/>
  <c r="D1058" i="32"/>
  <c r="D2349" i="32"/>
  <c r="D418" i="32"/>
  <c r="D2557" i="32"/>
  <c r="D2269" i="32"/>
  <c r="D514" i="32"/>
  <c r="D2626" i="32"/>
  <c r="D2681" i="32"/>
  <c r="D1748" i="32"/>
  <c r="D826" i="32"/>
  <c r="D1410" i="32"/>
  <c r="D742" i="32"/>
  <c r="D1353" i="32"/>
  <c r="D179" i="32"/>
  <c r="D947" i="32"/>
  <c r="D1682" i="32"/>
  <c r="D899" i="32"/>
  <c r="D722" i="32"/>
  <c r="D753" i="32"/>
  <c r="D744" i="32"/>
  <c r="D2117" i="32"/>
  <c r="AN180" i="27"/>
  <c r="AO180" i="27" s="1"/>
  <c r="AN261" i="27"/>
  <c r="AO261" i="27" s="1"/>
  <c r="AN1702" i="27"/>
  <c r="AO1702" i="27" s="1"/>
  <c r="AH3108" i="27"/>
  <c r="AN3140" i="27"/>
  <c r="AO3140" i="27" s="1"/>
  <c r="A172" i="30"/>
  <c r="A136" i="30"/>
  <c r="A106" i="30"/>
  <c r="A204" i="30"/>
  <c r="A199" i="30"/>
  <c r="A192" i="30"/>
  <c r="A109" i="30"/>
  <c r="A207" i="30"/>
  <c r="AN3060" i="27"/>
  <c r="AO3060" i="27" s="1"/>
  <c r="AH1557" i="27"/>
  <c r="AH3181" i="27"/>
  <c r="AN3180" i="27"/>
  <c r="AO3180" i="27" s="1"/>
  <c r="AN1779" i="27"/>
  <c r="AO1779" i="27" s="1"/>
  <c r="AN137" i="27"/>
  <c r="AO137" i="27" s="1"/>
  <c r="AH1602" i="27"/>
  <c r="AN36" i="27"/>
  <c r="AO36" i="27" s="1"/>
  <c r="AH3170" i="27"/>
  <c r="AH1647" i="27"/>
  <c r="AN3117" i="27"/>
  <c r="AO3117" i="27" s="1"/>
  <c r="A154" i="30"/>
  <c r="A191" i="30"/>
  <c r="A190" i="30"/>
  <c r="A142" i="30"/>
  <c r="A195" i="30"/>
  <c r="A203" i="30"/>
  <c r="A158" i="30"/>
  <c r="A152" i="30"/>
  <c r="AM1599" i="27"/>
  <c r="AN1599" i="27" s="1"/>
  <c r="AO1599" i="27" s="1"/>
  <c r="AN224" i="27"/>
  <c r="AO224" i="27" s="1"/>
  <c r="AM3295" i="27"/>
  <c r="AH3295" i="27" s="1"/>
  <c r="AH2867" i="27"/>
  <c r="AN1341" i="27"/>
  <c r="AO1341" i="27" s="1"/>
  <c r="AN2801" i="27"/>
  <c r="AO2801" i="27" s="1"/>
  <c r="AH572" i="27"/>
  <c r="AN2201" i="27"/>
  <c r="AO2201" i="27" s="1"/>
  <c r="AM1315" i="27"/>
  <c r="AH1315" i="27" s="1"/>
  <c r="AM434" i="27"/>
  <c r="AM2403" i="27"/>
  <c r="AN2403" i="27" s="1"/>
  <c r="AO2403" i="27" s="1"/>
  <c r="AN2723" i="27"/>
  <c r="AO2723" i="27" s="1"/>
  <c r="AH2593" i="27"/>
  <c r="AH1276" i="27"/>
  <c r="AM354" i="27"/>
  <c r="AN354" i="27" s="1"/>
  <c r="AO354" i="27" s="1"/>
  <c r="AM2321" i="27"/>
  <c r="AN2321" i="27" s="1"/>
  <c r="AO2321" i="27" s="1"/>
  <c r="AN564" i="27"/>
  <c r="AO564" i="27" s="1"/>
  <c r="AM886" i="27"/>
  <c r="AN886" i="27" s="1"/>
  <c r="AO886" i="27" s="1"/>
  <c r="AM2763" i="27"/>
  <c r="AH2763" i="27" s="1"/>
  <c r="AM710" i="27"/>
  <c r="AN710" i="27" s="1"/>
  <c r="AO710" i="27" s="1"/>
  <c r="AM1127" i="27"/>
  <c r="AN1127" i="27" s="1"/>
  <c r="AO1127" i="27" s="1"/>
  <c r="AM2393" i="27"/>
  <c r="AH524" i="27"/>
  <c r="AH1014" i="27"/>
  <c r="AM880" i="27"/>
  <c r="AM1183" i="27"/>
  <c r="AH1183" i="27" s="1"/>
  <c r="AM1171" i="27"/>
  <c r="AN1171" i="27" s="1"/>
  <c r="AO1171" i="27" s="1"/>
  <c r="AM2077" i="27"/>
  <c r="AH2077" i="27" s="1"/>
  <c r="AM1277" i="27"/>
  <c r="AH2006" i="27"/>
  <c r="AH2039" i="27"/>
  <c r="AN516" i="27"/>
  <c r="AO516" i="27" s="1"/>
  <c r="AN1062" i="27"/>
  <c r="AO1062" i="27" s="1"/>
  <c r="AH452" i="27"/>
  <c r="AH834" i="27"/>
  <c r="AN2318" i="27"/>
  <c r="AO2318" i="27" s="1"/>
  <c r="AN1536" i="27"/>
  <c r="AO1536" i="27" s="1"/>
  <c r="AM822" i="27"/>
  <c r="AH822" i="27" s="1"/>
  <c r="AM2581" i="27"/>
  <c r="AN2581" i="27" s="1"/>
  <c r="AO2581" i="27" s="1"/>
  <c r="AM1426" i="27"/>
  <c r="AN1426" i="27" s="1"/>
  <c r="AO1426" i="27" s="1"/>
  <c r="AM1590" i="27"/>
  <c r="AN1590" i="27" s="1"/>
  <c r="AO1590" i="27" s="1"/>
  <c r="AM2853" i="27"/>
  <c r="AN2853" i="27" s="1"/>
  <c r="AO2853" i="27" s="1"/>
  <c r="AM2845" i="27"/>
  <c r="AH2845" i="27" s="1"/>
  <c r="AM2829" i="27"/>
  <c r="AM2765" i="27"/>
  <c r="AN2765" i="27" s="1"/>
  <c r="AO2765" i="27" s="1"/>
  <c r="AM2729" i="27"/>
  <c r="AN2729" i="27" s="1"/>
  <c r="AO2729" i="27" s="1"/>
  <c r="AM2529" i="27"/>
  <c r="AH2529" i="27" s="1"/>
  <c r="AM2521" i="27"/>
  <c r="AH2521" i="27" s="1"/>
  <c r="AM2513" i="27"/>
  <c r="AH2513" i="27" s="1"/>
  <c r="AM2501" i="27"/>
  <c r="AN2501" i="27" s="1"/>
  <c r="AO2501" i="27" s="1"/>
  <c r="AM2497" i="27"/>
  <c r="AM2493" i="27"/>
  <c r="AM2489" i="27"/>
  <c r="AM2477" i="27"/>
  <c r="AH2477" i="27" s="1"/>
  <c r="AM2473" i="27"/>
  <c r="AN2473" i="27" s="1"/>
  <c r="AO2473" i="27" s="1"/>
  <c r="AM2445" i="27"/>
  <c r="AN2445" i="27" s="1"/>
  <c r="AO2445" i="27" s="1"/>
  <c r="AM2405" i="27"/>
  <c r="AH2405" i="27" s="1"/>
  <c r="AM2385" i="27"/>
  <c r="AH2229" i="27"/>
  <c r="AN2229" i="27"/>
  <c r="AO2229" i="27" s="1"/>
  <c r="AM2221" i="27"/>
  <c r="AM2217" i="27"/>
  <c r="AH2217" i="27" s="1"/>
  <c r="AM2149" i="27"/>
  <c r="AN2149" i="27" s="1"/>
  <c r="AO2149" i="27" s="1"/>
  <c r="AM2129" i="27"/>
  <c r="AN2129" i="27" s="1"/>
  <c r="AO2129" i="27" s="1"/>
  <c r="AM2125" i="27"/>
  <c r="AH2125" i="27" s="1"/>
  <c r="AM2081" i="27"/>
  <c r="AH2081" i="27" s="1"/>
  <c r="AM1999" i="27"/>
  <c r="AN1999" i="27" s="1"/>
  <c r="AO1999" i="27" s="1"/>
  <c r="AM1930" i="27"/>
  <c r="AN1930" i="27" s="1"/>
  <c r="AO1930" i="27" s="1"/>
  <c r="AM806" i="27"/>
  <c r="AM746" i="27"/>
  <c r="AN746" i="27" s="1"/>
  <c r="AO746" i="27" s="1"/>
  <c r="AM622" i="27"/>
  <c r="AM570" i="27"/>
  <c r="AH570" i="27" s="1"/>
  <c r="AM538" i="27"/>
  <c r="AN538" i="27" s="1"/>
  <c r="AO538" i="27" s="1"/>
  <c r="AM426" i="27"/>
  <c r="AN426" i="27" s="1"/>
  <c r="AO426" i="27" s="1"/>
  <c r="AM362" i="27"/>
  <c r="AM346" i="27"/>
  <c r="AH346" i="27" s="1"/>
  <c r="AM2991" i="27"/>
  <c r="AN2991" i="27" s="1"/>
  <c r="AO2991" i="27" s="1"/>
  <c r="AM1368" i="27"/>
  <c r="AN1368" i="27" s="1"/>
  <c r="AO1368" i="27" s="1"/>
  <c r="AM1398" i="27"/>
  <c r="AN1398" i="27" s="1"/>
  <c r="AO1398" i="27" s="1"/>
  <c r="AM3031" i="27"/>
  <c r="AH3031" i="27" s="1"/>
  <c r="AM1354" i="27"/>
  <c r="AM2305" i="27"/>
  <c r="AH2305" i="27" s="1"/>
  <c r="AM3065" i="27"/>
  <c r="AM1588" i="27"/>
  <c r="AH1588" i="27" s="1"/>
  <c r="AM1374" i="27"/>
  <c r="AM1684" i="27"/>
  <c r="AN1684" i="27" s="1"/>
  <c r="AO1684" i="27" s="1"/>
  <c r="AH528" i="27"/>
  <c r="AM2308" i="27"/>
  <c r="AH2308" i="27" s="1"/>
  <c r="AH2797" i="27"/>
  <c r="AN526" i="27"/>
  <c r="AO526" i="27" s="1"/>
  <c r="AN888" i="27"/>
  <c r="AO888" i="27" s="1"/>
  <c r="AH2923" i="27"/>
  <c r="AN428" i="27"/>
  <c r="AO428" i="27" s="1"/>
  <c r="AH652" i="27"/>
  <c r="AN532" i="27"/>
  <c r="AO532" i="27" s="1"/>
  <c r="AH2277" i="27"/>
  <c r="AN384" i="27"/>
  <c r="AO384" i="27" s="1"/>
  <c r="AM1076" i="27"/>
  <c r="AN1076" i="27" s="1"/>
  <c r="AO1076" i="27" s="1"/>
  <c r="AM1477" i="27"/>
  <c r="AN1477" i="27" s="1"/>
  <c r="AO1477" i="27" s="1"/>
  <c r="AM310" i="27"/>
  <c r="AN310" i="27" s="1"/>
  <c r="AO310" i="27" s="1"/>
  <c r="AM488" i="27"/>
  <c r="AN488" i="27" s="1"/>
  <c r="AO488" i="27" s="1"/>
  <c r="AM544" i="27"/>
  <c r="AN544" i="27" s="1"/>
  <c r="AO544" i="27" s="1"/>
  <c r="AM966" i="27"/>
  <c r="AN966" i="27" s="1"/>
  <c r="AO966" i="27" s="1"/>
  <c r="AM578" i="27"/>
  <c r="AH578" i="27" s="1"/>
  <c r="AM1476" i="27"/>
  <c r="AM2907" i="27"/>
  <c r="AN2907" i="27" s="1"/>
  <c r="AO2907" i="27" s="1"/>
  <c r="AM2887" i="27"/>
  <c r="AN2887" i="27" s="1"/>
  <c r="AO2887" i="27" s="1"/>
  <c r="AM2843" i="27"/>
  <c r="AN2843" i="27" s="1"/>
  <c r="AO2843" i="27" s="1"/>
  <c r="AM2835" i="27"/>
  <c r="AN2835" i="27" s="1"/>
  <c r="AO2835" i="27" s="1"/>
  <c r="AM2815" i="27"/>
  <c r="AN2815" i="27" s="1"/>
  <c r="AO2815" i="27" s="1"/>
  <c r="AM2811" i="27"/>
  <c r="AH2811" i="27" s="1"/>
  <c r="AM2803" i="27"/>
  <c r="AN2803" i="27" s="1"/>
  <c r="AO2803" i="27" s="1"/>
  <c r="AM2767" i="27"/>
  <c r="AN2767" i="27" s="1"/>
  <c r="AO2767" i="27" s="1"/>
  <c r="AM2731" i="27"/>
  <c r="AN2731" i="27" s="1"/>
  <c r="AO2731" i="27" s="1"/>
  <c r="AM2639" i="27"/>
  <c r="AH2639" i="27" s="1"/>
  <c r="AM2615" i="27"/>
  <c r="AH2615" i="27" s="1"/>
  <c r="AM2535" i="27"/>
  <c r="AH2535" i="27" s="1"/>
  <c r="AM2503" i="27"/>
  <c r="AH2503" i="27" s="1"/>
  <c r="AM2427" i="27"/>
  <c r="AH2427" i="27" s="1"/>
  <c r="AM2419" i="27"/>
  <c r="AH2419" i="27" s="1"/>
  <c r="AM2411" i="27"/>
  <c r="AH2411" i="27" s="1"/>
  <c r="AM2399" i="27"/>
  <c r="AN2399" i="27" s="1"/>
  <c r="AO2399" i="27" s="1"/>
  <c r="AM2379" i="27"/>
  <c r="AM2283" i="27"/>
  <c r="AH2283" i="27" s="1"/>
  <c r="AM2275" i="27"/>
  <c r="AN2275" i="27" s="1"/>
  <c r="AO2275" i="27" s="1"/>
  <c r="AM2239" i="27"/>
  <c r="AN2239" i="27" s="1"/>
  <c r="AO2239" i="27" s="1"/>
  <c r="AM2219" i="27"/>
  <c r="AN2219" i="27" s="1"/>
  <c r="AO2219" i="27" s="1"/>
  <c r="AM2207" i="27"/>
  <c r="AH2207" i="27" s="1"/>
  <c r="AM2199" i="27"/>
  <c r="AN2199" i="27" s="1"/>
  <c r="AO2199" i="27" s="1"/>
  <c r="AM2163" i="27"/>
  <c r="AN2163" i="27" s="1"/>
  <c r="AO2163" i="27" s="1"/>
  <c r="AM2155" i="27"/>
  <c r="AH2155" i="27" s="1"/>
  <c r="AM2143" i="27"/>
  <c r="AN2143" i="27" s="1"/>
  <c r="AO2143" i="27" s="1"/>
  <c r="AM2139" i="27"/>
  <c r="AN2139" i="27" s="1"/>
  <c r="AO2139" i="27" s="1"/>
  <c r="AM1992" i="27"/>
  <c r="AN1992" i="27" s="1"/>
  <c r="AO1992" i="27" s="1"/>
  <c r="AM1234" i="27"/>
  <c r="AM1230" i="27"/>
  <c r="AN1230" i="27" s="1"/>
  <c r="AO1230" i="27" s="1"/>
  <c r="AM1220" i="27"/>
  <c r="AH1220" i="27" s="1"/>
  <c r="AM1181" i="27"/>
  <c r="AN1181" i="27" s="1"/>
  <c r="AO1181" i="27" s="1"/>
  <c r="AM1088" i="27"/>
  <c r="AH1088" i="27" s="1"/>
  <c r="AM1084" i="27"/>
  <c r="AH1084" i="27" s="1"/>
  <c r="AM1080" i="27"/>
  <c r="AN1080" i="27" s="1"/>
  <c r="AO1080" i="27" s="1"/>
  <c r="AM1052" i="27"/>
  <c r="AM1004" i="27"/>
  <c r="AH1004" i="27" s="1"/>
  <c r="AM996" i="27"/>
  <c r="AM940" i="27"/>
  <c r="AH940" i="27" s="1"/>
  <c r="AM932" i="27"/>
  <c r="AH932" i="27" s="1"/>
  <c r="AM928" i="27"/>
  <c r="AN928" i="27" s="1"/>
  <c r="AO928" i="27" s="1"/>
  <c r="AM884" i="27"/>
  <c r="AH884" i="27" s="1"/>
  <c r="AM868" i="27"/>
  <c r="AN868" i="27" s="1"/>
  <c r="AO868" i="27" s="1"/>
  <c r="AM788" i="27"/>
  <c r="AH788" i="27" s="1"/>
  <c r="AM760" i="27"/>
  <c r="AN760" i="27" s="1"/>
  <c r="AO760" i="27" s="1"/>
  <c r="AM704" i="27"/>
  <c r="AM600" i="27"/>
  <c r="AN600" i="27" s="1"/>
  <c r="AO600" i="27" s="1"/>
  <c r="AM588" i="27"/>
  <c r="AM576" i="27"/>
  <c r="AH576" i="27" s="1"/>
  <c r="AM568" i="27"/>
  <c r="AN568" i="27" s="1"/>
  <c r="AO568" i="27" s="1"/>
  <c r="AM536" i="27"/>
  <c r="AH536" i="27" s="1"/>
  <c r="AM496" i="27"/>
  <c r="AN496" i="27" s="1"/>
  <c r="AO496" i="27" s="1"/>
  <c r="AM476" i="27"/>
  <c r="AN476" i="27" s="1"/>
  <c r="AO476" i="27" s="1"/>
  <c r="AM436" i="27"/>
  <c r="AM424" i="27"/>
  <c r="AN424" i="27" s="1"/>
  <c r="AO424" i="27" s="1"/>
  <c r="AM420" i="27"/>
  <c r="AH420" i="27" s="1"/>
  <c r="AM416" i="27"/>
  <c r="AM400" i="27"/>
  <c r="AN400" i="27" s="1"/>
  <c r="AO400" i="27" s="1"/>
  <c r="AM396" i="27"/>
  <c r="AM372" i="27"/>
  <c r="AH372" i="27" s="1"/>
  <c r="AM344" i="27"/>
  <c r="AN344" i="27" s="1"/>
  <c r="AO344" i="27" s="1"/>
  <c r="AM332" i="27"/>
  <c r="AM316" i="27"/>
  <c r="AN316" i="27" s="1"/>
  <c r="AO316" i="27" s="1"/>
  <c r="AM312" i="27"/>
  <c r="AH312" i="27" s="1"/>
  <c r="AM308" i="27"/>
  <c r="AN308" i="27" s="1"/>
  <c r="AO308" i="27" s="1"/>
  <c r="AM304" i="27"/>
  <c r="AN304" i="27" s="1"/>
  <c r="AO304" i="27" s="1"/>
  <c r="AM1513" i="27"/>
  <c r="AH1513" i="27" s="1"/>
  <c r="AM1326" i="27"/>
  <c r="AH1326" i="27" s="1"/>
  <c r="AM1293" i="27"/>
  <c r="AH1293" i="27" s="1"/>
  <c r="AM1289" i="27"/>
  <c r="AH1289" i="27" s="1"/>
  <c r="AM3018" i="27"/>
  <c r="AN3018" i="27" s="1"/>
  <c r="AO3018" i="27" s="1"/>
  <c r="AM1571" i="27"/>
  <c r="AM1572" i="27"/>
  <c r="AN1572" i="27" s="1"/>
  <c r="AO1572" i="27" s="1"/>
  <c r="AM1403" i="27"/>
  <c r="AH1403" i="27" s="1"/>
  <c r="AM3039" i="27"/>
  <c r="AN3039" i="27" s="1"/>
  <c r="AO3039" i="27" s="1"/>
  <c r="AM1691" i="27"/>
  <c r="AH1691" i="27" s="1"/>
  <c r="AM3190" i="27"/>
  <c r="AN3190" i="27" s="1"/>
  <c r="AO3190" i="27" s="1"/>
  <c r="AM1532" i="27"/>
  <c r="AH1532" i="27" s="1"/>
  <c r="AM1615" i="27"/>
  <c r="AH1615" i="27" s="1"/>
  <c r="AM1491" i="27"/>
  <c r="AN1491" i="27" s="1"/>
  <c r="AO1491" i="27" s="1"/>
  <c r="AM3081" i="27"/>
  <c r="AM1692" i="27"/>
  <c r="AN1692" i="27" s="1"/>
  <c r="AO1692" i="27" s="1"/>
  <c r="AM3292" i="27"/>
  <c r="AN3292" i="27" s="1"/>
  <c r="AO3292" i="27" s="1"/>
  <c r="AM1370" i="27"/>
  <c r="AN1370" i="27" s="1"/>
  <c r="AO1370" i="27" s="1"/>
  <c r="AM3289" i="27"/>
  <c r="AN3289" i="27" s="1"/>
  <c r="AO3289" i="27" s="1"/>
  <c r="AM1530" i="27"/>
  <c r="AN1530" i="27" s="1"/>
  <c r="AO1530" i="27" s="1"/>
  <c r="AN1538" i="27"/>
  <c r="AO1538" i="27" s="1"/>
  <c r="AH1538" i="27"/>
  <c r="AM3006" i="27"/>
  <c r="AH3006" i="27" s="1"/>
  <c r="AM2927" i="27"/>
  <c r="AH2927" i="27" s="1"/>
  <c r="AM2791" i="27"/>
  <c r="AN2791" i="27" s="1"/>
  <c r="AO2791" i="27" s="1"/>
  <c r="AM2787" i="27"/>
  <c r="AN2787" i="27" s="1"/>
  <c r="AO2787" i="27" s="1"/>
  <c r="AM2779" i="27"/>
  <c r="AH2779" i="27" s="1"/>
  <c r="AM2607" i="27"/>
  <c r="AN2607" i="27" s="1"/>
  <c r="AO2607" i="27" s="1"/>
  <c r="AM2551" i="27"/>
  <c r="AH2551" i="27" s="1"/>
  <c r="AM2475" i="27"/>
  <c r="AH2475" i="27" s="1"/>
  <c r="AM2467" i="27"/>
  <c r="AH2467" i="27" s="1"/>
  <c r="AM2463" i="27"/>
  <c r="AH2463" i="27" s="1"/>
  <c r="AM2451" i="27"/>
  <c r="AH2451" i="27" s="1"/>
  <c r="AN2263" i="27"/>
  <c r="AO2263" i="27" s="1"/>
  <c r="AH2263" i="27"/>
  <c r="AM2251" i="27"/>
  <c r="AH2251" i="27" s="1"/>
  <c r="AM2191" i="27"/>
  <c r="AH2191" i="27" s="1"/>
  <c r="AH2135" i="27"/>
  <c r="AN2135" i="27"/>
  <c r="AO2135" i="27" s="1"/>
  <c r="AM2095" i="27"/>
  <c r="AH2095" i="27" s="1"/>
  <c r="AM2083" i="27"/>
  <c r="AH2083" i="27" s="1"/>
  <c r="AM2019" i="27"/>
  <c r="AH2019" i="27" s="1"/>
  <c r="AM1960" i="27"/>
  <c r="AM1948" i="27"/>
  <c r="AM1928" i="27"/>
  <c r="AH1928" i="27" s="1"/>
  <c r="AM1912" i="27"/>
  <c r="AM1904" i="27"/>
  <c r="AH1904" i="27" s="1"/>
  <c r="AM1876" i="27"/>
  <c r="AN1876" i="27" s="1"/>
  <c r="AO1876" i="27" s="1"/>
  <c r="AM1872" i="27"/>
  <c r="AN1872" i="27" s="1"/>
  <c r="AO1872" i="27" s="1"/>
  <c r="AM1272" i="27"/>
  <c r="AH1272" i="27" s="1"/>
  <c r="AM1242" i="27"/>
  <c r="AM1205" i="27"/>
  <c r="AH1205" i="27" s="1"/>
  <c r="AM1196" i="27"/>
  <c r="AN1196" i="27" s="1"/>
  <c r="AO1196" i="27" s="1"/>
  <c r="AM1185" i="27"/>
  <c r="AN1185" i="27" s="1"/>
  <c r="AO1185" i="27" s="1"/>
  <c r="AM1165" i="27"/>
  <c r="AN1165" i="27" s="1"/>
  <c r="AO1165" i="27" s="1"/>
  <c r="AM1161" i="27"/>
  <c r="AH1161" i="27" s="1"/>
  <c r="AM1157" i="27"/>
  <c r="AN1157" i="27" s="1"/>
  <c r="AO1157" i="27" s="1"/>
  <c r="AM1068" i="27"/>
  <c r="AH1068" i="27" s="1"/>
  <c r="AM1056" i="27"/>
  <c r="AH1056" i="27" s="1"/>
  <c r="AM1040" i="27"/>
  <c r="AH1040" i="27" s="1"/>
  <c r="AM980" i="27"/>
  <c r="AH980" i="27" s="1"/>
  <c r="AM972" i="27"/>
  <c r="AN972" i="27" s="1"/>
  <c r="AO972" i="27" s="1"/>
  <c r="AM948" i="27"/>
  <c r="AN948" i="27" s="1"/>
  <c r="AO948" i="27" s="1"/>
  <c r="AM892" i="27"/>
  <c r="AH892" i="27" s="1"/>
  <c r="AM780" i="27"/>
  <c r="AN780" i="27" s="1"/>
  <c r="AO780" i="27" s="1"/>
  <c r="AM744" i="27"/>
  <c r="AN744" i="27" s="1"/>
  <c r="AO744" i="27" s="1"/>
  <c r="AM712" i="27"/>
  <c r="AH712" i="27" s="1"/>
  <c r="AM640" i="27"/>
  <c r="AN640" i="27" s="1"/>
  <c r="AO640" i="27" s="1"/>
  <c r="AM628" i="27"/>
  <c r="AH628" i="27" s="1"/>
  <c r="AM620" i="27"/>
  <c r="AN620" i="27" s="1"/>
  <c r="AO620" i="27" s="1"/>
  <c r="AM596" i="27"/>
  <c r="AM584" i="27"/>
  <c r="AN584" i="27" s="1"/>
  <c r="AO584" i="27" s="1"/>
  <c r="AM500" i="27"/>
  <c r="AM492" i="27"/>
  <c r="AM464" i="27"/>
  <c r="AN464" i="27" s="1"/>
  <c r="AO464" i="27" s="1"/>
  <c r="AM2996" i="27"/>
  <c r="AM2980" i="27"/>
  <c r="AN2980" i="27" s="1"/>
  <c r="AO2980" i="27" s="1"/>
  <c r="AM2956" i="27"/>
  <c r="AN2956" i="27" s="1"/>
  <c r="AO2956" i="27" s="1"/>
  <c r="AM1503" i="27"/>
  <c r="AN1503" i="27" s="1"/>
  <c r="AO1503" i="27" s="1"/>
  <c r="AM3064" i="27"/>
  <c r="AN3064" i="27" s="1"/>
  <c r="AO3064" i="27" s="1"/>
  <c r="AM3061" i="27"/>
  <c r="AN3061" i="27" s="1"/>
  <c r="AO3061" i="27" s="1"/>
  <c r="AH2553" i="27"/>
  <c r="AN580" i="27"/>
  <c r="AO580" i="27" s="1"/>
  <c r="AH2167" i="27"/>
  <c r="AN2601" i="27"/>
  <c r="AO2601" i="27" s="1"/>
  <c r="AH394" i="27"/>
  <c r="AH730" i="27"/>
  <c r="AN2903" i="27"/>
  <c r="AO2903" i="27" s="1"/>
  <c r="AM2145" i="27"/>
  <c r="AH2145" i="27" s="1"/>
  <c r="AM1964" i="27"/>
  <c r="AH1964" i="27" s="1"/>
  <c r="AM2573" i="27"/>
  <c r="AH2573" i="27" s="1"/>
  <c r="AM2555" i="27"/>
  <c r="AH2555" i="27" s="1"/>
  <c r="AM3038" i="27"/>
  <c r="AH3038" i="27" s="1"/>
  <c r="AM3009" i="27"/>
  <c r="AH3009" i="27" s="1"/>
  <c r="AM2950" i="27"/>
  <c r="AM2909" i="27"/>
  <c r="AH2909" i="27" s="1"/>
  <c r="AM2869" i="27"/>
  <c r="AM2705" i="27"/>
  <c r="AH2705" i="27" s="1"/>
  <c r="AM2665" i="27"/>
  <c r="AN2665" i="27" s="1"/>
  <c r="AO2665" i="27" s="1"/>
  <c r="AM2649" i="27"/>
  <c r="AH2649" i="27" s="1"/>
  <c r="AM2621" i="27"/>
  <c r="AN2517" i="27"/>
  <c r="AO2517" i="27" s="1"/>
  <c r="AH2517" i="27"/>
  <c r="AM2505" i="27"/>
  <c r="AN2413" i="27"/>
  <c r="AO2413" i="27" s="1"/>
  <c r="AH2413" i="27"/>
  <c r="AM2273" i="27"/>
  <c r="AH2273" i="27" s="1"/>
  <c r="AM1894" i="27"/>
  <c r="AN1894" i="27" s="1"/>
  <c r="AO1894" i="27" s="1"/>
  <c r="AM1248" i="27"/>
  <c r="AM1244" i="27"/>
  <c r="AH1244" i="27" s="1"/>
  <c r="AM1240" i="27"/>
  <c r="AN1240" i="27" s="1"/>
  <c r="AO1240" i="27" s="1"/>
  <c r="AM1232" i="27"/>
  <c r="AH1232" i="27" s="1"/>
  <c r="AM1167" i="27"/>
  <c r="AM1102" i="27"/>
  <c r="AN1102" i="27" s="1"/>
  <c r="AO1102" i="27" s="1"/>
  <c r="AM1094" i="27"/>
  <c r="AH1094" i="27" s="1"/>
  <c r="AM1090" i="27"/>
  <c r="AN1090" i="27" s="1"/>
  <c r="AO1090" i="27" s="1"/>
  <c r="AM1074" i="27"/>
  <c r="AH1074" i="27" s="1"/>
  <c r="AH1022" i="27"/>
  <c r="AN1022" i="27"/>
  <c r="AO1022" i="27" s="1"/>
  <c r="AM1010" i="27"/>
  <c r="AH1010" i="27" s="1"/>
  <c r="AM1002" i="27"/>
  <c r="AN1002" i="27" s="1"/>
  <c r="AO1002" i="27" s="1"/>
  <c r="AM978" i="27"/>
  <c r="AH978" i="27" s="1"/>
  <c r="AM970" i="27"/>
  <c r="AN970" i="27" s="1"/>
  <c r="AO970" i="27" s="1"/>
  <c r="AM954" i="27"/>
  <c r="AN954" i="27" s="1"/>
  <c r="AO954" i="27" s="1"/>
  <c r="AM930" i="27"/>
  <c r="AH930" i="27" s="1"/>
  <c r="AM898" i="27"/>
  <c r="AN898" i="27" s="1"/>
  <c r="AO898" i="27" s="1"/>
  <c r="AM830" i="27"/>
  <c r="AN830" i="27" s="1"/>
  <c r="AO830" i="27" s="1"/>
  <c r="AM770" i="27"/>
  <c r="AH770" i="27" s="1"/>
  <c r="AM766" i="27"/>
  <c r="AH766" i="27" s="1"/>
  <c r="AM662" i="27"/>
  <c r="AN662" i="27" s="1"/>
  <c r="AO662" i="27" s="1"/>
  <c r="AM606" i="27"/>
  <c r="AH606" i="27" s="1"/>
  <c r="AH566" i="27"/>
  <c r="AN566" i="27"/>
  <c r="AO566" i="27" s="1"/>
  <c r="AM470" i="27"/>
  <c r="AN470" i="27" s="1"/>
  <c r="AO470" i="27" s="1"/>
  <c r="AM442" i="27"/>
  <c r="AH442" i="27" s="1"/>
  <c r="AM422" i="27"/>
  <c r="AH422" i="27" s="1"/>
  <c r="AM414" i="27"/>
  <c r="AN414" i="27" s="1"/>
  <c r="AO414" i="27" s="1"/>
  <c r="AM402" i="27"/>
  <c r="AN402" i="27" s="1"/>
  <c r="AO402" i="27" s="1"/>
  <c r="AM398" i="27"/>
  <c r="AM314" i="27"/>
  <c r="AN314" i="27" s="1"/>
  <c r="AO314" i="27" s="1"/>
  <c r="AM2933" i="27"/>
  <c r="AH2933" i="27" s="1"/>
  <c r="AM1355" i="27"/>
  <c r="AH1355" i="27" s="1"/>
  <c r="AM1606" i="27"/>
  <c r="AM1581" i="27"/>
  <c r="AN1581" i="27" s="1"/>
  <c r="AO1581" i="27" s="1"/>
  <c r="AM1460" i="27"/>
  <c r="AM1563" i="27"/>
  <c r="AN1563" i="27" s="1"/>
  <c r="AO1563" i="27" s="1"/>
  <c r="AM3071" i="27"/>
  <c r="AM1449" i="27"/>
  <c r="AH1449" i="27" s="1"/>
  <c r="AM3079" i="27"/>
  <c r="AM3293" i="27"/>
  <c r="AN3293" i="27" s="1"/>
  <c r="AO3293" i="27" s="1"/>
  <c r="AM1548" i="27"/>
  <c r="AM3078" i="27"/>
  <c r="AH3078" i="27" s="1"/>
  <c r="AH2310" i="27"/>
  <c r="AN2310" i="27"/>
  <c r="AO2310" i="27" s="1"/>
  <c r="AM1394" i="27"/>
  <c r="AN1394" i="27" s="1"/>
  <c r="AO1394" i="27" s="1"/>
  <c r="AM2023" i="27"/>
  <c r="AN2023" i="27" s="1"/>
  <c r="AO2023" i="27" s="1"/>
  <c r="AM2966" i="27"/>
  <c r="AM2959" i="27"/>
  <c r="AM2945" i="27"/>
  <c r="AM2905" i="27"/>
  <c r="AM2901" i="27"/>
  <c r="AH2901" i="27" s="1"/>
  <c r="AM2897" i="27"/>
  <c r="AM2893" i="27"/>
  <c r="AH2893" i="27" s="1"/>
  <c r="AM2885" i="27"/>
  <c r="AN2885" i="27" s="1"/>
  <c r="AO2885" i="27" s="1"/>
  <c r="AM2877" i="27"/>
  <c r="AN2877" i="27" s="1"/>
  <c r="AO2877" i="27" s="1"/>
  <c r="AM2865" i="27"/>
  <c r="AH2865" i="27" s="1"/>
  <c r="AM2861" i="27"/>
  <c r="AN2861" i="27" s="1"/>
  <c r="AO2861" i="27" s="1"/>
  <c r="AM2849" i="27"/>
  <c r="AH2849" i="27" s="1"/>
  <c r="AM2821" i="27"/>
  <c r="AN2821" i="27" s="1"/>
  <c r="AO2821" i="27" s="1"/>
  <c r="AM2813" i="27"/>
  <c r="AH2813" i="27" s="1"/>
  <c r="AM2809" i="27"/>
  <c r="AH2809" i="27" s="1"/>
  <c r="AM2777" i="27"/>
  <c r="AH2777" i="27" s="1"/>
  <c r="AM2773" i="27"/>
  <c r="AH2773" i="27" s="1"/>
  <c r="AM2769" i="27"/>
  <c r="AH2769" i="27" s="1"/>
  <c r="AM2761" i="27"/>
  <c r="AH2761" i="27" s="1"/>
  <c r="AM2753" i="27"/>
  <c r="AH2753" i="27" s="1"/>
  <c r="AM2749" i="27"/>
  <c r="AM2741" i="27"/>
  <c r="AH2741" i="27" s="1"/>
  <c r="AM2737" i="27"/>
  <c r="AH2737" i="27" s="1"/>
  <c r="AM2733" i="27"/>
  <c r="AM2721" i="27"/>
  <c r="AH2721" i="27" s="1"/>
  <c r="AM2717" i="27"/>
  <c r="AM2713" i="27"/>
  <c r="AM2701" i="27"/>
  <c r="AM2661" i="27"/>
  <c r="AN2661" i="27" s="1"/>
  <c r="AO2661" i="27" s="1"/>
  <c r="AM2641" i="27"/>
  <c r="AN2641" i="27" s="1"/>
  <c r="AO2641" i="27" s="1"/>
  <c r="AM2617" i="27"/>
  <c r="AN2617" i="27" s="1"/>
  <c r="AO2617" i="27" s="1"/>
  <c r="AM2609" i="27"/>
  <c r="AM2605" i="27"/>
  <c r="AH2605" i="27" s="1"/>
  <c r="AM2565" i="27"/>
  <c r="AM2561" i="27"/>
  <c r="AM2545" i="27"/>
  <c r="AM2541" i="27"/>
  <c r="AN2541" i="27" s="1"/>
  <c r="AO2541" i="27" s="1"/>
  <c r="AM2533" i="27"/>
  <c r="AM2525" i="27"/>
  <c r="AN2525" i="27" s="1"/>
  <c r="AO2525" i="27" s="1"/>
  <c r="AN2469" i="27"/>
  <c r="AO2469" i="27" s="1"/>
  <c r="AH2469" i="27"/>
  <c r="AM2465" i="27"/>
  <c r="AM2453" i="27"/>
  <c r="AH2453" i="27" s="1"/>
  <c r="AM2449" i="27"/>
  <c r="AN2449" i="27" s="1"/>
  <c r="AO2449" i="27" s="1"/>
  <c r="AN2433" i="27"/>
  <c r="AO2433" i="27" s="1"/>
  <c r="AH2433" i="27"/>
  <c r="AM2417" i="27"/>
  <c r="AH2417" i="27" s="1"/>
  <c r="AM2296" i="27"/>
  <c r="AM2285" i="27"/>
  <c r="AM2281" i="27"/>
  <c r="AM2173" i="27"/>
  <c r="AM2169" i="27"/>
  <c r="AH2169" i="27" s="1"/>
  <c r="AM2161" i="27"/>
  <c r="AH2117" i="27"/>
  <c r="AN2117" i="27"/>
  <c r="AO2117" i="27" s="1"/>
  <c r="AM2109" i="27"/>
  <c r="AH2109" i="27" s="1"/>
  <c r="AM2093" i="27"/>
  <c r="AM2069" i="27"/>
  <c r="AN2069" i="27" s="1"/>
  <c r="AO2069" i="27" s="1"/>
  <c r="AM2004" i="27"/>
  <c r="AM1990" i="27"/>
  <c r="AM1986" i="27"/>
  <c r="AM1942" i="27"/>
  <c r="AN1942" i="27" s="1"/>
  <c r="AO1942" i="27" s="1"/>
  <c r="AM1926" i="27"/>
  <c r="AM1918" i="27"/>
  <c r="AH1918" i="27" s="1"/>
  <c r="AM1914" i="27"/>
  <c r="AN1902" i="27"/>
  <c r="AO1902" i="27" s="1"/>
  <c r="AH1902" i="27"/>
  <c r="AM1886" i="27"/>
  <c r="AH1886" i="27" s="1"/>
  <c r="AM1882" i="27"/>
  <c r="AM1878" i="27"/>
  <c r="AH1878" i="27" s="1"/>
  <c r="AM1194" i="27"/>
  <c r="AN1194" i="27" s="1"/>
  <c r="AO1194" i="27" s="1"/>
  <c r="AM1187" i="27"/>
  <c r="AH1187" i="27" s="1"/>
  <c r="AH1155" i="27"/>
  <c r="AN1155" i="27"/>
  <c r="AO1155" i="27" s="1"/>
  <c r="AM1148" i="27"/>
  <c r="AH1148" i="27" s="1"/>
  <c r="AM1144" i="27"/>
  <c r="O1144" i="27" s="1"/>
  <c r="AM1110" i="27"/>
  <c r="AM1098" i="27"/>
  <c r="AH1098" i="27" s="1"/>
  <c r="AM1078" i="27"/>
  <c r="AM1058" i="27"/>
  <c r="AH1058" i="27" s="1"/>
  <c r="AM1054" i="27"/>
  <c r="AM1042" i="27"/>
  <c r="AN1042" i="27" s="1"/>
  <c r="AO1042" i="27" s="1"/>
  <c r="AM1006" i="27"/>
  <c r="AM994" i="27"/>
  <c r="AH994" i="27" s="1"/>
  <c r="AM982" i="27"/>
  <c r="AM950" i="27"/>
  <c r="AN950" i="27" s="1"/>
  <c r="AO950" i="27" s="1"/>
  <c r="AM914" i="27"/>
  <c r="AM910" i="27"/>
  <c r="AH910" i="27" s="1"/>
  <c r="AM906" i="27"/>
  <c r="AN906" i="27" s="1"/>
  <c r="AO906" i="27" s="1"/>
  <c r="AM902" i="27"/>
  <c r="AN902" i="27" s="1"/>
  <c r="AO902" i="27" s="1"/>
  <c r="AH894" i="27"/>
  <c r="AN894" i="27"/>
  <c r="AO894" i="27" s="1"/>
  <c r="AM890" i="27"/>
  <c r="AN890" i="27" s="1"/>
  <c r="AO890" i="27" s="1"/>
  <c r="AM882" i="27"/>
  <c r="AN882" i="27" s="1"/>
  <c r="AO882" i="27" s="1"/>
  <c r="AM874" i="27"/>
  <c r="AN874" i="27" s="1"/>
  <c r="AO874" i="27" s="1"/>
  <c r="AM858" i="27"/>
  <c r="AM802" i="27"/>
  <c r="AN802" i="27" s="1"/>
  <c r="AO802" i="27" s="1"/>
  <c r="AM798" i="27"/>
  <c r="AM794" i="27"/>
  <c r="AN794" i="27" s="1"/>
  <c r="AO794" i="27" s="1"/>
  <c r="AM790" i="27"/>
  <c r="AN758" i="27"/>
  <c r="AO758" i="27" s="1"/>
  <c r="AH758" i="27"/>
  <c r="AM742" i="27"/>
  <c r="AH742" i="27" s="1"/>
  <c r="AM706" i="27"/>
  <c r="AN706" i="27" s="1"/>
  <c r="AO706" i="27" s="1"/>
  <c r="AM698" i="27"/>
  <c r="AM654" i="27"/>
  <c r="AN654" i="27" s="1"/>
  <c r="AO654" i="27" s="1"/>
  <c r="AM650" i="27"/>
  <c r="AN630" i="27"/>
  <c r="AO630" i="27" s="1"/>
  <c r="AH630" i="27"/>
  <c r="AM610" i="27"/>
  <c r="AN610" i="27" s="1"/>
  <c r="AO610" i="27" s="1"/>
  <c r="AM558" i="27"/>
  <c r="AH558" i="27" s="1"/>
  <c r="AM550" i="27"/>
  <c r="AN550" i="27" s="1"/>
  <c r="AO550" i="27" s="1"/>
  <c r="AM546" i="27"/>
  <c r="AN546" i="27" s="1"/>
  <c r="AO546" i="27" s="1"/>
  <c r="AM542" i="27"/>
  <c r="AH542" i="27" s="1"/>
  <c r="AM510" i="27"/>
  <c r="AN510" i="27" s="1"/>
  <c r="AO510" i="27" s="1"/>
  <c r="AM506" i="27"/>
  <c r="AH506" i="27" s="1"/>
  <c r="AM502" i="27"/>
  <c r="AN502" i="27" s="1"/>
  <c r="AO502" i="27" s="1"/>
  <c r="AM498" i="27"/>
  <c r="AN498" i="27" s="1"/>
  <c r="AO498" i="27" s="1"/>
  <c r="AM494" i="27"/>
  <c r="AH494" i="27" s="1"/>
  <c r="AN462" i="27"/>
  <c r="AO462" i="27" s="1"/>
  <c r="AH462" i="27"/>
  <c r="AM458" i="27"/>
  <c r="AM454" i="27"/>
  <c r="AH454" i="27" s="1"/>
  <c r="AM450" i="27"/>
  <c r="AH450" i="27" s="1"/>
  <c r="AM446" i="27"/>
  <c r="AN446" i="27" s="1"/>
  <c r="AO446" i="27" s="1"/>
  <c r="AM410" i="27"/>
  <c r="AH410" i="27" s="1"/>
  <c r="AM406" i="27"/>
  <c r="AM386" i="27"/>
  <c r="AN386" i="27" s="1"/>
  <c r="AO386" i="27" s="1"/>
  <c r="AM342" i="27"/>
  <c r="AM338" i="27"/>
  <c r="AM334" i="27"/>
  <c r="AH334" i="27" s="1"/>
  <c r="AM330" i="27"/>
  <c r="AN330" i="27" s="1"/>
  <c r="AO330" i="27" s="1"/>
  <c r="AM322" i="27"/>
  <c r="AN322" i="27" s="1"/>
  <c r="AO322" i="27" s="1"/>
  <c r="AM318" i="27"/>
  <c r="AM1319" i="27"/>
  <c r="AN1319" i="27" s="1"/>
  <c r="AO1319" i="27" s="1"/>
  <c r="AM2020" i="27"/>
  <c r="AN2020" i="27" s="1"/>
  <c r="AO2020" i="27" s="1"/>
  <c r="AM1340" i="27"/>
  <c r="AN1340" i="27" s="1"/>
  <c r="AO1340" i="27" s="1"/>
  <c r="AH1308" i="27"/>
  <c r="AN1308" i="27"/>
  <c r="AO1308" i="27" s="1"/>
  <c r="AM2297" i="27"/>
  <c r="AM1299" i="27"/>
  <c r="AN1299" i="27" s="1"/>
  <c r="AO1299" i="27" s="1"/>
  <c r="AM1295" i="27"/>
  <c r="AH1295" i="27" s="1"/>
  <c r="AM1291" i="27"/>
  <c r="AN1291" i="27" s="1"/>
  <c r="AO1291" i="27" s="1"/>
  <c r="AH1434" i="27"/>
  <c r="AN1434" i="27"/>
  <c r="AO1434" i="27" s="1"/>
  <c r="AM3019" i="27"/>
  <c r="AN3019" i="27" s="1"/>
  <c r="AO3019" i="27" s="1"/>
  <c r="AM3022" i="27"/>
  <c r="AM2805" i="27"/>
  <c r="AN2805" i="27" s="1"/>
  <c r="AO2805" i="27" s="1"/>
  <c r="AH1958" i="27"/>
  <c r="AN1934" i="27"/>
  <c r="AO1934" i="27" s="1"/>
  <c r="AH2269" i="27"/>
  <c r="AM474" i="27"/>
  <c r="AH474" i="27" s="1"/>
  <c r="AN430" i="27"/>
  <c r="AO430" i="27" s="1"/>
  <c r="AM722" i="27"/>
  <c r="AH722" i="27" s="1"/>
  <c r="AH1229" i="27"/>
  <c r="AM1030" i="27"/>
  <c r="AH1030" i="27" s="1"/>
  <c r="AM942" i="27"/>
  <c r="AH942" i="27" s="1"/>
  <c r="AM2421" i="27"/>
  <c r="AN2421" i="27" s="1"/>
  <c r="AO2421" i="27" s="1"/>
  <c r="AM1410" i="27"/>
  <c r="AN1410" i="27" s="1"/>
  <c r="AO1410" i="27" s="1"/>
  <c r="AN3308" i="27"/>
  <c r="AO3308" i="27" s="1"/>
  <c r="AH3308" i="27"/>
  <c r="AM1543" i="27"/>
  <c r="AM3014" i="27"/>
  <c r="AH3014" i="27" s="1"/>
  <c r="AM1568" i="27"/>
  <c r="AM3013" i="27"/>
  <c r="AH3013" i="27" s="1"/>
  <c r="AM3010" i="27"/>
  <c r="AM2953" i="27"/>
  <c r="AH2953" i="27" s="1"/>
  <c r="AM2947" i="27"/>
  <c r="AH2947" i="27" s="1"/>
  <c r="AM2943" i="27"/>
  <c r="AH2943" i="27" s="1"/>
  <c r="AM2934" i="27"/>
  <c r="AM2919" i="27"/>
  <c r="AM2915" i="27"/>
  <c r="AN2915" i="27" s="1"/>
  <c r="AO2915" i="27" s="1"/>
  <c r="AM2899" i="27"/>
  <c r="AH2899" i="27" s="1"/>
  <c r="AM2895" i="27"/>
  <c r="AN2895" i="27" s="1"/>
  <c r="AO2895" i="27" s="1"/>
  <c r="AM2883" i="27"/>
  <c r="AH2883" i="27" s="1"/>
  <c r="AM2875" i="27"/>
  <c r="AM2863" i="27"/>
  <c r="AN2863" i="27" s="1"/>
  <c r="AO2863" i="27" s="1"/>
  <c r="AM2847" i="27"/>
  <c r="AM2839" i="27"/>
  <c r="AH2839" i="27" s="1"/>
  <c r="AM2827" i="27"/>
  <c r="AH2827" i="27" s="1"/>
  <c r="AM2819" i="27"/>
  <c r="AM2807" i="27"/>
  <c r="AH2807" i="27" s="1"/>
  <c r="AM2795" i="27"/>
  <c r="AN2795" i="27" s="1"/>
  <c r="AO2795" i="27" s="1"/>
  <c r="AM2775" i="27"/>
  <c r="AM2759" i="27"/>
  <c r="AH2759" i="27" s="1"/>
  <c r="AM2751" i="27"/>
  <c r="AM2747" i="27"/>
  <c r="AN2747" i="27" s="1"/>
  <c r="AO2747" i="27" s="1"/>
  <c r="AM2743" i="27"/>
  <c r="AH2739" i="27"/>
  <c r="AN2739" i="27"/>
  <c r="AO2739" i="27" s="1"/>
  <c r="AM2735" i="27"/>
  <c r="AM2727" i="27"/>
  <c r="AM2719" i="27"/>
  <c r="AM2715" i="27"/>
  <c r="AN2715" i="27" s="1"/>
  <c r="AO2715" i="27" s="1"/>
  <c r="AM2711" i="27"/>
  <c r="AN2711" i="27" s="1"/>
  <c r="AO2711" i="27" s="1"/>
  <c r="AM2703" i="27"/>
  <c r="AH2703" i="27" s="1"/>
  <c r="AM2683" i="27"/>
  <c r="AM2663" i="27"/>
  <c r="AM2659" i="27"/>
  <c r="AH2659" i="27" s="1"/>
  <c r="AM2655" i="27"/>
  <c r="AN2655" i="27" s="1"/>
  <c r="AO2655" i="27" s="1"/>
  <c r="AM2647" i="27"/>
  <c r="AM2643" i="27"/>
  <c r="AN2643" i="27" s="1"/>
  <c r="AO2643" i="27" s="1"/>
  <c r="AM2635" i="27"/>
  <c r="AH2635" i="27" s="1"/>
  <c r="AM2627" i="27"/>
  <c r="AH2627" i="27" s="1"/>
  <c r="AM2623" i="27"/>
  <c r="AM2599" i="27"/>
  <c r="AH2599" i="27" s="1"/>
  <c r="AM2595" i="27"/>
  <c r="AM2591" i="27"/>
  <c r="AN2591" i="27" s="1"/>
  <c r="AO2591" i="27" s="1"/>
  <c r="AM2587" i="27"/>
  <c r="AN2587" i="27" s="1"/>
  <c r="AO2587" i="27" s="1"/>
  <c r="AM2579" i="27"/>
  <c r="AH2579" i="27" s="1"/>
  <c r="AM2575" i="27"/>
  <c r="AH2575" i="27" s="1"/>
  <c r="AM2571" i="27"/>
  <c r="AN2571" i="27" s="1"/>
  <c r="AO2571" i="27" s="1"/>
  <c r="AN2563" i="27"/>
  <c r="AO2563" i="27" s="1"/>
  <c r="AH2563" i="27"/>
  <c r="AM2559" i="27"/>
  <c r="AN2559" i="27" s="1"/>
  <c r="AO2559" i="27" s="1"/>
  <c r="AM2543" i="27"/>
  <c r="AM2539" i="27"/>
  <c r="AM2531" i="27"/>
  <c r="AN2531" i="27" s="1"/>
  <c r="AO2531" i="27" s="1"/>
  <c r="AM2523" i="27"/>
  <c r="AH2523" i="27" s="1"/>
  <c r="AM2507" i="27"/>
  <c r="AH2507" i="27" s="1"/>
  <c r="AM2491" i="27"/>
  <c r="AN2491" i="27" s="1"/>
  <c r="AO2491" i="27" s="1"/>
  <c r="AM2483" i="27"/>
  <c r="AN2483" i="27" s="1"/>
  <c r="AO2483" i="27" s="1"/>
  <c r="AM2479" i="27"/>
  <c r="AM2471" i="27"/>
  <c r="AM2459" i="27"/>
  <c r="AH2459" i="27" s="1"/>
  <c r="AM2455" i="27"/>
  <c r="AH2455" i="27" s="1"/>
  <c r="AM2443" i="27"/>
  <c r="AN2443" i="27" s="1"/>
  <c r="AO2443" i="27" s="1"/>
  <c r="AM2435" i="27"/>
  <c r="AN2435" i="27" s="1"/>
  <c r="AO2435" i="27" s="1"/>
  <c r="AM2423" i="27"/>
  <c r="AN2423" i="27" s="1"/>
  <c r="AO2423" i="27" s="1"/>
  <c r="AM2415" i="27"/>
  <c r="AM2395" i="27"/>
  <c r="AM2391" i="27"/>
  <c r="AN2391" i="27" s="1"/>
  <c r="AO2391" i="27" s="1"/>
  <c r="AM2387" i="27"/>
  <c r="AM2383" i="27"/>
  <c r="AM2375" i="27"/>
  <c r="AH2375" i="27" s="1"/>
  <c r="AM2304" i="27"/>
  <c r="AN2304" i="27" s="1"/>
  <c r="AO2304" i="27" s="1"/>
  <c r="AM2279" i="27"/>
  <c r="AH2279" i="27" s="1"/>
  <c r="AM2271" i="27"/>
  <c r="AM2267" i="27"/>
  <c r="AN2267" i="27" s="1"/>
  <c r="AO2267" i="27" s="1"/>
  <c r="AM2259" i="27"/>
  <c r="AN2259" i="27" s="1"/>
  <c r="AO2259" i="27" s="1"/>
  <c r="AM2255" i="27"/>
  <c r="AN2255" i="27" s="1"/>
  <c r="AO2255" i="27" s="1"/>
  <c r="AM2247" i="27"/>
  <c r="AM2243" i="27"/>
  <c r="AN2243" i="27" s="1"/>
  <c r="AO2243" i="27" s="1"/>
  <c r="AM2215" i="27"/>
  <c r="AN2211" i="27"/>
  <c r="AO2211" i="27" s="1"/>
  <c r="AH2211" i="27"/>
  <c r="AM2203" i="27"/>
  <c r="AM2195" i="27"/>
  <c r="AN2195" i="27" s="1"/>
  <c r="AO2195" i="27" s="1"/>
  <c r="AM2187" i="27"/>
  <c r="AH2187" i="27" s="1"/>
  <c r="AM2183" i="27"/>
  <c r="AN2183" i="27" s="1"/>
  <c r="AO2183" i="27" s="1"/>
  <c r="AM2179" i="27"/>
  <c r="AM2175" i="27"/>
  <c r="AN2175" i="27" s="1"/>
  <c r="AO2175" i="27" s="1"/>
  <c r="AM2171" i="27"/>
  <c r="AN2171" i="27" s="1"/>
  <c r="AO2171" i="27" s="1"/>
  <c r="AM2159" i="27"/>
  <c r="AN2159" i="27" s="1"/>
  <c r="AO2159" i="27" s="1"/>
  <c r="AM2151" i="27"/>
  <c r="AM2147" i="27"/>
  <c r="AM2131" i="27"/>
  <c r="AM2127" i="27"/>
  <c r="AH2127" i="27" s="1"/>
  <c r="AM2123" i="27"/>
  <c r="AH2123" i="27" s="1"/>
  <c r="AM2115" i="27"/>
  <c r="AN2115" i="27" s="1"/>
  <c r="AO2115" i="27" s="1"/>
  <c r="AM2111" i="27"/>
  <c r="AM2107" i="27"/>
  <c r="AH2107" i="27" s="1"/>
  <c r="AM2079" i="27"/>
  <c r="AH2079" i="27" s="1"/>
  <c r="AM2071" i="27"/>
  <c r="AN2071" i="27" s="1"/>
  <c r="AO2071" i="27" s="1"/>
  <c r="AM2035" i="27"/>
  <c r="AH2035" i="27" s="1"/>
  <c r="AM2026" i="27"/>
  <c r="AM2010" i="27"/>
  <c r="AN2010" i="27" s="1"/>
  <c r="AO2010" i="27" s="1"/>
  <c r="AM2002" i="27"/>
  <c r="AN2002" i="27" s="1"/>
  <c r="AO2002" i="27" s="1"/>
  <c r="AM1988" i="27"/>
  <c r="AN1988" i="27" s="1"/>
  <c r="AO1988" i="27" s="1"/>
  <c r="AM1976" i="27"/>
  <c r="AN1976" i="27" s="1"/>
  <c r="AO1976" i="27" s="1"/>
  <c r="AM1972" i="27"/>
  <c r="AN1972" i="27" s="1"/>
  <c r="AO1972" i="27" s="1"/>
  <c r="AM1956" i="27"/>
  <c r="AH1956" i="27" s="1"/>
  <c r="AM1940" i="27"/>
  <c r="AN1940" i="27" s="1"/>
  <c r="AO1940" i="27" s="1"/>
  <c r="AM1932" i="27"/>
  <c r="AN1932" i="27" s="1"/>
  <c r="AO1932" i="27" s="1"/>
  <c r="AM1924" i="27"/>
  <c r="AN1924" i="27" s="1"/>
  <c r="AO1924" i="27" s="1"/>
  <c r="AM1920" i="27"/>
  <c r="AN1920" i="27" s="1"/>
  <c r="AO1920" i="27" s="1"/>
  <c r="AM1916" i="27"/>
  <c r="AM1908" i="27"/>
  <c r="AH1908" i="27" s="1"/>
  <c r="AM1900" i="27"/>
  <c r="AM1892" i="27"/>
  <c r="AN1892" i="27" s="1"/>
  <c r="AO1892" i="27" s="1"/>
  <c r="AM1888" i="27"/>
  <c r="AM1884" i="27"/>
  <c r="AH1884" i="27" s="1"/>
  <c r="AM1868" i="27"/>
  <c r="AM1282" i="27"/>
  <c r="AN1282" i="27" s="1"/>
  <c r="AO1282" i="27" s="1"/>
  <c r="AM1268" i="27"/>
  <c r="AN1268" i="27" s="1"/>
  <c r="AO1268" i="27" s="1"/>
  <c r="AM1264" i="27"/>
  <c r="AH1264" i="27" s="1"/>
  <c r="AM1258" i="27"/>
  <c r="AH1258" i="27" s="1"/>
  <c r="AM1250" i="27"/>
  <c r="AN1250" i="27" s="1"/>
  <c r="AO1250" i="27" s="1"/>
  <c r="AM1246" i="27"/>
  <c r="AM1224" i="27"/>
  <c r="AN1224" i="27" s="1"/>
  <c r="AO1224" i="27" s="1"/>
  <c r="AM1212" i="27"/>
  <c r="AM1200" i="27"/>
  <c r="AN1200" i="27" s="1"/>
  <c r="AO1200" i="27" s="1"/>
  <c r="AM1189" i="27"/>
  <c r="AN1189" i="27" s="1"/>
  <c r="AO1189" i="27" s="1"/>
  <c r="AM1177" i="27"/>
  <c r="AH1177" i="27" s="1"/>
  <c r="AM1173" i="27"/>
  <c r="AM1169" i="27"/>
  <c r="AN1169" i="27" s="1"/>
  <c r="AO1169" i="27" s="1"/>
  <c r="AM1153" i="27"/>
  <c r="AN1153" i="27" s="1"/>
  <c r="AO1153" i="27" s="1"/>
  <c r="AM1146" i="27"/>
  <c r="AH1146" i="27" s="1"/>
  <c r="AM1142" i="27"/>
  <c r="AN1142" i="27" s="1"/>
  <c r="AO1142" i="27" s="1"/>
  <c r="AM1129" i="27"/>
  <c r="AM1125" i="27"/>
  <c r="AH1125" i="27" s="1"/>
  <c r="AM1112" i="27"/>
  <c r="AM1104" i="27"/>
  <c r="AN1104" i="27" s="1"/>
  <c r="AO1104" i="27" s="1"/>
  <c r="AM1096" i="27"/>
  <c r="AM1092" i="27"/>
  <c r="AH1092" i="27" s="1"/>
  <c r="AM1072" i="27"/>
  <c r="AM1064" i="27"/>
  <c r="AH1064" i="27" s="1"/>
  <c r="AM1060" i="27"/>
  <c r="AH1060" i="27" s="1"/>
  <c r="AM1048" i="27"/>
  <c r="AH1048" i="27" s="1"/>
  <c r="AM1044" i="27"/>
  <c r="AM1036" i="27"/>
  <c r="AM1032" i="27"/>
  <c r="AM1028" i="27"/>
  <c r="AH1028" i="27" s="1"/>
  <c r="AM1020" i="27"/>
  <c r="AH1020" i="27" s="1"/>
  <c r="AM1016" i="27"/>
  <c r="AM1008" i="27"/>
  <c r="AM1000" i="27"/>
  <c r="AH1000" i="27" s="1"/>
  <c r="AM968" i="27"/>
  <c r="AM956" i="27"/>
  <c r="AH956" i="27" s="1"/>
  <c r="AM952" i="27"/>
  <c r="AN952" i="27" s="1"/>
  <c r="AO952" i="27" s="1"/>
  <c r="AM944" i="27"/>
  <c r="AN944" i="27" s="1"/>
  <c r="AO944" i="27" s="1"/>
  <c r="AM936" i="27"/>
  <c r="AH936" i="27" s="1"/>
  <c r="AM924" i="27"/>
  <c r="AH924" i="27" s="1"/>
  <c r="AM920" i="27"/>
  <c r="AH920" i="27" s="1"/>
  <c r="AM916" i="27"/>
  <c r="AM912" i="27"/>
  <c r="AH912" i="27" s="1"/>
  <c r="AM908" i="27"/>
  <c r="AM900" i="27"/>
  <c r="AM896" i="27"/>
  <c r="AH896" i="27" s="1"/>
  <c r="AM872" i="27"/>
  <c r="AH872" i="27" s="1"/>
  <c r="AM860" i="27"/>
  <c r="AN860" i="27" s="1"/>
  <c r="AO860" i="27" s="1"/>
  <c r="AM856" i="27"/>
  <c r="AM852" i="27"/>
  <c r="AN852" i="27" s="1"/>
  <c r="AO852" i="27" s="1"/>
  <c r="AM848" i="27"/>
  <c r="AN848" i="27" s="1"/>
  <c r="AO848" i="27" s="1"/>
  <c r="AM844" i="27"/>
  <c r="AM840" i="27"/>
  <c r="AN840" i="27" s="1"/>
  <c r="AO840" i="27" s="1"/>
  <c r="AM836" i="27"/>
  <c r="AM832" i="27"/>
  <c r="AH832" i="27" s="1"/>
  <c r="AM828" i="27"/>
  <c r="AH828" i="27" s="1"/>
  <c r="AM824" i="27"/>
  <c r="AN824" i="27" s="1"/>
  <c r="AO824" i="27" s="1"/>
  <c r="AM820" i="27"/>
  <c r="AH820" i="27" s="1"/>
  <c r="AM816" i="27"/>
  <c r="AH816" i="27" s="1"/>
  <c r="AM812" i="27"/>
  <c r="AN812" i="27" s="1"/>
  <c r="AO812" i="27" s="1"/>
  <c r="AM804" i="27"/>
  <c r="AM800" i="27"/>
  <c r="AH800" i="27" s="1"/>
  <c r="AM796" i="27"/>
  <c r="AM792" i="27"/>
  <c r="AN792" i="27" s="1"/>
  <c r="AO792" i="27" s="1"/>
  <c r="AM776" i="27"/>
  <c r="AH776" i="27" s="1"/>
  <c r="AM768" i="27"/>
  <c r="AM764" i="27"/>
  <c r="AM756" i="27"/>
  <c r="AM752" i="27"/>
  <c r="AN748" i="27"/>
  <c r="AO748" i="27" s="1"/>
  <c r="AH748" i="27"/>
  <c r="AM740" i="27"/>
  <c r="AH740" i="27" s="1"/>
  <c r="AM736" i="27"/>
  <c r="AN736" i="27" s="1"/>
  <c r="AO736" i="27" s="1"/>
  <c r="AM728" i="27"/>
  <c r="AM724" i="27"/>
  <c r="AN724" i="27" s="1"/>
  <c r="AO724" i="27" s="1"/>
  <c r="AM720" i="27"/>
  <c r="AM716" i="27"/>
  <c r="AH716" i="27" s="1"/>
  <c r="AM708" i="27"/>
  <c r="AN708" i="27" s="1"/>
  <c r="AO708" i="27" s="1"/>
  <c r="AM700" i="27"/>
  <c r="AM684" i="27"/>
  <c r="AM680" i="27"/>
  <c r="AM676" i="27"/>
  <c r="AN676" i="27" s="1"/>
  <c r="AO676" i="27" s="1"/>
  <c r="AM672" i="27"/>
  <c r="AH672" i="27" s="1"/>
  <c r="AH2913" i="27"/>
  <c r="AM582" i="27"/>
  <c r="AN582" i="27" s="1"/>
  <c r="AO582" i="27" s="1"/>
  <c r="AN2457" i="27"/>
  <c r="AO2457" i="27" s="1"/>
  <c r="AH1950" i="27"/>
  <c r="AM2119" i="27"/>
  <c r="AH2119" i="27" s="1"/>
  <c r="AM2407" i="27"/>
  <c r="AH2407" i="27" s="1"/>
  <c r="AN1436" i="27"/>
  <c r="AO1436" i="27" s="1"/>
  <c r="AM2707" i="27"/>
  <c r="AM374" i="27"/>
  <c r="AN374" i="27" s="1"/>
  <c r="AO374" i="27" s="1"/>
  <c r="AM390" i="27"/>
  <c r="AH390" i="27" s="1"/>
  <c r="AM1898" i="27"/>
  <c r="AN1898" i="27" s="1"/>
  <c r="AO1898" i="27" s="1"/>
  <c r="AM614" i="27"/>
  <c r="AN614" i="27" s="1"/>
  <c r="AO614" i="27" s="1"/>
  <c r="AM2153" i="27"/>
  <c r="AH2153" i="27" s="1"/>
  <c r="AM2289" i="27"/>
  <c r="AN2289" i="27" s="1"/>
  <c r="AO2289" i="27" s="1"/>
  <c r="AN1211" i="27"/>
  <c r="AO1211" i="27" s="1"/>
  <c r="AH1211" i="27"/>
  <c r="AH1329" i="27"/>
  <c r="AN1329" i="27"/>
  <c r="AO1329" i="27" s="1"/>
  <c r="AH1552" i="27"/>
  <c r="AN1552" i="27"/>
  <c r="AO1552" i="27" s="1"/>
  <c r="AH1350" i="27"/>
  <c r="AN1350" i="27"/>
  <c r="AO1350" i="27" s="1"/>
  <c r="AH1286" i="27"/>
  <c r="AN1286" i="27"/>
  <c r="AO1286" i="27" s="1"/>
  <c r="AM3205" i="27"/>
  <c r="AN3205" i="27" s="1"/>
  <c r="AO3205" i="27" s="1"/>
  <c r="AQ3205" i="27"/>
  <c r="AR3205" i="27" s="1"/>
  <c r="AS3205" i="27" s="1"/>
  <c r="AM3011" i="27"/>
  <c r="AH3011" i="27" s="1"/>
  <c r="AM3185" i="27"/>
  <c r="AH3185" i="27" s="1"/>
  <c r="AM1447" i="27"/>
  <c r="AH1447" i="27" s="1"/>
  <c r="AM2931" i="27"/>
  <c r="AM2921" i="27"/>
  <c r="AH2921" i="27" s="1"/>
  <c r="AM2881" i="27"/>
  <c r="AM2841" i="27"/>
  <c r="AN2841" i="27" s="1"/>
  <c r="AO2841" i="27" s="1"/>
  <c r="AM2837" i="27"/>
  <c r="AM2833" i="27"/>
  <c r="AM2825" i="27"/>
  <c r="AH2825" i="27" s="1"/>
  <c r="AM2789" i="27"/>
  <c r="AH2789" i="27" s="1"/>
  <c r="AM2785" i="27"/>
  <c r="AN2785" i="27" s="1"/>
  <c r="AO2785" i="27" s="1"/>
  <c r="AM2685" i="27"/>
  <c r="AN2685" i="27" s="1"/>
  <c r="AO2685" i="27" s="1"/>
  <c r="AM2681" i="27"/>
  <c r="AN2681" i="27" s="1"/>
  <c r="AO2681" i="27" s="1"/>
  <c r="AM2653" i="27"/>
  <c r="AN2653" i="27" s="1"/>
  <c r="AO2653" i="27" s="1"/>
  <c r="AM2645" i="27"/>
  <c r="AH2645" i="27" s="1"/>
  <c r="AM2637" i="27"/>
  <c r="AH2637" i="27" s="1"/>
  <c r="AM2613" i="27"/>
  <c r="AN2613" i="27" s="1"/>
  <c r="AO2613" i="27" s="1"/>
  <c r="AM2589" i="27"/>
  <c r="AH2589" i="27" s="1"/>
  <c r="AM2549" i="27"/>
  <c r="AN2549" i="27" s="1"/>
  <c r="AO2549" i="27" s="1"/>
  <c r="AM2537" i="27"/>
  <c r="AM2509" i="27"/>
  <c r="AM2485" i="27"/>
  <c r="AN2485" i="27" s="1"/>
  <c r="AO2485" i="27" s="1"/>
  <c r="AM2481" i="27"/>
  <c r="AM2441" i="27"/>
  <c r="AM2437" i="27"/>
  <c r="AH2437" i="27" s="1"/>
  <c r="AM2401" i="27"/>
  <c r="AM2397" i="27"/>
  <c r="AM2389" i="27"/>
  <c r="AM2381" i="27"/>
  <c r="AM2377" i="27"/>
  <c r="AH2377" i="27" s="1"/>
  <c r="AM2265" i="27"/>
  <c r="AH2265" i="27" s="1"/>
  <c r="AM2261" i="27"/>
  <c r="AH2261" i="27" s="1"/>
  <c r="AH2257" i="27"/>
  <c r="AN2257" i="27"/>
  <c r="AO2257" i="27" s="1"/>
  <c r="AM2253" i="27"/>
  <c r="AN2253" i="27" s="1"/>
  <c r="AO2253" i="27" s="1"/>
  <c r="AM2245" i="27"/>
  <c r="AH2245" i="27" s="1"/>
  <c r="AM2233" i="27"/>
  <c r="AH2225" i="27"/>
  <c r="AN2225" i="27"/>
  <c r="AO2225" i="27" s="1"/>
  <c r="AM2205" i="27"/>
  <c r="AM2193" i="27"/>
  <c r="AM2189" i="27"/>
  <c r="AH2189" i="27" s="1"/>
  <c r="AM2141" i="27"/>
  <c r="AN2141" i="27" s="1"/>
  <c r="AO2141" i="27" s="1"/>
  <c r="AM2137" i="27"/>
  <c r="AN2137" i="27" s="1"/>
  <c r="AO2137" i="27" s="1"/>
  <c r="AM2133" i="27"/>
  <c r="AM2121" i="27"/>
  <c r="AN2121" i="27" s="1"/>
  <c r="AO2121" i="27" s="1"/>
  <c r="AM2113" i="27"/>
  <c r="AN2113" i="27" s="1"/>
  <c r="AO2113" i="27" s="1"/>
  <c r="AM2097" i="27"/>
  <c r="AH2097" i="27" s="1"/>
  <c r="AM2089" i="27"/>
  <c r="AH2089" i="27" s="1"/>
  <c r="AM2085" i="27"/>
  <c r="AH2085" i="27" s="1"/>
  <c r="AM2031" i="27"/>
  <c r="AH2031" i="27" s="1"/>
  <c r="AM2022" i="27"/>
  <c r="AN2022" i="27" s="1"/>
  <c r="AO2022" i="27" s="1"/>
  <c r="AM2016" i="27"/>
  <c r="AH2016" i="27" s="1"/>
  <c r="AM2012" i="27"/>
  <c r="AN2012" i="27" s="1"/>
  <c r="AO2012" i="27" s="1"/>
  <c r="AM1978" i="27"/>
  <c r="AN1978" i="27" s="1"/>
  <c r="AO1978" i="27" s="1"/>
  <c r="AM1974" i="27"/>
  <c r="AM1970" i="27"/>
  <c r="AH1970" i="27" s="1"/>
  <c r="AM1966" i="27"/>
  <c r="AN1966" i="27" s="1"/>
  <c r="AO1966" i="27" s="1"/>
  <c r="AM1954" i="27"/>
  <c r="AM1946" i="27"/>
  <c r="AN1946" i="27" s="1"/>
  <c r="AO1946" i="27" s="1"/>
  <c r="AM1938" i="27"/>
  <c r="AN1938" i="27" s="1"/>
  <c r="AO1938" i="27" s="1"/>
  <c r="AM1922" i="27"/>
  <c r="AN1922" i="27" s="1"/>
  <c r="AO1922" i="27" s="1"/>
  <c r="AM1906" i="27"/>
  <c r="AN1906" i="27" s="1"/>
  <c r="AO1906" i="27" s="1"/>
  <c r="AM1870" i="27"/>
  <c r="AN1870" i="27" s="1"/>
  <c r="AO1870" i="27" s="1"/>
  <c r="AM1274" i="27"/>
  <c r="AM1236" i="27"/>
  <c r="AH1236" i="27" s="1"/>
  <c r="AM1222" i="27"/>
  <c r="AM1218" i="27"/>
  <c r="AH1218" i="27" s="1"/>
  <c r="AM1202" i="27"/>
  <c r="AN1202" i="27" s="1"/>
  <c r="AO1202" i="27" s="1"/>
  <c r="AM1175" i="27"/>
  <c r="AN1175" i="27" s="1"/>
  <c r="AO1175" i="27" s="1"/>
  <c r="AM1123" i="27"/>
  <c r="AH1123" i="27" s="1"/>
  <c r="AM1086" i="27"/>
  <c r="AN1086" i="27" s="1"/>
  <c r="AO1086" i="27" s="1"/>
  <c r="AM1070" i="27"/>
  <c r="AN1070" i="27" s="1"/>
  <c r="AO1070" i="27" s="1"/>
  <c r="AM1034" i="27"/>
  <c r="AH1034" i="27" s="1"/>
  <c r="AM1018" i="27"/>
  <c r="AN1018" i="27" s="1"/>
  <c r="AO1018" i="27" s="1"/>
  <c r="AM974" i="27"/>
  <c r="AM962" i="27"/>
  <c r="AH962" i="27" s="1"/>
  <c r="AH946" i="27"/>
  <c r="AN946" i="27"/>
  <c r="AO946" i="27" s="1"/>
  <c r="AM938" i="27"/>
  <c r="AH938" i="27" s="1"/>
  <c r="AM926" i="27"/>
  <c r="AH926" i="27" s="1"/>
  <c r="AM922" i="27"/>
  <c r="AH922" i="27" s="1"/>
  <c r="AM878" i="27"/>
  <c r="AM870" i="27"/>
  <c r="AN870" i="27" s="1"/>
  <c r="AO870" i="27" s="1"/>
  <c r="AM854" i="27"/>
  <c r="AH854" i="27" s="1"/>
  <c r="AM850" i="27"/>
  <c r="AH850" i="27" s="1"/>
  <c r="AM846" i="27"/>
  <c r="AM842" i="27"/>
  <c r="AN842" i="27" s="1"/>
  <c r="AO842" i="27" s="1"/>
  <c r="AM838" i="27"/>
  <c r="AN838" i="27" s="1"/>
  <c r="AO838" i="27" s="1"/>
  <c r="AM826" i="27"/>
  <c r="AN826" i="27" s="1"/>
  <c r="AO826" i="27" s="1"/>
  <c r="AM814" i="27"/>
  <c r="AN786" i="27"/>
  <c r="AO786" i="27" s="1"/>
  <c r="AH786" i="27"/>
  <c r="AM782" i="27"/>
  <c r="AH782" i="27" s="1"/>
  <c r="AM778" i="27"/>
  <c r="AM774" i="27"/>
  <c r="AH774" i="27" s="1"/>
  <c r="AM750" i="27"/>
  <c r="AM726" i="27"/>
  <c r="AH726" i="27" s="1"/>
  <c r="AM718" i="27"/>
  <c r="AN718" i="27" s="1"/>
  <c r="AO718" i="27" s="1"/>
  <c r="AM714" i="27"/>
  <c r="AM678" i="27"/>
  <c r="AN678" i="27" s="1"/>
  <c r="AO678" i="27" s="1"/>
  <c r="AM666" i="27"/>
  <c r="AH666" i="27" s="1"/>
  <c r="AM658" i="27"/>
  <c r="AH658" i="27" s="1"/>
  <c r="AM638" i="27"/>
  <c r="AN638" i="27" s="1"/>
  <c r="AO638" i="27" s="1"/>
  <c r="AM634" i="27"/>
  <c r="AH626" i="27"/>
  <c r="AN626" i="27"/>
  <c r="AO626" i="27" s="1"/>
  <c r="AM602" i="27"/>
  <c r="AM590" i="27"/>
  <c r="AM586" i="27"/>
  <c r="AM574" i="27"/>
  <c r="AM562" i="27"/>
  <c r="AH562" i="27" s="1"/>
  <c r="AM554" i="27"/>
  <c r="AN554" i="27" s="1"/>
  <c r="AO554" i="27" s="1"/>
  <c r="AM534" i="27"/>
  <c r="AH534" i="27" s="1"/>
  <c r="AM530" i="27"/>
  <c r="AM518" i="27"/>
  <c r="AN518" i="27" s="1"/>
  <c r="AO518" i="27" s="1"/>
  <c r="AM486" i="27"/>
  <c r="AM482" i="27"/>
  <c r="AM478" i="27"/>
  <c r="AH478" i="27" s="1"/>
  <c r="AM466" i="27"/>
  <c r="AN466" i="27" s="1"/>
  <c r="AO466" i="27" s="1"/>
  <c r="AM418" i="27"/>
  <c r="AN382" i="27"/>
  <c r="AO382" i="27" s="1"/>
  <c r="AH382" i="27"/>
  <c r="AM370" i="27"/>
  <c r="AH370" i="27" s="1"/>
  <c r="AM366" i="27"/>
  <c r="AH366" i="27" s="1"/>
  <c r="AM350" i="27"/>
  <c r="AN350" i="27" s="1"/>
  <c r="AO350" i="27" s="1"/>
  <c r="AM2999" i="27"/>
  <c r="AN2999" i="27" s="1"/>
  <c r="AO2999" i="27" s="1"/>
  <c r="AM2987" i="27"/>
  <c r="AN2987" i="27" s="1"/>
  <c r="AO2987" i="27" s="1"/>
  <c r="AM2981" i="27"/>
  <c r="AH2981" i="27" s="1"/>
  <c r="AM2968" i="27"/>
  <c r="AN2968" i="27" s="1"/>
  <c r="AO2968" i="27" s="1"/>
  <c r="AM2028" i="27"/>
  <c r="AN2028" i="27" s="1"/>
  <c r="AO2028" i="27" s="1"/>
  <c r="AM1317" i="27"/>
  <c r="AM1416" i="27"/>
  <c r="AH1416" i="27" s="1"/>
  <c r="AM1390" i="27"/>
  <c r="AN1390" i="27" s="1"/>
  <c r="AO1390" i="27" s="1"/>
  <c r="AM1560" i="27"/>
  <c r="AN1560" i="27" s="1"/>
  <c r="AO1560" i="27" s="1"/>
  <c r="AM1444" i="27"/>
  <c r="AH1444" i="27" s="1"/>
  <c r="AM1414" i="27"/>
  <c r="AH1414" i="27" s="1"/>
  <c r="AM1325" i="27"/>
  <c r="AN1325" i="27" s="1"/>
  <c r="AO1325" i="27" s="1"/>
  <c r="AM1342" i="27"/>
  <c r="AH1342" i="27" s="1"/>
  <c r="AM1465" i="27"/>
  <c r="AN1465" i="27" s="1"/>
  <c r="AO1465" i="27" s="1"/>
  <c r="AM1313" i="27"/>
  <c r="AN1313" i="27" s="1"/>
  <c r="AO1313" i="27" s="1"/>
  <c r="AM1363" i="27"/>
  <c r="AM1478" i="27"/>
  <c r="AN1478" i="27" s="1"/>
  <c r="AO1478" i="27" s="1"/>
  <c r="AM1574" i="27"/>
  <c r="AM1337" i="27"/>
  <c r="AH1337" i="27" s="1"/>
  <c r="AM1502" i="27"/>
  <c r="AN1502" i="27" s="1"/>
  <c r="AO1502" i="27" s="1"/>
  <c r="AM3036" i="27"/>
  <c r="AH3036" i="27" s="1"/>
  <c r="AM1519" i="27"/>
  <c r="AN1519" i="27" s="1"/>
  <c r="AO1519" i="27" s="1"/>
  <c r="AM3025" i="27"/>
  <c r="AH3025" i="27" s="1"/>
  <c r="AM210" i="27"/>
  <c r="AH210" i="27" s="1"/>
  <c r="B19" i="37"/>
  <c r="X19" i="37" s="1"/>
  <c r="AM221" i="27"/>
  <c r="AN221" i="27" s="1"/>
  <c r="AO221" i="27" s="1"/>
  <c r="AM3034" i="27"/>
  <c r="AN3034" i="27" s="1"/>
  <c r="AO3034" i="27" s="1"/>
  <c r="AM3042" i="27"/>
  <c r="AN3042" i="27" s="1"/>
  <c r="AO3042" i="27" s="1"/>
  <c r="AN3183" i="27"/>
  <c r="AO3183" i="27" s="1"/>
  <c r="AH3183" i="27"/>
  <c r="AM556" i="27"/>
  <c r="AM504" i="27"/>
  <c r="AN504" i="27" s="1"/>
  <c r="AO504" i="27" s="1"/>
  <c r="AH484" i="27"/>
  <c r="AN484" i="27"/>
  <c r="AO484" i="27" s="1"/>
  <c r="AM468" i="27"/>
  <c r="AH468" i="27" s="1"/>
  <c r="AM2971" i="27"/>
  <c r="AH2971" i="27" s="1"/>
  <c r="AM2030" i="27"/>
  <c r="AN1432" i="27"/>
  <c r="AO1432" i="27" s="1"/>
  <c r="AH1432" i="27"/>
  <c r="AM2324" i="27"/>
  <c r="AM1356" i="27"/>
  <c r="AH1356" i="27" s="1"/>
  <c r="AM2047" i="27"/>
  <c r="AM660" i="27"/>
  <c r="AM656" i="27"/>
  <c r="AM644" i="27"/>
  <c r="AH644" i="27" s="1"/>
  <c r="AM616" i="27"/>
  <c r="AN616" i="27" s="1"/>
  <c r="AO616" i="27" s="1"/>
  <c r="AM612" i="27"/>
  <c r="AN612" i="27" s="1"/>
  <c r="AO612" i="27" s="1"/>
  <c r="AM592" i="27"/>
  <c r="AH592" i="27" s="1"/>
  <c r="AM552" i="27"/>
  <c r="AH552" i="27" s="1"/>
  <c r="AN540" i="27"/>
  <c r="AO540" i="27" s="1"/>
  <c r="AH540" i="27"/>
  <c r="AM444" i="27"/>
  <c r="AN444" i="27" s="1"/>
  <c r="AO444" i="27" s="1"/>
  <c r="AM440" i="27"/>
  <c r="AH440" i="27" s="1"/>
  <c r="AM412" i="27"/>
  <c r="AN412" i="27" s="1"/>
  <c r="AO412" i="27" s="1"/>
  <c r="AN376" i="27"/>
  <c r="AO376" i="27" s="1"/>
  <c r="AH376" i="27"/>
  <c r="AM364" i="27"/>
  <c r="AH364" i="27" s="1"/>
  <c r="AM360" i="27"/>
  <c r="AM352" i="27"/>
  <c r="AH352" i="27" s="1"/>
  <c r="AN336" i="27"/>
  <c r="AO336" i="27" s="1"/>
  <c r="AH336" i="27"/>
  <c r="AM324" i="27"/>
  <c r="AN324" i="27" s="1"/>
  <c r="AO324" i="27" s="1"/>
  <c r="AM320" i="27"/>
  <c r="AN320" i="27" s="1"/>
  <c r="AO320" i="27" s="1"/>
  <c r="AH2969" i="27"/>
  <c r="AN2969" i="27"/>
  <c r="AO2969" i="27" s="1"/>
  <c r="AM2961" i="27"/>
  <c r="AN2961" i="27" s="1"/>
  <c r="AO2961" i="27" s="1"/>
  <c r="AM2034" i="27"/>
  <c r="AH1323" i="27"/>
  <c r="AN1323" i="27"/>
  <c r="AO1323" i="27" s="1"/>
  <c r="AN1307" i="27"/>
  <c r="AO1307" i="27" s="1"/>
  <c r="AH1307" i="27"/>
  <c r="AM2292" i="27"/>
  <c r="AH2292" i="27" s="1"/>
  <c r="AM1297" i="27"/>
  <c r="AH1297" i="27" s="1"/>
  <c r="AN432" i="27"/>
  <c r="AO432" i="27" s="1"/>
  <c r="AM548" i="27"/>
  <c r="AN548" i="27" s="1"/>
  <c r="AO548" i="27" s="1"/>
  <c r="AH1995" i="27"/>
  <c r="AM1421" i="27"/>
  <c r="AN1421" i="27" s="1"/>
  <c r="AO1421" i="27" s="1"/>
  <c r="AM1475" i="27"/>
  <c r="AH1475" i="27" s="1"/>
  <c r="AM1327" i="27"/>
  <c r="AH1327" i="27" s="1"/>
  <c r="AM1547" i="27"/>
  <c r="AH1547" i="27" s="1"/>
  <c r="AN1675" i="27"/>
  <c r="AO1675" i="27" s="1"/>
  <c r="AH1675" i="27"/>
  <c r="A175" i="30"/>
  <c r="A130" i="30"/>
  <c r="A62" i="30"/>
  <c r="A48" i="30"/>
  <c r="A46" i="30"/>
  <c r="D1995" i="32"/>
  <c r="D1437" i="32"/>
  <c r="D2487" i="32"/>
  <c r="D2718" i="32"/>
  <c r="D937" i="32"/>
  <c r="D704" i="32"/>
  <c r="D2520" i="32"/>
  <c r="D19" i="32"/>
  <c r="D761" i="32"/>
  <c r="D168" i="32"/>
  <c r="B69" i="37"/>
  <c r="B65" i="37"/>
  <c r="B63" i="37"/>
  <c r="B68" i="37"/>
  <c r="B64" i="37"/>
  <c r="B61" i="37"/>
  <c r="B67" i="37"/>
  <c r="B66" i="37"/>
  <c r="B62" i="37"/>
  <c r="D2457" i="32"/>
  <c r="D1810" i="32"/>
  <c r="D869" i="32"/>
  <c r="D439" i="32"/>
  <c r="D913" i="32"/>
  <c r="D1630" i="32"/>
  <c r="D1063" i="32"/>
  <c r="D1721" i="32"/>
  <c r="D733" i="32"/>
  <c r="D1485" i="32"/>
  <c r="D77" i="32"/>
  <c r="D638" i="32"/>
  <c r="D600" i="32"/>
  <c r="D1836" i="32"/>
  <c r="D2588" i="32"/>
  <c r="D21" i="32"/>
  <c r="D1687" i="32"/>
  <c r="D896" i="32"/>
  <c r="D1471" i="32"/>
  <c r="D625" i="32"/>
  <c r="D1338" i="32"/>
  <c r="D1288" i="32"/>
  <c r="D2563" i="32"/>
  <c r="D347" i="32"/>
  <c r="D2675" i="32"/>
  <c r="D1099" i="32"/>
  <c r="D1922" i="32"/>
  <c r="D2270" i="32"/>
  <c r="D2447" i="32"/>
  <c r="D201" i="32"/>
  <c r="D531" i="32"/>
  <c r="D1307" i="32"/>
  <c r="D1382" i="32"/>
  <c r="D1174" i="32"/>
  <c r="D681" i="32"/>
  <c r="D2674" i="32"/>
  <c r="D2260" i="32"/>
  <c r="D2522" i="32"/>
  <c r="D856" i="32"/>
  <c r="D698" i="32"/>
  <c r="D1384" i="32"/>
  <c r="D1369" i="32"/>
  <c r="D2506" i="32"/>
  <c r="D1647" i="32"/>
  <c r="D2159" i="32"/>
  <c r="D2188" i="32"/>
  <c r="D1774" i="32"/>
  <c r="D918" i="32"/>
  <c r="D169" i="32"/>
  <c r="D1217" i="32"/>
  <c r="D1945" i="32"/>
  <c r="D464" i="32"/>
  <c r="D2501" i="32"/>
  <c r="D640" i="32"/>
  <c r="D649" i="32"/>
  <c r="D1602" i="32"/>
  <c r="D581" i="32"/>
  <c r="D1547" i="32"/>
  <c r="D191" i="32"/>
  <c r="D1796" i="32"/>
  <c r="D948" i="32"/>
  <c r="D2659" i="32"/>
  <c r="D2271" i="32"/>
  <c r="D334" i="32"/>
  <c r="D977" i="32"/>
  <c r="D2425" i="32"/>
  <c r="D1039" i="32"/>
  <c r="D2467" i="32"/>
  <c r="D2500" i="32"/>
  <c r="D1191" i="32"/>
  <c r="D2614" i="32"/>
  <c r="D1802" i="32"/>
  <c r="D2095" i="32"/>
  <c r="D809" i="32"/>
  <c r="D218" i="32"/>
  <c r="D2179" i="32"/>
  <c r="D1309" i="32"/>
  <c r="D2371" i="32"/>
  <c r="D476" i="32"/>
  <c r="D2196" i="32"/>
  <c r="D755" i="32"/>
  <c r="D533" i="32"/>
  <c r="D89" i="32"/>
  <c r="D1993" i="32"/>
  <c r="D2453" i="32"/>
  <c r="D400" i="32"/>
  <c r="D573" i="32"/>
  <c r="D2842" i="32"/>
  <c r="D2535" i="32"/>
  <c r="D1881" i="32"/>
  <c r="D2303" i="32"/>
  <c r="D2199" i="32"/>
  <c r="D1368" i="32"/>
  <c r="D15" i="32"/>
  <c r="D260" i="32"/>
  <c r="D2846" i="32"/>
  <c r="D518" i="32"/>
  <c r="D2488" i="32"/>
  <c r="D2585" i="32"/>
  <c r="D1773" i="32"/>
  <c r="D1567" i="32"/>
  <c r="D274" i="32"/>
  <c r="D1138" i="32"/>
  <c r="D1337" i="32"/>
  <c r="D972" i="32"/>
  <c r="D1738" i="32"/>
  <c r="D2513" i="32"/>
  <c r="D259" i="32"/>
  <c r="D1181" i="32"/>
  <c r="D2057" i="32"/>
  <c r="D178" i="32"/>
  <c r="D1943" i="32"/>
  <c r="D875" i="32"/>
  <c r="D1070" i="32"/>
  <c r="D933" i="32"/>
  <c r="D1670" i="32"/>
  <c r="D1489" i="32"/>
  <c r="D94" i="32"/>
  <c r="D1709" i="32"/>
  <c r="D2009" i="32"/>
  <c r="D766" i="32"/>
  <c r="D2478" i="32"/>
  <c r="D2584" i="32"/>
  <c r="D158" i="32"/>
  <c r="D171" i="32"/>
  <c r="D845" i="32"/>
  <c r="D2762" i="32"/>
  <c r="D970" i="32"/>
  <c r="D889" i="32"/>
  <c r="D1285" i="32"/>
  <c r="D508" i="32"/>
  <c r="D333" i="32"/>
  <c r="D500" i="32"/>
  <c r="D516" i="32"/>
  <c r="D710" i="32"/>
  <c r="D1402" i="32"/>
  <c r="D824" i="32"/>
  <c r="D2726" i="32"/>
  <c r="D2591" i="32"/>
  <c r="D2558" i="32"/>
  <c r="D827" i="32"/>
  <c r="D1022" i="32"/>
  <c r="D961" i="32"/>
  <c r="D546" i="32"/>
  <c r="D633" i="32"/>
  <c r="D1912" i="32"/>
  <c r="D1657" i="32"/>
  <c r="D702" i="32"/>
  <c r="D381" i="32"/>
  <c r="D885" i="32"/>
  <c r="D2121" i="32"/>
  <c r="D2817" i="32"/>
  <c r="D55" i="32"/>
  <c r="D1965" i="32"/>
  <c r="D57" i="32"/>
  <c r="D2098" i="32"/>
  <c r="D226" i="32"/>
  <c r="D909" i="32"/>
  <c r="D526" i="32"/>
  <c r="D2632" i="32"/>
  <c r="D1162" i="32"/>
  <c r="D2837" i="32"/>
  <c r="D2813" i="32"/>
  <c r="D773" i="32"/>
  <c r="D2414" i="32"/>
  <c r="D243" i="32"/>
  <c r="A124" i="30"/>
  <c r="A27" i="30"/>
  <c r="A33" i="30"/>
  <c r="E33" i="30" s="1"/>
  <c r="A93" i="30"/>
  <c r="A94" i="30"/>
  <c r="A146" i="30"/>
  <c r="A141" i="30"/>
  <c r="AH2583" i="27"/>
  <c r="AH1352" i="27"/>
  <c r="AN3179" i="27"/>
  <c r="AO3179" i="27" s="1"/>
  <c r="AN1228" i="27"/>
  <c r="AO1228" i="27" s="1"/>
  <c r="AN404" i="27"/>
  <c r="AO404" i="27" s="1"/>
  <c r="AH1661" i="27"/>
  <c r="AH1210" i="27"/>
  <c r="AH512" i="27"/>
  <c r="AH2755" i="27"/>
  <c r="AH3187" i="27"/>
  <c r="AN1284" i="27"/>
  <c r="AO1284" i="27" s="1"/>
  <c r="AH668" i="27"/>
  <c r="AN636" i="27"/>
  <c r="AO636" i="27" s="1"/>
  <c r="AN27" i="27"/>
  <c r="AO27" i="27" s="1"/>
  <c r="AH2611" i="27"/>
  <c r="AN520" i="27"/>
  <c r="AO520" i="27" s="1"/>
  <c r="A118" i="30"/>
  <c r="E83" i="30"/>
  <c r="A169" i="30"/>
  <c r="A105" i="30"/>
  <c r="A102" i="30"/>
  <c r="A79" i="30"/>
  <c r="A170" i="30"/>
  <c r="A99" i="30"/>
  <c r="D99" i="30" s="1"/>
  <c r="A174" i="30"/>
  <c r="A168" i="30"/>
  <c r="D1795" i="32"/>
  <c r="D1403" i="32"/>
  <c r="D86" i="32"/>
  <c r="D2666" i="32"/>
  <c r="D790" i="32"/>
  <c r="D2755" i="32"/>
  <c r="D1198" i="32"/>
  <c r="D2024" i="32"/>
  <c r="D897" i="32"/>
  <c r="D900" i="32"/>
  <c r="D2242" i="32"/>
  <c r="D1876" i="32"/>
  <c r="D1885" i="32"/>
  <c r="D1596" i="32"/>
  <c r="D2251" i="32"/>
  <c r="D1956" i="32"/>
  <c r="D1275" i="32"/>
  <c r="D768" i="32"/>
  <c r="D1751" i="32"/>
  <c r="D1951" i="32"/>
  <c r="D2720" i="32"/>
  <c r="D2341" i="32"/>
  <c r="D385" i="32"/>
  <c r="D974" i="32"/>
  <c r="D746" i="32"/>
  <c r="D2704" i="32"/>
  <c r="D2562" i="32"/>
  <c r="D1968" i="32"/>
  <c r="D570" i="32"/>
  <c r="AM1419" i="27"/>
  <c r="D1578" i="32"/>
  <c r="D1776" i="32"/>
  <c r="D2025" i="32"/>
  <c r="D2376" i="32"/>
  <c r="D276" i="32"/>
  <c r="D647" i="32"/>
  <c r="D1256" i="32"/>
  <c r="D1360" i="32"/>
  <c r="D857" i="32"/>
  <c r="D2207" i="32"/>
  <c r="D817" i="32"/>
  <c r="D355" i="32"/>
  <c r="D1029" i="32"/>
  <c r="D459" i="32"/>
  <c r="D2848" i="32"/>
  <c r="D1990" i="32"/>
  <c r="D1297" i="32"/>
  <c r="D678" i="32"/>
  <c r="D452" i="32"/>
  <c r="D835" i="32"/>
  <c r="D472" i="32"/>
  <c r="D1585" i="32"/>
  <c r="D1457" i="32"/>
  <c r="D1014" i="32"/>
  <c r="D1255" i="32"/>
  <c r="D1601" i="32"/>
  <c r="D83" i="32"/>
  <c r="D2189" i="32"/>
  <c r="D2071" i="32"/>
  <c r="D1864" i="32"/>
  <c r="D1004" i="32"/>
  <c r="D1194" i="32"/>
  <c r="D1745" i="32"/>
  <c r="D2471" i="32"/>
  <c r="D728" i="32"/>
  <c r="D760" i="32"/>
  <c r="D1498" i="32"/>
  <c r="D2146" i="32"/>
  <c r="D1664" i="32"/>
  <c r="D2847" i="32"/>
  <c r="AN2859" i="27"/>
  <c r="AO2859" i="27" s="1"/>
  <c r="AM2894" i="27"/>
  <c r="AH2894" i="27" s="1"/>
  <c r="AM2676" i="27"/>
  <c r="AN2676" i="27" s="1"/>
  <c r="AO2676" i="27" s="1"/>
  <c r="AM1584" i="27"/>
  <c r="AM3053" i="27"/>
  <c r="AH3053" i="27" s="1"/>
  <c r="AM1458" i="27"/>
  <c r="AH1458" i="27" s="1"/>
  <c r="AM1360" i="27"/>
  <c r="AH1360" i="27" s="1"/>
  <c r="AM1446" i="27"/>
  <c r="B54" i="37"/>
  <c r="B56" i="37"/>
  <c r="B55" i="37"/>
  <c r="D2698" i="32"/>
  <c r="D2676" i="32"/>
  <c r="D2822" i="32"/>
  <c r="D955" i="32"/>
  <c r="D1561" i="32"/>
  <c r="D58" i="32"/>
  <c r="D1068" i="32"/>
  <c r="D1446" i="32"/>
  <c r="D90" i="32"/>
  <c r="D2311" i="32"/>
  <c r="D2455" i="32"/>
  <c r="D1197" i="32"/>
  <c r="D1003" i="32"/>
  <c r="D1025" i="32"/>
  <c r="D221" i="32"/>
  <c r="D1500" i="32"/>
  <c r="D2294" i="32"/>
  <c r="D1490" i="32"/>
  <c r="D1155" i="32"/>
  <c r="AM1488" i="27"/>
  <c r="AN1488" i="27" s="1"/>
  <c r="AO1488" i="27" s="1"/>
  <c r="D1819" i="32"/>
  <c r="D2412" i="32"/>
  <c r="D2828" i="32"/>
  <c r="D2811" i="32"/>
  <c r="D2422" i="32"/>
  <c r="D40" i="32"/>
  <c r="D1878" i="32"/>
  <c r="D1438" i="32"/>
  <c r="D1148" i="32"/>
  <c r="D1794" i="32"/>
  <c r="D515" i="32"/>
  <c r="D1686" i="32"/>
  <c r="D1629" i="32"/>
  <c r="D2446" i="32"/>
  <c r="D485" i="32"/>
  <c r="D859" i="32"/>
  <c r="D1145" i="32"/>
  <c r="D1204" i="32"/>
  <c r="D509" i="32"/>
  <c r="D2316" i="32"/>
  <c r="D2215" i="32"/>
  <c r="D2440" i="32"/>
  <c r="D1839" i="32"/>
  <c r="D2843" i="32"/>
  <c r="D1455" i="32"/>
  <c r="D1930" i="32"/>
  <c r="D332" i="32"/>
  <c r="D132" i="32"/>
  <c r="D2194" i="32"/>
  <c r="D2784" i="32"/>
  <c r="D1860" i="32"/>
  <c r="D1928" i="32"/>
  <c r="B23" i="37"/>
  <c r="N23" i="37" s="1"/>
  <c r="M23" i="37" s="1"/>
  <c r="AN1861" i="27"/>
  <c r="AO1861" i="27" s="1"/>
  <c r="AH1861" i="27"/>
  <c r="B53" i="37"/>
  <c r="B51" i="37"/>
  <c r="B50" i="37"/>
  <c r="B49" i="37"/>
  <c r="B52" i="37"/>
  <c r="AH361" i="27"/>
  <c r="D2827" i="32"/>
  <c r="D2074" i="32"/>
  <c r="D2808" i="32"/>
  <c r="A166" i="30"/>
  <c r="A189" i="30"/>
  <c r="A88" i="30"/>
  <c r="A24" i="30"/>
  <c r="AN1579" i="27"/>
  <c r="AO1579" i="27" s="1"/>
  <c r="AN1555" i="27"/>
  <c r="AO1555" i="27" s="1"/>
  <c r="AN1191" i="27"/>
  <c r="AO1191" i="27" s="1"/>
  <c r="AH1192" i="27"/>
  <c r="AH1131" i="27"/>
  <c r="AN209" i="27"/>
  <c r="AH1254" i="27"/>
  <c r="AN1349" i="27"/>
  <c r="AO1349" i="27" s="1"/>
  <c r="D2834" i="32"/>
  <c r="D2810" i="32"/>
  <c r="D1781" i="32"/>
  <c r="D384" i="32"/>
  <c r="D815" i="32"/>
  <c r="D2707" i="32"/>
  <c r="D1239" i="32"/>
  <c r="D1205" i="32"/>
  <c r="D2547" i="32"/>
  <c r="D115" i="32"/>
  <c r="D1016" i="32"/>
  <c r="D1347" i="32"/>
  <c r="D1091" i="32"/>
  <c r="D11" i="32"/>
  <c r="D2031" i="32"/>
  <c r="D548" i="32"/>
  <c r="D227" i="32"/>
  <c r="D657" i="32"/>
  <c r="D2037" i="32"/>
  <c r="D1667" i="32"/>
  <c r="D2213" i="32"/>
  <c r="D1222" i="32"/>
  <c r="D2344" i="32"/>
  <c r="D2404" i="32"/>
  <c r="D860" i="32"/>
  <c r="D35" i="32"/>
  <c r="D1694" i="32"/>
  <c r="D2217" i="32"/>
  <c r="D358" i="32"/>
  <c r="D1736" i="32"/>
  <c r="D2329" i="32"/>
  <c r="D233" i="32"/>
  <c r="D486" i="32"/>
  <c r="D1287" i="32"/>
  <c r="D2367" i="32"/>
  <c r="D1461" i="32"/>
  <c r="D1655" i="32"/>
  <c r="D1334" i="32"/>
  <c r="D2673" i="32"/>
  <c r="D350" i="32"/>
  <c r="D1775" i="32"/>
  <c r="D20" i="32"/>
  <c r="D1166" i="32"/>
  <c r="D1434" i="32"/>
  <c r="D151" i="32"/>
  <c r="D795" i="32"/>
  <c r="D1824" i="32"/>
  <c r="D1971" i="32"/>
  <c r="D2565" i="32"/>
  <c r="D1456" i="32"/>
  <c r="D1606" i="32"/>
  <c r="D211" i="32"/>
  <c r="D135" i="32"/>
  <c r="D1958" i="32"/>
  <c r="D92" i="32"/>
  <c r="D2616" i="32"/>
  <c r="D36" i="32"/>
  <c r="D1996" i="32"/>
  <c r="D2248" i="32"/>
  <c r="D691" i="32"/>
  <c r="D1187" i="32"/>
  <c r="D1480" i="32"/>
  <c r="D2330" i="32"/>
  <c r="D417" i="32"/>
  <c r="D2393" i="32"/>
  <c r="D2017" i="32"/>
  <c r="D890" i="32"/>
  <c r="D1066" i="32"/>
  <c r="D2640" i="32"/>
  <c r="D2495" i="32"/>
  <c r="D278" i="32"/>
  <c r="D47" i="32"/>
  <c r="D2327" i="32"/>
  <c r="D584" i="32"/>
  <c r="D1844" i="32"/>
  <c r="D2540" i="32"/>
  <c r="D2286" i="32"/>
  <c r="D2167" i="32"/>
  <c r="D2450" i="32"/>
  <c r="D1478" i="32"/>
  <c r="D2644" i="32"/>
  <c r="D1946" i="32"/>
  <c r="D1087" i="32"/>
  <c r="D2567" i="32"/>
  <c r="D1944" i="32"/>
  <c r="D1130" i="32"/>
  <c r="D2537" i="32"/>
  <c r="D1980" i="32"/>
  <c r="D2492" i="32"/>
  <c r="D149" i="32"/>
  <c r="D2473" i="32"/>
  <c r="D1571" i="32"/>
  <c r="D1892" i="32"/>
  <c r="D541" i="32"/>
  <c r="D1012" i="32"/>
  <c r="D2033" i="32"/>
  <c r="D2200" i="32"/>
  <c r="D2259" i="32"/>
  <c r="D1797" i="32"/>
  <c r="D959" i="32"/>
  <c r="D2569" i="32"/>
  <c r="D703" i="32"/>
  <c r="D1240" i="32"/>
  <c r="D2051" i="32"/>
  <c r="D372" i="32"/>
  <c r="D1108" i="32"/>
  <c r="D406" i="32"/>
  <c r="D237" i="32"/>
  <c r="D2345" i="32"/>
  <c r="D763" i="32"/>
  <c r="D1411" i="32"/>
  <c r="D872" i="32"/>
  <c r="D1777" i="32"/>
  <c r="D2045" i="32"/>
  <c r="D70" i="32"/>
  <c r="AN2698" i="27"/>
  <c r="AO2698" i="27" s="1"/>
  <c r="AH3033" i="27"/>
  <c r="AN2212" i="27"/>
  <c r="AO2212" i="27" s="1"/>
  <c r="AN349" i="27"/>
  <c r="AO349" i="27" s="1"/>
  <c r="AN2638" i="27"/>
  <c r="AO2638" i="27" s="1"/>
  <c r="AH1485" i="27"/>
  <c r="AH523" i="27"/>
  <c r="AQ271" i="27"/>
  <c r="AR271" i="27" s="1"/>
  <c r="AS271" i="27" s="1"/>
  <c r="AQ268" i="27"/>
  <c r="AR268" i="27" s="1"/>
  <c r="AS268" i="27" s="1"/>
  <c r="AM268" i="27"/>
  <c r="AN268" i="27" s="1"/>
  <c r="AO268" i="27" s="1"/>
  <c r="D2835" i="32"/>
  <c r="D2836" i="32"/>
  <c r="D2818" i="32"/>
  <c r="D2815" i="32"/>
  <c r="D2820" i="32"/>
  <c r="D2830" i="32"/>
  <c r="D2717" i="32"/>
  <c r="D2697" i="32"/>
  <c r="D2729" i="32"/>
  <c r="D2716" i="32"/>
  <c r="D2715" i="32"/>
  <c r="D2794" i="32"/>
  <c r="D2700" i="32"/>
  <c r="D2744" i="32"/>
  <c r="D2713" i="32"/>
  <c r="D2781" i="32"/>
  <c r="D2770" i="32"/>
  <c r="D2706" i="32"/>
  <c r="D2727" i="32"/>
  <c r="D2757" i="32"/>
  <c r="D2771" i="32"/>
  <c r="D2695" i="32"/>
  <c r="D2768" i="32"/>
  <c r="D2772" i="32"/>
  <c r="D2703" i="32"/>
  <c r="D2746" i="32"/>
  <c r="D2803" i="32"/>
  <c r="D2721" i="32"/>
  <c r="D2767" i="32"/>
  <c r="D1501" i="32"/>
  <c r="D1552" i="32"/>
  <c r="D1889" i="32"/>
  <c r="D2322" i="32"/>
  <c r="D2059" i="32"/>
  <c r="D1537" i="32"/>
  <c r="D747" i="32"/>
  <c r="D1518" i="32"/>
  <c r="D272" i="32"/>
  <c r="D1209" i="32"/>
  <c r="D1927" i="32"/>
  <c r="D1609" i="32"/>
  <c r="D1546" i="32"/>
  <c r="D451" i="32"/>
  <c r="D1412" i="32"/>
  <c r="D865" i="32"/>
  <c r="D1033" i="32"/>
  <c r="D1361" i="32"/>
  <c r="D2348" i="32"/>
  <c r="D812" i="32"/>
  <c r="D2482" i="32"/>
  <c r="D575" i="32"/>
  <c r="D1530" i="32"/>
  <c r="D580" i="32"/>
  <c r="D2180" i="32"/>
  <c r="D1475" i="32"/>
  <c r="D2231" i="32"/>
  <c r="D2624" i="32"/>
  <c r="D1556" i="32"/>
  <c r="D653" i="32"/>
  <c r="D2373" i="32"/>
  <c r="D2474" i="32"/>
  <c r="D228" i="32"/>
  <c r="D1666" i="32"/>
  <c r="D1007" i="32"/>
  <c r="D539" i="32"/>
  <c r="D1150" i="32"/>
  <c r="D777" i="32"/>
  <c r="D2355" i="32"/>
  <c r="D397" i="32"/>
  <c r="D181" i="32"/>
  <c r="D277" i="32"/>
  <c r="D1118" i="32"/>
  <c r="D2238" i="32"/>
  <c r="D1232" i="32"/>
  <c r="D6" i="32"/>
  <c r="D1538" i="32"/>
  <c r="D292" i="32"/>
  <c r="D310" i="32"/>
  <c r="D1479" i="32"/>
  <c r="D1592" i="32"/>
  <c r="D354" i="32"/>
  <c r="D133" i="32"/>
  <c r="D917" i="32"/>
  <c r="D1385" i="32"/>
  <c r="D2149" i="32"/>
  <c r="D1830" i="32"/>
  <c r="D2463" i="32"/>
  <c r="D2664" i="32"/>
  <c r="D559" i="32"/>
  <c r="D982" i="32"/>
  <c r="D2396" i="32"/>
  <c r="D444" i="32"/>
  <c r="D2683" i="32"/>
  <c r="D520" i="32"/>
  <c r="D1969" i="32"/>
  <c r="D583" i="32"/>
  <c r="D1577" i="32"/>
  <c r="D258" i="32"/>
  <c r="D371" i="32"/>
  <c r="D143" i="32"/>
  <c r="D1825" i="32"/>
  <c r="D585" i="32"/>
  <c r="D271" i="32"/>
  <c r="D1744" i="32"/>
  <c r="D942" i="32"/>
  <c r="D284" i="32"/>
  <c r="D1673" i="32"/>
  <c r="D1305" i="32"/>
  <c r="D189" i="32"/>
  <c r="D345" i="32"/>
  <c r="D1293" i="32"/>
  <c r="D2186" i="32"/>
  <c r="D200" i="32"/>
  <c r="D957" i="32"/>
  <c r="D419" i="32"/>
  <c r="D2255" i="32"/>
  <c r="D1918" i="32"/>
  <c r="D1379" i="32"/>
  <c r="D2284" i="32"/>
  <c r="D322" i="32"/>
  <c r="D239" i="32"/>
  <c r="D607" i="32"/>
  <c r="D2049" i="32"/>
  <c r="D183" i="32"/>
  <c r="D1916" i="32"/>
  <c r="D1139" i="32"/>
  <c r="D1531" i="32"/>
  <c r="D1448" i="32"/>
  <c r="D1327" i="32"/>
  <c r="D608" i="32"/>
  <c r="D293" i="32"/>
  <c r="D2385" i="32"/>
  <c r="D975" i="32"/>
  <c r="D1036" i="32"/>
  <c r="D1419" i="32"/>
  <c r="D2685" i="32"/>
  <c r="D622" i="32"/>
  <c r="D1586" i="32"/>
  <c r="D2430" i="32"/>
  <c r="D1850" i="32"/>
  <c r="D952" i="32"/>
  <c r="D1342" i="32"/>
  <c r="D123" i="32"/>
  <c r="D1851" i="32"/>
  <c r="D618" i="32"/>
  <c r="D2516" i="32"/>
  <c r="D2658" i="32"/>
  <c r="D2075" i="32"/>
  <c r="D1404" i="32"/>
  <c r="D116" i="32"/>
  <c r="D1679" i="32"/>
  <c r="D829" i="32"/>
  <c r="D1588" i="32"/>
  <c r="D1925" i="32"/>
  <c r="D2533" i="32"/>
  <c r="D2039" i="32"/>
  <c r="D28" i="32"/>
  <c r="D441" i="32"/>
  <c r="D13" i="32"/>
  <c r="D537" i="32"/>
  <c r="D1123" i="32"/>
  <c r="D1861" i="32"/>
  <c r="D1481" i="32"/>
  <c r="D402" i="32"/>
  <c r="D941" i="32"/>
  <c r="D2291" i="32"/>
  <c r="D2222" i="32"/>
  <c r="D2629" i="32"/>
  <c r="D1832" i="32"/>
  <c r="D1291" i="32"/>
  <c r="D2313" i="32"/>
  <c r="D2613" i="32"/>
  <c r="D726" i="32"/>
  <c r="D1524" i="32"/>
  <c r="D1800" i="32"/>
  <c r="D832" i="32"/>
  <c r="D895" i="32"/>
  <c r="D1722" i="32"/>
  <c r="D250" i="32"/>
  <c r="D1765" i="32"/>
  <c r="D920" i="32"/>
  <c r="D436" i="32"/>
  <c r="D360" i="32"/>
  <c r="D490" i="32"/>
  <c r="D430" i="32"/>
  <c r="D563" i="32"/>
  <c r="D182" i="32"/>
  <c r="D2442" i="32"/>
  <c r="D2686" i="32"/>
  <c r="D1644" i="32"/>
  <c r="D1104" i="32"/>
  <c r="D609" i="32"/>
  <c r="D403" i="32"/>
  <c r="D1264" i="32"/>
  <c r="D1695" i="32"/>
  <c r="D2550" i="32"/>
  <c r="D177" i="32"/>
  <c r="D801" i="32"/>
  <c r="D2406" i="32"/>
  <c r="D2649" i="32"/>
  <c r="D369" i="32"/>
  <c r="D424" i="32"/>
  <c r="D262" i="32"/>
  <c r="D1374" i="32"/>
  <c r="D170" i="32"/>
  <c r="D671" i="32"/>
  <c r="D1964" i="32"/>
  <c r="D1005" i="32"/>
  <c r="D136" i="32"/>
  <c r="D1581" i="32"/>
  <c r="D2310" i="32"/>
  <c r="D1520" i="32"/>
  <c r="D1983" i="32"/>
  <c r="D95" i="32"/>
  <c r="D489" i="32"/>
  <c r="D1549" i="32"/>
  <c r="D1136" i="32"/>
  <c r="D2549" i="32"/>
  <c r="D2314" i="32"/>
  <c r="D1346" i="32"/>
  <c r="D106" i="32"/>
  <c r="D1078" i="32"/>
  <c r="D1780" i="32"/>
  <c r="D1207" i="32"/>
  <c r="D2304" i="32"/>
  <c r="D448" i="32"/>
  <c r="D2368" i="32"/>
  <c r="D1392" i="32"/>
  <c r="D1164" i="32"/>
  <c r="D1845" i="32"/>
  <c r="D1977" i="32"/>
  <c r="D312" i="32"/>
  <c r="D945" i="32"/>
  <c r="D119" i="32"/>
  <c r="D2102" i="32"/>
  <c r="D327" i="32"/>
  <c r="D283" i="32"/>
  <c r="D1049" i="32"/>
  <c r="D1328" i="32"/>
  <c r="D225" i="32"/>
  <c r="D1949" i="32"/>
  <c r="D1616" i="32"/>
  <c r="D1056" i="32"/>
  <c r="D2382" i="32"/>
  <c r="D2338" i="32"/>
  <c r="D2397" i="32"/>
  <c r="D311" i="32"/>
  <c r="D2494" i="32"/>
  <c r="D1247" i="32"/>
  <c r="D348" i="32"/>
  <c r="D467" i="32"/>
  <c r="D109" i="32"/>
  <c r="D864" i="32"/>
  <c r="D2333" i="32"/>
  <c r="D2052" i="32"/>
  <c r="D512" i="32"/>
  <c r="D732" i="32"/>
  <c r="D373" i="32"/>
  <c r="D1282" i="32"/>
  <c r="D1236" i="32"/>
  <c r="D818" i="32"/>
  <c r="D122" i="32"/>
  <c r="D543" i="32"/>
  <c r="D235" i="32"/>
  <c r="D2364" i="32"/>
  <c r="D1550" i="32"/>
  <c r="D466" i="32"/>
  <c r="D1147" i="32"/>
  <c r="D2490" i="32"/>
  <c r="D2084" i="32"/>
  <c r="D626" i="32"/>
  <c r="D60" i="32"/>
  <c r="D2335" i="32"/>
  <c r="D1615" i="32"/>
  <c r="D550" i="32"/>
  <c r="D82" i="32"/>
  <c r="D2028" i="32"/>
  <c r="D1659" i="32"/>
  <c r="D24" i="32"/>
  <c r="D1363" i="32"/>
  <c r="D1939" i="32"/>
  <c r="D1322" i="32"/>
  <c r="D2008" i="32"/>
  <c r="D709" i="32"/>
  <c r="D391" i="32"/>
  <c r="D1035" i="32"/>
  <c r="D2362" i="32"/>
  <c r="D2554" i="32"/>
  <c r="D654" i="32"/>
  <c r="D2545" i="32"/>
  <c r="D1218" i="32"/>
  <c r="D1042" i="32"/>
  <c r="D324" i="32"/>
  <c r="D507" i="32"/>
  <c r="D596" i="32"/>
  <c r="D2536" i="32"/>
  <c r="D2249" i="32"/>
  <c r="D1772" i="32"/>
  <c r="D319" i="32"/>
  <c r="D2660" i="32"/>
  <c r="D851" i="32"/>
  <c r="D2603" i="32"/>
  <c r="D1308" i="32"/>
  <c r="D2465" i="32"/>
  <c r="D1081" i="32"/>
  <c r="D1463" i="32"/>
  <c r="D916" i="32"/>
  <c r="D1124" i="32"/>
  <c r="D2105" i="32"/>
  <c r="D2154" i="32"/>
  <c r="D820" i="32"/>
  <c r="D2646" i="32"/>
  <c r="D1866" i="32"/>
  <c r="D1319" i="32"/>
  <c r="D2477" i="32"/>
  <c r="D2122" i="32"/>
  <c r="D1206" i="32"/>
  <c r="D100" i="32"/>
  <c r="D1365" i="32"/>
  <c r="D1838" i="32"/>
  <c r="D1699" i="32"/>
  <c r="D1290" i="32"/>
  <c r="D2449" i="32"/>
  <c r="D523" i="32"/>
  <c r="D2320" i="32"/>
  <c r="D1521" i="32"/>
  <c r="D2062" i="32"/>
  <c r="D2114" i="32"/>
  <c r="D693" i="32"/>
  <c r="D868" i="32"/>
  <c r="D1535" i="32"/>
  <c r="D877" i="32"/>
  <c r="D999" i="32"/>
  <c r="D2228" i="32"/>
  <c r="D1298" i="32"/>
  <c r="D1238" i="32"/>
  <c r="D1569" i="32"/>
  <c r="D440" i="32"/>
  <c r="D1869" i="32"/>
  <c r="D216" i="32"/>
  <c r="D118" i="32"/>
  <c r="D364" i="32"/>
  <c r="D2240" i="32"/>
  <c r="D962" i="32"/>
  <c r="D2272" i="32"/>
  <c r="D1466" i="32"/>
  <c r="D306" i="32"/>
  <c r="D1406" i="32"/>
  <c r="D1203" i="32"/>
  <c r="D883" i="32"/>
  <c r="D316" i="32"/>
  <c r="D1597" i="32"/>
  <c r="D629" i="32"/>
  <c r="D290" i="32"/>
  <c r="D682" i="32"/>
  <c r="D1343" i="32"/>
  <c r="D1121" i="32"/>
  <c r="D442" i="32"/>
  <c r="D339" i="32"/>
  <c r="D2546" i="32"/>
  <c r="D2078" i="32"/>
  <c r="D1727" i="32"/>
  <c r="D619" i="32"/>
  <c r="D2503" i="32"/>
  <c r="D1199" i="32"/>
  <c r="D905" i="32"/>
  <c r="D1188" i="32"/>
  <c r="D2684" i="32"/>
  <c r="D81" i="32"/>
  <c r="D2073" i="32"/>
  <c r="D2431" i="32"/>
  <c r="D2012" i="32"/>
  <c r="D1613" i="32"/>
  <c r="D2662" i="32"/>
  <c r="D1884" i="32"/>
  <c r="D495" i="32"/>
  <c r="D1880" i="32"/>
  <c r="D341" i="32"/>
  <c r="D338" i="32"/>
  <c r="D749" i="32"/>
  <c r="D2044" i="32"/>
  <c r="D1973" i="32"/>
  <c r="D1284" i="32"/>
  <c r="D1875" i="32"/>
  <c r="D1833" i="32"/>
  <c r="D261" i="32"/>
  <c r="D1127" i="32"/>
  <c r="D2100" i="32"/>
  <c r="D1494" i="32"/>
  <c r="D1735" i="32"/>
  <c r="D527" i="32"/>
  <c r="D2144" i="32"/>
  <c r="D1154" i="32"/>
  <c r="D2053" i="32"/>
  <c r="D1710" i="32"/>
  <c r="D1543" i="32"/>
  <c r="D1879" i="32"/>
  <c r="D407" i="32"/>
  <c r="D1708" i="32"/>
  <c r="D684" i="32"/>
  <c r="D2472" i="32"/>
  <c r="D1888" i="32"/>
  <c r="D51" i="32"/>
  <c r="D562" i="32"/>
  <c r="D854" i="32"/>
  <c r="D1149" i="32"/>
  <c r="D2502" i="32"/>
  <c r="D2253" i="32"/>
  <c r="D206" i="32"/>
  <c r="D1220" i="32"/>
  <c r="D2156" i="32"/>
  <c r="D2214" i="32"/>
  <c r="D1913" i="32"/>
  <c r="D963" i="32"/>
  <c r="D2654" i="32"/>
  <c r="D359" i="32"/>
  <c r="D1894" i="32"/>
  <c r="D528" i="32"/>
  <c r="D2592" i="32"/>
  <c r="D567" i="32"/>
  <c r="D2638" i="32"/>
  <c r="D2689" i="32"/>
  <c r="D1631" i="32"/>
  <c r="D314" i="32"/>
  <c r="D2090" i="32"/>
  <c r="D1262" i="32"/>
  <c r="D414" i="32"/>
  <c r="D858" i="32"/>
  <c r="D2427" i="32"/>
  <c r="D1208" i="32"/>
  <c r="D949" i="32"/>
  <c r="D317" i="32"/>
  <c r="D145" i="32"/>
  <c r="D1955" i="32"/>
  <c r="D2204" i="32"/>
  <c r="D2183" i="32"/>
  <c r="D2099" i="32"/>
  <c r="D2034" i="32"/>
  <c r="D1189" i="32"/>
  <c r="D553" i="32"/>
  <c r="D2094" i="32"/>
  <c r="D2527" i="32"/>
  <c r="D2352" i="32"/>
  <c r="D1782" i="32"/>
  <c r="D2434" i="32"/>
  <c r="D1085" i="32"/>
  <c r="D2360" i="32"/>
  <c r="D1652" i="32"/>
  <c r="D1362" i="32"/>
  <c r="D2559" i="32"/>
  <c r="D14" i="32"/>
  <c r="D793" i="32"/>
  <c r="D1002" i="32"/>
  <c r="D1575" i="32"/>
  <c r="D2356" i="32"/>
  <c r="D1316" i="32"/>
  <c r="D1140" i="32"/>
  <c r="D246" i="32"/>
  <c r="D1345" i="32"/>
  <c r="D2524" i="32"/>
  <c r="D2328" i="32"/>
  <c r="D775" i="32"/>
  <c r="D2003" i="32"/>
  <c r="D787" i="32"/>
  <c r="D318" i="32"/>
  <c r="D2413" i="32"/>
  <c r="D102" i="32"/>
  <c r="D1920" i="32"/>
  <c r="D1910" i="32"/>
  <c r="D2232" i="32"/>
  <c r="D1846" i="32"/>
  <c r="D602" i="32"/>
  <c r="D2496" i="32"/>
  <c r="D997" i="32"/>
  <c r="D1848" i="32"/>
  <c r="D2470" i="32"/>
  <c r="D481" i="32"/>
  <c r="D965" i="32"/>
  <c r="D1324" i="32"/>
  <c r="D1386" i="32"/>
  <c r="D2350" i="32"/>
  <c r="D370" i="32"/>
  <c r="D730" i="32"/>
  <c r="D2300" i="32"/>
  <c r="D1584" i="32"/>
  <c r="D1770" i="32"/>
  <c r="D796" i="32"/>
  <c r="D1314" i="32"/>
  <c r="D88" i="32"/>
  <c r="D157" i="32"/>
  <c r="D759" i="32"/>
  <c r="D2458" i="32"/>
  <c r="D789" i="32"/>
  <c r="D1883" i="32"/>
  <c r="D1358" i="32"/>
  <c r="D1388" i="32"/>
  <c r="D146" i="32"/>
  <c r="D1759" i="32"/>
  <c r="D1863" i="32"/>
  <c r="D1628" i="32"/>
  <c r="D1700" i="32"/>
  <c r="D2257" i="32"/>
  <c r="D2464" i="32"/>
  <c r="D325" i="32"/>
  <c r="D2623" i="32"/>
  <c r="D299" i="32"/>
  <c r="D630" i="32"/>
  <c r="D2289" i="32"/>
  <c r="D903" i="32"/>
  <c r="D215" i="32"/>
  <c r="D1377" i="32"/>
  <c r="D1938" i="32"/>
  <c r="D1442" i="32"/>
  <c r="D1017" i="32"/>
  <c r="D2227" i="32"/>
  <c r="D1807" i="32"/>
  <c r="D968" i="32"/>
  <c r="D830" i="32"/>
  <c r="D1725" i="32"/>
  <c r="D2832" i="32"/>
  <c r="D2833" i="32"/>
  <c r="D2824" i="32"/>
  <c r="D2826" i="32"/>
  <c r="D2819" i="32"/>
  <c r="D2825" i="32"/>
  <c r="D2838" i="32"/>
  <c r="D2821" i="32"/>
  <c r="D1840" i="32"/>
  <c r="D2839" i="32"/>
  <c r="D2816" i="32"/>
  <c r="D2812" i="32"/>
  <c r="D2809" i="32"/>
  <c r="D2805" i="32"/>
  <c r="D834" i="32"/>
  <c r="D2840" i="32"/>
  <c r="D610" i="32"/>
  <c r="D2504" i="32"/>
  <c r="D387" i="32"/>
  <c r="D2264" i="32"/>
  <c r="D666" i="32"/>
  <c r="D2534" i="32"/>
  <c r="D1248" i="32"/>
  <c r="D1855" i="32"/>
  <c r="D1837" i="32"/>
  <c r="D2279" i="32"/>
  <c r="D2054" i="32"/>
  <c r="D922" i="32"/>
  <c r="D1270" i="32"/>
  <c r="D2800" i="32"/>
  <c r="D1414" i="32"/>
  <c r="D474" i="32"/>
  <c r="D2444" i="32"/>
  <c r="D1622" i="32"/>
  <c r="D921" i="32"/>
  <c r="D1242" i="32"/>
  <c r="D1733" i="32"/>
  <c r="D2273" i="32"/>
  <c r="D2097" i="32"/>
  <c r="D148" i="32"/>
  <c r="D723" i="32"/>
  <c r="D1495" i="32"/>
  <c r="D620" i="32"/>
  <c r="D572" i="32"/>
  <c r="D2479" i="32"/>
  <c r="D1215" i="32"/>
  <c r="D256" i="32"/>
  <c r="D1044" i="32"/>
  <c r="D1418" i="32"/>
  <c r="D2290" i="32"/>
  <c r="D1169" i="32"/>
  <c r="D578" i="32"/>
  <c r="D1574" i="32"/>
  <c r="D1351" i="32"/>
  <c r="D558" i="32"/>
  <c r="D1449" i="32"/>
  <c r="D1959" i="32"/>
  <c r="D1891" i="32"/>
  <c r="D2086" i="32"/>
  <c r="D337" i="32"/>
  <c r="D195" i="32"/>
  <c r="D822" i="32"/>
  <c r="D2793" i="32"/>
  <c r="D924" i="32"/>
  <c r="D1906" i="32"/>
  <c r="D1511" i="32"/>
  <c r="D2032" i="32"/>
  <c r="D2551" i="32"/>
  <c r="D861" i="32"/>
  <c r="D598" i="32"/>
  <c r="D650" i="32"/>
  <c r="D1451" i="32"/>
  <c r="D39" i="32"/>
  <c r="D1484" i="32"/>
  <c r="D524" i="32"/>
  <c r="D2070" i="32"/>
  <c r="D2361" i="32"/>
  <c r="D2401" i="32"/>
  <c r="D1625" i="32"/>
  <c r="D289" i="32"/>
  <c r="D1424" i="32"/>
  <c r="D64" i="32"/>
  <c r="D1941" i="32"/>
  <c r="D1620" i="32"/>
  <c r="D323" i="32"/>
  <c r="D382" i="32"/>
  <c r="D2147" i="32"/>
  <c r="D954" i="32"/>
  <c r="D212" i="32"/>
  <c r="D2443" i="32"/>
  <c r="D1908" i="32"/>
  <c r="D748" i="32"/>
  <c r="D1350" i="32"/>
  <c r="D1989" i="32"/>
  <c r="D2526" i="32"/>
  <c r="D1467" i="32"/>
  <c r="D2609" i="32"/>
  <c r="D2187" i="32"/>
  <c r="D805" i="32"/>
  <c r="D395" i="32"/>
  <c r="D2237" i="32"/>
  <c r="D1253" i="32"/>
  <c r="D68" i="32"/>
  <c r="D538" i="32"/>
  <c r="D142" i="32"/>
  <c r="D1619" i="32"/>
  <c r="D1533" i="32"/>
  <c r="D1228" i="32"/>
  <c r="D1562" i="32"/>
  <c r="D813" i="32"/>
  <c r="D719" i="32"/>
  <c r="D2672" i="32"/>
  <c r="D1250" i="32"/>
  <c r="D1984" i="32"/>
  <c r="D1473" i="32"/>
  <c r="D1387" i="32"/>
  <c r="D2219" i="32"/>
  <c r="D425" i="32"/>
  <c r="D25" i="32"/>
  <c r="D167" i="32"/>
  <c r="D2123" i="32"/>
  <c r="D631" i="32"/>
  <c r="D806" i="32"/>
  <c r="D1555" i="32"/>
  <c r="D1061" i="32"/>
  <c r="D2235" i="32"/>
  <c r="D1847" i="32"/>
  <c r="D1658" i="32"/>
  <c r="D849" i="32"/>
  <c r="D503" i="32"/>
  <c r="D2082" i="32"/>
  <c r="D780" i="32"/>
  <c r="D1178" i="32"/>
  <c r="D2791" i="32"/>
  <c r="D655" i="32"/>
  <c r="D2058" i="32"/>
  <c r="D2305" i="32"/>
  <c r="D2150" i="32"/>
  <c r="D740" i="32"/>
  <c r="D2730" i="32"/>
  <c r="D1779" i="32"/>
  <c r="D676" i="32"/>
  <c r="D308" i="32"/>
  <c r="D249" i="32"/>
  <c r="D2498" i="32"/>
  <c r="D494" i="32"/>
  <c r="D1096" i="32"/>
  <c r="D1454" i="32"/>
  <c r="D1684" i="32"/>
  <c r="D1001" i="32"/>
  <c r="D1330" i="32"/>
  <c r="D1225" i="32"/>
  <c r="D510" i="32"/>
  <c r="D1018" i="32"/>
  <c r="D1961" i="32"/>
  <c r="D2419" i="32"/>
  <c r="D950" i="32"/>
  <c r="D1024" i="32"/>
  <c r="D1703" i="32"/>
  <c r="D1890" i="32"/>
  <c r="D973" i="32"/>
  <c r="D978" i="32"/>
  <c r="D2570" i="32"/>
  <c r="D214" i="32"/>
  <c r="D1080" i="32"/>
  <c r="D1183" i="32"/>
  <c r="D998" i="32"/>
  <c r="D196" i="32"/>
  <c r="D173" i="32"/>
  <c r="D2030" i="32"/>
  <c r="D606" i="32"/>
  <c r="D1661" i="32"/>
  <c r="D2642" i="32"/>
  <c r="D2486" i="32"/>
  <c r="D365" i="32"/>
  <c r="D408" i="32"/>
  <c r="D1716" i="32"/>
  <c r="D2308" i="32"/>
  <c r="D1231" i="32"/>
  <c r="D2587" i="32"/>
  <c r="D2175" i="32"/>
  <c r="D692" i="32"/>
  <c r="D1886" i="32"/>
  <c r="D331" i="32"/>
  <c r="D1421" i="32"/>
  <c r="D1426" i="32"/>
  <c r="D756" i="32"/>
  <c r="D2410" i="32"/>
  <c r="D677" i="32"/>
  <c r="D2381" i="32"/>
  <c r="D315" i="32"/>
  <c r="D1131" i="32"/>
  <c r="D1119" i="32"/>
  <c r="D1246" i="32"/>
  <c r="D342" i="32"/>
  <c r="D1349" i="32"/>
  <c r="D1153" i="32"/>
  <c r="D65" i="32"/>
  <c r="D1805" i="32"/>
  <c r="D1079" i="32"/>
  <c r="D1006" i="32"/>
  <c r="D1611" i="32"/>
  <c r="D394" i="32"/>
  <c r="D513" i="32"/>
  <c r="D497" i="32"/>
  <c r="D1669" i="32"/>
  <c r="D1806" i="32"/>
  <c r="D368" i="32"/>
  <c r="D1356" i="32"/>
  <c r="D2148" i="32"/>
  <c r="D162" i="32"/>
  <c r="D2493" i="32"/>
  <c r="D2774" i="32"/>
  <c r="D542" i="32"/>
  <c r="D45" i="32"/>
  <c r="D1226" i="32"/>
  <c r="D644" i="32"/>
  <c r="D2120" i="32"/>
  <c r="D953" i="32"/>
  <c r="D1190" i="32"/>
  <c r="D696" i="32"/>
  <c r="D1120" i="32"/>
  <c r="D1114" i="32"/>
  <c r="D185" i="32"/>
  <c r="D270" i="32"/>
  <c r="D1696" i="32"/>
  <c r="D388" i="32"/>
  <c r="D2530" i="32"/>
  <c r="D2699" i="32"/>
  <c r="D2751" i="32"/>
  <c r="D1529" i="32"/>
  <c r="D2346" i="32"/>
  <c r="D2256" i="32"/>
  <c r="D878" i="32"/>
  <c r="D1665" i="32"/>
  <c r="D2619" i="32"/>
  <c r="D1469" i="32"/>
  <c r="D2061" i="32"/>
  <c r="D782" i="32"/>
  <c r="D1095" i="32"/>
  <c r="D2326" i="32"/>
  <c r="D1493" i="32"/>
  <c r="D673" i="32"/>
  <c r="D1055" i="32"/>
  <c r="D234" i="32"/>
  <c r="D2776" i="32"/>
  <c r="D683" i="32"/>
  <c r="D1090" i="32"/>
  <c r="D1505" i="32"/>
  <c r="D38" i="32"/>
  <c r="D764" i="32"/>
  <c r="D1107" i="32"/>
  <c r="D940" i="32"/>
  <c r="D2428" i="32"/>
  <c r="D1672" i="32"/>
  <c r="D783" i="32"/>
  <c r="D2657" i="32"/>
  <c r="D1184" i="32"/>
  <c r="D879" i="32"/>
  <c r="D166" i="32"/>
  <c r="D1125" i="32"/>
  <c r="D144" i="32"/>
  <c r="D357" i="32"/>
  <c r="D1235" i="32"/>
  <c r="D2579" i="32"/>
  <c r="D1593" i="32"/>
  <c r="D613" i="32"/>
  <c r="D1852" i="32"/>
  <c r="D1788" i="32"/>
  <c r="D1621" i="32"/>
  <c r="D1804" i="32"/>
  <c r="D56" i="32"/>
  <c r="D1704" i="32"/>
  <c r="D1132" i="32"/>
  <c r="D1113" i="32"/>
  <c r="D2576" i="32"/>
  <c r="D1031" i="32"/>
  <c r="D1599" i="32"/>
  <c r="D930" i="32"/>
  <c r="D2747" i="32"/>
  <c r="D1707" i="32"/>
  <c r="D1998" i="32"/>
  <c r="D2509" i="32"/>
  <c r="D288" i="32"/>
  <c r="D462" i="32"/>
  <c r="D253" i="32"/>
  <c r="D2456" i="32"/>
  <c r="D1008" i="32"/>
  <c r="D2011" i="32"/>
  <c r="D1697" i="32"/>
  <c r="D898" i="32"/>
  <c r="D287" i="32"/>
  <c r="D1870" i="32"/>
  <c r="D1329" i="32"/>
  <c r="D2671" i="32"/>
  <c r="D2469" i="32"/>
  <c r="D2295" i="32"/>
  <c r="D576" i="32"/>
  <c r="D1743" i="32"/>
  <c r="D2113" i="32"/>
  <c r="D672" i="32"/>
  <c r="D2166" i="32"/>
  <c r="D2578" i="32"/>
  <c r="D1161" i="32"/>
  <c r="D1948" i="32"/>
  <c r="D1296" i="32"/>
  <c r="D1563" i="32"/>
  <c r="D752" i="32"/>
  <c r="D1799" i="32"/>
  <c r="D2481" i="32"/>
  <c r="D779" i="32"/>
  <c r="D42" i="32"/>
  <c r="D1730" i="32"/>
  <c r="D1210" i="32"/>
  <c r="D721" i="32"/>
  <c r="D2173" i="32"/>
  <c r="D1997" i="32"/>
  <c r="D7" i="32"/>
  <c r="D838" i="32"/>
  <c r="D1474" i="32"/>
  <c r="D1618" i="32"/>
  <c r="D335" i="32"/>
  <c r="D1301" i="32"/>
  <c r="D340" i="32"/>
  <c r="D781" i="32"/>
  <c r="D2297" i="32"/>
  <c r="D852" i="32"/>
  <c r="D2586" i="32"/>
  <c r="D1370" i="32"/>
  <c r="D2790" i="32"/>
  <c r="D855" i="32"/>
  <c r="D1635" i="32"/>
  <c r="D1335" i="32"/>
  <c r="D483" i="32"/>
  <c r="D2580" i="32"/>
  <c r="D1822" i="32"/>
  <c r="D1141" i="32"/>
  <c r="D2418" i="32"/>
  <c r="D1798" i="32"/>
  <c r="D1834" i="32"/>
  <c r="D2627" i="32"/>
  <c r="D1011" i="32"/>
  <c r="D597" i="32"/>
  <c r="D1522" i="32"/>
  <c r="D1729" i="32"/>
  <c r="D711" i="32"/>
  <c r="D2764" i="32"/>
  <c r="D2737" i="32"/>
  <c r="D2010" i="32"/>
  <c r="D130" i="32"/>
  <c r="D1755" i="32"/>
  <c r="D1603" i="32"/>
  <c r="D356" i="32"/>
  <c r="D2233" i="32"/>
  <c r="D2725" i="32"/>
  <c r="D605" i="32"/>
  <c r="D2696" i="32"/>
  <c r="D1413" i="32"/>
  <c r="D1566" i="32"/>
  <c r="D1278" i="32"/>
  <c r="D2312" i="32"/>
  <c r="D1143" i="32"/>
  <c r="D269" i="32"/>
  <c r="D2497" i="32"/>
  <c r="D2753" i="32"/>
  <c r="D2293" i="32"/>
  <c r="D2334" i="32"/>
  <c r="D2309" i="32"/>
  <c r="D220" i="32"/>
  <c r="D1160" i="32"/>
  <c r="D1436" i="32"/>
  <c r="D1924" i="32"/>
  <c r="D1234" i="32"/>
  <c r="D588" i="32"/>
  <c r="D1757" i="32"/>
  <c r="D217" i="32"/>
  <c r="D129" i="32"/>
  <c r="D2109" i="32"/>
  <c r="D1882" i="32"/>
  <c r="D1400" i="32"/>
  <c r="D1823" i="32"/>
  <c r="D1786" i="32"/>
  <c r="D1082" i="32"/>
  <c r="D645" i="32"/>
  <c r="D438" i="32"/>
  <c r="D1610" i="32"/>
  <c r="D2126" i="32"/>
  <c r="D2780" i="32"/>
  <c r="D623" i="32"/>
  <c r="D2302" i="32"/>
  <c r="D519" i="32"/>
  <c r="D361" i="32"/>
  <c r="D2239" i="32"/>
  <c r="D2663" i="32"/>
  <c r="D936" i="32"/>
  <c r="D2407" i="32"/>
  <c r="D1106" i="32"/>
  <c r="D1678" i="32"/>
  <c r="D1105" i="32"/>
  <c r="D2353" i="32"/>
  <c r="D43" i="32"/>
  <c r="D399" i="32"/>
  <c r="D1069" i="32"/>
  <c r="D1038" i="32"/>
  <c r="D344" i="32"/>
  <c r="D2035" i="32"/>
  <c r="D1739" i="32"/>
  <c r="D1491" i="32"/>
  <c r="D2136" i="32"/>
  <c r="D203" i="32"/>
  <c r="D2702" i="32"/>
  <c r="D2742" i="32"/>
  <c r="D1237" i="32"/>
  <c r="D635" i="32"/>
  <c r="D2568" i="32"/>
  <c r="D1849" i="32"/>
  <c r="D2400" i="32"/>
  <c r="D1914" i="32"/>
  <c r="D1159" i="32"/>
  <c r="D2068" i="32"/>
  <c r="D612" i="32"/>
  <c r="D10" i="32"/>
  <c r="D2566" i="32"/>
  <c r="D1508" i="32"/>
  <c r="D2519" i="32"/>
  <c r="D1972" i="32"/>
  <c r="D1731" i="32"/>
  <c r="D2610" i="32"/>
  <c r="D668" i="32"/>
  <c r="D2041" i="32"/>
  <c r="D662" i="32"/>
  <c r="D1843" i="32"/>
  <c r="D190" i="32"/>
  <c r="D279" i="32"/>
  <c r="D1527" i="32"/>
  <c r="D1381" i="32"/>
  <c r="D2460" i="32"/>
  <c r="D487" i="32"/>
  <c r="D409" i="32"/>
  <c r="D1826" i="32"/>
  <c r="D994" i="32"/>
  <c r="D1115" i="32"/>
  <c r="D192" i="32"/>
  <c r="D2263" i="32"/>
  <c r="D126" i="32"/>
  <c r="D866" i="32"/>
  <c r="D1737" i="32"/>
  <c r="D1896" i="32"/>
  <c r="D2604" i="32"/>
  <c r="D912" i="32"/>
  <c r="D97" i="32"/>
  <c r="D1427" i="32"/>
  <c r="D956" i="32"/>
  <c r="D986" i="32"/>
  <c r="D2351" i="32"/>
  <c r="D2618" i="32"/>
  <c r="D555" i="32"/>
  <c r="D1668" i="32"/>
  <c r="D1310" i="32"/>
  <c r="D2155" i="32"/>
  <c r="D2325" i="32"/>
  <c r="D2050" i="32"/>
  <c r="D1957" i="32"/>
  <c r="D91" i="32"/>
  <c r="D2369" i="32"/>
  <c r="D2432" i="32"/>
  <c r="D33" i="32"/>
  <c r="D1375" i="32"/>
  <c r="D71" i="32"/>
  <c r="D586" i="32"/>
  <c r="D2712" i="32"/>
  <c r="D847" i="32"/>
  <c r="D2521" i="32"/>
  <c r="D591" i="32"/>
  <c r="D362" i="32"/>
  <c r="D378" i="32"/>
  <c r="D641" i="32"/>
  <c r="D1656" i="32"/>
  <c r="D1158" i="32"/>
  <c r="D561" i="32"/>
  <c r="D41" i="32"/>
  <c r="D1084" i="32"/>
  <c r="D1517" i="32"/>
  <c r="D1015" i="32"/>
  <c r="D1681" i="32"/>
  <c r="D1763" i="32"/>
  <c r="D1355" i="32"/>
  <c r="D778" i="32"/>
  <c r="D1749" i="32"/>
  <c r="D571" i="32"/>
  <c r="D964" i="32"/>
  <c r="D792" i="32"/>
  <c r="D2221" i="32"/>
  <c r="D1122" i="32"/>
  <c r="D1663" i="32"/>
  <c r="D450" i="32"/>
  <c r="D2392" i="32"/>
  <c r="D2023" i="32"/>
  <c r="D2553" i="32"/>
  <c r="D2669" i="32"/>
  <c r="D1366" i="32"/>
  <c r="D1553" i="32"/>
  <c r="D475" i="32"/>
  <c r="D2409" i="32"/>
  <c r="D1089" i="32"/>
  <c r="D2002" i="32"/>
  <c r="D2282" i="32"/>
  <c r="D2756" i="32"/>
  <c r="D929" i="32"/>
  <c r="D1492" i="32"/>
  <c r="D530" i="32"/>
  <c r="D1877" i="32"/>
  <c r="D2433" i="32"/>
  <c r="D2363" i="32"/>
  <c r="D2142" i="32"/>
  <c r="D739" i="32"/>
  <c r="D2484" i="32"/>
  <c r="D1809" i="32"/>
  <c r="D2408" i="32"/>
  <c r="D34" i="32"/>
  <c r="D2205" i="32"/>
  <c r="D2529" i="32"/>
  <c r="D2337" i="32"/>
  <c r="D1428" i="32"/>
  <c r="D99" i="32"/>
  <c r="D544" i="32"/>
  <c r="D2066" i="32"/>
  <c r="D2421" i="32"/>
  <c r="D2423" i="32"/>
  <c r="D2787" i="32"/>
  <c r="D1303" i="32"/>
  <c r="D2590" i="32"/>
  <c r="D134" i="32"/>
  <c r="D1649" i="32"/>
  <c r="D1030" i="32"/>
  <c r="D577" i="32"/>
  <c r="D1371" i="32"/>
  <c r="D2342" i="32"/>
  <c r="D1814" i="32"/>
  <c r="D2785" i="32"/>
  <c r="D1974" i="32"/>
  <c r="D2384" i="32"/>
  <c r="D2724" i="32"/>
  <c r="D2096" i="32"/>
  <c r="D990" i="32"/>
  <c r="D2115" i="32"/>
  <c r="D2752" i="32"/>
  <c r="D252" i="32"/>
  <c r="D1645" i="32"/>
  <c r="D2268" i="32"/>
  <c r="D700" i="32"/>
  <c r="D1251" i="32"/>
  <c r="D1102" i="32"/>
  <c r="D2739" i="32"/>
  <c r="D1975" i="32"/>
  <c r="D784" i="32"/>
  <c r="D2539" i="32"/>
  <c r="D286" i="32"/>
  <c r="D1028" i="32"/>
  <c r="D103" i="32"/>
  <c r="D2077" i="32"/>
  <c r="D1854" i="32"/>
  <c r="D1674" i="32"/>
  <c r="D685" i="32"/>
  <c r="D1900" i="32"/>
  <c r="D1988" i="32"/>
  <c r="D718" i="32"/>
  <c r="D352" i="32"/>
  <c r="D679" i="32"/>
  <c r="D1617" i="32"/>
  <c r="D1157" i="32"/>
  <c r="D1163" i="32"/>
  <c r="D1326" i="32"/>
  <c r="D433" i="32"/>
  <c r="D1960" i="32"/>
  <c r="D1200" i="32"/>
  <c r="D267" i="32"/>
  <c r="D1352" i="32"/>
  <c r="D1013" i="32"/>
  <c r="D1450" i="32"/>
  <c r="D992" i="32"/>
  <c r="D2378" i="32"/>
  <c r="D1761" i="32"/>
  <c r="D2605" i="32"/>
  <c r="D454" i="32"/>
  <c r="D821" i="32"/>
  <c r="D565" i="32"/>
  <c r="D1895" i="32"/>
  <c r="D772" i="32"/>
  <c r="D1053" i="32"/>
  <c r="D2081" i="32"/>
  <c r="D2795" i="32"/>
  <c r="D386" i="32"/>
  <c r="D902" i="32"/>
  <c r="D1170" i="32"/>
  <c r="D113" i="32"/>
  <c r="D2462" i="32"/>
  <c r="D2383" i="32"/>
  <c r="D1718" i="32"/>
  <c r="D1073" i="32"/>
  <c r="D2489" i="32"/>
  <c r="D236" i="32"/>
  <c r="D1999" i="32"/>
  <c r="D2633" i="32"/>
  <c r="D1046" i="32"/>
  <c r="D1344" i="32"/>
  <c r="D1754" i="32"/>
  <c r="D2581" i="32"/>
  <c r="D680" i="32"/>
  <c r="D1280" i="32"/>
  <c r="D238" i="32"/>
  <c r="D2435" i="32"/>
  <c r="D2596" i="32"/>
  <c r="D2454" i="32"/>
  <c r="D160" i="32"/>
  <c r="D1626" i="32"/>
  <c r="D2036" i="32"/>
  <c r="D2731" i="32"/>
  <c r="D931" i="32"/>
  <c r="D2332" i="32"/>
  <c r="D1152" i="32"/>
  <c r="D96" i="32"/>
  <c r="D757" i="32"/>
  <c r="D1507" i="32"/>
  <c r="D2792" i="32"/>
  <c r="D1488" i="32"/>
  <c r="D1811" i="32"/>
  <c r="D2366" i="32"/>
  <c r="D2022" i="32"/>
  <c r="D449" i="32"/>
  <c r="D1034" i="32"/>
  <c r="D2152" i="32"/>
  <c r="D1483" i="32"/>
  <c r="D1865" i="32"/>
  <c r="D1477" i="32"/>
  <c r="D1212" i="32"/>
  <c r="D1476" i="32"/>
  <c r="D1760" i="32"/>
  <c r="D1325" i="32"/>
  <c r="D2056" i="32"/>
  <c r="D1043" i="32"/>
  <c r="D1317" i="32"/>
  <c r="D1098" i="32"/>
  <c r="D1472" i="32"/>
  <c r="D496" i="32"/>
  <c r="D1464" i="32"/>
  <c r="D161" i="32"/>
  <c r="D457" i="32"/>
  <c r="D224" i="32"/>
  <c r="D147" i="32"/>
  <c r="D76" i="32"/>
  <c r="D8" i="32"/>
  <c r="D661" i="32"/>
  <c r="D1683" i="32"/>
  <c r="D17" i="32"/>
  <c r="D511" i="32"/>
  <c r="D1447" i="32"/>
  <c r="D2740" i="32"/>
  <c r="D1010" i="32"/>
  <c r="D187" i="32"/>
  <c r="D247" i="32"/>
  <c r="D1803" i="32"/>
  <c r="D1857" i="32"/>
  <c r="D713" i="32"/>
  <c r="D301" i="32"/>
  <c r="D705" i="32"/>
  <c r="D2670" i="32"/>
  <c r="D1452" i="32"/>
  <c r="D1401" i="32"/>
  <c r="D1904" i="32"/>
  <c r="D627" i="32"/>
  <c r="D1815" i="32"/>
  <c r="D1526" i="32"/>
  <c r="D1732" i="32"/>
  <c r="D2331" i="32"/>
  <c r="D2287" i="32"/>
  <c r="D888" i="32"/>
  <c r="D46" i="32"/>
  <c r="D2019" i="32"/>
  <c r="D1260" i="32"/>
  <c r="D810" i="32"/>
  <c r="D935" i="32"/>
  <c r="D1540" i="32"/>
  <c r="D446" i="32"/>
  <c r="D1020" i="32"/>
  <c r="D690" i="32"/>
  <c r="D18" i="32"/>
  <c r="D2063" i="32"/>
  <c r="D2561" i="32"/>
  <c r="D257" i="32"/>
  <c r="D2080" i="32"/>
  <c r="D1816" i="32"/>
  <c r="D1905" i="32"/>
  <c r="D1286" i="32"/>
  <c r="D2398" i="32"/>
  <c r="D2732" i="32"/>
  <c r="D1827" i="32"/>
  <c r="D1872" i="32"/>
  <c r="D632" i="32"/>
  <c r="D230" i="32"/>
  <c r="D48" i="32"/>
  <c r="D2014" i="32"/>
  <c r="D1594" i="32"/>
  <c r="D1841" i="32"/>
  <c r="D1261" i="32"/>
  <c r="D282" i="32"/>
  <c r="D617" i="32"/>
  <c r="D788" i="32"/>
  <c r="D2370" i="32"/>
  <c r="D536" i="32"/>
  <c r="D715" i="32"/>
  <c r="D1348" i="32"/>
  <c r="D2169" i="32"/>
  <c r="D741" i="32"/>
  <c r="D1911" i="32"/>
  <c r="D1559" i="32"/>
  <c r="D708" i="32"/>
  <c r="D1076" i="32"/>
  <c r="D69" i="32"/>
  <c r="D554" i="32"/>
  <c r="D2445" i="32"/>
  <c r="D2617" i="32"/>
  <c r="D2607" i="32"/>
  <c r="D2372" i="32"/>
  <c r="D2475" i="32"/>
  <c r="D1651" i="32"/>
  <c r="D1397" i="32"/>
  <c r="D893" i="32"/>
  <c r="D2694" i="32"/>
  <c r="D2085" i="32"/>
  <c r="D1142" i="32"/>
  <c r="D1408" i="32"/>
  <c r="D2245" i="32"/>
  <c r="D1986" i="32"/>
  <c r="D2206" i="32"/>
  <c r="D843" i="32"/>
  <c r="D731" i="32"/>
  <c r="D264" i="32"/>
  <c r="D1294" i="32"/>
  <c r="D2452" i="32"/>
  <c r="D1808" i="32"/>
  <c r="D2517" i="32"/>
  <c r="D2429" i="32"/>
  <c r="D2266" i="32"/>
  <c r="D2594" i="32"/>
  <c r="D1086" i="32"/>
  <c r="D380" i="32"/>
  <c r="D62" i="32"/>
  <c r="D938" i="32"/>
  <c r="D1771" i="32"/>
  <c r="D823" i="32"/>
  <c r="D304" i="32"/>
  <c r="D1769" i="32"/>
  <c r="D551" i="32"/>
  <c r="D1902" i="32"/>
  <c r="D1740" i="32"/>
  <c r="D2292" i="32"/>
  <c r="D1542" i="32"/>
  <c r="D2275" i="32"/>
  <c r="D2006" i="32"/>
  <c r="D197" i="32"/>
  <c r="D482" i="32"/>
  <c r="D803" i="32"/>
  <c r="D1059" i="32"/>
  <c r="D437" i="32"/>
  <c r="D1283" i="32"/>
  <c r="D1720" i="32"/>
  <c r="D2261" i="32"/>
  <c r="D985" i="32"/>
  <c r="D268" i="32"/>
  <c r="D2026" i="32"/>
  <c r="D2137" i="32"/>
  <c r="D1636" i="32"/>
  <c r="D1047" i="32"/>
  <c r="D988" i="32"/>
  <c r="D725" i="32"/>
  <c r="D1129" i="32"/>
  <c r="D2735" i="32"/>
  <c r="D743" i="32"/>
  <c r="D493" i="32"/>
  <c r="D1276" i="32"/>
  <c r="D2135" i="32"/>
  <c r="D1513" i="32"/>
  <c r="D1453" i="32"/>
  <c r="D2181" i="32"/>
  <c r="D1244" i="32"/>
  <c r="D1137" i="32"/>
  <c r="D910" i="32"/>
  <c r="D2387" i="32"/>
  <c r="D1186" i="32"/>
  <c r="D78" i="32"/>
  <c r="D1245" i="32"/>
  <c r="D688" i="32"/>
  <c r="D108" i="32"/>
  <c r="D976" i="32"/>
  <c r="D266" i="32"/>
  <c r="D2688" i="32"/>
  <c r="D2209" i="32"/>
  <c r="D2630" i="32"/>
  <c r="D2274" i="32"/>
  <c r="D2178" i="32"/>
  <c r="D2601" i="32"/>
  <c r="D2127" i="32"/>
  <c r="D2234" i="32"/>
  <c r="D2491" i="32"/>
  <c r="D1274" i="32"/>
  <c r="D1302" i="32"/>
  <c r="D2220" i="32"/>
  <c r="D176" i="32"/>
  <c r="D1292" i="32"/>
  <c r="D648" i="32"/>
  <c r="D2690" i="32"/>
  <c r="D1092" i="32"/>
  <c r="D155" i="32"/>
  <c r="D2680" i="32"/>
  <c r="D1676" i="32"/>
  <c r="D2230" i="32"/>
  <c r="D1372" i="32"/>
  <c r="D2714" i="32"/>
  <c r="D110" i="32"/>
  <c r="D1534" i="32"/>
  <c r="D839" i="32"/>
  <c r="D232" i="32"/>
  <c r="D1389" i="32"/>
  <c r="D884" i="32"/>
  <c r="D1367" i="32"/>
  <c r="D2083" i="32"/>
  <c r="D594" i="32"/>
  <c r="D1637" i="32"/>
  <c r="D1791" i="32"/>
  <c r="D1701" i="32"/>
  <c r="D27" i="32"/>
  <c r="D2323" i="32"/>
  <c r="D1289" i="32"/>
  <c r="D1088" i="32"/>
  <c r="D2377" i="32"/>
  <c r="D802" i="32"/>
  <c r="D1221" i="32"/>
  <c r="D1981" i="32"/>
  <c r="D44" i="32"/>
  <c r="D2210" i="32"/>
  <c r="D1179" i="32"/>
  <c r="D1318" i="32"/>
  <c r="D911" i="32"/>
  <c r="D1354" i="32"/>
  <c r="D393" i="32"/>
  <c r="D296" i="32"/>
  <c r="D2622" i="32"/>
  <c r="D652" i="32"/>
  <c r="D2602" i="32"/>
  <c r="D1460" i="32"/>
  <c r="D2593" i="32"/>
  <c r="D2801" i="32"/>
  <c r="D2417" i="32"/>
  <c r="AN2041" i="27"/>
  <c r="AO2041" i="27" s="1"/>
  <c r="AH1915" i="27"/>
  <c r="AN1296" i="27"/>
  <c r="AO1296" i="27" s="1"/>
  <c r="B14" i="37"/>
  <c r="P14" i="37" s="1"/>
  <c r="AM216" i="27"/>
  <c r="AH216" i="27" s="1"/>
  <c r="AM2382" i="27"/>
  <c r="AN2382" i="27" s="1"/>
  <c r="AO2382" i="27" s="1"/>
  <c r="AN1463" i="27"/>
  <c r="AO1463" i="27" s="1"/>
  <c r="AN3057" i="27"/>
  <c r="AO3057" i="27" s="1"/>
  <c r="AM3047" i="27"/>
  <c r="AN3047" i="27" s="1"/>
  <c r="AO3047" i="27" s="1"/>
  <c r="AM2050" i="27"/>
  <c r="AN2050" i="27" s="1"/>
  <c r="AO2050" i="27" s="1"/>
  <c r="AM3063" i="27"/>
  <c r="AN3063" i="27" s="1"/>
  <c r="AO3063" i="27" s="1"/>
  <c r="AM929" i="27"/>
  <c r="AH929" i="27" s="1"/>
  <c r="E20" i="30"/>
  <c r="B39" i="37"/>
  <c r="L39" i="37" s="1"/>
  <c r="K39" i="37" s="1"/>
  <c r="AN3092" i="27"/>
  <c r="AO3092" i="27" s="1"/>
  <c r="AH1537" i="27"/>
  <c r="AM1540" i="27"/>
  <c r="AN1540" i="27" s="1"/>
  <c r="AO1540" i="27" s="1"/>
  <c r="AM1498" i="27"/>
  <c r="AH1498" i="27" s="1"/>
  <c r="AM2326" i="27"/>
  <c r="AN2326" i="27" s="1"/>
  <c r="AO2326" i="27" s="1"/>
  <c r="AM3188" i="27"/>
  <c r="AN3188" i="27" s="1"/>
  <c r="AO3188" i="27" s="1"/>
  <c r="AM2306" i="27"/>
  <c r="AH2306" i="27" s="1"/>
  <c r="AM1578" i="27"/>
  <c r="AN1578" i="27" s="1"/>
  <c r="AO1578" i="27" s="1"/>
  <c r="AN1575" i="27"/>
  <c r="AO1575" i="27" s="1"/>
  <c r="AN247" i="27"/>
  <c r="AO247" i="27" s="1"/>
  <c r="AN1108" i="27"/>
  <c r="AO1108" i="27" s="1"/>
  <c r="AH1294" i="27"/>
  <c r="AN1679" i="27"/>
  <c r="AO1679" i="27" s="1"/>
  <c r="AN1756" i="27"/>
  <c r="AO1756" i="27" s="1"/>
  <c r="AN1612" i="27"/>
  <c r="AO1612" i="27" s="1"/>
  <c r="AN1864" i="27"/>
  <c r="AO1864" i="27" s="1"/>
  <c r="AN157" i="27"/>
  <c r="AO157" i="27" s="1"/>
  <c r="AN1812" i="27"/>
  <c r="AO1812" i="27" s="1"/>
  <c r="AH74" i="27"/>
  <c r="AH1605" i="27"/>
  <c r="AH1567" i="27"/>
  <c r="AH1600" i="27"/>
  <c r="AN193" i="27"/>
  <c r="AO193" i="27" s="1"/>
  <c r="AN3166" i="27"/>
  <c r="AO3166" i="27" s="1"/>
  <c r="AN222" i="27"/>
  <c r="AO222" i="27" s="1"/>
  <c r="AH2650" i="27"/>
  <c r="AH959" i="27"/>
  <c r="A19" i="30"/>
  <c r="K19" i="30" s="1"/>
  <c r="AN2678" i="27"/>
  <c r="AO2678" i="27" s="1"/>
  <c r="AN595" i="27"/>
  <c r="AO595" i="27" s="1"/>
  <c r="AH905" i="27"/>
  <c r="B38" i="37"/>
  <c r="D38" i="37" s="1"/>
  <c r="B34" i="37"/>
  <c r="P34" i="37" s="1"/>
  <c r="AH1499" i="27"/>
  <c r="AH1428" i="27"/>
  <c r="AM2334" i="27"/>
  <c r="AH2334" i="27" s="1"/>
  <c r="AM3058" i="27"/>
  <c r="AN3058" i="27" s="1"/>
  <c r="AO3058" i="27" s="1"/>
  <c r="AM2341" i="27"/>
  <c r="AN2341" i="27" s="1"/>
  <c r="AO2341" i="27" s="1"/>
  <c r="AN883" i="27"/>
  <c r="AO883" i="27" s="1"/>
  <c r="AH2538" i="27"/>
  <c r="AN1843" i="27"/>
  <c r="AO1843" i="27" s="1"/>
  <c r="B21" i="37"/>
  <c r="G21" i="37" s="1"/>
  <c r="AM1389" i="27"/>
  <c r="AN1389" i="27" s="1"/>
  <c r="AO1389" i="27" s="1"/>
  <c r="AM435" i="27"/>
  <c r="AN435" i="27" s="1"/>
  <c r="AO435" i="27" s="1"/>
  <c r="AN663" i="27"/>
  <c r="AO663" i="27" s="1"/>
  <c r="AH329" i="27"/>
  <c r="AN1753" i="27"/>
  <c r="AO1753" i="27" s="1"/>
  <c r="AH1617" i="27"/>
  <c r="AM3045" i="27"/>
  <c r="AN3045" i="27" s="1"/>
  <c r="AO3045" i="27" s="1"/>
  <c r="AH1539" i="27"/>
  <c r="AH3049" i="27"/>
  <c r="AM1369" i="27"/>
  <c r="AN1369" i="27" s="1"/>
  <c r="AO1369" i="27" s="1"/>
  <c r="AM3050" i="27"/>
  <c r="AN3050" i="27" s="1"/>
  <c r="AO3050" i="27" s="1"/>
  <c r="AH1589" i="27"/>
  <c r="D2831" i="32"/>
  <c r="D2823" i="32"/>
  <c r="D2814" i="32"/>
  <c r="D2804" i="32"/>
  <c r="D2807" i="32"/>
  <c r="D2806" i="32"/>
  <c r="D2544" i="32"/>
  <c r="D1573" i="32"/>
  <c r="D124" i="32"/>
  <c r="D762" i="32"/>
  <c r="D180" i="32"/>
  <c r="D1192" i="32"/>
  <c r="D174" i="32"/>
  <c r="D1627" i="32"/>
  <c r="D552" i="32"/>
  <c r="D1638" i="32"/>
  <c r="D1422" i="32"/>
  <c r="D996" i="32"/>
  <c r="D501" i="32"/>
  <c r="D2190" i="32"/>
  <c r="D1557" i="32"/>
  <c r="D1321" i="32"/>
  <c r="D54" i="32"/>
  <c r="D663" i="32"/>
  <c r="D1654" i="32"/>
  <c r="D1230" i="32"/>
  <c r="D1440" i="32"/>
  <c r="D1893" i="32"/>
  <c r="D1019" i="32"/>
  <c r="D2379" i="32"/>
  <c r="D2783" i="32"/>
  <c r="D2088" i="32"/>
  <c r="D1224" i="32"/>
  <c r="D1634" i="32"/>
  <c r="D574" i="32"/>
  <c r="D2140" i="32"/>
  <c r="D2065" i="32"/>
  <c r="D1065" i="32"/>
  <c r="D2262" i="32"/>
  <c r="D349" i="32"/>
  <c r="D80" i="32"/>
  <c r="D2620" i="32"/>
  <c r="D1856" i="32"/>
  <c r="D2426" i="32"/>
  <c r="D1793" i="32"/>
  <c r="D398" i="32"/>
  <c r="D138" i="32"/>
  <c r="D1639" i="32"/>
  <c r="D1874" i="32"/>
  <c r="D2667" i="32"/>
  <c r="D240" i="32"/>
  <c r="D1193" i="32"/>
  <c r="D2106" i="32"/>
  <c r="D291" i="32"/>
  <c r="D1705" i="32"/>
  <c r="D2436" i="32"/>
  <c r="D2399" i="32"/>
  <c r="D1717" i="32"/>
  <c r="D532" i="32"/>
  <c r="D1528" i="32"/>
  <c r="D1591" i="32"/>
  <c r="D1551" i="32"/>
  <c r="D2514" i="32"/>
  <c r="D229" i="32"/>
  <c r="D564" i="32"/>
  <c r="D1177" i="32"/>
  <c r="D1525" i="32"/>
  <c r="D2779" i="32"/>
  <c r="D2107" i="32"/>
  <c r="D2340" i="32"/>
  <c r="D595" i="32"/>
  <c r="D1259" i="32"/>
  <c r="D2543" i="32"/>
  <c r="D2133" i="32"/>
  <c r="D396" i="32"/>
  <c r="D1167" i="32"/>
  <c r="D2060" i="32"/>
  <c r="D242" i="32"/>
  <c r="D2459" i="32"/>
  <c r="D2198" i="32"/>
  <c r="D1336" i="32"/>
  <c r="D534" i="32"/>
  <c r="D1580" i="32"/>
  <c r="D1171" i="32"/>
  <c r="D870" i="32"/>
  <c r="D1462" i="32"/>
  <c r="D745" i="32"/>
  <c r="D659" i="32"/>
  <c r="D751" i="32"/>
  <c r="D1306" i="32"/>
  <c r="D2307" i="32"/>
  <c r="D1753" i="32"/>
  <c r="D2203" i="32"/>
  <c r="D1165" i="32"/>
  <c r="D137" i="32"/>
  <c r="D1675" i="32"/>
  <c r="D1935" i="32"/>
  <c r="D1499" i="32"/>
  <c r="D1417" i="32"/>
  <c r="D244" i="32"/>
  <c r="D1579" i="32"/>
  <c r="D1690" i="32"/>
  <c r="D465" i="32"/>
  <c r="D569" i="32"/>
  <c r="D1643" i="32"/>
  <c r="D428" i="32"/>
  <c r="D478" i="32"/>
  <c r="D675" i="32"/>
  <c r="D614" i="32"/>
  <c r="D2733" i="32"/>
  <c r="D1677" i="32"/>
  <c r="D2165" i="32"/>
  <c r="D2211" i="32"/>
  <c r="D139" i="32"/>
  <c r="D2365" i="32"/>
  <c r="D811" i="32"/>
  <c r="D944" i="32"/>
  <c r="D1331" i="32"/>
  <c r="D172" i="32"/>
  <c r="D2719" i="32"/>
  <c r="D2507" i="32"/>
  <c r="D294" i="32"/>
  <c r="D980" i="32"/>
  <c r="D846" i="32"/>
  <c r="D2734" i="32"/>
  <c r="D412" i="32"/>
  <c r="D919" i="32"/>
  <c r="D1415" i="32"/>
  <c r="D517" i="32"/>
  <c r="D1653" i="32"/>
  <c r="D1746" i="32"/>
  <c r="D61" i="32"/>
  <c r="D853" i="32"/>
  <c r="D2728" i="32"/>
  <c r="D2281" i="32"/>
  <c r="D1940" i="32"/>
  <c r="D23" i="32"/>
  <c r="D1976" i="32"/>
  <c r="D265" i="32"/>
  <c r="D2525" i="32"/>
  <c r="D1216" i="32"/>
  <c r="D2265" i="32"/>
  <c r="D2130" i="32"/>
  <c r="D460" i="32"/>
  <c r="D798" i="32"/>
  <c r="D377" i="32"/>
  <c r="D529" i="32"/>
  <c r="D2197" i="32"/>
  <c r="D1257" i="32"/>
  <c r="D1671" i="32"/>
  <c r="D1919" i="32"/>
  <c r="D1570" i="32"/>
  <c r="D49" i="32"/>
  <c r="D2267" i="32"/>
  <c r="D1444" i="32"/>
  <c r="D1506" i="32"/>
  <c r="D906" i="32"/>
  <c r="D765" i="32"/>
  <c r="D646" i="32"/>
  <c r="D2615" i="32"/>
  <c r="D758" i="32"/>
  <c r="D923" i="32"/>
  <c r="D2184" i="32"/>
  <c r="D1756" i="32"/>
  <c r="D926" i="32"/>
  <c r="D716" i="32"/>
  <c r="D1431" i="32"/>
  <c r="D2015" i="32"/>
  <c r="D392" i="32"/>
  <c r="D2778" i="32"/>
  <c r="D498" i="32"/>
  <c r="D1420" i="32"/>
  <c r="D1828" i="32"/>
  <c r="D2386" i="32"/>
  <c r="D2042" i="32"/>
  <c r="D303" i="32"/>
  <c r="D297" i="32"/>
  <c r="D2319" i="32"/>
  <c r="D120" i="32"/>
  <c r="D1702" i="32"/>
  <c r="D2651" i="32"/>
  <c r="D2021" i="32"/>
  <c r="D636" i="32"/>
  <c r="D432" i="32"/>
  <c r="D1936" i="32"/>
  <c r="D2556" i="32"/>
  <c r="D2575" i="32"/>
  <c r="D1390" i="32"/>
  <c r="D1766" i="32"/>
  <c r="D1932" i="32"/>
  <c r="D1383" i="32"/>
  <c r="D67" i="32"/>
  <c r="D471" i="32"/>
  <c r="D1790" i="32"/>
  <c r="D1214" i="32"/>
  <c r="D840" i="32"/>
  <c r="D1510" i="32"/>
  <c r="D1376" i="32"/>
  <c r="D85" i="32"/>
  <c r="D522" i="32"/>
  <c r="D2091" i="32"/>
  <c r="D1548" i="32"/>
  <c r="D53" i="32"/>
  <c r="D1711" i="32"/>
  <c r="D1395" i="32"/>
  <c r="D1689" i="32"/>
  <c r="AM98" i="27"/>
  <c r="AH98" i="27" s="1"/>
  <c r="AH759" i="27"/>
  <c r="AN1225" i="27"/>
  <c r="AO1225" i="27" s="1"/>
  <c r="AN2462" i="27"/>
  <c r="AO2462" i="27" s="1"/>
  <c r="AN945" i="27"/>
  <c r="AO945" i="27" s="1"/>
  <c r="B12" i="37"/>
  <c r="D12" i="37" s="1"/>
  <c r="AM2466" i="27"/>
  <c r="AH2466" i="27" s="1"/>
  <c r="AM2000" i="27"/>
  <c r="AH2000" i="27" s="1"/>
  <c r="AN1303" i="27"/>
  <c r="AO1303" i="27" s="1"/>
  <c r="AH2644" i="27"/>
  <c r="AN1453" i="27"/>
  <c r="AO1453" i="27" s="1"/>
  <c r="AM1616" i="27"/>
  <c r="AN1616" i="27" s="1"/>
  <c r="AO1616" i="27" s="1"/>
  <c r="AH17" i="27"/>
  <c r="AN1707" i="27"/>
  <c r="AO1707" i="27" s="1"/>
  <c r="AN1415" i="27"/>
  <c r="AO1415" i="27" s="1"/>
  <c r="AN3316" i="27"/>
  <c r="AO3316" i="27" s="1"/>
  <c r="AN1039" i="27"/>
  <c r="AO1039" i="27" s="1"/>
  <c r="AN1587" i="27"/>
  <c r="AO1587" i="27" s="1"/>
  <c r="AH1178" i="27"/>
  <c r="AH997" i="27"/>
  <c r="B18" i="37"/>
  <c r="P18" i="37" s="1"/>
  <c r="B13" i="37"/>
  <c r="O13" i="37" s="1"/>
  <c r="AM321" i="27"/>
  <c r="AH321" i="27" s="1"/>
  <c r="AN2640" i="27"/>
  <c r="AO2640" i="27" s="1"/>
  <c r="AN457" i="27"/>
  <c r="AO457" i="27" s="1"/>
  <c r="AN1371" i="27"/>
  <c r="AO1371" i="27" s="1"/>
  <c r="AH3029" i="27"/>
  <c r="AN885" i="27"/>
  <c r="AO885" i="27" s="1"/>
  <c r="AH2120" i="27"/>
  <c r="AN1457" i="27"/>
  <c r="AO1457" i="27" s="1"/>
  <c r="AH1471" i="27"/>
  <c r="AM3307" i="27"/>
  <c r="AH3307" i="27" s="1"/>
  <c r="AM2038" i="27"/>
  <c r="B36" i="37"/>
  <c r="N36" i="37" s="1"/>
  <c r="M36" i="37" s="1"/>
  <c r="AM1292" i="27"/>
  <c r="AH1292" i="27" s="1"/>
  <c r="AM217" i="27"/>
  <c r="AN217" i="27" s="1"/>
  <c r="AO217" i="27" s="1"/>
  <c r="AM1345" i="27"/>
  <c r="AM1442" i="27"/>
  <c r="AM1487" i="27"/>
  <c r="AH1487" i="27" s="1"/>
  <c r="AN1402" i="27"/>
  <c r="AO1402" i="27" s="1"/>
  <c r="AH1402" i="27"/>
  <c r="AH1604" i="27"/>
  <c r="AN1604" i="27"/>
  <c r="AO1604" i="27" s="1"/>
  <c r="AH849" i="27"/>
  <c r="AN2236" i="27"/>
  <c r="AO2236" i="27" s="1"/>
  <c r="AH1043" i="27"/>
  <c r="B41" i="37"/>
  <c r="G41" i="37" s="1"/>
  <c r="AN2059" i="27"/>
  <c r="AO2059" i="27" s="1"/>
  <c r="AN2704" i="27"/>
  <c r="AO2704" i="27" s="1"/>
  <c r="B40" i="37"/>
  <c r="X40" i="37" s="1"/>
  <c r="B20" i="37"/>
  <c r="N20" i="37" s="1"/>
  <c r="M20" i="37" s="1"/>
  <c r="B22" i="37"/>
  <c r="D22" i="37" s="1"/>
  <c r="B17" i="37"/>
  <c r="G17" i="37" s="1"/>
  <c r="AM214" i="27"/>
  <c r="AH214" i="27" s="1"/>
  <c r="AM317" i="27"/>
  <c r="AH317" i="27" s="1"/>
  <c r="AH2504" i="27"/>
  <c r="AN3043" i="27"/>
  <c r="AO3043" i="27" s="1"/>
  <c r="AH1955" i="27"/>
  <c r="AN1290" i="27"/>
  <c r="AO1290" i="27" s="1"/>
  <c r="AN355" i="27"/>
  <c r="AO355" i="27" s="1"/>
  <c r="AN433" i="27"/>
  <c r="AO433" i="27" s="1"/>
  <c r="AN3076" i="27"/>
  <c r="AO3076" i="27" s="1"/>
  <c r="AH3100" i="27"/>
  <c r="AH3182" i="27"/>
  <c r="AM1508" i="27"/>
  <c r="AH1508" i="27" s="1"/>
  <c r="AM1461" i="27"/>
  <c r="AN1461" i="27" s="1"/>
  <c r="AO1461" i="27" s="1"/>
  <c r="AM2317" i="27"/>
  <c r="AN2317" i="27" s="1"/>
  <c r="AO2317" i="27" s="1"/>
  <c r="AM2327" i="27"/>
  <c r="AH2327" i="27" s="1"/>
  <c r="AN1626" i="27"/>
  <c r="AO1626" i="27" s="1"/>
  <c r="AH1626" i="27"/>
  <c r="AM2892" i="27"/>
  <c r="AN1201" i="27"/>
  <c r="AO1201" i="27" s="1"/>
  <c r="AH1201" i="27"/>
  <c r="AN913" i="27"/>
  <c r="AO913" i="27" s="1"/>
  <c r="AH913" i="27"/>
  <c r="AM649" i="27"/>
  <c r="AH649" i="27" s="1"/>
  <c r="AH585" i="27"/>
  <c r="AN585" i="27"/>
  <c r="AO585" i="27" s="1"/>
  <c r="AM569" i="27"/>
  <c r="AN569" i="27" s="1"/>
  <c r="AO569" i="27" s="1"/>
  <c r="AM1411" i="27"/>
  <c r="AN1411" i="27" s="1"/>
  <c r="AO1411" i="27" s="1"/>
  <c r="AH1413" i="27"/>
  <c r="AN1413" i="27"/>
  <c r="AO1413" i="27" s="1"/>
  <c r="AM1372" i="27"/>
  <c r="AN1372" i="27" s="1"/>
  <c r="AO1372" i="27" s="1"/>
  <c r="AN1551" i="27"/>
  <c r="AO1551" i="27" s="1"/>
  <c r="AM527" i="27"/>
  <c r="AH527" i="27" s="1"/>
  <c r="AM3296" i="27"/>
  <c r="AH3296" i="27" s="1"/>
  <c r="AN1437" i="27"/>
  <c r="AO1437" i="27" s="1"/>
  <c r="AH1437" i="27"/>
  <c r="AM3052" i="27"/>
  <c r="AN3052" i="27" s="1"/>
  <c r="AO3052" i="27" s="1"/>
  <c r="AM3066" i="27"/>
  <c r="AH3066" i="27" s="1"/>
  <c r="AN1509" i="27"/>
  <c r="AO1509" i="27" s="1"/>
  <c r="AH1509" i="27"/>
  <c r="AN1553" i="27"/>
  <c r="AO1553" i="27" s="1"/>
  <c r="AH1553" i="27"/>
  <c r="B47" i="37"/>
  <c r="B46" i="37"/>
  <c r="B45" i="37"/>
  <c r="B48" i="37"/>
  <c r="AE63" i="30"/>
  <c r="G57" i="30"/>
  <c r="D816" i="32"/>
  <c r="D615" i="32"/>
  <c r="D720" i="32"/>
  <c r="D770" i="32"/>
  <c r="D84" i="32"/>
  <c r="D1357" i="32"/>
  <c r="D825" i="32"/>
  <c r="D2306" i="32"/>
  <c r="D1126" i="32"/>
  <c r="D2797" i="32"/>
  <c r="D1219" i="32"/>
  <c r="D480" i="32"/>
  <c r="D411" i="32"/>
  <c r="D2802" i="32"/>
  <c r="D488" i="32"/>
  <c r="D1040" i="32"/>
  <c r="D2134" i="32"/>
  <c r="D1441" i="32"/>
  <c r="D1820" i="32"/>
  <c r="D2250" i="32"/>
  <c r="D1604" i="32"/>
  <c r="D2218" i="32"/>
  <c r="D1497" i="32"/>
  <c r="D1792" i="32"/>
  <c r="D808" i="32"/>
  <c r="D2047" i="32"/>
  <c r="D2277" i="32"/>
  <c r="D545" i="32"/>
  <c r="D114" i="32"/>
  <c r="D2202" i="32"/>
  <c r="D1398" i="32"/>
  <c r="D98" i="32"/>
  <c r="D1323" i="32"/>
  <c r="D2532" i="32"/>
  <c r="D873" i="32"/>
  <c r="D2641" i="32"/>
  <c r="D2687" i="32"/>
  <c r="D2164" i="32"/>
  <c r="D1443" i="32"/>
  <c r="D1134" i="32"/>
  <c r="D427" i="32"/>
  <c r="D16" i="32"/>
  <c r="D1429" i="32"/>
  <c r="D473" i="32"/>
  <c r="D637" i="32"/>
  <c r="D390" i="32"/>
  <c r="D1196" i="32"/>
  <c r="D951" i="32"/>
  <c r="D989" i="32"/>
  <c r="D491" i="32"/>
  <c r="D2055" i="32"/>
  <c r="D2538" i="32"/>
  <c r="D2224" i="32"/>
  <c r="D1985" i="32"/>
  <c r="D320" i="32"/>
  <c r="D413" i="32"/>
  <c r="D1268" i="32"/>
  <c r="D2782" i="32"/>
  <c r="D791" i="32"/>
  <c r="D2336" i="32"/>
  <c r="D2763" i="32"/>
  <c r="D616" i="32"/>
  <c r="D1502" i="32"/>
  <c r="D2125" i="32"/>
  <c r="D2038" i="32"/>
  <c r="D1111" i="32"/>
  <c r="D1713" i="32"/>
  <c r="D1829" i="32"/>
  <c r="D1734" i="32"/>
  <c r="D665" i="32"/>
  <c r="D1991" i="32"/>
  <c r="D164" i="32"/>
  <c r="D2510" i="32"/>
  <c r="D1564" i="32"/>
  <c r="D2236" i="32"/>
  <c r="D1072" i="32"/>
  <c r="D455" i="32"/>
  <c r="D2104" i="32"/>
  <c r="D1339" i="32"/>
  <c r="D1778" i="32"/>
  <c r="D807" i="32"/>
  <c r="D421" i="32"/>
  <c r="D2829" i="32"/>
  <c r="D2069" i="32"/>
  <c r="D1263" i="32"/>
  <c r="D831" i="32"/>
  <c r="D463" i="32"/>
  <c r="D443" i="32"/>
  <c r="D1712" i="32"/>
  <c r="D1987" i="32"/>
  <c r="D958" i="32"/>
  <c r="D1093" i="32"/>
  <c r="D1623" i="32"/>
  <c r="D198" i="32"/>
  <c r="D1026" i="32"/>
  <c r="D2212" i="32"/>
  <c r="D2656" i="32"/>
  <c r="D2761" i="32"/>
  <c r="D2799" i="32"/>
  <c r="D470" i="32"/>
  <c r="D844" i="32"/>
  <c r="D664" i="32"/>
  <c r="D814" i="32"/>
  <c r="D1359" i="32"/>
  <c r="D1583" i="32"/>
  <c r="D484" i="32"/>
  <c r="D2375" i="32"/>
  <c r="D1032" i="32"/>
  <c r="D1789" i="32"/>
  <c r="D525" i="32"/>
  <c r="D1915" i="32"/>
  <c r="D1907" i="32"/>
  <c r="D2749" i="32"/>
  <c r="D326" i="32"/>
  <c r="D1821" i="32"/>
  <c r="D991" i="32"/>
  <c r="D422" i="32"/>
  <c r="D383" i="32"/>
  <c r="D2541" i="32"/>
  <c r="D1947" i="32"/>
  <c r="D2101" i="32"/>
  <c r="D165" i="32"/>
  <c r="D2438" i="32"/>
  <c r="D2247" i="32"/>
  <c r="D2589" i="32"/>
  <c r="D1950" i="32"/>
  <c r="D2653" i="32"/>
  <c r="D2512" i="32"/>
  <c r="D1909" i="32"/>
  <c r="D2743" i="32"/>
  <c r="D1052" i="32"/>
  <c r="D275" i="32"/>
  <c r="D2723" i="32"/>
  <c r="D2741" i="32"/>
  <c r="D2466" i="32"/>
  <c r="D2005" i="32"/>
  <c r="D1333" i="32"/>
  <c r="D738" i="32"/>
  <c r="D2441" i="32"/>
  <c r="D353" i="32"/>
  <c r="D1277" i="32"/>
  <c r="D2288" i="32"/>
  <c r="D2018" i="32"/>
  <c r="D701" i="32"/>
  <c r="D2216" i="32"/>
  <c r="D651" i="32"/>
  <c r="D2324" i="32"/>
  <c r="D1430" i="32"/>
  <c r="D1202" i="32"/>
  <c r="D2574" i="32"/>
  <c r="D2151" i="32"/>
  <c r="D2317" i="32"/>
  <c r="D389" i="32"/>
  <c r="D769" i="32"/>
  <c r="D1071" i="32"/>
  <c r="D1445" i="32"/>
  <c r="D223" i="32"/>
  <c r="D1509" i="32"/>
  <c r="D2141" i="32"/>
  <c r="D850" i="32"/>
  <c r="D456" i="32"/>
  <c r="D592" i="32"/>
  <c r="D2722" i="32"/>
  <c r="D628" i="32"/>
  <c r="D601" i="32"/>
  <c r="D445" i="32"/>
  <c r="D1175" i="32"/>
  <c r="D1568" i="32"/>
  <c r="D1541" i="32"/>
  <c r="D2612" i="32"/>
  <c r="D1970" i="32"/>
  <c r="D590" i="32"/>
  <c r="D2461" i="32"/>
  <c r="D2643" i="32"/>
  <c r="D786" i="32"/>
  <c r="D1565" i="32"/>
  <c r="D979" i="32"/>
  <c r="D1341" i="32"/>
  <c r="D2701" i="32"/>
  <c r="D1662" i="32"/>
  <c r="D2359" i="32"/>
  <c r="D1364" i="32"/>
  <c r="D2788" i="32"/>
  <c r="D2201" i="32"/>
  <c r="D1576" i="32"/>
  <c r="D882" i="32"/>
  <c r="D2139" i="32"/>
  <c r="D2225" i="32"/>
  <c r="D1934" i="32"/>
  <c r="D1923" i="32"/>
  <c r="D735" i="32"/>
  <c r="D1265" i="32"/>
  <c r="D2093" i="32"/>
  <c r="D2765" i="32"/>
  <c r="D379" i="32"/>
  <c r="D2611" i="32"/>
  <c r="D351" i="32"/>
  <c r="D643" i="32"/>
  <c r="D2254" i="32"/>
  <c r="D2499" i="32"/>
  <c r="D1979" i="32"/>
  <c r="D1523" i="32"/>
  <c r="D714" i="32"/>
  <c r="D416" i="32"/>
  <c r="D184" i="32"/>
  <c r="D1195" i="32"/>
  <c r="D2394" i="32"/>
  <c r="D2420" i="32"/>
  <c r="D674" i="32"/>
  <c r="D1380" i="32"/>
  <c r="D2241" i="32"/>
  <c r="D1926" i="32"/>
  <c r="D2677" i="32"/>
  <c r="D1608" i="32"/>
  <c r="D993" i="32"/>
  <c r="D1640" i="32"/>
  <c r="D1201" i="32"/>
  <c r="D2692" i="32"/>
  <c r="D1648" i="32"/>
  <c r="D121" i="32"/>
  <c r="D255" i="32"/>
  <c r="D1300" i="32"/>
  <c r="D566" i="32"/>
  <c r="D1176" i="32"/>
  <c r="D785" i="32"/>
  <c r="D2043" i="32"/>
  <c r="D2040" i="32"/>
  <c r="D1266" i="32"/>
  <c r="D2416" i="32"/>
  <c r="D1407" i="32"/>
  <c r="D1229" i="32"/>
  <c r="D374" i="32"/>
  <c r="D1243" i="32"/>
  <c r="D2600" i="32"/>
  <c r="D2145" i="32"/>
  <c r="D2597" i="32"/>
  <c r="D298" i="32"/>
  <c r="D907" i="32"/>
  <c r="D2001" i="32"/>
  <c r="D1315" i="32"/>
  <c r="D1103" i="32"/>
  <c r="D477" i="32"/>
  <c r="D1128" i="32"/>
  <c r="D2048" i="32"/>
  <c r="D842" i="32"/>
  <c r="D2480" i="32"/>
  <c r="D1595" i="32"/>
  <c r="D410" i="32"/>
  <c r="D1503" i="32"/>
  <c r="D1146" i="32"/>
  <c r="D2645" i="32"/>
  <c r="D2437" i="32"/>
  <c r="D2354" i="32"/>
  <c r="D29" i="32"/>
  <c r="D2402" i="32"/>
  <c r="D2163" i="32"/>
  <c r="D1633" i="32"/>
  <c r="D128" i="32"/>
  <c r="D2244" i="32"/>
  <c r="D2161" i="32"/>
  <c r="D1393" i="32"/>
  <c r="D686" i="32"/>
  <c r="D1233" i="32"/>
  <c r="D2131" i="32"/>
  <c r="D461" i="32"/>
  <c r="D1213" i="32"/>
  <c r="D504" i="32"/>
  <c r="D939" i="32"/>
  <c r="D1742" i="32"/>
  <c r="D669" i="32"/>
  <c r="D1133" i="32"/>
  <c r="D1978" i="32"/>
  <c r="D547" i="32"/>
  <c r="D1560" i="32"/>
  <c r="D603" i="32"/>
  <c r="D876" i="32"/>
  <c r="D836" i="32"/>
  <c r="D1396" i="32"/>
  <c r="D435" i="32"/>
  <c r="D589" i="32"/>
  <c r="D175" i="32"/>
  <c r="D2523" i="32"/>
  <c r="D1074" i="32"/>
  <c r="D1458" i="32"/>
  <c r="D771" i="32"/>
  <c r="D1784" i="32"/>
  <c r="D1067" i="32"/>
  <c r="D1767" i="32"/>
  <c r="D458" i="32"/>
  <c r="D1439" i="32"/>
  <c r="D1423" i="32"/>
  <c r="D1785" i="32"/>
  <c r="D904" i="32"/>
  <c r="D346" i="32"/>
  <c r="D1758" i="32"/>
  <c r="D1060" i="32"/>
  <c r="D995" i="32"/>
  <c r="D2124" i="32"/>
  <c r="D447" i="32"/>
  <c r="D886" i="32"/>
  <c r="D2789" i="32"/>
  <c r="D1241" i="32"/>
  <c r="D1600" i="32"/>
  <c r="D1903" i="32"/>
  <c r="D2013" i="32"/>
  <c r="D1685" i="32"/>
  <c r="D804" i="32"/>
  <c r="D280" i="32"/>
  <c r="D1156" i="32"/>
  <c r="D154" i="32"/>
  <c r="D22" i="32"/>
  <c r="D2483" i="32"/>
  <c r="D2129" i="32"/>
  <c r="D469" i="32"/>
  <c r="D1151" i="32"/>
  <c r="D1075" i="32"/>
  <c r="D2395" i="32"/>
  <c r="D2555" i="32"/>
  <c r="D2390" i="32"/>
  <c r="D2709" i="32"/>
  <c r="D2405" i="32"/>
  <c r="D987" i="32"/>
  <c r="D2171" i="32"/>
  <c r="D737" i="32"/>
  <c r="D2112" i="32"/>
  <c r="D313" i="32"/>
  <c r="D2193" i="32"/>
  <c r="D2226" i="32"/>
  <c r="D1741" i="32"/>
  <c r="D73" i="32"/>
  <c r="D2374" i="32"/>
  <c r="D2153" i="32"/>
  <c r="D1048" i="32"/>
  <c r="D1650" i="32"/>
  <c r="D670" i="32"/>
  <c r="D2116" i="32"/>
  <c r="D2298" i="32"/>
  <c r="D1373" i="32"/>
  <c r="D1605" i="32"/>
  <c r="D186" i="32"/>
  <c r="D307" i="32"/>
  <c r="D1787" i="32"/>
  <c r="D2796" i="32"/>
  <c r="D560" i="32"/>
  <c r="D1515" i="32"/>
  <c r="D837" i="32"/>
  <c r="D1558" i="32"/>
  <c r="D1037" i="32"/>
  <c r="D1898" i="32"/>
  <c r="D754" i="32"/>
  <c r="D2628" i="32"/>
  <c r="D231" i="32"/>
  <c r="D2195" i="32"/>
  <c r="D2652" i="32"/>
  <c r="D2174" i="32"/>
  <c r="D241" i="32"/>
  <c r="D37" i="32"/>
  <c r="D2451" i="32"/>
  <c r="D401" i="32"/>
  <c r="D1901" i="32"/>
  <c r="D2661" i="32"/>
  <c r="D1572" i="32"/>
  <c r="D1966" i="32"/>
  <c r="D50" i="32"/>
  <c r="D2736" i="32"/>
  <c r="D2631" i="32"/>
  <c r="D579" i="32"/>
  <c r="D140" i="32"/>
  <c r="D2192" i="32"/>
  <c r="D1051" i="32"/>
  <c r="D367" i="32"/>
  <c r="D434" i="32"/>
  <c r="D1590" i="32"/>
  <c r="D2621" i="32"/>
  <c r="D1312" i="32"/>
  <c r="D867" i="32"/>
  <c r="D2750" i="32"/>
  <c r="D1873" i="32"/>
  <c r="D107" i="32"/>
  <c r="D2560" i="32"/>
  <c r="D2476" i="32"/>
  <c r="D967" i="32"/>
  <c r="D1747" i="32"/>
  <c r="D1516" i="32"/>
  <c r="D2020" i="32"/>
  <c r="D101" i="32"/>
  <c r="D2280" i="32"/>
  <c r="D540" i="32"/>
  <c r="D1295" i="32"/>
  <c r="D2485" i="32"/>
  <c r="D1680" i="32"/>
  <c r="D207" i="32"/>
  <c r="D188" i="32"/>
  <c r="D2208" i="32"/>
  <c r="D2229" i="32"/>
  <c r="D26" i="32"/>
  <c r="D72" i="32"/>
  <c r="D535" i="32"/>
  <c r="D2016" i="32"/>
  <c r="D1320" i="32"/>
  <c r="D1724" i="32"/>
  <c r="D797" i="32"/>
  <c r="D31" i="32"/>
  <c r="D2798" i="32"/>
  <c r="D1917" i="32"/>
  <c r="D375" i="32"/>
  <c r="D1632" i="32"/>
  <c r="D892" i="32"/>
  <c r="D1931" i="32"/>
  <c r="D2172" i="32"/>
  <c r="D2339" i="32"/>
  <c r="D1227" i="32"/>
  <c r="D2064" i="32"/>
  <c r="D1168" i="32"/>
  <c r="D1962" i="32"/>
  <c r="D111" i="32"/>
  <c r="D9" i="32"/>
  <c r="D2748" i="32"/>
  <c r="D1267" i="32"/>
  <c r="D300" i="32"/>
  <c r="D1706" i="32"/>
  <c r="D667" i="32"/>
  <c r="D1967" i="32"/>
  <c r="D984" i="32"/>
  <c r="D209" i="32"/>
  <c r="D1512" i="32"/>
  <c r="D848" i="32"/>
  <c r="D767" i="32"/>
  <c r="D202" i="32"/>
  <c r="D205" i="32"/>
  <c r="D1614" i="32"/>
  <c r="D208" i="32"/>
  <c r="D2738" i="32"/>
  <c r="D1281" i="32"/>
  <c r="D1813" i="32"/>
  <c r="D1871" i="32"/>
  <c r="D1598" i="32"/>
  <c r="D928" i="32"/>
  <c r="D2468" i="32"/>
  <c r="D1514" i="32"/>
  <c r="D1783" i="32"/>
  <c r="D1097" i="32"/>
  <c r="D891" i="32"/>
  <c r="D2583" i="32"/>
  <c r="D2424" i="32"/>
  <c r="D887" i="32"/>
  <c r="D2276" i="32"/>
  <c r="D2508" i="32"/>
  <c r="D141" i="32"/>
  <c r="D599" i="32"/>
  <c r="D156" i="32"/>
  <c r="D2000" i="32"/>
  <c r="D1271" i="32"/>
  <c r="D2087" i="32"/>
  <c r="D1394" i="32"/>
  <c r="D2111" i="32"/>
  <c r="D1254" i="32"/>
  <c r="D1094" i="32"/>
  <c r="D800" i="32"/>
  <c r="D925" i="32"/>
  <c r="D1391" i="32"/>
  <c r="D2655" i="32"/>
  <c r="D468" i="32"/>
  <c r="D2321" i="32"/>
  <c r="D901" i="32"/>
  <c r="D343" i="32"/>
  <c r="D871" i="32"/>
  <c r="D2185" i="32"/>
  <c r="D2072" i="32"/>
  <c r="D819" i="32"/>
  <c r="D593" i="32"/>
  <c r="D2103" i="32"/>
  <c r="D1062" i="32"/>
  <c r="D1269" i="32"/>
  <c r="D2108" i="32"/>
  <c r="D863" i="32"/>
  <c r="D1714" i="32"/>
  <c r="D505" i="32"/>
  <c r="D2711" i="32"/>
  <c r="D117" i="32"/>
  <c r="D1258" i="32"/>
  <c r="D2515" i="32"/>
  <c r="D1897" i="32"/>
  <c r="D1817" i="32"/>
  <c r="D2252" i="32"/>
  <c r="D2448" i="32"/>
  <c r="D193" i="32"/>
  <c r="D2773" i="32"/>
  <c r="D1054" i="32"/>
  <c r="D908" i="32"/>
  <c r="D1045" i="32"/>
  <c r="D2170" i="32"/>
  <c r="D736" i="32"/>
  <c r="D1954" i="32"/>
  <c r="D2296" i="32"/>
  <c r="D2391" i="32"/>
  <c r="D1487" i="32"/>
  <c r="D521" i="32"/>
  <c r="D1963" i="32"/>
  <c r="D112" i="32"/>
  <c r="D2679" i="32"/>
  <c r="D707" i="32"/>
  <c r="D363" i="32"/>
  <c r="D2786" i="32"/>
  <c r="D2758" i="32"/>
  <c r="D1859" i="32"/>
  <c r="D734" i="32"/>
  <c r="D2439" i="32"/>
  <c r="D1223" i="32"/>
  <c r="D1409" i="32"/>
  <c r="D302" i="32"/>
  <c r="D2759" i="32"/>
  <c r="D1544" i="32"/>
  <c r="D2573" i="32"/>
  <c r="D1272" i="32"/>
  <c r="D828" i="32"/>
  <c r="D2745" i="32"/>
  <c r="D2138" i="32"/>
  <c r="D557" i="32"/>
  <c r="D2119" i="32"/>
  <c r="D724" i="32"/>
  <c r="D2639" i="32"/>
  <c r="D32" i="32"/>
  <c r="D2357" i="32"/>
  <c r="D2388" i="32"/>
  <c r="D2708" i="32"/>
  <c r="D2668" i="32"/>
  <c r="D2608" i="32"/>
  <c r="D2511" i="32"/>
  <c r="D1641" i="32"/>
  <c r="D2528" i="32"/>
  <c r="D1116" i="32"/>
  <c r="D1279" i="32"/>
  <c r="D1982" i="32"/>
  <c r="D1842" i="32"/>
  <c r="D862" i="32"/>
  <c r="D1378" i="32"/>
  <c r="D1818" i="32"/>
  <c r="D330" i="32"/>
  <c r="D642" i="32"/>
  <c r="D981" i="32"/>
  <c r="D2595" i="32"/>
  <c r="D2769" i="32"/>
  <c r="D105" i="32"/>
  <c r="D2754" i="32"/>
  <c r="D2403" i="32"/>
  <c r="D2158" i="32"/>
  <c r="D658" i="32"/>
  <c r="D1435" i="32"/>
  <c r="D2518" i="32"/>
  <c r="D1750" i="32"/>
  <c r="D1532" i="32"/>
  <c r="D794" i="32"/>
  <c r="D1587" i="32"/>
  <c r="D624" i="32"/>
  <c r="D1340" i="32"/>
  <c r="D1249" i="32"/>
  <c r="D127" i="32"/>
  <c r="D263" i="32"/>
  <c r="D960" i="32"/>
  <c r="D2278" i="32"/>
  <c r="D881" i="32"/>
  <c r="D841" i="32"/>
  <c r="D699" i="32"/>
  <c r="D2128" i="32"/>
  <c r="D1252" i="32"/>
  <c r="D1027" i="32"/>
  <c r="D1536" i="32"/>
  <c r="D1182" i="32"/>
  <c r="D1486" i="32"/>
  <c r="D2285" i="32"/>
  <c r="D1752" i="32"/>
  <c r="D1612" i="32"/>
  <c r="D1050" i="32"/>
  <c r="D75" i="32"/>
  <c r="D281" i="32"/>
  <c r="D1582" i="32"/>
  <c r="D634" i="32"/>
  <c r="D1646" i="32"/>
  <c r="D2301" i="32"/>
  <c r="D1101" i="32"/>
  <c r="D1405" i="32"/>
  <c r="D2258" i="32"/>
  <c r="D2177" i="32"/>
  <c r="D1858" i="32"/>
  <c r="D604" i="32"/>
  <c r="D1868" i="32"/>
  <c r="D1545" i="32"/>
  <c r="D2176" i="32"/>
  <c r="D2243" i="32"/>
  <c r="D2705" i="32"/>
  <c r="D199" i="32"/>
  <c r="D1173" i="32"/>
  <c r="D159" i="32"/>
  <c r="D59" i="32"/>
  <c r="D712" i="32"/>
  <c r="D1812" i="32"/>
  <c r="D423" i="32"/>
  <c r="D219" i="32"/>
  <c r="D30" i="32"/>
  <c r="D2315" i="32"/>
  <c r="D2571" i="32"/>
  <c r="D656" i="32"/>
  <c r="D1715" i="32"/>
  <c r="D2678" i="32"/>
  <c r="D934" i="32"/>
  <c r="D2092" i="32"/>
  <c r="D163" i="32"/>
  <c r="D2577" i="32"/>
  <c r="D1504" i="32"/>
  <c r="D1185" i="32"/>
  <c r="D1083" i="32"/>
  <c r="D2760" i="32"/>
  <c r="D248" i="32"/>
  <c r="D2777" i="32"/>
  <c r="D1332" i="32"/>
  <c r="D2775" i="32"/>
  <c r="D1180" i="32"/>
  <c r="D2691" i="32"/>
  <c r="D1862" i="32"/>
  <c r="D2110" i="32"/>
  <c r="AE22" i="30"/>
  <c r="AF22" i="30"/>
  <c r="E18" i="30"/>
  <c r="A187" i="30"/>
  <c r="AH2937" i="27"/>
  <c r="AH1880" i="27"/>
  <c r="AH3111" i="27"/>
  <c r="AN3111" i="27"/>
  <c r="AO3111" i="27" s="1"/>
  <c r="AM2726" i="27"/>
  <c r="AN2726" i="27" s="1"/>
  <c r="AO2726" i="27" s="1"/>
  <c r="AM2376" i="27"/>
  <c r="AH2376" i="27" s="1"/>
  <c r="AM2270" i="27"/>
  <c r="AH2270" i="27" s="1"/>
  <c r="AH2198" i="27"/>
  <c r="AN2198" i="27"/>
  <c r="AO2198" i="27" s="1"/>
  <c r="AH2420" i="27"/>
  <c r="AN2920" i="27"/>
  <c r="AO2920" i="27" s="1"/>
  <c r="AN1788" i="27"/>
  <c r="AO1788" i="27" s="1"/>
  <c r="AN3151" i="27"/>
  <c r="AO3151" i="27" s="1"/>
  <c r="AH2216" i="27"/>
  <c r="AH2268" i="27"/>
  <c r="AN2150" i="27"/>
  <c r="AO2150" i="27" s="1"/>
  <c r="AH2550" i="27"/>
  <c r="G63" i="30"/>
  <c r="AH3242" i="27"/>
  <c r="AN1975" i="27"/>
  <c r="AO1975" i="27" s="1"/>
  <c r="AH2230" i="27"/>
  <c r="AH1834" i="27"/>
  <c r="E63" i="30"/>
  <c r="AN77" i="27"/>
  <c r="AO77" i="27" s="1"/>
  <c r="AM2278" i="27"/>
  <c r="AH2278" i="27" s="1"/>
  <c r="AM1097" i="27"/>
  <c r="AN1097" i="27" s="1"/>
  <c r="AO1097" i="27" s="1"/>
  <c r="AM1482" i="27"/>
  <c r="AH1482" i="27" s="1"/>
  <c r="AM2384" i="27"/>
  <c r="AH2384" i="27" s="1"/>
  <c r="AH2636" i="27"/>
  <c r="AN2850" i="27"/>
  <c r="AO2850" i="27" s="1"/>
  <c r="AN2756" i="27"/>
  <c r="AO2756" i="27" s="1"/>
  <c r="AN1623" i="27"/>
  <c r="AO1623" i="27" s="1"/>
  <c r="AH937" i="27"/>
  <c r="AN2144" i="27"/>
  <c r="AO2144" i="27" s="1"/>
  <c r="AN2666" i="27"/>
  <c r="AO2666" i="27" s="1"/>
  <c r="AN2356" i="27"/>
  <c r="AO2356" i="27" s="1"/>
  <c r="AH803" i="27"/>
  <c r="AN2394" i="27"/>
  <c r="AO2394" i="27" s="1"/>
  <c r="AH2224" i="27"/>
  <c r="AH2766" i="27"/>
  <c r="AN2166" i="27"/>
  <c r="AO2166" i="27" s="1"/>
  <c r="AN1935" i="27"/>
  <c r="AO1935" i="27" s="1"/>
  <c r="AN2458" i="27"/>
  <c r="AO2458" i="27" s="1"/>
  <c r="AH897" i="27"/>
  <c r="AN1517" i="27"/>
  <c r="AO1517" i="27" s="1"/>
  <c r="AH2344" i="27"/>
  <c r="AN821" i="27"/>
  <c r="AO821" i="27" s="1"/>
  <c r="AH459" i="27"/>
  <c r="AH1895" i="27"/>
  <c r="B33" i="37"/>
  <c r="D33" i="37" s="1"/>
  <c r="AN3225" i="27"/>
  <c r="AO3225" i="27" s="1"/>
  <c r="AH3225" i="27"/>
  <c r="AM3294" i="27"/>
  <c r="AH2452" i="27"/>
  <c r="AN2452" i="27"/>
  <c r="AO2452" i="27" s="1"/>
  <c r="AN2011" i="27"/>
  <c r="AO2011" i="27" s="1"/>
  <c r="AH2011" i="27"/>
  <c r="AM1981" i="27"/>
  <c r="AN1981" i="27" s="1"/>
  <c r="AO1981" i="27" s="1"/>
  <c r="AM1973" i="27"/>
  <c r="AH1973" i="27" s="1"/>
  <c r="AM1913" i="27"/>
  <c r="AN1913" i="27" s="1"/>
  <c r="AO1913" i="27" s="1"/>
  <c r="AM1365" i="27"/>
  <c r="AN1365" i="27" s="1"/>
  <c r="AO1365" i="27" s="1"/>
  <c r="AM1288" i="27"/>
  <c r="AN1288" i="27" s="1"/>
  <c r="AO1288" i="27" s="1"/>
  <c r="AM1271" i="27"/>
  <c r="AN1271" i="27" s="1"/>
  <c r="AO1271" i="27" s="1"/>
  <c r="AM1261" i="27"/>
  <c r="AH1261" i="27" s="1"/>
  <c r="AM1231" i="27"/>
  <c r="AN1231" i="27" s="1"/>
  <c r="AO1231" i="27" s="1"/>
  <c r="AM1199" i="27"/>
  <c r="AH1199" i="27" s="1"/>
  <c r="AM1162" i="27"/>
  <c r="AN1162" i="27" s="1"/>
  <c r="AO1162" i="27" s="1"/>
  <c r="AM1158" i="27"/>
  <c r="AN1158" i="27" s="1"/>
  <c r="AO1158" i="27" s="1"/>
  <c r="AM1145" i="27"/>
  <c r="AN1145" i="27" s="1"/>
  <c r="AO1145" i="27" s="1"/>
  <c r="AM1143" i="27"/>
  <c r="AH1143" i="27" s="1"/>
  <c r="AM1113" i="27"/>
  <c r="AH1113" i="27" s="1"/>
  <c r="AM1079" i="27"/>
  <c r="AH1079" i="27" s="1"/>
  <c r="AM1019" i="27"/>
  <c r="AN1019" i="27" s="1"/>
  <c r="AO1019" i="27" s="1"/>
  <c r="AM1003" i="27"/>
  <c r="AN1003" i="27" s="1"/>
  <c r="AO1003" i="27" s="1"/>
  <c r="AN939" i="27"/>
  <c r="AO939" i="27" s="1"/>
  <c r="AH939" i="27"/>
  <c r="AM861" i="27"/>
  <c r="AN861" i="27" s="1"/>
  <c r="AO861" i="27" s="1"/>
  <c r="AM855" i="27"/>
  <c r="AN855" i="27" s="1"/>
  <c r="AO855" i="27" s="1"/>
  <c r="AM853" i="27"/>
  <c r="AH853" i="27" s="1"/>
  <c r="AH835" i="27"/>
  <c r="AN835" i="27"/>
  <c r="AO835" i="27" s="1"/>
  <c r="AM829" i="27"/>
  <c r="AH829" i="27" s="1"/>
  <c r="AM771" i="27"/>
  <c r="AH771" i="27" s="1"/>
  <c r="AM741" i="27"/>
  <c r="AH741" i="27" s="1"/>
  <c r="AM697" i="27"/>
  <c r="AH697" i="27" s="1"/>
  <c r="AM691" i="27"/>
  <c r="AN691" i="27" s="1"/>
  <c r="AO691" i="27" s="1"/>
  <c r="AM689" i="27"/>
  <c r="AH689" i="27" s="1"/>
  <c r="AN681" i="27"/>
  <c r="AO681" i="27" s="1"/>
  <c r="AH681" i="27"/>
  <c r="AM675" i="27"/>
  <c r="AN675" i="27" s="1"/>
  <c r="AO675" i="27" s="1"/>
  <c r="AM669" i="27"/>
  <c r="AN669" i="27" s="1"/>
  <c r="AO669" i="27" s="1"/>
  <c r="AM661" i="27"/>
  <c r="AH661" i="27" s="1"/>
  <c r="AM615" i="27"/>
  <c r="AH615" i="27" s="1"/>
  <c r="AM583" i="27"/>
  <c r="AN583" i="27" s="1"/>
  <c r="AO583" i="27" s="1"/>
  <c r="AM565" i="27"/>
  <c r="AN565" i="27" s="1"/>
  <c r="AO565" i="27" s="1"/>
  <c r="AM539" i="27"/>
  <c r="AH539" i="27" s="1"/>
  <c r="AH515" i="27"/>
  <c r="AN515" i="27"/>
  <c r="AO515" i="27" s="1"/>
  <c r="AM501" i="27"/>
  <c r="AH501" i="27" s="1"/>
  <c r="AM461" i="27"/>
  <c r="AN461" i="27" s="1"/>
  <c r="AO461" i="27" s="1"/>
  <c r="AM455" i="27"/>
  <c r="AH455" i="27" s="1"/>
  <c r="AM429" i="27"/>
  <c r="AN429" i="27" s="1"/>
  <c r="AO429" i="27" s="1"/>
  <c r="AM373" i="27"/>
  <c r="AN373" i="27" s="1"/>
  <c r="AO373" i="27" s="1"/>
  <c r="AM369" i="27"/>
  <c r="AN369" i="27" s="1"/>
  <c r="AO369" i="27" s="1"/>
  <c r="AM1388" i="27"/>
  <c r="AH1388" i="27" s="1"/>
  <c r="AM2972" i="27"/>
  <c r="AN2972" i="27" s="1"/>
  <c r="AO2972" i="27" s="1"/>
  <c r="B31" i="37"/>
  <c r="X31" i="37" s="1"/>
  <c r="B32" i="37"/>
  <c r="Y32" i="37" s="1"/>
  <c r="B35" i="37"/>
  <c r="F35" i="37" s="1"/>
  <c r="B37" i="37"/>
  <c r="L37" i="37" s="1"/>
  <c r="K37" i="37" s="1"/>
  <c r="AM2029" i="27"/>
  <c r="AN2029" i="27" s="1"/>
  <c r="AO2029" i="27" s="1"/>
  <c r="AM2314" i="27"/>
  <c r="AH2314" i="27" s="1"/>
  <c r="AM1380" i="27"/>
  <c r="AH1380" i="27" s="1"/>
  <c r="AM1404" i="27"/>
  <c r="AN1404" i="27" s="1"/>
  <c r="AO1404" i="27" s="1"/>
  <c r="AM1336" i="27"/>
  <c r="AH1336" i="27" s="1"/>
  <c r="AM1298" i="27"/>
  <c r="AN1298" i="27" s="1"/>
  <c r="AO1298" i="27" s="1"/>
  <c r="AM1332" i="27"/>
  <c r="AH1332" i="27" s="1"/>
  <c r="AM2311" i="27"/>
  <c r="AN2311" i="27" s="1"/>
  <c r="AO2311" i="27" s="1"/>
  <c r="AM1464" i="27"/>
  <c r="AN1464" i="27" s="1"/>
  <c r="AO1464" i="27" s="1"/>
  <c r="AM1445" i="27"/>
  <c r="AH1445" i="27" s="1"/>
  <c r="AM1305" i="27"/>
  <c r="AN1305" i="27" s="1"/>
  <c r="AO1305" i="27" s="1"/>
  <c r="AM2922" i="27"/>
  <c r="AH2922" i="27" s="1"/>
  <c r="AM2890" i="27"/>
  <c r="AN2890" i="27" s="1"/>
  <c r="AO2890" i="27" s="1"/>
  <c r="AM2882" i="27"/>
  <c r="AH2882" i="27" s="1"/>
  <c r="AN2736" i="27"/>
  <c r="AO2736" i="27" s="1"/>
  <c r="B44" i="37"/>
  <c r="Q44" i="37" s="1"/>
  <c r="U44" i="37" s="1"/>
  <c r="B42" i="37"/>
  <c r="X42" i="37" s="1"/>
  <c r="B43" i="37"/>
  <c r="G43" i="37" s="1"/>
  <c r="A9" i="30"/>
  <c r="M9" i="30" s="1"/>
  <c r="AN2424" i="27"/>
  <c r="AO2424" i="27" s="1"/>
  <c r="AM1184" i="27"/>
  <c r="AH1184" i="27" s="1"/>
  <c r="AM2414" i="27"/>
  <c r="AH2414" i="27" s="1"/>
  <c r="AH2632" i="27"/>
  <c r="AN2148" i="27"/>
  <c r="AO2148" i="27" s="1"/>
  <c r="AH2284" i="27"/>
  <c r="AN2090" i="27"/>
  <c r="AO2090" i="27" s="1"/>
  <c r="AN2258" i="27"/>
  <c r="AO2258" i="27" s="1"/>
  <c r="AN2398" i="27"/>
  <c r="AO2398" i="27" s="1"/>
  <c r="AH2680" i="27"/>
  <c r="AN2446" i="27"/>
  <c r="AO2446" i="27" s="1"/>
  <c r="AN2936" i="27"/>
  <c r="AO2936" i="27" s="1"/>
  <c r="AN2662" i="27"/>
  <c r="AO2662" i="27" s="1"/>
  <c r="AN2764" i="27"/>
  <c r="AO2764" i="27" s="1"/>
  <c r="AH2790" i="27"/>
  <c r="AH2616" i="27"/>
  <c r="AH1031" i="27"/>
  <c r="AH2174" i="27"/>
  <c r="AH1115" i="27"/>
  <c r="AH1951" i="27"/>
  <c r="AN2220" i="27"/>
  <c r="AO2220" i="27" s="1"/>
  <c r="AH2192" i="27"/>
  <c r="AH2118" i="27"/>
  <c r="AN981" i="27"/>
  <c r="AO981" i="27" s="1"/>
  <c r="AN795" i="27"/>
  <c r="AO795" i="27" s="1"/>
  <c r="AN2140" i="27"/>
  <c r="AO2140" i="27" s="1"/>
  <c r="AH2600" i="27"/>
  <c r="AN1273" i="27"/>
  <c r="AO1273" i="27" s="1"/>
  <c r="AN2412" i="27"/>
  <c r="AO2412" i="27" s="1"/>
  <c r="AN841" i="27"/>
  <c r="AO841" i="27" s="1"/>
  <c r="AM2714" i="27"/>
  <c r="AM2528" i="27"/>
  <c r="AM2510" i="27"/>
  <c r="AN2510" i="27" s="1"/>
  <c r="AO2510" i="27" s="1"/>
  <c r="AM2486" i="27"/>
  <c r="AN2486" i="27" s="1"/>
  <c r="AO2486" i="27" s="1"/>
  <c r="AM2380" i="27"/>
  <c r="AH2380" i="27" s="1"/>
  <c r="AM2244" i="27"/>
  <c r="AH2244" i="27" s="1"/>
  <c r="AM2098" i="27"/>
  <c r="AH2098" i="27" s="1"/>
  <c r="AM2096" i="27"/>
  <c r="AH2096" i="27" s="1"/>
  <c r="AM2076" i="27"/>
  <c r="AN2076" i="27" s="1"/>
  <c r="AO2076" i="27" s="1"/>
  <c r="AM1227" i="27"/>
  <c r="AM1190" i="27"/>
  <c r="AN1190" i="27" s="1"/>
  <c r="AO1190" i="27" s="1"/>
  <c r="AM1172" i="27"/>
  <c r="AM1170" i="27"/>
  <c r="AN1170" i="27" s="1"/>
  <c r="AO1170" i="27" s="1"/>
  <c r="AM1103" i="27"/>
  <c r="AM1023" i="27"/>
  <c r="AH1023" i="27" s="1"/>
  <c r="AM967" i="27"/>
  <c r="AM893" i="27"/>
  <c r="AH893" i="27" s="1"/>
  <c r="AM871" i="27"/>
  <c r="AH871" i="27" s="1"/>
  <c r="AM863" i="27"/>
  <c r="AN863" i="27" s="1"/>
  <c r="AO863" i="27" s="1"/>
  <c r="AM827" i="27"/>
  <c r="AN827" i="27" s="1"/>
  <c r="AO827" i="27" s="1"/>
  <c r="AM819" i="27"/>
  <c r="AN819" i="27" s="1"/>
  <c r="AO819" i="27" s="1"/>
  <c r="AM791" i="27"/>
  <c r="AN791" i="27" s="1"/>
  <c r="AO791" i="27" s="1"/>
  <c r="AM779" i="27"/>
  <c r="AH779" i="27" s="1"/>
  <c r="AM775" i="27"/>
  <c r="AH775" i="27" s="1"/>
  <c r="AM769" i="27"/>
  <c r="AH769" i="27" s="1"/>
  <c r="AM717" i="27"/>
  <c r="AH717" i="27" s="1"/>
  <c r="AM715" i="27"/>
  <c r="AN715" i="27" s="1"/>
  <c r="AO715" i="27" s="1"/>
  <c r="AM679" i="27"/>
  <c r="AM665" i="27"/>
  <c r="AH665" i="27" s="1"/>
  <c r="AM659" i="27"/>
  <c r="AN659" i="27" s="1"/>
  <c r="AO659" i="27" s="1"/>
  <c r="AM643" i="27"/>
  <c r="AN643" i="27" s="1"/>
  <c r="AO643" i="27" s="1"/>
  <c r="AM633" i="27"/>
  <c r="AM629" i="27"/>
  <c r="AN629" i="27" s="1"/>
  <c r="AO629" i="27" s="1"/>
  <c r="AM579" i="27"/>
  <c r="AH579" i="27" s="1"/>
  <c r="AM557" i="27"/>
  <c r="AN557" i="27" s="1"/>
  <c r="AO557" i="27" s="1"/>
  <c r="AM553" i="27"/>
  <c r="AM543" i="27"/>
  <c r="AH543" i="27" s="1"/>
  <c r="AM531" i="27"/>
  <c r="AH531" i="27" s="1"/>
  <c r="AM511" i="27"/>
  <c r="AM475" i="27"/>
  <c r="AN475" i="27" s="1"/>
  <c r="AO475" i="27" s="1"/>
  <c r="AM449" i="27"/>
  <c r="AH449" i="27" s="1"/>
  <c r="AM397" i="27"/>
  <c r="AN397" i="27" s="1"/>
  <c r="AO397" i="27" s="1"/>
  <c r="AM359" i="27"/>
  <c r="AN359" i="27" s="1"/>
  <c r="AO359" i="27" s="1"/>
  <c r="AM343" i="27"/>
  <c r="AN343" i="27" s="1"/>
  <c r="AO343" i="27" s="1"/>
  <c r="AM1393" i="27"/>
  <c r="AN1393" i="27" s="1"/>
  <c r="AO1393" i="27" s="1"/>
  <c r="AM2302" i="27"/>
  <c r="AH2302" i="27" s="1"/>
  <c r="AM1470" i="27"/>
  <c r="AM1385" i="27"/>
  <c r="AM2954" i="27"/>
  <c r="AN2954" i="27" s="1"/>
  <c r="AO2954" i="27" s="1"/>
  <c r="AM2938" i="27"/>
  <c r="AN2938" i="27" s="1"/>
  <c r="AO2938" i="27" s="1"/>
  <c r="AM1203" i="27"/>
  <c r="AH1203" i="27" s="1"/>
  <c r="AM2300" i="27"/>
  <c r="AN2300" i="27" s="1"/>
  <c r="AO2300" i="27" s="1"/>
  <c r="AM1367" i="27"/>
  <c r="AH1367" i="27" s="1"/>
  <c r="AM1343" i="27"/>
  <c r="AN1343" i="27" s="1"/>
  <c r="AO1343" i="27" s="1"/>
  <c r="AM2295" i="27"/>
  <c r="AH2295" i="27" s="1"/>
  <c r="AM1321" i="27"/>
  <c r="AH1321" i="27" s="1"/>
  <c r="AM1379" i="27"/>
  <c r="AH1379" i="27" s="1"/>
  <c r="AM1501" i="27"/>
  <c r="AM1407" i="27"/>
  <c r="AN1407" i="27" s="1"/>
  <c r="AO1407" i="27" s="1"/>
  <c r="AM3030" i="27"/>
  <c r="AH3030" i="27" s="1"/>
  <c r="AM3037" i="27"/>
  <c r="AH3037" i="27" s="1"/>
  <c r="AM2049" i="27"/>
  <c r="AH2049" i="27" s="1"/>
  <c r="AM1425" i="27"/>
  <c r="AH1425" i="27" s="1"/>
  <c r="AN1440" i="27"/>
  <c r="AO1440" i="27" s="1"/>
  <c r="AH1440" i="27"/>
  <c r="AM1364" i="27"/>
  <c r="AN1364" i="27" s="1"/>
  <c r="AO1364" i="27" s="1"/>
  <c r="AN3082" i="27"/>
  <c r="AO3082" i="27" s="1"/>
  <c r="AN2429" i="27"/>
  <c r="AO2429" i="27" s="1"/>
  <c r="E64" i="30"/>
  <c r="E23" i="30"/>
  <c r="G23" i="30"/>
  <c r="AF64" i="30"/>
  <c r="AN3258" i="27"/>
  <c r="AO3258" i="27" s="1"/>
  <c r="AM1377" i="27"/>
  <c r="AH1377" i="27" s="1"/>
  <c r="AM2758" i="27"/>
  <c r="AM2436" i="27"/>
  <c r="AM2418" i="27"/>
  <c r="AH2418" i="27" s="1"/>
  <c r="AM2390" i="27"/>
  <c r="AH2390" i="27" s="1"/>
  <c r="AM2264" i="27"/>
  <c r="AN2264" i="27" s="1"/>
  <c r="AO2264" i="27" s="1"/>
  <c r="AM2206" i="27"/>
  <c r="AN2206" i="27" s="1"/>
  <c r="AO2206" i="27" s="1"/>
  <c r="AM2009" i="27"/>
  <c r="AH2009" i="27" s="1"/>
  <c r="AM1917" i="27"/>
  <c r="AH1917" i="27" s="1"/>
  <c r="AM1909" i="27"/>
  <c r="AH1909" i="27" s="1"/>
  <c r="AM1241" i="27"/>
  <c r="AH1241" i="27" s="1"/>
  <c r="AM1213" i="27"/>
  <c r="AN1213" i="27" s="1"/>
  <c r="AO1213" i="27" s="1"/>
  <c r="AM1093" i="27"/>
  <c r="AH1093" i="27" s="1"/>
  <c r="AM1045" i="27"/>
  <c r="AN1045" i="27" s="1"/>
  <c r="AO1045" i="27" s="1"/>
  <c r="AM1017" i="27"/>
  <c r="AM963" i="27"/>
  <c r="AH963" i="27" s="1"/>
  <c r="AM955" i="27"/>
  <c r="AH955" i="27" s="1"/>
  <c r="AM921" i="27"/>
  <c r="AN921" i="27" s="1"/>
  <c r="AO921" i="27" s="1"/>
  <c r="AM873" i="27"/>
  <c r="AN873" i="27" s="1"/>
  <c r="AO873" i="27" s="1"/>
  <c r="AM867" i="27"/>
  <c r="AH867" i="27" s="1"/>
  <c r="AM857" i="27"/>
  <c r="AH857" i="27" s="1"/>
  <c r="AM807" i="27"/>
  <c r="AN807" i="27" s="1"/>
  <c r="AO807" i="27" s="1"/>
  <c r="AM761" i="27"/>
  <c r="AN761" i="27" s="1"/>
  <c r="AO761" i="27" s="1"/>
  <c r="AM747" i="27"/>
  <c r="AM745" i="27"/>
  <c r="AN745" i="27" s="1"/>
  <c r="AO745" i="27" s="1"/>
  <c r="AM729" i="27"/>
  <c r="AN729" i="27" s="1"/>
  <c r="AO729" i="27" s="1"/>
  <c r="AM693" i="27"/>
  <c r="AN693" i="27" s="1"/>
  <c r="AO693" i="27" s="1"/>
  <c r="AM687" i="27"/>
  <c r="AM623" i="27"/>
  <c r="AN623" i="27" s="1"/>
  <c r="AO623" i="27" s="1"/>
  <c r="AM617" i="27"/>
  <c r="AH617" i="27" s="1"/>
  <c r="AM609" i="27"/>
  <c r="AM597" i="27"/>
  <c r="AM581" i="27"/>
  <c r="AH581" i="27" s="1"/>
  <c r="AM563" i="27"/>
  <c r="AN563" i="27" s="1"/>
  <c r="AO563" i="27" s="1"/>
  <c r="AM551" i="27"/>
  <c r="AM547" i="27"/>
  <c r="AH547" i="27" s="1"/>
  <c r="AM545" i="27"/>
  <c r="AM541" i="27"/>
  <c r="AM521" i="27"/>
  <c r="AH521" i="27" s="1"/>
  <c r="AM509" i="27"/>
  <c r="AM493" i="27"/>
  <c r="AH493" i="27" s="1"/>
  <c r="AM491" i="27"/>
  <c r="AN491" i="27" s="1"/>
  <c r="AO491" i="27" s="1"/>
  <c r="AM485" i="27"/>
  <c r="AH485" i="27" s="1"/>
  <c r="AM465" i="27"/>
  <c r="AH465" i="27" s="1"/>
  <c r="AM437" i="27"/>
  <c r="AH437" i="27" s="1"/>
  <c r="AM431" i="27"/>
  <c r="AN431" i="27" s="1"/>
  <c r="AO431" i="27" s="1"/>
  <c r="AM427" i="27"/>
  <c r="AM423" i="27"/>
  <c r="AH423" i="27" s="1"/>
  <c r="AM415" i="27"/>
  <c r="AN415" i="27" s="1"/>
  <c r="AO415" i="27" s="1"/>
  <c r="AM413" i="27"/>
  <c r="AH413" i="27" s="1"/>
  <c r="AM407" i="27"/>
  <c r="AM395" i="27"/>
  <c r="AN395" i="27" s="1"/>
  <c r="AO395" i="27" s="1"/>
  <c r="AM389" i="27"/>
  <c r="AH389" i="27" s="1"/>
  <c r="AM385" i="27"/>
  <c r="AN385" i="27" s="1"/>
  <c r="AO385" i="27" s="1"/>
  <c r="AM379" i="27"/>
  <c r="AH379" i="27" s="1"/>
  <c r="AM375" i="27"/>
  <c r="AN375" i="27" s="1"/>
  <c r="AO375" i="27" s="1"/>
  <c r="AM365" i="27"/>
  <c r="AH365" i="27" s="1"/>
  <c r="AM345" i="27"/>
  <c r="AH345" i="27" s="1"/>
  <c r="AM327" i="27"/>
  <c r="AN327" i="27" s="1"/>
  <c r="AO327" i="27" s="1"/>
  <c r="AM313" i="27"/>
  <c r="AM311" i="27"/>
  <c r="AN311" i="27" s="1"/>
  <c r="AO311" i="27" s="1"/>
  <c r="AM307" i="27"/>
  <c r="AN307" i="27" s="1"/>
  <c r="AO307" i="27" s="1"/>
  <c r="AM2974" i="27"/>
  <c r="AH2974" i="27" s="1"/>
  <c r="AM2037" i="27"/>
  <c r="AH2037" i="27" s="1"/>
  <c r="AM2935" i="27"/>
  <c r="AN2935" i="27" s="1"/>
  <c r="AO2935" i="27" s="1"/>
  <c r="AM1516" i="27"/>
  <c r="AH1516" i="27" s="1"/>
  <c r="AM1384" i="27"/>
  <c r="AH1384" i="27" s="1"/>
  <c r="AM1382" i="27"/>
  <c r="AH1382" i="27" s="1"/>
  <c r="AM1518" i="27"/>
  <c r="AH1518" i="27" s="1"/>
  <c r="AM1361" i="27"/>
  <c r="AN1361" i="27" s="1"/>
  <c r="AO1361" i="27" s="1"/>
  <c r="AM1357" i="27"/>
  <c r="AH1357" i="27" s="1"/>
  <c r="AM1362" i="27"/>
  <c r="AN1362" i="27" s="1"/>
  <c r="AO1362" i="27" s="1"/>
  <c r="AM1300" i="27"/>
  <c r="AN1300" i="27" s="1"/>
  <c r="AO1300" i="27" s="1"/>
  <c r="AM1424" i="27"/>
  <c r="AN1424" i="27" s="1"/>
  <c r="AO1424" i="27" s="1"/>
  <c r="D1465" i="32"/>
  <c r="D2046" i="32"/>
  <c r="D1009" i="32"/>
  <c r="D2007" i="32"/>
  <c r="D153" i="32"/>
  <c r="D2283" i="32"/>
  <c r="D1064" i="32"/>
  <c r="D376" i="32"/>
  <c r="D1416" i="32"/>
  <c r="D2079" i="32"/>
  <c r="D1937" i="32"/>
  <c r="D1399" i="32"/>
  <c r="D2132" i="32"/>
  <c r="D404" i="32"/>
  <c r="D1000" i="32"/>
  <c r="D1762" i="32"/>
  <c r="AE39" i="30"/>
  <c r="D251" i="32"/>
  <c r="D1112" i="32"/>
  <c r="D2089" i="32"/>
  <c r="AH1514" i="27"/>
  <c r="AH1667" i="27"/>
  <c r="AN3142" i="27"/>
  <c r="AO3142" i="27" s="1"/>
  <c r="AH1347" i="27"/>
  <c r="AH3148" i="27"/>
  <c r="AH3035" i="27"/>
  <c r="AN1412" i="27"/>
  <c r="AO1412" i="27" s="1"/>
  <c r="AH3323" i="27"/>
  <c r="G64" i="30"/>
  <c r="AE67" i="30"/>
  <c r="AH3281" i="27"/>
  <c r="AN190" i="27"/>
  <c r="AO190" i="27" s="1"/>
  <c r="AH164" i="27"/>
  <c r="AN3016" i="27"/>
  <c r="AO3016" i="27" s="1"/>
  <c r="AH670" i="27"/>
  <c r="AH934" i="27"/>
  <c r="AN40" i="27"/>
  <c r="AO40" i="27" s="1"/>
  <c r="AH1373" i="27"/>
  <c r="AH594" i="27"/>
  <c r="E35" i="30"/>
  <c r="AF35" i="30"/>
  <c r="AH2042" i="27"/>
  <c r="AN2042" i="27"/>
  <c r="AO2042" i="27" s="1"/>
  <c r="D65" i="30"/>
  <c r="E65" i="30"/>
  <c r="AH2942" i="27"/>
  <c r="AN2942" i="27"/>
  <c r="AO2942" i="27" s="1"/>
  <c r="AN1433" i="27"/>
  <c r="AO1433" i="27" s="1"/>
  <c r="AH1433" i="27"/>
  <c r="AN3012" i="27"/>
  <c r="AO3012" i="27" s="1"/>
  <c r="AH3012" i="27"/>
  <c r="AH2918" i="27"/>
  <c r="AN2918" i="27"/>
  <c r="AO2918" i="27" s="1"/>
  <c r="AN2806" i="27"/>
  <c r="AO2806" i="27" s="1"/>
  <c r="AH2806" i="27"/>
  <c r="AH2752" i="27"/>
  <c r="AN2752" i="27"/>
  <c r="AO2752" i="27" s="1"/>
  <c r="AH2720" i="27"/>
  <c r="AN2720" i="27"/>
  <c r="AO2720" i="27" s="1"/>
  <c r="AN2628" i="27"/>
  <c r="AO2628" i="27" s="1"/>
  <c r="AH2628" i="27"/>
  <c r="AH2470" i="27"/>
  <c r="AN2470" i="27"/>
  <c r="AO2470" i="27" s="1"/>
  <c r="AN2416" i="27"/>
  <c r="AO2416" i="27" s="1"/>
  <c r="AH2416" i="27"/>
  <c r="AH1281" i="27"/>
  <c r="AN1281" i="27"/>
  <c r="AO1281" i="27" s="1"/>
  <c r="AN1237" i="27"/>
  <c r="AO1237" i="27" s="1"/>
  <c r="AH1237" i="27"/>
  <c r="AN845" i="27"/>
  <c r="AO845" i="27" s="1"/>
  <c r="AH845" i="27"/>
  <c r="AE72" i="30"/>
  <c r="AF72" i="30"/>
  <c r="AN1775" i="27"/>
  <c r="AO1775" i="27" s="1"/>
  <c r="AH1775" i="27"/>
  <c r="AN3123" i="27"/>
  <c r="AO3123" i="27" s="1"/>
  <c r="AH1890" i="27"/>
  <c r="AN2354" i="27"/>
  <c r="AO2354" i="27" s="1"/>
  <c r="AH1859" i="27"/>
  <c r="AH1683" i="27"/>
  <c r="AE16" i="30"/>
  <c r="AH3220" i="27"/>
  <c r="D53" i="30"/>
  <c r="AN3228" i="27"/>
  <c r="AO3228" i="27" s="1"/>
  <c r="AH1815" i="27"/>
  <c r="AN3171" i="27"/>
  <c r="AO3171" i="27" s="1"/>
  <c r="AH1466" i="27"/>
  <c r="AN3165" i="27"/>
  <c r="AO3165" i="27" s="1"/>
  <c r="AH3165" i="27"/>
  <c r="AN443" i="27"/>
  <c r="AO443" i="27" s="1"/>
  <c r="AN351" i="27"/>
  <c r="AO351" i="27" s="1"/>
  <c r="AH441" i="27"/>
  <c r="AN480" i="27"/>
  <c r="AO480" i="27" s="1"/>
  <c r="AH3259" i="27"/>
  <c r="AN2976" i="27"/>
  <c r="AO2976" i="27" s="1"/>
  <c r="AH1749" i="27"/>
  <c r="AH1767" i="27"/>
  <c r="D179" i="30"/>
  <c r="D42" i="30"/>
  <c r="F60" i="30"/>
  <c r="AN2817" i="27"/>
  <c r="AO2817" i="27" s="1"/>
  <c r="AN3311" i="27"/>
  <c r="AO3311" i="27" s="1"/>
  <c r="AN2336" i="27"/>
  <c r="AO2336" i="27" s="1"/>
  <c r="AN3255" i="27"/>
  <c r="AO3255" i="27" s="1"/>
  <c r="AN2368" i="27"/>
  <c r="AO2368" i="27" s="1"/>
  <c r="AH196" i="27"/>
  <c r="AN1783" i="27"/>
  <c r="AO1783" i="27" s="1"/>
  <c r="AN3073" i="27"/>
  <c r="AO3073" i="27" s="1"/>
  <c r="E15" i="30"/>
  <c r="AN2693" i="27"/>
  <c r="AO2693" i="27" s="1"/>
  <c r="AN244" i="27"/>
  <c r="AO244" i="27" s="1"/>
  <c r="AH1759" i="27"/>
  <c r="AH1438" i="27"/>
  <c r="AN3222" i="27"/>
  <c r="AO3222" i="27" s="1"/>
  <c r="AH3218" i="27"/>
  <c r="AN1625" i="27"/>
  <c r="AO1625" i="27" s="1"/>
  <c r="AH1768" i="27"/>
  <c r="AH1910" i="27"/>
  <c r="AN1287" i="27"/>
  <c r="AO1287" i="27" s="1"/>
  <c r="AN1754" i="27"/>
  <c r="AO1754" i="27" s="1"/>
  <c r="AN225" i="27"/>
  <c r="AO225" i="27" s="1"/>
  <c r="AM1269" i="27"/>
  <c r="AH1269" i="27" s="1"/>
  <c r="AM2082" i="27"/>
  <c r="AH2082" i="27" s="1"/>
  <c r="AM2228" i="27"/>
  <c r="AN2228" i="27" s="1"/>
  <c r="AO2228" i="27" s="1"/>
  <c r="AM2406" i="27"/>
  <c r="AN2406" i="27" s="1"/>
  <c r="AO2406" i="27" s="1"/>
  <c r="AM969" i="27"/>
  <c r="AN969" i="27" s="1"/>
  <c r="AO969" i="27" s="1"/>
  <c r="AM2786" i="27"/>
  <c r="AN2786" i="27" s="1"/>
  <c r="AO2786" i="27" s="1"/>
  <c r="AM2946" i="27"/>
  <c r="AM895" i="27"/>
  <c r="AN895" i="27" s="1"/>
  <c r="AO895" i="27" s="1"/>
  <c r="AM2494" i="27"/>
  <c r="AN2494" i="27" s="1"/>
  <c r="AO2494" i="27" s="1"/>
  <c r="AM2598" i="27"/>
  <c r="AH2598" i="27" s="1"/>
  <c r="AM2772" i="27"/>
  <c r="AN2772" i="27" s="1"/>
  <c r="AO2772" i="27" s="1"/>
  <c r="AM1422" i="27"/>
  <c r="AM1397" i="27"/>
  <c r="AH1397" i="27" s="1"/>
  <c r="AM1521" i="27"/>
  <c r="AM1423" i="27"/>
  <c r="AH1423" i="27" s="1"/>
  <c r="AM3008" i="27"/>
  <c r="AH3008" i="27" s="1"/>
  <c r="AM2963" i="27"/>
  <c r="AH2963" i="27" s="1"/>
  <c r="AM2951" i="27"/>
  <c r="AM2930" i="27"/>
  <c r="AN2930" i="27" s="1"/>
  <c r="AO2930" i="27" s="1"/>
  <c r="AM2924" i="27"/>
  <c r="AN2924" i="27" s="1"/>
  <c r="AO2924" i="27" s="1"/>
  <c r="AM2914" i="27"/>
  <c r="AN2914" i="27" s="1"/>
  <c r="AQ2914" i="27"/>
  <c r="AR2914" i="27" s="1"/>
  <c r="AM2908" i="27"/>
  <c r="AH2908" i="27" s="1"/>
  <c r="AM2880" i="27"/>
  <c r="AN2880" i="27" s="1"/>
  <c r="AO2880" i="27" s="1"/>
  <c r="AM2878" i="27"/>
  <c r="AM2876" i="27"/>
  <c r="AM2868" i="27"/>
  <c r="AH2868" i="27" s="1"/>
  <c r="AM2866" i="27"/>
  <c r="AN2866" i="27" s="1"/>
  <c r="AO2866" i="27" s="1"/>
  <c r="AM2864" i="27"/>
  <c r="AM2830" i="27"/>
  <c r="AM2828" i="27"/>
  <c r="AM2822" i="27"/>
  <c r="AN2822" i="27" s="1"/>
  <c r="AO2822" i="27" s="1"/>
  <c r="AM2814" i="27"/>
  <c r="AN2814" i="27" s="1"/>
  <c r="AO2814" i="27" s="1"/>
  <c r="AM2812" i="27"/>
  <c r="AM2784" i="27"/>
  <c r="AH2784" i="27" s="1"/>
  <c r="AM2778" i="27"/>
  <c r="AH2778" i="27" s="1"/>
  <c r="AM2744" i="27"/>
  <c r="AN2744" i="27" s="1"/>
  <c r="AO2744" i="27" s="1"/>
  <c r="AM2728" i="27"/>
  <c r="AN2728" i="27" s="1"/>
  <c r="AO2728" i="27" s="1"/>
  <c r="AM2716" i="27"/>
  <c r="AM2710" i="27"/>
  <c r="AH2710" i="27" s="1"/>
  <c r="AM2702" i="27"/>
  <c r="AM2696" i="27"/>
  <c r="AH2696" i="27" s="1"/>
  <c r="AM2692" i="27"/>
  <c r="AN2692" i="27" s="1"/>
  <c r="AO2692" i="27" s="1"/>
  <c r="AM2674" i="27"/>
  <c r="AN2674" i="27" s="1"/>
  <c r="AO2674" i="27" s="1"/>
  <c r="AM2670" i="27"/>
  <c r="AN2670" i="27" s="1"/>
  <c r="AO2670" i="27" s="1"/>
  <c r="AM2664" i="27"/>
  <c r="AN2664" i="27" s="1"/>
  <c r="AO2664" i="27" s="1"/>
  <c r="AM2660" i="27"/>
  <c r="AM2656" i="27"/>
  <c r="AN2656" i="27" s="1"/>
  <c r="AO2656" i="27" s="1"/>
  <c r="AM2626" i="27"/>
  <c r="AH2626" i="27" s="1"/>
  <c r="AM2624" i="27"/>
  <c r="AH2624" i="27" s="1"/>
  <c r="AN2622" i="27"/>
  <c r="AO2622" i="27" s="1"/>
  <c r="AH2622" i="27"/>
  <c r="AM2614" i="27"/>
  <c r="AN2614" i="27" s="1"/>
  <c r="AO2614" i="27" s="1"/>
  <c r="AM2606" i="27"/>
  <c r="AN2606" i="27" s="1"/>
  <c r="AO2606" i="27" s="1"/>
  <c r="AM2604" i="27"/>
  <c r="AN2604" i="27" s="1"/>
  <c r="AO2604" i="27" s="1"/>
  <c r="AM2594" i="27"/>
  <c r="AM2586" i="27"/>
  <c r="AN2586" i="27" s="1"/>
  <c r="AO2586" i="27" s="1"/>
  <c r="AM2580" i="27"/>
  <c r="AN2580" i="27" s="1"/>
  <c r="AO2580" i="27" s="1"/>
  <c r="AM2572" i="27"/>
  <c r="AM2570" i="27"/>
  <c r="AN2570" i="27" s="1"/>
  <c r="AO2570" i="27" s="1"/>
  <c r="AM2562" i="27"/>
  <c r="AN2562" i="27" s="1"/>
  <c r="AO2562" i="27" s="1"/>
  <c r="AM2546" i="27"/>
  <c r="AH2546" i="27" s="1"/>
  <c r="AM2544" i="27"/>
  <c r="AH2544" i="27" s="1"/>
  <c r="AM2532" i="27"/>
  <c r="AH2532" i="27" s="1"/>
  <c r="AM2530" i="27"/>
  <c r="AN2530" i="27" s="1"/>
  <c r="AO2530" i="27" s="1"/>
  <c r="AM2518" i="27"/>
  <c r="AH2518" i="27" s="1"/>
  <c r="AM2502" i="27"/>
  <c r="AH2502" i="27" s="1"/>
  <c r="AM2496" i="27"/>
  <c r="AH2496" i="27" s="1"/>
  <c r="AM2464" i="27"/>
  <c r="AH2464" i="27" s="1"/>
  <c r="AM2454" i="27"/>
  <c r="AN2454" i="27" s="1"/>
  <c r="AO2454" i="27" s="1"/>
  <c r="AM2444" i="27"/>
  <c r="AH2444" i="27" s="1"/>
  <c r="AM2442" i="27"/>
  <c r="AH2442" i="27" s="1"/>
  <c r="AM2440" i="27"/>
  <c r="AM2392" i="27"/>
  <c r="AN2392" i="27" s="1"/>
  <c r="AO2392" i="27" s="1"/>
  <c r="AM2299" i="27"/>
  <c r="AH2299" i="27" s="1"/>
  <c r="AM2276" i="27"/>
  <c r="AN2276" i="27" s="1"/>
  <c r="AO2276" i="27" s="1"/>
  <c r="AM2274" i="27"/>
  <c r="AH2274" i="27" s="1"/>
  <c r="AH2266" i="27"/>
  <c r="AN2266" i="27"/>
  <c r="AO2266" i="27" s="1"/>
  <c r="AM2242" i="27"/>
  <c r="AM2202" i="27"/>
  <c r="AN2202" i="27" s="1"/>
  <c r="AO2202" i="27" s="1"/>
  <c r="AM2200" i="27"/>
  <c r="AH2200" i="27" s="1"/>
  <c r="AM2194" i="27"/>
  <c r="AM2170" i="27"/>
  <c r="AN2170" i="27" s="1"/>
  <c r="AO2170" i="27" s="1"/>
  <c r="AM2162" i="27"/>
  <c r="AH2162" i="27" s="1"/>
  <c r="AM2138" i="27"/>
  <c r="AN2138" i="27" s="1"/>
  <c r="AO2138" i="27" s="1"/>
  <c r="AM2136" i="27"/>
  <c r="AH2136" i="27" s="1"/>
  <c r="AM2126" i="27"/>
  <c r="AN2126" i="27" s="1"/>
  <c r="AO2126" i="27" s="1"/>
  <c r="AM2106" i="27"/>
  <c r="AH2106" i="27" s="1"/>
  <c r="AM2092" i="27"/>
  <c r="AH2092" i="27" s="1"/>
  <c r="AM2084" i="27"/>
  <c r="AN2084" i="27" s="1"/>
  <c r="AO2084" i="27" s="1"/>
  <c r="AM2074" i="27"/>
  <c r="AN2074" i="27" s="1"/>
  <c r="AO2074" i="27" s="1"/>
  <c r="AM1967" i="27"/>
  <c r="AH1967" i="27" s="1"/>
  <c r="AM1949" i="27"/>
  <c r="AN1949" i="27" s="1"/>
  <c r="AO1949" i="27" s="1"/>
  <c r="AM1947" i="27"/>
  <c r="AH1947" i="27" s="1"/>
  <c r="AM1941" i="27"/>
  <c r="AN1941" i="27" s="1"/>
  <c r="AO1941" i="27" s="1"/>
  <c r="AM1919" i="27"/>
  <c r="AN1919" i="27" s="1"/>
  <c r="AO1919" i="27" s="1"/>
  <c r="AM1907" i="27"/>
  <c r="AN1907" i="27" s="1"/>
  <c r="AO1907" i="27" s="1"/>
  <c r="AM1901" i="27"/>
  <c r="AN1901" i="27" s="1"/>
  <c r="AO1901" i="27" s="1"/>
  <c r="AM1887" i="27"/>
  <c r="AH1887" i="27" s="1"/>
  <c r="AM1257" i="27"/>
  <c r="AH1257" i="27" s="1"/>
  <c r="AM1251" i="27"/>
  <c r="AH1251" i="27" s="1"/>
  <c r="AM1239" i="27"/>
  <c r="AH1239" i="27" s="1"/>
  <c r="AM1233" i="27"/>
  <c r="AH1233" i="27" s="1"/>
  <c r="AM1221" i="27"/>
  <c r="AH1221" i="27" s="1"/>
  <c r="AM1208" i="27"/>
  <c r="AH1208" i="27" s="1"/>
  <c r="AM1206" i="27"/>
  <c r="AN1206" i="27" s="1"/>
  <c r="AO1206" i="27" s="1"/>
  <c r="AM1168" i="27"/>
  <c r="AH1168" i="27" s="1"/>
  <c r="AM1156" i="27"/>
  <c r="AH1156" i="27" s="1"/>
  <c r="AN1124" i="27"/>
  <c r="AO1124" i="27" s="1"/>
  <c r="AH1124" i="27"/>
  <c r="AM1109" i="27"/>
  <c r="AM1105" i="27"/>
  <c r="AH1105" i="27" s="1"/>
  <c r="AM1095" i="27"/>
  <c r="AH1095" i="27" s="1"/>
  <c r="AM1083" i="27"/>
  <c r="AH1083" i="27" s="1"/>
  <c r="AM1063" i="27"/>
  <c r="AH1063" i="27" s="1"/>
  <c r="AM1055" i="27"/>
  <c r="AN1055" i="27" s="1"/>
  <c r="AO1055" i="27" s="1"/>
  <c r="AN1053" i="27"/>
  <c r="AO1053" i="27" s="1"/>
  <c r="AH1053" i="27"/>
  <c r="AM995" i="27"/>
  <c r="AH995" i="27" s="1"/>
  <c r="AM993" i="27"/>
  <c r="AH993" i="27" s="1"/>
  <c r="AM989" i="27"/>
  <c r="AN989" i="27" s="1"/>
  <c r="AO989" i="27" s="1"/>
  <c r="AM987" i="27"/>
  <c r="AH987" i="27" s="1"/>
  <c r="AM971" i="27"/>
  <c r="AN971" i="27" s="1"/>
  <c r="AO971" i="27" s="1"/>
  <c r="AM965" i="27"/>
  <c r="AH965" i="27" s="1"/>
  <c r="AM957" i="27"/>
  <c r="AM953" i="27"/>
  <c r="AH953" i="27" s="1"/>
  <c r="AM949" i="27"/>
  <c r="AN949" i="27" s="1"/>
  <c r="AO949" i="27" s="1"/>
  <c r="AM947" i="27"/>
  <c r="AN947" i="27" s="1"/>
  <c r="AO947" i="27" s="1"/>
  <c r="AM927" i="27"/>
  <c r="AM919" i="27"/>
  <c r="AM903" i="27"/>
  <c r="AN903" i="27" s="1"/>
  <c r="AO903" i="27" s="1"/>
  <c r="AM891" i="27"/>
  <c r="AH891" i="27" s="1"/>
  <c r="AM881" i="27"/>
  <c r="AH881" i="27" s="1"/>
  <c r="AM875" i="27"/>
  <c r="AN869" i="27"/>
  <c r="AO869" i="27" s="1"/>
  <c r="AH869" i="27"/>
  <c r="AM833" i="27"/>
  <c r="AN833" i="27" s="1"/>
  <c r="AO833" i="27" s="1"/>
  <c r="AM831" i="27"/>
  <c r="AH831" i="27" s="1"/>
  <c r="AM815" i="27"/>
  <c r="AM811" i="27"/>
  <c r="AN811" i="27" s="1"/>
  <c r="AO811" i="27" s="1"/>
  <c r="AM809" i="27"/>
  <c r="AN809" i="27" s="1"/>
  <c r="AO809" i="27" s="1"/>
  <c r="AM805" i="27"/>
  <c r="AH805" i="27" s="1"/>
  <c r="AM799" i="27"/>
  <c r="AH799" i="27" s="1"/>
  <c r="AM789" i="27"/>
  <c r="AN789" i="27" s="1"/>
  <c r="AO789" i="27" s="1"/>
  <c r="AM785" i="27"/>
  <c r="AN785" i="27" s="1"/>
  <c r="AO785" i="27" s="1"/>
  <c r="AM783" i="27"/>
  <c r="AH783" i="27" s="1"/>
  <c r="AM773" i="27"/>
  <c r="AN773" i="27" s="1"/>
  <c r="AO773" i="27" s="1"/>
  <c r="AM763" i="27"/>
  <c r="AH763" i="27" s="1"/>
  <c r="AM749" i="27"/>
  <c r="AH749" i="27" s="1"/>
  <c r="AM737" i="27"/>
  <c r="AH737" i="27" s="1"/>
  <c r="AM731" i="27"/>
  <c r="AM703" i="27"/>
  <c r="AN703" i="27" s="1"/>
  <c r="AO703" i="27" s="1"/>
  <c r="AM685" i="27"/>
  <c r="AN685" i="27" s="1"/>
  <c r="AO685" i="27" s="1"/>
  <c r="AM639" i="27"/>
  <c r="AH639" i="27" s="1"/>
  <c r="AM625" i="27"/>
  <c r="AM607" i="27"/>
  <c r="AN607" i="27" s="1"/>
  <c r="AO607" i="27" s="1"/>
  <c r="AM605" i="27"/>
  <c r="AH605" i="27" s="1"/>
  <c r="AM589" i="27"/>
  <c r="AN589" i="27" s="1"/>
  <c r="AO589" i="27" s="1"/>
  <c r="AM587" i="27"/>
  <c r="AM577" i="27"/>
  <c r="AH577" i="27" s="1"/>
  <c r="AM571" i="27"/>
  <c r="AN571" i="27" s="1"/>
  <c r="AO571" i="27" s="1"/>
  <c r="AM567" i="27"/>
  <c r="AH567" i="27" s="1"/>
  <c r="AM549" i="27"/>
  <c r="AM533" i="27"/>
  <c r="AN533" i="27" s="1"/>
  <c r="AO533" i="27" s="1"/>
  <c r="AN519" i="27"/>
  <c r="AO519" i="27" s="1"/>
  <c r="AH519" i="27"/>
  <c r="AM489" i="27"/>
  <c r="AM483" i="27"/>
  <c r="AN483" i="27" s="1"/>
  <c r="AO483" i="27" s="1"/>
  <c r="AM481" i="27"/>
  <c r="AH481" i="27" s="1"/>
  <c r="AM477" i="27"/>
  <c r="AH477" i="27" s="1"/>
  <c r="AN473" i="27"/>
  <c r="AO473" i="27" s="1"/>
  <c r="AH473" i="27"/>
  <c r="AM469" i="27"/>
  <c r="AM453" i="27"/>
  <c r="AM439" i="27"/>
  <c r="AN439" i="27" s="1"/>
  <c r="AO439" i="27" s="1"/>
  <c r="AM419" i="27"/>
  <c r="AH419" i="27" s="1"/>
  <c r="AM403" i="27"/>
  <c r="AN403" i="27" s="1"/>
  <c r="AO403" i="27" s="1"/>
  <c r="AM393" i="27"/>
  <c r="AH393" i="27" s="1"/>
  <c r="AM383" i="27"/>
  <c r="AN383" i="27" s="1"/>
  <c r="AO383" i="27" s="1"/>
  <c r="AM377" i="27"/>
  <c r="AN377" i="27" s="1"/>
  <c r="AO377" i="27" s="1"/>
  <c r="AM371" i="27"/>
  <c r="AH371" i="27" s="1"/>
  <c r="AM353" i="27"/>
  <c r="AN353" i="27" s="1"/>
  <c r="AO353" i="27" s="1"/>
  <c r="AM341" i="27"/>
  <c r="AH341" i="27" s="1"/>
  <c r="AM335" i="27"/>
  <c r="AM325" i="27"/>
  <c r="AH325" i="27" s="1"/>
  <c r="AM323" i="27"/>
  <c r="AN323" i="27" s="1"/>
  <c r="AO323" i="27" s="1"/>
  <c r="AM319" i="27"/>
  <c r="AH319" i="27" s="1"/>
  <c r="AM315" i="27"/>
  <c r="AN315" i="27" s="1"/>
  <c r="AO315" i="27" s="1"/>
  <c r="AM305" i="27"/>
  <c r="AN305" i="27" s="1"/>
  <c r="AO305" i="27" s="1"/>
  <c r="AM2985" i="27"/>
  <c r="AM2975" i="27"/>
  <c r="AH2975" i="27" s="1"/>
  <c r="AM1469" i="27"/>
  <c r="AH1469" i="27" s="1"/>
  <c r="A40" i="30"/>
  <c r="O40" i="30" s="1"/>
  <c r="AM1439" i="27"/>
  <c r="AM2928" i="27"/>
  <c r="AH2928" i="27" s="1"/>
  <c r="AM2315" i="27"/>
  <c r="AN2315" i="27" s="1"/>
  <c r="AO2315" i="27" s="1"/>
  <c r="AM1334" i="27"/>
  <c r="AH1334" i="27" s="1"/>
  <c r="AM1331" i="27"/>
  <c r="AH1331" i="27" s="1"/>
  <c r="AM1324" i="27"/>
  <c r="AH1324" i="27" s="1"/>
  <c r="AM1339" i="27"/>
  <c r="AH1339" i="27" s="1"/>
  <c r="AM1318" i="27"/>
  <c r="AH1318" i="27" s="1"/>
  <c r="AM1309" i="27"/>
  <c r="AN1309" i="27" s="1"/>
  <c r="AO1309" i="27" s="1"/>
  <c r="AM1417" i="27"/>
  <c r="AN1417" i="27" s="1"/>
  <c r="AO1417" i="27" s="1"/>
  <c r="AN2986" i="27"/>
  <c r="AO2986" i="27" s="1"/>
  <c r="AH2986" i="27"/>
  <c r="AN1429" i="27"/>
  <c r="AO1429" i="27" s="1"/>
  <c r="AH1429" i="27"/>
  <c r="F85" i="30"/>
  <c r="AN264" i="27"/>
  <c r="AO264" i="27" s="1"/>
  <c r="AN3169" i="27"/>
  <c r="AO3169" i="27" s="1"/>
  <c r="AH1806" i="27"/>
  <c r="F87" i="30"/>
  <c r="AH2367" i="27"/>
  <c r="AH251" i="27"/>
  <c r="E43" i="30"/>
  <c r="AH1800" i="27"/>
  <c r="AN3127" i="27"/>
  <c r="AO3127" i="27" s="1"/>
  <c r="AH3317" i="27"/>
  <c r="AH3313" i="27"/>
  <c r="AN3262" i="27"/>
  <c r="AO3262" i="27" s="1"/>
  <c r="AH1583" i="27"/>
  <c r="AN2057" i="27"/>
  <c r="AO2057" i="27" s="1"/>
  <c r="AN2958" i="27"/>
  <c r="AO2958" i="27" s="1"/>
  <c r="AN3274" i="27"/>
  <c r="AO3274" i="27" s="1"/>
  <c r="AH2874" i="27"/>
  <c r="AH3077" i="27"/>
  <c r="AN229" i="27"/>
  <c r="AO229" i="27" s="1"/>
  <c r="AN1723" i="27"/>
  <c r="AO1723" i="27" s="1"/>
  <c r="AN2061" i="27"/>
  <c r="AO2061" i="27" s="1"/>
  <c r="AH237" i="27"/>
  <c r="AN3244" i="27"/>
  <c r="AO3244" i="27" s="1"/>
  <c r="AN1828" i="27"/>
  <c r="AO1828" i="27" s="1"/>
  <c r="AH3084" i="27"/>
  <c r="AH1711" i="27"/>
  <c r="AH2750" i="27"/>
  <c r="AH3178" i="27"/>
  <c r="AH1285" i="27"/>
  <c r="AH1431" i="27"/>
  <c r="AN2548" i="27"/>
  <c r="AO2548" i="27" s="1"/>
  <c r="AH2860" i="27"/>
  <c r="AN2826" i="27"/>
  <c r="AO2826" i="27" s="1"/>
  <c r="AH2844" i="27"/>
  <c r="AN2941" i="27"/>
  <c r="AO2941" i="27" s="1"/>
  <c r="AN2560" i="27"/>
  <c r="AO2560" i="27" s="1"/>
  <c r="AH2430" i="27"/>
  <c r="AM2718" i="27"/>
  <c r="AN2718" i="27" s="1"/>
  <c r="AO2718" i="27" s="1"/>
  <c r="AM2602" i="27"/>
  <c r="AN2602" i="27" s="1"/>
  <c r="AO2602" i="27" s="1"/>
  <c r="AM767" i="27"/>
  <c r="AN767" i="27" s="1"/>
  <c r="AO767" i="27" s="1"/>
  <c r="AM1943" i="27"/>
  <c r="AH1943" i="27" s="1"/>
  <c r="AM2438" i="27"/>
  <c r="AH2438" i="27" s="1"/>
  <c r="AM1448" i="27"/>
  <c r="AH1448" i="27" s="1"/>
  <c r="AM451" i="27"/>
  <c r="AN451" i="27" s="1"/>
  <c r="AO451" i="27" s="1"/>
  <c r="AM2588" i="27"/>
  <c r="AN2588" i="27" s="1"/>
  <c r="AO2588" i="27" s="1"/>
  <c r="AM2428" i="27"/>
  <c r="AN2428" i="27" s="1"/>
  <c r="AO2428" i="27" s="1"/>
  <c r="AM2128" i="27"/>
  <c r="AN2128" i="27" s="1"/>
  <c r="AO2128" i="27" s="1"/>
  <c r="AM2492" i="27"/>
  <c r="AH3005" i="27"/>
  <c r="AN3005" i="27"/>
  <c r="AO3005" i="27" s="1"/>
  <c r="AN2900" i="27"/>
  <c r="AO2900" i="27" s="1"/>
  <c r="AH2900" i="27"/>
  <c r="AH2210" i="27"/>
  <c r="AN2210" i="27"/>
  <c r="AO2210" i="27" s="1"/>
  <c r="AH1969" i="27"/>
  <c r="AN1969" i="27"/>
  <c r="AO1969" i="27" s="1"/>
  <c r="AN1215" i="27"/>
  <c r="AO1215" i="27" s="1"/>
  <c r="AH1215" i="27"/>
  <c r="AH1051" i="27"/>
  <c r="AN1051" i="27"/>
  <c r="AO1051" i="27" s="1"/>
  <c r="AH1209" i="27"/>
  <c r="AN1209" i="27"/>
  <c r="AO1209" i="27" s="1"/>
  <c r="AN1712" i="27"/>
  <c r="AO1712" i="27" s="1"/>
  <c r="AH1712" i="27"/>
  <c r="AM2983" i="27"/>
  <c r="AH2983" i="27" s="1"/>
  <c r="AM2967" i="27"/>
  <c r="AM2904" i="27"/>
  <c r="AM2884" i="27"/>
  <c r="AH2884" i="27" s="1"/>
  <c r="AM2810" i="27"/>
  <c r="AH2810" i="27" s="1"/>
  <c r="AM2808" i="27"/>
  <c r="AM2746" i="27"/>
  <c r="AH2746" i="27" s="1"/>
  <c r="AM2724" i="27"/>
  <c r="AN2724" i="27" s="1"/>
  <c r="AO2724" i="27" s="1"/>
  <c r="AM2686" i="27"/>
  <c r="AN2686" i="27" s="1"/>
  <c r="AO2686" i="27" s="1"/>
  <c r="AM2630" i="27"/>
  <c r="AM2564" i="27"/>
  <c r="AH2536" i="27"/>
  <c r="AN2536" i="27"/>
  <c r="AO2536" i="27" s="1"/>
  <c r="AM2478" i="27"/>
  <c r="AN2478" i="27" s="1"/>
  <c r="AO2478" i="27" s="1"/>
  <c r="AH2476" i="27"/>
  <c r="AN2476" i="27"/>
  <c r="AO2476" i="27" s="1"/>
  <c r="AH2474" i="27"/>
  <c r="AN2474" i="27"/>
  <c r="AO2474" i="27" s="1"/>
  <c r="AN2468" i="27"/>
  <c r="AO2468" i="27" s="1"/>
  <c r="AH2468" i="27"/>
  <c r="AH2460" i="27"/>
  <c r="AN2460" i="27"/>
  <c r="AO2460" i="27" s="1"/>
  <c r="AM2434" i="27"/>
  <c r="AN2434" i="27" s="1"/>
  <c r="AO2434" i="27" s="1"/>
  <c r="AM2432" i="27"/>
  <c r="AH2432" i="27" s="1"/>
  <c r="AM2402" i="27"/>
  <c r="AH2402" i="27" s="1"/>
  <c r="AM2388" i="27"/>
  <c r="AN2388" i="27" s="1"/>
  <c r="AO2388" i="27" s="1"/>
  <c r="AN2378" i="27"/>
  <c r="AO2378" i="27" s="1"/>
  <c r="AH2378" i="27"/>
  <c r="AM2293" i="27"/>
  <c r="AH2290" i="27"/>
  <c r="AN2290" i="27"/>
  <c r="AO2290" i="27" s="1"/>
  <c r="AH2262" i="27"/>
  <c r="AN2262" i="27"/>
  <c r="AO2262" i="27" s="1"/>
  <c r="AH2240" i="27"/>
  <c r="AN2240" i="27"/>
  <c r="AO2240" i="27" s="1"/>
  <c r="AH2208" i="27"/>
  <c r="AN2208" i="27"/>
  <c r="AO2208" i="27" s="1"/>
  <c r="AM2190" i="27"/>
  <c r="AM2188" i="27"/>
  <c r="AN2188" i="27" s="1"/>
  <c r="AO2188" i="27" s="1"/>
  <c r="AM2168" i="27"/>
  <c r="AH2168" i="27" s="1"/>
  <c r="AM2146" i="27"/>
  <c r="AH2146" i="27" s="1"/>
  <c r="AM2122" i="27"/>
  <c r="AH2122" i="27" s="1"/>
  <c r="AM2112" i="27"/>
  <c r="AH2112" i="27" s="1"/>
  <c r="AM2108" i="27"/>
  <c r="AN2108" i="27" s="1"/>
  <c r="AO2108" i="27" s="1"/>
  <c r="AM2104" i="27"/>
  <c r="AM2094" i="27"/>
  <c r="AH2094" i="27" s="1"/>
  <c r="AM2068" i="27"/>
  <c r="AN2068" i="27" s="1"/>
  <c r="AO2068" i="27" s="1"/>
  <c r="AM2018" i="27"/>
  <c r="AH2018" i="27" s="1"/>
  <c r="AM2001" i="27"/>
  <c r="AH2001" i="27" s="1"/>
  <c r="AM1903" i="27"/>
  <c r="AN1903" i="27" s="1"/>
  <c r="AO1903" i="27" s="1"/>
  <c r="AN1899" i="27"/>
  <c r="AO1899" i="27" s="1"/>
  <c r="AH1899" i="27"/>
  <c r="AM1881" i="27"/>
  <c r="AM1279" i="27"/>
  <c r="AN1279" i="27" s="1"/>
  <c r="AO1279" i="27" s="1"/>
  <c r="AM1249" i="27"/>
  <c r="AN1249" i="27" s="1"/>
  <c r="AO1249" i="27" s="1"/>
  <c r="AM1166" i="27"/>
  <c r="AN1166" i="27" s="1"/>
  <c r="AO1166" i="27" s="1"/>
  <c r="AM1160" i="27"/>
  <c r="AN1160" i="27" s="1"/>
  <c r="AO1160" i="27" s="1"/>
  <c r="AH1107" i="27"/>
  <c r="AN1107" i="27"/>
  <c r="AO1107" i="27" s="1"/>
  <c r="AM1085" i="27"/>
  <c r="AH1085" i="27" s="1"/>
  <c r="AN1075" i="27"/>
  <c r="AO1075" i="27" s="1"/>
  <c r="AH1075" i="27"/>
  <c r="AM1035" i="27"/>
  <c r="AM1027" i="27"/>
  <c r="AH1027" i="27" s="1"/>
  <c r="AM1025" i="27"/>
  <c r="AH1025" i="27" s="1"/>
  <c r="AM985" i="27"/>
  <c r="AH985" i="27" s="1"/>
  <c r="AM951" i="27"/>
  <c r="AN951" i="27" s="1"/>
  <c r="AO951" i="27" s="1"/>
  <c r="AM917" i="27"/>
  <c r="AH917" i="27" s="1"/>
  <c r="AH889" i="27"/>
  <c r="AN889" i="27"/>
  <c r="AO889" i="27" s="1"/>
  <c r="AM837" i="27"/>
  <c r="AH837" i="27" s="1"/>
  <c r="AM817" i="27"/>
  <c r="AN817" i="27" s="1"/>
  <c r="AO817" i="27" s="1"/>
  <c r="AN777" i="27"/>
  <c r="AO777" i="27" s="1"/>
  <c r="AH777" i="27"/>
  <c r="AM765" i="27"/>
  <c r="AH765" i="27" s="1"/>
  <c r="AM757" i="27"/>
  <c r="AH757" i="27" s="1"/>
  <c r="AM753" i="27"/>
  <c r="AN753" i="27" s="1"/>
  <c r="AO753" i="27" s="1"/>
  <c r="AM723" i="27"/>
  <c r="AN723" i="27" s="1"/>
  <c r="AO723" i="27" s="1"/>
  <c r="AM713" i="27"/>
  <c r="AN713" i="27" s="1"/>
  <c r="AO713" i="27" s="1"/>
  <c r="AM655" i="27"/>
  <c r="AH655" i="27" s="1"/>
  <c r="AM653" i="27"/>
  <c r="AN653" i="27" s="1"/>
  <c r="AO653" i="27" s="1"/>
  <c r="AM637" i="27"/>
  <c r="AN637" i="27" s="1"/>
  <c r="AO637" i="27" s="1"/>
  <c r="AM613" i="27"/>
  <c r="AH591" i="27"/>
  <c r="AN591" i="27"/>
  <c r="AO591" i="27" s="1"/>
  <c r="AM573" i="27"/>
  <c r="AM561" i="27"/>
  <c r="AN561" i="27" s="1"/>
  <c r="AO561" i="27" s="1"/>
  <c r="AM525" i="27"/>
  <c r="AM517" i="27"/>
  <c r="AN517" i="27" s="1"/>
  <c r="AO517" i="27" s="1"/>
  <c r="AM503" i="27"/>
  <c r="AM499" i="27"/>
  <c r="AH499" i="27" s="1"/>
  <c r="AN479" i="27"/>
  <c r="AO479" i="27" s="1"/>
  <c r="AH479" i="27"/>
  <c r="AM467" i="27"/>
  <c r="AN467" i="27" s="1"/>
  <c r="AO467" i="27" s="1"/>
  <c r="AM445" i="27"/>
  <c r="AM417" i="27"/>
  <c r="AM409" i="27"/>
  <c r="AH409" i="27" s="1"/>
  <c r="AM363" i="27"/>
  <c r="AN363" i="27" s="1"/>
  <c r="AO363" i="27" s="1"/>
  <c r="AM2998" i="27"/>
  <c r="AN2998" i="27" s="1"/>
  <c r="AO2998" i="27" s="1"/>
  <c r="AM2984" i="27"/>
  <c r="AN2984" i="27" s="1"/>
  <c r="AO2984" i="27" s="1"/>
  <c r="AM1387" i="27"/>
  <c r="AH1387" i="27" s="1"/>
  <c r="B16" i="37"/>
  <c r="L16" i="37" s="1"/>
  <c r="K16" i="37" s="1"/>
  <c r="B24" i="37"/>
  <c r="N24" i="37" s="1"/>
  <c r="M24" i="37" s="1"/>
  <c r="B26" i="37"/>
  <c r="P26" i="37" s="1"/>
  <c r="B28" i="37"/>
  <c r="D28" i="37" s="1"/>
  <c r="A208" i="30"/>
  <c r="K208" i="30" s="1"/>
  <c r="B25" i="37"/>
  <c r="W25" i="37" s="1"/>
  <c r="A194" i="30"/>
  <c r="M194" i="30" s="1"/>
  <c r="B30" i="37"/>
  <c r="N30" i="37" s="1"/>
  <c r="M30" i="37" s="1"/>
  <c r="B29" i="37"/>
  <c r="Q29" i="37" s="1"/>
  <c r="U29" i="37" s="1"/>
  <c r="AM1409" i="27"/>
  <c r="AM1306" i="27"/>
  <c r="AN1306" i="27" s="1"/>
  <c r="AO1306" i="27" s="1"/>
  <c r="AM1301" i="27"/>
  <c r="AM1408" i="27"/>
  <c r="AN1408" i="27" s="1"/>
  <c r="AO1408" i="27" s="1"/>
  <c r="AN1430" i="27"/>
  <c r="AO1430" i="27" s="1"/>
  <c r="AH1430" i="27"/>
  <c r="AH3028" i="27"/>
  <c r="AN3028" i="27"/>
  <c r="AO3028" i="27" s="1"/>
  <c r="AH1674" i="27"/>
  <c r="AN1674" i="27"/>
  <c r="AO1674" i="27" s="1"/>
  <c r="AH3172" i="27"/>
  <c r="AN876" i="27"/>
  <c r="AO876" i="27" s="1"/>
  <c r="AN1310" i="27"/>
  <c r="AO1310" i="27" s="1"/>
  <c r="AN1860" i="27"/>
  <c r="AO1860" i="27" s="1"/>
  <c r="G16" i="30"/>
  <c r="D55" i="30"/>
  <c r="G70" i="30"/>
  <c r="AN126" i="27"/>
  <c r="AO126" i="27" s="1"/>
  <c r="AH3000" i="27"/>
  <c r="AH1283" i="27"/>
  <c r="AH1263" i="27"/>
  <c r="A34" i="30"/>
  <c r="P34" i="30" s="1"/>
  <c r="A215" i="30"/>
  <c r="P215" i="30" s="1"/>
  <c r="AH1611" i="27"/>
  <c r="A84" i="30"/>
  <c r="K84" i="30" s="1"/>
  <c r="A21" i="30"/>
  <c r="L21" i="30" s="1"/>
  <c r="AH2840" i="27"/>
  <c r="AN2372" i="27"/>
  <c r="AO2372" i="27" s="1"/>
  <c r="AN911" i="27"/>
  <c r="AO911" i="27" s="1"/>
  <c r="AH2520" i="27"/>
  <c r="AM961" i="27"/>
  <c r="AN961" i="27" s="1"/>
  <c r="AO961" i="27" s="1"/>
  <c r="AN1041" i="27"/>
  <c r="AO1041" i="27" s="1"/>
  <c r="AM2070" i="27"/>
  <c r="AN2070" i="27" s="1"/>
  <c r="AO2070" i="27" s="1"/>
  <c r="A209" i="30"/>
  <c r="D209" i="30" s="1"/>
  <c r="B27" i="37"/>
  <c r="W27" i="37" s="1"/>
  <c r="B15" i="37"/>
  <c r="D15" i="37" s="1"/>
  <c r="AM2949" i="27"/>
  <c r="AH2949" i="27" s="1"/>
  <c r="AH1435" i="27"/>
  <c r="AN1905" i="27"/>
  <c r="AO1905" i="27" s="1"/>
  <c r="AH1262" i="27"/>
  <c r="AH2309" i="27"/>
  <c r="AH1255" i="27"/>
  <c r="AN2552" i="27"/>
  <c r="AO2552" i="27" s="1"/>
  <c r="AN1456" i="27"/>
  <c r="AO1456" i="27" s="1"/>
  <c r="AN1873" i="27"/>
  <c r="AO1873" i="27" s="1"/>
  <c r="AH381" i="27"/>
  <c r="AM1993" i="27"/>
  <c r="AH1993" i="27" s="1"/>
  <c r="AM2500" i="27"/>
  <c r="AH2500" i="27" s="1"/>
  <c r="AH2017" i="27"/>
  <c r="AM2450" i="27"/>
  <c r="AN2450" i="27" s="1"/>
  <c r="AO2450" i="27" s="1"/>
  <c r="AH425" i="27"/>
  <c r="AN146" i="27"/>
  <c r="AO146" i="27" s="1"/>
  <c r="AH146" i="27"/>
  <c r="AN1818" i="27"/>
  <c r="AO1818" i="27" s="1"/>
  <c r="AH1818" i="27"/>
  <c r="AH3164" i="27"/>
  <c r="AN3164" i="27"/>
  <c r="AO3164" i="27" s="1"/>
  <c r="AH150" i="27"/>
  <c r="AN150" i="27"/>
  <c r="AO150" i="27" s="1"/>
  <c r="AN107" i="27"/>
  <c r="AO107" i="27" s="1"/>
  <c r="AH107" i="27"/>
  <c r="AH2078" i="27"/>
  <c r="AN2078" i="27"/>
  <c r="AO2078" i="27" s="1"/>
  <c r="AH2282" i="27"/>
  <c r="AN2282" i="27"/>
  <c r="AO2282" i="27" s="1"/>
  <c r="AH983" i="27"/>
  <c r="AN983" i="27"/>
  <c r="AO983" i="27" s="1"/>
  <c r="AN2770" i="27"/>
  <c r="AO2770" i="27" s="1"/>
  <c r="AH2770" i="27"/>
  <c r="AH2514" i="27"/>
  <c r="AN2514" i="27"/>
  <c r="AO2514" i="27" s="1"/>
  <c r="AN847" i="27"/>
  <c r="AO847" i="27" s="1"/>
  <c r="AH847" i="27"/>
  <c r="AH2889" i="27"/>
  <c r="AN2889" i="27"/>
  <c r="AO2889" i="27" s="1"/>
  <c r="AH1111" i="27"/>
  <c r="AN1111" i="27"/>
  <c r="AO1111" i="27" s="1"/>
  <c r="AN1304" i="27"/>
  <c r="AO1304" i="27" s="1"/>
  <c r="AH1304" i="27"/>
  <c r="AH1927" i="27"/>
  <c r="AN1927" i="27"/>
  <c r="AO1927" i="27" s="1"/>
  <c r="AH1991" i="27"/>
  <c r="AN1991" i="27"/>
  <c r="AO1991" i="27" s="1"/>
  <c r="AH1193" i="27"/>
  <c r="AN1193" i="27"/>
  <c r="AO1193" i="27" s="1"/>
  <c r="AN1328" i="27"/>
  <c r="AO1328" i="27" s="1"/>
  <c r="AH1328" i="27"/>
  <c r="AN1866" i="27"/>
  <c r="AO1866" i="27" s="1"/>
  <c r="AH1866" i="27"/>
  <c r="AN2102" i="27"/>
  <c r="AO2102" i="27" s="1"/>
  <c r="AH2102" i="27"/>
  <c r="AN695" i="27"/>
  <c r="AO695" i="27" s="1"/>
  <c r="AH695" i="27"/>
  <c r="AH3115" i="27"/>
  <c r="AN3115" i="27"/>
  <c r="AO3115" i="27" s="1"/>
  <c r="AH2684" i="27"/>
  <c r="AN2684" i="27"/>
  <c r="AO2684" i="27" s="1"/>
  <c r="AN915" i="27"/>
  <c r="AO915" i="27" s="1"/>
  <c r="AH915" i="27"/>
  <c r="AH1087" i="27"/>
  <c r="AN1087" i="27"/>
  <c r="AO1087" i="27" s="1"/>
  <c r="AN1302" i="27"/>
  <c r="AO1302" i="27" s="1"/>
  <c r="AH1302" i="27"/>
  <c r="AN2939" i="27"/>
  <c r="AO2939" i="27" s="1"/>
  <c r="AH2939" i="27"/>
  <c r="AN2657" i="27"/>
  <c r="AO2657" i="27" s="1"/>
  <c r="AH2657" i="27"/>
  <c r="AH2569" i="27"/>
  <c r="AN2569" i="27"/>
  <c r="AO2569" i="27" s="1"/>
  <c r="AN1117" i="27"/>
  <c r="AO1117" i="27" s="1"/>
  <c r="AH1117" i="27"/>
  <c r="AN2101" i="27"/>
  <c r="AO2101" i="27" s="1"/>
  <c r="AN2854" i="27"/>
  <c r="AO2854" i="27" s="1"/>
  <c r="AH1059" i="27"/>
  <c r="AH175" i="27"/>
  <c r="AH2631" i="27"/>
  <c r="AN935" i="27"/>
  <c r="AO935" i="27" s="1"/>
  <c r="AH1106" i="27"/>
  <c r="AN392" i="27"/>
  <c r="AO392" i="27" s="1"/>
  <c r="AN60" i="27"/>
  <c r="AO60" i="27" s="1"/>
  <c r="E32" i="30"/>
  <c r="AE60" i="30"/>
  <c r="AH28" i="27"/>
  <c r="AN2855" i="27"/>
  <c r="AO2855" i="27" s="1"/>
  <c r="AN1896" i="27"/>
  <c r="AO1896" i="27" s="1"/>
  <c r="AH801" i="27"/>
  <c r="AH1634" i="27"/>
  <c r="G31" i="30"/>
  <c r="AF57" i="30"/>
  <c r="F15" i="30"/>
  <c r="AH3286" i="27"/>
  <c r="AH1333" i="27"/>
  <c r="F72" i="30"/>
  <c r="AF28" i="30"/>
  <c r="AE28" i="30"/>
  <c r="AE23" i="30"/>
  <c r="D76" i="30"/>
  <c r="AE76" i="30"/>
  <c r="E49" i="30"/>
  <c r="AF96" i="30"/>
  <c r="AN3167" i="27"/>
  <c r="AO3167" i="27" s="1"/>
  <c r="AH3167" i="27"/>
  <c r="AN3095" i="27"/>
  <c r="AO3095" i="27" s="1"/>
  <c r="AH1959" i="27"/>
  <c r="AN2738" i="27"/>
  <c r="AO2738" i="27" s="1"/>
  <c r="AH188" i="27"/>
  <c r="AN188" i="27"/>
  <c r="AO188" i="27" s="1"/>
  <c r="AH507" i="27"/>
  <c r="AH975" i="27"/>
  <c r="AN975" i="27"/>
  <c r="AO975" i="27" s="1"/>
  <c r="AH2932" i="27"/>
  <c r="AN2932" i="27"/>
  <c r="AO2932" i="27" s="1"/>
  <c r="AH3194" i="27"/>
  <c r="AN3194" i="27"/>
  <c r="AO3194" i="27" s="1"/>
  <c r="AH31" i="27"/>
  <c r="AN31" i="27"/>
  <c r="AO31" i="27" s="1"/>
  <c r="E52" i="30"/>
  <c r="F52" i="30"/>
  <c r="E73" i="30"/>
  <c r="AE73" i="30"/>
  <c r="AN1066" i="27"/>
  <c r="AO1066" i="27" s="1"/>
  <c r="AH1066" i="27"/>
  <c r="AH1197" i="27"/>
  <c r="AN1197" i="27"/>
  <c r="AO1197" i="27" s="1"/>
  <c r="AH1952" i="27"/>
  <c r="AN1952" i="27"/>
  <c r="AO1952" i="27" s="1"/>
  <c r="AN1561" i="27"/>
  <c r="AO1561" i="27" s="1"/>
  <c r="AH1561" i="27"/>
  <c r="AH141" i="27"/>
  <c r="AN141" i="27"/>
  <c r="AO141" i="27" s="1"/>
  <c r="AH3209" i="27"/>
  <c r="AN3209" i="27"/>
  <c r="AO3209" i="27" s="1"/>
  <c r="AN1256" i="27"/>
  <c r="AO1256" i="27" s="1"/>
  <c r="AH2313" i="27"/>
  <c r="AN271" i="27"/>
  <c r="AO271" i="27" s="1"/>
  <c r="AH20" i="27"/>
  <c r="D51" i="30"/>
  <c r="AF51" i="30"/>
  <c r="AN2800" i="27"/>
  <c r="AO2800" i="27" s="1"/>
  <c r="AH2800" i="27"/>
  <c r="AN535" i="27"/>
  <c r="AO535" i="27" s="1"/>
  <c r="AH535" i="27"/>
  <c r="AH1713" i="27"/>
  <c r="AN1713" i="27"/>
  <c r="AO1713" i="27" s="1"/>
  <c r="AN1135" i="27"/>
  <c r="AO1135" i="27" s="1"/>
  <c r="AH1135" i="27"/>
  <c r="AH1348" i="27"/>
  <c r="AN1348" i="27"/>
  <c r="AO1348" i="27" s="1"/>
  <c r="G75" i="30"/>
  <c r="F75" i="30"/>
  <c r="F59" i="30"/>
  <c r="E59" i="30"/>
  <c r="AE14" i="30"/>
  <c r="F14" i="30"/>
  <c r="AN3221" i="27"/>
  <c r="AO3221" i="27" s="1"/>
  <c r="AH3221" i="27"/>
  <c r="AN2516" i="27"/>
  <c r="AO2516" i="27" s="1"/>
  <c r="AH2516" i="27"/>
  <c r="AH1729" i="27"/>
  <c r="AN1729" i="27"/>
  <c r="AO1729" i="27" s="1"/>
  <c r="AN218" i="27"/>
  <c r="AO218" i="27" s="1"/>
  <c r="AH218" i="27"/>
  <c r="AH1850" i="27"/>
  <c r="AN1850" i="27"/>
  <c r="AO1850" i="27" s="1"/>
  <c r="AN1418" i="27"/>
  <c r="AO1418" i="27" s="1"/>
  <c r="AH1418" i="27"/>
  <c r="AH1330" i="27"/>
  <c r="AN1330" i="27"/>
  <c r="AO1330" i="27" s="1"/>
  <c r="AN1011" i="27"/>
  <c r="AO1011" i="27" s="1"/>
  <c r="AH1011" i="27"/>
  <c r="AN862" i="27"/>
  <c r="AO862" i="27" s="1"/>
  <c r="AH862" i="27"/>
  <c r="D43" i="30"/>
  <c r="AE43" i="30"/>
  <c r="F43" i="30"/>
  <c r="F35" i="30"/>
  <c r="AE35" i="30"/>
  <c r="AH1134" i="27"/>
  <c r="AN1134" i="27"/>
  <c r="AO1134" i="27" s="1"/>
  <c r="D35" i="30"/>
  <c r="G35" i="30"/>
  <c r="AE87" i="30"/>
  <c r="D64" i="30"/>
  <c r="F64" i="30"/>
  <c r="E75" i="30"/>
  <c r="AN3224" i="27"/>
  <c r="AO3224" i="27" s="1"/>
  <c r="AE53" i="30"/>
  <c r="AN696" i="27"/>
  <c r="AO696" i="27" s="1"/>
  <c r="AH3075" i="27"/>
  <c r="AE59" i="30"/>
  <c r="AF43" i="30"/>
  <c r="AH1936" i="27"/>
  <c r="AH463" i="27"/>
  <c r="AH2994" i="27"/>
  <c r="AH2732" i="27"/>
  <c r="AH1717" i="27"/>
  <c r="AH2675" i="27"/>
  <c r="AN1980" i="27"/>
  <c r="AO1980" i="27" s="1"/>
  <c r="AN1748" i="27"/>
  <c r="AO1748" i="27" s="1"/>
  <c r="AN2498" i="27"/>
  <c r="AO2498" i="27" s="1"/>
  <c r="AN1154" i="27"/>
  <c r="AO1154" i="27" s="1"/>
  <c r="AH1609" i="27"/>
  <c r="AN1792" i="27"/>
  <c r="AO1792" i="27" s="1"/>
  <c r="AH154" i="27"/>
  <c r="AN154" i="27"/>
  <c r="AO154" i="27" s="1"/>
  <c r="E26" i="30"/>
  <c r="AH3204" i="27"/>
  <c r="AN3204" i="27"/>
  <c r="AO3204" i="27" s="1"/>
  <c r="AN257" i="27"/>
  <c r="AO257" i="27" s="1"/>
  <c r="AH257" i="27"/>
  <c r="AN2021" i="27"/>
  <c r="AO2021" i="27" s="1"/>
  <c r="AH2021" i="27"/>
  <c r="AN1207" i="27"/>
  <c r="AO1207" i="27" s="1"/>
  <c r="AH1207" i="27"/>
  <c r="AH1139" i="27"/>
  <c r="AN1137" i="27"/>
  <c r="AO1137" i="27" s="1"/>
  <c r="AH1133" i="27"/>
  <c r="AH1136" i="27"/>
  <c r="AH1138" i="27"/>
  <c r="AH1152" i="27"/>
  <c r="AN1077" i="27"/>
  <c r="AO1077" i="27" s="1"/>
  <c r="AH1077" i="27"/>
  <c r="AH2798" i="27"/>
  <c r="AN2798" i="27"/>
  <c r="AO2798" i="27" s="1"/>
  <c r="AN977" i="27"/>
  <c r="AO977" i="27" s="1"/>
  <c r="AH977" i="27"/>
  <c r="AN1278" i="27"/>
  <c r="AO1278" i="27" s="1"/>
  <c r="AH1278" i="27"/>
  <c r="AH1769" i="27"/>
  <c r="AN1769" i="27"/>
  <c r="AO1769" i="27" s="1"/>
  <c r="AH1597" i="27"/>
  <c r="AN1597" i="27"/>
  <c r="AO1597" i="27" s="1"/>
  <c r="AH3297" i="27"/>
  <c r="AN3297" i="27"/>
  <c r="AO3297" i="27" s="1"/>
  <c r="AH2802" i="27"/>
  <c r="AN2802" i="27"/>
  <c r="AO2802" i="27" s="1"/>
  <c r="AH230" i="27"/>
  <c r="AN230" i="27"/>
  <c r="AO230" i="27" s="1"/>
  <c r="D23" i="30"/>
  <c r="AF23" i="30"/>
  <c r="F23" i="30"/>
  <c r="AN2091" i="27"/>
  <c r="AO2091" i="27" s="1"/>
  <c r="AH2091" i="27"/>
  <c r="AN694" i="27"/>
  <c r="AO694" i="27" s="1"/>
  <c r="AH694" i="27"/>
  <c r="AN2044" i="27"/>
  <c r="AO2044" i="27" s="1"/>
  <c r="AH2044" i="27"/>
  <c r="AH1091" i="27"/>
  <c r="AN1091" i="27"/>
  <c r="AO1091" i="27" s="1"/>
  <c r="AE132" i="30"/>
  <c r="D132" i="30"/>
  <c r="AH1026" i="27"/>
  <c r="AN1026" i="27"/>
  <c r="AO1026" i="27" s="1"/>
  <c r="AH2524" i="27"/>
  <c r="AN2524" i="27"/>
  <c r="AO2524" i="27" s="1"/>
  <c r="AH2760" i="27"/>
  <c r="AN2760" i="27"/>
  <c r="AO2760" i="27" s="1"/>
  <c r="AH1670" i="27"/>
  <c r="AN1670" i="27"/>
  <c r="AO1670" i="27" s="1"/>
  <c r="AN1188" i="27"/>
  <c r="AO1188" i="27" s="1"/>
  <c r="AH1188" i="27"/>
  <c r="AH2186" i="27"/>
  <c r="AN2186" i="27"/>
  <c r="AO2186" i="27" s="1"/>
  <c r="AH2218" i="27"/>
  <c r="AN2218" i="27"/>
  <c r="AO2218" i="27" s="1"/>
  <c r="AH2250" i="27"/>
  <c r="AN2250" i="27"/>
  <c r="AO2250" i="27" s="1"/>
  <c r="AN333" i="27"/>
  <c r="AO333" i="27" s="1"/>
  <c r="AH333" i="27"/>
  <c r="AF65" i="30"/>
  <c r="AE65" i="30"/>
  <c r="F65" i="30"/>
  <c r="G72" i="30"/>
  <c r="E72" i="30"/>
  <c r="AF15" i="30"/>
  <c r="D15" i="30"/>
  <c r="AE15" i="30"/>
  <c r="G96" i="30"/>
  <c r="D96" i="30"/>
  <c r="AE96" i="30"/>
  <c r="D7" i="30"/>
  <c r="AH1500" i="27"/>
  <c r="AN1500" i="27"/>
  <c r="AO1500" i="27" s="1"/>
  <c r="AH3243" i="27"/>
  <c r="AN3243" i="27"/>
  <c r="AO3243" i="27" s="1"/>
  <c r="AN1982" i="27"/>
  <c r="AO1982" i="27" s="1"/>
  <c r="AH1982" i="27"/>
  <c r="AH1312" i="27"/>
  <c r="AN1312" i="27"/>
  <c r="AO1312" i="27" s="1"/>
  <c r="AN692" i="27"/>
  <c r="AO692" i="27" s="1"/>
  <c r="AH692" i="27"/>
  <c r="AN2836" i="27"/>
  <c r="AO2836" i="27" s="1"/>
  <c r="AH2836" i="27"/>
  <c r="AH865" i="27"/>
  <c r="AN865" i="27"/>
  <c r="AO865" i="27" s="1"/>
  <c r="AH3085" i="27"/>
  <c r="AN3085" i="27"/>
  <c r="AO3085" i="27" s="1"/>
  <c r="AN784" i="27"/>
  <c r="AO784" i="27" s="1"/>
  <c r="AH784" i="27"/>
  <c r="AH1253" i="27"/>
  <c r="AN1245" i="27"/>
  <c r="AO1245" i="27" s="1"/>
  <c r="AH1245" i="27"/>
  <c r="AN657" i="27"/>
  <c r="AO657" i="27" s="1"/>
  <c r="AH657" i="27"/>
  <c r="AN1840" i="27"/>
  <c r="AO1840" i="27" s="1"/>
  <c r="AH1840" i="27"/>
  <c r="AH3207" i="27"/>
  <c r="AN3207" i="27"/>
  <c r="AO3207" i="27" s="1"/>
  <c r="AN1454" i="27"/>
  <c r="AO1454" i="27" s="1"/>
  <c r="AH1454" i="27"/>
  <c r="AH2003" i="27"/>
  <c r="AN2003" i="27"/>
  <c r="AO2003" i="27" s="1"/>
  <c r="AN1963" i="27"/>
  <c r="AO1963" i="27" s="1"/>
  <c r="AH1963" i="27"/>
  <c r="AH1507" i="27"/>
  <c r="AN1507" i="27"/>
  <c r="AO1507" i="27" s="1"/>
  <c r="AN2036" i="27"/>
  <c r="AO2036" i="27" s="1"/>
  <c r="AH2036" i="27"/>
  <c r="D20" i="30"/>
  <c r="F20" i="30"/>
  <c r="AH1549" i="27"/>
  <c r="AN1549" i="27"/>
  <c r="AO1549" i="27" s="1"/>
  <c r="AN2929" i="27"/>
  <c r="AO2929" i="27" s="1"/>
  <c r="AH2929" i="27"/>
  <c r="AH1176" i="27"/>
  <c r="AN1176" i="27"/>
  <c r="AO1176" i="27" s="1"/>
  <c r="AN1118" i="27"/>
  <c r="AO1118" i="27" s="1"/>
  <c r="AH1118" i="27"/>
  <c r="AN1962" i="27"/>
  <c r="AO1962" i="27" s="1"/>
  <c r="AN2722" i="27"/>
  <c r="AO2722" i="27" s="1"/>
  <c r="AN2307" i="27"/>
  <c r="AO2307" i="27" s="1"/>
  <c r="AH1826" i="27"/>
  <c r="E70" i="30"/>
  <c r="D87" i="30"/>
  <c r="AN3256" i="27"/>
  <c r="AO3256" i="27" s="1"/>
  <c r="AN2063" i="27"/>
  <c r="AO2063" i="27" s="1"/>
  <c r="AF10" i="30"/>
  <c r="AH76" i="27"/>
  <c r="G85" i="30"/>
  <c r="AF85" i="30"/>
  <c r="D17" i="30"/>
  <c r="G17" i="30"/>
  <c r="AF17" i="30"/>
  <c r="E71" i="30"/>
  <c r="G71" i="30"/>
  <c r="AH3001" i="27"/>
  <c r="AN1666" i="27"/>
  <c r="AO1666" i="27" s="1"/>
  <c r="AN1869" i="27"/>
  <c r="AO1869" i="27" s="1"/>
  <c r="AE114" i="30"/>
  <c r="D114" i="30"/>
  <c r="E12" i="30"/>
  <c r="F12" i="30"/>
  <c r="AH3152" i="27"/>
  <c r="AH1120" i="27"/>
  <c r="AN1534" i="27"/>
  <c r="AO1534" i="27" s="1"/>
  <c r="AN110" i="27"/>
  <c r="AO110" i="27" s="1"/>
  <c r="AH110" i="27"/>
  <c r="AN155" i="27"/>
  <c r="AO155" i="27" s="1"/>
  <c r="AH155" i="27"/>
  <c r="AF31" i="30"/>
  <c r="AE31" i="30"/>
  <c r="E31" i="30"/>
  <c r="F31" i="30"/>
  <c r="D57" i="30"/>
  <c r="AE57" i="30"/>
  <c r="E57" i="30"/>
  <c r="AN1844" i="27"/>
  <c r="AO1844" i="27" s="1"/>
  <c r="AH1844" i="27"/>
  <c r="AH151" i="27"/>
  <c r="AN151" i="27"/>
  <c r="AO151" i="27" s="1"/>
  <c r="AH185" i="27"/>
  <c r="AN185" i="27"/>
  <c r="AO185" i="27" s="1"/>
  <c r="AN1855" i="27"/>
  <c r="AO1855" i="27" s="1"/>
  <c r="AH1855" i="27"/>
  <c r="AN2708" i="27"/>
  <c r="AO2708" i="27" s="1"/>
  <c r="AH2708" i="27"/>
  <c r="AN1546" i="27"/>
  <c r="AO1546" i="27" s="1"/>
  <c r="AH1546" i="27"/>
  <c r="AN1069" i="27"/>
  <c r="AO1069" i="27" s="1"/>
  <c r="AH1069" i="27"/>
  <c r="AH96" i="27"/>
  <c r="AN96" i="27"/>
  <c r="AO96" i="27" s="1"/>
  <c r="AH1562" i="27"/>
  <c r="AN1562" i="27"/>
  <c r="AO1562" i="27" s="1"/>
  <c r="AH2547" i="27"/>
  <c r="AN2547" i="27"/>
  <c r="AO2547" i="27" s="1"/>
  <c r="AN2177" i="27"/>
  <c r="AO2177" i="27" s="1"/>
  <c r="AH2177" i="27"/>
  <c r="AN1216" i="27"/>
  <c r="AO1216" i="27" s="1"/>
  <c r="AH1216" i="27"/>
  <c r="AH2054" i="27"/>
  <c r="AN2054" i="27"/>
  <c r="AO2054" i="27" s="1"/>
  <c r="E22" i="30"/>
  <c r="F22" i="30"/>
  <c r="D22" i="30"/>
  <c r="AH1024" i="27"/>
  <c r="AN1024" i="27"/>
  <c r="AO1024" i="27" s="1"/>
  <c r="AN3002" i="27"/>
  <c r="AO3002" i="27" s="1"/>
  <c r="AH3002" i="27"/>
  <c r="AN2629" i="27"/>
  <c r="AO2629" i="27" s="1"/>
  <c r="AH2629" i="27"/>
  <c r="AN2254" i="27"/>
  <c r="AO2254" i="27" s="1"/>
  <c r="AH2254" i="27"/>
  <c r="AN2238" i="27"/>
  <c r="AO2238" i="27" s="1"/>
  <c r="AH2238" i="27"/>
  <c r="AH1580" i="27"/>
  <c r="AN1580" i="27"/>
  <c r="AO1580" i="27" s="1"/>
  <c r="AH1757" i="27"/>
  <c r="AN1757" i="27"/>
  <c r="AO1757" i="27" s="1"/>
  <c r="D63" i="30"/>
  <c r="F63" i="30"/>
  <c r="AH1259" i="27"/>
  <c r="AN1259" i="27"/>
  <c r="AO1259" i="27" s="1"/>
  <c r="AH1358" i="27"/>
  <c r="AN1358" i="27"/>
  <c r="AO1358" i="27" s="1"/>
  <c r="AN2695" i="27"/>
  <c r="AO2695" i="27" s="1"/>
  <c r="AH2695" i="27"/>
  <c r="AN2709" i="27"/>
  <c r="AO2709" i="27" s="1"/>
  <c r="AH2709" i="27"/>
  <c r="AH1280" i="27"/>
  <c r="AN1280" i="27"/>
  <c r="AO1280" i="27" s="1"/>
  <c r="AH1743" i="27"/>
  <c r="AN1743" i="27"/>
  <c r="AO1743" i="27" s="1"/>
  <c r="AH976" i="27"/>
  <c r="AN976" i="27"/>
  <c r="AO976" i="27" s="1"/>
  <c r="AN2740" i="27"/>
  <c r="AO2740" i="27" s="1"/>
  <c r="AH2740" i="27"/>
  <c r="AN2181" i="27"/>
  <c r="AO2181" i="27" s="1"/>
  <c r="AH2181" i="27"/>
  <c r="AH2989" i="27"/>
  <c r="AN2989" i="27"/>
  <c r="AO2989" i="27" s="1"/>
  <c r="AH1159" i="27"/>
  <c r="AN1159" i="27"/>
  <c r="AO1159" i="27" s="1"/>
  <c r="AH2343" i="27"/>
  <c r="AN2343" i="27"/>
  <c r="AO2343" i="27" s="1"/>
  <c r="AH1603" i="27"/>
  <c r="AE45" i="30"/>
  <c r="G45" i="30"/>
  <c r="AH1223" i="27"/>
  <c r="AN1223" i="27"/>
  <c r="AO1223" i="27" s="1"/>
  <c r="AN1883" i="27"/>
  <c r="AO1883" i="27" s="1"/>
  <c r="AH1883" i="27"/>
  <c r="AH575" i="27"/>
  <c r="AN575" i="27"/>
  <c r="AO575" i="27" s="1"/>
  <c r="AH2301" i="27"/>
  <c r="AN2301" i="27"/>
  <c r="AO2301" i="27" s="1"/>
  <c r="AH2944" i="27"/>
  <c r="AN2944" i="27"/>
  <c r="AO2944" i="27" s="1"/>
  <c r="AH2646" i="27"/>
  <c r="AN2646" i="27"/>
  <c r="AO2646" i="27" s="1"/>
  <c r="AN1931" i="27"/>
  <c r="AO1931" i="27" s="1"/>
  <c r="AH1931" i="27"/>
  <c r="AN682" i="27"/>
  <c r="AO682" i="27" s="1"/>
  <c r="AH682" i="27"/>
  <c r="AN1977" i="27"/>
  <c r="AO1977" i="27" s="1"/>
  <c r="AH1977" i="27"/>
  <c r="AN2448" i="27"/>
  <c r="AO2448" i="27" s="1"/>
  <c r="AH2448" i="27"/>
  <c r="AN3160" i="27"/>
  <c r="AO3160" i="27" s="1"/>
  <c r="AH3160" i="27"/>
  <c r="AH755" i="27"/>
  <c r="AN755" i="27"/>
  <c r="AO755" i="27" s="1"/>
  <c r="AN3147" i="27"/>
  <c r="AO3147" i="27" s="1"/>
  <c r="AH3147" i="27"/>
  <c r="AH3252" i="27"/>
  <c r="AN3252" i="27"/>
  <c r="AO3252" i="27" s="1"/>
  <c r="AH95" i="27"/>
  <c r="AN95" i="27"/>
  <c r="AO95" i="27" s="1"/>
  <c r="AN1586" i="27"/>
  <c r="AO1586" i="27" s="1"/>
  <c r="AH1586" i="27"/>
  <c r="AN2566" i="27"/>
  <c r="AO2566" i="27" s="1"/>
  <c r="AH2566" i="27"/>
  <c r="AN2204" i="27"/>
  <c r="AO2204" i="27" s="1"/>
  <c r="AH2204" i="27"/>
  <c r="AN3251" i="27"/>
  <c r="AO3251" i="27" s="1"/>
  <c r="AH3023" i="27"/>
  <c r="AH3206" i="27"/>
  <c r="AN887" i="27"/>
  <c r="AO887" i="27" s="1"/>
  <c r="AN3231" i="27"/>
  <c r="AO3231" i="27" s="1"/>
  <c r="AH2725" i="27"/>
  <c r="AN2888" i="27"/>
  <c r="AO2888" i="27" s="1"/>
  <c r="AN56" i="27"/>
  <c r="AO56" i="27" s="1"/>
  <c r="AN1621" i="27"/>
  <c r="AO1621" i="27" s="1"/>
  <c r="AN1550" i="27"/>
  <c r="AO1550" i="27" s="1"/>
  <c r="AF77" i="30"/>
  <c r="AN2362" i="27"/>
  <c r="AO2362" i="27" s="1"/>
  <c r="AH2055" i="27"/>
  <c r="AN1833" i="27"/>
  <c r="AO1833" i="27" s="1"/>
  <c r="AN2679" i="27"/>
  <c r="AO2679" i="27" s="1"/>
  <c r="AH1854" i="27"/>
  <c r="AN823" i="27"/>
  <c r="AO823" i="27" s="1"/>
  <c r="AH2157" i="27"/>
  <c r="D75" i="30"/>
  <c r="AH3104" i="27"/>
  <c r="AH1649" i="27"/>
  <c r="AH1862" i="27"/>
  <c r="G49" i="30"/>
  <c r="E14" i="30"/>
  <c r="AH234" i="27"/>
  <c r="AH2176" i="27"/>
  <c r="F45" i="30"/>
  <c r="AN743" i="27"/>
  <c r="AO743" i="27" s="1"/>
  <c r="AN2612" i="27"/>
  <c r="AO2612" i="27" s="1"/>
  <c r="AN1493" i="27"/>
  <c r="AO1493" i="27" s="1"/>
  <c r="AN2400" i="27"/>
  <c r="AO2400" i="27" s="1"/>
  <c r="AH1851" i="27"/>
  <c r="AH3227" i="27"/>
  <c r="AH231" i="27"/>
  <c r="AN2005" i="27"/>
  <c r="AO2005" i="27" s="1"/>
  <c r="AH1405" i="27"/>
  <c r="AN2834" i="27"/>
  <c r="AO2834" i="27" s="1"/>
  <c r="AH2196" i="27"/>
  <c r="AN721" i="27"/>
  <c r="AO721" i="27" s="1"/>
  <c r="AH2578" i="27"/>
  <c r="AH1311" i="27"/>
  <c r="AN2992" i="27"/>
  <c r="AO2992" i="27" s="1"/>
  <c r="AN1344" i="27"/>
  <c r="AO1344" i="27" s="1"/>
  <c r="AN2526" i="27"/>
  <c r="AO2526" i="27" s="1"/>
  <c r="AH818" i="27"/>
  <c r="AN2342" i="27"/>
  <c r="AO2342" i="27" s="1"/>
  <c r="AH2342" i="27"/>
  <c r="AN358" i="27"/>
  <c r="AO358" i="27" s="1"/>
  <c r="AH358" i="27"/>
  <c r="AN964" i="27"/>
  <c r="AO964" i="27" s="1"/>
  <c r="AH964" i="27"/>
  <c r="AH1953" i="27"/>
  <c r="AN1953" i="27"/>
  <c r="AO1953" i="27" s="1"/>
  <c r="AH1968" i="27"/>
  <c r="AN1968" i="27"/>
  <c r="AO1968" i="27" s="1"/>
  <c r="AN2088" i="27"/>
  <c r="AO2088" i="27" s="1"/>
  <c r="AH2088" i="27"/>
  <c r="AN2008" i="27"/>
  <c r="AO2008" i="27" s="1"/>
  <c r="AH2008" i="27"/>
  <c r="AH1643" i="27"/>
  <c r="AN1643" i="27"/>
  <c r="AO1643" i="27" s="1"/>
  <c r="AN471" i="27"/>
  <c r="AO471" i="27" s="1"/>
  <c r="AH471" i="27"/>
  <c r="AN2585" i="27"/>
  <c r="AO2585" i="27" s="1"/>
  <c r="AH2585" i="27"/>
  <c r="AN986" i="27"/>
  <c r="AO986" i="27" s="1"/>
  <c r="AH986" i="27"/>
  <c r="AH2447" i="27"/>
  <c r="AN2447" i="27"/>
  <c r="AO2447" i="27" s="1"/>
  <c r="AH183" i="27"/>
  <c r="AN183" i="27"/>
  <c r="AO183" i="27" s="1"/>
  <c r="AH1595" i="27"/>
  <c r="AN1595" i="27"/>
  <c r="AO1595" i="27" s="1"/>
  <c r="AN1781" i="27"/>
  <c r="AO1781" i="27" s="1"/>
  <c r="AH1781" i="27"/>
  <c r="AH979" i="27"/>
  <c r="AN979" i="27"/>
  <c r="AO979" i="27" s="1"/>
  <c r="AN2973" i="27"/>
  <c r="AO2973" i="27" s="1"/>
  <c r="AH2973" i="27"/>
  <c r="AH2558" i="27"/>
  <c r="AN2558" i="27"/>
  <c r="AO2558" i="27" s="1"/>
  <c r="AN2472" i="27"/>
  <c r="AO2472" i="27" s="1"/>
  <c r="AH2472" i="27"/>
  <c r="AH1944" i="27"/>
  <c r="AN1944" i="27"/>
  <c r="AO1944" i="27" s="1"/>
  <c r="AH797" i="27"/>
  <c r="AN797" i="27"/>
  <c r="AO797" i="27" s="1"/>
  <c r="AN1243" i="27"/>
  <c r="AO1243" i="27" s="1"/>
  <c r="AH1243" i="27"/>
  <c r="AN1710" i="27"/>
  <c r="AO1710" i="27" s="1"/>
  <c r="AH1710" i="27"/>
  <c r="AH1150" i="27"/>
  <c r="AN1150" i="27"/>
  <c r="AO1150" i="27" s="1"/>
  <c r="AH1149" i="27"/>
  <c r="AN1149" i="27"/>
  <c r="AO1149" i="27" s="1"/>
  <c r="AH1130" i="27"/>
  <c r="AN1130" i="27"/>
  <c r="AO1130" i="27" s="1"/>
  <c r="AH1119" i="27"/>
  <c r="AN1119" i="27"/>
  <c r="AO1119" i="27" s="1"/>
  <c r="AH1351" i="27"/>
  <c r="AN1351" i="27"/>
  <c r="AO1351" i="27" s="1"/>
  <c r="AN1121" i="27"/>
  <c r="AO1121" i="27" s="1"/>
  <c r="AH1121" i="27"/>
  <c r="AH1401" i="27"/>
  <c r="AN1401" i="27"/>
  <c r="AO1401" i="27" s="1"/>
  <c r="AN2625" i="27"/>
  <c r="AO2625" i="27" s="1"/>
  <c r="AH2625" i="27"/>
  <c r="AH2241" i="27"/>
  <c r="AN2241" i="27"/>
  <c r="AO2241" i="27" s="1"/>
  <c r="D115" i="30"/>
  <c r="G115" i="30"/>
  <c r="AH53" i="27"/>
  <c r="AN53" i="27"/>
  <c r="AO53" i="27" s="1"/>
  <c r="AH1813" i="27"/>
  <c r="AN1813" i="27"/>
  <c r="AO1813" i="27" s="1"/>
  <c r="F86" i="30"/>
  <c r="G86" i="30"/>
  <c r="D83" i="30"/>
  <c r="G55" i="30"/>
  <c r="AF83" i="30"/>
  <c r="F37" i="30"/>
  <c r="D37" i="30"/>
  <c r="F44" i="30"/>
  <c r="D44" i="30"/>
  <c r="AF87" i="30"/>
  <c r="G87" i="30"/>
  <c r="AN85" i="27"/>
  <c r="AO85" i="27" s="1"/>
  <c r="AH85" i="27"/>
  <c r="AH168" i="27"/>
  <c r="AN168" i="27"/>
  <c r="AO168" i="27" s="1"/>
  <c r="AH2856" i="27"/>
  <c r="AN2856" i="27"/>
  <c r="AO2856" i="27" s="1"/>
  <c r="A81" i="30"/>
  <c r="D81" i="30" s="1"/>
  <c r="AN41" i="27"/>
  <c r="AO41" i="27" s="1"/>
  <c r="AN184" i="27"/>
  <c r="AO184" i="27" s="1"/>
  <c r="AH204" i="27"/>
  <c r="AN3276" i="27"/>
  <c r="AO3276" i="27" s="1"/>
  <c r="AN3279" i="27"/>
  <c r="AO3279" i="27" s="1"/>
  <c r="AE42" i="30"/>
  <c r="E42" i="30"/>
  <c r="A159" i="30"/>
  <c r="A90" i="30"/>
  <c r="A116" i="30"/>
  <c r="A126" i="30"/>
  <c r="A139" i="30"/>
  <c r="A145" i="30"/>
  <c r="A148" i="30"/>
  <c r="A162" i="30"/>
  <c r="A165" i="30"/>
  <c r="AN246" i="27"/>
  <c r="AO246" i="27" s="1"/>
  <c r="AN186" i="27"/>
  <c r="AO186" i="27" s="1"/>
  <c r="A69" i="30"/>
  <c r="A80" i="30"/>
  <c r="A92" i="30"/>
  <c r="A202" i="30"/>
  <c r="AH1877" i="27"/>
  <c r="AN1877" i="27"/>
  <c r="AO1877" i="27" s="1"/>
  <c r="AN1524" i="27"/>
  <c r="AO1524" i="27" s="1"/>
  <c r="AH1524" i="27"/>
  <c r="AN751" i="27"/>
  <c r="AO751" i="27" s="1"/>
  <c r="AH751" i="27"/>
  <c r="AN513" i="27"/>
  <c r="AO513" i="27" s="1"/>
  <c r="AH513" i="27"/>
  <c r="AH2235" i="27"/>
  <c r="AN2235" i="27"/>
  <c r="AO2235" i="27" s="1"/>
  <c r="AN1013" i="27"/>
  <c r="AO1013" i="27" s="1"/>
  <c r="AH1013" i="27"/>
  <c r="AH1506" i="27"/>
  <c r="AN1506" i="27"/>
  <c r="AO1506" i="27" s="1"/>
  <c r="AN2912" i="27"/>
  <c r="AO2912" i="27" s="1"/>
  <c r="AH2912" i="27"/>
  <c r="AH1486" i="27"/>
  <c r="AN1486" i="27"/>
  <c r="AO1486" i="27" s="1"/>
  <c r="AN2374" i="27"/>
  <c r="AO2374" i="27" s="1"/>
  <c r="AH2374" i="27"/>
  <c r="AN781" i="27"/>
  <c r="AO781" i="27" s="1"/>
  <c r="AH781" i="27"/>
  <c r="AN2045" i="27"/>
  <c r="AO2045" i="27" s="1"/>
  <c r="AH2045" i="27"/>
  <c r="AN1673" i="27"/>
  <c r="AO1673" i="27" s="1"/>
  <c r="AH1673" i="27"/>
  <c r="AH3249" i="27"/>
  <c r="AN3249" i="27"/>
  <c r="AO3249" i="27" s="1"/>
  <c r="AH2870" i="27"/>
  <c r="AN2870" i="27"/>
  <c r="AO2870" i="27" s="1"/>
  <c r="AN1961" i="27"/>
  <c r="AO1961" i="27" s="1"/>
  <c r="AH1961" i="27"/>
  <c r="D10" i="30"/>
  <c r="F10" i="30"/>
  <c r="AH2222" i="27"/>
  <c r="AN2222" i="27"/>
  <c r="AO2222" i="27" s="1"/>
  <c r="AH1570" i="27"/>
  <c r="AN1570" i="27"/>
  <c r="AO1570" i="27" s="1"/>
  <c r="AH339" i="27"/>
  <c r="AN339" i="27"/>
  <c r="AO339" i="27" s="1"/>
  <c r="AH990" i="27"/>
  <c r="AN990" i="27"/>
  <c r="AO990" i="27" s="1"/>
  <c r="AN2256" i="27"/>
  <c r="AO2256" i="27" s="1"/>
  <c r="AH2256" i="27"/>
  <c r="AN1841" i="27"/>
  <c r="AO1841" i="27" s="1"/>
  <c r="AH1841" i="27"/>
  <c r="AH2124" i="27"/>
  <c r="AN2124" i="27"/>
  <c r="AO2124" i="27" s="1"/>
  <c r="AH1057" i="27"/>
  <c r="AN1057" i="27"/>
  <c r="AO1057" i="27" s="1"/>
  <c r="AN3321" i="27"/>
  <c r="AO3321" i="27" s="1"/>
  <c r="AH3321" i="27"/>
  <c r="AH2248" i="27"/>
  <c r="AN2248" i="27"/>
  <c r="AO2248" i="27" s="1"/>
  <c r="AN2774" i="27"/>
  <c r="AO2774" i="27" s="1"/>
  <c r="AH2774" i="27"/>
  <c r="AN3118" i="27"/>
  <c r="AO3118" i="27" s="1"/>
  <c r="AH3118" i="27"/>
  <c r="AN3236" i="27"/>
  <c r="AO3236" i="27" s="1"/>
  <c r="AH3236" i="27"/>
  <c r="AH866" i="27"/>
  <c r="AN866" i="27"/>
  <c r="AO866" i="27" s="1"/>
  <c r="AN2156" i="27"/>
  <c r="AO2156" i="27" s="1"/>
  <c r="AH2156" i="27"/>
  <c r="AH3119" i="27"/>
  <c r="AN3119" i="27"/>
  <c r="AO3119" i="27" s="1"/>
  <c r="AN1033" i="27"/>
  <c r="AO1033" i="27" s="1"/>
  <c r="AH1033" i="27"/>
  <c r="AH1061" i="27"/>
  <c r="AN1061" i="27"/>
  <c r="AO1061" i="27" s="1"/>
  <c r="AH2997" i="27"/>
  <c r="AN2997" i="27"/>
  <c r="AO2997" i="27" s="1"/>
  <c r="AN514" i="27"/>
  <c r="AO514" i="27" s="1"/>
  <c r="AH514" i="27"/>
  <c r="AH3248" i="27"/>
  <c r="AN3248" i="27"/>
  <c r="AO3248" i="27" s="1"/>
  <c r="AN1089" i="27"/>
  <c r="AO1089" i="27" s="1"/>
  <c r="AH1089" i="27"/>
  <c r="AN1871" i="27"/>
  <c r="AO1871" i="27" s="1"/>
  <c r="AH1871" i="27"/>
  <c r="AH2762" i="27"/>
  <c r="AN2762" i="27"/>
  <c r="AO2762" i="27" s="1"/>
  <c r="AN899" i="27"/>
  <c r="AO899" i="27" s="1"/>
  <c r="AH899" i="27"/>
  <c r="AN1122" i="27"/>
  <c r="AO1122" i="27" s="1"/>
  <c r="AH1122" i="27"/>
  <c r="AN2015" i="27"/>
  <c r="AO2015" i="27" s="1"/>
  <c r="AH2015" i="27"/>
  <c r="AH1038" i="27"/>
  <c r="AN1038" i="27"/>
  <c r="AO1038" i="27" s="1"/>
  <c r="AH1099" i="27"/>
  <c r="AN1099" i="27"/>
  <c r="AO1099" i="27" s="1"/>
  <c r="AH1541" i="27"/>
  <c r="AN1541" i="27"/>
  <c r="AO1541" i="27" s="1"/>
  <c r="AN1965" i="27"/>
  <c r="AO1965" i="27" s="1"/>
  <c r="AH1965" i="27"/>
  <c r="E8" i="30"/>
  <c r="D8" i="30"/>
  <c r="AE8" i="30"/>
  <c r="AH925" i="27"/>
  <c r="AN925" i="27"/>
  <c r="AO925" i="27" s="1"/>
  <c r="AH624" i="27"/>
  <c r="AN624" i="27"/>
  <c r="AO624" i="27" s="1"/>
  <c r="AH2087" i="27"/>
  <c r="AN2087" i="27"/>
  <c r="AO2087" i="27" s="1"/>
  <c r="AN599" i="27"/>
  <c r="AO599" i="27" s="1"/>
  <c r="AH599" i="27"/>
  <c r="AH2794" i="27"/>
  <c r="AN2794" i="27"/>
  <c r="AO2794" i="27" s="1"/>
  <c r="AH683" i="27"/>
  <c r="AN683" i="27"/>
  <c r="AO683" i="27" s="1"/>
  <c r="AN3245" i="27"/>
  <c r="AO3245" i="27" s="1"/>
  <c r="AH3245" i="27"/>
  <c r="AN3107" i="27"/>
  <c r="AO3107" i="27" s="1"/>
  <c r="AH3107" i="27"/>
  <c r="AH3273" i="27"/>
  <c r="AN3273" i="27"/>
  <c r="AO3273" i="27" s="1"/>
  <c r="AH39" i="27"/>
  <c r="AN39" i="27"/>
  <c r="AO39" i="27" s="1"/>
  <c r="AH252" i="27"/>
  <c r="AN252" i="27"/>
  <c r="AO252" i="27" s="1"/>
  <c r="AN497" i="27"/>
  <c r="AO497" i="27" s="1"/>
  <c r="AH497" i="27"/>
  <c r="AN1835" i="27"/>
  <c r="AO1835" i="27" s="1"/>
  <c r="AH1835" i="27"/>
  <c r="AN1346" i="27"/>
  <c r="AO1346" i="27" s="1"/>
  <c r="AH1346" i="27"/>
  <c r="AN2288" i="27"/>
  <c r="AO2288" i="27" s="1"/>
  <c r="AH2288" i="27"/>
  <c r="AN104" i="27"/>
  <c r="AO104" i="27" s="1"/>
  <c r="AH104" i="27"/>
  <c r="AN1875" i="27"/>
  <c r="AO1875" i="27" s="1"/>
  <c r="AH1875" i="27"/>
  <c r="AH447" i="27"/>
  <c r="AN447" i="27"/>
  <c r="AO447" i="27" s="1"/>
  <c r="AN1100" i="27"/>
  <c r="AO1100" i="27" s="1"/>
  <c r="AH1100" i="27"/>
  <c r="AH2977" i="27"/>
  <c r="AN2977" i="27"/>
  <c r="AO2977" i="27" s="1"/>
  <c r="AN1520" i="27"/>
  <c r="AO1520" i="27" s="1"/>
  <c r="AH1520" i="27"/>
  <c r="AH1163" i="27"/>
  <c r="AN1163" i="27"/>
  <c r="AO1163" i="27" s="1"/>
  <c r="AH3021" i="27"/>
  <c r="AN3021" i="27"/>
  <c r="AO3021" i="27" s="1"/>
  <c r="AN1515" i="27"/>
  <c r="AO1515" i="27" s="1"/>
  <c r="AH1515" i="27"/>
  <c r="AN2073" i="27"/>
  <c r="AO2073" i="27" s="1"/>
  <c r="AH2073" i="27"/>
  <c r="AH3214" i="27"/>
  <c r="AN3214" i="27"/>
  <c r="AO3214" i="27" s="1"/>
  <c r="AH1622" i="27"/>
  <c r="AN1622" i="27"/>
  <c r="AO1622" i="27" s="1"/>
  <c r="AN560" i="27"/>
  <c r="AO560" i="27" s="1"/>
  <c r="AH560" i="27"/>
  <c r="AN3267" i="27"/>
  <c r="AO3267" i="27" s="1"/>
  <c r="AH3267" i="27"/>
  <c r="AH79" i="27"/>
  <c r="AN79" i="27"/>
  <c r="AO79" i="27" s="1"/>
  <c r="AH3230" i="27"/>
  <c r="AN3230" i="27"/>
  <c r="AO3230" i="27" s="1"/>
  <c r="AH3126" i="27"/>
  <c r="AN3126" i="27"/>
  <c r="AO3126" i="27" s="1"/>
  <c r="AH78" i="27"/>
  <c r="AN78" i="27"/>
  <c r="AO78" i="27" s="1"/>
  <c r="AN201" i="27"/>
  <c r="AO201" i="27" s="1"/>
  <c r="AH201" i="27"/>
  <c r="AH3233" i="27"/>
  <c r="AN3233" i="27"/>
  <c r="AO3233" i="27" s="1"/>
  <c r="AN1765" i="27"/>
  <c r="AO1765" i="27" s="1"/>
  <c r="AH1765" i="27"/>
  <c r="AN1739" i="27"/>
  <c r="AO1739" i="27" s="1"/>
  <c r="AH1739" i="27"/>
  <c r="AN707" i="27"/>
  <c r="AO707" i="27" s="1"/>
  <c r="AH707" i="27"/>
  <c r="AN877" i="27"/>
  <c r="AO877" i="27" s="1"/>
  <c r="AH877" i="27"/>
  <c r="AH73" i="27"/>
  <c r="AN73" i="27"/>
  <c r="AO73" i="27" s="1"/>
  <c r="AH1808" i="27"/>
  <c r="AN1808" i="27"/>
  <c r="AO1808" i="27" s="1"/>
  <c r="AH2369" i="27"/>
  <c r="AN2369" i="27"/>
  <c r="AO2369" i="27" s="1"/>
  <c r="AN2064" i="27"/>
  <c r="AO2064" i="27" s="1"/>
  <c r="AH2064" i="27"/>
  <c r="AH1763" i="27"/>
  <c r="AN1763" i="27"/>
  <c r="AO1763" i="27" s="1"/>
  <c r="AN1730" i="27"/>
  <c r="AO1730" i="27" s="1"/>
  <c r="AH1730" i="27"/>
  <c r="AH1688" i="27"/>
  <c r="AN1688" i="27"/>
  <c r="AO1688" i="27" s="1"/>
  <c r="AN1706" i="27"/>
  <c r="AO1706" i="27" s="1"/>
  <c r="AH1706" i="27"/>
  <c r="AN2359" i="27"/>
  <c r="AO2359" i="27" s="1"/>
  <c r="AH2359" i="27"/>
  <c r="AH1669" i="27"/>
  <c r="AN1669" i="27"/>
  <c r="AO1669" i="27" s="1"/>
  <c r="AH3122" i="27"/>
  <c r="AN3122" i="27"/>
  <c r="AO3122" i="27" s="1"/>
  <c r="AN1724" i="27"/>
  <c r="AO1724" i="27" s="1"/>
  <c r="AH1724" i="27"/>
  <c r="AH1832" i="27"/>
  <c r="AN1832" i="27"/>
  <c r="AO1832" i="27" s="1"/>
  <c r="AN1709" i="27"/>
  <c r="AO1709" i="27" s="1"/>
  <c r="AH1709" i="27"/>
  <c r="AH2358" i="27"/>
  <c r="AN2358" i="27"/>
  <c r="AO2358" i="27" s="1"/>
  <c r="AH59" i="27"/>
  <c r="AN59" i="27"/>
  <c r="AO59" i="27" s="1"/>
  <c r="AN3239" i="27"/>
  <c r="AO3239" i="27" s="1"/>
  <c r="AH3239" i="27"/>
  <c r="AH2058" i="27"/>
  <c r="AN2058" i="27"/>
  <c r="AO2058" i="27" s="1"/>
  <c r="AN1685" i="27"/>
  <c r="AO1685" i="27" s="1"/>
  <c r="AH1685" i="27"/>
  <c r="AN1527" i="27"/>
  <c r="AO1527" i="27" s="1"/>
  <c r="AH1527" i="27"/>
  <c r="AN1635" i="27"/>
  <c r="AO1635" i="27" s="1"/>
  <c r="AH1635" i="27"/>
  <c r="AN1656" i="27"/>
  <c r="AO1656" i="27" s="1"/>
  <c r="AH1656" i="27"/>
  <c r="AH1657" i="27"/>
  <c r="AN1657" i="27"/>
  <c r="AO1657" i="27" s="1"/>
  <c r="AH3315" i="27"/>
  <c r="AN3315" i="27"/>
  <c r="AO3315" i="27" s="1"/>
  <c r="AN3232" i="27"/>
  <c r="AO3232" i="27" s="1"/>
  <c r="AH3232" i="27"/>
  <c r="AH1637" i="27"/>
  <c r="AN1637" i="27"/>
  <c r="AO1637" i="27" s="1"/>
  <c r="AN3208" i="27"/>
  <c r="AO3208" i="27" s="1"/>
  <c r="AH3208" i="27"/>
  <c r="AN1742" i="27"/>
  <c r="AO1742" i="27" s="1"/>
  <c r="AH1742" i="27"/>
  <c r="AH213" i="27"/>
  <c r="AN213" i="27"/>
  <c r="AO213" i="27" s="1"/>
  <c r="AN233" i="27"/>
  <c r="AO233" i="27" s="1"/>
  <c r="AH233" i="27"/>
  <c r="AH1646" i="27"/>
  <c r="AN1646" i="27"/>
  <c r="AO1646" i="27" s="1"/>
  <c r="AN3097" i="27"/>
  <c r="AO3097" i="27" s="1"/>
  <c r="AH3097" i="27"/>
  <c r="AH1695" i="27"/>
  <c r="AN1695" i="27"/>
  <c r="AO1695" i="27" s="1"/>
  <c r="AH3070" i="27"/>
  <c r="AN3070" i="27"/>
  <c r="AO3070" i="27" s="1"/>
  <c r="AN1375" i="27"/>
  <c r="AO1375" i="27" s="1"/>
  <c r="AH1375" i="27"/>
  <c r="AN1467" i="27"/>
  <c r="AO1467" i="27" s="1"/>
  <c r="AH1467" i="27"/>
  <c r="AN26" i="27"/>
  <c r="AO26" i="27" s="1"/>
  <c r="AH1809" i="27"/>
  <c r="AN1810" i="27"/>
  <c r="AO1810" i="27" s="1"/>
  <c r="AN75" i="27"/>
  <c r="AO75" i="27" s="1"/>
  <c r="AN67" i="27"/>
  <c r="AO67" i="27" s="1"/>
  <c r="D71" i="30"/>
  <c r="AF71" i="30"/>
  <c r="F71" i="30"/>
  <c r="AN82" i="27"/>
  <c r="AO82" i="27" s="1"/>
  <c r="AH3277" i="27"/>
  <c r="F42" i="30"/>
  <c r="G42" i="30"/>
  <c r="E60" i="30"/>
  <c r="G60" i="30"/>
  <c r="AN166" i="27"/>
  <c r="AO166" i="27" s="1"/>
  <c r="G44" i="30"/>
  <c r="D60" i="30"/>
  <c r="F17" i="30"/>
  <c r="E17" i="30"/>
  <c r="AH86" i="27"/>
  <c r="AE17" i="30"/>
  <c r="AN1383" i="27"/>
  <c r="AO1383" i="27" s="1"/>
  <c r="AF114" i="30"/>
  <c r="D86" i="30"/>
  <c r="AH1839" i="27"/>
  <c r="AE71" i="30"/>
  <c r="AH236" i="27"/>
  <c r="AF86" i="30"/>
  <c r="E29" i="30"/>
  <c r="F29" i="30"/>
  <c r="G10" i="30"/>
  <c r="G30" i="30"/>
  <c r="AF20" i="30"/>
  <c r="E47" i="30"/>
  <c r="AH124" i="27"/>
  <c r="AE86" i="30"/>
  <c r="AE20" i="30"/>
  <c r="AH1490" i="27"/>
  <c r="AE89" i="30"/>
  <c r="AH1406" i="27"/>
  <c r="AF18" i="30"/>
  <c r="AH686" i="27"/>
  <c r="AN2988" i="27"/>
  <c r="AO2988" i="27" s="1"/>
  <c r="E10" i="30"/>
  <c r="AN2480" i="27"/>
  <c r="AO2480" i="27" s="1"/>
  <c r="AH2964" i="27"/>
  <c r="AN732" i="27"/>
  <c r="AO732" i="27" s="1"/>
  <c r="AH326" i="27"/>
  <c r="AN2158" i="27"/>
  <c r="AO2158" i="27" s="1"/>
  <c r="AH3215" i="27"/>
  <c r="AF8" i="30"/>
  <c r="F8" i="30"/>
  <c r="AN3102" i="27"/>
  <c r="AO3102" i="27" s="1"/>
  <c r="AH1596" i="27"/>
  <c r="AN1746" i="27"/>
  <c r="AO1746" i="27" s="1"/>
  <c r="AH58" i="27"/>
  <c r="AN1665" i="27"/>
  <c r="AO1665" i="27" s="1"/>
  <c r="AH3143" i="27"/>
  <c r="AN3159" i="27"/>
  <c r="AO3159" i="27" s="1"/>
  <c r="AH1801" i="27"/>
  <c r="AH1001" i="27"/>
  <c r="AN93" i="27"/>
  <c r="AO93" i="27" s="1"/>
  <c r="AH1696" i="27"/>
  <c r="AH1638" i="27"/>
  <c r="AH2506" i="27"/>
  <c r="AH1998" i="27"/>
  <c r="AN1681" i="27"/>
  <c r="AO1681" i="27" s="1"/>
  <c r="AN1793" i="27"/>
  <c r="AO1793" i="27" s="1"/>
  <c r="AN2658" i="27"/>
  <c r="AO2658" i="27" s="1"/>
  <c r="AH211" i="27"/>
  <c r="AN1747" i="27"/>
  <c r="AO1747" i="27" s="1"/>
  <c r="AH2687" i="27"/>
  <c r="AN2910" i="27"/>
  <c r="AO2910" i="27" s="1"/>
  <c r="AN2172" i="27"/>
  <c r="AO2172" i="27" s="1"/>
  <c r="AN941" i="27"/>
  <c r="AO941" i="27" s="1"/>
  <c r="AH347" i="27"/>
  <c r="AN143" i="27"/>
  <c r="AO143" i="27" s="1"/>
  <c r="AH1180" i="27"/>
  <c r="AH1260" i="27"/>
  <c r="AH3309" i="27"/>
  <c r="AN3141" i="27"/>
  <c r="AO3141" i="27" s="1"/>
  <c r="AH2353" i="27"/>
  <c r="AH2820" i="27"/>
  <c r="AH2214" i="27"/>
  <c r="AH3237" i="27"/>
  <c r="AH3094" i="27"/>
  <c r="AN1545" i="27"/>
  <c r="AO1545" i="27" s="1"/>
  <c r="AH1545" i="27"/>
  <c r="AH2287" i="27"/>
  <c r="AN1217" i="27"/>
  <c r="AO1217" i="27" s="1"/>
  <c r="AH2781" i="27"/>
  <c r="AN2781" i="27"/>
  <c r="AO2781" i="27" s="1"/>
  <c r="AH2648" i="27"/>
  <c r="AN84" i="27"/>
  <c r="AO84" i="27" s="1"/>
  <c r="AH84" i="27"/>
  <c r="AH2672" i="27"/>
  <c r="AN2672" i="27"/>
  <c r="AO2672" i="27" s="1"/>
  <c r="AH611" i="27"/>
  <c r="AN611" i="27"/>
  <c r="AO611" i="27" s="1"/>
  <c r="AN1785" i="27"/>
  <c r="AO1785" i="27" s="1"/>
  <c r="AH1785" i="27"/>
  <c r="AH181" i="27"/>
  <c r="AN181" i="27"/>
  <c r="AO181" i="27" s="1"/>
  <c r="AH3099" i="27"/>
  <c r="AN3099" i="27"/>
  <c r="AO3099" i="27" s="1"/>
  <c r="AN618" i="27"/>
  <c r="AO618" i="27" s="1"/>
  <c r="AH618" i="27"/>
  <c r="AN3136" i="27"/>
  <c r="AO3136" i="27" s="1"/>
  <c r="AH3136" i="27"/>
  <c r="G53" i="30"/>
  <c r="AF53" i="30"/>
  <c r="G58" i="30"/>
  <c r="AF58" i="30"/>
  <c r="E58" i="30"/>
  <c r="AH2574" i="27"/>
  <c r="AN2574" i="27"/>
  <c r="AO2574" i="27" s="1"/>
  <c r="AN3015" i="27"/>
  <c r="AO3015" i="27" s="1"/>
  <c r="AH3015" i="27"/>
  <c r="AN1795" i="27"/>
  <c r="AO1795" i="27" s="1"/>
  <c r="AH1795" i="27"/>
  <c r="AN1128" i="27"/>
  <c r="AO1128" i="27" s="1"/>
  <c r="AH1128" i="27"/>
  <c r="AN2748" i="27"/>
  <c r="AO2748" i="27" s="1"/>
  <c r="AH2748" i="27"/>
  <c r="AH2592" i="27"/>
  <c r="AN2592" i="27"/>
  <c r="AO2592" i="27" s="1"/>
  <c r="AH2871" i="27"/>
  <c r="AN2871" i="27"/>
  <c r="AO2871" i="27" s="1"/>
  <c r="AH2132" i="27"/>
  <c r="AN2132" i="27"/>
  <c r="AO2132" i="27" s="1"/>
  <c r="AN537" i="27"/>
  <c r="AO537" i="27" s="1"/>
  <c r="AH537" i="27"/>
  <c r="AH1925" i="27"/>
  <c r="AN1925" i="27"/>
  <c r="AO1925" i="27" s="1"/>
  <c r="AH1114" i="27"/>
  <c r="AN1114" i="27"/>
  <c r="AO1114" i="27" s="1"/>
  <c r="AN1893" i="27"/>
  <c r="AO1893" i="27" s="1"/>
  <c r="AH1893" i="27"/>
  <c r="AH2197" i="27"/>
  <c r="AN2197" i="27"/>
  <c r="AO2197" i="27" s="1"/>
  <c r="F91" i="30"/>
  <c r="AN2700" i="27"/>
  <c r="AO2700" i="27" s="1"/>
  <c r="AH2700" i="27"/>
  <c r="AH984" i="27"/>
  <c r="AN984" i="27"/>
  <c r="AO984" i="27" s="1"/>
  <c r="AN2349" i="27"/>
  <c r="AO2349" i="27" s="1"/>
  <c r="AH2349" i="27"/>
  <c r="AH3234" i="27"/>
  <c r="AN3234" i="27"/>
  <c r="AO3234" i="27" s="1"/>
  <c r="AN918" i="27"/>
  <c r="AO918" i="27" s="1"/>
  <c r="AH918" i="27"/>
  <c r="AN2554" i="27"/>
  <c r="AO2554" i="27" s="1"/>
  <c r="AH2554" i="27"/>
  <c r="AN839" i="27"/>
  <c r="AO839" i="27" s="1"/>
  <c r="AH839" i="27"/>
  <c r="AN1945" i="27"/>
  <c r="AO1945" i="27" s="1"/>
  <c r="AH1945" i="27"/>
  <c r="AN356" i="27"/>
  <c r="AO356" i="27" s="1"/>
  <c r="AH356" i="27"/>
  <c r="AN3087" i="27"/>
  <c r="AO3087" i="27" s="1"/>
  <c r="AH3087" i="27"/>
  <c r="AH2926" i="27"/>
  <c r="AN2926" i="27"/>
  <c r="AO2926" i="27" s="1"/>
  <c r="AH3135" i="27"/>
  <c r="AN3135" i="27"/>
  <c r="AO3135" i="27" s="1"/>
  <c r="AN2511" i="27"/>
  <c r="AO2511" i="27" s="1"/>
  <c r="AH2511" i="27"/>
  <c r="AN1686" i="27"/>
  <c r="AO1686" i="27" s="1"/>
  <c r="AH1686" i="27"/>
  <c r="AH1392" i="27"/>
  <c r="AN1392" i="27"/>
  <c r="AO1392" i="27" s="1"/>
  <c r="AH1796" i="27"/>
  <c r="AN1796" i="27"/>
  <c r="AO1796" i="27" s="1"/>
  <c r="AN219" i="27"/>
  <c r="AO219" i="27" s="1"/>
  <c r="AH219" i="27"/>
  <c r="AH89" i="27"/>
  <c r="AN89" i="27"/>
  <c r="AO89" i="27" s="1"/>
  <c r="AN1762" i="27"/>
  <c r="AO1762" i="27" s="1"/>
  <c r="AH1762" i="27"/>
  <c r="AH3124" i="27"/>
  <c r="AN3124" i="27"/>
  <c r="AO3124" i="27" s="1"/>
  <c r="AN3314" i="27"/>
  <c r="AO3314" i="27" s="1"/>
  <c r="AH3314" i="27"/>
  <c r="AN2347" i="27"/>
  <c r="AO2347" i="27" s="1"/>
  <c r="AH2347" i="27"/>
  <c r="AH2060" i="27"/>
  <c r="AN2060" i="27"/>
  <c r="AO2060" i="27" s="1"/>
  <c r="AN1771" i="27"/>
  <c r="AO1771" i="27" s="1"/>
  <c r="AH1771" i="27"/>
  <c r="AH2345" i="27"/>
  <c r="AN2345" i="27"/>
  <c r="AO2345" i="27" s="1"/>
  <c r="AH1791" i="27"/>
  <c r="AN1791" i="27"/>
  <c r="AO1791" i="27" s="1"/>
  <c r="AN3238" i="27"/>
  <c r="AO3238" i="27" s="1"/>
  <c r="AH3238" i="27"/>
  <c r="AH3114" i="27"/>
  <c r="AN3114" i="27"/>
  <c r="AO3114" i="27" s="1"/>
  <c r="AH1720" i="27"/>
  <c r="AN1720" i="27"/>
  <c r="AO1720" i="27" s="1"/>
  <c r="AH1737" i="27"/>
  <c r="AN1737" i="27"/>
  <c r="AO1737" i="27" s="1"/>
  <c r="AN3211" i="27"/>
  <c r="AO3211" i="27" s="1"/>
  <c r="AH3211" i="27"/>
  <c r="AN3101" i="27"/>
  <c r="AO3101" i="27" s="1"/>
  <c r="AH3101" i="27"/>
  <c r="AH3290" i="27"/>
  <c r="AN3290" i="27"/>
  <c r="AO3290" i="27" s="1"/>
  <c r="AH3210" i="27"/>
  <c r="AN3210" i="27"/>
  <c r="AO3210" i="27" s="1"/>
  <c r="AN301" i="27"/>
  <c r="AO301" i="27" s="1"/>
  <c r="AH301" i="27"/>
  <c r="AH1186" i="27"/>
  <c r="AN1186" i="27"/>
  <c r="AO1186" i="27" s="1"/>
  <c r="AN1689" i="27"/>
  <c r="AO1689" i="27" s="1"/>
  <c r="AH1689" i="27"/>
  <c r="AH3007" i="27"/>
  <c r="AN3007" i="27"/>
  <c r="AO3007" i="27" s="1"/>
  <c r="AH1825" i="27"/>
  <c r="AN1825" i="27"/>
  <c r="AO1825" i="27" s="1"/>
  <c r="AN1391" i="27"/>
  <c r="AO1391" i="27" s="1"/>
  <c r="AH1391" i="27"/>
  <c r="AH2818" i="27"/>
  <c r="AN2818" i="27"/>
  <c r="AO2818" i="27" s="1"/>
  <c r="AH3134" i="27"/>
  <c r="AN42" i="27"/>
  <c r="AO42" i="27" s="1"/>
  <c r="AN1829" i="27"/>
  <c r="AO1829" i="27" s="1"/>
  <c r="E39" i="30"/>
  <c r="AN99" i="27"/>
  <c r="AO99" i="27" s="1"/>
  <c r="D39" i="30"/>
  <c r="AF39" i="30"/>
  <c r="AH1750" i="27"/>
  <c r="AH2925" i="27"/>
  <c r="AN1824" i="27"/>
  <c r="AO1824" i="27" s="1"/>
  <c r="AN3156" i="27"/>
  <c r="AO3156" i="27" s="1"/>
  <c r="U11" i="37"/>
  <c r="F54" i="30"/>
  <c r="AE55" i="30"/>
  <c r="F55" i="30"/>
  <c r="AF55" i="30"/>
  <c r="AN2130" i="27"/>
  <c r="AO2130" i="27" s="1"/>
  <c r="AH813" i="27"/>
  <c r="AN30" i="27"/>
  <c r="AO30" i="27" s="1"/>
  <c r="F53" i="30"/>
  <c r="AH627" i="27"/>
  <c r="AE83" i="30"/>
  <c r="AN139" i="27"/>
  <c r="AO139" i="27" s="1"/>
  <c r="AH1780" i="27"/>
  <c r="G32" i="30"/>
  <c r="F32" i="30"/>
  <c r="F58" i="30"/>
  <c r="D58" i="30"/>
  <c r="AN118" i="27"/>
  <c r="AO118" i="27" s="1"/>
  <c r="AN63" i="27"/>
  <c r="AO63" i="27" s="1"/>
  <c r="AH232" i="27"/>
  <c r="AH226" i="27"/>
  <c r="AN3275" i="27"/>
  <c r="AO3275" i="27" s="1"/>
  <c r="AN931" i="27"/>
  <c r="AO931" i="27" s="1"/>
  <c r="AH1740" i="27"/>
  <c r="AH646" i="27"/>
  <c r="AH2232" i="27"/>
  <c r="AN2252" i="27"/>
  <c r="AO2252" i="27" s="1"/>
  <c r="AN388" i="27"/>
  <c r="AO388" i="27" s="1"/>
  <c r="AE11" i="30"/>
  <c r="AH2103" i="27"/>
  <c r="AH1585" i="27"/>
  <c r="AH3202" i="27"/>
  <c r="AN647" i="27"/>
  <c r="AO647" i="27" s="1"/>
  <c r="AH25" i="27"/>
  <c r="AN923" i="27"/>
  <c r="AO923" i="27" s="1"/>
  <c r="AN2213" i="27"/>
  <c r="AO2213" i="27" s="1"/>
  <c r="AN3129" i="27"/>
  <c r="AO3129" i="27" s="1"/>
  <c r="AF91" i="30"/>
  <c r="AN619" i="27"/>
  <c r="AO619" i="27" s="1"/>
  <c r="AH1481" i="27"/>
  <c r="AN2978" i="27"/>
  <c r="AO2978" i="27" s="1"/>
  <c r="AN34" i="27"/>
  <c r="AO34" i="27" s="1"/>
  <c r="AN3116" i="27"/>
  <c r="AO3116" i="27" s="1"/>
  <c r="AH651" i="27"/>
  <c r="AN235" i="27"/>
  <c r="AO235" i="27" s="1"/>
  <c r="AH2965" i="27"/>
  <c r="AN3319" i="27"/>
  <c r="AO3319" i="27" s="1"/>
  <c r="AN2490" i="27"/>
  <c r="AO2490" i="27" s="1"/>
  <c r="E101" i="30"/>
  <c r="AE13" i="30"/>
  <c r="D13" i="30"/>
  <c r="AF13" i="30"/>
  <c r="AN123" i="27"/>
  <c r="AO123" i="27" s="1"/>
  <c r="AH123" i="27"/>
  <c r="AN1804" i="27"/>
  <c r="AO1804" i="27" s="1"/>
  <c r="AH1804" i="27"/>
  <c r="AN1865" i="27"/>
  <c r="AO1865" i="27" s="1"/>
  <c r="AH1865" i="27"/>
  <c r="AH38" i="27"/>
  <c r="AN38" i="27"/>
  <c r="AO38" i="27" s="1"/>
  <c r="G51" i="30"/>
  <c r="E51" i="30"/>
  <c r="F51" i="30"/>
  <c r="G18" i="30"/>
  <c r="AE18" i="30"/>
  <c r="D18" i="30"/>
  <c r="AN1874" i="27"/>
  <c r="AO1874" i="27" s="1"/>
  <c r="AH1874" i="27"/>
  <c r="AH904" i="27"/>
  <c r="AN904" i="27"/>
  <c r="AO904" i="27" s="1"/>
  <c r="AH2792" i="27"/>
  <c r="AN2792" i="27"/>
  <c r="AO2792" i="27" s="1"/>
  <c r="AH2323" i="27"/>
  <c r="AN2323" i="27"/>
  <c r="AO2323" i="27" s="1"/>
  <c r="AH1198" i="27"/>
  <c r="AN1198" i="27"/>
  <c r="AO1198" i="27" s="1"/>
  <c r="AH734" i="27"/>
  <c r="AN734" i="27"/>
  <c r="AO734" i="27" s="1"/>
  <c r="AN2495" i="27"/>
  <c r="AO2495" i="27" s="1"/>
  <c r="AH2495" i="27"/>
  <c r="AN2873" i="27"/>
  <c r="AO2873" i="27" s="1"/>
  <c r="AH2873" i="27"/>
  <c r="AN3091" i="27"/>
  <c r="AO3091" i="27" s="1"/>
  <c r="AH3091" i="27"/>
  <c r="AN2960" i="27"/>
  <c r="AO2960" i="27" s="1"/>
  <c r="AH2960" i="27"/>
  <c r="AH701" i="27"/>
  <c r="AN701" i="27"/>
  <c r="AO701" i="27" s="1"/>
  <c r="AH2422" i="27"/>
  <c r="AN2422" i="27"/>
  <c r="AO2422" i="27" s="1"/>
  <c r="AH2982" i="27"/>
  <c r="AN2982" i="27"/>
  <c r="AO2982" i="27" s="1"/>
  <c r="AH3093" i="27"/>
  <c r="AN3093" i="27"/>
  <c r="AO3093" i="27" s="1"/>
  <c r="AH1015" i="27"/>
  <c r="AN1015" i="27"/>
  <c r="AO1015" i="27" s="1"/>
  <c r="AN851" i="27"/>
  <c r="AO851" i="27" s="1"/>
  <c r="AH851" i="27"/>
  <c r="AH632" i="27"/>
  <c r="AN632" i="27"/>
  <c r="AO632" i="27" s="1"/>
  <c r="AN3271" i="27"/>
  <c r="AO3271" i="27" s="1"/>
  <c r="AH3271" i="27"/>
  <c r="AN1591" i="27"/>
  <c r="AO1591" i="27" s="1"/>
  <c r="AH1591" i="27"/>
  <c r="AH1803" i="27"/>
  <c r="AN1803" i="27"/>
  <c r="AO1803" i="27" s="1"/>
  <c r="AN1680" i="27"/>
  <c r="AO1680" i="27" s="1"/>
  <c r="AH1680" i="27"/>
  <c r="AN843" i="27"/>
  <c r="AO843" i="27" s="1"/>
  <c r="AH843" i="27"/>
  <c r="AN3055" i="27"/>
  <c r="AO3055" i="27" s="1"/>
  <c r="AH3055" i="27"/>
  <c r="AN3193" i="27"/>
  <c r="AO3193" i="27" s="1"/>
  <c r="AH3193" i="27"/>
  <c r="AN242" i="27"/>
  <c r="AO242" i="27" s="1"/>
  <c r="AH242" i="27"/>
  <c r="AH70" i="27"/>
  <c r="AN70" i="27"/>
  <c r="AO70" i="27" s="1"/>
  <c r="AH177" i="27"/>
  <c r="AN177" i="27"/>
  <c r="AO177" i="27" s="1"/>
  <c r="AN735" i="27"/>
  <c r="AO735" i="27" s="1"/>
  <c r="AH735" i="27"/>
  <c r="AN879" i="27"/>
  <c r="AO879" i="27" s="1"/>
  <c r="AH879" i="27"/>
  <c r="AH1776" i="27"/>
  <c r="AN1776" i="27"/>
  <c r="AO1776" i="27" s="1"/>
  <c r="AH239" i="27"/>
  <c r="AN239" i="27"/>
  <c r="AO239" i="27" s="1"/>
  <c r="AH61" i="27"/>
  <c r="AN61" i="27"/>
  <c r="AO61" i="27" s="1"/>
  <c r="AH1718" i="27"/>
  <c r="AN1718" i="27"/>
  <c r="AO1718" i="27" s="1"/>
  <c r="AH1594" i="27"/>
  <c r="AN1594" i="27"/>
  <c r="AO1594" i="27" s="1"/>
  <c r="AN2970" i="27"/>
  <c r="AO2970" i="27" s="1"/>
  <c r="AH2970" i="27"/>
  <c r="AH1620" i="27"/>
  <c r="AN1620" i="27"/>
  <c r="AO1620" i="27" s="1"/>
  <c r="AN1473" i="27"/>
  <c r="AO1473" i="27" s="1"/>
  <c r="AH1473" i="27"/>
  <c r="AH162" i="27"/>
  <c r="AN162" i="27"/>
  <c r="AO162" i="27" s="1"/>
  <c r="AH1676" i="27"/>
  <c r="AN1676" i="27"/>
  <c r="AO1676" i="27" s="1"/>
  <c r="AH3303" i="27"/>
  <c r="AN3303" i="27"/>
  <c r="AO3303" i="27" s="1"/>
  <c r="AH3212" i="27"/>
  <c r="AN3212" i="27"/>
  <c r="AO3212" i="27" s="1"/>
  <c r="AN3305" i="27"/>
  <c r="AO3305" i="27" s="1"/>
  <c r="AH3305" i="27"/>
  <c r="AN1455" i="27"/>
  <c r="AO1455" i="27" s="1"/>
  <c r="AH1455" i="27"/>
  <c r="AH2940" i="27"/>
  <c r="AN2940" i="27"/>
  <c r="AO2940" i="27" s="1"/>
  <c r="AH1267" i="27"/>
  <c r="AN1267" i="27"/>
  <c r="AO1267" i="27" s="1"/>
  <c r="AH1984" i="27"/>
  <c r="AN1984" i="27"/>
  <c r="AO1984" i="27" s="1"/>
  <c r="AH309" i="27"/>
  <c r="AN309" i="27"/>
  <c r="AO309" i="27" s="1"/>
  <c r="AN1247" i="27"/>
  <c r="AO1247" i="27" s="1"/>
  <c r="AH1247" i="27"/>
  <c r="AN2952" i="27"/>
  <c r="AO2952" i="27" s="1"/>
  <c r="AH2952" i="27"/>
  <c r="AH1735" i="27"/>
  <c r="AN1735" i="27"/>
  <c r="AO1735" i="27" s="1"/>
  <c r="AN2816" i="27"/>
  <c r="AO2816" i="27" s="1"/>
  <c r="AH2816" i="27"/>
  <c r="AH2771" i="27"/>
  <c r="AN2771" i="27"/>
  <c r="AO2771" i="27" s="1"/>
  <c r="AN2634" i="27"/>
  <c r="AO2634" i="27" s="1"/>
  <c r="AN2633" i="27"/>
  <c r="AO2633" i="27" s="1"/>
  <c r="AH2633" i="27"/>
  <c r="AH2618" i="27"/>
  <c r="AN2618" i="27"/>
  <c r="AO2618" i="27" s="1"/>
  <c r="AH2610" i="27"/>
  <c r="AN2610" i="27"/>
  <c r="AO2610" i="27" s="1"/>
  <c r="AN2603" i="27"/>
  <c r="AO2603" i="27" s="1"/>
  <c r="AH2603" i="27"/>
  <c r="AN2577" i="27"/>
  <c r="AO2577" i="27" s="1"/>
  <c r="AH2577" i="27"/>
  <c r="AN2576" i="27"/>
  <c r="AO2576" i="27" s="1"/>
  <c r="AH2576" i="27"/>
  <c r="AH3056" i="27"/>
  <c r="AN3056" i="27"/>
  <c r="AO3056" i="27" s="1"/>
  <c r="AN2110" i="27"/>
  <c r="AO2110" i="27" s="1"/>
  <c r="AH2110" i="27"/>
  <c r="AN2499" i="27"/>
  <c r="AO2499" i="27" s="1"/>
  <c r="AH2499" i="27"/>
  <c r="AN2425" i="27"/>
  <c r="AO2425" i="27" s="1"/>
  <c r="AH2246" i="27"/>
  <c r="AH106" i="27"/>
  <c r="AN106" i="27"/>
  <c r="AO106" i="27" s="1"/>
  <c r="AN2677" i="27"/>
  <c r="AO2677" i="27" s="1"/>
  <c r="AH2677" i="27"/>
  <c r="AN642" i="27"/>
  <c r="AO642" i="27" s="1"/>
  <c r="AH642" i="27"/>
  <c r="AN991" i="27"/>
  <c r="AO991" i="27" s="1"/>
  <c r="AH991" i="27"/>
  <c r="AH2075" i="27"/>
  <c r="AN2075" i="27"/>
  <c r="AO2075" i="27" s="1"/>
  <c r="AN2439" i="27"/>
  <c r="AO2439" i="27" s="1"/>
  <c r="AH2439" i="27"/>
  <c r="AH2237" i="27"/>
  <c r="AN2237" i="27"/>
  <c r="AO2237" i="27" s="1"/>
  <c r="AN1226" i="27"/>
  <c r="AO1226" i="27" s="1"/>
  <c r="AH1226" i="27"/>
  <c r="AN2164" i="27"/>
  <c r="AO2164" i="27" s="1"/>
  <c r="AH2164" i="27"/>
  <c r="AH810" i="27"/>
  <c r="AN810" i="27"/>
  <c r="AO810" i="27" s="1"/>
  <c r="AH1598" i="27"/>
  <c r="AN1598" i="27"/>
  <c r="AO1598" i="27" s="1"/>
  <c r="AH2796" i="27"/>
  <c r="AN2796" i="27"/>
  <c r="AO2796" i="27" s="1"/>
  <c r="AH1708" i="27"/>
  <c r="AN1708" i="27"/>
  <c r="AO1708" i="27" s="1"/>
  <c r="AN2668" i="27"/>
  <c r="AO2668" i="27" s="1"/>
  <c r="AH2668" i="27"/>
  <c r="AH357" i="27"/>
  <c r="AN357" i="27"/>
  <c r="AO357" i="27" s="1"/>
  <c r="AH992" i="27"/>
  <c r="AN992" i="27"/>
  <c r="AO992" i="27" s="1"/>
  <c r="AH2619" i="27"/>
  <c r="AN2619" i="27"/>
  <c r="AO2619" i="27" s="1"/>
  <c r="AH1559" i="27"/>
  <c r="AN1559" i="27"/>
  <c r="AO1559" i="27" s="1"/>
  <c r="AH1005" i="27"/>
  <c r="AN1005" i="27"/>
  <c r="AO1005" i="27" s="1"/>
  <c r="AN2223" i="27"/>
  <c r="AO2223" i="27" s="1"/>
  <c r="AH2223" i="27"/>
  <c r="AH3288" i="27"/>
  <c r="AN3288" i="27"/>
  <c r="AO3288" i="27" s="1"/>
  <c r="AN645" i="27"/>
  <c r="AO645" i="27" s="1"/>
  <c r="AH645" i="27"/>
  <c r="AN2456" i="27"/>
  <c r="AO2456" i="27" s="1"/>
  <c r="AH2456" i="27"/>
  <c r="AH1266" i="27"/>
  <c r="AN1266" i="27"/>
  <c r="AO1266" i="27" s="1"/>
  <c r="AN2515" i="27"/>
  <c r="AO2515" i="27" s="1"/>
  <c r="AH2515" i="27"/>
  <c r="G11" i="30"/>
  <c r="AF11" i="30"/>
  <c r="D89" i="30"/>
  <c r="G89" i="30"/>
  <c r="F89" i="30"/>
  <c r="AH303" i="27"/>
  <c r="AN303" i="27"/>
  <c r="AO303" i="27" s="1"/>
  <c r="E91" i="30"/>
  <c r="AE91" i="30"/>
  <c r="AH3074" i="27"/>
  <c r="AN3074" i="27"/>
  <c r="AO3074" i="27" s="1"/>
  <c r="AE7" i="30"/>
  <c r="F7" i="30"/>
  <c r="G7" i="30"/>
  <c r="AH1046" i="27"/>
  <c r="AN1046" i="27"/>
  <c r="AO1046" i="27" s="1"/>
  <c r="AH1614" i="27"/>
  <c r="AN1614" i="27"/>
  <c r="AO1614" i="27" s="1"/>
  <c r="AH331" i="27"/>
  <c r="AN331" i="27"/>
  <c r="AO331" i="27" s="1"/>
  <c r="AN1526" i="27"/>
  <c r="AO1526" i="27" s="1"/>
  <c r="AH1526" i="27"/>
  <c r="AN1494" i="27"/>
  <c r="AO1494" i="27" s="1"/>
  <c r="AH1494" i="27"/>
  <c r="AN2519" i="27"/>
  <c r="AO2519" i="27" s="1"/>
  <c r="AH2519" i="27"/>
  <c r="AN2838" i="27"/>
  <c r="AO2838" i="27" s="1"/>
  <c r="AH2838" i="27"/>
  <c r="AN2426" i="27"/>
  <c r="AO2426" i="27" s="1"/>
  <c r="AH2426" i="27"/>
  <c r="AN1492" i="27"/>
  <c r="AO1492" i="27" s="1"/>
  <c r="AH1492" i="27"/>
  <c r="AH3121" i="27"/>
  <c r="AN3121" i="27"/>
  <c r="AO3121" i="27" s="1"/>
  <c r="AH2410" i="27"/>
  <c r="AN2410" i="27"/>
  <c r="AO2410" i="27" s="1"/>
  <c r="AN2902" i="27"/>
  <c r="AO2902" i="27" s="1"/>
  <c r="AH2902" i="27"/>
  <c r="AH762" i="27"/>
  <c r="AN762" i="27"/>
  <c r="AO762" i="27" s="1"/>
  <c r="AH368" i="27"/>
  <c r="AN368" i="27"/>
  <c r="AO368" i="27" s="1"/>
  <c r="AN1504" i="27"/>
  <c r="AO1504" i="27" s="1"/>
  <c r="AH1504" i="27"/>
  <c r="AH1376" i="27"/>
  <c r="AN1376" i="27"/>
  <c r="AO1376" i="27" s="1"/>
  <c r="AN1994" i="27"/>
  <c r="AO1994" i="27" s="1"/>
  <c r="AH1994" i="27"/>
  <c r="AH2780" i="27"/>
  <c r="AN2780" i="27"/>
  <c r="AO2780" i="27" s="1"/>
  <c r="AN2730" i="27"/>
  <c r="AO2730" i="27" s="1"/>
  <c r="AH2730" i="27"/>
  <c r="AN2568" i="27"/>
  <c r="AO2568" i="27" s="1"/>
  <c r="AH2568" i="27"/>
  <c r="AN1558" i="27"/>
  <c r="AO1558" i="27" s="1"/>
  <c r="AH1558" i="27"/>
  <c r="AN664" i="27"/>
  <c r="AO664" i="27" s="1"/>
  <c r="AH664" i="27"/>
  <c r="AN1921" i="27"/>
  <c r="AO1921" i="27" s="1"/>
  <c r="AH1921" i="27"/>
  <c r="AH522" i="27"/>
  <c r="AN522" i="27"/>
  <c r="AO522" i="27" s="1"/>
  <c r="AN1451" i="27"/>
  <c r="AO1451" i="27" s="1"/>
  <c r="AH1451" i="27"/>
  <c r="AH2185" i="27"/>
  <c r="AN2185" i="27"/>
  <c r="AO2185" i="27" s="1"/>
  <c r="AN1755" i="27"/>
  <c r="AO1755" i="27" s="1"/>
  <c r="AH1755" i="27"/>
  <c r="AN793" i="27"/>
  <c r="AO793" i="27" s="1"/>
  <c r="AH793" i="27"/>
  <c r="AH1126" i="27"/>
  <c r="AN1126" i="27"/>
  <c r="AO1126" i="27" s="1"/>
  <c r="D97" i="30"/>
  <c r="AE97" i="30"/>
  <c r="AH253" i="27"/>
  <c r="AH148" i="27"/>
  <c r="AN267" i="27"/>
  <c r="AO267" i="27" s="1"/>
  <c r="AE54" i="30"/>
  <c r="AF54" i="30"/>
  <c r="AH3027" i="27"/>
  <c r="AN387" i="27"/>
  <c r="AO387" i="27" s="1"/>
  <c r="AH2590" i="27"/>
  <c r="AN2804" i="27"/>
  <c r="AO2804" i="27" s="1"/>
  <c r="AN690" i="27"/>
  <c r="AO690" i="27" s="1"/>
  <c r="AH2906" i="27"/>
  <c r="AH50" i="27"/>
  <c r="AN50" i="27"/>
  <c r="AO50" i="27" s="1"/>
  <c r="AH194" i="27"/>
  <c r="AN194" i="27"/>
  <c r="AO194" i="27" s="1"/>
  <c r="AH3161" i="27"/>
  <c r="AN3161" i="27"/>
  <c r="AO3161" i="27" s="1"/>
  <c r="AN68" i="27"/>
  <c r="AO68" i="27" s="1"/>
  <c r="AH68" i="27"/>
  <c r="AH37" i="27"/>
  <c r="AN37" i="27"/>
  <c r="AO37" i="27" s="1"/>
  <c r="AH156" i="27"/>
  <c r="AN156" i="27"/>
  <c r="AO156" i="27" s="1"/>
  <c r="AF70" i="30"/>
  <c r="F70" i="30"/>
  <c r="F78" i="30"/>
  <c r="AF78" i="30"/>
  <c r="AH1662" i="27"/>
  <c r="AN1678" i="27"/>
  <c r="AO1678" i="27" s="1"/>
  <c r="AH1787" i="27"/>
  <c r="AN2742" i="27"/>
  <c r="AO2742" i="27" s="1"/>
  <c r="AN2226" i="27"/>
  <c r="AO2226" i="27" s="1"/>
  <c r="AN1929" i="27"/>
  <c r="AO1929" i="27" s="1"/>
  <c r="AN2979" i="27"/>
  <c r="AO2979" i="27" s="1"/>
  <c r="AN2360" i="27"/>
  <c r="AO2360" i="27" s="1"/>
  <c r="AH2360" i="27"/>
  <c r="AN2857" i="27"/>
  <c r="AO2857" i="27" s="1"/>
  <c r="AH2857" i="27"/>
  <c r="AN1531" i="27"/>
  <c r="AO1531" i="27" s="1"/>
  <c r="AH1531" i="27"/>
  <c r="AN3304" i="27"/>
  <c r="AO3304" i="27" s="1"/>
  <c r="AH3304" i="27"/>
  <c r="AH1179" i="27"/>
  <c r="AN1179" i="27"/>
  <c r="AO1179" i="27" s="1"/>
  <c r="AN2114" i="27"/>
  <c r="AO2114" i="27" s="1"/>
  <c r="AH2114" i="27"/>
  <c r="AN399" i="27"/>
  <c r="AO399" i="27" s="1"/>
  <c r="AH399" i="27"/>
  <c r="AH2858" i="27"/>
  <c r="AN2858" i="27"/>
  <c r="AO2858" i="27" s="1"/>
  <c r="AN1101" i="27"/>
  <c r="AO1101" i="27" s="1"/>
  <c r="AH1101" i="27"/>
  <c r="AH909" i="27"/>
  <c r="AN909" i="27"/>
  <c r="AO909" i="27" s="1"/>
  <c r="AH1132" i="27"/>
  <c r="AN1132" i="27"/>
  <c r="AO1132" i="27" s="1"/>
  <c r="AN2404" i="27"/>
  <c r="AO2404" i="27" s="1"/>
  <c r="AH2404" i="27"/>
  <c r="AH202" i="27"/>
  <c r="AN202" i="27"/>
  <c r="AO202" i="27" s="1"/>
  <c r="AH1252" i="27"/>
  <c r="AN1252" i="27"/>
  <c r="AO1252" i="27" s="1"/>
  <c r="AH2488" i="27"/>
  <c r="AN2488" i="27"/>
  <c r="AO2488" i="27" s="1"/>
  <c r="AH2851" i="27"/>
  <c r="AN2851" i="27"/>
  <c r="AO2851" i="27" s="1"/>
  <c r="AH2024" i="27"/>
  <c r="AN2024" i="27"/>
  <c r="AO2024" i="27" s="1"/>
  <c r="AN3312" i="27"/>
  <c r="AO3312" i="27" s="1"/>
  <c r="AH3312" i="27"/>
  <c r="AN1939" i="27"/>
  <c r="AO1939" i="27" s="1"/>
  <c r="AH1939" i="27"/>
  <c r="AH1636" i="27"/>
  <c r="AN1636" i="27"/>
  <c r="AO1636" i="27" s="1"/>
  <c r="AN1399" i="27"/>
  <c r="AO1399" i="27" s="1"/>
  <c r="AH1399" i="27"/>
  <c r="AH132" i="27"/>
  <c r="AN132" i="27"/>
  <c r="AO132" i="27" s="1"/>
  <c r="AH487" i="27"/>
  <c r="AN487" i="27"/>
  <c r="AO487" i="27" s="1"/>
  <c r="AN2832" i="27"/>
  <c r="AO2832" i="27" s="1"/>
  <c r="AH2832" i="27"/>
  <c r="AN608" i="27"/>
  <c r="AO608" i="27" s="1"/>
  <c r="AH608" i="27"/>
  <c r="AH2823" i="27"/>
  <c r="AN2823" i="27"/>
  <c r="AO2823" i="27" s="1"/>
  <c r="AN3268" i="27"/>
  <c r="AO3268" i="27" s="1"/>
  <c r="AH3268" i="27"/>
  <c r="AH1821" i="27"/>
  <c r="AN1821" i="27"/>
  <c r="AO1821" i="27" s="1"/>
  <c r="AH3145" i="27"/>
  <c r="AN3145" i="27"/>
  <c r="AO3145" i="27" s="1"/>
  <c r="AN3157" i="27"/>
  <c r="AO3157" i="27" s="1"/>
  <c r="AH3157" i="27"/>
  <c r="AN29" i="27"/>
  <c r="AO29" i="27" s="1"/>
  <c r="AH29" i="27"/>
  <c r="AN3139" i="27"/>
  <c r="AO3139" i="27" s="1"/>
  <c r="AH3139" i="27"/>
  <c r="AH238" i="27"/>
  <c r="AN238" i="27"/>
  <c r="AO238" i="27" s="1"/>
  <c r="AN1721" i="27"/>
  <c r="AO1721" i="27" s="1"/>
  <c r="AH1721" i="27"/>
  <c r="AH1664" i="27"/>
  <c r="AN1664" i="27"/>
  <c r="AO1664" i="27" s="1"/>
  <c r="AN3112" i="27"/>
  <c r="AO3112" i="27" s="1"/>
  <c r="AH3112" i="27"/>
  <c r="AH1641" i="27"/>
  <c r="AN1641" i="27"/>
  <c r="AO1641" i="27" s="1"/>
  <c r="AN1474" i="27"/>
  <c r="AO1474" i="27" s="1"/>
  <c r="AH1474" i="27"/>
  <c r="AN3302" i="27"/>
  <c r="AO3302" i="27" s="1"/>
  <c r="AH3302" i="27"/>
  <c r="AN1522" i="27"/>
  <c r="AO1522" i="27" s="1"/>
  <c r="AH1522" i="27"/>
  <c r="AH1782" i="27"/>
  <c r="AN1782" i="27"/>
  <c r="AO1782" i="27" s="1"/>
  <c r="AN2316" i="27"/>
  <c r="AO2316" i="27" s="1"/>
  <c r="AH2316" i="27"/>
  <c r="AH405" i="27"/>
  <c r="AN405" i="27"/>
  <c r="AO405" i="27" s="1"/>
  <c r="AN91" i="27"/>
  <c r="AO91" i="27" s="1"/>
  <c r="AH91" i="27"/>
  <c r="AH2298" i="27"/>
  <c r="AN2298" i="27"/>
  <c r="AO2298" i="27" s="1"/>
  <c r="AH2955" i="27"/>
  <c r="AN2955" i="27"/>
  <c r="AO2955" i="27" s="1"/>
  <c r="AN1752" i="27"/>
  <c r="AO1752" i="27" s="1"/>
  <c r="AN621" i="27"/>
  <c r="AO621" i="27" s="1"/>
  <c r="AN901" i="27"/>
  <c r="AO901" i="27" s="1"/>
  <c r="AN631" i="27"/>
  <c r="AO631" i="27" s="1"/>
  <c r="AN3250" i="27"/>
  <c r="AO3250" i="27" s="1"/>
  <c r="AN559" i="27"/>
  <c r="AO559" i="27" s="1"/>
  <c r="AN3299" i="27"/>
  <c r="AO3299" i="27" s="1"/>
  <c r="AN641" i="27"/>
  <c r="AO641" i="27" s="1"/>
  <c r="AN2799" i="27"/>
  <c r="AO2799" i="27" s="1"/>
  <c r="AN772" i="27"/>
  <c r="AO772" i="27" s="1"/>
  <c r="AN1533" i="27"/>
  <c r="AO1533" i="27" s="1"/>
  <c r="AN2522" i="27"/>
  <c r="AO2522" i="27" s="1"/>
  <c r="AN2556" i="27"/>
  <c r="AO2556" i="27" s="1"/>
  <c r="AH2697" i="27"/>
  <c r="AN125" i="27"/>
  <c r="AO125" i="27" s="1"/>
  <c r="AH3068" i="27"/>
  <c r="AN1672" i="27"/>
  <c r="AO1672" i="27" s="1"/>
  <c r="AH2332" i="27"/>
  <c r="AH2688" i="27"/>
  <c r="AH2346" i="27"/>
  <c r="AH1582" i="27"/>
  <c r="AN1778" i="27"/>
  <c r="AO1778" i="27" s="1"/>
  <c r="AN3103" i="27"/>
  <c r="AO3103" i="27" s="1"/>
  <c r="AH1459" i="27"/>
  <c r="AH3219" i="27"/>
  <c r="AN3150" i="27"/>
  <c r="AO3150" i="27" s="1"/>
  <c r="AN3191" i="27"/>
  <c r="AO3191" i="27" s="1"/>
  <c r="AN2260" i="27"/>
  <c r="AO2260" i="27" s="1"/>
  <c r="AN1029" i="27"/>
  <c r="AO1029" i="27" s="1"/>
  <c r="AN215" i="27"/>
  <c r="AO215" i="27" s="1"/>
  <c r="AH2651" i="27"/>
  <c r="AH3153" i="27"/>
  <c r="AN2325" i="27"/>
  <c r="AO2325" i="27" s="1"/>
  <c r="AH598" i="27"/>
  <c r="AH1067" i="27"/>
  <c r="AH1889" i="27"/>
  <c r="AH1219" i="27"/>
  <c r="AN3137" i="27"/>
  <c r="AO3137" i="27" s="1"/>
  <c r="AH3120" i="27"/>
  <c r="AN3149" i="27"/>
  <c r="AO3149" i="27" s="1"/>
  <c r="AN1359" i="27"/>
  <c r="AO1359" i="27" s="1"/>
  <c r="AH3026" i="27"/>
  <c r="AH1997" i="27"/>
  <c r="AN1997" i="27"/>
  <c r="AO1997" i="27" s="1"/>
  <c r="AH408" i="27"/>
  <c r="AN408" i="27"/>
  <c r="AO408" i="27" s="1"/>
  <c r="AM149" i="27"/>
  <c r="AN2691" i="27"/>
  <c r="AO2691" i="27" s="1"/>
  <c r="AN3270" i="27"/>
  <c r="AO3270" i="27" s="1"/>
  <c r="AH3270" i="27"/>
  <c r="AN1836" i="27"/>
  <c r="AO1836" i="27" s="1"/>
  <c r="AH1836" i="27"/>
  <c r="AF115" i="30"/>
  <c r="F115" i="30"/>
  <c r="D16" i="30"/>
  <c r="E16" i="30"/>
  <c r="AF16" i="30"/>
  <c r="AF56" i="30"/>
  <c r="G56" i="30"/>
  <c r="F56" i="30"/>
  <c r="AE37" i="30"/>
  <c r="AF37" i="30"/>
  <c r="G37" i="30"/>
  <c r="AE44" i="30"/>
  <c r="AF44" i="30"/>
  <c r="E44" i="30"/>
  <c r="AF29" i="30"/>
  <c r="AE29" i="30"/>
  <c r="G29" i="30"/>
  <c r="G78" i="30"/>
  <c r="E78" i="30"/>
  <c r="D78" i="30"/>
  <c r="AE78" i="30"/>
  <c r="E30" i="30"/>
  <c r="AE30" i="30"/>
  <c r="F30" i="30"/>
  <c r="D30" i="30"/>
  <c r="AH1852" i="27"/>
  <c r="AN1852" i="27"/>
  <c r="AO1852" i="27" s="1"/>
  <c r="F83" i="30"/>
  <c r="AE115" i="30"/>
  <c r="E56" i="30"/>
  <c r="D56" i="30"/>
  <c r="AH1838" i="27"/>
  <c r="AE56" i="30"/>
  <c r="AH147" i="27"/>
  <c r="AN147" i="27"/>
  <c r="AO147" i="27" s="1"/>
  <c r="AN2917" i="27"/>
  <c r="AO2917" i="27" s="1"/>
  <c r="AH2917" i="27"/>
  <c r="AN227" i="27"/>
  <c r="AO227" i="27" s="1"/>
  <c r="AH1831" i="27"/>
  <c r="F28" i="30"/>
  <c r="G28" i="30"/>
  <c r="D28" i="30"/>
  <c r="AN178" i="27"/>
  <c r="AO178" i="27" s="1"/>
  <c r="AH178" i="27"/>
  <c r="AN1857" i="27"/>
  <c r="AO1857" i="27" s="1"/>
  <c r="AH1857" i="27"/>
  <c r="AH138" i="27"/>
  <c r="AN138" i="27"/>
  <c r="AO138" i="27" s="1"/>
  <c r="F76" i="30"/>
  <c r="E76" i="30"/>
  <c r="AN111" i="27"/>
  <c r="AO111" i="27" s="1"/>
  <c r="AH111" i="27"/>
  <c r="AH189" i="27"/>
  <c r="AN189" i="27"/>
  <c r="AO189" i="27" s="1"/>
  <c r="AH51" i="27"/>
  <c r="AN51" i="27"/>
  <c r="AO51" i="27" s="1"/>
  <c r="AF67" i="30"/>
  <c r="D67" i="30"/>
  <c r="AN241" i="27"/>
  <c r="AO241" i="27" s="1"/>
  <c r="AH241" i="27"/>
  <c r="G74" i="30"/>
  <c r="AF74" i="30"/>
  <c r="D74" i="30"/>
  <c r="AE74" i="30"/>
  <c r="F74" i="30"/>
  <c r="AN203" i="27"/>
  <c r="AO203" i="27" s="1"/>
  <c r="AH203" i="27"/>
  <c r="AH83" i="27"/>
  <c r="AN83" i="27"/>
  <c r="AO83" i="27" s="1"/>
  <c r="AN121" i="27"/>
  <c r="AO121" i="27" s="1"/>
  <c r="AH121" i="27"/>
  <c r="AH2776" i="27"/>
  <c r="AH1047" i="27"/>
  <c r="AN2007" i="27"/>
  <c r="AO2007" i="27" s="1"/>
  <c r="AH220" i="27"/>
  <c r="AH2757" i="27"/>
  <c r="AN1037" i="27"/>
  <c r="AO1037" i="27" s="1"/>
  <c r="AH1565" i="27"/>
  <c r="AN1682" i="27"/>
  <c r="AO1682" i="27" s="1"/>
  <c r="AH1082" i="27"/>
  <c r="AN1147" i="27"/>
  <c r="AO1147" i="27" s="1"/>
  <c r="AH1697" i="27"/>
  <c r="AN1235" i="27"/>
  <c r="AO1235" i="27" s="1"/>
  <c r="AH1842" i="27"/>
  <c r="AH3155" i="27"/>
  <c r="AN2699" i="27"/>
  <c r="AO2699" i="27" s="1"/>
  <c r="AH907" i="27"/>
  <c r="AN66" i="27"/>
  <c r="AO66" i="27" s="1"/>
  <c r="AH2667" i="27"/>
  <c r="AH2754" i="27"/>
  <c r="AN864" i="27"/>
  <c r="AO864" i="27" s="1"/>
  <c r="AN490" i="27"/>
  <c r="AO490" i="27" s="1"/>
  <c r="AN3263" i="27"/>
  <c r="AO3263" i="27" s="1"/>
  <c r="AH19" i="27"/>
  <c r="AN667" i="27"/>
  <c r="AO667" i="27" s="1"/>
  <c r="AH1214" i="27"/>
  <c r="AH3088" i="27"/>
  <c r="AN1722" i="27"/>
  <c r="AO1722" i="27" s="1"/>
  <c r="AH3260" i="27"/>
  <c r="AH2032" i="27"/>
  <c r="AN973" i="27"/>
  <c r="AO973" i="27" s="1"/>
  <c r="AN1009" i="27"/>
  <c r="AO1009" i="27" s="1"/>
  <c r="AH998" i="27"/>
  <c r="AN3044" i="27"/>
  <c r="AO3044" i="27" s="1"/>
  <c r="AN2642" i="27"/>
  <c r="AO2642" i="27" s="1"/>
  <c r="AH711" i="27"/>
  <c r="AN2962" i="27"/>
  <c r="AO2962" i="27" s="1"/>
  <c r="AN3162" i="27"/>
  <c r="AO3162" i="27" s="1"/>
  <c r="AN1427" i="27"/>
  <c r="AO1427" i="27" s="1"/>
  <c r="AH134" i="27"/>
  <c r="AH2291" i="27"/>
  <c r="AN3086" i="27"/>
  <c r="AO3086" i="27" s="1"/>
  <c r="AH2597" i="27"/>
  <c r="AN1012" i="27"/>
  <c r="AO1012" i="27" s="1"/>
  <c r="AN1174" i="27"/>
  <c r="AO1174" i="27" s="1"/>
  <c r="AN1817" i="27"/>
  <c r="AO1817" i="27" s="1"/>
  <c r="AH367" i="27"/>
  <c r="AH1593" i="27"/>
  <c r="AN1802" i="27"/>
  <c r="AO1802" i="27" s="1"/>
  <c r="AN2386" i="27"/>
  <c r="AO2386" i="27" s="1"/>
  <c r="AH1468" i="27"/>
  <c r="AH2340" i="27"/>
  <c r="AH3265" i="27"/>
  <c r="AH1542" i="27"/>
  <c r="AN2040" i="27"/>
  <c r="AO2040" i="27" s="1"/>
  <c r="AH456" i="27"/>
  <c r="AN456" i="27"/>
  <c r="AO456" i="27" s="1"/>
  <c r="AH754" i="27"/>
  <c r="AN754" i="27"/>
  <c r="AO754" i="27" s="1"/>
  <c r="AH1996" i="27"/>
  <c r="AN1996" i="27"/>
  <c r="AO1996" i="27" s="1"/>
  <c r="AH2542" i="27"/>
  <c r="AN2542" i="27"/>
  <c r="AO2542" i="27" s="1"/>
  <c r="AN2824" i="27"/>
  <c r="AO2824" i="27" s="1"/>
  <c r="AH2824" i="27"/>
  <c r="AN2294" i="27"/>
  <c r="AO2294" i="27" s="1"/>
  <c r="AH2294" i="27"/>
  <c r="AH2408" i="27"/>
  <c r="AN2408" i="27"/>
  <c r="AO2408" i="27" s="1"/>
  <c r="AN2105" i="27"/>
  <c r="AO2105" i="27" s="1"/>
  <c r="AH2105" i="27"/>
  <c r="AF25" i="30"/>
  <c r="AE25" i="30"/>
  <c r="E11" i="30"/>
  <c r="F11" i="30"/>
  <c r="AN2690" i="27"/>
  <c r="AO2690" i="27" s="1"/>
  <c r="AH2690" i="27"/>
  <c r="AN2848" i="27"/>
  <c r="AO2848" i="27" s="1"/>
  <c r="AH2848" i="27"/>
  <c r="AH1764" i="27"/>
  <c r="AN1764" i="27"/>
  <c r="AO1764" i="27" s="1"/>
  <c r="AH2620" i="27"/>
  <c r="AN2620" i="27"/>
  <c r="AO2620" i="27" s="1"/>
  <c r="AN2160" i="27"/>
  <c r="AO2160" i="27" s="1"/>
  <c r="AH2160" i="27"/>
  <c r="AH2512" i="27"/>
  <c r="AN2512" i="27"/>
  <c r="AO2512" i="27" s="1"/>
  <c r="AH2209" i="27"/>
  <c r="AN2209" i="27"/>
  <c r="AO2209" i="27" s="1"/>
  <c r="AN1065" i="27"/>
  <c r="AO1065" i="27" s="1"/>
  <c r="AH1065" i="27"/>
  <c r="AH337" i="27"/>
  <c r="AN337" i="27"/>
  <c r="AO337" i="27" s="1"/>
  <c r="AH2066" i="27"/>
  <c r="AN2066" i="27"/>
  <c r="AO2066" i="27" s="1"/>
  <c r="AH3272" i="27"/>
  <c r="AN3272" i="27"/>
  <c r="AO3272" i="27" s="1"/>
  <c r="AH249" i="27"/>
  <c r="AN249" i="27"/>
  <c r="AO249" i="27" s="1"/>
  <c r="AN2116" i="27"/>
  <c r="AO2116" i="27" s="1"/>
  <c r="AH2116" i="27"/>
  <c r="AH1651" i="27"/>
  <c r="AN1651" i="27"/>
  <c r="AO1651" i="27" s="1"/>
  <c r="AN709" i="27"/>
  <c r="AO709" i="27" s="1"/>
  <c r="AH709" i="27"/>
  <c r="AN601" i="27"/>
  <c r="AO601" i="27" s="1"/>
  <c r="AH601" i="27"/>
  <c r="AH3024" i="27"/>
  <c r="AN3024" i="27"/>
  <c r="AO3024" i="27" s="1"/>
  <c r="AN677" i="27"/>
  <c r="AO677" i="27" s="1"/>
  <c r="AH677" i="27"/>
  <c r="AH3051" i="27"/>
  <c r="AN3051" i="27"/>
  <c r="AO3051" i="27" s="1"/>
  <c r="AH1741" i="27"/>
  <c r="AN1741" i="27"/>
  <c r="AO1741" i="27" s="1"/>
  <c r="AN3062" i="27"/>
  <c r="AO3062" i="27" s="1"/>
  <c r="AH3062" i="27"/>
  <c r="AH2671" i="27"/>
  <c r="AN2671" i="27"/>
  <c r="AO2671" i="27" s="1"/>
  <c r="AH2879" i="27"/>
  <c r="AN2879" i="27"/>
  <c r="AO2879" i="27" s="1"/>
  <c r="AH3072" i="27"/>
  <c r="AN3072" i="27"/>
  <c r="AO3072" i="27" s="1"/>
  <c r="AH2373" i="27"/>
  <c r="AN2373" i="27"/>
  <c r="AO2373" i="27" s="1"/>
  <c r="AN2350" i="27"/>
  <c r="AO2350" i="27" s="1"/>
  <c r="AH2350" i="27"/>
  <c r="AH3089" i="27"/>
  <c r="AN3089" i="27"/>
  <c r="AO3089" i="27" s="1"/>
  <c r="AN593" i="27"/>
  <c r="AO593" i="27" s="1"/>
  <c r="AH593" i="27"/>
  <c r="AH3154" i="27"/>
  <c r="AN3154" i="27"/>
  <c r="AO3154" i="27" s="1"/>
  <c r="AN3324" i="27"/>
  <c r="AO3324" i="27" s="1"/>
  <c r="AH3324" i="27"/>
  <c r="AN1816" i="27"/>
  <c r="AO1816" i="27" s="1"/>
  <c r="AH1816" i="27"/>
  <c r="AN1805" i="27"/>
  <c r="AO1805" i="27" s="1"/>
  <c r="AH1805" i="27"/>
  <c r="AH3158" i="27"/>
  <c r="AN3158" i="27"/>
  <c r="AO3158" i="27" s="1"/>
  <c r="AH3264" i="27"/>
  <c r="AN3264" i="27"/>
  <c r="AO3264" i="27" s="1"/>
  <c r="AH135" i="27"/>
  <c r="AN135" i="27"/>
  <c r="AO135" i="27" s="1"/>
  <c r="AN3131" i="27"/>
  <c r="AO3131" i="27" s="1"/>
  <c r="AH3131" i="27"/>
  <c r="AH3132" i="27"/>
  <c r="AN3132" i="27"/>
  <c r="AO3132" i="27" s="1"/>
  <c r="AN1728" i="27"/>
  <c r="AO1728" i="27" s="1"/>
  <c r="AH1728" i="27"/>
  <c r="AH1731" i="27"/>
  <c r="AN1731" i="27"/>
  <c r="AO1731" i="27" s="1"/>
  <c r="AH3192" i="27"/>
  <c r="AN3192" i="27"/>
  <c r="AO3192" i="27" s="1"/>
  <c r="AN1629" i="27"/>
  <c r="AO1629" i="27" s="1"/>
  <c r="AH1629" i="27"/>
  <c r="AN2062" i="27"/>
  <c r="AO2062" i="27" s="1"/>
  <c r="AH2062" i="27"/>
  <c r="AN2067" i="27"/>
  <c r="AO2067" i="27" s="1"/>
  <c r="AH2067" i="27"/>
  <c r="AH2357" i="27"/>
  <c r="AN2357" i="27"/>
  <c r="AO2357" i="27" s="1"/>
  <c r="AH1624" i="27"/>
  <c r="AN1624" i="27"/>
  <c r="AO1624" i="27" s="1"/>
  <c r="AH2046" i="27"/>
  <c r="AN2046" i="27"/>
  <c r="AO2046" i="27" s="1"/>
  <c r="AN1652" i="27"/>
  <c r="AO1652" i="27" s="1"/>
  <c r="AH1652" i="27"/>
  <c r="AH1658" i="27"/>
  <c r="AN1658" i="27"/>
  <c r="AO1658" i="27" s="1"/>
  <c r="AN1671" i="27"/>
  <c r="AO1671" i="27" s="1"/>
  <c r="AH1671" i="27"/>
  <c r="AH3229" i="27"/>
  <c r="AN3229" i="27"/>
  <c r="AO3229" i="27" s="1"/>
  <c r="AH1639" i="27"/>
  <c r="AN1639" i="27"/>
  <c r="AO1639" i="27" s="1"/>
  <c r="AH1630" i="27"/>
  <c r="AN1630" i="27"/>
  <c r="AO1630" i="27" s="1"/>
  <c r="AN1633" i="27"/>
  <c r="AO1633" i="27" s="1"/>
  <c r="AH1633" i="27"/>
  <c r="AN2337" i="27"/>
  <c r="AO2337" i="27" s="1"/>
  <c r="AH2337" i="27"/>
  <c r="AN1698" i="27"/>
  <c r="AO1698" i="27" s="1"/>
  <c r="AH1698" i="27"/>
  <c r="AN47" i="27"/>
  <c r="AO47" i="27" s="1"/>
  <c r="AH47" i="27"/>
  <c r="AN2056" i="27"/>
  <c r="AO2056" i="27" s="1"/>
  <c r="AH2056" i="27"/>
  <c r="AN1569" i="27"/>
  <c r="AO1569" i="27" s="1"/>
  <c r="AH1569" i="27"/>
  <c r="AH1628" i="27"/>
  <c r="AN1628" i="27"/>
  <c r="AO1628" i="27" s="1"/>
  <c r="AH1510" i="27"/>
  <c r="AN1510" i="27"/>
  <c r="AO1510" i="27" s="1"/>
  <c r="AH3090" i="27"/>
  <c r="AN3090" i="27"/>
  <c r="AO3090" i="27" s="1"/>
  <c r="AN2335" i="27"/>
  <c r="AO2335" i="27" s="1"/>
  <c r="AH2335" i="27"/>
  <c r="AH3216" i="27"/>
  <c r="AN3216" i="27"/>
  <c r="AO3216" i="27" s="1"/>
  <c r="AN3301" i="27"/>
  <c r="AO3301" i="27" s="1"/>
  <c r="AH3301" i="27"/>
  <c r="AH2329" i="27"/>
  <c r="AN2329" i="27"/>
  <c r="AO2329" i="27" s="1"/>
  <c r="AN306" i="27"/>
  <c r="AO306" i="27" s="1"/>
  <c r="AH306" i="27"/>
  <c r="AH1195" i="27"/>
  <c r="AN1195" i="27"/>
  <c r="AO1195" i="27" s="1"/>
  <c r="AH1443" i="27"/>
  <c r="AN1443" i="27"/>
  <c r="AO1443" i="27" s="1"/>
  <c r="AH1528" i="27"/>
  <c r="AN1528" i="27"/>
  <c r="AO1528" i="27" s="1"/>
  <c r="AN3048" i="27"/>
  <c r="AO3048" i="27" s="1"/>
  <c r="AH3048" i="27"/>
  <c r="AN3032" i="27"/>
  <c r="AO3032" i="27" s="1"/>
  <c r="AH3032" i="27"/>
  <c r="AN1576" i="27"/>
  <c r="AO1576" i="27" s="1"/>
  <c r="AH1576" i="27"/>
  <c r="AH1452" i="27"/>
  <c r="AN1452" i="27"/>
  <c r="AO1452" i="27" s="1"/>
  <c r="AH1395" i="27"/>
  <c r="AN1395" i="27"/>
  <c r="AO1395" i="27" s="1"/>
  <c r="AH1566" i="27"/>
  <c r="AN1566" i="27"/>
  <c r="AO1566" i="27" s="1"/>
  <c r="AH2911" i="27"/>
  <c r="AN2911" i="27"/>
  <c r="AO2911" i="27" s="1"/>
  <c r="AH2842" i="27"/>
  <c r="AN2842" i="27"/>
  <c r="AO2842" i="27" s="1"/>
  <c r="AH2734" i="27"/>
  <c r="AH195" i="27"/>
  <c r="G114" i="30"/>
  <c r="AH1853" i="27"/>
  <c r="D70" i="30"/>
  <c r="F114" i="30"/>
  <c r="AE12" i="30"/>
  <c r="D47" i="30"/>
  <c r="G12" i="30"/>
  <c r="AH49" i="27"/>
  <c r="AH1677" i="27"/>
  <c r="AH2134" i="27"/>
  <c r="G47" i="30"/>
  <c r="D68" i="30"/>
  <c r="AE68" i="30"/>
  <c r="AF47" i="30"/>
  <c r="AN163" i="27"/>
  <c r="AO163" i="27" s="1"/>
  <c r="AH163" i="27"/>
  <c r="D12" i="30"/>
  <c r="AN1846" i="27"/>
  <c r="AO1846" i="27" s="1"/>
  <c r="AH1846" i="27"/>
  <c r="AH260" i="27"/>
  <c r="AF32" i="30"/>
  <c r="D32" i="30"/>
  <c r="AF101" i="30"/>
  <c r="D54" i="30"/>
  <c r="E54" i="30"/>
  <c r="F13" i="30"/>
  <c r="G13" i="30"/>
  <c r="E13" i="30"/>
  <c r="AN1687" i="27"/>
  <c r="AO1687" i="27" s="1"/>
  <c r="AF49" i="30"/>
  <c r="AE49" i="30"/>
  <c r="F49" i="30"/>
  <c r="AN254" i="27"/>
  <c r="AO254" i="27" s="1"/>
  <c r="AH254" i="27"/>
  <c r="AH3278" i="27"/>
  <c r="AN3278" i="27"/>
  <c r="AO3278" i="27" s="1"/>
  <c r="AH3046" i="27"/>
  <c r="AN3046" i="27"/>
  <c r="AO3046" i="27" s="1"/>
  <c r="AH1774" i="27"/>
  <c r="AN1774" i="27"/>
  <c r="AO1774" i="27" s="1"/>
  <c r="G14" i="30"/>
  <c r="AF14" i="30"/>
  <c r="D14" i="30"/>
  <c r="AH3067" i="27"/>
  <c r="AN3067" i="27"/>
  <c r="AO3067" i="27" s="1"/>
  <c r="AN738" i="27"/>
  <c r="AO738" i="27" s="1"/>
  <c r="AH738" i="27"/>
  <c r="AN1007" i="27"/>
  <c r="AO1007" i="27" s="1"/>
  <c r="AH1007" i="27"/>
  <c r="AH1957" i="27"/>
  <c r="AN1957" i="27"/>
  <c r="AO1957" i="27" s="1"/>
  <c r="AN71" i="27"/>
  <c r="AO71" i="27" s="1"/>
  <c r="AH71" i="27"/>
  <c r="AH46" i="27"/>
  <c r="AN46" i="27"/>
  <c r="AO46" i="27" s="1"/>
  <c r="AE179" i="30"/>
  <c r="AF179" i="30"/>
  <c r="AN3261" i="27"/>
  <c r="AO3261" i="27" s="1"/>
  <c r="AH3261" i="27"/>
  <c r="AH1822" i="27"/>
  <c r="AN1822" i="27"/>
  <c r="AO1822" i="27" s="1"/>
  <c r="AH1751" i="27"/>
  <c r="AN1751" i="27"/>
  <c r="AO1751" i="27" s="1"/>
  <c r="AN1715" i="27"/>
  <c r="AO1715" i="27" s="1"/>
  <c r="AH1715" i="27"/>
  <c r="D52" i="30"/>
  <c r="AE52" i="30"/>
  <c r="G52" i="30"/>
  <c r="AF52" i="30"/>
  <c r="AF73" i="30"/>
  <c r="G73" i="30"/>
  <c r="D73" i="30"/>
  <c r="F73" i="30"/>
  <c r="AH2788" i="27"/>
  <c r="AN2788" i="27"/>
  <c r="AO2788" i="27" s="1"/>
  <c r="AH2990" i="27"/>
  <c r="AN2990" i="27"/>
  <c r="AO2990" i="27" s="1"/>
  <c r="AN1420" i="27"/>
  <c r="AO1420" i="27" s="1"/>
  <c r="AH1420" i="27"/>
  <c r="AN3096" i="27"/>
  <c r="AO3096" i="27" s="1"/>
  <c r="AH3096" i="27"/>
  <c r="AN2527" i="27"/>
  <c r="AO2527" i="27" s="1"/>
  <c r="AH2527" i="27"/>
  <c r="AN495" i="27"/>
  <c r="AO495" i="27" s="1"/>
  <c r="AH495" i="27"/>
  <c r="AN1021" i="27"/>
  <c r="AO1021" i="27" s="1"/>
  <c r="AH1021" i="27"/>
  <c r="AH2272" i="27"/>
  <c r="AN2272" i="27"/>
  <c r="AO2272" i="27" s="1"/>
  <c r="AH472" i="27"/>
  <c r="AN472" i="27"/>
  <c r="AO472" i="27" s="1"/>
  <c r="AH2072" i="27"/>
  <c r="AN2072" i="27"/>
  <c r="AO2072" i="27" s="1"/>
  <c r="AH1607" i="27"/>
  <c r="AN1607" i="27"/>
  <c r="AO1607" i="27" s="1"/>
  <c r="AH2886" i="27"/>
  <c r="AN2886" i="27"/>
  <c r="AO2886" i="27" s="1"/>
  <c r="AH1705" i="27"/>
  <c r="AN1705" i="27"/>
  <c r="AO1705" i="27" s="1"/>
  <c r="AN2584" i="27"/>
  <c r="AO2584" i="27" s="1"/>
  <c r="AH2584" i="27"/>
  <c r="AN999" i="27"/>
  <c r="AO999" i="27" s="1"/>
  <c r="AH999" i="27"/>
  <c r="AN1937" i="27"/>
  <c r="AO1937" i="27" s="1"/>
  <c r="AH1937" i="27"/>
  <c r="AN1733" i="27"/>
  <c r="AO1733" i="27" s="1"/>
  <c r="AH1733" i="27"/>
  <c r="AN1885" i="27"/>
  <c r="AO1885" i="27" s="1"/>
  <c r="AH1885" i="27"/>
  <c r="AH2043" i="27"/>
  <c r="AN2043" i="27"/>
  <c r="AO2043" i="27" s="1"/>
  <c r="AH2227" i="27"/>
  <c r="AN2227" i="27"/>
  <c r="AO2227" i="27" s="1"/>
  <c r="AH1770" i="27"/>
  <c r="AN1770" i="27"/>
  <c r="AO1770" i="27" s="1"/>
  <c r="AN2180" i="27"/>
  <c r="AO2180" i="27" s="1"/>
  <c r="AH2180" i="27"/>
  <c r="AN2025" i="27"/>
  <c r="AO2025" i="27" s="1"/>
  <c r="AH2025" i="27"/>
  <c r="AH1807" i="27"/>
  <c r="AN1807" i="27"/>
  <c r="AO1807" i="27" s="1"/>
  <c r="AN90" i="27"/>
  <c r="AO90" i="27" s="1"/>
  <c r="AH90" i="27"/>
  <c r="AN228" i="27"/>
  <c r="AO228" i="27" s="1"/>
  <c r="AH228" i="27"/>
  <c r="AH1784" i="27"/>
  <c r="AN1784" i="27"/>
  <c r="AO1784" i="27" s="1"/>
  <c r="AH1736" i="27"/>
  <c r="AN1736" i="27"/>
  <c r="AO1736" i="27" s="1"/>
  <c r="AN1719" i="27"/>
  <c r="AO1719" i="27" s="1"/>
  <c r="AH1719" i="27"/>
  <c r="AN3246" i="27"/>
  <c r="AO3246" i="27" s="1"/>
  <c r="AH3246" i="27"/>
  <c r="AH3144" i="27"/>
  <c r="AN3144" i="27"/>
  <c r="AO3144" i="27" s="1"/>
  <c r="AH3247" i="27"/>
  <c r="AN3247" i="27"/>
  <c r="AO3247" i="27" s="1"/>
  <c r="AH3195" i="27"/>
  <c r="AN3195" i="27"/>
  <c r="AO3195" i="27" s="1"/>
  <c r="AN1701" i="27"/>
  <c r="AO1701" i="27" s="1"/>
  <c r="AH1701" i="27"/>
  <c r="AH2364" i="27"/>
  <c r="AN2364" i="27"/>
  <c r="AO2364" i="27" s="1"/>
  <c r="AH3217" i="27"/>
  <c r="AN3217" i="27"/>
  <c r="AO3217" i="27" s="1"/>
  <c r="AH1744" i="27"/>
  <c r="AN1744" i="27"/>
  <c r="AO1744" i="27" s="1"/>
  <c r="AN1732" i="27"/>
  <c r="AO1732" i="27" s="1"/>
  <c r="AH1732" i="27"/>
  <c r="AN1654" i="27"/>
  <c r="AO1654" i="27" s="1"/>
  <c r="AH1654" i="27"/>
  <c r="AH1648" i="27"/>
  <c r="AN1648" i="27"/>
  <c r="AO1648" i="27" s="1"/>
  <c r="AH3226" i="27"/>
  <c r="AN3226" i="27"/>
  <c r="AO3226" i="27" s="1"/>
  <c r="AH2052" i="27"/>
  <c r="AN2052" i="27"/>
  <c r="AO2052" i="27" s="1"/>
  <c r="AN1693" i="27"/>
  <c r="AO1693" i="27" s="1"/>
  <c r="AH1693" i="27"/>
  <c r="AH3287" i="27"/>
  <c r="AN3287" i="27"/>
  <c r="AO3287" i="27" s="1"/>
  <c r="AH1745" i="27"/>
  <c r="AN1745" i="27"/>
  <c r="AO1745" i="27" s="1"/>
  <c r="AN3300" i="27"/>
  <c r="AO3300" i="27" s="1"/>
  <c r="AH3300" i="27"/>
  <c r="AH438" i="27"/>
  <c r="AN438" i="27"/>
  <c r="AO438" i="27" s="1"/>
  <c r="AH1511" i="27"/>
  <c r="AN1511" i="27"/>
  <c r="AO1511" i="27" s="1"/>
  <c r="AN3069" i="27"/>
  <c r="AO3069" i="27" s="1"/>
  <c r="AH3069" i="27"/>
  <c r="AN2320" i="27"/>
  <c r="AO2320" i="27" s="1"/>
  <c r="AH2320" i="27"/>
  <c r="AN1275" i="27"/>
  <c r="AO1275" i="27" s="1"/>
  <c r="AH1275" i="27"/>
  <c r="AN1497" i="27"/>
  <c r="AO1497" i="27" s="1"/>
  <c r="AH1497" i="27"/>
  <c r="AH1525" i="27"/>
  <c r="AN1525" i="27"/>
  <c r="AO1525" i="27" s="1"/>
  <c r="AN1396" i="27"/>
  <c r="AO1396" i="27" s="1"/>
  <c r="AH1396" i="27"/>
  <c r="AN2995" i="27"/>
  <c r="AO2995" i="27" s="1"/>
  <c r="AH2995" i="27"/>
  <c r="AN825" i="27"/>
  <c r="AO825" i="27" s="1"/>
  <c r="AH2319" i="27"/>
  <c r="AN705" i="27"/>
  <c r="AO705" i="27" s="1"/>
  <c r="F132" i="30"/>
  <c r="G132" i="30"/>
  <c r="E132" i="30"/>
  <c r="AN2355" i="27"/>
  <c r="AO2355" i="27" s="1"/>
  <c r="AN1933" i="27"/>
  <c r="AO1933" i="27" s="1"/>
  <c r="AH604" i="27"/>
  <c r="AH411" i="27"/>
  <c r="AH1642" i="27"/>
  <c r="AH3186" i="27"/>
  <c r="AN859" i="27"/>
  <c r="AO859" i="27" s="1"/>
  <c r="AN1640" i="27"/>
  <c r="AO1640" i="27" s="1"/>
  <c r="AH1322" i="27"/>
  <c r="AH3113" i="27"/>
  <c r="AH43" i="27"/>
  <c r="AN2352" i="27"/>
  <c r="AO2352" i="27" s="1"/>
  <c r="AH2370" i="27"/>
  <c r="AH2557" i="27"/>
  <c r="AN933" i="27"/>
  <c r="AO933" i="27" s="1"/>
  <c r="AN1983" i="27"/>
  <c r="AO1983" i="27" s="1"/>
  <c r="AH1979" i="27"/>
  <c r="AN2461" i="27"/>
  <c r="AO2461" i="27" s="1"/>
  <c r="AN460" i="27"/>
  <c r="AO460" i="27" s="1"/>
  <c r="AN2184" i="27"/>
  <c r="AO2184" i="27" s="1"/>
  <c r="AN1204" i="27"/>
  <c r="AO1204" i="27" s="1"/>
  <c r="AN1758" i="27"/>
  <c r="AO1758" i="27" s="1"/>
  <c r="AN2231" i="27"/>
  <c r="AO2231" i="27" s="1"/>
  <c r="AH1714" i="27"/>
  <c r="AH1830" i="27"/>
  <c r="AH2694" i="27"/>
  <c r="AH328" i="27"/>
  <c r="AH1645" i="27"/>
  <c r="AH2331" i="27"/>
  <c r="AH3125" i="27"/>
  <c r="AH808" i="27"/>
  <c r="AN1797" i="27"/>
  <c r="AO1797" i="27" s="1"/>
  <c r="AH65" i="27"/>
  <c r="AH1987" i="27"/>
  <c r="AN212" i="27"/>
  <c r="AO212" i="27" s="1"/>
  <c r="AH2249" i="27"/>
  <c r="AN3306" i="27"/>
  <c r="AO3306" i="27" s="1"/>
  <c r="AH505" i="27"/>
  <c r="AH3041" i="27"/>
  <c r="AN3098" i="27"/>
  <c r="AO3098" i="27" s="1"/>
  <c r="AN1050" i="27"/>
  <c r="AO1050" i="27" s="1"/>
  <c r="AH3240" i="27"/>
  <c r="AN699" i="27"/>
  <c r="AO699" i="27" s="1"/>
  <c r="AH1523" i="27"/>
  <c r="AN3106" i="27"/>
  <c r="AO3106" i="27" s="1"/>
  <c r="AN1386" i="27"/>
  <c r="AO1386" i="27" s="1"/>
  <c r="AH1386" i="27"/>
  <c r="AH1653" i="27"/>
  <c r="AH2846" i="27"/>
  <c r="AN1703" i="27"/>
  <c r="AO1703" i="27" s="1"/>
  <c r="AH1766" i="27"/>
  <c r="AN648" i="27"/>
  <c r="AO648" i="27" s="1"/>
  <c r="AH648" i="27"/>
  <c r="AN401" i="27"/>
  <c r="AO401" i="27" s="1"/>
  <c r="AH401" i="27"/>
  <c r="AH2793" i="27"/>
  <c r="AH2712" i="27"/>
  <c r="AH2706" i="27"/>
  <c r="AH378" i="27"/>
  <c r="AN378" i="27"/>
  <c r="AO378" i="27" s="1"/>
  <c r="AH3080" i="27"/>
  <c r="AN3080" i="27"/>
  <c r="AO3080" i="27" s="1"/>
  <c r="AH1891" i="27"/>
  <c r="AN1891" i="27"/>
  <c r="AO1891" i="27" s="1"/>
  <c r="AN2178" i="27"/>
  <c r="AO2178" i="27" s="1"/>
  <c r="AH2178" i="27"/>
  <c r="AN22" i="27"/>
  <c r="AO22" i="27" s="1"/>
  <c r="G68" i="30"/>
  <c r="AN380" i="27"/>
  <c r="AO380" i="27" s="1"/>
  <c r="AH380" i="27"/>
  <c r="AH3138" i="27"/>
  <c r="AN3138" i="27"/>
  <c r="AO3138" i="27" s="1"/>
  <c r="AH1789" i="27"/>
  <c r="AN1789" i="27"/>
  <c r="AO1789" i="27" s="1"/>
  <c r="AH3054" i="27"/>
  <c r="AN3054" i="27"/>
  <c r="AO3054" i="27" s="1"/>
  <c r="AN1182" i="27"/>
  <c r="AO1182" i="27" s="1"/>
  <c r="AH1182" i="27"/>
  <c r="AH1335" i="27"/>
  <c r="AN1335" i="27"/>
  <c r="AO1335" i="27" s="1"/>
  <c r="AH1270" i="27"/>
  <c r="AN1270" i="27"/>
  <c r="AO1270" i="27" s="1"/>
  <c r="AN1320" i="27"/>
  <c r="AO1320" i="27" s="1"/>
  <c r="AH1320" i="27"/>
  <c r="AN2339" i="27"/>
  <c r="AO2339" i="27" s="1"/>
  <c r="AN3320" i="27"/>
  <c r="AO3320" i="27" s="1"/>
  <c r="AN1911" i="27"/>
  <c r="AO1911" i="27" s="1"/>
  <c r="AF7" i="30"/>
  <c r="AN1786" i="27"/>
  <c r="AO1786" i="27" s="1"/>
  <c r="AH1480" i="27"/>
  <c r="AN1573" i="27"/>
  <c r="AO1573" i="27" s="1"/>
  <c r="AH1618" i="27"/>
  <c r="AN3110" i="27"/>
  <c r="AO3110" i="27" s="1"/>
  <c r="AN725" i="27"/>
  <c r="AO725" i="27" s="1"/>
  <c r="AH57" i="27"/>
  <c r="AH1462" i="27"/>
  <c r="AH3198" i="27"/>
  <c r="AH3266" i="27"/>
  <c r="AN1238" i="27"/>
  <c r="AO1238" i="27" s="1"/>
  <c r="AH1632" i="27"/>
  <c r="AN2898" i="27"/>
  <c r="AO2898" i="27" s="1"/>
  <c r="AH1727" i="27"/>
  <c r="AN1613" i="27"/>
  <c r="AO1613" i="27" s="1"/>
  <c r="AH1353" i="27"/>
  <c r="AH3298" i="27"/>
  <c r="AH101" i="27"/>
  <c r="AN508" i="27"/>
  <c r="AO508" i="27" s="1"/>
  <c r="AH1610" i="27"/>
  <c r="AN555" i="27"/>
  <c r="AO555" i="27" s="1"/>
  <c r="AN2033" i="27"/>
  <c r="AO2033" i="27" s="1"/>
  <c r="AN1479" i="27"/>
  <c r="AO1479" i="27" s="1"/>
  <c r="AN1655" i="27"/>
  <c r="AO1655" i="27" s="1"/>
  <c r="AN3003" i="27"/>
  <c r="AO3003" i="27" s="1"/>
  <c r="AH1505" i="27"/>
  <c r="AH3040" i="27"/>
  <c r="AN1773" i="27"/>
  <c r="AO1773" i="27" s="1"/>
  <c r="AH1773" i="27"/>
  <c r="AH1772" i="27"/>
  <c r="AN1772" i="27"/>
  <c r="AO1772" i="27" s="1"/>
  <c r="AM176" i="27"/>
  <c r="AF75" i="30"/>
  <c r="AE75" i="30"/>
  <c r="D59" i="30"/>
  <c r="G59" i="30"/>
  <c r="AF59" i="30"/>
  <c r="AF45" i="30"/>
  <c r="E45" i="30"/>
  <c r="D45" i="30"/>
  <c r="D72" i="30"/>
  <c r="D943" i="32"/>
  <c r="AN787" i="27"/>
  <c r="AO787" i="27" s="1"/>
  <c r="AH787" i="27"/>
  <c r="AH1450" i="27"/>
  <c r="AH1608" i="27"/>
  <c r="AH1971" i="27"/>
  <c r="AN2487" i="27"/>
  <c r="AO2487" i="27" s="1"/>
  <c r="AN674" i="27"/>
  <c r="AO674" i="27" s="1"/>
  <c r="AN719" i="27"/>
  <c r="AO719" i="27" s="1"/>
  <c r="AN2567" i="27"/>
  <c r="AO2567" i="27" s="1"/>
  <c r="AH2831" i="27"/>
  <c r="AN2312" i="27"/>
  <c r="AO2312" i="27" s="1"/>
  <c r="AH3291" i="27"/>
  <c r="AH1564" i="27"/>
  <c r="D479" i="32"/>
  <c r="D1496" i="32"/>
  <c r="F68" i="30"/>
  <c r="E68" i="30"/>
  <c r="AN23" i="27"/>
  <c r="AO23" i="27" s="1"/>
  <c r="AH23" i="27"/>
  <c r="AN1985" i="27"/>
  <c r="AO1985" i="27" s="1"/>
  <c r="AH1985" i="27"/>
  <c r="AH421" i="27"/>
  <c r="AN421" i="27"/>
  <c r="AO421" i="27" s="1"/>
  <c r="AH1441" i="27"/>
  <c r="AN1441" i="27"/>
  <c r="AO1441" i="27" s="1"/>
  <c r="AN3257" i="27"/>
  <c r="AO3257" i="27" s="1"/>
  <c r="AH3257" i="27"/>
  <c r="AN3059" i="27"/>
  <c r="AO3059" i="27" s="1"/>
  <c r="AH3059" i="27"/>
  <c r="AE47" i="30"/>
  <c r="AH3004" i="27"/>
  <c r="AN3004" i="27"/>
  <c r="AO3004" i="27" s="1"/>
  <c r="AH128" i="27"/>
  <c r="AN128" i="27"/>
  <c r="AO128" i="27" s="1"/>
  <c r="AH1989" i="27"/>
  <c r="AH2852" i="27"/>
  <c r="AN2852" i="27"/>
  <c r="AO2852" i="27" s="1"/>
  <c r="AH2768" i="27"/>
  <c r="AN2768" i="27"/>
  <c r="AO2768" i="27" s="1"/>
  <c r="AH2338" i="27"/>
  <c r="AN2338" i="27"/>
  <c r="AO2338" i="27" s="1"/>
  <c r="AH3200" i="27"/>
  <c r="AN3200" i="27"/>
  <c r="AO3200" i="27" s="1"/>
  <c r="AH739" i="27"/>
  <c r="AN739" i="27"/>
  <c r="AO739" i="27" s="1"/>
  <c r="AH1316" i="27"/>
  <c r="AN1316" i="27"/>
  <c r="AO1316" i="27" s="1"/>
  <c r="AN2916" i="27"/>
  <c r="AO2916" i="27" s="1"/>
  <c r="AH2333" i="27"/>
  <c r="AN2333" i="27"/>
  <c r="AO2333" i="27" s="1"/>
  <c r="AN391" i="27"/>
  <c r="AO391" i="27" s="1"/>
  <c r="AH391" i="27"/>
  <c r="AH2652" i="27"/>
  <c r="AN2652" i="27"/>
  <c r="AO2652" i="27" s="1"/>
  <c r="AN2182" i="27"/>
  <c r="AO2182" i="27" s="1"/>
  <c r="AH2182" i="27"/>
  <c r="AH1338" i="27"/>
  <c r="AN1338" i="27"/>
  <c r="AO1338" i="27" s="1"/>
  <c r="AH1073" i="27"/>
  <c r="AN1073" i="27"/>
  <c r="AO1073" i="27" s="1"/>
  <c r="AH1725" i="27"/>
  <c r="AN1725" i="27"/>
  <c r="AO1725" i="27" s="1"/>
  <c r="AN1081" i="27"/>
  <c r="AO1081" i="27" s="1"/>
  <c r="AH1592" i="27"/>
  <c r="AH2080" i="27"/>
  <c r="AN1716" i="27"/>
  <c r="AO1716" i="27" s="1"/>
  <c r="AN250" i="27"/>
  <c r="AO250" i="27" s="1"/>
  <c r="G77" i="30"/>
  <c r="AE77" i="30"/>
  <c r="E77" i="30"/>
  <c r="AH1845" i="27"/>
  <c r="AN1845" i="27"/>
  <c r="AO1845" i="27" s="1"/>
  <c r="AH256" i="27"/>
  <c r="AN256" i="27"/>
  <c r="AO256" i="27" s="1"/>
  <c r="AH1760" i="27"/>
  <c r="AN1760" i="27"/>
  <c r="AO1760" i="27" s="1"/>
  <c r="D77" i="30"/>
  <c r="AH18" i="27"/>
  <c r="AN18" i="27"/>
  <c r="AO18" i="27" s="1"/>
  <c r="AH262" i="27"/>
  <c r="AN262" i="27"/>
  <c r="AO262" i="27" s="1"/>
  <c r="AH265" i="27"/>
  <c r="AN265" i="27"/>
  <c r="AO265" i="27" s="1"/>
  <c r="G97" i="30"/>
  <c r="AF97" i="30"/>
  <c r="E97" i="30"/>
  <c r="AN1814" i="27"/>
  <c r="AO1814" i="27" s="1"/>
  <c r="AH1814" i="27"/>
  <c r="AH2361" i="27"/>
  <c r="AN2361" i="27"/>
  <c r="AO2361" i="27" s="1"/>
  <c r="AN2065" i="27"/>
  <c r="AO2065" i="27" s="1"/>
  <c r="AH2065" i="27"/>
  <c r="AH44" i="27"/>
  <c r="AN44" i="27"/>
  <c r="AO44" i="27" s="1"/>
  <c r="E41" i="30"/>
  <c r="G41" i="30"/>
  <c r="AF41" i="30"/>
  <c r="AE41" i="30"/>
  <c r="D41" i="30"/>
  <c r="AH55" i="27"/>
  <c r="AN55" i="27"/>
  <c r="AO55" i="27" s="1"/>
  <c r="AN3168" i="27"/>
  <c r="AO3168" i="27" s="1"/>
  <c r="AH3168" i="27"/>
  <c r="AH87" i="27"/>
  <c r="AN87" i="27"/>
  <c r="AO87" i="27" s="1"/>
  <c r="AN3254" i="27"/>
  <c r="AO3254" i="27" s="1"/>
  <c r="AH3254" i="27"/>
  <c r="AH165" i="27"/>
  <c r="AN165" i="27"/>
  <c r="AO165" i="27" s="1"/>
  <c r="AH1790" i="27"/>
  <c r="AN1790" i="27"/>
  <c r="AO1790" i="27" s="1"/>
  <c r="AH529" i="27"/>
  <c r="AN529" i="27"/>
  <c r="AO529" i="27" s="1"/>
  <c r="AH2484" i="27"/>
  <c r="AN2484" i="27"/>
  <c r="AO2484" i="27" s="1"/>
  <c r="AN1879" i="27"/>
  <c r="AO1879" i="27" s="1"/>
  <c r="AH1879" i="27"/>
  <c r="AH2013" i="27"/>
  <c r="AN2013" i="27"/>
  <c r="AO2013" i="27" s="1"/>
  <c r="AN603" i="27"/>
  <c r="AO603" i="27" s="1"/>
  <c r="AH603" i="27"/>
  <c r="AN2048" i="27"/>
  <c r="AO2048" i="27" s="1"/>
  <c r="AH2048" i="27"/>
  <c r="AN1140" i="27"/>
  <c r="AO1140" i="27" s="1"/>
  <c r="AH1140" i="27"/>
  <c r="AH2396" i="27"/>
  <c r="AN2396" i="27"/>
  <c r="AO2396" i="27" s="1"/>
  <c r="AN3133" i="27"/>
  <c r="AO3133" i="27" s="1"/>
  <c r="AH3133" i="27"/>
  <c r="AN2086" i="27"/>
  <c r="AO2086" i="27" s="1"/>
  <c r="AH2086" i="27"/>
  <c r="AN1798" i="27"/>
  <c r="AO1798" i="27" s="1"/>
  <c r="AH1798" i="27"/>
  <c r="AN3235" i="27"/>
  <c r="AO3235" i="27" s="1"/>
  <c r="AH3235" i="27"/>
  <c r="AH1529" i="27"/>
  <c r="AN1529" i="27"/>
  <c r="AO1529" i="27" s="1"/>
  <c r="AH2053" i="27"/>
  <c r="AN2053" i="27"/>
  <c r="AO2053" i="27" s="1"/>
  <c r="AN2328" i="27"/>
  <c r="AO2328" i="27" s="1"/>
  <c r="AH2328" i="27"/>
  <c r="AN1483" i="27"/>
  <c r="AO1483" i="27" s="1"/>
  <c r="AH1483" i="27"/>
  <c r="AH1512" i="27"/>
  <c r="AN1512" i="27"/>
  <c r="AO1512" i="27" s="1"/>
  <c r="AH2669" i="27"/>
  <c r="AN2669" i="27"/>
  <c r="AO2669" i="27" s="1"/>
  <c r="AH1858" i="27"/>
  <c r="AN1858" i="27"/>
  <c r="AO1858" i="27" s="1"/>
  <c r="G76" i="30"/>
  <c r="AF76" i="30"/>
  <c r="AN1863" i="27"/>
  <c r="AO1863" i="27" s="1"/>
  <c r="AH1863" i="27"/>
  <c r="F26" i="30"/>
  <c r="AH1489" i="27"/>
  <c r="AN80" i="27"/>
  <c r="AO80" i="27" s="1"/>
  <c r="AH1535" i="27"/>
  <c r="AH2303" i="27"/>
  <c r="AN2303" i="27"/>
  <c r="AO2303" i="27" s="1"/>
  <c r="AN348" i="27"/>
  <c r="AO348" i="27" s="1"/>
  <c r="AH348" i="27"/>
  <c r="AH2099" i="27"/>
  <c r="AN2099" i="27"/>
  <c r="AO2099" i="27" s="1"/>
  <c r="AH2482" i="27"/>
  <c r="AN2482" i="27"/>
  <c r="AO2482" i="27" s="1"/>
  <c r="AN2508" i="27"/>
  <c r="AO2508" i="27" s="1"/>
  <c r="AH2508" i="27"/>
  <c r="AH3105" i="27"/>
  <c r="AN3105" i="27"/>
  <c r="AO3105" i="27" s="1"/>
  <c r="AN1820" i="27"/>
  <c r="AO1820" i="27" s="1"/>
  <c r="AH1820" i="27"/>
  <c r="AN702" i="27"/>
  <c r="AO702" i="27" s="1"/>
  <c r="AH702" i="27"/>
  <c r="AN1663" i="27"/>
  <c r="AO1663" i="27" s="1"/>
  <c r="AH1663" i="27"/>
  <c r="AE85" i="30"/>
  <c r="D85" i="30"/>
  <c r="E179" i="30"/>
  <c r="G179" i="30"/>
  <c r="AN3201" i="27"/>
  <c r="AO3201" i="27" s="1"/>
  <c r="AH3201" i="27"/>
  <c r="G26" i="30"/>
  <c r="AN3163" i="27"/>
  <c r="AO3163" i="27" s="1"/>
  <c r="AH3163" i="27"/>
  <c r="AN2872" i="27"/>
  <c r="AO2872" i="27" s="1"/>
  <c r="AN2165" i="27"/>
  <c r="AO2165" i="27" s="1"/>
  <c r="AH2654" i="27"/>
  <c r="AN1071" i="27"/>
  <c r="AO1071" i="27" s="1"/>
  <c r="AH1071" i="27"/>
  <c r="AN2286" i="27"/>
  <c r="AO2286" i="27" s="1"/>
  <c r="AH2286" i="27"/>
  <c r="AH2682" i="27"/>
  <c r="AN2682" i="27"/>
  <c r="AO2682" i="27" s="1"/>
  <c r="AH635" i="27"/>
  <c r="AN635" i="27"/>
  <c r="AO635" i="27" s="1"/>
  <c r="AH3109" i="27"/>
  <c r="AN3109" i="27"/>
  <c r="AO3109" i="27" s="1"/>
  <c r="AH2142" i="27"/>
  <c r="AN2142" i="27"/>
  <c r="AO2142" i="27" s="1"/>
  <c r="AH1116" i="27"/>
  <c r="AN1116" i="27"/>
  <c r="AO1116" i="27" s="1"/>
  <c r="AH2596" i="27"/>
  <c r="AN2596" i="27"/>
  <c r="AO2596" i="27" s="1"/>
  <c r="F67" i="30"/>
  <c r="E67" i="30"/>
  <c r="AN3269" i="27"/>
  <c r="AO3269" i="27" s="1"/>
  <c r="AH3269" i="27"/>
  <c r="AN3189" i="27"/>
  <c r="AO3189" i="27" s="1"/>
  <c r="D26" i="30"/>
  <c r="AE26" i="30"/>
  <c r="AH2348" i="27"/>
  <c r="AH1619" i="27"/>
  <c r="AH2100" i="27"/>
  <c r="AN1644" i="27"/>
  <c r="AO1644" i="27" s="1"/>
  <c r="AN1151" i="27"/>
  <c r="AO1151" i="27" s="1"/>
  <c r="AH1151" i="27"/>
  <c r="AH3310" i="27"/>
  <c r="AN3310" i="27"/>
  <c r="AO3310" i="27" s="1"/>
  <c r="AH1141" i="27"/>
  <c r="AN1141" i="27"/>
  <c r="AO1141" i="27" s="1"/>
  <c r="AN2154" i="27"/>
  <c r="AO2154" i="27" s="1"/>
  <c r="AH2154" i="27"/>
  <c r="AN733" i="27"/>
  <c r="AO733" i="27" s="1"/>
  <c r="AH733" i="27"/>
  <c r="AN1484" i="27"/>
  <c r="AO1484" i="27" s="1"/>
  <c r="AH1484" i="27"/>
  <c r="AH2896" i="27"/>
  <c r="AN2896" i="27"/>
  <c r="AO2896" i="27" s="1"/>
  <c r="AH1897" i="27"/>
  <c r="AN1897" i="27"/>
  <c r="AO1897" i="27" s="1"/>
  <c r="AN3199" i="27"/>
  <c r="AO3199" i="27" s="1"/>
  <c r="AH3199" i="27"/>
  <c r="AH2534" i="27"/>
  <c r="AN2534" i="27"/>
  <c r="AO2534" i="27" s="1"/>
  <c r="AN2948" i="27"/>
  <c r="AO2948" i="27" s="1"/>
  <c r="AH2948" i="27"/>
  <c r="AN1923" i="27"/>
  <c r="AO1923" i="27" s="1"/>
  <c r="AH1923" i="27"/>
  <c r="AH3128" i="27"/>
  <c r="AN3128" i="27"/>
  <c r="AO3128" i="27" s="1"/>
  <c r="AH2152" i="27"/>
  <c r="AN2152" i="27"/>
  <c r="AO2152" i="27" s="1"/>
  <c r="AN1690" i="27"/>
  <c r="AO1690" i="27" s="1"/>
  <c r="AH1690" i="27"/>
  <c r="AN2234" i="27"/>
  <c r="AO2234" i="27" s="1"/>
  <c r="AH2234" i="27"/>
  <c r="AN2673" i="27"/>
  <c r="AO2673" i="27" s="1"/>
  <c r="AH2673" i="27"/>
  <c r="E25" i="30"/>
  <c r="D25" i="30"/>
  <c r="AN1314" i="27"/>
  <c r="AO1314" i="27" s="1"/>
  <c r="AH1314" i="27"/>
  <c r="AN688" i="27"/>
  <c r="AO688" i="27" s="1"/>
  <c r="AH688" i="27"/>
  <c r="AN69" i="27"/>
  <c r="AO69" i="27" s="1"/>
  <c r="AH69" i="27"/>
  <c r="AN958" i="27"/>
  <c r="AO958" i="27" s="1"/>
  <c r="AH958" i="27"/>
  <c r="AH1495" i="27"/>
  <c r="AN1495" i="27"/>
  <c r="AO1495" i="27" s="1"/>
  <c r="AH2862" i="27"/>
  <c r="AN2862" i="27"/>
  <c r="AO2862" i="27" s="1"/>
  <c r="AH2782" i="27"/>
  <c r="AN2782" i="27"/>
  <c r="AO2782" i="27" s="1"/>
  <c r="AN2608" i="27"/>
  <c r="AO2608" i="27" s="1"/>
  <c r="AH2608" i="27"/>
  <c r="AN673" i="27"/>
  <c r="AO673" i="27" s="1"/>
  <c r="AH673" i="27"/>
  <c r="AH960" i="27"/>
  <c r="AN960" i="27"/>
  <c r="AO960" i="27" s="1"/>
  <c r="AH2014" i="27"/>
  <c r="AN2014" i="27"/>
  <c r="AO2014" i="27" s="1"/>
  <c r="AH1668" i="27"/>
  <c r="AN1668" i="27"/>
  <c r="AO1668" i="27" s="1"/>
  <c r="AN1049" i="27"/>
  <c r="AO1049" i="27" s="1"/>
  <c r="AH1049" i="27"/>
  <c r="AN1400" i="27"/>
  <c r="AO1400" i="27" s="1"/>
  <c r="AH1400" i="27"/>
  <c r="AN3017" i="27"/>
  <c r="AO3017" i="27" s="1"/>
  <c r="AH3017" i="27"/>
  <c r="AH81" i="27"/>
  <c r="AN81" i="27"/>
  <c r="AO81" i="27" s="1"/>
  <c r="AN3197" i="27"/>
  <c r="AO3197" i="27" s="1"/>
  <c r="AH3197" i="27"/>
  <c r="AH1699" i="27"/>
  <c r="AN1699" i="27"/>
  <c r="AO1699" i="27" s="1"/>
  <c r="E89" i="30"/>
  <c r="AH1738" i="27"/>
  <c r="AH3083" i="27"/>
  <c r="AN1496" i="27"/>
  <c r="AO1496" i="27" s="1"/>
  <c r="AN3285" i="27"/>
  <c r="AO3285" i="27" s="1"/>
  <c r="AH1472" i="27"/>
  <c r="AN2745" i="27"/>
  <c r="AO2745" i="27" s="1"/>
  <c r="AN2993" i="27"/>
  <c r="AO2993" i="27" s="1"/>
  <c r="AN2540" i="27"/>
  <c r="AO2540" i="27" s="1"/>
  <c r="AH2351" i="27"/>
  <c r="AH2689" i="27"/>
  <c r="AH48" i="27"/>
  <c r="AN340" i="27"/>
  <c r="AO340" i="27" s="1"/>
  <c r="AH3253" i="27"/>
  <c r="AH1378" i="27"/>
  <c r="AN2431" i="27"/>
  <c r="AO2431" i="27" s="1"/>
  <c r="AH943" i="27"/>
  <c r="AH1265" i="27"/>
  <c r="G25" i="30"/>
  <c r="E96" i="30"/>
  <c r="AN54" i="27"/>
  <c r="AO54" i="27" s="1"/>
  <c r="AN1544" i="27"/>
  <c r="AO1544" i="27" s="1"/>
  <c r="AH1700" i="27"/>
  <c r="AN1381" i="27"/>
  <c r="AO1381" i="27" s="1"/>
  <c r="AH2891" i="27"/>
  <c r="AN2409" i="27"/>
  <c r="AO2409" i="27" s="1"/>
  <c r="AH2582" i="27"/>
  <c r="AH1366" i="27"/>
  <c r="AN2280" i="27"/>
  <c r="AO2280" i="27" s="1"/>
  <c r="AH2280" i="27"/>
  <c r="AH448" i="27"/>
  <c r="AN448" i="27"/>
  <c r="AO448" i="27" s="1"/>
  <c r="AH1164" i="27"/>
  <c r="AN1164" i="27"/>
  <c r="AO1164" i="27" s="1"/>
  <c r="AN1627" i="27"/>
  <c r="AO1627" i="27" s="1"/>
  <c r="AH1627" i="27"/>
  <c r="AN671" i="27"/>
  <c r="AO671" i="27" s="1"/>
  <c r="AH671" i="27"/>
  <c r="D1933" i="32"/>
  <c r="D1110" i="32"/>
  <c r="D245" i="32"/>
  <c r="AH158" i="27"/>
  <c r="AN130" i="27"/>
  <c r="AO130" i="27" s="1"/>
  <c r="AN2027" i="27"/>
  <c r="AO2027" i="27" s="1"/>
  <c r="AN2783" i="27"/>
  <c r="AO2783" i="27" s="1"/>
  <c r="AH3020" i="27"/>
  <c r="AH988" i="27"/>
  <c r="AN988" i="27"/>
  <c r="AO988" i="27" s="1"/>
  <c r="AN727" i="27"/>
  <c r="AO727" i="27" s="1"/>
  <c r="AH727" i="27"/>
  <c r="AN1734" i="27"/>
  <c r="AO1734" i="27" s="1"/>
  <c r="AH1734" i="27"/>
  <c r="AN3213" i="27"/>
  <c r="AO3213" i="27" s="1"/>
  <c r="AH3213" i="27"/>
  <c r="AH1650" i="27"/>
  <c r="AN1650" i="27"/>
  <c r="AO1650" i="27" s="1"/>
  <c r="AH302" i="27"/>
  <c r="AN2322" i="27"/>
  <c r="AO2322" i="27" s="1"/>
  <c r="AD11" i="37"/>
  <c r="I11" i="37" s="1"/>
  <c r="AH3280" i="27"/>
  <c r="AN191" i="27"/>
  <c r="AO191" i="27" s="1"/>
  <c r="AH1837" i="27"/>
  <c r="F97" i="30"/>
  <c r="AN1847" i="27"/>
  <c r="AO1847" i="27" s="1"/>
  <c r="AN167" i="27"/>
  <c r="AO167" i="27" s="1"/>
  <c r="AN3203" i="27"/>
  <c r="AO3203" i="27" s="1"/>
  <c r="AH1849" i="27"/>
  <c r="AN1794" i="27"/>
  <c r="AO1794" i="27" s="1"/>
  <c r="A36" i="30"/>
  <c r="AB11" i="37"/>
  <c r="AA11" i="37" s="1"/>
  <c r="S11" i="37"/>
  <c r="F160" i="30" l="1"/>
  <c r="D160" i="30"/>
  <c r="AE117" i="30"/>
  <c r="AF151" i="30"/>
  <c r="E151" i="30"/>
  <c r="AE151" i="30"/>
  <c r="D151" i="30"/>
  <c r="G151" i="30"/>
  <c r="F151" i="30"/>
  <c r="AF201" i="30"/>
  <c r="E201" i="30"/>
  <c r="AE201" i="30"/>
  <c r="D201" i="30"/>
  <c r="G201" i="30"/>
  <c r="F201" i="30"/>
  <c r="F212" i="30"/>
  <c r="G212" i="30"/>
  <c r="D212" i="30"/>
  <c r="E212" i="30"/>
  <c r="AF212" i="30"/>
  <c r="AE212" i="30"/>
  <c r="AF180" i="30"/>
  <c r="E180" i="30"/>
  <c r="AE180" i="30"/>
  <c r="D180" i="30"/>
  <c r="G180" i="30"/>
  <c r="F180" i="30"/>
  <c r="AF107" i="30"/>
  <c r="E107" i="30"/>
  <c r="AE107" i="30"/>
  <c r="D107" i="30"/>
  <c r="G107" i="30"/>
  <c r="F107" i="30"/>
  <c r="F211" i="30"/>
  <c r="G211" i="30"/>
  <c r="D211" i="30"/>
  <c r="E211" i="30"/>
  <c r="AF211" i="30"/>
  <c r="AE211" i="30"/>
  <c r="AF185" i="30"/>
  <c r="E185" i="30"/>
  <c r="AE185" i="30"/>
  <c r="D185" i="30"/>
  <c r="G185" i="30"/>
  <c r="F185" i="30"/>
  <c r="F214" i="30"/>
  <c r="G214" i="30"/>
  <c r="D214" i="30"/>
  <c r="E214" i="30"/>
  <c r="AF214" i="30"/>
  <c r="AE214" i="30"/>
  <c r="F210" i="30"/>
  <c r="G210" i="30"/>
  <c r="AE210" i="30"/>
  <c r="E210" i="30"/>
  <c r="AF210" i="30"/>
  <c r="D210" i="30"/>
  <c r="AF193" i="30"/>
  <c r="E193" i="30"/>
  <c r="AE193" i="30"/>
  <c r="D193" i="30"/>
  <c r="G193" i="30"/>
  <c r="F193" i="30"/>
  <c r="F213" i="30"/>
  <c r="G213" i="30"/>
  <c r="D213" i="30"/>
  <c r="E213" i="30"/>
  <c r="AF213" i="30"/>
  <c r="AE213" i="30"/>
  <c r="F198" i="30"/>
  <c r="G198" i="30"/>
  <c r="AE198" i="30"/>
  <c r="E198" i="30"/>
  <c r="AF198" i="30"/>
  <c r="D198" i="30"/>
  <c r="F101" i="30"/>
  <c r="AE119" i="30"/>
  <c r="AE101" i="30"/>
  <c r="AF133" i="30"/>
  <c r="P157" i="30"/>
  <c r="O157" i="30"/>
  <c r="N157" i="30"/>
  <c r="K157" i="30"/>
  <c r="G157" i="30"/>
  <c r="L157" i="30"/>
  <c r="M157" i="30"/>
  <c r="J157" i="30"/>
  <c r="P173" i="30"/>
  <c r="G173" i="30"/>
  <c r="K173" i="30"/>
  <c r="M173" i="30"/>
  <c r="O173" i="30"/>
  <c r="J173" i="30"/>
  <c r="L173" i="30"/>
  <c r="N173" i="30"/>
  <c r="D181" i="30"/>
  <c r="AF119" i="30"/>
  <c r="AF171" i="30"/>
  <c r="G171" i="30"/>
  <c r="E181" i="30"/>
  <c r="G119" i="30"/>
  <c r="E120" i="30"/>
  <c r="AE181" i="30"/>
  <c r="AF128" i="30"/>
  <c r="E128" i="30"/>
  <c r="AE128" i="30"/>
  <c r="D128" i="30"/>
  <c r="G128" i="30"/>
  <c r="F128" i="30"/>
  <c r="AF108" i="30"/>
  <c r="E108" i="30"/>
  <c r="AE108" i="30"/>
  <c r="D108" i="30"/>
  <c r="G108" i="30"/>
  <c r="F108" i="30"/>
  <c r="AF127" i="30"/>
  <c r="E127" i="30"/>
  <c r="AE127" i="30"/>
  <c r="D127" i="30"/>
  <c r="G127" i="30"/>
  <c r="F127" i="30"/>
  <c r="AF131" i="30"/>
  <c r="E131" i="30"/>
  <c r="AE131" i="30"/>
  <c r="D131" i="30"/>
  <c r="F131" i="30"/>
  <c r="G131" i="30"/>
  <c r="AF137" i="30"/>
  <c r="E137" i="30"/>
  <c r="AE137" i="30"/>
  <c r="D137" i="30"/>
  <c r="F137" i="30"/>
  <c r="G137" i="30"/>
  <c r="AE113" i="30"/>
  <c r="D119" i="30"/>
  <c r="AE171" i="30"/>
  <c r="G117" i="30"/>
  <c r="F181" i="30"/>
  <c r="F119" i="30"/>
  <c r="F117" i="30"/>
  <c r="G144" i="30"/>
  <c r="E98" i="30"/>
  <c r="F98" i="30"/>
  <c r="F113" i="30"/>
  <c r="D98" i="30"/>
  <c r="G98" i="30"/>
  <c r="AF98" i="30"/>
  <c r="D113" i="30"/>
  <c r="AF113" i="30"/>
  <c r="G113" i="30"/>
  <c r="G133" i="30"/>
  <c r="D133" i="30"/>
  <c r="AE133" i="30"/>
  <c r="E133" i="30"/>
  <c r="F122" i="30"/>
  <c r="AF122" i="30"/>
  <c r="E184" i="30"/>
  <c r="E121" i="30"/>
  <c r="F150" i="30"/>
  <c r="G122" i="30"/>
  <c r="AE122" i="30"/>
  <c r="G121" i="30"/>
  <c r="E122" i="30"/>
  <c r="AF156" i="30"/>
  <c r="E156" i="30"/>
  <c r="AE156" i="30"/>
  <c r="D156" i="30"/>
  <c r="G156" i="30"/>
  <c r="F156" i="30"/>
  <c r="AF38" i="30"/>
  <c r="E38" i="30"/>
  <c r="AE38" i="30"/>
  <c r="D38" i="30"/>
  <c r="G38" i="30"/>
  <c r="F38" i="30"/>
  <c r="AF164" i="30"/>
  <c r="AE164" i="30"/>
  <c r="D164" i="30"/>
  <c r="G164" i="30"/>
  <c r="F164" i="30"/>
  <c r="AF82" i="30"/>
  <c r="E82" i="30"/>
  <c r="AE82" i="30"/>
  <c r="D82" i="30"/>
  <c r="G82" i="30"/>
  <c r="F82" i="30"/>
  <c r="AF188" i="30"/>
  <c r="E188" i="30"/>
  <c r="AE188" i="30"/>
  <c r="D188" i="30"/>
  <c r="G188" i="30"/>
  <c r="F188" i="30"/>
  <c r="AF100" i="30"/>
  <c r="E100" i="30"/>
  <c r="AE100" i="30"/>
  <c r="D100" i="30"/>
  <c r="G100" i="30"/>
  <c r="F100" i="30"/>
  <c r="AF196" i="30"/>
  <c r="E196" i="30"/>
  <c r="AE196" i="30"/>
  <c r="D196" i="30"/>
  <c r="G196" i="30"/>
  <c r="F196" i="30"/>
  <c r="D144" i="30"/>
  <c r="D120" i="30"/>
  <c r="F144" i="30"/>
  <c r="E117" i="30"/>
  <c r="AE120" i="30"/>
  <c r="F200" i="30"/>
  <c r="E138" i="30"/>
  <c r="G120" i="30"/>
  <c r="AF144" i="30"/>
  <c r="D117" i="30"/>
  <c r="AE144" i="30"/>
  <c r="E171" i="30"/>
  <c r="F171" i="30"/>
  <c r="AF181" i="30"/>
  <c r="AF120" i="30"/>
  <c r="G147" i="30"/>
  <c r="AE163" i="30"/>
  <c r="F163" i="30"/>
  <c r="G182" i="30"/>
  <c r="D138" i="30"/>
  <c r="F138" i="30"/>
  <c r="D163" i="30"/>
  <c r="D161" i="30"/>
  <c r="AF150" i="30"/>
  <c r="F184" i="30"/>
  <c r="AE121" i="30"/>
  <c r="E161" i="30"/>
  <c r="G161" i="30"/>
  <c r="D150" i="30"/>
  <c r="AE184" i="30"/>
  <c r="D121" i="30"/>
  <c r="AF143" i="30"/>
  <c r="F121" i="30"/>
  <c r="AF161" i="30"/>
  <c r="AE150" i="30"/>
  <c r="G150" i="30"/>
  <c r="AE161" i="30"/>
  <c r="G184" i="30"/>
  <c r="D184" i="30"/>
  <c r="AF138" i="30"/>
  <c r="AF147" i="30"/>
  <c r="AE200" i="30"/>
  <c r="F182" i="30"/>
  <c r="AF182" i="30"/>
  <c r="F147" i="30"/>
  <c r="G143" i="30"/>
  <c r="F143" i="30"/>
  <c r="G163" i="30"/>
  <c r="E134" i="30"/>
  <c r="E182" i="30"/>
  <c r="AE147" i="30"/>
  <c r="AE143" i="30"/>
  <c r="G134" i="30"/>
  <c r="AE134" i="30"/>
  <c r="AF134" i="30"/>
  <c r="AF200" i="30"/>
  <c r="G200" i="30"/>
  <c r="G138" i="30"/>
  <c r="D143" i="30"/>
  <c r="E200" i="30"/>
  <c r="D182" i="30"/>
  <c r="E147" i="30"/>
  <c r="AF163" i="30"/>
  <c r="D134" i="30"/>
  <c r="AH105" i="27"/>
  <c r="P91" i="37"/>
  <c r="N91" i="37"/>
  <c r="M91" i="37" s="1"/>
  <c r="G91" i="37"/>
  <c r="F91" i="37"/>
  <c r="E91" i="37"/>
  <c r="O91" i="37"/>
  <c r="Q91" i="37"/>
  <c r="L91" i="37"/>
  <c r="K91" i="37" s="1"/>
  <c r="D91" i="37"/>
  <c r="Y91" i="37"/>
  <c r="W91" i="37"/>
  <c r="X91" i="37"/>
  <c r="P97" i="37"/>
  <c r="D97" i="37"/>
  <c r="W97" i="37"/>
  <c r="F97" i="37"/>
  <c r="N97" i="37"/>
  <c r="M97" i="37" s="1"/>
  <c r="X97" i="37"/>
  <c r="E97" i="37"/>
  <c r="L97" i="37"/>
  <c r="K97" i="37" s="1"/>
  <c r="Y97" i="37"/>
  <c r="G97" i="37"/>
  <c r="O97" i="37"/>
  <c r="Q97" i="37"/>
  <c r="X92" i="37"/>
  <c r="P92" i="37"/>
  <c r="O92" i="37"/>
  <c r="G92" i="37"/>
  <c r="Y92" i="37"/>
  <c r="Q92" i="37"/>
  <c r="L92" i="37"/>
  <c r="K92" i="37" s="1"/>
  <c r="F92" i="37"/>
  <c r="W92" i="37"/>
  <c r="D92" i="37"/>
  <c r="E92" i="37"/>
  <c r="N92" i="37"/>
  <c r="M92" i="37" s="1"/>
  <c r="P95" i="37"/>
  <c r="N95" i="37"/>
  <c r="M95" i="37" s="1"/>
  <c r="E95" i="37"/>
  <c r="G95" i="37"/>
  <c r="F95" i="37"/>
  <c r="Q95" i="37"/>
  <c r="L95" i="37"/>
  <c r="K95" i="37" s="1"/>
  <c r="O95" i="37"/>
  <c r="D95" i="37"/>
  <c r="W95" i="37"/>
  <c r="Y95" i="37"/>
  <c r="X95" i="37"/>
  <c r="X96" i="37"/>
  <c r="P96" i="37"/>
  <c r="L96" i="37"/>
  <c r="K96" i="37" s="1"/>
  <c r="O96" i="37"/>
  <c r="W96" i="37"/>
  <c r="Y96" i="37"/>
  <c r="G96" i="37"/>
  <c r="D96" i="37"/>
  <c r="F96" i="37"/>
  <c r="E96" i="37"/>
  <c r="Q96" i="37"/>
  <c r="N96" i="37"/>
  <c r="M96" i="37" s="1"/>
  <c r="X94" i="37"/>
  <c r="Q94" i="37"/>
  <c r="F94" i="37"/>
  <c r="E94" i="37"/>
  <c r="W94" i="37"/>
  <c r="P94" i="37"/>
  <c r="O94" i="37"/>
  <c r="D94" i="37"/>
  <c r="L94" i="37"/>
  <c r="K94" i="37" s="1"/>
  <c r="Y94" i="37"/>
  <c r="G94" i="37"/>
  <c r="N94" i="37"/>
  <c r="M94" i="37" s="1"/>
  <c r="P93" i="37"/>
  <c r="O93" i="37"/>
  <c r="W93" i="37"/>
  <c r="F93" i="37"/>
  <c r="D93" i="37"/>
  <c r="X93" i="37"/>
  <c r="N93" i="37"/>
  <c r="M93" i="37" s="1"/>
  <c r="L93" i="37"/>
  <c r="K93" i="37" s="1"/>
  <c r="G93" i="37"/>
  <c r="Y93" i="37"/>
  <c r="E93" i="37"/>
  <c r="Q93" i="37"/>
  <c r="X98" i="37"/>
  <c r="F98" i="37"/>
  <c r="E98" i="37"/>
  <c r="G98" i="37"/>
  <c r="L98" i="37"/>
  <c r="K98" i="37" s="1"/>
  <c r="O98" i="37"/>
  <c r="Q98" i="37"/>
  <c r="D98" i="37"/>
  <c r="P98" i="37"/>
  <c r="Y98" i="37"/>
  <c r="W98" i="37"/>
  <c r="N98" i="37"/>
  <c r="M98" i="37" s="1"/>
  <c r="AN774" i="27"/>
  <c r="AO774" i="27" s="1"/>
  <c r="AN1218" i="27"/>
  <c r="AO1218" i="27" s="1"/>
  <c r="AH2765" i="27"/>
  <c r="AH1465" i="27"/>
  <c r="AN3013" i="27"/>
  <c r="AO3013" i="27" s="1"/>
  <c r="AN1315" i="27"/>
  <c r="AO1315" i="27" s="1"/>
  <c r="AN2451" i="27"/>
  <c r="AO2451" i="27" s="1"/>
  <c r="AN628" i="27"/>
  <c r="AO628" i="27" s="1"/>
  <c r="AN2125" i="27"/>
  <c r="AO2125" i="27" s="1"/>
  <c r="AH2791" i="27"/>
  <c r="AH1946" i="27"/>
  <c r="AN940" i="27"/>
  <c r="AO940" i="27" s="1"/>
  <c r="AN1444" i="27"/>
  <c r="AO1444" i="27" s="1"/>
  <c r="AH2821" i="27"/>
  <c r="AH1196" i="27"/>
  <c r="AH2877" i="27"/>
  <c r="AH1872" i="27"/>
  <c r="AH852" i="27"/>
  <c r="AH1599" i="27"/>
  <c r="AN2901" i="27"/>
  <c r="AO2901" i="27" s="1"/>
  <c r="AN2261" i="27"/>
  <c r="AO2261" i="27" s="1"/>
  <c r="AN3038" i="27"/>
  <c r="AO3038" i="27" s="1"/>
  <c r="AH502" i="27"/>
  <c r="AN2899" i="27"/>
  <c r="AO2899" i="27" s="1"/>
  <c r="AH1157" i="27"/>
  <c r="AN2921" i="27"/>
  <c r="AO2921" i="27" s="1"/>
  <c r="AN932" i="27"/>
  <c r="AO932" i="27" s="1"/>
  <c r="AF61" i="30"/>
  <c r="E61" i="30"/>
  <c r="AE61" i="30"/>
  <c r="D61" i="30"/>
  <c r="F61" i="30"/>
  <c r="G61" i="30"/>
  <c r="AF153" i="30"/>
  <c r="E153" i="30"/>
  <c r="AE153" i="30"/>
  <c r="D153" i="30"/>
  <c r="F153" i="30"/>
  <c r="G153" i="30"/>
  <c r="AF177" i="30"/>
  <c r="E177" i="30"/>
  <c r="AE177" i="30"/>
  <c r="D177" i="30"/>
  <c r="F177" i="30"/>
  <c r="G177" i="30"/>
  <c r="AF50" i="30"/>
  <c r="E50" i="30"/>
  <c r="AE50" i="30"/>
  <c r="D50" i="30"/>
  <c r="F50" i="30"/>
  <c r="G50" i="30"/>
  <c r="AF186" i="30"/>
  <c r="E186" i="30"/>
  <c r="AE186" i="30"/>
  <c r="D186" i="30"/>
  <c r="F186" i="30"/>
  <c r="G186" i="30"/>
  <c r="AE123" i="30"/>
  <c r="AE183" i="30"/>
  <c r="P83" i="37"/>
  <c r="D83" i="37"/>
  <c r="O83" i="37"/>
  <c r="G83" i="37"/>
  <c r="F83" i="37"/>
  <c r="Y83" i="37"/>
  <c r="N83" i="37"/>
  <c r="M83" i="37" s="1"/>
  <c r="Q83" i="37"/>
  <c r="L83" i="37"/>
  <c r="K83" i="37" s="1"/>
  <c r="E83" i="37"/>
  <c r="W83" i="37"/>
  <c r="X83" i="37"/>
  <c r="P85" i="37"/>
  <c r="N85" i="37"/>
  <c r="M85" i="37" s="1"/>
  <c r="Y85" i="37"/>
  <c r="X85" i="37"/>
  <c r="O85" i="37"/>
  <c r="W85" i="37"/>
  <c r="F85" i="37"/>
  <c r="L85" i="37"/>
  <c r="K85" i="37" s="1"/>
  <c r="E85" i="37"/>
  <c r="G85" i="37"/>
  <c r="D85" i="37"/>
  <c r="Q85" i="37"/>
  <c r="P87" i="37"/>
  <c r="Y87" i="37"/>
  <c r="O87" i="37"/>
  <c r="G87" i="37"/>
  <c r="F87" i="37"/>
  <c r="N87" i="37"/>
  <c r="M87" i="37" s="1"/>
  <c r="Q87" i="37"/>
  <c r="L87" i="37"/>
  <c r="K87" i="37" s="1"/>
  <c r="D87" i="37"/>
  <c r="W87" i="37"/>
  <c r="E87" i="37"/>
  <c r="X87" i="37"/>
  <c r="P89" i="37"/>
  <c r="W89" i="37"/>
  <c r="F89" i="37"/>
  <c r="E89" i="37"/>
  <c r="L89" i="37"/>
  <c r="K89" i="37" s="1"/>
  <c r="N89" i="37"/>
  <c r="M89" i="37" s="1"/>
  <c r="D89" i="37"/>
  <c r="Y89" i="37"/>
  <c r="G89" i="37"/>
  <c r="O89" i="37"/>
  <c r="X89" i="37"/>
  <c r="Q89" i="37"/>
  <c r="X84" i="37"/>
  <c r="O84" i="37"/>
  <c r="G84" i="37"/>
  <c r="L84" i="37"/>
  <c r="K84" i="37" s="1"/>
  <c r="F84" i="37"/>
  <c r="Y84" i="37"/>
  <c r="Q84" i="37"/>
  <c r="P84" i="37"/>
  <c r="W84" i="37"/>
  <c r="D84" i="37"/>
  <c r="E84" i="37"/>
  <c r="N84" i="37"/>
  <c r="M84" i="37" s="1"/>
  <c r="X86" i="37"/>
  <c r="Q86" i="37"/>
  <c r="F86" i="37"/>
  <c r="E86" i="37"/>
  <c r="W86" i="37"/>
  <c r="L86" i="37"/>
  <c r="K86" i="37" s="1"/>
  <c r="O86" i="37"/>
  <c r="D86" i="37"/>
  <c r="P86" i="37"/>
  <c r="Y86" i="37"/>
  <c r="G86" i="37"/>
  <c r="N86" i="37"/>
  <c r="M86" i="37" s="1"/>
  <c r="X88" i="37"/>
  <c r="L88" i="37"/>
  <c r="K88" i="37" s="1"/>
  <c r="O88" i="37"/>
  <c r="W88" i="37"/>
  <c r="P88" i="37"/>
  <c r="F88" i="37"/>
  <c r="Y88" i="37"/>
  <c r="G88" i="37"/>
  <c r="D88" i="37"/>
  <c r="E88" i="37"/>
  <c r="Q88" i="37"/>
  <c r="N88" i="37"/>
  <c r="M88" i="37" s="1"/>
  <c r="X90" i="37"/>
  <c r="E90" i="37"/>
  <c r="G90" i="37"/>
  <c r="F90" i="37"/>
  <c r="O90" i="37"/>
  <c r="Q90" i="37"/>
  <c r="D90" i="37"/>
  <c r="L90" i="37"/>
  <c r="K90" i="37" s="1"/>
  <c r="P90" i="37"/>
  <c r="Y90" i="37"/>
  <c r="W90" i="37"/>
  <c r="N90" i="37"/>
  <c r="M90" i="37" s="1"/>
  <c r="G183" i="30"/>
  <c r="E176" i="30"/>
  <c r="E183" i="30"/>
  <c r="G129" i="30"/>
  <c r="AH2541" i="27"/>
  <c r="AH1086" i="27"/>
  <c r="AH322" i="27"/>
  <c r="AN2943" i="27"/>
  <c r="AO2943" i="27" s="1"/>
  <c r="AH546" i="27"/>
  <c r="AH3061" i="27"/>
  <c r="AN930" i="27"/>
  <c r="AO930" i="27" s="1"/>
  <c r="AN2721" i="27"/>
  <c r="AO2721" i="27" s="1"/>
  <c r="AH2685" i="27"/>
  <c r="AN2083" i="27"/>
  <c r="AO2083" i="27" s="1"/>
  <c r="AH1898" i="27"/>
  <c r="AH1488" i="27"/>
  <c r="AH2022" i="27"/>
  <c r="AN1000" i="27"/>
  <c r="AO1000" i="27" s="1"/>
  <c r="AN2145" i="27"/>
  <c r="AO2145" i="27" s="1"/>
  <c r="AN2605" i="27"/>
  <c r="AO2605" i="27" s="1"/>
  <c r="AH890" i="27"/>
  <c r="AH569" i="27"/>
  <c r="AH2423" i="27"/>
  <c r="AH2980" i="27"/>
  <c r="AH2987" i="27"/>
  <c r="AN2759" i="27"/>
  <c r="AO2759" i="27" s="1"/>
  <c r="AN1928" i="27"/>
  <c r="AO1928" i="27" s="1"/>
  <c r="AH1519" i="27"/>
  <c r="AH2863" i="27"/>
  <c r="AH1171" i="27"/>
  <c r="AH2143" i="27"/>
  <c r="AH1530" i="27"/>
  <c r="AN1058" i="27"/>
  <c r="AO1058" i="27" s="1"/>
  <c r="AH1398" i="27"/>
  <c r="AN558" i="27"/>
  <c r="AO558" i="27" s="1"/>
  <c r="AN2529" i="27"/>
  <c r="AO2529" i="27" s="1"/>
  <c r="AN726" i="27"/>
  <c r="AO726" i="27" s="1"/>
  <c r="AN2308" i="27"/>
  <c r="AO2308" i="27" s="1"/>
  <c r="AH2803" i="27"/>
  <c r="AH2655" i="27"/>
  <c r="AH314" i="27"/>
  <c r="AN506" i="27"/>
  <c r="AO506" i="27" s="1"/>
  <c r="AN1144" i="27"/>
  <c r="AO1144" i="27" s="1"/>
  <c r="AH304" i="27"/>
  <c r="AH1230" i="27"/>
  <c r="AN1588" i="27"/>
  <c r="AO1588" i="27" s="1"/>
  <c r="AH1930" i="27"/>
  <c r="AH1090" i="27"/>
  <c r="AH2449" i="27"/>
  <c r="AN478" i="27"/>
  <c r="AO478" i="27" s="1"/>
  <c r="AN2849" i="27"/>
  <c r="AO2849" i="27" s="1"/>
  <c r="AN2283" i="27"/>
  <c r="AO2283" i="27" s="1"/>
  <c r="AN2251" i="27"/>
  <c r="AO2251" i="27" s="1"/>
  <c r="AH640" i="27"/>
  <c r="AN884" i="27"/>
  <c r="AO884" i="27" s="1"/>
  <c r="AN474" i="27"/>
  <c r="AO474" i="27" s="1"/>
  <c r="AH1692" i="27"/>
  <c r="AH2915" i="27"/>
  <c r="AN2615" i="27"/>
  <c r="AO2615" i="27" s="1"/>
  <c r="AH1240" i="27"/>
  <c r="AN2809" i="27"/>
  <c r="AO2809" i="27" s="1"/>
  <c r="AN2883" i="27"/>
  <c r="AO2883" i="27" s="1"/>
  <c r="AN666" i="27"/>
  <c r="AO666" i="27" s="1"/>
  <c r="AH1502" i="27"/>
  <c r="AN1056" i="27"/>
  <c r="AO1056" i="27" s="1"/>
  <c r="AH354" i="27"/>
  <c r="AH2525" i="27"/>
  <c r="AH2617" i="27"/>
  <c r="AN782" i="27"/>
  <c r="AO782" i="27" s="1"/>
  <c r="AH2012" i="27"/>
  <c r="AN2953" i="27"/>
  <c r="AO2953" i="27" s="1"/>
  <c r="AN1236" i="27"/>
  <c r="AO1236" i="27" s="1"/>
  <c r="AN2427" i="27"/>
  <c r="AO2427" i="27" s="1"/>
  <c r="AH1144" i="27"/>
  <c r="AN2703" i="27"/>
  <c r="AO2703" i="27" s="1"/>
  <c r="AN450" i="27"/>
  <c r="AO450" i="27" s="1"/>
  <c r="AN1532" i="27"/>
  <c r="AO1532" i="27" s="1"/>
  <c r="AH400" i="27"/>
  <c r="AN570" i="27"/>
  <c r="AO570" i="27" s="1"/>
  <c r="AH2129" i="27"/>
  <c r="AN1403" i="27"/>
  <c r="AO1403" i="27" s="1"/>
  <c r="AN994" i="27"/>
  <c r="AO994" i="27" s="1"/>
  <c r="AN712" i="27"/>
  <c r="AO712" i="27" s="1"/>
  <c r="AH2121" i="27"/>
  <c r="AN2507" i="27"/>
  <c r="AO2507" i="27" s="1"/>
  <c r="AN2273" i="27"/>
  <c r="AO2273" i="27" s="1"/>
  <c r="AH2321" i="27"/>
  <c r="AH2843" i="27"/>
  <c r="AN1232" i="27"/>
  <c r="AO1232" i="27" s="1"/>
  <c r="AH2403" i="27"/>
  <c r="AN578" i="27"/>
  <c r="AO578" i="27" s="1"/>
  <c r="AN2909" i="27"/>
  <c r="AO2909" i="27" s="1"/>
  <c r="AN2777" i="27"/>
  <c r="AO2777" i="27" s="1"/>
  <c r="AN1918" i="27"/>
  <c r="AO1918" i="27" s="1"/>
  <c r="AH2253" i="27"/>
  <c r="AH1426" i="27"/>
  <c r="AH568" i="27"/>
  <c r="AN910" i="27"/>
  <c r="AO910" i="27" s="1"/>
  <c r="AN2417" i="27"/>
  <c r="AO2417" i="27" s="1"/>
  <c r="AH310" i="27"/>
  <c r="AN2207" i="27"/>
  <c r="AO2207" i="27" s="1"/>
  <c r="AN422" i="27"/>
  <c r="AO422" i="27" s="1"/>
  <c r="AN2419" i="27"/>
  <c r="AO2419" i="27" s="1"/>
  <c r="AH3064" i="27"/>
  <c r="AN2649" i="27"/>
  <c r="AO2649" i="27" s="1"/>
  <c r="AH330" i="27"/>
  <c r="AH1200" i="27"/>
  <c r="AH710" i="27"/>
  <c r="AN2109" i="27"/>
  <c r="AO2109" i="27" s="1"/>
  <c r="AH1175" i="27"/>
  <c r="AN346" i="27"/>
  <c r="AO346" i="27" s="1"/>
  <c r="AN494" i="27"/>
  <c r="AO494" i="27" s="1"/>
  <c r="AH2149" i="27"/>
  <c r="AH1169" i="27"/>
  <c r="AN2627" i="27"/>
  <c r="AO2627" i="27" s="1"/>
  <c r="AH1894" i="27"/>
  <c r="AH2968" i="27"/>
  <c r="AN1084" i="27"/>
  <c r="AO1084" i="27" s="1"/>
  <c r="AH2591" i="27"/>
  <c r="AH948" i="27"/>
  <c r="AH954" i="27"/>
  <c r="AN1094" i="27"/>
  <c r="AO1094" i="27" s="1"/>
  <c r="AN1030" i="27"/>
  <c r="AO1030" i="27" s="1"/>
  <c r="AH2020" i="27"/>
  <c r="AH2805" i="27"/>
  <c r="AH1581" i="27"/>
  <c r="AN2893" i="27"/>
  <c r="AO2893" i="27" s="1"/>
  <c r="AN2377" i="27"/>
  <c r="AO2377" i="27" s="1"/>
  <c r="AH2581" i="27"/>
  <c r="AH1477" i="27"/>
  <c r="AN922" i="27"/>
  <c r="AO922" i="27" s="1"/>
  <c r="AN2763" i="27"/>
  <c r="AO2763" i="27" s="1"/>
  <c r="AN3014" i="27"/>
  <c r="AO3014" i="27" s="1"/>
  <c r="AN1034" i="27"/>
  <c r="AO1034" i="27" s="1"/>
  <c r="AH1999" i="27"/>
  <c r="AH1291" i="27"/>
  <c r="AN2761" i="27"/>
  <c r="AO2761" i="27" s="1"/>
  <c r="AH444" i="27"/>
  <c r="AH970" i="27"/>
  <c r="AN2467" i="27"/>
  <c r="AO2467" i="27" s="1"/>
  <c r="AH1390" i="27"/>
  <c r="AH350" i="27"/>
  <c r="AN3296" i="27"/>
  <c r="AO3296" i="27" s="1"/>
  <c r="AH2861" i="27"/>
  <c r="AH2841" i="27"/>
  <c r="AH874" i="27"/>
  <c r="AH966" i="27"/>
  <c r="AH1503" i="27"/>
  <c r="AN2659" i="27"/>
  <c r="AO2659" i="27" s="1"/>
  <c r="AH2887" i="27"/>
  <c r="AH1966" i="27"/>
  <c r="AN2789" i="27"/>
  <c r="AO2789" i="27" s="1"/>
  <c r="AH2473" i="27"/>
  <c r="AH830" i="27"/>
  <c r="AN2779" i="27"/>
  <c r="AO2779" i="27" s="1"/>
  <c r="AH1922" i="27"/>
  <c r="AH792" i="27"/>
  <c r="AN606" i="27"/>
  <c r="AO606" i="27" s="1"/>
  <c r="AN3006" i="27"/>
  <c r="AO3006" i="27" s="1"/>
  <c r="AH1325" i="27"/>
  <c r="AH2747" i="27"/>
  <c r="AH1194" i="27"/>
  <c r="AN2189" i="27"/>
  <c r="AO2189" i="27" s="1"/>
  <c r="AH2653" i="27"/>
  <c r="AN2737" i="27"/>
  <c r="AO2737" i="27" s="1"/>
  <c r="AH2485" i="27"/>
  <c r="AN1964" i="27"/>
  <c r="AO1964" i="27" s="1"/>
  <c r="AH1684" i="27"/>
  <c r="AN2019" i="27"/>
  <c r="AO2019" i="27" s="1"/>
  <c r="AH1410" i="27"/>
  <c r="AH2795" i="27"/>
  <c r="AH3034" i="27"/>
  <c r="AH2715" i="27"/>
  <c r="AH2163" i="27"/>
  <c r="AN1691" i="27"/>
  <c r="AO1691" i="27" s="1"/>
  <c r="AH496" i="27"/>
  <c r="AF95" i="30"/>
  <c r="E95" i="30"/>
  <c r="AE95" i="30"/>
  <c r="D95" i="30"/>
  <c r="G95" i="30"/>
  <c r="F95" i="30"/>
  <c r="AF111" i="30"/>
  <c r="E111" i="30"/>
  <c r="AE111" i="30"/>
  <c r="D111" i="30"/>
  <c r="G111" i="30"/>
  <c r="F111" i="30"/>
  <c r="AF103" i="30"/>
  <c r="E103" i="30"/>
  <c r="AE103" i="30"/>
  <c r="D103" i="30"/>
  <c r="G103" i="30"/>
  <c r="F103" i="30"/>
  <c r="AF112" i="30"/>
  <c r="E112" i="30"/>
  <c r="AE112" i="30"/>
  <c r="D112" i="30"/>
  <c r="G112" i="30"/>
  <c r="F112" i="30"/>
  <c r="AF104" i="30"/>
  <c r="E104" i="30"/>
  <c r="AE104" i="30"/>
  <c r="D104" i="30"/>
  <c r="G104" i="30"/>
  <c r="F104" i="30"/>
  <c r="AF125" i="30"/>
  <c r="E125" i="30"/>
  <c r="AE125" i="30"/>
  <c r="D125" i="30"/>
  <c r="G125" i="30"/>
  <c r="F125" i="30"/>
  <c r="AF66" i="30"/>
  <c r="E66" i="30"/>
  <c r="AE66" i="30"/>
  <c r="D66" i="30"/>
  <c r="G66" i="30"/>
  <c r="F66" i="30"/>
  <c r="AF110" i="30"/>
  <c r="E110" i="30"/>
  <c r="AE110" i="30"/>
  <c r="D110" i="30"/>
  <c r="G110" i="30"/>
  <c r="F110" i="30"/>
  <c r="AF140" i="30"/>
  <c r="E140" i="30"/>
  <c r="AE140" i="30"/>
  <c r="D140" i="30"/>
  <c r="G140" i="30"/>
  <c r="F140" i="30"/>
  <c r="AF167" i="30"/>
  <c r="E167" i="30"/>
  <c r="AE167" i="30"/>
  <c r="D167" i="30"/>
  <c r="G167" i="30"/>
  <c r="F167" i="30"/>
  <c r="AF197" i="30"/>
  <c r="E197" i="30"/>
  <c r="AE197" i="30"/>
  <c r="D197" i="30"/>
  <c r="G197" i="30"/>
  <c r="F197" i="30"/>
  <c r="AF149" i="30"/>
  <c r="E149" i="30"/>
  <c r="AE149" i="30"/>
  <c r="D149" i="30"/>
  <c r="G149" i="30"/>
  <c r="F149" i="30"/>
  <c r="AF205" i="30"/>
  <c r="E205" i="30"/>
  <c r="AE205" i="30"/>
  <c r="D205" i="30"/>
  <c r="G205" i="30"/>
  <c r="F205" i="30"/>
  <c r="AF155" i="30"/>
  <c r="E155" i="30"/>
  <c r="AE155" i="30"/>
  <c r="D155" i="30"/>
  <c r="G155" i="30"/>
  <c r="F155" i="30"/>
  <c r="AF135" i="30"/>
  <c r="E135" i="30"/>
  <c r="AE135" i="30"/>
  <c r="D135" i="30"/>
  <c r="G135" i="30"/>
  <c r="F135" i="30"/>
  <c r="AN1098" i="27"/>
  <c r="AO1098" i="27" s="1"/>
  <c r="AH446" i="27"/>
  <c r="AN1355" i="27"/>
  <c r="AO1355" i="27" s="1"/>
  <c r="AH2661" i="27"/>
  <c r="AH780" i="27"/>
  <c r="AH3293" i="27"/>
  <c r="AH1002" i="27"/>
  <c r="AN2187" i="27"/>
  <c r="AO2187" i="27" s="1"/>
  <c r="AH1563" i="27"/>
  <c r="AH1299" i="27"/>
  <c r="AN2405" i="27"/>
  <c r="AO2405" i="27" s="1"/>
  <c r="AN1513" i="27"/>
  <c r="AO1513" i="27" s="1"/>
  <c r="AH638" i="27"/>
  <c r="AH1181" i="27"/>
  <c r="AH208" i="27"/>
  <c r="AN980" i="27"/>
  <c r="AO980" i="27" s="1"/>
  <c r="AH2731" i="27"/>
  <c r="AH2835" i="27"/>
  <c r="AN1295" i="27"/>
  <c r="AO1295" i="27" s="1"/>
  <c r="AH2183" i="27"/>
  <c r="AH402" i="27"/>
  <c r="AN1326" i="27"/>
  <c r="AO1326" i="27" s="1"/>
  <c r="AN1908" i="27"/>
  <c r="AO1908" i="27" s="1"/>
  <c r="AH1491" i="27"/>
  <c r="AN2933" i="27"/>
  <c r="AO2933" i="27" s="1"/>
  <c r="AN2637" i="27"/>
  <c r="AO2637" i="27" s="1"/>
  <c r="D176" i="30"/>
  <c r="AN766" i="27"/>
  <c r="AO766" i="27" s="1"/>
  <c r="AH1992" i="27"/>
  <c r="AH1368" i="27"/>
  <c r="AN542" i="27"/>
  <c r="AO542" i="27" s="1"/>
  <c r="AN1264" i="27"/>
  <c r="AO1264" i="27" s="1"/>
  <c r="AN2097" i="27"/>
  <c r="AO2097" i="27" s="1"/>
  <c r="AN2551" i="27"/>
  <c r="AO2551" i="27" s="1"/>
  <c r="AH554" i="27"/>
  <c r="AH2491" i="27"/>
  <c r="AH2137" i="27"/>
  <c r="AF129" i="30"/>
  <c r="AH1870" i="27"/>
  <c r="AH902" i="27"/>
  <c r="AN2773" i="27"/>
  <c r="AO2773" i="27" s="1"/>
  <c r="AH802" i="27"/>
  <c r="G176" i="30"/>
  <c r="AF176" i="30"/>
  <c r="AE176" i="30"/>
  <c r="AE129" i="30"/>
  <c r="F129" i="30"/>
  <c r="E129" i="30"/>
  <c r="E160" i="30"/>
  <c r="G160" i="30"/>
  <c r="AF160" i="30"/>
  <c r="AF206" i="30"/>
  <c r="D123" i="30"/>
  <c r="F178" i="30"/>
  <c r="E123" i="30"/>
  <c r="D178" i="30"/>
  <c r="F183" i="30"/>
  <c r="Y19" i="37"/>
  <c r="F123" i="30"/>
  <c r="AF183" i="30"/>
  <c r="G123" i="30"/>
  <c r="AN3025" i="27"/>
  <c r="AO3025" i="27" s="1"/>
  <c r="AH470" i="27"/>
  <c r="AN788" i="27"/>
  <c r="AO788" i="27" s="1"/>
  <c r="AH1942" i="27"/>
  <c r="AN2305" i="27"/>
  <c r="AO2305" i="27" s="1"/>
  <c r="AH2399" i="27"/>
  <c r="AN926" i="27"/>
  <c r="AO926" i="27" s="1"/>
  <c r="AH2815" i="27"/>
  <c r="AN2813" i="27"/>
  <c r="AO2813" i="27" s="1"/>
  <c r="AH2239" i="27"/>
  <c r="AH2907" i="27"/>
  <c r="AN1244" i="27"/>
  <c r="AO1244" i="27" s="1"/>
  <c r="AN1177" i="27"/>
  <c r="AO1177" i="27" s="1"/>
  <c r="AN2599" i="27"/>
  <c r="AO2599" i="27" s="1"/>
  <c r="AH654" i="27"/>
  <c r="AH1370" i="27"/>
  <c r="AH1042" i="27"/>
  <c r="AN978" i="27"/>
  <c r="AO978" i="27" s="1"/>
  <c r="AN312" i="27"/>
  <c r="AO312" i="27" s="1"/>
  <c r="AN2081" i="27"/>
  <c r="AO2081" i="27" s="1"/>
  <c r="AN1884" i="27"/>
  <c r="AO1884" i="27" s="1"/>
  <c r="AH950" i="27"/>
  <c r="AH838" i="27"/>
  <c r="AH1102" i="27"/>
  <c r="AN2705" i="27"/>
  <c r="AO2705" i="27" s="1"/>
  <c r="AH3019" i="27"/>
  <c r="AH2956" i="27"/>
  <c r="AN420" i="27"/>
  <c r="AO420" i="27" s="1"/>
  <c r="AN854" i="27"/>
  <c r="AO854" i="27" s="1"/>
  <c r="AN2503" i="27"/>
  <c r="AO2503" i="27" s="1"/>
  <c r="AN372" i="27"/>
  <c r="AO372" i="27" s="1"/>
  <c r="AH2643" i="27"/>
  <c r="AN2825" i="27"/>
  <c r="AO2825" i="27" s="1"/>
  <c r="AN1183" i="27"/>
  <c r="AO1183" i="27" s="1"/>
  <c r="AN2475" i="27"/>
  <c r="AO2475" i="27" s="1"/>
  <c r="AH678" i="27"/>
  <c r="AN2579" i="27"/>
  <c r="AO2579" i="27" s="1"/>
  <c r="AH1976" i="27"/>
  <c r="AH972" i="27"/>
  <c r="AN2085" i="27"/>
  <c r="AO2085" i="27" s="1"/>
  <c r="E206" i="30"/>
  <c r="E178" i="30"/>
  <c r="AE160" i="30"/>
  <c r="E19" i="37"/>
  <c r="D206" i="30"/>
  <c r="AF178" i="30"/>
  <c r="Q19" i="37"/>
  <c r="U19" i="37" s="1"/>
  <c r="F19" i="37"/>
  <c r="O19" i="37"/>
  <c r="N19" i="37"/>
  <c r="M19" i="37" s="1"/>
  <c r="D19" i="37"/>
  <c r="L19" i="37"/>
  <c r="K19" i="37" s="1"/>
  <c r="W19" i="37"/>
  <c r="G206" i="30"/>
  <c r="AE206" i="30"/>
  <c r="G19" i="37"/>
  <c r="P19" i="37"/>
  <c r="G72" i="37"/>
  <c r="D72" i="37"/>
  <c r="F72" i="37"/>
  <c r="Y72" i="37"/>
  <c r="P72" i="37"/>
  <c r="W72" i="37"/>
  <c r="E72" i="37"/>
  <c r="O72" i="37"/>
  <c r="X72" i="37"/>
  <c r="L72" i="37"/>
  <c r="K72" i="37" s="1"/>
  <c r="N72" i="37"/>
  <c r="M72" i="37" s="1"/>
  <c r="Q72" i="37"/>
  <c r="X70" i="37"/>
  <c r="L70" i="37"/>
  <c r="K70" i="37" s="1"/>
  <c r="F70" i="37"/>
  <c r="G70" i="37"/>
  <c r="E70" i="37"/>
  <c r="W70" i="37"/>
  <c r="N70" i="37"/>
  <c r="M70" i="37" s="1"/>
  <c r="Q70" i="37"/>
  <c r="O70" i="37"/>
  <c r="P70" i="37"/>
  <c r="Y70" i="37"/>
  <c r="D70" i="37"/>
  <c r="Y80" i="37"/>
  <c r="L80" i="37"/>
  <c r="K80" i="37" s="1"/>
  <c r="P80" i="37"/>
  <c r="E80" i="37"/>
  <c r="W80" i="37"/>
  <c r="X80" i="37"/>
  <c r="F80" i="37"/>
  <c r="G80" i="37"/>
  <c r="N80" i="37"/>
  <c r="M80" i="37" s="1"/>
  <c r="Q80" i="37"/>
  <c r="O80" i="37"/>
  <c r="D80" i="37"/>
  <c r="X74" i="37"/>
  <c r="N74" i="37"/>
  <c r="M74" i="37" s="1"/>
  <c r="E74" i="37"/>
  <c r="O74" i="37"/>
  <c r="Q74" i="37"/>
  <c r="Y74" i="37"/>
  <c r="G74" i="37"/>
  <c r="F74" i="37"/>
  <c r="W74" i="37"/>
  <c r="D74" i="37"/>
  <c r="P74" i="37"/>
  <c r="L74" i="37"/>
  <c r="K74" i="37" s="1"/>
  <c r="Y75" i="37"/>
  <c r="D75" i="37"/>
  <c r="E75" i="37"/>
  <c r="P75" i="37"/>
  <c r="X75" i="37"/>
  <c r="Q75" i="37"/>
  <c r="F75" i="37"/>
  <c r="L75" i="37"/>
  <c r="K75" i="37" s="1"/>
  <c r="N75" i="37"/>
  <c r="M75" i="37" s="1"/>
  <c r="W75" i="37"/>
  <c r="G75" i="37"/>
  <c r="O75" i="37"/>
  <c r="Y73" i="37"/>
  <c r="N73" i="37"/>
  <c r="M73" i="37" s="1"/>
  <c r="P73" i="37"/>
  <c r="W73" i="37"/>
  <c r="G73" i="37"/>
  <c r="E73" i="37"/>
  <c r="L73" i="37"/>
  <c r="K73" i="37" s="1"/>
  <c r="D73" i="37"/>
  <c r="Q73" i="37"/>
  <c r="F73" i="37"/>
  <c r="X73" i="37"/>
  <c r="O73" i="37"/>
  <c r="P71" i="37"/>
  <c r="E71" i="37"/>
  <c r="N71" i="37"/>
  <c r="M71" i="37" s="1"/>
  <c r="O71" i="37"/>
  <c r="Q71" i="37"/>
  <c r="D71" i="37"/>
  <c r="W71" i="37"/>
  <c r="G71" i="37"/>
  <c r="X71" i="37"/>
  <c r="F71" i="37"/>
  <c r="Y71" i="37"/>
  <c r="L71" i="37"/>
  <c r="K71" i="37" s="1"/>
  <c r="X82" i="37"/>
  <c r="D82" i="37"/>
  <c r="O82" i="37"/>
  <c r="F82" i="37"/>
  <c r="N82" i="37"/>
  <c r="M82" i="37" s="1"/>
  <c r="E82" i="37"/>
  <c r="L82" i="37"/>
  <c r="K82" i="37" s="1"/>
  <c r="P82" i="37"/>
  <c r="G82" i="37"/>
  <c r="Y82" i="37"/>
  <c r="Q82" i="37"/>
  <c r="W82" i="37"/>
  <c r="Y76" i="37"/>
  <c r="X76" i="37"/>
  <c r="D76" i="37"/>
  <c r="L76" i="37"/>
  <c r="K76" i="37" s="1"/>
  <c r="Q76" i="37"/>
  <c r="F76" i="37"/>
  <c r="O76" i="37"/>
  <c r="G76" i="37"/>
  <c r="W76" i="37"/>
  <c r="N76" i="37"/>
  <c r="M76" i="37" s="1"/>
  <c r="E76" i="37"/>
  <c r="P76" i="37"/>
  <c r="X81" i="37"/>
  <c r="E81" i="37"/>
  <c r="D81" i="37"/>
  <c r="F81" i="37"/>
  <c r="Q81" i="37"/>
  <c r="N81" i="37"/>
  <c r="M81" i="37" s="1"/>
  <c r="Y81" i="37"/>
  <c r="W81" i="37"/>
  <c r="P81" i="37"/>
  <c r="L81" i="37"/>
  <c r="K81" i="37" s="1"/>
  <c r="G81" i="37"/>
  <c r="O81" i="37"/>
  <c r="O77" i="37"/>
  <c r="G77" i="37"/>
  <c r="N77" i="37"/>
  <c r="M77" i="37" s="1"/>
  <c r="Q77" i="37"/>
  <c r="D77" i="37"/>
  <c r="Y77" i="37"/>
  <c r="E77" i="37"/>
  <c r="X77" i="37"/>
  <c r="L77" i="37"/>
  <c r="K77" i="37" s="1"/>
  <c r="P77" i="37"/>
  <c r="F77" i="37"/>
  <c r="W77" i="37"/>
  <c r="AH268" i="27"/>
  <c r="AH1202" i="27"/>
  <c r="AN2191" i="27"/>
  <c r="AO2191" i="27" s="1"/>
  <c r="AN3307" i="27"/>
  <c r="AO3307" i="27" s="1"/>
  <c r="AH1313" i="27"/>
  <c r="AH2382" i="27"/>
  <c r="AN2245" i="27"/>
  <c r="AO2245" i="27" s="1"/>
  <c r="AN2077" i="27"/>
  <c r="AO2077" i="27" s="1"/>
  <c r="AH3042" i="27"/>
  <c r="AN2513" i="27"/>
  <c r="AO2513" i="27" s="1"/>
  <c r="AH3188" i="27"/>
  <c r="AH2275" i="27"/>
  <c r="AN1293" i="27"/>
  <c r="AO1293" i="27" s="1"/>
  <c r="AH2613" i="27"/>
  <c r="AH2050" i="27"/>
  <c r="AH760" i="27"/>
  <c r="AH3052" i="27"/>
  <c r="AH1080" i="27"/>
  <c r="AH2139" i="27"/>
  <c r="AN3078" i="27"/>
  <c r="AO3078" i="27" s="1"/>
  <c r="AH870" i="27"/>
  <c r="AN2894" i="27"/>
  <c r="AO2894" i="27" s="1"/>
  <c r="AH2785" i="27"/>
  <c r="AH584" i="27"/>
  <c r="AH1394" i="27"/>
  <c r="AN536" i="27"/>
  <c r="AO536" i="27" s="1"/>
  <c r="AH706" i="27"/>
  <c r="AH3190" i="27"/>
  <c r="AN1205" i="27"/>
  <c r="AO1205" i="27" s="1"/>
  <c r="AH746" i="27"/>
  <c r="AN2411" i="27"/>
  <c r="AO2411" i="27" s="1"/>
  <c r="AH344" i="27"/>
  <c r="AN2639" i="27"/>
  <c r="AO2639" i="27" s="1"/>
  <c r="AH3292" i="27"/>
  <c r="AH2443" i="27"/>
  <c r="AN534" i="27"/>
  <c r="AO534" i="27" s="1"/>
  <c r="AN2031" i="27"/>
  <c r="AO2031" i="27" s="1"/>
  <c r="AH476" i="27"/>
  <c r="AH3018" i="27"/>
  <c r="AN2265" i="27"/>
  <c r="AO2265" i="27" s="1"/>
  <c r="AN2153" i="27"/>
  <c r="AO2153" i="27" s="1"/>
  <c r="AH2002" i="27"/>
  <c r="AH2787" i="27"/>
  <c r="AH2115" i="27"/>
  <c r="AN2535" i="27"/>
  <c r="AO2535" i="27" s="1"/>
  <c r="AN1272" i="27"/>
  <c r="AO1272" i="27" s="1"/>
  <c r="AH1560" i="27"/>
  <c r="AN2459" i="27"/>
  <c r="AO2459" i="27" s="1"/>
  <c r="AH952" i="27"/>
  <c r="AH1892" i="27"/>
  <c r="AN2107" i="27"/>
  <c r="AO2107" i="27" s="1"/>
  <c r="AH794" i="27"/>
  <c r="AN1004" i="27"/>
  <c r="AO1004" i="27" s="1"/>
  <c r="AN1040" i="27"/>
  <c r="AO1040" i="27" s="1"/>
  <c r="AH1590" i="27"/>
  <c r="AH2991" i="27"/>
  <c r="AN3008" i="27"/>
  <c r="AO3008" i="27" s="1"/>
  <c r="AH718" i="27"/>
  <c r="AH2729" i="27"/>
  <c r="AH2571" i="27"/>
  <c r="AN3053" i="27"/>
  <c r="AO3053" i="27" s="1"/>
  <c r="AN1956" i="27"/>
  <c r="AO1956" i="27" s="1"/>
  <c r="AH1932" i="27"/>
  <c r="AH2267" i="27"/>
  <c r="AH1920" i="27"/>
  <c r="AN2375" i="27"/>
  <c r="AO2375" i="27" s="1"/>
  <c r="AH2243" i="27"/>
  <c r="AH2175" i="27"/>
  <c r="AH2195" i="27"/>
  <c r="AH2159" i="27"/>
  <c r="AN440" i="27"/>
  <c r="AO440" i="27" s="1"/>
  <c r="AN779" i="27"/>
  <c r="AO779" i="27" s="1"/>
  <c r="AH715" i="27"/>
  <c r="AN216" i="27"/>
  <c r="AO216" i="27" s="1"/>
  <c r="AN2127" i="27"/>
  <c r="AO2127" i="27" s="1"/>
  <c r="AH1282" i="27"/>
  <c r="AN1416" i="27"/>
  <c r="AO1416" i="27" s="1"/>
  <c r="AN2292" i="27"/>
  <c r="AO2292" i="27" s="1"/>
  <c r="AN390" i="27"/>
  <c r="AO390" i="27" s="1"/>
  <c r="AH1153" i="27"/>
  <c r="AH2141" i="27"/>
  <c r="AN828" i="27"/>
  <c r="AO828" i="27" s="1"/>
  <c r="AH320" i="27"/>
  <c r="AN924" i="27"/>
  <c r="AO924" i="27" s="1"/>
  <c r="AN2016" i="27"/>
  <c r="AO2016" i="27" s="1"/>
  <c r="AH1421" i="27"/>
  <c r="AN1048" i="27"/>
  <c r="AO1048" i="27" s="1"/>
  <c r="AH812" i="27"/>
  <c r="AN1143" i="27"/>
  <c r="AO1143" i="27" s="1"/>
  <c r="AH729" i="27"/>
  <c r="AN1148" i="27"/>
  <c r="AO1148" i="27" s="1"/>
  <c r="AF136" i="30"/>
  <c r="G136" i="30"/>
  <c r="E136" i="30"/>
  <c r="AE136" i="30"/>
  <c r="F136" i="30"/>
  <c r="D136" i="30"/>
  <c r="AF106" i="30"/>
  <c r="G106" i="30"/>
  <c r="E106" i="30"/>
  <c r="AE106" i="30"/>
  <c r="F106" i="30"/>
  <c r="D106" i="30"/>
  <c r="AF172" i="30"/>
  <c r="G172" i="30"/>
  <c r="E172" i="30"/>
  <c r="AE172" i="30"/>
  <c r="F172" i="30"/>
  <c r="D172" i="30"/>
  <c r="AF109" i="30"/>
  <c r="G109" i="30"/>
  <c r="E109" i="30"/>
  <c r="AE109" i="30"/>
  <c r="F109" i="30"/>
  <c r="D109" i="30"/>
  <c r="AF199" i="30"/>
  <c r="G199" i="30"/>
  <c r="E199" i="30"/>
  <c r="AE199" i="30"/>
  <c r="F199" i="30"/>
  <c r="D199" i="30"/>
  <c r="AF207" i="30"/>
  <c r="G207" i="30"/>
  <c r="E207" i="30"/>
  <c r="AE207" i="30"/>
  <c r="F207" i="30"/>
  <c r="D207" i="30"/>
  <c r="AF192" i="30"/>
  <c r="G192" i="30"/>
  <c r="E192" i="30"/>
  <c r="AE192" i="30"/>
  <c r="F192" i="30"/>
  <c r="D192" i="30"/>
  <c r="AF204" i="30"/>
  <c r="G204" i="30"/>
  <c r="E204" i="30"/>
  <c r="AE204" i="30"/>
  <c r="F204" i="30"/>
  <c r="D204" i="30"/>
  <c r="AN423" i="27"/>
  <c r="AO423" i="27" s="1"/>
  <c r="AN962" i="27"/>
  <c r="AO962" i="27" s="1"/>
  <c r="AN364" i="27"/>
  <c r="AO364" i="27" s="1"/>
  <c r="AH1981" i="27"/>
  <c r="AN716" i="27"/>
  <c r="AO716" i="27" s="1"/>
  <c r="AH2289" i="27"/>
  <c r="AN672" i="27"/>
  <c r="AO672" i="27" s="1"/>
  <c r="AN552" i="27"/>
  <c r="AO552" i="27" s="1"/>
  <c r="AH2972" i="27"/>
  <c r="AN956" i="27"/>
  <c r="AO956" i="27" s="1"/>
  <c r="AN1360" i="27"/>
  <c r="AO1360" i="27" s="1"/>
  <c r="AN912" i="27"/>
  <c r="AO912" i="27" s="1"/>
  <c r="AH2999" i="27"/>
  <c r="AN3009" i="27"/>
  <c r="AO3009" i="27" s="1"/>
  <c r="AN2119" i="27"/>
  <c r="AO2119" i="27" s="1"/>
  <c r="AN1161" i="27"/>
  <c r="AO1161" i="27" s="1"/>
  <c r="AH374" i="27"/>
  <c r="AH426" i="27"/>
  <c r="AH488" i="27"/>
  <c r="AH928" i="27"/>
  <c r="AH1127" i="27"/>
  <c r="AN942" i="27"/>
  <c r="AO942" i="27" s="1"/>
  <c r="AH842" i="27"/>
  <c r="AH548" i="27"/>
  <c r="AH221" i="27"/>
  <c r="AH3039" i="27"/>
  <c r="AN2839" i="27"/>
  <c r="AO2839" i="27" s="1"/>
  <c r="AN1970" i="27"/>
  <c r="AO1970" i="27" s="1"/>
  <c r="AN850" i="27"/>
  <c r="AO850" i="27" s="1"/>
  <c r="AN1068" i="27"/>
  <c r="AO1068" i="27" s="1"/>
  <c r="AN2095" i="27"/>
  <c r="AO2095" i="27" s="1"/>
  <c r="AN3036" i="27"/>
  <c r="AO3036" i="27" s="1"/>
  <c r="AN1342" i="27"/>
  <c r="AO1342" i="27" s="1"/>
  <c r="AH1185" i="27"/>
  <c r="AH868" i="27"/>
  <c r="AH600" i="27"/>
  <c r="AN2927" i="27"/>
  <c r="AO2927" i="27" s="1"/>
  <c r="AN410" i="27"/>
  <c r="AO410" i="27" s="1"/>
  <c r="AN920" i="27"/>
  <c r="AO920" i="27" s="1"/>
  <c r="AN1337" i="27"/>
  <c r="AO1337" i="27" s="1"/>
  <c r="AH424" i="27"/>
  <c r="AH2559" i="27"/>
  <c r="AN366" i="27"/>
  <c r="AO366" i="27" s="1"/>
  <c r="AH2219" i="27"/>
  <c r="AN1123" i="27"/>
  <c r="AO1123" i="27" s="1"/>
  <c r="AN2437" i="27"/>
  <c r="AO2437" i="27" s="1"/>
  <c r="AN2089" i="27"/>
  <c r="AO2089" i="27" s="1"/>
  <c r="AH1018" i="27"/>
  <c r="AN892" i="27"/>
  <c r="AO892" i="27" s="1"/>
  <c r="AN2463" i="27"/>
  <c r="AO2463" i="27" s="1"/>
  <c r="AN562" i="27"/>
  <c r="AO562" i="27" s="1"/>
  <c r="AH316" i="27"/>
  <c r="AH2255" i="27"/>
  <c r="AH2113" i="27"/>
  <c r="AH3205" i="27"/>
  <c r="AH510" i="27"/>
  <c r="AN1449" i="27"/>
  <c r="AO1449" i="27" s="1"/>
  <c r="AN2573" i="27"/>
  <c r="AO2573" i="27" s="1"/>
  <c r="AH2028" i="27"/>
  <c r="AH386" i="27"/>
  <c r="AH308" i="27"/>
  <c r="AH3289" i="27"/>
  <c r="AN2811" i="27"/>
  <c r="AO2811" i="27" s="1"/>
  <c r="AN1297" i="27"/>
  <c r="AO1297" i="27" s="1"/>
  <c r="AH1250" i="27"/>
  <c r="AN1516" i="27"/>
  <c r="AO1516" i="27" s="1"/>
  <c r="AH2767" i="27"/>
  <c r="AN2279" i="27"/>
  <c r="AO2279" i="27" s="1"/>
  <c r="AH2549" i="27"/>
  <c r="AN3185" i="27"/>
  <c r="AO3185" i="27" s="1"/>
  <c r="AH744" i="27"/>
  <c r="AN1220" i="27"/>
  <c r="AO1220" i="27" s="1"/>
  <c r="AH1224" i="27"/>
  <c r="AN1547" i="27"/>
  <c r="AO1547" i="27" s="1"/>
  <c r="AH1876" i="27"/>
  <c r="AH1978" i="27"/>
  <c r="AH2676" i="27"/>
  <c r="AN1615" i="27"/>
  <c r="AO1615" i="27" s="1"/>
  <c r="AN929" i="27"/>
  <c r="AO929" i="27" s="1"/>
  <c r="AN576" i="27"/>
  <c r="AO576" i="27" s="1"/>
  <c r="AN2466" i="27"/>
  <c r="AO2466" i="27" s="1"/>
  <c r="AN2753" i="27"/>
  <c r="AO2753" i="27" s="1"/>
  <c r="AH3058" i="27"/>
  <c r="AN1125" i="27"/>
  <c r="AO1125" i="27" s="1"/>
  <c r="AH863" i="27"/>
  <c r="AN3066" i="27"/>
  <c r="AO3066" i="27" s="1"/>
  <c r="AH582" i="27"/>
  <c r="AH1372" i="27"/>
  <c r="AN800" i="27"/>
  <c r="AO800" i="27" s="1"/>
  <c r="AN1445" i="27"/>
  <c r="AO1445" i="27" s="1"/>
  <c r="AN1023" i="27"/>
  <c r="AO1023" i="27" s="1"/>
  <c r="AH1142" i="27"/>
  <c r="AH1369" i="27"/>
  <c r="AN1092" i="27"/>
  <c r="AO1092" i="27" s="1"/>
  <c r="AN442" i="27"/>
  <c r="AO442" i="27" s="1"/>
  <c r="AH1070" i="27"/>
  <c r="AH944" i="27"/>
  <c r="AN2741" i="27"/>
  <c r="AO2741" i="27" s="1"/>
  <c r="AN2314" i="27"/>
  <c r="AO2314" i="27" s="1"/>
  <c r="AH435" i="27"/>
  <c r="AN820" i="27"/>
  <c r="AO820" i="27" s="1"/>
  <c r="AN822" i="27"/>
  <c r="AO822" i="27" s="1"/>
  <c r="AH1404" i="27"/>
  <c r="AH1411" i="27"/>
  <c r="AN543" i="27"/>
  <c r="AO543" i="27" s="1"/>
  <c r="AN3037" i="27"/>
  <c r="AO3037" i="27" s="1"/>
  <c r="AN2407" i="27"/>
  <c r="AO2407" i="27" s="1"/>
  <c r="AH2961" i="27"/>
  <c r="AN2882" i="27"/>
  <c r="AO2882" i="27" s="1"/>
  <c r="AH412" i="27"/>
  <c r="AH1478" i="27"/>
  <c r="AH2076" i="27"/>
  <c r="AN644" i="27"/>
  <c r="AO644" i="27" s="1"/>
  <c r="AN2971" i="27"/>
  <c r="AO2971" i="27" s="1"/>
  <c r="AN938" i="27"/>
  <c r="AO938" i="27" s="1"/>
  <c r="AH1298" i="27"/>
  <c r="AH736" i="27"/>
  <c r="AH2311" i="27"/>
  <c r="AH643" i="27"/>
  <c r="AH860" i="27"/>
  <c r="AH1578" i="27"/>
  <c r="AH518" i="27"/>
  <c r="AN1028" i="27"/>
  <c r="AO1028" i="27" s="1"/>
  <c r="AH724" i="27"/>
  <c r="AN2555" i="27"/>
  <c r="AO2555" i="27" s="1"/>
  <c r="AN1498" i="27"/>
  <c r="AO1498" i="27" s="1"/>
  <c r="AN352" i="27"/>
  <c r="AO352" i="27" s="1"/>
  <c r="AN2645" i="27"/>
  <c r="AO2645" i="27" s="1"/>
  <c r="AN1356" i="27"/>
  <c r="AO1356" i="27" s="1"/>
  <c r="AN896" i="27"/>
  <c r="AO896" i="27" s="1"/>
  <c r="AH1104" i="27"/>
  <c r="AH2010" i="27"/>
  <c r="AH612" i="27"/>
  <c r="AH1165" i="27"/>
  <c r="AH2726" i="27"/>
  <c r="AN2000" i="27"/>
  <c r="AO2000" i="27" s="1"/>
  <c r="AN963" i="27"/>
  <c r="AO963" i="27" s="1"/>
  <c r="AN1458" i="27"/>
  <c r="AO1458" i="27" s="1"/>
  <c r="AN658" i="27"/>
  <c r="AO658" i="27" s="1"/>
  <c r="AH1189" i="27"/>
  <c r="AH1906" i="27"/>
  <c r="AH1268" i="27"/>
  <c r="AH464" i="27"/>
  <c r="AN2278" i="27"/>
  <c r="AO2278" i="27" s="1"/>
  <c r="AN1508" i="27"/>
  <c r="AO1508" i="27" s="1"/>
  <c r="AH616" i="27"/>
  <c r="AN2981" i="27"/>
  <c r="AO2981" i="27" s="1"/>
  <c r="AN2009" i="27"/>
  <c r="AO2009" i="27" s="1"/>
  <c r="AH2326" i="27"/>
  <c r="AH1616" i="27"/>
  <c r="AN345" i="27"/>
  <c r="AO345" i="27" s="1"/>
  <c r="AN527" i="27"/>
  <c r="AO527" i="27" s="1"/>
  <c r="AN776" i="27"/>
  <c r="AO776" i="27" s="1"/>
  <c r="AH2681" i="27"/>
  <c r="AN1414" i="27"/>
  <c r="AO1414" i="27" s="1"/>
  <c r="AH826" i="27"/>
  <c r="AH466" i="27"/>
  <c r="AN1289" i="27"/>
  <c r="AO1289" i="27" s="1"/>
  <c r="AF142" i="30"/>
  <c r="G142" i="30"/>
  <c r="E142" i="30"/>
  <c r="AE142" i="30"/>
  <c r="F142" i="30"/>
  <c r="D142" i="30"/>
  <c r="AF191" i="30"/>
  <c r="G191" i="30"/>
  <c r="E191" i="30"/>
  <c r="AE191" i="30"/>
  <c r="F191" i="30"/>
  <c r="D191" i="30"/>
  <c r="AF190" i="30"/>
  <c r="G190" i="30"/>
  <c r="E190" i="30"/>
  <c r="AE190" i="30"/>
  <c r="F190" i="30"/>
  <c r="D190" i="30"/>
  <c r="AF154" i="30"/>
  <c r="G154" i="30"/>
  <c r="E154" i="30"/>
  <c r="AE154" i="30"/>
  <c r="F154" i="30"/>
  <c r="D154" i="30"/>
  <c r="AF158" i="30"/>
  <c r="G158" i="30"/>
  <c r="E158" i="30"/>
  <c r="AE158" i="30"/>
  <c r="F158" i="30"/>
  <c r="D158" i="30"/>
  <c r="AF195" i="30"/>
  <c r="G195" i="30"/>
  <c r="E195" i="30"/>
  <c r="AE195" i="30"/>
  <c r="F195" i="30"/>
  <c r="D195" i="30"/>
  <c r="AF152" i="30"/>
  <c r="G152" i="30"/>
  <c r="E152" i="30"/>
  <c r="AE152" i="30"/>
  <c r="F152" i="30"/>
  <c r="D152" i="30"/>
  <c r="AF203" i="30"/>
  <c r="G203" i="30"/>
  <c r="E203" i="30"/>
  <c r="AE203" i="30"/>
  <c r="F203" i="30"/>
  <c r="D203" i="30"/>
  <c r="AN2155" i="27"/>
  <c r="AO2155" i="27" s="1"/>
  <c r="AH2607" i="27"/>
  <c r="AH2665" i="27"/>
  <c r="AN770" i="27"/>
  <c r="AO770" i="27" s="1"/>
  <c r="AH1572" i="27"/>
  <c r="AH2501" i="27"/>
  <c r="AN1074" i="27"/>
  <c r="AO1074" i="27" s="1"/>
  <c r="AH2199" i="27"/>
  <c r="AH544" i="27"/>
  <c r="AH886" i="27"/>
  <c r="AH2435" i="27"/>
  <c r="AH498" i="27"/>
  <c r="AN2035" i="27"/>
  <c r="AO2035" i="27" s="1"/>
  <c r="AH1940" i="27"/>
  <c r="AN2769" i="27"/>
  <c r="AO2769" i="27" s="1"/>
  <c r="AH538" i="27"/>
  <c r="AH3063" i="27"/>
  <c r="AN1886" i="27"/>
  <c r="AO1886" i="27" s="1"/>
  <c r="AH1076" i="27"/>
  <c r="AN334" i="27"/>
  <c r="AO334" i="27" s="1"/>
  <c r="AH2641" i="27"/>
  <c r="AN740" i="27"/>
  <c r="AO740" i="27" s="1"/>
  <c r="AH2885" i="27"/>
  <c r="AN2865" i="27"/>
  <c r="AO2865" i="27" s="1"/>
  <c r="AH550" i="27"/>
  <c r="AN936" i="27"/>
  <c r="AO936" i="27" s="1"/>
  <c r="AN1088" i="27"/>
  <c r="AO1088" i="27" s="1"/>
  <c r="AH610" i="27"/>
  <c r="AH620" i="27"/>
  <c r="AN2521" i="27"/>
  <c r="AO2521" i="27" s="1"/>
  <c r="AN2477" i="27"/>
  <c r="AO2477" i="27" s="1"/>
  <c r="AH2171" i="27"/>
  <c r="AH1988" i="27"/>
  <c r="AN1187" i="27"/>
  <c r="AO1187" i="27" s="1"/>
  <c r="AN3295" i="27"/>
  <c r="AO3295" i="27" s="1"/>
  <c r="AH2853" i="27"/>
  <c r="AH2023" i="27"/>
  <c r="AH2445" i="27"/>
  <c r="AH1385" i="27"/>
  <c r="AN1385" i="27"/>
  <c r="AO1385" i="27" s="1"/>
  <c r="AH1446" i="27"/>
  <c r="AN1446" i="27"/>
  <c r="AO1446" i="27" s="1"/>
  <c r="AH2047" i="27"/>
  <c r="AN2047" i="27"/>
  <c r="AO2047" i="27" s="1"/>
  <c r="AN846" i="27"/>
  <c r="AO846" i="27" s="1"/>
  <c r="AH846" i="27"/>
  <c r="AH720" i="27"/>
  <c r="AN720" i="27"/>
  <c r="AO720" i="27" s="1"/>
  <c r="AH1032" i="27"/>
  <c r="AN1032" i="27"/>
  <c r="AO1032" i="27" s="1"/>
  <c r="AH1072" i="27"/>
  <c r="AN1072" i="27"/>
  <c r="AO1072" i="27" s="1"/>
  <c r="AH1129" i="27"/>
  <c r="AN1129" i="27"/>
  <c r="AO1129" i="27" s="1"/>
  <c r="AH1888" i="27"/>
  <c r="AN1888" i="27"/>
  <c r="AO1888" i="27" s="1"/>
  <c r="AN2203" i="27"/>
  <c r="AO2203" i="27" s="1"/>
  <c r="AH2203" i="27"/>
  <c r="AN2623" i="27"/>
  <c r="AO2623" i="27" s="1"/>
  <c r="AH2623" i="27"/>
  <c r="AN2743" i="27"/>
  <c r="AO2743" i="27" s="1"/>
  <c r="AH2743" i="27"/>
  <c r="AN3010" i="27"/>
  <c r="AO3010" i="27" s="1"/>
  <c r="AH3010" i="27"/>
  <c r="AH2297" i="27"/>
  <c r="AN2297" i="27"/>
  <c r="AO2297" i="27" s="1"/>
  <c r="AH342" i="27"/>
  <c r="AN342" i="27"/>
  <c r="AO342" i="27" s="1"/>
  <c r="AN650" i="27"/>
  <c r="AO650" i="27" s="1"/>
  <c r="AH650" i="27"/>
  <c r="AH858" i="27"/>
  <c r="AN858" i="27"/>
  <c r="AO858" i="27" s="1"/>
  <c r="AN1006" i="27"/>
  <c r="AO1006" i="27" s="1"/>
  <c r="AH1006" i="27"/>
  <c r="AH1078" i="27"/>
  <c r="AN1078" i="27"/>
  <c r="AO1078" i="27" s="1"/>
  <c r="AH1110" i="27"/>
  <c r="AN1110" i="27"/>
  <c r="AO1110" i="27" s="1"/>
  <c r="AH1986" i="27"/>
  <c r="AN1986" i="27"/>
  <c r="AO1986" i="27" s="1"/>
  <c r="AH2093" i="27"/>
  <c r="AN2093" i="27"/>
  <c r="AO2093" i="27" s="1"/>
  <c r="AN2281" i="27"/>
  <c r="AO2281" i="27" s="1"/>
  <c r="AH2281" i="27"/>
  <c r="AN2296" i="27"/>
  <c r="AO2296" i="27" s="1"/>
  <c r="AH2296" i="27"/>
  <c r="AN2533" i="27"/>
  <c r="AO2533" i="27" s="1"/>
  <c r="AH2533" i="27"/>
  <c r="AH2545" i="27"/>
  <c r="AN2545" i="27"/>
  <c r="AO2545" i="27" s="1"/>
  <c r="AH2565" i="27"/>
  <c r="AN2565" i="27"/>
  <c r="AO2565" i="27" s="1"/>
  <c r="AN2701" i="27"/>
  <c r="AO2701" i="27" s="1"/>
  <c r="AH2701" i="27"/>
  <c r="AH2733" i="27"/>
  <c r="AN2733" i="27"/>
  <c r="AO2733" i="27" s="1"/>
  <c r="AH2897" i="27"/>
  <c r="AN2897" i="27"/>
  <c r="AO2897" i="27" s="1"/>
  <c r="AH2959" i="27"/>
  <c r="AN2959" i="27"/>
  <c r="AO2959" i="27" s="1"/>
  <c r="AN1548" i="27"/>
  <c r="AO1548" i="27" s="1"/>
  <c r="AH1548" i="27"/>
  <c r="AH3079" i="27"/>
  <c r="AN3079" i="27"/>
  <c r="AO3079" i="27" s="1"/>
  <c r="AH3071" i="27"/>
  <c r="AN3071" i="27"/>
  <c r="AO3071" i="27" s="1"/>
  <c r="AN1460" i="27"/>
  <c r="AO1460" i="27" s="1"/>
  <c r="AH1460" i="27"/>
  <c r="AN1606" i="27"/>
  <c r="AO1606" i="27" s="1"/>
  <c r="AH1606" i="27"/>
  <c r="AH398" i="27"/>
  <c r="AN398" i="27"/>
  <c r="AO398" i="27" s="1"/>
  <c r="AH1167" i="27"/>
  <c r="AN1167" i="27"/>
  <c r="AO1167" i="27" s="1"/>
  <c r="AH1248" i="27"/>
  <c r="AN1248" i="27"/>
  <c r="AO1248" i="27" s="1"/>
  <c r="AH2950" i="27"/>
  <c r="AN2950" i="27"/>
  <c r="AO2950" i="27" s="1"/>
  <c r="AH2996" i="27"/>
  <c r="AN2996" i="27"/>
  <c r="AO2996" i="27" s="1"/>
  <c r="AN1948" i="27"/>
  <c r="AO1948" i="27" s="1"/>
  <c r="AH1948" i="27"/>
  <c r="AH3081" i="27"/>
  <c r="AN3081" i="27"/>
  <c r="AO3081" i="27" s="1"/>
  <c r="AN396" i="27"/>
  <c r="AO396" i="27" s="1"/>
  <c r="AH396" i="27"/>
  <c r="AH2379" i="27"/>
  <c r="AN2379" i="27"/>
  <c r="AO2379" i="27" s="1"/>
  <c r="AN3065" i="27"/>
  <c r="AO3065" i="27" s="1"/>
  <c r="AH3065" i="27"/>
  <c r="AH1354" i="27"/>
  <c r="AN1354" i="27"/>
  <c r="AO1354" i="27" s="1"/>
  <c r="AN622" i="27"/>
  <c r="AO622" i="27" s="1"/>
  <c r="AH622" i="27"/>
  <c r="AH806" i="27"/>
  <c r="AN806" i="27"/>
  <c r="AO806" i="27" s="1"/>
  <c r="AN2221" i="27"/>
  <c r="AO2221" i="27" s="1"/>
  <c r="AH2221" i="27"/>
  <c r="AN2385" i="27"/>
  <c r="AO2385" i="27" s="1"/>
  <c r="AH2385" i="27"/>
  <c r="AN2493" i="27"/>
  <c r="AO2493" i="27" s="1"/>
  <c r="AH2493" i="27"/>
  <c r="AN2829" i="27"/>
  <c r="AO2829" i="27" s="1"/>
  <c r="AH2829" i="27"/>
  <c r="AN1277" i="27"/>
  <c r="AO1277" i="27" s="1"/>
  <c r="AH1277" i="27"/>
  <c r="AN880" i="27"/>
  <c r="AO880" i="27" s="1"/>
  <c r="AH880" i="27"/>
  <c r="AN2393" i="27"/>
  <c r="AO2393" i="27" s="1"/>
  <c r="AH2393" i="27"/>
  <c r="AH434" i="27"/>
  <c r="AN434" i="27"/>
  <c r="AO434" i="27" s="1"/>
  <c r="AN1501" i="27"/>
  <c r="AO1501" i="27" s="1"/>
  <c r="AH1501" i="27"/>
  <c r="AN2528" i="27"/>
  <c r="AO2528" i="27" s="1"/>
  <c r="AH2528" i="27"/>
  <c r="AH1345" i="27"/>
  <c r="AN1345" i="27"/>
  <c r="AO1345" i="27" s="1"/>
  <c r="AH1419" i="27"/>
  <c r="AN1419" i="27"/>
  <c r="AO1419" i="27" s="1"/>
  <c r="AN2324" i="27"/>
  <c r="AO2324" i="27" s="1"/>
  <c r="AH2324" i="27"/>
  <c r="AH2233" i="27"/>
  <c r="AN2233" i="27"/>
  <c r="AO2233" i="27" s="1"/>
  <c r="AH2707" i="27"/>
  <c r="AN2707" i="27"/>
  <c r="AO2707" i="27" s="1"/>
  <c r="AN684" i="27"/>
  <c r="AO684" i="27" s="1"/>
  <c r="AH684" i="27"/>
  <c r="AH728" i="27"/>
  <c r="AN728" i="27"/>
  <c r="AO728" i="27" s="1"/>
  <c r="AN764" i="27"/>
  <c r="AO764" i="27" s="1"/>
  <c r="AH764" i="27"/>
  <c r="AN900" i="27"/>
  <c r="AO900" i="27" s="1"/>
  <c r="AH900" i="27"/>
  <c r="AN1112" i="27"/>
  <c r="AO1112" i="27" s="1"/>
  <c r="AH1112" i="27"/>
  <c r="AN1173" i="27"/>
  <c r="AO1173" i="27" s="1"/>
  <c r="AH1173" i="27"/>
  <c r="AH1916" i="27"/>
  <c r="AN1916" i="27"/>
  <c r="AO1916" i="27" s="1"/>
  <c r="AH2271" i="27"/>
  <c r="AN2271" i="27"/>
  <c r="AO2271" i="27" s="1"/>
  <c r="AH2383" i="27"/>
  <c r="AN2383" i="27"/>
  <c r="AO2383" i="27" s="1"/>
  <c r="AN2415" i="27"/>
  <c r="AO2415" i="27" s="1"/>
  <c r="AH2415" i="27"/>
  <c r="AH2471" i="27"/>
  <c r="AN2471" i="27"/>
  <c r="AO2471" i="27" s="1"/>
  <c r="AN2543" i="27"/>
  <c r="AO2543" i="27" s="1"/>
  <c r="AH2543" i="27"/>
  <c r="AH2719" i="27"/>
  <c r="AN2719" i="27"/>
  <c r="AO2719" i="27" s="1"/>
  <c r="AN2751" i="27"/>
  <c r="AO2751" i="27" s="1"/>
  <c r="AH2751" i="27"/>
  <c r="AH2775" i="27"/>
  <c r="AN2775" i="27"/>
  <c r="AO2775" i="27" s="1"/>
  <c r="AN2847" i="27"/>
  <c r="AO2847" i="27" s="1"/>
  <c r="AH2847" i="27"/>
  <c r="AH2934" i="27"/>
  <c r="AN2934" i="27"/>
  <c r="AO2934" i="27" s="1"/>
  <c r="AN1568" i="27"/>
  <c r="AO1568" i="27" s="1"/>
  <c r="AH1568" i="27"/>
  <c r="AH824" i="27"/>
  <c r="AH614" i="27"/>
  <c r="AH2483" i="27"/>
  <c r="AH504" i="27"/>
  <c r="AN3011" i="27"/>
  <c r="AO3011" i="27" s="1"/>
  <c r="AH676" i="27"/>
  <c r="AN2436" i="27"/>
  <c r="AO2436" i="27" s="1"/>
  <c r="AH2436" i="27"/>
  <c r="AH679" i="27"/>
  <c r="AN679" i="27"/>
  <c r="AO679" i="27" s="1"/>
  <c r="AN2038" i="27"/>
  <c r="AO2038" i="27" s="1"/>
  <c r="AH2038" i="27"/>
  <c r="AH1584" i="27"/>
  <c r="AN1584" i="27"/>
  <c r="AO1584" i="27" s="1"/>
  <c r="AH2034" i="27"/>
  <c r="AN2034" i="27"/>
  <c r="AO2034" i="27" s="1"/>
  <c r="AN1044" i="27"/>
  <c r="AO1044" i="27" s="1"/>
  <c r="AH1044" i="27"/>
  <c r="AN1096" i="27"/>
  <c r="AO1096" i="27" s="1"/>
  <c r="AH1096" i="27"/>
  <c r="AN1212" i="27"/>
  <c r="AO1212" i="27" s="1"/>
  <c r="AH1212" i="27"/>
  <c r="AN2179" i="27"/>
  <c r="AO2179" i="27" s="1"/>
  <c r="AH2179" i="27"/>
  <c r="AN2683" i="27"/>
  <c r="AO2683" i="27" s="1"/>
  <c r="AH2683" i="27"/>
  <c r="AH2735" i="27"/>
  <c r="AN2735" i="27"/>
  <c r="AO2735" i="27" s="1"/>
  <c r="AH2875" i="27"/>
  <c r="AN2875" i="27"/>
  <c r="AO2875" i="27" s="1"/>
  <c r="AN2575" i="27"/>
  <c r="AO2575" i="27" s="1"/>
  <c r="AN1292" i="27"/>
  <c r="AO1292" i="27" s="1"/>
  <c r="AN1258" i="27"/>
  <c r="AO1258" i="27" s="1"/>
  <c r="AH2531" i="27"/>
  <c r="AH397" i="27"/>
  <c r="AN1146" i="27"/>
  <c r="AO1146" i="27" s="1"/>
  <c r="AH2304" i="27"/>
  <c r="AH906" i="27"/>
  <c r="AN2123" i="27"/>
  <c r="AO2123" i="27" s="1"/>
  <c r="AN871" i="27"/>
  <c r="AO871" i="27" s="1"/>
  <c r="AN454" i="27"/>
  <c r="AO454" i="27" s="1"/>
  <c r="AN2306" i="27"/>
  <c r="AO2306" i="27" s="1"/>
  <c r="AH708" i="27"/>
  <c r="AN2455" i="27"/>
  <c r="AO2455" i="27" s="1"/>
  <c r="AN592" i="27"/>
  <c r="AO592" i="27" s="1"/>
  <c r="AH1972" i="27"/>
  <c r="AN2453" i="27"/>
  <c r="AO2453" i="27" s="1"/>
  <c r="AN832" i="27"/>
  <c r="AO832" i="27" s="1"/>
  <c r="AN1060" i="27"/>
  <c r="AO1060" i="27" s="1"/>
  <c r="AH1461" i="27"/>
  <c r="AN722" i="27"/>
  <c r="AO722" i="27" s="1"/>
  <c r="AN2169" i="27"/>
  <c r="AO2169" i="27" s="1"/>
  <c r="AN2947" i="27"/>
  <c r="AO2947" i="27" s="1"/>
  <c r="AH2895" i="27"/>
  <c r="AN1020" i="27"/>
  <c r="AO1020" i="27" s="1"/>
  <c r="AH1319" i="27"/>
  <c r="AN872" i="27"/>
  <c r="AO872" i="27" s="1"/>
  <c r="AH2391" i="27"/>
  <c r="AN2079" i="27"/>
  <c r="AO2079" i="27" s="1"/>
  <c r="AH1340" i="27"/>
  <c r="AH415" i="27"/>
  <c r="AN1447" i="27"/>
  <c r="AO1447" i="27" s="1"/>
  <c r="AN1878" i="27"/>
  <c r="AO1878" i="27" s="1"/>
  <c r="AN553" i="27"/>
  <c r="AO553" i="27" s="1"/>
  <c r="AH553" i="27"/>
  <c r="AH633" i="27"/>
  <c r="AN633" i="27"/>
  <c r="AO633" i="27" s="1"/>
  <c r="AH1103" i="27"/>
  <c r="AN1103" i="27"/>
  <c r="AO1103" i="27" s="1"/>
  <c r="AH1097" i="27"/>
  <c r="AH1924" i="27"/>
  <c r="AN468" i="27"/>
  <c r="AO468" i="27" s="1"/>
  <c r="AH324" i="27"/>
  <c r="AH2421" i="27"/>
  <c r="AH2259" i="27"/>
  <c r="AN2635" i="27"/>
  <c r="AO2635" i="27" s="1"/>
  <c r="AN2589" i="27"/>
  <c r="AO2589" i="27" s="1"/>
  <c r="AN742" i="27"/>
  <c r="AO742" i="27" s="1"/>
  <c r="AN2716" i="27"/>
  <c r="AO2716" i="27" s="1"/>
  <c r="AH2716" i="27"/>
  <c r="AH2878" i="27"/>
  <c r="AN2878" i="27"/>
  <c r="AO2878" i="27" s="1"/>
  <c r="AH2029" i="27"/>
  <c r="AN485" i="27"/>
  <c r="AO485" i="27" s="1"/>
  <c r="AH827" i="27"/>
  <c r="AN2390" i="27"/>
  <c r="AO2390" i="27" s="1"/>
  <c r="AH1540" i="27"/>
  <c r="AH791" i="27"/>
  <c r="AH385" i="27"/>
  <c r="AN717" i="27"/>
  <c r="AO717" i="27" s="1"/>
  <c r="AH2486" i="27"/>
  <c r="AN2302" i="27"/>
  <c r="AO2302" i="27" s="1"/>
  <c r="AH327" i="27"/>
  <c r="AH623" i="27"/>
  <c r="AN1321" i="27"/>
  <c r="AO1321" i="27" s="1"/>
  <c r="AH2300" i="27"/>
  <c r="AH659" i="27"/>
  <c r="AH2206" i="27"/>
  <c r="AN955" i="27"/>
  <c r="AO955" i="27" s="1"/>
  <c r="AH745" i="27"/>
  <c r="AH2084" i="27"/>
  <c r="AN3030" i="27"/>
  <c r="AO3030" i="27" s="1"/>
  <c r="AN649" i="27"/>
  <c r="AO649" i="27" s="1"/>
  <c r="AN437" i="27"/>
  <c r="AO437" i="27" s="1"/>
  <c r="AN2546" i="27"/>
  <c r="AO2546" i="27" s="1"/>
  <c r="AN2244" i="27"/>
  <c r="AO2244" i="27" s="1"/>
  <c r="AN2626" i="27"/>
  <c r="AO2626" i="27" s="1"/>
  <c r="AN2868" i="27"/>
  <c r="AO2868" i="27" s="1"/>
  <c r="AH761" i="27"/>
  <c r="AH1389" i="27"/>
  <c r="AH343" i="27"/>
  <c r="AH873" i="27"/>
  <c r="AN857" i="27"/>
  <c r="AO857" i="27" s="1"/>
  <c r="AH1938" i="27"/>
  <c r="AN2807" i="27"/>
  <c r="AO2807" i="27" s="1"/>
  <c r="AN1904" i="27"/>
  <c r="AO1904" i="27" s="1"/>
  <c r="AN2049" i="27"/>
  <c r="AO2049" i="27" s="1"/>
  <c r="AH1343" i="27"/>
  <c r="AH2711" i="27"/>
  <c r="AN2827" i="27"/>
  <c r="AO2827" i="27" s="1"/>
  <c r="AH2924" i="27"/>
  <c r="AN1063" i="27"/>
  <c r="AO1063" i="27" s="1"/>
  <c r="AN2384" i="27"/>
  <c r="AO2384" i="27" s="1"/>
  <c r="AH2454" i="27"/>
  <c r="AN521" i="27"/>
  <c r="AO521" i="27" s="1"/>
  <c r="AN581" i="27"/>
  <c r="AO581" i="27" s="1"/>
  <c r="AH809" i="27"/>
  <c r="AN2784" i="27"/>
  <c r="AO2784" i="27" s="1"/>
  <c r="AH311" i="27"/>
  <c r="AN2975" i="27"/>
  <c r="AO2975" i="27" s="1"/>
  <c r="AH785" i="27"/>
  <c r="AN2414" i="27"/>
  <c r="AO2414" i="27" s="1"/>
  <c r="AN389" i="27"/>
  <c r="AO389" i="27" s="1"/>
  <c r="AN493" i="27"/>
  <c r="AO493" i="27" s="1"/>
  <c r="AH669" i="27"/>
  <c r="AN1093" i="27"/>
  <c r="AO1093" i="27" s="1"/>
  <c r="AN379" i="27"/>
  <c r="AO379" i="27" s="1"/>
  <c r="AN2974" i="27"/>
  <c r="AO2974" i="27" s="1"/>
  <c r="AN2496" i="27"/>
  <c r="AO2496" i="27" s="1"/>
  <c r="AN1947" i="27"/>
  <c r="AO1947" i="27" s="1"/>
  <c r="AN1917" i="27"/>
  <c r="AO1917" i="27" s="1"/>
  <c r="AH217" i="27"/>
  <c r="AH1158" i="27"/>
  <c r="AN1079" i="27"/>
  <c r="AO1079" i="27" s="1"/>
  <c r="AH2606" i="27"/>
  <c r="AN1241" i="27"/>
  <c r="AO1241" i="27" s="1"/>
  <c r="AH369" i="27"/>
  <c r="AN1377" i="27"/>
  <c r="AO1377" i="27" s="1"/>
  <c r="AN1199" i="27"/>
  <c r="AO1199" i="27" s="1"/>
  <c r="AN2523" i="27"/>
  <c r="AO2523" i="27" s="1"/>
  <c r="AH431" i="27"/>
  <c r="AH373" i="27"/>
  <c r="AN639" i="27"/>
  <c r="AO639" i="27" s="1"/>
  <c r="AN214" i="27"/>
  <c r="AO214" i="27" s="1"/>
  <c r="AN689" i="27"/>
  <c r="AO689" i="27" s="1"/>
  <c r="AH1019" i="27"/>
  <c r="AN783" i="27"/>
  <c r="AO783" i="27" s="1"/>
  <c r="AN547" i="27"/>
  <c r="AO547" i="27" s="1"/>
  <c r="AH921" i="27"/>
  <c r="AH2071" i="27"/>
  <c r="AH375" i="27"/>
  <c r="AN2136" i="27"/>
  <c r="AO2136" i="27" s="1"/>
  <c r="AN2418" i="27"/>
  <c r="AO2418" i="27" s="1"/>
  <c r="AN98" i="27"/>
  <c r="AO98" i="27" s="1"/>
  <c r="AN987" i="27"/>
  <c r="AO987" i="27" s="1"/>
  <c r="AH1213" i="27"/>
  <c r="AN2037" i="27"/>
  <c r="AO2037" i="27" s="1"/>
  <c r="AN867" i="27"/>
  <c r="AO867" i="27" s="1"/>
  <c r="AH2202" i="27"/>
  <c r="AN465" i="27"/>
  <c r="AO465" i="27" s="1"/>
  <c r="AH307" i="27"/>
  <c r="AN617" i="27"/>
  <c r="AO617" i="27" s="1"/>
  <c r="AN1909" i="27"/>
  <c r="AO1909" i="27" s="1"/>
  <c r="AH491" i="27"/>
  <c r="AN413" i="27"/>
  <c r="AO413" i="27" s="1"/>
  <c r="AN370" i="27"/>
  <c r="AO370" i="27" s="1"/>
  <c r="AH819" i="27"/>
  <c r="AN893" i="27"/>
  <c r="AO893" i="27" s="1"/>
  <c r="AN1380" i="27"/>
  <c r="AO1380" i="27" s="1"/>
  <c r="AH359" i="27"/>
  <c r="AN449" i="27"/>
  <c r="AO449" i="27" s="1"/>
  <c r="AN1367" i="27"/>
  <c r="AO1367" i="27" s="1"/>
  <c r="AH414" i="27"/>
  <c r="AN1425" i="27"/>
  <c r="AO1425" i="27" s="1"/>
  <c r="AN2380" i="27"/>
  <c r="AO2380" i="27" s="1"/>
  <c r="AN1332" i="27"/>
  <c r="AO1332" i="27" s="1"/>
  <c r="AN2295" i="27"/>
  <c r="AO2295" i="27" s="1"/>
  <c r="AN2402" i="27"/>
  <c r="AO2402" i="27" s="1"/>
  <c r="AN1379" i="27"/>
  <c r="AO1379" i="27" s="1"/>
  <c r="AH1170" i="27"/>
  <c r="AH1305" i="27"/>
  <c r="AN1967" i="27"/>
  <c r="AO1967" i="27" s="1"/>
  <c r="AH2317" i="27"/>
  <c r="AH2890" i="27"/>
  <c r="AH1393" i="27"/>
  <c r="AN1203" i="27"/>
  <c r="AO1203" i="27" s="1"/>
  <c r="AN1336" i="27"/>
  <c r="AO1336" i="27" s="1"/>
  <c r="AH1464" i="27"/>
  <c r="AN1475" i="27"/>
  <c r="AO1475" i="27" s="1"/>
  <c r="AH3047" i="27"/>
  <c r="AH882" i="27"/>
  <c r="AN1010" i="27"/>
  <c r="AO1010" i="27" s="1"/>
  <c r="AH2074" i="27"/>
  <c r="AH1300" i="27"/>
  <c r="AH451" i="27"/>
  <c r="AN2963" i="27"/>
  <c r="AO2963" i="27" s="1"/>
  <c r="AN816" i="27"/>
  <c r="AO816" i="27" s="1"/>
  <c r="AH1055" i="27"/>
  <c r="AN2696" i="27"/>
  <c r="AO2696" i="27" s="1"/>
  <c r="AN2624" i="27"/>
  <c r="AO2624" i="27" s="1"/>
  <c r="AH2228" i="27"/>
  <c r="AN2122" i="27"/>
  <c r="AO2122" i="27" s="1"/>
  <c r="AN2544" i="27"/>
  <c r="AO2544" i="27" s="1"/>
  <c r="AH989" i="27"/>
  <c r="AN831" i="27"/>
  <c r="AO831" i="27" s="1"/>
  <c r="AH1407" i="27"/>
  <c r="AH1364" i="27"/>
  <c r="AN665" i="27"/>
  <c r="AO665" i="27" s="1"/>
  <c r="AH1190" i="27"/>
  <c r="AN2098" i="27"/>
  <c r="AO2098" i="27" s="1"/>
  <c r="AH2586" i="27"/>
  <c r="AH2341" i="27"/>
  <c r="AN2928" i="27"/>
  <c r="AO2928" i="27" s="1"/>
  <c r="AN579" i="27"/>
  <c r="AO579" i="27" s="1"/>
  <c r="AN531" i="27"/>
  <c r="AO531" i="27" s="1"/>
  <c r="AN775" i="27"/>
  <c r="AO775" i="27" s="1"/>
  <c r="AN1487" i="27"/>
  <c r="AO1487" i="27" s="1"/>
  <c r="AN2096" i="27"/>
  <c r="AO2096" i="27" s="1"/>
  <c r="AH2510" i="27"/>
  <c r="AH475" i="27"/>
  <c r="AH629" i="27"/>
  <c r="AH2069" i="27"/>
  <c r="AH2587" i="27"/>
  <c r="AN2217" i="27"/>
  <c r="AO2217" i="27" s="1"/>
  <c r="AN3031" i="27"/>
  <c r="AO3031" i="27" s="1"/>
  <c r="AH2930" i="27"/>
  <c r="AN1327" i="27"/>
  <c r="AO1327" i="27" s="1"/>
  <c r="AH840" i="27"/>
  <c r="AN2845" i="27"/>
  <c r="AO2845" i="27" s="1"/>
  <c r="AH662" i="27"/>
  <c r="AH403" i="27"/>
  <c r="AH898" i="27"/>
  <c r="AH2188" i="27"/>
  <c r="AN210" i="27"/>
  <c r="AO210" i="27" s="1"/>
  <c r="AN492" i="27"/>
  <c r="AO492" i="27" s="1"/>
  <c r="AH492" i="27"/>
  <c r="AN1912" i="27"/>
  <c r="AO1912" i="27" s="1"/>
  <c r="AH1912" i="27"/>
  <c r="AN416" i="27"/>
  <c r="AO416" i="27" s="1"/>
  <c r="AH416" i="27"/>
  <c r="AH1234" i="27"/>
  <c r="AN1234" i="27"/>
  <c r="AO1234" i="27" s="1"/>
  <c r="AH1476" i="27"/>
  <c r="AN1476" i="27"/>
  <c r="AO1476" i="27" s="1"/>
  <c r="AN2489" i="27"/>
  <c r="AO2489" i="27" s="1"/>
  <c r="AH2489" i="27"/>
  <c r="AN2497" i="27"/>
  <c r="AO2497" i="27" s="1"/>
  <c r="AH2497" i="27"/>
  <c r="AN500" i="27"/>
  <c r="AO500" i="27" s="1"/>
  <c r="AH500" i="27"/>
  <c r="AH596" i="27"/>
  <c r="AN596" i="27"/>
  <c r="AO596" i="27" s="1"/>
  <c r="AN1242" i="27"/>
  <c r="AO1242" i="27" s="1"/>
  <c r="AH1242" i="27"/>
  <c r="AH1960" i="27"/>
  <c r="AN1960" i="27"/>
  <c r="AO1960" i="27" s="1"/>
  <c r="AN1571" i="27"/>
  <c r="AO1571" i="27" s="1"/>
  <c r="AH1571" i="27"/>
  <c r="AH332" i="27"/>
  <c r="AN332" i="27"/>
  <c r="AO332" i="27" s="1"/>
  <c r="AN436" i="27"/>
  <c r="AO436" i="27" s="1"/>
  <c r="AH436" i="27"/>
  <c r="AN588" i="27"/>
  <c r="AO588" i="27" s="1"/>
  <c r="AH588" i="27"/>
  <c r="AN704" i="27"/>
  <c r="AO704" i="27" s="1"/>
  <c r="AH704" i="27"/>
  <c r="AH996" i="27"/>
  <c r="AN996" i="27"/>
  <c r="AO996" i="27" s="1"/>
  <c r="AN1052" i="27"/>
  <c r="AO1052" i="27" s="1"/>
  <c r="AH1052" i="27"/>
  <c r="AN2505" i="27"/>
  <c r="AO2505" i="27" s="1"/>
  <c r="AH2505" i="27"/>
  <c r="AH2621" i="27"/>
  <c r="AN2621" i="27"/>
  <c r="AO2621" i="27" s="1"/>
  <c r="AN2869" i="27"/>
  <c r="AO2869" i="27" s="1"/>
  <c r="AH2869" i="27"/>
  <c r="AH1374" i="27"/>
  <c r="AN1374" i="27"/>
  <c r="AO1374" i="27" s="1"/>
  <c r="AH362" i="27"/>
  <c r="AN362" i="27"/>
  <c r="AO362" i="27" s="1"/>
  <c r="AH848" i="27"/>
  <c r="AN1064" i="27"/>
  <c r="AO1064" i="27" s="1"/>
  <c r="AN365" i="27"/>
  <c r="AO365" i="27" s="1"/>
  <c r="AH482" i="27"/>
  <c r="AN482" i="27"/>
  <c r="AO482" i="27" s="1"/>
  <c r="AH586" i="27"/>
  <c r="AN586" i="27"/>
  <c r="AO586" i="27" s="1"/>
  <c r="AN602" i="27"/>
  <c r="AO602" i="27" s="1"/>
  <c r="AH602" i="27"/>
  <c r="AN634" i="27"/>
  <c r="AO634" i="27" s="1"/>
  <c r="AH634" i="27"/>
  <c r="AH750" i="27"/>
  <c r="AN750" i="27"/>
  <c r="AO750" i="27" s="1"/>
  <c r="AH778" i="27"/>
  <c r="AN778" i="27"/>
  <c r="AO778" i="27" s="1"/>
  <c r="AN1222" i="27"/>
  <c r="AO1222" i="27" s="1"/>
  <c r="AH1222" i="27"/>
  <c r="AN1274" i="27"/>
  <c r="AO1274" i="27" s="1"/>
  <c r="AH1274" i="27"/>
  <c r="AN1954" i="27"/>
  <c r="AO1954" i="27" s="1"/>
  <c r="AH1954" i="27"/>
  <c r="AH2133" i="27"/>
  <c r="AN2133" i="27"/>
  <c r="AO2133" i="27" s="1"/>
  <c r="AH2193" i="27"/>
  <c r="AN2193" i="27"/>
  <c r="AO2193" i="27" s="1"/>
  <c r="AN2389" i="27"/>
  <c r="AO2389" i="27" s="1"/>
  <c r="AH2389" i="27"/>
  <c r="AH2401" i="27"/>
  <c r="AN2401" i="27"/>
  <c r="AO2401" i="27" s="1"/>
  <c r="AN2441" i="27"/>
  <c r="AO2441" i="27" s="1"/>
  <c r="AH2441" i="27"/>
  <c r="AH2537" i="27"/>
  <c r="AN2537" i="27"/>
  <c r="AO2537" i="27" s="1"/>
  <c r="AN2833" i="27"/>
  <c r="AO2833" i="27" s="1"/>
  <c r="AH2833" i="27"/>
  <c r="AH360" i="27"/>
  <c r="AN360" i="27"/>
  <c r="AO360" i="27" s="1"/>
  <c r="AN656" i="27"/>
  <c r="AO656" i="27" s="1"/>
  <c r="AH656" i="27"/>
  <c r="AH2030" i="27"/>
  <c r="AN2030" i="27"/>
  <c r="AO2030" i="27" s="1"/>
  <c r="AH752" i="27"/>
  <c r="AN752" i="27"/>
  <c r="AO752" i="27" s="1"/>
  <c r="AN796" i="27"/>
  <c r="AO796" i="27" s="1"/>
  <c r="AH796" i="27"/>
  <c r="AN804" i="27"/>
  <c r="AO804" i="27" s="1"/>
  <c r="AH804" i="27"/>
  <c r="AN856" i="27"/>
  <c r="AO856" i="27" s="1"/>
  <c r="AH856" i="27"/>
  <c r="AH968" i="27"/>
  <c r="AN968" i="27"/>
  <c r="AO968" i="27" s="1"/>
  <c r="AN1008" i="27"/>
  <c r="AO1008" i="27" s="1"/>
  <c r="AH1008" i="27"/>
  <c r="AN1246" i="27"/>
  <c r="AO1246" i="27" s="1"/>
  <c r="AH1246" i="27"/>
  <c r="AN1868" i="27"/>
  <c r="AO1868" i="27" s="1"/>
  <c r="AH1868" i="27"/>
  <c r="AH1900" i="27"/>
  <c r="AN1900" i="27"/>
  <c r="AO1900" i="27" s="1"/>
  <c r="AN2111" i="27"/>
  <c r="AO2111" i="27" s="1"/>
  <c r="AH2111" i="27"/>
  <c r="AH2131" i="27"/>
  <c r="AN2131" i="27"/>
  <c r="AO2131" i="27" s="1"/>
  <c r="AN2151" i="27"/>
  <c r="AO2151" i="27" s="1"/>
  <c r="AH2151" i="27"/>
  <c r="AH2215" i="27"/>
  <c r="AN2215" i="27"/>
  <c r="AO2215" i="27" s="1"/>
  <c r="AH2247" i="27"/>
  <c r="AN2247" i="27"/>
  <c r="AO2247" i="27" s="1"/>
  <c r="AN2595" i="27"/>
  <c r="AO2595" i="27" s="1"/>
  <c r="AH2595" i="27"/>
  <c r="AN2647" i="27"/>
  <c r="AO2647" i="27" s="1"/>
  <c r="AH2647" i="27"/>
  <c r="AH1543" i="27"/>
  <c r="AN1543" i="27"/>
  <c r="AO1543" i="27" s="1"/>
  <c r="AH318" i="27"/>
  <c r="AN318" i="27"/>
  <c r="AO318" i="27" s="1"/>
  <c r="AN338" i="27"/>
  <c r="AO338" i="27" s="1"/>
  <c r="AH338" i="27"/>
  <c r="AN1882" i="27"/>
  <c r="AO1882" i="27" s="1"/>
  <c r="AH1882" i="27"/>
  <c r="AH1990" i="27"/>
  <c r="AN1990" i="27"/>
  <c r="AO1990" i="27" s="1"/>
  <c r="AN2161" i="27"/>
  <c r="AO2161" i="27" s="1"/>
  <c r="AH2161" i="27"/>
  <c r="AH2173" i="27"/>
  <c r="AN2173" i="27"/>
  <c r="AO2173" i="27" s="1"/>
  <c r="AH2285" i="27"/>
  <c r="AN2285" i="27"/>
  <c r="AO2285" i="27" s="1"/>
  <c r="AN2465" i="27"/>
  <c r="AO2465" i="27" s="1"/>
  <c r="AH2465" i="27"/>
  <c r="AH2561" i="27"/>
  <c r="AN2561" i="27"/>
  <c r="AO2561" i="27" s="1"/>
  <c r="AN2713" i="27"/>
  <c r="AO2713" i="27" s="1"/>
  <c r="AH2713" i="27"/>
  <c r="AN2749" i="27"/>
  <c r="AO2749" i="27" s="1"/>
  <c r="AH2749" i="27"/>
  <c r="AN2945" i="27"/>
  <c r="AO2945" i="27" s="1"/>
  <c r="AH2945" i="27"/>
  <c r="AH2966" i="27"/>
  <c r="AN2966" i="27"/>
  <c r="AO2966" i="27" s="1"/>
  <c r="AN1574" i="27"/>
  <c r="AO1574" i="27" s="1"/>
  <c r="AH1574" i="27"/>
  <c r="AH1363" i="27"/>
  <c r="AN1363" i="27"/>
  <c r="AO1363" i="27" s="1"/>
  <c r="AN1317" i="27"/>
  <c r="AO1317" i="27" s="1"/>
  <c r="AH1317" i="27"/>
  <c r="AN418" i="27"/>
  <c r="AO418" i="27" s="1"/>
  <c r="AH418" i="27"/>
  <c r="AN486" i="27"/>
  <c r="AO486" i="27" s="1"/>
  <c r="AH486" i="27"/>
  <c r="AN530" i="27"/>
  <c r="AO530" i="27" s="1"/>
  <c r="AH530" i="27"/>
  <c r="AH574" i="27"/>
  <c r="AN574" i="27"/>
  <c r="AO574" i="27" s="1"/>
  <c r="AN590" i="27"/>
  <c r="AO590" i="27" s="1"/>
  <c r="AH590" i="27"/>
  <c r="AN714" i="27"/>
  <c r="AO714" i="27" s="1"/>
  <c r="AH714" i="27"/>
  <c r="AH814" i="27"/>
  <c r="AN814" i="27"/>
  <c r="AO814" i="27" s="1"/>
  <c r="AH878" i="27"/>
  <c r="AN878" i="27"/>
  <c r="AO878" i="27" s="1"/>
  <c r="AH974" i="27"/>
  <c r="AN974" i="27"/>
  <c r="AO974" i="27" s="1"/>
  <c r="AN1974" i="27"/>
  <c r="AO1974" i="27" s="1"/>
  <c r="AH1974" i="27"/>
  <c r="AH2205" i="27"/>
  <c r="AN2205" i="27"/>
  <c r="AO2205" i="27" s="1"/>
  <c r="AH2381" i="27"/>
  <c r="AN2381" i="27"/>
  <c r="AO2381" i="27" s="1"/>
  <c r="AH2397" i="27"/>
  <c r="AN2397" i="27"/>
  <c r="AO2397" i="27" s="1"/>
  <c r="AN2481" i="27"/>
  <c r="AO2481" i="27" s="1"/>
  <c r="AH2481" i="27"/>
  <c r="AH2509" i="27"/>
  <c r="AN2509" i="27"/>
  <c r="AO2509" i="27" s="1"/>
  <c r="AN2837" i="27"/>
  <c r="AO2837" i="27" s="1"/>
  <c r="AH2837" i="27"/>
  <c r="AH2881" i="27"/>
  <c r="AN2881" i="27"/>
  <c r="AO2881" i="27" s="1"/>
  <c r="AH2931" i="27"/>
  <c r="AN2931" i="27"/>
  <c r="AO2931" i="27" s="1"/>
  <c r="AH660" i="27"/>
  <c r="AN660" i="27"/>
  <c r="AO660" i="27" s="1"/>
  <c r="AN556" i="27"/>
  <c r="AO556" i="27" s="1"/>
  <c r="AH556" i="27"/>
  <c r="AH680" i="27"/>
  <c r="AN680" i="27"/>
  <c r="AO680" i="27" s="1"/>
  <c r="AH700" i="27"/>
  <c r="AN700" i="27"/>
  <c r="AO700" i="27" s="1"/>
  <c r="AN756" i="27"/>
  <c r="AO756" i="27" s="1"/>
  <c r="AH756" i="27"/>
  <c r="AH768" i="27"/>
  <c r="AN768" i="27"/>
  <c r="AO768" i="27" s="1"/>
  <c r="AN836" i="27"/>
  <c r="AO836" i="27" s="1"/>
  <c r="AH836" i="27"/>
  <c r="AH844" i="27"/>
  <c r="AN844" i="27"/>
  <c r="AO844" i="27" s="1"/>
  <c r="AN908" i="27"/>
  <c r="AO908" i="27" s="1"/>
  <c r="AH908" i="27"/>
  <c r="AN916" i="27"/>
  <c r="AO916" i="27" s="1"/>
  <c r="AH916" i="27"/>
  <c r="AH1016" i="27"/>
  <c r="AN1016" i="27"/>
  <c r="AO1016" i="27" s="1"/>
  <c r="AN1036" i="27"/>
  <c r="AO1036" i="27" s="1"/>
  <c r="AH1036" i="27"/>
  <c r="AH2026" i="27"/>
  <c r="AN2026" i="27"/>
  <c r="AO2026" i="27" s="1"/>
  <c r="AH2147" i="27"/>
  <c r="AN2147" i="27"/>
  <c r="AO2147" i="27" s="1"/>
  <c r="AH2387" i="27"/>
  <c r="AN2387" i="27"/>
  <c r="AO2387" i="27" s="1"/>
  <c r="AN2395" i="27"/>
  <c r="AO2395" i="27" s="1"/>
  <c r="AH2395" i="27"/>
  <c r="AN2479" i="27"/>
  <c r="AO2479" i="27" s="1"/>
  <c r="AH2479" i="27"/>
  <c r="AN2539" i="27"/>
  <c r="AO2539" i="27" s="1"/>
  <c r="AH2539" i="27"/>
  <c r="AH2663" i="27"/>
  <c r="AN2663" i="27"/>
  <c r="AO2663" i="27" s="1"/>
  <c r="AH2727" i="27"/>
  <c r="AN2727" i="27"/>
  <c r="AO2727" i="27" s="1"/>
  <c r="AN2819" i="27"/>
  <c r="AO2819" i="27" s="1"/>
  <c r="AH2819" i="27"/>
  <c r="AH2919" i="27"/>
  <c r="AN2919" i="27"/>
  <c r="AO2919" i="27" s="1"/>
  <c r="AH3022" i="27"/>
  <c r="AN3022" i="27"/>
  <c r="AO3022" i="27" s="1"/>
  <c r="AN406" i="27"/>
  <c r="AO406" i="27" s="1"/>
  <c r="AH406" i="27"/>
  <c r="AH458" i="27"/>
  <c r="AN458" i="27"/>
  <c r="AO458" i="27" s="1"/>
  <c r="AN698" i="27"/>
  <c r="AO698" i="27" s="1"/>
  <c r="AH698" i="27"/>
  <c r="AH790" i="27"/>
  <c r="AN790" i="27"/>
  <c r="AO790" i="27" s="1"/>
  <c r="AN798" i="27"/>
  <c r="AO798" i="27" s="1"/>
  <c r="AH798" i="27"/>
  <c r="AN914" i="27"/>
  <c r="AO914" i="27" s="1"/>
  <c r="AH914" i="27"/>
  <c r="AH982" i="27"/>
  <c r="AN982" i="27"/>
  <c r="AO982" i="27" s="1"/>
  <c r="AH1054" i="27"/>
  <c r="AN1054" i="27"/>
  <c r="AO1054" i="27" s="1"/>
  <c r="AH1914" i="27"/>
  <c r="AN1914" i="27"/>
  <c r="AO1914" i="27" s="1"/>
  <c r="AN1926" i="27"/>
  <c r="AO1926" i="27" s="1"/>
  <c r="AH1926" i="27"/>
  <c r="AN2004" i="27"/>
  <c r="AO2004" i="27" s="1"/>
  <c r="AH2004" i="27"/>
  <c r="AN2609" i="27"/>
  <c r="AO2609" i="27" s="1"/>
  <c r="AH2609" i="27"/>
  <c r="AH2717" i="27"/>
  <c r="AN2717" i="27"/>
  <c r="AO2717" i="27" s="1"/>
  <c r="AH2905" i="27"/>
  <c r="AN2905" i="27"/>
  <c r="AO2905" i="27" s="1"/>
  <c r="AN1239" i="27"/>
  <c r="AO1239" i="27" s="1"/>
  <c r="AF48" i="30"/>
  <c r="G48" i="30"/>
  <c r="E48" i="30"/>
  <c r="AE48" i="30"/>
  <c r="F48" i="30"/>
  <c r="D48" i="30"/>
  <c r="AF130" i="30"/>
  <c r="G130" i="30"/>
  <c r="E130" i="30"/>
  <c r="AE130" i="30"/>
  <c r="F130" i="30"/>
  <c r="D130" i="30"/>
  <c r="AF46" i="30"/>
  <c r="G46" i="30"/>
  <c r="E46" i="30"/>
  <c r="AE46" i="30"/>
  <c r="F46" i="30"/>
  <c r="D46" i="30"/>
  <c r="AF62" i="30"/>
  <c r="G62" i="30"/>
  <c r="E62" i="30"/>
  <c r="AE62" i="30"/>
  <c r="F62" i="30"/>
  <c r="D62" i="30"/>
  <c r="AF175" i="30"/>
  <c r="G175" i="30"/>
  <c r="E175" i="30"/>
  <c r="AE175" i="30"/>
  <c r="F175" i="30"/>
  <c r="D175" i="30"/>
  <c r="X64" i="37"/>
  <c r="N64" i="37"/>
  <c r="M64" i="37" s="1"/>
  <c r="P64" i="37"/>
  <c r="G64" i="37"/>
  <c r="W64" i="37"/>
  <c r="Q64" i="37"/>
  <c r="F64" i="37"/>
  <c r="D64" i="37"/>
  <c r="L64" i="37"/>
  <c r="K64" i="37" s="1"/>
  <c r="E64" i="37"/>
  <c r="O64" i="37"/>
  <c r="Y64" i="37"/>
  <c r="O67" i="37"/>
  <c r="Y67" i="37"/>
  <c r="F67" i="37"/>
  <c r="N67" i="37"/>
  <c r="M67" i="37" s="1"/>
  <c r="L67" i="37"/>
  <c r="K67" i="37" s="1"/>
  <c r="Q67" i="37"/>
  <c r="G67" i="37"/>
  <c r="D67" i="37"/>
  <c r="P67" i="37"/>
  <c r="W67" i="37"/>
  <c r="E67" i="37"/>
  <c r="X67" i="37"/>
  <c r="N68" i="37"/>
  <c r="M68" i="37" s="1"/>
  <c r="Y68" i="37"/>
  <c r="P68" i="37"/>
  <c r="W68" i="37"/>
  <c r="E68" i="37"/>
  <c r="G68" i="37"/>
  <c r="Q68" i="37"/>
  <c r="X68" i="37"/>
  <c r="L68" i="37"/>
  <c r="K68" i="37" s="1"/>
  <c r="D68" i="37"/>
  <c r="O68" i="37"/>
  <c r="F68" i="37"/>
  <c r="W62" i="37"/>
  <c r="F62" i="37"/>
  <c r="D62" i="37"/>
  <c r="O62" i="37"/>
  <c r="P62" i="37"/>
  <c r="G62" i="37"/>
  <c r="E62" i="37"/>
  <c r="N62" i="37"/>
  <c r="M62" i="37" s="1"/>
  <c r="Y62" i="37"/>
  <c r="Q62" i="37"/>
  <c r="X62" i="37"/>
  <c r="L62" i="37"/>
  <c r="K62" i="37" s="1"/>
  <c r="L65" i="37"/>
  <c r="K65" i="37" s="1"/>
  <c r="E65" i="37"/>
  <c r="Q65" i="37"/>
  <c r="N65" i="37"/>
  <c r="M65" i="37" s="1"/>
  <c r="Y65" i="37"/>
  <c r="P65" i="37"/>
  <c r="O65" i="37"/>
  <c r="G65" i="37"/>
  <c r="D65" i="37"/>
  <c r="X65" i="37"/>
  <c r="W65" i="37"/>
  <c r="F65" i="37"/>
  <c r="G66" i="37"/>
  <c r="X66" i="37"/>
  <c r="P66" i="37"/>
  <c r="W66" i="37"/>
  <c r="Q66" i="37"/>
  <c r="F66" i="37"/>
  <c r="E66" i="37"/>
  <c r="L66" i="37"/>
  <c r="K66" i="37" s="1"/>
  <c r="N66" i="37"/>
  <c r="M66" i="37" s="1"/>
  <c r="Y66" i="37"/>
  <c r="D66" i="37"/>
  <c r="O66" i="37"/>
  <c r="N61" i="37"/>
  <c r="M61" i="37" s="1"/>
  <c r="G61" i="37"/>
  <c r="L61" i="37"/>
  <c r="K61" i="37" s="1"/>
  <c r="D61" i="37"/>
  <c r="E61" i="37"/>
  <c r="F61" i="37"/>
  <c r="O61" i="37"/>
  <c r="X61" i="37"/>
  <c r="W61" i="37"/>
  <c r="P61" i="37"/>
  <c r="Q61" i="37"/>
  <c r="Y61" i="37"/>
  <c r="G63" i="37"/>
  <c r="P63" i="37"/>
  <c r="Y63" i="37"/>
  <c r="F63" i="37"/>
  <c r="O63" i="37"/>
  <c r="N63" i="37"/>
  <c r="M63" i="37" s="1"/>
  <c r="L63" i="37"/>
  <c r="K63" i="37" s="1"/>
  <c r="X63" i="37"/>
  <c r="W63" i="37"/>
  <c r="E63" i="37"/>
  <c r="Q63" i="37"/>
  <c r="D63" i="37"/>
  <c r="O69" i="37"/>
  <c r="F69" i="37"/>
  <c r="W69" i="37"/>
  <c r="N69" i="37"/>
  <c r="M69" i="37" s="1"/>
  <c r="Q69" i="37"/>
  <c r="E69" i="37"/>
  <c r="X69" i="37"/>
  <c r="G69" i="37"/>
  <c r="Y69" i="37"/>
  <c r="P69" i="37"/>
  <c r="D69" i="37"/>
  <c r="L69" i="37"/>
  <c r="K69" i="37" s="1"/>
  <c r="L9" i="30"/>
  <c r="AN393" i="27"/>
  <c r="AO393" i="27" s="1"/>
  <c r="AH789" i="27"/>
  <c r="AH1309" i="27"/>
  <c r="AN881" i="27"/>
  <c r="AO881" i="27" s="1"/>
  <c r="AH353" i="27"/>
  <c r="AH675" i="27"/>
  <c r="AH2914" i="27"/>
  <c r="AN2598" i="27"/>
  <c r="AO2598" i="27" s="1"/>
  <c r="AN501" i="27"/>
  <c r="AO501" i="27" s="1"/>
  <c r="AN837" i="27"/>
  <c r="AO837" i="27" s="1"/>
  <c r="AN1233" i="27"/>
  <c r="AO1233" i="27" s="1"/>
  <c r="AN2146" i="27"/>
  <c r="AO2146" i="27" s="1"/>
  <c r="AH767" i="27"/>
  <c r="AN1208" i="27"/>
  <c r="AO1208" i="27" s="1"/>
  <c r="AN2810" i="27"/>
  <c r="AO2810" i="27" s="1"/>
  <c r="AN577" i="27"/>
  <c r="AO577" i="27" s="1"/>
  <c r="AN771" i="27"/>
  <c r="AO771" i="27" s="1"/>
  <c r="AH2315" i="27"/>
  <c r="AN1973" i="27"/>
  <c r="AO1973" i="27" s="1"/>
  <c r="AH1145" i="27"/>
  <c r="AN2334" i="27"/>
  <c r="AO2334" i="27" s="1"/>
  <c r="AN1113" i="27"/>
  <c r="AO1113" i="27" s="1"/>
  <c r="Y20" i="37"/>
  <c r="L23" i="37"/>
  <c r="K23" i="37" s="1"/>
  <c r="W20" i="37"/>
  <c r="W23" i="37"/>
  <c r="O20" i="37"/>
  <c r="E20" i="37"/>
  <c r="D20" i="37"/>
  <c r="Q23" i="37"/>
  <c r="T23" i="37" s="1"/>
  <c r="F23" i="37"/>
  <c r="Y23" i="37"/>
  <c r="F20" i="37"/>
  <c r="X23" i="37"/>
  <c r="O19" i="30"/>
  <c r="N19" i="30"/>
  <c r="P19" i="30"/>
  <c r="M19" i="30"/>
  <c r="G23" i="37"/>
  <c r="G20" i="37"/>
  <c r="X20" i="37"/>
  <c r="Q20" i="37"/>
  <c r="S20" i="37" s="1"/>
  <c r="N9" i="30"/>
  <c r="E23" i="37"/>
  <c r="P9" i="30"/>
  <c r="O23" i="37"/>
  <c r="D23" i="37"/>
  <c r="P20" i="37"/>
  <c r="P23" i="37"/>
  <c r="L20" i="37"/>
  <c r="K20" i="37" s="1"/>
  <c r="AH483" i="27"/>
  <c r="AH607" i="27"/>
  <c r="AN477" i="27"/>
  <c r="AO477" i="27" s="1"/>
  <c r="AN1156" i="27"/>
  <c r="AO1156" i="27" s="1"/>
  <c r="AH1901" i="27"/>
  <c r="AH2604" i="27"/>
  <c r="AF33" i="30"/>
  <c r="G33" i="30"/>
  <c r="AE33" i="30"/>
  <c r="F33" i="30"/>
  <c r="D33" i="30"/>
  <c r="AF124" i="30"/>
  <c r="G124" i="30"/>
  <c r="E124" i="30"/>
  <c r="AE124" i="30"/>
  <c r="F124" i="30"/>
  <c r="D124" i="30"/>
  <c r="AF27" i="30"/>
  <c r="G27" i="30"/>
  <c r="E27" i="30"/>
  <c r="AE27" i="30"/>
  <c r="F27" i="30"/>
  <c r="D27" i="30"/>
  <c r="AF141" i="30"/>
  <c r="G141" i="30"/>
  <c r="E141" i="30"/>
  <c r="AE141" i="30"/>
  <c r="F141" i="30"/>
  <c r="D141" i="30"/>
  <c r="AF94" i="30"/>
  <c r="G94" i="30"/>
  <c r="E94" i="30"/>
  <c r="AE94" i="30"/>
  <c r="F94" i="30"/>
  <c r="D94" i="30"/>
  <c r="AF146" i="30"/>
  <c r="G146" i="30"/>
  <c r="E146" i="30"/>
  <c r="AE146" i="30"/>
  <c r="F146" i="30"/>
  <c r="D146" i="30"/>
  <c r="AF93" i="30"/>
  <c r="G93" i="30"/>
  <c r="E93" i="30"/>
  <c r="AE93" i="30"/>
  <c r="F93" i="30"/>
  <c r="D93" i="30"/>
  <c r="AH323" i="27"/>
  <c r="AN325" i="27"/>
  <c r="AO325" i="27" s="1"/>
  <c r="AH2670" i="27"/>
  <c r="AH2580" i="27"/>
  <c r="AH2744" i="27"/>
  <c r="AN2442" i="27"/>
  <c r="AO2442" i="27" s="1"/>
  <c r="AH1907" i="27"/>
  <c r="AN891" i="27"/>
  <c r="AO891" i="27" s="1"/>
  <c r="AH2692" i="27"/>
  <c r="AN749" i="27"/>
  <c r="AO749" i="27" s="1"/>
  <c r="P118" i="30"/>
  <c r="G118" i="30"/>
  <c r="N118" i="30"/>
  <c r="M118" i="30"/>
  <c r="O118" i="30"/>
  <c r="K118" i="30"/>
  <c r="L118" i="30"/>
  <c r="J118" i="30"/>
  <c r="AH571" i="27"/>
  <c r="AN371" i="27"/>
  <c r="AO371" i="27" s="1"/>
  <c r="AN2106" i="27"/>
  <c r="AO2106" i="27" s="1"/>
  <c r="AN1943" i="27"/>
  <c r="AO1943" i="27" s="1"/>
  <c r="AH2602" i="27"/>
  <c r="AH2588" i="27"/>
  <c r="AN1448" i="27"/>
  <c r="AO1448" i="27" s="1"/>
  <c r="AN1334" i="27"/>
  <c r="AO1334" i="27" s="1"/>
  <c r="AN1251" i="27"/>
  <c r="AO1251" i="27" s="1"/>
  <c r="AN737" i="27"/>
  <c r="AO737" i="27" s="1"/>
  <c r="AN2500" i="27"/>
  <c r="AO2500" i="27" s="1"/>
  <c r="AF79" i="30"/>
  <c r="G79" i="30"/>
  <c r="E79" i="30"/>
  <c r="AE79" i="30"/>
  <c r="F79" i="30"/>
  <c r="D79" i="30"/>
  <c r="AF105" i="30"/>
  <c r="G105" i="30"/>
  <c r="E105" i="30"/>
  <c r="AE105" i="30"/>
  <c r="F105" i="30"/>
  <c r="D105" i="30"/>
  <c r="AF102" i="30"/>
  <c r="G102" i="30"/>
  <c r="E102" i="30"/>
  <c r="AE102" i="30"/>
  <c r="F102" i="30"/>
  <c r="D102" i="30"/>
  <c r="AF169" i="30"/>
  <c r="G169" i="30"/>
  <c r="E169" i="30"/>
  <c r="AE169" i="30"/>
  <c r="F169" i="30"/>
  <c r="D169" i="30"/>
  <c r="AF168" i="30"/>
  <c r="G168" i="30"/>
  <c r="E168" i="30"/>
  <c r="AE168" i="30"/>
  <c r="F168" i="30"/>
  <c r="D168" i="30"/>
  <c r="AF99" i="30"/>
  <c r="G99" i="30"/>
  <c r="E99" i="30"/>
  <c r="AE99" i="30"/>
  <c r="F99" i="30"/>
  <c r="AF174" i="30"/>
  <c r="G174" i="30"/>
  <c r="E174" i="30"/>
  <c r="AE174" i="30"/>
  <c r="F174" i="30"/>
  <c r="D174" i="30"/>
  <c r="AF170" i="30"/>
  <c r="G170" i="30"/>
  <c r="E170" i="30"/>
  <c r="AE170" i="30"/>
  <c r="F170" i="30"/>
  <c r="D170" i="30"/>
  <c r="P54" i="37"/>
  <c r="W54" i="37"/>
  <c r="X54" i="37"/>
  <c r="E54" i="37"/>
  <c r="F54" i="37"/>
  <c r="N54" i="37"/>
  <c r="M54" i="37" s="1"/>
  <c r="O54" i="37"/>
  <c r="L54" i="37"/>
  <c r="K54" i="37" s="1"/>
  <c r="G54" i="37"/>
  <c r="D54" i="37"/>
  <c r="Y54" i="37"/>
  <c r="Q54" i="37"/>
  <c r="X55" i="37"/>
  <c r="P55" i="37"/>
  <c r="W55" i="37"/>
  <c r="L55" i="37"/>
  <c r="K55" i="37" s="1"/>
  <c r="O55" i="37"/>
  <c r="E55" i="37"/>
  <c r="Y55" i="37"/>
  <c r="F55" i="37"/>
  <c r="Q55" i="37"/>
  <c r="D55" i="37"/>
  <c r="G55" i="37"/>
  <c r="N55" i="37"/>
  <c r="M55" i="37" s="1"/>
  <c r="P56" i="37"/>
  <c r="D56" i="37"/>
  <c r="F56" i="37"/>
  <c r="W56" i="37"/>
  <c r="Y56" i="37"/>
  <c r="X56" i="37"/>
  <c r="N56" i="37"/>
  <c r="M56" i="37" s="1"/>
  <c r="G56" i="37"/>
  <c r="E56" i="37"/>
  <c r="L56" i="37"/>
  <c r="K56" i="37" s="1"/>
  <c r="Q56" i="37"/>
  <c r="O56" i="37"/>
  <c r="N18" i="37"/>
  <c r="M18" i="37" s="1"/>
  <c r="Y17" i="37"/>
  <c r="X18" i="37"/>
  <c r="F18" i="37"/>
  <c r="N17" i="37"/>
  <c r="M17" i="37" s="1"/>
  <c r="W17" i="37"/>
  <c r="D17" i="37"/>
  <c r="Q18" i="37"/>
  <c r="U18" i="37" s="1"/>
  <c r="X17" i="37"/>
  <c r="Y18" i="37"/>
  <c r="L17" i="37"/>
  <c r="K17" i="37" s="1"/>
  <c r="F17" i="37"/>
  <c r="E17" i="37"/>
  <c r="L18" i="37"/>
  <c r="K18" i="37" s="1"/>
  <c r="O18" i="37"/>
  <c r="D18" i="37"/>
  <c r="W18" i="37"/>
  <c r="E18" i="37"/>
  <c r="O17" i="37"/>
  <c r="O9" i="30"/>
  <c r="K9" i="30"/>
  <c r="G9" i="30"/>
  <c r="J9" i="30"/>
  <c r="Q17" i="37"/>
  <c r="U17" i="37" s="1"/>
  <c r="G18" i="37"/>
  <c r="P17" i="37"/>
  <c r="P40" i="30"/>
  <c r="D37" i="37"/>
  <c r="M40" i="30"/>
  <c r="G40" i="30"/>
  <c r="AN1083" i="27"/>
  <c r="AO1083" i="27" s="1"/>
  <c r="AH703" i="27"/>
  <c r="AN697" i="27"/>
  <c r="AO697" i="27" s="1"/>
  <c r="X50" i="37"/>
  <c r="O50" i="37"/>
  <c r="E50" i="37"/>
  <c r="L50" i="37"/>
  <c r="K50" i="37" s="1"/>
  <c r="Y50" i="37"/>
  <c r="P50" i="37"/>
  <c r="F50" i="37"/>
  <c r="Q50" i="37"/>
  <c r="D50" i="37"/>
  <c r="W50" i="37"/>
  <c r="N50" i="37"/>
  <c r="M50" i="37" s="1"/>
  <c r="G50" i="37"/>
  <c r="P52" i="37"/>
  <c r="Y52" i="37"/>
  <c r="O52" i="37"/>
  <c r="E52" i="37"/>
  <c r="W52" i="37"/>
  <c r="D52" i="37"/>
  <c r="L52" i="37"/>
  <c r="K52" i="37" s="1"/>
  <c r="N52" i="37"/>
  <c r="M52" i="37" s="1"/>
  <c r="G52" i="37"/>
  <c r="X52" i="37"/>
  <c r="Q52" i="37"/>
  <c r="F52" i="37"/>
  <c r="P51" i="37"/>
  <c r="E51" i="37"/>
  <c r="Y51" i="37"/>
  <c r="O51" i="37"/>
  <c r="W51" i="37"/>
  <c r="D51" i="37"/>
  <c r="L51" i="37"/>
  <c r="K51" i="37" s="1"/>
  <c r="N51" i="37"/>
  <c r="M51" i="37" s="1"/>
  <c r="G51" i="37"/>
  <c r="X51" i="37"/>
  <c r="Q51" i="37"/>
  <c r="F51" i="37"/>
  <c r="X53" i="37"/>
  <c r="L53" i="37"/>
  <c r="K53" i="37" s="1"/>
  <c r="G53" i="37"/>
  <c r="E53" i="37"/>
  <c r="P53" i="37"/>
  <c r="Q53" i="37"/>
  <c r="D53" i="37"/>
  <c r="O53" i="37"/>
  <c r="W53" i="37"/>
  <c r="N53" i="37"/>
  <c r="M53" i="37" s="1"/>
  <c r="Y53" i="37"/>
  <c r="F53" i="37"/>
  <c r="X49" i="37"/>
  <c r="P49" i="37"/>
  <c r="F49" i="37"/>
  <c r="O49" i="37"/>
  <c r="E49" i="37"/>
  <c r="L49" i="37"/>
  <c r="K49" i="37" s="1"/>
  <c r="Y49" i="37"/>
  <c r="W49" i="37"/>
  <c r="D49" i="37"/>
  <c r="N49" i="37"/>
  <c r="M49" i="37" s="1"/>
  <c r="G49" i="37"/>
  <c r="Q49" i="37"/>
  <c r="Q34" i="37"/>
  <c r="S34" i="37" s="1"/>
  <c r="F39" i="37"/>
  <c r="Y39" i="37"/>
  <c r="X37" i="37"/>
  <c r="G12" i="37"/>
  <c r="Q38" i="37"/>
  <c r="T38" i="37" s="1"/>
  <c r="L12" i="37"/>
  <c r="K12" i="37" s="1"/>
  <c r="X34" i="37"/>
  <c r="E37" i="37"/>
  <c r="G34" i="37"/>
  <c r="F38" i="37"/>
  <c r="W12" i="37"/>
  <c r="L38" i="37"/>
  <c r="K38" i="37" s="1"/>
  <c r="O34" i="37"/>
  <c r="O37" i="37"/>
  <c r="W37" i="37"/>
  <c r="Y13" i="37"/>
  <c r="G38" i="37"/>
  <c r="G39" i="37"/>
  <c r="Y12" i="37"/>
  <c r="W38" i="37"/>
  <c r="P12" i="37"/>
  <c r="Y34" i="37"/>
  <c r="N37" i="37"/>
  <c r="M37" i="37" s="1"/>
  <c r="Q39" i="37"/>
  <c r="AB39" i="37" s="1"/>
  <c r="AA39" i="37" s="1"/>
  <c r="F12" i="37"/>
  <c r="O38" i="37"/>
  <c r="E34" i="37"/>
  <c r="X38" i="37"/>
  <c r="Y41" i="37"/>
  <c r="N34" i="37"/>
  <c r="M34" i="37" s="1"/>
  <c r="G37" i="37"/>
  <c r="G19" i="30"/>
  <c r="W34" i="37"/>
  <c r="N39" i="37"/>
  <c r="M39" i="37" s="1"/>
  <c r="N38" i="37"/>
  <c r="M38" i="37" s="1"/>
  <c r="L19" i="30"/>
  <c r="O39" i="37"/>
  <c r="O12" i="37"/>
  <c r="N12" i="37"/>
  <c r="M12" i="37" s="1"/>
  <c r="Q12" i="37"/>
  <c r="T12" i="37" s="1"/>
  <c r="E39" i="37"/>
  <c r="X39" i="37"/>
  <c r="F34" i="37"/>
  <c r="W13" i="37"/>
  <c r="L42" i="37"/>
  <c r="K42" i="37" s="1"/>
  <c r="F42" i="37"/>
  <c r="K40" i="30"/>
  <c r="Y37" i="37"/>
  <c r="Q37" i="37"/>
  <c r="AB37" i="37" s="1"/>
  <c r="AA37" i="37" s="1"/>
  <c r="J19" i="30"/>
  <c r="D39" i="37"/>
  <c r="Y38" i="37"/>
  <c r="P39" i="37"/>
  <c r="E12" i="37"/>
  <c r="X12" i="37"/>
  <c r="P38" i="37"/>
  <c r="L34" i="37"/>
  <c r="K34" i="37" s="1"/>
  <c r="E38" i="37"/>
  <c r="X13" i="37"/>
  <c r="W39" i="37"/>
  <c r="D34" i="37"/>
  <c r="L84" i="30"/>
  <c r="F209" i="30"/>
  <c r="AE209" i="30"/>
  <c r="AH2428" i="27"/>
  <c r="AF24" i="30"/>
  <c r="G24" i="30"/>
  <c r="E24" i="30"/>
  <c r="AE24" i="30"/>
  <c r="F24" i="30"/>
  <c r="D24" i="30"/>
  <c r="AF189" i="30"/>
  <c r="G189" i="30"/>
  <c r="E189" i="30"/>
  <c r="AE189" i="30"/>
  <c r="F189" i="30"/>
  <c r="D189" i="30"/>
  <c r="AF88" i="30"/>
  <c r="G88" i="30"/>
  <c r="E88" i="30"/>
  <c r="AE88" i="30"/>
  <c r="F88" i="30"/>
  <c r="D88" i="30"/>
  <c r="AF166" i="30"/>
  <c r="G166" i="30"/>
  <c r="E166" i="30"/>
  <c r="AE166" i="30"/>
  <c r="F166" i="30"/>
  <c r="D166" i="30"/>
  <c r="AH685" i="27"/>
  <c r="AH949" i="27"/>
  <c r="AH833" i="27"/>
  <c r="AH377" i="27"/>
  <c r="AH533" i="27"/>
  <c r="AH1919" i="27"/>
  <c r="AH2664" i="27"/>
  <c r="AH2406" i="27"/>
  <c r="AH693" i="27"/>
  <c r="AH563" i="27"/>
  <c r="AN2922" i="27"/>
  <c r="AO2922" i="27" s="1"/>
  <c r="AH2938" i="27"/>
  <c r="AH861" i="27"/>
  <c r="Y14" i="37"/>
  <c r="O40" i="37"/>
  <c r="D31" i="37"/>
  <c r="D44" i="37"/>
  <c r="AB44" i="37"/>
  <c r="AA44" i="37" s="1"/>
  <c r="Y44" i="37"/>
  <c r="F44" i="37"/>
  <c r="Y22" i="37"/>
  <c r="W44" i="37"/>
  <c r="X22" i="37"/>
  <c r="Q41" i="37"/>
  <c r="U41" i="37" s="1"/>
  <c r="E13" i="37"/>
  <c r="D14" i="37"/>
  <c r="N14" i="37"/>
  <c r="M14" i="37" s="1"/>
  <c r="F14" i="37"/>
  <c r="W40" i="37"/>
  <c r="W41" i="37"/>
  <c r="N40" i="37"/>
  <c r="M40" i="37" s="1"/>
  <c r="F13" i="37"/>
  <c r="O41" i="37"/>
  <c r="L14" i="37"/>
  <c r="K14" i="37" s="1"/>
  <c r="D41" i="37"/>
  <c r="L41" i="37"/>
  <c r="K41" i="37" s="1"/>
  <c r="G14" i="37"/>
  <c r="O14" i="37"/>
  <c r="G40" i="37"/>
  <c r="N13" i="37"/>
  <c r="M13" i="37" s="1"/>
  <c r="E40" i="37"/>
  <c r="L13" i="37"/>
  <c r="K13" i="37" s="1"/>
  <c r="E41" i="37"/>
  <c r="L44" i="37"/>
  <c r="K44" i="37" s="1"/>
  <c r="D21" i="37"/>
  <c r="N44" i="37"/>
  <c r="M44" i="37" s="1"/>
  <c r="X44" i="37"/>
  <c r="O44" i="37"/>
  <c r="P44" i="37"/>
  <c r="G44" i="37"/>
  <c r="L36" i="37"/>
  <c r="K36" i="37" s="1"/>
  <c r="Y36" i="37"/>
  <c r="E44" i="37"/>
  <c r="D36" i="37"/>
  <c r="O22" i="37"/>
  <c r="Q22" i="37"/>
  <c r="S22" i="37" s="1"/>
  <c r="Q21" i="37"/>
  <c r="S21" i="37" s="1"/>
  <c r="Q36" i="37"/>
  <c r="U36" i="37" s="1"/>
  <c r="N41" i="37"/>
  <c r="M41" i="37" s="1"/>
  <c r="G42" i="37"/>
  <c r="P41" i="37"/>
  <c r="D40" i="37"/>
  <c r="F21" i="37"/>
  <c r="W21" i="37"/>
  <c r="W14" i="37"/>
  <c r="Q14" i="37"/>
  <c r="AB14" i="37" s="1"/>
  <c r="AA14" i="37" s="1"/>
  <c r="Y40" i="37"/>
  <c r="X41" i="37"/>
  <c r="G13" i="37"/>
  <c r="Q40" i="37"/>
  <c r="T40" i="37" s="1"/>
  <c r="D13" i="37"/>
  <c r="Q13" i="37"/>
  <c r="AB13" i="37" s="1"/>
  <c r="AA13" i="37" s="1"/>
  <c r="L40" i="37"/>
  <c r="K40" i="37" s="1"/>
  <c r="F41" i="37"/>
  <c r="P40" i="37"/>
  <c r="Q42" i="37"/>
  <c r="AB42" i="37" s="1"/>
  <c r="AA42" i="37" s="1"/>
  <c r="P21" i="37"/>
  <c r="X14" i="37"/>
  <c r="E14" i="37"/>
  <c r="F40" i="37"/>
  <c r="O36" i="37"/>
  <c r="P13" i="37"/>
  <c r="W36" i="37"/>
  <c r="N22" i="37"/>
  <c r="M22" i="37" s="1"/>
  <c r="G22" i="37"/>
  <c r="K34" i="30"/>
  <c r="L21" i="37"/>
  <c r="K21" i="37" s="1"/>
  <c r="Y21" i="37"/>
  <c r="F36" i="37"/>
  <c r="G36" i="37"/>
  <c r="M34" i="30"/>
  <c r="F22" i="37"/>
  <c r="N21" i="37"/>
  <c r="M21" i="37" s="1"/>
  <c r="L22" i="37"/>
  <c r="K22" i="37" s="1"/>
  <c r="X21" i="37"/>
  <c r="O21" i="37"/>
  <c r="G208" i="30"/>
  <c r="E36" i="37"/>
  <c r="X36" i="37"/>
  <c r="W22" i="37"/>
  <c r="P36" i="37"/>
  <c r="E22" i="37"/>
  <c r="E21" i="37"/>
  <c r="P22" i="37"/>
  <c r="J34" i="30"/>
  <c r="AH1045" i="27"/>
  <c r="AN615" i="27"/>
  <c r="AO615" i="27" s="1"/>
  <c r="AN985" i="27"/>
  <c r="AO985" i="27" s="1"/>
  <c r="AN2432" i="27"/>
  <c r="AO2432" i="27" s="1"/>
  <c r="AH3045" i="27"/>
  <c r="AN2778" i="27"/>
  <c r="AO2778" i="27" s="1"/>
  <c r="AH2138" i="27"/>
  <c r="AN763" i="27"/>
  <c r="AO763" i="27" s="1"/>
  <c r="AN1887" i="27"/>
  <c r="AO1887" i="27" s="1"/>
  <c r="AN829" i="27"/>
  <c r="AO829" i="27" s="1"/>
  <c r="AH723" i="27"/>
  <c r="AH811" i="27"/>
  <c r="AN321" i="27"/>
  <c r="AO321" i="27" s="1"/>
  <c r="AH2786" i="27"/>
  <c r="AN2327" i="27"/>
  <c r="AO2327" i="27" s="1"/>
  <c r="AH2822" i="27"/>
  <c r="AH691" i="27"/>
  <c r="AH429" i="27"/>
  <c r="AN853" i="27"/>
  <c r="AO853" i="27" s="1"/>
  <c r="AH2170" i="27"/>
  <c r="AN1382" i="27"/>
  <c r="AO1382" i="27" s="1"/>
  <c r="AH2126" i="27"/>
  <c r="AN2376" i="27"/>
  <c r="AO2376" i="27" s="1"/>
  <c r="AN2001" i="27"/>
  <c r="AO2001" i="27" s="1"/>
  <c r="AH461" i="27"/>
  <c r="AH2866" i="27"/>
  <c r="AH2674" i="27"/>
  <c r="AH2614" i="27"/>
  <c r="AH517" i="27"/>
  <c r="AH565" i="27"/>
  <c r="AH467" i="27"/>
  <c r="AN2444" i="27"/>
  <c r="AO2444" i="27" s="1"/>
  <c r="AH2530" i="27"/>
  <c r="AH1949" i="27"/>
  <c r="AN2274" i="27"/>
  <c r="AO2274" i="27" s="1"/>
  <c r="AH1166" i="27"/>
  <c r="AN2112" i="27"/>
  <c r="AO2112" i="27" s="1"/>
  <c r="AH1361" i="27"/>
  <c r="AH1941" i="27"/>
  <c r="AH1288" i="27"/>
  <c r="AH3050" i="27"/>
  <c r="AH2728" i="27"/>
  <c r="AN2299" i="27"/>
  <c r="AO2299" i="27" s="1"/>
  <c r="AH1913" i="27"/>
  <c r="AN1261" i="27"/>
  <c r="AO1261" i="27" s="1"/>
  <c r="AN317" i="27"/>
  <c r="AO317" i="27" s="1"/>
  <c r="AN1423" i="27"/>
  <c r="AO1423" i="27" s="1"/>
  <c r="AN1397" i="27"/>
  <c r="AO1397" i="27" s="1"/>
  <c r="AH903" i="27"/>
  <c r="AN499" i="27"/>
  <c r="AO499" i="27" s="1"/>
  <c r="AH2656" i="27"/>
  <c r="AH971" i="27"/>
  <c r="AN2502" i="27"/>
  <c r="AO2502" i="27" s="1"/>
  <c r="AN1318" i="27"/>
  <c r="AO1318" i="27" s="1"/>
  <c r="AN741" i="27"/>
  <c r="AO741" i="27" s="1"/>
  <c r="AH1003" i="27"/>
  <c r="AN2710" i="27"/>
  <c r="AO2710" i="27" s="1"/>
  <c r="AN419" i="27"/>
  <c r="AO419" i="27" s="1"/>
  <c r="AH557" i="27"/>
  <c r="AH2724" i="27"/>
  <c r="AH773" i="27"/>
  <c r="AH2276" i="27"/>
  <c r="AH2570" i="27"/>
  <c r="AH653" i="27"/>
  <c r="AN993" i="27"/>
  <c r="AO993" i="27" s="1"/>
  <c r="AN1221" i="27"/>
  <c r="AO1221" i="27" s="1"/>
  <c r="AN1257" i="27"/>
  <c r="AO1257" i="27" s="1"/>
  <c r="AH2954" i="27"/>
  <c r="AN1025" i="27"/>
  <c r="AO1025" i="27" s="1"/>
  <c r="AN1357" i="27"/>
  <c r="AO1357" i="27" s="1"/>
  <c r="AN2464" i="27"/>
  <c r="AO2464" i="27" s="1"/>
  <c r="AN769" i="27"/>
  <c r="AO769" i="27" s="1"/>
  <c r="N215" i="30"/>
  <c r="AH2772" i="27"/>
  <c r="AH1362" i="27"/>
  <c r="AH2070" i="27"/>
  <c r="AN917" i="27"/>
  <c r="AO917" i="27" s="1"/>
  <c r="L208" i="30"/>
  <c r="AH2478" i="27"/>
  <c r="W42" i="37"/>
  <c r="AN661" i="27"/>
  <c r="AO661" i="27" s="1"/>
  <c r="N42" i="37"/>
  <c r="M42" i="37" s="1"/>
  <c r="AH2128" i="27"/>
  <c r="AN765" i="27"/>
  <c r="AO765" i="27" s="1"/>
  <c r="AN539" i="27"/>
  <c r="AO539" i="27" s="1"/>
  <c r="AN1482" i="27"/>
  <c r="AO1482" i="27" s="1"/>
  <c r="O215" i="30"/>
  <c r="AN409" i="27"/>
  <c r="AO409" i="27" s="1"/>
  <c r="J215" i="30"/>
  <c r="O31" i="37"/>
  <c r="AN2518" i="27"/>
  <c r="AO2518" i="27" s="1"/>
  <c r="AN455" i="27"/>
  <c r="AO455" i="27" s="1"/>
  <c r="AN2270" i="27"/>
  <c r="AO2270" i="27" s="1"/>
  <c r="AN2908" i="27"/>
  <c r="AO2908" i="27" s="1"/>
  <c r="AH1231" i="27"/>
  <c r="AH855" i="27"/>
  <c r="AH1442" i="27"/>
  <c r="AN1442" i="27"/>
  <c r="AO1442" i="27" s="1"/>
  <c r="F48" i="37"/>
  <c r="N48" i="37"/>
  <c r="M48" i="37" s="1"/>
  <c r="G48" i="37"/>
  <c r="Y48" i="37"/>
  <c r="D48" i="37"/>
  <c r="E48" i="37"/>
  <c r="P48" i="37"/>
  <c r="O48" i="37"/>
  <c r="Q48" i="37"/>
  <c r="W48" i="37"/>
  <c r="L48" i="37"/>
  <c r="K48" i="37" s="1"/>
  <c r="X48" i="37"/>
  <c r="G45" i="37"/>
  <c r="O45" i="37"/>
  <c r="Y45" i="37"/>
  <c r="F45" i="37"/>
  <c r="W45" i="37"/>
  <c r="X45" i="37"/>
  <c r="P45" i="37"/>
  <c r="N45" i="37"/>
  <c r="M45" i="37" s="1"/>
  <c r="Q45" i="37"/>
  <c r="E45" i="37"/>
  <c r="L45" i="37"/>
  <c r="K45" i="37" s="1"/>
  <c r="D45" i="37"/>
  <c r="E42" i="37"/>
  <c r="D42" i="37"/>
  <c r="AH951" i="27"/>
  <c r="AN2168" i="27"/>
  <c r="AO2168" i="27" s="1"/>
  <c r="AN799" i="27"/>
  <c r="AO799" i="27" s="1"/>
  <c r="AN1339" i="27"/>
  <c r="AO1339" i="27" s="1"/>
  <c r="AN1518" i="27"/>
  <c r="AO1518" i="27" s="1"/>
  <c r="F31" i="37"/>
  <c r="P31" i="37"/>
  <c r="AH1271" i="27"/>
  <c r="AN567" i="27"/>
  <c r="AO567" i="27" s="1"/>
  <c r="AH2935" i="27"/>
  <c r="AH583" i="27"/>
  <c r="AH2814" i="27"/>
  <c r="AH969" i="27"/>
  <c r="AH589" i="27"/>
  <c r="AH2494" i="27"/>
  <c r="AN1269" i="27"/>
  <c r="AO1269" i="27" s="1"/>
  <c r="AN1388" i="27"/>
  <c r="AO1388" i="27" s="1"/>
  <c r="AH1162" i="27"/>
  <c r="AH1365" i="27"/>
  <c r="O46" i="37"/>
  <c r="E46" i="37"/>
  <c r="F46" i="37"/>
  <c r="W46" i="37"/>
  <c r="Y46" i="37"/>
  <c r="G46" i="37"/>
  <c r="X46" i="37"/>
  <c r="Q46" i="37"/>
  <c r="P46" i="37"/>
  <c r="N46" i="37"/>
  <c r="M46" i="37" s="1"/>
  <c r="L46" i="37"/>
  <c r="K46" i="37" s="1"/>
  <c r="D46" i="37"/>
  <c r="G47" i="37"/>
  <c r="D47" i="37"/>
  <c r="W47" i="37"/>
  <c r="Q47" i="37"/>
  <c r="P47" i="37"/>
  <c r="E47" i="37"/>
  <c r="X47" i="37"/>
  <c r="L47" i="37"/>
  <c r="K47" i="37" s="1"/>
  <c r="O47" i="37"/>
  <c r="N47" i="37"/>
  <c r="M47" i="37" s="1"/>
  <c r="F47" i="37"/>
  <c r="Y47" i="37"/>
  <c r="AH2892" i="27"/>
  <c r="AN2892" i="27"/>
  <c r="AO2892" i="27" s="1"/>
  <c r="P42" i="37"/>
  <c r="O42" i="37"/>
  <c r="Y42" i="37"/>
  <c r="AN2884" i="27"/>
  <c r="AO2884" i="27" s="1"/>
  <c r="AH1206" i="27"/>
  <c r="AN1384" i="27"/>
  <c r="AO1384" i="27" s="1"/>
  <c r="AH1249" i="27"/>
  <c r="AH2108" i="27"/>
  <c r="AN1184" i="27"/>
  <c r="AO1184" i="27" s="1"/>
  <c r="Q31" i="37"/>
  <c r="T31" i="37" s="1"/>
  <c r="L31" i="37"/>
  <c r="K31" i="37" s="1"/>
  <c r="E31" i="37"/>
  <c r="Y31" i="37"/>
  <c r="G31" i="37"/>
  <c r="N31" i="37"/>
  <c r="M31" i="37" s="1"/>
  <c r="W30" i="37"/>
  <c r="Y28" i="37"/>
  <c r="Q28" i="37"/>
  <c r="U28" i="37" s="1"/>
  <c r="W28" i="37"/>
  <c r="X28" i="37"/>
  <c r="E28" i="37"/>
  <c r="E30" i="37"/>
  <c r="P30" i="37"/>
  <c r="Q30" i="37"/>
  <c r="AB30" i="37" s="1"/>
  <c r="AA30" i="37" s="1"/>
  <c r="N28" i="37"/>
  <c r="M28" i="37" s="1"/>
  <c r="L35" i="37"/>
  <c r="K35" i="37" s="1"/>
  <c r="D43" i="37"/>
  <c r="G24" i="37"/>
  <c r="O26" i="37"/>
  <c r="Q33" i="37"/>
  <c r="AB33" i="37" s="1"/>
  <c r="AA33" i="37" s="1"/>
  <c r="E24" i="37"/>
  <c r="X29" i="37"/>
  <c r="O32" i="37"/>
  <c r="W24" i="37"/>
  <c r="E16" i="37"/>
  <c r="Y16" i="37"/>
  <c r="Q16" i="37"/>
  <c r="S16" i="37" s="1"/>
  <c r="F16" i="37"/>
  <c r="Y43" i="37"/>
  <c r="O24" i="37"/>
  <c r="Q26" i="37"/>
  <c r="AB26" i="37" s="1"/>
  <c r="AA26" i="37" s="1"/>
  <c r="D26" i="37"/>
  <c r="X26" i="37"/>
  <c r="X35" i="37"/>
  <c r="G26" i="37"/>
  <c r="Q32" i="37"/>
  <c r="S32" i="37" s="1"/>
  <c r="W33" i="37"/>
  <c r="L33" i="37"/>
  <c r="K33" i="37" s="1"/>
  <c r="L32" i="37"/>
  <c r="K32" i="37" s="1"/>
  <c r="Y35" i="37"/>
  <c r="F24" i="37"/>
  <c r="F26" i="37"/>
  <c r="L26" i="37"/>
  <c r="K26" i="37" s="1"/>
  <c r="G35" i="37"/>
  <c r="O35" i="37"/>
  <c r="N35" i="37"/>
  <c r="M35" i="37" s="1"/>
  <c r="P32" i="37"/>
  <c r="O33" i="37"/>
  <c r="F33" i="37"/>
  <c r="X33" i="37"/>
  <c r="W32" i="37"/>
  <c r="Y24" i="37"/>
  <c r="X24" i="37"/>
  <c r="P24" i="37"/>
  <c r="L24" i="37"/>
  <c r="K24" i="37" s="1"/>
  <c r="W31" i="37"/>
  <c r="P43" i="37"/>
  <c r="O43" i="37"/>
  <c r="W43" i="37"/>
  <c r="S44" i="37"/>
  <c r="T44" i="37"/>
  <c r="F30" i="37"/>
  <c r="X30" i="37"/>
  <c r="G28" i="37"/>
  <c r="L27" i="37"/>
  <c r="K27" i="37" s="1"/>
  <c r="G30" i="37"/>
  <c r="P28" i="37"/>
  <c r="L30" i="37"/>
  <c r="K30" i="37" s="1"/>
  <c r="F28" i="37"/>
  <c r="N208" i="30"/>
  <c r="N21" i="30"/>
  <c r="P16" i="37"/>
  <c r="D29" i="37"/>
  <c r="X16" i="37"/>
  <c r="O29" i="37"/>
  <c r="E43" i="37"/>
  <c r="L43" i="37"/>
  <c r="K43" i="37" s="1"/>
  <c r="J40" i="30"/>
  <c r="P33" i="37"/>
  <c r="G33" i="37"/>
  <c r="N32" i="37"/>
  <c r="M32" i="37" s="1"/>
  <c r="G32" i="37"/>
  <c r="X32" i="37"/>
  <c r="J208" i="30"/>
  <c r="N43" i="37"/>
  <c r="M43" i="37" s="1"/>
  <c r="M215" i="30"/>
  <c r="F43" i="37"/>
  <c r="N16" i="37"/>
  <c r="M16" i="37" s="1"/>
  <c r="G16" i="37"/>
  <c r="P29" i="37"/>
  <c r="Q35" i="37"/>
  <c r="T35" i="37" s="1"/>
  <c r="P35" i="37"/>
  <c r="F37" i="37"/>
  <c r="E35" i="37"/>
  <c r="L40" i="30"/>
  <c r="P25" i="37"/>
  <c r="L29" i="37"/>
  <c r="K29" i="37" s="1"/>
  <c r="G21" i="30"/>
  <c r="W16" i="37"/>
  <c r="O16" i="37"/>
  <c r="X43" i="37"/>
  <c r="N40" i="30"/>
  <c r="E33" i="37"/>
  <c r="N33" i="37"/>
  <c r="M33" i="37" s="1"/>
  <c r="Y33" i="37"/>
  <c r="D32" i="37"/>
  <c r="F32" i="37"/>
  <c r="Y29" i="37"/>
  <c r="M208" i="30"/>
  <c r="Q43" i="37"/>
  <c r="S43" i="37" s="1"/>
  <c r="W35" i="37"/>
  <c r="D16" i="37"/>
  <c r="W29" i="37"/>
  <c r="D35" i="37"/>
  <c r="P37" i="37"/>
  <c r="E32" i="37"/>
  <c r="E27" i="37"/>
  <c r="F27" i="37"/>
  <c r="AH2450" i="27"/>
  <c r="O84" i="30"/>
  <c r="N84" i="30"/>
  <c r="AH961" i="27"/>
  <c r="G194" i="30"/>
  <c r="AH2264" i="27"/>
  <c r="O21" i="30"/>
  <c r="M21" i="30"/>
  <c r="G84" i="30"/>
  <c r="J84" i="30"/>
  <c r="P84" i="30"/>
  <c r="P27" i="37"/>
  <c r="G27" i="37"/>
  <c r="O27" i="37"/>
  <c r="AF187" i="30"/>
  <c r="G187" i="30"/>
  <c r="E187" i="30"/>
  <c r="AE187" i="30"/>
  <c r="F187" i="30"/>
  <c r="D187" i="30"/>
  <c r="AN1469" i="27"/>
  <c r="AO1469" i="27" s="1"/>
  <c r="AH1306" i="27"/>
  <c r="AH363" i="27"/>
  <c r="AH1160" i="27"/>
  <c r="AH817" i="27"/>
  <c r="AH1279" i="27"/>
  <c r="AN2018" i="27"/>
  <c r="AO2018" i="27" s="1"/>
  <c r="AH713" i="27"/>
  <c r="AH2388" i="27"/>
  <c r="AH1903" i="27"/>
  <c r="AN2094" i="27"/>
  <c r="AO2094" i="27" s="1"/>
  <c r="AH2434" i="27"/>
  <c r="AN481" i="27"/>
  <c r="AO481" i="27" s="1"/>
  <c r="AN2162" i="27"/>
  <c r="AO2162" i="27" s="1"/>
  <c r="AN2532" i="27"/>
  <c r="AO2532" i="27" s="1"/>
  <c r="M84" i="30"/>
  <c r="AH895" i="27"/>
  <c r="AH2392" i="27"/>
  <c r="AH395" i="27"/>
  <c r="AH807" i="27"/>
  <c r="AN3294" i="27"/>
  <c r="AO3294" i="27" s="1"/>
  <c r="AH3294" i="27"/>
  <c r="AN1470" i="27"/>
  <c r="AO1470" i="27" s="1"/>
  <c r="AH1470" i="27"/>
  <c r="AN511" i="27"/>
  <c r="AO511" i="27" s="1"/>
  <c r="AH511" i="27"/>
  <c r="AH967" i="27"/>
  <c r="AN967" i="27"/>
  <c r="AO967" i="27" s="1"/>
  <c r="AN1172" i="27"/>
  <c r="AO1172" i="27" s="1"/>
  <c r="AH1172" i="27"/>
  <c r="AH1227" i="27"/>
  <c r="AN1227" i="27"/>
  <c r="AO1227" i="27" s="1"/>
  <c r="AH2714" i="27"/>
  <c r="AN2714" i="27"/>
  <c r="AO2714" i="27" s="1"/>
  <c r="AN313" i="27"/>
  <c r="AO313" i="27" s="1"/>
  <c r="AH313" i="27"/>
  <c r="AH407" i="27"/>
  <c r="AN407" i="27"/>
  <c r="AO407" i="27" s="1"/>
  <c r="AH427" i="27"/>
  <c r="AN427" i="27"/>
  <c r="AO427" i="27" s="1"/>
  <c r="AH509" i="27"/>
  <c r="AN509" i="27"/>
  <c r="AO509" i="27" s="1"/>
  <c r="AN541" i="27"/>
  <c r="AO541" i="27" s="1"/>
  <c r="AH541" i="27"/>
  <c r="AH545" i="27"/>
  <c r="AN545" i="27"/>
  <c r="AO545" i="27" s="1"/>
  <c r="AH551" i="27"/>
  <c r="AN551" i="27"/>
  <c r="AO551" i="27" s="1"/>
  <c r="AH597" i="27"/>
  <c r="AN597" i="27"/>
  <c r="AO597" i="27" s="1"/>
  <c r="AN609" i="27"/>
  <c r="AO609" i="27" s="1"/>
  <c r="AH609" i="27"/>
  <c r="AH687" i="27"/>
  <c r="AN687" i="27"/>
  <c r="AO687" i="27" s="1"/>
  <c r="AN747" i="27"/>
  <c r="AO747" i="27" s="1"/>
  <c r="AH747" i="27"/>
  <c r="AN1017" i="27"/>
  <c r="AO1017" i="27" s="1"/>
  <c r="AH1017" i="27"/>
  <c r="AN2758" i="27"/>
  <c r="AO2758" i="27" s="1"/>
  <c r="AH2758" i="27"/>
  <c r="AH1424" i="27"/>
  <c r="N15" i="37"/>
  <c r="M15" i="37" s="1"/>
  <c r="Q15" i="37"/>
  <c r="T15" i="37" s="1"/>
  <c r="E15" i="37"/>
  <c r="T29" i="37"/>
  <c r="AN2092" i="27"/>
  <c r="AO2092" i="27" s="1"/>
  <c r="AN341" i="27"/>
  <c r="AO341" i="27" s="1"/>
  <c r="AH2562" i="27"/>
  <c r="AN1168" i="27"/>
  <c r="AO1168" i="27" s="1"/>
  <c r="AN319" i="27"/>
  <c r="AO319" i="27" s="1"/>
  <c r="AN605" i="27"/>
  <c r="AO605" i="27" s="1"/>
  <c r="K21" i="30"/>
  <c r="AH2880" i="27"/>
  <c r="J21" i="30"/>
  <c r="AN805" i="27"/>
  <c r="AO805" i="27" s="1"/>
  <c r="AN1331" i="27"/>
  <c r="AO1331" i="27" s="1"/>
  <c r="AN2082" i="27"/>
  <c r="AO2082" i="27" s="1"/>
  <c r="P21" i="30"/>
  <c r="AN2200" i="27"/>
  <c r="AO2200" i="27" s="1"/>
  <c r="AH2686" i="27"/>
  <c r="AN2438" i="27"/>
  <c r="AO2438" i="27" s="1"/>
  <c r="AH305" i="27"/>
  <c r="AH1417" i="27"/>
  <c r="AH383" i="27"/>
  <c r="AH2718" i="27"/>
  <c r="L15" i="37"/>
  <c r="K15" i="37" s="1"/>
  <c r="F15" i="37"/>
  <c r="X15" i="37"/>
  <c r="D27" i="37"/>
  <c r="AN1027" i="27"/>
  <c r="AO1027" i="27" s="1"/>
  <c r="AN2983" i="27"/>
  <c r="AO2983" i="27" s="1"/>
  <c r="AH637" i="27"/>
  <c r="AH315" i="27"/>
  <c r="AN1095" i="27"/>
  <c r="AO1095" i="27" s="1"/>
  <c r="AN655" i="27"/>
  <c r="AO655" i="27" s="1"/>
  <c r="AN1387" i="27"/>
  <c r="AO1387" i="27" s="1"/>
  <c r="AN1085" i="27"/>
  <c r="AO1085" i="27" s="1"/>
  <c r="AN1324" i="27"/>
  <c r="AO1324" i="27" s="1"/>
  <c r="AH2998" i="27"/>
  <c r="AH439" i="27"/>
  <c r="AN995" i="27"/>
  <c r="AO995" i="27" s="1"/>
  <c r="AH947" i="27"/>
  <c r="O194" i="30"/>
  <c r="AN2949" i="27"/>
  <c r="AO2949" i="27" s="1"/>
  <c r="AN953" i="27"/>
  <c r="AO953" i="27" s="1"/>
  <c r="AN1105" i="27"/>
  <c r="AO1105" i="27" s="1"/>
  <c r="S29" i="37"/>
  <c r="AH2984" i="27"/>
  <c r="AH561" i="27"/>
  <c r="AH753" i="27"/>
  <c r="AN757" i="27"/>
  <c r="AO757" i="27" s="1"/>
  <c r="AH1408" i="27"/>
  <c r="AN2746" i="27"/>
  <c r="AO2746" i="27" s="1"/>
  <c r="AN965" i="27"/>
  <c r="AO965" i="27" s="1"/>
  <c r="AB29" i="37"/>
  <c r="AA29" i="37" s="1"/>
  <c r="K194" i="30"/>
  <c r="E209" i="30"/>
  <c r="AF209" i="30"/>
  <c r="AH2946" i="27"/>
  <c r="AN2946" i="27"/>
  <c r="AO2946" i="27" s="1"/>
  <c r="AH2492" i="27"/>
  <c r="AN2492" i="27"/>
  <c r="AO2492" i="27" s="1"/>
  <c r="AN1439" i="27"/>
  <c r="AO1439" i="27" s="1"/>
  <c r="AH1439" i="27"/>
  <c r="AH2985" i="27"/>
  <c r="AN2985" i="27"/>
  <c r="AO2985" i="27" s="1"/>
  <c r="AN335" i="27"/>
  <c r="AO335" i="27" s="1"/>
  <c r="AH335" i="27"/>
  <c r="AH453" i="27"/>
  <c r="AN453" i="27"/>
  <c r="AO453" i="27" s="1"/>
  <c r="AH469" i="27"/>
  <c r="AN469" i="27"/>
  <c r="AO469" i="27" s="1"/>
  <c r="AN489" i="27"/>
  <c r="AO489" i="27" s="1"/>
  <c r="AH489" i="27"/>
  <c r="AN549" i="27"/>
  <c r="AO549" i="27" s="1"/>
  <c r="AH549" i="27"/>
  <c r="AN587" i="27"/>
  <c r="AO587" i="27" s="1"/>
  <c r="AH587" i="27"/>
  <c r="AH625" i="27"/>
  <c r="AN625" i="27"/>
  <c r="AO625" i="27" s="1"/>
  <c r="AH731" i="27"/>
  <c r="AN731" i="27"/>
  <c r="AO731" i="27" s="1"/>
  <c r="AN815" i="27"/>
  <c r="AO815" i="27" s="1"/>
  <c r="AH815" i="27"/>
  <c r="AN875" i="27"/>
  <c r="AO875" i="27" s="1"/>
  <c r="AH875" i="27"/>
  <c r="AH919" i="27"/>
  <c r="AN919" i="27"/>
  <c r="AO919" i="27" s="1"/>
  <c r="AH927" i="27"/>
  <c r="AN927" i="27"/>
  <c r="AO927" i="27" s="1"/>
  <c r="AH957" i="27"/>
  <c r="AN957" i="27"/>
  <c r="AO957" i="27" s="1"/>
  <c r="AH1109" i="27"/>
  <c r="AN1109" i="27"/>
  <c r="AO1109" i="27" s="1"/>
  <c r="AN2194" i="27"/>
  <c r="AO2194" i="27" s="1"/>
  <c r="AH2194" i="27"/>
  <c r="AH2242" i="27"/>
  <c r="AN2242" i="27"/>
  <c r="AO2242" i="27" s="1"/>
  <c r="AH2440" i="27"/>
  <c r="AN2440" i="27"/>
  <c r="AO2440" i="27" s="1"/>
  <c r="AH2572" i="27"/>
  <c r="AN2572" i="27"/>
  <c r="AO2572" i="27" s="1"/>
  <c r="AN2594" i="27"/>
  <c r="AO2594" i="27" s="1"/>
  <c r="AH2594" i="27"/>
  <c r="AN2660" i="27"/>
  <c r="AO2660" i="27" s="1"/>
  <c r="AH2660" i="27"/>
  <c r="AN2702" i="27"/>
  <c r="AO2702" i="27" s="1"/>
  <c r="AH2702" i="27"/>
  <c r="AH2812" i="27"/>
  <c r="AN2812" i="27"/>
  <c r="AO2812" i="27" s="1"/>
  <c r="AH2828" i="27"/>
  <c r="AN2828" i="27"/>
  <c r="AO2828" i="27" s="1"/>
  <c r="AH2830" i="27"/>
  <c r="AN2830" i="27"/>
  <c r="AO2830" i="27" s="1"/>
  <c r="AN2864" i="27"/>
  <c r="AO2864" i="27" s="1"/>
  <c r="AH2864" i="27"/>
  <c r="AN2876" i="27"/>
  <c r="AO2876" i="27" s="1"/>
  <c r="AH2876" i="27"/>
  <c r="AH2951" i="27"/>
  <c r="AN2951" i="27"/>
  <c r="AO2951" i="27" s="1"/>
  <c r="AH1521" i="27"/>
  <c r="AN1521" i="27"/>
  <c r="AO1521" i="27" s="1"/>
  <c r="AN1422" i="27"/>
  <c r="AO1422" i="27" s="1"/>
  <c r="AH1422" i="27"/>
  <c r="G209" i="30"/>
  <c r="O15" i="37"/>
  <c r="G15" i="37"/>
  <c r="W15" i="37"/>
  <c r="P15" i="37"/>
  <c r="Y15" i="37"/>
  <c r="Y27" i="37"/>
  <c r="N27" i="37"/>
  <c r="M27" i="37" s="1"/>
  <c r="X27" i="37"/>
  <c r="Q27" i="37"/>
  <c r="G29" i="37"/>
  <c r="N29" i="37"/>
  <c r="M29" i="37" s="1"/>
  <c r="E29" i="37"/>
  <c r="F29" i="37"/>
  <c r="O30" i="37"/>
  <c r="D30" i="37"/>
  <c r="Y30" i="37"/>
  <c r="G25" i="37"/>
  <c r="E25" i="37"/>
  <c r="Q25" i="37"/>
  <c r="D25" i="37"/>
  <c r="L25" i="37"/>
  <c r="K25" i="37" s="1"/>
  <c r="X25" i="37"/>
  <c r="F25" i="37"/>
  <c r="O25" i="37"/>
  <c r="N25" i="37"/>
  <c r="M25" i="37" s="1"/>
  <c r="Y25" i="37"/>
  <c r="O28" i="37"/>
  <c r="L28" i="37"/>
  <c r="K28" i="37" s="1"/>
  <c r="G215" i="30"/>
  <c r="K215" i="30"/>
  <c r="L215" i="30"/>
  <c r="L34" i="30"/>
  <c r="N34" i="30"/>
  <c r="G34" i="30"/>
  <c r="O34" i="30"/>
  <c r="AN1301" i="27"/>
  <c r="AO1301" i="27" s="1"/>
  <c r="AH1301" i="27"/>
  <c r="AH1409" i="27"/>
  <c r="AN1409" i="27"/>
  <c r="AO1409" i="27" s="1"/>
  <c r="P194" i="30"/>
  <c r="L194" i="30"/>
  <c r="F194" i="30"/>
  <c r="J194" i="30"/>
  <c r="N194" i="30"/>
  <c r="O208" i="30"/>
  <c r="P208" i="30"/>
  <c r="N26" i="37"/>
  <c r="M26" i="37" s="1"/>
  <c r="E26" i="37"/>
  <c r="W26" i="37"/>
  <c r="Y26" i="37"/>
  <c r="Q24" i="37"/>
  <c r="D24" i="37"/>
  <c r="AH417" i="27"/>
  <c r="AN417" i="27"/>
  <c r="AO417" i="27" s="1"/>
  <c r="AN445" i="27"/>
  <c r="AO445" i="27" s="1"/>
  <c r="AH445" i="27"/>
  <c r="AN503" i="27"/>
  <c r="AO503" i="27" s="1"/>
  <c r="AH503" i="27"/>
  <c r="AH525" i="27"/>
  <c r="AN525" i="27"/>
  <c r="AO525" i="27" s="1"/>
  <c r="AN573" i="27"/>
  <c r="AO573" i="27" s="1"/>
  <c r="AH573" i="27"/>
  <c r="AH613" i="27"/>
  <c r="AN613" i="27"/>
  <c r="AO613" i="27" s="1"/>
  <c r="AH1035" i="27"/>
  <c r="AN1035" i="27"/>
  <c r="AO1035" i="27" s="1"/>
  <c r="AN1881" i="27"/>
  <c r="AO1881" i="27" s="1"/>
  <c r="AH1881" i="27"/>
  <c r="AN2104" i="27"/>
  <c r="AO2104" i="27" s="1"/>
  <c r="AH2104" i="27"/>
  <c r="AN2190" i="27"/>
  <c r="AO2190" i="27" s="1"/>
  <c r="AH2190" i="27"/>
  <c r="AH2293" i="27"/>
  <c r="AN2293" i="27"/>
  <c r="AO2293" i="27" s="1"/>
  <c r="AN2564" i="27"/>
  <c r="AO2564" i="27" s="1"/>
  <c r="AH2564" i="27"/>
  <c r="AH2630" i="27"/>
  <c r="AN2630" i="27"/>
  <c r="AO2630" i="27" s="1"/>
  <c r="AH2808" i="27"/>
  <c r="AN2808" i="27"/>
  <c r="AO2808" i="27" s="1"/>
  <c r="AH2904" i="27"/>
  <c r="AN2904" i="27"/>
  <c r="AO2904" i="27" s="1"/>
  <c r="AN2967" i="27"/>
  <c r="AO2967" i="27" s="1"/>
  <c r="AH2967" i="27"/>
  <c r="E81" i="30"/>
  <c r="AF81" i="30"/>
  <c r="F81" i="30"/>
  <c r="G81" i="30"/>
  <c r="AE81" i="30"/>
  <c r="D202" i="30"/>
  <c r="F202" i="30"/>
  <c r="AE202" i="30"/>
  <c r="E202" i="30"/>
  <c r="G202" i="30"/>
  <c r="AF202" i="30"/>
  <c r="D92" i="30"/>
  <c r="F92" i="30"/>
  <c r="AE92" i="30"/>
  <c r="E92" i="30"/>
  <c r="G92" i="30"/>
  <c r="AF92" i="30"/>
  <c r="AF165" i="30"/>
  <c r="G165" i="30"/>
  <c r="E165" i="30"/>
  <c r="AE165" i="30"/>
  <c r="F165" i="30"/>
  <c r="D165" i="30"/>
  <c r="AF148" i="30"/>
  <c r="G148" i="30"/>
  <c r="E148" i="30"/>
  <c r="AE148" i="30"/>
  <c r="F148" i="30"/>
  <c r="D148" i="30"/>
  <c r="AF139" i="30"/>
  <c r="G139" i="30"/>
  <c r="E139" i="30"/>
  <c r="AE139" i="30"/>
  <c r="F139" i="30"/>
  <c r="D139" i="30"/>
  <c r="AF116" i="30"/>
  <c r="G116" i="30"/>
  <c r="E116" i="30"/>
  <c r="AE116" i="30"/>
  <c r="F116" i="30"/>
  <c r="D116" i="30"/>
  <c r="AF159" i="30"/>
  <c r="G159" i="30"/>
  <c r="E159" i="30"/>
  <c r="AE159" i="30"/>
  <c r="F159" i="30"/>
  <c r="D159" i="30"/>
  <c r="D80" i="30"/>
  <c r="F80" i="30"/>
  <c r="AE80" i="30"/>
  <c r="E80" i="30"/>
  <c r="G80" i="30"/>
  <c r="AF80" i="30"/>
  <c r="D69" i="30"/>
  <c r="F69" i="30"/>
  <c r="AE69" i="30"/>
  <c r="E69" i="30"/>
  <c r="G69" i="30"/>
  <c r="AF69" i="30"/>
  <c r="AF162" i="30"/>
  <c r="G162" i="30"/>
  <c r="E162" i="30"/>
  <c r="AE162" i="30"/>
  <c r="F162" i="30"/>
  <c r="D162" i="30"/>
  <c r="AF145" i="30"/>
  <c r="G145" i="30"/>
  <c r="E145" i="30"/>
  <c r="AE145" i="30"/>
  <c r="F145" i="30"/>
  <c r="D145" i="30"/>
  <c r="AF126" i="30"/>
  <c r="G126" i="30"/>
  <c r="E126" i="30"/>
  <c r="AE126" i="30"/>
  <c r="F126" i="30"/>
  <c r="D126" i="30"/>
  <c r="AF90" i="30"/>
  <c r="G90" i="30"/>
  <c r="E90" i="30"/>
  <c r="AE90" i="30"/>
  <c r="F90" i="30"/>
  <c r="D90" i="30"/>
  <c r="AN149" i="27"/>
  <c r="AO149" i="27" s="1"/>
  <c r="AH149" i="27"/>
  <c r="AN176" i="27"/>
  <c r="AO176" i="27" s="1"/>
  <c r="AH176" i="27"/>
  <c r="P36" i="30"/>
  <c r="N36" i="30"/>
  <c r="M36" i="30"/>
  <c r="J36" i="30"/>
  <c r="O36" i="30"/>
  <c r="G36" i="30"/>
  <c r="K36" i="30"/>
  <c r="L36" i="30"/>
  <c r="AD93" i="37" l="1"/>
  <c r="I93" i="37" s="1"/>
  <c r="AD97" i="37"/>
  <c r="I97" i="37" s="1"/>
  <c r="AD91" i="37"/>
  <c r="I91" i="37" s="1"/>
  <c r="AB93" i="37"/>
  <c r="AA93" i="37" s="1"/>
  <c r="S93" i="37"/>
  <c r="U93" i="37"/>
  <c r="T93" i="37"/>
  <c r="S97" i="37"/>
  <c r="AB97" i="37"/>
  <c r="AA97" i="37" s="1"/>
  <c r="U97" i="37"/>
  <c r="T97" i="37"/>
  <c r="T98" i="37"/>
  <c r="U98" i="37"/>
  <c r="S98" i="37"/>
  <c r="AB98" i="37"/>
  <c r="AA98" i="37" s="1"/>
  <c r="U96" i="37"/>
  <c r="T96" i="37"/>
  <c r="S96" i="37"/>
  <c r="AB96" i="37"/>
  <c r="AA96" i="37" s="1"/>
  <c r="AD96" i="37"/>
  <c r="I96" i="37" s="1"/>
  <c r="AD95" i="37"/>
  <c r="I95" i="37" s="1"/>
  <c r="AD92" i="37"/>
  <c r="I92" i="37" s="1"/>
  <c r="S91" i="37"/>
  <c r="AB91" i="37"/>
  <c r="AA91" i="37" s="1"/>
  <c r="U91" i="37"/>
  <c r="T91" i="37"/>
  <c r="T94" i="37"/>
  <c r="U94" i="37"/>
  <c r="S94" i="37"/>
  <c r="AB94" i="37"/>
  <c r="AA94" i="37" s="1"/>
  <c r="S95" i="37"/>
  <c r="AB95" i="37"/>
  <c r="AA95" i="37" s="1"/>
  <c r="U95" i="37"/>
  <c r="T95" i="37"/>
  <c r="T92" i="37"/>
  <c r="U92" i="37"/>
  <c r="S92" i="37"/>
  <c r="AB92" i="37"/>
  <c r="AA92" i="37" s="1"/>
  <c r="AD98" i="37"/>
  <c r="I98" i="37" s="1"/>
  <c r="AD94" i="37"/>
  <c r="I94" i="37" s="1"/>
  <c r="AD90" i="37"/>
  <c r="I90" i="37" s="1"/>
  <c r="AD88" i="37"/>
  <c r="I88" i="37" s="1"/>
  <c r="AD87" i="37"/>
  <c r="I87" i="37" s="1"/>
  <c r="AD89" i="37"/>
  <c r="I89" i="37" s="1"/>
  <c r="AD83" i="37"/>
  <c r="I83" i="37" s="1"/>
  <c r="AD84" i="37"/>
  <c r="I84" i="37" s="1"/>
  <c r="T89" i="37"/>
  <c r="AB89" i="37"/>
  <c r="AA89" i="37" s="1"/>
  <c r="U89" i="37"/>
  <c r="S89" i="37"/>
  <c r="T85" i="37"/>
  <c r="S85" i="37"/>
  <c r="U85" i="37"/>
  <c r="AB85" i="37"/>
  <c r="AA85" i="37" s="1"/>
  <c r="AD85" i="37"/>
  <c r="I85" i="37" s="1"/>
  <c r="T83" i="37"/>
  <c r="S83" i="37"/>
  <c r="U83" i="37"/>
  <c r="AB83" i="37"/>
  <c r="AA83" i="37" s="1"/>
  <c r="AB88" i="37"/>
  <c r="AA88" i="37" s="1"/>
  <c r="U88" i="37"/>
  <c r="S88" i="37"/>
  <c r="T88" i="37"/>
  <c r="AB84" i="37"/>
  <c r="AA84" i="37" s="1"/>
  <c r="T84" i="37"/>
  <c r="S84" i="37"/>
  <c r="U84" i="37"/>
  <c r="T87" i="37"/>
  <c r="AB87" i="37"/>
  <c r="AA87" i="37" s="1"/>
  <c r="U87" i="37"/>
  <c r="S87" i="37"/>
  <c r="AB90" i="37"/>
  <c r="AA90" i="37" s="1"/>
  <c r="T90" i="37"/>
  <c r="S90" i="37"/>
  <c r="U90" i="37"/>
  <c r="AD86" i="37"/>
  <c r="I86" i="37" s="1"/>
  <c r="AB86" i="37"/>
  <c r="AA86" i="37" s="1"/>
  <c r="T86" i="37"/>
  <c r="S86" i="37"/>
  <c r="U86" i="37"/>
  <c r="AB19" i="37"/>
  <c r="AA19" i="37" s="1"/>
  <c r="AD19" i="37"/>
  <c r="I19" i="37" s="1"/>
  <c r="S19" i="37"/>
  <c r="T19" i="37"/>
  <c r="AD73" i="37"/>
  <c r="I73" i="37" s="1"/>
  <c r="AD81" i="37"/>
  <c r="I81" i="37" s="1"/>
  <c r="AD82" i="37"/>
  <c r="I82" i="37" s="1"/>
  <c r="S77" i="37"/>
  <c r="T77" i="37"/>
  <c r="AB77" i="37"/>
  <c r="AA77" i="37" s="1"/>
  <c r="U77" i="37"/>
  <c r="AD76" i="37"/>
  <c r="I76" i="37" s="1"/>
  <c r="AD71" i="37"/>
  <c r="I71" i="37" s="1"/>
  <c r="AD75" i="37"/>
  <c r="I75" i="37" s="1"/>
  <c r="AD74" i="37"/>
  <c r="I74" i="37" s="1"/>
  <c r="U70" i="37"/>
  <c r="S70" i="37"/>
  <c r="T70" i="37"/>
  <c r="AB70" i="37"/>
  <c r="AA70" i="37" s="1"/>
  <c r="S72" i="37"/>
  <c r="T72" i="37"/>
  <c r="AB72" i="37"/>
  <c r="AA72" i="37" s="1"/>
  <c r="U72" i="37"/>
  <c r="S82" i="37"/>
  <c r="AB82" i="37"/>
  <c r="AA82" i="37" s="1"/>
  <c r="T82" i="37"/>
  <c r="U82" i="37"/>
  <c r="S75" i="37"/>
  <c r="U75" i="37"/>
  <c r="AB75" i="37"/>
  <c r="AA75" i="37" s="1"/>
  <c r="T75" i="37"/>
  <c r="U80" i="37"/>
  <c r="S80" i="37"/>
  <c r="AB80" i="37"/>
  <c r="AA80" i="37" s="1"/>
  <c r="T80" i="37"/>
  <c r="AD80" i="37"/>
  <c r="I80" i="37" s="1"/>
  <c r="AD70" i="37"/>
  <c r="I70" i="37" s="1"/>
  <c r="AD72" i="37"/>
  <c r="I72" i="37" s="1"/>
  <c r="AD77" i="37"/>
  <c r="I77" i="37" s="1"/>
  <c r="S81" i="37"/>
  <c r="U81" i="37"/>
  <c r="T81" i="37"/>
  <c r="AB81" i="37"/>
  <c r="AA81" i="37" s="1"/>
  <c r="U76" i="37"/>
  <c r="S76" i="37"/>
  <c r="T76" i="37"/>
  <c r="AB76" i="37"/>
  <c r="AA76" i="37" s="1"/>
  <c r="U71" i="37"/>
  <c r="AB71" i="37"/>
  <c r="AA71" i="37" s="1"/>
  <c r="T71" i="37"/>
  <c r="S71" i="37"/>
  <c r="S73" i="37"/>
  <c r="AB73" i="37"/>
  <c r="AA73" i="37" s="1"/>
  <c r="T73" i="37"/>
  <c r="U73" i="37"/>
  <c r="T74" i="37"/>
  <c r="U74" i="37"/>
  <c r="AB74" i="37"/>
  <c r="AA74" i="37" s="1"/>
  <c r="S74" i="37"/>
  <c r="AD23" i="37"/>
  <c r="I23" i="37" s="1"/>
  <c r="AD69" i="37"/>
  <c r="I69" i="37" s="1"/>
  <c r="AD66" i="37"/>
  <c r="I66" i="37" s="1"/>
  <c r="AD68" i="37"/>
  <c r="I68" i="37" s="1"/>
  <c r="AD62" i="37"/>
  <c r="I62" i="37" s="1"/>
  <c r="T63" i="37"/>
  <c r="U63" i="37"/>
  <c r="S63" i="37"/>
  <c r="AB63" i="37"/>
  <c r="AA63" i="37" s="1"/>
  <c r="AD63" i="37"/>
  <c r="I63" i="37" s="1"/>
  <c r="U61" i="37"/>
  <c r="T61" i="37"/>
  <c r="AB61" i="37"/>
  <c r="AA61" i="37" s="1"/>
  <c r="S61" i="37"/>
  <c r="AD61" i="37"/>
  <c r="I61" i="37" s="1"/>
  <c r="S65" i="37"/>
  <c r="U65" i="37"/>
  <c r="T65" i="37"/>
  <c r="AB65" i="37"/>
  <c r="AA65" i="37" s="1"/>
  <c r="S68" i="37"/>
  <c r="T68" i="37"/>
  <c r="AB68" i="37"/>
  <c r="AA68" i="37" s="1"/>
  <c r="U68" i="37"/>
  <c r="U62" i="37"/>
  <c r="AB62" i="37"/>
  <c r="AA62" i="37" s="1"/>
  <c r="S62" i="37"/>
  <c r="T62" i="37"/>
  <c r="T67" i="37"/>
  <c r="S67" i="37"/>
  <c r="AB67" i="37"/>
  <c r="AA67" i="37" s="1"/>
  <c r="U67" i="37"/>
  <c r="U64" i="37"/>
  <c r="S64" i="37"/>
  <c r="T64" i="37"/>
  <c r="AB64" i="37"/>
  <c r="AA64" i="37" s="1"/>
  <c r="AB69" i="37"/>
  <c r="AA69" i="37" s="1"/>
  <c r="U69" i="37"/>
  <c r="S69" i="37"/>
  <c r="T69" i="37"/>
  <c r="T66" i="37"/>
  <c r="AB66" i="37"/>
  <c r="AA66" i="37" s="1"/>
  <c r="U66" i="37"/>
  <c r="S66" i="37"/>
  <c r="AD65" i="37"/>
  <c r="I65" i="37" s="1"/>
  <c r="AD67" i="37"/>
  <c r="I67" i="37" s="1"/>
  <c r="AD64" i="37"/>
  <c r="I64" i="37" s="1"/>
  <c r="S23" i="37"/>
  <c r="AB23" i="37"/>
  <c r="AA23" i="37" s="1"/>
  <c r="U23" i="37"/>
  <c r="AB20" i="37"/>
  <c r="AA20" i="37" s="1"/>
  <c r="AD20" i="37"/>
  <c r="I20" i="37" s="1"/>
  <c r="U20" i="37"/>
  <c r="T20" i="37"/>
  <c r="AD30" i="37"/>
  <c r="I30" i="37" s="1"/>
  <c r="AD54" i="37"/>
  <c r="I54" i="37" s="1"/>
  <c r="AD55" i="37"/>
  <c r="I55" i="37" s="1"/>
  <c r="T54" i="37"/>
  <c r="S54" i="37"/>
  <c r="AB54" i="37"/>
  <c r="AA54" i="37" s="1"/>
  <c r="U54" i="37"/>
  <c r="T56" i="37"/>
  <c r="S56" i="37"/>
  <c r="AB56" i="37"/>
  <c r="AA56" i="37" s="1"/>
  <c r="U56" i="37"/>
  <c r="AD56" i="37"/>
  <c r="I56" i="37" s="1"/>
  <c r="U55" i="37"/>
  <c r="AB55" i="37"/>
  <c r="AA55" i="37" s="1"/>
  <c r="T55" i="37"/>
  <c r="S55" i="37"/>
  <c r="S18" i="37"/>
  <c r="T18" i="37"/>
  <c r="AB18" i="37"/>
  <c r="AA18" i="37" s="1"/>
  <c r="AD17" i="37"/>
  <c r="I17" i="37" s="1"/>
  <c r="AD18" i="37"/>
  <c r="I18" i="37" s="1"/>
  <c r="T34" i="37"/>
  <c r="S17" i="37"/>
  <c r="AB17" i="37"/>
  <c r="AA17" i="37" s="1"/>
  <c r="T17" i="37"/>
  <c r="S38" i="37"/>
  <c r="AD37" i="37"/>
  <c r="I37" i="37" s="1"/>
  <c r="AD51" i="37"/>
  <c r="I51" i="37" s="1"/>
  <c r="AD52" i="37"/>
  <c r="I52" i="37" s="1"/>
  <c r="U49" i="37"/>
  <c r="S49" i="37"/>
  <c r="AB49" i="37"/>
  <c r="AA49" i="37" s="1"/>
  <c r="T49" i="37"/>
  <c r="U50" i="37"/>
  <c r="S50" i="37"/>
  <c r="T50" i="37"/>
  <c r="AB50" i="37"/>
  <c r="AA50" i="37" s="1"/>
  <c r="AD50" i="37"/>
  <c r="I50" i="37" s="1"/>
  <c r="S51" i="37"/>
  <c r="AB51" i="37"/>
  <c r="AA51" i="37" s="1"/>
  <c r="T51" i="37"/>
  <c r="U51" i="37"/>
  <c r="T52" i="37"/>
  <c r="S52" i="37"/>
  <c r="AB52" i="37"/>
  <c r="AA52" i="37" s="1"/>
  <c r="U52" i="37"/>
  <c r="AD49" i="37"/>
  <c r="I49" i="37" s="1"/>
  <c r="S53" i="37"/>
  <c r="AB53" i="37"/>
  <c r="AA53" i="37" s="1"/>
  <c r="U53" i="37"/>
  <c r="T53" i="37"/>
  <c r="AD53" i="37"/>
  <c r="I53" i="37" s="1"/>
  <c r="AB34" i="37"/>
  <c r="AA34" i="37" s="1"/>
  <c r="AB38" i="37"/>
  <c r="AA38" i="37" s="1"/>
  <c r="U34" i="37"/>
  <c r="U38" i="37"/>
  <c r="T39" i="37"/>
  <c r="U39" i="37"/>
  <c r="AD12" i="37"/>
  <c r="I12" i="37" s="1"/>
  <c r="S39" i="37"/>
  <c r="S37" i="37"/>
  <c r="AD38" i="37"/>
  <c r="I38" i="37" s="1"/>
  <c r="AD34" i="37"/>
  <c r="I34" i="37" s="1"/>
  <c r="T37" i="37"/>
  <c r="S12" i="37"/>
  <c r="U12" i="37"/>
  <c r="AD39" i="37"/>
  <c r="I39" i="37" s="1"/>
  <c r="U37" i="37"/>
  <c r="AB12" i="37"/>
  <c r="AA12" i="37" s="1"/>
  <c r="AD14" i="37"/>
  <c r="I14" i="37" s="1"/>
  <c r="AD44" i="37"/>
  <c r="I44" i="37" s="1"/>
  <c r="S36" i="37"/>
  <c r="S41" i="37"/>
  <c r="AB41" i="37"/>
  <c r="AA41" i="37" s="1"/>
  <c r="T41" i="37"/>
  <c r="U42" i="37"/>
  <c r="S42" i="37"/>
  <c r="T42" i="37"/>
  <c r="AD13" i="37"/>
  <c r="I13" i="37" s="1"/>
  <c r="U21" i="37"/>
  <c r="AB22" i="37"/>
  <c r="AA22" i="37" s="1"/>
  <c r="U22" i="37"/>
  <c r="S13" i="37"/>
  <c r="T22" i="37"/>
  <c r="AD33" i="37"/>
  <c r="I33" i="37" s="1"/>
  <c r="AD36" i="37"/>
  <c r="I36" i="37" s="1"/>
  <c r="S40" i="37"/>
  <c r="T13" i="37"/>
  <c r="T21" i="37"/>
  <c r="AB21" i="37"/>
  <c r="AA21" i="37" s="1"/>
  <c r="AB40" i="37"/>
  <c r="AA40" i="37" s="1"/>
  <c r="S14" i="37"/>
  <c r="T36" i="37"/>
  <c r="AB36" i="37"/>
  <c r="AA36" i="37" s="1"/>
  <c r="U14" i="37"/>
  <c r="AD40" i="37"/>
  <c r="I40" i="37" s="1"/>
  <c r="AD41" i="37"/>
  <c r="I41" i="37" s="1"/>
  <c r="T14" i="37"/>
  <c r="U40" i="37"/>
  <c r="U13" i="37"/>
  <c r="AD22" i="37"/>
  <c r="I22" i="37" s="1"/>
  <c r="AD21" i="37"/>
  <c r="I21" i="37" s="1"/>
  <c r="S31" i="37"/>
  <c r="T30" i="37"/>
  <c r="U30" i="37"/>
  <c r="T33" i="37"/>
  <c r="U31" i="37"/>
  <c r="AD48" i="37"/>
  <c r="I48" i="37" s="1"/>
  <c r="AD45" i="37"/>
  <c r="I45" i="37" s="1"/>
  <c r="AD42" i="37"/>
  <c r="I42" i="37" s="1"/>
  <c r="U32" i="37"/>
  <c r="AD46" i="37"/>
  <c r="I46" i="37" s="1"/>
  <c r="AD26" i="37"/>
  <c r="I26" i="37" s="1"/>
  <c r="S30" i="37"/>
  <c r="T32" i="37"/>
  <c r="AB35" i="37"/>
  <c r="AA35" i="37" s="1"/>
  <c r="AD31" i="37"/>
  <c r="I31" i="37" s="1"/>
  <c r="AB32" i="37"/>
  <c r="AA32" i="37" s="1"/>
  <c r="AD47" i="37"/>
  <c r="I47" i="37" s="1"/>
  <c r="T47" i="37"/>
  <c r="U47" i="37"/>
  <c r="S47" i="37"/>
  <c r="AB47" i="37"/>
  <c r="AA47" i="37" s="1"/>
  <c r="AB46" i="37"/>
  <c r="AA46" i="37" s="1"/>
  <c r="U46" i="37"/>
  <c r="T46" i="37"/>
  <c r="S46" i="37"/>
  <c r="AB45" i="37"/>
  <c r="AA45" i="37" s="1"/>
  <c r="T45" i="37"/>
  <c r="U45" i="37"/>
  <c r="S45" i="37"/>
  <c r="AB48" i="37"/>
  <c r="AA48" i="37" s="1"/>
  <c r="U48" i="37"/>
  <c r="T48" i="37"/>
  <c r="S48" i="37"/>
  <c r="U33" i="37"/>
  <c r="AB31" i="37"/>
  <c r="AA31" i="37" s="1"/>
  <c r="S33" i="37"/>
  <c r="T28" i="37"/>
  <c r="T26" i="37"/>
  <c r="AB28" i="37"/>
  <c r="AA28" i="37" s="1"/>
  <c r="S28" i="37"/>
  <c r="AD35" i="37"/>
  <c r="I35" i="37" s="1"/>
  <c r="S26" i="37"/>
  <c r="AD24" i="37"/>
  <c r="I24" i="37" s="1"/>
  <c r="U26" i="37"/>
  <c r="AB16" i="37"/>
  <c r="AA16" i="37" s="1"/>
  <c r="T16" i="37"/>
  <c r="U16" i="37"/>
  <c r="AD32" i="37"/>
  <c r="I32" i="37" s="1"/>
  <c r="U35" i="37"/>
  <c r="S35" i="37"/>
  <c r="AD16" i="37"/>
  <c r="I16" i="37" s="1"/>
  <c r="AD28" i="37"/>
  <c r="I28" i="37" s="1"/>
  <c r="AD29" i="37"/>
  <c r="I29" i="37" s="1"/>
  <c r="AD43" i="37"/>
  <c r="I43" i="37" s="1"/>
  <c r="AB43" i="37"/>
  <c r="AA43" i="37" s="1"/>
  <c r="T43" i="37"/>
  <c r="U43" i="37"/>
  <c r="AD27" i="37"/>
  <c r="I27" i="37" s="1"/>
  <c r="AB15" i="37"/>
  <c r="AA15" i="37" s="1"/>
  <c r="S15" i="37"/>
  <c r="U15" i="37"/>
  <c r="AD15" i="37"/>
  <c r="I15" i="37" s="1"/>
  <c r="AB24" i="37"/>
  <c r="AA24" i="37" s="1"/>
  <c r="S24" i="37"/>
  <c r="U24" i="37"/>
  <c r="T24" i="37"/>
  <c r="AD25" i="37"/>
  <c r="I25" i="37" s="1"/>
  <c r="S25" i="37"/>
  <c r="U25" i="37"/>
  <c r="AB25" i="37"/>
  <c r="AA25" i="37" s="1"/>
  <c r="T25" i="37"/>
  <c r="AB27" i="37"/>
  <c r="AA27" i="37" s="1"/>
  <c r="T27" i="37"/>
  <c r="U27" i="37"/>
  <c r="S27" i="37"/>
  <c r="AQ289" i="27"/>
  <c r="AR289" i="27" s="1"/>
  <c r="AS289" i="27" s="1"/>
  <c r="AQ259" i="27"/>
  <c r="AR259" i="27" s="1"/>
  <c r="AS259" i="27" s="1"/>
  <c r="AQ276" i="27"/>
  <c r="AR276" i="27" s="1"/>
  <c r="AS276" i="27" s="1"/>
  <c r="AQ286" i="27"/>
  <c r="AR286" i="27" s="1"/>
  <c r="AS286" i="27" s="1"/>
  <c r="AQ273" i="27"/>
  <c r="AR273" i="27" s="1"/>
  <c r="AS273" i="27" s="1"/>
  <c r="AQ294" i="27"/>
  <c r="AR294" i="27" s="1"/>
  <c r="AS294" i="27" s="1"/>
  <c r="AQ282" i="27"/>
  <c r="AR282" i="27" s="1"/>
  <c r="AS282" i="27" s="1"/>
  <c r="AQ288" i="27"/>
  <c r="AR288" i="27" s="1"/>
  <c r="AS288" i="27" s="1"/>
  <c r="AQ140" i="27"/>
  <c r="AR140" i="27" s="1"/>
  <c r="AS140" i="27" s="1"/>
  <c r="AQ161" i="27"/>
  <c r="AR161" i="27" s="1"/>
  <c r="AS161" i="27" s="1"/>
  <c r="AQ275" i="27"/>
  <c r="AR275" i="27" s="1"/>
  <c r="AS275" i="27" s="1"/>
  <c r="AQ285" i="27"/>
  <c r="AR285" i="27" s="1"/>
  <c r="AS285" i="27" s="1"/>
  <c r="AQ293" i="27"/>
  <c r="AR293" i="27" s="1"/>
  <c r="AS293" i="27" s="1"/>
  <c r="AQ290" i="27"/>
  <c r="AR290" i="27" s="1"/>
  <c r="AS290" i="27" s="1"/>
  <c r="AQ258" i="27"/>
  <c r="AR258" i="27" s="1"/>
  <c r="AS258" i="27" s="1"/>
  <c r="AQ113" i="27"/>
  <c r="AR113" i="27" s="1"/>
  <c r="AS113" i="27" s="1"/>
  <c r="AQ284" i="27"/>
  <c r="AR284" i="27" s="1"/>
  <c r="AS284" i="27" s="1"/>
  <c r="AQ296" i="27"/>
  <c r="AR296" i="27" s="1"/>
  <c r="AS296" i="27" s="1"/>
  <c r="AQ243" i="27"/>
  <c r="AR243" i="27" s="1"/>
  <c r="AS243" i="27" s="1"/>
  <c r="AQ291" i="27"/>
  <c r="AR291" i="27" s="1"/>
  <c r="AS291" i="27" s="1"/>
  <c r="AQ277" i="27"/>
  <c r="AR277" i="27" s="1"/>
  <c r="AS277" i="27" s="1"/>
  <c r="AQ292" i="27"/>
  <c r="AR292" i="27" s="1"/>
  <c r="AS292" i="27" s="1"/>
  <c r="AQ287" i="27"/>
  <c r="AR287" i="27" s="1"/>
  <c r="AS287" i="27" s="1"/>
  <c r="B59" i="37"/>
  <c r="Q59" i="37" s="1"/>
  <c r="B58" i="37"/>
  <c r="L58" i="37" s="1"/>
  <c r="K58" i="37" s="1"/>
  <c r="B60" i="37"/>
  <c r="L60" i="37" s="1"/>
  <c r="K60" i="37" s="1"/>
  <c r="B57" i="37"/>
  <c r="L59" i="37" l="1"/>
  <c r="K59" i="37" s="1"/>
  <c r="U59" i="37"/>
  <c r="S59" i="37"/>
  <c r="AB59" i="37"/>
  <c r="AA59" i="37" s="1"/>
  <c r="T59" i="37"/>
  <c r="X58" i="37"/>
  <c r="G58" i="37"/>
  <c r="N58" i="37"/>
  <c r="M58" i="37" s="1"/>
  <c r="E58" i="37"/>
  <c r="P58" i="37"/>
  <c r="F58" i="37"/>
  <c r="O58" i="37"/>
  <c r="D58" i="37"/>
  <c r="Y58" i="37"/>
  <c r="W58" i="37"/>
  <c r="G60" i="37"/>
  <c r="O60" i="37"/>
  <c r="X60" i="37"/>
  <c r="W60" i="37"/>
  <c r="E60" i="37"/>
  <c r="P60" i="37"/>
  <c r="D60" i="37"/>
  <c r="F60" i="37"/>
  <c r="N60" i="37"/>
  <c r="M60" i="37" s="1"/>
  <c r="Y60" i="37"/>
  <c r="Y57" i="37"/>
  <c r="E57" i="37"/>
  <c r="X57" i="37"/>
  <c r="G57" i="37"/>
  <c r="P57" i="37"/>
  <c r="N57" i="37"/>
  <c r="M57" i="37" s="1"/>
  <c r="D57" i="37"/>
  <c r="F57" i="37"/>
  <c r="O57" i="37"/>
  <c r="W57" i="37"/>
  <c r="W59" i="37"/>
  <c r="X59" i="37"/>
  <c r="D59" i="37"/>
  <c r="P59" i="37"/>
  <c r="F59" i="37"/>
  <c r="N59" i="37"/>
  <c r="M59" i="37" s="1"/>
  <c r="O59" i="37"/>
  <c r="Y59" i="37"/>
  <c r="E59" i="37"/>
  <c r="G59" i="37"/>
  <c r="Q58" i="37"/>
  <c r="Q57" i="37"/>
  <c r="L57" i="37"/>
  <c r="K57" i="37" s="1"/>
  <c r="Q60" i="37"/>
  <c r="AD60" i="37" l="1"/>
  <c r="I60" i="37" s="1"/>
  <c r="AD58" i="37"/>
  <c r="I58" i="37" s="1"/>
  <c r="AD57" i="37"/>
  <c r="I57" i="37" s="1"/>
  <c r="AD59" i="37"/>
  <c r="I59" i="37" s="1"/>
  <c r="AB57" i="37"/>
  <c r="AA57" i="37" s="1"/>
  <c r="T57" i="37"/>
  <c r="S57" i="37"/>
  <c r="U57" i="37"/>
  <c r="T60" i="37"/>
  <c r="U60" i="37"/>
  <c r="AB60" i="37"/>
  <c r="AA60" i="37" s="1"/>
  <c r="S60" i="37"/>
  <c r="S58" i="37"/>
  <c r="T58" i="37"/>
  <c r="U58" i="37"/>
  <c r="AB58" i="37"/>
  <c r="AA58" i="37" s="1"/>
  <c r="AQ1993" i="27"/>
  <c r="AQ2052" i="27"/>
  <c r="AR2052" i="27" s="1"/>
  <c r="AS2052" i="27" s="1"/>
  <c r="AQ1867" i="27"/>
  <c r="AR1867" i="27" s="1"/>
  <c r="AS1867" i="27" s="1"/>
  <c r="AQ3158" i="27"/>
  <c r="AR3158" i="27" s="1"/>
  <c r="AS3158" i="27" s="1"/>
  <c r="AQ1714" i="27"/>
  <c r="AR1714" i="27" s="1"/>
  <c r="AS1714" i="27" s="1"/>
  <c r="AQ2330" i="27"/>
  <c r="AR2330" i="27" s="1"/>
  <c r="AS2330" i="27" s="1"/>
  <c r="AQ24" i="27"/>
  <c r="AR24" i="27" s="1"/>
  <c r="AS24" i="27" s="1"/>
  <c r="AQ192" i="27"/>
  <c r="AR192" i="27" s="1"/>
  <c r="AS192" i="27" s="1"/>
  <c r="AQ205" i="27"/>
  <c r="AR205" i="27" s="1"/>
  <c r="AS205" i="27" s="1"/>
  <c r="AQ1211" i="27"/>
  <c r="AR1211" i="27" s="1"/>
  <c r="AS1211" i="27" s="1"/>
  <c r="AQ1328" i="27"/>
  <c r="AR1328" i="27" s="1"/>
  <c r="AS1328" i="27" s="1"/>
  <c r="AQ103" i="27"/>
  <c r="AR103" i="27" s="1"/>
  <c r="AS103" i="27" s="1"/>
  <c r="AQ1639" i="27"/>
  <c r="AR1639" i="27" s="1"/>
  <c r="AS1639" i="27" s="1"/>
  <c r="AQ3329" i="27"/>
  <c r="AR3329" i="27" s="1"/>
  <c r="AS3329" i="27" s="1"/>
  <c r="AQ198" i="27"/>
  <c r="AR198" i="27" s="1"/>
  <c r="AS198" i="27" s="1"/>
  <c r="AQ1402" i="27"/>
  <c r="AR1402" i="27" s="1"/>
  <c r="AS1402" i="27" s="1"/>
  <c r="AQ1833" i="27"/>
  <c r="AR1833" i="27" s="1"/>
  <c r="AS1833" i="27" s="1"/>
  <c r="AQ3312" i="27"/>
  <c r="AR3312" i="27" s="1"/>
  <c r="AS3312" i="27" s="1"/>
  <c r="AQ1710" i="27"/>
  <c r="AR1710" i="27" s="1"/>
  <c r="AS1710" i="27" s="1"/>
  <c r="AQ3125" i="27"/>
  <c r="AR3125" i="27" s="1"/>
  <c r="AS3125" i="27" s="1"/>
  <c r="AQ3098" i="27"/>
  <c r="AR3098" i="27" s="1"/>
  <c r="AS3098" i="27" s="1"/>
  <c r="AQ298" i="27"/>
  <c r="AR298" i="27" s="1"/>
  <c r="AS298" i="27" s="1"/>
  <c r="AQ184" i="27"/>
  <c r="AR184" i="27" s="1"/>
  <c r="AS184" i="27" s="1"/>
  <c r="AQ3176" i="27"/>
  <c r="AR3176" i="27" s="1"/>
  <c r="AS3176" i="27" s="1"/>
  <c r="AQ1709" i="27"/>
  <c r="AR1709" i="27" s="1"/>
  <c r="AS1709" i="27" s="1"/>
  <c r="AQ169" i="27"/>
  <c r="AR169" i="27" s="1"/>
  <c r="AS169" i="27" s="1"/>
  <c r="AQ1682" i="27"/>
  <c r="AR1682" i="27" s="1"/>
  <c r="AS1682" i="27" s="1"/>
  <c r="AQ2358" i="27"/>
  <c r="AR2358" i="27" s="1"/>
  <c r="AS2358" i="27" s="1"/>
  <c r="AQ67" i="27"/>
  <c r="AR67" i="27" s="1"/>
  <c r="AS67" i="27" s="1"/>
  <c r="AQ1828" i="27"/>
  <c r="AR1828" i="27" s="1"/>
  <c r="AS1828" i="27" s="1"/>
  <c r="AQ3140" i="27"/>
  <c r="AR3140" i="27" s="1"/>
  <c r="AS3140" i="27" s="1"/>
  <c r="AQ3265" i="27"/>
  <c r="AR3265" i="27" s="1"/>
  <c r="AS3265" i="27" s="1"/>
  <c r="AQ108" i="27"/>
  <c r="AR108" i="27" s="1"/>
  <c r="AS108" i="27" s="1"/>
  <c r="AQ2336" i="27"/>
  <c r="AR2336" i="27" s="1"/>
  <c r="AS2336" i="27" s="1"/>
  <c r="AQ1492" i="27"/>
  <c r="AR1492" i="27" s="1"/>
  <c r="AS1492" i="27" s="1"/>
  <c r="AQ137" i="27"/>
  <c r="AR137" i="27" s="1"/>
  <c r="AS137" i="27" s="1"/>
  <c r="AQ206" i="27"/>
  <c r="AR206" i="27" s="1"/>
  <c r="AS206" i="27" s="1"/>
  <c r="AQ1803" i="27"/>
  <c r="AR1803" i="27" s="1"/>
  <c r="AS1803" i="27" s="1"/>
  <c r="AQ183" i="27"/>
  <c r="AR183" i="27" s="1"/>
  <c r="AS183" i="27" s="1"/>
  <c r="AQ1633" i="27"/>
  <c r="AR1633" i="27" s="1"/>
  <c r="AS1633" i="27" s="1"/>
  <c r="AQ117" i="27"/>
  <c r="AR117" i="27" s="1"/>
  <c r="AS117" i="27" s="1"/>
  <c r="AQ48" i="27"/>
  <c r="AR48" i="27" s="1"/>
  <c r="AS48" i="27" s="1"/>
  <c r="AQ2056" i="27"/>
  <c r="AR2056" i="27" s="1"/>
  <c r="AS2056" i="27" s="1"/>
  <c r="AQ1752" i="27"/>
  <c r="AR1752" i="27" s="1"/>
  <c r="AS1752" i="27" s="1"/>
  <c r="AQ2303" i="27"/>
  <c r="AR2303" i="27" s="1"/>
  <c r="AS2303" i="27" s="1"/>
  <c r="AQ94" i="27"/>
  <c r="AR94" i="27" s="1"/>
  <c r="AS94" i="27" s="1"/>
  <c r="AQ3282" i="27"/>
  <c r="AR3282" i="27" s="1"/>
  <c r="AS3282" i="27" s="1"/>
  <c r="AQ3332" i="27"/>
  <c r="AR3332" i="27" s="1"/>
  <c r="AS3332" i="27" s="1"/>
  <c r="AQ2066" i="27"/>
  <c r="AR2066" i="27" s="1"/>
  <c r="AS2066" i="27" s="1"/>
  <c r="AQ1585" i="27"/>
  <c r="AR1585" i="27" s="1"/>
  <c r="AS1585" i="27" s="1"/>
  <c r="AQ1209" i="27"/>
  <c r="AR1209" i="27" s="1"/>
  <c r="AS1209" i="27" s="1"/>
  <c r="AQ3297" i="27"/>
  <c r="AR3297" i="27" s="1"/>
  <c r="AS3297" i="27" s="1"/>
  <c r="AQ115" i="27"/>
  <c r="AR115" i="27" s="1"/>
  <c r="AS115" i="27" s="1"/>
  <c r="AQ3266" i="27"/>
  <c r="AR3266" i="27" s="1"/>
  <c r="AS3266" i="27" s="1"/>
  <c r="AQ3112" i="27"/>
  <c r="AR3112" i="27" s="1"/>
  <c r="AS3112" i="27" s="1"/>
  <c r="AQ1841" i="27"/>
  <c r="AR1841" i="27" s="1"/>
  <c r="AS1841" i="27" s="1"/>
  <c r="AQ3264" i="27"/>
  <c r="AR3264" i="27" s="1"/>
  <c r="AS3264" i="27" s="1"/>
  <c r="AQ3326" i="27"/>
  <c r="AR3326" i="27" s="1"/>
  <c r="AS3326" i="27" s="1"/>
  <c r="AQ1742" i="27"/>
  <c r="AR1742" i="27" s="1"/>
  <c r="AS1742" i="27" s="1"/>
  <c r="AQ3127" i="27"/>
  <c r="AR3127" i="27" s="1"/>
  <c r="AS3127" i="27" s="1"/>
  <c r="AQ120" i="27"/>
  <c r="AR120" i="27" s="1"/>
  <c r="AS120" i="27" s="1"/>
  <c r="AQ3246" i="27"/>
  <c r="AR3246" i="27" s="1"/>
  <c r="AS3246" i="27" s="1"/>
  <c r="AQ173" i="27"/>
  <c r="AR173" i="27" s="1"/>
  <c r="AS173" i="27" s="1"/>
  <c r="AQ45" i="27"/>
  <c r="AR45" i="27" s="1"/>
  <c r="AS45" i="27" s="1"/>
  <c r="AQ3132" i="27"/>
  <c r="AR3132" i="27" s="1"/>
  <c r="AS3132" i="27" s="1"/>
  <c r="AQ1773" i="27"/>
  <c r="AR1773" i="27" s="1"/>
  <c r="AS1773" i="27" s="1"/>
  <c r="AQ154" i="27"/>
  <c r="AR154" i="27" s="1"/>
  <c r="AS154" i="27" s="1"/>
  <c r="AQ3235" i="27"/>
  <c r="AR3235" i="27" s="1"/>
  <c r="AS3235" i="27" s="1"/>
  <c r="AQ1699" i="27"/>
  <c r="AR1699" i="27" s="1"/>
  <c r="AS1699" i="27" s="1"/>
  <c r="AQ1821" i="27"/>
  <c r="AR1821" i="27" s="1"/>
  <c r="AS1821" i="27" s="1"/>
  <c r="AQ181" i="27"/>
  <c r="AR181" i="27" s="1"/>
  <c r="AS181" i="27" s="1"/>
  <c r="AQ1595" i="27"/>
  <c r="AR1595" i="27" s="1"/>
  <c r="AS1595" i="27" s="1"/>
  <c r="AQ1137" i="27"/>
  <c r="AR1137" i="27" s="1"/>
  <c r="AS1137" i="27" s="1"/>
  <c r="AQ1570" i="27"/>
  <c r="AR1570" i="27" s="1"/>
  <c r="AS1570" i="27" s="1"/>
  <c r="AQ3154" i="27"/>
  <c r="AR3154" i="27" s="1"/>
  <c r="AS3154" i="27" s="1"/>
  <c r="AQ3225" i="27"/>
  <c r="AR3225" i="27" s="1"/>
  <c r="AS3225" i="27" s="1"/>
  <c r="AQ1834" i="27"/>
  <c r="AR1834" i="27" s="1"/>
  <c r="AS1834" i="27" s="1"/>
  <c r="AQ1865" i="27"/>
  <c r="AR1865" i="27" s="1"/>
  <c r="AS1865" i="27" s="1"/>
  <c r="AQ2359" i="27"/>
  <c r="AR2359" i="27" s="1"/>
  <c r="AS2359" i="27" s="1"/>
  <c r="AQ3244" i="27"/>
  <c r="AR3244" i="27" s="1"/>
  <c r="AS3244" i="27" s="1"/>
  <c r="AQ112" i="27"/>
  <c r="AR112" i="27" s="1"/>
  <c r="AS112" i="27" s="1"/>
  <c r="AQ1531" i="27"/>
  <c r="AR1531" i="27" s="1"/>
  <c r="AS1531" i="27" s="1"/>
  <c r="AQ3287" i="27"/>
  <c r="AR3287" i="27" s="1"/>
  <c r="AS3287" i="27" s="1"/>
  <c r="AQ127" i="27"/>
  <c r="AR127" i="27" s="1"/>
  <c r="AS127" i="27" s="1"/>
  <c r="AQ3094" i="27"/>
  <c r="AR3094" i="27" s="1"/>
  <c r="AS3094" i="27" s="1"/>
  <c r="AQ3325" i="27"/>
  <c r="AR3325" i="27" s="1"/>
  <c r="AS3325" i="27" s="1"/>
  <c r="AQ3253" i="27"/>
  <c r="AR3253" i="27" s="1"/>
  <c r="AS3253" i="27" s="1"/>
  <c r="AQ3068" i="27"/>
  <c r="AR3068" i="27" s="1"/>
  <c r="AS3068" i="27" s="1"/>
  <c r="AQ1685" i="27"/>
  <c r="AR1685" i="27" s="1"/>
  <c r="AS1685" i="27" s="1"/>
  <c r="AQ1544" i="27"/>
  <c r="AR1544" i="27" s="1"/>
  <c r="AS1544" i="27" s="1"/>
  <c r="AQ25" i="27"/>
  <c r="AR25" i="27" s="1"/>
  <c r="AS25" i="27" s="1"/>
  <c r="AQ1415" i="27"/>
  <c r="AR1415" i="27" s="1"/>
  <c r="AS1415" i="27" s="1"/>
  <c r="AQ3194" i="27"/>
  <c r="AR3194" i="27" s="1"/>
  <c r="AS3194" i="27" s="1"/>
  <c r="AQ70" i="27"/>
  <c r="AR70" i="27" s="1"/>
  <c r="AS70" i="27" s="1"/>
  <c r="AQ3100" i="27"/>
  <c r="AR3100" i="27" s="1"/>
  <c r="AS3100" i="27" s="1"/>
  <c r="AQ3175" i="27"/>
  <c r="AR3175" i="27" s="1"/>
  <c r="AS3175" i="27" s="1"/>
  <c r="AQ1727" i="27"/>
  <c r="AR1727" i="27" s="1"/>
  <c r="AS1727" i="27" s="1"/>
  <c r="AQ3250" i="27"/>
  <c r="AR3250" i="27" s="1"/>
  <c r="AS3250" i="27" s="1"/>
  <c r="AQ211" i="27"/>
  <c r="AR211" i="27" s="1"/>
  <c r="AS211" i="27" s="1"/>
  <c r="AQ145" i="27"/>
  <c r="AR145" i="27" s="1"/>
  <c r="AS145" i="27" s="1"/>
  <c r="AQ1776" i="27"/>
  <c r="AR1776" i="27" s="1"/>
  <c r="AS1776" i="27" s="1"/>
  <c r="AQ1228" i="27"/>
  <c r="AR1228" i="27" s="1"/>
  <c r="AS1228" i="27" s="1"/>
  <c r="AQ1256" i="27"/>
  <c r="AR1256" i="27" s="1"/>
  <c r="AS1256" i="27" s="1"/>
  <c r="AQ3146" i="27"/>
  <c r="AR3146" i="27" s="1"/>
  <c r="AS3146" i="27" s="1"/>
  <c r="AQ3232" i="27"/>
  <c r="AR3232" i="27" s="1"/>
  <c r="AS3232" i="27" s="1"/>
  <c r="AQ27" i="27"/>
  <c r="AR27" i="27" s="1"/>
  <c r="AS27" i="27" s="1"/>
  <c r="AQ3167" i="27"/>
  <c r="AR3167" i="27" s="1"/>
  <c r="AS3167" i="27" s="1"/>
  <c r="AQ130" i="27"/>
  <c r="AR130" i="27" s="1"/>
  <c r="AS130" i="27" s="1"/>
  <c r="AQ3278" i="27"/>
  <c r="AR3278" i="27" s="1"/>
  <c r="AS3278" i="27" s="1"/>
  <c r="AQ1263" i="27"/>
  <c r="AR1263" i="27" s="1"/>
  <c r="AS1263" i="27" s="1"/>
  <c r="AQ1686" i="27"/>
  <c r="AR1686" i="27" s="1"/>
  <c r="AS1686" i="27" s="1"/>
  <c r="AQ3327" i="27"/>
  <c r="AR3327" i="27" s="1"/>
  <c r="AS3327" i="27" s="1"/>
  <c r="AQ299" i="27"/>
  <c r="AR299" i="27" s="1"/>
  <c r="AS299" i="27" s="1"/>
  <c r="AQ1713" i="27"/>
  <c r="AR1713" i="27" s="1"/>
  <c r="AS1713" i="27" s="1"/>
  <c r="AQ1854" i="27"/>
  <c r="AR1854" i="27" s="1"/>
  <c r="AS1854" i="27" s="1"/>
  <c r="AQ1792" i="27"/>
  <c r="AR1792" i="27" s="1"/>
  <c r="AS1792" i="27" s="1"/>
  <c r="AQ79" i="27"/>
  <c r="AR79" i="27" s="1"/>
  <c r="AS79" i="27" s="1"/>
  <c r="AQ1135" i="27"/>
  <c r="AR1135" i="27" s="1"/>
  <c r="AS1135" i="27" s="1"/>
  <c r="AQ3273" i="27"/>
  <c r="AR3273" i="27" s="1"/>
  <c r="AS3273" i="27" s="1"/>
  <c r="AQ204" i="27"/>
  <c r="AR204" i="27" s="1"/>
  <c r="AS204" i="27" s="1"/>
  <c r="AQ1136" i="27"/>
  <c r="AR1136" i="27" s="1"/>
  <c r="AS1136" i="27" s="1"/>
  <c r="AQ1738" i="27"/>
  <c r="AR1738" i="27" s="1"/>
  <c r="AS1738" i="27" s="1"/>
  <c r="AQ3182" i="27"/>
  <c r="AR3182" i="27" s="1"/>
  <c r="AS3182" i="27" s="1"/>
  <c r="AQ1599" i="27"/>
  <c r="AR1599" i="27" s="1"/>
  <c r="AS1599" i="27" s="1"/>
  <c r="AQ2355" i="27"/>
  <c r="AR2355" i="27" s="1"/>
  <c r="AS2355" i="27" s="1"/>
  <c r="AQ1680" i="27"/>
  <c r="AR1680" i="27" s="1"/>
  <c r="AS1680" i="27" s="1"/>
  <c r="AQ1418" i="27"/>
  <c r="AR1418" i="27" s="1"/>
  <c r="AS1418" i="27" s="1"/>
  <c r="AQ201" i="27"/>
  <c r="AR201" i="27" s="1"/>
  <c r="AS201" i="27" s="1"/>
  <c r="AQ43" i="27"/>
  <c r="AR43" i="27" s="1"/>
  <c r="AS43" i="27" s="1"/>
  <c r="AQ82" i="27"/>
  <c r="AR82" i="27" s="1"/>
  <c r="AS82" i="27" s="1"/>
  <c r="AQ1428" i="27"/>
  <c r="AR1428" i="27" s="1"/>
  <c r="AS1428" i="27" s="1"/>
  <c r="AQ1708" i="27"/>
  <c r="AR1708" i="27" s="1"/>
  <c r="AS1708" i="27" s="1"/>
  <c r="AQ133" i="27"/>
  <c r="AR133" i="27" s="1"/>
  <c r="AS133" i="27" s="1"/>
  <c r="AQ1728" i="27"/>
  <c r="AR1728" i="27" s="1"/>
  <c r="AS1728" i="27" s="1"/>
  <c r="AQ1794" i="27"/>
  <c r="AR1794" i="27" s="1"/>
  <c r="AS1794" i="27" s="1"/>
  <c r="AQ1351" i="27"/>
  <c r="AR1351" i="27" s="1"/>
  <c r="AS1351" i="27" s="1"/>
  <c r="AQ180" i="27"/>
  <c r="AR180" i="27" s="1"/>
  <c r="AS180" i="27" s="1"/>
  <c r="AQ2053" i="27"/>
  <c r="AR2053" i="27" s="1"/>
  <c r="AS2053" i="27" s="1"/>
  <c r="AQ3226" i="27"/>
  <c r="AR3226" i="27" s="1"/>
  <c r="AS3226" i="27" s="1"/>
  <c r="AQ3126" i="27"/>
  <c r="AR3126" i="27" s="1"/>
  <c r="AS3126" i="27" s="1"/>
  <c r="AQ1791" i="27"/>
  <c r="AR1791" i="27" s="1"/>
  <c r="AS1791" i="27" s="1"/>
  <c r="AQ1823" i="27"/>
  <c r="AR1823" i="27" s="1"/>
  <c r="AS1823" i="27" s="1"/>
  <c r="AQ2318" i="27"/>
  <c r="AR2318" i="27" s="1"/>
  <c r="AS2318" i="27" s="1"/>
  <c r="AQ129" i="27"/>
  <c r="AR129" i="27" s="1"/>
  <c r="AS129" i="27" s="1"/>
  <c r="AQ3249" i="27"/>
  <c r="AR3249" i="27" s="1"/>
  <c r="AS3249" i="27" s="1"/>
  <c r="AQ1676" i="27"/>
  <c r="AR1676" i="27" s="1"/>
  <c r="AS1676" i="27" s="1"/>
  <c r="AQ2231" i="27"/>
  <c r="AR2231" i="27" s="1"/>
  <c r="AS2231" i="27" s="1"/>
  <c r="AQ37" i="27"/>
  <c r="AR37" i="27" s="1"/>
  <c r="AS37" i="27" s="1"/>
  <c r="AQ1432" i="27"/>
  <c r="AR1432" i="27" s="1"/>
  <c r="AS1432" i="27" s="1"/>
  <c r="AQ1291" i="27"/>
  <c r="AR1291" i="27" s="1"/>
  <c r="AS1291" i="27" s="1"/>
  <c r="AQ116" i="27"/>
  <c r="AR116" i="27" s="1"/>
  <c r="AS116" i="27" s="1"/>
  <c r="AQ3333" i="27"/>
  <c r="AR3333" i="27" s="1"/>
  <c r="AS3333" i="27" s="1"/>
  <c r="AQ1631" i="27"/>
  <c r="AR1631" i="27" s="1"/>
  <c r="AS1631" i="27" s="1"/>
  <c r="AQ1850" i="27"/>
  <c r="AR1850" i="27" s="1"/>
  <c r="AS1850" i="27" s="1"/>
  <c r="AQ2059" i="27"/>
  <c r="AR2059" i="27" s="1"/>
  <c r="AS2059" i="27" s="1"/>
  <c r="AQ1436" i="27"/>
  <c r="AR1436" i="27" s="1"/>
  <c r="AS1436" i="27" s="1"/>
  <c r="AQ1612" i="27"/>
  <c r="AR1612" i="27" s="1"/>
  <c r="AS1612" i="27" s="1"/>
  <c r="AQ2046" i="27"/>
  <c r="AR2046" i="27" s="1"/>
  <c r="AS2046" i="27" s="1"/>
  <c r="AQ1845" i="27"/>
  <c r="AR1845" i="27" s="1"/>
  <c r="AS1845" i="27" s="1"/>
  <c r="AQ1605" i="27"/>
  <c r="AR1605" i="27" s="1"/>
  <c r="AS1605" i="27" s="1"/>
  <c r="AQ2349" i="27"/>
  <c r="AR2349" i="27" s="1"/>
  <c r="AS2349" i="27" s="1"/>
  <c r="AQ191" i="27"/>
  <c r="AR191" i="27" s="1"/>
  <c r="AS191" i="27" s="1"/>
  <c r="AQ3110" i="27"/>
  <c r="AR3110" i="27" s="1"/>
  <c r="AS3110" i="27" s="1"/>
  <c r="AQ3247" i="27"/>
  <c r="AR3247" i="27" s="1"/>
  <c r="AS3247" i="27" s="1"/>
  <c r="AQ61" i="27"/>
  <c r="AR61" i="27" s="1"/>
  <c r="AS61" i="27" s="1"/>
  <c r="AQ1721" i="27"/>
  <c r="AR1721" i="27" s="1"/>
  <c r="AS1721" i="27" s="1"/>
  <c r="AQ209" i="27"/>
  <c r="AR209" i="27" s="1"/>
  <c r="AQ3305" i="27"/>
  <c r="AR3305" i="27" s="1"/>
  <c r="AS3305" i="27" s="1"/>
  <c r="AQ3199" i="27"/>
  <c r="AR3199" i="27" s="1"/>
  <c r="AS3199" i="27" s="1"/>
  <c r="AQ2360" i="27"/>
  <c r="AR2360" i="27" s="1"/>
  <c r="AS2360" i="27" s="1"/>
  <c r="AQ159" i="27"/>
  <c r="AR159" i="27" s="1"/>
  <c r="AS159" i="27" s="1"/>
  <c r="AQ1806" i="27"/>
  <c r="AR1806" i="27" s="1"/>
  <c r="AS1806" i="27" s="1"/>
  <c r="AQ1640" i="27"/>
  <c r="AR1640" i="27" s="1"/>
  <c r="AS1640" i="27" s="1"/>
  <c r="AQ1745" i="27"/>
  <c r="AR1745" i="27" s="1"/>
  <c r="AS1745" i="27" s="1"/>
  <c r="AQ1789" i="27"/>
  <c r="AR1789" i="27" s="1"/>
  <c r="AS1789" i="27" s="1"/>
  <c r="AQ240" i="27"/>
  <c r="AR240" i="27" s="1"/>
  <c r="AS240" i="27" s="1"/>
  <c r="AQ3334" i="27"/>
  <c r="AR3334" i="27" s="1"/>
  <c r="AS3334" i="27" s="1"/>
  <c r="AQ1635" i="27"/>
  <c r="AR1635" i="27" s="1"/>
  <c r="AS1635" i="27" s="1"/>
  <c r="AQ2339" i="27"/>
  <c r="AR2339" i="27" s="1"/>
  <c r="AS2339" i="27" s="1"/>
  <c r="AQ3196" i="27"/>
  <c r="AR3196" i="27" s="1"/>
  <c r="AS3196" i="27" s="1"/>
  <c r="AQ3328" i="27"/>
  <c r="AR3328" i="27" s="1"/>
  <c r="AS3328" i="27" s="1"/>
  <c r="AQ110" i="27"/>
  <c r="AR110" i="27" s="1"/>
  <c r="AS110" i="27" s="1"/>
  <c r="AQ56" i="27"/>
  <c r="AR56" i="27" s="1"/>
  <c r="AS56" i="27" s="1"/>
  <c r="AQ1352" i="27"/>
  <c r="AR1352" i="27" s="1"/>
  <c r="AS1352" i="27" s="1"/>
  <c r="AQ3331" i="27"/>
  <c r="AR3331" i="27" s="1"/>
  <c r="AS3331" i="27" s="1"/>
  <c r="AQ3283" i="27"/>
  <c r="AR3283" i="27" s="1"/>
  <c r="AS3283" i="27" s="1"/>
  <c r="AQ3251" i="27"/>
  <c r="AR3251" i="27" s="1"/>
  <c r="AS3251" i="27" s="1"/>
  <c r="AQ1556" i="27"/>
  <c r="AR1556" i="27" s="1"/>
  <c r="AS1556" i="27" s="1"/>
  <c r="AQ3320" i="27"/>
  <c r="AR3320" i="27" s="1"/>
  <c r="AS3320" i="27" s="1"/>
  <c r="AQ1696" i="27"/>
  <c r="AR1696" i="27" s="1"/>
  <c r="AS1696" i="27" s="1"/>
  <c r="AQ2371" i="27"/>
  <c r="AR2371" i="27" s="1"/>
  <c r="AS2371" i="27" s="1"/>
  <c r="AQ3096" i="27"/>
  <c r="AR3096" i="27" s="1"/>
  <c r="AS3096" i="27" s="1"/>
  <c r="AQ3281" i="27"/>
  <c r="AR3281" i="27" s="1"/>
  <c r="AS3281" i="27" s="1"/>
  <c r="AQ1758" i="27"/>
  <c r="AR1758" i="27" s="1"/>
  <c r="AS1758" i="27" s="1"/>
  <c r="AQ1674" i="27"/>
  <c r="AR1674" i="27" s="1"/>
  <c r="AS1674" i="27" s="1"/>
  <c r="AQ194" i="27"/>
  <c r="AR194" i="27" s="1"/>
  <c r="AS194" i="27" s="1"/>
  <c r="AQ2352" i="27"/>
  <c r="AR2352" i="27" s="1"/>
  <c r="AS2352" i="27" s="1"/>
  <c r="AQ2067" i="27"/>
  <c r="AR2067" i="27" s="1"/>
  <c r="AS2067" i="27" s="1"/>
  <c r="AQ1479" i="27"/>
  <c r="AR1479" i="27" s="1"/>
  <c r="AS1479" i="27" s="1"/>
  <c r="AQ3193" i="27"/>
  <c r="AR3193" i="27" s="1"/>
  <c r="AS3193" i="27" s="1"/>
  <c r="AQ1553" i="27"/>
  <c r="AR1553" i="27" s="1"/>
  <c r="AS1553" i="27" s="1"/>
  <c r="AQ2970" i="27"/>
  <c r="AR2970" i="27" s="1"/>
  <c r="AS2970" i="27" s="1"/>
  <c r="AQ3315" i="27"/>
  <c r="AR3315" i="27" s="1"/>
  <c r="AS3315" i="27" s="1"/>
  <c r="AQ1289" i="27"/>
  <c r="AR1289" i="27" s="1"/>
  <c r="AS1289" i="27" s="1"/>
  <c r="AQ1861" i="27"/>
  <c r="AR1861" i="27" s="1"/>
  <c r="AS1861" i="27" s="1"/>
  <c r="AQ2366" i="27"/>
  <c r="AR2366" i="27" s="1"/>
  <c r="AS2366" i="27" s="1"/>
  <c r="AQ63" i="27"/>
  <c r="AR63" i="27" s="1"/>
  <c r="AS63" i="27" s="1"/>
  <c r="AQ223" i="27"/>
  <c r="AR223" i="27" s="1"/>
  <c r="AS223" i="27" s="1"/>
  <c r="AQ3105" i="27"/>
  <c r="AR3105" i="27" s="1"/>
  <c r="AS3105" i="27" s="1"/>
  <c r="AQ59" i="27"/>
  <c r="AR59" i="27" s="1"/>
  <c r="AS59" i="27" s="1"/>
  <c r="AQ1936" i="27"/>
  <c r="AR1936" i="27" s="1"/>
  <c r="AS1936" i="27" s="1"/>
  <c r="AQ3317" i="27"/>
  <c r="AR3317" i="27" s="1"/>
  <c r="AS3317" i="27" s="1"/>
  <c r="AQ76" i="27"/>
  <c r="AR76" i="27" s="1"/>
  <c r="AS76" i="27" s="1"/>
  <c r="AQ3131" i="27"/>
  <c r="AR3131" i="27" s="1"/>
  <c r="AS3131" i="27" s="1"/>
  <c r="AQ2332" i="27"/>
  <c r="AR2332" i="27" s="1"/>
  <c r="AS2332" i="27" s="1"/>
  <c r="AQ295" i="27"/>
  <c r="AR295" i="27" s="1"/>
  <c r="AS295" i="27" s="1"/>
  <c r="AQ2060" i="27"/>
  <c r="AR2060" i="27" s="1"/>
  <c r="AS2060" i="27" s="1"/>
  <c r="AQ3087" i="27"/>
  <c r="AR3087" i="27" s="1"/>
  <c r="AS3087" i="27" s="1"/>
  <c r="AQ1655" i="27"/>
  <c r="AR1655" i="27" s="1"/>
  <c r="AS1655" i="27" s="1"/>
  <c r="AQ3026" i="27"/>
  <c r="AR3026" i="27" s="1"/>
  <c r="AS3026" i="27" s="1"/>
  <c r="AQ1788" i="27"/>
  <c r="AR1788" i="27" s="1"/>
  <c r="AS1788" i="27" s="1"/>
  <c r="AQ3248" i="27"/>
  <c r="AR3248" i="27" s="1"/>
  <c r="AS3248" i="27" s="1"/>
  <c r="AQ3103" i="27"/>
  <c r="AR3103" i="27" s="1"/>
  <c r="AS3103" i="27" s="1"/>
  <c r="AQ3086" i="27"/>
  <c r="AR3086" i="27" s="1"/>
  <c r="AS3086" i="27" s="1"/>
  <c r="AQ1697" i="27"/>
  <c r="AR1697" i="27" s="1"/>
  <c r="AS1697" i="27" s="1"/>
  <c r="AQ2384" i="27"/>
  <c r="AR2384" i="27" s="1"/>
  <c r="AS2384" i="27" s="1"/>
  <c r="AQ1849" i="27"/>
  <c r="AR1849" i="27" s="1"/>
  <c r="AS1849" i="27" s="1"/>
  <c r="AQ136" i="27"/>
  <c r="AR136" i="27" s="1"/>
  <c r="AS136" i="27" s="1"/>
  <c r="AQ3142" i="27"/>
  <c r="AR3142" i="27" s="1"/>
  <c r="AS3142" i="27" s="1"/>
  <c r="AQ3107" i="27"/>
  <c r="AR3107" i="27" s="1"/>
  <c r="AS3107" i="27" s="1"/>
  <c r="AQ297" i="27"/>
  <c r="AR297" i="27" s="1"/>
  <c r="AS297" i="27" s="1"/>
  <c r="AQ3089" i="27"/>
  <c r="AR3089" i="27" s="1"/>
  <c r="AS3089" i="27" s="1"/>
  <c r="AQ1349" i="27"/>
  <c r="AR1349" i="27" s="1"/>
  <c r="AS1349" i="27" s="1"/>
  <c r="AQ3093" i="27"/>
  <c r="AR3093" i="27" s="1"/>
  <c r="AS3093" i="27" s="1"/>
  <c r="AQ3092" i="27"/>
  <c r="AR3092" i="27" s="1"/>
  <c r="AS3092" i="27" s="1"/>
  <c r="AQ1860" i="27"/>
  <c r="AR1860" i="27" s="1"/>
  <c r="AS1860" i="27" s="1"/>
  <c r="AQ1835" i="27"/>
  <c r="AR1835" i="27" s="1"/>
  <c r="AS1835" i="27" s="1"/>
  <c r="AQ30" i="27"/>
  <c r="AR30" i="27" s="1"/>
  <c r="AS30" i="27" s="1"/>
  <c r="AQ143" i="27"/>
  <c r="AR143" i="27" s="1"/>
  <c r="AS143" i="27" s="1"/>
  <c r="AQ3262" i="27"/>
  <c r="AR3262" i="27" s="1"/>
  <c r="AS3262" i="27" s="1"/>
  <c r="AQ26" i="27"/>
  <c r="AR26" i="27" s="1"/>
  <c r="AS26" i="27" s="1"/>
  <c r="AQ213" i="27"/>
  <c r="AR213" i="27" s="1"/>
  <c r="AS213" i="27" s="1"/>
  <c r="AQ3263" i="27"/>
  <c r="AR3263" i="27" s="1"/>
  <c r="AS3263" i="27" s="1"/>
  <c r="AQ132" i="27"/>
  <c r="AR132" i="27" s="1"/>
  <c r="AS132" i="27" s="1"/>
  <c r="AQ1433" i="27"/>
  <c r="AR1433" i="27" s="1"/>
  <c r="AS1433" i="27" s="1"/>
  <c r="AQ3322" i="27"/>
  <c r="AR3322" i="27" s="1"/>
  <c r="AS3322" i="27" s="1"/>
  <c r="AQ3321" i="27"/>
  <c r="AR3321" i="27" s="1"/>
  <c r="AS3321" i="27" s="1"/>
  <c r="AQ172" i="27"/>
  <c r="AR172" i="27" s="1"/>
  <c r="AS172" i="27" s="1"/>
  <c r="AQ3311" i="27"/>
  <c r="AR3311" i="27" s="1"/>
  <c r="AS3311" i="27" s="1"/>
  <c r="AQ208" i="27"/>
  <c r="AR208" i="27" s="1"/>
  <c r="AS208" i="27" s="1"/>
  <c r="AQ3255" i="27"/>
  <c r="AR3255" i="27" s="1"/>
  <c r="AS3255" i="27" s="1"/>
  <c r="AQ3179" i="27"/>
  <c r="AR3179" i="27" s="1"/>
  <c r="AS3179" i="27" s="1"/>
  <c r="AQ3309" i="27"/>
  <c r="AR3309" i="27" s="1"/>
  <c r="AS3309" i="27" s="1"/>
  <c r="AQ1756" i="27"/>
  <c r="AR1756" i="27" s="1"/>
  <c r="AS1756" i="27" s="1"/>
  <c r="AQ2347" i="27"/>
  <c r="AR2347" i="27" s="1"/>
  <c r="AS2347" i="27" s="1"/>
  <c r="AQ3157" i="27"/>
  <c r="AR3157" i="27" s="1"/>
  <c r="AS3157" i="27" s="1"/>
  <c r="AQ1434" i="27"/>
  <c r="AR1434" i="27" s="1"/>
  <c r="AS1434" i="27" s="1"/>
  <c r="AQ1567" i="27"/>
  <c r="AR1567" i="27" s="1"/>
  <c r="AS1567" i="27" s="1"/>
  <c r="AQ1812" i="27"/>
  <c r="AR1812" i="27" s="1"/>
  <c r="AS1812" i="27" s="1"/>
  <c r="AQ3168" i="27"/>
  <c r="AR3168" i="27" s="1"/>
  <c r="AS3168" i="27" s="1"/>
  <c r="AQ1755" i="27"/>
  <c r="AR1755" i="27" s="1"/>
  <c r="AS1755" i="27" s="1"/>
  <c r="AQ62" i="27"/>
  <c r="AR62" i="27" s="1"/>
  <c r="AS62" i="27" s="1"/>
  <c r="AQ1724" i="27"/>
  <c r="AR1724" i="27" s="1"/>
  <c r="AS1724" i="27" s="1"/>
  <c r="AQ175" i="27"/>
  <c r="AR175" i="27" s="1"/>
  <c r="AS175" i="27" s="1"/>
  <c r="AQ41" i="27"/>
  <c r="AR41" i="27" s="1"/>
  <c r="AS41" i="27" s="1"/>
  <c r="AQ1761" i="27"/>
  <c r="AR1761" i="27" s="1"/>
  <c r="AS1761" i="27" s="1"/>
  <c r="AQ193" i="27"/>
  <c r="AR193" i="27" s="1"/>
  <c r="AS193" i="27" s="1"/>
  <c r="AQ3161" i="27"/>
  <c r="AR3161" i="27" s="1"/>
  <c r="AS3161" i="27" s="1"/>
  <c r="AQ3144" i="27"/>
  <c r="AR3144" i="27" s="1"/>
  <c r="AS3144" i="27" s="1"/>
  <c r="AQ1839" i="27"/>
  <c r="AR1839" i="27" s="1"/>
  <c r="AS1839" i="27" s="1"/>
  <c r="AQ1856" i="27"/>
  <c r="AR1856" i="27" s="1"/>
  <c r="AS1856" i="27" s="1"/>
  <c r="AQ3097" i="27"/>
  <c r="AR3097" i="27" s="1"/>
  <c r="AS3097" i="27" s="1"/>
  <c r="AQ1583" i="27"/>
  <c r="AR1583" i="27" s="1"/>
  <c r="AS1583" i="27" s="1"/>
  <c r="AQ1749" i="27"/>
  <c r="AR1749" i="27" s="1"/>
  <c r="AS1749" i="27" s="1"/>
  <c r="AQ520" i="27"/>
  <c r="AR520" i="27" s="1"/>
  <c r="AS520" i="27" s="1"/>
  <c r="AQ1837" i="27"/>
  <c r="AR1837" i="27" s="1"/>
  <c r="AS1837" i="27" s="1"/>
  <c r="AQ220" i="27"/>
  <c r="AR220" i="27" s="1"/>
  <c r="AS220" i="27" s="1"/>
  <c r="AQ1688" i="27"/>
  <c r="AR1688" i="27" s="1"/>
  <c r="AS1688" i="27" s="1"/>
  <c r="AQ32" i="27"/>
  <c r="AR32" i="27" s="1"/>
  <c r="AS32" i="27" s="1"/>
  <c r="AQ170" i="27"/>
  <c r="AR170" i="27" s="1"/>
  <c r="AS170" i="27" s="1"/>
  <c r="AQ1770" i="27"/>
  <c r="AR1770" i="27" s="1"/>
  <c r="AS1770" i="27" s="1"/>
  <c r="AQ1702" i="27"/>
  <c r="AR1702" i="27" s="1"/>
  <c r="AS1702" i="27" s="1"/>
  <c r="AQ1778" i="27"/>
  <c r="AR1778" i="27" s="1"/>
  <c r="AS1778" i="27" s="1"/>
  <c r="AQ146" i="27"/>
  <c r="AR146" i="27" s="1"/>
  <c r="AS146" i="27" s="1"/>
  <c r="AQ42" i="27"/>
  <c r="AR42" i="27" s="1"/>
  <c r="AS42" i="27" s="1"/>
  <c r="AQ2331" i="27"/>
  <c r="AR2331" i="27" s="1"/>
  <c r="AS2331" i="27" s="1"/>
  <c r="AQ150" i="27"/>
  <c r="AR150" i="27" s="1"/>
  <c r="AS150" i="27" s="1"/>
  <c r="AQ1855" i="27"/>
  <c r="AR1855" i="27" s="1"/>
  <c r="AS1855" i="27" s="1"/>
  <c r="AQ1431" i="27"/>
  <c r="AR1431" i="27" s="1"/>
  <c r="AS1431" i="27" s="1"/>
  <c r="AQ3059" i="27"/>
  <c r="AR3059" i="27" s="1"/>
  <c r="AS3059" i="27" s="1"/>
  <c r="AQ2051" i="27"/>
  <c r="AR2051" i="27" s="1"/>
  <c r="AS2051" i="27" s="1"/>
  <c r="AQ1687" i="27"/>
  <c r="AR1687" i="27" s="1"/>
  <c r="AS1687" i="27" s="1"/>
  <c r="AQ1690" i="27"/>
  <c r="AR1690" i="27" s="1"/>
  <c r="AS1690" i="27" s="1"/>
  <c r="AQ3230" i="27"/>
  <c r="AR3230" i="27" s="1"/>
  <c r="AS3230" i="27" s="1"/>
  <c r="AQ3280" i="27"/>
  <c r="AR3280" i="27" s="1"/>
  <c r="AS3280" i="27" s="1"/>
  <c r="AQ1786" i="27"/>
  <c r="AR1786" i="27" s="1"/>
  <c r="AS1786" i="27" s="1"/>
  <c r="AQ1539" i="27"/>
  <c r="AR1539" i="27" s="1"/>
  <c r="AS1539" i="27" s="1"/>
  <c r="AQ1238" i="27"/>
  <c r="AR1238" i="27" s="1"/>
  <c r="AS1238" i="27" s="1"/>
  <c r="AQ2083" i="27"/>
  <c r="AR2083" i="27" s="1"/>
  <c r="AS2083" i="27" s="1"/>
  <c r="AQ1578" i="27"/>
  <c r="AR1578" i="27" s="1"/>
  <c r="AS1578" i="27" s="1"/>
  <c r="AQ1080" i="27"/>
  <c r="AR1080" i="27" s="1"/>
  <c r="AS1080" i="27" s="1"/>
  <c r="AQ1736" i="27"/>
  <c r="AR1736" i="27" s="1"/>
  <c r="AS1736" i="27" s="1"/>
  <c r="AQ195" i="27"/>
  <c r="AR195" i="27" s="1"/>
  <c r="AS195" i="27" s="1"/>
  <c r="AQ2755" i="27"/>
  <c r="AR2755" i="27" s="1"/>
  <c r="AS2755" i="27" s="1"/>
  <c r="AQ3141" i="27"/>
  <c r="AR3141" i="27" s="1"/>
  <c r="AS3141" i="27" s="1"/>
  <c r="AQ1616" i="27"/>
  <c r="AR1616" i="27" s="1"/>
  <c r="AS1616" i="27" s="1"/>
  <c r="AQ3130" i="27"/>
  <c r="AR3130" i="27" s="1"/>
  <c r="AS3130" i="27" s="1"/>
  <c r="AQ1220" i="27"/>
  <c r="AR1220" i="27" s="1"/>
  <c r="AS1220" i="27" s="1"/>
  <c r="AQ2996" i="27"/>
  <c r="AR2996" i="27" s="1"/>
  <c r="AS2996" i="27" s="1"/>
  <c r="AQ3169" i="27"/>
  <c r="AR3169" i="27" s="1"/>
  <c r="AS3169" i="27" s="1"/>
  <c r="AQ2447" i="27"/>
  <c r="AR2447" i="27" s="1"/>
  <c r="AS2447" i="27" s="1"/>
  <c r="AQ166" i="27"/>
  <c r="AR166" i="27" s="1"/>
  <c r="AS166" i="27" s="1"/>
  <c r="AQ408" i="27"/>
  <c r="AR408" i="27" s="1"/>
  <c r="AS408" i="27" s="1"/>
  <c r="AQ1196" i="27"/>
  <c r="AR1196" i="27" s="1"/>
  <c r="AS1196" i="27" s="1"/>
  <c r="AQ2333" i="27"/>
  <c r="AR2333" i="27" s="1"/>
  <c r="AS2333" i="27" s="1"/>
  <c r="AQ1008" i="27"/>
  <c r="AR1008" i="27" s="1"/>
  <c r="AS1008" i="27" s="1"/>
  <c r="AQ1673" i="27"/>
  <c r="AR1673" i="27" s="1"/>
  <c r="AS1673" i="27" s="1"/>
  <c r="AQ2699" i="27"/>
  <c r="AR2699" i="27" s="1"/>
  <c r="AS2699" i="27" s="1"/>
  <c r="AQ2907" i="27"/>
  <c r="AR2907" i="27" s="1"/>
  <c r="AS2907" i="27" s="1"/>
  <c r="AQ3319" i="27"/>
  <c r="AR3319" i="27" s="1"/>
  <c r="AS3319" i="27" s="1"/>
  <c r="AQ2973" i="27"/>
  <c r="AR2973" i="27" s="1"/>
  <c r="AS2973" i="27" s="1"/>
  <c r="AQ1131" i="27"/>
  <c r="AR1131" i="27" s="1"/>
  <c r="AS1131" i="27" s="1"/>
  <c r="AQ1596" i="27"/>
  <c r="AR1596" i="27" s="1"/>
  <c r="AS1596" i="27" s="1"/>
  <c r="AQ109" i="27"/>
  <c r="AR109" i="27" s="1"/>
  <c r="AS109" i="27" s="1"/>
  <c r="AQ1672" i="27"/>
  <c r="AR1672" i="27" s="1"/>
  <c r="AS1672" i="27" s="1"/>
  <c r="AQ2062" i="27"/>
  <c r="AR2062" i="27" s="1"/>
  <c r="AS2062" i="27" s="1"/>
  <c r="AQ114" i="27"/>
  <c r="AR114" i="27" s="1"/>
  <c r="AS114" i="27" s="1"/>
  <c r="AQ3163" i="27"/>
  <c r="AR3163" i="27" s="1"/>
  <c r="AS3163" i="27" s="1"/>
  <c r="AQ3238" i="27"/>
  <c r="AR3238" i="27" s="1"/>
  <c r="AS3238" i="27" s="1"/>
  <c r="AQ177" i="27"/>
  <c r="AR177" i="27" s="1"/>
  <c r="AS177" i="27" s="1"/>
  <c r="AQ1744" i="27"/>
  <c r="AR1744" i="27" s="1"/>
  <c r="AS1744" i="27" s="1"/>
  <c r="AQ3241" i="27"/>
  <c r="AR3241" i="27" s="1"/>
  <c r="AS3241" i="27" s="1"/>
  <c r="AQ3177" i="27"/>
  <c r="AR3177" i="27" s="1"/>
  <c r="AS3177" i="27" s="1"/>
  <c r="AQ1522" i="27"/>
  <c r="AR1522" i="27" s="1"/>
  <c r="AS1522" i="27" s="1"/>
  <c r="AQ1557" i="27"/>
  <c r="AR1557" i="27" s="1"/>
  <c r="AS1557" i="27" s="1"/>
  <c r="AQ1716" i="27"/>
  <c r="AR1716" i="27" s="1"/>
  <c r="AS1716" i="27" s="1"/>
  <c r="AQ2667" i="27"/>
  <c r="AR2667" i="27" s="1"/>
  <c r="AS2667" i="27" s="1"/>
  <c r="AQ620" i="27"/>
  <c r="AR620" i="27" s="1"/>
  <c r="AS620" i="27" s="1"/>
  <c r="AQ474" i="27"/>
  <c r="AR474" i="27" s="1"/>
  <c r="AS474" i="27" s="1"/>
  <c r="AQ1753" i="27"/>
  <c r="AR1753" i="27" s="1"/>
  <c r="AS1753" i="27" s="1"/>
  <c r="AQ942" i="27"/>
  <c r="AR942" i="27" s="1"/>
  <c r="AS942" i="27" s="1"/>
  <c r="AQ1580" i="27"/>
  <c r="AR1580" i="27" s="1"/>
  <c r="AS1580" i="27" s="1"/>
  <c r="AQ1269" i="27"/>
  <c r="AR1269" i="27" s="1"/>
  <c r="AS1269" i="27" s="1"/>
  <c r="AQ3102" i="27"/>
  <c r="AR3102" i="27" s="1"/>
  <c r="AS3102" i="27" s="1"/>
  <c r="AQ1864" i="27"/>
  <c r="AR1864" i="27" s="1"/>
  <c r="AS1864" i="27" s="1"/>
  <c r="AQ1692" i="27"/>
  <c r="AR1692" i="27" s="1"/>
  <c r="AS1692" i="27" s="1"/>
  <c r="AQ1750" i="27"/>
  <c r="AR1750" i="27" s="1"/>
  <c r="AS1750" i="27" s="1"/>
  <c r="AQ210" i="27"/>
  <c r="AR210" i="27" s="1"/>
  <c r="AS210" i="27" s="1"/>
  <c r="AQ164" i="27"/>
  <c r="AR164" i="27" s="1"/>
  <c r="AS164" i="27" s="1"/>
  <c r="AQ548" i="27"/>
  <c r="AR548" i="27" s="1"/>
  <c r="AS548" i="27" s="1"/>
  <c r="AQ304" i="27"/>
  <c r="AR304" i="27" s="1"/>
  <c r="AS304" i="27" s="1"/>
  <c r="AQ2467" i="27"/>
  <c r="AR2467" i="27" s="1"/>
  <c r="AS2467" i="27" s="1"/>
  <c r="AQ1872" i="27"/>
  <c r="AR1872" i="27" s="1"/>
  <c r="AS1872" i="27" s="1"/>
  <c r="AQ3234" i="27"/>
  <c r="AR3234" i="27" s="1"/>
  <c r="AS3234" i="27" s="1"/>
  <c r="AQ2368" i="27"/>
  <c r="AR2368" i="27" s="1"/>
  <c r="AS2368" i="27" s="1"/>
  <c r="AQ3174" i="27"/>
  <c r="AR3174" i="27" s="1"/>
  <c r="AS3174" i="27" s="1"/>
  <c r="AQ57" i="27"/>
  <c r="AR57" i="27" s="1"/>
  <c r="AS57" i="27" s="1"/>
  <c r="AQ1829" i="27"/>
  <c r="AR1829" i="27" s="1"/>
  <c r="AS1829" i="27" s="1"/>
  <c r="AQ1630" i="27"/>
  <c r="AR1630" i="27" s="1"/>
  <c r="AS1630" i="27" s="1"/>
  <c r="AQ3090" i="27"/>
  <c r="AR3090" i="27" s="1"/>
  <c r="AS3090" i="27" s="1"/>
  <c r="AQ1650" i="27"/>
  <c r="AR1650" i="27" s="1"/>
  <c r="AS1650" i="27" s="1"/>
  <c r="AQ135" i="27"/>
  <c r="AR135" i="27" s="1"/>
  <c r="AS135" i="27" s="1"/>
  <c r="AQ1430" i="27"/>
  <c r="AR1430" i="27" s="1"/>
  <c r="AS1430" i="27" s="1"/>
  <c r="AQ165" i="27"/>
  <c r="AR165" i="27" s="1"/>
  <c r="AS165" i="27" s="1"/>
  <c r="AQ1564" i="27"/>
  <c r="AR1564" i="27" s="1"/>
  <c r="AS1564" i="27" s="1"/>
  <c r="AQ976" i="27"/>
  <c r="AR976" i="27" s="1"/>
  <c r="AS976" i="27" s="1"/>
  <c r="AQ2761" i="27"/>
  <c r="AR2761" i="27" s="1"/>
  <c r="AS2761" i="27" s="1"/>
  <c r="AQ1644" i="27"/>
  <c r="AR1644" i="27" s="1"/>
  <c r="AS1644" i="27" s="1"/>
  <c r="AQ1489" i="27"/>
  <c r="AR1489" i="27" s="1"/>
  <c r="AS1489" i="27" s="1"/>
  <c r="AQ2369" i="27"/>
  <c r="AR2369" i="27" s="1"/>
  <c r="AS2369" i="27" s="1"/>
  <c r="AQ139" i="27"/>
  <c r="AR139" i="27" s="1"/>
  <c r="AS139" i="27" s="1"/>
  <c r="AQ1537" i="27"/>
  <c r="AR1537" i="27" s="1"/>
  <c r="AS1537" i="27" s="1"/>
  <c r="AQ1117" i="27"/>
  <c r="AR1117" i="27" s="1"/>
  <c r="AS1117" i="27" s="1"/>
  <c r="AQ1743" i="27"/>
  <c r="AR1743" i="27" s="1"/>
  <c r="AS1743" i="27" s="1"/>
  <c r="AQ3149" i="27"/>
  <c r="AR3149" i="27" s="1"/>
  <c r="AS3149" i="27" s="1"/>
  <c r="AQ762" i="27"/>
  <c r="AR762" i="27" s="1"/>
  <c r="AS762" i="27" s="1"/>
  <c r="AQ3014" i="27"/>
  <c r="AR3014" i="27" s="1"/>
  <c r="AS3014" i="27" s="1"/>
  <c r="AQ2375" i="27"/>
  <c r="AR2375" i="27" s="1"/>
  <c r="AS2375" i="27" s="1"/>
  <c r="AQ78" i="27"/>
  <c r="AR78" i="27" s="1"/>
  <c r="AS78" i="27" s="1"/>
  <c r="AQ1678" i="27"/>
  <c r="AR1678" i="27" s="1"/>
  <c r="AS1678" i="27" s="1"/>
  <c r="AQ2553" i="27"/>
  <c r="AR2553" i="27" s="1"/>
  <c r="AS2553" i="27" s="1"/>
  <c r="AQ2038" i="27"/>
  <c r="AR2038" i="27" s="1"/>
  <c r="AS2038" i="27" s="1"/>
  <c r="AQ1326" i="27"/>
  <c r="AR1326" i="27" s="1"/>
  <c r="AS1326" i="27" s="1"/>
  <c r="AQ612" i="27"/>
  <c r="AR612" i="27" s="1"/>
  <c r="AS612" i="27" s="1"/>
  <c r="AQ1848" i="27"/>
  <c r="AR1848" i="27" s="1"/>
  <c r="AS1848" i="27" s="1"/>
  <c r="AQ1623" i="27"/>
  <c r="AR1623" i="27" s="1"/>
  <c r="AS1623" i="27" s="1"/>
  <c r="AQ1152" i="27"/>
  <c r="AR1152" i="27" s="1"/>
  <c r="AS1152" i="27" s="1"/>
  <c r="AQ2980" i="27"/>
  <c r="AR2980" i="27" s="1"/>
  <c r="AS2980" i="27" s="1"/>
  <c r="AQ1120" i="27"/>
  <c r="AR1120" i="27" s="1"/>
  <c r="AS1120" i="27" s="1"/>
  <c r="AQ1654" i="27"/>
  <c r="AR1654" i="27" s="1"/>
  <c r="AS1654" i="27" s="1"/>
  <c r="AQ1746" i="27"/>
  <c r="AR1746" i="27" s="1"/>
  <c r="AS1746" i="27" s="1"/>
  <c r="AQ1435" i="27"/>
  <c r="AR1435" i="27" s="1"/>
  <c r="AS1435" i="27" s="1"/>
  <c r="AQ1610" i="27"/>
  <c r="AR1610" i="27" s="1"/>
  <c r="AS1610" i="27" s="1"/>
  <c r="AQ767" i="27"/>
  <c r="AR767" i="27" s="1"/>
  <c r="AS767" i="27" s="1"/>
  <c r="AQ22" i="27"/>
  <c r="AR22" i="27" s="1"/>
  <c r="AS22" i="27" s="1"/>
  <c r="AQ576" i="27"/>
  <c r="AR576" i="27" s="1"/>
  <c r="AS576" i="27" s="1"/>
  <c r="AQ1181" i="27"/>
  <c r="AR1181" i="27" s="1"/>
  <c r="AS1181" i="27" s="1"/>
  <c r="AQ73" i="27"/>
  <c r="AR73" i="27" s="1"/>
  <c r="AS73" i="27" s="1"/>
  <c r="AQ141" i="27"/>
  <c r="AR141" i="27" s="1"/>
  <c r="AS141" i="27" s="1"/>
  <c r="AQ3239" i="27"/>
  <c r="AR3239" i="27" s="1"/>
  <c r="AS3239" i="27" s="1"/>
  <c r="AQ1150" i="27"/>
  <c r="AR1150" i="27" s="1"/>
  <c r="AS1150" i="27" s="1"/>
  <c r="AQ1980" i="27"/>
  <c r="AR1980" i="27" s="1"/>
  <c r="AS1980" i="27" s="1"/>
  <c r="AQ434" i="27"/>
  <c r="AR434" i="27" s="1"/>
  <c r="AS434" i="27" s="1"/>
  <c r="AQ2063" i="27"/>
  <c r="AR2063" i="27" s="1"/>
  <c r="AS2063" i="27" s="1"/>
  <c r="AQ2228" i="27"/>
  <c r="AR2228" i="27" s="1"/>
  <c r="AS2228" i="27" s="1"/>
  <c r="AQ3276" i="27"/>
  <c r="AR3276" i="27" s="1"/>
  <c r="AS3276" i="27" s="1"/>
  <c r="AQ354" i="27"/>
  <c r="AR354" i="27" s="1"/>
  <c r="AS354" i="27" s="1"/>
  <c r="AQ168" i="27"/>
  <c r="AR168" i="27" s="1"/>
  <c r="AS168" i="27" s="1"/>
  <c r="AQ2025" i="27"/>
  <c r="AR2025" i="27" s="1"/>
  <c r="AS2025" i="27" s="1"/>
  <c r="AQ1332" i="27"/>
  <c r="AR1332" i="27" s="1"/>
  <c r="AS1332" i="27" s="1"/>
  <c r="AQ2835" i="27"/>
  <c r="AR2835" i="27" s="1"/>
  <c r="AS2835" i="27" s="1"/>
  <c r="AQ1729" i="27"/>
  <c r="AR1729" i="27" s="1"/>
  <c r="AS1729" i="27" s="1"/>
  <c r="AQ1704" i="27"/>
  <c r="AR1704" i="27" s="1"/>
  <c r="AS1704" i="27" s="1"/>
  <c r="AQ1210" i="27"/>
  <c r="AR1210" i="27" s="1"/>
  <c r="AS1210" i="27" s="1"/>
  <c r="AQ1621" i="27"/>
  <c r="AR1621" i="27" s="1"/>
  <c r="AS1621" i="27" s="1"/>
  <c r="AQ174" i="27"/>
  <c r="AR174" i="27" s="1"/>
  <c r="AS174" i="27" s="1"/>
  <c r="AQ178" i="27"/>
  <c r="AR178" i="27" s="1"/>
  <c r="AS178" i="27" s="1"/>
  <c r="AQ54" i="27"/>
  <c r="AR54" i="27" s="1"/>
  <c r="AS54" i="27" s="1"/>
  <c r="AQ1818" i="27"/>
  <c r="AR1818" i="27" s="1"/>
  <c r="AS1818" i="27" s="1"/>
  <c r="AQ148" i="27"/>
  <c r="AR148" i="27" s="1"/>
  <c r="AS148" i="27" s="1"/>
  <c r="AQ2283" i="27"/>
  <c r="AR2283" i="27" s="1"/>
  <c r="AS2283" i="27" s="1"/>
  <c r="AQ558" i="27"/>
  <c r="AR558" i="27" s="1"/>
  <c r="AS558" i="27" s="1"/>
  <c r="AQ426" i="27"/>
  <c r="AR426" i="27" s="1"/>
  <c r="AS426" i="27" s="1"/>
  <c r="AQ321" i="27"/>
  <c r="AR321" i="27" s="1"/>
  <c r="AS321" i="27" s="1"/>
  <c r="AQ3156" i="27"/>
  <c r="AR3156" i="27" s="1"/>
  <c r="AS3156" i="27" s="1"/>
  <c r="AQ3150" i="27"/>
  <c r="AR3150" i="27" s="1"/>
  <c r="AS3150" i="27" s="1"/>
  <c r="AQ2981" i="27"/>
  <c r="AR2981" i="27" s="1"/>
  <c r="AS2981" i="27" s="1"/>
  <c r="AQ2235" i="27"/>
  <c r="AR2235" i="27" s="1"/>
  <c r="AS2235" i="27" s="1"/>
  <c r="AQ2894" i="27"/>
  <c r="AR2894" i="27" s="1"/>
  <c r="AS2894" i="27" s="1"/>
  <c r="AQ2689" i="27"/>
  <c r="AR2689" i="27" s="1"/>
  <c r="AS2689" i="27" s="1"/>
  <c r="AQ1259" i="27"/>
  <c r="AR1259" i="27" s="1"/>
  <c r="AS1259" i="27" s="1"/>
  <c r="AQ1836" i="27"/>
  <c r="AR1836" i="27" s="1"/>
  <c r="AS1836" i="27" s="1"/>
  <c r="AQ2961" i="27"/>
  <c r="AR2961" i="27" s="1"/>
  <c r="AS2961" i="27" s="1"/>
  <c r="AQ2101" i="27"/>
  <c r="AR2101" i="27" s="1"/>
  <c r="AS2101" i="27" s="1"/>
  <c r="AQ1637" i="27"/>
  <c r="AR1637" i="27" s="1"/>
  <c r="AS1637" i="27" s="1"/>
  <c r="AQ1651" i="27"/>
  <c r="AR1651" i="27" s="1"/>
  <c r="AS1651" i="27" s="1"/>
  <c r="AQ1817" i="27"/>
  <c r="AR1817" i="27" s="1"/>
  <c r="AS1817" i="27" s="1"/>
  <c r="AQ3124" i="27"/>
  <c r="AR3124" i="27" s="1"/>
  <c r="AS3124" i="27" s="1"/>
  <c r="AQ1457" i="27"/>
  <c r="AR1457" i="27" s="1"/>
  <c r="AS1457" i="27" s="1"/>
  <c r="AQ1253" i="27"/>
  <c r="AR1253" i="27" s="1"/>
  <c r="AS1253" i="27" s="1"/>
  <c r="AQ3252" i="27"/>
  <c r="AR3252" i="27" s="1"/>
  <c r="AS3252" i="27" s="1"/>
  <c r="AQ3075" i="27"/>
  <c r="AR3075" i="27" s="1"/>
  <c r="AS3075" i="27" s="1"/>
  <c r="AQ2362" i="27"/>
  <c r="AR2362" i="27" s="1"/>
  <c r="AS2362" i="27" s="1"/>
  <c r="AQ3151" i="27"/>
  <c r="AR3151" i="27" s="1"/>
  <c r="AS3151" i="27" s="1"/>
  <c r="AQ1661" i="27"/>
  <c r="AR1661" i="27" s="1"/>
  <c r="AS1661" i="27" s="1"/>
  <c r="AQ3275" i="27"/>
  <c r="AR3275" i="27" s="1"/>
  <c r="AS3275" i="27" s="1"/>
  <c r="AQ3291" i="27"/>
  <c r="AR3291" i="27" s="1"/>
  <c r="AS3291" i="27" s="1"/>
  <c r="AQ2070" i="27"/>
  <c r="AR2070" i="27" s="1"/>
  <c r="AS2070" i="27" s="1"/>
  <c r="AQ1882" i="27"/>
  <c r="AR1882" i="27" s="1"/>
  <c r="AS1882" i="27" s="1"/>
  <c r="AQ224" i="27"/>
  <c r="AR224" i="27" s="1"/>
  <c r="AS224" i="27" s="1"/>
  <c r="AQ203" i="27"/>
  <c r="AR203" i="27" s="1"/>
  <c r="AS203" i="27" s="1"/>
  <c r="AQ2791" i="27"/>
  <c r="AR2791" i="27" s="1"/>
  <c r="AS2791" i="27" s="1"/>
  <c r="AQ1723" i="27"/>
  <c r="AR1723" i="27" s="1"/>
  <c r="AS1723" i="27" s="1"/>
  <c r="AQ3231" i="27"/>
  <c r="AR3231" i="27" s="1"/>
  <c r="AS3231" i="27" s="1"/>
  <c r="AQ96" i="27"/>
  <c r="AR96" i="27" s="1"/>
  <c r="AS96" i="27" s="1"/>
  <c r="AQ228" i="27"/>
  <c r="AR228" i="27" s="1"/>
  <c r="AS228" i="27" s="1"/>
  <c r="AQ2955" i="27"/>
  <c r="AR2955" i="27" s="1"/>
  <c r="AS2955" i="27" s="1"/>
  <c r="AQ1283" i="27"/>
  <c r="AR1283" i="27" s="1"/>
  <c r="AS1283" i="27" s="1"/>
  <c r="AQ508" i="27"/>
  <c r="AR508" i="27" s="1"/>
  <c r="AS508" i="27" s="1"/>
  <c r="AQ502" i="27"/>
  <c r="AR502" i="27" s="1"/>
  <c r="AS502" i="27" s="1"/>
  <c r="AQ2417" i="27"/>
  <c r="AR2417" i="27" s="1"/>
  <c r="AS2417" i="27" s="1"/>
  <c r="AQ2695" i="27"/>
  <c r="AR2695" i="27" s="1"/>
  <c r="AS2695" i="27" s="1"/>
  <c r="AQ3187" i="27"/>
  <c r="AR3187" i="27" s="1"/>
  <c r="AS3187" i="27" s="1"/>
  <c r="AQ1579" i="27"/>
  <c r="AR1579" i="27" s="1"/>
  <c r="AS1579" i="27" s="1"/>
  <c r="AQ1601" i="27"/>
  <c r="AR1601" i="27" s="1"/>
  <c r="AS1601" i="27" s="1"/>
  <c r="AQ1119" i="27"/>
  <c r="AR1119" i="27" s="1"/>
  <c r="AS1119" i="27" s="1"/>
  <c r="AQ1766" i="27"/>
  <c r="AR1766" i="27" s="1"/>
  <c r="AS1766" i="27" s="1"/>
  <c r="AQ1138" i="27"/>
  <c r="AR1138" i="27" s="1"/>
  <c r="AS1138" i="27" s="1"/>
  <c r="AQ3324" i="27"/>
  <c r="AR3324" i="27" s="1"/>
  <c r="AS3324" i="27" s="1"/>
  <c r="AQ3207" i="27"/>
  <c r="AR3207" i="27" s="1"/>
  <c r="AS3207" i="27" s="1"/>
  <c r="AQ1774" i="27"/>
  <c r="AR1774" i="27" s="1"/>
  <c r="AS1774" i="27" s="1"/>
  <c r="AQ36" i="27"/>
  <c r="AR36" i="27" s="1"/>
  <c r="AS36" i="27" s="1"/>
  <c r="AQ2757" i="27"/>
  <c r="AR2757" i="27" s="1"/>
  <c r="AS2757" i="27" s="1"/>
  <c r="AQ151" i="27"/>
  <c r="AR151" i="27" s="1"/>
  <c r="AS151" i="27" s="1"/>
  <c r="AQ2665" i="27"/>
  <c r="AR2665" i="27" s="1"/>
  <c r="AS2665" i="27" s="1"/>
  <c r="AQ748" i="27"/>
  <c r="AR748" i="27" s="1"/>
  <c r="AS748" i="27" s="1"/>
  <c r="AQ3122" i="27"/>
  <c r="AR3122" i="27" s="1"/>
  <c r="AS3122" i="27" s="1"/>
  <c r="AQ972" i="27"/>
  <c r="AR972" i="27" s="1"/>
  <c r="AS972" i="27" s="1"/>
  <c r="AQ81" i="27"/>
  <c r="AR81" i="27" s="1"/>
  <c r="AS81" i="27" s="1"/>
  <c r="AQ3076" i="27"/>
  <c r="AR3076" i="27" s="1"/>
  <c r="AS3076" i="27" s="1"/>
  <c r="AQ2579" i="27"/>
  <c r="AR2579" i="27" s="1"/>
  <c r="AS2579" i="27" s="1"/>
  <c r="AQ35" i="27"/>
  <c r="AR35" i="27" s="1"/>
  <c r="AS35" i="27" s="1"/>
  <c r="AQ1230" i="27"/>
  <c r="AR1230" i="27" s="1"/>
  <c r="AS1230" i="27" s="1"/>
  <c r="AQ1842" i="27"/>
  <c r="AR1842" i="27" s="1"/>
  <c r="AS1842" i="27" s="1"/>
  <c r="AQ3085" i="27"/>
  <c r="AR3085" i="27" s="1"/>
  <c r="AS3085" i="27" s="1"/>
  <c r="AQ2321" i="27"/>
  <c r="AR2321" i="27" s="1"/>
  <c r="AS2321" i="27" s="1"/>
  <c r="AQ3269" i="27"/>
  <c r="AR3269" i="27" s="1"/>
  <c r="AS3269" i="27" s="1"/>
  <c r="AQ1038" i="27"/>
  <c r="AR1038" i="27" s="1"/>
  <c r="AS1038" i="27" s="1"/>
  <c r="AQ958" i="27"/>
  <c r="AR958" i="27" s="1"/>
  <c r="AS958" i="27" s="1"/>
  <c r="AQ2772" i="27"/>
  <c r="AR2772" i="27" s="1"/>
  <c r="AS2772" i="27" s="1"/>
  <c r="AQ804" i="27"/>
  <c r="AR804" i="27" s="1"/>
  <c r="AS804" i="27" s="1"/>
  <c r="AQ2381" i="27"/>
  <c r="AR2381" i="27" s="1"/>
  <c r="AS2381" i="27" s="1"/>
  <c r="AQ2486" i="27"/>
  <c r="AR2486" i="27" s="1"/>
  <c r="AS2486" i="27" s="1"/>
  <c r="AQ1684" i="27"/>
  <c r="AR1684" i="27" s="1"/>
  <c r="AS1684" i="27" s="1"/>
  <c r="AQ1381" i="27"/>
  <c r="AR1381" i="27" s="1"/>
  <c r="AS1381" i="27" s="1"/>
  <c r="AQ1364" i="27"/>
  <c r="AR1364" i="27" s="1"/>
  <c r="AS1364" i="27" s="1"/>
  <c r="AQ20" i="27"/>
  <c r="AR20" i="27" s="1"/>
  <c r="AS20" i="27" s="1"/>
  <c r="AQ1717" i="27"/>
  <c r="AR1717" i="27" s="1"/>
  <c r="AS1717" i="27" s="1"/>
  <c r="AQ1771" i="27"/>
  <c r="AR1771" i="27" s="1"/>
  <c r="AS1771" i="27" s="1"/>
  <c r="AQ3031" i="27"/>
  <c r="AR3031" i="27" s="1"/>
  <c r="AS3031" i="27" s="1"/>
  <c r="AQ2663" i="27"/>
  <c r="AR2663" i="27" s="1"/>
  <c r="AS2663" i="27" s="1"/>
  <c r="AQ2786" i="27"/>
  <c r="AR2786" i="27" s="1"/>
  <c r="AS2786" i="27" s="1"/>
  <c r="AQ2703" i="27"/>
  <c r="AR2703" i="27" s="1"/>
  <c r="AS2703" i="27" s="1"/>
  <c r="AQ1274" i="27"/>
  <c r="AR1274" i="27" s="1"/>
  <c r="AS1274" i="27" s="1"/>
  <c r="AQ741" i="27"/>
  <c r="AR741" i="27" s="1"/>
  <c r="AS741" i="27" s="1"/>
  <c r="AQ726" i="27"/>
  <c r="AR726" i="27" s="1"/>
  <c r="AS726" i="27" s="1"/>
  <c r="AQ111" i="27"/>
  <c r="AR111" i="27" s="1"/>
  <c r="AS111" i="27" s="1"/>
  <c r="AQ1329" i="27"/>
  <c r="AR1329" i="27" s="1"/>
  <c r="AS1329" i="27" s="1"/>
  <c r="AQ87" i="27"/>
  <c r="AR87" i="27" s="1"/>
  <c r="AS87" i="27" s="1"/>
  <c r="AQ3197" i="27"/>
  <c r="AR3197" i="27" s="1"/>
  <c r="AS3197" i="27" s="1"/>
  <c r="AQ3192" i="27"/>
  <c r="AR3192" i="27" s="1"/>
  <c r="AS3192" i="27" s="1"/>
  <c r="AQ196" i="27"/>
  <c r="AR196" i="27" s="1"/>
  <c r="AS196" i="27" s="1"/>
  <c r="AQ3123" i="27"/>
  <c r="AR3123" i="27" s="1"/>
  <c r="AS3123" i="27" s="1"/>
  <c r="AQ3164" i="27"/>
  <c r="AR3164" i="27" s="1"/>
  <c r="AS3164" i="27" s="1"/>
  <c r="AQ66" i="27"/>
  <c r="AR66" i="27" s="1"/>
  <c r="AS66" i="27" s="1"/>
  <c r="AQ688" i="27"/>
  <c r="AR688" i="27" s="1"/>
  <c r="AS688" i="27" s="1"/>
  <c r="AQ961" i="27"/>
  <c r="AR961" i="27" s="1"/>
  <c r="AS961" i="27" s="1"/>
  <c r="AQ1759" i="27"/>
  <c r="AR1759" i="27" s="1"/>
  <c r="AS1759" i="27" s="1"/>
  <c r="AQ1133" i="27"/>
  <c r="AR1133" i="27" s="1"/>
  <c r="AS1133" i="27" s="1"/>
  <c r="AQ3118" i="27"/>
  <c r="AR3118" i="27" s="1"/>
  <c r="AS3118" i="27" s="1"/>
  <c r="AQ690" i="27"/>
  <c r="AR690" i="27" s="1"/>
  <c r="AS690" i="27" s="1"/>
  <c r="AQ1703" i="27"/>
  <c r="AR1703" i="27" s="1"/>
  <c r="AS1703" i="27" s="1"/>
  <c r="AQ18" i="27"/>
  <c r="AR18" i="27" s="1"/>
  <c r="AS18" i="27" s="1"/>
  <c r="AQ3088" i="27"/>
  <c r="AR3088" i="27" s="1"/>
  <c r="AS3088" i="27" s="1"/>
  <c r="AQ3308" i="27"/>
  <c r="AR3308" i="27" s="1"/>
  <c r="AS3308" i="27" s="1"/>
  <c r="AQ3165" i="27"/>
  <c r="AR3165" i="27" s="1"/>
  <c r="AS3165" i="27" s="1"/>
  <c r="AQ2855" i="27"/>
  <c r="AR2855" i="27" s="1"/>
  <c r="AS2855" i="27" s="1"/>
  <c r="AQ1751" i="27"/>
  <c r="AR1751" i="27" s="1"/>
  <c r="AS1751" i="27" s="1"/>
  <c r="AQ1928" i="27"/>
  <c r="AR1928" i="27" s="1"/>
  <c r="AS1928" i="27" s="1"/>
  <c r="AQ654" i="27"/>
  <c r="AR654" i="27" s="1"/>
  <c r="AS654" i="27" s="1"/>
  <c r="AQ1485" i="27"/>
  <c r="AR1485" i="27" s="1"/>
  <c r="AS1485" i="27" s="1"/>
  <c r="AQ225" i="27"/>
  <c r="AR225" i="27" s="1"/>
  <c r="AS225" i="27" s="1"/>
  <c r="AQ694" i="27"/>
  <c r="AR694" i="27" s="1"/>
  <c r="AS694" i="27" s="1"/>
  <c r="AQ1671" i="27"/>
  <c r="AR1671" i="27" s="1"/>
  <c r="AS1671" i="27" s="1"/>
  <c r="AQ1600" i="27"/>
  <c r="AR1600" i="27" s="1"/>
  <c r="AS1600" i="27" s="1"/>
  <c r="AQ1638" i="27"/>
  <c r="AR1638" i="27" s="1"/>
  <c r="AS1638" i="27" s="1"/>
  <c r="AQ3203" i="27"/>
  <c r="AR3203" i="27" s="1"/>
  <c r="AS3203" i="27" s="1"/>
  <c r="AQ2181" i="27"/>
  <c r="AR2181" i="27" s="1"/>
  <c r="AS2181" i="27" s="1"/>
  <c r="AQ3050" i="27"/>
  <c r="AR3050" i="27" s="1"/>
  <c r="AS3050" i="27" s="1"/>
  <c r="AQ1554" i="27"/>
  <c r="AR1554" i="27" s="1"/>
  <c r="AS1554" i="27" s="1"/>
  <c r="AQ1700" i="27"/>
  <c r="AR1700" i="27" s="1"/>
  <c r="AS1700" i="27" s="1"/>
  <c r="AQ1602" i="27"/>
  <c r="AR1602" i="27" s="1"/>
  <c r="AS1602" i="27" s="1"/>
  <c r="AQ2370" i="27"/>
  <c r="AR2370" i="27" s="1"/>
  <c r="AS2370" i="27" s="1"/>
  <c r="AQ1801" i="27"/>
  <c r="AR1801" i="27" s="1"/>
  <c r="AS1801" i="27" s="1"/>
  <c r="AQ3101" i="27"/>
  <c r="AR3101" i="27" s="1"/>
  <c r="AS3101" i="27" s="1"/>
  <c r="AQ796" i="27"/>
  <c r="AR796" i="27" s="1"/>
  <c r="AS796" i="27" s="1"/>
  <c r="AQ3024" i="27"/>
  <c r="AR3024" i="27" s="1"/>
  <c r="AS3024" i="27" s="1"/>
  <c r="AQ1448" i="27"/>
  <c r="AR1448" i="27" s="1"/>
  <c r="AS1448" i="27" s="1"/>
  <c r="AQ3189" i="27"/>
  <c r="AR3189" i="27" s="1"/>
  <c r="AS3189" i="27" s="1"/>
  <c r="AQ88" i="27"/>
  <c r="AR88" i="27" s="1"/>
  <c r="AS88" i="27" s="1"/>
  <c r="AQ1815" i="27"/>
  <c r="AR1815" i="27" s="1"/>
  <c r="AS1815" i="27" s="1"/>
  <c r="AQ1121" i="27"/>
  <c r="AR1121" i="27" s="1"/>
  <c r="AS1121" i="27" s="1"/>
  <c r="AQ1353" i="27"/>
  <c r="AR1353" i="27" s="1"/>
  <c r="AS1353" i="27" s="1"/>
  <c r="AQ2327" i="27"/>
  <c r="AR2327" i="27" s="1"/>
  <c r="AS2327" i="27" s="1"/>
  <c r="AQ3006" i="27"/>
  <c r="AR3006" i="27" s="1"/>
  <c r="AS3006" i="27" s="1"/>
  <c r="AQ3243" i="27"/>
  <c r="AR3243" i="27" s="1"/>
  <c r="AS3243" i="27" s="1"/>
  <c r="AQ1232" i="27"/>
  <c r="AR1232" i="27" s="1"/>
  <c r="AS1232" i="27" s="1"/>
  <c r="AQ3095" i="27"/>
  <c r="AR3095" i="27" s="1"/>
  <c r="AS3095" i="27" s="1"/>
  <c r="AQ3003" i="27"/>
  <c r="AR3003" i="27" s="1"/>
  <c r="AS3003" i="27" s="1"/>
  <c r="AQ33" i="27"/>
  <c r="AR33" i="27" s="1"/>
  <c r="AS33" i="27" s="1"/>
  <c r="AQ74" i="27"/>
  <c r="AR74" i="27" s="1"/>
  <c r="AS74" i="27" s="1"/>
  <c r="AQ155" i="27"/>
  <c r="AR155" i="27" s="1"/>
  <c r="AS155" i="27" s="1"/>
  <c r="AQ2163" i="27"/>
  <c r="AR2163" i="27" s="1"/>
  <c r="AS2163" i="27" s="1"/>
  <c r="AQ2809" i="27"/>
  <c r="AR2809" i="27" s="1"/>
  <c r="AS2809" i="27" s="1"/>
  <c r="AQ1772" i="27"/>
  <c r="AR1772" i="27" s="1"/>
  <c r="AS1772" i="27" s="1"/>
  <c r="AQ436" i="27"/>
  <c r="AR436" i="27" s="1"/>
  <c r="AS436" i="27" s="1"/>
  <c r="AQ1184" i="27"/>
  <c r="AR1184" i="27" s="1"/>
  <c r="AS1184" i="27" s="1"/>
  <c r="AQ2972" i="27"/>
  <c r="AR2972" i="27" s="1"/>
  <c r="AS2972" i="27" s="1"/>
  <c r="AQ1732" i="27"/>
  <c r="AR1732" i="27" s="1"/>
  <c r="AS1732" i="27" s="1"/>
  <c r="AQ3153" i="27"/>
  <c r="AR3153" i="27" s="1"/>
  <c r="AS3153" i="27" s="1"/>
  <c r="AQ1043" i="27"/>
  <c r="AR1043" i="27" s="1"/>
  <c r="AS1043" i="27" s="1"/>
  <c r="AQ1816" i="27"/>
  <c r="AR1816" i="27" s="1"/>
  <c r="AS1816" i="27" s="1"/>
  <c r="AQ3181" i="27"/>
  <c r="AR3181" i="27" s="1"/>
  <c r="AS3181" i="27" s="1"/>
  <c r="AQ86" i="27"/>
  <c r="AR86" i="27" s="1"/>
  <c r="AS86" i="27" s="1"/>
  <c r="AQ2326" i="27"/>
  <c r="AR2326" i="27" s="1"/>
  <c r="AS2326" i="27" s="1"/>
  <c r="AQ3114" i="27"/>
  <c r="AR3114" i="27" s="1"/>
  <c r="AS3114" i="27" s="1"/>
  <c r="AQ2287" i="27"/>
  <c r="AR2287" i="27" s="1"/>
  <c r="AS2287" i="27" s="1"/>
  <c r="AQ540" i="27"/>
  <c r="AR540" i="27" s="1"/>
  <c r="AS540" i="27" s="1"/>
  <c r="AQ1762" i="27"/>
  <c r="AR1762" i="27" s="1"/>
  <c r="AS1762" i="27" s="1"/>
  <c r="AQ2713" i="27"/>
  <c r="AR2713" i="27" s="1"/>
  <c r="AS2713" i="27" s="1"/>
  <c r="AQ962" i="27"/>
  <c r="AR962" i="27" s="1"/>
  <c r="AS962" i="27" s="1"/>
  <c r="AQ1284" i="27"/>
  <c r="AR1284" i="27" s="1"/>
  <c r="AS1284" i="27" s="1"/>
  <c r="AQ3116" i="27"/>
  <c r="AR3116" i="27" s="1"/>
  <c r="AS3116" i="27" s="1"/>
  <c r="AQ2367" i="27"/>
  <c r="AR2367" i="27" s="1"/>
  <c r="AS2367" i="27" s="1"/>
  <c r="AQ1797" i="27"/>
  <c r="AR1797" i="27" s="1"/>
  <c r="AS1797" i="27" s="1"/>
  <c r="AQ1414" i="27"/>
  <c r="AR1414" i="27" s="1"/>
  <c r="AS1414" i="27" s="1"/>
  <c r="AQ2503" i="27"/>
  <c r="AR2503" i="27" s="1"/>
  <c r="AS2503" i="27" s="1"/>
  <c r="AQ3042" i="27"/>
  <c r="AR3042" i="27" s="1"/>
  <c r="AS3042" i="27" s="1"/>
  <c r="AQ1513" i="27"/>
  <c r="AR1513" i="27" s="1"/>
  <c r="AS1513" i="27" s="1"/>
  <c r="AQ891" i="27"/>
  <c r="AR891" i="27" s="1"/>
  <c r="AS891" i="27" s="1"/>
  <c r="AQ1558" i="27"/>
  <c r="AR1558" i="27" s="1"/>
  <c r="AS1558" i="27" s="1"/>
  <c r="AQ1624" i="27"/>
  <c r="AR1624" i="27" s="1"/>
  <c r="AS1624" i="27" s="1"/>
  <c r="AQ1857" i="27"/>
  <c r="AR1857" i="27" s="1"/>
  <c r="AS1857" i="27" s="1"/>
  <c r="AQ3202" i="27"/>
  <c r="AR3202" i="27" s="1"/>
  <c r="AS3202" i="27" s="1"/>
  <c r="AQ1698" i="27"/>
  <c r="AR1698" i="27" s="1"/>
  <c r="AS1698" i="27" s="1"/>
  <c r="AQ2450" i="27"/>
  <c r="AR2450" i="27" s="1"/>
  <c r="AS2450" i="27" s="1"/>
  <c r="AQ614" i="27"/>
  <c r="AR614" i="27" s="1"/>
  <c r="AS614" i="27" s="1"/>
  <c r="AQ91" i="27"/>
  <c r="AR91" i="27" s="1"/>
  <c r="AS91" i="27" s="1"/>
  <c r="AQ1960" i="27"/>
  <c r="AR1960" i="27" s="1"/>
  <c r="AS1960" i="27" s="1"/>
  <c r="AQ2357" i="27"/>
  <c r="AR2357" i="27" s="1"/>
  <c r="AS2357" i="27" s="1"/>
  <c r="AQ1577" i="27"/>
  <c r="AR1577" i="27" s="1"/>
  <c r="AS1577" i="27" s="1"/>
  <c r="AQ2497" i="27"/>
  <c r="AR2497" i="27" s="1"/>
  <c r="AS2497" i="27" s="1"/>
  <c r="AQ1824" i="27"/>
  <c r="AR1824" i="27" s="1"/>
  <c r="AS1824" i="27" s="1"/>
  <c r="AQ3139" i="27"/>
  <c r="AR3139" i="27" s="1"/>
  <c r="AS3139" i="27" s="1"/>
  <c r="AQ1694" i="27"/>
  <c r="AR1694" i="27" s="1"/>
  <c r="AS1694" i="27" s="1"/>
  <c r="AQ1846" i="27"/>
  <c r="AR1846" i="27" s="1"/>
  <c r="AS1846" i="27" s="1"/>
  <c r="AQ1647" i="27"/>
  <c r="AR1647" i="27" s="1"/>
  <c r="AS1647" i="27" s="1"/>
  <c r="AQ1420" i="27"/>
  <c r="AR1420" i="27" s="1"/>
  <c r="AS1420" i="27" s="1"/>
  <c r="AQ546" i="27"/>
  <c r="AR546" i="27" s="1"/>
  <c r="AS546" i="27" s="1"/>
  <c r="AQ2155" i="27"/>
  <c r="AR2155" i="27" s="1"/>
  <c r="AS2155" i="27" s="1"/>
  <c r="AQ1811" i="27"/>
  <c r="AR1811" i="27" s="1"/>
  <c r="AS1811" i="27" s="1"/>
  <c r="AQ1604" i="27"/>
  <c r="AR1604" i="27" s="1"/>
  <c r="AS1604" i="27" s="1"/>
  <c r="AQ781" i="27"/>
  <c r="AR781" i="27" s="1"/>
  <c r="AS781" i="27" s="1"/>
  <c r="AQ818" i="27"/>
  <c r="AR818" i="27" s="1"/>
  <c r="AS818" i="27" s="1"/>
  <c r="AQ98" i="27"/>
  <c r="AR98" i="27" s="1"/>
  <c r="AS98" i="27" s="1"/>
  <c r="AQ2073" i="27"/>
  <c r="AR2073" i="27" s="1"/>
  <c r="AS2073" i="27" s="1"/>
  <c r="AQ2513" i="27"/>
  <c r="AR2513" i="27" s="1"/>
  <c r="AS2513" i="27" s="1"/>
  <c r="AQ2853" i="27"/>
  <c r="AR2853" i="27" s="1"/>
  <c r="AS2853" i="27" s="1"/>
  <c r="AQ1628" i="27"/>
  <c r="AR1628" i="27" s="1"/>
  <c r="AS1628" i="27" s="1"/>
  <c r="AQ3148" i="27"/>
  <c r="AR3148" i="27" s="1"/>
  <c r="AS3148" i="27" s="1"/>
  <c r="AQ822" i="27"/>
  <c r="AR822" i="27" s="1"/>
  <c r="AS822" i="27" s="1"/>
  <c r="AQ2869" i="27"/>
  <c r="AR2869" i="27" s="1"/>
  <c r="AS2869" i="27" s="1"/>
  <c r="AQ2613" i="27"/>
  <c r="AR2613" i="27" s="1"/>
  <c r="AS2613" i="27" s="1"/>
  <c r="AQ2995" i="27"/>
  <c r="AR2995" i="27" s="1"/>
  <c r="AS2995" i="27" s="1"/>
  <c r="AQ439" i="27"/>
  <c r="AR439" i="27" s="1"/>
  <c r="AS439" i="27" s="1"/>
  <c r="AQ2792" i="27"/>
  <c r="AR2792" i="27" s="1"/>
  <c r="AS2792" i="27" s="1"/>
  <c r="AQ2436" i="27"/>
  <c r="AR2436" i="27" s="1"/>
  <c r="AS2436" i="27" s="1"/>
  <c r="AQ839" i="27"/>
  <c r="AR839" i="27" s="1"/>
  <c r="AS839" i="27" s="1"/>
  <c r="AQ539" i="27"/>
  <c r="AR539" i="27" s="1"/>
  <c r="AS539" i="27" s="1"/>
  <c r="AQ2033" i="27"/>
  <c r="AR2033" i="27" s="1"/>
  <c r="AS2033" i="27" s="1"/>
  <c r="AQ1286" i="27"/>
  <c r="AR1286" i="27" s="1"/>
  <c r="AS1286" i="27" s="1"/>
  <c r="AQ2507" i="27"/>
  <c r="AR2507" i="27" s="1"/>
  <c r="AS2507" i="27" s="1"/>
  <c r="AQ1922" i="27"/>
  <c r="AR1922" i="27" s="1"/>
  <c r="AS1922" i="27" s="1"/>
  <c r="AQ2888" i="27"/>
  <c r="AR2888" i="27" s="1"/>
  <c r="AS2888" i="27" s="1"/>
  <c r="AQ1110" i="27"/>
  <c r="AR1110" i="27" s="1"/>
  <c r="AS1110" i="27" s="1"/>
  <c r="AQ810" i="27"/>
  <c r="AR810" i="27" s="1"/>
  <c r="AS810" i="27" s="1"/>
  <c r="AQ1499" i="27"/>
  <c r="AR1499" i="27" s="1"/>
  <c r="AS1499" i="27" s="1"/>
  <c r="AQ3058" i="27"/>
  <c r="AR3058" i="27" s="1"/>
  <c r="AS3058" i="27" s="1"/>
  <c r="AQ2314" i="27"/>
  <c r="AR2314" i="27" s="1"/>
  <c r="AS2314" i="27" s="1"/>
  <c r="AQ2528" i="27"/>
  <c r="AR2528" i="27" s="1"/>
  <c r="AS2528" i="27" s="1"/>
  <c r="AQ1348" i="27"/>
  <c r="AR1348" i="27" s="1"/>
  <c r="AS1348" i="27" s="1"/>
  <c r="AQ1662" i="27"/>
  <c r="AR1662" i="27" s="1"/>
  <c r="AS1662" i="27" s="1"/>
  <c r="AQ1733" i="27"/>
  <c r="AR1733" i="27" s="1"/>
  <c r="AS1733" i="27" s="1"/>
  <c r="AQ1748" i="27"/>
  <c r="AR1748" i="27" s="1"/>
  <c r="AS1748" i="27" s="1"/>
  <c r="AQ1586" i="27"/>
  <c r="AR1586" i="27" s="1"/>
  <c r="AS1586" i="27" s="1"/>
  <c r="AQ2705" i="27"/>
  <c r="AR2705" i="27" s="1"/>
  <c r="AS2705" i="27" s="1"/>
  <c r="AQ1844" i="27"/>
  <c r="AR1844" i="27" s="1"/>
  <c r="AS1844" i="27" s="1"/>
  <c r="AQ2319" i="27"/>
  <c r="AR2319" i="27" s="1"/>
  <c r="AS2319" i="27" s="1"/>
  <c r="AQ3214" i="27"/>
  <c r="AR3214" i="27" s="1"/>
  <c r="AS3214" i="27" s="1"/>
  <c r="AQ1483" i="27"/>
  <c r="AR1483" i="27" s="1"/>
  <c r="AS1483" i="27" s="1"/>
  <c r="AQ560" i="27"/>
  <c r="AR560" i="27" s="1"/>
  <c r="AS560" i="27" s="1"/>
  <c r="AQ1795" i="27"/>
  <c r="AR1795" i="27" s="1"/>
  <c r="AS1795" i="27" s="1"/>
  <c r="AQ1167" i="27"/>
  <c r="AR1167" i="27" s="1"/>
  <c r="AS1167" i="27" s="1"/>
  <c r="AQ2141" i="27"/>
  <c r="AR2141" i="27" s="1"/>
  <c r="AS2141" i="27" s="1"/>
  <c r="AQ464" i="27"/>
  <c r="AR464" i="27" s="1"/>
  <c r="AS464" i="27" s="1"/>
  <c r="AQ134" i="27"/>
  <c r="AR134" i="27" s="1"/>
  <c r="AS134" i="27" s="1"/>
  <c r="AQ1018" i="27"/>
  <c r="AR1018" i="27" s="1"/>
  <c r="AS1018" i="27" s="1"/>
  <c r="AQ2803" i="27"/>
  <c r="AR2803" i="27" s="1"/>
  <c r="AS2803" i="27" s="1"/>
  <c r="AQ1262" i="27"/>
  <c r="AR1262" i="27" s="1"/>
  <c r="AS1262" i="27" s="1"/>
  <c r="AQ3029" i="27"/>
  <c r="AR3029" i="27" s="1"/>
  <c r="AS3029" i="27" s="1"/>
  <c r="AQ2004" i="27"/>
  <c r="AR2004" i="27" s="1"/>
  <c r="AS2004" i="27" s="1"/>
  <c r="AQ1679" i="27"/>
  <c r="AR1679" i="27" s="1"/>
  <c r="AS1679" i="27" s="1"/>
  <c r="AQ2631" i="27"/>
  <c r="AR2631" i="27" s="1"/>
  <c r="AS2631" i="27" s="1"/>
  <c r="AQ2673" i="27"/>
  <c r="AR2673" i="27" s="1"/>
  <c r="AS2673" i="27" s="1"/>
  <c r="AQ1606" i="27"/>
  <c r="AR1606" i="27" s="1"/>
  <c r="AS1606" i="27" s="1"/>
  <c r="AQ2754" i="27"/>
  <c r="AR2754" i="27" s="1"/>
  <c r="AS2754" i="27" s="1"/>
  <c r="AQ1840" i="27"/>
  <c r="AR1840" i="27" s="1"/>
  <c r="AS1840" i="27" s="1"/>
  <c r="AQ3061" i="27"/>
  <c r="AR3061" i="27" s="1"/>
  <c r="AS3061" i="27" s="1"/>
  <c r="AQ3040" i="27"/>
  <c r="AR3040" i="27" s="1"/>
  <c r="AS3040" i="27" s="1"/>
  <c r="AQ1924" i="27"/>
  <c r="AR1924" i="27" s="1"/>
  <c r="AS1924" i="27" s="1"/>
  <c r="AQ3310" i="27"/>
  <c r="AR3310" i="27" s="1"/>
  <c r="AS3310" i="27" s="1"/>
  <c r="AQ1598" i="27"/>
  <c r="AR1598" i="27" s="1"/>
  <c r="AS1598" i="27" s="1"/>
  <c r="AQ1800" i="27"/>
  <c r="AR1800" i="27" s="1"/>
  <c r="AS1800" i="27" s="1"/>
  <c r="AQ2365" i="27"/>
  <c r="AR2365" i="27" s="1"/>
  <c r="AS2365" i="27" s="1"/>
  <c r="AQ2173" i="27"/>
  <c r="AR2173" i="27" s="1"/>
  <c r="AS2173" i="27" s="1"/>
  <c r="AQ2451" i="27"/>
  <c r="AR2451" i="27" s="1"/>
  <c r="AS2451" i="27" s="1"/>
  <c r="AQ466" i="27"/>
  <c r="AR466" i="27" s="1"/>
  <c r="AS466" i="27" s="1"/>
  <c r="AQ1466" i="27"/>
  <c r="AR1466" i="27" s="1"/>
  <c r="AS1466" i="27" s="1"/>
  <c r="AQ2313" i="27"/>
  <c r="AR2313" i="27" s="1"/>
  <c r="AS2313" i="27" s="1"/>
  <c r="AQ1809" i="27"/>
  <c r="AR1809" i="27" s="1"/>
  <c r="AS1809" i="27" s="1"/>
  <c r="AQ3224" i="27"/>
  <c r="AR3224" i="27" s="1"/>
  <c r="AS3224" i="27" s="1"/>
  <c r="AQ750" i="27"/>
  <c r="AR750" i="27" s="1"/>
  <c r="AS750" i="27" s="1"/>
  <c r="AQ2040" i="27"/>
  <c r="AR2040" i="27" s="1"/>
  <c r="AS2040" i="27" s="1"/>
  <c r="AQ2379" i="27"/>
  <c r="AR2379" i="27" s="1"/>
  <c r="AS2379" i="27" s="1"/>
  <c r="AQ780" i="27"/>
  <c r="AR780" i="27" s="1"/>
  <c r="AS780" i="27" s="1"/>
  <c r="AQ2585" i="27"/>
  <c r="AR2585" i="27" s="1"/>
  <c r="AS2585" i="27" s="1"/>
  <c r="AQ3306" i="27"/>
  <c r="AR3306" i="27" s="1"/>
  <c r="AS3306" i="27" s="1"/>
  <c r="AQ529" i="27"/>
  <c r="AR529" i="27" s="1"/>
  <c r="AS529" i="27" s="1"/>
  <c r="AQ662" i="27"/>
  <c r="AR662" i="27" s="1"/>
  <c r="AS662" i="27" s="1"/>
  <c r="AQ189" i="27"/>
  <c r="AR189" i="27" s="1"/>
  <c r="AS189" i="27" s="1"/>
  <c r="AQ1667" i="27"/>
  <c r="AR1667" i="27" s="1"/>
  <c r="AS1667" i="27" s="1"/>
  <c r="AQ2175" i="27"/>
  <c r="AR2175" i="27" s="1"/>
  <c r="AS2175" i="27" s="1"/>
  <c r="AQ1908" i="27"/>
  <c r="AR1908" i="27" s="1"/>
  <c r="AS1908" i="27" s="1"/>
  <c r="AQ2974" i="27"/>
  <c r="AR2974" i="27" s="1"/>
  <c r="AS2974" i="27" s="1"/>
  <c r="AQ2372" i="27"/>
  <c r="AR2372" i="27" s="1"/>
  <c r="AS2372" i="27" s="1"/>
  <c r="AQ1722" i="27"/>
  <c r="AR1722" i="27" s="1"/>
  <c r="AS1722" i="27" s="1"/>
  <c r="AQ84" i="27"/>
  <c r="AR84" i="27" s="1"/>
  <c r="AS84" i="27" s="1"/>
  <c r="AQ1130" i="27"/>
  <c r="AR1130" i="27" s="1"/>
  <c r="AS1130" i="27" s="1"/>
  <c r="AQ1741" i="27"/>
  <c r="AR1741" i="27" s="1"/>
  <c r="AS1741" i="27" s="1"/>
  <c r="AQ1473" i="27"/>
  <c r="AR1473" i="27" s="1"/>
  <c r="AS1473" i="27" s="1"/>
  <c r="AQ1014" i="27"/>
  <c r="AR1014" i="27" s="1"/>
  <c r="AS1014" i="27" s="1"/>
  <c r="AQ806" i="27"/>
  <c r="AR806" i="27" s="1"/>
  <c r="AS806" i="27" s="1"/>
  <c r="AQ1781" i="27"/>
  <c r="AR1781" i="27" s="1"/>
  <c r="AS1781" i="27" s="1"/>
  <c r="AQ1072" i="27"/>
  <c r="AR1072" i="27" s="1"/>
  <c r="AS1072" i="27" s="1"/>
  <c r="AQ2946" i="27"/>
  <c r="AR2946" i="27" s="1"/>
  <c r="AS2946" i="27" s="1"/>
  <c r="AQ342" i="27"/>
  <c r="AR342" i="27" s="1"/>
  <c r="AS342" i="27" s="1"/>
  <c r="AQ3137" i="27"/>
  <c r="AR3137" i="27" s="1"/>
  <c r="AS3137" i="27" s="1"/>
  <c r="AQ1354" i="27"/>
  <c r="AR1354" i="27" s="1"/>
  <c r="AS1354" i="27" s="1"/>
  <c r="AQ2916" i="27"/>
  <c r="AR2916" i="27" s="1"/>
  <c r="AS2916" i="27" s="1"/>
  <c r="AQ2206" i="27"/>
  <c r="AR2206" i="27" s="1"/>
  <c r="AS2206" i="27" s="1"/>
  <c r="AQ766" i="27"/>
  <c r="AR766" i="27" s="1"/>
  <c r="AS766" i="27" s="1"/>
  <c r="AQ1161" i="27"/>
  <c r="AR1161" i="27" s="1"/>
  <c r="AS1161" i="27" s="1"/>
  <c r="AQ799" i="27"/>
  <c r="AR799" i="27" s="1"/>
  <c r="AS799" i="27" s="1"/>
  <c r="AQ1641" i="27"/>
  <c r="AR1641" i="27" s="1"/>
  <c r="AS1641" i="27" s="1"/>
  <c r="AQ1658" i="27"/>
  <c r="AR1658" i="27" s="1"/>
  <c r="AS1658" i="27" s="1"/>
  <c r="AQ3121" i="27"/>
  <c r="AR3121" i="27" s="1"/>
  <c r="AS3121" i="27" s="1"/>
  <c r="AQ682" i="27"/>
  <c r="AR682" i="27" s="1"/>
  <c r="AS682" i="27" s="1"/>
  <c r="AQ1315" i="27"/>
  <c r="AR1315" i="27" s="1"/>
  <c r="AS1315" i="27" s="1"/>
  <c r="AQ1198" i="27"/>
  <c r="AR1198" i="27" s="1"/>
  <c r="AS1198" i="27" s="1"/>
  <c r="AQ1171" i="27"/>
  <c r="AR1171" i="27" s="1"/>
  <c r="AS1171" i="27" s="1"/>
  <c r="AQ2341" i="27"/>
  <c r="AR2341" i="27" s="1"/>
  <c r="AS2341" i="27" s="1"/>
  <c r="AQ1883" i="27"/>
  <c r="AR1883" i="27" s="1"/>
  <c r="AS1883" i="27" s="1"/>
  <c r="AQ2926" i="27"/>
  <c r="AR2926" i="27" s="1"/>
  <c r="AS2926" i="27" s="1"/>
  <c r="AQ2889" i="27"/>
  <c r="AR2889" i="27" s="1"/>
  <c r="AS2889" i="27" s="1"/>
  <c r="AQ791" i="27"/>
  <c r="AR791" i="27" s="1"/>
  <c r="AS791" i="27" s="1"/>
  <c r="AQ2949" i="27"/>
  <c r="AR2949" i="27" s="1"/>
  <c r="AS2949" i="27" s="1"/>
  <c r="AQ932" i="27"/>
  <c r="AR932" i="27" s="1"/>
  <c r="AS932" i="27" s="1"/>
  <c r="AQ880" i="27"/>
  <c r="AR880" i="27" s="1"/>
  <c r="AS880" i="27" s="1"/>
  <c r="AQ1632" i="27"/>
  <c r="AR1632" i="27" s="1"/>
  <c r="AS1632" i="27" s="1"/>
  <c r="AQ2901" i="27"/>
  <c r="AR2901" i="27" s="1"/>
  <c r="AS2901" i="27" s="1"/>
  <c r="AQ1588" i="27"/>
  <c r="AR1588" i="27" s="1"/>
  <c r="AS1588" i="27" s="1"/>
  <c r="AQ368" i="27"/>
  <c r="AR368" i="27" s="1"/>
  <c r="AS368" i="27" s="1"/>
  <c r="AQ2644" i="27"/>
  <c r="AR2644" i="27" s="1"/>
  <c r="AS2644" i="27" s="1"/>
  <c r="AQ2106" i="27"/>
  <c r="AR2106" i="27" s="1"/>
  <c r="AS2106" i="27" s="1"/>
  <c r="AQ565" i="27"/>
  <c r="AR565" i="27" s="1"/>
  <c r="AS565" i="27" s="1"/>
  <c r="AQ2976" i="27"/>
  <c r="AR2976" i="27" s="1"/>
  <c r="AS2976" i="27" s="1"/>
  <c r="AQ317" i="27"/>
  <c r="AR317" i="27" s="1"/>
  <c r="AS317" i="27" s="1"/>
  <c r="AQ1231" i="27"/>
  <c r="AR1231" i="27" s="1"/>
  <c r="AS1231" i="27" s="1"/>
  <c r="AQ382" i="27"/>
  <c r="AR382" i="27" s="1"/>
  <c r="AS382" i="27" s="1"/>
  <c r="AQ351" i="27"/>
  <c r="AR351" i="27" s="1"/>
  <c r="AS351" i="27" s="1"/>
  <c r="AQ1538" i="27"/>
  <c r="AR1538" i="27" s="1"/>
  <c r="AS1538" i="27" s="1"/>
  <c r="AQ3147" i="27"/>
  <c r="AR3147" i="27" s="1"/>
  <c r="AS3147" i="27" s="1"/>
  <c r="AQ3119" i="27"/>
  <c r="AR3119" i="27" s="1"/>
  <c r="AS3119" i="27" s="1"/>
  <c r="AQ3240" i="27"/>
  <c r="AR3240" i="27" s="1"/>
  <c r="AS3240" i="27" s="1"/>
  <c r="AQ3261" i="27"/>
  <c r="AR3261" i="27" s="1"/>
  <c r="AS3261" i="27" s="1"/>
  <c r="AQ1863" i="27"/>
  <c r="AR1863" i="27" s="1"/>
  <c r="AS1863" i="27" s="1"/>
  <c r="AQ3304" i="27"/>
  <c r="AR3304" i="27" s="1"/>
  <c r="AS3304" i="27" s="1"/>
  <c r="AQ788" i="27"/>
  <c r="AR788" i="27" s="1"/>
  <c r="AS788" i="27" s="1"/>
  <c r="AQ3145" i="27"/>
  <c r="AR3145" i="27" s="1"/>
  <c r="AS3145" i="27" s="1"/>
  <c r="AQ3128" i="27"/>
  <c r="AR3128" i="27" s="1"/>
  <c r="AS3128" i="27" s="1"/>
  <c r="AQ516" i="27"/>
  <c r="AR516" i="27" s="1"/>
  <c r="AS516" i="27" s="1"/>
  <c r="AQ1652" i="27"/>
  <c r="AR1652" i="27" s="1"/>
  <c r="AS1652" i="27" s="1"/>
  <c r="AQ1569" i="27"/>
  <c r="AR1569" i="27" s="1"/>
  <c r="AS1569" i="27" s="1"/>
  <c r="AQ1930" i="27"/>
  <c r="AR1930" i="27" s="1"/>
  <c r="AS1930" i="27" s="1"/>
  <c r="AQ58" i="27"/>
  <c r="AR58" i="27" s="1"/>
  <c r="AS58" i="27" s="1"/>
  <c r="AQ1456" i="27"/>
  <c r="AR1456" i="27" s="1"/>
  <c r="AS1456" i="27" s="1"/>
  <c r="AQ1826" i="27"/>
  <c r="AR1826" i="27" s="1"/>
  <c r="AS1826" i="27" s="1"/>
  <c r="AQ1851" i="27"/>
  <c r="AR1851" i="27" s="1"/>
  <c r="AS1851" i="27" s="1"/>
  <c r="AQ2344" i="27"/>
  <c r="AR2344" i="27" s="1"/>
  <c r="AS2344" i="27" s="1"/>
  <c r="AQ29" i="27"/>
  <c r="AR29" i="27" s="1"/>
  <c r="AS29" i="27" s="1"/>
  <c r="AQ3129" i="27"/>
  <c r="AR3129" i="27" s="1"/>
  <c r="AS3129" i="27" s="1"/>
  <c r="AQ1193" i="27"/>
  <c r="AR1193" i="27" s="1"/>
  <c r="AS1193" i="27" s="1"/>
  <c r="AQ3136" i="27"/>
  <c r="AR3136" i="27" s="1"/>
  <c r="AS3136" i="27" s="1"/>
  <c r="AQ2317" i="27"/>
  <c r="AR2317" i="27" s="1"/>
  <c r="AS2317" i="27" s="1"/>
  <c r="AQ1784" i="27"/>
  <c r="AR1784" i="27" s="1"/>
  <c r="AS1784" i="27" s="1"/>
  <c r="AQ2023" i="27"/>
  <c r="AR2023" i="27" s="1"/>
  <c r="AS2023" i="27" s="1"/>
  <c r="AQ2571" i="27"/>
  <c r="AR2571" i="27" s="1"/>
  <c r="AS2571" i="27" s="1"/>
  <c r="AQ306" i="27"/>
  <c r="AR306" i="27" s="1"/>
  <c r="AS306" i="27" s="1"/>
  <c r="AQ2091" i="27"/>
  <c r="AR2091" i="27" s="1"/>
  <c r="AS2091" i="27" s="1"/>
  <c r="AQ1731" i="27"/>
  <c r="AR1731" i="27" s="1"/>
  <c r="AS1731" i="27" s="1"/>
  <c r="AQ3162" i="27"/>
  <c r="AR3162" i="27" s="1"/>
  <c r="AS3162" i="27" s="1"/>
  <c r="AQ1458" i="27"/>
  <c r="AR1458" i="27" s="1"/>
  <c r="AS1458" i="27" s="1"/>
  <c r="AQ3242" i="27"/>
  <c r="AR3242" i="27" s="1"/>
  <c r="AS3242" i="27" s="1"/>
  <c r="AQ3217" i="27"/>
  <c r="AR3217" i="27" s="1"/>
  <c r="AS3217" i="27" s="1"/>
  <c r="AQ2342" i="27"/>
  <c r="AR2342" i="27" s="1"/>
  <c r="AS2342" i="27" s="1"/>
  <c r="AQ186" i="27"/>
  <c r="AR186" i="27" s="1"/>
  <c r="AS186" i="27" s="1"/>
  <c r="AQ1918" i="27"/>
  <c r="AR1918" i="27" s="1"/>
  <c r="AS1918" i="27" s="1"/>
  <c r="AQ1799" i="27"/>
  <c r="AR1799" i="27" s="1"/>
  <c r="AS1799" i="27" s="1"/>
  <c r="AQ2795" i="27"/>
  <c r="AR2795" i="27" s="1"/>
  <c r="AS2795" i="27" s="1"/>
  <c r="AQ1802" i="27"/>
  <c r="AR1802" i="27" s="1"/>
  <c r="AS1802" i="27" s="1"/>
  <c r="AQ3035" i="27"/>
  <c r="AR3035" i="27" s="1"/>
  <c r="AS3035" i="27" s="1"/>
  <c r="AQ1902" i="27"/>
  <c r="AR1902" i="27" s="1"/>
  <c r="AS1902" i="27" s="1"/>
  <c r="AQ1805" i="27"/>
  <c r="AR1805" i="27" s="1"/>
  <c r="AS1805" i="27" s="1"/>
  <c r="AQ3270" i="27"/>
  <c r="AR3270" i="27" s="1"/>
  <c r="AS3270" i="27" s="1"/>
  <c r="AQ190" i="27"/>
  <c r="AR190" i="27" s="1"/>
  <c r="AS190" i="27" s="1"/>
  <c r="AQ1118" i="27"/>
  <c r="AR1118" i="27" s="1"/>
  <c r="AS1118" i="27" s="1"/>
  <c r="AQ310" i="27"/>
  <c r="AR310" i="27" s="1"/>
  <c r="AS310" i="27" s="1"/>
  <c r="AQ728" i="27"/>
  <c r="AR728" i="27" s="1"/>
  <c r="AS728" i="27" s="1"/>
  <c r="AQ2893" i="27"/>
  <c r="AR2893" i="27" s="1"/>
  <c r="AS2893" i="27" s="1"/>
  <c r="AQ1592" i="27"/>
  <c r="AR1592" i="27" s="1"/>
  <c r="AS1592" i="27" s="1"/>
  <c r="AQ1964" i="27"/>
  <c r="AR1964" i="27" s="1"/>
  <c r="AS1964" i="27" s="1"/>
  <c r="AQ2022" i="27"/>
  <c r="AR2022" i="27" s="1"/>
  <c r="AS2022" i="27" s="1"/>
  <c r="AQ414" i="27"/>
  <c r="AR414" i="27" s="1"/>
  <c r="AS414" i="27" s="1"/>
  <c r="AQ3052" i="27"/>
  <c r="AR3052" i="27" s="1"/>
  <c r="AS3052" i="27" s="1"/>
  <c r="AQ49" i="27"/>
  <c r="AR49" i="27" s="1"/>
  <c r="AS49" i="27" s="1"/>
  <c r="AQ950" i="27"/>
  <c r="AR950" i="27" s="1"/>
  <c r="AS950" i="27" s="1"/>
  <c r="AQ3037" i="27"/>
  <c r="AR3037" i="27" s="1"/>
  <c r="AS3037" i="27" s="1"/>
  <c r="AQ817" i="27"/>
  <c r="AR817" i="27" s="1"/>
  <c r="AS817" i="27" s="1"/>
  <c r="AQ1529" i="27"/>
  <c r="AR1529" i="27" s="1"/>
  <c r="AS1529" i="27" s="1"/>
  <c r="AQ1669" i="27"/>
  <c r="AR1669" i="27" s="1"/>
  <c r="AS1669" i="27" s="1"/>
  <c r="AQ2294" i="27"/>
  <c r="AR2294" i="27" s="1"/>
  <c r="AS2294" i="27" s="1"/>
  <c r="AQ55" i="27"/>
  <c r="AR55" i="27" s="1"/>
  <c r="AS55" i="27" s="1"/>
  <c r="AQ3180" i="27"/>
  <c r="AR3180" i="27" s="1"/>
  <c r="AS3180" i="27" s="1"/>
  <c r="AQ3268" i="27"/>
  <c r="AR3268" i="27" s="1"/>
  <c r="AS3268" i="27" s="1"/>
  <c r="AQ1670" i="27"/>
  <c r="AR1670" i="27" s="1"/>
  <c r="AS1670" i="27" s="1"/>
  <c r="AQ2433" i="27"/>
  <c r="AR2433" i="27" s="1"/>
  <c r="AS2433" i="27" s="1"/>
  <c r="AQ1505" i="27"/>
  <c r="AR1505" i="27" s="1"/>
  <c r="AS1505" i="27" s="1"/>
  <c r="AQ2851" i="27"/>
  <c r="AR2851" i="27" s="1"/>
  <c r="AS2851" i="27" s="1"/>
  <c r="AQ1508" i="27"/>
  <c r="AR1508" i="27" s="1"/>
  <c r="AS1508" i="27" s="1"/>
  <c r="AQ2135" i="27"/>
  <c r="AR2135" i="27" s="1"/>
  <c r="AS2135" i="27" s="1"/>
  <c r="AQ2676" i="27"/>
  <c r="AR2676" i="27" s="1"/>
  <c r="AS2676" i="27" s="1"/>
  <c r="AQ3046" i="27"/>
  <c r="AR3046" i="27" s="1"/>
  <c r="AS3046" i="27" s="1"/>
  <c r="AQ2769" i="27"/>
  <c r="AR2769" i="27" s="1"/>
  <c r="AS2769" i="27" s="1"/>
  <c r="AQ1242" i="27"/>
  <c r="AR1242" i="27" s="1"/>
  <c r="AS1242" i="27" s="1"/>
  <c r="AQ2605" i="27"/>
  <c r="AR2605" i="27" s="1"/>
  <c r="AS2605" i="27" s="1"/>
  <c r="AQ1096" i="27"/>
  <c r="AR1096" i="27" s="1"/>
  <c r="AS1096" i="27" s="1"/>
  <c r="AQ1046" i="27"/>
  <c r="AR1046" i="27" s="1"/>
  <c r="AS1046" i="27" s="1"/>
  <c r="AQ1536" i="27"/>
  <c r="AR1536" i="27" s="1"/>
  <c r="AS1536" i="27" s="1"/>
  <c r="AQ718" i="27"/>
  <c r="AR718" i="27" s="1"/>
  <c r="AS718" i="27" s="1"/>
  <c r="AQ2573" i="27"/>
  <c r="AR2573" i="27" s="1"/>
  <c r="AS2573" i="27" s="1"/>
  <c r="AQ3284" i="27"/>
  <c r="AR3284" i="27" s="1"/>
  <c r="AS3284" i="27" s="1"/>
  <c r="AQ1706" i="27"/>
  <c r="AR1706" i="27" s="1"/>
  <c r="AS1706" i="27" s="1"/>
  <c r="AQ1401" i="27"/>
  <c r="AR1401" i="27" s="1"/>
  <c r="AS1401" i="27" s="1"/>
  <c r="AQ1146" i="27"/>
  <c r="AR1146" i="27" s="1"/>
  <c r="AS1146" i="27" s="1"/>
  <c r="AQ2254" i="27"/>
  <c r="AR2254" i="27" s="1"/>
  <c r="AS2254" i="27" s="1"/>
  <c r="AQ3036" i="27"/>
  <c r="AR3036" i="27" s="1"/>
  <c r="AS3036" i="27" s="1"/>
  <c r="AQ2393" i="27"/>
  <c r="AR2393" i="27" s="1"/>
  <c r="AS2393" i="27" s="1"/>
  <c r="AQ3191" i="27"/>
  <c r="AR3191" i="27" s="1"/>
  <c r="AS3191" i="27" s="1"/>
  <c r="AQ1468" i="27"/>
  <c r="AR1468" i="27" s="1"/>
  <c r="AS1468" i="27" s="1"/>
  <c r="AQ2787" i="27"/>
  <c r="AR2787" i="27" s="1"/>
  <c r="AS2787" i="27" s="1"/>
  <c r="AQ1139" i="27"/>
  <c r="AR1139" i="27" s="1"/>
  <c r="AS1139" i="27" s="1"/>
  <c r="AQ1060" i="27"/>
  <c r="AR1060" i="27" s="1"/>
  <c r="AS1060" i="27" s="1"/>
  <c r="AQ3303" i="27"/>
  <c r="AR3303" i="27" s="1"/>
  <c r="AS3303" i="27" s="1"/>
  <c r="AQ745" i="27"/>
  <c r="AR745" i="27" s="1"/>
  <c r="AS745" i="27" s="1"/>
  <c r="AQ1355" i="27"/>
  <c r="AR1355" i="27" s="1"/>
  <c r="AS1355" i="27" s="1"/>
  <c r="AQ2925" i="27"/>
  <c r="AR2925" i="27" s="1"/>
  <c r="AS2925" i="27" s="1"/>
  <c r="AQ710" i="27"/>
  <c r="AR710" i="27" s="1"/>
  <c r="AS710" i="27" s="1"/>
  <c r="AQ370" i="27"/>
  <c r="AR370" i="27" s="1"/>
  <c r="AS370" i="27" s="1"/>
  <c r="AQ437" i="27"/>
  <c r="AR437" i="27" s="1"/>
  <c r="AS437" i="27" s="1"/>
  <c r="AQ2693" i="27"/>
  <c r="AR2693" i="27" s="1"/>
  <c r="AS2693" i="27" s="1"/>
  <c r="AQ2911" i="27"/>
  <c r="AR2911" i="27" s="1"/>
  <c r="AS2911" i="27" s="1"/>
  <c r="AQ687" i="27"/>
  <c r="AR687" i="27" s="1"/>
  <c r="AS687" i="27" s="1"/>
  <c r="AQ893" i="27"/>
  <c r="AR893" i="27" s="1"/>
  <c r="AS893" i="27" s="1"/>
  <c r="AQ3318" i="27"/>
  <c r="AR3318" i="27" s="1"/>
  <c r="AS3318" i="27" s="1"/>
  <c r="AQ1285" i="27"/>
  <c r="AR1285" i="27" s="1"/>
  <c r="AS1285" i="27" s="1"/>
  <c r="AQ2348" i="27"/>
  <c r="AR2348" i="27" s="1"/>
  <c r="AS2348" i="27" s="1"/>
  <c r="AQ2731" i="27"/>
  <c r="AR2731" i="27" s="1"/>
  <c r="AS2731" i="27" s="1"/>
  <c r="AQ1157" i="27"/>
  <c r="AR1157" i="27" s="1"/>
  <c r="AS1157" i="27" s="1"/>
  <c r="AQ1403" i="27"/>
  <c r="AR1403" i="27" s="1"/>
  <c r="AS1403" i="27" s="1"/>
  <c r="AQ1255" i="27"/>
  <c r="AR1255" i="27" s="1"/>
  <c r="AS1255" i="27" s="1"/>
  <c r="AQ2511" i="27"/>
  <c r="AR2511" i="27" s="1"/>
  <c r="AS2511" i="27" s="1"/>
  <c r="AQ458" i="27"/>
  <c r="AR458" i="27" s="1"/>
  <c r="AS458" i="27" s="1"/>
  <c r="AQ1584" i="27"/>
  <c r="AR1584" i="27" s="1"/>
  <c r="AS1584" i="27" s="1"/>
  <c r="AQ122" i="27"/>
  <c r="AR122" i="27" s="1"/>
  <c r="AS122" i="27" s="1"/>
  <c r="AQ734" i="27"/>
  <c r="AR734" i="27" s="1"/>
  <c r="AS734" i="27" s="1"/>
  <c r="AQ658" i="27"/>
  <c r="AR658" i="27" s="1"/>
  <c r="AS658" i="27" s="1"/>
  <c r="AQ1189" i="27"/>
  <c r="AR1189" i="27" s="1"/>
  <c r="AS1189" i="27" s="1"/>
  <c r="AQ2645" i="27"/>
  <c r="AR2645" i="27" s="1"/>
  <c r="AS2645" i="27" s="1"/>
  <c r="AQ2845" i="27"/>
  <c r="AR2845" i="27" s="1"/>
  <c r="AS2845" i="27" s="1"/>
  <c r="AQ1144" i="27"/>
  <c r="AR1144" i="27" s="1"/>
  <c r="AS1144" i="27" s="1"/>
  <c r="AQ1248" i="27"/>
  <c r="AR1248" i="27" s="1"/>
  <c r="AS1248" i="27" s="1"/>
  <c r="AQ3227" i="27"/>
  <c r="AR3227" i="27" s="1"/>
  <c r="AS3227" i="27" s="1"/>
  <c r="AQ2075" i="27"/>
  <c r="AR2075" i="27" s="1"/>
  <c r="AS2075" i="27" s="1"/>
  <c r="AQ1363" i="27"/>
  <c r="AR1363" i="27" s="1"/>
  <c r="AS1363" i="27" s="1"/>
  <c r="AQ2035" i="27"/>
  <c r="AR2035" i="27" s="1"/>
  <c r="AS2035" i="27" s="1"/>
  <c r="AQ2203" i="27"/>
  <c r="AR2203" i="27" s="1"/>
  <c r="AS2203" i="27" s="1"/>
  <c r="AQ2561" i="27"/>
  <c r="AR2561" i="27" s="1"/>
  <c r="AS2561" i="27" s="1"/>
  <c r="AQ221" i="27"/>
  <c r="AR221" i="27" s="1"/>
  <c r="AS221" i="27" s="1"/>
  <c r="AQ2508" i="27"/>
  <c r="AR2508" i="27" s="1"/>
  <c r="AS2508" i="27" s="1"/>
  <c r="AQ2411" i="27"/>
  <c r="AR2411" i="27" s="1"/>
  <c r="AS2411" i="27" s="1"/>
  <c r="AQ557" i="27"/>
  <c r="AR557" i="27" s="1"/>
  <c r="AS557" i="27" s="1"/>
  <c r="AQ2437" i="27"/>
  <c r="AR2437" i="27" s="1"/>
  <c r="AS2437" i="27" s="1"/>
  <c r="AQ2214" i="27"/>
  <c r="AR2214" i="27" s="1"/>
  <c r="AS2214" i="27" s="1"/>
  <c r="AQ469" i="27"/>
  <c r="AR469" i="27" s="1"/>
  <c r="AS469" i="27" s="1"/>
  <c r="AQ2784" i="27"/>
  <c r="AR2784" i="27" s="1"/>
  <c r="AS2784" i="27" s="1"/>
  <c r="AQ2756" i="27"/>
  <c r="AR2756" i="27" s="1"/>
  <c r="AS2756" i="27" s="1"/>
  <c r="AQ1258" i="27"/>
  <c r="AR1258" i="27" s="1"/>
  <c r="AS1258" i="27" s="1"/>
  <c r="AQ1593" i="27"/>
  <c r="AR1593" i="27" s="1"/>
  <c r="AS1593" i="27" s="1"/>
  <c r="AQ567" i="27"/>
  <c r="AR567" i="27" s="1"/>
  <c r="AS567" i="27" s="1"/>
  <c r="AQ2483" i="27"/>
  <c r="AR2483" i="27" s="1"/>
  <c r="AS2483" i="27" s="1"/>
  <c r="AQ3084" i="27"/>
  <c r="AR3084" i="27" s="1"/>
  <c r="AS3084" i="27" s="1"/>
  <c r="AQ2878" i="27"/>
  <c r="AR2878" i="27" s="1"/>
  <c r="AS2878" i="27" s="1"/>
  <c r="AQ538" i="27"/>
  <c r="AR538" i="27" s="1"/>
  <c r="AS538" i="27" s="1"/>
  <c r="AQ1083" i="27"/>
  <c r="AR1083" i="27" s="1"/>
  <c r="AS1083" i="27" s="1"/>
  <c r="AQ2473" i="27"/>
  <c r="AR2473" i="27" s="1"/>
  <c r="AS2473" i="27" s="1"/>
  <c r="AQ107" i="27"/>
  <c r="AR107" i="27" s="1"/>
  <c r="AS107" i="27" s="1"/>
  <c r="AQ128" i="27"/>
  <c r="AR128" i="27" s="1"/>
  <c r="AS128" i="27" s="1"/>
  <c r="AQ106" i="27"/>
  <c r="AR106" i="27" s="1"/>
  <c r="AS106" i="27" s="1"/>
  <c r="AQ3220" i="27"/>
  <c r="AR3220" i="27" s="1"/>
  <c r="AS3220" i="27" s="1"/>
  <c r="AQ2289" i="27"/>
  <c r="AR2289" i="27" s="1"/>
  <c r="AS2289" i="27" s="1"/>
  <c r="AQ1780" i="27"/>
  <c r="AR1780" i="27" s="1"/>
  <c r="AS1780" i="27" s="1"/>
  <c r="AQ2607" i="27"/>
  <c r="AR2607" i="27" s="1"/>
  <c r="AS2607" i="27" s="1"/>
  <c r="AQ1663" i="27"/>
  <c r="AR1663" i="27" s="1"/>
  <c r="AS1663" i="27" s="1"/>
  <c r="AQ2353" i="27"/>
  <c r="AR2353" i="27" s="1"/>
  <c r="AS2353" i="27" s="1"/>
  <c r="AQ2065" i="27"/>
  <c r="AR2065" i="27" s="1"/>
  <c r="AS2065" i="27" s="1"/>
  <c r="AQ3115" i="27"/>
  <c r="AR3115" i="27" s="1"/>
  <c r="AS3115" i="27" s="1"/>
  <c r="AQ2617" i="27"/>
  <c r="AR2617" i="27" s="1"/>
  <c r="AS2617" i="27" s="1"/>
  <c r="AQ2749" i="27"/>
  <c r="AR2749" i="27" s="1"/>
  <c r="AS2749" i="27" s="1"/>
  <c r="AQ1575" i="27"/>
  <c r="AR1575" i="27" s="1"/>
  <c r="AS1575" i="27" s="1"/>
  <c r="AQ2129" i="27"/>
  <c r="AR2129" i="27" s="1"/>
  <c r="AS2129" i="27" s="1"/>
  <c r="AQ1337" i="27"/>
  <c r="AR1337" i="27" s="1"/>
  <c r="AS1337" i="27" s="1"/>
  <c r="AQ2121" i="27"/>
  <c r="AR2121" i="27" s="1"/>
  <c r="AS2121" i="27" s="1"/>
  <c r="AQ536" i="27"/>
  <c r="AR536" i="27" s="1"/>
  <c r="AS536" i="27" s="1"/>
  <c r="AQ1491" i="27"/>
  <c r="AR1491" i="27" s="1"/>
  <c r="AS1491" i="27" s="1"/>
  <c r="AQ1260" i="27"/>
  <c r="AR1260" i="27" s="1"/>
  <c r="AS1260" i="27" s="1"/>
  <c r="AQ1084" i="27"/>
  <c r="AR1084" i="27" s="1"/>
  <c r="AS1084" i="27" s="1"/>
  <c r="AQ3290" i="27"/>
  <c r="AR3290" i="27" s="1"/>
  <c r="AS3290" i="27" s="1"/>
  <c r="AQ2841" i="27"/>
  <c r="AR2841" i="27" s="1"/>
  <c r="AS2841" i="27" s="1"/>
  <c r="AQ1249" i="27"/>
  <c r="AR1249" i="27" s="1"/>
  <c r="AS1249" i="27" s="1"/>
  <c r="AQ2496" i="27"/>
  <c r="AR2496" i="27" s="1"/>
  <c r="AS2496" i="27" s="1"/>
  <c r="AQ2306" i="27"/>
  <c r="AR2306" i="27" s="1"/>
  <c r="AS2306" i="27" s="1"/>
  <c r="AQ2801" i="27"/>
  <c r="AR2801" i="27" s="1"/>
  <c r="AS2801" i="27" s="1"/>
  <c r="AQ2301" i="27"/>
  <c r="AR2301" i="27" s="1"/>
  <c r="AS2301" i="27" s="1"/>
  <c r="AQ2641" i="27"/>
  <c r="AR2641" i="27" s="1"/>
  <c r="AS2641" i="27" s="1"/>
  <c r="AQ858" i="27"/>
  <c r="AR858" i="27" s="1"/>
  <c r="AS858" i="27" s="1"/>
  <c r="AQ1145" i="27"/>
  <c r="AR1145" i="27" s="1"/>
  <c r="AS1145" i="27" s="1"/>
  <c r="AQ1895" i="27"/>
  <c r="AR1895" i="27" s="1"/>
  <c r="AS1895" i="27" s="1"/>
  <c r="AQ1029" i="27"/>
  <c r="AR1029" i="27" s="1"/>
  <c r="AS1029" i="27" s="1"/>
  <c r="AQ2541" i="27"/>
  <c r="AR2541" i="27" s="1"/>
  <c r="AS2541" i="27" s="1"/>
  <c r="AQ846" i="27"/>
  <c r="AR846" i="27" s="1"/>
  <c r="AS846" i="27" s="1"/>
  <c r="AQ1270" i="27"/>
  <c r="AR1270" i="27" s="1"/>
  <c r="AS1270" i="27" s="1"/>
  <c r="AQ847" i="27"/>
  <c r="AR847" i="27" s="1"/>
  <c r="AS847" i="27" s="1"/>
  <c r="AQ2262" i="27"/>
  <c r="AR2262" i="27" s="1"/>
  <c r="AS2262" i="27" s="1"/>
  <c r="AQ1314" i="27"/>
  <c r="AR1314" i="27" s="1"/>
  <c r="AS1314" i="27" s="1"/>
  <c r="AQ577" i="27"/>
  <c r="AR577" i="27" s="1"/>
  <c r="AS577" i="27" s="1"/>
  <c r="AQ2094" i="27"/>
  <c r="AR2094" i="27" s="1"/>
  <c r="AS2094" i="27" s="1"/>
  <c r="AQ2420" i="27"/>
  <c r="AR2420" i="27" s="1"/>
  <c r="AS2420" i="27" s="1"/>
  <c r="AQ343" i="27"/>
  <c r="AR343" i="27" s="1"/>
  <c r="AS343" i="27" s="1"/>
  <c r="AQ411" i="27"/>
  <c r="AR411" i="27" s="1"/>
  <c r="AS411" i="27" s="1"/>
  <c r="AQ724" i="27"/>
  <c r="AR724" i="27" s="1"/>
  <c r="AS724" i="27" s="1"/>
  <c r="AQ2627" i="27"/>
  <c r="AR2627" i="27" s="1"/>
  <c r="AS2627" i="27" s="1"/>
  <c r="AQ1465" i="27"/>
  <c r="AR1465" i="27" s="1"/>
  <c r="AS1465" i="27" s="1"/>
  <c r="AQ3245" i="27"/>
  <c r="AR3245" i="27" s="1"/>
  <c r="AS3245" i="27" s="1"/>
  <c r="AQ2764" i="27"/>
  <c r="AR2764" i="27" s="1"/>
  <c r="AS2764" i="27" s="1"/>
  <c r="AQ963" i="27"/>
  <c r="AR963" i="27" s="1"/>
  <c r="AS963" i="27" s="1"/>
  <c r="AQ2934" i="27"/>
  <c r="AR2934" i="27" s="1"/>
  <c r="AS2934" i="27" s="1"/>
  <c r="AQ574" i="27"/>
  <c r="AR574" i="27" s="1"/>
  <c r="AS574" i="27" s="1"/>
  <c r="AQ1719" i="27"/>
  <c r="AR1719" i="27" s="1"/>
  <c r="AS1719" i="27" s="1"/>
  <c r="AQ376" i="27"/>
  <c r="AR376" i="27" s="1"/>
  <c r="AS376" i="27" s="1"/>
  <c r="AQ3271" i="27"/>
  <c r="AR3271" i="27" s="1"/>
  <c r="AS3271" i="27" s="1"/>
  <c r="AQ1495" i="27"/>
  <c r="AR1495" i="27" s="1"/>
  <c r="AS1495" i="27" s="1"/>
  <c r="AQ2265" i="27"/>
  <c r="AR2265" i="27" s="1"/>
  <c r="AS2265" i="27" s="1"/>
  <c r="AQ1478" i="27"/>
  <c r="AR1478" i="27" s="1"/>
  <c r="AS1478" i="27" s="1"/>
  <c r="AQ1370" i="27"/>
  <c r="AR1370" i="27" s="1"/>
  <c r="AS1370" i="27" s="1"/>
  <c r="AQ2733" i="27"/>
  <c r="AR2733" i="27" s="1"/>
  <c r="AS2733" i="27" s="1"/>
  <c r="AQ1656" i="27"/>
  <c r="AR1656" i="27" s="1"/>
  <c r="AS1656" i="27" s="1"/>
  <c r="AQ2831" i="27"/>
  <c r="AR2831" i="27" s="1"/>
  <c r="AS2831" i="27" s="1"/>
  <c r="AQ1886" i="27"/>
  <c r="AR1886" i="27" s="1"/>
  <c r="AS1886" i="27" s="1"/>
  <c r="AQ2193" i="27"/>
  <c r="AR2193" i="27" s="1"/>
  <c r="AS2193" i="27" s="1"/>
  <c r="AQ2516" i="27"/>
  <c r="AR2516" i="27" s="1"/>
  <c r="AS2516" i="27" s="1"/>
  <c r="AQ866" i="27"/>
  <c r="AR866" i="27" s="1"/>
  <c r="AS866" i="27" s="1"/>
  <c r="AQ829" i="27"/>
  <c r="AR829" i="27" s="1"/>
  <c r="AS829" i="27" s="1"/>
  <c r="AQ2544" i="27"/>
  <c r="AR2544" i="27" s="1"/>
  <c r="AS2544" i="27" s="1"/>
  <c r="AQ2459" i="27"/>
  <c r="AR2459" i="27" s="1"/>
  <c r="AS2459" i="27" s="1"/>
  <c r="AQ2406" i="27"/>
  <c r="AR2406" i="27" s="1"/>
  <c r="AS2406" i="27" s="1"/>
  <c r="AQ2583" i="27"/>
  <c r="AR2583" i="27" s="1"/>
  <c r="AS2583" i="27" s="1"/>
  <c r="AQ2805" i="27"/>
  <c r="AR2805" i="27" s="1"/>
  <c r="AS2805" i="27" s="1"/>
  <c r="AQ2653" i="27"/>
  <c r="AR2653" i="27" s="1"/>
  <c r="AS2653" i="27" s="1"/>
  <c r="AQ1318" i="27"/>
  <c r="AR1318" i="27" s="1"/>
  <c r="AS1318" i="27" s="1"/>
  <c r="AQ729" i="27"/>
  <c r="AR729" i="27" s="1"/>
  <c r="AS729" i="27" s="1"/>
  <c r="AQ1028" i="27"/>
  <c r="AR1028" i="27" s="1"/>
  <c r="AS1028" i="27" s="1"/>
  <c r="AQ2095" i="27"/>
  <c r="AR2095" i="27" s="1"/>
  <c r="AS2095" i="27" s="1"/>
  <c r="AQ927" i="27"/>
  <c r="AR927" i="27" s="1"/>
  <c r="AS927" i="27" s="1"/>
  <c r="AQ515" i="27"/>
  <c r="AR515" i="27" s="1"/>
  <c r="AS515" i="27" s="1"/>
  <c r="AQ1814" i="27"/>
  <c r="AR1814" i="27" s="1"/>
  <c r="AS1814" i="27" s="1"/>
  <c r="AQ2240" i="27"/>
  <c r="AR2240" i="27" s="1"/>
  <c r="AS2240" i="27" s="1"/>
  <c r="AQ2468" i="27"/>
  <c r="AR2468" i="27" s="1"/>
  <c r="AS2468" i="27" s="1"/>
  <c r="AQ449" i="27"/>
  <c r="AR449" i="27" s="1"/>
  <c r="AS449" i="27" s="1"/>
  <c r="AQ2868" i="27"/>
  <c r="AR2868" i="27" s="1"/>
  <c r="AS2868" i="27" s="1"/>
  <c r="AQ3222" i="27"/>
  <c r="AR3222" i="27" s="1"/>
  <c r="AS3222" i="27" s="1"/>
  <c r="AQ1765" i="27"/>
  <c r="AR1765" i="27" s="1"/>
  <c r="AS1765" i="27" s="1"/>
  <c r="AQ104" i="27"/>
  <c r="AR104" i="27" s="1"/>
  <c r="AS104" i="27" s="1"/>
  <c r="AQ1427" i="27"/>
  <c r="AR1427" i="27" s="1"/>
  <c r="AS1427" i="27" s="1"/>
  <c r="AQ3302" i="27"/>
  <c r="AR3302" i="27" s="1"/>
  <c r="AS3302" i="27" s="1"/>
  <c r="AQ218" i="27"/>
  <c r="AR218" i="27" s="1"/>
  <c r="AS218" i="27" s="1"/>
  <c r="AQ1509" i="27"/>
  <c r="AR1509" i="27" s="1"/>
  <c r="AS1509" i="27" s="1"/>
  <c r="AQ494" i="27"/>
  <c r="AR494" i="27" s="1"/>
  <c r="AS494" i="27" s="1"/>
  <c r="AQ3113" i="27"/>
  <c r="AR3113" i="27" s="1"/>
  <c r="AS3113" i="27" s="1"/>
  <c r="AQ3188" i="27"/>
  <c r="AR3188" i="27" s="1"/>
  <c r="AS3188" i="27" s="1"/>
  <c r="AQ2057" i="27"/>
  <c r="AR2057" i="27" s="1"/>
  <c r="AS2057" i="27" s="1"/>
  <c r="AQ1545" i="27"/>
  <c r="AR1545" i="27" s="1"/>
  <c r="AS1545" i="27" s="1"/>
  <c r="AQ3254" i="27"/>
  <c r="AR3254" i="27" s="1"/>
  <c r="AS3254" i="27" s="1"/>
  <c r="AQ3099" i="27"/>
  <c r="AR3099" i="27" s="1"/>
  <c r="AS3099" i="27" s="1"/>
  <c r="AQ2986" i="27"/>
  <c r="AR2986" i="27" s="1"/>
  <c r="AS2986" i="27" s="1"/>
  <c r="AQ2307" i="27"/>
  <c r="AR2307" i="27" s="1"/>
  <c r="AS2307" i="27" s="1"/>
  <c r="AQ820" i="27"/>
  <c r="AR820" i="27" s="1"/>
  <c r="AS820" i="27" s="1"/>
  <c r="AQ504" i="27"/>
  <c r="AR504" i="27" s="1"/>
  <c r="AS504" i="27" s="1"/>
  <c r="AQ2385" i="27"/>
  <c r="AR2385" i="27" s="1"/>
  <c r="AS2385" i="27" s="1"/>
  <c r="AQ956" i="27"/>
  <c r="AR956" i="27" s="1"/>
  <c r="AS956" i="27" s="1"/>
  <c r="AQ2402" i="27"/>
  <c r="AR2402" i="27" s="1"/>
  <c r="AS2402" i="27" s="1"/>
  <c r="AQ1438" i="27"/>
  <c r="AR1438" i="27" s="1"/>
  <c r="AS1438" i="27" s="1"/>
  <c r="AQ3313" i="27"/>
  <c r="AR3313" i="27" s="1"/>
  <c r="AS3313" i="27" s="1"/>
  <c r="AQ628" i="27"/>
  <c r="AR628" i="27" s="1"/>
  <c r="AS628" i="27" s="1"/>
  <c r="AQ1541" i="27"/>
  <c r="AR1541" i="27" s="1"/>
  <c r="AS1541" i="27" s="1"/>
  <c r="AQ500" i="27"/>
  <c r="AR500" i="27" s="1"/>
  <c r="AS500" i="27" s="1"/>
  <c r="AQ1244" i="27"/>
  <c r="AR1244" i="27" s="1"/>
  <c r="AS1244" i="27" s="1"/>
  <c r="AQ2043" i="27"/>
  <c r="AR2043" i="27" s="1"/>
  <c r="AS2043" i="27" s="1"/>
  <c r="AQ1250" i="27"/>
  <c r="AR1250" i="27" s="1"/>
  <c r="AS1250" i="27" s="1"/>
  <c r="AQ1472" i="27"/>
  <c r="AR1472" i="27" s="1"/>
  <c r="AS1472" i="27" s="1"/>
  <c r="AQ347" i="27"/>
  <c r="AR347" i="27" s="1"/>
  <c r="AS347" i="27" s="1"/>
  <c r="AQ1581" i="27"/>
  <c r="AR1581" i="27" s="1"/>
  <c r="AS1581" i="27" s="1"/>
  <c r="AQ1547" i="27"/>
  <c r="AR1547" i="27" s="1"/>
  <c r="AS1547" i="27" s="1"/>
  <c r="AQ118" i="27"/>
  <c r="AR118" i="27" s="1"/>
  <c r="AS118" i="27" s="1"/>
  <c r="AQ892" i="27"/>
  <c r="AR892" i="27" s="1"/>
  <c r="AS892" i="27" s="1"/>
  <c r="AQ2929" i="27"/>
  <c r="AR2929" i="27" s="1"/>
  <c r="AS2929" i="27" s="1"/>
  <c r="AQ1720" i="27"/>
  <c r="AR1720" i="27" s="1"/>
  <c r="AS1720" i="27" s="1"/>
  <c r="AQ967" i="27"/>
  <c r="AR967" i="27" s="1"/>
  <c r="AS967" i="27" s="1"/>
  <c r="AQ2405" i="27"/>
  <c r="AR2405" i="27" s="1"/>
  <c r="AS2405" i="27" s="1"/>
  <c r="AQ490" i="27"/>
  <c r="AR490" i="27" s="1"/>
  <c r="AS490" i="27" s="1"/>
  <c r="AQ3295" i="27"/>
  <c r="AR3295" i="27" s="1"/>
  <c r="AS3295" i="27" s="1"/>
  <c r="AQ2581" i="27"/>
  <c r="AR2581" i="27" s="1"/>
  <c r="AS2581" i="27" s="1"/>
  <c r="AQ2670" i="27"/>
  <c r="AR2670" i="27" s="1"/>
  <c r="AS2670" i="27" s="1"/>
  <c r="AQ2390" i="27"/>
  <c r="AR2390" i="27" s="1"/>
  <c r="AS2390" i="27" s="1"/>
  <c r="AQ396" i="27"/>
  <c r="AR396" i="27" s="1"/>
  <c r="AS396" i="27" s="1"/>
  <c r="AQ1695" i="27"/>
  <c r="AR1695" i="27" s="1"/>
  <c r="AS1695" i="27" s="1"/>
  <c r="AQ2000" i="27"/>
  <c r="AR2000" i="27" s="1"/>
  <c r="AS2000" i="27" s="1"/>
  <c r="AQ828" i="27"/>
  <c r="AR828" i="27" s="1"/>
  <c r="AS828" i="27" s="1"/>
  <c r="AQ790" i="27"/>
  <c r="AR790" i="27" s="1"/>
  <c r="AS790" i="27" s="1"/>
  <c r="AQ774" i="27"/>
  <c r="AR774" i="27" s="1"/>
  <c r="AS774" i="27" s="1"/>
  <c r="AQ896" i="27"/>
  <c r="AR896" i="27" s="1"/>
  <c r="AS896" i="27" s="1"/>
  <c r="AQ1032" i="27"/>
  <c r="AR1032" i="27" s="1"/>
  <c r="AS1032" i="27" s="1"/>
  <c r="AQ1560" i="27"/>
  <c r="AR1560" i="27" s="1"/>
  <c r="AS1560" i="27" s="1"/>
  <c r="AQ550" i="27"/>
  <c r="AR550" i="27" s="1"/>
  <c r="AS550" i="27" s="1"/>
  <c r="AQ543" i="27"/>
  <c r="AR543" i="27" s="1"/>
  <c r="AS543" i="27" s="1"/>
  <c r="AQ2847" i="27"/>
  <c r="AR2847" i="27" s="1"/>
  <c r="AS2847" i="27" s="1"/>
  <c r="AQ1707" i="27"/>
  <c r="AR1707" i="27" s="1"/>
  <c r="AS1707" i="27" s="1"/>
  <c r="AQ1609" i="27"/>
  <c r="AR1609" i="27" s="1"/>
  <c r="AS1609" i="27" s="1"/>
  <c r="AQ80" i="27"/>
  <c r="AR80" i="27" s="1"/>
  <c r="AS80" i="27" s="1"/>
  <c r="AQ1498" i="27"/>
  <c r="AR1498" i="27" s="1"/>
  <c r="AS1498" i="27" s="1"/>
  <c r="AQ1366" i="27"/>
  <c r="AR1366" i="27" s="1"/>
  <c r="AS1366" i="27" s="1"/>
  <c r="AQ1636" i="27"/>
  <c r="AR1636" i="27" s="1"/>
  <c r="AS1636" i="27" s="1"/>
  <c r="AQ3216" i="27"/>
  <c r="AR3216" i="27" s="1"/>
  <c r="AS3216" i="27" s="1"/>
  <c r="AQ1022" i="27"/>
  <c r="AR1022" i="27" s="1"/>
  <c r="AS1022" i="27" s="1"/>
  <c r="AQ1484" i="27"/>
  <c r="AR1484" i="27" s="1"/>
  <c r="AS1484" i="27" s="1"/>
  <c r="AQ430" i="27"/>
  <c r="AR430" i="27" s="1"/>
  <c r="AS430" i="27" s="1"/>
  <c r="AQ2373" i="27"/>
  <c r="AR2373" i="27" s="1"/>
  <c r="AS2373" i="27" s="1"/>
  <c r="AQ691" i="27"/>
  <c r="AR691" i="27" s="1"/>
  <c r="AS691" i="27" s="1"/>
  <c r="AQ578" i="27"/>
  <c r="AR578" i="27" s="1"/>
  <c r="AS578" i="27" s="1"/>
  <c r="AQ535" i="27"/>
  <c r="AR535" i="27" s="1"/>
  <c r="AS535" i="27" s="1"/>
  <c r="AQ2020" i="27"/>
  <c r="AR2020" i="27" s="1"/>
  <c r="AS2020" i="27" s="1"/>
  <c r="AQ83" i="27"/>
  <c r="AR83" i="27" s="1"/>
  <c r="AS83" i="27" s="1"/>
  <c r="AQ1031" i="27"/>
  <c r="AR1031" i="27" s="1"/>
  <c r="AS1031" i="27" s="1"/>
  <c r="AQ1486" i="27"/>
  <c r="AR1486" i="27" s="1"/>
  <c r="AS1486" i="27" s="1"/>
  <c r="AQ1386" i="27"/>
  <c r="AR1386" i="27" s="1"/>
  <c r="AS1386" i="27" s="1"/>
  <c r="AQ367" i="27"/>
  <c r="AR367" i="27" s="1"/>
  <c r="AS367" i="27" s="1"/>
  <c r="AQ3294" i="27"/>
  <c r="AR3294" i="27" s="1"/>
  <c r="AS3294" i="27" s="1"/>
  <c r="AQ484" i="27"/>
  <c r="AR484" i="27" s="1"/>
  <c r="AS484" i="27" s="1"/>
  <c r="AQ46" i="27"/>
  <c r="AR46" i="27" s="1"/>
  <c r="AS46" i="27" s="1"/>
  <c r="AQ1092" i="27"/>
  <c r="AR1092" i="27" s="1"/>
  <c r="AS1092" i="27" s="1"/>
  <c r="AQ2879" i="27"/>
  <c r="AR2879" i="27" s="1"/>
  <c r="AS2879" i="27" s="1"/>
  <c r="AQ1507" i="27"/>
  <c r="AR1507" i="27" s="1"/>
  <c r="AS1507" i="27" s="1"/>
  <c r="AQ990" i="27"/>
  <c r="AR990" i="27" s="1"/>
  <c r="AS990" i="27" s="1"/>
  <c r="AQ1149" i="27"/>
  <c r="AR1149" i="27" s="1"/>
  <c r="AS1149" i="27" s="1"/>
  <c r="AQ1734" i="27"/>
  <c r="AR1734" i="27" s="1"/>
  <c r="AS1734" i="27" s="1"/>
  <c r="AQ1646" i="27"/>
  <c r="AR1646" i="27" s="1"/>
  <c r="AS1646" i="27" s="1"/>
  <c r="AQ2779" i="27"/>
  <c r="AR2779" i="27" s="1"/>
  <c r="AS2779" i="27" s="1"/>
  <c r="AQ2058" i="27"/>
  <c r="AR2058" i="27" s="1"/>
  <c r="AS2058" i="27" s="1"/>
  <c r="AQ570" i="27"/>
  <c r="AR570" i="27" s="1"/>
  <c r="AS570" i="27" s="1"/>
  <c r="AQ1090" i="27"/>
  <c r="AR1090" i="27" s="1"/>
  <c r="AS1090" i="27" s="1"/>
  <c r="AQ944" i="27"/>
  <c r="AR944" i="27" s="1"/>
  <c r="AS944" i="27" s="1"/>
  <c r="AQ760" i="27"/>
  <c r="AR760" i="27" s="1"/>
  <c r="AS760" i="27" s="1"/>
  <c r="AQ322" i="27"/>
  <c r="AR322" i="27" s="1"/>
  <c r="AS322" i="27" s="1"/>
  <c r="AQ624" i="27"/>
  <c r="AR624" i="27" s="1"/>
  <c r="AS624" i="27" s="1"/>
  <c r="AQ709" i="27"/>
  <c r="AR709" i="27" s="1"/>
  <c r="AS709" i="27" s="1"/>
  <c r="AQ1891" i="27"/>
  <c r="AR1891" i="27" s="1"/>
  <c r="AS1891" i="27" s="1"/>
  <c r="AQ2823" i="27"/>
  <c r="AR2823" i="27" s="1"/>
  <c r="AS2823" i="27" s="1"/>
  <c r="AQ371" i="27"/>
  <c r="AR371" i="27" s="1"/>
  <c r="AS371" i="27" s="1"/>
  <c r="AQ2449" i="27"/>
  <c r="AR2449" i="27" s="1"/>
  <c r="AS2449" i="27" s="1"/>
  <c r="AQ584" i="27"/>
  <c r="AR584" i="27" s="1"/>
  <c r="AS584" i="27" s="1"/>
  <c r="AQ559" i="27"/>
  <c r="AR559" i="27" s="1"/>
  <c r="AS559" i="27" s="1"/>
  <c r="AQ2097" i="27"/>
  <c r="AR2097" i="27" s="1"/>
  <c r="AS2097" i="27" s="1"/>
  <c r="AQ1367" i="27"/>
  <c r="AR1367" i="27" s="1"/>
  <c r="AS1367" i="27" s="1"/>
  <c r="AQ3210" i="27"/>
  <c r="AR3210" i="27" s="1"/>
  <c r="AS3210" i="27" s="1"/>
  <c r="AQ511" i="27"/>
  <c r="AR511" i="27" s="1"/>
  <c r="AS511" i="27" s="1"/>
  <c r="AQ703" i="27"/>
  <c r="AR703" i="27" s="1"/>
  <c r="AS703" i="27" s="1"/>
  <c r="AQ2580" i="27"/>
  <c r="AR2580" i="27" s="1"/>
  <c r="AS2580" i="27" s="1"/>
  <c r="AQ2752" i="27"/>
  <c r="AR2752" i="27" s="1"/>
  <c r="AS2752" i="27" s="1"/>
  <c r="AQ1915" i="27"/>
  <c r="AR1915" i="27" s="1"/>
  <c r="AS1915" i="27" s="1"/>
  <c r="AQ2266" i="27"/>
  <c r="AR2266" i="27" s="1"/>
  <c r="AS2266" i="27" s="1"/>
  <c r="AQ335" i="27"/>
  <c r="AR335" i="27" s="1"/>
  <c r="AS335" i="27" s="1"/>
  <c r="AQ1620" i="27"/>
  <c r="AR1620" i="27" s="1"/>
  <c r="AS1620" i="27" s="1"/>
  <c r="AQ2453" i="27"/>
  <c r="AR2453" i="27" s="1"/>
  <c r="AS2453" i="27" s="1"/>
  <c r="AQ1878" i="27"/>
  <c r="AR1878" i="27" s="1"/>
  <c r="AS1878" i="27" s="1"/>
  <c r="AQ2591" i="27"/>
  <c r="AR2591" i="27" s="1"/>
  <c r="AS2591" i="27" s="1"/>
  <c r="AQ1502" i="27"/>
  <c r="AR1502" i="27" s="1"/>
  <c r="AS1502" i="27" s="1"/>
  <c r="AQ2465" i="27"/>
  <c r="AR2465" i="27" s="1"/>
  <c r="AS2465" i="27" s="1"/>
  <c r="AQ2509" i="27"/>
  <c r="AR2509" i="27" s="1"/>
  <c r="AS2509" i="27" s="1"/>
  <c r="AQ3166" i="27"/>
  <c r="AR3166" i="27" s="1"/>
  <c r="AS3166" i="27" s="1"/>
  <c r="AQ31" i="27"/>
  <c r="AR31" i="27" s="1"/>
  <c r="AS31" i="27" s="1"/>
  <c r="AQ1730" i="27"/>
  <c r="AR1730" i="27" s="1"/>
  <c r="AS1730" i="27" s="1"/>
  <c r="AQ3298" i="27"/>
  <c r="AR3298" i="27" s="1"/>
  <c r="AS3298" i="27" s="1"/>
  <c r="AQ2725" i="27"/>
  <c r="AR2725" i="27" s="1"/>
  <c r="AS2725" i="27" s="1"/>
  <c r="AQ1779" i="27"/>
  <c r="AR1779" i="27" s="1"/>
  <c r="AS1779" i="27" s="1"/>
  <c r="AQ362" i="27"/>
  <c r="AR362" i="27" s="1"/>
  <c r="AS362" i="27" s="1"/>
  <c r="AQ579" i="27"/>
  <c r="AR579" i="27" s="1"/>
  <c r="AS579" i="27" s="1"/>
  <c r="AQ707" i="27"/>
  <c r="AR707" i="27" s="1"/>
  <c r="AS707" i="27" s="1"/>
  <c r="AQ730" i="27"/>
  <c r="AR730" i="27" s="1"/>
  <c r="AS730" i="27" s="1"/>
  <c r="AQ651" i="27"/>
  <c r="AR651" i="27" s="1"/>
  <c r="AS651" i="27" s="1"/>
  <c r="AQ1042" i="27"/>
  <c r="AR1042" i="27" s="1"/>
  <c r="AS1042" i="27" s="1"/>
  <c r="AQ532" i="27"/>
  <c r="AR532" i="27" s="1"/>
  <c r="AS532" i="27" s="1"/>
  <c r="AQ1913" i="27"/>
  <c r="AR1913" i="27" s="1"/>
  <c r="AS1913" i="27" s="1"/>
  <c r="AQ75" i="27"/>
  <c r="AR75" i="27" s="1"/>
  <c r="AS75" i="27" s="1"/>
  <c r="AQ470" i="27"/>
  <c r="AR470" i="27" s="1"/>
  <c r="AS470" i="27" s="1"/>
  <c r="AQ2350" i="27"/>
  <c r="AR2350" i="27" s="1"/>
  <c r="AS2350" i="27" s="1"/>
  <c r="AQ2988" i="27"/>
  <c r="AR2988" i="27" s="1"/>
  <c r="AS2988" i="27" s="1"/>
  <c r="AQ2659" i="27"/>
  <c r="AR2659" i="27" s="1"/>
  <c r="AS2659" i="27" s="1"/>
  <c r="AQ2252" i="27"/>
  <c r="AR2252" i="27" s="1"/>
  <c r="AS2252" i="27" s="1"/>
  <c r="AQ2011" i="27"/>
  <c r="AR2011" i="27" s="1"/>
  <c r="AS2011" i="27" s="1"/>
  <c r="AQ2410" i="27"/>
  <c r="AR2410" i="27" s="1"/>
  <c r="AS2410" i="27" s="1"/>
  <c r="AQ2099" i="27"/>
  <c r="AR2099" i="27" s="1"/>
  <c r="AS2099" i="27" s="1"/>
  <c r="AQ479" i="27"/>
  <c r="AR479" i="27" s="1"/>
  <c r="AS479" i="27" s="1"/>
  <c r="AQ2876" i="27"/>
  <c r="AR2876" i="27" s="1"/>
  <c r="AS2876" i="27" s="1"/>
  <c r="AQ445" i="27"/>
  <c r="AR445" i="27" s="1"/>
  <c r="AS445" i="27" s="1"/>
  <c r="AQ144" i="27"/>
  <c r="AR144" i="27" s="1"/>
  <c r="AS144" i="27" s="1"/>
  <c r="AQ876" i="27"/>
  <c r="AR876" i="27" s="1"/>
  <c r="AS876" i="27" s="1"/>
  <c r="AQ1767" i="27"/>
  <c r="AR1767" i="27" s="1"/>
  <c r="AS1767" i="27" s="1"/>
  <c r="AQ3108" i="27"/>
  <c r="AR3108" i="27" s="1"/>
  <c r="AS3108" i="27" s="1"/>
  <c r="AQ704" i="27"/>
  <c r="AR704" i="27" s="1"/>
  <c r="AS704" i="27" s="1"/>
  <c r="AQ3117" i="27"/>
  <c r="AR3117" i="27" s="1"/>
  <c r="AS3117" i="27" s="1"/>
  <c r="AQ3330" i="27"/>
  <c r="AR3330" i="27" s="1"/>
  <c r="AS3330" i="27" s="1"/>
  <c r="AQ1572" i="27"/>
  <c r="AR1572" i="27" s="1"/>
  <c r="AS1572" i="27" s="1"/>
  <c r="AQ1511" i="27"/>
  <c r="AR1511" i="27" s="1"/>
  <c r="AS1511" i="27" s="1"/>
  <c r="AQ2994" i="27"/>
  <c r="AR2994" i="27" s="1"/>
  <c r="AS2994" i="27" s="1"/>
  <c r="AQ1535" i="27"/>
  <c r="AR1535" i="27" s="1"/>
  <c r="AS1535" i="27" s="1"/>
  <c r="AQ69" i="27"/>
  <c r="AR69" i="27" s="1"/>
  <c r="AS69" i="27" s="1"/>
  <c r="AQ3178" i="27"/>
  <c r="AR3178" i="27" s="1"/>
  <c r="AS3178" i="27" s="1"/>
  <c r="AQ2199" i="27"/>
  <c r="AR2199" i="27" s="1"/>
  <c r="AS2199" i="27" s="1"/>
  <c r="AQ2064" i="27"/>
  <c r="AR2064" i="27" s="1"/>
  <c r="AS2064" i="27" s="1"/>
  <c r="AQ1003" i="27"/>
  <c r="AR1003" i="27" s="1"/>
  <c r="AS1003" i="27" s="1"/>
  <c r="AQ2615" i="27"/>
  <c r="AR2615" i="27" s="1"/>
  <c r="AS2615" i="27" s="1"/>
  <c r="AQ946" i="27"/>
  <c r="AR946" i="27" s="1"/>
  <c r="AS946" i="27" s="1"/>
  <c r="AQ2145" i="27"/>
  <c r="AR2145" i="27" s="1"/>
  <c r="AS2145" i="27" s="1"/>
  <c r="AQ2611" i="27"/>
  <c r="AR2611" i="27" s="1"/>
  <c r="AS2611" i="27" s="1"/>
  <c r="AQ960" i="27"/>
  <c r="AR960" i="27" s="1"/>
  <c r="AS960" i="27" s="1"/>
  <c r="AQ1526" i="27"/>
  <c r="AR1526" i="27" s="1"/>
  <c r="AS1526" i="27" s="1"/>
  <c r="AQ380" i="27"/>
  <c r="AR380" i="27" s="1"/>
  <c r="AS380" i="27" s="1"/>
  <c r="AQ2211" i="27"/>
  <c r="AR2211" i="27" s="1"/>
  <c r="AS2211" i="27" s="1"/>
  <c r="AQ991" i="27"/>
  <c r="AR991" i="27" s="1"/>
  <c r="AS991" i="27" s="1"/>
  <c r="AQ1693" i="27"/>
  <c r="AR1693" i="27" s="1"/>
  <c r="AS1693" i="27" s="1"/>
  <c r="AQ1422" i="27"/>
  <c r="AR1422" i="27" s="1"/>
  <c r="AS1422" i="27" s="1"/>
  <c r="AQ2274" i="27"/>
  <c r="AR2274" i="27" s="1"/>
  <c r="AS2274" i="27" s="1"/>
  <c r="AQ1933" i="27"/>
  <c r="AR1933" i="27" s="1"/>
  <c r="AS1933" i="27" s="1"/>
  <c r="AQ2012" i="27"/>
  <c r="AR2012" i="27" s="1"/>
  <c r="AS2012" i="27" s="1"/>
  <c r="AQ2446" i="27"/>
  <c r="AR2446" i="27" s="1"/>
  <c r="AS2446" i="27" s="1"/>
  <c r="AQ779" i="27"/>
  <c r="AR779" i="27" s="1"/>
  <c r="AS779" i="27" s="1"/>
  <c r="AQ1551" i="27"/>
  <c r="AR1551" i="27" s="1"/>
  <c r="AS1551" i="27" s="1"/>
  <c r="AQ121" i="27"/>
  <c r="AR121" i="27" s="1"/>
  <c r="AS121" i="27" s="1"/>
  <c r="AQ2423" i="27"/>
  <c r="AR2423" i="27" s="1"/>
  <c r="AS2423" i="27" s="1"/>
  <c r="AQ746" i="27"/>
  <c r="AR746" i="27" s="1"/>
  <c r="AS746" i="27" s="1"/>
  <c r="AQ330" i="27"/>
  <c r="AR330" i="27" s="1"/>
  <c r="AS330" i="27" s="1"/>
  <c r="AQ440" i="27"/>
  <c r="AR440" i="27" s="1"/>
  <c r="AS440" i="27" s="1"/>
  <c r="AQ2028" i="27"/>
  <c r="AR2028" i="27" s="1"/>
  <c r="AS2028" i="27" s="1"/>
  <c r="AQ2539" i="27"/>
  <c r="AR2539" i="27" s="1"/>
  <c r="AS2539" i="27" s="1"/>
  <c r="AQ312" i="27"/>
  <c r="AR312" i="27" s="1"/>
  <c r="AS312" i="27" s="1"/>
  <c r="AQ669" i="27"/>
  <c r="AR669" i="27" s="1"/>
  <c r="AS669" i="27" s="1"/>
  <c r="AQ2133" i="27"/>
  <c r="AR2133" i="27" s="1"/>
  <c r="AS2133" i="27" s="1"/>
  <c r="AQ1102" i="27"/>
  <c r="AR1102" i="27" s="1"/>
  <c r="AS1102" i="27" s="1"/>
  <c r="AQ630" i="27"/>
  <c r="AR630" i="27" s="1"/>
  <c r="AS630" i="27" s="1"/>
  <c r="AQ3062" i="27"/>
  <c r="AR3062" i="27" s="1"/>
  <c r="AS3062" i="27" s="1"/>
  <c r="AQ943" i="27"/>
  <c r="AR943" i="27" s="1"/>
  <c r="AS943" i="27" s="1"/>
  <c r="AQ162" i="27"/>
  <c r="AR162" i="27" s="1"/>
  <c r="AS162" i="27" s="1"/>
  <c r="AQ2470" i="27"/>
  <c r="AR2470" i="27" s="1"/>
  <c r="AS2470" i="27" s="1"/>
  <c r="AQ1177" i="27"/>
  <c r="AR1177" i="27" s="1"/>
  <c r="AS1177" i="27" s="1"/>
  <c r="AQ1970" i="27"/>
  <c r="AR1970" i="27" s="1"/>
  <c r="AS1970" i="27" s="1"/>
  <c r="AQ1869" i="27"/>
  <c r="AR1869" i="27" s="1"/>
  <c r="AS1869" i="27" s="1"/>
  <c r="AQ2982" i="27"/>
  <c r="AR2982" i="27" s="1"/>
  <c r="AS2982" i="27" s="1"/>
  <c r="AQ634" i="27"/>
  <c r="AR634" i="27" s="1"/>
  <c r="AS634" i="27" s="1"/>
  <c r="AQ2669" i="27"/>
  <c r="AR2669" i="27" s="1"/>
  <c r="AS2669" i="27" s="1"/>
  <c r="AQ1091" i="27"/>
  <c r="AR1091" i="27" s="1"/>
  <c r="AS1091" i="27" s="1"/>
  <c r="AQ3204" i="27"/>
  <c r="AR3204" i="27" s="1"/>
  <c r="AS3204" i="27" s="1"/>
  <c r="AQ1810" i="27"/>
  <c r="AR1810" i="27" s="1"/>
  <c r="AS1810" i="27" s="1"/>
  <c r="AQ3155" i="27"/>
  <c r="AR3155" i="27" s="1"/>
  <c r="AS3155" i="27" s="1"/>
  <c r="AQ996" i="27"/>
  <c r="AR996" i="27" s="1"/>
  <c r="AS996" i="27" s="1"/>
  <c r="AQ1768" i="27"/>
  <c r="AR1768" i="27" s="1"/>
  <c r="AS1768" i="27" s="1"/>
  <c r="AQ686" i="27"/>
  <c r="AR686" i="27" s="1"/>
  <c r="AS686" i="27" s="1"/>
  <c r="AQ740" i="27"/>
  <c r="AR740" i="27" s="1"/>
  <c r="AS740" i="27" s="1"/>
  <c r="AQ2243" i="27"/>
  <c r="AR2243" i="27" s="1"/>
  <c r="AS2243" i="27" s="1"/>
  <c r="AQ1254" i="27"/>
  <c r="AR1254" i="27" s="1"/>
  <c r="AS1254" i="27" s="1"/>
  <c r="AQ3082" i="27"/>
  <c r="AR3082" i="27" s="1"/>
  <c r="AS3082" i="27" s="1"/>
  <c r="AQ2601" i="27"/>
  <c r="AR2601" i="27" s="1"/>
  <c r="AS2601" i="27" s="1"/>
  <c r="AQ182" i="27"/>
  <c r="AR182" i="27" s="1"/>
  <c r="AS182" i="27" s="1"/>
  <c r="AQ1350" i="27"/>
  <c r="AR1350" i="27" s="1"/>
  <c r="AS1350" i="27" s="1"/>
  <c r="AQ1304" i="27"/>
  <c r="AR1304" i="27" s="1"/>
  <c r="AS1304" i="27" s="1"/>
  <c r="AQ3135" i="27"/>
  <c r="AR3135" i="27" s="1"/>
  <c r="AS3135" i="27" s="1"/>
  <c r="AQ2421" i="27"/>
  <c r="AR2421" i="27" s="1"/>
  <c r="AS2421" i="27" s="1"/>
  <c r="AQ1896" i="27"/>
  <c r="AR1896" i="27" s="1"/>
  <c r="AS1896" i="27" s="1"/>
  <c r="AQ2918" i="27"/>
  <c r="AR2918" i="27" s="1"/>
  <c r="AS2918" i="27" s="1"/>
  <c r="AQ1645" i="27"/>
  <c r="AR1645" i="27" s="1"/>
  <c r="AS1645" i="27" s="1"/>
  <c r="AQ1035" i="27"/>
  <c r="AR1035" i="27" s="1"/>
  <c r="AS1035" i="27" s="1"/>
  <c r="AQ1246" i="27"/>
  <c r="AR1246" i="27" s="1"/>
  <c r="AS1246" i="27" s="1"/>
  <c r="AQ3296" i="27"/>
  <c r="AR3296" i="27" s="1"/>
  <c r="AS3296" i="27" s="1"/>
  <c r="AQ2279" i="27"/>
  <c r="AR2279" i="27" s="1"/>
  <c r="AS2279" i="27" s="1"/>
  <c r="AQ477" i="27"/>
  <c r="AR477" i="27" s="1"/>
  <c r="AS477" i="27" s="1"/>
  <c r="AQ2793" i="27"/>
  <c r="AR2793" i="27" s="1"/>
  <c r="AS2793" i="27" s="1"/>
  <c r="AQ1410" i="27"/>
  <c r="AR1410" i="27" s="1"/>
  <c r="AS1410" i="27" s="1"/>
  <c r="AQ2529" i="27"/>
  <c r="AR2529" i="27" s="1"/>
  <c r="AS2529" i="27" s="1"/>
  <c r="AQ1344" i="27"/>
  <c r="AR1344" i="27" s="1"/>
  <c r="AS1344" i="27" s="1"/>
  <c r="AQ816" i="27"/>
  <c r="AR816" i="27" s="1"/>
  <c r="AS816" i="27" s="1"/>
  <c r="AQ2391" i="27"/>
  <c r="AR2391" i="27" s="1"/>
  <c r="AS2391" i="27" s="1"/>
  <c r="AQ1214" i="27"/>
  <c r="AR1214" i="27" s="1"/>
  <c r="AS1214" i="27" s="1"/>
  <c r="AQ2086" i="27"/>
  <c r="AR2086" i="27" s="1"/>
  <c r="AS2086" i="27" s="1"/>
  <c r="AQ2895" i="27"/>
  <c r="AR2895" i="27" s="1"/>
  <c r="AS2895" i="27" s="1"/>
  <c r="AQ2030" i="27"/>
  <c r="AR2030" i="27" s="1"/>
  <c r="AS2030" i="27" s="1"/>
  <c r="AQ731" i="27"/>
  <c r="AR731" i="27" s="1"/>
  <c r="AS731" i="27" s="1"/>
  <c r="AQ770" i="27"/>
  <c r="AR770" i="27" s="1"/>
  <c r="AS770" i="27" s="1"/>
  <c r="AQ364" i="27"/>
  <c r="AR364" i="27" s="1"/>
  <c r="AS364" i="27" s="1"/>
  <c r="AQ2827" i="27"/>
  <c r="AR2827" i="27" s="1"/>
  <c r="AS2827" i="27" s="1"/>
  <c r="AQ2523" i="27"/>
  <c r="AR2523" i="27" s="1"/>
  <c r="AS2523" i="27" s="1"/>
  <c r="AQ28" i="27"/>
  <c r="AR28" i="27" s="1"/>
  <c r="AS28" i="27" s="1"/>
  <c r="AQ360" i="27"/>
  <c r="AR360" i="27" s="1"/>
  <c r="AS360" i="27" s="1"/>
  <c r="AQ631" i="27"/>
  <c r="AR631" i="27" s="1"/>
  <c r="AS631" i="27" s="1"/>
  <c r="AQ2312" i="27"/>
  <c r="AR2312" i="27" s="1"/>
  <c r="AS2312" i="27" s="1"/>
  <c r="AQ1185" i="27"/>
  <c r="AR1185" i="27" s="1"/>
  <c r="AS1185" i="27" s="1"/>
  <c r="AQ3215" i="27"/>
  <c r="AR3215" i="27" s="1"/>
  <c r="AS3215" i="27" s="1"/>
  <c r="AQ126" i="27"/>
  <c r="AR126" i="27" s="1"/>
  <c r="AS126" i="27" s="1"/>
  <c r="AQ1555" i="27"/>
  <c r="AR1555" i="27" s="1"/>
  <c r="AS1555" i="27" s="1"/>
  <c r="AQ3081" i="27"/>
  <c r="AR3081" i="27" s="1"/>
  <c r="AS3081" i="27" s="1"/>
  <c r="AQ1200" i="27"/>
  <c r="AR1200" i="27" s="1"/>
  <c r="AS1200" i="27" s="1"/>
  <c r="AQ2132" i="27"/>
  <c r="AR2132" i="27" s="1"/>
  <c r="AS2132" i="27" s="1"/>
  <c r="AQ2618" i="27"/>
  <c r="AR2618" i="27" s="1"/>
  <c r="AS2618" i="27" s="1"/>
  <c r="AQ2863" i="27"/>
  <c r="AR2863" i="27" s="1"/>
  <c r="AS2863" i="27" s="1"/>
  <c r="AQ2637" i="27"/>
  <c r="AR2637" i="27" s="1"/>
  <c r="AS2637" i="27" s="1"/>
  <c r="AQ2584" i="27"/>
  <c r="AR2584" i="27" s="1"/>
  <c r="AS2584" i="27" s="1"/>
  <c r="AQ616" i="27"/>
  <c r="AR616" i="27" s="1"/>
  <c r="AS616" i="27" s="1"/>
  <c r="AQ1754" i="27"/>
  <c r="AR1754" i="27" s="1"/>
  <c r="AS1754" i="27" s="1"/>
  <c r="AQ1725" i="27"/>
  <c r="AR1725" i="27" s="1"/>
  <c r="AS1725" i="27" s="1"/>
  <c r="AQ1712" i="27"/>
  <c r="AR1712" i="27" s="1"/>
  <c r="AS1712" i="27" s="1"/>
  <c r="AQ2082" i="27"/>
  <c r="AR2082" i="27" s="1"/>
  <c r="AS2082" i="27" s="1"/>
  <c r="AQ2029" i="27"/>
  <c r="AR2029" i="27" s="1"/>
  <c r="AS2029" i="27" s="1"/>
  <c r="AQ2933" i="27"/>
  <c r="AR2933" i="27" s="1"/>
  <c r="AS2933" i="27" s="1"/>
  <c r="AQ836" i="27"/>
  <c r="AR836" i="27" s="1"/>
  <c r="AS836" i="27" s="1"/>
  <c r="AQ2526" i="27"/>
  <c r="AR2526" i="27" s="1"/>
  <c r="AS2526" i="27" s="1"/>
  <c r="AQ1095" i="27"/>
  <c r="AR1095" i="27" s="1"/>
  <c r="AS1095" i="27" s="1"/>
  <c r="AQ2223" i="27"/>
  <c r="AR2223" i="27" s="1"/>
  <c r="AS2223" i="27" s="1"/>
  <c r="AQ637" i="27"/>
  <c r="AR637" i="27" s="1"/>
  <c r="AS637" i="27" s="1"/>
  <c r="AQ768" i="27"/>
  <c r="AR768" i="27" s="1"/>
  <c r="AS768" i="27" s="1"/>
  <c r="AQ381" i="27"/>
  <c r="AR381" i="27" s="1"/>
  <c r="AS381" i="27" s="1"/>
  <c r="AQ2308" i="27"/>
  <c r="AR2308" i="27" s="1"/>
  <c r="AS2308" i="27" s="1"/>
  <c r="AQ605" i="27"/>
  <c r="AR605" i="27" s="1"/>
  <c r="AS605" i="27" s="1"/>
  <c r="AQ859" i="27"/>
  <c r="AR859" i="27" s="1"/>
  <c r="AS859" i="27" s="1"/>
  <c r="AQ975" i="27"/>
  <c r="AR975" i="27" s="1"/>
  <c r="AS975" i="27" s="1"/>
  <c r="AQ795" i="27"/>
  <c r="AR795" i="27" s="1"/>
  <c r="AS795" i="27" s="1"/>
  <c r="AQ1549" i="27"/>
  <c r="AR1549" i="27" s="1"/>
  <c r="AS1549" i="27" s="1"/>
  <c r="AQ1487" i="27"/>
  <c r="AR1487" i="27" s="1"/>
  <c r="AS1487" i="27" s="1"/>
  <c r="AQ562" i="27"/>
  <c r="AR562" i="27" s="1"/>
  <c r="AS562" i="27" s="1"/>
  <c r="AQ3027" i="27"/>
  <c r="AR3027" i="27" s="1"/>
  <c r="AS3027" i="27" s="1"/>
  <c r="AQ1179" i="27"/>
  <c r="AR1179" i="27" s="1"/>
  <c r="AS1179" i="27" s="1"/>
  <c r="AQ949" i="27"/>
  <c r="AR949" i="27" s="1"/>
  <c r="AS949" i="27" s="1"/>
  <c r="AQ1974" i="27"/>
  <c r="AR1974" i="27" s="1"/>
  <c r="AS1974" i="27" s="1"/>
  <c r="AQ969" i="27"/>
  <c r="AR969" i="27" s="1"/>
  <c r="AS969" i="27" s="1"/>
  <c r="AQ2840" i="27"/>
  <c r="AR2840" i="27" s="1"/>
  <c r="AS2840" i="27" s="1"/>
  <c r="AQ95" i="27"/>
  <c r="AR95" i="27" s="1"/>
  <c r="AS95" i="27" s="1"/>
  <c r="AQ2548" i="27"/>
  <c r="AR2548" i="27" s="1"/>
  <c r="AS2548" i="27" s="1"/>
  <c r="AQ1597" i="27"/>
  <c r="AR1597" i="27" s="1"/>
  <c r="AS1597" i="27" s="1"/>
  <c r="AQ1488" i="27"/>
  <c r="AR1488" i="27" s="1"/>
  <c r="AS1488" i="27" s="1"/>
  <c r="AQ937" i="27"/>
  <c r="AR937" i="27" s="1"/>
  <c r="AS937" i="27" s="1"/>
  <c r="AQ65" i="27"/>
  <c r="AR65" i="27" s="1"/>
  <c r="AS65" i="27" s="1"/>
  <c r="AQ442" i="27"/>
  <c r="AR442" i="27" s="1"/>
  <c r="AS442" i="27" s="1"/>
  <c r="AQ2501" i="27"/>
  <c r="AR2501" i="27" s="1"/>
  <c r="AS2501" i="27" s="1"/>
  <c r="AQ1453" i="27"/>
  <c r="AR1453" i="27" s="1"/>
  <c r="AS1453" i="27" s="1"/>
  <c r="AQ809" i="27"/>
  <c r="AR809" i="27" s="1"/>
  <c r="AS809" i="27" s="1"/>
  <c r="AQ19" i="27"/>
  <c r="AR19" i="27" s="1"/>
  <c r="AS19" i="27" s="1"/>
  <c r="AQ1528" i="27"/>
  <c r="AR1528" i="27" s="1"/>
  <c r="AS1528" i="27" s="1"/>
  <c r="AQ2790" i="27"/>
  <c r="AR2790" i="27" s="1"/>
  <c r="AS2790" i="27" s="1"/>
  <c r="AQ2230" i="27"/>
  <c r="AR2230" i="27" s="1"/>
  <c r="AS2230" i="27" s="1"/>
  <c r="AQ848" i="27"/>
  <c r="AR848" i="27" s="1"/>
  <c r="AS848" i="27" s="1"/>
  <c r="AQ1419" i="27"/>
  <c r="AR1419" i="27" s="1"/>
  <c r="AS1419" i="27" s="1"/>
  <c r="AQ2131" i="27"/>
  <c r="AR2131" i="27" s="1"/>
  <c r="AS2131" i="27" s="1"/>
  <c r="AQ2153" i="27"/>
  <c r="AR2153" i="27" s="1"/>
  <c r="AS2153" i="27" s="1"/>
  <c r="AQ2378" i="27"/>
  <c r="AR2378" i="27" s="1"/>
  <c r="AS2378" i="27" s="1"/>
  <c r="AQ2013" i="27"/>
  <c r="AR2013" i="27" s="1"/>
  <c r="AS2013" i="27" s="1"/>
  <c r="AQ2696" i="27"/>
  <c r="AR2696" i="27" s="1"/>
  <c r="AS2696" i="27" s="1"/>
  <c r="AQ1010" i="27"/>
  <c r="AR1010" i="27" s="1"/>
  <c r="AS1010" i="27" s="1"/>
  <c r="AQ1316" i="27"/>
  <c r="AR1316" i="27" s="1"/>
  <c r="AS1316" i="27" s="1"/>
  <c r="AQ2628" i="27"/>
  <c r="AR2628" i="27" s="1"/>
  <c r="AS2628" i="27" s="1"/>
  <c r="AQ365" i="27"/>
  <c r="AR365" i="27" s="1"/>
  <c r="AS365" i="27" s="1"/>
  <c r="AQ2264" i="27"/>
  <c r="AR2264" i="27" s="1"/>
  <c r="AS2264" i="27" s="1"/>
  <c r="AQ432" i="27"/>
  <c r="AR432" i="27" s="1"/>
  <c r="AS432" i="27" s="1"/>
  <c r="AQ1969" i="27"/>
  <c r="AR1969" i="27" s="1"/>
  <c r="AS1969" i="27" s="1"/>
  <c r="AQ2842" i="27"/>
  <c r="AR2842" i="27" s="1"/>
  <c r="AS2842" i="27" s="1"/>
  <c r="AQ601" i="27"/>
  <c r="AR601" i="27" s="1"/>
  <c r="AS601" i="27" s="1"/>
  <c r="AQ1334" i="27"/>
  <c r="AR1334" i="27" s="1"/>
  <c r="AS1334" i="27" s="1"/>
  <c r="AQ2160" i="27"/>
  <c r="AR2160" i="27" s="1"/>
  <c r="AS2160" i="27" s="1"/>
  <c r="AQ2567" i="27"/>
  <c r="AR2567" i="27" s="1"/>
  <c r="AS2567" i="27" s="1"/>
  <c r="AQ3056" i="27"/>
  <c r="AR3056" i="27" s="1"/>
  <c r="AS3056" i="27" s="1"/>
  <c r="AQ1956" i="27"/>
  <c r="AR1956" i="27" s="1"/>
  <c r="AS1956" i="27" s="1"/>
  <c r="AQ2167" i="27"/>
  <c r="AR2167" i="27" s="1"/>
  <c r="AS2167" i="27" s="1"/>
  <c r="AQ670" i="27"/>
  <c r="AR670" i="27" s="1"/>
  <c r="AS670" i="27" s="1"/>
  <c r="AQ1020" i="27"/>
  <c r="AR1020" i="27" s="1"/>
  <c r="AS1020" i="27" s="1"/>
  <c r="AQ512" i="27"/>
  <c r="AR512" i="27" s="1"/>
  <c r="AS512" i="27" s="1"/>
  <c r="AQ2143" i="27"/>
  <c r="AR2143" i="27" s="1"/>
  <c r="AS2143" i="27" s="1"/>
  <c r="AQ2392" i="27"/>
  <c r="AR2392" i="27" s="1"/>
  <c r="AS2392" i="27" s="1"/>
  <c r="AQ2061" i="27"/>
  <c r="AR2061" i="27" s="1"/>
  <c r="AS2061" i="27" s="1"/>
  <c r="AQ2515" i="27"/>
  <c r="AR2515" i="27" s="1"/>
  <c r="AS2515" i="27" s="1"/>
  <c r="AQ1920" i="27"/>
  <c r="AR1920" i="27" s="1"/>
  <c r="AS1920" i="27" s="1"/>
  <c r="AQ2166" i="27"/>
  <c r="AR2166" i="27" s="1"/>
  <c r="AS2166" i="27" s="1"/>
  <c r="AQ2338" i="27"/>
  <c r="AR2338" i="27" s="1"/>
  <c r="AS2338" i="27" s="1"/>
  <c r="AQ874" i="27"/>
  <c r="AR874" i="27" s="1"/>
  <c r="AS874" i="27" s="1"/>
  <c r="AQ1078" i="27"/>
  <c r="AR1078" i="27" s="1"/>
  <c r="AS1078" i="27" s="1"/>
  <c r="AQ2435" i="27"/>
  <c r="AR2435" i="27" s="1"/>
  <c r="AS2435" i="27" s="1"/>
  <c r="AQ2527" i="27"/>
  <c r="AR2527" i="27" s="1"/>
  <c r="AS2527" i="27" s="1"/>
  <c r="AQ1317" i="27"/>
  <c r="AR1317" i="27" s="1"/>
  <c r="AS1317" i="27" s="1"/>
  <c r="AQ908" i="27"/>
  <c r="AR908" i="27" s="1"/>
  <c r="AS908" i="27" s="1"/>
  <c r="AQ1229" i="27"/>
  <c r="AR1229" i="27" s="1"/>
  <c r="AS1229" i="27" s="1"/>
  <c r="AQ3020" i="27"/>
  <c r="AR3020" i="27" s="1"/>
  <c r="AS3020" i="27" s="1"/>
  <c r="AQ1943" i="27"/>
  <c r="AR1943" i="27" s="1"/>
  <c r="AS1943" i="27" s="1"/>
  <c r="AQ586" i="27"/>
  <c r="AR586" i="27" s="1"/>
  <c r="AS586" i="27" s="1"/>
  <c r="AQ3054" i="27"/>
  <c r="AR3054" i="27" s="1"/>
  <c r="AS3054" i="27" s="1"/>
  <c r="AQ3000" i="27"/>
  <c r="AR3000" i="27" s="1"/>
  <c r="AS3000" i="27" s="1"/>
  <c r="AQ2054" i="27"/>
  <c r="AR2054" i="27" s="1"/>
  <c r="AS2054" i="27" s="1"/>
  <c r="AQ1615" i="27"/>
  <c r="AR1615" i="27" s="1"/>
  <c r="AS1615" i="27" s="1"/>
  <c r="AQ496" i="27"/>
  <c r="AR496" i="27" s="1"/>
  <c r="AS496" i="27" s="1"/>
  <c r="AQ1051" i="27"/>
  <c r="AR1051" i="27" s="1"/>
  <c r="AS1051" i="27" s="1"/>
  <c r="AQ1100" i="27"/>
  <c r="AR1100" i="27" s="1"/>
  <c r="AS1100" i="27" s="1"/>
  <c r="AQ916" i="27"/>
  <c r="AR916" i="27" s="1"/>
  <c r="AS916" i="27" s="1"/>
  <c r="AQ2002" i="27"/>
  <c r="AR2002" i="27" s="1"/>
  <c r="AS2002" i="27" s="1"/>
  <c r="AQ1932" i="27"/>
  <c r="AR1932" i="27" s="1"/>
  <c r="AS1932" i="27" s="1"/>
  <c r="AQ2093" i="27"/>
  <c r="AR2093" i="27" s="1"/>
  <c r="AS2093" i="27" s="1"/>
  <c r="AQ1906" i="27"/>
  <c r="AR1906" i="27" s="1"/>
  <c r="AS1906" i="27" s="1"/>
  <c r="AQ622" i="27"/>
  <c r="AR622" i="27" s="1"/>
  <c r="AS622" i="27" s="1"/>
  <c r="AQ1365" i="27"/>
  <c r="AR1365" i="27" s="1"/>
  <c r="AS1365" i="27" s="1"/>
  <c r="AQ1959" i="27"/>
  <c r="AR1959" i="27" s="1"/>
  <c r="AS1959" i="27" s="1"/>
  <c r="AQ735" i="27"/>
  <c r="AR735" i="27" s="1"/>
  <c r="AS735" i="27" s="1"/>
  <c r="AQ1218" i="27"/>
  <c r="AR1218" i="27" s="1"/>
  <c r="AS1218" i="27" s="1"/>
  <c r="AQ1822" i="27"/>
  <c r="AR1822" i="27" s="1"/>
  <c r="AS1822" i="27" s="1"/>
  <c r="AQ1443" i="27"/>
  <c r="AR1443" i="27" s="1"/>
  <c r="AS1443" i="27" s="1"/>
  <c r="AQ1470" i="27"/>
  <c r="AR1470" i="27" s="1"/>
  <c r="AS1470" i="27" s="1"/>
  <c r="AQ2717" i="27"/>
  <c r="AR2717" i="27" s="1"/>
  <c r="AS2717" i="27" s="1"/>
  <c r="AQ1265" i="27"/>
  <c r="AR1265" i="27" s="1"/>
  <c r="AS1265" i="27" s="1"/>
  <c r="AQ2729" i="27"/>
  <c r="AR2729" i="27" s="1"/>
  <c r="AS2729" i="27" s="1"/>
  <c r="AQ2139" i="27"/>
  <c r="AR2139" i="27" s="1"/>
  <c r="AS2139" i="27" s="1"/>
  <c r="AQ2224" i="27"/>
  <c r="AR2224" i="27" s="1"/>
  <c r="AS2224" i="27" s="1"/>
  <c r="AQ1058" i="27"/>
  <c r="AR1058" i="27" s="1"/>
  <c r="AS1058" i="27" s="1"/>
  <c r="AQ2128" i="27"/>
  <c r="AR2128" i="27" s="1"/>
  <c r="AS2128" i="27" s="1"/>
  <c r="AQ581" i="27"/>
  <c r="AR581" i="27" s="1"/>
  <c r="AS581" i="27" s="1"/>
  <c r="AQ1379" i="27"/>
  <c r="AR1379" i="27" s="1"/>
  <c r="AS1379" i="27" s="1"/>
  <c r="AQ1036" i="27"/>
  <c r="AR1036" i="27" s="1"/>
  <c r="AS1036" i="27" s="1"/>
  <c r="AQ314" i="27"/>
  <c r="AR314" i="27" s="1"/>
  <c r="AS314" i="27" s="1"/>
  <c r="AQ2506" i="27"/>
  <c r="AR2506" i="27" s="1"/>
  <c r="AS2506" i="27" s="1"/>
  <c r="AQ1101" i="27"/>
  <c r="AR1101" i="27" s="1"/>
  <c r="AS1101" i="27" s="1"/>
  <c r="AQ2226" i="27"/>
  <c r="AR2226" i="27" s="1"/>
  <c r="AS2226" i="27" s="1"/>
  <c r="AQ615" i="27"/>
  <c r="AR615" i="27" s="1"/>
  <c r="AS615" i="27" s="1"/>
  <c r="AQ2800" i="27"/>
  <c r="AR2800" i="27" s="1"/>
  <c r="AS2800" i="27" s="1"/>
  <c r="AQ2418" i="27"/>
  <c r="AR2418" i="27" s="1"/>
  <c r="AS2418" i="27" s="1"/>
  <c r="AQ334" i="27"/>
  <c r="AR334" i="27" s="1"/>
  <c r="AS334" i="27" s="1"/>
  <c r="AQ1205" i="27"/>
  <c r="AR1205" i="27" s="1"/>
  <c r="AS1205" i="27" s="1"/>
  <c r="AQ2833" i="27"/>
  <c r="AR2833" i="27" s="1"/>
  <c r="AS2833" i="27" s="1"/>
  <c r="AQ1504" i="27"/>
  <c r="AR1504" i="27" s="1"/>
  <c r="AS1504" i="27" s="1"/>
  <c r="AQ1625" i="27"/>
  <c r="AR1625" i="27" s="1"/>
  <c r="AS1625" i="27" s="1"/>
  <c r="AQ1413" i="27"/>
  <c r="AR1413" i="27" s="1"/>
  <c r="AS1413" i="27" s="1"/>
  <c r="AQ2935" i="27"/>
  <c r="AR2935" i="27" s="1"/>
  <c r="AS2935" i="27" s="1"/>
  <c r="AQ2104" i="27"/>
  <c r="AR2104" i="27" s="1"/>
  <c r="AS2104" i="27" s="1"/>
  <c r="AQ1423" i="27"/>
  <c r="AR1423" i="27" s="1"/>
  <c r="AS1423" i="27" s="1"/>
  <c r="AQ2281" i="27"/>
  <c r="AR2281" i="27" s="1"/>
  <c r="AS2281" i="27" s="1"/>
  <c r="AQ1197" i="27"/>
  <c r="AR1197" i="27" s="1"/>
  <c r="AS1197" i="27" s="1"/>
  <c r="AQ2374" i="27"/>
  <c r="AR2374" i="27" s="1"/>
  <c r="AS2374" i="27" s="1"/>
  <c r="AQ2748" i="27"/>
  <c r="AR2748" i="27" s="1"/>
  <c r="AS2748" i="27" s="1"/>
  <c r="AQ2232" i="27"/>
  <c r="AR2232" i="27" s="1"/>
  <c r="AS2232" i="27" s="1"/>
  <c r="AQ1204" i="27"/>
  <c r="AR1204" i="27" s="1"/>
  <c r="AS1204" i="27" s="1"/>
  <c r="AQ2642" i="27"/>
  <c r="AR2642" i="27" s="1"/>
  <c r="AS2642" i="27" s="1"/>
  <c r="AQ1984" i="27"/>
  <c r="AR1984" i="27" s="1"/>
  <c r="AS1984" i="27" s="1"/>
  <c r="AQ2634" i="27"/>
  <c r="AR2634" i="27" s="1"/>
  <c r="AS2634" i="27" s="1"/>
  <c r="AQ2260" i="27"/>
  <c r="AR2260" i="27" s="1"/>
  <c r="AS2260" i="27" s="1"/>
  <c r="AQ792" i="27"/>
  <c r="AR792" i="27" s="1"/>
  <c r="AS792" i="27" s="1"/>
  <c r="AQ407" i="27"/>
  <c r="AR407" i="27" s="1"/>
  <c r="AS407" i="27" s="1"/>
  <c r="AQ1989" i="27"/>
  <c r="AR1989" i="27" s="1"/>
  <c r="AS1989" i="27" s="1"/>
  <c r="AQ835" i="27"/>
  <c r="AR835" i="27" s="1"/>
  <c r="AS835" i="27" s="1"/>
  <c r="AQ2620" i="27"/>
  <c r="AR2620" i="27" s="1"/>
  <c r="AS2620" i="27" s="1"/>
  <c r="AQ1305" i="27"/>
  <c r="AR1305" i="27" s="1"/>
  <c r="AS1305" i="27" s="1"/>
  <c r="AQ664" i="27"/>
  <c r="AR664" i="27" s="1"/>
  <c r="AS664" i="27" s="1"/>
  <c r="AQ1295" i="27"/>
  <c r="AR1295" i="27" s="1"/>
  <c r="AS1295" i="27" s="1"/>
  <c r="AQ534" i="27"/>
  <c r="AR534" i="27" s="1"/>
  <c r="AS534" i="27" s="1"/>
  <c r="AQ1976" i="27"/>
  <c r="AR1976" i="27" s="1"/>
  <c r="AS1976" i="27" s="1"/>
  <c r="AQ2856" i="27"/>
  <c r="AR2856" i="27" s="1"/>
  <c r="AS2856" i="27" s="1"/>
  <c r="AQ2564" i="27"/>
  <c r="AR2564" i="27" s="1"/>
  <c r="AS2564" i="27" s="1"/>
  <c r="AQ2290" i="27"/>
  <c r="AR2290" i="27" s="1"/>
  <c r="AS2290" i="27" s="1"/>
  <c r="AQ419" i="27"/>
  <c r="AR419" i="27" s="1"/>
  <c r="AS419" i="27" s="1"/>
  <c r="AQ2478" i="27"/>
  <c r="AR2478" i="27" s="1"/>
  <c r="AS2478" i="27" s="1"/>
  <c r="AQ1534" i="27"/>
  <c r="AR1534" i="27" s="1"/>
  <c r="AS1534" i="27" s="1"/>
  <c r="AQ667" i="27"/>
  <c r="AR667" i="27" s="1"/>
  <c r="AS667" i="27" s="1"/>
  <c r="AQ2439" i="27"/>
  <c r="AR2439" i="27" s="1"/>
  <c r="AS2439" i="27" s="1"/>
  <c r="AQ2944" i="27"/>
  <c r="AR2944" i="27" s="1"/>
  <c r="AS2944" i="27" s="1"/>
  <c r="AQ2504" i="27"/>
  <c r="AR2504" i="27" s="1"/>
  <c r="AS2504" i="27" s="1"/>
  <c r="AQ2089" i="27"/>
  <c r="AR2089" i="27" s="1"/>
  <c r="AS2089" i="27" s="1"/>
  <c r="AQ52" i="27"/>
  <c r="AR52" i="27" s="1"/>
  <c r="AS52" i="27" s="1"/>
  <c r="AQ1705" i="27"/>
  <c r="AR1705" i="27" s="1"/>
  <c r="AS1705" i="27" s="1"/>
  <c r="AQ2899" i="27"/>
  <c r="AR2899" i="27" s="1"/>
  <c r="AS2899" i="27" s="1"/>
  <c r="AQ588" i="27"/>
  <c r="AR588" i="27" s="1"/>
  <c r="AS588" i="27" s="1"/>
  <c r="AQ2765" i="27"/>
  <c r="AR2765" i="27" s="1"/>
  <c r="AS2765" i="27" s="1"/>
  <c r="AQ3258" i="27"/>
  <c r="AR3258" i="27" s="1"/>
  <c r="AS3258" i="27" s="1"/>
  <c r="AQ1793" i="27"/>
  <c r="AR1793" i="27" s="1"/>
  <c r="AS1793" i="27" s="1"/>
  <c r="AQ2364" i="27"/>
  <c r="AR2364" i="27" s="1"/>
  <c r="AS2364" i="27" s="1"/>
  <c r="AQ1825" i="27"/>
  <c r="AR1825" i="27" s="1"/>
  <c r="AS1825" i="27" s="1"/>
  <c r="AQ989" i="27"/>
  <c r="AR989" i="27" s="1"/>
  <c r="AS989" i="27" s="1"/>
  <c r="AQ571" i="27"/>
  <c r="AR571" i="27" s="1"/>
  <c r="AS571" i="27" s="1"/>
  <c r="AQ929" i="27"/>
  <c r="AR929" i="27" s="1"/>
  <c r="AS929" i="27" s="1"/>
  <c r="AQ506" i="27"/>
  <c r="AR506" i="27" s="1"/>
  <c r="AS506" i="27" s="1"/>
  <c r="AQ47" i="27"/>
  <c r="AR47" i="27" s="1"/>
  <c r="AS47" i="27" s="1"/>
  <c r="AQ1049" i="27"/>
  <c r="AR1049" i="27" s="1"/>
  <c r="AS1049" i="27" s="1"/>
  <c r="AQ2275" i="27"/>
  <c r="AR2275" i="27" s="1"/>
  <c r="AS2275" i="27" s="1"/>
  <c r="AQ1399" i="27"/>
  <c r="AR1399" i="27" s="1"/>
  <c r="AS1399" i="27" s="1"/>
  <c r="AQ838" i="27"/>
  <c r="AR838" i="27" s="1"/>
  <c r="AS838" i="27" s="1"/>
  <c r="AQ328" i="27"/>
  <c r="AR328" i="27" s="1"/>
  <c r="AS328" i="27" s="1"/>
  <c r="AQ1619" i="27"/>
  <c r="AR1619" i="27" s="1"/>
  <c r="AS1619" i="27" s="1"/>
  <c r="AQ608" i="27"/>
  <c r="AR608" i="27" s="1"/>
  <c r="AS608" i="27" s="1"/>
  <c r="AQ568" i="27"/>
  <c r="AR568" i="27" s="1"/>
  <c r="AS568" i="27" s="1"/>
  <c r="AQ1371" i="27"/>
  <c r="AR1371" i="27" s="1"/>
  <c r="AS1371" i="27" s="1"/>
  <c r="AQ1165" i="27"/>
  <c r="AR1165" i="27" s="1"/>
  <c r="AS1165" i="27" s="1"/>
  <c r="AQ1666" i="27"/>
  <c r="AR1666" i="27" s="1"/>
  <c r="AS1666" i="27" s="1"/>
  <c r="AQ2799" i="27"/>
  <c r="AR2799" i="27" s="1"/>
  <c r="AS2799" i="27" s="1"/>
  <c r="AQ2861" i="27"/>
  <c r="AR2861" i="27" s="1"/>
  <c r="AS2861" i="27" s="1"/>
  <c r="AQ542" i="27"/>
  <c r="AR542" i="27" s="1"/>
  <c r="AS542" i="27" s="1"/>
  <c r="AQ1477" i="27"/>
  <c r="AR1477" i="27" s="1"/>
  <c r="AS1477" i="27" s="1"/>
  <c r="AQ1463" i="27"/>
  <c r="AR1463" i="27" s="1"/>
  <c r="AS1463" i="27" s="1"/>
  <c r="AQ2491" i="27"/>
  <c r="AR2491" i="27" s="1"/>
  <c r="AS2491" i="27" s="1"/>
  <c r="AQ2963" i="27"/>
  <c r="AR2963" i="27" s="1"/>
  <c r="AS2963" i="27" s="1"/>
  <c r="AQ2559" i="27"/>
  <c r="AR2559" i="27" s="1"/>
  <c r="AS2559" i="27" s="1"/>
  <c r="AQ2119" i="27"/>
  <c r="AR2119" i="27" s="1"/>
  <c r="AS2119" i="27" s="1"/>
  <c r="AQ1341" i="27"/>
  <c r="AR1341" i="27" s="1"/>
  <c r="AS1341" i="27" s="1"/>
  <c r="AQ635" i="27"/>
  <c r="AR635" i="27" s="1"/>
  <c r="AS635" i="27" s="1"/>
  <c r="AQ945" i="27"/>
  <c r="AR945" i="27" s="1"/>
  <c r="AS945" i="27" s="1"/>
  <c r="AQ1701" i="27"/>
  <c r="AR1701" i="27" s="1"/>
  <c r="AS1701" i="27" s="1"/>
  <c r="AQ1576" i="27"/>
  <c r="AR1576" i="27" s="1"/>
  <c r="AS1576" i="27" s="1"/>
  <c r="AQ596" i="27"/>
  <c r="AR596" i="27" s="1"/>
  <c r="AS596" i="27" s="1"/>
  <c r="AQ3134" i="27"/>
  <c r="AR3134" i="27" s="1"/>
  <c r="AS3134" i="27" s="1"/>
  <c r="AQ1006" i="27"/>
  <c r="AR1006" i="27" s="1"/>
  <c r="AS1006" i="27" s="1"/>
  <c r="AQ1574" i="27"/>
  <c r="AR1574" i="27" s="1"/>
  <c r="AS1574" i="27" s="1"/>
  <c r="AQ1514" i="27"/>
  <c r="AR1514" i="27" s="1"/>
  <c r="AS1514" i="27" s="1"/>
  <c r="AQ1378" i="27"/>
  <c r="AR1378" i="27" s="1"/>
  <c r="AS1378" i="27" s="1"/>
  <c r="AQ2951" i="27"/>
  <c r="AR2951" i="27" s="1"/>
  <c r="AS2951" i="27" s="1"/>
  <c r="AQ1361" i="27"/>
  <c r="AR1361" i="27" s="1"/>
  <c r="AS1361" i="27" s="1"/>
  <c r="AQ1156" i="27"/>
  <c r="AR1156" i="27" s="1"/>
  <c r="AS1156" i="27" s="1"/>
  <c r="AQ966" i="27"/>
  <c r="AR966" i="27" s="1"/>
  <c r="AS966" i="27" s="1"/>
  <c r="AQ2953" i="27"/>
  <c r="AR2953" i="27" s="1"/>
  <c r="AS2953" i="27" s="1"/>
  <c r="AQ2273" i="27"/>
  <c r="AR2273" i="27" s="1"/>
  <c r="AS2273" i="27" s="1"/>
  <c r="AQ2256" i="27"/>
  <c r="AR2256" i="27" s="1"/>
  <c r="AS2256" i="27" s="1"/>
  <c r="AQ1374" i="27"/>
  <c r="AR1374" i="27" s="1"/>
  <c r="AS1374" i="27" s="1"/>
  <c r="AQ1893" i="27"/>
  <c r="AR1893" i="27" s="1"/>
  <c r="AS1893" i="27" s="1"/>
  <c r="AQ2846" i="27"/>
  <c r="AR2846" i="27" s="1"/>
  <c r="AS2846" i="27" s="1"/>
  <c r="AQ398" i="27"/>
  <c r="AR398" i="27" s="1"/>
  <c r="AS398" i="27" s="1"/>
  <c r="AQ1294" i="27"/>
  <c r="AR1294" i="27" s="1"/>
  <c r="AS1294" i="27" s="1"/>
  <c r="AQ1987" i="27"/>
  <c r="AR1987" i="27" s="1"/>
  <c r="AS1987" i="27" s="1"/>
  <c r="AQ2968" i="27"/>
  <c r="AR2968" i="27" s="1"/>
  <c r="AS2968" i="27" s="1"/>
  <c r="AQ1975" i="27"/>
  <c r="AR1975" i="27" s="1"/>
  <c r="AS1975" i="27" s="1"/>
  <c r="AQ923" i="27"/>
  <c r="AR923" i="27" s="1"/>
  <c r="AS923" i="27" s="1"/>
  <c r="AQ2802" i="27"/>
  <c r="AR2802" i="27" s="1"/>
  <c r="AS2802" i="27" s="1"/>
  <c r="AQ2462" i="27"/>
  <c r="AR2462" i="27" s="1"/>
  <c r="AS2462" i="27" s="1"/>
  <c r="AQ1300" i="27"/>
  <c r="AR1300" i="27" s="1"/>
  <c r="AS1300" i="27" s="1"/>
  <c r="AQ627" i="27"/>
  <c r="AR627" i="27" s="1"/>
  <c r="AS627" i="27" s="1"/>
  <c r="AQ742" i="27"/>
  <c r="AR742" i="27" s="1"/>
  <c r="AS742" i="27" s="1"/>
  <c r="AQ1608" i="27"/>
  <c r="AR1608" i="27" s="1"/>
  <c r="AS1608" i="27" s="1"/>
  <c r="AQ222" i="27"/>
  <c r="AR222" i="27" s="1"/>
  <c r="AS222" i="27" s="1"/>
  <c r="AQ2602" i="27"/>
  <c r="AR2602" i="27" s="1"/>
  <c r="AS2602" i="27" s="1"/>
  <c r="AQ604" i="27"/>
  <c r="AR604" i="27" s="1"/>
  <c r="AS604" i="27" s="1"/>
  <c r="AQ2195" i="27"/>
  <c r="AR2195" i="27" s="1"/>
  <c r="AS2195" i="27" s="1"/>
  <c r="AQ815" i="27"/>
  <c r="AR815" i="27" s="1"/>
  <c r="AS815" i="27" s="1"/>
  <c r="AQ2624" i="27"/>
  <c r="AR2624" i="27" s="1"/>
  <c r="AS2624" i="27" s="1"/>
  <c r="AQ1426" i="27"/>
  <c r="AR1426" i="27" s="1"/>
  <c r="AS1426" i="27" s="1"/>
  <c r="AQ2220" i="27"/>
  <c r="AR2220" i="27" s="1"/>
  <c r="AS2220" i="27" s="1"/>
  <c r="AQ2140" i="27"/>
  <c r="AR2140" i="27" s="1"/>
  <c r="AS2140" i="27" s="1"/>
  <c r="AQ2014" i="27"/>
  <c r="AR2014" i="27" s="1"/>
  <c r="AS2014" i="27" s="1"/>
  <c r="AQ2335" i="27"/>
  <c r="AR2335" i="27" s="1"/>
  <c r="AS2335" i="27" s="1"/>
  <c r="AQ1134" i="27"/>
  <c r="AR1134" i="27" s="1"/>
  <c r="AS1134" i="27" s="1"/>
  <c r="AQ450" i="27"/>
  <c r="AR450" i="27" s="1"/>
  <c r="AS450" i="27" s="1"/>
  <c r="AQ1995" i="27"/>
  <c r="AR1995" i="27" s="1"/>
  <c r="AS1995" i="27" s="1"/>
  <c r="AQ461" i="27"/>
  <c r="AR461" i="27" s="1"/>
  <c r="AS461" i="27" s="1"/>
  <c r="AQ1582" i="27"/>
  <c r="AR1582" i="27" s="1"/>
  <c r="AS1582" i="27" s="1"/>
  <c r="AQ2738" i="27"/>
  <c r="AR2738" i="27" s="1"/>
  <c r="AS2738" i="27" s="1"/>
  <c r="AQ1142" i="27"/>
  <c r="AR1142" i="27" s="1"/>
  <c r="AS1142" i="27" s="1"/>
  <c r="AQ2138" i="27"/>
  <c r="AR2138" i="27" s="1"/>
  <c r="AS2138" i="27" s="1"/>
  <c r="AQ226" i="27"/>
  <c r="AR226" i="27" s="1"/>
  <c r="AS226" i="27" s="1"/>
  <c r="AQ645" i="27"/>
  <c r="AR645" i="27" s="1"/>
  <c r="AS645" i="27" s="1"/>
  <c r="AQ1160" i="27"/>
  <c r="AR1160" i="27" s="1"/>
  <c r="AS1160" i="27" s="1"/>
  <c r="AQ444" i="27"/>
  <c r="AR444" i="27" s="1"/>
  <c r="AS444" i="27" s="1"/>
  <c r="AQ2554" i="27"/>
  <c r="AR2554" i="27" s="1"/>
  <c r="AS2554" i="27" s="1"/>
  <c r="AQ2962" i="27"/>
  <c r="AR2962" i="27" s="1"/>
  <c r="AS2962" i="27" s="1"/>
  <c r="AQ2594" i="27"/>
  <c r="AR2594" i="27" s="1"/>
  <c r="AS2594" i="27" s="1"/>
  <c r="AQ2397" i="27"/>
  <c r="AR2397" i="27" s="1"/>
  <c r="AS2397" i="27" s="1"/>
  <c r="AQ1236" i="27"/>
  <c r="AR1236" i="27" s="1"/>
  <c r="AS1236" i="27" s="1"/>
  <c r="AQ1937" i="27"/>
  <c r="AR1937" i="27" s="1"/>
  <c r="AS1937" i="27" s="1"/>
  <c r="AQ1482" i="27"/>
  <c r="AR1482" i="27" s="1"/>
  <c r="AS1482" i="27" s="1"/>
  <c r="AQ1496" i="27"/>
  <c r="AR1496" i="27" s="1"/>
  <c r="AS1496" i="27" s="1"/>
  <c r="AQ1394" i="27"/>
  <c r="AR1394" i="27" s="1"/>
  <c r="AS1394" i="27" s="1"/>
  <c r="AQ452" i="27"/>
  <c r="AR452" i="27" s="1"/>
  <c r="AS452" i="27" s="1"/>
  <c r="AQ2750" i="27"/>
  <c r="AR2750" i="27" s="1"/>
  <c r="AS2750" i="27" s="1"/>
  <c r="AQ2007" i="27"/>
  <c r="AR2007" i="27" s="1"/>
  <c r="AS2007" i="27" s="1"/>
  <c r="AQ2622" i="27"/>
  <c r="AR2622" i="27" s="1"/>
  <c r="AS2622" i="27" s="1"/>
  <c r="AQ2753" i="27"/>
  <c r="AR2753" i="27" s="1"/>
  <c r="AS2753" i="27" s="1"/>
  <c r="AQ2656" i="27"/>
  <c r="AR2656" i="27" s="1"/>
  <c r="AS2656" i="27" s="1"/>
  <c r="AQ3289" i="27"/>
  <c r="AR3289" i="27" s="1"/>
  <c r="AS3289" i="27" s="1"/>
  <c r="AQ441" i="27"/>
  <c r="AR441" i="27" s="1"/>
  <c r="AS441" i="27" s="1"/>
  <c r="AQ884" i="27"/>
  <c r="AR884" i="27" s="1"/>
  <c r="AS884" i="27" s="1"/>
  <c r="AQ2415" i="27"/>
  <c r="AR2415" i="27" s="1"/>
  <c r="AS2415" i="27" s="1"/>
  <c r="AQ510" i="27"/>
  <c r="AR510" i="27" s="1"/>
  <c r="AS510" i="27" s="1"/>
  <c r="AQ427" i="27"/>
  <c r="AR427" i="27" s="1"/>
  <c r="AS427" i="27" s="1"/>
  <c r="AQ909" i="27"/>
  <c r="AR909" i="27" s="1"/>
  <c r="AS909" i="27" s="1"/>
  <c r="AQ40" i="27"/>
  <c r="AR40" i="27" s="1"/>
  <c r="AS40" i="27" s="1"/>
  <c r="AQ2948" i="27"/>
  <c r="AR2948" i="27" s="1"/>
  <c r="AS2948" i="27" s="1"/>
  <c r="AQ2202" i="27"/>
  <c r="AR2202" i="27" s="1"/>
  <c r="AS2202" i="27" s="1"/>
  <c r="AQ879" i="27"/>
  <c r="AR879" i="27" s="1"/>
  <c r="AS879" i="27" s="1"/>
  <c r="AQ2302" i="27"/>
  <c r="AR2302" i="27" s="1"/>
  <c r="AS2302" i="27" s="1"/>
  <c r="AQ1643" i="27"/>
  <c r="AR1643" i="27" s="1"/>
  <c r="AS1643" i="27" s="1"/>
  <c r="AQ2927" i="27"/>
  <c r="AR2927" i="27" s="1"/>
  <c r="AS2927" i="27" s="1"/>
  <c r="AQ1126" i="27"/>
  <c r="AR1126" i="27" s="1"/>
  <c r="AS1126" i="27" s="1"/>
  <c r="AQ1691" i="27"/>
  <c r="AR1691" i="27" s="1"/>
  <c r="AS1691" i="27" s="1"/>
  <c r="AQ2672" i="27"/>
  <c r="AR2672" i="27" s="1"/>
  <c r="AS2672" i="27" s="1"/>
  <c r="AQ415" i="27"/>
  <c r="AR415" i="27" s="1"/>
  <c r="AS415" i="27" s="1"/>
  <c r="AQ1376" i="27"/>
  <c r="AR1376" i="27" s="1"/>
  <c r="AS1376" i="27" s="1"/>
  <c r="AQ883" i="27"/>
  <c r="AR883" i="27" s="1"/>
  <c r="AS883" i="27" s="1"/>
  <c r="AQ2820" i="27"/>
  <c r="AR2820" i="27" s="1"/>
  <c r="AS2820" i="27" s="1"/>
  <c r="AQ2534" i="27"/>
  <c r="AR2534" i="27" s="1"/>
  <c r="AS2534" i="27" s="1"/>
  <c r="AQ2910" i="27"/>
  <c r="AR2910" i="27" s="1"/>
  <c r="AS2910" i="27" s="1"/>
  <c r="AQ1412" i="27"/>
  <c r="AR1412" i="27" s="1"/>
  <c r="AS1412" i="27" s="1"/>
  <c r="AQ1105" i="27"/>
  <c r="AR1105" i="27" s="1"/>
  <c r="AS1105" i="27" s="1"/>
  <c r="AQ2246" i="27"/>
  <c r="AR2246" i="27" s="1"/>
  <c r="AS2246" i="27" s="1"/>
  <c r="AQ1603" i="27"/>
  <c r="AR1603" i="27" s="1"/>
  <c r="AS1603" i="27" s="1"/>
  <c r="AQ2403" i="27"/>
  <c r="AR2403" i="27" s="1"/>
  <c r="AS2403" i="27" s="1"/>
  <c r="AQ2909" i="27"/>
  <c r="AR2909" i="27" s="1"/>
  <c r="AS2909" i="27" s="1"/>
  <c r="AQ3104" i="27"/>
  <c r="AR3104" i="27" s="1"/>
  <c r="AS3104" i="27" s="1"/>
  <c r="AQ1523" i="27"/>
  <c r="AR1523" i="27" s="1"/>
  <c r="AS1523" i="27" s="1"/>
  <c r="AQ1999" i="27"/>
  <c r="AR1999" i="27" s="1"/>
  <c r="AS1999" i="27" s="1"/>
  <c r="AQ1988" i="27"/>
  <c r="AR1988" i="27" s="1"/>
  <c r="AS1988" i="27" s="1"/>
  <c r="AQ2430" i="27"/>
  <c r="AR2430" i="27" s="1"/>
  <c r="AS2430" i="27" s="1"/>
  <c r="AQ764" i="27"/>
  <c r="AR764" i="27" s="1"/>
  <c r="AS764" i="27" s="1"/>
  <c r="AQ2487" i="27"/>
  <c r="AR2487" i="27" s="1"/>
  <c r="AS2487" i="27" s="1"/>
  <c r="AQ2036" i="27"/>
  <c r="AR2036" i="27" s="1"/>
  <c r="AS2036" i="27" s="1"/>
  <c r="AQ2282" i="27"/>
  <c r="AR2282" i="27" s="1"/>
  <c r="AS2282" i="27" s="1"/>
  <c r="AQ1055" i="27"/>
  <c r="AR1055" i="27" s="1"/>
  <c r="AS1055" i="27" s="1"/>
  <c r="AQ2990" i="27"/>
  <c r="AR2990" i="27" s="1"/>
  <c r="AS2990" i="27" s="1"/>
  <c r="AQ1391" i="27"/>
  <c r="AR1391" i="27" s="1"/>
  <c r="AS1391" i="27" s="1"/>
  <c r="AQ2958" i="27"/>
  <c r="AR2958" i="27" s="1"/>
  <c r="AS2958" i="27" s="1"/>
  <c r="AQ2340" i="27"/>
  <c r="AR2340" i="27" s="1"/>
  <c r="AS2340" i="27" s="1"/>
  <c r="AQ913" i="27"/>
  <c r="AR913" i="27" s="1"/>
  <c r="AS913" i="27" s="1"/>
  <c r="AQ1760" i="27"/>
  <c r="AR1760" i="27" s="1"/>
  <c r="AS1760" i="27" s="1"/>
  <c r="AQ2152" i="27"/>
  <c r="AR2152" i="27" s="1"/>
  <c r="AS2152" i="27" s="1"/>
  <c r="AQ2151" i="27"/>
  <c r="AR2151" i="27" s="1"/>
  <c r="AS2151" i="27" s="1"/>
  <c r="AQ3186" i="27"/>
  <c r="AR3186" i="27" s="1"/>
  <c r="AS3186" i="27" s="1"/>
  <c r="AQ527" i="27"/>
  <c r="AR527" i="27" s="1"/>
  <c r="AS527" i="27" s="1"/>
  <c r="AQ1875" i="27"/>
  <c r="AR1875" i="27" s="1"/>
  <c r="AS1875" i="27" s="1"/>
  <c r="AQ2666" i="27"/>
  <c r="AR2666" i="27" s="1"/>
  <c r="AS2666" i="27" s="1"/>
  <c r="AQ2019" i="27"/>
  <c r="AR2019" i="27" s="1"/>
  <c r="AS2019" i="27" s="1"/>
  <c r="AQ2184" i="27"/>
  <c r="AR2184" i="27" s="1"/>
  <c r="AS2184" i="27" s="1"/>
  <c r="AQ776" i="27"/>
  <c r="AR776" i="27" s="1"/>
  <c r="AS776" i="27" s="1"/>
  <c r="AQ2024" i="27"/>
  <c r="AR2024" i="27" s="1"/>
  <c r="AS2024" i="27" s="1"/>
  <c r="AQ2702" i="27"/>
  <c r="AR2702" i="27" s="1"/>
  <c r="AS2702" i="27" s="1"/>
  <c r="AQ2088" i="27"/>
  <c r="AR2088" i="27" s="1"/>
  <c r="AS2088" i="27" s="1"/>
  <c r="AQ416" i="27"/>
  <c r="AR416" i="27" s="1"/>
  <c r="AS416" i="27" s="1"/>
  <c r="AQ345" i="27"/>
  <c r="AR345" i="27" s="1"/>
  <c r="AS345" i="27" s="1"/>
  <c r="AQ2866" i="27"/>
  <c r="AR2866" i="27" s="1"/>
  <c r="AS2866" i="27" s="1"/>
  <c r="AQ973" i="27"/>
  <c r="AR973" i="27" s="1"/>
  <c r="AS973" i="27" s="1"/>
  <c r="AQ486" i="27"/>
  <c r="AR486" i="27" s="1"/>
  <c r="AS486" i="27" s="1"/>
  <c r="AQ619" i="27"/>
  <c r="AR619" i="27" s="1"/>
  <c r="AS619" i="27" s="1"/>
  <c r="AQ438" i="27"/>
  <c r="AR438" i="27" s="1"/>
  <c r="AS438" i="27" s="1"/>
  <c r="AQ826" i="27"/>
  <c r="AR826" i="27" s="1"/>
  <c r="AS826" i="27" s="1"/>
  <c r="AQ89" i="27"/>
  <c r="AR89" i="27" s="1"/>
  <c r="AS89" i="27" s="1"/>
  <c r="AQ2322" i="27"/>
  <c r="AR2322" i="27" s="1"/>
  <c r="AS2322" i="27" s="1"/>
  <c r="AQ2179" i="27"/>
  <c r="AR2179" i="27" s="1"/>
  <c r="AS2179" i="27" s="1"/>
  <c r="AQ2441" i="27"/>
  <c r="AR2441" i="27" s="1"/>
  <c r="AS2441" i="27" s="1"/>
  <c r="AQ1037" i="27"/>
  <c r="AR1037" i="27" s="1"/>
  <c r="AS1037" i="27" s="1"/>
  <c r="AQ1962" i="27"/>
  <c r="AR1962" i="27" s="1"/>
  <c r="AS1962" i="27" s="1"/>
  <c r="AQ1512" i="27"/>
  <c r="AR1512" i="27" s="1"/>
  <c r="AS1512" i="27" s="1"/>
  <c r="AQ2236" i="27"/>
  <c r="AR2236" i="27" s="1"/>
  <c r="AS2236" i="27" s="1"/>
  <c r="AQ831" i="27"/>
  <c r="AR831" i="27" s="1"/>
  <c r="AS831" i="27" s="1"/>
  <c r="AQ825" i="27"/>
  <c r="AR825" i="27" s="1"/>
  <c r="AS825" i="27" s="1"/>
  <c r="AQ955" i="27"/>
  <c r="AR955" i="27" s="1"/>
  <c r="AS955" i="27" s="1"/>
  <c r="AQ329" i="27"/>
  <c r="AR329" i="27" s="1"/>
  <c r="AS329" i="27" s="1"/>
  <c r="AQ2280" i="27"/>
  <c r="AR2280" i="27" s="1"/>
  <c r="AS2280" i="27" s="1"/>
  <c r="AQ2484" i="27"/>
  <c r="AR2484" i="27" s="1"/>
  <c r="AS2484" i="27" s="1"/>
  <c r="AQ1106" i="27"/>
  <c r="AR1106" i="27" s="1"/>
  <c r="AS1106" i="27" s="1"/>
  <c r="AQ2495" i="27"/>
  <c r="AR2495" i="27" s="1"/>
  <c r="AS2495" i="27" s="1"/>
  <c r="AQ551" i="27"/>
  <c r="AR551" i="27" s="1"/>
  <c r="AS551" i="27" s="1"/>
  <c r="AQ1916" i="27"/>
  <c r="AR1916" i="27" s="1"/>
  <c r="AS1916" i="27" s="1"/>
  <c r="AQ2612" i="27"/>
  <c r="AR2612" i="27" s="1"/>
  <c r="AS2612" i="27" s="1"/>
  <c r="AQ1407" i="27"/>
  <c r="AR1407" i="27" s="1"/>
  <c r="AS1407" i="27" s="1"/>
  <c r="AQ2886" i="27"/>
  <c r="AR2886" i="27" s="1"/>
  <c r="AS2886" i="27" s="1"/>
  <c r="AQ2844" i="27"/>
  <c r="AR2844" i="27" s="1"/>
  <c r="AS2844" i="27" s="1"/>
  <c r="AQ2432" i="27"/>
  <c r="AR2432" i="27" s="1"/>
  <c r="AS2432" i="27" s="1"/>
  <c r="AQ952" i="27"/>
  <c r="AR952" i="27" s="1"/>
  <c r="AS952" i="27" s="1"/>
  <c r="AQ1689" i="27"/>
  <c r="AR1689" i="27" s="1"/>
  <c r="AS1689" i="27" s="1"/>
  <c r="AQ935" i="27"/>
  <c r="AR935" i="27" s="1"/>
  <c r="AS935" i="27" s="1"/>
  <c r="AQ868" i="27"/>
  <c r="AR868" i="27" s="1"/>
  <c r="AS868" i="27" s="1"/>
  <c r="AQ1972" i="27"/>
  <c r="AR1972" i="27" s="1"/>
  <c r="AS1972" i="27" s="1"/>
  <c r="AQ607" i="27"/>
  <c r="AR607" i="27" s="1"/>
  <c r="AS607" i="27" s="1"/>
  <c r="AQ617" i="27"/>
  <c r="AR617" i="27" s="1"/>
  <c r="AS617" i="27" s="1"/>
  <c r="AQ968" i="27"/>
  <c r="AR968" i="27" s="1"/>
  <c r="AS968" i="27" s="1"/>
  <c r="AQ1377" i="27"/>
  <c r="AR1377" i="27" s="1"/>
  <c r="AS1377" i="27" s="1"/>
  <c r="AQ2510" i="27"/>
  <c r="AR2510" i="27" s="1"/>
  <c r="AS2510" i="27" s="1"/>
  <c r="AQ652" i="27"/>
  <c r="AR652" i="27" s="1"/>
  <c r="AS652" i="27" s="1"/>
  <c r="AQ2874" i="27"/>
  <c r="AR2874" i="27" s="1"/>
  <c r="AS2874" i="27" s="1"/>
  <c r="AQ794" i="27"/>
  <c r="AR794" i="27" s="1"/>
  <c r="AS794" i="27" s="1"/>
  <c r="AQ1983" i="27"/>
  <c r="AR1983" i="27" s="1"/>
  <c r="AS1983" i="27" s="1"/>
  <c r="AQ2804" i="27"/>
  <c r="AR2804" i="27" s="1"/>
  <c r="AS2804" i="27" s="1"/>
  <c r="AQ1111" i="27"/>
  <c r="AR1111" i="27" s="1"/>
  <c r="AS1111" i="27" s="1"/>
  <c r="AQ2500" i="27"/>
  <c r="AR2500" i="27" s="1"/>
  <c r="AS2500" i="27" s="1"/>
  <c r="AQ695" i="27"/>
  <c r="AR695" i="27" s="1"/>
  <c r="AS695" i="27" s="1"/>
  <c r="AQ2677" i="27"/>
  <c r="AR2677" i="27" s="1"/>
  <c r="AS2677" i="27" s="1"/>
  <c r="AQ936" i="27"/>
  <c r="AR936" i="27" s="1"/>
  <c r="AS936" i="27" s="1"/>
  <c r="AQ34" i="27"/>
  <c r="AR34" i="27" s="1"/>
  <c r="AS34" i="27" s="1"/>
  <c r="AQ2743" i="27"/>
  <c r="AR2743" i="27" s="1"/>
  <c r="AS2743" i="27" s="1"/>
  <c r="AQ987" i="27"/>
  <c r="AR987" i="27" s="1"/>
  <c r="AS987" i="27" s="1"/>
  <c r="AQ2655" i="27"/>
  <c r="AR2655" i="27" s="1"/>
  <c r="AS2655" i="27" s="1"/>
  <c r="AQ1887" i="27"/>
  <c r="AR1887" i="27" s="1"/>
  <c r="AS1887" i="27" s="1"/>
  <c r="AQ1506" i="27"/>
  <c r="AR1506" i="27" s="1"/>
  <c r="AS1506" i="27" s="1"/>
  <c r="AQ599" i="27"/>
  <c r="AR599" i="27" s="1"/>
  <c r="AS599" i="27" s="1"/>
  <c r="AQ1223" i="27"/>
  <c r="AR1223" i="27" s="1"/>
  <c r="AS1223" i="27" s="1"/>
  <c r="AQ3277" i="27"/>
  <c r="AR3277" i="27" s="1"/>
  <c r="AS3277" i="27" s="1"/>
  <c r="AQ2758" i="27"/>
  <c r="AR2758" i="27" s="1"/>
  <c r="AS2758" i="27" s="1"/>
  <c r="AQ761" i="27"/>
  <c r="AR761" i="27" s="1"/>
  <c r="AS761" i="27" s="1"/>
  <c r="AQ101" i="27"/>
  <c r="AR101" i="27" s="1"/>
  <c r="AS101" i="27" s="1"/>
  <c r="AQ699" i="27"/>
  <c r="AR699" i="27" s="1"/>
  <c r="AS699" i="27" s="1"/>
  <c r="AQ1820" i="27"/>
  <c r="AR1820" i="27" s="1"/>
  <c r="AS1820" i="27" s="1"/>
  <c r="AQ2425" i="27"/>
  <c r="AR2425" i="27" s="1"/>
  <c r="AS2425" i="27" s="1"/>
  <c r="AQ2621" i="27"/>
  <c r="AR2621" i="27" s="1"/>
  <c r="AS2621" i="27" s="1"/>
  <c r="AQ1050" i="27"/>
  <c r="AR1050" i="27" s="1"/>
  <c r="AS1050" i="27" s="1"/>
  <c r="AQ2864" i="27"/>
  <c r="AR2864" i="27" s="1"/>
  <c r="AS2864" i="27" s="1"/>
  <c r="AQ552" i="27"/>
  <c r="AR552" i="27" s="1"/>
  <c r="AS552" i="27" s="1"/>
  <c r="AQ860" i="27"/>
  <c r="AR860" i="27" s="1"/>
  <c r="AS860" i="27" s="1"/>
  <c r="AQ646" i="27"/>
  <c r="AR646" i="27" s="1"/>
  <c r="AS646" i="27" s="1"/>
  <c r="AQ2887" i="27"/>
  <c r="AR2887" i="27" s="1"/>
  <c r="AS2887" i="27" s="1"/>
  <c r="AQ1847" i="27"/>
  <c r="AR1847" i="27" s="1"/>
  <c r="AS1847" i="27" s="1"/>
  <c r="AQ3183" i="27"/>
  <c r="AR3183" i="27" s="1"/>
  <c r="AS3183" i="27" s="1"/>
  <c r="AQ472" i="27"/>
  <c r="AR472" i="27" s="1"/>
  <c r="AS472" i="27" s="1"/>
  <c r="AQ214" i="27"/>
  <c r="AR214" i="27" s="1"/>
  <c r="AS214" i="27" s="1"/>
  <c r="AQ1571" i="27"/>
  <c r="AR1571" i="27" s="1"/>
  <c r="AS1571" i="27" s="1"/>
  <c r="AQ2718" i="27"/>
  <c r="AR2718" i="27" s="1"/>
  <c r="AS2718" i="27" s="1"/>
  <c r="AQ1278" i="27"/>
  <c r="AR1278" i="27" s="1"/>
  <c r="AS1278" i="27" s="1"/>
  <c r="AQ2354" i="27"/>
  <c r="AR2354" i="27" s="1"/>
  <c r="AS2354" i="27" s="1"/>
  <c r="AQ1925" i="27"/>
  <c r="AR1925" i="27" s="1"/>
  <c r="AS1925" i="27" s="1"/>
  <c r="AQ402" i="27"/>
  <c r="AR402" i="27" s="1"/>
  <c r="AS402" i="27" s="1"/>
  <c r="AQ99" i="27"/>
  <c r="AR99" i="27" s="1"/>
  <c r="AS99" i="27" s="1"/>
  <c r="AQ3279" i="27"/>
  <c r="AR3279" i="27" s="1"/>
  <c r="AS3279" i="27" s="1"/>
  <c r="AQ2877" i="27"/>
  <c r="AR2877" i="27" s="1"/>
  <c r="AS2877" i="27" s="1"/>
  <c r="AQ1683" i="27"/>
  <c r="AR1683" i="27" s="1"/>
  <c r="AS1683" i="27" s="1"/>
  <c r="AQ399" i="27"/>
  <c r="AR399" i="27" s="1"/>
  <c r="AS399" i="27" s="1"/>
  <c r="AQ485" i="27"/>
  <c r="AR485" i="27" s="1"/>
  <c r="AS485" i="27" s="1"/>
  <c r="AQ1634" i="27"/>
  <c r="AR1634" i="27" s="1"/>
  <c r="AS1634" i="27" s="1"/>
  <c r="AQ1516" i="27"/>
  <c r="AR1516" i="27" s="1"/>
  <c r="AS1516" i="27" s="1"/>
  <c r="AQ778" i="27"/>
  <c r="AR778" i="27" s="1"/>
  <c r="AS778" i="27" s="1"/>
  <c r="AQ3109" i="27"/>
  <c r="AR3109" i="27" s="1"/>
  <c r="AS3109" i="27" s="1"/>
  <c r="AQ483" i="27"/>
  <c r="AR483" i="27" s="1"/>
  <c r="AS483" i="27" s="1"/>
  <c r="AQ2109" i="27"/>
  <c r="AR2109" i="27" s="1"/>
  <c r="AS2109" i="27" s="1"/>
  <c r="AQ1871" i="27"/>
  <c r="AR1871" i="27" s="1"/>
  <c r="AS1871" i="27" s="1"/>
  <c r="AQ2324" i="27"/>
  <c r="AR2324" i="27" s="1"/>
  <c r="AS2324" i="27" s="1"/>
  <c r="AQ420" i="27"/>
  <c r="AR420" i="27" s="1"/>
  <c r="AS420" i="27" s="1"/>
  <c r="AQ1151" i="27"/>
  <c r="AR1151" i="27" s="1"/>
  <c r="AS1151" i="27" s="1"/>
  <c r="AQ1543" i="27"/>
  <c r="AR1543" i="27" s="1"/>
  <c r="AS1543" i="27" s="1"/>
  <c r="AQ621" i="27"/>
  <c r="AR621" i="27" s="1"/>
  <c r="AS621" i="27" s="1"/>
  <c r="AQ855" i="27"/>
  <c r="AR855" i="27" s="1"/>
  <c r="AS855" i="27" s="1"/>
  <c r="AQ873" i="27"/>
  <c r="AR873" i="27" s="1"/>
  <c r="AS873" i="27" s="1"/>
  <c r="AQ1657" i="27"/>
  <c r="AR1657" i="27" s="1"/>
  <c r="AS1657" i="27" s="1"/>
  <c r="AQ849" i="27"/>
  <c r="AR849" i="27" s="1"/>
  <c r="AS849" i="27" s="1"/>
  <c r="AQ2192" i="27"/>
  <c r="AR2192" i="27" s="1"/>
  <c r="AS2192" i="27" s="1"/>
  <c r="AQ1296" i="27"/>
  <c r="AR1296" i="27" s="1"/>
  <c r="AS1296" i="27" s="1"/>
  <c r="AQ897" i="27"/>
  <c r="AR897" i="27" s="1"/>
  <c r="AS897" i="27" s="1"/>
  <c r="AQ723" i="27"/>
  <c r="AR723" i="27" s="1"/>
  <c r="AS723" i="27" s="1"/>
  <c r="AQ537" i="27"/>
  <c r="AR537" i="27" s="1"/>
  <c r="AS537" i="27" s="1"/>
  <c r="AQ2434" i="27"/>
  <c r="AR2434" i="27" s="1"/>
  <c r="AS2434" i="27" s="1"/>
  <c r="AQ2325" i="27"/>
  <c r="AR2325" i="27" s="1"/>
  <c r="AS2325" i="27" s="1"/>
  <c r="AQ2692" i="27"/>
  <c r="AR2692" i="27" s="1"/>
  <c r="AS2692" i="27" s="1"/>
  <c r="AQ2785" i="27"/>
  <c r="AR2785" i="27" s="1"/>
  <c r="AS2785" i="27" s="1"/>
  <c r="AQ1301" i="27"/>
  <c r="AR1301" i="27" s="1"/>
  <c r="AS1301" i="27" s="1"/>
  <c r="AQ861" i="27"/>
  <c r="AR861" i="27" s="1"/>
  <c r="AS861" i="27" s="1"/>
  <c r="AQ1565" i="27"/>
  <c r="AR1565" i="27" s="1"/>
  <c r="AS1565" i="27" s="1"/>
  <c r="AQ1446" i="27"/>
  <c r="AR1446" i="27" s="1"/>
  <c r="AS1446" i="27" s="1"/>
  <c r="AQ1356" i="27"/>
  <c r="AR1356" i="27" s="1"/>
  <c r="AS1356" i="27" s="1"/>
  <c r="AQ2269" i="27"/>
  <c r="AR2269" i="27" s="1"/>
  <c r="AS2269" i="27" s="1"/>
  <c r="AQ2469" i="27"/>
  <c r="AR2469" i="27" s="1"/>
  <c r="AS2469" i="27" s="1"/>
  <c r="AQ1172" i="27"/>
  <c r="AR1172" i="27" s="1"/>
  <c r="AS1172" i="27" s="1"/>
  <c r="AQ2241" i="27"/>
  <c r="AR2241" i="27" s="1"/>
  <c r="AS2241" i="27" s="1"/>
  <c r="AQ2233" i="27"/>
  <c r="AR2233" i="27" s="1"/>
  <c r="AS2233" i="27" s="1"/>
  <c r="AQ1899" i="27"/>
  <c r="AR1899" i="27" s="1"/>
  <c r="AS1899" i="27" s="1"/>
  <c r="AQ2843" i="27"/>
  <c r="AR2843" i="27" s="1"/>
  <c r="AS2843" i="27" s="1"/>
  <c r="AQ1308" i="27"/>
  <c r="AR1308" i="27" s="1"/>
  <c r="AS1308" i="27" s="1"/>
  <c r="AQ339" i="27"/>
  <c r="AR339" i="27" s="1"/>
  <c r="AS339" i="27" s="1"/>
  <c r="AQ2518" i="27"/>
  <c r="AR2518" i="27" s="1"/>
  <c r="AS2518" i="27" s="1"/>
  <c r="AQ2222" i="27"/>
  <c r="AR2222" i="27" s="1"/>
  <c r="AS2222" i="27" s="1"/>
  <c r="AQ2165" i="27"/>
  <c r="AR2165" i="27" s="1"/>
  <c r="AS2165" i="27" s="1"/>
  <c r="AQ2767" i="27"/>
  <c r="AR2767" i="27" s="1"/>
  <c r="AS2767" i="27" s="1"/>
  <c r="AQ1940" i="27"/>
  <c r="AR1940" i="27" s="1"/>
  <c r="AS1940" i="27" s="1"/>
  <c r="AQ1040" i="27"/>
  <c r="AR1040" i="27" s="1"/>
  <c r="AS1040" i="27" s="1"/>
  <c r="AQ2456" i="27"/>
  <c r="AR2456" i="27" s="1"/>
  <c r="AS2456" i="27" s="1"/>
  <c r="AQ2068" i="27"/>
  <c r="AR2068" i="27" s="1"/>
  <c r="AS2068" i="27" s="1"/>
  <c r="AQ2272" i="27"/>
  <c r="AR2272" i="27" s="1"/>
  <c r="AS2272" i="27" s="1"/>
  <c r="AQ1931" i="27"/>
  <c r="AR1931" i="27" s="1"/>
  <c r="AS1931" i="27" s="1"/>
  <c r="AQ1946" i="27"/>
  <c r="AR1946" i="27" s="1"/>
  <c r="AS1946" i="27" s="1"/>
  <c r="AQ533" i="27"/>
  <c r="AR533" i="27" s="1"/>
  <c r="AS533" i="27" s="1"/>
  <c r="AQ663" i="27"/>
  <c r="AR663" i="27" s="1"/>
  <c r="AS663" i="27" s="1"/>
  <c r="AQ2596" i="27"/>
  <c r="AR2596" i="27" s="1"/>
  <c r="AS2596" i="27" s="1"/>
  <c r="AQ1879" i="27"/>
  <c r="AR1879" i="27" s="1"/>
  <c r="AS1879" i="27" s="1"/>
  <c r="AQ3138" i="27"/>
  <c r="AR3138" i="27" s="1"/>
  <c r="AS3138" i="27" s="1"/>
  <c r="AQ1888" i="27"/>
  <c r="AR1888" i="27" s="1"/>
  <c r="AS1888" i="27" s="1"/>
  <c r="AQ2710" i="27"/>
  <c r="AR2710" i="27" s="1"/>
  <c r="AS2710" i="27" s="1"/>
  <c r="AQ401" i="27"/>
  <c r="AR401" i="27" s="1"/>
  <c r="AS401" i="27" s="1"/>
  <c r="AQ3091" i="27"/>
  <c r="AR3091" i="27" s="1"/>
  <c r="AS3091" i="27" s="1"/>
  <c r="AQ2305" i="27"/>
  <c r="AR2305" i="27" s="1"/>
  <c r="AS2305" i="27" s="1"/>
  <c r="AQ1002" i="27"/>
  <c r="AR1002" i="27" s="1"/>
  <c r="AS1002" i="27" s="1"/>
  <c r="AQ3057" i="27"/>
  <c r="AR3057" i="27" s="1"/>
  <c r="AS3057" i="27" s="1"/>
  <c r="AQ1345" i="27"/>
  <c r="AR1345" i="27" s="1"/>
  <c r="AS1345" i="27" s="1"/>
  <c r="AQ1069" i="27"/>
  <c r="AR1069" i="27" s="1"/>
  <c r="AS1069" i="27" s="1"/>
  <c r="AQ2084" i="27"/>
  <c r="AR2084" i="27" s="1"/>
  <c r="AS2084" i="27" s="1"/>
  <c r="AQ100" i="27"/>
  <c r="AR100" i="27" s="1"/>
  <c r="AS100" i="27" s="1"/>
  <c r="AQ998" i="27"/>
  <c r="AR998" i="27" s="1"/>
  <c r="AS998" i="27" s="1"/>
  <c r="AQ72" i="27"/>
  <c r="AR72" i="27" s="1"/>
  <c r="AS72" i="27" s="1"/>
  <c r="AQ1566" i="27"/>
  <c r="AR1566" i="27" s="1"/>
  <c r="AS1566" i="27" s="1"/>
  <c r="AQ2161" i="27"/>
  <c r="AR2161" i="27" s="1"/>
  <c r="AS2161" i="27" s="1"/>
  <c r="AQ3260" i="27"/>
  <c r="AR3260" i="27" s="1"/>
  <c r="AS3260" i="27" s="1"/>
  <c r="AQ1503" i="27"/>
  <c r="AR1503" i="27" s="1"/>
  <c r="AS1503" i="27" s="1"/>
  <c r="AQ754" i="27"/>
  <c r="AR754" i="27" s="1"/>
  <c r="AS754" i="27" s="1"/>
  <c r="AQ2428" i="27"/>
  <c r="AR2428" i="27" s="1"/>
  <c r="AS2428" i="27" s="1"/>
  <c r="AQ3267" i="27"/>
  <c r="AR3267" i="27" s="1"/>
  <c r="AS3267" i="27" s="1"/>
  <c r="AQ3228" i="27"/>
  <c r="AR3228" i="27" s="1"/>
  <c r="AS3228" i="27" s="1"/>
  <c r="AQ802" i="27"/>
  <c r="AR802" i="27" s="1"/>
  <c r="AS802" i="27" s="1"/>
  <c r="AQ2100" i="27"/>
  <c r="AR2100" i="27" s="1"/>
  <c r="AS2100" i="27" s="1"/>
  <c r="AQ1830" i="27"/>
  <c r="AR1830" i="27" s="1"/>
  <c r="AS1830" i="27" s="1"/>
  <c r="AQ1796" i="27"/>
  <c r="AR1796" i="27" s="1"/>
  <c r="AS1796" i="27" s="1"/>
  <c r="AQ38" i="27"/>
  <c r="AR38" i="27" s="1"/>
  <c r="AS38" i="27" s="1"/>
  <c r="AQ2489" i="27"/>
  <c r="AR2489" i="27" s="1"/>
  <c r="AS2489" i="27" s="1"/>
  <c r="AQ1380" i="27"/>
  <c r="AR1380" i="27" s="1"/>
  <c r="AS1380" i="27" s="1"/>
  <c r="AQ1490" i="27"/>
  <c r="AR1490" i="27" s="1"/>
  <c r="AS1490" i="27" s="1"/>
  <c r="AQ471" i="27"/>
  <c r="AR471" i="27" s="1"/>
  <c r="AS471" i="27" s="1"/>
  <c r="AQ77" i="27"/>
  <c r="AR77" i="27" s="1"/>
  <c r="AS77" i="27" s="1"/>
  <c r="AQ3159" i="27"/>
  <c r="AR3159" i="27" s="1"/>
  <c r="AS3159" i="27" s="1"/>
  <c r="AQ1785" i="27"/>
  <c r="AR1785" i="27" s="1"/>
  <c r="AS1785" i="27" s="1"/>
  <c r="AQ1629" i="27"/>
  <c r="AR1629" i="27" s="1"/>
  <c r="AS1629" i="27" s="1"/>
  <c r="AQ2213" i="27"/>
  <c r="AR2213" i="27" s="1"/>
  <c r="AS2213" i="27" s="1"/>
  <c r="AQ830" i="27"/>
  <c r="AR830" i="27" s="1"/>
  <c r="AS830" i="27" s="1"/>
  <c r="AQ1459" i="27"/>
  <c r="AR1459" i="27" s="1"/>
  <c r="AS1459" i="27" s="1"/>
  <c r="AQ856" i="27"/>
  <c r="AR856" i="27" s="1"/>
  <c r="AS856" i="27" s="1"/>
  <c r="AQ965" i="27"/>
  <c r="AR965" i="27" s="1"/>
  <c r="AS965" i="27" s="1"/>
  <c r="AQ1116" i="27"/>
  <c r="AR1116" i="27" s="1"/>
  <c r="AS1116" i="27" s="1"/>
  <c r="AQ2824" i="27"/>
  <c r="AR2824" i="27" s="1"/>
  <c r="AS2824" i="27" s="1"/>
  <c r="AQ743" i="27"/>
  <c r="AR743" i="27" s="1"/>
  <c r="AS743" i="27" s="1"/>
  <c r="AQ875" i="27"/>
  <c r="AR875" i="27" s="1"/>
  <c r="AS875" i="27" s="1"/>
  <c r="AQ3071" i="27"/>
  <c r="AR3071" i="27" s="1"/>
  <c r="AS3071" i="27" s="1"/>
  <c r="AQ2505" i="27"/>
  <c r="AR2505" i="27" s="1"/>
  <c r="AS2505" i="27" s="1"/>
  <c r="AQ522" i="27"/>
  <c r="AR522" i="27" s="1"/>
  <c r="AS522" i="27" s="1"/>
  <c r="AQ1626" i="27"/>
  <c r="AR1626" i="27" s="1"/>
  <c r="AS1626" i="27" s="1"/>
  <c r="AQ1429" i="27"/>
  <c r="AR1429" i="27" s="1"/>
  <c r="AS1429" i="27" s="1"/>
  <c r="AQ1194" i="27"/>
  <c r="AR1194" i="27" s="1"/>
  <c r="AS1194" i="27" s="1"/>
  <c r="AQ2917" i="27"/>
  <c r="AR2917" i="27" s="1"/>
  <c r="AS2917" i="27" s="1"/>
  <c r="AQ1938" i="27"/>
  <c r="AR1938" i="27" s="1"/>
  <c r="AS1938" i="27" s="1"/>
  <c r="AQ1000" i="27"/>
  <c r="AR1000" i="27" s="1"/>
  <c r="AS1000" i="27" s="1"/>
  <c r="AQ992" i="27"/>
  <c r="AR992" i="27" s="1"/>
  <c r="AS992" i="27" s="1"/>
  <c r="AQ2016" i="27"/>
  <c r="AR2016" i="27" s="1"/>
  <c r="AS2016" i="27" s="1"/>
  <c r="AQ1277" i="27"/>
  <c r="AR1277" i="27" s="1"/>
  <c r="AS1277" i="27" s="1"/>
  <c r="AQ1790" i="27"/>
  <c r="AR1790" i="27" s="1"/>
  <c r="AS1790" i="27" s="1"/>
  <c r="AQ1445" i="27"/>
  <c r="AR1445" i="27" s="1"/>
  <c r="AS1445" i="27" s="1"/>
  <c r="AQ3079" i="27"/>
  <c r="AR3079" i="27" s="1"/>
  <c r="AS3079" i="27" s="1"/>
  <c r="AQ1455" i="27"/>
  <c r="AR1455" i="27" s="1"/>
  <c r="AS1455" i="27" s="1"/>
  <c r="AQ451" i="27"/>
  <c r="AR451" i="27" s="1"/>
  <c r="AS451" i="27" s="1"/>
  <c r="AQ970" i="27"/>
  <c r="AR970" i="27" s="1"/>
  <c r="AS970" i="27" s="1"/>
  <c r="AQ773" i="27"/>
  <c r="AR773" i="27" s="1"/>
  <c r="AS773" i="27" s="1"/>
  <c r="AQ650" i="27"/>
  <c r="AR650" i="27" s="1"/>
  <c r="AS650" i="27" s="1"/>
  <c r="AQ2768" i="27"/>
  <c r="AR2768" i="27" s="1"/>
  <c r="AS2768" i="27" s="1"/>
  <c r="AQ1180" i="27"/>
  <c r="AR1180" i="27" s="1"/>
  <c r="AS1180" i="27" s="1"/>
  <c r="AQ64" i="27"/>
  <c r="AR64" i="27" s="1"/>
  <c r="AS64" i="27" s="1"/>
  <c r="AQ3299" i="27"/>
  <c r="AR3299" i="27" s="1"/>
  <c r="AS3299" i="27" s="1"/>
  <c r="AQ911" i="27"/>
  <c r="AR911" i="27" s="1"/>
  <c r="AS911" i="27" s="1"/>
  <c r="AQ1843" i="27"/>
  <c r="AR1843" i="27" s="1"/>
  <c r="AS1843" i="27" s="1"/>
  <c r="AQ1066" i="27"/>
  <c r="AR1066" i="27" s="1"/>
  <c r="AS1066" i="27" s="1"/>
  <c r="AQ1174" i="27"/>
  <c r="AR1174" i="27" s="1"/>
  <c r="AS1174" i="27" s="1"/>
  <c r="AQ2937" i="27"/>
  <c r="AR2937" i="27" s="1"/>
  <c r="AS2937" i="27" s="1"/>
  <c r="AQ147" i="27"/>
  <c r="AR147" i="27" s="1"/>
  <c r="AS147" i="27" s="1"/>
  <c r="AQ2915" i="27"/>
  <c r="AR2915" i="27" s="1"/>
  <c r="AS2915" i="27" s="1"/>
  <c r="AQ2445" i="27"/>
  <c r="AR2445" i="27" s="1"/>
  <c r="AS2445" i="27" s="1"/>
  <c r="AQ3111" i="27"/>
  <c r="AR3111" i="27" s="1"/>
  <c r="AS3111" i="27" s="1"/>
  <c r="AQ377" i="27"/>
  <c r="AR377" i="27" s="1"/>
  <c r="AS377" i="27" s="1"/>
  <c r="AQ2928" i="27"/>
  <c r="AR2928" i="27" s="1"/>
  <c r="AS2928" i="27" s="1"/>
  <c r="AQ1222" i="27"/>
  <c r="AR1222" i="27" s="1"/>
  <c r="AS1222" i="27" s="1"/>
  <c r="AQ1128" i="27"/>
  <c r="AR1128" i="27" s="1"/>
  <c r="AS1128" i="27" s="1"/>
  <c r="AQ1076" i="27"/>
  <c r="AR1076" i="27" s="1"/>
  <c r="AS1076" i="27" s="1"/>
  <c r="AQ610" i="27"/>
  <c r="AR610" i="27" s="1"/>
  <c r="AS610" i="27" s="1"/>
  <c r="AQ2574" i="27"/>
  <c r="AR2574" i="27" s="1"/>
  <c r="AS2574" i="27" s="1"/>
  <c r="AQ1113" i="27"/>
  <c r="AR1113" i="27" s="1"/>
  <c r="AS1113" i="27" s="1"/>
  <c r="AQ1540" i="27"/>
  <c r="AR1540" i="27" s="1"/>
  <c r="AS1540" i="27" s="1"/>
  <c r="AQ2942" i="27"/>
  <c r="AR2942" i="27" s="1"/>
  <c r="AS2942" i="27" s="1"/>
  <c r="AQ1164" i="27"/>
  <c r="AR1164" i="27" s="1"/>
  <c r="AS1164" i="27" s="1"/>
  <c r="AQ1195" i="27"/>
  <c r="AR1195" i="27" s="1"/>
  <c r="AS1195" i="27" s="1"/>
  <c r="AQ593" i="27"/>
  <c r="AR593" i="27" s="1"/>
  <c r="AS593" i="27" s="1"/>
  <c r="AQ1159" i="27"/>
  <c r="AR1159" i="27" s="1"/>
  <c r="AS1159" i="27" s="1"/>
  <c r="AQ2643" i="27"/>
  <c r="AR2643" i="27" s="1"/>
  <c r="AS2643" i="27" s="1"/>
  <c r="AQ1224" i="27"/>
  <c r="AR1224" i="27" s="1"/>
  <c r="AS1224" i="27" s="1"/>
  <c r="AQ105" i="27"/>
  <c r="AR105" i="27" s="1"/>
  <c r="AS105" i="27" s="1"/>
  <c r="AQ2443" i="27"/>
  <c r="AR2443" i="27" s="1"/>
  <c r="AS2443" i="27" s="1"/>
  <c r="AQ2519" i="27"/>
  <c r="AR2519" i="27" s="1"/>
  <c r="AS2519" i="27" s="1"/>
  <c r="AQ3256" i="27"/>
  <c r="AR3256" i="27" s="1"/>
  <c r="AS3256" i="27" s="1"/>
  <c r="AQ2351" i="27"/>
  <c r="AR2351" i="27" s="1"/>
  <c r="AS2351" i="27" s="1"/>
  <c r="AQ125" i="27"/>
  <c r="AR125" i="27" s="1"/>
  <c r="AS125" i="27" s="1"/>
  <c r="AQ1769" i="27"/>
  <c r="AR1769" i="27" s="1"/>
  <c r="AS1769" i="27" s="1"/>
  <c r="AQ1642" i="27"/>
  <c r="AR1642" i="27" s="1"/>
  <c r="AS1642" i="27" s="1"/>
  <c r="AQ606" i="27"/>
  <c r="AR606" i="27" s="1"/>
  <c r="AS606" i="27" s="1"/>
  <c r="AQ722" i="27"/>
  <c r="AR722" i="27" s="1"/>
  <c r="AS722" i="27" s="1"/>
  <c r="AQ1335" i="27"/>
  <c r="AR1335" i="27" s="1"/>
  <c r="AS1335" i="27" s="1"/>
  <c r="AQ959" i="27"/>
  <c r="AR959" i="27" s="1"/>
  <c r="AS959" i="27" s="1"/>
  <c r="AQ2722" i="27"/>
  <c r="AR2722" i="27" s="1"/>
  <c r="AS2722" i="27" s="1"/>
  <c r="AQ325" i="27"/>
  <c r="AR325" i="27" s="1"/>
  <c r="AS325" i="27" s="1"/>
  <c r="AQ2700" i="27"/>
  <c r="AR2700" i="27" s="1"/>
  <c r="AS2700" i="27" s="1"/>
  <c r="AQ2438" i="27"/>
  <c r="AR2438" i="27" s="1"/>
  <c r="AS2438" i="27" s="1"/>
  <c r="AQ2870" i="27"/>
  <c r="AR2870" i="27" s="1"/>
  <c r="AS2870" i="27" s="1"/>
  <c r="AQ2828" i="27"/>
  <c r="AR2828" i="27" s="1"/>
  <c r="AS2828" i="27" s="1"/>
  <c r="AQ1622" i="27"/>
  <c r="AR1622" i="27" s="1"/>
  <c r="AS1622" i="27" s="1"/>
  <c r="AQ613" i="27"/>
  <c r="AR613" i="27" s="1"/>
  <c r="AS613" i="27" s="1"/>
  <c r="AQ2745" i="27"/>
  <c r="AR2745" i="27" s="1"/>
  <c r="AS2745" i="27" s="1"/>
  <c r="AQ894" i="27"/>
  <c r="AR894" i="27" s="1"/>
  <c r="AS894" i="27" s="1"/>
  <c r="AQ2227" i="27"/>
  <c r="AR2227" i="27" s="1"/>
  <c r="AS2227" i="27" s="1"/>
  <c r="AQ2686" i="27"/>
  <c r="AR2686" i="27" s="1"/>
  <c r="AS2686" i="27" s="1"/>
  <c r="AQ2983" i="27"/>
  <c r="AR2983" i="27" s="1"/>
  <c r="AS2983" i="27" s="1"/>
  <c r="AQ1030" i="27"/>
  <c r="AR1030" i="27" s="1"/>
  <c r="AS1030" i="27" s="1"/>
  <c r="AQ1112" i="27"/>
  <c r="AR1112" i="27" s="1"/>
  <c r="AS1112" i="27" s="1"/>
  <c r="AQ2476" i="27"/>
  <c r="AR2476" i="27" s="1"/>
  <c r="AS2476" i="27" s="1"/>
  <c r="AQ2586" i="27"/>
  <c r="AR2586" i="27" s="1"/>
  <c r="AS2586" i="27" s="1"/>
  <c r="AQ547" i="27"/>
  <c r="AR547" i="27" s="1"/>
  <c r="AS547" i="27" s="1"/>
  <c r="AQ2619" i="27"/>
  <c r="AR2619" i="27" s="1"/>
  <c r="AS2619" i="27" s="1"/>
  <c r="AQ1948" i="27"/>
  <c r="AR1948" i="27" s="1"/>
  <c r="AS1948" i="27" s="1"/>
  <c r="AQ1990" i="27"/>
  <c r="AR1990" i="27" s="1"/>
  <c r="AS1990" i="27" s="1"/>
  <c r="AQ2979" i="27"/>
  <c r="AR2979" i="27" s="1"/>
  <c r="AS2979" i="27" s="1"/>
  <c r="AQ338" i="27"/>
  <c r="AR338" i="27" s="1"/>
  <c r="AS338" i="27" s="1"/>
  <c r="AQ2930" i="27"/>
  <c r="AR2930" i="27" s="1"/>
  <c r="AS2930" i="27" s="1"/>
  <c r="AQ2475" i="27"/>
  <c r="AR2475" i="27" s="1"/>
  <c r="AS2475" i="27" s="1"/>
  <c r="AQ1281" i="27"/>
  <c r="AR1281" i="27" s="1"/>
  <c r="AS1281" i="27" s="1"/>
  <c r="AQ2707" i="27"/>
  <c r="AR2707" i="27" s="1"/>
  <c r="AS2707" i="27" s="1"/>
  <c r="AQ1912" i="27"/>
  <c r="AR1912" i="27" s="1"/>
  <c r="AS1912" i="27" s="1"/>
  <c r="AQ2798" i="27"/>
  <c r="AR2798" i="27" s="1"/>
  <c r="AS2798" i="27" s="1"/>
  <c r="AQ2419" i="27"/>
  <c r="AR2419" i="27" s="1"/>
  <c r="AS2419" i="27" s="1"/>
  <c r="AQ2688" i="27"/>
  <c r="AR2688" i="27" s="1"/>
  <c r="AS2688" i="27" s="1"/>
  <c r="AQ3120" i="27"/>
  <c r="AR3120" i="27" s="1"/>
  <c r="AS3120" i="27" s="1"/>
  <c r="AQ422" i="27"/>
  <c r="AR422" i="27" s="1"/>
  <c r="AS422" i="27" s="1"/>
  <c r="AQ2239" i="27"/>
  <c r="AR2239" i="27" s="1"/>
  <c r="AS2239" i="27" s="1"/>
  <c r="AQ1333" i="27"/>
  <c r="AR1333" i="27" s="1"/>
  <c r="AS1333" i="27" s="1"/>
  <c r="AQ1681" i="27"/>
  <c r="AR1681" i="27" s="1"/>
  <c r="AS1681" i="27" s="1"/>
  <c r="AQ2276" i="27"/>
  <c r="AR2276" i="27" s="1"/>
  <c r="AS2276" i="27" s="1"/>
  <c r="AQ2654" i="27"/>
  <c r="AR2654" i="27" s="1"/>
  <c r="AS2654" i="27" s="1"/>
  <c r="AQ309" i="27"/>
  <c r="AR309" i="27" s="1"/>
  <c r="AS309" i="27" s="1"/>
  <c r="AQ3209" i="27"/>
  <c r="AR3209" i="27" s="1"/>
  <c r="AS3209" i="27" s="1"/>
  <c r="AQ1454" i="27"/>
  <c r="AR1454" i="27" s="1"/>
  <c r="AS1454" i="27" s="1"/>
  <c r="AQ1461" i="27"/>
  <c r="AR1461" i="27" s="1"/>
  <c r="AS1461" i="27" s="1"/>
  <c r="AQ2680" i="27"/>
  <c r="AR2680" i="27" s="1"/>
  <c r="AS2680" i="27" s="1"/>
  <c r="AQ1951" i="27"/>
  <c r="AR1951" i="27" s="1"/>
  <c r="AS1951" i="27" s="1"/>
  <c r="AQ2198" i="27"/>
  <c r="AR2198" i="27" s="1"/>
  <c r="AS2198" i="27" s="1"/>
  <c r="AQ1023" i="27"/>
  <c r="AR1023" i="27" s="1"/>
  <c r="AS1023" i="27" s="1"/>
  <c r="AQ1385" i="27"/>
  <c r="AR1385" i="27" s="1"/>
  <c r="AS1385" i="27" s="1"/>
  <c r="AQ394" i="27"/>
  <c r="AR394" i="27" s="1"/>
  <c r="AS394" i="27" s="1"/>
  <c r="AQ455" i="27"/>
  <c r="AR455" i="27" s="1"/>
  <c r="AS455" i="27" s="1"/>
  <c r="AQ503" i="27"/>
  <c r="AR503" i="27" s="1"/>
  <c r="AS503" i="27" s="1"/>
  <c r="AQ1480" i="27"/>
  <c r="AR1480" i="27" s="1"/>
  <c r="AS1480" i="27" s="1"/>
  <c r="AQ2412" i="27"/>
  <c r="AR2412" i="27" s="1"/>
  <c r="AS2412" i="27" s="1"/>
  <c r="AQ2683" i="27"/>
  <c r="AR2683" i="27" s="1"/>
  <c r="AS2683" i="27" s="1"/>
  <c r="AQ2027" i="27"/>
  <c r="AR2027" i="27" s="1"/>
  <c r="AS2027" i="27" s="1"/>
  <c r="AQ308" i="27"/>
  <c r="AR308" i="27" s="1"/>
  <c r="AS308" i="27" s="1"/>
  <c r="AQ1373" i="27"/>
  <c r="AR1373" i="27" s="1"/>
  <c r="AS1373" i="27" s="1"/>
  <c r="AQ951" i="27"/>
  <c r="AR951" i="27" s="1"/>
  <c r="AS951" i="27" s="1"/>
  <c r="AQ2185" i="27"/>
  <c r="AR2185" i="27" s="1"/>
  <c r="AS2185" i="27" s="1"/>
  <c r="AQ456" i="27"/>
  <c r="AR456" i="27" s="1"/>
  <c r="AS456" i="27" s="1"/>
  <c r="AQ3190" i="27"/>
  <c r="AR3190" i="27" s="1"/>
  <c r="AS3190" i="27" s="1"/>
  <c r="AQ1162" i="27"/>
  <c r="AR1162" i="27" s="1"/>
  <c r="AS1162" i="27" s="1"/>
  <c r="AQ2457" i="27"/>
  <c r="AR2457" i="27" s="1"/>
  <c r="AS2457" i="27" s="1"/>
  <c r="AQ661" i="27"/>
  <c r="AR661" i="27" s="1"/>
  <c r="AS661" i="27" s="1"/>
  <c r="AQ555" i="27"/>
  <c r="AR555" i="27" s="1"/>
  <c r="AS555" i="27" s="1"/>
  <c r="AQ453" i="27"/>
  <c r="AR453" i="27" s="1"/>
  <c r="AS453" i="27" s="1"/>
  <c r="AQ2810" i="27"/>
  <c r="AR2810" i="27" s="1"/>
  <c r="AS2810" i="27" s="1"/>
  <c r="AQ1033" i="27"/>
  <c r="AR1033" i="27" s="1"/>
  <c r="AS1033" i="27" s="1"/>
  <c r="AQ387" i="27"/>
  <c r="AR387" i="27" s="1"/>
  <c r="AS387" i="27" s="1"/>
  <c r="AQ2111" i="27"/>
  <c r="AR2111" i="27" s="1"/>
  <c r="AS2111" i="27" s="1"/>
  <c r="AQ1088" i="27"/>
  <c r="AR1088" i="27" s="1"/>
  <c r="AS1088" i="27" s="1"/>
  <c r="AQ679" i="27"/>
  <c r="AR679" i="27" s="1"/>
  <c r="AS679" i="27" s="1"/>
  <c r="AQ3272" i="27"/>
  <c r="AR3272" i="27" s="1"/>
  <c r="AS3272" i="27" s="1"/>
  <c r="AQ406" i="27"/>
  <c r="AR406" i="27" s="1"/>
  <c r="AS406" i="27" s="1"/>
  <c r="AQ1476" i="27"/>
  <c r="AR1476" i="27" s="1"/>
  <c r="AS1476" i="27" s="1"/>
  <c r="AQ714" i="27"/>
  <c r="AR714" i="27" s="1"/>
  <c r="AS714" i="27" s="1"/>
  <c r="AQ2657" i="27"/>
  <c r="AR2657" i="27" s="1"/>
  <c r="AS2657" i="27" s="1"/>
  <c r="AQ2078" i="27"/>
  <c r="AR2078" i="27" s="1"/>
  <c r="AS2078" i="27" s="1"/>
  <c r="AQ2498" i="27"/>
  <c r="AR2498" i="27" s="1"/>
  <c r="AS2498" i="27" s="1"/>
  <c r="AQ598" i="27"/>
  <c r="AR598" i="27" s="1"/>
  <c r="AS598" i="27" s="1"/>
  <c r="AQ671" i="27"/>
  <c r="AR671" i="27" s="1"/>
  <c r="AS671" i="27" s="1"/>
  <c r="AQ1125" i="27"/>
  <c r="AR1125" i="27" s="1"/>
  <c r="AS1125" i="27" s="1"/>
  <c r="AQ1235" i="27"/>
  <c r="AR1235" i="27" s="1"/>
  <c r="AS1235" i="27" s="1"/>
  <c r="AQ2975" i="27"/>
  <c r="AR2975" i="27" s="1"/>
  <c r="AS2975" i="27" s="1"/>
  <c r="AQ3300" i="27"/>
  <c r="AR3300" i="27" s="1"/>
  <c r="AS3300" i="27" s="1"/>
  <c r="AQ775" i="27"/>
  <c r="AR775" i="27" s="1"/>
  <c r="AS775" i="27" s="1"/>
  <c r="AQ1952" i="27"/>
  <c r="AR1952" i="27" s="1"/>
  <c r="AS1952" i="27" s="1"/>
  <c r="AQ1898" i="27"/>
  <c r="AR1898" i="27" s="1"/>
  <c r="AS1898" i="27" s="1"/>
  <c r="AQ618" i="27"/>
  <c r="AR618" i="27" s="1"/>
  <c r="AS618" i="27" s="1"/>
  <c r="AQ2003" i="27"/>
  <c r="AR2003" i="27" s="1"/>
  <c r="AS2003" i="27" s="1"/>
  <c r="AQ1914" i="27"/>
  <c r="AR1914" i="27" s="1"/>
  <c r="AS1914" i="27" s="1"/>
  <c r="AQ1971" i="27"/>
  <c r="AR1971" i="27" s="1"/>
  <c r="AS1971" i="27" s="1"/>
  <c r="AQ301" i="27"/>
  <c r="AR301" i="27" s="1"/>
  <c r="AS301" i="27" s="1"/>
  <c r="AQ1122" i="27"/>
  <c r="AR1122" i="27" s="1"/>
  <c r="AS1122" i="27" s="1"/>
  <c r="AQ2488" i="27"/>
  <c r="AR2488" i="27" s="1"/>
  <c r="AS2488" i="27" s="1"/>
  <c r="AQ692" i="27"/>
  <c r="AR692" i="27" s="1"/>
  <c r="AS692" i="27" s="1"/>
  <c r="AQ2074" i="27"/>
  <c r="AR2074" i="27" s="1"/>
  <c r="AS2074" i="27" s="1"/>
  <c r="AQ2037" i="27"/>
  <c r="AR2037" i="27" s="1"/>
  <c r="AS2037" i="27" s="1"/>
  <c r="AQ1303" i="27"/>
  <c r="AR1303" i="27" s="1"/>
  <c r="AS1303" i="27" s="1"/>
  <c r="AQ633" i="27"/>
  <c r="AR633" i="27" s="1"/>
  <c r="AS633" i="27" s="1"/>
  <c r="AQ1659" i="27"/>
  <c r="AR1659" i="27" s="1"/>
  <c r="AS1659" i="27" s="1"/>
  <c r="AQ2885" i="27"/>
  <c r="AR2885" i="27" s="1"/>
  <c r="AS2885" i="27" s="1"/>
  <c r="AQ2048" i="27"/>
  <c r="AR2048" i="27" s="1"/>
  <c r="AS2048" i="27" s="1"/>
  <c r="AQ2137" i="27"/>
  <c r="AR2137" i="27" s="1"/>
  <c r="AS2137" i="27" s="1"/>
  <c r="AQ2250" i="27"/>
  <c r="AR2250" i="27" s="1"/>
  <c r="AS2250" i="27" s="1"/>
  <c r="AQ1618" i="27"/>
  <c r="AR1618" i="27" s="1"/>
  <c r="AS1618" i="27" s="1"/>
  <c r="AQ498" i="27"/>
  <c r="AR498" i="27" s="1"/>
  <c r="AS498" i="27" s="1"/>
  <c r="AQ2248" i="27"/>
  <c r="AR2248" i="27" s="1"/>
  <c r="AS2248" i="27" s="1"/>
  <c r="AQ1978" i="27"/>
  <c r="AR1978" i="27" s="1"/>
  <c r="AS1978" i="27" s="1"/>
  <c r="AQ1190" i="27"/>
  <c r="AR1190" i="27" s="1"/>
  <c r="AS1190" i="27" s="1"/>
  <c r="AQ1213" i="27"/>
  <c r="AR1213" i="27" s="1"/>
  <c r="AS1213" i="27" s="1"/>
  <c r="AQ2859" i="27"/>
  <c r="AR2859" i="27" s="1"/>
  <c r="AS2859" i="27" s="1"/>
  <c r="AQ2575" i="27"/>
  <c r="AR2575" i="27" s="1"/>
  <c r="AS2575" i="27" s="1"/>
  <c r="AQ1903" i="27"/>
  <c r="AR1903" i="27" s="1"/>
  <c r="AS1903" i="27" s="1"/>
  <c r="AQ1617" i="27"/>
  <c r="AR1617" i="27" s="1"/>
  <c r="AS1617" i="27" s="1"/>
  <c r="AQ1396" i="27"/>
  <c r="AR1396" i="27" s="1"/>
  <c r="AS1396" i="27" s="1"/>
  <c r="AQ2191" i="27"/>
  <c r="AR2191" i="27" s="1"/>
  <c r="AS2191" i="27" s="1"/>
  <c r="AQ753" i="27"/>
  <c r="AR753" i="27" s="1"/>
  <c r="AS753" i="27" s="1"/>
  <c r="AQ2311" i="27"/>
  <c r="AR2311" i="27" s="1"/>
  <c r="AS2311" i="27" s="1"/>
  <c r="AQ2959" i="27"/>
  <c r="AR2959" i="27" s="1"/>
  <c r="AS2959" i="27" s="1"/>
  <c r="AQ272" i="27"/>
  <c r="AR272" i="27" s="1"/>
  <c r="AS272" i="27" s="1"/>
  <c r="AQ3212" i="27"/>
  <c r="AR3212" i="27" s="1"/>
  <c r="AS3212" i="27" s="1"/>
  <c r="AQ1862" i="27"/>
  <c r="AR1862" i="27" s="1"/>
  <c r="AS1862" i="27" s="1"/>
  <c r="AQ1563" i="27"/>
  <c r="AR1563" i="27" s="1"/>
  <c r="AS1563" i="27" s="1"/>
  <c r="AQ1266" i="27"/>
  <c r="AR1266" i="27" s="1"/>
  <c r="AS1266" i="27" s="1"/>
  <c r="AQ984" i="27"/>
  <c r="AR984" i="27" s="1"/>
  <c r="AS984" i="27" s="1"/>
  <c r="AQ2547" i="27"/>
  <c r="AR2547" i="27" s="1"/>
  <c r="AS2547" i="27" s="1"/>
  <c r="AQ1307" i="27"/>
  <c r="AR1307" i="27" s="1"/>
  <c r="AS1307" i="27" s="1"/>
  <c r="AQ2494" i="27"/>
  <c r="AR2494" i="27" s="1"/>
  <c r="AS2494" i="27" s="1"/>
  <c r="AQ1994" i="27"/>
  <c r="AR1994" i="27" s="1"/>
  <c r="AS1994" i="27" s="1"/>
  <c r="AQ2919" i="27"/>
  <c r="AR2919" i="27" s="1"/>
  <c r="AS2919" i="27" s="1"/>
  <c r="AQ2292" i="27"/>
  <c r="AR2292" i="27" s="1"/>
  <c r="AS2292" i="27" s="1"/>
  <c r="AQ2114" i="27"/>
  <c r="AR2114" i="27" s="1"/>
  <c r="AS2114" i="27" s="1"/>
  <c r="AQ346" i="27"/>
  <c r="AR346" i="27" s="1"/>
  <c r="AS346" i="27" s="1"/>
  <c r="AQ678" i="27"/>
  <c r="AR678" i="27" s="1"/>
  <c r="AS678" i="27" s="1"/>
  <c r="AQ2356" i="27"/>
  <c r="AR2356" i="27" s="1"/>
  <c r="AS2356" i="27" s="1"/>
  <c r="AQ2741" i="27"/>
  <c r="AR2741" i="27" s="1"/>
  <c r="AS2741" i="27" s="1"/>
  <c r="AQ2947" i="27"/>
  <c r="AR2947" i="27" s="1"/>
  <c r="AS2947" i="27" s="1"/>
  <c r="AQ2448" i="27"/>
  <c r="AR2448" i="27" s="1"/>
  <c r="AS2448" i="27" s="1"/>
  <c r="AQ2162" i="27"/>
  <c r="AR2162" i="27" s="1"/>
  <c r="AS2162" i="27" s="1"/>
  <c r="AQ2258" i="27"/>
  <c r="AR2258" i="27" s="1"/>
  <c r="AS2258" i="27" s="1"/>
  <c r="AQ1339" i="27"/>
  <c r="AR1339" i="27" s="1"/>
  <c r="AS1339" i="27" s="1"/>
  <c r="AQ2759" i="27"/>
  <c r="AR2759" i="27" s="1"/>
  <c r="AS2759" i="27" s="1"/>
  <c r="AQ1471" i="27"/>
  <c r="AR1471" i="27" s="1"/>
  <c r="AS1471" i="27" s="1"/>
  <c r="AQ163" i="27"/>
  <c r="AR163" i="27" s="1"/>
  <c r="AS163" i="27" s="1"/>
  <c r="AQ1251" i="27"/>
  <c r="AR1251" i="27" s="1"/>
  <c r="AS1251" i="27" s="1"/>
  <c r="AQ611" i="27"/>
  <c r="AR611" i="27" s="1"/>
  <c r="AS611" i="27" s="1"/>
  <c r="AQ2440" i="27"/>
  <c r="AR2440" i="27" s="1"/>
  <c r="AS2440" i="27" s="1"/>
  <c r="AQ948" i="27"/>
  <c r="AR948" i="27" s="1"/>
  <c r="AS948" i="27" s="1"/>
  <c r="AQ2690" i="27"/>
  <c r="AR2690" i="27" s="1"/>
  <c r="AS2690" i="27" s="1"/>
  <c r="AQ787" i="27"/>
  <c r="AR787" i="27" s="1"/>
  <c r="AS787" i="27" s="1"/>
  <c r="AQ2647" i="27"/>
  <c r="AR2647" i="27" s="1"/>
  <c r="AS2647" i="27" s="1"/>
  <c r="AQ1910" i="27"/>
  <c r="AR1910" i="27" s="1"/>
  <c r="AS1910" i="27" s="1"/>
  <c r="AQ1166" i="27"/>
  <c r="AR1166" i="27" s="1"/>
  <c r="AS1166" i="27" s="1"/>
  <c r="AQ3233" i="27"/>
  <c r="AR3233" i="27" s="1"/>
  <c r="AS3233" i="27" s="1"/>
  <c r="AQ315" i="27"/>
  <c r="AR315" i="27" s="1"/>
  <c r="AS315" i="27" s="1"/>
  <c r="AQ433" i="27"/>
  <c r="AR433" i="27" s="1"/>
  <c r="AS433" i="27" s="1"/>
  <c r="AQ2244" i="27"/>
  <c r="AR2244" i="27" s="1"/>
  <c r="AS2244" i="27" s="1"/>
  <c r="AQ1866" i="27"/>
  <c r="AR1866" i="27" s="1"/>
  <c r="AS1866" i="27" s="1"/>
  <c r="AQ2309" i="27"/>
  <c r="AR2309" i="27" s="1"/>
  <c r="AS2309" i="27" s="1"/>
  <c r="AQ392" i="27"/>
  <c r="AR392" i="27" s="1"/>
  <c r="AS392" i="27" s="1"/>
  <c r="AQ1660" i="27"/>
  <c r="AR1660" i="27" s="1"/>
  <c r="AS1660" i="27" s="1"/>
  <c r="AQ1562" i="27"/>
  <c r="AR1562" i="27" s="1"/>
  <c r="AS1562" i="27" s="1"/>
  <c r="AQ1064" i="27"/>
  <c r="AR1064" i="27" s="1"/>
  <c r="AS1064" i="27" s="1"/>
  <c r="AQ1941" i="27"/>
  <c r="AR1941" i="27" s="1"/>
  <c r="AS1941" i="27" s="1"/>
  <c r="AQ1934" i="27"/>
  <c r="AR1934" i="27" s="1"/>
  <c r="AS1934" i="27" s="1"/>
  <c r="AQ590" i="27"/>
  <c r="AR590" i="27" s="1"/>
  <c r="AS590" i="27" s="1"/>
  <c r="AQ383" i="27"/>
  <c r="AR383" i="27" s="1"/>
  <c r="AS383" i="27" s="1"/>
  <c r="AQ2704" i="27"/>
  <c r="AR2704" i="27" s="1"/>
  <c r="AS2704" i="27" s="1"/>
  <c r="AQ2380" i="27"/>
  <c r="AR2380" i="27" s="1"/>
  <c r="AS2380" i="27" s="1"/>
  <c r="AQ2992" i="27"/>
  <c r="AR2992" i="27" s="1"/>
  <c r="AS2992" i="27" s="1"/>
  <c r="AQ1515" i="27"/>
  <c r="AR1515" i="27" s="1"/>
  <c r="AS1515" i="27" s="1"/>
  <c r="AQ3004" i="27"/>
  <c r="AR3004" i="27" s="1"/>
  <c r="AS3004" i="27" s="1"/>
  <c r="AQ2530" i="27"/>
  <c r="AR2530" i="27" s="1"/>
  <c r="AS2530" i="27" s="1"/>
  <c r="AQ215" i="27"/>
  <c r="AR215" i="27" s="1"/>
  <c r="AS215" i="27" s="1"/>
  <c r="AQ1187" i="27"/>
  <c r="AR1187" i="27" s="1"/>
  <c r="AS1187" i="27" s="1"/>
  <c r="AQ1342" i="27"/>
  <c r="AR1342" i="27" s="1"/>
  <c r="AS1342" i="27" s="1"/>
  <c r="AQ2600" i="27"/>
  <c r="AR2600" i="27" s="1"/>
  <c r="AS2600" i="27" s="1"/>
  <c r="AQ2681" i="27"/>
  <c r="AR2681" i="27" s="1"/>
  <c r="AS2681" i="27" s="1"/>
  <c r="AQ2728" i="27"/>
  <c r="AR2728" i="27" s="1"/>
  <c r="AS2728" i="27" s="1"/>
  <c r="AQ744" i="27"/>
  <c r="AR744" i="27" s="1"/>
  <c r="AS744" i="27" s="1"/>
  <c r="AQ1276" i="27"/>
  <c r="AR1276" i="27" s="1"/>
  <c r="AS1276" i="27" s="1"/>
  <c r="AQ1406" i="27"/>
  <c r="AR1406" i="27" s="1"/>
  <c r="AS1406" i="27" s="1"/>
  <c r="AQ1001" i="27"/>
  <c r="AR1001" i="27" s="1"/>
  <c r="AS1001" i="27" s="1"/>
  <c r="AQ2920" i="27"/>
  <c r="AR2920" i="27" s="1"/>
  <c r="AS2920" i="27" s="1"/>
  <c r="AQ2178" i="27"/>
  <c r="AR2178" i="27" s="1"/>
  <c r="AS2178" i="27" s="1"/>
  <c r="AQ3237" i="27"/>
  <c r="AR3237" i="27" s="1"/>
  <c r="AS3237" i="27" s="1"/>
  <c r="AQ1059" i="27"/>
  <c r="AR1059" i="27" s="1"/>
  <c r="AS1059" i="27" s="1"/>
  <c r="AQ623" i="27"/>
  <c r="AR623" i="27" s="1"/>
  <c r="AS623" i="27" s="1"/>
  <c r="AQ1208" i="27"/>
  <c r="AR1208" i="27" s="1"/>
  <c r="AS1208" i="27" s="1"/>
  <c r="AQ924" i="27"/>
  <c r="AR924" i="27" s="1"/>
  <c r="AS924" i="27" s="1"/>
  <c r="AQ738" i="27"/>
  <c r="AR738" i="27" s="1"/>
  <c r="AS738" i="27" s="1"/>
  <c r="AQ2103" i="27"/>
  <c r="AR2103" i="27" s="1"/>
  <c r="AS2103" i="27" s="1"/>
  <c r="AQ1894" i="27"/>
  <c r="AR1894" i="27" s="1"/>
  <c r="AS1894" i="27" s="1"/>
  <c r="AQ823" i="27"/>
  <c r="AR823" i="27" s="1"/>
  <c r="AS823" i="27" s="1"/>
  <c r="AQ641" i="27"/>
  <c r="AR641" i="27" s="1"/>
  <c r="AS641" i="27" s="1"/>
  <c r="AQ467" i="27"/>
  <c r="AR467" i="27" s="1"/>
  <c r="AS467" i="27" s="1"/>
  <c r="AQ2315" i="27"/>
  <c r="AR2315" i="27" s="1"/>
  <c r="AS2315" i="27" s="1"/>
  <c r="AQ3221" i="27"/>
  <c r="AR3221" i="27" s="1"/>
  <c r="AS3221" i="27" s="1"/>
  <c r="AQ2939" i="27"/>
  <c r="AR2939" i="27" s="1"/>
  <c r="AS2939" i="27" s="1"/>
  <c r="AQ2032" i="27"/>
  <c r="AR2032" i="27" s="1"/>
  <c r="AS2032" i="27" s="1"/>
  <c r="AQ2115" i="27"/>
  <c r="AR2115" i="27" s="1"/>
  <c r="AS2115" i="27" s="1"/>
  <c r="AQ898" i="27"/>
  <c r="AR898" i="27" s="1"/>
  <c r="AS898" i="27" s="1"/>
  <c r="AQ940" i="27"/>
  <c r="AR940" i="27" s="1"/>
  <c r="AS940" i="27" s="1"/>
  <c r="AQ1408" i="27"/>
  <c r="AR1408" i="27" s="1"/>
  <c r="AS1408" i="27" s="1"/>
  <c r="AQ2389" i="27"/>
  <c r="AR2389" i="27" s="1"/>
  <c r="AS2389" i="27" s="1"/>
  <c r="AQ1017" i="27"/>
  <c r="AR1017" i="27" s="1"/>
  <c r="AS1017" i="27" s="1"/>
  <c r="AQ2092" i="27"/>
  <c r="AR2092" i="27" s="1"/>
  <c r="AS2092" i="27" s="1"/>
  <c r="AQ1923" i="27"/>
  <c r="AR1923" i="27" s="1"/>
  <c r="AS1923" i="27" s="1"/>
  <c r="AQ2284" i="27"/>
  <c r="AR2284" i="27" s="1"/>
  <c r="AS2284" i="27" s="1"/>
  <c r="AQ977" i="27"/>
  <c r="AR977" i="27" s="1"/>
  <c r="AS977" i="27" s="1"/>
  <c r="AQ526" i="27"/>
  <c r="AR526" i="27" s="1"/>
  <c r="AS526" i="27" s="1"/>
  <c r="AQ2884" i="27"/>
  <c r="AR2884" i="27" s="1"/>
  <c r="AS2884" i="27" s="1"/>
  <c r="AQ3017" i="27"/>
  <c r="AR3017" i="27" s="1"/>
  <c r="AS3017" i="27" s="1"/>
  <c r="AQ544" i="27"/>
  <c r="AR544" i="27" s="1"/>
  <c r="AS544" i="27" s="1"/>
  <c r="AQ2890" i="27"/>
  <c r="AR2890" i="27" s="1"/>
  <c r="AS2890" i="27" s="1"/>
  <c r="AQ782" i="27"/>
  <c r="AR782" i="27" s="1"/>
  <c r="AS782" i="27" s="1"/>
  <c r="AQ2215" i="27"/>
  <c r="AR2215" i="27" s="1"/>
  <c r="AS2215" i="27" s="1"/>
  <c r="AQ21" i="27"/>
  <c r="AR21" i="27" s="1"/>
  <c r="AS21" i="27" s="1"/>
  <c r="AQ1474" i="27"/>
  <c r="AR1474" i="27" s="1"/>
  <c r="AS1474" i="27" s="1"/>
  <c r="AQ2829" i="27"/>
  <c r="AR2829" i="27" s="1"/>
  <c r="AS2829" i="27" s="1"/>
  <c r="AQ3028" i="27"/>
  <c r="AR3028" i="27" s="1"/>
  <c r="AS3028" i="27" s="1"/>
  <c r="AQ2971" i="27"/>
  <c r="AR2971" i="27" s="1"/>
  <c r="AS2971" i="27" s="1"/>
  <c r="AQ2599" i="27"/>
  <c r="AR2599" i="27" s="1"/>
  <c r="AS2599" i="27" s="1"/>
  <c r="AQ1221" i="27"/>
  <c r="AR1221" i="27" s="1"/>
  <c r="AS1221" i="27" s="1"/>
  <c r="AQ2209" i="27"/>
  <c r="AR2209" i="27" s="1"/>
  <c r="AS2209" i="27" s="1"/>
  <c r="AQ833" i="27"/>
  <c r="AR833" i="27" s="1"/>
  <c r="AS833" i="27" s="1"/>
  <c r="AQ454" i="27"/>
  <c r="AR454" i="27" s="1"/>
  <c r="AS454" i="27" s="1"/>
  <c r="AQ2606" i="27"/>
  <c r="AR2606" i="27" s="1"/>
  <c r="AS2606" i="27" s="1"/>
  <c r="AQ885" i="27"/>
  <c r="AR885" i="27" s="1"/>
  <c r="AS885" i="27" s="1"/>
  <c r="AQ837" i="27"/>
  <c r="AR837" i="27" s="1"/>
  <c r="AS837" i="27" s="1"/>
  <c r="AQ862" i="27"/>
  <c r="AR862" i="27" s="1"/>
  <c r="AS862" i="27" s="1"/>
  <c r="AQ2149" i="27"/>
  <c r="AR2149" i="27" s="1"/>
  <c r="AS2149" i="27" s="1"/>
  <c r="AQ1141" i="27"/>
  <c r="AR1141" i="27" s="1"/>
  <c r="AS1141" i="27" s="1"/>
  <c r="AQ313" i="27"/>
  <c r="AR313" i="27" s="1"/>
  <c r="AS313" i="27" s="1"/>
  <c r="AQ2685" i="27"/>
  <c r="AR2685" i="27" s="1"/>
  <c r="AS2685" i="27" s="1"/>
  <c r="AQ2989" i="27"/>
  <c r="AR2989" i="27" s="1"/>
  <c r="AS2989" i="27" s="1"/>
  <c r="AQ2424" i="27"/>
  <c r="AR2424" i="27" s="1"/>
  <c r="AS2424" i="27" s="1"/>
  <c r="AQ303" i="27"/>
  <c r="AR303" i="27" s="1"/>
  <c r="AS303" i="27" s="1"/>
  <c r="AQ2679" i="27"/>
  <c r="AR2679" i="27" s="1"/>
  <c r="AS2679" i="27" s="1"/>
  <c r="AQ693" i="27"/>
  <c r="AR693" i="27" s="1"/>
  <c r="AS693" i="27" s="1"/>
  <c r="AQ305" i="27"/>
  <c r="AR305" i="27" s="1"/>
  <c r="AS305" i="27" s="1"/>
  <c r="AQ3007" i="27"/>
  <c r="AR3007" i="27" s="1"/>
  <c r="AS3007" i="27" s="1"/>
  <c r="AQ3218" i="27"/>
  <c r="AR3218" i="27" s="1"/>
  <c r="AS3218" i="27" s="1"/>
  <c r="AQ3077" i="27"/>
  <c r="AR3077" i="27" s="1"/>
  <c r="AS3077" i="27" s="1"/>
  <c r="AQ1668" i="27"/>
  <c r="AR1668" i="27" s="1"/>
  <c r="AS1668" i="27" s="1"/>
  <c r="AQ2811" i="27"/>
  <c r="AR2811" i="27" s="1"/>
  <c r="AS2811" i="27" s="1"/>
  <c r="AQ457" i="27"/>
  <c r="AR457" i="27" s="1"/>
  <c r="AS457" i="27" s="1"/>
  <c r="AQ697" i="27"/>
  <c r="AR697" i="27" s="1"/>
  <c r="AS697" i="27" s="1"/>
  <c r="AQ2638" i="27"/>
  <c r="AR2638" i="27" s="1"/>
  <c r="AS2638" i="27" s="1"/>
  <c r="AQ2880" i="27"/>
  <c r="AR2880" i="27" s="1"/>
  <c r="AS2880" i="27" s="1"/>
  <c r="AQ680" i="27"/>
  <c r="AR680" i="27" s="1"/>
  <c r="AS680" i="27" s="1"/>
  <c r="AQ2549" i="27"/>
  <c r="AR2549" i="27" s="1"/>
  <c r="AS2549" i="27" s="1"/>
  <c r="AQ2172" i="27"/>
  <c r="AR2172" i="27" s="1"/>
  <c r="AS2172" i="27" s="1"/>
  <c r="AQ1357" i="27"/>
  <c r="AR1357" i="27" s="1"/>
  <c r="AS1357" i="27" s="1"/>
  <c r="AQ361" i="27"/>
  <c r="AR361" i="27" s="1"/>
  <c r="AS361" i="27" s="1"/>
  <c r="AQ756" i="27"/>
  <c r="AR756" i="27" s="1"/>
  <c r="AS756" i="27" s="1"/>
  <c r="AQ2635" i="27"/>
  <c r="AR2635" i="27" s="1"/>
  <c r="AS2635" i="27" s="1"/>
  <c r="AQ2908" i="27"/>
  <c r="AR2908" i="27" s="1"/>
  <c r="AS2908" i="27" s="1"/>
  <c r="AQ673" i="27"/>
  <c r="AR673" i="27" s="1"/>
  <c r="AS673" i="27" s="1"/>
  <c r="AQ2522" i="27"/>
  <c r="AR2522" i="27" s="1"/>
  <c r="AS2522" i="27" s="1"/>
  <c r="AQ626" i="27"/>
  <c r="AR626" i="27" s="1"/>
  <c r="AS626" i="27" s="1"/>
  <c r="AQ1053" i="27"/>
  <c r="AR1053" i="27" s="1"/>
  <c r="AS1053" i="27" s="1"/>
  <c r="AQ1977" i="27"/>
  <c r="AR1977" i="27" s="1"/>
  <c r="AS1977" i="27" s="1"/>
  <c r="AQ2520" i="27"/>
  <c r="AR2520" i="27" s="1"/>
  <c r="AS2520" i="27" s="1"/>
  <c r="AQ1267" i="27"/>
  <c r="AR1267" i="27" s="1"/>
  <c r="AS1267" i="27" s="1"/>
  <c r="AQ727" i="27"/>
  <c r="AR727" i="27" s="1"/>
  <c r="AS727" i="27" s="1"/>
  <c r="AQ589" i="27"/>
  <c r="AR589" i="27" s="1"/>
  <c r="AS589" i="27" s="1"/>
  <c r="AQ733" i="27"/>
  <c r="AR733" i="27" s="1"/>
  <c r="AS733" i="27" s="1"/>
  <c r="AQ1287" i="27"/>
  <c r="AR1287" i="27" s="1"/>
  <c r="AS1287" i="27" s="1"/>
  <c r="AQ216" i="27"/>
  <c r="AR216" i="27" s="1"/>
  <c r="AS216" i="27" s="1"/>
  <c r="AQ2477" i="27"/>
  <c r="AR2477" i="27" s="1"/>
  <c r="AS2477" i="27" s="1"/>
  <c r="AQ386" i="27"/>
  <c r="AR386" i="27" s="1"/>
  <c r="AS386" i="27" s="1"/>
  <c r="AQ1191" i="27"/>
  <c r="AR1191" i="27" s="1"/>
  <c r="AS1191" i="27" s="1"/>
  <c r="AQ3259" i="27"/>
  <c r="AR3259" i="27" s="1"/>
  <c r="AS3259" i="27" s="1"/>
  <c r="AQ813" i="27"/>
  <c r="AR813" i="27" s="1"/>
  <c r="AS813" i="27" s="1"/>
  <c r="AQ2854" i="27"/>
  <c r="AR2854" i="27" s="1"/>
  <c r="AS2854" i="27" s="1"/>
  <c r="AQ2808" i="27"/>
  <c r="AR2808" i="27" s="1"/>
  <c r="AS2808" i="27" s="1"/>
  <c r="AQ2409" i="27"/>
  <c r="AR2409" i="27" s="1"/>
  <c r="AS2409" i="27" s="1"/>
  <c r="AQ556" i="27"/>
  <c r="AR556" i="27" s="1"/>
  <c r="AS556" i="27" s="1"/>
  <c r="AQ974" i="27"/>
  <c r="AR974" i="27" s="1"/>
  <c r="AS974" i="27" s="1"/>
  <c r="AQ912" i="27"/>
  <c r="AR912" i="27" s="1"/>
  <c r="AS912" i="27" s="1"/>
  <c r="AQ525" i="27"/>
  <c r="AR525" i="27" s="1"/>
  <c r="AS525" i="27" s="1"/>
  <c r="AQ1143" i="27"/>
  <c r="AR1143" i="27" s="1"/>
  <c r="AS1143" i="27" s="1"/>
  <c r="AQ2788" i="27"/>
  <c r="AR2788" i="27" s="1"/>
  <c r="AS2788" i="27" s="1"/>
  <c r="AQ350" i="27"/>
  <c r="AR350" i="27" s="1"/>
  <c r="AS350" i="27" s="1"/>
  <c r="AQ2830" i="27"/>
  <c r="AR2830" i="27" s="1"/>
  <c r="AS2830" i="27" s="1"/>
  <c r="AQ3064" i="27"/>
  <c r="AR3064" i="27" s="1"/>
  <c r="AS3064" i="27" s="1"/>
  <c r="AQ505" i="27"/>
  <c r="AR505" i="27" s="1"/>
  <c r="AS505" i="27" s="1"/>
  <c r="AQ2563" i="27"/>
  <c r="AR2563" i="27" s="1"/>
  <c r="AS2563" i="27" s="1"/>
  <c r="AQ2218" i="27"/>
  <c r="AR2218" i="27" s="1"/>
  <c r="AS2218" i="27" s="1"/>
  <c r="AQ1627" i="27"/>
  <c r="AR1627" i="27" s="1"/>
  <c r="AS1627" i="27" s="1"/>
  <c r="AQ1475" i="27"/>
  <c r="AR1475" i="27" s="1"/>
  <c r="AS1475" i="27" s="1"/>
  <c r="AQ413" i="27"/>
  <c r="AR413" i="27" s="1"/>
  <c r="AS413" i="27" s="1"/>
  <c r="AQ553" i="27"/>
  <c r="AR553" i="27" s="1"/>
  <c r="AS553" i="27" s="1"/>
  <c r="AQ2900" i="27"/>
  <c r="AR2900" i="27" s="1"/>
  <c r="AS2900" i="27" s="1"/>
  <c r="AQ1369" i="27"/>
  <c r="AR1369" i="27" s="1"/>
  <c r="AS1369" i="27" s="1"/>
  <c r="AQ1271" i="27"/>
  <c r="AR1271" i="27" s="1"/>
  <c r="AS1271" i="27" s="1"/>
  <c r="AQ642" i="27"/>
  <c r="AR642" i="27" s="1"/>
  <c r="AS642" i="27" s="1"/>
  <c r="AQ592" i="27"/>
  <c r="AR592" i="27" s="1"/>
  <c r="AS592" i="27" s="1"/>
  <c r="AQ1441" i="27"/>
  <c r="AR1441" i="27" s="1"/>
  <c r="AS1441" i="27" s="1"/>
  <c r="AQ1737" i="27"/>
  <c r="AR1737" i="27" s="1"/>
  <c r="AS1737" i="27" s="1"/>
  <c r="AQ2807" i="27"/>
  <c r="AR2807" i="27" s="1"/>
  <c r="AS2807" i="27" s="1"/>
  <c r="AQ1900" i="27"/>
  <c r="AR1900" i="27" s="1"/>
  <c r="AS1900" i="27" s="1"/>
  <c r="AQ391" i="27"/>
  <c r="AR391" i="27" s="1"/>
  <c r="AS391" i="27" s="1"/>
  <c r="AQ2034" i="27"/>
  <c r="AR2034" i="27" s="1"/>
  <c r="AS2034" i="27" s="1"/>
  <c r="AQ2650" i="27"/>
  <c r="AR2650" i="27" s="1"/>
  <c r="AS2650" i="27" s="1"/>
  <c r="AQ1996" i="27"/>
  <c r="AR1996" i="27" s="1"/>
  <c r="AS1996" i="27" s="1"/>
  <c r="AQ3001" i="27"/>
  <c r="AR3001" i="27" s="1"/>
  <c r="AS3001" i="27" s="1"/>
  <c r="AQ311" i="27"/>
  <c r="AR311" i="27" s="1"/>
  <c r="AS311" i="27" s="1"/>
  <c r="AQ2709" i="27"/>
  <c r="AR2709" i="27" s="1"/>
  <c r="AS2709" i="27" s="1"/>
  <c r="AQ1968" i="27"/>
  <c r="AR1968" i="27" s="1"/>
  <c r="AS1968" i="27" s="1"/>
  <c r="AQ705" i="27"/>
  <c r="AR705" i="27" s="1"/>
  <c r="AS705" i="27" s="1"/>
  <c r="AQ3023" i="27"/>
  <c r="AR3023" i="27" s="1"/>
  <c r="AS3023" i="27" s="1"/>
  <c r="AQ545" i="27"/>
  <c r="AR545" i="27" s="1"/>
  <c r="AS545" i="27" s="1"/>
  <c r="AQ320" i="27"/>
  <c r="AR320" i="27" s="1"/>
  <c r="AS320" i="27" s="1"/>
  <c r="AQ1587" i="27"/>
  <c r="AR1587" i="27" s="1"/>
  <c r="AS1587" i="27" s="1"/>
  <c r="AQ463" i="27"/>
  <c r="AR463" i="27" s="1"/>
  <c r="AS463" i="27" s="1"/>
  <c r="AQ1425" i="27"/>
  <c r="AR1425" i="27" s="1"/>
  <c r="AS1425" i="27" s="1"/>
  <c r="AQ2715" i="27"/>
  <c r="AR2715" i="27" s="1"/>
  <c r="AS2715" i="27" s="1"/>
  <c r="AQ316" i="27"/>
  <c r="AR316" i="27" s="1"/>
  <c r="AS316" i="27" s="1"/>
  <c r="AQ1109" i="27"/>
  <c r="AR1109" i="27" s="1"/>
  <c r="AS1109" i="27" s="1"/>
  <c r="AQ1005" i="27"/>
  <c r="AR1005" i="27" s="1"/>
  <c r="AS1005" i="27" s="1"/>
  <c r="AQ2726" i="27"/>
  <c r="AR2726" i="27" s="1"/>
  <c r="AS2726" i="27" s="1"/>
  <c r="AQ2452" i="27"/>
  <c r="AR2452" i="27" s="1"/>
  <c r="AS2452" i="27" s="1"/>
  <c r="AQ374" i="27"/>
  <c r="AR374" i="27" s="1"/>
  <c r="AS374" i="27" s="1"/>
  <c r="AQ2205" i="27"/>
  <c r="AR2205" i="27" s="1"/>
  <c r="AS2205" i="27" s="1"/>
  <c r="AQ1073" i="27"/>
  <c r="AR1073" i="27" s="1"/>
  <c r="AS1073" i="27" s="1"/>
  <c r="AQ1677" i="27"/>
  <c r="AR1677" i="27" s="1"/>
  <c r="AS1677" i="27" s="1"/>
  <c r="AQ2304" i="27"/>
  <c r="AR2304" i="27" s="1"/>
  <c r="AS2304" i="27" s="1"/>
  <c r="AQ3010" i="27"/>
  <c r="AR3010" i="27" s="1"/>
  <c r="AS3010" i="27" s="1"/>
  <c r="AQ149" i="27"/>
  <c r="AR149" i="27" s="1"/>
  <c r="AS149" i="27" s="1"/>
  <c r="AQ124" i="27"/>
  <c r="AR124" i="27" s="1"/>
  <c r="AS124" i="27" s="1"/>
  <c r="AQ2806" i="27"/>
  <c r="AR2806" i="27" s="1"/>
  <c r="AS2806" i="27" s="1"/>
  <c r="AQ468" i="27"/>
  <c r="AR468" i="27" s="1"/>
  <c r="AS468" i="27" s="1"/>
  <c r="AQ1958" i="27"/>
  <c r="AR1958" i="27" s="1"/>
  <c r="AS1958" i="27" s="1"/>
  <c r="AQ2578" i="27"/>
  <c r="AR2578" i="27" s="1"/>
  <c r="AS2578" i="27" s="1"/>
  <c r="AQ3025" i="27"/>
  <c r="AR3025" i="27" s="1"/>
  <c r="AS3025" i="27" s="1"/>
  <c r="AQ1447" i="27"/>
  <c r="AR1447" i="27" s="1"/>
  <c r="AS1447" i="27" s="1"/>
  <c r="AQ2442" i="27"/>
  <c r="AR2442" i="27" s="1"/>
  <c r="AS2442" i="27" s="1"/>
  <c r="AQ986" i="27"/>
  <c r="AR986" i="27" s="1"/>
  <c r="AS986" i="27" s="1"/>
  <c r="AQ783" i="27"/>
  <c r="AR783" i="27" s="1"/>
  <c r="AS783" i="27" s="1"/>
  <c r="AQ369" i="27"/>
  <c r="AR369" i="27" s="1"/>
  <c r="AS369" i="27" s="1"/>
  <c r="AQ2116" i="27"/>
  <c r="AR2116" i="27" s="1"/>
  <c r="AS2116" i="27" s="1"/>
  <c r="AQ2902" i="27"/>
  <c r="AR2902" i="27" s="1"/>
  <c r="AS2902" i="27" s="1"/>
  <c r="AQ2200" i="27"/>
  <c r="AR2200" i="27" s="1"/>
  <c r="AS2200" i="27" s="1"/>
  <c r="AQ1449" i="27"/>
  <c r="AR1449" i="27" s="1"/>
  <c r="AS1449" i="27" s="1"/>
  <c r="AQ2747" i="27"/>
  <c r="AR2747" i="27" s="1"/>
  <c r="AS2747" i="27" s="1"/>
  <c r="AQ798" i="27"/>
  <c r="AR798" i="27" s="1"/>
  <c r="AS798" i="27" s="1"/>
  <c r="AQ2267" i="27"/>
  <c r="AR2267" i="27" s="1"/>
  <c r="AS2267" i="27" s="1"/>
  <c r="AQ1397" i="27"/>
  <c r="AR1397" i="27" s="1"/>
  <c r="AS1397" i="27" s="1"/>
  <c r="AQ1858" i="27"/>
  <c r="AR1858" i="27" s="1"/>
  <c r="AS1858" i="27" s="1"/>
  <c r="AQ1909" i="27"/>
  <c r="AR1909" i="27" s="1"/>
  <c r="AS1909" i="27" s="1"/>
  <c r="AQ2196" i="27"/>
  <c r="AR2196" i="27" s="1"/>
  <c r="AS2196" i="27" s="1"/>
  <c r="AQ1614" i="27"/>
  <c r="AR1614" i="27" s="1"/>
  <c r="AS1614" i="27" s="1"/>
  <c r="AQ2157" i="27"/>
  <c r="AR2157" i="27" s="1"/>
  <c r="AS2157" i="27" s="1"/>
  <c r="AQ2780" i="27"/>
  <c r="AR2780" i="27" s="1"/>
  <c r="AS2780" i="27" s="1"/>
  <c r="AQ3185" i="27"/>
  <c r="AR3185" i="27" s="1"/>
  <c r="AS3185" i="27" s="1"/>
  <c r="AQ2005" i="27"/>
  <c r="AR2005" i="27" s="1"/>
  <c r="AS2005" i="27" s="1"/>
  <c r="AQ2922" i="27"/>
  <c r="AR2922" i="27" s="1"/>
  <c r="AS2922" i="27" s="1"/>
  <c r="AQ1298" i="27"/>
  <c r="AR1298" i="27" s="1"/>
  <c r="AS1298" i="27" s="1"/>
  <c r="AQ2577" i="27"/>
  <c r="AR2577" i="27" s="1"/>
  <c r="AS2577" i="27" s="1"/>
  <c r="AQ1021" i="27"/>
  <c r="AR1021" i="27" s="1"/>
  <c r="AS1021" i="27" s="1"/>
  <c r="AQ1054" i="27"/>
  <c r="AR1054" i="27" s="1"/>
  <c r="AS1054" i="27" s="1"/>
  <c r="AQ1715" i="27"/>
  <c r="AR1715" i="27" s="1"/>
  <c r="AS1715" i="27" s="1"/>
  <c r="AQ3074" i="27"/>
  <c r="AR3074" i="27" s="1"/>
  <c r="AS3074" i="27" s="1"/>
  <c r="AQ872" i="27"/>
  <c r="AR872" i="27" s="1"/>
  <c r="AS872" i="27" s="1"/>
  <c r="AQ1280" i="27"/>
  <c r="AR1280" i="27" s="1"/>
  <c r="AS1280" i="27" s="1"/>
  <c r="AQ357" i="27"/>
  <c r="AR357" i="27" s="1"/>
  <c r="AS357" i="27" s="1"/>
  <c r="AQ933" i="27"/>
  <c r="AR933" i="27" s="1"/>
  <c r="AS933" i="27" s="1"/>
  <c r="AQ2639" i="27"/>
  <c r="AR2639" i="27" s="1"/>
  <c r="AS2639" i="27" s="1"/>
  <c r="AQ481" i="27"/>
  <c r="AR481" i="27" s="1"/>
  <c r="AS481" i="27" s="1"/>
  <c r="AQ2778" i="27"/>
  <c r="AR2778" i="27" s="1"/>
  <c r="AS2778" i="27" s="1"/>
  <c r="AQ2190" i="27"/>
  <c r="AR2190" i="27" s="1"/>
  <c r="AS2190" i="27" s="1"/>
  <c r="AQ3030" i="27"/>
  <c r="AR3030" i="27" s="1"/>
  <c r="AS3030" i="27" s="1"/>
  <c r="AQ2234" i="27"/>
  <c r="AR2234" i="27" s="1"/>
  <c r="AS2234" i="27" s="1"/>
  <c r="AQ2118" i="27"/>
  <c r="AR2118" i="27" s="1"/>
  <c r="AS2118" i="27" s="1"/>
  <c r="AQ2542" i="27"/>
  <c r="AR2542" i="27" s="1"/>
  <c r="AS2542" i="27" s="1"/>
  <c r="AQ905" i="27"/>
  <c r="AR905" i="27" s="1"/>
  <c r="AS905" i="27" s="1"/>
  <c r="AQ2712" i="27"/>
  <c r="AR2712" i="27" s="1"/>
  <c r="AS2712" i="27" s="1"/>
  <c r="AQ1115" i="27"/>
  <c r="AR1115" i="27" s="1"/>
  <c r="AS1115" i="27" s="1"/>
  <c r="AQ2042" i="27"/>
  <c r="AR2042" i="27" s="1"/>
  <c r="AS2042" i="27" s="1"/>
  <c r="AQ2454" i="27"/>
  <c r="AR2454" i="27" s="1"/>
  <c r="AS2454" i="27" s="1"/>
  <c r="AQ814" i="27"/>
  <c r="AR814" i="27" s="1"/>
  <c r="AS814" i="27" s="1"/>
  <c r="AQ3018" i="27"/>
  <c r="AR3018" i="27" s="1"/>
  <c r="AS3018" i="27" s="1"/>
  <c r="AQ2245" i="27"/>
  <c r="AR2245" i="27" s="1"/>
  <c r="AS2245" i="27" s="1"/>
  <c r="AQ2860" i="27"/>
  <c r="AR2860" i="27" s="1"/>
  <c r="AS2860" i="27" s="1"/>
  <c r="AQ2960" i="27"/>
  <c r="AR2960" i="27" s="1"/>
  <c r="AS2960" i="27" s="1"/>
  <c r="AQ1299" i="27"/>
  <c r="AR1299" i="27" s="1"/>
  <c r="AS1299" i="27" s="1"/>
  <c r="AQ1147" i="27"/>
  <c r="AR1147" i="27" s="1"/>
  <c r="AS1147" i="27" s="1"/>
  <c r="AQ2270" i="27"/>
  <c r="AR2270" i="27" s="1"/>
  <c r="AS2270" i="27" s="1"/>
  <c r="AQ2169" i="27"/>
  <c r="AR2169" i="27" s="1"/>
  <c r="AS2169" i="27" s="1"/>
  <c r="AQ528" i="27"/>
  <c r="AR528" i="27" s="1"/>
  <c r="AS528" i="27" s="1"/>
  <c r="AQ3078" i="27"/>
  <c r="AR3078" i="27" s="1"/>
  <c r="AS3078" i="27" s="1"/>
  <c r="AQ2873" i="27"/>
  <c r="AR2873" i="27" s="1"/>
  <c r="AS2873" i="27" s="1"/>
  <c r="AQ3041" i="27"/>
  <c r="AR3041" i="27" s="1"/>
  <c r="AS3041" i="27" s="1"/>
  <c r="AQ1757" i="27"/>
  <c r="AR1757" i="27" s="1"/>
  <c r="AS1757" i="27" s="1"/>
  <c r="AQ674" i="27"/>
  <c r="AR674" i="27" s="1"/>
  <c r="AS674" i="27" s="1"/>
  <c r="AQ1787" i="27"/>
  <c r="AR1787" i="27" s="1"/>
  <c r="AS1787" i="27" s="1"/>
  <c r="AQ3236" i="27"/>
  <c r="AR3236" i="27" s="1"/>
  <c r="AS3236" i="27" s="1"/>
  <c r="AQ1297" i="27"/>
  <c r="AR1297" i="27" s="1"/>
  <c r="AS1297" i="27" s="1"/>
  <c r="AQ2616" i="27"/>
  <c r="AR2616" i="27" s="1"/>
  <c r="AS2616" i="27" s="1"/>
  <c r="AQ2999" i="27"/>
  <c r="AR2999" i="27" s="1"/>
  <c r="AS2999" i="27" s="1"/>
  <c r="AQ2603" i="27"/>
  <c r="AR2603" i="27" s="1"/>
  <c r="AS2603" i="27" s="1"/>
  <c r="AQ2377" i="27"/>
  <c r="AR2377" i="27" s="1"/>
  <c r="AS2377" i="27" s="1"/>
  <c r="AQ964" i="27"/>
  <c r="AR964" i="27" s="1"/>
  <c r="AS964" i="27" s="1"/>
  <c r="AQ981" i="27"/>
  <c r="AR981" i="27" s="1"/>
  <c r="AS981" i="27" s="1"/>
  <c r="AQ3051" i="27"/>
  <c r="AR3051" i="27" s="1"/>
  <c r="AS3051" i="27" s="1"/>
  <c r="AQ2113" i="27"/>
  <c r="AR2113" i="27" s="1"/>
  <c r="AS2113" i="27" s="1"/>
  <c r="AQ919" i="27"/>
  <c r="AR919" i="27" s="1"/>
  <c r="AS919" i="27" s="1"/>
  <c r="AQ910" i="27"/>
  <c r="AR910" i="27" s="1"/>
  <c r="AS910" i="27" s="1"/>
  <c r="AQ3293" i="27"/>
  <c r="AR3293" i="27" s="1"/>
  <c r="AS3293" i="27" s="1"/>
  <c r="AQ2177" i="27"/>
  <c r="AR2177" i="27" s="1"/>
  <c r="AS2177" i="27" s="1"/>
  <c r="AQ2770" i="27"/>
  <c r="AR2770" i="27" s="1"/>
  <c r="AS2770" i="27" s="1"/>
  <c r="AQ1155" i="27"/>
  <c r="AR1155" i="27" s="1"/>
  <c r="AS1155" i="27" s="1"/>
  <c r="AQ1919" i="27"/>
  <c r="AR1919" i="27" s="1"/>
  <c r="AS1919" i="27" s="1"/>
  <c r="AQ2210" i="27"/>
  <c r="AR2210" i="27" s="1"/>
  <c r="AS2210" i="27" s="1"/>
  <c r="AQ999" i="27"/>
  <c r="AR999" i="27" s="1"/>
  <c r="AS999" i="27" s="1"/>
  <c r="AQ882" i="27"/>
  <c r="AR882" i="27" s="1"/>
  <c r="AS882" i="27" s="1"/>
  <c r="AQ1319" i="27"/>
  <c r="AR1319" i="27" s="1"/>
  <c r="AS1319" i="27" s="1"/>
  <c r="AQ1665" i="27"/>
  <c r="AR1665" i="27" s="1"/>
  <c r="AS1665" i="27" s="1"/>
  <c r="AQ2943" i="27"/>
  <c r="AR2943" i="27" s="1"/>
  <c r="AS2943" i="27" s="1"/>
  <c r="AQ2978" i="27"/>
  <c r="AR2978" i="27" s="1"/>
  <c r="AS2978" i="27" s="1"/>
  <c r="AQ2865" i="27"/>
  <c r="AR2865" i="27" s="1"/>
  <c r="AS2865" i="27" s="1"/>
  <c r="AQ857" i="27"/>
  <c r="AR857" i="27" s="1"/>
  <c r="AS857" i="27" s="1"/>
  <c r="AQ2296" i="27"/>
  <c r="AR2296" i="27" s="1"/>
  <c r="AS2296" i="27" s="1"/>
  <c r="AQ1057" i="27"/>
  <c r="AR1057" i="27" s="1"/>
  <c r="AS1057" i="27" s="1"/>
  <c r="AQ2386" i="27"/>
  <c r="AR2386" i="27" s="1"/>
  <c r="AS2386" i="27" s="1"/>
  <c r="AQ580" i="27"/>
  <c r="AR580" i="27" s="1"/>
  <c r="AS580" i="27" s="1"/>
  <c r="AQ1954" i="27"/>
  <c r="AR1954" i="27" s="1"/>
  <c r="AS1954" i="27" s="1"/>
  <c r="AQ2399" i="27"/>
  <c r="AR2399" i="27" s="1"/>
  <c r="AS2399" i="27" s="1"/>
  <c r="AQ1114" i="27"/>
  <c r="AR1114" i="27" s="1"/>
  <c r="AS1114" i="27" s="1"/>
  <c r="AQ2906" i="27"/>
  <c r="AR2906" i="27" s="1"/>
  <c r="AS2906" i="27" s="1"/>
  <c r="AQ2049" i="27"/>
  <c r="AR2049" i="27" s="1"/>
  <c r="AS2049" i="27" s="1"/>
  <c r="AQ2862" i="27"/>
  <c r="AR2862" i="27" s="1"/>
  <c r="AS2862" i="27" s="1"/>
  <c r="AQ2404" i="27"/>
  <c r="AR2404" i="27" s="1"/>
  <c r="AS2404" i="27" s="1"/>
  <c r="AQ1275" i="27"/>
  <c r="AR1275" i="27" s="1"/>
  <c r="AS1275" i="27" s="1"/>
  <c r="AQ2346" i="27"/>
  <c r="AR2346" i="27" s="1"/>
  <c r="AS2346" i="27" s="1"/>
  <c r="AQ3011" i="27"/>
  <c r="AR3011" i="27" s="1"/>
  <c r="AS3011" i="27" s="1"/>
  <c r="AQ922" i="27"/>
  <c r="AR922" i="27" s="1"/>
  <c r="AS922" i="27" s="1"/>
  <c r="AQ2176" i="27"/>
  <c r="AR2176" i="27" s="1"/>
  <c r="AS2176" i="27" s="1"/>
  <c r="AQ1094" i="27"/>
  <c r="AR1094" i="27" s="1"/>
  <c r="AS1094" i="27" s="1"/>
  <c r="AQ2834" i="27"/>
  <c r="AR2834" i="27" s="1"/>
  <c r="AS2834" i="27" s="1"/>
  <c r="AQ3073" i="27"/>
  <c r="AR3073" i="27" s="1"/>
  <c r="AS3073" i="27" s="1"/>
  <c r="AQ2538" i="27"/>
  <c r="AR2538" i="27" s="1"/>
  <c r="AS2538" i="27" s="1"/>
  <c r="AQ412" i="27"/>
  <c r="AR412" i="27" s="1"/>
  <c r="AS412" i="27" s="1"/>
  <c r="AQ2625" i="27"/>
  <c r="AR2625" i="27" s="1"/>
  <c r="AS2625" i="27" s="1"/>
  <c r="AQ1985" i="27"/>
  <c r="AR1985" i="27" s="1"/>
  <c r="AS1985" i="27" s="1"/>
  <c r="AQ2858" i="27"/>
  <c r="AR2858" i="27" s="1"/>
  <c r="AS2858" i="27" s="1"/>
  <c r="AQ3021" i="27"/>
  <c r="AR3021" i="27" s="1"/>
  <c r="AS3021" i="27" s="1"/>
  <c r="AQ2661" i="27"/>
  <c r="AR2661" i="27" s="1"/>
  <c r="AS2661" i="27" s="1"/>
  <c r="AQ2533" i="27"/>
  <c r="AR2533" i="27" s="1"/>
  <c r="AS2533" i="27" s="1"/>
  <c r="AQ491" i="27"/>
  <c r="AR491" i="27" s="1"/>
  <c r="AS491" i="27" s="1"/>
  <c r="AQ2881" i="27"/>
  <c r="AR2881" i="27" s="1"/>
  <c r="AS2881" i="27" s="1"/>
  <c r="AQ2592" i="27"/>
  <c r="AR2592" i="27" s="1"/>
  <c r="AS2592" i="27" s="1"/>
  <c r="AQ68" i="27"/>
  <c r="AR68" i="27" s="1"/>
  <c r="AS68" i="27" s="1"/>
  <c r="AQ2582" i="27"/>
  <c r="AR2582" i="27" s="1"/>
  <c r="AS2582" i="27" s="1"/>
  <c r="AQ2102" i="27"/>
  <c r="AR2102" i="27" s="1"/>
  <c r="AS2102" i="27" s="1"/>
  <c r="AQ1711" i="27"/>
  <c r="AR1711" i="27" s="1"/>
  <c r="AS1711" i="27" s="1"/>
  <c r="AQ489" i="27"/>
  <c r="AR489" i="27" s="1"/>
  <c r="AS489" i="27" s="1"/>
  <c r="AQ812" i="27"/>
  <c r="AR812" i="27" s="1"/>
  <c r="AS812" i="27" s="1"/>
  <c r="AQ2136" i="27"/>
  <c r="AR2136" i="27" s="1"/>
  <c r="AS2136" i="27" s="1"/>
  <c r="AQ1904" i="27"/>
  <c r="AR1904" i="27" s="1"/>
  <c r="AS1904" i="27" s="1"/>
  <c r="AQ478" i="27"/>
  <c r="AR478" i="27" s="1"/>
  <c r="AS478" i="27" s="1"/>
  <c r="AQ1124" i="27"/>
  <c r="AR1124" i="27" s="1"/>
  <c r="AS1124" i="27" s="1"/>
  <c r="AQ625" i="27"/>
  <c r="AR625" i="27" s="1"/>
  <c r="AS625" i="27" s="1"/>
  <c r="AQ2836" i="27"/>
  <c r="AR2836" i="27" s="1"/>
  <c r="AS2836" i="27" s="1"/>
  <c r="AQ475" i="27"/>
  <c r="AR475" i="27" s="1"/>
  <c r="AS475" i="27" s="1"/>
  <c r="AQ1027" i="27"/>
  <c r="AR1027" i="27" s="1"/>
  <c r="AS1027" i="27" s="1"/>
  <c r="AQ2720" i="27"/>
  <c r="AR2720" i="27" s="1"/>
  <c r="AS2720" i="27" s="1"/>
  <c r="AQ759" i="27"/>
  <c r="AR759" i="27" s="1"/>
  <c r="AS759" i="27" s="1"/>
  <c r="AQ917" i="27"/>
  <c r="AR917" i="27" s="1"/>
  <c r="AS917" i="27" s="1"/>
  <c r="AQ2905" i="27"/>
  <c r="AR2905" i="27" s="1"/>
  <c r="AS2905" i="27" s="1"/>
  <c r="AQ1034" i="27"/>
  <c r="AR1034" i="27" s="1"/>
  <c r="AS1034" i="27" s="1"/>
  <c r="AQ185" i="27"/>
  <c r="AR185" i="27" s="1"/>
  <c r="AS185" i="27" s="1"/>
  <c r="AQ563" i="27"/>
  <c r="AR563" i="27" s="1"/>
  <c r="AS563" i="27" s="1"/>
  <c r="AQ2648" i="27"/>
  <c r="AR2648" i="27" s="1"/>
  <c r="AS2648" i="27" s="1"/>
  <c r="AQ708" i="27"/>
  <c r="AR708" i="27" s="1"/>
  <c r="AS708" i="27" s="1"/>
  <c r="AQ356" i="27"/>
  <c r="AR356" i="27" s="1"/>
  <c r="AS356" i="27" s="1"/>
  <c r="AQ2186" i="27"/>
  <c r="AR2186" i="27" s="1"/>
  <c r="AS2186" i="27" s="1"/>
  <c r="AQ1384" i="27"/>
  <c r="AR1384" i="27" s="1"/>
  <c r="AS1384" i="27" s="1"/>
  <c r="AQ2044" i="27"/>
  <c r="AR2044" i="27" s="1"/>
  <c r="AS2044" i="27" s="1"/>
  <c r="AQ337" i="27"/>
  <c r="AR337" i="27" s="1"/>
  <c r="AS337" i="27" s="1"/>
  <c r="AQ3223" i="27"/>
  <c r="AR3223" i="27" s="1"/>
  <c r="AS3223" i="27" s="1"/>
  <c r="AQ793" i="27"/>
  <c r="AR793" i="27" s="1"/>
  <c r="AS793" i="27" s="1"/>
  <c r="AQ786" i="27"/>
  <c r="AR786" i="27" s="1"/>
  <c r="AS786" i="27" s="1"/>
  <c r="AQ683" i="27"/>
  <c r="AR683" i="27" s="1"/>
  <c r="AS683" i="27" s="1"/>
  <c r="AQ340" i="27"/>
  <c r="AR340" i="27" s="1"/>
  <c r="AS340" i="27" s="1"/>
  <c r="AQ1901" i="27"/>
  <c r="AR1901" i="27" s="1"/>
  <c r="AS1901" i="27" s="1"/>
  <c r="AQ1330" i="27"/>
  <c r="AR1330" i="27" s="1"/>
  <c r="AS1330" i="27" s="1"/>
  <c r="AQ300" i="27"/>
  <c r="AR300" i="27" s="1"/>
  <c r="AS300" i="27" s="1"/>
  <c r="AQ1390" i="27"/>
  <c r="AR1390" i="27" s="1"/>
  <c r="AS1390" i="27" s="1"/>
  <c r="AQ1568" i="27"/>
  <c r="AR1568" i="27" s="1"/>
  <c r="AS1568" i="27" s="1"/>
  <c r="AQ3323" i="27"/>
  <c r="AR3323" i="27" s="1"/>
  <c r="AS3323" i="27" s="1"/>
  <c r="AQ123" i="27"/>
  <c r="AR123" i="27" s="1"/>
  <c r="AS123" i="27" s="1"/>
  <c r="AQ524" i="27"/>
  <c r="AR524" i="27" s="1"/>
  <c r="AS524" i="27" s="1"/>
  <c r="AQ326" i="27"/>
  <c r="AR326" i="27" s="1"/>
  <c r="AS326" i="27" s="1"/>
  <c r="AQ50" i="27"/>
  <c r="AR50" i="27" s="1"/>
  <c r="AS50" i="27" s="1"/>
  <c r="AQ3060" i="27"/>
  <c r="AR3060" i="27" s="1"/>
  <c r="AS3060" i="27" s="1"/>
  <c r="AQ1594" i="27"/>
  <c r="AR1594" i="27" s="1"/>
  <c r="AS1594" i="27" s="1"/>
  <c r="AQ649" i="27"/>
  <c r="AR649" i="27" s="1"/>
  <c r="AS649" i="27" s="1"/>
  <c r="AQ2626" i="27"/>
  <c r="AR2626" i="27" s="1"/>
  <c r="AS2626" i="27" s="1"/>
  <c r="AQ2716" i="27"/>
  <c r="AR2716" i="27" s="1"/>
  <c r="AS2716" i="27" s="1"/>
  <c r="AQ2991" i="27"/>
  <c r="AR2991" i="27" s="1"/>
  <c r="AS2991" i="27" s="1"/>
  <c r="AQ2337" i="27"/>
  <c r="AR2337" i="27" s="1"/>
  <c r="AS2337" i="27" s="1"/>
  <c r="AQ1313" i="27"/>
  <c r="AR1313" i="27" s="1"/>
  <c r="AS1313" i="27" s="1"/>
  <c r="AQ3044" i="27"/>
  <c r="AR3044" i="27" s="1"/>
  <c r="AS3044" i="27" s="1"/>
  <c r="AQ3013" i="27"/>
  <c r="AR3013" i="27" s="1"/>
  <c r="AS3013" i="27" s="1"/>
  <c r="AQ1085" i="27"/>
  <c r="AR1085" i="27" s="1"/>
  <c r="AS1085" i="27" s="1"/>
  <c r="AQ2261" i="27"/>
  <c r="AR2261" i="27" s="1"/>
  <c r="AS2261" i="27" s="1"/>
  <c r="AQ717" i="27"/>
  <c r="AR717" i="27" s="1"/>
  <c r="AS717" i="27" s="1"/>
  <c r="AQ2055" i="27"/>
  <c r="AR2055" i="27" s="1"/>
  <c r="AS2055" i="27" s="1"/>
  <c r="AQ2744" i="27"/>
  <c r="AR2744" i="27" s="1"/>
  <c r="AS2744" i="27" s="1"/>
  <c r="AQ660" i="27"/>
  <c r="AR660" i="27" s="1"/>
  <c r="AS660" i="27" s="1"/>
  <c r="AQ1323" i="27"/>
  <c r="AR1323" i="27" s="1"/>
  <c r="AS1323" i="27" s="1"/>
  <c r="AQ336" i="27"/>
  <c r="AR336" i="27" s="1"/>
  <c r="AS336" i="27" s="1"/>
  <c r="AQ784" i="27"/>
  <c r="AR784" i="27" s="1"/>
  <c r="AS784" i="27" s="1"/>
  <c r="AQ2180" i="27"/>
  <c r="AR2180" i="27" s="1"/>
  <c r="AS2180" i="27" s="1"/>
  <c r="AQ3019" i="27"/>
  <c r="AR3019" i="27" s="1"/>
  <c r="AS3019" i="27" s="1"/>
  <c r="AQ2479" i="27"/>
  <c r="AR2479" i="27" s="1"/>
  <c r="AS2479" i="27" s="1"/>
  <c r="AQ2555" i="27"/>
  <c r="AR2555" i="27" s="1"/>
  <c r="AS2555" i="27" s="1"/>
  <c r="AQ2045" i="27"/>
  <c r="AR2045" i="27" s="1"/>
  <c r="AS2045" i="27" s="1"/>
  <c r="AQ1346" i="27"/>
  <c r="AR1346" i="27" s="1"/>
  <c r="AS1346" i="27" s="1"/>
  <c r="AQ2512" i="27"/>
  <c r="AR2512" i="27" s="1"/>
  <c r="AS2512" i="27" s="1"/>
  <c r="AQ2329" i="27"/>
  <c r="AR2329" i="27" s="1"/>
  <c r="AS2329" i="27" s="1"/>
  <c r="AQ564" i="27"/>
  <c r="AR564" i="27" s="1"/>
  <c r="AS564" i="27" s="1"/>
  <c r="AQ2964" i="27"/>
  <c r="AR2964" i="27" s="1"/>
  <c r="AS2964" i="27" s="1"/>
  <c r="AQ355" i="27"/>
  <c r="AR355" i="27" s="1"/>
  <c r="AS355" i="27" s="1"/>
  <c r="AQ1202" i="27"/>
  <c r="AR1202" i="27" s="1"/>
  <c r="AS1202" i="27" s="1"/>
  <c r="AQ3080" i="27"/>
  <c r="AR3080" i="27" s="1"/>
  <c r="AS3080" i="27" s="1"/>
  <c r="AQ2482" i="27"/>
  <c r="AR2482" i="27" s="1"/>
  <c r="AS2482" i="27" s="1"/>
  <c r="AQ2727" i="27"/>
  <c r="AR2727" i="27" s="1"/>
  <c r="AS2727" i="27" s="1"/>
  <c r="AQ1065" i="27"/>
  <c r="AR1065" i="27" s="1"/>
  <c r="AS1065" i="27" s="1"/>
  <c r="AQ3043" i="27"/>
  <c r="AR3043" i="27" s="1"/>
  <c r="AS3043" i="27" s="1"/>
  <c r="AQ1011" i="27"/>
  <c r="AR1011" i="27" s="1"/>
  <c r="AS1011" i="27" s="1"/>
  <c r="AQ1016" i="27"/>
  <c r="AR1016" i="27" s="1"/>
  <c r="AS1016" i="27" s="1"/>
  <c r="AQ2537" i="27"/>
  <c r="AR2537" i="27" s="1"/>
  <c r="AS2537" i="27" s="1"/>
  <c r="AQ2297" i="27"/>
  <c r="AR2297" i="27" s="1"/>
  <c r="AS2297" i="27" s="1"/>
  <c r="AQ895" i="27"/>
  <c r="AR895" i="27" s="1"/>
  <c r="AS895" i="27" s="1"/>
  <c r="AQ2632" i="27"/>
  <c r="AR2632" i="27" s="1"/>
  <c r="AS2632" i="27" s="1"/>
  <c r="AQ3070" i="27"/>
  <c r="AR3070" i="27" s="1"/>
  <c r="AS3070" i="27" s="1"/>
  <c r="AQ429" i="27"/>
  <c r="AR429" i="27" s="1"/>
  <c r="AS429" i="27" s="1"/>
  <c r="AQ2816" i="27"/>
  <c r="AR2816" i="27" s="1"/>
  <c r="AS2816" i="27" s="1"/>
  <c r="AQ1063" i="27"/>
  <c r="AR1063" i="27" s="1"/>
  <c r="AS1063" i="27" s="1"/>
  <c r="AQ585" i="27"/>
  <c r="AR585" i="27" s="1"/>
  <c r="AS585" i="27" s="1"/>
  <c r="AQ2271" i="27"/>
  <c r="AR2271" i="27" s="1"/>
  <c r="AS2271" i="27" s="1"/>
  <c r="AQ2171" i="27"/>
  <c r="AR2171" i="27" s="1"/>
  <c r="AS2171" i="27" s="1"/>
  <c r="AQ1129" i="27"/>
  <c r="AR1129" i="27" s="1"/>
  <c r="AS1129" i="27" s="1"/>
  <c r="AQ1961" i="27"/>
  <c r="AR1961" i="27" s="1"/>
  <c r="AS1961" i="27" s="1"/>
  <c r="AQ85" i="27"/>
  <c r="AR85" i="27" s="1"/>
  <c r="AS85" i="27" s="1"/>
  <c r="AQ3106" i="27"/>
  <c r="AR3106" i="27" s="1"/>
  <c r="AS3106" i="27" s="1"/>
  <c r="AQ3195" i="27"/>
  <c r="AR3195" i="27" s="1"/>
  <c r="AS3195" i="27" s="1"/>
  <c r="AQ2954" i="27"/>
  <c r="AR2954" i="27" s="1"/>
  <c r="AS2954" i="27" s="1"/>
  <c r="AQ138" i="27"/>
  <c r="AR138" i="27" s="1"/>
  <c r="AS138" i="27" s="1"/>
  <c r="AQ487" i="27"/>
  <c r="AR487" i="27" s="1"/>
  <c r="AS487" i="27" s="1"/>
  <c r="AQ2967" i="27"/>
  <c r="AR2967" i="27" s="1"/>
  <c r="AS2967" i="27" s="1"/>
  <c r="AQ1026" i="27"/>
  <c r="AR1026" i="27" s="1"/>
  <c r="AS1026" i="27" s="1"/>
  <c r="AQ1234" i="27"/>
  <c r="AR1234" i="27" s="1"/>
  <c r="AS1234" i="27" s="1"/>
  <c r="AQ1950" i="27"/>
  <c r="AR1950" i="27" s="1"/>
  <c r="AS1950" i="27" s="1"/>
  <c r="AQ2987" i="27"/>
  <c r="AR2987" i="27" s="1"/>
  <c r="AS2987" i="27" s="1"/>
  <c r="AQ2714" i="27"/>
  <c r="AR2714" i="27" s="1"/>
  <c r="AS2714" i="27" s="1"/>
  <c r="AQ1302" i="27"/>
  <c r="AR1302" i="27" s="1"/>
  <c r="AS1302" i="27" s="1"/>
  <c r="AQ1201" i="27"/>
  <c r="AR1201" i="27" s="1"/>
  <c r="AS1201" i="27" s="1"/>
  <c r="AQ867" i="27"/>
  <c r="AR867" i="27" s="1"/>
  <c r="AS867" i="27" s="1"/>
  <c r="AQ886" i="27"/>
  <c r="AR886" i="27" s="1"/>
  <c r="AS886" i="27" s="1"/>
  <c r="AQ2536" i="27"/>
  <c r="AR2536" i="27" s="1"/>
  <c r="AS2536" i="27" s="1"/>
  <c r="AQ2735" i="27"/>
  <c r="AR2735" i="27" s="1"/>
  <c r="AS2735" i="27" s="1"/>
  <c r="AQ2597" i="27"/>
  <c r="AR2597" i="27" s="1"/>
  <c r="AS2597" i="27" s="1"/>
  <c r="AQ1518" i="27"/>
  <c r="AR1518" i="27" s="1"/>
  <c r="AS1518" i="27" s="1"/>
  <c r="AQ2640" i="27"/>
  <c r="AR2640" i="27" s="1"/>
  <c r="AS2640" i="27" s="1"/>
  <c r="AQ698" i="27"/>
  <c r="AR698" i="27" s="1"/>
  <c r="AS698" i="27" s="1"/>
  <c r="AQ2320" i="27"/>
  <c r="AR2320" i="27" s="1"/>
  <c r="AS2320" i="27" s="1"/>
  <c r="AQ2711" i="27"/>
  <c r="AR2711" i="27" s="1"/>
  <c r="AS2711" i="27" s="1"/>
  <c r="AQ1613" i="27"/>
  <c r="AR1613" i="27" s="1"/>
  <c r="AS1613" i="27" s="1"/>
  <c r="AQ1400" i="27"/>
  <c r="AR1400" i="27" s="1"/>
  <c r="AS1400" i="27" s="1"/>
  <c r="AQ495" i="27"/>
  <c r="AR495" i="27" s="1"/>
  <c r="AS495" i="27" s="1"/>
  <c r="AQ1358" i="27"/>
  <c r="AR1358" i="27" s="1"/>
  <c r="AS1358" i="27" s="1"/>
  <c r="AQ561" i="27"/>
  <c r="AR561" i="27" s="1"/>
  <c r="AS561" i="27" s="1"/>
  <c r="AQ2110" i="27"/>
  <c r="AR2110" i="27" s="1"/>
  <c r="AS2110" i="27" s="1"/>
  <c r="AQ2771" i="27"/>
  <c r="AR2771" i="27" s="1"/>
  <c r="AS2771" i="27" s="1"/>
  <c r="AQ2363" i="27"/>
  <c r="AR2363" i="27" s="1"/>
  <c r="AS2363" i="27" s="1"/>
  <c r="AQ2576" i="27"/>
  <c r="AR2576" i="27" s="1"/>
  <c r="AS2576" i="27" s="1"/>
  <c r="AQ1169" i="27"/>
  <c r="AR1169" i="27" s="1"/>
  <c r="AS1169" i="27" s="1"/>
  <c r="AQ2891" i="27"/>
  <c r="AR2891" i="27" s="1"/>
  <c r="AS2891" i="27" s="1"/>
  <c r="AQ417" i="27"/>
  <c r="AR417" i="27" s="1"/>
  <c r="AS417" i="27" s="1"/>
  <c r="AQ771" i="27"/>
  <c r="AR771" i="27" s="1"/>
  <c r="AS771" i="27" s="1"/>
  <c r="AQ2882" i="27"/>
  <c r="AR2882" i="27" s="1"/>
  <c r="AS2882" i="27" s="1"/>
  <c r="AQ2080" i="27"/>
  <c r="AR2080" i="27" s="1"/>
  <c r="AS2080" i="27" s="1"/>
  <c r="AQ3009" i="27"/>
  <c r="AR3009" i="27" s="1"/>
  <c r="AS3009" i="27" s="1"/>
  <c r="AQ2977" i="27"/>
  <c r="AR2977" i="27" s="1"/>
  <c r="AS2977" i="27" s="1"/>
  <c r="AQ3219" i="27"/>
  <c r="AR3219" i="27" s="1"/>
  <c r="AS3219" i="27" s="1"/>
  <c r="AQ1024" i="27"/>
  <c r="AR1024" i="27" s="1"/>
  <c r="AS1024" i="27" s="1"/>
  <c r="AQ2822" i="27"/>
  <c r="AR2822" i="27" s="1"/>
  <c r="AS2822" i="27" s="1"/>
  <c r="AQ2684" i="27"/>
  <c r="AR2684" i="27" s="1"/>
  <c r="AS2684" i="27" s="1"/>
  <c r="AQ2819" i="27"/>
  <c r="AR2819" i="27" s="1"/>
  <c r="AS2819" i="27" s="1"/>
  <c r="AQ1312" i="27"/>
  <c r="AR1312" i="27" s="1"/>
  <c r="AS1312" i="27" s="1"/>
  <c r="AQ2154" i="27"/>
  <c r="AR2154" i="27" s="1"/>
  <c r="AS2154" i="27" s="1"/>
  <c r="AQ1387" i="27"/>
  <c r="AR1387" i="27" s="1"/>
  <c r="AS1387" i="27" s="1"/>
  <c r="AQ869" i="27"/>
  <c r="AR869" i="27" s="1"/>
  <c r="AS869" i="27" s="1"/>
  <c r="AQ2077" i="27"/>
  <c r="AR2077" i="27" s="1"/>
  <c r="AS2077" i="27" s="1"/>
  <c r="AQ2825" i="27"/>
  <c r="AR2825" i="27" s="1"/>
  <c r="AS2825" i="27" s="1"/>
  <c r="AQ2818" i="27"/>
  <c r="AR2818" i="27" s="1"/>
  <c r="AS2818" i="27" s="1"/>
  <c r="AQ983" i="27"/>
  <c r="AR983" i="27" s="1"/>
  <c r="AS983" i="27" s="1"/>
  <c r="AQ341" i="27"/>
  <c r="AR341" i="27" s="1"/>
  <c r="AS341" i="27" s="1"/>
  <c r="AQ2566" i="27"/>
  <c r="AR2566" i="27" s="1"/>
  <c r="AS2566" i="27" s="1"/>
  <c r="AQ2217" i="27"/>
  <c r="AR2217" i="27" s="1"/>
  <c r="AS2217" i="27" s="1"/>
  <c r="AQ824" i="27"/>
  <c r="AR824" i="27" s="1"/>
  <c r="AS824" i="27" s="1"/>
  <c r="AQ840" i="27"/>
  <c r="AR840" i="27" s="1"/>
  <c r="AS840" i="27" s="1"/>
  <c r="AQ2557" i="27"/>
  <c r="AR2557" i="27" s="1"/>
  <c r="AS2557" i="27" s="1"/>
  <c r="AQ2216" i="27"/>
  <c r="AR2216" i="27" s="1"/>
  <c r="AS2216" i="27" s="1"/>
  <c r="AQ1257" i="27"/>
  <c r="AR1257" i="27" s="1"/>
  <c r="AS1257" i="27" s="1"/>
  <c r="AQ2148" i="27"/>
  <c r="AR2148" i="27" s="1"/>
  <c r="AS2148" i="27" s="1"/>
  <c r="AQ1321" i="27"/>
  <c r="AR1321" i="27" s="1"/>
  <c r="AS1321" i="27" s="1"/>
  <c r="AQ2204" i="27"/>
  <c r="AR2204" i="27" s="1"/>
  <c r="AS2204" i="27" s="1"/>
  <c r="AQ393" i="27"/>
  <c r="AR393" i="27" s="1"/>
  <c r="AS393" i="27" s="1"/>
  <c r="AQ888" i="27"/>
  <c r="AR888" i="27" s="1"/>
  <c r="AS888" i="27" s="1"/>
  <c r="AQ3005" i="27"/>
  <c r="AR3005" i="27" s="1"/>
  <c r="AS3005" i="27" s="1"/>
  <c r="AQ1175" i="27"/>
  <c r="AR1175" i="27" s="1"/>
  <c r="AS1175" i="27" s="1"/>
  <c r="AQ2956" i="27"/>
  <c r="AR2956" i="27" s="1"/>
  <c r="AS2956" i="27" s="1"/>
  <c r="AQ2742" i="27"/>
  <c r="AR2742" i="27" s="1"/>
  <c r="AS2742" i="27" s="1"/>
  <c r="AQ2609" i="27"/>
  <c r="AR2609" i="27" s="1"/>
  <c r="AS2609" i="27" s="1"/>
  <c r="AQ390" i="27"/>
  <c r="AR390" i="27" s="1"/>
  <c r="AS390" i="27" s="1"/>
  <c r="AQ2630" i="27"/>
  <c r="AR2630" i="27" s="1"/>
  <c r="AS2630" i="27" s="1"/>
  <c r="AQ2746" i="27"/>
  <c r="AR2746" i="27" s="1"/>
  <c r="AS2746" i="27" s="1"/>
  <c r="AQ2658" i="27"/>
  <c r="AR2658" i="27" s="1"/>
  <c r="AS2658" i="27" s="1"/>
  <c r="AQ2838" i="27"/>
  <c r="AR2838" i="27" s="1"/>
  <c r="AS2838" i="27" s="1"/>
  <c r="AQ805" i="27"/>
  <c r="AR805" i="27" s="1"/>
  <c r="AS805" i="27" s="1"/>
  <c r="AQ2444" i="27"/>
  <c r="AR2444" i="27" s="1"/>
  <c r="AS2444" i="27" s="1"/>
  <c r="AQ2740" i="27"/>
  <c r="AR2740" i="27" s="1"/>
  <c r="AS2740" i="27" s="1"/>
  <c r="AQ2144" i="27"/>
  <c r="AR2144" i="27" s="1"/>
  <c r="AS2144" i="27" s="1"/>
  <c r="AQ1052" i="27"/>
  <c r="AR1052" i="27" s="1"/>
  <c r="AS1052" i="27" s="1"/>
  <c r="AQ2219" i="27"/>
  <c r="AR2219" i="27" s="1"/>
  <c r="AS2219" i="27" s="1"/>
  <c r="AQ1942" i="27"/>
  <c r="AR1942" i="27" s="1"/>
  <c r="AS1942" i="27" s="1"/>
  <c r="AQ2502" i="27"/>
  <c r="AR2502" i="27" s="1"/>
  <c r="AS2502" i="27" s="1"/>
  <c r="AQ2257" i="27"/>
  <c r="AR2257" i="27" s="1"/>
  <c r="AS2257" i="27" s="1"/>
  <c r="AQ2017" i="27"/>
  <c r="AR2017" i="27" s="1"/>
  <c r="AS2017" i="27" s="1"/>
  <c r="AQ930" i="27"/>
  <c r="AR930" i="27" s="1"/>
  <c r="AS930" i="27" s="1"/>
  <c r="AQ3055" i="27"/>
  <c r="AR3055" i="27" s="1"/>
  <c r="AS3055" i="27" s="1"/>
  <c r="AQ765" i="27"/>
  <c r="AR765" i="27" s="1"/>
  <c r="AS765" i="27" s="1"/>
  <c r="AQ2021" i="27"/>
  <c r="AR2021" i="27" s="1"/>
  <c r="AS2021" i="27" s="1"/>
  <c r="AQ1343" i="27"/>
  <c r="AR1343" i="27" s="1"/>
  <c r="AS1343" i="27" s="1"/>
  <c r="AQ851" i="27"/>
  <c r="AR851" i="27" s="1"/>
  <c r="AS851" i="27" s="1"/>
  <c r="AQ2762" i="27"/>
  <c r="AR2762" i="27" s="1"/>
  <c r="AS2762" i="27" s="1"/>
  <c r="AQ1868" i="27"/>
  <c r="AR1868" i="27" s="1"/>
  <c r="AS1868" i="27" s="1"/>
  <c r="AQ1153" i="27"/>
  <c r="AR1153" i="27" s="1"/>
  <c r="AS1153" i="27" s="1"/>
  <c r="AQ2458" i="27"/>
  <c r="AR2458" i="27" s="1"/>
  <c r="AS2458" i="27" s="1"/>
  <c r="AQ1813" i="27"/>
  <c r="AR1813" i="27" s="1"/>
  <c r="AS1813" i="27" s="1"/>
  <c r="AQ2291" i="27"/>
  <c r="AR2291" i="27" s="1"/>
  <c r="AS2291" i="27" s="1"/>
  <c r="AQ2006" i="27"/>
  <c r="AR2006" i="27" s="1"/>
  <c r="AS2006" i="27" s="1"/>
  <c r="AQ2897" i="27"/>
  <c r="AR2897" i="27" s="1"/>
  <c r="AS2897" i="27" s="1"/>
  <c r="AQ672" i="27"/>
  <c r="AR672" i="27" s="1"/>
  <c r="AS672" i="27" s="1"/>
  <c r="AQ385" i="27"/>
  <c r="AR385" i="27" s="1"/>
  <c r="AS385" i="27" s="1"/>
  <c r="AQ915" i="27"/>
  <c r="AR915" i="27" s="1"/>
  <c r="AS915" i="27" s="1"/>
  <c r="AQ801" i="27"/>
  <c r="AR801" i="27" s="1"/>
  <c r="AS801" i="27" s="1"/>
  <c r="AQ2560" i="27"/>
  <c r="AR2560" i="27" s="1"/>
  <c r="AS2560" i="27" s="1"/>
  <c r="AQ2255" i="27"/>
  <c r="AR2255" i="27" s="1"/>
  <c r="AS2255" i="27" s="1"/>
  <c r="AQ2197" i="27"/>
  <c r="AR2197" i="27" s="1"/>
  <c r="AS2197" i="27" s="1"/>
  <c r="AQ1467" i="27"/>
  <c r="AR1467" i="27" s="1"/>
  <c r="AS1467" i="27" s="1"/>
  <c r="AQ2295" i="27"/>
  <c r="AR2295" i="27" s="1"/>
  <c r="AS2295" i="27" s="1"/>
  <c r="AQ1241" i="27"/>
  <c r="AR1241" i="27" s="1"/>
  <c r="AS1241" i="27" s="1"/>
  <c r="AQ1897" i="27"/>
  <c r="AR1897" i="27" s="1"/>
  <c r="AS1897" i="27" s="1"/>
  <c r="AQ2872" i="27"/>
  <c r="AR2872" i="27" s="1"/>
  <c r="AS2872" i="27" s="1"/>
  <c r="AQ523" i="27"/>
  <c r="AR523" i="27" s="1"/>
  <c r="AS523" i="27" s="1"/>
  <c r="AQ2839" i="27"/>
  <c r="AR2839" i="27" s="1"/>
  <c r="AS2839" i="27" s="1"/>
  <c r="AQ2499" i="27"/>
  <c r="AR2499" i="27" s="1"/>
  <c r="AS2499" i="27" s="1"/>
  <c r="AQ603" i="27"/>
  <c r="AR603" i="27" s="1"/>
  <c r="AS603" i="27" s="1"/>
  <c r="AQ1450" i="27"/>
  <c r="AR1450" i="27" s="1"/>
  <c r="AS1450" i="27" s="1"/>
  <c r="AQ2408" i="27"/>
  <c r="AR2408" i="27" s="1"/>
  <c r="AS2408" i="27" s="1"/>
  <c r="AQ914" i="27"/>
  <c r="AR914" i="27" s="1"/>
  <c r="AS914" i="27" s="1"/>
  <c r="AQ800" i="27"/>
  <c r="AR800" i="27" s="1"/>
  <c r="AS800" i="27" s="1"/>
  <c r="AQ2407" i="27"/>
  <c r="AR2407" i="27" s="1"/>
  <c r="AS2407" i="27" s="1"/>
  <c r="AQ2293" i="27"/>
  <c r="AR2293" i="27" s="1"/>
  <c r="AS2293" i="27" s="1"/>
  <c r="AQ2940" i="27"/>
  <c r="AR2940" i="27" s="1"/>
  <c r="AS2940" i="27" s="1"/>
  <c r="AQ1911" i="27"/>
  <c r="AR1911" i="27" s="1"/>
  <c r="AS1911" i="27" s="1"/>
  <c r="AQ1325" i="27"/>
  <c r="AR1325" i="27" s="1"/>
  <c r="AS1325" i="27" s="1"/>
  <c r="AQ1292" i="27"/>
  <c r="AR1292" i="27" s="1"/>
  <c r="AS1292" i="27" s="1"/>
  <c r="AQ2568" i="27"/>
  <c r="AR2568" i="27" s="1"/>
  <c r="AS2568" i="27" s="1"/>
  <c r="AQ2875" i="27"/>
  <c r="AR2875" i="27" s="1"/>
  <c r="AS2875" i="27" s="1"/>
  <c r="AQ2018" i="27"/>
  <c r="AR2018" i="27" s="1"/>
  <c r="AS2018" i="27" s="1"/>
  <c r="AQ1019" i="27"/>
  <c r="AR1019" i="27" s="1"/>
  <c r="AS1019" i="27" s="1"/>
  <c r="AQ1573" i="27"/>
  <c r="AR1573" i="27" s="1"/>
  <c r="AS1573" i="27" s="1"/>
  <c r="AQ2431" i="27"/>
  <c r="AR2431" i="27" s="1"/>
  <c r="AS2431" i="27" s="1"/>
  <c r="AQ1009" i="27"/>
  <c r="AR1009" i="27" s="1"/>
  <c r="AS1009" i="27" s="1"/>
  <c r="AQ375" i="27"/>
  <c r="AR375" i="27" s="1"/>
  <c r="AS375" i="27" s="1"/>
  <c r="AQ1132" i="27"/>
  <c r="AR1132" i="27" s="1"/>
  <c r="AS1132" i="27" s="1"/>
  <c r="AQ460" i="27"/>
  <c r="AR460" i="27" s="1"/>
  <c r="AS460" i="27" s="1"/>
  <c r="AQ1726" i="27"/>
  <c r="AR1726" i="27" s="1"/>
  <c r="AS1726" i="27" s="1"/>
  <c r="AQ871" i="27"/>
  <c r="AR871" i="27" s="1"/>
  <c r="AS871" i="27" s="1"/>
  <c r="AQ2595" i="27"/>
  <c r="AR2595" i="27" s="1"/>
  <c r="AS2595" i="27" s="1"/>
  <c r="AQ2783" i="27"/>
  <c r="AR2783" i="27" s="1"/>
  <c r="AS2783" i="27" s="1"/>
  <c r="AQ2130" i="27"/>
  <c r="AR2130" i="27" s="1"/>
  <c r="AS2130" i="27" s="1"/>
  <c r="AQ2903" i="27"/>
  <c r="AR2903" i="27" s="1"/>
  <c r="AS2903" i="27" s="1"/>
  <c r="AQ755" i="27"/>
  <c r="AR755" i="27" s="1"/>
  <c r="AS755" i="27" s="1"/>
  <c r="AQ384" i="27"/>
  <c r="AR384" i="27" s="1"/>
  <c r="AS384" i="27" s="1"/>
  <c r="AQ2652" i="27"/>
  <c r="AR2652" i="27" s="1"/>
  <c r="AS2652" i="27" s="1"/>
  <c r="AQ597" i="27"/>
  <c r="AR597" i="27" s="1"/>
  <c r="AS597" i="27" s="1"/>
  <c r="AQ1041" i="27"/>
  <c r="AR1041" i="27" s="1"/>
  <c r="AS1041" i="27" s="1"/>
  <c r="AQ39" i="27"/>
  <c r="AR39" i="27" s="1"/>
  <c r="AS39" i="27" s="1"/>
  <c r="AQ2087" i="27"/>
  <c r="AR2087" i="27" s="1"/>
  <c r="AS2087" i="27" s="1"/>
  <c r="AQ3170" i="27"/>
  <c r="AR3170" i="27" s="1"/>
  <c r="AS3170" i="27" s="1"/>
  <c r="AQ638" i="27"/>
  <c r="AR638" i="27" s="1"/>
  <c r="AS638" i="27" s="1"/>
  <c r="AQ1070" i="27"/>
  <c r="AR1070" i="27" s="1"/>
  <c r="AS1070" i="27" s="1"/>
  <c r="AQ3039" i="27"/>
  <c r="AR3039" i="27" s="1"/>
  <c r="AS3039" i="27" s="1"/>
  <c r="AQ1921" i="27"/>
  <c r="AR1921" i="27" s="1"/>
  <c r="AS1921" i="27" s="1"/>
  <c r="AQ2892" i="27"/>
  <c r="AR2892" i="27" s="1"/>
  <c r="AS2892" i="27" s="1"/>
  <c r="AQ3314" i="27"/>
  <c r="AR3314" i="27" s="1"/>
  <c r="AS3314" i="27" s="1"/>
  <c r="AQ2142" i="27"/>
  <c r="AR2142" i="27" s="1"/>
  <c r="AS2142" i="27" s="1"/>
  <c r="AQ1675" i="27"/>
  <c r="AR1675" i="27" s="1"/>
  <c r="AS1675" i="27" s="1"/>
  <c r="AQ1331" i="27"/>
  <c r="AR1331" i="27" s="1"/>
  <c r="AS1331" i="27" s="1"/>
  <c r="AQ518" i="27"/>
  <c r="AR518" i="27" s="1"/>
  <c r="AS518" i="27" s="1"/>
  <c r="AQ428" i="27"/>
  <c r="AR428" i="27" s="1"/>
  <c r="AS428" i="27" s="1"/>
  <c r="AQ349" i="27"/>
  <c r="AR349" i="27" s="1"/>
  <c r="AS349" i="27" s="1"/>
  <c r="AQ659" i="27"/>
  <c r="AR659" i="27" s="1"/>
  <c r="AS659" i="27" s="1"/>
  <c r="AQ2090" i="27"/>
  <c r="AR2090" i="27" s="1"/>
  <c r="AS2090" i="27" s="1"/>
  <c r="AQ629" i="27"/>
  <c r="AR629" i="27" s="1"/>
  <c r="AS629" i="27" s="1"/>
  <c r="AQ843" i="27"/>
  <c r="AR843" i="27" s="1"/>
  <c r="AS843" i="27" s="1"/>
  <c r="AQ2932" i="27"/>
  <c r="AR2932" i="27" s="1"/>
  <c r="AS2932" i="27" s="1"/>
  <c r="AQ2532" i="27"/>
  <c r="AR2532" i="27" s="1"/>
  <c r="AS2532" i="27" s="1"/>
  <c r="AQ1550" i="27"/>
  <c r="AR1550" i="27" s="1"/>
  <c r="AS1550" i="27" s="1"/>
  <c r="AQ1735" i="27"/>
  <c r="AR1735" i="27" s="1"/>
  <c r="AS1735" i="27" s="1"/>
  <c r="AQ2396" i="27"/>
  <c r="AR2396" i="27" s="1"/>
  <c r="AS2396" i="27" s="1"/>
  <c r="AQ431" i="27"/>
  <c r="AR431" i="27" s="1"/>
  <c r="AS431" i="27" s="1"/>
  <c r="AQ2124" i="27"/>
  <c r="AR2124" i="27" s="1"/>
  <c r="AS2124" i="27" s="1"/>
  <c r="AQ1945" i="27"/>
  <c r="AR1945" i="27" s="1"/>
  <c r="AS1945" i="27" s="1"/>
  <c r="AQ2633" i="27"/>
  <c r="AR2633" i="27" s="1"/>
  <c r="AS2633" i="27" s="1"/>
  <c r="AQ2194" i="27"/>
  <c r="AR2194" i="27" s="1"/>
  <c r="AS2194" i="27" s="1"/>
  <c r="AQ403" i="27"/>
  <c r="AR403" i="27" s="1"/>
  <c r="AS403" i="27" s="1"/>
  <c r="AQ739" i="27"/>
  <c r="AR739" i="27" s="1"/>
  <c r="AS739" i="27" s="1"/>
  <c r="AQ1525" i="27"/>
  <c r="AR1525" i="27" s="1"/>
  <c r="AS1525" i="27" s="1"/>
  <c r="AQ1207" i="27"/>
  <c r="AR1207" i="27" s="1"/>
  <c r="AS1207" i="27" s="1"/>
  <c r="AQ1648" i="27"/>
  <c r="AR1648" i="27" s="1"/>
  <c r="AS1648" i="27" s="1"/>
  <c r="AQ2107" i="27"/>
  <c r="AR2107" i="27" s="1"/>
  <c r="AS2107" i="27" s="1"/>
  <c r="AQ2076" i="27"/>
  <c r="AR2076" i="27" s="1"/>
  <c r="AS2076" i="27" s="1"/>
  <c r="AQ2170" i="27"/>
  <c r="AR2170" i="27" s="1"/>
  <c r="AS2170" i="27" s="1"/>
  <c r="AQ2383" i="27"/>
  <c r="AR2383" i="27" s="1"/>
  <c r="AS2383" i="27" s="1"/>
  <c r="AQ1607" i="27"/>
  <c r="AR1607" i="27" s="1"/>
  <c r="AS1607" i="27" s="1"/>
  <c r="AQ3063" i="27"/>
  <c r="AR3063" i="27" s="1"/>
  <c r="AS3063" i="27" s="1"/>
  <c r="AQ3065" i="27"/>
  <c r="AR3065" i="27" s="1"/>
  <c r="AS3065" i="27" s="1"/>
  <c r="AQ980" i="27"/>
  <c r="AR980" i="27" s="1"/>
  <c r="AS980" i="27" s="1"/>
  <c r="AQ1398" i="27"/>
  <c r="AR1398" i="27" s="1"/>
  <c r="AS1398" i="27" s="1"/>
  <c r="AQ530" i="27"/>
  <c r="AR530" i="27" s="1"/>
  <c r="AS530" i="27" s="1"/>
  <c r="AQ2221" i="27"/>
  <c r="AR2221" i="27" s="1"/>
  <c r="AS2221" i="27" s="1"/>
  <c r="AQ3048" i="27"/>
  <c r="AR3048" i="27" s="1"/>
  <c r="AS3048" i="27" s="1"/>
  <c r="AQ1186" i="27"/>
  <c r="AR1186" i="27" s="1"/>
  <c r="AS1186" i="27" s="1"/>
  <c r="AQ1158" i="27"/>
  <c r="AR1158" i="27" s="1"/>
  <c r="AS1158" i="27" s="1"/>
  <c r="AQ842" i="27"/>
  <c r="AR842" i="27" s="1"/>
  <c r="AS842" i="27" s="1"/>
  <c r="AQ850" i="27"/>
  <c r="AR850" i="27" s="1"/>
  <c r="AS850" i="27" s="1"/>
  <c r="AQ1103" i="27"/>
  <c r="AR1103" i="27" s="1"/>
  <c r="AS1103" i="27" s="1"/>
  <c r="AQ582" i="27"/>
  <c r="AR582" i="27" s="1"/>
  <c r="AS582" i="27" s="1"/>
  <c r="AQ2732" i="27"/>
  <c r="AR2732" i="27" s="1"/>
  <c r="AS2732" i="27" s="1"/>
  <c r="AQ1955" i="27"/>
  <c r="AR1955" i="27" s="1"/>
  <c r="AS1955" i="27" s="1"/>
  <c r="AQ995" i="27"/>
  <c r="AR995" i="27" s="1"/>
  <c r="AS995" i="27" s="1"/>
  <c r="AQ1099" i="27"/>
  <c r="AR1099" i="27" s="1"/>
  <c r="AS1099" i="27" s="1"/>
  <c r="AQ492" i="27"/>
  <c r="AR492" i="27" s="1"/>
  <c r="AS492" i="27" s="1"/>
  <c r="AQ1217" i="27"/>
  <c r="AR1217" i="27" s="1"/>
  <c r="AS1217" i="27" s="1"/>
  <c r="AQ1982" i="27"/>
  <c r="AR1982" i="27" s="1"/>
  <c r="AS1982" i="27" s="1"/>
  <c r="AQ713" i="27"/>
  <c r="AR713" i="27" s="1"/>
  <c r="AS713" i="27" s="1"/>
  <c r="AQ404" i="27"/>
  <c r="AR404" i="27" s="1"/>
  <c r="AS404" i="27" s="1"/>
  <c r="AQ1460" i="27"/>
  <c r="AR1460" i="27" s="1"/>
  <c r="AS1460" i="27" s="1"/>
  <c r="AQ1288" i="27"/>
  <c r="AR1288" i="27" s="1"/>
  <c r="AS1288" i="27" s="1"/>
  <c r="AQ1481" i="27"/>
  <c r="AR1481" i="27" s="1"/>
  <c r="AS1481" i="27" s="1"/>
  <c r="AQ1140" i="27"/>
  <c r="AR1140" i="27" s="1"/>
  <c r="AS1140" i="27" s="1"/>
  <c r="AQ2156" i="27"/>
  <c r="AR2156" i="27" s="1"/>
  <c r="AS2156" i="27" s="1"/>
  <c r="AQ344" i="27"/>
  <c r="AR344" i="27" s="1"/>
  <c r="AS344" i="27" s="1"/>
  <c r="AQ3049" i="27"/>
  <c r="AR3049" i="27" s="1"/>
  <c r="AS3049" i="27" s="1"/>
  <c r="AQ1853" i="27"/>
  <c r="AR1853" i="27" s="1"/>
  <c r="AS1853" i="27" s="1"/>
  <c r="AQ2268" i="27"/>
  <c r="AR2268" i="27" s="1"/>
  <c r="AS2268" i="27" s="1"/>
  <c r="AQ2238" i="27"/>
  <c r="AR2238" i="27" s="1"/>
  <c r="AS2238" i="27" s="1"/>
  <c r="AQ3143" i="27"/>
  <c r="AR3143" i="27" s="1"/>
  <c r="AS3143" i="27" s="1"/>
  <c r="AQ443" i="27"/>
  <c r="AR443" i="27" s="1"/>
  <c r="AS443" i="27" s="1"/>
  <c r="AQ1519" i="27"/>
  <c r="AR1519" i="27" s="1"/>
  <c r="AS1519" i="27" s="1"/>
  <c r="AQ1225" i="27"/>
  <c r="AR1225" i="27" s="1"/>
  <c r="AS1225" i="27" s="1"/>
  <c r="AQ1935" i="27"/>
  <c r="AR1935" i="27" s="1"/>
  <c r="AS1935" i="27" s="1"/>
  <c r="AQ1804" i="27"/>
  <c r="AR1804" i="27" s="1"/>
  <c r="AS1804" i="27" s="1"/>
  <c r="AQ400" i="27"/>
  <c r="AR400" i="27" s="1"/>
  <c r="AS400" i="27" s="1"/>
  <c r="AQ17" i="27"/>
  <c r="AR17" i="27" s="1"/>
  <c r="AS17" i="27" s="1"/>
  <c r="AQ2400" i="27"/>
  <c r="AR2400" i="27" s="1"/>
  <c r="AS2400" i="27" s="1"/>
  <c r="AQ2031" i="27"/>
  <c r="AR2031" i="27" s="1"/>
  <c r="AS2031" i="27" s="1"/>
  <c r="AQ854" i="27"/>
  <c r="AR854" i="27" s="1"/>
  <c r="AS854" i="27" s="1"/>
  <c r="AQ2593" i="27"/>
  <c r="AR2593" i="27" s="1"/>
  <c r="AS2593" i="27" s="1"/>
  <c r="AQ1437" i="27"/>
  <c r="AR1437" i="27" s="1"/>
  <c r="AS1437" i="27" s="1"/>
  <c r="AQ2122" i="27"/>
  <c r="AR2122" i="27" s="1"/>
  <c r="AS2122" i="27" s="1"/>
  <c r="AQ2682" i="27"/>
  <c r="AR2682" i="27" s="1"/>
  <c r="AS2682" i="27" s="1"/>
  <c r="AQ2253" i="27"/>
  <c r="AR2253" i="27" s="1"/>
  <c r="AS2253" i="27" s="1"/>
  <c r="AQ2212" i="27"/>
  <c r="AR2212" i="27" s="1"/>
  <c r="AS2212" i="27" s="1"/>
  <c r="AQ2242" i="27"/>
  <c r="AR2242" i="27" s="1"/>
  <c r="AS2242" i="27" s="1"/>
  <c r="AQ1004" i="27"/>
  <c r="AR1004" i="27" s="1"/>
  <c r="AS1004" i="27" s="1"/>
  <c r="AQ720" i="27"/>
  <c r="AR720" i="27" s="1"/>
  <c r="AS720" i="27" s="1"/>
  <c r="AQ1338" i="27"/>
  <c r="AR1338" i="27" s="1"/>
  <c r="AS1338" i="27" s="1"/>
  <c r="AQ1881" i="27"/>
  <c r="AR1881" i="27" s="1"/>
  <c r="AS1881" i="27" s="1"/>
  <c r="AQ2598" i="27"/>
  <c r="AR2598" i="27" s="1"/>
  <c r="AS2598" i="27" s="1"/>
  <c r="AQ1561" i="27"/>
  <c r="AR1561" i="27" s="1"/>
  <c r="AS1561" i="27" s="1"/>
  <c r="AQ2105" i="27"/>
  <c r="AR2105" i="27" s="1"/>
  <c r="AS2105" i="27" s="1"/>
  <c r="AQ1589" i="27"/>
  <c r="AR1589" i="27" s="1"/>
  <c r="AS1589" i="27" s="1"/>
  <c r="AQ2201" i="27"/>
  <c r="AR2201" i="27" s="1"/>
  <c r="AS2201" i="27" s="1"/>
  <c r="AQ1963" i="27"/>
  <c r="AR1963" i="27" s="1"/>
  <c r="AS1963" i="27" s="1"/>
  <c r="AQ1452" i="27"/>
  <c r="AR1452" i="27" s="1"/>
  <c r="AS1452" i="27" s="1"/>
  <c r="AQ1546" i="27"/>
  <c r="AR1546" i="27" s="1"/>
  <c r="AS1546" i="27" s="1"/>
  <c r="AQ657" i="27"/>
  <c r="AR657" i="27" s="1"/>
  <c r="AS657" i="27" s="1"/>
  <c r="AQ2514" i="27"/>
  <c r="AR2514" i="27" s="1"/>
  <c r="AS2514" i="27" s="1"/>
  <c r="AQ997" i="27"/>
  <c r="AR997" i="27" s="1"/>
  <c r="AS997" i="27" s="1"/>
  <c r="AQ2485" i="27"/>
  <c r="AR2485" i="27" s="1"/>
  <c r="AS2485" i="27" s="1"/>
  <c r="AQ1392" i="27"/>
  <c r="AR1392" i="27" s="1"/>
  <c r="AS1392" i="27" s="1"/>
  <c r="AQ2921" i="27"/>
  <c r="AR2921" i="27" s="1"/>
  <c r="AS2921" i="27" s="1"/>
  <c r="AQ647" i="27"/>
  <c r="AR647" i="27" s="1"/>
  <c r="AS647" i="27" s="1"/>
  <c r="AQ1077" i="27"/>
  <c r="AR1077" i="27" s="1"/>
  <c r="AS1077" i="27" s="1"/>
  <c r="AQ2572" i="27"/>
  <c r="AR2572" i="27" s="1"/>
  <c r="AS2572" i="27" s="1"/>
  <c r="AQ2343" i="27"/>
  <c r="AR2343" i="27" s="1"/>
  <c r="AS2343" i="27" s="1"/>
  <c r="AQ1798" i="27"/>
  <c r="AR1798" i="27" s="1"/>
  <c r="AS1798" i="27" s="1"/>
  <c r="AQ23" i="27"/>
  <c r="AR23" i="27" s="1"/>
  <c r="AS23" i="27" s="1"/>
  <c r="AQ1336" i="27"/>
  <c r="AR1336" i="27" s="1"/>
  <c r="AS1336" i="27" s="1"/>
  <c r="AQ1542" i="27"/>
  <c r="AR1542" i="27" s="1"/>
  <c r="AS1542" i="27" s="1"/>
  <c r="AQ446" i="27"/>
  <c r="AR446" i="27" s="1"/>
  <c r="AS446" i="27" s="1"/>
  <c r="AQ1227" i="27"/>
  <c r="AR1227" i="27" s="1"/>
  <c r="AS1227" i="27" s="1"/>
  <c r="AQ1309" i="27"/>
  <c r="AR1309" i="27" s="1"/>
  <c r="AS1309" i="27" s="1"/>
  <c r="AQ2543" i="27"/>
  <c r="AR2543" i="27" s="1"/>
  <c r="AS2543" i="27" s="1"/>
  <c r="AQ878" i="27"/>
  <c r="AR878" i="27" s="1"/>
  <c r="AS878" i="27" s="1"/>
  <c r="AQ632" i="27"/>
  <c r="AR632" i="27" s="1"/>
  <c r="AS632" i="27" s="1"/>
  <c r="AQ51" i="27"/>
  <c r="AR51" i="27" s="1"/>
  <c r="AS51" i="27" s="1"/>
  <c r="AQ517" i="27"/>
  <c r="AR517" i="27" s="1"/>
  <c r="AS517" i="27" s="1"/>
  <c r="AQ2298" i="27"/>
  <c r="AR2298" i="27" s="1"/>
  <c r="AS2298" i="27" s="1"/>
  <c r="AQ566" i="27"/>
  <c r="AR566" i="27" s="1"/>
  <c r="AS566" i="27" s="1"/>
  <c r="AQ656" i="27"/>
  <c r="AR656" i="27" s="1"/>
  <c r="AS656" i="27" s="1"/>
  <c r="AQ2050" i="27"/>
  <c r="AR2050" i="27" s="1"/>
  <c r="AS2050" i="27" s="1"/>
  <c r="AQ3069" i="27"/>
  <c r="AR3069" i="27" s="1"/>
  <c r="AS3069" i="27" s="1"/>
  <c r="AQ931" i="27"/>
  <c r="AR931" i="27" s="1"/>
  <c r="AS931" i="27" s="1"/>
  <c r="AQ2774" i="27"/>
  <c r="AR2774" i="27" s="1"/>
  <c r="AS2774" i="27" s="1"/>
  <c r="AQ333" i="27"/>
  <c r="AR333" i="27" s="1"/>
  <c r="AS333" i="27" s="1"/>
  <c r="AQ2299" i="27"/>
  <c r="AR2299" i="27" s="1"/>
  <c r="AS2299" i="27" s="1"/>
  <c r="AQ459" i="27"/>
  <c r="AR459" i="27" s="1"/>
  <c r="AS459" i="27" s="1"/>
  <c r="AQ2237" i="27"/>
  <c r="AR2237" i="27" s="1"/>
  <c r="AS2237" i="27" s="1"/>
  <c r="AQ1953" i="27"/>
  <c r="AR1953" i="27" s="1"/>
  <c r="AS1953" i="27" s="1"/>
  <c r="AQ2085" i="27"/>
  <c r="AR2085" i="27" s="1"/>
  <c r="AS2085" i="27" s="1"/>
  <c r="AQ1998" i="27"/>
  <c r="AR1998" i="27" s="1"/>
  <c r="AS1998" i="27" s="1"/>
  <c r="AQ1548" i="27"/>
  <c r="AR1548" i="27" s="1"/>
  <c r="AS1548" i="27" s="1"/>
  <c r="AQ1416" i="27"/>
  <c r="AR1416" i="27" s="1"/>
  <c r="AS1416" i="27" s="1"/>
  <c r="AQ1873" i="27"/>
  <c r="AR1873" i="27" s="1"/>
  <c r="AS1873" i="27" s="1"/>
  <c r="AQ2850" i="27"/>
  <c r="AR2850" i="27" s="1"/>
  <c r="AS2850" i="27" s="1"/>
  <c r="AQ3257" i="27"/>
  <c r="AR3257" i="27" s="1"/>
  <c r="AS3257" i="27" s="1"/>
  <c r="AQ1859" i="27"/>
  <c r="AR1859" i="27" s="1"/>
  <c r="AS1859" i="27" s="1"/>
  <c r="AQ2924" i="27"/>
  <c r="AR2924" i="27" s="1"/>
  <c r="AS2924" i="27" s="1"/>
  <c r="AQ1268" i="27"/>
  <c r="AR1268" i="27" s="1"/>
  <c r="AS1268" i="27" s="1"/>
  <c r="AQ2125" i="27"/>
  <c r="AR2125" i="27" s="1"/>
  <c r="AS2125" i="27" s="1"/>
  <c r="AQ1464" i="27"/>
  <c r="AR1464" i="27" s="1"/>
  <c r="AS1464" i="27" s="1"/>
  <c r="AQ493" i="27"/>
  <c r="AR493" i="27" s="1"/>
  <c r="AS493" i="27" s="1"/>
  <c r="AQ1273" i="27"/>
  <c r="AR1273" i="27" s="1"/>
  <c r="AS1273" i="27" s="1"/>
  <c r="AQ2588" i="27"/>
  <c r="AR2588" i="27" s="1"/>
  <c r="AS2588" i="27" s="1"/>
  <c r="AQ2455" i="27"/>
  <c r="AR2455" i="27" s="1"/>
  <c r="AS2455" i="27" s="1"/>
  <c r="AQ2913" i="27"/>
  <c r="AR2913" i="27" s="1"/>
  <c r="AS2913" i="27" s="1"/>
  <c r="AQ845" i="27"/>
  <c r="AR845" i="27" s="1"/>
  <c r="AS845" i="27" s="1"/>
  <c r="AQ3022" i="27"/>
  <c r="AR3022" i="27" s="1"/>
  <c r="AS3022" i="27" s="1"/>
  <c r="AQ2608" i="27"/>
  <c r="AR2608" i="27" s="1"/>
  <c r="AS2608" i="27" s="1"/>
  <c r="AQ747" i="27"/>
  <c r="AR747" i="27" s="1"/>
  <c r="AS747" i="27" s="1"/>
  <c r="AQ1173" i="27"/>
  <c r="AR1173" i="27" s="1"/>
  <c r="AS1173" i="27" s="1"/>
  <c r="AQ676" i="27"/>
  <c r="AR676" i="27" s="1"/>
  <c r="AS676" i="27" s="1"/>
  <c r="AQ877" i="27"/>
  <c r="AR877" i="27" s="1"/>
  <c r="AS877" i="27" s="1"/>
  <c r="AQ901" i="27"/>
  <c r="AR901" i="27" s="1"/>
  <c r="AS901" i="27" s="1"/>
  <c r="AQ2931" i="27"/>
  <c r="AR2931" i="27" s="1"/>
  <c r="AS2931" i="27" s="1"/>
  <c r="AQ1045" i="27"/>
  <c r="AR1045" i="27" s="1"/>
  <c r="AS1045" i="27" s="1"/>
  <c r="AQ900" i="27"/>
  <c r="AR900" i="27" s="1"/>
  <c r="AS900" i="27" s="1"/>
  <c r="AQ2001" i="27"/>
  <c r="AR2001" i="27" s="1"/>
  <c r="AS2001" i="27" s="1"/>
  <c r="AQ3301" i="27"/>
  <c r="AR3301" i="27" s="1"/>
  <c r="AS3301" i="27" s="1"/>
  <c r="AQ1992" i="27"/>
  <c r="AR1992" i="27" s="1"/>
  <c r="AS1992" i="27" s="1"/>
  <c r="AQ2898" i="27"/>
  <c r="AR2898" i="27" s="1"/>
  <c r="AS2898" i="27" s="1"/>
  <c r="AQ1359" i="27"/>
  <c r="AR1359" i="27" s="1"/>
  <c r="AS1359" i="27" s="1"/>
  <c r="AQ1347" i="27"/>
  <c r="AR1347" i="27" s="1"/>
  <c r="AS1347" i="27" s="1"/>
  <c r="AQ749" i="27"/>
  <c r="AR749" i="27" s="1"/>
  <c r="AS749" i="27" s="1"/>
  <c r="AQ808" i="27"/>
  <c r="AR808" i="27" s="1"/>
  <c r="AS808" i="27" s="1"/>
  <c r="AQ1243" i="27"/>
  <c r="AR1243" i="27" s="1"/>
  <c r="AS1243" i="27" s="1"/>
  <c r="AQ2461" i="27"/>
  <c r="AR2461" i="27" s="1"/>
  <c r="AS2461" i="27" s="1"/>
  <c r="AQ410" i="27"/>
  <c r="AR410" i="27" s="1"/>
  <c r="AS410" i="27" s="1"/>
  <c r="AQ397" i="27"/>
  <c r="AR397" i="27" s="1"/>
  <c r="AS397" i="27" s="1"/>
  <c r="AQ653" i="27"/>
  <c r="AR653" i="27" s="1"/>
  <c r="AS653" i="27" s="1"/>
  <c r="AQ1087" i="27"/>
  <c r="AR1087" i="27" s="1"/>
  <c r="AS1087" i="27" s="1"/>
  <c r="AQ736" i="27"/>
  <c r="AR736" i="27" s="1"/>
  <c r="AS736" i="27" s="1"/>
  <c r="AQ2817" i="27"/>
  <c r="AR2817" i="27" s="1"/>
  <c r="AS2817" i="27" s="1"/>
  <c r="AQ1015" i="27"/>
  <c r="AR1015" i="27" s="1"/>
  <c r="AS1015" i="27" s="1"/>
  <c r="AQ2010" i="27"/>
  <c r="AR2010" i="27" s="1"/>
  <c r="AS2010" i="27" s="1"/>
  <c r="AQ2285" i="27"/>
  <c r="AR2285" i="27" s="1"/>
  <c r="AS2285" i="27" s="1"/>
  <c r="AQ595" i="27"/>
  <c r="AR595" i="27" s="1"/>
  <c r="AS595" i="27" s="1"/>
  <c r="AQ1061" i="27"/>
  <c r="AR1061" i="27" s="1"/>
  <c r="AS1061" i="27" s="1"/>
  <c r="AQ1889" i="27"/>
  <c r="AR1889" i="27" s="1"/>
  <c r="AS1889" i="27" s="1"/>
  <c r="AQ1807" i="27"/>
  <c r="AR1807" i="27" s="1"/>
  <c r="AS1807" i="27" s="1"/>
  <c r="AQ807" i="27"/>
  <c r="AR807" i="27" s="1"/>
  <c r="AS807" i="27" s="1"/>
  <c r="AQ1327" i="27"/>
  <c r="AR1327" i="27" s="1"/>
  <c r="AS1327" i="27" s="1"/>
  <c r="AQ2671" i="27"/>
  <c r="AR2671" i="27" s="1"/>
  <c r="AS2671" i="27" s="1"/>
  <c r="AQ2382" i="27"/>
  <c r="AR2382" i="27" s="1"/>
  <c r="AS2382" i="27" s="1"/>
  <c r="AQ2426" i="27"/>
  <c r="AR2426" i="27" s="1"/>
  <c r="AS2426" i="27" s="1"/>
  <c r="AQ2565" i="27"/>
  <c r="AR2565" i="27" s="1"/>
  <c r="AS2565" i="27" s="1"/>
  <c r="AQ3229" i="27"/>
  <c r="AR3229" i="27" s="1"/>
  <c r="AS3229" i="27" s="1"/>
  <c r="AQ93" i="27"/>
  <c r="AR93" i="27" s="1"/>
  <c r="AS93" i="27" s="1"/>
  <c r="AQ2525" i="27"/>
  <c r="AR2525" i="27" s="1"/>
  <c r="AS2525" i="27" s="1"/>
  <c r="AQ902" i="27"/>
  <c r="AR902" i="27" s="1"/>
  <c r="AS902" i="27" s="1"/>
  <c r="AQ3307" i="27"/>
  <c r="AR3307" i="27" s="1"/>
  <c r="AS3307" i="27" s="1"/>
  <c r="AQ1664" i="27"/>
  <c r="AR1664" i="27" s="1"/>
  <c r="AS1664" i="27" s="1"/>
  <c r="AQ2081" i="27"/>
  <c r="AR2081" i="27" s="1"/>
  <c r="AS2081" i="27" s="1"/>
  <c r="AQ938" i="27"/>
  <c r="AR938" i="27" s="1"/>
  <c r="AS938" i="27" s="1"/>
  <c r="AQ1382" i="27"/>
  <c r="AR1382" i="27" s="1"/>
  <c r="AS1382" i="27" s="1"/>
  <c r="AQ3083" i="27"/>
  <c r="AR3083" i="27" s="1"/>
  <c r="AS3083" i="27" s="1"/>
  <c r="AQ319" i="27"/>
  <c r="AR319" i="27" s="1"/>
  <c r="AS319" i="27" s="1"/>
  <c r="AQ1500" i="27"/>
  <c r="AR1500" i="27" s="1"/>
  <c r="AS1500" i="27" s="1"/>
  <c r="AQ2158" i="27"/>
  <c r="AR2158" i="27" s="1"/>
  <c r="AS2158" i="27" s="1"/>
  <c r="AQ44" i="27"/>
  <c r="AR44" i="27" s="1"/>
  <c r="AS44" i="27" s="1"/>
  <c r="AQ1552" i="27"/>
  <c r="AR1552" i="27" s="1"/>
  <c r="AS1552" i="27" s="1"/>
  <c r="AQ2481" i="27"/>
  <c r="AR2481" i="27" s="1"/>
  <c r="AS2481" i="27" s="1"/>
  <c r="AQ1127" i="27"/>
  <c r="AR1127" i="27" s="1"/>
  <c r="AS1127" i="27" s="1"/>
  <c r="AQ90" i="27"/>
  <c r="AR90" i="27" s="1"/>
  <c r="AS90" i="27" s="1"/>
  <c r="AQ2849" i="27"/>
  <c r="AR2849" i="27" s="1"/>
  <c r="AS2849" i="27" s="1"/>
  <c r="AQ2904" i="27"/>
  <c r="AR2904" i="27" s="1"/>
  <c r="AS2904" i="27" s="1"/>
  <c r="AQ1389" i="27"/>
  <c r="AR1389" i="27" s="1"/>
  <c r="AS1389" i="27" s="1"/>
  <c r="AQ473" i="27"/>
  <c r="AR473" i="27" s="1"/>
  <c r="AS473" i="27" s="1"/>
  <c r="AQ2323" i="27"/>
  <c r="AR2323" i="27" s="1"/>
  <c r="AS2323" i="27" s="1"/>
  <c r="AQ2041" i="27"/>
  <c r="AR2041" i="27" s="1"/>
  <c r="AS2041" i="27" s="1"/>
  <c r="AQ2123" i="27"/>
  <c r="AR2123" i="27" s="1"/>
  <c r="AS2123" i="27" s="1"/>
  <c r="AQ1718" i="27"/>
  <c r="AR1718" i="27" s="1"/>
  <c r="AS1718" i="27" s="1"/>
  <c r="AQ1877" i="27"/>
  <c r="AR1877" i="27" s="1"/>
  <c r="AS1877" i="27" s="1"/>
  <c r="AQ2871" i="27"/>
  <c r="AR2871" i="27" s="1"/>
  <c r="AS2871" i="27" s="1"/>
  <c r="AQ2189" i="27"/>
  <c r="AR2189" i="27" s="1"/>
  <c r="AS2189" i="27" s="1"/>
  <c r="AQ2072" i="27"/>
  <c r="AR2072" i="27" s="1"/>
  <c r="AS2072" i="27" s="1"/>
  <c r="AQ832" i="27"/>
  <c r="AR832" i="27" s="1"/>
  <c r="AS832" i="27" s="1"/>
  <c r="AQ2134" i="27"/>
  <c r="AR2134" i="27" s="1"/>
  <c r="AS2134" i="27" s="1"/>
  <c r="AQ2781" i="27"/>
  <c r="AR2781" i="27" s="1"/>
  <c r="AS2781" i="27" s="1"/>
  <c r="AQ2660" i="27"/>
  <c r="AR2660" i="27" s="1"/>
  <c r="AS2660" i="27" s="1"/>
  <c r="AQ1219" i="27"/>
  <c r="AR1219" i="27" s="1"/>
  <c r="AS1219" i="27" s="1"/>
  <c r="AQ2524" i="27"/>
  <c r="AR2524" i="27" s="1"/>
  <c r="AS2524" i="27" s="1"/>
  <c r="AQ2945" i="27"/>
  <c r="AR2945" i="27" s="1"/>
  <c r="AS2945" i="27" s="1"/>
  <c r="AQ2966" i="27"/>
  <c r="AR2966" i="27" s="1"/>
  <c r="AS2966" i="27" s="1"/>
  <c r="AQ939" i="27"/>
  <c r="AR939" i="27" s="1"/>
  <c r="AS939" i="27" s="1"/>
  <c r="AQ2773" i="27"/>
  <c r="AR2773" i="27" s="1"/>
  <c r="AS2773" i="27" s="1"/>
  <c r="AQ3316" i="27"/>
  <c r="AR3316" i="27" s="1"/>
  <c r="AS3316" i="27" s="1"/>
  <c r="AQ644" i="27"/>
  <c r="AR644" i="27" s="1"/>
  <c r="AS644" i="27" s="1"/>
  <c r="AQ640" i="27"/>
  <c r="AR640" i="27" s="1"/>
  <c r="AS640" i="27" s="1"/>
  <c r="AQ3067" i="27"/>
  <c r="AR3067" i="27" s="1"/>
  <c r="AS3067" i="27" s="1"/>
  <c r="AQ1440" i="27"/>
  <c r="AR1440" i="27" s="1"/>
  <c r="AS1440" i="27" s="1"/>
  <c r="AQ2629" i="27"/>
  <c r="AR2629" i="27" s="1"/>
  <c r="AS2629" i="27" s="1"/>
  <c r="AQ1375" i="27"/>
  <c r="AR1375" i="27" s="1"/>
  <c r="AS1375" i="27" s="1"/>
  <c r="AQ906" i="27"/>
  <c r="AR906" i="27" s="1"/>
  <c r="AS906" i="27" s="1"/>
  <c r="AQ769" i="27"/>
  <c r="AR769" i="27" s="1"/>
  <c r="AS769" i="27" s="1"/>
  <c r="AQ1310" i="27"/>
  <c r="AR1310" i="27" s="1"/>
  <c r="AS1310" i="27" s="1"/>
  <c r="AQ549" i="27"/>
  <c r="AR549" i="27" s="1"/>
  <c r="AS549" i="27" s="1"/>
  <c r="AQ2474" i="27"/>
  <c r="AR2474" i="27" s="1"/>
  <c r="AS2474" i="27" s="1"/>
  <c r="AQ2429" i="27"/>
  <c r="AR2429" i="27" s="1"/>
  <c r="AS2429" i="27" s="1"/>
  <c r="AQ2069" i="27"/>
  <c r="AR2069" i="27" s="1"/>
  <c r="AS2069" i="27" s="1"/>
  <c r="AQ2664" i="27"/>
  <c r="AR2664" i="27" s="1"/>
  <c r="AS2664" i="27" s="1"/>
  <c r="AQ1082" i="27"/>
  <c r="AR1082" i="27" s="1"/>
  <c r="AS1082" i="27" s="1"/>
  <c r="AQ954" i="27"/>
  <c r="AR954" i="27" s="1"/>
  <c r="AS954" i="27" s="1"/>
  <c r="AQ1905" i="27"/>
  <c r="AR1905" i="27" s="1"/>
  <c r="AS1905" i="27" s="1"/>
  <c r="AQ1979" i="27"/>
  <c r="AR1979" i="27" s="1"/>
  <c r="AS1979" i="27" s="1"/>
  <c r="AQ2229" i="27"/>
  <c r="AR2229" i="27" s="1"/>
  <c r="AS2229" i="27" s="1"/>
  <c r="AQ332" i="27"/>
  <c r="AR332" i="27" s="1"/>
  <c r="AS332" i="27" s="1"/>
  <c r="AQ2401" i="27"/>
  <c r="AR2401" i="27" s="1"/>
  <c r="AS2401" i="27" s="1"/>
  <c r="AQ2662" i="27"/>
  <c r="AR2662" i="27" s="1"/>
  <c r="AS2662" i="27" s="1"/>
  <c r="AQ373" i="27"/>
  <c r="AR373" i="27" s="1"/>
  <c r="AS373" i="27" s="1"/>
  <c r="AQ2760" i="27"/>
  <c r="AR2760" i="27" s="1"/>
  <c r="AS2760" i="27" s="1"/>
  <c r="AQ1740" i="27"/>
  <c r="AR1740" i="27" s="1"/>
  <c r="AS1740" i="27" s="1"/>
  <c r="AQ1775" i="27"/>
  <c r="AR1775" i="27" s="1"/>
  <c r="AS1775" i="27" s="1"/>
  <c r="AQ2147" i="27"/>
  <c r="AR2147" i="27" s="1"/>
  <c r="AS2147" i="27" s="1"/>
  <c r="AQ2521" i="27"/>
  <c r="AR2521" i="27" s="1"/>
  <c r="AS2521" i="27" s="1"/>
  <c r="AQ2794" i="27"/>
  <c r="AR2794" i="27" s="1"/>
  <c r="AS2794" i="27" s="1"/>
  <c r="AQ2797" i="27"/>
  <c r="AR2797" i="27" s="1"/>
  <c r="AS2797" i="27" s="1"/>
  <c r="AQ358" i="27"/>
  <c r="AR358" i="27" s="1"/>
  <c r="AS358" i="27" s="1"/>
  <c r="AQ327" i="27"/>
  <c r="AR327" i="27" s="1"/>
  <c r="AS327" i="27" s="1"/>
  <c r="AQ1442" i="27"/>
  <c r="AR1442" i="27" s="1"/>
  <c r="AS1442" i="27" s="1"/>
  <c r="AQ2678" i="27"/>
  <c r="AR2678" i="27" s="1"/>
  <c r="AS2678" i="27" s="1"/>
  <c r="AQ302" i="27"/>
  <c r="AR302" i="27" s="1"/>
  <c r="AS302" i="27" s="1"/>
  <c r="AQ1226" i="27"/>
  <c r="AR1226" i="27" s="1"/>
  <c r="AS1226" i="27" s="1"/>
  <c r="AQ2730" i="27"/>
  <c r="AR2730" i="27" s="1"/>
  <c r="AS2730" i="27" s="1"/>
  <c r="AQ1966" i="27"/>
  <c r="AR1966" i="27" s="1"/>
  <c r="AS1966" i="27" s="1"/>
  <c r="AQ2837" i="27"/>
  <c r="AR2837" i="27" s="1"/>
  <c r="AS2837" i="27" s="1"/>
  <c r="AQ3034" i="27"/>
  <c r="AR3034" i="27" s="1"/>
  <c r="AS3034" i="27" s="1"/>
  <c r="AQ1074" i="27"/>
  <c r="AR1074" i="27" s="1"/>
  <c r="AS1074" i="27" s="1"/>
  <c r="AQ2848" i="27"/>
  <c r="AR2848" i="27" s="1"/>
  <c r="AS2848" i="27" s="1"/>
  <c r="AQ1739" i="27"/>
  <c r="AR1739" i="27" s="1"/>
  <c r="AS1739" i="27" s="1"/>
  <c r="AQ1783" i="27"/>
  <c r="AR1783" i="27" s="1"/>
  <c r="AS1783" i="27" s="1"/>
  <c r="AQ1649" i="27"/>
  <c r="AR1649" i="27" s="1"/>
  <c r="AS1649" i="27" s="1"/>
  <c r="AQ2225" i="27"/>
  <c r="AR2225" i="27" s="1"/>
  <c r="AS2225" i="27" s="1"/>
  <c r="AQ870" i="27"/>
  <c r="AR870" i="27" s="1"/>
  <c r="AS870" i="27" s="1"/>
  <c r="AQ2936" i="27"/>
  <c r="AR2936" i="27" s="1"/>
  <c r="AS2936" i="27" s="1"/>
  <c r="AQ1340" i="27"/>
  <c r="AR1340" i="27" s="1"/>
  <c r="AS1340" i="27" s="1"/>
  <c r="AQ2188" i="27"/>
  <c r="AR2188" i="27" s="1"/>
  <c r="AS2188" i="27" s="1"/>
  <c r="AQ3206" i="27"/>
  <c r="AR3206" i="27" s="1"/>
  <c r="AS3206" i="27" s="1"/>
  <c r="AQ797" i="27"/>
  <c r="AR797" i="27" s="1"/>
  <c r="AS797" i="27" s="1"/>
  <c r="AQ2737" i="27"/>
  <c r="AR2737" i="27" s="1"/>
  <c r="AS2737" i="27" s="1"/>
  <c r="AQ2395" i="27"/>
  <c r="AR2395" i="27" s="1"/>
  <c r="AS2395" i="27" s="1"/>
  <c r="AQ811" i="27"/>
  <c r="AR811" i="27" s="1"/>
  <c r="AS811" i="27" s="1"/>
  <c r="AQ899" i="27"/>
  <c r="AR899" i="27" s="1"/>
  <c r="AS899" i="27" s="1"/>
  <c r="AQ1530" i="27"/>
  <c r="AR1530" i="27" s="1"/>
  <c r="AS1530" i="27" s="1"/>
  <c r="AQ2651" i="27"/>
  <c r="AR2651" i="27" s="1"/>
  <c r="AS2651" i="27" s="1"/>
  <c r="AQ1056" i="27"/>
  <c r="AR1056" i="27" s="1"/>
  <c r="AS1056" i="27" s="1"/>
  <c r="AQ447" i="27"/>
  <c r="AR447" i="27" s="1"/>
  <c r="AS447" i="27" s="1"/>
  <c r="AQ2675" i="27"/>
  <c r="AR2675" i="27" s="1"/>
  <c r="AS2675" i="27" s="1"/>
  <c r="AQ2649" i="27"/>
  <c r="AR2649" i="27" s="1"/>
  <c r="AS2649" i="27" s="1"/>
  <c r="AQ3012" i="27"/>
  <c r="AR3012" i="27" s="1"/>
  <c r="AS3012" i="27" s="1"/>
  <c r="AQ176" i="27"/>
  <c r="AR176" i="27" s="1"/>
  <c r="AS176" i="27" s="1"/>
  <c r="AQ2587" i="27"/>
  <c r="AR2587" i="27" s="1"/>
  <c r="AS2587" i="27" s="1"/>
  <c r="AQ2096" i="27"/>
  <c r="AR2096" i="27" s="1"/>
  <c r="AS2096" i="27" s="1"/>
  <c r="AQ2263" i="27"/>
  <c r="AR2263" i="27" s="1"/>
  <c r="AS2263" i="27" s="1"/>
  <c r="AQ666" i="27"/>
  <c r="AR666" i="27" s="1"/>
  <c r="AS666" i="27" s="1"/>
  <c r="AQ889" i="27"/>
  <c r="AR889" i="27" s="1"/>
  <c r="AS889" i="27" s="1"/>
  <c r="AQ953" i="27"/>
  <c r="AR953" i="27" s="1"/>
  <c r="AS953" i="27" s="1"/>
  <c r="AQ2249" i="27"/>
  <c r="AR2249" i="27" s="1"/>
  <c r="AS2249" i="27" s="1"/>
  <c r="AQ1986" i="27"/>
  <c r="AR1986" i="27" s="1"/>
  <c r="AS1986" i="27" s="1"/>
  <c r="AQ1047" i="27"/>
  <c r="AR1047" i="27" s="1"/>
  <c r="AS1047" i="27" s="1"/>
  <c r="AQ2164" i="27"/>
  <c r="AR2164" i="27" s="1"/>
  <c r="AS2164" i="27" s="1"/>
  <c r="AQ514" i="27"/>
  <c r="AR514" i="27" s="1"/>
  <c r="AS514" i="27" s="1"/>
  <c r="AQ689" i="27"/>
  <c r="AR689" i="27" s="1"/>
  <c r="AS689" i="27" s="1"/>
  <c r="AQ1559" i="27"/>
  <c r="AR1559" i="27" s="1"/>
  <c r="AS1559" i="27" s="1"/>
  <c r="AQ2464" i="27"/>
  <c r="AR2464" i="27" s="1"/>
  <c r="AS2464" i="27" s="1"/>
  <c r="AQ1939" i="27"/>
  <c r="AR1939" i="27" s="1"/>
  <c r="AS1939" i="27" s="1"/>
  <c r="AQ732" i="27"/>
  <c r="AR732" i="27" s="1"/>
  <c r="AS732" i="27" s="1"/>
  <c r="AQ2826" i="27"/>
  <c r="AR2826" i="27" s="1"/>
  <c r="AS2826" i="27" s="1"/>
  <c r="AQ2558" i="27"/>
  <c r="AR2558" i="27" s="1"/>
  <c r="AS2558" i="27" s="1"/>
  <c r="AQ918" i="27"/>
  <c r="AR918" i="27" s="1"/>
  <c r="AS918" i="27" s="1"/>
  <c r="AQ2646" i="27"/>
  <c r="AR2646" i="27" s="1"/>
  <c r="AS2646" i="27" s="1"/>
  <c r="B79" i="37"/>
  <c r="AQ1876" i="27"/>
  <c r="AR1876" i="27" s="1"/>
  <c r="AS1876" i="27" s="1"/>
  <c r="AQ2776" i="27"/>
  <c r="AR2776" i="27" s="1"/>
  <c r="AS2776" i="27" s="1"/>
  <c r="AQ737" i="27"/>
  <c r="AR737" i="27" s="1"/>
  <c r="AS737" i="27" s="1"/>
  <c r="AQ1533" i="27"/>
  <c r="AR1533" i="27" s="1"/>
  <c r="AS1533" i="27" s="1"/>
  <c r="AQ1967" i="27"/>
  <c r="AR1967" i="27" s="1"/>
  <c r="AS1967" i="27" s="1"/>
  <c r="AQ1368" i="27"/>
  <c r="AR1368" i="27" s="1"/>
  <c r="AS1368" i="27" s="1"/>
  <c r="AQ2126" i="27"/>
  <c r="AR2126" i="27" s="1"/>
  <c r="AS2126" i="27" s="1"/>
  <c r="AQ1216" i="27"/>
  <c r="AR1216" i="27" s="1"/>
  <c r="AS1216" i="27" s="1"/>
  <c r="AQ1062" i="27"/>
  <c r="AR1062" i="27" s="1"/>
  <c r="AS1062" i="27" s="1"/>
  <c r="AQ541" i="27"/>
  <c r="AR541" i="27" s="1"/>
  <c r="AS541" i="27" s="1"/>
  <c r="AQ1188" i="27"/>
  <c r="AR1188" i="27" s="1"/>
  <c r="AS1188" i="27" s="1"/>
  <c r="AQ1264" i="27"/>
  <c r="AR1264" i="27" s="1"/>
  <c r="AS1264" i="27" s="1"/>
  <c r="AQ488" i="27"/>
  <c r="AR488" i="27" s="1"/>
  <c r="AS488" i="27" s="1"/>
  <c r="AQ359" i="27"/>
  <c r="AR359" i="27" s="1"/>
  <c r="AS359" i="27" s="1"/>
  <c r="AQ1451" i="27"/>
  <c r="AR1451" i="27" s="1"/>
  <c r="AS1451" i="27" s="1"/>
  <c r="AQ2376" i="27"/>
  <c r="AR2376" i="27" s="1"/>
  <c r="AS2376" i="27" s="1"/>
  <c r="AQ2288" i="27"/>
  <c r="AR2288" i="27" s="1"/>
  <c r="AS2288" i="27" s="1"/>
  <c r="AQ1233" i="27"/>
  <c r="AR1233" i="27" s="1"/>
  <c r="AS1233" i="27" s="1"/>
  <c r="AQ982" i="27"/>
  <c r="AR982" i="27" s="1"/>
  <c r="AS982" i="27" s="1"/>
  <c r="AQ1404" i="27"/>
  <c r="AR1404" i="27" s="1"/>
  <c r="AS1404" i="27" s="1"/>
  <c r="AQ157" i="27"/>
  <c r="AR157" i="27" s="1"/>
  <c r="AS157" i="27" s="1"/>
  <c r="AQ1747" i="27"/>
  <c r="AR1747" i="27" s="1"/>
  <c r="AS1747" i="27" s="1"/>
  <c r="AQ1068" i="27"/>
  <c r="AR1068" i="27" s="1"/>
  <c r="AS1068" i="27" s="1"/>
  <c r="AQ2969" i="27"/>
  <c r="AR2969" i="27" s="1"/>
  <c r="AS2969" i="27" s="1"/>
  <c r="AQ887" i="27"/>
  <c r="AR887" i="27" s="1"/>
  <c r="AS887" i="27" s="1"/>
  <c r="AQ712" i="27"/>
  <c r="AR712" i="27" s="1"/>
  <c r="AS712" i="27" s="1"/>
  <c r="AQ3008" i="27"/>
  <c r="AR3008" i="27" s="1"/>
  <c r="AS3008" i="27" s="1"/>
  <c r="AQ554" i="27"/>
  <c r="AR554" i="27" s="1"/>
  <c r="AS554" i="27" s="1"/>
  <c r="AQ2708" i="27"/>
  <c r="AR2708" i="27" s="1"/>
  <c r="AS2708" i="27" s="1"/>
  <c r="AQ1892" i="27"/>
  <c r="AR1892" i="27" s="1"/>
  <c r="AS1892" i="27" s="1"/>
  <c r="AQ2997" i="27"/>
  <c r="AR2997" i="27" s="1"/>
  <c r="AS2997" i="27" s="1"/>
  <c r="AQ2120" i="27"/>
  <c r="AR2120" i="27" s="1"/>
  <c r="AS2120" i="27" s="1"/>
  <c r="AQ2734" i="27"/>
  <c r="AR2734" i="27" s="1"/>
  <c r="AS2734" i="27" s="1"/>
  <c r="AQ2413" i="27"/>
  <c r="AR2413" i="27" s="1"/>
  <c r="AS2413" i="27" s="1"/>
  <c r="AQ501" i="27"/>
  <c r="AR501" i="27" s="1"/>
  <c r="AS501" i="27" s="1"/>
  <c r="AQ677" i="27"/>
  <c r="AR677" i="27" s="1"/>
  <c r="AS677" i="27" s="1"/>
  <c r="AQ2517" i="27"/>
  <c r="AR2517" i="27" s="1"/>
  <c r="AS2517" i="27" s="1"/>
  <c r="AQ988" i="27"/>
  <c r="AR988" i="27" s="1"/>
  <c r="AS988" i="27" s="1"/>
  <c r="AQ217" i="27"/>
  <c r="AR217" i="27" s="1"/>
  <c r="AS217" i="27" s="1"/>
  <c r="AQ1929" i="27"/>
  <c r="AR1929" i="27" s="1"/>
  <c r="AS1929" i="27" s="1"/>
  <c r="AQ841" i="27"/>
  <c r="AR841" i="27" s="1"/>
  <c r="AS841" i="27" s="1"/>
  <c r="AQ904" i="27"/>
  <c r="AR904" i="27" s="1"/>
  <c r="AS904" i="27" s="1"/>
  <c r="AQ1880" i="27"/>
  <c r="AR1880" i="27" s="1"/>
  <c r="AS1880" i="27" s="1"/>
  <c r="AQ1944" i="27"/>
  <c r="AR1944" i="27" s="1"/>
  <c r="AS1944" i="27" s="1"/>
  <c r="AQ3285" i="27"/>
  <c r="AR3285" i="27" s="1"/>
  <c r="AS3285" i="27" s="1"/>
  <c r="AQ1212" i="27"/>
  <c r="AR1212" i="27" s="1"/>
  <c r="AS1212" i="27" s="1"/>
  <c r="AQ509" i="27"/>
  <c r="AR509" i="27" s="1"/>
  <c r="AS509" i="27" s="1"/>
  <c r="AQ2345" i="27"/>
  <c r="AR2345" i="27" s="1"/>
  <c r="AS2345" i="27" s="1"/>
  <c r="AQ2480" i="27"/>
  <c r="AR2480" i="27" s="1"/>
  <c r="AS2480" i="27" s="1"/>
  <c r="AQ3047" i="27"/>
  <c r="AR3047" i="27" s="1"/>
  <c r="AS3047" i="27" s="1"/>
  <c r="AQ2493" i="27"/>
  <c r="AR2493" i="27" s="1"/>
  <c r="AS2493" i="27" s="1"/>
  <c r="AQ1089" i="27"/>
  <c r="AR1089" i="27" s="1"/>
  <c r="AS1089" i="27" s="1"/>
  <c r="AQ700" i="27"/>
  <c r="AR700" i="27" s="1"/>
  <c r="AS700" i="27" s="1"/>
  <c r="AQ2985" i="27"/>
  <c r="AR2985" i="27" s="1"/>
  <c r="AS2985" i="27" s="1"/>
  <c r="AQ2552" i="27"/>
  <c r="AR2552" i="27" s="1"/>
  <c r="AS2552" i="27" s="1"/>
  <c r="AQ1417" i="27"/>
  <c r="AR1417" i="27" s="1"/>
  <c r="AS1417" i="27" s="1"/>
  <c r="AQ421" i="27"/>
  <c r="AR421" i="27" s="1"/>
  <c r="AS421" i="27" s="1"/>
  <c r="AQ1079" i="27"/>
  <c r="AR1079" i="27" s="1"/>
  <c r="AS1079" i="27" s="1"/>
  <c r="AQ1874" i="27"/>
  <c r="AR1874" i="27" s="1"/>
  <c r="AS1874" i="27" s="1"/>
  <c r="AQ572" i="27"/>
  <c r="AR572" i="27" s="1"/>
  <c r="AS572" i="27" s="1"/>
  <c r="AQ2912" i="27"/>
  <c r="AR2912" i="27" s="1"/>
  <c r="AS2912" i="27" s="1"/>
  <c r="AQ1178" i="27"/>
  <c r="AR1178" i="27" s="1"/>
  <c r="AS1178" i="27" s="1"/>
  <c r="AQ2551" i="27"/>
  <c r="AR2551" i="27" s="1"/>
  <c r="AS2551" i="27" s="1"/>
  <c r="AQ1007" i="27"/>
  <c r="AR1007" i="27" s="1"/>
  <c r="AS1007" i="27" s="1"/>
  <c r="AQ928" i="27"/>
  <c r="AR928" i="27" s="1"/>
  <c r="AS928" i="27" s="1"/>
  <c r="AQ1520" i="27"/>
  <c r="AR1520" i="27" s="1"/>
  <c r="AS1520" i="27" s="1"/>
  <c r="AQ2472" i="27"/>
  <c r="AR2472" i="27" s="1"/>
  <c r="AS2472" i="27" s="1"/>
  <c r="AQ3198" i="27"/>
  <c r="AR3198" i="27" s="1"/>
  <c r="AS3198" i="27" s="1"/>
  <c r="AQ1071" i="27"/>
  <c r="AR1071" i="27" s="1"/>
  <c r="AS1071" i="27" s="1"/>
  <c r="AQ685" i="27"/>
  <c r="AR685" i="27" s="1"/>
  <c r="AS685" i="27" s="1"/>
  <c r="AQ424" i="27"/>
  <c r="AR424" i="27" s="1"/>
  <c r="AS424" i="27" s="1"/>
  <c r="AQ1237" i="27"/>
  <c r="AR1237" i="27" s="1"/>
  <c r="AS1237" i="27" s="1"/>
  <c r="AQ2079" i="27"/>
  <c r="AR2079" i="27" s="1"/>
  <c r="AS2079" i="27" s="1"/>
  <c r="AQ1025" i="27"/>
  <c r="AR1025" i="27" s="1"/>
  <c r="AS1025" i="27" s="1"/>
  <c r="AQ3274" i="27"/>
  <c r="AR3274" i="27" s="1"/>
  <c r="AS3274" i="27" s="1"/>
  <c r="AQ2545" i="27"/>
  <c r="AR2545" i="27" s="1"/>
  <c r="AS2545" i="27" s="1"/>
  <c r="AQ3211" i="27"/>
  <c r="AR3211" i="27" s="1"/>
  <c r="AS3211" i="27" s="1"/>
  <c r="AQ921" i="27"/>
  <c r="AR921" i="27" s="1"/>
  <c r="AS921" i="27" s="1"/>
  <c r="AQ821" i="27"/>
  <c r="AR821" i="27" s="1"/>
  <c r="AS821" i="27" s="1"/>
  <c r="AQ521" i="27"/>
  <c r="AR521" i="27" s="1"/>
  <c r="AS521" i="27" s="1"/>
  <c r="AQ1163" i="27"/>
  <c r="AR1163" i="27" s="1"/>
  <c r="AS1163" i="27" s="1"/>
  <c r="AQ1917" i="27"/>
  <c r="AR1917" i="27" s="1"/>
  <c r="AS1917" i="27" s="1"/>
  <c r="AQ1240" i="27"/>
  <c r="AR1240" i="27" s="1"/>
  <c r="AS1240" i="27" s="1"/>
  <c r="AQ1176" i="27"/>
  <c r="AR1176" i="27" s="1"/>
  <c r="AS1176" i="27" s="1"/>
  <c r="AQ2550" i="27"/>
  <c r="AR2550" i="27" s="1"/>
  <c r="AS2550" i="27" s="1"/>
  <c r="AQ993" i="27"/>
  <c r="AR993" i="27" s="1"/>
  <c r="AS993" i="27" s="1"/>
  <c r="AQ777" i="27"/>
  <c r="AR777" i="27" s="1"/>
  <c r="AS777" i="27" s="1"/>
  <c r="AQ2952" i="27"/>
  <c r="AR2952" i="27" s="1"/>
  <c r="AS2952" i="27" s="1"/>
  <c r="AQ772" i="27"/>
  <c r="AR772" i="27" s="1"/>
  <c r="AS772" i="27" s="1"/>
  <c r="AQ1517" i="27"/>
  <c r="AR1517" i="27" s="1"/>
  <c r="AS1517" i="27" s="1"/>
  <c r="AQ2278" i="27"/>
  <c r="AR2278" i="27" s="1"/>
  <c r="AS2278" i="27" s="1"/>
  <c r="AQ324" i="27"/>
  <c r="AR324" i="27" s="1"/>
  <c r="AS324" i="27" s="1"/>
  <c r="AQ719" i="27"/>
  <c r="AR719" i="27" s="1"/>
  <c r="AS719" i="27" s="1"/>
  <c r="AQ2026" i="27"/>
  <c r="AR2026" i="27" s="1"/>
  <c r="AS2026" i="27" s="1"/>
  <c r="AQ1306" i="27"/>
  <c r="AR1306" i="27" s="1"/>
  <c r="AS1306" i="27" s="1"/>
  <c r="AQ716" i="27"/>
  <c r="AR716" i="27" s="1"/>
  <c r="AS716" i="27" s="1"/>
  <c r="AQ2941" i="27"/>
  <c r="AR2941" i="27" s="1"/>
  <c r="AS2941" i="27" s="1"/>
  <c r="AQ2589" i="27"/>
  <c r="AR2589" i="27" s="1"/>
  <c r="AS2589" i="27" s="1"/>
  <c r="AQ1168" i="27"/>
  <c r="AR1168" i="27" s="1"/>
  <c r="AS1168" i="27" s="1"/>
  <c r="AQ331" i="27"/>
  <c r="AR331" i="27" s="1"/>
  <c r="AS331" i="27" s="1"/>
  <c r="AQ2328" i="27"/>
  <c r="AR2328" i="27" s="1"/>
  <c r="AS2328" i="27" s="1"/>
  <c r="AQ2610" i="27"/>
  <c r="AR2610" i="27" s="1"/>
  <c r="AS2610" i="27" s="1"/>
  <c r="AQ3053" i="27"/>
  <c r="AR3053" i="27" s="1"/>
  <c r="AS3053" i="27" s="1"/>
  <c r="AQ1947" i="27"/>
  <c r="AR1947" i="27" s="1"/>
  <c r="AS1947" i="27" s="1"/>
  <c r="AQ348" i="27"/>
  <c r="AR348" i="27" s="1"/>
  <c r="AS348" i="27" s="1"/>
  <c r="AQ2463" i="27"/>
  <c r="AR2463" i="27" s="1"/>
  <c r="AS2463" i="27" s="1"/>
  <c r="AQ2562" i="27"/>
  <c r="AR2562" i="27" s="1"/>
  <c r="AS2562" i="27" s="1"/>
  <c r="AQ2570" i="27"/>
  <c r="AR2570" i="27" s="1"/>
  <c r="AS2570" i="27" s="1"/>
  <c r="AQ1388" i="27"/>
  <c r="AR1388" i="27" s="1"/>
  <c r="AS1388" i="27" s="1"/>
  <c r="AQ1311" i="27"/>
  <c r="AR1311" i="27" s="1"/>
  <c r="AS1311" i="27" s="1"/>
  <c r="AQ2182" i="27"/>
  <c r="AR2182" i="27" s="1"/>
  <c r="AS2182" i="27" s="1"/>
  <c r="AQ583" i="27"/>
  <c r="AR583" i="27" s="1"/>
  <c r="AS583" i="27" s="1"/>
  <c r="AQ587" i="27"/>
  <c r="AR587" i="27" s="1"/>
  <c r="AS587" i="27" s="1"/>
  <c r="AQ864" i="27"/>
  <c r="AR864" i="27" s="1"/>
  <c r="AS864" i="27" s="1"/>
  <c r="AQ1590" i="27"/>
  <c r="AR1590" i="27" s="1"/>
  <c r="AS1590" i="27" s="1"/>
  <c r="AQ395" i="27"/>
  <c r="AR395" i="27" s="1"/>
  <c r="AS395" i="27" s="1"/>
  <c r="AQ2697" i="27"/>
  <c r="AR2697" i="27" s="1"/>
  <c r="AS2697" i="27" s="1"/>
  <c r="AQ2687" i="27"/>
  <c r="AR2687" i="27" s="1"/>
  <c r="AS2687" i="27" s="1"/>
  <c r="AQ701" i="27"/>
  <c r="AR701" i="27" s="1"/>
  <c r="AS701" i="27" s="1"/>
  <c r="AQ2174" i="27"/>
  <c r="AR2174" i="27" s="1"/>
  <c r="AS2174" i="27" s="1"/>
  <c r="AQ1524" i="27"/>
  <c r="AR1524" i="27" s="1"/>
  <c r="AS1524" i="27" s="1"/>
  <c r="AQ379" i="27"/>
  <c r="AR379" i="27" s="1"/>
  <c r="AS379" i="27" s="1"/>
  <c r="AQ227" i="27"/>
  <c r="AR227" i="27" s="1"/>
  <c r="AS227" i="27" s="1"/>
  <c r="AQ352" i="27"/>
  <c r="AR352" i="27" s="1"/>
  <c r="AS352" i="27" s="1"/>
  <c r="AQ2108" i="27"/>
  <c r="AR2108" i="27" s="1"/>
  <c r="AS2108" i="27" s="1"/>
  <c r="AQ499" i="27"/>
  <c r="AR499" i="27" s="1"/>
  <c r="AS499" i="27" s="1"/>
  <c r="AQ725" i="27"/>
  <c r="AR725" i="27" s="1"/>
  <c r="AS725" i="27" s="1"/>
  <c r="AQ569" i="27"/>
  <c r="AR569" i="27" s="1"/>
  <c r="AS569" i="27" s="1"/>
  <c r="AQ2277" i="27"/>
  <c r="AR2277" i="27" s="1"/>
  <c r="AS2277" i="27" s="1"/>
  <c r="AQ1501" i="27"/>
  <c r="AR1501" i="27" s="1"/>
  <c r="AS1501" i="27" s="1"/>
  <c r="AQ2466" i="27"/>
  <c r="AR2466" i="27" s="1"/>
  <c r="AS2466" i="27" s="1"/>
  <c r="AQ2636" i="27"/>
  <c r="AR2636" i="27" s="1"/>
  <c r="AS2636" i="27" s="1"/>
  <c r="AQ2008" i="27"/>
  <c r="AR2008" i="27" s="1"/>
  <c r="AS2008" i="27" s="1"/>
  <c r="AQ435" i="27"/>
  <c r="AR435" i="27" s="1"/>
  <c r="AS435" i="27" s="1"/>
  <c r="AQ1044" i="27"/>
  <c r="AR1044" i="27" s="1"/>
  <c r="AS1044" i="27" s="1"/>
  <c r="AQ2821" i="27"/>
  <c r="AR2821" i="27" s="1"/>
  <c r="AS2821" i="27" s="1"/>
  <c r="AQ2814" i="27"/>
  <c r="AR2814" i="27" s="1"/>
  <c r="AS2814" i="27" s="1"/>
  <c r="AQ665" i="27"/>
  <c r="AR665" i="27" s="1"/>
  <c r="AS665" i="27" s="1"/>
  <c r="AQ2394" i="27"/>
  <c r="AR2394" i="27" s="1"/>
  <c r="AS2394" i="27" s="1"/>
  <c r="AQ2724" i="27"/>
  <c r="AR2724" i="27" s="1"/>
  <c r="AS2724" i="27" s="1"/>
  <c r="AQ715" i="27"/>
  <c r="AR715" i="27" s="1"/>
  <c r="AS715" i="27" s="1"/>
  <c r="AQ1927" i="27"/>
  <c r="AR1927" i="27" s="1"/>
  <c r="AS1927" i="27" s="1"/>
  <c r="AQ1075" i="27"/>
  <c r="AR1075" i="27" s="1"/>
  <c r="AS1075" i="27" s="1"/>
  <c r="AQ366" i="27"/>
  <c r="AR366" i="27" s="1"/>
  <c r="AS366" i="27" s="1"/>
  <c r="AQ3200" i="27"/>
  <c r="AR3200" i="27" s="1"/>
  <c r="AS3200" i="27" s="1"/>
  <c r="AQ2047" i="27"/>
  <c r="AR2047" i="27" s="1"/>
  <c r="AS2047" i="27" s="1"/>
  <c r="AQ3213" i="27"/>
  <c r="AR3213" i="27" s="1"/>
  <c r="AS3213" i="27" s="1"/>
  <c r="AQ448" i="27"/>
  <c r="AR448" i="27" s="1"/>
  <c r="AS448" i="27" s="1"/>
  <c r="AQ636" i="27"/>
  <c r="AR636" i="27" s="1"/>
  <c r="AS636" i="27" s="1"/>
  <c r="AQ2569" i="27"/>
  <c r="AR2569" i="27" s="1"/>
  <c r="AS2569" i="27" s="1"/>
  <c r="AQ1203" i="27"/>
  <c r="AR1203" i="27" s="1"/>
  <c r="AS1203" i="27" s="1"/>
  <c r="AQ1199" i="27"/>
  <c r="AR1199" i="27" s="1"/>
  <c r="AS1199" i="27" s="1"/>
  <c r="AQ2815" i="27"/>
  <c r="AR2815" i="27" s="1"/>
  <c r="AS2815" i="27" s="1"/>
  <c r="AQ1884" i="27"/>
  <c r="AR1884" i="27" s="1"/>
  <c r="AS1884" i="27" s="1"/>
  <c r="AQ979" i="27"/>
  <c r="AR979" i="27" s="1"/>
  <c r="AS979" i="27" s="1"/>
  <c r="AQ2723" i="27"/>
  <c r="AR2723" i="27" s="1"/>
  <c r="AS2723" i="27" s="1"/>
  <c r="AQ1279" i="27"/>
  <c r="AR1279" i="27" s="1"/>
  <c r="AS1279" i="27" s="1"/>
  <c r="AQ925" i="27"/>
  <c r="AR925" i="27" s="1"/>
  <c r="AS925" i="27" s="1"/>
  <c r="AQ994" i="27"/>
  <c r="AR994" i="27" s="1"/>
  <c r="AS994" i="27" s="1"/>
  <c r="AQ978" i="27"/>
  <c r="AR978" i="27" s="1"/>
  <c r="AS978" i="27" s="1"/>
  <c r="AQ941" i="27"/>
  <c r="AR941" i="27" s="1"/>
  <c r="AS941" i="27" s="1"/>
  <c r="AQ1245" i="27"/>
  <c r="AR1245" i="27" s="1"/>
  <c r="AS1245" i="27" s="1"/>
  <c r="AQ3016" i="27"/>
  <c r="AR3016" i="27" s="1"/>
  <c r="AS3016" i="27" s="1"/>
  <c r="AQ423" i="27"/>
  <c r="AR423" i="27" s="1"/>
  <c r="AS423" i="27" s="1"/>
  <c r="AQ2763" i="27"/>
  <c r="AR2763" i="27" s="1"/>
  <c r="AS2763" i="27" s="1"/>
  <c r="AQ425" i="27"/>
  <c r="AR425" i="27" s="1"/>
  <c r="AS425" i="27" s="1"/>
  <c r="AQ3002" i="27"/>
  <c r="AR3002" i="27" s="1"/>
  <c r="AS3002" i="27" s="1"/>
  <c r="AQ2739" i="27"/>
  <c r="AR2739" i="27" s="1"/>
  <c r="AS2739" i="27" s="1"/>
  <c r="AQ1093" i="27"/>
  <c r="AR1093" i="27" s="1"/>
  <c r="AS1093" i="27" s="1"/>
  <c r="AQ2251" i="27"/>
  <c r="AR2251" i="27" s="1"/>
  <c r="AS2251" i="27" s="1"/>
  <c r="AQ1493" i="27"/>
  <c r="AR1493" i="27" s="1"/>
  <c r="AS1493" i="27" s="1"/>
  <c r="AQ2471" i="27"/>
  <c r="AR2471" i="27" s="1"/>
  <c r="AS2471" i="27" s="1"/>
  <c r="AQ513" i="27"/>
  <c r="AR513" i="27" s="1"/>
  <c r="AS513" i="27" s="1"/>
  <c r="AQ2775" i="27"/>
  <c r="AR2775" i="27" s="1"/>
  <c r="AS2775" i="27" s="1"/>
  <c r="AQ947" i="27"/>
  <c r="AR947" i="27" s="1"/>
  <c r="AS947" i="27" s="1"/>
  <c r="AQ648" i="27"/>
  <c r="AR648" i="27" s="1"/>
  <c r="AS648" i="27" s="1"/>
  <c r="AQ2923" i="27"/>
  <c r="AR2923" i="27" s="1"/>
  <c r="AS2923" i="27" s="1"/>
  <c r="AQ1832" i="27"/>
  <c r="AR1832" i="27" s="1"/>
  <c r="AS1832" i="27" s="1"/>
  <c r="AQ971" i="27"/>
  <c r="AR971" i="27" s="1"/>
  <c r="AS971" i="27" s="1"/>
  <c r="AQ2531" i="27"/>
  <c r="AR2531" i="27" s="1"/>
  <c r="AS2531" i="27" s="1"/>
  <c r="AQ1763" i="27"/>
  <c r="AR1763" i="27" s="1"/>
  <c r="AS1763" i="27" s="1"/>
  <c r="AQ2071" i="27"/>
  <c r="AR2071" i="27" s="1"/>
  <c r="AS2071" i="27" s="1"/>
  <c r="AQ2387" i="27"/>
  <c r="AR2387" i="27" s="1"/>
  <c r="AS2387" i="27" s="1"/>
  <c r="AQ573" i="27"/>
  <c r="AR573" i="27" s="1"/>
  <c r="AS573" i="27" s="1"/>
  <c r="AQ1039" i="27"/>
  <c r="AR1039" i="27" s="1"/>
  <c r="AS1039" i="27" s="1"/>
  <c r="AQ1981" i="27"/>
  <c r="AR1981" i="27" s="1"/>
  <c r="AS1981" i="27" s="1"/>
  <c r="AQ2490" i="27"/>
  <c r="AR2490" i="27" s="1"/>
  <c r="AS2490" i="27" s="1"/>
  <c r="AQ1991" i="27"/>
  <c r="AR1991" i="27" s="1"/>
  <c r="AS1991" i="27" s="1"/>
  <c r="AQ2701" i="27"/>
  <c r="AR2701" i="27" s="1"/>
  <c r="AS2701" i="27" s="1"/>
  <c r="AQ1362" i="27"/>
  <c r="AR1362" i="27" s="1"/>
  <c r="AS1362" i="27" s="1"/>
  <c r="AQ482" i="27"/>
  <c r="AR482" i="27" s="1"/>
  <c r="AS482" i="27" s="1"/>
  <c r="AQ480" i="27"/>
  <c r="AR480" i="27" s="1"/>
  <c r="AS480" i="27" s="1"/>
  <c r="AQ2668" i="27"/>
  <c r="AR2668" i="27" s="1"/>
  <c r="AS2668" i="27" s="1"/>
  <c r="AQ1148" i="27"/>
  <c r="AR1148" i="27" s="1"/>
  <c r="AS1148" i="27" s="1"/>
  <c r="AQ684" i="27"/>
  <c r="AR684" i="27" s="1"/>
  <c r="AS684" i="27" s="1"/>
  <c r="AQ2698" i="27"/>
  <c r="AR2698" i="27" s="1"/>
  <c r="AS2698" i="27" s="1"/>
  <c r="AQ602" i="27"/>
  <c r="AR602" i="27" s="1"/>
  <c r="AS602" i="27" s="1"/>
  <c r="AQ1215" i="27"/>
  <c r="AR1215" i="27" s="1"/>
  <c r="AS1215" i="27" s="1"/>
  <c r="AQ1086" i="27"/>
  <c r="AR1086" i="27" s="1"/>
  <c r="AS1086" i="27" s="1"/>
  <c r="AQ2993" i="27"/>
  <c r="AR2993" i="27" s="1"/>
  <c r="AS2993" i="27" s="1"/>
  <c r="AQ1653" i="27"/>
  <c r="AR1653" i="27" s="1"/>
  <c r="AS1653" i="27" s="1"/>
  <c r="AQ2039" i="27"/>
  <c r="AR2039" i="27" s="1"/>
  <c r="AS2039" i="27" s="1"/>
  <c r="AQ2259" i="27"/>
  <c r="AR2259" i="27" s="1"/>
  <c r="AS2259" i="27" s="1"/>
  <c r="AQ1108" i="27"/>
  <c r="AR1108" i="27" s="1"/>
  <c r="AS1108" i="27" s="1"/>
  <c r="AQ1012" i="27"/>
  <c r="AR1012" i="27" s="1"/>
  <c r="AS1012" i="27" s="1"/>
  <c r="AQ2556" i="27"/>
  <c r="AR2556" i="27" s="1"/>
  <c r="AS2556" i="27" s="1"/>
  <c r="AQ53" i="27"/>
  <c r="AR53" i="27" s="1"/>
  <c r="AS53" i="27" s="1"/>
  <c r="AQ865" i="27"/>
  <c r="AR865" i="27" s="1"/>
  <c r="AS865" i="27" s="1"/>
  <c r="AQ3208" i="27"/>
  <c r="AR3208" i="27" s="1"/>
  <c r="AS3208" i="27" s="1"/>
  <c r="AQ1395" i="27"/>
  <c r="AR1395" i="27" s="1"/>
  <c r="AS1395" i="27" s="1"/>
  <c r="AQ3015" i="27"/>
  <c r="AR3015" i="27" s="1"/>
  <c r="AS3015" i="27" s="1"/>
  <c r="AQ1360" i="27"/>
  <c r="AR1360" i="27" s="1"/>
  <c r="AS1360" i="27" s="1"/>
  <c r="AQ1907" i="27"/>
  <c r="AR1907" i="27" s="1"/>
  <c r="AS1907" i="27" s="1"/>
  <c r="AQ3288" i="27"/>
  <c r="AR3288" i="27" s="1"/>
  <c r="AS3288" i="27" s="1"/>
  <c r="AQ785" i="27"/>
  <c r="AR785" i="27" s="1"/>
  <c r="AS785" i="27" s="1"/>
  <c r="AQ2168" i="27"/>
  <c r="AR2168" i="27" s="1"/>
  <c r="AS2168" i="27" s="1"/>
  <c r="AQ2867" i="27"/>
  <c r="AR2867" i="27" s="1"/>
  <c r="AS2867" i="27" s="1"/>
  <c r="AQ1926" i="27"/>
  <c r="AR1926" i="27" s="1"/>
  <c r="AS1926" i="27" s="1"/>
  <c r="AQ789" i="27"/>
  <c r="AR789" i="27" s="1"/>
  <c r="AS789" i="27" s="1"/>
  <c r="AQ2207" i="27"/>
  <c r="AR2207" i="27" s="1"/>
  <c r="AS2207" i="27" s="1"/>
  <c r="AQ1405" i="27"/>
  <c r="AR1405" i="27" s="1"/>
  <c r="AS1405" i="27" s="1"/>
  <c r="AQ1949" i="27"/>
  <c r="AR1949" i="27" s="1"/>
  <c r="AS1949" i="27" s="1"/>
  <c r="AQ2614" i="27"/>
  <c r="AR2614" i="27" s="1"/>
  <c r="AS2614" i="27" s="1"/>
  <c r="AQ2427" i="27"/>
  <c r="AR2427" i="27" s="1"/>
  <c r="AS2427" i="27" s="1"/>
  <c r="AQ418" i="27"/>
  <c r="AR418" i="27" s="1"/>
  <c r="AS418" i="27" s="1"/>
  <c r="AQ985" i="27"/>
  <c r="AR985" i="27" s="1"/>
  <c r="AS985" i="27" s="1"/>
  <c r="AQ3033" i="27"/>
  <c r="AR3033" i="27" s="1"/>
  <c r="AS3033" i="27" s="1"/>
  <c r="AQ2965" i="27"/>
  <c r="AR2965" i="27" s="1"/>
  <c r="AS2965" i="27" s="1"/>
  <c r="AQ2812" i="27"/>
  <c r="AR2812" i="27" s="1"/>
  <c r="AS2812" i="27" s="1"/>
  <c r="AQ1393" i="27"/>
  <c r="AR1393" i="27" s="1"/>
  <c r="AS1393" i="27" s="1"/>
  <c r="AQ2950" i="27"/>
  <c r="AR2950" i="27" s="1"/>
  <c r="AS2950" i="27" s="1"/>
  <c r="AQ2112" i="27"/>
  <c r="AR2112" i="27" s="1"/>
  <c r="AS2112" i="27" s="1"/>
  <c r="AQ721" i="27"/>
  <c r="AR721" i="27" s="1"/>
  <c r="AS721" i="27" s="1"/>
  <c r="AQ758" i="27"/>
  <c r="AR758" i="27" s="1"/>
  <c r="AS758" i="27" s="1"/>
  <c r="AQ1013" i="27"/>
  <c r="AR1013" i="27" s="1"/>
  <c r="AS1013" i="27" s="1"/>
  <c r="AQ2150" i="27"/>
  <c r="AR2150" i="27" s="1"/>
  <c r="AS2150" i="27" s="1"/>
  <c r="AQ2691" i="27"/>
  <c r="AR2691" i="27" s="1"/>
  <c r="AS2691" i="27" s="1"/>
  <c r="AQ907" i="27"/>
  <c r="AR907" i="27" s="1"/>
  <c r="AS907" i="27" s="1"/>
  <c r="AQ853" i="27"/>
  <c r="AR853" i="27" s="1"/>
  <c r="AS853" i="27" s="1"/>
  <c r="AQ844" i="27"/>
  <c r="AR844" i="27" s="1"/>
  <c r="AS844" i="27" s="1"/>
  <c r="AQ2623" i="27"/>
  <c r="AR2623" i="27" s="1"/>
  <c r="AS2623" i="27" s="1"/>
  <c r="AQ2398" i="27"/>
  <c r="AR2398" i="27" s="1"/>
  <c r="AS2398" i="27" s="1"/>
  <c r="AQ852" i="27"/>
  <c r="AR852" i="27" s="1"/>
  <c r="AS852" i="27" s="1"/>
  <c r="AQ405" i="27"/>
  <c r="AR405" i="27" s="1"/>
  <c r="AS405" i="27" s="1"/>
  <c r="AQ2247" i="27"/>
  <c r="AR2247" i="27" s="1"/>
  <c r="AS2247" i="27" s="1"/>
  <c r="AQ752" i="27"/>
  <c r="AR752" i="27" s="1"/>
  <c r="AS752" i="27" s="1"/>
  <c r="AQ2782" i="27"/>
  <c r="AR2782" i="27" s="1"/>
  <c r="AS2782" i="27" s="1"/>
  <c r="AQ323" i="27"/>
  <c r="AR323" i="27" s="1"/>
  <c r="AS323" i="27" s="1"/>
  <c r="AQ1372" i="27"/>
  <c r="AR1372" i="27" s="1"/>
  <c r="AS1372" i="27" s="1"/>
  <c r="AQ3201" i="27"/>
  <c r="AR3201" i="27" s="1"/>
  <c r="AS3201" i="27" s="1"/>
  <c r="AQ655" i="27"/>
  <c r="AR655" i="27" s="1"/>
  <c r="AS655" i="27" s="1"/>
  <c r="AQ2159" i="27"/>
  <c r="AR2159" i="27" s="1"/>
  <c r="AS2159" i="27" s="1"/>
  <c r="AQ2334" i="27"/>
  <c r="AR2334" i="27" s="1"/>
  <c r="AS2334" i="27" s="1"/>
  <c r="AQ1261" i="27"/>
  <c r="AR1261" i="27" s="1"/>
  <c r="AS1261" i="27" s="1"/>
  <c r="AQ920" i="27"/>
  <c r="AR920" i="27" s="1"/>
  <c r="AS920" i="27" s="1"/>
  <c r="AQ3184" i="27"/>
  <c r="AR3184" i="27" s="1"/>
  <c r="AS3184" i="27" s="1"/>
  <c r="AQ2117" i="27"/>
  <c r="AR2117" i="27" s="1"/>
  <c r="AS2117" i="27" s="1"/>
  <c r="AQ519" i="27"/>
  <c r="AR519" i="27" s="1"/>
  <c r="AS519" i="27" s="1"/>
  <c r="AQ2310" i="27"/>
  <c r="AR2310" i="27" s="1"/>
  <c r="AS2310" i="27" s="1"/>
  <c r="AQ2127" i="27"/>
  <c r="AR2127" i="27" s="1"/>
  <c r="AS2127" i="27" s="1"/>
  <c r="AQ681" i="27"/>
  <c r="AR681" i="27" s="1"/>
  <c r="AS681" i="27" s="1"/>
  <c r="AQ926" i="27"/>
  <c r="AR926" i="27" s="1"/>
  <c r="AS926" i="27" s="1"/>
  <c r="AQ1997" i="27"/>
  <c r="AR1997" i="27" s="1"/>
  <c r="AS1997" i="27" s="1"/>
  <c r="AQ2852" i="27"/>
  <c r="AR2852" i="27" s="1"/>
  <c r="AS2852" i="27" s="1"/>
  <c r="AQ1170" i="27"/>
  <c r="AR1170" i="27" s="1"/>
  <c r="AS1170" i="27" s="1"/>
  <c r="AQ2590" i="27"/>
  <c r="AR2590" i="27" s="1"/>
  <c r="AS2590" i="27" s="1"/>
  <c r="AQ2414" i="27"/>
  <c r="AR2414" i="27" s="1"/>
  <c r="AS2414" i="27" s="1"/>
  <c r="AQ2813" i="27"/>
  <c r="AR2813" i="27" s="1"/>
  <c r="AS2813" i="27" s="1"/>
  <c r="AQ1239" i="27"/>
  <c r="AR1239" i="27" s="1"/>
  <c r="AS1239" i="27" s="1"/>
  <c r="AQ2883" i="27"/>
  <c r="AR2883" i="27" s="1"/>
  <c r="AS2883" i="27" s="1"/>
  <c r="AQ675" i="27"/>
  <c r="AR675" i="27" s="1"/>
  <c r="AS675" i="27" s="1"/>
  <c r="AQ1154" i="27"/>
  <c r="AR1154" i="27" s="1"/>
  <c r="AS1154" i="27" s="1"/>
  <c r="AQ903" i="27"/>
  <c r="AR903" i="27" s="1"/>
  <c r="AS903" i="27" s="1"/>
  <c r="AQ2187" i="27"/>
  <c r="AR2187" i="27" s="1"/>
  <c r="AS2187" i="27" s="1"/>
  <c r="AQ1439" i="27"/>
  <c r="AR1439" i="27" s="1"/>
  <c r="AS1439" i="27" s="1"/>
  <c r="AQ1104" i="27"/>
  <c r="AR1104" i="27" s="1"/>
  <c r="AS1104" i="27" s="1"/>
  <c r="AQ2146" i="27"/>
  <c r="AR2146" i="27" s="1"/>
  <c r="AS2146" i="27" s="1"/>
  <c r="AQ2316" i="27"/>
  <c r="AR2316" i="27" s="1"/>
  <c r="AS2316" i="27" s="1"/>
  <c r="AQ2674" i="27"/>
  <c r="AR2674" i="27" s="1"/>
  <c r="AS2674" i="27" s="1"/>
  <c r="AQ353" i="27"/>
  <c r="AR353" i="27" s="1"/>
  <c r="AS353" i="27" s="1"/>
  <c r="AQ668" i="27"/>
  <c r="AR668" i="27" s="1"/>
  <c r="AS668" i="27" s="1"/>
  <c r="AQ890" i="27"/>
  <c r="AR890" i="27" s="1"/>
  <c r="AS890" i="27" s="1"/>
  <c r="AQ378" i="27"/>
  <c r="AR378" i="27" s="1"/>
  <c r="AS378" i="27" s="1"/>
  <c r="AQ1591" i="27"/>
  <c r="AR1591" i="27" s="1"/>
  <c r="AS1591" i="27" s="1"/>
  <c r="AQ372" i="27"/>
  <c r="AR372" i="27" s="1"/>
  <c r="AS372" i="27" s="1"/>
  <c r="AQ1123" i="27"/>
  <c r="AR1123" i="27" s="1"/>
  <c r="AS1123" i="27" s="1"/>
  <c r="AQ462" i="27"/>
  <c r="AR462" i="27" s="1"/>
  <c r="AS462" i="27" s="1"/>
  <c r="AQ1827" i="27"/>
  <c r="AR1827" i="27" s="1"/>
  <c r="AS1827" i="27" s="1"/>
  <c r="AQ1097" i="27"/>
  <c r="AR1097" i="27" s="1"/>
  <c r="AS1097" i="27" s="1"/>
  <c r="AQ609" i="27"/>
  <c r="AR609" i="27" s="1"/>
  <c r="AS609" i="27" s="1"/>
  <c r="AQ863" i="27"/>
  <c r="AR863" i="27" s="1"/>
  <c r="AS863" i="27" s="1"/>
  <c r="AQ2361" i="27"/>
  <c r="AR2361" i="27" s="1"/>
  <c r="AS2361" i="27" s="1"/>
  <c r="AQ1532" i="27"/>
  <c r="AR1532" i="27" s="1"/>
  <c r="AS1532" i="27" s="1"/>
  <c r="AQ2796" i="27"/>
  <c r="AR2796" i="27" s="1"/>
  <c r="AS2796" i="27" s="1"/>
  <c r="AQ1293" i="27"/>
  <c r="AR1293" i="27" s="1"/>
  <c r="AS1293" i="27" s="1"/>
  <c r="AQ1510" i="27"/>
  <c r="AR1510" i="27" s="1"/>
  <c r="AS1510" i="27" s="1"/>
  <c r="AQ2535" i="27"/>
  <c r="AR2535" i="27" s="1"/>
  <c r="AS2535" i="27" s="1"/>
  <c r="AQ1831" i="27"/>
  <c r="AR1831" i="27" s="1"/>
  <c r="AS1831" i="27" s="1"/>
  <c r="AQ1885" i="27"/>
  <c r="AR1885" i="27" s="1"/>
  <c r="AS1885" i="27" s="1"/>
  <c r="AQ1808" i="27"/>
  <c r="AR1808" i="27" s="1"/>
  <c r="AS1808" i="27" s="1"/>
  <c r="AQ2416" i="27"/>
  <c r="AR2416" i="27" s="1"/>
  <c r="AS2416" i="27" s="1"/>
  <c r="AQ1852" i="27"/>
  <c r="AR1852" i="27" s="1"/>
  <c r="AS1852" i="27" s="1"/>
  <c r="AQ819" i="27"/>
  <c r="AR819" i="27" s="1"/>
  <c r="AS819" i="27" s="1"/>
  <c r="AQ2546" i="27"/>
  <c r="AR2546" i="27" s="1"/>
  <c r="AS2546" i="27" s="1"/>
  <c r="AQ2984" i="27"/>
  <c r="AR2984" i="27" s="1"/>
  <c r="AS2984" i="27" s="1"/>
  <c r="AQ2777" i="27"/>
  <c r="AR2777" i="27" s="1"/>
  <c r="AS2777" i="27" s="1"/>
  <c r="AQ834" i="27"/>
  <c r="AR834" i="27" s="1"/>
  <c r="AS834" i="27" s="1"/>
  <c r="AQ696" i="27"/>
  <c r="AR696" i="27" s="1"/>
  <c r="AS696" i="27" s="1"/>
  <c r="AQ1462" i="27"/>
  <c r="AR1462" i="27" s="1"/>
  <c r="AS1462" i="27" s="1"/>
  <c r="AQ219" i="27"/>
  <c r="AR219" i="27" s="1"/>
  <c r="AS219" i="27" s="1"/>
  <c r="AQ594" i="27"/>
  <c r="AR594" i="27" s="1"/>
  <c r="AS594" i="27" s="1"/>
  <c r="AQ1081" i="27"/>
  <c r="AR1081" i="27" s="1"/>
  <c r="AS1081" i="27" s="1"/>
  <c r="AQ1107" i="27"/>
  <c r="AR1107" i="27" s="1"/>
  <c r="AS1107" i="27" s="1"/>
  <c r="AQ1282" i="27"/>
  <c r="AR1282" i="27" s="1"/>
  <c r="AS1282" i="27" s="1"/>
  <c r="AQ1965" i="27"/>
  <c r="AR1965" i="27" s="1"/>
  <c r="AS1965" i="27" s="1"/>
  <c r="AQ409" i="27"/>
  <c r="AR409" i="27" s="1"/>
  <c r="AS409" i="27" s="1"/>
  <c r="AQ1444" i="27"/>
  <c r="AR1444" i="27" s="1"/>
  <c r="AS1444" i="27" s="1"/>
  <c r="AQ591" i="27"/>
  <c r="AR591" i="27" s="1"/>
  <c r="AS591" i="27" s="1"/>
  <c r="AQ389" i="27"/>
  <c r="AR389" i="27" s="1"/>
  <c r="AS389" i="27" s="1"/>
  <c r="AQ1527" i="27"/>
  <c r="AR1527" i="27" s="1"/>
  <c r="AS1527" i="27" s="1"/>
  <c r="AQ1192" i="27"/>
  <c r="AR1192" i="27" s="1"/>
  <c r="AS1192" i="27" s="1"/>
  <c r="AQ318" i="27"/>
  <c r="AR318" i="27" s="1"/>
  <c r="AS318" i="27" s="1"/>
  <c r="AQ1048" i="27"/>
  <c r="AR1048" i="27" s="1"/>
  <c r="AS1048" i="27" s="1"/>
  <c r="AQ575" i="27"/>
  <c r="AR575" i="27" s="1"/>
  <c r="AS575" i="27" s="1"/>
  <c r="AQ827" i="27"/>
  <c r="AR827" i="27" s="1"/>
  <c r="AS827" i="27" s="1"/>
  <c r="AQ1272" i="27"/>
  <c r="AR1272" i="27" s="1"/>
  <c r="AS1272" i="27" s="1"/>
  <c r="AQ1409" i="27"/>
  <c r="AR1409" i="27" s="1"/>
  <c r="AS1409" i="27" s="1"/>
  <c r="AQ2009" i="27"/>
  <c r="AR2009" i="27" s="1"/>
  <c r="AS2009" i="27" s="1"/>
  <c r="AQ2736" i="27"/>
  <c r="AR2736" i="27" s="1"/>
  <c r="AS2736" i="27" s="1"/>
  <c r="AQ803" i="27"/>
  <c r="AR803" i="27" s="1"/>
  <c r="AS803" i="27" s="1"/>
  <c r="AQ702" i="27"/>
  <c r="AR702" i="27" s="1"/>
  <c r="AS702" i="27" s="1"/>
  <c r="AQ507" i="27"/>
  <c r="AR507" i="27" s="1"/>
  <c r="AS507" i="27" s="1"/>
  <c r="AQ2208" i="27"/>
  <c r="AR2208" i="27" s="1"/>
  <c r="AS2208" i="27" s="1"/>
  <c r="AQ2286" i="27"/>
  <c r="AR2286" i="27" s="1"/>
  <c r="AS2286" i="27" s="1"/>
  <c r="AQ2751" i="27"/>
  <c r="AR2751" i="27" s="1"/>
  <c r="AS2751" i="27" s="1"/>
  <c r="AQ2604" i="27"/>
  <c r="AR2604" i="27" s="1"/>
  <c r="AS2604" i="27" s="1"/>
  <c r="AQ1497" i="27"/>
  <c r="AR1497" i="27" s="1"/>
  <c r="AS1497" i="27" s="1"/>
  <c r="AQ1870" i="27"/>
  <c r="AR1870" i="27" s="1"/>
  <c r="AS1870" i="27" s="1"/>
  <c r="AQ2766" i="27"/>
  <c r="AR2766" i="27" s="1"/>
  <c r="AS2766" i="27" s="1"/>
  <c r="AQ363" i="27"/>
  <c r="AR363" i="27" s="1"/>
  <c r="AS363" i="27" s="1"/>
  <c r="AQ1252" i="27"/>
  <c r="AR1252" i="27" s="1"/>
  <c r="AS1252" i="27" s="1"/>
  <c r="AQ757" i="27"/>
  <c r="AR757" i="27" s="1"/>
  <c r="AS757" i="27" s="1"/>
  <c r="AQ531" i="27"/>
  <c r="AR531" i="27" s="1"/>
  <c r="AS531" i="27" s="1"/>
  <c r="AQ3292" i="27"/>
  <c r="AR3292" i="27" s="1"/>
  <c r="AS3292" i="27" s="1"/>
  <c r="AQ1182" i="27"/>
  <c r="AR1182" i="27" s="1"/>
  <c r="AS1182" i="27" s="1"/>
  <c r="AQ2300" i="27"/>
  <c r="AR2300" i="27" s="1"/>
  <c r="AS2300" i="27" s="1"/>
  <c r="AQ1206" i="27"/>
  <c r="AR1206" i="27" s="1"/>
  <c r="AS1206" i="27" s="1"/>
  <c r="AQ1782" i="27"/>
  <c r="AR1782" i="27" s="1"/>
  <c r="AS1782" i="27" s="1"/>
  <c r="AQ1838" i="27"/>
  <c r="AR1838" i="27" s="1"/>
  <c r="AS1838" i="27" s="1"/>
  <c r="AQ476" i="27"/>
  <c r="AR476" i="27" s="1"/>
  <c r="AS476" i="27" s="1"/>
  <c r="AQ1098" i="27"/>
  <c r="AR1098" i="27" s="1"/>
  <c r="AS1098" i="27" s="1"/>
  <c r="AQ600" i="27"/>
  <c r="AR600" i="27" s="1"/>
  <c r="AS600" i="27" s="1"/>
  <c r="AQ71" i="27"/>
  <c r="AR71" i="27" s="1"/>
  <c r="AS71" i="27" s="1"/>
  <c r="AQ2706" i="27"/>
  <c r="AR2706" i="27" s="1"/>
  <c r="AS2706" i="27" s="1"/>
  <c r="AQ1290" i="27"/>
  <c r="AR1290" i="27" s="1"/>
  <c r="AS1290" i="27" s="1"/>
  <c r="AQ751" i="27"/>
  <c r="AR751" i="27" s="1"/>
  <c r="AS751" i="27" s="1"/>
  <c r="AQ497" i="27"/>
  <c r="AR497" i="27" s="1"/>
  <c r="AS497" i="27" s="1"/>
  <c r="AQ957" i="27"/>
  <c r="AR957" i="27" s="1"/>
  <c r="AS957" i="27" s="1"/>
  <c r="AQ1322" i="27"/>
  <c r="AR1322" i="27" s="1"/>
  <c r="AS1322" i="27" s="1"/>
  <c r="AQ1494" i="27"/>
  <c r="AR1494" i="27" s="1"/>
  <c r="AS1494" i="27" s="1"/>
  <c r="AQ60" i="27"/>
  <c r="AR60" i="27" s="1"/>
  <c r="AS60" i="27" s="1"/>
  <c r="AQ3038" i="27"/>
  <c r="AR3038" i="27" s="1"/>
  <c r="AS3038" i="27" s="1"/>
  <c r="AQ1611" i="27"/>
  <c r="AR1611" i="27" s="1"/>
  <c r="AS1611" i="27" s="1"/>
  <c r="AQ1424" i="27"/>
  <c r="AR1424" i="27" s="1"/>
  <c r="AS1424" i="27" s="1"/>
  <c r="AQ3032" i="27"/>
  <c r="AR3032" i="27" s="1"/>
  <c r="AS3032" i="27" s="1"/>
  <c r="AQ934" i="27"/>
  <c r="AR934" i="27" s="1"/>
  <c r="AS934" i="27" s="1"/>
  <c r="AQ465" i="27"/>
  <c r="AR465" i="27" s="1"/>
  <c r="AS465" i="27" s="1"/>
  <c r="AQ2098" i="27"/>
  <c r="AR2098" i="27" s="1"/>
  <c r="AS2098" i="27" s="1"/>
  <c r="AQ2938" i="27"/>
  <c r="AR2938" i="27" s="1"/>
  <c r="AS2938" i="27" s="1"/>
  <c r="AQ3045" i="27"/>
  <c r="AR3045" i="27" s="1"/>
  <c r="AS3045" i="27" s="1"/>
  <c r="AQ2460" i="27"/>
  <c r="AR2460" i="27" s="1"/>
  <c r="AS2460" i="27" s="1"/>
  <c r="AQ1324" i="27"/>
  <c r="AR1324" i="27" s="1"/>
  <c r="AS1324" i="27" s="1"/>
  <c r="AQ763" i="27"/>
  <c r="AR763" i="27" s="1"/>
  <c r="AS763" i="27" s="1"/>
  <c r="AQ3066" i="27"/>
  <c r="AR3066" i="27" s="1"/>
  <c r="AS3066" i="27" s="1"/>
  <c r="AQ881" i="27"/>
  <c r="AR881" i="27" s="1"/>
  <c r="AS881" i="27" s="1"/>
  <c r="AQ2422" i="27"/>
  <c r="AR2422" i="27" s="1"/>
  <c r="AS2422" i="27" s="1"/>
  <c r="AQ706" i="27"/>
  <c r="AR706" i="27" s="1"/>
  <c r="AS706" i="27" s="1"/>
  <c r="AQ1957" i="27"/>
  <c r="AR1957" i="27" s="1"/>
  <c r="AS1957" i="27" s="1"/>
  <c r="AQ711" i="27"/>
  <c r="AR711" i="27" s="1"/>
  <c r="AS711" i="27" s="1"/>
  <c r="AQ2719" i="27"/>
  <c r="AR2719" i="27" s="1"/>
  <c r="AS2719" i="27" s="1"/>
  <c r="AQ2896" i="27"/>
  <c r="AR2896" i="27" s="1"/>
  <c r="AS2896" i="27" s="1"/>
  <c r="AQ2388" i="27"/>
  <c r="AR2388" i="27" s="1"/>
  <c r="AS2388" i="27" s="1"/>
  <c r="AQ307" i="27"/>
  <c r="AR307" i="27" s="1"/>
  <c r="AS307" i="27" s="1"/>
  <c r="AQ2015" i="27"/>
  <c r="AR2015" i="27" s="1"/>
  <c r="AS2015" i="27" s="1"/>
  <c r="AQ1469" i="27"/>
  <c r="AR1469" i="27" s="1"/>
  <c r="AS1469" i="27" s="1"/>
  <c r="AQ1973" i="27"/>
  <c r="AR1973" i="27" s="1"/>
  <c r="AS1973" i="27" s="1"/>
  <c r="AQ1320" i="27"/>
  <c r="AR1320" i="27" s="1"/>
  <c r="AS1320" i="27" s="1"/>
  <c r="AQ2492" i="27"/>
  <c r="AR2492" i="27" s="1"/>
  <c r="AS2492" i="27" s="1"/>
  <c r="AQ1411" i="27"/>
  <c r="AR1411" i="27" s="1"/>
  <c r="AS1411" i="27" s="1"/>
  <c r="AQ1247" i="27"/>
  <c r="AR1247" i="27" s="1"/>
  <c r="AS1247" i="27" s="1"/>
  <c r="AQ388" i="27"/>
  <c r="AR388" i="27" s="1"/>
  <c r="AS388" i="27" s="1"/>
  <c r="AQ1421" i="27"/>
  <c r="AR1421" i="27" s="1"/>
  <c r="AS1421" i="27" s="1"/>
  <c r="AQ1521" i="27"/>
  <c r="AR1521" i="27" s="1"/>
  <c r="AS1521" i="27" s="1"/>
  <c r="AQ639" i="27"/>
  <c r="AR639" i="27" s="1"/>
  <c r="AS639" i="27" s="1"/>
  <c r="AQ1890" i="27"/>
  <c r="AR1890" i="27" s="1"/>
  <c r="AS1890" i="27" s="1"/>
  <c r="AQ3072" i="27"/>
  <c r="AR3072" i="27" s="1"/>
  <c r="AS3072" i="27" s="1"/>
  <c r="AQ1764" i="27"/>
  <c r="AR1764" i="27" s="1"/>
  <c r="AS1764" i="27" s="1"/>
  <c r="AQ3171" i="27"/>
  <c r="AR3171" i="27" s="1"/>
  <c r="AS3171" i="27" s="1"/>
  <c r="AQ2721" i="27"/>
  <c r="AR2721" i="27" s="1"/>
  <c r="AS2721" i="27" s="1"/>
  <c r="AQ2857" i="27"/>
  <c r="AR2857" i="27" s="1"/>
  <c r="AS2857" i="27" s="1"/>
  <c r="AQ643" i="27"/>
  <c r="AR643" i="27" s="1"/>
  <c r="AS643" i="27" s="1"/>
  <c r="AQ3286" i="27"/>
  <c r="AR3286" i="27" s="1"/>
  <c r="AS3286" i="27" s="1"/>
  <c r="AQ2832" i="27"/>
  <c r="AR2832" i="27" s="1"/>
  <c r="AS2832" i="27" s="1"/>
  <c r="AQ1383" i="27"/>
  <c r="AR1383" i="27" s="1"/>
  <c r="AS1383" i="27" s="1"/>
  <c r="AQ2183" i="27"/>
  <c r="AR2183" i="27" s="1"/>
  <c r="AS2183" i="27" s="1"/>
  <c r="AQ1067" i="27"/>
  <c r="AR1067" i="27" s="1"/>
  <c r="AS1067" i="27" s="1"/>
  <c r="AQ2789" i="27"/>
  <c r="AR2789" i="27" s="1"/>
  <c r="AS2789" i="27" s="1"/>
  <c r="AQ1183" i="27"/>
  <c r="AR1183" i="27" s="1"/>
  <c r="AS1183" i="27" s="1"/>
  <c r="AQ2694" i="27"/>
  <c r="AR2694" i="27" s="1"/>
  <c r="AS2694" i="27" s="1"/>
  <c r="AQ2540" i="27"/>
  <c r="AR2540" i="27" s="1"/>
  <c r="AS2540" i="27" s="1"/>
  <c r="B78" i="37"/>
  <c r="Q78" i="37" s="1"/>
  <c r="AQ2998" i="27"/>
  <c r="AR2998" i="27" s="1"/>
  <c r="AS2998" i="27" s="1"/>
  <c r="Y79" i="37" l="1"/>
  <c r="D79" i="37"/>
  <c r="G79" i="37"/>
  <c r="O79" i="37"/>
  <c r="W79" i="37"/>
  <c r="N79" i="37"/>
  <c r="M79" i="37" s="1"/>
  <c r="F79" i="37"/>
  <c r="E79" i="37"/>
  <c r="P79" i="37"/>
  <c r="X79" i="37"/>
  <c r="Q79" i="37"/>
  <c r="L79" i="37"/>
  <c r="K79" i="37" s="1"/>
  <c r="U78" i="37"/>
  <c r="S78" i="37"/>
  <c r="AB78" i="37"/>
  <c r="AA78" i="37" s="1"/>
  <c r="T78" i="37"/>
  <c r="W78" i="37"/>
  <c r="F78" i="37"/>
  <c r="Y78" i="37"/>
  <c r="P78" i="37"/>
  <c r="X78" i="37"/>
  <c r="D78" i="37"/>
  <c r="G78" i="37"/>
  <c r="O78" i="37"/>
  <c r="E78" i="37"/>
  <c r="N78" i="37"/>
  <c r="M78" i="37" s="1"/>
  <c r="L78" i="37"/>
  <c r="K78" i="37" s="1"/>
  <c r="AD79" i="37" l="1"/>
  <c r="I79" i="37" s="1"/>
  <c r="AD78" i="37"/>
  <c r="I78" i="37" s="1"/>
  <c r="S79" i="37"/>
  <c r="U79" i="37"/>
  <c r="T79" i="37"/>
  <c r="AB79" i="37"/>
  <c r="AA79" i="37" s="1"/>
</calcChain>
</file>

<file path=xl/sharedStrings.xml><?xml version="1.0" encoding="utf-8"?>
<sst xmlns="http://schemas.openxmlformats.org/spreadsheetml/2006/main" count="54750" uniqueCount="9645">
  <si>
    <t>400050155F</t>
  </si>
  <si>
    <t>400041201UA</t>
  </si>
  <si>
    <t>400048226C</t>
  </si>
  <si>
    <t>400047477E</t>
  </si>
  <si>
    <t>400053883B</t>
  </si>
  <si>
    <t>400039622B</t>
  </si>
  <si>
    <t>Added line to track Feb release without effort</t>
  </si>
  <si>
    <t>1/24 Project still in estimating in Prompt</t>
  </si>
  <si>
    <t>1/24 Project cancelled in prompt</t>
  </si>
  <si>
    <t>K</t>
  </si>
  <si>
    <t>400041737K</t>
  </si>
  <si>
    <t xml:space="preserve">Application Enablement, B2B Provider Portal, B2C Provider Portal, CareOne, Claims QA, Claims QA - EDI, Consumer Database (CDB), COSMOS, Enterprise Information Management, Enterprise Letter Generation System, EPMO, ICUE Core, NDB, Oracle Universal Content </t>
  </si>
  <si>
    <t>NDB 2013 One Shot Requests</t>
  </si>
  <si>
    <t>Clinical Integration Acceleration</t>
  </si>
  <si>
    <t>Q2 MME/BH Auth Enhancements</t>
  </si>
  <si>
    <t>Deborha Happ</t>
  </si>
  <si>
    <t>Arizona Acute &amp; CRS RFP</t>
  </si>
  <si>
    <t>Amy Robare</t>
  </si>
  <si>
    <t>Claims QA, Computer Services, COSMOS, EPMO, NDB, UHC C and S Business Requirements, UHC C and S Diamond-Diamond Interfaces, UHC C and S National Encounters (NEMIS)</t>
  </si>
  <si>
    <t>NDB support for Texas ERS Eligibility File</t>
  </si>
  <si>
    <t>Mark Gale</t>
  </si>
  <si>
    <t>BH-Customer Reporting, BH-Data Warehouses, BH-Elig/Accum, BH-Facets - UBH, BH-Linx, BH-PBH Facets, BH-Shared Components, Consumer Database (CDB), EDSS - Enterprise Data Storage System, FSDB - Financial Summary Database (5087), Integrated Service Experienc</t>
  </si>
  <si>
    <t>Actionable Intelligence - eVI, Application Enablement, Claims QA, Computer Services, Consumer Account Management System (CAMS), Consumer Database (CDB), Enterprise Application Architecture, Enterprise Information Management, Enterprise Systems Planning Bu</t>
  </si>
  <si>
    <t>Q4 2013 Risk Carve Out</t>
  </si>
  <si>
    <t>DBP</t>
  </si>
  <si>
    <t>Application Enablement, B2B Provider Portal, B2C Provider Portal, CareOne, CES, Consumer Database (CDB), COSMOS, Cross Application Testing, Data Management, EDSS - Enterprise Data Storage System, Enterprise Application Architecture, Enterprise Architectur</t>
  </si>
  <si>
    <t>Application Enablement, CES, Consumer Database (CDB), COSMOS, Cross Application Testing, Data Management, EDSS - Enterprise Data Storage System, Foundation Frameworks, IBAAG - IT (System Changes), IDRS, IDT - Intelligent Desktop, Integrated Service Experi</t>
  </si>
  <si>
    <t>B2B Provider Portal, BH-EDI/Data Extracts, BH-Facets - UBH, BH-Liveandworkwell.com, BH-Mgmt and Planning, BH-Public Sector Portals, BH-ubhonline.com, Claims Highway, Claims QA, Consumer Database (CDB), COSMOS, EDSS - Enterprise Data Storage System, Enterp</t>
  </si>
  <si>
    <t xml:space="preserve">BH-Facets - UBH, BH-Linx, BH-Mgmt and Planning, CES, Claims Highway, COMET Desktop.NET, Consumer Database (CDB), Cross Application Testing, Data Delivery System (DDS), EDSS - Enterprise Data Storage System, Enterprise Information Management, EPMO, Health </t>
  </si>
  <si>
    <t xml:space="preserve">Application Enablement, B2B Provider Portal, BH-Agate, BH-Customer Reporting, BH-Data Warehouses, BH-Eagle, BH-EDI/Data Extracts, BH-Elig/Accum, BH-Elig/Benefits, BH-Facets - UBH, BH-HP Compare, BH-Linx, BH-Liveandworkwell.com, BH-PBH Facets, BH-Portals, </t>
  </si>
  <si>
    <t xml:space="preserve">Kansas BH Claims Processing on CSP &amp; Careone </t>
  </si>
  <si>
    <t>Sudheer Ponnala</t>
  </si>
  <si>
    <t xml:space="preserve">Bror Hultgren </t>
  </si>
  <si>
    <t>Common Medicaid Platform Analysis</t>
  </si>
  <si>
    <t>01-71355-000</t>
  </si>
  <si>
    <t xml:space="preserve">9/21/12 Per QA team work was completed before added to gatekeeper, therefore we are marking this complete.  </t>
  </si>
  <si>
    <t>9/21 NDB unimpacted on project</t>
  </si>
  <si>
    <t xml:space="preserve">9/21 CC 1  moved to 4-54944
9/17 This will be moving to  SPRF 54944
CC1 On Shore support only.  Still in estimating in prompt. </t>
  </si>
  <si>
    <t>400054730A</t>
  </si>
  <si>
    <t>UHSS-GEHA.PCIP</t>
  </si>
  <si>
    <t>Claims QA, Claims QA - EDI, EPMO, NDB, ppoONE, UFE, UHCTS-UMR EDI Services, UHCTS-UMR Portal, UHCTS-UMR-WAU(Wausau)</t>
  </si>
  <si>
    <t>Medica Zostavax System Enhancement</t>
  </si>
  <si>
    <t>Peg Ohme</t>
  </si>
  <si>
    <t>Upd. "Find a Doc" Directories for NCQA Compliance</t>
  </si>
  <si>
    <t>Kimberly S. Johnston</t>
  </si>
  <si>
    <t>Sys.Operating Control-Facets CSP Short Term Sol.</t>
  </si>
  <si>
    <t>Claim Life Tracking (CLT) Dashboard, Facets Alpha, NDB</t>
  </si>
  <si>
    <t>B2C Provider Portal, Facets Alpha, NDB, OH Program Management, Payables, UHC C and S Business Requirements</t>
  </si>
  <si>
    <t>10-71517-000</t>
  </si>
  <si>
    <t>11-71062-000</t>
  </si>
  <si>
    <t>Greg Mills</t>
  </si>
  <si>
    <t>CC7</t>
  </si>
  <si>
    <t>CC39</t>
  </si>
  <si>
    <t>400041452H</t>
  </si>
  <si>
    <t xml:space="preserve">This is testing and architecture.  Project not BGE approved in prompt.  </t>
  </si>
  <si>
    <t>9/27 NDB unimpacted in prompt</t>
  </si>
  <si>
    <t>9/27/12 Moved back to Q1.  
2/17/12 Moved from Q2 to Q3</t>
  </si>
  <si>
    <t>9/27 Project now BGE approved in prompt.  At this point it is most likely Q1, but it may be moved to Q2.    
Project still in estimating in prompt - will use off shore support</t>
  </si>
  <si>
    <t>At this point it is most likely Q1, but this may be moved to Q2.  Project now BGE approved in prompt.      
Project still in estimating in prompt - will use off shore support.</t>
  </si>
  <si>
    <t>J. Boulus</t>
  </si>
  <si>
    <t xml:space="preserve">10/4 CC now scheduled in prompt. 
9/21  CC6- This  was opened  to account for  additional analysis for 4-53883.  CC  in estimating in prompt.  </t>
  </si>
  <si>
    <t>400044588B</t>
  </si>
  <si>
    <t>400053723F</t>
  </si>
  <si>
    <t>400053058B</t>
  </si>
  <si>
    <t xml:space="preserve">10/4 NDB unimpacted in prompt. </t>
  </si>
  <si>
    <t>On hold</t>
  </si>
  <si>
    <t>CareOne, Claims QA, Enterprise Systems Planning Business Architecture, EPMO, Facets Alpha, NDB, UHC C and S BI (Business Intelligence), UHC C and S Business Requirements, UHC C and S Diamond-Diamond Interfaces, UHC C and S National Encounters (NEMIS), UHC</t>
  </si>
  <si>
    <t>Claim 2.0 End-to-end Proof-of-Concept (Phase 0)</t>
  </si>
  <si>
    <t>ACIS Suite, Claims QA, Computer Services, Consumer Account Management System (CAMS), EPMO, ETQS - Enterprise Technology Quality Services, NDB, Payment Engine, Planview UHG-IT, TOPS</t>
  </si>
  <si>
    <t>Cecilia Harbison</t>
  </si>
  <si>
    <t>PLM EEMS 2013 - Full AD effort</t>
  </si>
  <si>
    <t>CareOne/ICUE User migration (NM, MME)</t>
  </si>
  <si>
    <t>HCA, Inc. GSP Custom Network Delsys Value to PO</t>
  </si>
  <si>
    <t>Consumer Database (CDB), Enterprise Application Architecture, Enterprise Systems Planning Business Architecture, EPMO, ICUE Core, NDB, OHCS - Data Management, OHCS - eVisor, OHCS - NextGen and CRM, UHC C and S Business Requirements</t>
  </si>
  <si>
    <t>B2B Provider Portal, B2C Provider Portal, BH-Facets - UBH, BH-Shared Components, BH-ubhonline.com, CareOne, Claims QA - EDI, Claims QA OHBS, Consumer Database (CDB), EPMO, Facets Alpha, ICUE Core, NDB, UHC C and S Business Requirements</t>
  </si>
  <si>
    <t xml:space="preserve">NDB Test Enviroment </t>
  </si>
  <si>
    <t>B2B Provider Portal, EPMO, Ingenix EDI Solutions, NDB, UFE, UHC C and S Business Requirements, UHC C and S Diamond-Diamond Interfaces, UHC C and S IT PM, UHC C and S National Encounters (NEMIS), UHC C and S Revenue Accuracy (RAM)</t>
  </si>
  <si>
    <t>Provider Data for Massachusetts SCO Encounter Repo</t>
  </si>
  <si>
    <t>Community &amp; State</t>
  </si>
  <si>
    <t>Application Enablement, Audit Recovery Operations (ARO) Datamart, B2B Provider Portal, B2C Provider Portal, BH-Clinical Applications, BH-Data Warehouses, BH-Elig/Benefits, BH-Facets - UBH, BH-HP Compare, BH-Life Solutions, BH-Linx, BH-Liveandworkwell.com,</t>
  </si>
  <si>
    <t>Maryland CRISP</t>
  </si>
  <si>
    <t>UHGIT Commercialization</t>
  </si>
  <si>
    <t>Marty Toomb</t>
  </si>
  <si>
    <t>03-99002-000</t>
  </si>
  <si>
    <t>400057918A</t>
  </si>
  <si>
    <t>400057740A</t>
  </si>
  <si>
    <t>400057929A</t>
  </si>
  <si>
    <t>400055050A</t>
  </si>
  <si>
    <t>400057811A</t>
  </si>
  <si>
    <t>iCES Clearinghouse November 2011 Maint.Release</t>
  </si>
  <si>
    <t>UHIS - LabCorp Fee Schedule</t>
  </si>
  <si>
    <t>Provider File Transfer to Firstsource and Tricom</t>
  </si>
  <si>
    <t>UB92 Modifier Recognition</t>
  </si>
  <si>
    <t>EPDE UHCRV remaining enhancements</t>
  </si>
  <si>
    <t>Computer Services, Enterprise Application Architecture, Enterprise Information Management, EPMO, Facets Alpha, NDB, Provider Network Analysis UAT &amp; Tools</t>
  </si>
  <si>
    <t>ACIS Suite, BPID, Claims Highway, Consumer Database (CDB), COSMOS, Data Delivery System (DDS), Enterprise Information Management, EPMO, NDB, PHS - NICE, PRIME, Provider Network Analysis UAT &amp; Tools, TOPS, UFE, UHCTS-OXHP(Oxford), Unified Data Warehouse (U</t>
  </si>
  <si>
    <t>EPMO, Facets Alpha, NDB, Provider Network Analysis UAT &amp; Tools</t>
  </si>
  <si>
    <t xml:space="preserve">Application Enablement, BPID, Consumer Database (CDB), COSMOS, Cross Application Testing, Data Delivery System (DDS), Enterprise Information Management, EPMO, Facets Alpha, NDB, PHS - NICE, Provider Network Analysis UAT &amp; Tools, TOPS, UHCTS-OXHP(Oxford), </t>
  </si>
  <si>
    <t>B2B Provider Portal, CCS-CCF, Claims Highway, Consumer Database (CDB), Electronic Eligibility Management System (EEMS), Enterprise Application Architecture, Enterprise Systems Planning Business Architecture, Enterprise Technical Practices PMO, EPMO, HIPAA</t>
  </si>
  <si>
    <t>Claims Highway, Consumer Database (CDB), NDB, Provider Network Analysis UAT &amp; Tools, UFE</t>
  </si>
  <si>
    <t>Claims Highway, EPMO, NDB, Provider Network Analysis UAT &amp; Tools</t>
  </si>
  <si>
    <t>Computer Services, Consumer Database (CDB), COSMOS, EPMO, Facets Alpha, NDB, PHS - ILIAD, PHS - NICE, Provider Network Analysis UAT &amp; Tools, UHCTS-OXHP(Oxford)</t>
  </si>
  <si>
    <t>Computer Services, Enterprise Application Architecture, Enterprise Information Management, EPMO, Facets Alpha, NDB, ppoONE, Provider Network Analysis UAT &amp; Tools, Reimbursement Technology, Systems Integration, UHCTS-OXHP(Oxford), United Platform Systems A</t>
  </si>
  <si>
    <t>Claims Highway, COSMOS, Cross Application Testing, Data Delivery System (DDS), Enterprise Information Management, EPMO, NDB, Provider Network Analysis UAT &amp; Tools, Reimbursement Technology, TOPS, UFE, USEC - Universal Security Systems</t>
  </si>
  <si>
    <t>Claims Highway, EPMO, NDB, Provider Network Analysis UAT &amp; Tools, Reimbursement Technology, TOPS</t>
  </si>
  <si>
    <t>Claims Highway, Cross Application Testing, EPMO, NDB, Provider Network Analysis UAT &amp; Tools, Reimbursement Technology, TOPS</t>
  </si>
  <si>
    <t xml:space="preserve">ACIS Suite, Atlas, B2B Provider Portal, B2C Provider Portal, BASICS, BH-Mgmt and Planning, Card Management System (CMS), Card Request System (CRS), CBTS - Clinical Architecture, CES, CIX (Customer Installation Express), Claims Highway, COMET Desktop.NET, </t>
  </si>
  <si>
    <t>Application Enablement, Claims Highway, Computer Services, Enterprise Information Management, EPMO, NDB, ppoONE, Provider Network Analysis UAT &amp; Tools, Reimbursement Technology, TOPS, UFE</t>
  </si>
  <si>
    <t>6/22 Replaced by sprf 4-52518 - estimate should be reduced in cc 3 - left burn in.
5/4 This needs to be redone on the new spreadsheet and work not to begin before July when added to planview</t>
  </si>
  <si>
    <t>7/13 Per Mary Sue this can now be completed</t>
  </si>
  <si>
    <t xml:space="preserve">ACIS Suite, Application Enablement, Applications Impacted Unknown, B2B Provider Portal, Card Integration Platform (CIP), CES, CIX (Customer Installation Express), COMET Desktop.NET, Contact Center Services, Cross Application Testing, Data Delivery System </t>
  </si>
  <si>
    <t>ACIS Suite, Application Enablement, CES, Consumer Database (CDB), Contact Center Services, Cross Application Testing, Employer Portal, IDT - Intelligent Desktop, Integrated Service Experience Tool ISET, Myuhc - Member Portal, NDB, PHS - Resolution, Provid</t>
  </si>
  <si>
    <t>ACIS Suite, Atlas, Claims Highway, Consumer Database (CDB), COSMOS, Enterprise Information Management, Enterprise Technical Practices PMO, EPMO, eServices Billing, GPS, GPT Project Management Services, NDB, PHS - NICE, PRIME, Provider Network Analysis UAT</t>
  </si>
  <si>
    <t>Claims Highway, Computer Services, Consumer Database (CDB), NDB</t>
  </si>
  <si>
    <t>Application Enablement, Claims Highway, COSMOS, CPW, Cross Application Testing, Data Delivery System (DDS), Enterprise Architecture, EPMO, NDB, ORBIT - Operational Reporting, ppoONE, Provider Network Analysis UAT &amp; Tools, Reimbursement Technology, Testing</t>
  </si>
  <si>
    <t>Claims Highway, Computer Services, Enterprise Architecture, EPMO, NDB, ppoONE, Provider Network Analysis UAT &amp; Tools, Reimbursement Technology, TOPS</t>
  </si>
  <si>
    <t>ACIS Suite, Acquisition Integrations, Application Enablement, Automated Underwriting, B2C Provider Portal, CareOne, CES, CIX (Customer Installation Express), Claims Highway, Common Clinical Framework (CCF), Consumer Database (CDB), Contact Center Services</t>
  </si>
  <si>
    <t>Application Enablement, BPID, Claims Highway, Claims QA, COMET Desktop.NET, Enterprise Application Architecture, Enterprise Information Management, Enterprise Systems Planning Business Architecture, EPMO, Exodes, Facets Alpha, Facets Solution Group Archit</t>
  </si>
  <si>
    <t>EPMO, Facets Solution Group, NDB, UHC C and S Diamond-Diamond Interfaces, UHC C and S Med Mgmt CareOne</t>
  </si>
  <si>
    <t>Turn Off NDB Feed to PA Diamond</t>
  </si>
  <si>
    <t>Heidi Kemmer</t>
  </si>
  <si>
    <t>NDB, UHC C and S Diamond-Diamond Interfaces</t>
  </si>
  <si>
    <t>ED – IDT Decommission – Middle Tier Migration</t>
  </si>
  <si>
    <t>ACIS Suite, CES, EPMO, NAS - NYHCRA Assessment System, NDB, Network Technology &amp; Support, TOPS, UCAS - Unet Claim Accounting Sys (multiple apps), UMAS - UNET Membership Accounting System (5476)</t>
  </si>
  <si>
    <t>PBH Facets Health Plan - Rocky Mountain to Cosmos</t>
  </si>
  <si>
    <t>PBH M&amp;R to Cosmos</t>
  </si>
  <si>
    <t>10/26/11 cancelled in Prompt 10/7/11</t>
  </si>
  <si>
    <t>7/13 NDB unimpacted in prompt - were impacted on cc1 and it was cancelled</t>
  </si>
  <si>
    <t>7/13 Unimpacted after scheduled
5/4 Moved per Bill Porri from Nov 12 to May 13
CC41</t>
  </si>
  <si>
    <t>7/13 Per Anne Marie this will prob finish by end of July</t>
  </si>
  <si>
    <t>7/13 Per Vicky NDB is unimpacted</t>
  </si>
  <si>
    <t>7/13 Per Sean moved to Aug</t>
  </si>
  <si>
    <t>Application Enablement, B2B Provider Portal, Claims Highway, Computer Services, Consumer Account Management System (CAMS), COSMOS, Cross Application Testing, Enterprise EDI Business Solutions, Enterprise EDI Technical Operations, EPMO, Foundation Framewor</t>
  </si>
  <si>
    <t>CES, Claims Highway, Cross Application Testing, Enterprise Information Management, NDB, Testing Environment and Integration, TOPS</t>
  </si>
  <si>
    <t>Claims Highway, Cross Application Testing, Data Delivery System (DDS), EPMO, ERC, Foundation Frameworks, Galaxy, NDB, Reimbursement Technology, TOPS, UFE</t>
  </si>
  <si>
    <t>Robert Bena</t>
  </si>
  <si>
    <t xml:space="preserve">C&amp;S QCare segment -wide deployment </t>
  </si>
  <si>
    <t xml:space="preserve">Kim Johnston </t>
  </si>
  <si>
    <t>CES, CMA (Content Management Application), Consumer Activity Presentment/Emp Portal (CAP/EAP), Cross Application Testing, Data Management, Enterprise Content Management and Architecture, GEFT - Global Electronic Funds Transfer, GEOAccess, GFLX, Myuhc - Me</t>
  </si>
  <si>
    <t>ACIS Suite, Application Enablement, Case Package, CDD, CES, Cross Application Testing, Data Management, EPMO, eServices Billing, FMR (Field Mgmt Reporting), Foundation Frameworks, Galaxy, GFLX, ID Cards, IDT - Intelligent Desktop, Myuhc - Member Portal, N</t>
  </si>
  <si>
    <t>Claims QA, EPMO, Facets Alpha, NDB, UHC C and S Business Requirements</t>
  </si>
  <si>
    <t>Application Enablement, Claims Highway, Claims QA, Claims QA - EDI, Consumer Database (CDB), Enterprise Information Management, EPMO, Facets Alpha, NDB, UFE, UHC C and S Business Requirements, UHC C and S IT PM, UHC C and S National Encounters (NEMIS), Un</t>
  </si>
  <si>
    <t>Application Enablement, Claims QA, COSMOS, CPW, Data Delivery System (DDS), Enterprise Information Management, EPMO, Healthcare Alliance - Medica, NDB</t>
  </si>
  <si>
    <t>Clinical Adoption - M&amp;R Supplemental Plans AO</t>
  </si>
  <si>
    <t>Medica Group Number Availability</t>
  </si>
  <si>
    <t>Application Enablement, Bank Information System (BIS), BOSS, BPID, Claims QA, Consumer Account Management System (CAMS), Consumer Database (CDB), COSMOS, Enterprise Application Architecture, Enterprise Information Management, Enterprise Systems Planning B</t>
  </si>
  <si>
    <t>Payables - Dental &amp; Workers Comp</t>
  </si>
  <si>
    <t>Christina Kauffman</t>
  </si>
  <si>
    <t xml:space="preserve">AmeriChoice, CareOne, CareOne ODS, Consumer Database (CDB), Cross Application Testing, Enterprise Content Management and Architecture, Enterprise Letter Generation System, EPMO, Facets Solution Group, NDB, OHCS - Data Management, QMO - Quality Management </t>
  </si>
  <si>
    <t>Route NHP Par claims to ppoONE for Pricing</t>
  </si>
  <si>
    <t>Ray Coto</t>
  </si>
  <si>
    <t>Enterprise EDI Technical Operations, Enterprise Systems Planning Business Architecture, EPMO, Facets Alpha, Facets Solution Group, NDB, Network Technology &amp; Support, ppoONE, UFE</t>
  </si>
  <si>
    <t>B2B Provider Portal, B2C Provider Portal, CCS-CCF, EPMO, NDB, UHC C and S Business Requirements, UHC C and S Diamond-Diamond Interfaces, UHC C and S IT PM, UHC C and S Med Mgmt CareOne, UHC C and S Med Mgmt Web Applications, UHC C and S National Encounter</t>
  </si>
  <si>
    <t>WOQ1 NDB OI - Auto DBA Name Population</t>
  </si>
  <si>
    <t>WOQ1 NDB OI NDB FS Space Conservation Reporting</t>
  </si>
  <si>
    <t>WOQ1 NDB OI Add Specialty to 'P' Type Search</t>
  </si>
  <si>
    <t>WOQ1 NDB OI NDC MAC Pricing</t>
  </si>
  <si>
    <t>NDB SoT - C&amp;S Strategic NDB SoT Enhancements</t>
  </si>
  <si>
    <t>NDB SoT - NDB Directory SoT &amp; Enhancements</t>
  </si>
  <si>
    <t>NDB SoT-Provider Data Quality Assessment &amp; Improve</t>
  </si>
  <si>
    <t>12/21 cancelled in prompt 12/13</t>
  </si>
  <si>
    <t>12/30/11 Project completed with no impact to NDB</t>
  </si>
  <si>
    <t>12/30/11 NDB was un-impacted on this project</t>
  </si>
  <si>
    <t>12/30 Reduced to testing only .57 in cc 3
11/18 Project descoped to testing only- estimate for testing only tbd
Estimate includes oom - 2.39pms and CC1 -6.42pms</t>
  </si>
  <si>
    <t>12/301// Reduced from .89 to .67 in CC3</t>
  </si>
  <si>
    <t>CC14 reduced estimate from 23.46 to 15.57
CC1 still in estimating</t>
  </si>
  <si>
    <t>12/30 Reduced from 78.97 to 77.44 in CC5
Reduced from 84.97 to 78.97 - 6pms moved out to May 2012</t>
  </si>
  <si>
    <t>12/30/11 Increased estimate from .60 to .7 per cc8</t>
  </si>
  <si>
    <t>Victoria Bogatyrenko</t>
  </si>
  <si>
    <t>This is for OI00250 - 1.33 remaining effort entered into prompt</t>
  </si>
  <si>
    <t xml:space="preserve">WOQ1 NDB OI Retrigger BSAR History </t>
  </si>
  <si>
    <t>12/30/11 Project cancelled in prompt on 10/20</t>
  </si>
  <si>
    <t>12/30/11 NDB unimpacted before estimated</t>
  </si>
  <si>
    <t>12/30 moved to 48089
9/16 CC now scheduled in prompt
Not included in Q4 2011 Nov Release- NO GO- date TBD
CC 13 - CC still in estimating in prompt</t>
  </si>
  <si>
    <t>RM - Dulce</t>
  </si>
  <si>
    <t>1/6 CC now scheduled
12/20 Estimates entered into prompt but cc still in estimating
CC 2 - estimate not yet entered into prompt/waiting on NDB estimate to enter both - cc still in estimating</t>
  </si>
  <si>
    <t xml:space="preserve">1/6 WO now scheduled in prompt
This is for OI00101 - 1.13 remaining effort entered into prompt </t>
  </si>
  <si>
    <t>1/6 WO now scheduled in prompt
This is for OI00170 - .23 remaining effort entered into prompt</t>
  </si>
  <si>
    <t>1/6 WO now scheduled in prompt
This is for OI00294 - 1.53 entered into prompt for remaining effort</t>
  </si>
  <si>
    <t>1/6 WO now scheduled in prompt
This is for OI00233 - 1.63 remaining effort entered into prompt</t>
  </si>
  <si>
    <t>per Rev the 150 hours will be split among SA, Dev &amp; QCA - most of work completed under CC13 this is for delivery and testing support - no prompt entry for this</t>
  </si>
  <si>
    <t>Claims Highway, Claims QA, COSMOS, EPMO, GGMAP, NDB, ppoONE</t>
  </si>
  <si>
    <t>WOQ2 NDB OI 00191 MM Batch Automation</t>
  </si>
  <si>
    <t>Accepting Assignment: Phase 3</t>
  </si>
  <si>
    <t>Application Enablement, Audit Recovery Operations (ARO) Datamart, B2B Provider Portal, B2C Provider Portal, Business Intent Certification Tool (BIC), CDD, CES, Claims Highway, Claims QA, COMET Desktop.NET, Consumer Account Management System (CAMS), Consum</t>
  </si>
  <si>
    <t>Application Enablement, B2B Provider Portal, B2C Provider Portal, CareOne, Claims QA, Claims QA - EDI, Consumer Database (CDB), COSMOS, EPMO, ISEC (Internet Security Database), Myuhc - Member Portal, NDB, ORx IT QA and Process Improvement, Portal Reportin</t>
  </si>
  <si>
    <t xml:space="preserve">Clia Project for CSP </t>
  </si>
  <si>
    <t xml:space="preserve">Kurt Johnson </t>
  </si>
  <si>
    <t>NJ C&amp;S Portals Implementation</t>
  </si>
  <si>
    <t>Claims QA, Claims QA - EDI, EPMO, NDB, ppoONE, UHCTS-UMR EDI Services, UHCTS-UMR-WAU(Wausau)</t>
  </si>
  <si>
    <t>A/O UMR Paperless Strategy</t>
  </si>
  <si>
    <t>COSMOS Array Remediaton</t>
  </si>
  <si>
    <t>10-00000-213</t>
  </si>
  <si>
    <t>10-71108-000</t>
  </si>
  <si>
    <t>400054151A</t>
  </si>
  <si>
    <t>400054948A</t>
  </si>
  <si>
    <t>400051411A</t>
  </si>
  <si>
    <t>9/17 Project now BGE approved in prompt.  
8/3 project not bge approved yet in prompt</t>
  </si>
  <si>
    <t>9/5 Marked as completed</t>
  </si>
  <si>
    <t>9/17 CC to be cancelled in prompt.  
CC 2</t>
  </si>
  <si>
    <t xml:space="preserve">5/25/12 Project still in estimating in prompt </t>
  </si>
  <si>
    <t>5/25 Per Anne Marie moved to June
CC2 - CC still in estimating</t>
  </si>
  <si>
    <t>5/25/12 Project No longer in Prompt</t>
  </si>
  <si>
    <t>5/25/12  Project No longer in Prompt</t>
  </si>
  <si>
    <t>5/25 Per Marianne moved from June to Sept
3/5/12 Moved from Feb to June  per Marianne</t>
  </si>
  <si>
    <t>525 Funding put on hold until 2013
4/6/12 Added line for effort that is remaining</t>
  </si>
  <si>
    <t>BH-Facets - UBH, Claims QA, Cross Application Testing, Emptoris, EPMO, NDB, Network Technology &amp; Support, PAS - Navigator</t>
  </si>
  <si>
    <t>Cravero</t>
  </si>
  <si>
    <t>Provider Touch Point Data Sources Analysis</t>
  </si>
  <si>
    <t>Application Enablement, BPM CoE, Claims Highway, Claims QA, Consumer Database (CDB), Enterprise Application Architecture, EPMO, Innovation Delivery Center, NDB, Payment Engine</t>
  </si>
  <si>
    <t>AmeriChoice, Application Enablement, BPID, CES, Claims Highway, Claims QA, Consumer Database (CDB), COSMOS, Cross Application Testing, Data Delivery System (DDS), Enterprise Information Management, EPMO, Galaxy, Integrated Service Experience Tool ISET, ND</t>
  </si>
  <si>
    <t>Application Enablement, Computer Services, ETQS - Enterprise Technology Quality Services, NDB, Testing Environment and Integration</t>
  </si>
  <si>
    <t>Dave Walker</t>
  </si>
  <si>
    <t>8/22Reduced effort from 1.07 to .80 pm's at LDE
Closed per Testing Burn Report 12/17</t>
  </si>
  <si>
    <t>Per Testing burn report, extended to 12/16</t>
  </si>
  <si>
    <t>11/14 Hours reduced on gk from .60 to .17 in cc1 in prompt
10/31 Project now oom approved
Project still in estimating in prompt
12/19- updated per testing burn report to close</t>
  </si>
  <si>
    <t>9/2 Per Rick reduced estimate from .53 to .4  12/19- updated per QCA burn report 12/17
8/22 Reduced from 1.01 to .53 in cc 6</t>
  </si>
  <si>
    <t>5/27 Decreased from 1.56 to .56 due to lde  12/19= updated per QCS burn report 12/17</t>
  </si>
  <si>
    <t>CC6
extended to 12/31 on 12/19 per SQA Burn report</t>
  </si>
  <si>
    <t xml:space="preserve">D. Bajpai </t>
  </si>
  <si>
    <t>OI00294R1</t>
  </si>
  <si>
    <t>OI00294</t>
  </si>
  <si>
    <t>Retrigger BSAR History</t>
  </si>
  <si>
    <t>12/201/11</t>
  </si>
  <si>
    <t>Claims Highway, Claims QA, Consumer Database (CDB), COSMOS, EPMO, NDB, Oxford Platform Solution Analysis, PHS - NICE, Unified Data Warehouse (UDW)</t>
  </si>
  <si>
    <t>7/13 Meetings have started, Lori is doing some intial investigation but will not have any capapcity for meetings until Oct timeframe which has been communticated to the cross app pm</t>
  </si>
  <si>
    <t>7/13 Cancelled in prompt</t>
  </si>
  <si>
    <t>7/13 CC that NDB was impacted on was cancelled in prompt</t>
  </si>
  <si>
    <t>7/13 NDB unimpacted in prompt</t>
  </si>
  <si>
    <t>6/22 Project increased from 5.94 to 9.72 in CC 2 - decreased to 9.12 to included .6 reduction in CC 1</t>
  </si>
  <si>
    <t>6/22 Project increased from 5.94 to 9.32 in CC 2 - adjusted to account for cc1 decrease of .74</t>
  </si>
  <si>
    <t>7/30 Reduced estimate from 35.09 to 33.76 in CC 6 DE
3/19 Revised the NDB estimate
Project sitill in estimating</t>
  </si>
  <si>
    <t>7/30 Per Charles Kern this was now moved to Q3 13
6/22 Moved from 5/12 to 5/13
CC8</t>
  </si>
  <si>
    <t>7/30 Decreased from 81 to 71.9  in SE  CC 9
4/30 Project oom approved
2/171/12 increased est for Q3 from 48.81 to 81 pm's
Project still in estimating - working on a revised BGE where scope will increase - BGE est split between Q2 and Q3</t>
  </si>
  <si>
    <t>7/30 Project now oom approved
7/2 Project still in estimating</t>
  </si>
  <si>
    <t>7/30 Project now oom approved in prompt
6/22 Replacing 48702 - project still in estimating in prompt</t>
  </si>
  <si>
    <t xml:space="preserve">10/26/12 Project BGE Approved
This is testing and architecture.  Project not BGE approved in prompt.  </t>
  </si>
  <si>
    <t xml:space="preserve">10/26/12 WO Scheduled in Prompt
10/17/12 Project still in estimating in prompt. </t>
  </si>
  <si>
    <t>10/26 Project OOM Approved in Prompt
9/21  Still in estimating in prompt.</t>
  </si>
  <si>
    <t>10/26/12 Per Teresa - project closed with impact
8/10 SE CC 8 increased from .28 to .29
3/19 Added Q3 release.  Split Q2 estimate in half.</t>
  </si>
  <si>
    <t>12/21/11 cancelled 12/1</t>
  </si>
  <si>
    <t>Multiple Procedure Payment Reduction for therapy</t>
  </si>
  <si>
    <t>B2B Provider Portal, B2C Provider Portal, Claims Highway, Claims QA, EPMO, Healthcare Alliance - Harvard Pilgrim, NDB, Network Technology &amp; Support, Payment Engine, PHS - EDI, Provider Data &amp; Reimbursement, Systems Integration, TOPS, UFE</t>
  </si>
  <si>
    <t>NDB Q1 2012 OI Release</t>
  </si>
  <si>
    <t>Diamond Interfaces, EPMO, Facets - Pittsburgh, Facets - Pittsburgh - Interfaces, Facets Alpha, Facets Solution Group, GPT - Release Management, NDB, UHC C and S Business Requirements, UHC C and S Facets-Interfaces-Extensions-Pitt, UHC C and S IT PM</t>
  </si>
  <si>
    <t>NDB Cosmos Demo SoT - Facility Panels</t>
  </si>
  <si>
    <t>Establish instance of CDB in Bravo</t>
  </si>
  <si>
    <t xml:space="preserve">NDB Cosmos Demo SoT OHBS </t>
  </si>
  <si>
    <t>Kaja, Tim</t>
  </si>
  <si>
    <t>Medical Records RSA</t>
  </si>
  <si>
    <t>400048340A</t>
  </si>
  <si>
    <t>complete in Prompt. - NDB had only project def hours</t>
  </si>
  <si>
    <t>Raj Zladanki
Gabe Manfugas</t>
  </si>
  <si>
    <t>Jose Melendez</t>
  </si>
  <si>
    <t>7/20/12 Project was cancelled</t>
  </si>
  <si>
    <t>7/20 - Per Vicky - This project will be officially cancelled.  However, a portion of it is in scope for Tricare and has been moved over to that estimate for our Q4 work.  Mary Sue can assist in providing direction on which portion will move forward to ensure we do not lose momentum on specs.
6/22 Project still in estimating in prompt - replacing 44781 CC 8 Nov piece</t>
  </si>
  <si>
    <t>7/20 Per pm project to be cancelled and reopen another sprf when/if necessary
Project still in estimating in prompt - no resouces available until july per Anne Mare</t>
  </si>
  <si>
    <t>7/20/12 Project cancelled in prompt
6/22 Project still in estimating in prompt</t>
  </si>
  <si>
    <t>7/20 CC now scheduled in prompt
6/8 CC 52 - cc still in est in Prompt</t>
  </si>
  <si>
    <t>7/20 Cancelled
5/27 Estimate reduced in LDE to .60
Estimate in prompt is 1.07 but only added .60 since Hameed reduced the estimate - estimate has not yet been reduced in prompt</t>
  </si>
  <si>
    <t>7/20 Closed with no impact
CC14</t>
  </si>
  <si>
    <t>7/20 Closed with No impact
CC10</t>
  </si>
  <si>
    <t xml:space="preserve">
3/19 Split into Q2 and Q3.  Split estimate in half.</t>
  </si>
  <si>
    <t>7/20 closed with no impact</t>
  </si>
  <si>
    <t>7/20 closed with no impact
2/17/12 Per Cathy .27 pm's added for Testing support to process re-pricing test files from NICE via UFE and ppoONE.   Estimate increased from .77 to 1.04
12/2 Moved to Q2 per Cathy
11/14 Testing support for B2B/B2C
9/16 CC 17 is now scheduled
C17 - still in estimating</t>
  </si>
  <si>
    <t xml:space="preserve">
CC43</t>
  </si>
  <si>
    <t>7/20 Project completed for NDB  with no impact - still waiting on oom approval
Project still in estimating in prompt</t>
  </si>
  <si>
    <t>7/20 Moved from June to Q1 13</t>
  </si>
  <si>
    <t>7/20 Will be moved to 2013 pending ipoc review in August - so moved to Q1 for now until a date is set</t>
  </si>
  <si>
    <t>Cannot start before July - AM sent note  Per AO tracker from Sean 7-23- no impact</t>
  </si>
  <si>
    <t>12/2 Moved from Nov to May release per email from Anne Marie  7/23 AO tracker update- moved to August</t>
  </si>
  <si>
    <t>Application Enablement, B2B Provider Portal, Claims QA, Claims QA - EDI, Consumer Database (CDB), COSMOS, EPMO, NDB, UFE</t>
  </si>
  <si>
    <t>NSLIJ ACO-type Tiered Benefit Program</t>
  </si>
  <si>
    <t>Kate Nolan</t>
  </si>
  <si>
    <t>John Apuzzio</t>
  </si>
  <si>
    <t>GEOAccess, Myuhc - Member Portal, NDB</t>
  </si>
  <si>
    <t>ICD-10 Load Codes for Enterprise Test</t>
  </si>
  <si>
    <t>iCES Clearinghouse Feb 2013 Maintenance Release</t>
  </si>
  <si>
    <t>RV FACETS Standard APC to ppoONE</t>
  </si>
  <si>
    <t>Analysis Only Project for Improved C&amp;S Provider Pi</t>
  </si>
  <si>
    <t>NDB Data Quality Pre-Assessment</t>
  </si>
  <si>
    <t>Application Enablement, Computer Services, Consumer Database (CDB), Enterprise Information Management, EPMO, NDB, ORBIT - Operational Reporting, Unified Data Warehouse (UDW)</t>
  </si>
  <si>
    <t>BH-Facets - UBH, Enterprise Information Management, EPMO, NDB, USEC - Universal Security Systems</t>
  </si>
  <si>
    <t>400053883A</t>
  </si>
  <si>
    <t>Walmart-Medica 1URL/1 Portal-myuhc URL</t>
  </si>
  <si>
    <t>DAWN ROMERO</t>
  </si>
  <si>
    <t xml:space="preserve">B2B Provider Portal, Claims Highway, Claims QA, Claims QA - EDI, Consumer Database (CDB), Enterprise Application Architecture, Enterprise Systems Planning Business Architecture, EPMO, Facets Alpha, Information Risk Management, Infrastructure Architecture </t>
  </si>
  <si>
    <t>Enhanced myuhc Claim Display &amp; Payment Capability</t>
  </si>
  <si>
    <t>8/24 Project now BGE approved
8/10 Recuced effort from 1.37 to 1.22
6/22 Project scheduled but not oom approved in prompt</t>
  </si>
  <si>
    <t>8/24 CC now scheduled
CC2 - cc in estimating in prompt</t>
  </si>
  <si>
    <t>8/2412 NDB unimpacted in prompt</t>
  </si>
  <si>
    <t>8/27 Increased estimate from 27.20 to 27.99
6/8 Reduced estimate from 37.07 to 27.2 in CC 3  and descoped the other 2 pieced of this project which moved to different sprf's.
5/25 Project being split so CC 3 to reduce other release effort - resulting in increas in this estimate from 33 to 37.07
5/18 BGE split into 3 releases - total is 124 pm's - BGE is only 116.99 - will need to true up in prompt</t>
  </si>
  <si>
    <t>8/24 NDB un-impacted in prompt</t>
  </si>
  <si>
    <t>8/24 Reduced estimate from .83 to .54</t>
  </si>
  <si>
    <t>2222222222A</t>
  </si>
  <si>
    <t>CC6 - Offshore support</t>
  </si>
  <si>
    <t>400054686A</t>
  </si>
  <si>
    <t>400056269A</t>
  </si>
  <si>
    <t>12/26 Cancelled in Prompt 12/17/12</t>
  </si>
  <si>
    <t xml:space="preserve">Still in estimating in prompt. 12/5 - RSA in progress for Phase I Delivery (Q313), requirements gathering and IET solutioning in-flight with goal to complete and provide BGE by mid-Decemeber.  I flipped to Anne Marie for Portal impacts. </t>
  </si>
  <si>
    <t xml:space="preserve">Project now oom approved in Prompt
10/5 - RSA is just completing for Q2 scope, Q2 is Testing Only for NDB now that the sourcing of SB providers will be solutioned under HCE Program.  Program Definition will continue under this stream to define and solution Q3/Q4 scope as there may be NDB reimbursement / pricing impacts for later phases.
</t>
  </si>
  <si>
    <t>11/14 Per Cathy - updating effort from 6.21 to 7.41 to include effort not burned on other deliverables for this sprf -  6.21 is what is in prompt
9/16 Project increased from 4.20 to 6.21 the additional 2 pm increase is under cc22 - CC 17 is now scheduled
CC17 - still in estimating</t>
  </si>
  <si>
    <t>RSA Solutions Analysis for Fractional Mileage</t>
  </si>
  <si>
    <t>RSA Solutions Analysis for DME Comp Bidding</t>
  </si>
  <si>
    <t>11/14/11 Moved from Q4 to Q1 per Marianne</t>
  </si>
  <si>
    <t>11/14 No additional cc entered into prompt for this per Bridget</t>
  </si>
  <si>
    <t>11/14 CC10 split between Q1 and Q2
CC10 scheduled
CC10 - CC still in estimating in prompt</t>
  </si>
  <si>
    <t>11/14 CC10 split between Q1 and Q2- reduced from 16.32 to 12.89
CC10 scheduled
CC10 - CC still in estimating in prompt</t>
  </si>
  <si>
    <t>Full Provider File load to APWU- One time only</t>
  </si>
  <si>
    <t>Craig Condon</t>
  </si>
  <si>
    <t>ED – Resolution (PHS) Decommission - AO</t>
  </si>
  <si>
    <t xml:space="preserve">Application Enablement, CES, Claims QA, Consumer Database (CDB), Contact Center Services, Enterprise Information Management, EPMO, iLEAD, Integrated Service Experience Tool ISET, Knowledge Management, NDB, ORBIT - Operational Reporting, PHS - NICE, PHS - </t>
  </si>
  <si>
    <t>Dave Walker/ Gabe Manfugas</t>
  </si>
  <si>
    <t>PHC Eligibility Migration to GPS</t>
  </si>
  <si>
    <t>Application Enablement, B2C Provider Portal, BPID, Computer Services, Connected Care (TeleHealth), Enterprise Application Architecture, EPMO, Information Risk Management, Innovation Delivery Center, Interactive Design Services (iDS), NDB</t>
  </si>
  <si>
    <t>Monica Thompson</t>
  </si>
  <si>
    <t>BH-Facets - UBH, BH-Shared Components, BH-ubhonline.com, BPM Development Group, BPM_PEGA, Computer Services, EPMO, NDB, OptumHealth Financial Services Architecture, OptumHealth Segment Architecture, OptumHealth Segment Architecture - OHBS</t>
  </si>
  <si>
    <t>10-00000-278</t>
  </si>
  <si>
    <t>11-62350-000</t>
  </si>
  <si>
    <t>12/6 Un-impacted but this may change since the req and our business do not appear to be in agreement</t>
  </si>
  <si>
    <t>12/6 CC was cancelled in Prompt
8/10 Moved to Q2 since funding is still not approved
7/13 CC7 This is softbooked until cap committee approves funding at end of July and then NDB will determine if we can still accommodate for Q1</t>
  </si>
  <si>
    <t>12/6 Per Bridgett Usec was unimpacted
0/4 Changed release date from Q1 to Q2.  
9/27 Release date changed from Q1B to Q113.  
9/6 Release date changed from Q113 to Q213</t>
  </si>
  <si>
    <t>12/6/12 Due to CSP change in schedule this was moved from June to August - ok by Vicky
2/13 Project now oom approved in prompt
Project still in estimating in prompt</t>
  </si>
  <si>
    <t>12/6/12 NDB un-impacted in Prompt</t>
  </si>
  <si>
    <t>12/6/12 estimate increased in cc10 from 1.75 to 2.28 in DE for Q1 CC10
7/3 110 hours left on total project from June plus 1.02 pm's in CC 7 - code was completed in June 2012 but will be deployed into production.</t>
  </si>
  <si>
    <t xml:space="preserve">12/6/12 Per Mary Sue there is no longer a need for a Q1 deliverable it can all be moved to Q2
BGE broken into two releases.  No production delivery.  Code moved to systest only.  </t>
  </si>
  <si>
    <t xml:space="preserve">12/6/12 Per Mary Sue effort from Q1 moved to Q2
BGE broken into two releases  </t>
  </si>
  <si>
    <t>12/6/12 Per pm moved 10 pm's to Jan2013 release
9/17 Revised DE should be 146.2
8/24 Decreased est in DE from 161.71 to 135.11 
6/8 Decreased est in CC 1 sol est from 179.89 to 161.71
4/6 changed effort from 185.89 to 179.89 - 6 pms moved to Sept release</t>
  </si>
  <si>
    <t>12/6/12 Per pm moved 10 pm's to Jan2013 release</t>
  </si>
  <si>
    <t>UBCS Prototype-Provider Demographic &amp;Credentialing</t>
  </si>
  <si>
    <t>UBCS Prototype-Provider Network Design and Config</t>
  </si>
  <si>
    <t>UBCS Prototype-Provider Contract Engine AO</t>
  </si>
  <si>
    <t>Claims QA - EDI, EPMO, NDB, ppoONE, UFE, UHCTS-UMR EDI Services, UHCTS-UMR Portal, UHCTS-UMR QicLink-QLFEPPS, UHCTS-UMR-MWS(Midwest Security-Onalaska), UHCTS-UMR-WAU(Wausau)</t>
  </si>
  <si>
    <t>Application Enablement, Claims Highway, Claims QA, Claims QA - EDI, Computer Services, Consumer Database (CDB), ETQS - Enterprise Technology Quality Services, Facets Alpha, Facets Solution Group, HIPAA, iCES Clearinghouse, NDB, Testing Environment and Int</t>
  </si>
  <si>
    <t>Provider Decision Support Q1</t>
  </si>
  <si>
    <t>Lindsay Dittberner</t>
  </si>
  <si>
    <t>Consumer Transparency, I-CUE eVI, NDB</t>
  </si>
  <si>
    <t>Provider Decision Support Q2</t>
  </si>
  <si>
    <t>Provider Decision Support Q3</t>
  </si>
  <si>
    <t>Provider Decision Support Q4</t>
  </si>
  <si>
    <t>05-71154-000</t>
  </si>
  <si>
    <t>400055779A</t>
  </si>
  <si>
    <t>400055865A</t>
  </si>
  <si>
    <t>400055737A</t>
  </si>
  <si>
    <t>400055849A</t>
  </si>
  <si>
    <t>400055852A</t>
  </si>
  <si>
    <t>400055854A</t>
  </si>
  <si>
    <t>400055855A</t>
  </si>
  <si>
    <t>11/9/12 NDB un-impacted after estimated</t>
  </si>
  <si>
    <t>8/20 Project marked completed in prompt - NDB never scheduled so marked cancelled</t>
  </si>
  <si>
    <t>COSMOS Testing Environment Sandbox’</t>
  </si>
  <si>
    <t>ICUE Medica Passport Capability Build</t>
  </si>
  <si>
    <t>NJ HP LTC Expansion - CSP Facets Migration</t>
  </si>
  <si>
    <t>Application Enablement, B2B Provider Portal, CareOne, Claims QA, Claims QA - EDI, Consumer Database (CDB), COSMOS, EPMO, Facets Alpha, FSDB - Financial Summary Database (5087), FTS Financial Tagging Service, iCES Clearinghouse, Myuhc - Member Portal, NDB,</t>
  </si>
  <si>
    <t>400054309A</t>
  </si>
  <si>
    <t>400053176A</t>
  </si>
  <si>
    <t>2012 ROBOTs for COSMOS</t>
  </si>
  <si>
    <t>Claims QA, COSMOS, EPMO, NDB, Quality Solutions Development</t>
  </si>
  <si>
    <t xml:space="preserve">Application Enablement, Audit Recovery Operations (ARO) Datamart, B2B Provider Portal, B2C Provider Portal, BH-Clinical Applications, BH-Customer Reporting, BH-Data Warehouses, BH-Elig/Benefits, BH-Life Solutions, BH-Linx, BH-Liveandworkwell.com, BH-Mgmt </t>
  </si>
  <si>
    <t>Work Order in prompt but adding as A/O since no deliverable - For John M to answer questions</t>
  </si>
  <si>
    <t>12/28/12 Work Order in prompt but adding as A/O since no deliverable - For John M to answer questions
11/19 Still in Estimating (orig 10/12/12 as a WO)</t>
  </si>
  <si>
    <t>12/28/12 Per Vicky moved to Q2B
9/17 Project now BGE approved in prompt.  
Project still in estimating in prompt</t>
  </si>
  <si>
    <t>RM TBD</t>
  </si>
  <si>
    <t>Lori Bravaco</t>
  </si>
  <si>
    <t>CC 18
A/O- majority of work with TOPS- we are engaged---   SA/Dev support
No code deploy associated with this</t>
  </si>
  <si>
    <t>1/24 Added 3.8 in CC27 - increased from 17.40 to 21.2 pm's.
10/26 Increased effort from 7.11 to 17.4 with 10.29 add effort in CC 16 - CC 16 still in estimating
9/5 Changed release date from Q113 to Q213.  
6/8 Project moved from Q2 to Q1 - There is a dependency for cc3 on a successful deploy of 4-48226 HCR Preventative. 110 hours left on total project from June plus 1.02 pm's in CC 7 
CC3</t>
  </si>
  <si>
    <t>1/24/13 Cancelled in Prompt
5/25 Put on hold until Q4 13
Release 2 is the provider fee schedule calculations through CT i.e. OHCS-TCE - OOM split between Q3 and Q4</t>
  </si>
  <si>
    <t>1/24/13 Cancelled in Prompt
2/17/12 Moved from Q3 to Q4
Release 1 is the data scope for OHBS provider access - OOM split between Q3 and Q4</t>
  </si>
  <si>
    <t>1/24 Per Sean this is completed and can be closed out
cc 7 - cannot start until Jan</t>
  </si>
  <si>
    <t>1/24 Per Vicky added line for Feb release without effort</t>
  </si>
  <si>
    <t>Application Enablement, B2B Provider Portal, Claims QA - EDI, Connected Care (TeleHealth), Consumer Database (CDB), Enterprise Application Architecture, EPMO, Information Risk Management, NDB</t>
  </si>
  <si>
    <t>ACIS Suite, BASICS, CES, Cross Application Testing, Data Delivery System (DDS), Data Management, EA Data Architecture, Enterprise Architecture, eServices Billing, eServices Billing OM, Healthcare Alliance - Medica, NDB, ORBIT - Operational Reporting, PCIS</t>
  </si>
  <si>
    <t>CMA (Content Management Application), Cross Application Testing, Data Management, EA Data Architecture, Enterprise Architecture, NDB</t>
  </si>
  <si>
    <t xml:space="preserve">ACIS Suite, B2B Provider Portal, B2C Provider Portal, CIX (Customer Installation Express), COMET Desktop.NET, COSMOS, Cross Application Testing, Data Delivery System (DDS), Data Management, EA Data Architecture, Foundation Frameworks, Healthcare Alliance </t>
  </si>
  <si>
    <t>Cross Application Testing, EPMO, Galaxy, NDB</t>
  </si>
  <si>
    <t>Collaborative Care Capitation Solution - COSMOS</t>
  </si>
  <si>
    <t>Application Enablement, Applications Impacted Unknown, Consumer Database (CDB), Cross Application Testing, Electronic Eligibility Management System (EEMS), Enterprise Application Architecture, Enterprise Information Management, EPMO, NDB, Network Technolo</t>
  </si>
  <si>
    <t>AZ LTC RFP</t>
  </si>
  <si>
    <t>Application Enablement, B2B Provider Portal, B2C Provider Portal, Enterprise EDI Business Solutions, iCES Clearinghouse, NDB, Network Technology &amp; Support, TOPS, UFE</t>
  </si>
  <si>
    <t>iCES Clearinghouse Feb 2012 Maintenance Release</t>
  </si>
  <si>
    <t>Consumer Database (CDB), COSMOS, Cross Application Testing, Data Management, EA Data Architecture, Foundation Frameworks, USEC - Universal Security Systems</t>
  </si>
  <si>
    <t>Cross Application Testing, Data Delivery System (DDS), Data Management, EA Data Architecture, Foundation Frameworks, NDB, Systems Integration, Testing Environment and Integration, TOPS, USEC - Universal Security Systems</t>
  </si>
  <si>
    <t>Cross Application Testing, Foundation Frameworks, NDB, Systems Integration, Testing Environment and Integration, TOPS</t>
  </si>
  <si>
    <t>Commercial Payment System (EPS), Data Management, Duncan Print Services, Enterprise Architecture, EPMO, NDB, OptumHealth Bank - IT, OptumHealth Financial Services Architecture, ORBIT - Operational Reporting, Payables, Summary Check, Technical Architecture</t>
  </si>
  <si>
    <t>W/O UHC Online - EPS One Shot</t>
  </si>
  <si>
    <t xml:space="preserve">IDT MT Replacement Implement P4 </t>
  </si>
  <si>
    <t>BH-Facets - UBH, CES, Consumer Database (CDB), COSMOS, Cross Application Testing, Enterprise Activation Messaging Platform (eAMP), Enterprise Technical Practices PMO, Integrated Service Experience Tool ISET, NDB, TOPS, UP Policy Profile Service</t>
  </si>
  <si>
    <t>Provider Data Synchronization - NDB/IFS Oracle(Tax</t>
  </si>
  <si>
    <t>Brandon Cuevas</t>
  </si>
  <si>
    <t>2011 One Shot Requests</t>
  </si>
  <si>
    <t>NDB, Network Technology &amp; Support, USEC - Universal Security Systems</t>
  </si>
  <si>
    <t>Cross Application Testing, ELO Enterprise Letter Operations, Enterprise Architecture, Enterprise Letter Generation System, Galaxy, IBAAG - IT (System Changes), IDT - Intelligent Desktop, Integrated Service Experience Tool ISET, NDB, Summary Check, Testing</t>
  </si>
  <si>
    <t>Application Enablement, CES, Consumer Database (CDB), Contact Center Services, Cross Application Testing, Data Management, Enterprise Architecture, Foundation Frameworks, United Voice Portal Business, USEC - Universal Security Systems</t>
  </si>
  <si>
    <t>ACIS Suite, Application Enablement, Automated Underwriting, CES, Consumer Database (CDB), Contact Center Services, Cross Application Testing, CTS - Common Tables System, Data Delivery System (DDS), Data Management, Electronic Eligibility Management System</t>
  </si>
  <si>
    <t>Cross Application Testing, Emptoris, Enterprise Architecture, NDB</t>
  </si>
  <si>
    <t>ACIS Suite, Application Enablement, CES, Consumer Database (CDB), Contact Center Services, Cross Application Testing, Data Management, Electronic Eligibility Management System (EEMS), Employer Portal, Enterprise Architecture, Enterprise Solutions, Foundat</t>
  </si>
  <si>
    <t xml:space="preserve">ACIS Suite, Application Enablement, Atlas, Automated Underwriting, B2B Provider Portal, CDD, CES, CIX (Customer Installation Express), Consumer Account Management System (CAMS), Consumer Database (CDB), Contact Center Services, Cross Application Testing, </t>
  </si>
  <si>
    <t>ACIS Suite, Application Enablement, Applications Impacted Unknown, B2B Provider Portal, B2C Provider Portal, BASICS, CCS-CCF, CES, CIX (Customer Installation Express), Contact Center Services, Cross Application Testing, CTS - Common Tables System, Data Ma</t>
  </si>
  <si>
    <t>Cross Application Testing, Emptoris, NDB</t>
  </si>
  <si>
    <t>ACIS Suite, Application Enablement, Applications Impacted Unknown, B2C Provider Portal, CCS-CCF, CES, COMET Desktop.NET, Cross Application Testing, Data Management, EA Data Architecture, Employer Portal, Emptoris, Enterprise Architecture, EPMO, Foundation</t>
  </si>
  <si>
    <t>Cross Application Testing, iCES Clearinghouse, NDB, ORBIT - Operational Reporting, ppoONE, UFE</t>
  </si>
  <si>
    <t>Acquisition Integrations, Application Enablement, Applications Impacted Unknown, B2B Provider Portal, B2C Provider Portal, Claims Highway, Claims QA, Consumer Database (CDB), Contact Center Services, COSMOS, Cross Application Testing, Data Delivery System</t>
  </si>
  <si>
    <t>400045000A</t>
  </si>
  <si>
    <t>5/24 Cancelled in Prompt</t>
  </si>
  <si>
    <t>Deb Keith</t>
  </si>
  <si>
    <t>5/27 Estimate adjusted from 18.21 to 12pm's</t>
  </si>
  <si>
    <t xml:space="preserve">4/22 Project oom approved in prompt - redcuction handled in the lde estimate
 </t>
  </si>
  <si>
    <t>OI00255R1</t>
  </si>
  <si>
    <t>working date</t>
  </si>
  <si>
    <t>5/27 reduced from 6.17 to 4.28 due to  lde</t>
  </si>
  <si>
    <t>5/27 Decreased from 1.84 to .84 due to lde
dev and testing support - cc 9 - All under A in Planview</t>
  </si>
  <si>
    <t>400050630C</t>
  </si>
  <si>
    <t>Donna Salt</t>
  </si>
  <si>
    <t xml:space="preserve">BGE  will be split into 2  releases this piece going in for Q3B - project type may change to tech only or work order </t>
  </si>
  <si>
    <t>,03</t>
  </si>
  <si>
    <t>NDB EPDE/EPDL 2012</t>
  </si>
  <si>
    <t>Pay for Performance Contracting A/D</t>
  </si>
  <si>
    <t xml:space="preserve">Lisa McDonnel </t>
  </si>
  <si>
    <t>B2C Provider Portal, Computer Services, EPMO, Information Risk Management, NDB, Network Services (UHT), United Health Premium Designation (UHPD)</t>
  </si>
  <si>
    <t>Medica COPIS Future Data Enhancements</t>
  </si>
  <si>
    <t>UNO Replacement A/O</t>
  </si>
  <si>
    <t>Multiple - Sid Hegseth</t>
  </si>
  <si>
    <t>Alerts Admin Tool, Application Enablement, B2C Provider Portal, BH-Facets - UBH, BH-Shared Components, CCS-CCF, Claims QA, Consumer Database (CDB), Contact Center Services, COSMOS, Diamond, Enterprise Decomm Architecture, EPMO, ETS (Escalation Tracking Sy</t>
  </si>
  <si>
    <t>Application Enablement, BH-Facets - UBH, Enterprise Information Management, EPMO, NDB, OptumHealth Segment Architecture, OptumHealth Segment Architecture - OHBS</t>
  </si>
  <si>
    <t xml:space="preserve">Transparency: 2012 OHBS Members CS-UHC Consumer </t>
  </si>
  <si>
    <t xml:space="preserve">Jann Dodd and Deb Adler </t>
  </si>
  <si>
    <t>6/5 NDB has been un-impacted on this project in prompt</t>
  </si>
  <si>
    <t>6/15 NDB has been un-impacte on this project in prompt</t>
  </si>
  <si>
    <t>6/15 NDB has completed the analysis and has been un-impacted on the A/D sprf
5/25 Moved from May to June per Anne Marie
4/30 NDB re-impacted on CC2 for analysis
2/17/12 CC NDB was impacted on was cancelled</t>
  </si>
  <si>
    <t>6/15 Moved this piece to 41737 cc 52
5/18 BGE split into 3 releases - total is 124 pm's - BGE is only 116.99 - will need to true up in prompt</t>
  </si>
  <si>
    <t>6/15 No impact so closed with .01 pm's
5/18 Per Marianned closing with no impact</t>
  </si>
  <si>
    <t>6/15 Left burn here and moved rest of BGE 1.47 pm s to July since project moved
2/13 Per Vicky moved back to May
2/12 Moved from May to March Per Vicky - Nebraska CSP Conversion is still a 5/1 Claims Go Live, so mid March for us.  We need to move back to Q1B Release 
11/23 Project oom approved
11/14 Moved from Q1 to Q2 per Vicky
Project still in estimating</t>
  </si>
  <si>
    <t>400050350B</t>
  </si>
  <si>
    <t>01-15500-007</t>
  </si>
  <si>
    <t>05-57920-000</t>
  </si>
  <si>
    <t>15-63270-000</t>
  </si>
  <si>
    <t>04-71050-000</t>
  </si>
  <si>
    <t>04-65620-000</t>
  </si>
  <si>
    <t>04-66990-000</t>
  </si>
  <si>
    <t>06-13000-000</t>
  </si>
  <si>
    <t>10-47630-000</t>
  </si>
  <si>
    <t>04-62820-000</t>
  </si>
  <si>
    <t>11-65040-000</t>
  </si>
  <si>
    <t>05-64850-000</t>
  </si>
  <si>
    <t>11-65200-000</t>
  </si>
  <si>
    <t>04-54810-000</t>
  </si>
  <si>
    <t>11-62380-000</t>
  </si>
  <si>
    <t>Computer Services, COSMOS, Emptoris, EPMO, NDB, Network Technology &amp; Support, ORBIT - Operational Reporting, PAS - Navigator, Provider Data &amp; Reimbursement, Provider Intent Certification Tool (PIC)</t>
  </si>
  <si>
    <t>10/5 Project moved from Q2B12 to Q113.   
7/20 Project oom approved in prompt
Project not OOM approved in prompt</t>
  </si>
  <si>
    <t>TRICARE ICD-10 Modifications</t>
  </si>
  <si>
    <t>Alison Ross</t>
  </si>
  <si>
    <t>NICOLE GEDATUS</t>
  </si>
  <si>
    <t>KELLY HANDLEY</t>
  </si>
  <si>
    <t>PhyCon NDB Integration Analysis</t>
  </si>
  <si>
    <t>Regan Ristich</t>
  </si>
  <si>
    <t>Application Enablement, BPM CoE, BPM Development Group, EPMO, NDB</t>
  </si>
  <si>
    <t xml:space="preserve">LA Provider Directory </t>
  </si>
  <si>
    <t>Q2 MME/BH Interface Enhancements</t>
  </si>
  <si>
    <t>Deborah Happ</t>
  </si>
  <si>
    <t>BH-Facets - UBH, CareOne, Claims QA OHBS, EPMO, Facets Alpha, NDB, UHC C and S Business Requirements</t>
  </si>
  <si>
    <t>TouchPoint Provider Managed Security</t>
  </si>
  <si>
    <t>11-60210-000</t>
  </si>
  <si>
    <t>05-57680-000</t>
  </si>
  <si>
    <t>01-34030-005</t>
  </si>
  <si>
    <t>01-34030-006</t>
  </si>
  <si>
    <t>11-65050-000</t>
  </si>
  <si>
    <t>01-34030-007</t>
  </si>
  <si>
    <t>10-37440-000</t>
  </si>
  <si>
    <t>11-50240-000</t>
  </si>
  <si>
    <t>03-52260-000</t>
  </si>
  <si>
    <t>01-19260-014</t>
  </si>
  <si>
    <t>11-53450-000</t>
  </si>
  <si>
    <t>05-41000-000</t>
  </si>
  <si>
    <t>01-19260-013</t>
  </si>
  <si>
    <t>06-20940-000</t>
  </si>
  <si>
    <t>05-61550-000</t>
  </si>
  <si>
    <t>06-14650-000</t>
  </si>
  <si>
    <t>04-54690-000</t>
  </si>
  <si>
    <t>10-56330-000</t>
  </si>
  <si>
    <t>11-62470-000</t>
  </si>
  <si>
    <t>11-53470-000</t>
  </si>
  <si>
    <t>11-53630-000</t>
  </si>
  <si>
    <t>12-51830-000</t>
  </si>
  <si>
    <t>05-48270-000</t>
  </si>
  <si>
    <t>08-10800-003</t>
  </si>
  <si>
    <t>04-65560-000</t>
  </si>
  <si>
    <t>04-65570-000</t>
  </si>
  <si>
    <t>11-65240-000</t>
  </si>
  <si>
    <t>11-46220-000</t>
  </si>
  <si>
    <t>11-37990-003</t>
  </si>
  <si>
    <t>01-15500-010</t>
  </si>
  <si>
    <t>01-54440-000</t>
  </si>
  <si>
    <t>05-53150-000</t>
  </si>
  <si>
    <t>05-58170-000</t>
  </si>
  <si>
    <t>11-60780-000</t>
  </si>
  <si>
    <t>01-67140-000</t>
  </si>
  <si>
    <t>11-60740-000</t>
  </si>
  <si>
    <t xml:space="preserve">BH-Agate, BH-Data Warehouses, BH-Elig/Benefits, BH-HP Compare, BH-Linx, BH-PBH Facets, CFAS, Claims QA, Consumer Database (CDB), COSMOS, EDSS, EPMO, FSDB - Financial Summary Database (5087), Integrated Service Experience Tool ISET, LETGEN, NDB, Payables, </t>
  </si>
  <si>
    <t>CSP:  CLIA data automation</t>
  </si>
  <si>
    <t>Diane Kochol</t>
  </si>
  <si>
    <t>CSP Specialist change to PCP data</t>
  </si>
  <si>
    <t>CSP PCP Termination on Indicative level</t>
  </si>
  <si>
    <t>400054912A</t>
  </si>
  <si>
    <t>Operations
 (Eileen's team)
COSMOS</t>
  </si>
  <si>
    <t>Mel Johnston/ Mary Sue Stoy</t>
  </si>
  <si>
    <t>E.H.B. PLUS: Quote Ready Q2-2013 Release</t>
  </si>
  <si>
    <t>Elisa O'brien</t>
  </si>
  <si>
    <t>UBCS Prototype (RSA Analysis Only)</t>
  </si>
  <si>
    <t>Dan Schumacher</t>
  </si>
  <si>
    <t>ACIS Suite, B2B Provider Portal, B2C Provider Portal, BPM CoE, Claims Highway, Computer Services, Consumer Database (CDB), Enterprise Application Architecture, Enterprise Architecture Practices, Enterprise Information Management, Enterprise Systems Planni</t>
  </si>
  <si>
    <t>2/17/12 extended to 3/15/12
CC2</t>
  </si>
  <si>
    <t>2/17/12 Un-impacted in prompt</t>
  </si>
  <si>
    <t>2/17 NDB not engaged in project</t>
  </si>
  <si>
    <t>2/17/12 Moved from Q1 to Q2
9/2 Per Rick reduced estimate from 2.12 to  .6
Unused hours on project will be used for this effort.  A note is supposed to be added to prompt.</t>
  </si>
  <si>
    <t>Project still in estimating - Added additional release - oom split into 3 releases</t>
  </si>
  <si>
    <t>J. Melendez</t>
  </si>
  <si>
    <t>Provider Issues related to NDB, Portal &amp; ICUE</t>
  </si>
  <si>
    <t>Manoj Viswanathan</t>
  </si>
  <si>
    <t>Nelson, Sheila M</t>
  </si>
  <si>
    <t>Claims QA, COMET Desktop.NET, Consumer Account Management System (CAMS), EPMO, NDB, OH Business Analysts, OH Program Management, QMO - Quality Management Organization, TOPS</t>
  </si>
  <si>
    <t>Add NPI data to provider file extract</t>
  </si>
  <si>
    <t>Emptoris, Enterprise Information Management, EPMO, NDB, Network Technology &amp; Support</t>
  </si>
  <si>
    <t>Creation of new COSMOS PEND codes for MPQ tool</t>
  </si>
  <si>
    <t>B2B Provider Portal, Business Support Services, Claims QA, EDI, EPMO, HIPAA, IRIS, NDB, ppoONE, Project Management Services, UFE</t>
  </si>
  <si>
    <t xml:space="preserve">Capitation Feed for CSP from NDB </t>
  </si>
  <si>
    <t>BH-Facets - UBH, BPID, COSMOS, Data Delivery System (DDS), Emptoris, EPMO, Facets Solution Group, Facets Solution Group Architecture, GGMAP, ICD-10 Architecture, iCES Clearinghouse, NDB, PHS - NICE, ppoONE, PULSE Database, TOPS, UFE, UHCTS-UMR Facets, UHC</t>
  </si>
  <si>
    <t>TOPS Password Strength Remediation</t>
  </si>
  <si>
    <t>B2C Provider Portal, EPMO, NDB, Network Technology &amp; Support</t>
  </si>
  <si>
    <t>ACIS Suite, CES, CIX (Customer Installation Express), Claims QA, Consumer Database (CDB), Contact Center Services, Employer Portal, eServices Billing, FSDB - Financial Summary Database (5087), HealthAllies n-Tier Application, IBAAG - BPST (Template update</t>
  </si>
  <si>
    <t>Prospective Fraud Process Enhancement</t>
  </si>
  <si>
    <t>Ambulance Claims with Fractional Mileage</t>
  </si>
  <si>
    <t xml:space="preserve">Susan Gamache </t>
  </si>
  <si>
    <t>Application Enablement, B2B Provider Portal, B2C Provider Portal, BPID, BPM Development Group, Claims Highway, Claims QA, Contact Center Services, COSMOS, Enterprise Information Management, Enterprise Systems Planning Business Architecture, EPMO, Facets S</t>
  </si>
  <si>
    <t>NDB HIPAA Application Logging</t>
  </si>
  <si>
    <t>3/5 CC is now scheduled
CC10 - zero is being added to prompt and the 1.64 is being taken from the oom</t>
  </si>
  <si>
    <t xml:space="preserve">Exchange Analysis </t>
  </si>
  <si>
    <t>ACIS Suite, Application Enablement, B2B Provider Portal, B2C Provider Portal, BASICS, BPID, CDD, Claims QA, Claims QA - EDI, Claims QA - Specialty Benefits, CMDB (Correction Management Database), Consumer Database (CDB), Contact Center Services, COSMOS, C</t>
  </si>
  <si>
    <t>ACIS Suite, Application Enablement, Automated Underwriting, B2B Provider Portal, B2C Provider Portal, BASICS, BH-Agate, BH-Facets - UBH, BH-PBH Facets, CDD, CISS - TOPS Case Installation, CIX (Customer Installation Express), Claims Highway, Claims QA, Cla</t>
  </si>
  <si>
    <t>Application Enablement, EPMO, NDB, Network Technology &amp; Support</t>
  </si>
  <si>
    <t>UHOne Provider Portal User Authentication</t>
  </si>
  <si>
    <t>Liz Greenamoyer</t>
  </si>
  <si>
    <t>B2C Provider Portal, Consumer Database (CDB), EPMO, NDB</t>
  </si>
  <si>
    <t>Lila Brand</t>
  </si>
  <si>
    <t>ACIS Suite, AmeriChoice, Application Enablement, B2B Provider Portal, B2C Provider Portal, CareOne, CCS-CCF, CES, Consumer Database (CDB), COSMOS, Cross Application Testing, Enterprise Architecture, NDB, TOPS</t>
  </si>
  <si>
    <t>ACIS Suite, Application Enablement, CBTS - Clinical Architecture, CCS-CCF, Consumer Database (CDB), Cross Application Testing, Enterprise Application Architecture, Enterprise Content Management and Architecture, Enterprise Information Management, Enterpri</t>
  </si>
  <si>
    <t>ACIS Suite, Application Enablement, CareOne, CCS-CCF, CES, Consumer Database (CDB), COSMOS, Cross Application Testing, Enterprise Application Architecture, Enterprise Content Management and Architecture, Enterprise Information Management, Enterprise Lette</t>
  </si>
  <si>
    <t>3/24 Project cancelled in Prompt</t>
  </si>
  <si>
    <t>UAT/ INT Date</t>
  </si>
  <si>
    <t>UAT/INT
Owner</t>
  </si>
  <si>
    <t>UAT/INT Prod Checkout</t>
  </si>
  <si>
    <t>OI00223U1</t>
  </si>
  <si>
    <t>CC 4
3/29 Reduced pm's from 9.73 to 5.99 pm's</t>
  </si>
  <si>
    <t>Application Enablement, Claims Highway, Claims QA, Computer Services, Consumer Database (CDB), COSMOS, Enterprise Letter Generation System, ETQS - Enterprise Technology Quality Services, GGMAP, NDB, ppoONE, Testing Environment and Integration, TOPS</t>
  </si>
  <si>
    <t>IRIS HIPAA 5010 OptumRx 835 &amp; 837P</t>
  </si>
  <si>
    <t>Correia, Randell J</t>
  </si>
  <si>
    <t>WO Add Divs to Lockout Code Report - Modify Prompt</t>
  </si>
  <si>
    <t>Patricia Hanson</t>
  </si>
  <si>
    <t>DINO G KASDAGLY</t>
  </si>
  <si>
    <t xml:space="preserve">WO NPI add to Unet ORBIT Frd &amp; Abus Non Par Prvdr </t>
  </si>
  <si>
    <t>BH-Facets - UBH, BPID, Claims QA, COSMOS, EPMO, NDB, OptumHealth Segment Architecture - OHBS</t>
  </si>
  <si>
    <t>400049907A</t>
  </si>
  <si>
    <t>Application Enablement, Audit Recovery Operations (ARO) Datamart, B2B Provider Portal, B2C Provider Portal, BH-Clinical Applications, BH-Liveandworkwell.com, Card Request System (CRS), CareOne, CFAS, Claims Highway, Claims QA, Claims QA - EDI, Consumer Da</t>
  </si>
  <si>
    <t>New Mexico Implementation</t>
  </si>
  <si>
    <t>Kevin Kandalaft</t>
  </si>
  <si>
    <t>Application Enablement, B2B Provider Portal, B2C Provider Portal, BH-Facets - UBH, BH-Liveandworkwell.com, BH-Public Sector Portals, BH-ubhonline.com, Card Request System (CRS), CareOne, CFAS, Claims Highway, Claims QA, Claims QA - EDI, Claims QA OHBS, Co</t>
  </si>
  <si>
    <t>Claims QA, EPMO, NDB, UHC C and S Business Requirements, UHC C and S Diamond-Diamond Interfaces</t>
  </si>
  <si>
    <t>Florida Long Term Care Expansion</t>
  </si>
  <si>
    <t>Carole Curry</t>
  </si>
  <si>
    <t>Kathleen Crampton</t>
  </si>
  <si>
    <t>Application Enablement, Audit Recovery Operations (ARO) Datamart, B2B Provider Portal, B2C Provider Portal, Card Request System (CRS), CareOne, CASP Webstrat-QCA, CFAS, Claims Highway, Claims QA, Claims QA - EDI, Claims QA - Specialty Benefits, Consumer D</t>
  </si>
  <si>
    <t>AZ SMI - MARICOPA (WHOLE HEALTH ALLIANCE)</t>
  </si>
  <si>
    <t>Katie Selman</t>
  </si>
  <si>
    <t>Kent Monical/Bill Hagan</t>
  </si>
  <si>
    <t>BH-Agate, BH-Customer Reporting, BH-Data Warehouses, BH-Eagle, BH-EDI/Data Extracts, BH-Elig/Accum, BH-Elig/Benefits, BH-Facets - UBH, BH-HP Compare, BH-Linx, BH-PBH Facets, BH-Shared Components, Claims QA, Claims QA - EDI, Claims QA OHBS, Consumer Databa</t>
  </si>
  <si>
    <t>B2B Provider Portal, BH-Agate, BH-Customer Reporting, BH-Data Warehouses, BH-EDI/Data Extracts, BH-Elig/Accum, BH-Elig/Benefits, BH-Facets - UBH, BH-Linx, BH-PBH Facets, Consumer Database (CDB), EDSS - Enterprise Data Storage System, FSDB - Financial Summ</t>
  </si>
  <si>
    <t>Application Enablement, BH-Facets - UBH, BH-Liveandworkwell.com, BH-Shared Components, Claims QA, Consumer Account Management System (CAMS), Consumer Database (CDB), COSMOS, Enterprise Application Architecture, Enterprise Information Management, Enterpris</t>
  </si>
  <si>
    <t>ACIS Suite, Application Enablement, B2B Provider Portal, B2C Provider Portal, CareOne, CCS-CCF, CES, Claims QA, Consumer Database (CDB), COSMOS, Enterprise Application Architecture, Enterprise Information Management, Enterprise Letter Generation System, E</t>
  </si>
  <si>
    <t>BH-Facets - UBH, Claims QA, Claims QA OHBS, COSMOS, EPMO, NDB, TOPS</t>
  </si>
  <si>
    <t>Adler, Deb</t>
  </si>
  <si>
    <t>Audit Recovery Operations (ARO) Datamart, B2B Provider Portal, BH-Agate, BH-Clinical Applications, BH-Customer Dashboards, BH-Data Warehouses, BH-Facets - UBH, BH-Linx, BH-Liveandworkwell.com, BH-NetSmart, BH-PBH Facets, BH-Public Sector Portals, BH-Share</t>
  </si>
  <si>
    <t>Optum Health</t>
  </si>
  <si>
    <t>B2C Provider Portal, BH-Data Warehouses, BH-Facets - UBH, BH-Liveandworkwell.com, BH-Shared Components, BH-ubhonline.com, BPID, Claims QA, Claims QA - EDI, Claims QA OHBS, Consumer Database (CDB), EPMO, ETS (Escalation Tracking System), Facets Alpha, Info</t>
  </si>
  <si>
    <t>Maricopa County (Arizona) RBHA with SMI Health HOm</t>
  </si>
  <si>
    <t>Daniel Berger</t>
  </si>
  <si>
    <t>Steve Myers</t>
  </si>
  <si>
    <t>Audit Recovery Operations (ARO) Datamart, B2C Provider Portal, BH-Data Warehouses, BH-Facets - UBH, BH-Linx, BH-Liveandworkwell.com, BH-Portals, BH-Public Sector Portals, BH-Shared Components, BH-ubhonline.com, Connected Care (TeleHealth), Consumer Databa</t>
  </si>
  <si>
    <t>eSync Clin Ops Q2 2013</t>
  </si>
  <si>
    <t>Application Enablement, B2B Provider Portal, B2C Provider Portal, Claims QA, Claims QA - EDI, Computer Services, Consumer Database (CDB), COSMOS, Enterprise Architecture Practices, Enterprise Information Management - Data Architect, Enterprise Letter Gene</t>
  </si>
  <si>
    <t>400057151A</t>
  </si>
  <si>
    <t>400056003A</t>
  </si>
  <si>
    <t>400057364A</t>
  </si>
  <si>
    <t>1/25/13  All effort moved back to April 2013 release
1/18/2013 BGE split into 2 releases - sprf may change on this piece</t>
  </si>
  <si>
    <t>Mel Johnston, Brian Short</t>
  </si>
  <si>
    <t>William Bird</t>
  </si>
  <si>
    <t>Christopher Johnston</t>
  </si>
  <si>
    <t>Emptoris Rigel Release Preparation</t>
  </si>
  <si>
    <t>B2B Provider Portal, Claims QA, Claims QA - EDI, Employer Portal, EPMO, Myuhc - Member Portal, NDB, Oracle Universal Content Management (UCM), PHS - EDI, PHS - FDS - Financial Data Store (FDS), PHS - IFS (Integrated Financial System) Oracle Fin, PHS - IVR</t>
  </si>
  <si>
    <t>Application Enablement, Claims QA, Computer Services, COSMOS, Emptoris, EPMO, Hospital Pricing Model (HPM), Information Risk Management, NDB, ORBIT - Operational Reporting, PAS - Navigator, Provider Intent Certification Tool (PIC), UNO/UIS</t>
  </si>
  <si>
    <t>ACIS Suite, Application Enablement, Claims QA, Consumer Database (CDB), COSMOS, EPMO, GEOAccess, Healthcare Alliance - Medica, Information Risk Management, Myuhc - Member Portal, NDB, PRIME, Systems Integration</t>
  </si>
  <si>
    <t>Application Enablement, Consumer Database (CDB), Electronic Eligibility Management System (EEMS), Enterprise Information Management, EPMO, NDB, UP Policy Profile Service</t>
  </si>
  <si>
    <t xml:space="preserve">Sys.Operating Control-Gap Analysis &amp; Self-Service </t>
  </si>
  <si>
    <t>400055538A</t>
  </si>
  <si>
    <t xml:space="preserve">BH-Facets - UBH, BH-Shared Components, BPID, BPM Development Group, Claims QA OHBS, Emptoris, Enterprise Information Management, EPMO, Healthcare Alliance - Medica, NDB, OHCS - PH Accent, ORBIT - Operational Reporting, PAS - Small Projects, ppoONE, QMO - </t>
  </si>
  <si>
    <t>Adjudipro, Application Enablement, ATG Automated Transaction Generator, B2B Provider Portal, B2C Provider Portal, Business Intent Certification Tool (BIC), CareOne, CFAS, Claims Highway, Claims QA, COMET Desktop.NET, Computer Services, Consumer Account Ma</t>
  </si>
  <si>
    <t>B2B Provider Portal, Capitation - Business Analysis, Claims Highway, Claims QA, Employer Portal, Enterprise Application Architecture, Enterprise Information Management, Enterprise Product Planning &amp; Architecture (EPPA), EPMO, FSDB - Financial Summary Data</t>
  </si>
  <si>
    <t>Application Enablement, Claim Work DIstribution (CWD), Claims Highway, Claims QA, COMET Desktop.NET, Computer Services, Enterprise Adjudication Service, EPMO, NDB, Testing Environment and Integration, TOPS</t>
  </si>
  <si>
    <t>W/O NDB COSMOS Panels (IM Ticket 12128846)</t>
  </si>
  <si>
    <t>Q1 2013 Risk Carve Out</t>
  </si>
  <si>
    <t>Jason Vanden Akker</t>
  </si>
  <si>
    <t>Facets NDB Alt Id Updates</t>
  </si>
  <si>
    <t>11-71109-000</t>
  </si>
  <si>
    <t>06-17710-000</t>
  </si>
  <si>
    <t>400052518A</t>
  </si>
  <si>
    <t>Lori Bravoco/Mary Sue Stoy</t>
  </si>
  <si>
    <t xml:space="preserve">RM   </t>
  </si>
  <si>
    <t>B2B Provider Portal, B2C Provider Portal, CareOne, CCS-CCF, Contact Center Services, Cross Application Testing, NDB, Testing Environment and Integration, TOPS, United Voice Portal Business</t>
  </si>
  <si>
    <t>Cross Application Testing, Data Management, Enterprise Architecture, NDB, ORBIT - Operational Reporting</t>
  </si>
  <si>
    <t>AmeriChoice, CareOne, CareOne ODS, Consumer Database (CDB), Cross Application Testing, Enterprise Application Architecture, Facets Alpha, Facets Solution Group, NDB, OHCS - Data Management, PDG, UHC C and S Med Mgmt CareOne, UHC C and S MSO Integration La</t>
  </si>
  <si>
    <t>ACIS Suite, Application Enablement, B2B Provider Portal, CareOne, CCS-CCF, CES, Claims QA, Consumer Database (CDB), COSMOS, Cross Application Testing, Enterprise Application Architecture, Enterprise EDI Business Solutions, Enterprise EDI Technical Operati</t>
  </si>
  <si>
    <t>ICUE Q4 2011 Release</t>
  </si>
  <si>
    <t>OI001252</t>
  </si>
  <si>
    <t>OI00254</t>
  </si>
  <si>
    <t>OI00255</t>
  </si>
  <si>
    <t>OI00256</t>
  </si>
  <si>
    <t>OI00257</t>
  </si>
  <si>
    <t>OI00252R1</t>
  </si>
  <si>
    <t>OI00254R1</t>
  </si>
  <si>
    <t>OI00256R1</t>
  </si>
  <si>
    <t>OI00257R1</t>
  </si>
  <si>
    <t>Emptoris Test Environment Change - Facility Feed</t>
  </si>
  <si>
    <t>Emptoris Test Environment Change - Physician Feed</t>
  </si>
  <si>
    <t xml:space="preserve">BSAR Screen 7 Inactive AddR Display &amp; Search by State </t>
  </si>
  <si>
    <t xml:space="preserve">Diamond ID Issues Created by Address Changes. </t>
  </si>
  <si>
    <t xml:space="preserve">BSARs Address/Contract loading </t>
  </si>
  <si>
    <t>5/23 Per Karla cc7 has been cancelled
12/20/10- Based on note from Karla Starks PM- this project has been moved from May 2011 Release.  Vicky  has meetings scheduled in January 2011.</t>
  </si>
  <si>
    <t>5/23/11 NDB unimpacted on 5/11/11
Estimate in prompt is 1.57 - will be reduced to 80 hours at the lockdown estimate</t>
  </si>
  <si>
    <t>5/23 Updated estimate from 6.65 to 7.31 per Rev and increase in lde</t>
  </si>
  <si>
    <t>Consumer Transparency RSA Estimate</t>
  </si>
  <si>
    <t>Application Enablement, Claims Highway, Computer Services, Consumer Account Management System (CAMS), Consumer Database (CDB), Enterprise Application Architecture, Enterprise Information Management, ESP Systems Planning and Alignment, GEOAccess, GGMAP, ND</t>
  </si>
  <si>
    <t>C&amp;S New Mexico Provider Data Repository</t>
  </si>
  <si>
    <t>Medica IFB new market type code</t>
  </si>
  <si>
    <t>Application Enablement, CES, Claims QA, Consumer Database (CDB), Cross Application Testing, IBAAG - IT (System Changes), Integrated Service Experience Tool ISET, NDB, ORS, TOPS</t>
  </si>
  <si>
    <t>Claim Repricing Orbit report change for MAMSI</t>
  </si>
  <si>
    <t>Scott Cutlip</t>
  </si>
  <si>
    <t>Premium Cardiac Disease State Change</t>
  </si>
  <si>
    <t>Stephanie Rich</t>
  </si>
  <si>
    <t>GEOAccess, IDT - Intelligent Desktop, Myuhc - Member Portal, NDB</t>
  </si>
  <si>
    <t>Contract Arrangement Acknowledgement File</t>
  </si>
  <si>
    <t>Claim Search Results Detail Parity Phase 2</t>
  </si>
  <si>
    <t>PS305 Medica changes</t>
  </si>
  <si>
    <t>UHC Core For Western PA</t>
  </si>
  <si>
    <t>Desmond Hussey</t>
  </si>
  <si>
    <t xml:space="preserve">ACIS Suite, B2B Provider Portal, B2C Provider Portal, CES, CIX (Customer Installation Express), Employer Portal, Enterprise Product Planning &amp; Architecture (EPPA), GEOAccess, IBAAG - BPST (Template updates and testing), Integrated Service Experience Tool </t>
  </si>
  <si>
    <t>ACN for ISET</t>
  </si>
  <si>
    <t>Georgia Heritage Expansion to Facets</t>
  </si>
  <si>
    <t>NDC Pricing Phase 1 Stabilization Issues</t>
  </si>
  <si>
    <t>Application Enablement, EPMO, NDB, ppoONE, Provider Network Analysis UAT &amp; Tools</t>
  </si>
  <si>
    <t>Deere Premier Provider Directory list from NDB</t>
  </si>
  <si>
    <t>2011 NDB Provider Pick Research Analysis Only</t>
  </si>
  <si>
    <t>Application Enablement, Consumer Database (CDB), Contact Center Services, EPMO, NDB, Network Technology &amp; Support, United Voice Portal Business</t>
  </si>
  <si>
    <t>400041201A</t>
  </si>
  <si>
    <t>completed in prompt - never scheduled for NDB</t>
  </si>
  <si>
    <t>NDB not impacted  in prompt and now completed in prompt</t>
  </si>
  <si>
    <t>cancelled in prompt</t>
  </si>
  <si>
    <t>Cancelled in prompt</t>
  </si>
  <si>
    <t>ED - PARIS Decommission 2011</t>
  </si>
  <si>
    <t>4-21244 EPS and Payables Merge</t>
  </si>
  <si>
    <t>EPS/Payables Merge</t>
  </si>
  <si>
    <t>James Koji</t>
  </si>
  <si>
    <t>CDHP E2E Pre-Implementation Testing Process</t>
  </si>
  <si>
    <t>FS-DDC 2010 05-49570-000</t>
  </si>
  <si>
    <t>MARK ALMETER</t>
  </si>
  <si>
    <t>WO - Set EPS Indicator to Y</t>
  </si>
  <si>
    <t xml:space="preserve">4-17818 EPS Payables release 1 </t>
  </si>
  <si>
    <t>B2B Provider Portal, B2C Provider Portal, CareOne, EPMO, I-CUE Core, NDB</t>
  </si>
  <si>
    <t>Provider Issues - ICUE Changes - Q4 2012</t>
  </si>
  <si>
    <t>Provider Issues - NDB Changes - Q4 2012</t>
  </si>
  <si>
    <t>B2B Provider Portal, B2C Provider Portal, EPMO, I-CUE Core, NDB</t>
  </si>
  <si>
    <t>Provider Issues - NDB Changes - Q1 2013</t>
  </si>
  <si>
    <t>Provider Issues - B2X Changes - Q1 2013</t>
  </si>
  <si>
    <t>Provider Issues - ICUE Changes - Q1 2013</t>
  </si>
  <si>
    <t>EPMO, GGMAP, NDB, ppoONE, UFE, UHCTS-UMR EDI Services, UHCTS-UMR-WAU(Wausau)</t>
  </si>
  <si>
    <t xml:space="preserve">OneNet EDI Trading Partner Setup </t>
  </si>
  <si>
    <t>ACIS Suite, Application Enablement, B2B Provider Portal, B2C Provider Portal, Claims QA, Claims QA - EDI, COMET Desktop.NET, Consumer Database (CDB), Enterprise Product Planning &amp; Architecture (EPPA), EPMO, NDB, PRIME, TOPS, UFE, UP Policy Profile Service</t>
  </si>
  <si>
    <t>Nebraska new State Requirements</t>
  </si>
  <si>
    <t>6/22 CC 14 was cancelled and CC 15 was scheduled
4/16 Added 1.65 pm to 21.17 effort for CC 14 - cc still in estimating in prompt
CC 12</t>
  </si>
  <si>
    <t>1/23 CC8 - Increased the amount from 3.88 to 4.58 
10/31 Project oom approved
CC6 -CC still in estimating in prompt</t>
  </si>
  <si>
    <t>CC9 - zero is being added to prompt and the 3.4 is being taken from the oom</t>
  </si>
  <si>
    <t>Application Enablement, Audit Recovery Operations (ARO) Datamart, B2B Provider Portal, B2C Provider Portal, BH-Clinical Applications, BH-Customer Reporting, BH-Data Warehouses, BH-EDI/Data Extracts, BH-Elig/Benefits, BH-Facets - UBH, BH-HP Compare, BH-Lif</t>
  </si>
  <si>
    <t>Application Enablement, B2B Provider Portal, B2C Provider Portal, Claims Highway, Claims QA, Claims QA - EDI, Computer Services, Consumer Database (CDB), COSMOS, Cross Application Testing, Enterprise EDI Technical Operations, Enterprise Information Manage</t>
  </si>
  <si>
    <t xml:space="preserve">FACETS CSP Build in Master </t>
  </si>
  <si>
    <t>10-71233-000</t>
  </si>
  <si>
    <t>400052510A</t>
  </si>
  <si>
    <t>400053553A</t>
  </si>
  <si>
    <t xml:space="preserve">MDTR-2011-1115-1A-NDB </t>
  </si>
  <si>
    <t>DTR</t>
  </si>
  <si>
    <t>Green</t>
  </si>
  <si>
    <t>DTR- Tech only deploy</t>
  </si>
  <si>
    <t>R. Zaladanki</t>
  </si>
  <si>
    <t>7/3 Project now oom approved in prompt
6/8 Project A/O in prompt but testing only for NDB - project still in est in Prompt</t>
  </si>
  <si>
    <t>Transparency: OHBS Members CS-UHC Consumer Trans</t>
  </si>
  <si>
    <t>ORS ISSUES TO BE ASSIGNED SCREEN</t>
  </si>
  <si>
    <t>Karen DaveZac</t>
  </si>
  <si>
    <t>Application Enablement, CES, Claims QA, COMET Desktop.NET, Consumer Database (CDB), Cross Application Testing, EPMO, NDB, Network Technology &amp; Support, Provider Network Analysis UAT &amp; Tools, Testing Environment and Integration, TOPS</t>
  </si>
  <si>
    <t>Bank Information System (BIS), BASICS, CES, Cross Application Testing, NDB, PRIME, Summary Check, TOPS, United eServices</t>
  </si>
  <si>
    <t xml:space="preserve">Acquisition Integrations, Application Enablement, Cross Application Testing, Enterprise Architecture, Enterprise Solutions, Foundation Frameworks, Galaxy, NDB, PHS - ILIAD, PHS - NICE, PHS - QicLink/ClaimExchange, Systems Integration, Testing Environment </t>
  </si>
  <si>
    <t>B2B Provider Portal, B2C Provider Portal, CES, Consumer Database (CDB), COSMOS, Cross Application Testing, HIPAA, NDB, Railroad, Testing Environment and Integration, TOPS, UFE</t>
  </si>
  <si>
    <t>EeS Modernization R2- UI redesign Shared Architect</t>
  </si>
  <si>
    <t xml:space="preserve">Application Enablement, BH-Facets - UBH, BH-ubhonline.com, Claims QA, Consumer Account Management System (CAMS), Consumer Database (CDB), COSMOS, Enterprise Application Architecture, Enterprise Information Management, Enterprise Systems Planning Business </t>
  </si>
  <si>
    <t>ACIS Suite, CES, COSMOS, EPD/NDB, PRIME, Program Definition Intake Team, Solutions Engineering, ACIS, Tops, Prime, CES, Provider EPD/NDM, Summary Check, TOPS, Unet - Front End, Unet Batch</t>
  </si>
  <si>
    <t>CES, Computer Services, Consumer Database (CDB), COSMOS, Cross Application Testing, NDB, Testing Environment and Integration, TOPS</t>
  </si>
  <si>
    <t>ACIS Suite, Application Enablement, Applications Impacted Unknown, BASICS, CDD, CES, Consumer Database (CDB), Contact Center Services, COSMOS, Cross Application Testing, Data Delivery System (DDS), Data Management, EA Data Architecture, Employer Portal, e</t>
  </si>
  <si>
    <t>Applications Impacted Unknown, B2B Provider Portal, B2C Provider Portal, CCS-CCF, Cross Application Testing, Enterprise Care Management, EPMO, NDB, Summary Check, Testing Environment and Integration, TOPS</t>
  </si>
  <si>
    <t xml:space="preserve">Acquisition Integrations, CES, Consumer Database (CDB), Cross Application Testing, Enterprise Architecture, NDB, ORBIT - Operational Reporting, PHS - NICE, PHS - NICE Capitation, Provider Network Analysis UAT &amp; Tools, Systems Integration, United Platform </t>
  </si>
  <si>
    <t>Application Enablement, CES, Consumer Account Management System (CAMS), Consumer Database (CDB), Cross Application Testing, GRDC - (Group Reporting Data Control), ISEC (Internet Security Database), Myuhc - Member Portal, NDB, PCIS, PRIME, Product Attribut</t>
  </si>
  <si>
    <t>Cross Application Testing, NDB, OTS - Overpayment Tracking System, Testing Environment and Integration, TOPS, TRACR, USEC - Universal Security Systems</t>
  </si>
  <si>
    <t>Computer Services, Cross Application Testing, Enterprise Architecture, EPMO, Ingenix ITD Solutions Architecture, NDB, Provider Network Analysis UAT &amp; Tools, Reimbursement Technology</t>
  </si>
  <si>
    <t>BH-Facets - UBH, BPID, COSMOS, Cross Application Testing, EPMO, NDB, Network Technology &amp; Support, OptumHealth Behavioral Solutions, Provider Network Analysis UAT &amp; Tools, Reimbursement Technology, Testing Environment and Integration</t>
  </si>
  <si>
    <t>Application Enablement, B2B Provider Portal, B2C Provider Portal, COSMOS, Cross Application Testing, Enterprise Architecture, EPMO, Foundation Frameworks, IDT - Intelligent Desktop, Integrated Service Experience Tool ISET, NDB, ppoONE, Provider Network An</t>
  </si>
  <si>
    <t>BH-Shared Components, CDD, CES, Cross Application Testing, Data Delivery System (DDS), Diamond Interfaces, Enterprise Letter Generation System, EPMO, ETS (Escalation Tracking System), IDT - Intelligent Desktop, iLEAD, Integrated Service Experience Tool IS</t>
  </si>
  <si>
    <t>Cross Application Testing, NDB, Testing Environment and Integration</t>
  </si>
  <si>
    <t>B2B Provider Portal, B2C Provider Portal, CareOne, CES, Consumer Database (CDB), COSMOS, Cross Application Testing, ETS (Escalation Tracking System), IDT - Intelligent Desktop, iLEAD, Integrated Service Experience Tool ISET, Myuhc - Member Portal, NDB, Te</t>
  </si>
  <si>
    <t>ACIS Suite, Adjudipro, Application Enablement, B2B Provider Portal, B2C Provider Portal, BASICS, BSG, CareOne, CCS-CCF, CMA (Content Management Application), Computer Services, Consumer Database (CDB), Contact Center Services, CPW, Cross Application Testi</t>
  </si>
  <si>
    <t>Cross Application Testing, NDB, Testing Environment and Integration, TOPS</t>
  </si>
  <si>
    <t>CDD, Cross Application Testing, Galaxy, NDB, TOPS</t>
  </si>
  <si>
    <t>Cross Application Testing, NDB, ORBIT - Operational Reporting</t>
  </si>
  <si>
    <t>Cross Application Testing, EPMO, NDB</t>
  </si>
  <si>
    <t>B2B Provider Portal, B2C Provider Portal, Consumer Database (CDB), COSMOS, COSMOS Medicaid Processing, Cross Application Testing, EPMO, FSDB - Financial Summary Database (5087), FTS Financial Tagging Service, Galaxy, NDB</t>
  </si>
  <si>
    <t>COSMOS, Cross Application Testing, EPMO, Galaxy, NDB, Network Technology &amp; Support, UFE</t>
  </si>
  <si>
    <t>COSMOS, Cross Application Testing, EPMO, NDB, Provider Network Analysis UAT &amp; Tools</t>
  </si>
  <si>
    <t>Application Enablement, Claims Highway, Consumer Database (CDB), COSMOS, CPW, Cross Application Testing, Enterprise Architecture, EPMO, Foundation Frameworks, NDB, ppoONE, Provider Network Analysis UAT &amp; Tools, Reimbursement Technology, Testing Environmen</t>
  </si>
  <si>
    <t>ACIS Suite, B2B Provider Portal, CDD, CES, CFAS, COMCALC, Computer Services, Consumer Database (CDB), FICS, FMR (Field Mgmt Reporting), Foundation Frameworks, GFLX, GRDC - (Group Reporting Data Control), IBAAG - IT (System Changes), iCES Clearinghouse, In</t>
  </si>
  <si>
    <t>Radiology EDI 274 Segment Update</t>
  </si>
  <si>
    <t>Adjudipro, BH-Customer Reporting, BH-Data Warehouses, BH-EDI/Data Extracts, BH-Elig/Accum, BH-Elig/Benefits, BH-Linx, BH-PBH Facets, BH-Shared Components, CFAS, Consumer Database (CDB), COSMOS, EDSS, FSDB - Financial Summary Database (5087), Integrated Se</t>
  </si>
  <si>
    <t>ACIS Suite, Application Enablement, B2B Provider Portal, BASICS, CES, CIX (Customer Installation Express), COMCALC, Contact Center Services, Data Management, Electronic Eligibility Management System (EEMS), Employer Portal, Enterprise Application Architec</t>
  </si>
  <si>
    <t>Initiate Upgraded</t>
  </si>
  <si>
    <t>11-65490-000</t>
  </si>
  <si>
    <t>10-12345-000</t>
  </si>
  <si>
    <t>400051823A</t>
  </si>
  <si>
    <t>400051999A</t>
  </si>
  <si>
    <t>Cancelled in prompt 4/20/12</t>
  </si>
  <si>
    <t>Cross Application Testing, Data Delivery System (DDS), Data Management, EA Data Architecture, iCES Clearinghouse, IDT - Intelligent Desktop, NDB, Summary Check, Systems Integration, Testing Environment and Integration, TOPS</t>
  </si>
  <si>
    <t>Application Enablement, B2B Provider Portal, Cross Application Testing, NDB</t>
  </si>
  <si>
    <t xml:space="preserve">Application Enablement, BASICS, CES, COMCALC, Contact Center Services, Cross Application Testing, Data Management, Enterprise Application Architecture, Enterprise Architecture, EPMO, eServices Billing, Foundation Frameworks, Healthcare Alliance - Harvard </t>
  </si>
  <si>
    <t>ACIS Suite, BASICS, CES, Cross Application Testing, CTS - Common Tables System, Employer Portal, eServices Billing, FSDB - Financial Summary Database (5087), Healthcare Alliance - Medica, IDT - Intelligent Desktop, NDB, Systems Integration</t>
  </si>
  <si>
    <t>Medica myPlan Passport with &amp; without ACO offering</t>
  </si>
  <si>
    <t>PPACA Taxes and Fees</t>
  </si>
  <si>
    <t>Kristi Rodriguez</t>
  </si>
  <si>
    <t>Anita Bachman</t>
  </si>
  <si>
    <t>Card Request System (CRS), Claims QA, Claims QA - EDI, Consumer Database (CDB), EPMO, Facets Alpha, FSDB - Financial Summary Database (5087), FTS Financial Tagging Service, NDB, RPS - Reserve Production System (5611), UFE, UHC C and S BI (Business Intelli</t>
  </si>
  <si>
    <t>Innovation Continuity for Cosmos-based Plans</t>
  </si>
  <si>
    <t>Application Enablement, Enterprise Information Management, EPMO, GEOAccess, Myuhc - Member Portal, NDB, UHC C and S Provider Web Applications, UHC M and R Provider Search, UHN Reporting Database, Unified Data Warehouse (UDW)</t>
  </si>
  <si>
    <t>BH-IFM (Fraud Manager), Claims QA, Consumer Database (CDB), COSMOS, COSMOS Medicaid Processing, EPMO, LETGEN, NDB, Quality Solutions Development, UnitedHealth Group Print Services</t>
  </si>
  <si>
    <t>Cancelled 4/27/12 in prompt</t>
  </si>
  <si>
    <t>myMedica Find A Doc integration</t>
  </si>
  <si>
    <t>Claims QA, Claims QA - EDI, Consumer Account Management System (CAMS), Employer Portal, Enterprise EDI Business Solutions, EPMO, NDB, OH Business Analysts, ppoONE, UHCTS-UMR EDI Services, UHCTS-UMR Portal, UHCTS-UMR Reporting/DW/Analytics, UHCTS-UMR Valid</t>
  </si>
  <si>
    <t>TBS Provider DQ Bridge NDB Gaps Nov 2012 Release</t>
  </si>
  <si>
    <t>Moving XPF claims into MPQ process</t>
  </si>
  <si>
    <t>Claims QA, NDB, UHC C and S Facets-Interfaces-Detroit</t>
  </si>
  <si>
    <t>ED – Resolution (PHS) - Migration</t>
  </si>
  <si>
    <t>HCR Exchanges-Prdcer/Navi/Constit Tools</t>
  </si>
  <si>
    <t>Liz Canis</t>
  </si>
  <si>
    <t>B2C Provider Portal, Emptoris, Enterprise Information Management, EPMO, NDB, United Health Premium Designation (UHPD)</t>
  </si>
  <si>
    <t>Application Enablement, B2B Provider Portal, B2C Provider Portal, BH-Liveandworkwell.com, BPID, Claims Highway, Claims QA, Claims QA - EDI, Cross Application Testing, Data Delivery System (DDS), Enterprise Application Architecture, Enterprise EDI Business</t>
  </si>
  <si>
    <t>Application Enablement, B2B Provider Portal, B2C Provider Portal, BPID, Business Intent Certification Tool (BIC), CDD, CES, CFAS, Claims Highway, Claims QA, Claims QA Oxford, CMDB (Correction Management Database), COMET Desktop.NET, Computer Services, Con</t>
  </si>
  <si>
    <t>Application Enablement, BPID, EPMO, Innovation Delivery Center, NDB</t>
  </si>
  <si>
    <t>Matt Stout</t>
  </si>
  <si>
    <t>TX ERS - WorkStream3:  Portals, Constituent Servic</t>
  </si>
  <si>
    <t xml:space="preserve">Medica Commerical Business- COSMOS MEC DIV </t>
  </si>
  <si>
    <t>Kansas Medicaid - KanCare Implementation</t>
  </si>
  <si>
    <t>400047877A</t>
  </si>
  <si>
    <t>11/10 - cancelled in prompt 10/25</t>
  </si>
  <si>
    <t>11/14 Per Marianne close with no impact
9/2 Per Rick can be reduce from 1.43 to .6
SME and Testing support</t>
  </si>
  <si>
    <t>11/14 reduced 17.53 to 10.15pm’s 
Includes burn under other sprf before moved to this one
8/2 CC is now scheduled
CC 6 - cc still in estimating in prompt- replacing  sprf 4-43458</t>
  </si>
  <si>
    <t>Application Enablement, Claims Highway, Claims QA, Computer Services, ETQS - Enterprise Technology Quality Services, NDB, Testing Environment and Integration</t>
  </si>
  <si>
    <t>HPHC JV Implementation on OHBS Facets</t>
  </si>
  <si>
    <t>4/30 Project oom approved
CC2 - cc scheduled but project still not oom approved</t>
  </si>
  <si>
    <t>CC3 - cc still in estimating in prompt</t>
  </si>
  <si>
    <t>4/30 Per Marianned this is completed with No Impact to NDB
CC4</t>
  </si>
  <si>
    <t>Teresa Kester</t>
  </si>
  <si>
    <t>5/1- cancelled- lack of funding</t>
  </si>
  <si>
    <t>5/4/12 Cancelled in prrompt</t>
  </si>
  <si>
    <t>5/4 Per Sean maked completed
3/26 Deb is going to determine if we need addional hours since the estimate was entered by the pm</t>
  </si>
  <si>
    <t>5/4 Cancelled per Vicky due to lack of funding
Go through Mid Dec</t>
  </si>
  <si>
    <t>5/4 Marked completed per Vicky
2/12/12 Project is now oom approved in prompt
Project sill in estimating in Prompt</t>
  </si>
  <si>
    <t>400047477B</t>
  </si>
  <si>
    <t>1/23 Decreased estimate by 3.40 from 88.07 to 84.67 for cc(
10/10 Project OOM approved
9/30 Project in SC
Changed estimate from 50 to 88.07 PM's</t>
  </si>
  <si>
    <t>1/23 Project closed in prompt with no NDB engagement.
CC3</t>
  </si>
  <si>
    <t>1/12/12 Cancelled in prompt</t>
  </si>
  <si>
    <t>1/23/12 Cancelled in prompt</t>
  </si>
  <si>
    <t xml:space="preserve">1/23/12 CC1 reduced estimate from 25.81 to 22.49 pm's
SPRF 400042795 CC12, PDR EVC Fee Schedules (PV – 42795D) is now opened as new SPRF 400048089,Common Pricing Solution- Anesthesia Enhancements.
</t>
  </si>
  <si>
    <t>1/23/12 NDB un-impacted on project</t>
  </si>
  <si>
    <t>Bank Information System (BIS), Commercial Payment System (EPS), Enterprise Application Architecture, EPMO, NDB, OptumHealth Bank - IT, Summary Check, Systems Integration, TOPS, UHT, UnitedHealth Group Print Services</t>
  </si>
  <si>
    <t>10/31/11 This project was marked conpleted in prompt - NDB never scheduled this project</t>
  </si>
  <si>
    <t>Project still in estimating</t>
  </si>
  <si>
    <t>combined with A/D for Q1</t>
  </si>
  <si>
    <t>CC6  - still in estimating in prompt</t>
  </si>
  <si>
    <t>Dev analysis only - project still in estimating</t>
  </si>
  <si>
    <t>EPDL KTLO 2012</t>
  </si>
  <si>
    <t>11/4 reduced from 5.30 to 4.35 per the lde
CC7</t>
  </si>
  <si>
    <t>Project still in estimating in prompt</t>
  </si>
  <si>
    <t>4-47626 AmeriChoice Solutioning</t>
  </si>
  <si>
    <t>Ann Brisk</t>
  </si>
  <si>
    <t>Application Enablement, Audit Recovery Operations (ARO) Datamart, Computer Services, Enterprise Application Architecture, EPMO, GPT - Release Management, GPT Project Management Services, NDB, ppoONE, Provider Intent Certification Tool (PIC), Provider Netw</t>
  </si>
  <si>
    <t>2012 PRIME Product Rate Releases</t>
  </si>
  <si>
    <t xml:space="preserve">Application Enablement, Claims Highway, Claims QA, COMET Desktop.NET, Data Delivery System (DDS), Enterprise Letter Generation System, EPMO, Galaxy, NDB, Network Technology &amp; Support, ORBIT - Operational Reporting, Payment Engine, Testing Environment and </t>
  </si>
  <si>
    <t>Claims QA, COMET Desktop.NET, Cross Application Testing, EPMO, NDB, TOPS, UFE</t>
  </si>
  <si>
    <t>AmeriChoice, Application Enablement, Computer Services, COSMOS, Emptoris, EPMO, Galaxy, NDB, Network Technology &amp; Support, ppoONE, Provider Intent Certification Tool (PIC), Provider Network Analysis UAT &amp; Tools, Quality Solutions Development, Reimbursemen</t>
  </si>
  <si>
    <t>ACIS Suite, Application Enablement, B2B Provider Portal, B2C Provider Portal, CBTS - Clinical Architecture, CCS-CCF, CES, Claims Highway, Claims QA, COMET Desktop.NET, Consumer Database (CDB), Cross Application Testing, CTS - Common Tables System, Data De</t>
  </si>
  <si>
    <t>Consumer Database (CDB), EPMO, Facets Alpha, FSDB - Financial Summary Database (5087), GEOAccess, NDB, Network Technology &amp; Support, Peoplesoft-GL, ppoONE, Provider Network Analysis UAT &amp; Tools, Reimbursement Technology, UFE</t>
  </si>
  <si>
    <t>Application Enablement, CES, Claims Highway, Consumer Database (CDB), Cross Application Testing, Data Delivery System (DDS), Data Management, Enterprise Architecture, Foundation Frameworks, Integrated Service Experience Tool ISET, Knowledge Management, ND</t>
  </si>
  <si>
    <t>Acquisition Integrations, Application Enablement, Applications and Acquisitions (AAA), ATG Automated Transaction Generator, B2B Provider Portal, B2C Provider Portal, BH-Facets - UBH, CES, Claims Highway, Computer Services, Consumer Database (CDB), COSMOS,</t>
  </si>
  <si>
    <t>Claims Highway, Consumer Account Management System (CAMS), Consumer Database (CDB), NDB, TOPS</t>
  </si>
  <si>
    <t>CES, Claims Highway, NDB, PHS - NICE, PRIME, Provider Network Analysis UAT &amp; Tools, Systems Integration, United Platform Systems Analysis and Architecture</t>
  </si>
  <si>
    <t>CCS-CCF, CES, Consumer Database (CDB), Cross Application Testing, IDT - Intelligent Desktop, Integrated Service Experience Tool ISET, NDB, Testing Environment and Integration, TOPS</t>
  </si>
  <si>
    <t>B2B Provider Portal, B2C Provider Portal, CES, Consumer Database (CDB), Cross Application Testing, FADB (Financial Assignment Database), FSDB - Financial Summary Database (5087), FTS Financial Tagging Service, HIPAA, IDT - Intelligent Desktop, NDB, OHFS -</t>
  </si>
  <si>
    <t>Application Enablement, B2B Provider Portal, CES, Computer Services, Consumer Account Management System (CAMS), Consumer Database (CDB), Contact Center Services, COSMOS, Cross Application Testing, Data Management, Enterprise Architecture, EPMO, Foundation</t>
  </si>
  <si>
    <t>CCS-CCF, CES, Consumer Database (CDB), Cross Application Testing, Integrated Service Experience Tool ISET, NDB, Testing Environment and Integration, TOPS</t>
  </si>
  <si>
    <t>Application Enablement, BPID, Cross Application Testing, Enterprise Information Management, EPMO, NDB, Network Technology &amp; Support, ppoONE</t>
  </si>
  <si>
    <t>EPMO, NDB, UHCTS-MAHP(Mid Atlantic)</t>
  </si>
  <si>
    <t xml:space="preserve"> Oncology Episode Fee Program </t>
  </si>
  <si>
    <t>Lee Newcomer, MD</t>
  </si>
  <si>
    <t>Computer Services, COSMOS, Cross Application Testing, Emptoris, EPMO, NDB, Network Technology &amp; Support</t>
  </si>
  <si>
    <t>B2B Provider Portal, B2C Provider Portal, CDD, COMET Desktop.NET, Cross Application Testing, Data Management, Galaxy, IDT - Intelligent Desktop, NDB, ppoONE, Summary Check, Testing Environment and Integration, TOPS, Tops Foundation View, UCAS - Unet Claim</t>
  </si>
  <si>
    <t xml:space="preserve">Definity Leased Networks - GeoAccess from NDB </t>
  </si>
  <si>
    <t>CES, GEOAccess, Myuhc - Member Portal, NDB, Provider Network Analysis UAT &amp; Tools</t>
  </si>
  <si>
    <t>ACM Home Infusion - with EPD (f/k/a ACH Home Infusion Outsourcing)</t>
  </si>
  <si>
    <t>UNET/Timely Filing Limits.</t>
  </si>
  <si>
    <t>Julie Shepherd</t>
  </si>
  <si>
    <t>EPD/NDB, ORBIT - Operational Reporting, TOPS, Unet - Front End, UNET Claim</t>
  </si>
  <si>
    <t>11/9/12 CC scheduled in prompt
CC2 Still in estimating in prompt</t>
  </si>
  <si>
    <t>CC2 Scheduled</t>
  </si>
  <si>
    <t>11/9/12 Project in estimating in Prompt</t>
  </si>
  <si>
    <t>11/9/12 estimate increased by .07 from 2.86 to 2.93 in CC 10 DE
CC8</t>
  </si>
  <si>
    <t>11/9/12 Increased estimate from .11 to .14 in DE cc2</t>
  </si>
  <si>
    <t>11/9/12 Un-impacted after scheduled and minimal time booked
To begin end of Oct</t>
  </si>
  <si>
    <t>11/9/12 Cancelled in Prompt
10/5 Project moved from Q113 to Q412.  
Project still in estimating in prompt</t>
  </si>
  <si>
    <t xml:space="preserve">12/28/12 In CC 5 DE backed out 2.11 pm's to decrease from 2.57 to .46
10/4 Project now OOM Approved in prompt.  
9/21/12 Replacing SPRF 4-49798 CC1.  Project still in estimating in prompt.  </t>
  </si>
  <si>
    <t>12/13 Unimpacted on project - backed out .15 in CC 2
11/20 Sked &amp; appvd 11/6
On AIF being tracked
Sked 10/31/12 - not appvd - Cynthia Remick</t>
  </si>
  <si>
    <t>Quarterly Work Order</t>
  </si>
  <si>
    <t>C.Chen</t>
  </si>
  <si>
    <t>1/2/13 Estimate reduced by .13 in CC 9 from .84 to .71</t>
  </si>
  <si>
    <t>1/4/13 Added .07 effort for CC 42
CC45</t>
  </si>
  <si>
    <t>CC 17</t>
  </si>
  <si>
    <t>Change NICE denial logic to store @the line level</t>
  </si>
  <si>
    <t>Janet Thullen</t>
  </si>
  <si>
    <t>Padraig Monghan</t>
  </si>
  <si>
    <t>CC 8</t>
  </si>
  <si>
    <t>11-71057-000</t>
  </si>
  <si>
    <t>400046041A</t>
  </si>
  <si>
    <t>400039538B</t>
  </si>
  <si>
    <t>400054944D</t>
  </si>
  <si>
    <t>Added .07 effort for CC 42         CC45</t>
  </si>
  <si>
    <t>CC17</t>
  </si>
  <si>
    <t xml:space="preserve">1/4/13 Added 19.76 pm's from 39.37 to 59.13 per split of DE CC 12 from Janine
11/19/12 Reduced by 7.61  from 46.98 to 39.37 in CC5
10/26 Changed Jan effort from 41.46 to 46.98 per latest breakout from Mel
10/11 Per Janine estimate adjusted from 42.59 to 41.46.
10/4 Increased estimate from 34.03 to 42.59. 
9/27 Breakout changes per Vicky for January decrease  </t>
  </si>
  <si>
    <t>1/4/13 Added 8.9  pm's from 49.66 to 58.56 per split of DE CC 12 from Janine
10/11 Per Janine estimate adjusted from 46.95 to 49.66-Includes the Tracer ID Search capabilities.  
10/4 Increased estimate from 41.24 to 46.95. 
9/27 Breakout changes per Vicky for February decrease.  
9/17 Project now BGE approved in prompt.  
9/10/12 Tricare being broken down into more releases, therefore the estimate for February has changed. 
8/3 BGE split between Q4 12 and Q1 13 - project not bge approved yet in prompt</t>
  </si>
  <si>
    <t>1/4/13 Added 2.33pm's from 5.51 to 7.84 per split of DE CC 12 from Janine
10/4 CC for the one time load of Tracer ID.</t>
  </si>
  <si>
    <t xml:space="preserve">Moved to 3/13/13
Testing/attended meetings
</t>
  </si>
  <si>
    <t>B2B Provider Portal, Claims QA - EDI, Enterprise Information Management, EPMO, HIPAA, NDB, ORBIT - Operational Reporting, UFE</t>
  </si>
  <si>
    <t>TRICARE West Region Program Level RSA</t>
  </si>
  <si>
    <t>Application Enablement, BPM CoE, BPM Development Group, Claims QA, Computer Services, Enterprise Information Management, Enterprise Systems Planning Business Architecture, EPMO, NDB</t>
  </si>
  <si>
    <t>NICE Alpha to Itanium</t>
  </si>
  <si>
    <t>Infrastructure Requirements</t>
  </si>
  <si>
    <t>Claire Hannan</t>
  </si>
  <si>
    <t>London Medical repricing for non-net AT&amp;T claims</t>
  </si>
  <si>
    <t>RFP Reqeuest for PA Expansion New Bid</t>
  </si>
  <si>
    <t>Cianfrocco, Heather</t>
  </si>
  <si>
    <t xml:space="preserve">Facets to Facets Migration OH - A/O </t>
  </si>
  <si>
    <t>Mahesh Siddanati</t>
  </si>
  <si>
    <t>Chris Schrer</t>
  </si>
  <si>
    <t>B2B Provider Portal, EPMO, NDB</t>
  </si>
  <si>
    <t>Application Enablement, B2B Provider Portal, B2C Provider Portal, Claims Highway, Claims QA, Claims QA - EDI, Consumer Database (CDB), EPMO, NDB, ORS, ppoONE, Systems Integration, TOPS, UFE</t>
  </si>
  <si>
    <t>ACIS Suite, Automated Underwriting, BASICS, Claims QA, Claims QA Oxford, Computer Services, Consumer Database (CDB), COSMOS, Data Delivery System (DDS), Enterprise Information Management, Enterprise Systems Planning Business Architecture, EPMO, ERC, Escal</t>
  </si>
  <si>
    <t>Directory Hosp Accreditation status RV C&amp;S Plans</t>
  </si>
  <si>
    <t>9/30 Moved to Nov
Moved from Aug release  4/20- complete per sean's AO tracker</t>
  </si>
  <si>
    <t>TRICARE West Implementation FD: Provider/Network</t>
  </si>
  <si>
    <t>9/10 Replaced by sprf 53883
5/18 BGE split into 3 releases - total is 124 pm's - BGE is only 116.99 - will need to true up in prompt - this estimate will be trued up after JAD</t>
  </si>
  <si>
    <t xml:space="preserve">9/10/12 NDB unimpacted after scheduled, left burn in prompt. </t>
  </si>
  <si>
    <t>9/10/12 Project now OOM approved in prompt. 
8/24 CC4- Offshore support - Project still in estimating in prompt</t>
  </si>
  <si>
    <t>400053723D</t>
  </si>
  <si>
    <t>William Porri</t>
  </si>
  <si>
    <t>Alerts Admin Tool, Application Enablement, B2C Provider Portal, BASICS, Claims QA - Specialty Benefits, Consumer Database (CDB), Contact Center Services, Enterprise Systems Planning Business Architecture, EPMO, eServices Billing, GEOAccess, Integrated Ser</t>
  </si>
  <si>
    <t>I-CUE Release Q2 2013 - PHS</t>
  </si>
  <si>
    <t>Application Enablement, B2B Provider Portal, B2C Provider Portal, CCS-CCF, Claims Highway, Claims QA, Claims QA - EDI, Consumer Database (CDB), COSMOS, Enterprise Application Architecture, Enterprise Information Management, Enterprise Letter Generation Sy</t>
  </si>
  <si>
    <t>Enterprise Information Management, EPMO, NDB, USEC - Universal Security Systems</t>
  </si>
  <si>
    <t>Application Enablement, Claims Highway, Claims QA, COMET Desktop.NET, Data Delivery System (DDS), Enterprise Adjudication Service, Enterprise Information Management, Enterprise Letter Generation System, EPMO, Exodes, iCES Clearinghouse, NDB, QMO - Quality</t>
  </si>
  <si>
    <t>Jacqueline Buccini</t>
  </si>
  <si>
    <t>RBP_RSA</t>
  </si>
  <si>
    <t>Heidi Jacobson</t>
  </si>
  <si>
    <t>Application Enablement, B2B Provider Portal, B2C Provider Portal, CES, Cross Application Testing, Data Delivery System (DDS), Data Management, Employer Portal, Enterprise Architecture, Healthcare Alliance - Medica, IDT - Intelligent Desktop, Myuhc - Membe</t>
  </si>
  <si>
    <t>ACIS Suite, Claims Highway, Consumer Database (CDB), EPMO, NDB, PRIME, UCAS - Unet Claim Accounting Sys (multiple apps), Unified Data Warehouse (UDW)</t>
  </si>
  <si>
    <t>Application Enablement, BPID, Claims Highway, COSMOS, Cross Application Testing, Enterprise Information Management, EPMO, NDB, TOPS, UFE</t>
  </si>
  <si>
    <t>AmeriChoice Rebranding LTC impact</t>
  </si>
  <si>
    <t>ACIS Suite, Application Enablement, BASICS, BH-Linx, BH-Liveandworkwell.com, CDD, CES, Claims Highway, Claims QA, COMET Desktop.NET, Consumer Account Management System (CAMS), Consumer Database (CDB), Cross Application Testing, CTS - Common Tables System,</t>
  </si>
  <si>
    <t>Claims Highway, Computer Services, COSMOS, Cross Application Testing, EPMO, NDB, PHS - NICE, ppoONE, Provider Network Analysis UAT &amp; Tools, Reimbursement Technology, Testing Environment and Integration, TOPS, UFE</t>
  </si>
  <si>
    <t>B. Williams</t>
  </si>
  <si>
    <t>7/13 Project now completed in prompt
4/16 Project still in estimating in prompt</t>
  </si>
  <si>
    <t>OHIO RFP</t>
  </si>
  <si>
    <t>7/13/12 NDB has been unimpacted and left actual burn in prompt</t>
  </si>
  <si>
    <t>7/13 CC 3 now scheduled
4/30 CC3 for analysis and testing support - no code delivery  - cc still in estimating in prompt</t>
  </si>
  <si>
    <t>7/13 Project now cancelled
Project delayed until 2013 - moved back to unscheduled</t>
  </si>
  <si>
    <t>7/13 Added .31 in CC5 DE 
4/30 Added 1.68 to increase from 10.28 to 11.96 in CC3 sol estimate
CC1</t>
  </si>
  <si>
    <t>7/13 Closing with no impact
6/15 Decreased from .71 to .08 in CC 8</t>
  </si>
  <si>
    <t>7/30 Per Cathy reduced by 6.67 pm's in cc 10 and this will be added to 50155
5/25 Increased from 58.07 to 67.37 in CC3 
4/30 Reduced estimate per CC 2 which is still in estimating from 68.82 to 58.07.
2/17/12 BGE increased from 32.48 to 68.82 pm's
1/6 oom was 51.77, and the increase now puts the OOM at 62.48 
Replacing 4-43230</t>
  </si>
  <si>
    <t>7/30 Estimate will be reduced in cc 5 by 4.8 pm's 
5/11 Decreased est due to split for Sept
5/4 Added additonal effort - from 34.81 to 42.14 per revised bge by AM
3/26 Project in est - sched per Vicky- BGE split between Aug and Sept</t>
  </si>
  <si>
    <t>Medica HCCE EPDL Enhancements</t>
  </si>
  <si>
    <t>Enterprise Information Management, NDB, PRIME</t>
  </si>
  <si>
    <t>iCES Clearinghouse Nov 2013 Maintenance Release</t>
  </si>
  <si>
    <t>iCES Clearinghouse May 2013 Maintenance Release</t>
  </si>
  <si>
    <t>iCES Clearinghouse August 2013 Maintenance Release</t>
  </si>
  <si>
    <t>B2B Provider Portal, Claims QA, Claims QA - EDI, Consumer Database (CDB), EPMO, NDB, TOPS</t>
  </si>
  <si>
    <t xml:space="preserve">NDB to CSP Facets Interface Rewrite </t>
  </si>
  <si>
    <t>Application Enablement, BPID, BPM CoE, eHealth Medical Claims Database, EPMO, Information Risk Management, Innovation Delivery Center, NDB, ORS</t>
  </si>
  <si>
    <t>UMR/EPS - Increase Auto Adjudication (top ideas)</t>
  </si>
  <si>
    <t>Jeff Meyerhofer</t>
  </si>
  <si>
    <t>01-34030-001</t>
  </si>
  <si>
    <t>15-70998-000</t>
  </si>
  <si>
    <t>400054152A</t>
  </si>
  <si>
    <t>400054137A</t>
  </si>
  <si>
    <t>400054074A</t>
  </si>
  <si>
    <t>400053904A</t>
  </si>
  <si>
    <t>ProjectFS - Q2 Enterprise SPRF 3 - Constituent Ser</t>
  </si>
  <si>
    <t>12-59420-000</t>
  </si>
  <si>
    <t>8/3 Moved to Q2 per the pm - project moved to 2013</t>
  </si>
  <si>
    <t>8/3 Project now oom approved in Prompt
7/2 Project now in IT Leadership Review
Project still in estimating in prompt</t>
  </si>
  <si>
    <t>Ohio Migration</t>
  </si>
  <si>
    <t>400048200B</t>
  </si>
  <si>
    <t>Lori</t>
  </si>
  <si>
    <t>CC8 - On Shore Support Only</t>
  </si>
  <si>
    <t>8/10/12 cancelled in prompt</t>
  </si>
  <si>
    <t>11-71061-000</t>
  </si>
  <si>
    <t>11-59910-002</t>
  </si>
  <si>
    <t>11-62360-001</t>
  </si>
  <si>
    <t>11-59910-001</t>
  </si>
  <si>
    <t>11-71056-000</t>
  </si>
  <si>
    <t>04-71227-000</t>
  </si>
  <si>
    <t>01-34040-000</t>
  </si>
  <si>
    <t>11-71059-000</t>
  </si>
  <si>
    <t>01-71133-000</t>
  </si>
  <si>
    <t>10-00000-186</t>
  </si>
  <si>
    <t>Project now oom approved
Project still in estimating in prompt</t>
  </si>
  <si>
    <t>8/20 Decreased from 3.45 to 2.88.
7/2 Increased estimate from 2.70 to 3.45 per CC 3 SE.</t>
  </si>
  <si>
    <t>8/20 Reduced estimate from 94.76 to 85.51 in DE cc 22.
6/22 CC 20, reduced estimate to 94.76 from 103
5/25 Per Mel reduced  BGE  to 103 and moved 6 pm's to Sept for UDW effort
5/4 Per Vicky - reduced from 122.77 to 116.52 - 2 came out fo cc8
12/12 Project now oom approved in proompt
10/10 Project funded but not yet oom approved in prompt - prompt has  147.57 but we reduced down to 98 pm's - no cc was opened.  This estimate will be re-evaluated again once the analysis is completed.</t>
  </si>
  <si>
    <t>Steve Gelinske</t>
  </si>
  <si>
    <t>Claims QA, Claims QA - EDI, EPMO, Facets Alpha, iCES Clearinghouse, NDB, ppoONE, UFE</t>
  </si>
  <si>
    <t>New NDB edits to support IPA</t>
  </si>
  <si>
    <t>C&amp;S Q1 MME Interface Enhancements</t>
  </si>
  <si>
    <t>C&amp;S Q1 Portal Enhamcements</t>
  </si>
  <si>
    <t xml:space="preserve">Facets to Facets Migration 2013 - A/O </t>
  </si>
  <si>
    <t>Claims Highway, Claims QA, Consumer Database (CDB), EPMO, Facets Alpha, NDB, UHC C and S Business Requirements, UHC C and S Diamond-Diamond Interfaces</t>
  </si>
  <si>
    <t>Oxford Commercial Migration - Pulse to UNET (AO)</t>
  </si>
  <si>
    <t>ACIS Suite, CES, Claims QA, Consumer Database (CDB), COSMOS, Cross Application Testing, Employer Portal, Enterprise Information Management, EPMO, eServices Billing, Interactive Design Services (iDS), NDB, PRIME, UP Policy Profile Service</t>
  </si>
  <si>
    <t>01-13010-001</t>
  </si>
  <si>
    <t>11-46210-000</t>
  </si>
  <si>
    <t>400054091A</t>
  </si>
  <si>
    <t>Satinder Singh</t>
  </si>
  <si>
    <t>Offshore Support</t>
  </si>
  <si>
    <t>8/24/12 cc 17 cancelled and moved to sprf 4-54445
CC17 - cc still in estimating</t>
  </si>
  <si>
    <t>8/24/12 Cancelled in Prompt</t>
  </si>
  <si>
    <t>8/24/12 Customer no longer needs this change.  Project to be cancelled in Prompt</t>
  </si>
  <si>
    <t>8/24/12 Per Vicky this is no longer needed - will be cancelled</t>
  </si>
  <si>
    <t>8/24/12 Project cancelled in Prompt</t>
  </si>
  <si>
    <t>8/24 Per Roop NDB is compelted
6/15 Reduced from  .81 to .28 in CC 2
CC1</t>
  </si>
  <si>
    <t>WINDOWS 7 Upgrade Testing</t>
  </si>
  <si>
    <t>8/24 Will be handled through SSS - no sprf in Prompt - Fran's Team</t>
  </si>
  <si>
    <t>8/24/2012 Per vicky ok to un-impact</t>
  </si>
  <si>
    <t>Application Enablement, Audit Recovery Operations (ARO) Datamart, B2B Provider Portal, B2C Provider Portal, BH-Agate, BH-Elig/Benefits, BH-HP Compare, BH-Linx, Card Request System (CRS), CareOne, Claims QA, Claims QA - EDI, Claims QA OHBS, Computer Servic</t>
  </si>
  <si>
    <t>HIPAA 278 Transaction Set</t>
  </si>
  <si>
    <t>01-15500-013</t>
  </si>
  <si>
    <t>01-67010-000</t>
  </si>
  <si>
    <t>400053451A</t>
  </si>
  <si>
    <r>
      <t>As of 1/14/13:</t>
    </r>
    <r>
      <rPr>
        <sz val="8"/>
        <rFont val="Arial"/>
        <family val="2"/>
      </rPr>
      <t xml:space="preserve">
  </t>
    </r>
    <r>
      <rPr>
        <b/>
        <sz val="8"/>
        <rFont val="Arial"/>
        <family val="2"/>
      </rPr>
      <t xml:space="preserve">Scope </t>
    </r>
    <r>
      <rPr>
        <sz val="8"/>
        <rFont val="Arial"/>
        <family val="2"/>
      </rPr>
      <t xml:space="preserve">- (Provider Search/Database Loads, Lab Corp process, Specialty Roll-up, Condition focus, QLTY MSR DSES COND TYP extract, Directory extract, Exception CICS, UHN reporting, all pricing related changes, FEEs screen and CICS Test Tool screen, New Contract Selection)
Turn back to Green Status as we have a plan for Change Controls and our testing is moving forward (my HCE is delayed and that may be a risk- team is monitoring)
PRD/SSD - 100%, SRI -100%, Tech Spec - 95% (pending sign offs), DEV - 100%, QA - 30% Integration test w/ AE has started, UAT will start on 1/14 
</t>
    </r>
    <r>
      <rPr>
        <b/>
        <i/>
        <sz val="8"/>
        <rFont val="Arial"/>
        <family val="2"/>
      </rPr>
      <t>Concerns</t>
    </r>
    <r>
      <rPr>
        <i/>
        <sz val="8"/>
        <rFont val="Arial"/>
        <family val="2"/>
      </rPr>
      <t xml:space="preserve">: 
</t>
    </r>
    <r>
      <rPr>
        <b/>
        <i/>
        <sz val="8"/>
        <rFont val="Arial"/>
        <family val="2"/>
      </rPr>
      <t xml:space="preserve">due to HCCE possibly reducing scope plan, NDB team need to complete assessment on how would this change our Q1 release scope for search, pricing and contract selection </t>
    </r>
    <r>
      <rPr>
        <i/>
        <sz val="8"/>
        <rFont val="Arial"/>
        <family val="2"/>
      </rPr>
      <t xml:space="preserve">
</t>
    </r>
    <r>
      <rPr>
        <b/>
        <i/>
        <sz val="8"/>
        <rFont val="Arial"/>
        <family val="2"/>
      </rPr>
      <t>1) CC7  moved onto CC16---and C16 tech Specs are 40%, coding is 30% - need dates- may move to March</t>
    </r>
    <r>
      <rPr>
        <i/>
        <sz val="8"/>
        <rFont val="Arial"/>
        <family val="2"/>
      </rPr>
      <t xml:space="preserve">
 2) Provider Search Testing with AE &amp; myHCE is delayed due to other TRICARE work on AE side. 
</t>
    </r>
    <r>
      <rPr>
        <b/>
        <i/>
        <sz val="8"/>
        <rFont val="Arial"/>
        <family val="2"/>
      </rPr>
      <t xml:space="preserve">3) NDB leads are planning to look at the technical components across the board and see if there are options to push the 'Feb' scope out to March without impact other Q1 projects????  </t>
    </r>
  </si>
  <si>
    <t>Claims QA, Claims QA - EDI, Enterprise Product Planning &amp; Architecture (EPPA), EPMO, Facets Alpha, FSDB - Financial Summary Database (5087), NDB, Network Technology &amp; Support, PCIS, PeopleSoft General Ledger, UFE, United eServices</t>
  </si>
  <si>
    <t>Not OOM approved in Prompt yet</t>
  </si>
  <si>
    <t>CC4 - still in estimating</t>
  </si>
  <si>
    <t>Add Empire providers to the Par Hospital report.</t>
  </si>
  <si>
    <t>Orbit Report - List of Contract Lines by Prov ID</t>
  </si>
  <si>
    <t xml:space="preserve">List of Ancillaries w/Schedules per NDB Org Type </t>
  </si>
  <si>
    <t>Orbit Rpt for Hospital / Ancillary List by County</t>
  </si>
  <si>
    <t>Cred Open Inventory Aging Detail</t>
  </si>
  <si>
    <t>Credentialing Committee Grid</t>
  </si>
  <si>
    <t>NCQA Audit Report</t>
  </si>
  <si>
    <t>Recred Order List</t>
  </si>
  <si>
    <t>PCP Providers with More than 120 Contract Lines</t>
  </si>
  <si>
    <t>Contract Screen Audit Report</t>
  </si>
  <si>
    <t>Allow Cancel of Manually Loaded Contracts</t>
  </si>
  <si>
    <t>Update Mass Maintenance to Allow diCarta Values</t>
  </si>
  <si>
    <t>COSMOS, Cross Application Testing, iCES Clearinghouse, NDB, ppoONE, UFE</t>
  </si>
  <si>
    <t>ACIS Suite, CES, Cross Application Testing, Data Delivery System (DDS), Data Management, Enterprise Architecture, eServices Billing, eServices Billing OM, Healthcare Alliance - Medica, NDB, PRIME, Summary Check, Systems Integration, Testing Environment an</t>
  </si>
  <si>
    <t>Cross Application Testing, EPMO, IBM FileNet, iCES Clearinghouse, NDB, PHS - EDI, PHS - QicLink/ClaimExchange, ppoONE, Systems Integration, UFE</t>
  </si>
  <si>
    <t>Cross Application Testing, Eldorado, NDB</t>
  </si>
  <si>
    <t>Application Enablement, Applications Impacted Unknown, B2B Provider Portal, B2C Provider Portal, CMA (Content Management Application), Commercial Payment System (EPS), COSMOS, Cross Application Testing, Data Delivery System (DDS), Data Management, EA Data</t>
  </si>
  <si>
    <t>B2C Provider Portal, CES, Cross Application Testing, Data Management, Enterprise Architecture, GEOAccess, GeoAccess for UHC.Com, Healthcare Alliance - Harvard Pilgrim, IDT - Intelligent Desktop, Myuhc - Member Portal, NDB, UHC.COM</t>
  </si>
  <si>
    <t>Application Enablement, CCS-CCF, EPMO, IDT - Intelligent Desktop, Integrated Service Experience Tool ISET, NDB, PRIME, Provider Network Analysis UAT &amp; Tools, TOPS</t>
  </si>
  <si>
    <t>Cross Application Testing, Data Management, EA Data Architecture, Enterprise Architecture, NDB, USEC - Universal Security Systems</t>
  </si>
  <si>
    <t>Contact Center Services, Cross Application Testing, IDT - Intelligent Desktop, NDB</t>
  </si>
  <si>
    <t>Application Enablement, B2B Provider Portal, B2C Provider Portal, CES, Consumer Account Management System (CAMS), Consumer Database (CDB), Cross Application Testing, Enterprise Architecture, EPMO, Foundation Frameworks, NDB, Summary Check, Testing Environ</t>
  </si>
  <si>
    <t>Application Enablement, B2B Provider Portal, B2C Provider Portal, CES, COMET Desktop.NET, Cross Application Testing, Data Delivery System (DDS), Data Management, EA Data Architecture, Enterprise Architecture, FMR (Field Mgmt Reporting), Foundation Framewo</t>
  </si>
  <si>
    <t>Cross Application Testing, IDT - Intelligent Desktop, NDB, Testing Environment and Integration, TOPS, UFE</t>
  </si>
  <si>
    <t>5/27 Project is going to be cancelled and NDB un-impacted
3/15 Effort redcuced from 1.07 to .53 person months</t>
  </si>
  <si>
    <t>5/27 NDB unimpacted on the project</t>
  </si>
  <si>
    <t>5/27 Increased from 3.76 to 5.76 per cathy
4/18 Added release per Cathy
CC1 reduced from 139.48 to 127 - cc still in estimating</t>
  </si>
  <si>
    <t>5/27 Re-added per Dulce</t>
  </si>
  <si>
    <t>5/27 Cancelled  per Dulce</t>
  </si>
  <si>
    <t>5/27 Project was cancelled but marked completed in prompt</t>
  </si>
  <si>
    <t>HCR Preventive Care - Women's Health</t>
  </si>
  <si>
    <t>JAIME LILJEGREN</t>
  </si>
  <si>
    <t>Dr. Sandy Cohen</t>
  </si>
  <si>
    <t>Q2 NDB OI 00260 Navigate Adr Seq for EPDL</t>
  </si>
  <si>
    <t>Q2 NDB OI 00290 Involuntary Sanction</t>
  </si>
  <si>
    <t>Q2 NDB OI 00296 C&amp;S Group BSAR Term</t>
  </si>
  <si>
    <t>B2B Provider Portal, B2C Provider Portal, Claims QA, EPMO, Facets Alpha, Myuhc - Member Portal, NDB, Prescription Solutions, UHC C and S Business Requirements, UHC C and S Diamond-Diamond Interfaces, UHC C and S National Encounters (NEMIS), UHC C and S Po</t>
  </si>
  <si>
    <t>TX Req.Chg-Provider/Specialty Type 40/SC and SC/SC</t>
  </si>
  <si>
    <t>Gina Hightower</t>
  </si>
  <si>
    <t>CDB TOPS: Hot Key</t>
  </si>
  <si>
    <t>Application Enablement, B2B Provider Portal, B2C Provider Portal, Claims QA, Consumer Database (CDB), Enterprise EDI Business Solutions, EPMO, Facets Alpha, HIPAA, NDB, Oxford EDI Enablement, PHS - NICE, UFE</t>
  </si>
  <si>
    <t>Essential Health Benefits</t>
  </si>
  <si>
    <t>Peter Nichol</t>
  </si>
  <si>
    <t>Regis O'neill</t>
  </si>
  <si>
    <t>Claims QA, EPMO, Facets Alpha, NDB</t>
  </si>
  <si>
    <t>EPMO, Facets Alpha, NDB, UHC C and S Business Requirements</t>
  </si>
  <si>
    <t>Connect EAS with TOPS</t>
  </si>
  <si>
    <t>Enterprise Information Management, EPMO, NDB</t>
  </si>
  <si>
    <t>BH-Facets - UBH, BPID, EPMO, NDB</t>
  </si>
  <si>
    <t>400047969A</t>
  </si>
  <si>
    <t>400049434A</t>
  </si>
  <si>
    <t>Cancelled 1/13/12</t>
  </si>
  <si>
    <t>Medica Migration to GPS A&amp;D</t>
  </si>
  <si>
    <t>ACIS Suite, Application Enablement, B2B Provider Portal, BASICS, Capitation - Business Analysis, CES, CIX (Customer Installation Express), Claims Highway, Claims QA, Computer Services, Consumer Database (CDB), Contact Center Services, Cross Application Te</t>
  </si>
  <si>
    <t>B2B Provider Portal, B2C Provider Portal, BPID, Claims Highway, COMET Desktop.NET, Consumer Database (CDB), COSMOS, Cross Application Testing, Enterprise EDI Technical Operations, EPMO, ESP Systems Planning and Alignment, Facets Alpha, Ingenix EDI Solutio</t>
  </si>
  <si>
    <t>CSS-B2X 2012A Release</t>
  </si>
  <si>
    <t>M&amp;R E2E Auth - Auth Determination - Analysis</t>
  </si>
  <si>
    <t>Maryellen Palumbo</t>
  </si>
  <si>
    <t>M&amp;R E2E Auth – Claim to Auth Matching - Analysis</t>
  </si>
  <si>
    <t>M&amp;R E2E Auth – Consequence - Analysis</t>
  </si>
  <si>
    <t>Application Enablement, Claims QA, Computer Services, Consumer Database (CDB), Contact Center Services, COSMOS, Cross Application Testing, EPMO, Integrated Service Experience Tool ISET, NDB, ORS</t>
  </si>
  <si>
    <t>CMC - Narrow Networks Assessment</t>
  </si>
  <si>
    <t>Chris Pricco</t>
  </si>
  <si>
    <t>11-62500-000</t>
  </si>
  <si>
    <t>01-67080-000</t>
  </si>
  <si>
    <t>11-62560-000</t>
  </si>
  <si>
    <t>11-62620-000</t>
  </si>
  <si>
    <t>11-62310-000</t>
  </si>
  <si>
    <t>11-62520-000</t>
  </si>
  <si>
    <t>05-49210-000</t>
  </si>
  <si>
    <t>Automated Underwriting, Bank Information System (BIS), BPID, Claims Highway, Claims QA, Computer Services, Consumer Database (CDB), Enterprise Adjudication Service, Enterprise Application Architecture, Enterprise Information Management, Enterprise Systems</t>
  </si>
  <si>
    <t xml:space="preserve">Application Enablement, B2B Provider Portal, B2C Provider Portal, BPID, Employer Portal, Enterprise Information Management, Enterprise Systems Planning Business Architecture, GEOAccess, Life/Dl e-services, Myuhc - Member Portal, NDB, OH Dental Healthweb, </t>
  </si>
  <si>
    <t>GE Thomson Provider Data - Append Labcorp data</t>
  </si>
  <si>
    <t>RSA DHP Fully Scaleable Launch</t>
  </si>
  <si>
    <t>Provider Sanctioning RSA</t>
  </si>
  <si>
    <t>Rhonda Medows</t>
  </si>
  <si>
    <t>FACETS Regression ReArchitecture</t>
  </si>
  <si>
    <t>ACIS Suite, APT, Atlas, Automated Underwriting, B2B Provider Portal, B2C Provider Portal, Bank Information System (BIS), BASICS, Card Integration Platform (CIP), CDD, CES, CIX (Customer Installation Express), CMA (Content Management Application), CMDB (Co</t>
  </si>
  <si>
    <t>FRP - CNIS Policy Number - L/T (analysis only)</t>
  </si>
  <si>
    <t>3/29 Per the pm this is completed and no additional work is needed by NDB</t>
  </si>
  <si>
    <t>CES, COSMOS, Data Management, EPMO, Foundation Frameworks, IBAAG - IT (System Changes), IDT - Intelligent Desktop, NDB, ORBIT - Operational Reporting, ORS, QStar, SALSA, Systems Integration, Technical Architecture Services, TOPS</t>
  </si>
  <si>
    <t>Remove Q&amp;E Exemption from Radiology Notification</t>
  </si>
  <si>
    <t>Added Glossary tab describing basic functions of the workbook</t>
  </si>
  <si>
    <t>Medica Portal Development, UHG B2B Option 2</t>
  </si>
  <si>
    <t>NPI</t>
  </si>
  <si>
    <t>Anne Marie Colonna</t>
  </si>
  <si>
    <t>ACIS Suite, CES, NDB, PacifiCare Development, PHS - Medical Infomatics/Management, PHS Legacy Apps, Systems Integration, TOPS</t>
  </si>
  <si>
    <t>Ronald Wilson</t>
  </si>
  <si>
    <t>Regression Automation Architecture and Scripts</t>
  </si>
  <si>
    <t>AmeriChoice-Expand EPDE for Add'l States</t>
  </si>
  <si>
    <t>Added UAT Checkout column to D5 &amp; D6</t>
  </si>
  <si>
    <t>Americhoice contract mstr creation and feed</t>
  </si>
  <si>
    <t>APM</t>
  </si>
  <si>
    <t xml:space="preserve">Application Enablement, B2C Provider Portal, CES, Contact Center Services, COSMOS, EPD/NDB, Foundation Frameworks, GFLX, IDT - Intelligent Desktop, NDB, ORS, PRIME, Program Definition Intake Team, TOPS, Tops Foundation View, UHT, Unified Application IVR, </t>
  </si>
  <si>
    <t>B2C Provider Portal, CES, Contact Center Services, GFLX, NDB, Summary Check, Treasury-Check Data System, UHT</t>
  </si>
  <si>
    <t>PHS Work Package 1 Release 2 - Provider Crosswalk</t>
  </si>
  <si>
    <t>Mark Duquesnoy</t>
  </si>
  <si>
    <t>Analysis only Work Order</t>
  </si>
  <si>
    <t>COSMOS, FMR (Field Mgmt Reporting), GFLX, NDB, TCA, TOPS</t>
  </si>
  <si>
    <t>K.  Starks</t>
  </si>
  <si>
    <t>Project R 'n S (Elk River Move)</t>
  </si>
  <si>
    <t>01-19260-004</t>
  </si>
  <si>
    <t>05-49070-000</t>
  </si>
  <si>
    <t>04-66960-000</t>
  </si>
  <si>
    <t>10-55790-000</t>
  </si>
  <si>
    <t>04-27560-000</t>
  </si>
  <si>
    <t>15-70170-000</t>
  </si>
  <si>
    <t>11-52570-000</t>
  </si>
  <si>
    <t>11-60170-000</t>
  </si>
  <si>
    <t>11-65230-000</t>
  </si>
  <si>
    <t>11-46610-000</t>
  </si>
  <si>
    <t>11-65100-000</t>
  </si>
  <si>
    <t>01-15500-006</t>
  </si>
  <si>
    <t>15-55410-000</t>
  </si>
  <si>
    <t>01-34030-004</t>
  </si>
  <si>
    <t>01-34030-003</t>
  </si>
  <si>
    <t>03-46850-000</t>
  </si>
  <si>
    <t>06-14210-000</t>
  </si>
  <si>
    <t>ICD10 TF E&amp;I Technical Foundation Case Install</t>
  </si>
  <si>
    <t>Lisa McDonnel</t>
  </si>
  <si>
    <t>Lab Benefit Management</t>
  </si>
  <si>
    <t>Mark T. Allen, Linda Stewart</t>
  </si>
  <si>
    <t>COSMOS - Phased Approach Modifier Field Expansion</t>
  </si>
  <si>
    <t>Adjudipro, ATG Automated Transaction Generator, BPID, CFAS, Claims Highway, Claims QA, COSMOS, CPW, Cross Application Testing, EPMO, Galaxy, GPT - Configuration Management, GPT - Release Management, iCES Clearinghouse, iLEAD, Integrated Service Experience</t>
  </si>
  <si>
    <t>8/8 MDB has been un-impacted on this project
CC2</t>
  </si>
  <si>
    <t>8/8 increased the effort from 1.13 to 1.26 due to increase in lde</t>
  </si>
  <si>
    <t>8/8 Reduced from 104.03 to 86.03 per lde in cc 17
5/27 Reduced per lde from 124.03 to 104.03
4/18 Changed from 127 to 124.03
CC1 reduced from 139.48 to 127 - cc still in estimating</t>
  </si>
  <si>
    <t>Per Dulce this was increased from 3.02 to 3.5</t>
  </si>
  <si>
    <t>UC</t>
  </si>
  <si>
    <t>SCOTT THOMPSON MN</t>
  </si>
  <si>
    <t>2012 Exit of Eagan Technology Center</t>
  </si>
  <si>
    <t>2/10 Cancelled</t>
  </si>
  <si>
    <t>OHBS TBS Provider Data Cleansing and Validation</t>
  </si>
  <si>
    <t>BH-Facets - UBH, Claims QA, COSMOS, EPMO, NDB</t>
  </si>
  <si>
    <t>UBH Nice Facets exchange</t>
  </si>
  <si>
    <t>Melissa Kopp</t>
  </si>
  <si>
    <t>Melissa Sutherland</t>
  </si>
  <si>
    <t>BH-Facets - UBH, BH-PBH Facets, Claims QA, EPMO, NDB, PHS - NICE, UFE</t>
  </si>
  <si>
    <t>B2C UHC E&amp;I ICD10 Compliance Changes</t>
  </si>
  <si>
    <t>Access Heritage River Valley Contracts; VA and TN</t>
  </si>
  <si>
    <t>NC Heritage River Valley Expansion</t>
  </si>
  <si>
    <t>Garland Scott</t>
  </si>
  <si>
    <t>Medical Necessity - Core Med Prior Auth Phase 3</t>
  </si>
  <si>
    <t>Growth/Expansion</t>
  </si>
  <si>
    <t>Community Strategic Platform</t>
  </si>
  <si>
    <t>A&amp;G Workflow &amp; Tracking System, ACIS Suite, ACME Reporting, Alerts Admin Tool, AMS Staff Augmentation on UT Apps, Application Development Repository, Atlas, Audit Recovery Operations (ARO) Datamart, Automated Underwriting, B2B Provider Portal, B2C Provide</t>
  </si>
  <si>
    <t>3/5/12 Un-impacted after estimated</t>
  </si>
  <si>
    <t>3/5/12 Per Vicky this is being cancelled</t>
  </si>
  <si>
    <t>3/5 Per Vicky - closed with no impact
2/13/12 Pronect now oom approved in prompt
Project sill in estimating in Prompt</t>
  </si>
  <si>
    <t>UHC West - CarePlanner to ICUE Capability Release</t>
  </si>
  <si>
    <t>Cindy Polich</t>
  </si>
  <si>
    <t>UHC West Clinical Adoption - Letters AD</t>
  </si>
  <si>
    <t>04-66980-000</t>
  </si>
  <si>
    <t>11-37990-000</t>
  </si>
  <si>
    <t>15-70160-000</t>
  </si>
  <si>
    <t>11-35980-000</t>
  </si>
  <si>
    <t>04-54940-500</t>
  </si>
  <si>
    <t>01-19260-002</t>
  </si>
  <si>
    <t>04-70980-000</t>
  </si>
  <si>
    <t>10-61990-000</t>
  </si>
  <si>
    <t>10-70910-000</t>
  </si>
  <si>
    <t>11-65320-000</t>
  </si>
  <si>
    <t>01-34030-000</t>
  </si>
  <si>
    <t>03-47130-000</t>
  </si>
  <si>
    <t>06-13050-000</t>
  </si>
  <si>
    <t>10-71051-000</t>
  </si>
  <si>
    <t>2/17/12 Increased estiamte in design cc from 3.08 to 4.92 pm's</t>
  </si>
  <si>
    <t>2/17/12 Project now oom approved
Project still in estimating in prompt</t>
  </si>
  <si>
    <t>2/17/12 Estimate reduced per the design cc from 5.69 to 5.29
CC 11</t>
  </si>
  <si>
    <t>HCR - RSA Appeals Provision modifications A&amp;D</t>
  </si>
  <si>
    <t>Susan Smith</t>
  </si>
  <si>
    <t>Regis O'Neil</t>
  </si>
  <si>
    <t>UnitedHealthcare Military &amp; Veterans</t>
  </si>
  <si>
    <t>cancelled in prompt 2/25/11</t>
  </si>
  <si>
    <t>Project cancelled in Prompt 2/25/11</t>
  </si>
  <si>
    <t>2/28 Changed the project type to tech only and pm's to 1.6 - CC 15
Added per Bridget</t>
  </si>
  <si>
    <t>Application Enablement, B2C Provider Portal, EPMO, NDB</t>
  </si>
  <si>
    <t>Provider Search - PiQ Data Replacement</t>
  </si>
  <si>
    <t>Darin Bergeson</t>
  </si>
  <si>
    <t>OptumHealth Behavioral Health Migration to CSP-AO</t>
  </si>
  <si>
    <t>Amy Joy</t>
  </si>
  <si>
    <t>Enterprise Adjudication Service</t>
  </si>
  <si>
    <t>ICD10 compliance Package 1 UHC E &amp; I</t>
  </si>
  <si>
    <t>Genetic Testing Mgmt</t>
  </si>
  <si>
    <t>Tina Ellis</t>
  </si>
  <si>
    <t>Lee Newcomer</t>
  </si>
  <si>
    <t>3/4 Project cancelled in ptompt</t>
  </si>
  <si>
    <t>3/4 Project no longer in prompt</t>
  </si>
  <si>
    <t>3/4 completed in prompt</t>
  </si>
  <si>
    <t>3/4 cancelled in prompt</t>
  </si>
  <si>
    <t>3/4 Not impacted in prompt</t>
  </si>
  <si>
    <t>3/4 Project completed</t>
  </si>
  <si>
    <t>3/4 NDB not impacted in prompt</t>
  </si>
  <si>
    <t>400041805UA</t>
  </si>
  <si>
    <t>CC2 reduced effort from 12.8 to 8 pm's - CC still in estimating</t>
  </si>
  <si>
    <t>3/8 This is for cc9 - cc 9 still in est -should  be scheduled tomorrow</t>
  </si>
  <si>
    <t>Consumer Transparency 2011</t>
  </si>
  <si>
    <t>PBH Facets Migration - Health Plans</t>
  </si>
  <si>
    <t xml:space="preserve">PBH Facets Migration - PacifiCare Shared Health </t>
  </si>
  <si>
    <t>SSN Tokenization - TOPS</t>
  </si>
  <si>
    <t>ICD 10 UHC E&amp;I Reg 11-57640-000</t>
  </si>
  <si>
    <t>PM&amp;R: Multiple Therapy Procedure Reduction</t>
  </si>
  <si>
    <t>Medical Necessity – CoreMed Prior Auth Phase 2</t>
  </si>
  <si>
    <t>Margaret Ciechanowski</t>
  </si>
  <si>
    <t xml:space="preserve">WINKLER, YASMINE </t>
  </si>
  <si>
    <t>Consumer Web Portal</t>
  </si>
  <si>
    <t>Paul Hebert</t>
  </si>
  <si>
    <t>ICD10- Field Expansion- UHC EI</t>
  </si>
  <si>
    <t>Primary Advantage on UNET</t>
  </si>
  <si>
    <t>INT AMC 1151 NDB Roll Out for Facets</t>
  </si>
  <si>
    <t>JOSEPH TISCHIO</t>
  </si>
  <si>
    <t>3/14 - NDB not impacted in prompt and project now completed</t>
  </si>
  <si>
    <t>CC 9 - All under A in Planview</t>
  </si>
  <si>
    <t>UB</t>
  </si>
  <si>
    <t>CC 6</t>
  </si>
  <si>
    <t>3/14 Effort changed from 4.47 to 1 person month</t>
  </si>
  <si>
    <t>Effort changed from 1.04  to .60
CC 8</t>
  </si>
  <si>
    <t>3/15 Cancelled in prompt
mpacted on cc 1 on hold per 1/28 email</t>
  </si>
  <si>
    <t>OI00241</t>
  </si>
  <si>
    <t>OI00241R1</t>
  </si>
  <si>
    <t xml:space="preserve">NDB Pre--Auth Table SAVE Functionality Fix </t>
  </si>
  <si>
    <t>F</t>
  </si>
  <si>
    <t>3/15 Effort redcuced from 1.30 to .86 person months</t>
  </si>
  <si>
    <t>3/15 Effort recduced from .53 to .13 person months</t>
  </si>
  <si>
    <t>CC 2 still in estinating and NDB's estimate will be reduced</t>
  </si>
  <si>
    <t>Marianne 
Weisbrod</t>
  </si>
  <si>
    <t xml:space="preserve">Systems of Record - Data Interface 2011 H1 </t>
  </si>
  <si>
    <t>CDB Online: CPCS Replacement</t>
  </si>
  <si>
    <t>Clms Hwy Operational Data Store (ODS)</t>
  </si>
  <si>
    <t>Corporate Tax Applications, EPMO, NDB, PHS - IFS (Integrated Financial System) Oracle Fin</t>
  </si>
  <si>
    <t>PacifiCare Brand Transition</t>
  </si>
  <si>
    <t>Debra Rogers</t>
  </si>
  <si>
    <t>Steve Nelson</t>
  </si>
  <si>
    <t>MAHP Non-Standard Fee Schedules</t>
  </si>
  <si>
    <t>Bob Holman</t>
  </si>
  <si>
    <t>ICD10 Program Definition UHC EI</t>
  </si>
  <si>
    <t>Prevent Pricing by Related Schedule</t>
  </si>
  <si>
    <t>M&amp;R Provider Rep Migration to ISET</t>
  </si>
  <si>
    <t>Cross Application Testing, Data Management, EA Data Architecture, NDB, ORBIT - Operational Reporting</t>
  </si>
  <si>
    <t>Cross Application Testing, NDB, ORBIT - Operational Reporting, Systems Integration</t>
  </si>
  <si>
    <t>Application Enablement, Automated Underwriting, B2B Provider Portal, BASICS, CES, COSMOS, Cross Application Testing, Data Delivery System (DDS), Data Management, EA Data Architecture, Electronic Eligibility Management System (EEMS), Employer Portal, eSBPP</t>
  </si>
  <si>
    <t>ACIS Suite, CES, COMET Desktop.NET, Cross Application Testing, FMR (Field Mgmt Reporting), NDB, Systems Integration, Testing Environment and Integration, TOPS, UFE</t>
  </si>
  <si>
    <t xml:space="preserve">B2B Provider Portal, B2C Provider Portal, CareOne, COSMOS, Cross Application Testing, eServices Billing, FSDB - Financial Summary Database (5087), GPS, GPT Business Systems, GPT eCommerce, NDB, ppoONE, Provider Network Analysis UAT &amp; Tools, Reimbursement </t>
  </si>
  <si>
    <t>Application Enablement, CES, Cross Application Testing, Enterprise Architecture, GEOAccess, Healthcare Alliance - Harvard Pilgrim, Healthcare Alliance - Medica, Integrated Service Experience Tool ISET, Myuhc - Member Portal, NDB, ORS, ppoONE, Provider Net</t>
  </si>
  <si>
    <t>Application Enablement, B2B Provider Portal, CES, Consumer Database (CDB), Cross Application Testing, EPMO, Myuhc - Member Portal, NDB, Provider Network Analysis UAT &amp; Tools, Summary Check, TOPS, UFE</t>
  </si>
  <si>
    <t>Empire Plan - dBase conversion</t>
  </si>
  <si>
    <t>UFE Provider Selection Routing Improvements</t>
  </si>
  <si>
    <t>NDB-EA Queue Consolidation - TOPS Claim Errors</t>
  </si>
  <si>
    <t>2006 Online Notification Enhancement Project</t>
  </si>
  <si>
    <t>Fee schedule look-up on uhconline</t>
  </si>
  <si>
    <t>Work Order</t>
  </si>
  <si>
    <t>Application Enablement, Automated Underwriting, CMA (Content Management Application), Computer Services, Data Management, eArt, eBor, Enterprise Application Architecture, EPMO, Foundation Frameworks, GRDC - (Group Reporting Data Control), Information Risk</t>
  </si>
  <si>
    <t>EPMO, NDB</t>
  </si>
  <si>
    <t>EPMO, NDB, ppoONE, Provider Network Analysis UAT &amp; Tools, Reimbursement Technology, UFE, UHC IT-UMR (United Medical Resources)</t>
  </si>
  <si>
    <t>Enhance NDB to AmeriChoice Extract</t>
  </si>
  <si>
    <t>In estimating.  Working with business on validating the approach to get to an estimate</t>
  </si>
  <si>
    <t>Integrated Test Env. Phase II BUILD - 1</t>
  </si>
  <si>
    <t>Acquisition Integrations, CES, Consumer Database (CDB), NDB, PHS - NICE, UP Policy Profile Service</t>
  </si>
  <si>
    <t>PIT - NS19 Provider Tin Not Found</t>
  </si>
  <si>
    <t>PacifiCare Iliad Long Term HCFA ppoONE Repricing</t>
  </si>
  <si>
    <t>Recred accreditation non-compliance reasons.</t>
  </si>
  <si>
    <t>SSP Vendor's Newly Contracted Phys - File Compare</t>
  </si>
  <si>
    <t>ACIS Suite, CES, Computer Services, Data Delivery System (DDS), Data Management, Enterprise Architecture, eServices Billing, Galaxy, NDB, PCIS, PRIME, SIFS, TOPS, United Platform Systems Analysis and Architecture, UPCT</t>
  </si>
  <si>
    <t>USEC not needed for this release</t>
  </si>
  <si>
    <t>PTI Mitigation Report for the Pay Enrollee Project</t>
  </si>
  <si>
    <t>Acquisition Integrations, EPMO, GPT Project Management Services, NDB, PHS - Distributed Application Services, PHS - ILIAD, PHS - NICE, Provider Network Analysis UAT &amp; Tools</t>
  </si>
  <si>
    <t>Data Management, NDB, ORBIT - Operational Reporting, Provider Network Analysis UAT &amp; Tools</t>
  </si>
  <si>
    <t>BRD
Actual Date</t>
  </si>
  <si>
    <t>CMA (Content Management Application), eArt, eBor, GRDC - (Group Reporting Data Control), NDB, PCIS, PRIME Renewals, Rosetta, United eServices</t>
  </si>
  <si>
    <t>COSMOS Provider ID Runout_A&amp;D</t>
  </si>
  <si>
    <t xml:space="preserve">Franchise Standardization Medicare Enrollment Integration </t>
  </si>
  <si>
    <t>Judy Garvida</t>
  </si>
  <si>
    <t>Distributed Rapid Recovery</t>
  </si>
  <si>
    <t>Neighborhood Health Parntership NDB Migration</t>
  </si>
  <si>
    <t>David Astar</t>
  </si>
  <si>
    <t>PBH Facets Migration</t>
  </si>
  <si>
    <t>WO - FTP mailbox setup</t>
  </si>
  <si>
    <t>OI00125</t>
  </si>
  <si>
    <t>OI00132</t>
  </si>
  <si>
    <t>OI00136</t>
  </si>
  <si>
    <t>OI00124</t>
  </si>
  <si>
    <t>OI00132R1</t>
  </si>
  <si>
    <t>OI00136R1</t>
  </si>
  <si>
    <t>OI00125R1</t>
  </si>
  <si>
    <t>OI00124R1</t>
  </si>
  <si>
    <t>Manage the SDLC and release of projects for Provider Systems</t>
  </si>
  <si>
    <t>Alliance PPO: Phase I, NDB Network Set-up</t>
  </si>
  <si>
    <t>Cleanup master tab - some columns not used and some columns populated with incorrect data.</t>
  </si>
  <si>
    <t>Notifications - Outpatient Surgeries</t>
  </si>
  <si>
    <t>MAMSI Capitation - Tactical Solution</t>
  </si>
  <si>
    <t>Kevin Ruth</t>
  </si>
  <si>
    <t>AMS Automated Repricing for UB claims</t>
  </si>
  <si>
    <t>Application Enablement, B2B Provider Portal, B2C Provider Portal, BH-Facets - UBH, BH-Liveandworkwell.com, BH-Shared Components, BH-ubhonline.com, Card Request System (CRS), CareOne, Claims Highway, Claims QA, Claims QA - EDI, Claims QA OHBS, Computer Ser</t>
  </si>
  <si>
    <t>5010: RI Provider File - Proprietary to HIPAA</t>
  </si>
  <si>
    <t>Insource LA Claims v2</t>
  </si>
  <si>
    <t>Susan Mieras</t>
  </si>
  <si>
    <t>Suzanne Pierce COO</t>
  </si>
  <si>
    <t>Application Enablement, B2B Provider Portal, BPID, CASP Webstrat-QCA, Claims Highway, Claims QA, COMET Desktop.NET, Cross Application Testing, Enterprise Application Architecture, Enterprise Letter Generation System, EPMO, GGMAP, NDB, Payment Engine, ppoO</t>
  </si>
  <si>
    <t>RV FACETS Composite APC Logic Break/Fix</t>
  </si>
  <si>
    <t>Moving Report from NDM Global Drive to Sharepoint</t>
  </si>
  <si>
    <t>Donna L O'sullivan</t>
  </si>
  <si>
    <t>Gabe Manfugas</t>
  </si>
  <si>
    <t>per Stan, deployed 3/5/12</t>
  </si>
  <si>
    <t>CSS-B2X 2012D Release (Addl Info Pop-up &amp; C&amp;S EDI)</t>
  </si>
  <si>
    <t>TennCare Provider File Changes</t>
  </si>
  <si>
    <t>Winnie Toler</t>
  </si>
  <si>
    <t>EPMO, Facets Alpha, NDB, UHC C and S Business Requirements, UHC C and S Provider Web Applications</t>
  </si>
  <si>
    <t>Provider Touchpoint - Fee Schedule Development</t>
  </si>
  <si>
    <t>Provider Touchpoint - Claims Reconsideration</t>
  </si>
  <si>
    <t>Cosmos Data Request - IFM</t>
  </si>
  <si>
    <t>Cancelled 3/9/12</t>
  </si>
  <si>
    <t>9.1 Upgrade (HRMS 9.1 Upgrade) Imp.</t>
  </si>
  <si>
    <t>Andrew Robertson</t>
  </si>
  <si>
    <t>Christine Anderson</t>
  </si>
  <si>
    <t>02-54170-000</t>
  </si>
  <si>
    <t>Establish instance of NICE in Zulu (A&amp;D)</t>
  </si>
  <si>
    <t>AO CareCore Implementation Remaining C&amp;S Markets</t>
  </si>
  <si>
    <t>Rikki Goldenberg</t>
  </si>
  <si>
    <t>KanCare Medicaid Implementation - AO</t>
  </si>
  <si>
    <t>B2B Provider Portal, B2C Provider Portal, CareOne, Claims QA, EPMO, Facets Alpha, FSDB - Financial Summary Database (5087), FTS Financial Tagging Service, Myuhc - Member Portal, NDB, Prescription Solutions, RPS - Reserve Production System (5611), UFE, UHC</t>
  </si>
  <si>
    <t>HIPAA Security - IC Program (45 Regulations)</t>
  </si>
  <si>
    <t xml:space="preserve">ACIS Suite, Adjudipro, APT, Atlas, Automated Customer Installation, B2B Provider Portal, B2C Provider Portal, BASICS, Case Package, CDD, CES, CFAS, CheckWriting, CMA (Content Management Application), ComAgg, COMCALC, COMET Desktop.NET, Computer Services, </t>
  </si>
  <si>
    <t>1/1/2007 Readiness</t>
  </si>
  <si>
    <t>ACIS Suite, Acquisition Integrations, Adjudipro, AE Mainframe Services, Alerts Admin Tool, AMS Staff Augmentation on UT Apps, Application Development Repository, Application Enablement, Application Infrastructure Services, APT, Atlas, Automated Underwriti</t>
  </si>
  <si>
    <t>Application Enablement, Audit Recovery Operations (ARO) Datamart, B2B Provider Portal, B2C Provider Portal, Card Request System (CRS), CareOne, Claims QA, Claims QA - EDI, Consumer Database (CDB), Contact Center Services, EPMO, ETS (Escalation Tracking Sy</t>
  </si>
  <si>
    <t>ACIS Suite, Application Enablement, B2C Provider Portal, BPM Development Group, Business Intent Certification Tool (BIC), CDD, Claim Work DIstribution (CWD), Claims Highway, Claims QA, COMET Desktop.NET, Consumer Account Management System (CAMS), Consumer</t>
  </si>
  <si>
    <t>WOQ4_02 Navigate Provider Contract One Shots</t>
  </si>
  <si>
    <t>GA Dept of Comm Hlth - Remote Access to Their Data</t>
  </si>
  <si>
    <t>RSA_ Navigate 2nd Network</t>
  </si>
  <si>
    <t>10/26 A/O project - determined NDB not needed so closed with no impact</t>
  </si>
  <si>
    <t>10/26 Moved from 8/24/13 to 4/12/13
2/13 Project now oom approved in prompt
12/12 Per Vicky - moved from Q2B to Q3
Project still in estimating in prompt - will go through July</t>
  </si>
  <si>
    <t>10/26 Project moved from 4/27/13 to 10/11/13
10/26 Project BGE Approved
Project still in estimating in prompt</t>
  </si>
  <si>
    <t>10/26 NDB has been un-impacted on this project</t>
  </si>
  <si>
    <t xml:space="preserve">10/26/12 BGE approved in Prompt
10/11/12 Not BGE Approved yet in prompt.  </t>
  </si>
  <si>
    <t>10/26/12 Project returned to funding pool approver and closed in planview</t>
  </si>
  <si>
    <t>10/26/12 CC 2 was cancelled in Prompt</t>
  </si>
  <si>
    <t>Medical Necessity - IPCM Contracting Scope</t>
  </si>
  <si>
    <t>UHC Multipayer Provider Portal &amp; EDI</t>
  </si>
  <si>
    <t xml:space="preserve">C&amp;S CLINICAL MIGRATION TO I-CUE </t>
  </si>
  <si>
    <t>AMC Configuration, AMC Regulatory Tracker, Application Enablement, B2B Provider Portal, B2C Provider Portal, BH-Clinical Applications, BH-Data Warehouses, BH-EDI/Data Extracts, BH-Elig/Accum, BH-Elig/Benefits, BH-Facets - UBH, BH-Public Sector Portals, BO</t>
  </si>
  <si>
    <t>9/15 Cancelled in Prompt 8/25</t>
  </si>
  <si>
    <t>9/15 Cancelled in Prompt 8/24</t>
  </si>
  <si>
    <t xml:space="preserve">CC48 </t>
  </si>
  <si>
    <t>9/16 No cc for this in prompt.  Remaining hours are being used.</t>
  </si>
  <si>
    <t>9/16 CC now scheduled in prompt
CC 12 - CC still in estimating in prompt</t>
  </si>
  <si>
    <t>9/16 Project cancelled in prompt</t>
  </si>
  <si>
    <t>Wisconsin CSP Facets Migration</t>
  </si>
  <si>
    <t>Tax Levy</t>
  </si>
  <si>
    <t>Jim Bailey</t>
  </si>
  <si>
    <t>BH-Facets - UBH, Claims QA, COSMOS, NDB, OH Program Management, TOPS</t>
  </si>
  <si>
    <t>400046739A</t>
  </si>
  <si>
    <t>TBS Provider Workflow - Pega Analysis</t>
  </si>
  <si>
    <t>CT Health Plan Shut Down</t>
  </si>
  <si>
    <t>Analysis and Devel. Only, no QA</t>
  </si>
  <si>
    <t xml:space="preserve">OHBS Reciprocity </t>
  </si>
  <si>
    <t xml:space="preserve">ICD10 E &amp; I Compliance Release </t>
  </si>
  <si>
    <t>10/7 Cancelled in Prompt</t>
  </si>
  <si>
    <t>101/0/11 NDB has been un-impacted in prompt</t>
  </si>
  <si>
    <t>10/.10/11 NDB has been un-impacted in prompt</t>
  </si>
  <si>
    <t xml:space="preserve">1010 Per Bernie no requests for this sprf
9/2 Per Rick reduced estimate from .52 to .27
CC 2 </t>
  </si>
  <si>
    <t xml:space="preserve">10/10 Per Bernie no reqs made for sprf
CC6 </t>
  </si>
  <si>
    <t>10/10 Per Bernie no reqs made
8/8 Reduced estimate from 1.15 to .48 per Bridget for LDE for Q3</t>
  </si>
  <si>
    <t xml:space="preserve">10/10/2011 - this is not even showing up in prompt </t>
  </si>
  <si>
    <t>1010/11 NDB no longer impacted in prompt</t>
  </si>
  <si>
    <t>DBRMS</t>
  </si>
  <si>
    <t xml:space="preserve">Basically we need to verify the plans that exist in test and Production environments and make sure they are not used in our environments and Delete them.
We have the plans list for Test and Production regions. We have verified the plans in Test regions and confirmed that we are not using them in our environments. We will be raising ITG to delete these plans
</t>
  </si>
  <si>
    <t xml:space="preserve">No sprf number </t>
  </si>
  <si>
    <t>10/12 Entered 4 hr estimate for project def - no impact for NDB</t>
  </si>
  <si>
    <t>10/12 Det no impact for NDB so cancelled cc</t>
  </si>
  <si>
    <t>10/12 completed in prompt but never scheduled by NDB</t>
  </si>
  <si>
    <t>10/13 Per pm - no cc will be opened
10/13 Have reduced this from 4.32 to 1.33 per Mel - waiting for cc to be opened in prompt
9/16  CC now scheduled in prompt
CC4 - cc still in estimating</t>
  </si>
  <si>
    <t>10/13 Per Karla estimate reduced in lde from 15.44 to 12.63
8/2 Added 3.49 for CC2
8/2 Project now oom aprproved
Project sill in estimating - but funded and added per Vicky</t>
  </si>
  <si>
    <t>OnLine Referral Capability for Gatekeeper Products</t>
  </si>
  <si>
    <t>Michael Donovan</t>
  </si>
  <si>
    <t>Medical Necessity ICM</t>
  </si>
  <si>
    <t>Medical Necessity - Zero Charge Lines</t>
  </si>
  <si>
    <t>Sam Ho / Kevin Ruth</t>
  </si>
  <si>
    <t>Dewayne Ullsperger</t>
  </si>
  <si>
    <t>Computer Services, Consumer Database (CDB), EPMO, Facets Alpha, NDB, UHCTS-MAHP(Mid Atlantic)</t>
  </si>
  <si>
    <t>Claims QA, Enterprise Information Management, EPMO, GEOAccess, Myuhc - Member Portal, NDB, UHC C and S Diamond-Diamond Interfaces, UHC C and S Provider Web Applications, UHN Reporting Database, Unified Data Warehouse (UDW)</t>
  </si>
  <si>
    <t>Application Enablement, BPID, Business Intent Certification Tool (BIC), Claims Highway, Claims QA, Consumer Database (CDB), Enterprise Adjudication Service, EPMO, Innovation Delivery Center, NDB, TOPS</t>
  </si>
  <si>
    <t>11-65380-000</t>
  </si>
  <si>
    <t>400055296A</t>
  </si>
  <si>
    <t>6/8 increased est from 6.90 to 7.93 in CC 2 sol est</t>
  </si>
  <si>
    <t>6/8 NDB was unimpacted in prompt after scheduled on gk
4/30 CC 1 - cc still in estimating in prompt</t>
  </si>
  <si>
    <t>Application Enablement, B2B Provider Portal, B2C Provider Portal, BPID, Enterprise Application Architecture, EPMO, Information Risk Management, Innovation Delivery Center, NDB, Provider Data &amp; Reimbursement, Security Access Tracking System, Security Servi</t>
  </si>
  <si>
    <t xml:space="preserve">TouchPoint-Claim Reconsideration 1.5 </t>
  </si>
  <si>
    <t>TouchPoint Fee Schedule-BVD 1.5</t>
  </si>
  <si>
    <t>400053506A</t>
  </si>
  <si>
    <t>3/26 NDB supported but since minimal too late to add to gk - was supported in feb 2012</t>
  </si>
  <si>
    <t>3/26 Project cancelled in prompt
12/12 OOM estimate increased from  47.79 PMs to.51.77 PMs 
12/2 Estimate changed from 30pms to 47.79 pms
10/10 Project is funded but still in estimating in prompt - project scope expected to increase</t>
  </si>
  <si>
    <t xml:space="preserve">3/26 Project cancelled in prompt
</t>
  </si>
  <si>
    <t>NDB CD- Market Type ID Tactical Solution</t>
  </si>
  <si>
    <t>3/26 Moved from Q2 to Q3
Put in at 50 hours since estimate will be reduced</t>
  </si>
  <si>
    <t>CC42 - no code deploy - running jobs</t>
  </si>
  <si>
    <t>4/6 Per Marianne there is no effort for USEC for May for this project
2/17/12 Moved from Q1 to Q2
9/2 Per Rick reduced estimate from 2.12 to  .6
Unused hours on project will be used for this effort.  A note is supposed to be added to prompt.</t>
  </si>
  <si>
    <t>4/6/12 Per Marianne no requests were received for this project</t>
  </si>
  <si>
    <t>Added remaining effort for Q2</t>
  </si>
  <si>
    <t>4/6 Added remaining effort for May</t>
  </si>
  <si>
    <t>4/6/12 Reduced to .41 per design est</t>
  </si>
  <si>
    <t>4/6/12 Per Prompt NDB was un-impacted on this project</t>
  </si>
  <si>
    <t>4/612 Per prompt this project was cancelled</t>
  </si>
  <si>
    <t>4/6/12 NDB not impacted in prompt</t>
  </si>
  <si>
    <t>eSync Clin Ops Q4 - HC3 migrations</t>
  </si>
  <si>
    <t>Bob Ziemann</t>
  </si>
  <si>
    <t>9/5 Estimate decreased from .07 to .02
CC 11</t>
  </si>
  <si>
    <t>Second+ Touch Program</t>
  </si>
  <si>
    <t>Jen Skrabak</t>
  </si>
  <si>
    <t>eSync Advocacy - Q1 2013</t>
  </si>
  <si>
    <t>04-54600-000</t>
  </si>
  <si>
    <t>400054062A</t>
  </si>
  <si>
    <t>ACIS Suite, Application Enablement, B2B Provider Portal, CES, Claims Highway, Computer Services, Consumer Account Management System (CAMS), Consumer Database (CDB), Contact Center Services, Cross Application Testing, CTS - Common Tables System, Data Manag</t>
  </si>
  <si>
    <t>CSS-B2X 2013C Release (PHS Migration)</t>
  </si>
  <si>
    <t>2013 PRIME Product and Rate</t>
  </si>
  <si>
    <t>Enterprise Information Management, EPMO, NDB, PRIME</t>
  </si>
  <si>
    <t>Emptoris v9.X Upgrade</t>
  </si>
  <si>
    <t>Matthew Adam</t>
  </si>
  <si>
    <t>NDB One shot to update HIPAA version for OI 835's</t>
  </si>
  <si>
    <t>Phase 1 XGEN To COBOL</t>
  </si>
  <si>
    <t>Claims QA, COSMOS, EPMO, NDB</t>
  </si>
  <si>
    <t>B2B Provider Portal, B2C Provider Portal, CareOne, Claims QA, Consumer Database (CDB), COSMOS, COSMOS Medicaid Processing, EPMO, FSDB - Financial Summary Database (5087), FTS Financial Tagging Service, NDB, PDG, UHC C and S IT PM</t>
  </si>
  <si>
    <t>New Jersey CSP Facets Migration</t>
  </si>
  <si>
    <t>Dawn Ramos</t>
  </si>
  <si>
    <t>Nebraska CSP Facets Migration</t>
  </si>
  <si>
    <t>Application Enablement, B2B Provider Portal, B2C Provider Portal, Business Intent Certification Tool (BIC), Claims Highway, Claims QA, COMET Desktop.NET, Consumer Database (CDB), COSMOS, Cross Application Testing, EPMO, IDT - Intelligent Desktop, iLEAD, I</t>
  </si>
  <si>
    <t>ICD10 Compliance E&amp;I Common Services</t>
  </si>
  <si>
    <t>DME – Competitive Bidding Process</t>
  </si>
  <si>
    <t>Susan Gamache</t>
  </si>
  <si>
    <t>CSS-B2X 2012C Release</t>
  </si>
  <si>
    <t>CSS-B2X 2012D Release</t>
  </si>
  <si>
    <t>Application Enablement, Cross Application Testing, Enterprise Architecture, EPMO, ERC, Foundation Frameworks, HSS (Pricing Applications), NDB, ppoONE, Testing Environment and Integration, TOPS, UHT</t>
  </si>
  <si>
    <t>4/19/12I just found out that sprf 40005008 Health Wealth Dashboard - Pilot Product        Analysis Only is completed in prompt.  It was on our ready to schedule list so I follow up with Joe Sneddon.  He said that the project cancelled the A/O and opened an A/D effort and NDB is not impacted on the A/D.</t>
  </si>
  <si>
    <t>4/19/12 Cancelled after estimated</t>
  </si>
  <si>
    <t>4/19  Project in est - sched per Vicky- BGE split between Aug and Sept</t>
  </si>
  <si>
    <t>Application Enablement, Claims Highway, Claims QA, Consumer Database (CDB), COSMOS, Cross Application Testing, Enterprise Information Management, EPMO, NDB, Network Technology &amp; Support, Provider Network Analysis UAT &amp; Tools, Testing Environment and Integ</t>
  </si>
  <si>
    <t>400046533A</t>
  </si>
  <si>
    <t>400046650A</t>
  </si>
  <si>
    <t>400046616A</t>
  </si>
  <si>
    <t>ACIS Suite, Application Development Repository, Application Enablement, Automated Underwriting, B2B Provider Portal, B2C Provider Portal, Bank Information System (BIS), BASICS, Card Management System (CMS), Card Request System (CRS), CDD, CES, Claims High</t>
  </si>
  <si>
    <t>Application Enablement, Claims Highway, Computer Services, COSMOS, Cross Application Testing, Data Delivery System (DDS), Enterprise Information Management, EPMO, NDB, ORBIT - Operational Reporting, Provider Network Analysis UAT &amp; Tools, TOPS, USEC - Univ</t>
  </si>
  <si>
    <t>B2B Provider Portal, B2C Provider Portal, BH-Clinical Applications, BH-Customer Dashboards, BH-Data Warehouses, BH-Elig/Accum, BH-Facets - UBH, BH-Linx, BH-Liveandworkwell.com, BH-Mgmt and Planning, BH-Shared Components, BH-ubhonline.com, CareOne, CES, Co</t>
  </si>
  <si>
    <t>CC to impact USEC still in Estimating, Project de-scoped</t>
  </si>
  <si>
    <t>Michael Tarino</t>
  </si>
  <si>
    <t xml:space="preserve">Pre-Auth  /Funding Tables Automated Loading Tool </t>
  </si>
  <si>
    <t>Ragui Selwanes</t>
  </si>
  <si>
    <t>Fee Schedule Redesign</t>
  </si>
  <si>
    <t>JOHN HABEN</t>
  </si>
  <si>
    <t>Impacted on CC#3-Returned by Funding Approver.  Not impacted on CC#1 - LDE</t>
  </si>
  <si>
    <t>COMET Desktop.NET, Emptoris, Enkata Application, FMR (Field Mgmt Reporting), Galaxy, NDB, OTS - Overpayment Tracking System, ppoONE, TOPS</t>
  </si>
  <si>
    <t>NDB, OptumHealth Care Solutions (ACN, Optum, URN), ppoONE, Provider Network Analysis UAT &amp; Tools, UFE, UHCTS-UMR EDI Services, UHCTS-UMR Portal, UHCTS-UMR-WAU(Wausau)</t>
  </si>
  <si>
    <t xml:space="preserve">B2B Provider Portal, B2C Provider Portal, CES, COMET Desktop.NET, Contact Center Services, EPD/NDB, EPMO, Galaxy, IDT - Intelligent Desktop, NDB, ORBIT - Operational Reporting, OTS - Overpayment Tracking System, PRIME, Railroad, Summary Check, TOPS, Tops </t>
  </si>
  <si>
    <t>UHIS - InforMed Implementation</t>
  </si>
  <si>
    <t>DX/PX Requirement Changes for Paper Claims Process</t>
  </si>
  <si>
    <t>Junal Polcaro</t>
  </si>
  <si>
    <t>PDR - UNET Provider Pick on Claims Highway</t>
  </si>
  <si>
    <t>Master Data Mgmt: Enterprise Logical DM [ELDM]</t>
  </si>
  <si>
    <t>Timothy G. Peterson</t>
  </si>
  <si>
    <t>HSR Q1 2011 Release</t>
  </si>
  <si>
    <t>Carol Buske</t>
  </si>
  <si>
    <t>HSR Q2 2011 Release</t>
  </si>
  <si>
    <t>OHBS Auth Changes</t>
  </si>
  <si>
    <t xml:space="preserve">MASCO Med Connect Portal Pilots for LTC Site HI &amp; </t>
  </si>
  <si>
    <t>Heidi Wold</t>
  </si>
  <si>
    <t>AL All Kids</t>
  </si>
  <si>
    <t>Texas Medicaid Taxonomy Matching</t>
  </si>
  <si>
    <t>Bror Hultgren</t>
  </si>
  <si>
    <t>Danna Mezin</t>
  </si>
  <si>
    <t xml:space="preserve">TN: Provider File Automation	</t>
  </si>
  <si>
    <t>Mike McCabe</t>
  </si>
  <si>
    <t>Global Solutions Enrollment</t>
  </si>
  <si>
    <t>ACIS Suite, Application Enablement, B2B Provider Portal, CES, CMA (Content Management Application), Computer Services, Consumer Database (CDB), Cross Application Testing, Desktop and Groupware Services, Electronic Eligibility Management System (EEMS), Emp</t>
  </si>
  <si>
    <t>UHI Global Solutions - Ancillary</t>
  </si>
  <si>
    <t>A</t>
  </si>
  <si>
    <t>Estimate</t>
  </si>
  <si>
    <t>CATHERINE DUMAS</t>
  </si>
  <si>
    <t>ISET Release 3</t>
  </si>
  <si>
    <t>PDR - Enhanced Provider Pick on Claims Highway</t>
  </si>
  <si>
    <t>Application Enablement, Data Management, Enterprise Application Architecture, Foundation Frameworks, NDB, USEC - Universal Security Systems</t>
  </si>
  <si>
    <t>EPMO, NDB, UHCTS-UMR EDI Services, UHCTS-UMR Portal, UHCTS-UMR-WAU(Wausau)</t>
  </si>
  <si>
    <t>EPMO, NDB, OHCS - TCE, UHCTS-UMR EDI Services, UHCTS-UMR Portal, UHCTS-UMR Reporting/DW/Analytics, UHCTS-UMR-WAU(Wausau)</t>
  </si>
  <si>
    <t>Claims QA, EPMO, Facets Alpha, NDB, Network Technology &amp; Support, ppoONE, UHC C and S Business Requirements</t>
  </si>
  <si>
    <t>Medical Cost Saving Programs</t>
  </si>
  <si>
    <t>Update Initiate from test to production</t>
  </si>
  <si>
    <t>Consumer Database (CDB), Infrastructure Architecture &amp; Engineering, NDB</t>
  </si>
  <si>
    <t>BSG, CES, Claims Highway, COSMOS, EPMO, EPMOOps, FSDB - Financial Summary Database (5087), IT Service Management, Myuhc - Member Portal, NDB, PHS - NICE, Planview UHG-IT, PPM Operations, PRIME, Program Definition Intake Team, Summary Check, Systems Integr</t>
  </si>
  <si>
    <t>Include Cosmos prov type = 0084 for EFT</t>
  </si>
  <si>
    <t>Behavioral Network Servies</t>
  </si>
  <si>
    <t>BH-Facets - UBH, Claims QA, COSMOS, NDB</t>
  </si>
  <si>
    <t>15-43200-000</t>
  </si>
  <si>
    <t>400052216A</t>
  </si>
  <si>
    <t>Cancelled in prompt 5/8/12</t>
  </si>
  <si>
    <t xml:space="preserve">TPT Defect 15326 278R COSMOS Error Codes </t>
  </si>
  <si>
    <t>TX ERS - WorkStream2: Core Processing</t>
  </si>
  <si>
    <t>one-time delivery of sample test data for the partners.  Additional test files &amp; testing work captured under other sprf's in this program</t>
  </si>
  <si>
    <t>Application Enablement Development, Enterprise Application Architecture, Foundation Frameworks, NDB, ORBIT - Operational Reporting, TOPS</t>
  </si>
  <si>
    <t>MAMSI Fee Schedule One-Shots</t>
  </si>
  <si>
    <t>not funded in 2008</t>
  </si>
  <si>
    <t>In Estimating.  IDT foundations.  Needs to be coordinated with other IDT/Foundations chgs.  Cancelled in Prompt</t>
  </si>
  <si>
    <t>Application Enablement, B2B Provider Portal, B2C Provider Portal, CareOne, CES, Consumer Database (CDB), Contact Center Services, COSMOS, Enterprise Content Management and Architecture, ETS (Escalation Tracking System), FSDB - Financial Summary Database (</t>
  </si>
  <si>
    <t>EPMO, NDB, Network Technology &amp; Support, ORBIT - Operational Reporting, UHN Reporting Database</t>
  </si>
  <si>
    <t>4-36974 - Medica (COSMOS) Implementation</t>
  </si>
  <si>
    <t>Doug Price</t>
  </si>
  <si>
    <t>COSMOS, Cross Application Testing, EPMO, NDB, Payables, UFE</t>
  </si>
  <si>
    <t>CSS-B2X 2011C Release</t>
  </si>
  <si>
    <t>Alerts Admin Tool, B2C Provider Portal, Business Intent Certification Tool (BIC), CES, Computer Services, Connect.UHC.com, Consumer Database (CDB), COSMOS, ECap, Electronic Eligibility Management System (EEMS), Enterprise Content Management and Architectu</t>
  </si>
  <si>
    <t>CDB Backend: ID Cards</t>
  </si>
  <si>
    <t>CDB Online - Convert EEMS to Update CDB</t>
  </si>
  <si>
    <t>Application Enablement, Consumer Database (CDB), Electronic Eligibility Management System (EEMS), Enterprise Information Management, EPMO, NDB, PRIME</t>
  </si>
  <si>
    <t>CDB Online:  Update /Channels Other</t>
  </si>
  <si>
    <t>ED - Lotus Notes NDB (NDM/NCST) RSA Only</t>
  </si>
  <si>
    <t>This is for the fix from Nov - K3 segment for 837I</t>
  </si>
  <si>
    <t>120 effort for Jan only</t>
  </si>
  <si>
    <t>NDB, OHFS - App Support, Provider Network Analysis UAT &amp; Tools</t>
  </si>
  <si>
    <t>OI00122R2</t>
  </si>
  <si>
    <t>OI00131</t>
  </si>
  <si>
    <t>OI00131R1</t>
  </si>
  <si>
    <t>Included fixing link in Prov Council Sched for lookup of comments</t>
  </si>
  <si>
    <t>No DTRs defined for Dec</t>
  </si>
  <si>
    <t>Jon Schmidt</t>
  </si>
  <si>
    <t xml:space="preserve">IDT MT Replacement Implement P2 </t>
  </si>
  <si>
    <t>PTI Errors Clean - Up Analysis</t>
  </si>
  <si>
    <t>OI00160R2</t>
  </si>
  <si>
    <t>Application Enablement, B2C Provider Portal, Foundation Frameworks, GEOAccess, IDT - Intelligent Desktop, Integrated Service Experience Tool ISET, NDB, Provider Network Analysis UAT &amp; Tools, TOPS</t>
  </si>
  <si>
    <t>Change Date of Data Extract</t>
  </si>
  <si>
    <t>Nicolle Wollin</t>
  </si>
  <si>
    <t>unet feed error report clean up project</t>
  </si>
  <si>
    <t>Modify NDB F5938P Batch Process for Multiple Files</t>
  </si>
  <si>
    <t>Need cc.  Hrs already consumed in TRS</t>
  </si>
  <si>
    <t>CC07R1</t>
  </si>
  <si>
    <t>AmeriChoice Diamond Markets to UHC Online</t>
  </si>
  <si>
    <t>Bill Type</t>
  </si>
  <si>
    <t>Diane Schofield</t>
  </si>
  <si>
    <t>E2E Physician Emptoris Enhancements 2009</t>
  </si>
  <si>
    <t>ACIS Suite, Atlas, CDD, CES, Contact Center Services, Electronic Eligibility Management System (EEMS), Employer Portal, Enterprise Testing, eServices Billing, Galaxy, IBAAG - IT (System Changes), ID Cards, IDT - Intelligent Desktop, Myuhc - Member Portal,</t>
  </si>
  <si>
    <t>Implement Secure FTP/SCP</t>
  </si>
  <si>
    <t>Susan L Smith</t>
  </si>
  <si>
    <t>Tax</t>
  </si>
  <si>
    <t>NPI Radiology Compliance</t>
  </si>
  <si>
    <t>COSMOS, COSMOS, EPD, EPD/NDB</t>
  </si>
  <si>
    <t>Replaced sprf 4-29853</t>
  </si>
  <si>
    <t>Garfield Collins</t>
  </si>
  <si>
    <t>Pooja Dedania</t>
  </si>
  <si>
    <t>May requested by the business.  May deliverable is very unlikely.  Need to work with business to determine reasonable delivery date.</t>
  </si>
  <si>
    <t>UHC - Enhance On-Line Provider Directory Accuracy</t>
  </si>
  <si>
    <t>Oxford Health Plan Network - Repricing</t>
  </si>
  <si>
    <t>NDB, Provider Network Analysis UAT &amp; Tools, Reimbursement Technology</t>
  </si>
  <si>
    <t>Provide Claim &amp; Eligibility Lookups for ACN</t>
  </si>
  <si>
    <t>Uniprise Customer Care</t>
  </si>
  <si>
    <t>Application Enablement, COMET Desktop.NET, COSMOS, Data Management, Desktop and Groupware Services, Foundation Frameworks, NDB, ppoONE, TOPS, USEC - Universal Security Systems</t>
  </si>
  <si>
    <t>Expanded EPDE Onboarding - UNO/UMR</t>
  </si>
  <si>
    <t>EPDE/EPDL 'Job-On-Demand' Queue</t>
  </si>
  <si>
    <t>Ovations HSD table reporting support</t>
  </si>
  <si>
    <t>BRD
Due Date</t>
  </si>
  <si>
    <t>Emptoris
Impact</t>
  </si>
  <si>
    <t>ppoONE
Impact</t>
  </si>
  <si>
    <t>Automate online provider search &amp; directory produc</t>
  </si>
  <si>
    <t>ACIS Suite, CES, Cross Application Testing, eServices Billing, Healthcare Alliance - Harvard Pilgrim, IBAAG - IT (System Changes), NDB, Systems Integration, Testing Environment and Integration, TOPS</t>
  </si>
  <si>
    <t xml:space="preserve">Application Enablement, bConnected, CareOne, CERTS, Consumer Database (CDB), COSMOS, Cross Application Testing, Enterprise Application Architecture, Enterprise Information Management, EPMO, GPS, GPT - Configuration Management, GPT - EQA Automation, GPT - </t>
  </si>
  <si>
    <t>ITI Federal Holiday</t>
  </si>
  <si>
    <t>NPI Non-Covered File</t>
  </si>
  <si>
    <t>Load multiple NPIs to a provider per state file</t>
  </si>
  <si>
    <t>Complete NDB to Facets for ASP Migrations</t>
  </si>
  <si>
    <t>Application Enablement, Audit Recovery Operations (ARO) Datamart, B2B Provider Portal, B2C Provider Portal, BH-Elig/Accum, Card Request System (CRS), CareOne, CERTS, Claims QA, Computer Services, Consumer Database (CDB), Contact Center Services, COSMOS, C</t>
  </si>
  <si>
    <t>HI Quest Expansion</t>
  </si>
  <si>
    <t>TX RFP Innovation Implementation</t>
  </si>
  <si>
    <t>Kara Rios</t>
  </si>
  <si>
    <t>Application Enablement, Connected Care (TeleHealth), Enterprise Application Architecture, EPMO, Information Risk Management, Innovation Delivery Center, Interactive Design Services (iDS), NDB, Summary Check</t>
  </si>
  <si>
    <t>CSP Providers Attached to Inactive Group Records</t>
  </si>
  <si>
    <t>WA Medicaid Feasibility Study (A/O for 4-41390)</t>
  </si>
  <si>
    <t>Scott Burghoff</t>
  </si>
  <si>
    <t>Application Enablement, BPID, CASP Webstrat-QCA, Claims Highway, Claims QA, Enterprise Systems Planning Business Architecture, EPMO, GGMAP, HIPAA, NDB, Payment Engine, ppoONE, TOPS</t>
  </si>
  <si>
    <t xml:space="preserve">ICD10 Technical Foundation UMR CareMgmt Migration </t>
  </si>
  <si>
    <t>Oren Hermel</t>
  </si>
  <si>
    <t>UMR Cost Transparency</t>
  </si>
  <si>
    <t>Stephanie Elliot</t>
  </si>
  <si>
    <t>HCR Preventive Allowing Additional Services</t>
  </si>
  <si>
    <t>Claims QA, EPMO, NDB, TOPS</t>
  </si>
  <si>
    <t>EPMO, NDB, Network Technology &amp; Support, ppoONE, Provider Network Analysis UAT &amp; Tools, Reimbursement Technology, UFE, UHCTS-UMR EDI Services, UHCTS-UMR Portal, UHCTS-UMR-WAU(Wausau), UHCTS-UMR-WES(ClaimFacts)</t>
  </si>
  <si>
    <t>PE IVR Procedure Code Benefits and Notifications</t>
  </si>
  <si>
    <t>Scott Naasz</t>
  </si>
  <si>
    <t>CC 7 - Planview E</t>
  </si>
  <si>
    <t>Cancelled per note from Brenda Colwill dated 12/30/10</t>
  </si>
  <si>
    <t>FL - Verify Atypical Provider NPI number requireme</t>
  </si>
  <si>
    <t>COSMOS, EPMO, Galaxy, NDB, Network Technology &amp; Support</t>
  </si>
  <si>
    <t>Cross Application Testing, NDB, Testing Environment and Integration, TOPS, UCAS - Unet Claim Accounting Sys (multiple apps)</t>
  </si>
  <si>
    <t>Application Enablement, B2B Provider Portal, B2C Provider Portal, Cross Application Testing, EPMO, iCES Clearinghouse, NDB, ppoONE, Provider Network Analysis UAT &amp; Tools, Reimbursement Technology, TOPS, UFE</t>
  </si>
  <si>
    <t>RSA - Episode Payments</t>
  </si>
  <si>
    <t>Chen-yuan Dumnmuh</t>
  </si>
  <si>
    <t>NICE Narrow Networks</t>
  </si>
  <si>
    <t>Steve Hantula</t>
  </si>
  <si>
    <t>Per email from Sean/Vicky  1/10/11- this has been moved to unscheduled</t>
  </si>
  <si>
    <t>Emptoris 2011 Integration Enhancements</t>
  </si>
  <si>
    <t xml:space="preserve">Lab Ntwrk Model Portal Lab Search Indicator GeoAc </t>
  </si>
  <si>
    <t>B2C Provider Portal, EPMO, GEOAccess, Myuhc - Member Portal, NDB, Network Technology &amp; Support</t>
  </si>
  <si>
    <t>Enterprise ICD10 Program Field Expansion</t>
  </si>
  <si>
    <t>Janice Wallace</t>
  </si>
  <si>
    <t xml:space="preserve">Deere Premier ISET Provider Network Selection </t>
  </si>
  <si>
    <t>Harvard Pilgrim (HPHC) Migration to ISET</t>
  </si>
  <si>
    <t>NDB Edit - Tax Levy Address</t>
  </si>
  <si>
    <t>Domenick Furfari</t>
  </si>
  <si>
    <t>CORE Expansion and ASO-ready</t>
  </si>
  <si>
    <t>Denise Mount</t>
  </si>
  <si>
    <t>Sherry Galetka</t>
  </si>
  <si>
    <t>Medical Necessity - Core Med Prior Auth</t>
  </si>
  <si>
    <t>Dr Sam Ho/Kevin Ruth</t>
  </si>
  <si>
    <t>Addition of NPI to NDB and COSMOS Provider Pick</t>
  </si>
  <si>
    <t>ORBIT Report-Provider Accred Status</t>
  </si>
  <si>
    <t>Jason Somrock</t>
  </si>
  <si>
    <t>Medical Necessity-Foundational CoreMed Prior Auth</t>
  </si>
  <si>
    <t>Kevin Ruth / Dr.Sam Ho</t>
  </si>
  <si>
    <t>UNO Q2 2011 Release</t>
  </si>
  <si>
    <t>Robert Wright</t>
  </si>
  <si>
    <t>Deb Cooledge</t>
  </si>
  <si>
    <t>EPMO, NDB, Network Technology &amp; Support, UNO/UIS</t>
  </si>
  <si>
    <t>UMR Onalaska Non-Par Pricing for Legacy Platforms</t>
  </si>
  <si>
    <t>EPMO, NDB, ppoONE, Provider Network Analysis UAT &amp; Tools, UFE, UHCTS-UMR-MWS(Midwest Security-Onalaska)</t>
  </si>
  <si>
    <t>CES, CMA (Content Management Application), COSMOS, Definity Health App Suite, Enterprise Application Architecture, Foundation Frameworks, GEOAccess, GFLX, Myuhc - Member Portal, NDB, PRIME, Product Benefit Database - UT, Program Definition Intake Team, Su</t>
  </si>
  <si>
    <t xml:space="preserve">Doug Smith / Betty Scott </t>
  </si>
  <si>
    <t xml:space="preserve">Mike Mikan, Dirk McMahon </t>
  </si>
  <si>
    <t>fallout from 2008 release</t>
  </si>
  <si>
    <t>HIPAA 5010</t>
  </si>
  <si>
    <t>ACIS Suite, Case Package, CDD, CES, COSMOS, EBDS, e-Bill, EPD/NDB, EPMO, FMR (Field Mgmt Reporting), ID Cards, IDRS (SCAD), IDT - Intelligent Desktop, ISEC (Internet Security Database), Myuhc - Member Portal, ORBIT - Operational Reporting, PRIME Renewals,</t>
  </si>
  <si>
    <t xml:space="preserve">01012006 Recycled Code Rate Cancellation  </t>
  </si>
  <si>
    <t>Improper Non Par Provider Setup Reports</t>
  </si>
  <si>
    <t>Rick Jelinek</t>
  </si>
  <si>
    <t>Empire -System Enhancement for IVF Claim Processin</t>
  </si>
  <si>
    <t>Multi Surg Wizard needs Provider Specialty</t>
  </si>
  <si>
    <t>Medica PCC provider load into NDB</t>
  </si>
  <si>
    <t>William Connolly/Susan Gamache</t>
  </si>
  <si>
    <t>MAMSI Utilization Management</t>
  </si>
  <si>
    <t>B2C Security, Data Management, SAM, USEC - Universal Security Systems</t>
  </si>
  <si>
    <t>1 - Scheduled</t>
  </si>
  <si>
    <t>DTR Analysis</t>
  </si>
  <si>
    <t>CE One Portal: NDB/CDB/PBD</t>
  </si>
  <si>
    <t>Testing Support Only</t>
  </si>
  <si>
    <t>Update COSMOS to store and utilize Alternate Member ID</t>
  </si>
  <si>
    <t>Non-Par Pricing for Legacy Platforms</t>
  </si>
  <si>
    <t>CareOne, COSMOS, IDT - Intelligent Desktop, Integrated Service Experience Tool ISET, NDB, OptumHealth Financial Services Architecture</t>
  </si>
  <si>
    <t>diCarta Physician Edits/Validation (NDB)</t>
  </si>
  <si>
    <t>Integration - GRI</t>
  </si>
  <si>
    <t>Add directory code for batch directory process</t>
  </si>
  <si>
    <t>Priority</t>
  </si>
  <si>
    <t>CIN Analysis Only</t>
  </si>
  <si>
    <t>LETRICIA BEST</t>
  </si>
  <si>
    <t>Medica Enhancements - EPDL Code 1 Override</t>
  </si>
  <si>
    <t>BRD Required by 1/31</t>
  </si>
  <si>
    <t>ACIS Suite, B2B Provider Portal, B2C Provider Portal, Case Package, CDD, CES, Data Management, e-Bill, EPD/NDB, EPMO, FMR (Field Mgmt Reporting), FSDB - Financial Summary Database (5087), IBAAG - IT (System Changes), IDRS (SCAD), IDT - Intelligent Desktop</t>
  </si>
  <si>
    <t>replaced with 4-22108</t>
  </si>
  <si>
    <t>HPHC1 - Anesthesia Calculation - Estimate only</t>
  </si>
  <si>
    <t>NDB AMAV Table Conversion</t>
  </si>
  <si>
    <t>Pending TOPS scheduling committment</t>
  </si>
  <si>
    <t>PRIME Auto-Assign IPA Number for Migrations</t>
  </si>
  <si>
    <t>B2B Provider Portal, Commercial Payment System (EPS), Electronic Eligibility Management System (EEMS), Enterprise Testing, EPMO, HIPAA, NDB, Summary Check, TOPS, UFE</t>
  </si>
  <si>
    <t>Optum-TOPS to NDB CMS modifications</t>
  </si>
  <si>
    <t>Fred Madill</t>
  </si>
  <si>
    <t>Modify NDB Reactivation Logic</t>
  </si>
  <si>
    <t>COSMOS, EPMO, NDB, Provider Network Analysis UAT &amp; Tools</t>
  </si>
  <si>
    <t>Automated CLIA updates from CMS to NDB</t>
  </si>
  <si>
    <t>COSMOS, NDB, UFE</t>
  </si>
  <si>
    <t>Tom Sinkewicz</t>
  </si>
  <si>
    <t>3/30 Cancelled in PROMPT</t>
  </si>
  <si>
    <t>Application Enablement, CDD, Data Management, FMR (Field Mgmt Reporting), Foundation Frameworks, Galaxy, NDB, Technical Architecture Services, TOPS, TOPS Reimbursement</t>
  </si>
  <si>
    <t>EPMO, NDB, PHS - ILIAD, PHS - NICE, PHS - QicLink/ClaimExchange</t>
  </si>
  <si>
    <t>PHS MAHP - Disable GHMO PCP Changes</t>
  </si>
  <si>
    <t>ATG Automated Transaction Generator, COSMOS, CPW, Healthcare Alliance - Harvard Pilgrim, NDB</t>
  </si>
  <si>
    <t>AmeriChoice Data Load Funding 2009</t>
  </si>
  <si>
    <t>AmeriChoice, NDB</t>
  </si>
  <si>
    <t>OI00155R1</t>
  </si>
  <si>
    <t>OI00156R1</t>
  </si>
  <si>
    <t>LD Approved status.  Oct release is Infrastructure only</t>
  </si>
  <si>
    <t>Update 835 routing IDs</t>
  </si>
  <si>
    <t>Projected
End
Date</t>
  </si>
  <si>
    <t>Plymouth Data Center Disaster Recovery Planning</t>
  </si>
  <si>
    <t>Radiology Accreditation Status Reporting</t>
  </si>
  <si>
    <t>Guaranteed Payment Program</t>
  </si>
  <si>
    <t>Scott Rineford</t>
  </si>
  <si>
    <t xml:space="preserve">WO NDB Prevent Feed to EPS 231 </t>
  </si>
  <si>
    <t xml:space="preserve">Empire Plan-Update Cover Letter for Provider List </t>
  </si>
  <si>
    <t>Facets GLHP MI Provider Data to NDB</t>
  </si>
  <si>
    <t>Brian Landwehr</t>
  </si>
  <si>
    <r>
      <t>Ready to Schedule.</t>
    </r>
    <r>
      <rPr>
        <sz val="8"/>
        <rFont val="Arial"/>
        <family val="2"/>
      </rPr>
      <t xml:space="preserve">  This will be split between PRIME's July release (7/24) and August releas (8/21).</t>
    </r>
  </si>
  <si>
    <t>Laura Levesque/Lisa Murphy</t>
  </si>
  <si>
    <t>Systems
Analyst</t>
  </si>
  <si>
    <t>USEC not needed</t>
  </si>
  <si>
    <t>Lab ETL Solution</t>
  </si>
  <si>
    <t>AMS add Choice Plus to HCFA repricing processing</t>
  </si>
  <si>
    <t>HEDIS Specialty Board Cert Long Term Corrections</t>
  </si>
  <si>
    <t>HPHC2-Ranking of Multiple Surgical Procedures byHA</t>
  </si>
  <si>
    <t>Medica Business Requirement Assessment</t>
  </si>
  <si>
    <t>ACIS Suite, Application Enablement, B2B Provider Portal, B2C Provider Portal, BPID, Business Intent Certification Tool (BIC), CCS-CCF, CES, CIX (Customer Installation Express), Claims Highway, Claims QA, COMET Desktop.NET, Consumer Database (CDB), Cross A</t>
  </si>
  <si>
    <t>UNET ELIG SYS LOGIC FOR CDB Decision Logic Gap ENH</t>
  </si>
  <si>
    <t>Doing this as a work order - to close out pitt feed</t>
  </si>
  <si>
    <t>D. Bajpai</t>
  </si>
  <si>
    <t>Architecture Team 
Y/N</t>
  </si>
  <si>
    <t xml:space="preserve">Design Walkthru </t>
  </si>
  <si>
    <t>Establish an instance of NDB in Zulu (A&amp;D)</t>
  </si>
  <si>
    <t>Product Development</t>
  </si>
  <si>
    <t>Member Admin</t>
  </si>
  <si>
    <t>ACIS Suite, B2B Provider Portal, B2C Provider Portal, CES, Claims QA, Consumer Database (CDB), Cross Application Testing, Enterprise Application Architecture, Enterprise EDI Business Solutions, Enterprise EDI Technical Operations, Enterprise Information M</t>
  </si>
  <si>
    <t>2/12/12 Project is now oom approved in prompt
Project sill in estimating in Prompt</t>
  </si>
  <si>
    <t xml:space="preserve">BPID, Consumer Database (CDB), COSMOS, Cross Application Testing, Emptoris, Enterprise Information Management, EPMO, NDB, Network Technology &amp; Support, PAS - Navigator, PULSE Provider, Reimbursement Technology, UHCTS-OXHP(Oxford), UHN Reporting Database, </t>
  </si>
  <si>
    <t>11/9/2012 Decreased in DE CC 28 from 6.07 to 5.11
9/5/12 Estimate decreased from 16.85 to 6.07
8/24/12 Changed release date from 11/10/12 to 11/1/12
On Shore Support only</t>
  </si>
  <si>
    <t>400041452I</t>
  </si>
  <si>
    <t>S. O'Brien</t>
  </si>
  <si>
    <t>May need additional support for Q4 but Laura will let us know</t>
  </si>
  <si>
    <t>Project in estimating in Prompt</t>
  </si>
  <si>
    <t>1/23/12 NDB un-impacted in project</t>
  </si>
  <si>
    <t>1/23/12 NDB has been un-impacted on this project</t>
  </si>
  <si>
    <t>1/123/12</t>
  </si>
  <si>
    <t>CPS-COSMOS to NDB Fee Sched Pricing</t>
  </si>
  <si>
    <t>ICD-10 E&amp; I Code Loading</t>
  </si>
  <si>
    <t>ICD-10 E &amp; I Commercial Paper Claims Release</t>
  </si>
  <si>
    <t>Feed all C&amp;S Demographic data to CSP</t>
  </si>
  <si>
    <t xml:space="preserve">SCHERER, CHRIS A </t>
  </si>
  <si>
    <t xml:space="preserve">NDB Cosmos Demo SoT- Physician Panel </t>
  </si>
  <si>
    <t>NDB COSMOS Demo SOT-Medica</t>
  </si>
  <si>
    <t>NDB COSMOS Demo SOT- Final Demographics Project</t>
  </si>
  <si>
    <t>Application Enablement, CES, Computer Services, Consumer Database (CDB), Cross Application Testing, Foundation Frameworks, GPT Enterprise QA, iLEAD, NDB, Pacificare Regional Data Store - PRDS, PHS - Bottom Line, PHS - FDS - Financial Data Store (FDS), PHS</t>
  </si>
  <si>
    <t xml:space="preserve">WOQ2 NDB OI 00293 Multiple PCP Terms </t>
  </si>
  <si>
    <t>WOQ2 NDB OI 00288 Multi Specialty Terms </t>
  </si>
  <si>
    <t>400048111A</t>
  </si>
  <si>
    <t>400049472A</t>
  </si>
  <si>
    <t>ICD10 Compliance Oxford - External Exchanges</t>
  </si>
  <si>
    <t>HCR Preventative Care Additional Services</t>
  </si>
  <si>
    <t>TX ERS - WorkStream1: Data Segmentation and Securi</t>
  </si>
  <si>
    <t>11-71211-000</t>
  </si>
  <si>
    <t>OH MME</t>
  </si>
  <si>
    <t>Susan Dora</t>
  </si>
  <si>
    <t>Tracy Davidson</t>
  </si>
  <si>
    <t xml:space="preserve">Application Enablement, CDD, CES, Claims Highway, Claims QA, COMET Desktop.NET, Consumer Database (CDB), Cross Application Testing, Data Delivery System (DDS), EPMO, Galaxy, Health Statement Engine, NDB, Payment Engine, Summary Check, Testing Environment </t>
  </si>
  <si>
    <t>Clinical Adoption - PHS to ICUE AO</t>
  </si>
  <si>
    <t xml:space="preserve">ACIS Suite, Application Enablement, B2B Provider Portal, B2C Provider Portal, CareOne, CCS-CCF, CES, Claims QA, Consumer Database (CDB), COSMOS, Cross Application Testing, Enterprise Application Architecture, Enterprise Information Management, Enterprise </t>
  </si>
  <si>
    <t>Michael Reed</t>
  </si>
  <si>
    <t>Ben Line</t>
  </si>
  <si>
    <t>Stephanie Logan</t>
  </si>
  <si>
    <t>Establish instance of CDB in Zulu</t>
  </si>
  <si>
    <t>JENNIFER MAFFEI</t>
  </si>
  <si>
    <t>B2C Provider Portal, Claims QA, Consumer Database (CDB), COSMOS, EPMO, ETS (Escalation Tracking System), HARC, IDT - Intelligent Desktop, Medicaid Comparison Database (MCD), NDB, ORS, UFE, UHC C and S BI (Business Intelligence), UHC C and S Business Requi</t>
  </si>
  <si>
    <t>Arizona CSP Facets Migration</t>
  </si>
  <si>
    <t>Install ESRD Module into Webstrat</t>
  </si>
  <si>
    <t>Mike O'Boyle</t>
  </si>
  <si>
    <t>ACIS Suite, Application Enablement, B2C Provider Portal, Consumer Database (CDB), Enterprise Product Planning &amp; Architecture (EPPA), Enterprise Technical Practices PMO, EPMO, NDB, Network Technology &amp; Support, ORBIT - Operational Reporting, UP Policy Prof</t>
  </si>
  <si>
    <t>Claims QA, COSMOS, Enterprise Systems Planning Business Architecture, EPMO, Galaxy, Ingenix Intra-Segment Work Request, NDB, Pacificare Regional Data Store - PRDS, PHS - NICE, Prescription Solutions, UHC C and S Business Requirements</t>
  </si>
  <si>
    <t>Application Enablement, B2B Provider Portal, BPID, BPM CoE, Claims Highway, Consumer Database (CDB), Enterprise Adjudication Service, Enterprise Information Management, Enterprise Systems Planning Business Architecture, EPMO, Exodes, GGMAP, HIPAA, iCES Cl</t>
  </si>
  <si>
    <t>B2C Build in Master Enviroment</t>
  </si>
  <si>
    <t>400053591A</t>
  </si>
  <si>
    <t>400050715A</t>
  </si>
  <si>
    <t>7/10- cancelled per email fromVicky</t>
  </si>
  <si>
    <t>7/13 Moved back to unscheduled - should have a decision at end of July if they will be scheduled for Q2
6/8 CC 11  - still in est in prompt</t>
  </si>
  <si>
    <t>7/13 Moved back to unscheduled - should have a decision at end of July if they will be scheduled for Q2
6/8 CC 18 - Still in est in prompt</t>
  </si>
  <si>
    <t xml:space="preserve">7/13 This was decreased in CC 1 </t>
  </si>
  <si>
    <t>7/2 Completed in prompt
11/14 11/14 Decreased on gk from 16 to 9.82 due to lde entered
4/22 Project is now oom approved
Waiting for OOM approval in prompt</t>
  </si>
  <si>
    <t>7/2 Attended Meetings and then was unimpacted - decreased from .41 to .12</t>
  </si>
  <si>
    <t>7/2 Per Anne Marie - ok to complete
6/27 Scheduled and oom approved
5/18 Project is still in estimating in Prompt</t>
  </si>
  <si>
    <t>400052614A</t>
  </si>
  <si>
    <t>7/2 Replaced this piece of cc 8 with sprf 4-52217
CC8 -est split between Q3 and Q4</t>
  </si>
  <si>
    <t>T. Kester</t>
  </si>
  <si>
    <t>7/2 Reduced from 5.99 to 5.2 in CC 24 DE
4/19 Estimate reduced by 1 pm in Sol est
2/6/12 Project oom approved in prompt
Project still in estimatng in prompt</t>
  </si>
  <si>
    <t>Provider Issues - B2X and ICUE Changes - Q4 2012</t>
  </si>
  <si>
    <t>HCR-Exchanges Connect Platforms to DI Layer</t>
  </si>
  <si>
    <t xml:space="preserve">Establish EPDE feed for  Provider Data Operations </t>
  </si>
  <si>
    <t>Donald Reilly</t>
  </si>
  <si>
    <t>Heritage Access to National Chiro and Claims mng</t>
  </si>
  <si>
    <t>Judith Blake</t>
  </si>
  <si>
    <t>Medica Commercial Business - COSMOS New DIV</t>
  </si>
  <si>
    <t>B2B Provider Portal, Claims QA, Claims QA - EDI, EPMO, Facets Alpha, NDB, ppoONE, UFE</t>
  </si>
  <si>
    <t>271 7 Digit Group Number</t>
  </si>
  <si>
    <t>ACIS Suite, Atlas, Automated Underwriting, B2B Provider Portal, B2C Provider Portal, Bank Information System (BIS), Business Intent Certification Tool (BIC), CIX (Customer Installation Express), Claims QA, Claims QA - EDI, Consumer Account Management Syst</t>
  </si>
  <si>
    <t>ACIS Suite, Adjustment Inventory Reporting (AIR), B2C Provider Portal, BH-Clinical Applications, BH-Customer Dashboards, BH-Data Warehouses, BH-EDI/Data Extracts, BH-Elig/Benefits, BH-Linx, BH-Liveandworkwell.com, BH-Shared Components, BH-ubhonline.com, C</t>
  </si>
  <si>
    <t>Claims QA, EPMO, NDB, Network Technology &amp; Support, TOPS</t>
  </si>
  <si>
    <t>B2B Provider Portal, Claims Highway, COMET Desktop.NET, Enterprise Letter Generation System, EPMO, GGMAP, NDB, Network Technology &amp; Support, ppoONE, TOPS</t>
  </si>
  <si>
    <t>CareOne, Claims Highway, COSMOS, CPW, EPMO, GPT - Configuration Management, GPT - Release Management, GPT Architecture, GPT eCommerce, GPT Enterprise QA, Health Statement Engine, iLEAD, NDB, Prescription Solutions</t>
  </si>
  <si>
    <t>Adjudipro, ATG Automated Transaction Generator, CFAS, Claims Highway, COSMOS, CPW, Cross Application Testing, Galaxy, LETGEN, NDB, Provider Network Analysis UAT &amp; Tools, Reimbursement Technology, UFE</t>
  </si>
  <si>
    <t>12/2 Changed estimate from .13 to .47 per Marianne - cc is scheduled
CC17 - Zero hours were entered into prompt and unburned hrs being used - cc still in estimating in prompt</t>
  </si>
  <si>
    <t>12/2 Close out with no-impact
CC3</t>
  </si>
  <si>
    <t>CC4 reduced estimate from .33 to .14.
CC1</t>
  </si>
  <si>
    <t>112/2 CC10 Design added additional 50 horus - increased from .63 to .96</t>
  </si>
  <si>
    <t>12/2 CC10 Design added additional 10 horus - increased from .33 to .40
CC1</t>
  </si>
  <si>
    <t>8/2 CC is now scheduled
CC1 - still in estimating
NO CODE DEPLOY FOR Q4 2011</t>
  </si>
  <si>
    <t>9/2 Decreased to 33.66 due to 198 hrs given to UBH Facet - cc 3
8/15 Decreased estimate by 1 pm - estimate given to usec line
Project oom approved in prompt
Project still in estimating - added per Vicky
Partial deploy for 11/12- marked complete 12/5for partial deploy piece only- december line item handled separately</t>
  </si>
  <si>
    <t>D. Keith</t>
  </si>
  <si>
    <t>Integration Requirements</t>
  </si>
  <si>
    <t>Operational Requirements</t>
  </si>
  <si>
    <t>Membership Growth / Revenue Programs</t>
  </si>
  <si>
    <t>Medical Cost Savings Programs</t>
  </si>
  <si>
    <t>HCA - Medica Operational Support</t>
  </si>
  <si>
    <t>HCA - HPHC Operational Support</t>
  </si>
  <si>
    <t>Regulatory / Other</t>
  </si>
  <si>
    <t>Process Improvement</t>
  </si>
  <si>
    <t>Network Growth / Enhancements</t>
  </si>
  <si>
    <t>Operations Group</t>
  </si>
  <si>
    <t>United Health Networks</t>
  </si>
  <si>
    <t>United Platform</t>
  </si>
  <si>
    <t>Key Initiatives Group</t>
  </si>
  <si>
    <t>Harvard Pilgrim Service Alliance</t>
  </si>
  <si>
    <t>Healthcare Service Alliance</t>
  </si>
  <si>
    <t>Uniprise Technologies - DDC</t>
  </si>
  <si>
    <t>Uniprise Operations - Capital Projects</t>
  </si>
  <si>
    <t>Exante - DDC</t>
  </si>
  <si>
    <t>USS - DDC</t>
  </si>
  <si>
    <t>Group Services - Capital Projects</t>
  </si>
  <si>
    <t>Definity - Capital Projects</t>
  </si>
  <si>
    <t>DDC - HIPAA</t>
  </si>
  <si>
    <t>Legal/Compliance - Capital Projects</t>
  </si>
  <si>
    <t>Uniprise Operations - DDC</t>
  </si>
  <si>
    <t>UOS - DDC</t>
  </si>
  <si>
    <t>Definity - DDC</t>
  </si>
  <si>
    <t>UOS - Capital Projects</t>
  </si>
  <si>
    <t>USS - Capital Projects</t>
  </si>
  <si>
    <t>CAO</t>
  </si>
  <si>
    <t>Portfolio Management</t>
  </si>
  <si>
    <t>Customer Requirements</t>
  </si>
  <si>
    <t>Specialty Benefits</t>
  </si>
  <si>
    <t>HCA - Medica UNET Conversion</t>
  </si>
  <si>
    <t>Pacificare Integration</t>
  </si>
  <si>
    <t>Clinically Integrated Network</t>
  </si>
  <si>
    <t>HCA - Operational Requirements</t>
  </si>
  <si>
    <t>HCA - Healthcare Alliances Discretionary</t>
  </si>
  <si>
    <t xml:space="preserve">xxOvations </t>
  </si>
  <si>
    <t>XXNon-COG</t>
  </si>
  <si>
    <t>Clinical Engagement Toolbox</t>
  </si>
  <si>
    <t>Health Care Delivery</t>
  </si>
  <si>
    <t>Operations</t>
  </si>
  <si>
    <t>Ovations Admin</t>
  </si>
  <si>
    <t>Tech and Data Management</t>
  </si>
  <si>
    <t>Benefit Admin</t>
  </si>
  <si>
    <t>Clinical-Ovations</t>
  </si>
  <si>
    <t>XXCOG</t>
  </si>
  <si>
    <t>Constituent Services</t>
  </si>
  <si>
    <t>Claims Remediation</t>
  </si>
  <si>
    <t>Product and Clinical</t>
  </si>
  <si>
    <t>Key Accounts</t>
  </si>
  <si>
    <t>Business Technology Operations</t>
  </si>
  <si>
    <t>HCA - Process Improvement</t>
  </si>
  <si>
    <t>Claims Highway, Claims QA, EPMO, Galaxy, Healthcare Alliance - Medica, NDB, Payment Engine, Systems Integration, TOPS, Unified Data Warehouse (UDW)</t>
  </si>
  <si>
    <t>Application Enablement, B2B Provider Portal, B2C Provider Portal, Bank Information System (BIS), Claims QA, Consumer Account Management System (CAMS), Consumer Database (CDB), Enterprise Application Architecture, Enterprise Information Management, Enterpr</t>
  </si>
  <si>
    <t xml:space="preserve">HCA - Regulatory </t>
  </si>
  <si>
    <t>Evercare Medicaid</t>
  </si>
  <si>
    <t>Claims QA, EPMO, Facets Alpha, Facets Solution Group, NDB, Provider Network Analysis UAT &amp; Tools</t>
  </si>
  <si>
    <t>DDC - UOS</t>
  </si>
  <si>
    <t>DDC - Uniprise Operations</t>
  </si>
  <si>
    <t>DDC - USS</t>
  </si>
  <si>
    <t>CFO - DDC</t>
  </si>
  <si>
    <t>Uniprise Unassigned</t>
  </si>
  <si>
    <t>MYUHC</t>
  </si>
  <si>
    <t>DDC - Managed Plans</t>
  </si>
  <si>
    <t>Legal/Compliance - DDC</t>
  </si>
  <si>
    <t>2003 Projects</t>
  </si>
  <si>
    <t>Group Services - DDC</t>
  </si>
  <si>
    <t>Uniprise Technologies - Capital Projects</t>
  </si>
  <si>
    <t>Workorder Management</t>
  </si>
  <si>
    <t>CFO - Capital Projects</t>
  </si>
  <si>
    <t>Consumer Solutions - Capital Projects</t>
  </si>
  <si>
    <t>UHG IT</t>
  </si>
  <si>
    <t>IRM</t>
  </si>
  <si>
    <t>Cancelled in Prompt 2/17/12</t>
  </si>
  <si>
    <t>ACIS Suite, B2B Provider Portal, B2C Provider Portal, CCS-CCF, CES, CIX (Customer Installation Express), Consumer Database (CDB), Contact Center Services, Cross Application Testing, CTS - Common Tables System, Employer Portal, eServices Billing, FSDB - Fi</t>
  </si>
  <si>
    <t>Application Enablement, CES, Consumer Database (CDB), Cross Application Testing, IDT - Intelligent Desktop, Integrated Service Experience Tool ISET, NDB, Testing Environment and Integration, TOPS</t>
  </si>
  <si>
    <t>Adjustment Inventory Reporting (AIR), Application Enablement, Audit Recovery Operations (ARO) Datamart, B2B Provider Portal, B2C Provider Portal, BH-Clinical Applications, BH-Data Warehouses, BH-Elig/Benefits, BH-Linx, BH-Liveandworkwell.com, BH-Shared Co</t>
  </si>
  <si>
    <t>Longmont United Hospital Modified B1 file</t>
  </si>
  <si>
    <t>Stephen Scheneman</t>
  </si>
  <si>
    <t xml:space="preserve">GE Thomson File layout changes - </t>
  </si>
  <si>
    <t>NDB Role Based Security Access</t>
  </si>
  <si>
    <t>Medical Necessity IPCM Phase 2</t>
  </si>
  <si>
    <t>ACIS Suite, Application Enablement, B2B Provider Portal, B2C Provider Portal, BH-Clinical Applications, BH-Data Warehouses, BH-Elig/Benefits, BH-Linx, BH-Liveandworkwell.com, Claim Work DIstribution (CWD), Claims Highway, Claims QA, Claims QA - EDI, COMET</t>
  </si>
  <si>
    <t>Strawberry - CareCore Prior Auth Service</t>
  </si>
  <si>
    <t>Application Enablement, B2B Provider Portal, B2C Provider Portal, CareOne, Claims QA, Claims QA - EDI, Consumer Database (CDB), EPMO, FSDB - Financial Summary Database (5087), FTS Financial Tagging Service, Myuhc - Member Portal, NDB, RPS - Reserve Produc</t>
  </si>
  <si>
    <t>Integration 12/17 - PGBA (Tom Milletto)</t>
  </si>
  <si>
    <t>AE - 11/26, MyHCE, PO, UHN Reporting</t>
  </si>
  <si>
    <t>ACIS Suite, Application Enablement, B2B Provider Portal, B2C Provider Portal, BPID, Business Intent Certification Tool (BIC), CBTS - Clinical Architecture, CCS-CCF, Claims Highway, Claims QA, Claims QA - EDI, COMET Desktop.NET, Computer Services, Consumer</t>
  </si>
  <si>
    <t xml:space="preserve">10/17/12 Project moved from Q3A to Q4.  </t>
  </si>
  <si>
    <t>10/17/12 Closed without impact</t>
  </si>
  <si>
    <t>Fran Johnson
Nicole Bruno</t>
  </si>
  <si>
    <t xml:space="preserve">Young Influentials Pilot - RSA </t>
  </si>
  <si>
    <t>Application Enablement, CES, Cross Application Testing, Data Management, Desktop and Groupware Services, Enterprise Architecture, EPMO, Foundation Frameworks, Healthcare Alliance - Medica, Host Session Signon, IDT - Intelligent Desktop, NDB, Network Servi</t>
  </si>
  <si>
    <t>TBS Provider Data Quality Remediation - Phase 1</t>
  </si>
  <si>
    <t>TBS Provider Data Quality - Bridge NDB Gaps</t>
  </si>
  <si>
    <t>Jane Narup</t>
  </si>
  <si>
    <t>Rate table feed from NDB for prospective fraud</t>
  </si>
  <si>
    <t>Westcott, Wendy</t>
  </si>
  <si>
    <t>Connecticut ASO RFP Implementation (2011)</t>
  </si>
  <si>
    <t>Michele Nelson</t>
  </si>
  <si>
    <t>ACIS Suite, Application Enablement, B2B Provider Portal, B2C Provider Portal, CES, CIX (Customer Installation Express), Claims Highway, Claims QA, COMET Desktop.NET, Consumer Database (CDB), Emptoris, Enterprise Information Management, Enterprise Letter G</t>
  </si>
  <si>
    <t>NDC Pricing - Remark Codes</t>
  </si>
  <si>
    <t>Contract Master - Create PNC or PPC lines</t>
  </si>
  <si>
    <t>ACM/National Ancillary Claim Pricing</t>
  </si>
  <si>
    <t xml:space="preserve">10/17 Project is cancelled in prompt. </t>
  </si>
  <si>
    <t>10/17 Project is cancelled in prompt.</t>
  </si>
  <si>
    <t>10/17 Project now BGE Approved in prompt.  
7/2 Project not scheduled or oom approved in prompt</t>
  </si>
  <si>
    <t xml:space="preserve">10/17 NDB unimpcated in prompt. </t>
  </si>
  <si>
    <t xml:space="preserve">10/17/12 Project completed in prompt without NDB being engaged.  </t>
  </si>
  <si>
    <t>10/17/12 NDB unimpacted on project.  
7/13 NDB reduced estimate from .91 to .50 in CC 54
CC36</t>
  </si>
  <si>
    <t>iCES Clearinghouse May 2012 Maintenance Release</t>
  </si>
  <si>
    <t>iCES Clearinghouse Aug 2012 Maintenance Release</t>
  </si>
  <si>
    <t>iCES Clearinghouse Nov 2012 Maintenance Release</t>
  </si>
  <si>
    <t>ACIS Suite, Application Enablement, B2B Provider Portal, B2C Provider Portal, CareOne, CES, Claims QA, Consumer Database (CDB), COSMOS, Enterprise Application Architecture, Enterprise EDI Technical Operations, Enterprise Information Management, Enterprise</t>
  </si>
  <si>
    <t>Application Enablement, Claims QA, COSMOS, EPMO, GEOAccess, GPT - Configuration Management, GPT - Release Management, MAPS, NDB, UHC M and R Provider Search</t>
  </si>
  <si>
    <t>ICUE Q3 2012</t>
  </si>
  <si>
    <t>M&amp;R NICE-COSMOS Migration RSA Program Definition</t>
  </si>
  <si>
    <t>Jim Murphy</t>
  </si>
  <si>
    <t>CC2</t>
  </si>
  <si>
    <t>PDR - Cosmos Demographics Gap Remediation (AO)</t>
  </si>
  <si>
    <t>PDR - Cosmos Contract Gap Remediation (AO)</t>
  </si>
  <si>
    <t>PDR - Cosmos Physician Pricing Gap Remediation (AO</t>
  </si>
  <si>
    <t>PDR - Cosmos Facility Pricing Gap Remediation (AO)</t>
  </si>
  <si>
    <t>cancelled in PROMPT</t>
  </si>
  <si>
    <t>Notifications- Incomplete Provider Information</t>
  </si>
  <si>
    <t>ACIS Suite, BASICS, CES, Data Management, EPMO, eServices Billing, FSDB - Financial Summary Database (5087), Galaxy, IBAAG - IT (System Changes), Internal Integrations, NDB, PCIS, Peoplesoft-GL, PRIME, SIFS, Systems Integration, TOPS, UCAS - Unet Claim Ac</t>
  </si>
  <si>
    <t>NDB-EA - EPDL Enhancements to support Optum</t>
  </si>
  <si>
    <t>B2B Provider Portal, B2C Provider Portal, Contact Center Services, COSMOS, Emptoris, Enterprise Application Architecture, Enterprise Testing, EPMO, Galaxy, IDT - Intelligent Desktop, Myuhc - Member Portal, NDB, ppoONE, Summary Check, TOPS, United Voice Po</t>
  </si>
  <si>
    <t>Minnesota AUC 837 Compliance (Claims)</t>
  </si>
  <si>
    <t>Robert Kelly</t>
  </si>
  <si>
    <t>SIP_IDT JAD Host 2</t>
  </si>
  <si>
    <t xml:space="preserve">MSG                            Broker/ AE- UPM </t>
  </si>
  <si>
    <t xml:space="preserve">CC #18 Impact NDB for CC #17 </t>
  </si>
  <si>
    <t>Combined this with the A&amp;D effort</t>
  </si>
  <si>
    <t>OOM, CC1  and CC2 combined</t>
  </si>
  <si>
    <t>CS-Consumer Advisory&amp;Transparency</t>
  </si>
  <si>
    <t>OHBS - IVR Self Service Find a Clinician</t>
  </si>
  <si>
    <t>John Howalt</t>
  </si>
  <si>
    <t>Tyler Moore</t>
  </si>
  <si>
    <t>Provider SoT &amp; Data Workflow</t>
  </si>
  <si>
    <t>Deb Adler</t>
  </si>
  <si>
    <t>AmeriChoice, Application Enablement, B2B Provider Portal, B2C Provider Portal, CareOne, CCS-CCF, Consumer Database (CDB), COSMOS, NDB</t>
  </si>
  <si>
    <t>BH-Facets - UBH, NDB</t>
  </si>
  <si>
    <t>BH-Mgmt and Planning, NDB, ppoONE, Program Definition Intake Team, Provider Network Analysis UAT &amp; Tools</t>
  </si>
  <si>
    <t>Analysis only.  Confirmed no deliverables for March.  Expect deliverables to be delivered with 4-8046 in June.</t>
  </si>
  <si>
    <t>Pacificare - UB - System 2 - NICE</t>
  </si>
  <si>
    <t>ORBIT: Admin spprt for the Instl of NDB Rprts</t>
  </si>
  <si>
    <t>Tim Olson</t>
  </si>
  <si>
    <t>Invalid Group Table Number Report</t>
  </si>
  <si>
    <t>Moved from Aug to Oct per Diana.  This had always been on her EPDL spreadsheet with the business for August</t>
  </si>
  <si>
    <t>PIT - 2005 Standard Code Sets Quarterly Updates</t>
  </si>
  <si>
    <t>Being consolidated into 4-13210</t>
  </si>
  <si>
    <t xml:space="preserve">NDB Fee Schedule Space Conservation- Reporting  </t>
  </si>
  <si>
    <t>iCES March 2009 Maintenance Release</t>
  </si>
  <si>
    <t>iCES May 2009 Maintenance Release</t>
  </si>
  <si>
    <t>iCES August 2009 Maintenance Release</t>
  </si>
  <si>
    <t>Discontinue file transmissions to DataMark</t>
  </si>
  <si>
    <t>MND project, add altIDs to current/new 8000 jobs</t>
  </si>
  <si>
    <t>craig anderson</t>
  </si>
  <si>
    <t>NDB no longer impacted per Lori McGhee on 5/9/2007 e-mail</t>
  </si>
  <si>
    <t>Harvard Pilgrim Anesthesia Pro-Rating: Development</t>
  </si>
  <si>
    <t>Application Enablement, B2B Provider Portal, B2C Provider Portal, Myuhc - Member Portal, NDB, Provider Network Analysis UAT &amp; Tools</t>
  </si>
  <si>
    <t>BH-IT App Services, Consumer Account Management System (CAMS), Consumer Activity Presentment/Emp Portal (CAP/EAP), GRDC - (Group Reporting Data Control), IBM FileNet, Information Risk Management, IT Service Management, Provider Network Analysis UAT &amp; Tool</t>
  </si>
  <si>
    <t>ACIS Suite, Adjudipro, Application Enablement, B2B Provider Portal, B2C Provider Portal, Bank Information System (BIS), BASICS, Card Integration Platform (CIP), Card Management System (CMS), CCS-CCF, CDD, CES, CFAS, COMCALC, Computer Services, Consumer Da</t>
  </si>
  <si>
    <t>CCS-CCF, NDB, TOPS</t>
  </si>
  <si>
    <t>CCS-CCF, NDB</t>
  </si>
  <si>
    <t>AmeriChoice, Application Enablement, Applications and Acquisitions (AAA), B2B Provider Portal, B2C Provider Portal, CareOne, CCS-CCF, Computer Services, Consumer Database (CDB), COSMOS, IBAAG - IT (System Changes), NDB, Portal Reporting</t>
  </si>
  <si>
    <t>B2B Provider Portal, B2C Provider Portal, CareOne, CCS-CCF, COSMOS, Enterprise Care Management, EPMO, IDT - Intelligent Desktop, NDB</t>
  </si>
  <si>
    <t>AmeriChoice, Application Enablement, B2B Provider Portal, B2C Provider Portal, CareOne, CCS-CCF, Contact Center Services, NDB, Portal Reporting, Testing Environment and Integration, TOPS, United Platform Systems Analysis and Architecture, United Voice Por</t>
  </si>
  <si>
    <t>B2B Provider Portal, CareOne, CCS-CCF, COSMOS, Enterprise Information Management, EPMO, FSA IVR, FSDB - Financial Summary Database (5087), Ingenix EDI Solutions, Integrated Service Experience Tool ISET, NDB, ORBIT - Operational Reporting, ORS, Trend Analy</t>
  </si>
  <si>
    <t>B2B Provider Portal, CareOne, CCS-CCF, Enterprise EDI Business Solutions, Enterprise Information Management, NDB, ORBIT - Operational Reporting, UFE</t>
  </si>
  <si>
    <t>B2B Provider Portal, B2C Provider Portal, CareOne, CCS-CCF, Consumer Database (CDB), COSMOS, NDB, Network Technology &amp; Support, PDG, Provider Network Analysis UAT &amp; Tools, TOPS</t>
  </si>
  <si>
    <t>ACIS Suite, Adjudipro, ATG Automated Transaction Generator, Atlas, Automated Underwriting, Bank Information System (BIS), BASICS, bConnected - UHG IT, CareOne, CCS-CCF, CFAS, CIX (Customer Installation Express), CMDB (Correction Management Database), COMC</t>
  </si>
  <si>
    <t>PHS - RX Carve IN - NDB not listed as an impacted application.</t>
  </si>
  <si>
    <t>OneNet</t>
  </si>
  <si>
    <t>Increasing to 661 hrs.  No longer a wo.  Requestor needs to seek alternate funding</t>
  </si>
  <si>
    <t>PTE</t>
  </si>
  <si>
    <t>PTI</t>
  </si>
  <si>
    <t>Medica- 2006 Final IDT Enhancements</t>
  </si>
  <si>
    <t>ACIS Suite, BASICS, CES, CIX (Customer Installation Express), COSMOS, Cross Application Testing, CTS - Common Tables System, Data Delivery System (DDS), Data Management, Electronic Eligibility Management System (EEMS), Enterprise Architecture, eServices B</t>
  </si>
  <si>
    <t>COSMOS, NDB, Network Technology &amp; Support, ORBIT - Operational Reporting, Provider Network Analysis UAT &amp; Tools, UHC C and S Diamond-Diamond Interfaces</t>
  </si>
  <si>
    <t>EPMO, Facets Alpha, NDB, Network Technology &amp; Support, UHCTS-UMR EDI Services, UHCTS-UMR Validata Application, UHCTS-UMR-MWS(Midwest Security-Onalaska), UHCTS-UMR-WAU(Wausau)</t>
  </si>
  <si>
    <t>Scott Powell</t>
  </si>
  <si>
    <t>Service Request  - Filtering Options</t>
  </si>
  <si>
    <t>Application Enablement, BH-Facets - UBH, CES, Consumer Database (CDB), IDT - Intelligent Desktop, Integrated Service Experience Tool ISET, NDB, ORS</t>
  </si>
  <si>
    <t>6/16 Cancelled in Prompt (6/7)</t>
  </si>
  <si>
    <t>6/20 Mel Confirmed Analysis is completed</t>
  </si>
  <si>
    <t>For Dev and Analysis Support</t>
  </si>
  <si>
    <t>OI00228R1</t>
  </si>
  <si>
    <t>Facets Alpha, NDB, Network Technology &amp; Support, UHC C and S Diamond-Diamond Interfaces, UHC C and S Facets-Interfaces-Detroit, UHC C and S IT PM, UHC C and S Portals (Provider/Marketing)</t>
  </si>
  <si>
    <t>NDB, Network Technology &amp; Support, UHC C and S Diamond-Diamond Interfaces, UHC C and S IT PM</t>
  </si>
  <si>
    <t>Not OOM Approved</t>
  </si>
  <si>
    <t>Harvard Pilgrim-UHG Passport Alliance Project</t>
  </si>
  <si>
    <t>create test claim region for pend 52 queue claims</t>
  </si>
  <si>
    <t>HPI/HPHC EPDL UAT</t>
  </si>
  <si>
    <t>CC09U1</t>
  </si>
  <si>
    <t>John Botros</t>
  </si>
  <si>
    <t>Clean-up Gatekeeper tab - eliminate duplicate columns, make sure that accurate dates flow through to the Mastet and Provider Council Scheduled tabs.</t>
  </si>
  <si>
    <t>EPMO, NDB, PHS - NICE, ppoONE, UFE</t>
  </si>
  <si>
    <t>Medica Alliance - UNET UHG Requested Enhancement</t>
  </si>
  <si>
    <t>Linda Dooley</t>
  </si>
  <si>
    <t>NaviNet Provider Data Extract</t>
  </si>
  <si>
    <t>COSMOS, Healthcare Alliance - Medica, NDB</t>
  </si>
  <si>
    <t>EPS- Consolidated 835 Rebuild</t>
  </si>
  <si>
    <t>Geo Access November User Interface Changes</t>
  </si>
  <si>
    <t>NDB weekly EPDE Feed for MNOC</t>
  </si>
  <si>
    <t>Red - Behind Sched</t>
  </si>
  <si>
    <t>Red - Completed Late</t>
  </si>
  <si>
    <t>B2B Provider Portal, EPD/NDB, IDT - Intelligent Desktop, Unified Application IVR</t>
  </si>
  <si>
    <t>UBH contract load onto Pulse  - Option Analysis</t>
  </si>
  <si>
    <t>Diane Schofield/Eileen Dock</t>
  </si>
  <si>
    <t>ACIS Suite, B2B Provider Portal, B2C Provider Portal, BASICS, CDD, CES, COMET Desktop.NET, Commercial Payment System (EPS), Data Management, Definity Health PM, EFS Product Implementation &amp; Integration, Employer Portal, Enterprise Application Architecture</t>
  </si>
  <si>
    <t>CC01R2</t>
  </si>
  <si>
    <t>Add Hospitalist and Neonatology Groups to Search</t>
  </si>
  <si>
    <t xml:space="preserve">ITI Reimbursement Reductions - Government </t>
  </si>
  <si>
    <t>AmeriChoice, B2B Provider Portal, B2C Provider Portal, CareOne, Consumer Database (CDB), NDB, Portal Reporting</t>
  </si>
  <si>
    <t>LISA FRIDLAND</t>
  </si>
  <si>
    <t>Military Facilities - In-Network Benefits</t>
  </si>
  <si>
    <t>Steve Margolis</t>
  </si>
  <si>
    <t>Chris Brown</t>
  </si>
  <si>
    <t>NDB, Online Provider Directory, UFE</t>
  </si>
  <si>
    <t>Dick Lanpher</t>
  </si>
  <si>
    <t>Consolidated with R3</t>
  </si>
  <si>
    <t>Consolidated with R1</t>
  </si>
  <si>
    <t>CC22</t>
  </si>
  <si>
    <t>CC23</t>
  </si>
  <si>
    <t>Unet Claims Calculations at the Total Claim Level</t>
  </si>
  <si>
    <t>EPMO, NDB, ppoONE, Provider Network Analysis UAT &amp; Tools, UHCTS-UMR EDI Services, UHCTS-UMR-WAU(Wausau), United Health Premium Designation (UHPD)</t>
  </si>
  <si>
    <t>OneNet Migration - Analysis and Development</t>
  </si>
  <si>
    <t>Medica ISET Q2 Project</t>
  </si>
  <si>
    <t>Robyn Athmann</t>
  </si>
  <si>
    <t>URV Non-Par Pricing for Legacy Platforms</t>
  </si>
  <si>
    <t>Jim Cronin</t>
  </si>
  <si>
    <t>Synergies to deploy w/timely filing in Apr.  To complete separately, est would triple</t>
  </si>
  <si>
    <t>Facility EDI for Shared Savings</t>
  </si>
  <si>
    <t>U1</t>
  </si>
  <si>
    <t>UAT
Testing</t>
  </si>
  <si>
    <t>Bus
Reqmts</t>
  </si>
  <si>
    <t>Develop</t>
  </si>
  <si>
    <t>Per Bruce Carver, this SPRF will be closed.</t>
  </si>
  <si>
    <t>EPD/NDB, ORBIT - Operational Reporting</t>
  </si>
  <si>
    <t>B. Gaudet</t>
  </si>
  <si>
    <t>Replaced with 4-18003</t>
  </si>
  <si>
    <t>H. Mohammed</t>
  </si>
  <si>
    <t xml:space="preserve">JDHP GHMO High Level Development Costs </t>
  </si>
  <si>
    <t>BR Approved status</t>
  </si>
  <si>
    <t>Michael Bresolin</t>
  </si>
  <si>
    <t>A/O WO for John McGrath for Provider Pick issues</t>
  </si>
  <si>
    <t>Network Data Management</t>
  </si>
  <si>
    <t>EPDL Specialty Extract for GRI</t>
  </si>
  <si>
    <t>In Estimating.  TRS entries open.  All work for Prem Designation will be done under Facility 4-16069</t>
  </si>
  <si>
    <t>Project is scheduled but not yet oom approved</t>
  </si>
  <si>
    <t>Project will all be delivered in Q2</t>
  </si>
  <si>
    <t xml:space="preserve"> PDR - Integration POC</t>
  </si>
  <si>
    <t>AmeriChoice NY provider data export</t>
  </si>
  <si>
    <t>Empire Plan - NDB Exract Changes</t>
  </si>
  <si>
    <t>Richard Maloney</t>
  </si>
  <si>
    <t>Member Residential Market for Medica Passport Ch</t>
  </si>
  <si>
    <t>SUSAN PARTEN</t>
  </si>
  <si>
    <t>NDB UT Provider Pick Analysis Only</t>
  </si>
  <si>
    <t>Jillian Foucre</t>
  </si>
  <si>
    <t>Enhance NDB Mass Maintenance</t>
  </si>
  <si>
    <t xml:space="preserve">ACIS Suite, BASICS, CDD, CES, Data Delivery System (DDS), Data Management, EA Data Architecture, eServices Billing, FSDB - Financial Summary Database (5087), Internal Integrations, NDB, PCIS, PRIME, Systems Integration, TOPS, UCAS - Unet Claim Accounting </t>
  </si>
  <si>
    <t>Schafer, Kelly</t>
  </si>
  <si>
    <t>Fee Schedule Audit Report</t>
  </si>
  <si>
    <t>Tim Klevar</t>
  </si>
  <si>
    <t>RSASL-Navigate Referral Summary &amp; Detail Report</t>
  </si>
  <si>
    <t>Cynthia Kollars</t>
  </si>
  <si>
    <t>Consumer Database (CDB), EPMO, NDB</t>
  </si>
  <si>
    <t>Establish instance of FACETS in Zulu (A&amp;D)</t>
  </si>
  <si>
    <t>Application Enablement, Enterprise Information Management, EPMO, NDB, Network Technology &amp; Support</t>
  </si>
  <si>
    <t>NDB SoT - C&amp;S Strategic NDB SoT Enhancements A/D</t>
  </si>
  <si>
    <t>NDB SoT - NDB Directory SoT &amp; Enhancements A/D</t>
  </si>
  <si>
    <t>CMC - Risk Carve Out</t>
  </si>
  <si>
    <t>Adding ICM and RR Codes to Benefits/Systems</t>
  </si>
  <si>
    <t>400050350A</t>
  </si>
  <si>
    <t>400050588A</t>
  </si>
  <si>
    <t>Sleep Test Optimization on UNET</t>
  </si>
  <si>
    <t>Application Enablement, B2B Provider Portal, B2C Provider Portal, Claims Highway, Claims QA, CMA (Content Management Application), Consumer Database (CDB), COSMOS, Enterprise Decomm Architecture, Enterprise Information Management, Enterprise Systems Plann</t>
  </si>
  <si>
    <t>Multiple Networks and Tiered Benefits/Networks</t>
  </si>
  <si>
    <t>Jane Boston</t>
  </si>
  <si>
    <t>ACIS Suite, Application Enablement, Automated Underwriting, B2B Provider Portal, B2C Provider Portal, Business Intent Certification Tool (BIC), CareOne, CCS-CCF, CDD, CIX (Customer Installation Express), Claims Highway, Claims QA, COMET Desktop.NET, Consu</t>
  </si>
  <si>
    <t>Analysis will be through out the year</t>
  </si>
  <si>
    <t>Beverly Johnson</t>
  </si>
  <si>
    <t>OptumInsight</t>
  </si>
  <si>
    <t>OptumRx</t>
  </si>
  <si>
    <t>TX CHIP CSP Migration</t>
  </si>
  <si>
    <t>CSS-B2X 2011C ICD-10 Remediation</t>
  </si>
  <si>
    <t>LARSON CAROLYN</t>
  </si>
  <si>
    <t xml:space="preserve">Molly Knorr </t>
  </si>
  <si>
    <t>Sleep Test Optimization</t>
  </si>
  <si>
    <t>Transparency</t>
  </si>
  <si>
    <t>Consumer Transparency (TCE)</t>
  </si>
  <si>
    <t>Tory Bogatyrenko</t>
  </si>
  <si>
    <t>Application Enablement, Enterprise Application Architecture, Enterprise Information Management, EPMO, GEOAccess, GPT - Configuration Management, GPT - Release Management, NDB, PHS - Distributed Application Services, UHC M and R Provider Search</t>
  </si>
  <si>
    <t>Enterprise Application Architecture, EPMO, GPT - Configuration Management, GPT - Release Management, MAPS, NDB, UHC M and R Provider Search</t>
  </si>
  <si>
    <t>ACIS Suite, Application Enablement, Audit Recovery Operations (ARO) Datamart, Automated Underwriting, B2B Provider Portal, B2C Provider Portal, BASICS, CCS-CCF, CES, CIX (Customer Installation Express), COMET Desktop.NET, Consumer Account Management Syste</t>
  </si>
  <si>
    <t>Enterprise ICD10 Program:  Requirements Phase</t>
  </si>
  <si>
    <t>CSS - Clinical IT Composite Data Services</t>
  </si>
  <si>
    <t>COSMOS, NDB, Provider Network Analysis UAT &amp; Tools, Reimbursement Technology</t>
  </si>
  <si>
    <t>PIT (no) 2004 AA Dedicated Resources</t>
  </si>
  <si>
    <t xml:space="preserve">Empire Plan - Former Par Provider Data </t>
  </si>
  <si>
    <t>Replaced by 4-15510 in Oct.  Marked complete in PROMPT 6-19-07</t>
  </si>
  <si>
    <t>This is to cover for resources that are on-loan to ETS.  There is no NDB impact - for TRS only.</t>
  </si>
  <si>
    <t>Shirelyn Birdwell</t>
  </si>
  <si>
    <t>Robert Booker</t>
  </si>
  <si>
    <t>TBDOB10</t>
  </si>
  <si>
    <t>Additional Analysis - NDB EA changes for UT</t>
  </si>
  <si>
    <t>Medica - Expand PCC Data on PRIME</t>
  </si>
  <si>
    <t>Laura Decker</t>
  </si>
  <si>
    <t>CES, CTS - Common Tables System, Data Management, Enterprise Architecture and Planning, FSDB - Financial Summary Database (5087), Galaxy, GEFT - Global Electronic Funds Transfer, NDB, ORBIT - Operational Reporting, Paris, PeopleSoft BI/AR, Pool Ledger, Pr</t>
  </si>
  <si>
    <t>NPI Details Report</t>
  </si>
  <si>
    <t>CMS DRG Enhancements</t>
  </si>
  <si>
    <t>Field Expansion Project</t>
  </si>
  <si>
    <t>Medica Patient Choice Insights</t>
  </si>
  <si>
    <t>B2B Provider Portal, B2C Provider Portal, EFS/CS IT PM, FSDB - Financial Summary Database (5087), NDB, ORBIT - Operational Reporting, OTS - Overpayment Tracking System, Railroad, SIFS, Summary Check, TOPS, UCAS - Unet Claim Accounting Sys (multiple apps),</t>
  </si>
  <si>
    <t>CC07U1</t>
  </si>
  <si>
    <t>Pamela Stahl</t>
  </si>
  <si>
    <t>CC's unapproved</t>
  </si>
  <si>
    <t>Katie Cormier</t>
  </si>
  <si>
    <t>Cathy Considine</t>
  </si>
  <si>
    <t>Robert Preston</t>
  </si>
  <si>
    <t>NDB, Provider Network Analysis UAT &amp; Tools</t>
  </si>
  <si>
    <t>CDD, NDB, Summary Check, TOPS, Unet - Front End, UNET Claim</t>
  </si>
  <si>
    <t>ACIS Suite, BASICS, CES, CIX (Customer Installation Express), Consumer Database (CDB), Data Management, EA Data Architecture, Enterprise Architecture, Enterprise Solutions, Galaxy, NDB, PCIS, PHS - ILIAD, PHS - QicLink/ClaimExchange, PRIME, Technical Arch</t>
  </si>
  <si>
    <t>ACIS Suite, BASICS, CES, Data Delivery System (DDS), Enterprise Information Management, EPMO, eServices Billing, Healthcare Alliance - Medica, NDB, PCIS, Peoplesoft-GL, PRIME, SIFS, Systems Integration, TOPS, UCAS - Unet Claim Accounting Sys (multiple app</t>
  </si>
  <si>
    <t>RSA Definition - Lab Network Reimbursement Program</t>
  </si>
  <si>
    <t xml:space="preserve">EPDL Extract for DEF </t>
  </si>
  <si>
    <t xml:space="preserve">QicLink Non-Par Pricing </t>
  </si>
  <si>
    <t>Barbara Stenger</t>
  </si>
  <si>
    <t>Bus Rqmts
Actual Date</t>
  </si>
  <si>
    <t>UBH OON Tiered MNRP</t>
  </si>
  <si>
    <t>Geoff Vitrano</t>
  </si>
  <si>
    <t>Scott Ireland &amp; Robert Kendrick</t>
  </si>
  <si>
    <t>MARY COVART</t>
  </si>
  <si>
    <t>OI00128</t>
  </si>
  <si>
    <t>OI00128R1</t>
  </si>
  <si>
    <t>Comet Additional Development Environments</t>
  </si>
  <si>
    <t>cc to reduce scope in costing.   ORBIT report only.  Assuming UHC will provide SA, UAT support and NDB will do coding only</t>
  </si>
  <si>
    <t>Schedule
Status</t>
  </si>
  <si>
    <t>SPRF</t>
  </si>
  <si>
    <t>Ken Van Cara</t>
  </si>
  <si>
    <t>Data Management, EA Data Architecture, NDB, ORBIT - Operational Reporting</t>
  </si>
  <si>
    <t>Platform Conversion Tools</t>
  </si>
  <si>
    <t>B2B Provider Portal, B2C Provider Portal, CES, Contact Center Services, COSMOS, EDI, NDB, Summary Check, UFE</t>
  </si>
  <si>
    <t>Capture and store Medicaid IDs, NPIs, Taxonomy</t>
  </si>
  <si>
    <t>TX OON Medicaid Effort</t>
  </si>
  <si>
    <t>Tom Lindquist</t>
  </si>
  <si>
    <t xml:space="preserve">Provider Directory Print on Demand	</t>
  </si>
  <si>
    <t>John Blank</t>
  </si>
  <si>
    <t>Medica - Super User Access</t>
  </si>
  <si>
    <t>CORP1 - Multiple Procedure Ranking</t>
  </si>
  <si>
    <t>Suzanne Kunze</t>
  </si>
  <si>
    <t>Restart project on 1/1/09</t>
  </si>
  <si>
    <t>Services prior to Inpt Stay-Included in Inpt Stay</t>
  </si>
  <si>
    <t>CAT 2008 End to End Testing Application Estimates</t>
  </si>
  <si>
    <t>ECAP - Plan Adjusted Capitation (Clawback)</t>
  </si>
  <si>
    <t>Other</t>
  </si>
  <si>
    <t>Passport Alliance</t>
  </si>
  <si>
    <t>Claims Repricing - Dashboard Statistics</t>
  </si>
  <si>
    <t>Late entry to support PRIME</t>
  </si>
  <si>
    <t>Application Enablement, NDB, Provider Network Analysis UAT &amp; Tools, Reimbursement Technology</t>
  </si>
  <si>
    <t>Data Required to Submit Notifications on UHCO</t>
  </si>
  <si>
    <t>Healthcare Alliance - Harvard Pilgrim, NDB, Network Match, Systems Integration</t>
  </si>
  <si>
    <t>HPHC1 - Expired Codes Report for HPHC VR#s</t>
  </si>
  <si>
    <t>CSS Gap Analysis for Non-UHC Referrals</t>
  </si>
  <si>
    <t>NDB, Rosetta, Sales Analytics</t>
  </si>
  <si>
    <t>Invalid Fee Schedule Report</t>
  </si>
  <si>
    <t>Customer Specific Requests - National Accounts</t>
  </si>
  <si>
    <t>CareOne/UPM Connectivity for NDB Data</t>
  </si>
  <si>
    <t>Michael Kriofsky</t>
  </si>
  <si>
    <t>ACIS Suite, ACN Infrastructure, B2B Provider Portal, B2C Provider Portal, CES, CMA (Content Management Application), COMET Desktop, COMET Desktop.NET, Consumer Database (CDB), Contact Center Services, Employer Portal, FMR (Field Mgmt Reporting), Galaxy, I</t>
  </si>
  <si>
    <t>Application Enablement, B2B Provider Portal, B2C Provider Portal, CES, COMET Desktop, COMET Desktop.NET, Contact Center Services, COSMOS, Data Management, Enterprise Application Architecture, Enterprise Testing, EPMO, FMR (Field Mgmt Reporting), Foundatio</t>
  </si>
  <si>
    <t>ACIS Suite, Application Infrastructure Services, Architecture &amp; Infastructure, Atlas, B2B Provider Portal, B2C Provider Portal, BASICS, Case Package, CDD, CES, Computer Services, Contact Center Services, CTS - Common Tables System, Customer Financial Solu</t>
  </si>
  <si>
    <t>ACIS Suite, B2B Provider Portal, B2C Provider Portal, Case Package, CDD, CES, Computer Services, Contact Center Services, CTRS, CTS - Common Tables System, Customer Financial Solutions Web-site for KA, Data Management, Desktop and Groupware Services, eArt</t>
  </si>
  <si>
    <t>B2C Provider Portal, CES, COSMOS, EFS/CS IT PM, EPD/NDB, Myuhc - Member Portal, TOPS, Tops Foundation View</t>
  </si>
  <si>
    <t>Gayle Henton</t>
  </si>
  <si>
    <t>n/a</t>
  </si>
  <si>
    <t>Tom Obrien</t>
  </si>
  <si>
    <t>Date
Requested</t>
  </si>
  <si>
    <t xml:space="preserve">TOPS Testing Inititative </t>
  </si>
  <si>
    <t>Empire Plan - Conversion to UVP - Phase 1</t>
  </si>
  <si>
    <t>HPHC Fee Sched. Verif. for Monthly Metrics</t>
  </si>
  <si>
    <t>Healthcare Alliance - Harvard Pilgrim, NDB, ORBIT - Operational Reporting</t>
  </si>
  <si>
    <t>Claims QA, Consumer Database (CDB), COSMOS, Enterprise Information Management, Enterprise Systems Planning Business Architecture, EPMO, GPS, GPT - Configuration Management, GPT - EQA Automation, GPT - Release Management, GPT Enterprise QA, NDB</t>
  </si>
  <si>
    <t>EPMO, NDB, OTS - Overpayment Tracking System, Payment Engine, Systems Integration</t>
  </si>
  <si>
    <t>UNO Replacement A/D</t>
  </si>
  <si>
    <t>Vicki Stewart</t>
  </si>
  <si>
    <t>Lab Benefit Management - Capitation</t>
  </si>
  <si>
    <t>Roma Adipat</t>
  </si>
  <si>
    <t>Linda Stewart; Ed Lagerstrom</t>
  </si>
  <si>
    <t>Send claims direct to ppoONE PR for CPS/UHSS</t>
  </si>
  <si>
    <t>Kriofsky, Michael J</t>
  </si>
  <si>
    <t>Julie Bainter</t>
  </si>
  <si>
    <t>NHP Expansion within Florida Market</t>
  </si>
  <si>
    <t>Kathleen Marshall</t>
  </si>
  <si>
    <t>ERS Customer On-boarding Analysis</t>
  </si>
  <si>
    <t>ANNA LALLY</t>
  </si>
  <si>
    <t>Application Enablement, BPM CoE, BPM Development Group, Claims QA, Computer Services, Enterprise Information Management, Enterprise Systems Planning Business Architecture, EPMO, NDB, Network Technology &amp; Support, SSS Decommissioning CoE, UNO/UIS</t>
  </si>
  <si>
    <t>Application Enablement, B2B Provider Portal, Business Intelligence &amp; Data Management, Claims QA, Consumer Database (CDB), Enterprise Systems Planning Business Architecture, EPMO, NDB, UHC C and S BI (Business Intelligence), UHC C and S Business Requiremen</t>
  </si>
  <si>
    <t>06-10510-000</t>
  </si>
  <si>
    <t>400051213A</t>
  </si>
  <si>
    <t>Completed 3/30/12</t>
  </si>
  <si>
    <t>Lisa Kellner</t>
  </si>
  <si>
    <t>Heather Selseth</t>
  </si>
  <si>
    <t>ICD-10 UMR Enterprise Testing</t>
  </si>
  <si>
    <t>Melissa McKelvey</t>
  </si>
  <si>
    <t>ICD-10 E&amp;I Commercial End to End Testing</t>
  </si>
  <si>
    <t>Lab Benefit Management-Benefit Admin/Provider Mgt</t>
  </si>
  <si>
    <t>Automated Customer Installation - Phase 2</t>
  </si>
  <si>
    <t>Additional DX codes for POA</t>
  </si>
  <si>
    <t>Edward Novinski</t>
  </si>
  <si>
    <t>Mary Higgins</t>
  </si>
  <si>
    <t>TBDOB12</t>
  </si>
  <si>
    <t>TBDOB13</t>
  </si>
  <si>
    <t>FiServ ppoONE- Dallas-UHIS Regression Testing II</t>
  </si>
  <si>
    <t>PDR - GGMAP on the Claims Highway</t>
  </si>
  <si>
    <t>Dave Wichman</t>
  </si>
  <si>
    <t>Provider Demographics &amp; Reimbursement Analysis</t>
  </si>
  <si>
    <t>Replacing 4-24847.  If Dev is required a cc will be opened.  FPA already warned by Dana.  Waiting for OOM Approval</t>
  </si>
  <si>
    <t>CE00014</t>
  </si>
  <si>
    <t>400019504A</t>
  </si>
  <si>
    <t>Application Enablement, BPID, Claims Highway, Claims QA, COSMOS, Data Delivery System (DDS), Emptoris, Enterprise Information Management, EPMO, GGMAP, NDB, ppoONE, Provider Data &amp; Reimbursement</t>
  </si>
  <si>
    <t>Health Care Cost Estimator  Release 2.2</t>
  </si>
  <si>
    <t>WP1 - Member Matching Logic Enhancements</t>
  </si>
  <si>
    <t>ACIS Suite, Claims QA, Consumer Database (CDB), Enterprise Information Management, EPMO, NDB, PHS - NICE, UP Policy Profile Service</t>
  </si>
  <si>
    <t>Clinical Adoption - Alliances to ICUE AO</t>
  </si>
  <si>
    <t>Ops Planning &amp; IS Delivery</t>
  </si>
  <si>
    <t>Decommission Testing Environments</t>
  </si>
  <si>
    <t>Application Enablement, Claims QA, Computer Services, Consumer Database (CDB), COSMOS, Enterprise Activation Messaging Platform (eAMP), IBAAG - IT (System Changes), iLEAD, Integrated Service Experience Tool ISET, NDB, ORS, PC-ORS, PRIME, SALSA, Testing En</t>
  </si>
  <si>
    <t>NDB Cosmos Demo SOT _ Optum Physical Health</t>
  </si>
  <si>
    <t>Kaja</t>
  </si>
  <si>
    <t>PETER ERNEST</t>
  </si>
  <si>
    <t>Duhaime</t>
  </si>
  <si>
    <t>Cross Application Testing, Facets Solution Group, NDB, ppoONE, UFE</t>
  </si>
  <si>
    <t xml:space="preserve">                           </t>
  </si>
  <si>
    <t>`</t>
  </si>
  <si>
    <t>9/27 Updated estimate to 7.79 per Karla from GK call</t>
  </si>
  <si>
    <t>SSN Randomization project - Eligibility sytems</t>
  </si>
  <si>
    <t>STEVEN OHME</t>
  </si>
  <si>
    <t>Rick Marsh</t>
  </si>
  <si>
    <t>BARBARA COAKLEY</t>
  </si>
  <si>
    <t xml:space="preserve">ICD10 2012 Initiatives - Phase 1 - UHC E&amp;I </t>
  </si>
  <si>
    <t>HCR - Health Benefit Exchange RSA - AO</t>
  </si>
  <si>
    <t>Elizabeth Canis</t>
  </si>
  <si>
    <t>FL ITN Expansion</t>
  </si>
  <si>
    <t>SAM Audit Application - UT Operational Resources</t>
  </si>
  <si>
    <t>FRP - Corporate Name Change</t>
  </si>
  <si>
    <t>UPCSA - Payment Engine Reqs Build and Analysis</t>
  </si>
  <si>
    <t xml:space="preserve">CC9 </t>
  </si>
  <si>
    <t>G</t>
  </si>
  <si>
    <t>CC6 - May go sooner than 8/19 - cc still in estimating</t>
  </si>
  <si>
    <t>8/2 Per Cathy estimate from 21.06 PM to 20.46 PMs to support tops testing
CC 9 - All under A in Planview</t>
  </si>
  <si>
    <t>CC is now scheduled
CC 41 - cc still in estimating in prompt</t>
  </si>
  <si>
    <t xml:space="preserve">8/2 Estimate reduced from 16.05 to 12.14 due to LDE
5/23 Estimate reduced from 32.63 ti 16.05 </t>
  </si>
  <si>
    <t>Lotus Notes UMR Database Migration Decommission</t>
  </si>
  <si>
    <t>Application Enablement, B2C Provider Portal, Connected Care (TeleHealth), Enterprise Application Architecture, Enterprise Information Management, EPMO, Innovation R&amp;D, NDB, Network Technology &amp; Support</t>
  </si>
  <si>
    <t xml:space="preserve">Business Discovery </t>
  </si>
  <si>
    <t xml:space="preserve">Application Enablement, Enterprise Information Management, EPMO, Facets Solution Group, NDB, Network Technology &amp; Support, UHC C and S Business Requirements, UHC C and S Diamond-Diamond Interfaces, UHC C and S Facets-Interfaces-Extensions-Pitt, UHC C and </t>
  </si>
  <si>
    <t>Claims QA, COSMOS, EPMO, NDB, UHC C and S Business Requirements, UHC C and S National Encounters (NEMIS)</t>
  </si>
  <si>
    <t>ACIS Suite, Application Enablement, B2B Provider Portal, B2C Provider Portal, CareOne, CCS-CCF, CES, Computer Services, Consumer Database (CDB), COSMOS, Cross Application Testing, Enterprise EDI Business Solutions, Enterprise EDI Technical Operations, Ent</t>
  </si>
  <si>
    <t>3/30 Project cancelled in prompt</t>
  </si>
  <si>
    <t xml:space="preserve">
CC 24</t>
  </si>
  <si>
    <t>OI00247</t>
  </si>
  <si>
    <t>OI00247R1</t>
  </si>
  <si>
    <t>DRM - EPDL Load</t>
  </si>
  <si>
    <t>BPID, Emptoris, Enterprise Information Management, Enterprise Systems Planning Business Architecture, EPMO, NDB, Network Technology &amp; Support, PDG, Purchase Order Database</t>
  </si>
  <si>
    <t>3/19 CC 1 has been scheduled
CC1 - cc still in estimating - no prodcution code deploy</t>
  </si>
  <si>
    <t>3/19 This was moved to CC3 and is now scheduled
CC1 - cc still in estimating - no prodcution code deploy</t>
  </si>
  <si>
    <t>3/19/2012 Per email from MW- the cc for NDB will be cancelled for this project</t>
  </si>
  <si>
    <t>3/19/12 Project was cancelled</t>
  </si>
  <si>
    <t>3/19 There is no longer a need for USEC.  USEC will be impacted on a cc and the unused hours will be backed out of prompt.
10/10 Project funded but not yet oom approved in prompt</t>
  </si>
  <si>
    <t>T. Benton</t>
  </si>
  <si>
    <t>04-63000-000</t>
  </si>
  <si>
    <t>10-62900-000</t>
  </si>
  <si>
    <t>04-71050-002</t>
  </si>
  <si>
    <t>05-64660-000</t>
  </si>
  <si>
    <t>05-70570-000</t>
  </si>
  <si>
    <t>04-71048-000</t>
  </si>
  <si>
    <t>11-62220-000</t>
  </si>
  <si>
    <t>11-32270-001</t>
  </si>
  <si>
    <t>01-15500-011</t>
  </si>
  <si>
    <t>04-65530-000</t>
  </si>
  <si>
    <t>01-19410-002</t>
  </si>
  <si>
    <t>04-71050-001</t>
  </si>
  <si>
    <t>04-14030-000</t>
  </si>
  <si>
    <t>OI's are not going through prompt</t>
  </si>
  <si>
    <t>Oi's now going throught prompt
This is Tricare related. Will reschedule once Tricare is rescheduled.</t>
  </si>
  <si>
    <t>OHBS - IVR Self Service Benefits &amp; Eligibility</t>
  </si>
  <si>
    <t>OHBS - IVR Self Service Claims Status</t>
  </si>
  <si>
    <t>cc 18 - hours left are more but only .43 pm's is needed</t>
  </si>
  <si>
    <t>L. Bravoco</t>
  </si>
  <si>
    <t>BH-Facets - UBH, COSMOS, Enterprise Information Management, EPMO, NDB, Network Technology &amp; Support, PHS - NICE, Unified Data Warehouse (UDW)</t>
  </si>
  <si>
    <t>Application Enablement, Consumer Database (CDB), Electronic Eligibility Management System (EEMS), EPMO, NDB, UP Policy Profile Service</t>
  </si>
  <si>
    <t>KELLY LEONARD</t>
  </si>
  <si>
    <t xml:space="preserve">UHC E&amp;I Vision and Dental: Alignment to NDB </t>
  </si>
  <si>
    <t>BPID, Enterprise Information Management, GEOAccess, Myuhc - Member Portal, NDB, OH Dental Healthweb, Vision - Web Portals</t>
  </si>
  <si>
    <t>2012 Provider Search Tool EPS Annual Readiness</t>
  </si>
  <si>
    <t>4/7 Cancelled in Prompt</t>
  </si>
  <si>
    <t>CC1</t>
  </si>
  <si>
    <t>Reduced effort from 3.47 to 1pm</t>
  </si>
  <si>
    <t>4/8 Reduced estimate from 21.20 to 17.78 pm's - will be entered into cc7
Reduced by 8.68 pm</t>
  </si>
  <si>
    <t>A. Colonna</t>
  </si>
  <si>
    <t>RSA - APCD Claim Platform Field Gap Resolution</t>
  </si>
  <si>
    <t>ACIS Suite, ACME Reporting, AmeriChoice, Application Enablement, Atlas, Audit Recovery Operations (ARO) Datamart, B2B Provider Portal, BASICS, BH-Customer Reporting, BH-Facets - UBH, BH-IT App Services, BH-Life Solutions, BH-Liveandworkwell.com, BH-PBH Fa</t>
  </si>
  <si>
    <t>TX Star Plus CSP Migration</t>
  </si>
  <si>
    <t>EPMO, NDB, UHC C and S IT PM</t>
  </si>
  <si>
    <t>Sam Ho/Kevin Ruth</t>
  </si>
  <si>
    <t>RSA - APCD Manual Claim Input Field Gap Resolution</t>
  </si>
  <si>
    <t>Application Enablement, CES, Claims QA, Consumer Database (CDB), Cross Application Testing, EPMO, Integrated Service Experience Tool ISET, NDB, Systems Integration, TOPS, Treasury Reconciliation</t>
  </si>
  <si>
    <t>Audit Recovery Operations (ARO) Datamart, COSMOS, EPMO, NDB, PHS - ILIAD, PHS - NICE, ppoONE, Program Definition Intake Team, Provider Intent Certification Tool (PIC), Provider Network Analysis UAT &amp; Tools, Quality Solutions Development, Reimbursement Tec</t>
  </si>
  <si>
    <t>TX 2011-2012 RFP implementation</t>
  </si>
  <si>
    <t xml:space="preserve"> Rios, Kara</t>
  </si>
  <si>
    <t>Correctional Health Solutions (CHS) -CCA/IHS pilot</t>
  </si>
  <si>
    <t>Goldberg A</t>
  </si>
  <si>
    <t>Fo Burke</t>
  </si>
  <si>
    <t>Joan Roby</t>
  </si>
  <si>
    <t>Application Enablement, Computer Services, COSMOS, Cross Application Testing, Enterprise Architecture, NDB, ppoONE, Product Benefit Database - UT, Provider Intent Certification Tool (PIC), Provider Network Analysis UAT &amp; Tools, Quality Solutions Developme</t>
  </si>
  <si>
    <t xml:space="preserve">M&amp;R Clinical Programs ICUE - Data Conversion </t>
  </si>
  <si>
    <t>CareOne, Consumer Database (CDB), EPMO, I-CUE Core, NDB</t>
  </si>
  <si>
    <t>2E M&amp;R MedNec - Pega Proof of concept</t>
  </si>
  <si>
    <t xml:space="preserve">“Enterprise Tech Practice” Admin bucket </t>
  </si>
  <si>
    <t>OI00249</t>
  </si>
  <si>
    <t>OI00250R1</t>
  </si>
  <si>
    <t>OI00190R1</t>
  </si>
  <si>
    <t>OI00191R1</t>
  </si>
  <si>
    <t>OI00249R1</t>
  </si>
  <si>
    <t>NDC MAC Pricing</t>
  </si>
  <si>
    <t>11-62570-000</t>
  </si>
  <si>
    <t>400054585A</t>
  </si>
  <si>
    <t>400054674A</t>
  </si>
  <si>
    <t>400054681A</t>
  </si>
  <si>
    <t>400054326A</t>
  </si>
  <si>
    <t>400054322A</t>
  </si>
  <si>
    <t>Application Enablement, BPID, Consumer Database (CDB), COSMOS, Enterprise Application Architecture, Enterprise Information Management, Enterprise Letter Generation System, Facets Alpha, IBAAG - IT (System Changes), iCES Clearinghouse, Information Risk Man</t>
  </si>
  <si>
    <t>TouchPoint UI BVD 1.5</t>
  </si>
  <si>
    <t>400050282A</t>
  </si>
  <si>
    <t>NDB CD Migration Tools and Manual Pricing</t>
  </si>
  <si>
    <t>Pilot &amp; implement Scriptless Test Automation Tool</t>
  </si>
  <si>
    <t>Jonathan Gelber</t>
  </si>
  <si>
    <t>Infrastructure Operations</t>
  </si>
  <si>
    <t>Claims QA, Enterprise Information Management, EPMO, Facets Alpha, NDB, UHC C and S Diamond-Diamond Interfaces, UHC C and S National Encounters (NEMIS)</t>
  </si>
  <si>
    <t>11-57640-000</t>
  </si>
  <si>
    <t>05-61580-000</t>
  </si>
  <si>
    <t>2/13/12 NDB was un-impacted on this project</t>
  </si>
  <si>
    <t>2/13/12 NDB un-impacted after estimated</t>
  </si>
  <si>
    <t>06-27760-000</t>
  </si>
  <si>
    <t>04-32830-530</t>
  </si>
  <si>
    <t>06-12860-000</t>
  </si>
  <si>
    <t>04-47890-501</t>
  </si>
  <si>
    <t>01-15500-002</t>
  </si>
  <si>
    <t>11-52560-000</t>
  </si>
  <si>
    <t>15-43200-002</t>
  </si>
  <si>
    <t>02-48380-000</t>
  </si>
  <si>
    <t>06-14230-000</t>
  </si>
  <si>
    <t>01-19260-011</t>
  </si>
  <si>
    <t>01-15500-001</t>
  </si>
  <si>
    <t>11-65260-000</t>
  </si>
  <si>
    <t>7/30 Reduced by .36 in DE from 1.47 to 1.11
6/15 Moved 1.47 pm's to July since project moved and left the burn in the may line  - both together total the BGE
2/13 Per Vicky moved back to May
2/12 Moved from May to March Per Vicky - Nebraska CSP Conversion is still a 5/1 Claims Go Live, so mid March for us.  We need to move back to Q1B Release 
11/23 Project oom approved
11/14 Moved from Q1 to Q2 per Vicky
Project still in estimating</t>
  </si>
  <si>
    <t>7/30 Project cancelled in prompt</t>
  </si>
  <si>
    <t>7/30 Per Vicky this is cancelled</t>
  </si>
  <si>
    <t>Application Enablement, Application Infrastructure Services, Applications and Acquisitions (AAA), Automated Underwriting, B2C Provider Portal, CCS-CCF, CES, Claims Highway, COMCALC, Consumer Database (CDB), Contact Center Services, COSMOS, Cross Applicati</t>
  </si>
  <si>
    <t>Computer Services, Connected Care (TeleHealth), NDB, PRIME, UHG IT Testing Center of Excellence</t>
  </si>
  <si>
    <t>Application Enablement, Claims QA, Enterprise Information Management, EPMO, NDB, UHC C and S Diamond-Diamond Interfaces, UHC C and S Provider Web Applications</t>
  </si>
  <si>
    <t>NDB SoT Directory Enhancements – Release 2</t>
  </si>
  <si>
    <t>6/22 Increased est in CC 2 from 3 to 4.92
6/15 Project now oom approved in prompt
4/30 Project still in estimating</t>
  </si>
  <si>
    <t>Claims QA, Claims QA - EDI, EPMO, Facets Alpha, NDB, Network Technology &amp; Support, ppoONE, Provider Network Analysis UAT &amp; Tools, UFE</t>
  </si>
  <si>
    <t>Claims QA, EPMO, Galaxy, NDB, UHC C and S BI (Business Intelligence), UHC C and S Business Requirements, UHC C and S Diamond-Diamond Interfaces, UHC C and S IT PM, UHC C and S National Encounters (NEMIS), UHC C and S Portals (Provider/Marketing)</t>
  </si>
  <si>
    <t>11-62500-001</t>
  </si>
  <si>
    <t>400051510A</t>
  </si>
  <si>
    <t>400050744A</t>
  </si>
  <si>
    <t>400044701A</t>
  </si>
  <si>
    <t>Cancelled 4/412</t>
  </si>
  <si>
    <t>H</t>
  </si>
  <si>
    <t>I</t>
  </si>
  <si>
    <t>CC 3 - A/D in prompt but doing as a work order</t>
  </si>
  <si>
    <t>CMA (Content Management Application), Data Management, NDB, Technical Architecture Services</t>
  </si>
  <si>
    <t>UPCSA - NICE UPCSA Migration</t>
  </si>
  <si>
    <t>Oxford EPDL Refresh File</t>
  </si>
  <si>
    <t xml:space="preserve">Lehigh Valley </t>
  </si>
  <si>
    <t>NPI UNET Checkwrite (835) Compliance</t>
  </si>
  <si>
    <t>Clin</t>
  </si>
  <si>
    <t>ACIS Suite, Architecture &amp; Infastructure, B2B Provider Portal, B2C Provider Portal, CDD, EPD/NDB, IBAAG - IT (System Changes), IDT - Intelligent Desktop, Paris, Program Definition Intake Team, Railroad, Summary Check, TOPS, UCAS - Unet Claim Accounting Sy</t>
  </si>
  <si>
    <t>Electronic Payments and Statements</t>
  </si>
  <si>
    <t>Cris Ross/Dave Chenok</t>
  </si>
  <si>
    <t>Interim TIN-Prefix Solve (Values 3, 5, 6)</t>
  </si>
  <si>
    <t>B2B Provider Portal, B2C Provider Portal, B2C Security, COSMOS, EPMO, IDT - Intelligent Desktop, NDB, ORBIT - Operational Reporting, Program Definition Intake Team, Summary Check, TOPS</t>
  </si>
  <si>
    <t>Application Enablement, Contact Center Services, Foundation Frameworks, NDB, Project Delivery (UHT), UHT, United Voice Portal Business</t>
  </si>
  <si>
    <t>ITI Reimbursement Reductions - Government</t>
  </si>
  <si>
    <t>Open Enrollmnt Splash to 80 CustomProviderDirSites</t>
  </si>
  <si>
    <t>In strategy council.</t>
  </si>
  <si>
    <t>Stephen Synott</t>
  </si>
  <si>
    <t>Anne D DeFusco</t>
  </si>
  <si>
    <t>Work Order NDB 835 Extract Update</t>
  </si>
  <si>
    <t>Application Enablement, CES, Consumer Account Management System (CAMS), Consumer Database (CDB), COSMOS, Cross Application Testing, Definity Health App Suite, Foundation Frameworks, GFLX, Integrated Service Experience Tool ISET, Knowledge Management, NDB,</t>
  </si>
  <si>
    <t>Application Enablement, COSMOS, Cross Application Testing, Foundation Frameworks, Integrated Service Experience Tool ISET, NDB</t>
  </si>
  <si>
    <t>Application Enablement, CES, Consumer Database (CDB), COSMOS, Cross Application Testing, Healthcare Alliance - Medica, Integrated Service Experience Tool ISET, NDB, ORS, PRIME, TOPS</t>
  </si>
  <si>
    <t>Application Enablement, Cross Application Testing, Integrated Service Experience Tool ISET, NDB, Testing Environment and Integration, TOPS</t>
  </si>
  <si>
    <t>BASICS, CES, COMCALC, Contact Center Services, COSMOS, Employer Portal, eServices Billing, GFLX, GRDC - (Group Reporting Data Control), NDB, ORBIT - Operational Reporting, PCIS, PRIME, TOPS, United eServices, UP Policy Profile Service</t>
  </si>
  <si>
    <t>ACIS Suite, Application Enablement, B2B Provider Portal, B2C Provider Portal, CES, Consumer Account Management System (CAMS), Consumer Database (CDB), Contact Center Services, Data Management, EA Data Architecture, Enterprise Testing, eServices Billing, F</t>
  </si>
  <si>
    <t>ACIS Suite, Adjudipro, APT, Atlas, B2B Provider Portal, B2C Provider Portal, CES, CFAS, Computer Services, Contact Center Services, COSMOS, CPW, Dental/Vision Infrastructure, Eldorado, Electronic Eligibility Management System (EEMS), Employer Portal, Empt</t>
  </si>
  <si>
    <t>OI00146</t>
  </si>
  <si>
    <t>OI00146R1</t>
  </si>
  <si>
    <t>Contract Master Timeline</t>
  </si>
  <si>
    <t>OI00152</t>
  </si>
  <si>
    <t>Definity Health App Suite, EPMO, GPT Admin Platform Peradigm, HIPAA, NDB</t>
  </si>
  <si>
    <t>COSMOS, Cross Application Testing, EPMO, NDB, Network Technology &amp; Support, Reimbursement Technology</t>
  </si>
  <si>
    <t xml:space="preserve">Care Core Migration to 274/NDB Extract  </t>
  </si>
  <si>
    <t>Barb Walker</t>
  </si>
  <si>
    <t>COSMOS, Cross Application Testing, EPMO, NDB, Network Technology &amp; Support, Provider Network Analysis UAT &amp; Tools</t>
  </si>
  <si>
    <t>B2B Provider Portal, CareOne, Consumer Database (CDB), COSMOS, Cross Application Testing, Enterprise EDI Technical Operations, EPMO, NDB, PDG</t>
  </si>
  <si>
    <t>Computer Services, Cross Application Testing, NDB, Provider Network Analysis UAT &amp; Tools</t>
  </si>
  <si>
    <t>AmeriChoice, Cross Application Testing, Data Management, Enterprise Architecture, NDB, Provider Network Analysis UAT &amp; Tools</t>
  </si>
  <si>
    <t>Analysis-only:  C&amp;S NDB Strategic Direction</t>
  </si>
  <si>
    <t>Medica use of UNET Withhold Capabilities</t>
  </si>
  <si>
    <t>Jackie Stadterman</t>
  </si>
  <si>
    <t>Application Enablement, B2B Provider Portal, B2C Provider Portal, CareOne, Claims Highway, Claims QA, Consumer Database (CDB), COSMOS, Enterprise Information Management, EPMO, Facets Alpha, NDB, Network Technology &amp; Support, Oracle Universal Content Manag</t>
  </si>
  <si>
    <t>Application Enablement, Claims QA, Computer Services, Consumer Database (CDB), Contact Center Services, Enterprise Decomm Architecture, Enterprise Information Management, EPMO, iLEAD, Integrated Service Experience Tool ISET, Knowledge Management, NDB, ORB</t>
  </si>
  <si>
    <t>Claims QA, COMET Desktop.NET, EPMO, NDB, Network Technology &amp; Support, TOPS</t>
  </si>
  <si>
    <t>400052232A</t>
  </si>
  <si>
    <t>400052022A</t>
  </si>
  <si>
    <t>Cancelled 5/4/12 in prompt</t>
  </si>
  <si>
    <t>CC 10</t>
  </si>
  <si>
    <t xml:space="preserve">5/18 Reduced est per lde from .65 to .43
4/30 Per Marianned this is completed </t>
  </si>
  <si>
    <t xml:space="preserve">5/18 Decreased from .55 to .53 since unimpacted
5/4 Per Sean maked completed
</t>
  </si>
  <si>
    <t>OI00187</t>
  </si>
  <si>
    <t>OI00187R1</t>
  </si>
  <si>
    <t xml:space="preserve">MPQ PN52_Repricing Wish List </t>
  </si>
  <si>
    <t>Clinical Research Data Mart (Analysis Only)</t>
  </si>
  <si>
    <t>Ryan McClung</t>
  </si>
  <si>
    <t>Doug Arlich</t>
  </si>
  <si>
    <t>ACIS Suite, Application Enablement, Automated Underwriting, B2B Provider Portal, B2C Provider Portal, CCS-CCF, CES, CIX (Customer Installation Express), Claims Highway, Common Clinical Framework (CCF), Computer Services, Consumer Account Management System</t>
  </si>
  <si>
    <t>Application Enablement, B2B Provider Portal, B2C Provider Portal, Cross Application Testing, Data Management, EA Data Architecture, EPMO, Foundation Frameworks, Galaxy, NDB, ORBIT - Operational Reporting, ppoONE, Testing Environment and Integration, TOPS</t>
  </si>
  <si>
    <t>B2B Provider Portal, B2C Provider Portal, CCS-CCF, CES, Claims Highway, COMET Desktop.NET, Cross Application Testing, Data Delivery System (DDS), Data Management, Emptoris, Enterprise Architecture, EPMO, Foundation Frameworks, Galaxy, Health Statement Eng</t>
  </si>
  <si>
    <t>Empire</t>
  </si>
  <si>
    <t>FRP - PHS ILIAD move to alternative platform</t>
  </si>
  <si>
    <t>J Mark Lambright</t>
  </si>
  <si>
    <t>Medica Data Sharing/Exchange - support</t>
  </si>
  <si>
    <t>207 Applications</t>
  </si>
  <si>
    <t>OI00170</t>
  </si>
  <si>
    <t>OI00170R1</t>
  </si>
  <si>
    <t xml:space="preserve">NDB FS Space Conserv Rpt </t>
  </si>
  <si>
    <t xml:space="preserve">Config Cd Load into NDB </t>
  </si>
  <si>
    <t>OI00175</t>
  </si>
  <si>
    <t>OI00175R1</t>
  </si>
  <si>
    <t>OI00183R1</t>
  </si>
  <si>
    <t>OI00183</t>
  </si>
  <si>
    <t xml:space="preserve">Wkly Extract of NDB Gov't ID Screen </t>
  </si>
  <si>
    <t>Atlas, BASICS, CES, CTS - Common Tables System, Data Management, Employer Portal, Enterprise Application Architecture, EPMO, eServices Billing, FICS, Foundation Frameworks, FSDB - Financial Summary Database (5087), Galaxy, GEFT - Global Electronic Funds T</t>
  </si>
  <si>
    <t>Application Enablement, B2B Provider Portal, B2C Provider Portal, CES, COSMOS, Enterprise Application Architecture, EPMO, IBAAG - IT (System Changes), NDB, Network Services (UHT), ORS, PHS - NICE, UFE</t>
  </si>
  <si>
    <t>GE specific 1500 broker file</t>
  </si>
  <si>
    <t>IDT - Intelligent Desktop, NDB, PRIME</t>
  </si>
  <si>
    <t>ISET for MAHP</t>
  </si>
  <si>
    <t>Application Enablement, Integrated Service Experience Tool ISET, NDB</t>
  </si>
  <si>
    <t>Tony Miller</t>
  </si>
  <si>
    <t>Kristina Friberg</t>
  </si>
  <si>
    <t>Enterprise Capitation - MAHP Check &amp; Report Dist.</t>
  </si>
  <si>
    <t>IDT Availability Analysis</t>
  </si>
  <si>
    <t>Paul Shamansky</t>
  </si>
  <si>
    <t>SIP_VETSS_Controlled Provider Customer Service</t>
  </si>
  <si>
    <t>Sarbanes-Oxley Compliance Activities 2007</t>
  </si>
  <si>
    <t>CORP1-Netclaim-Reciprocity Enhancement</t>
  </si>
  <si>
    <r>
      <t xml:space="preserve">Priority - </t>
    </r>
    <r>
      <rPr>
        <b/>
        <sz val="8"/>
        <rFont val="Arial"/>
        <family val="2"/>
      </rPr>
      <t>High</t>
    </r>
    <r>
      <rPr>
        <sz val="8"/>
        <rFont val="Arial"/>
        <family val="2"/>
      </rPr>
      <t>.</t>
    </r>
  </si>
  <si>
    <t>R7 - Resource Alloc</t>
  </si>
  <si>
    <t>B.Childress</t>
  </si>
  <si>
    <t>Update B2B / B2C for COB changes</t>
  </si>
  <si>
    <t>HPHC - HPI DIRIGO product</t>
  </si>
  <si>
    <t>PPI Facility Rate Feed Report</t>
  </si>
  <si>
    <t>BONNIE ZZZZZZZTHEIS</t>
  </si>
  <si>
    <t>Corp1 - PMO - Alliance Analysis Support</t>
  </si>
  <si>
    <t>EPS Holding Accounts</t>
  </si>
  <si>
    <t>CPT Category III Codes</t>
  </si>
  <si>
    <t>NPI Eligibility Compliance</t>
  </si>
  <si>
    <t>Operational Requirements - General Fund</t>
  </si>
  <si>
    <t>In estimating</t>
  </si>
  <si>
    <t>Pay to Individual (PTI) Project</t>
  </si>
  <si>
    <t>Replaced w/cc on 4-13478</t>
  </si>
  <si>
    <t>Year end</t>
  </si>
  <si>
    <t>Mary Ann Clacko</t>
  </si>
  <si>
    <t>PHS QicLink UBH Addition for NSF/HCFA &amp; 837/UB92</t>
  </si>
  <si>
    <t>Medical Necessity - Reimbursement</t>
  </si>
  <si>
    <t>ACIS Suite, BASICS, CDD, CES, Commercial Payment System (EPS), CTS - Common Tables System, Data Management, Definity Health PM, Employer Portal, Enterprise Application Architecture, Enterprise Application Security, eServices Billing, Foundation Frameworks</t>
  </si>
  <si>
    <t>iLEAD Release 3.0</t>
  </si>
  <si>
    <t>Should NDB be unimpacted.  EPDL possible - check with Stephanie</t>
  </si>
  <si>
    <t>Rich Donnelly</t>
  </si>
  <si>
    <t>Medica Non-Par Provider Reimbursement Change</t>
  </si>
  <si>
    <t>PHS Work Package 2 - Planning and Analysis</t>
  </si>
  <si>
    <t>iHSR: ICM Integration</t>
  </si>
  <si>
    <t>Art Small</t>
  </si>
  <si>
    <t>Bill Cady</t>
  </si>
  <si>
    <t>Kathy Freiheit</t>
  </si>
  <si>
    <t>CC35</t>
  </si>
  <si>
    <t>R3</t>
  </si>
  <si>
    <t>Passport</t>
  </si>
  <si>
    <t>Send File of hard $ schedules from NDB to ppoONE</t>
  </si>
  <si>
    <t>to be cancelled and handled as OM</t>
  </si>
  <si>
    <t>Application Enablement, Data Management, Desktop and Groupware Services, Enterprise Application Architecture, NDB, USEC - Universal Security Systems</t>
  </si>
  <si>
    <t>R6 - Scheduling</t>
  </si>
  <si>
    <t>CSS-B2C 2010B RELEASE- CSS FUNDING</t>
  </si>
  <si>
    <t>CYNTHIA MIDDAUGH</t>
  </si>
  <si>
    <t>Check add to Provider Council Unsched?</t>
  </si>
  <si>
    <t>Barb Buenemann</t>
  </si>
  <si>
    <t xml:space="preserve"> Testing support only for changes on the vendor side.  UBH</t>
  </si>
  <si>
    <t>Component Metrics Reporting</t>
  </si>
  <si>
    <t>OI00117</t>
  </si>
  <si>
    <t>FEES Automation</t>
  </si>
  <si>
    <t>eCap</t>
  </si>
  <si>
    <t>Americhoice Migration</t>
  </si>
  <si>
    <t>Working
Date
Accept?</t>
  </si>
  <si>
    <t>ACIS Suite, NDB</t>
  </si>
  <si>
    <t>Derek Pederson</t>
  </si>
  <si>
    <t>ACIS Suite, B2B Provider Portal, CDD, CES, Data Management, Enterprise Testing, FMR (Field Mgmt Reporting), Internal Integrations, NDB, PRIME, Summary Check, Systems Integration, Technical Architecture Services, TOPS, UCAS - Unet Claim Accounting Sys (mul</t>
  </si>
  <si>
    <t>NDC Pricing for Facets Alpha</t>
  </si>
  <si>
    <t xml:space="preserve">Q2 Consumer Transparency </t>
  </si>
  <si>
    <t>Kari Mclarty</t>
  </si>
  <si>
    <t>Consumer Transparency 2011 AO</t>
  </si>
  <si>
    <t>Camacho, Fred</t>
  </si>
  <si>
    <t>E2E Medicare Clinical Authorization Matching</t>
  </si>
  <si>
    <t>Rhonda Randall</t>
  </si>
  <si>
    <t>Medical Necessity Phase II-Radiology/Cardiology</t>
  </si>
  <si>
    <t>2011 ETC Data Center Migration</t>
  </si>
  <si>
    <t>Jamie Burnett</t>
  </si>
  <si>
    <t>CDB Online: Develop Update Services</t>
  </si>
  <si>
    <t>CDB Online: Convert Update Foundation Views</t>
  </si>
  <si>
    <t>Cont CDB Core Processing: Inc View Cutovers</t>
  </si>
  <si>
    <t>CDB Core Processing: PCP Processing</t>
  </si>
  <si>
    <t>Decoupling Clms Hwy from TOPS Phase 3</t>
  </si>
  <si>
    <t xml:space="preserve">PDR - NDB Fee Schedule Soft dollar  </t>
  </si>
  <si>
    <t>Wichmann</t>
  </si>
  <si>
    <t>PDR Pulse Migration to COSMOS – Data Migration</t>
  </si>
  <si>
    <t>PDR Pulse Migration to COSMSOS – Claim Processing</t>
  </si>
  <si>
    <t>Application Enablement, B2B Provider Portal, Consumer Database (CDB), Electronic Eligibility Management System (EEMS), Enterprise Application Architecture, Enterprise Technical Practices PMO, NDB, UFE, UHCTS-OXHP(Oxford)</t>
  </si>
  <si>
    <t>CERTS, Computer Services, Consumer Database (CDB), COSMOS, Enterprise Information Management, Enterprise Technical Practices PMO, GPS, NDB, OFSC, Provider Network Analysis UAT &amp; Tools, TOPS</t>
  </si>
  <si>
    <t>Enterprise Information Management, Enterprise Technical Practices PMO, NDB, ppoONE, Provider Network Analysis UAT &amp; Tools, Reimbursement Technology, UMVS IT Program Management, USEC - Universal Security Systems</t>
  </si>
  <si>
    <t xml:space="preserve">New TOPS Remark Code for VA Facilities </t>
  </si>
  <si>
    <t>kelly clarke</t>
  </si>
  <si>
    <t>Emptoris v8 Application Upgrade</t>
  </si>
  <si>
    <t>Cheryl Popeck</t>
  </si>
  <si>
    <t>UHC Pharmacy Line Item Billing</t>
  </si>
  <si>
    <t>Diane Knutson</t>
  </si>
  <si>
    <t>Mitch Davis/Dave Harvey</t>
  </si>
  <si>
    <t>BASICS, CDM - Credit and Delinquency Management, Data Delivery System (DDS), EPMO, eServices Billing, NDB, ORBIT - Operational Reporting, Peoplesoft-GL, RAD/BOB</t>
  </si>
  <si>
    <t>QCare</t>
  </si>
  <si>
    <t>Ed Sakamoto</t>
  </si>
  <si>
    <t>Application Enablement, Emptoris, EPMO, NDB, Network Technology &amp; Support</t>
  </si>
  <si>
    <t>Application Enablement, NDB, Network Technology &amp; Support, Provider Network Analysis UAT &amp; Tools, UNO/UIS</t>
  </si>
  <si>
    <t>Application Enablement, BASICS, CES, CTS - Common Tables System, Data Management, Employer Portal, Enterprise Application Architecture, Enterprise Testing, EPMO, eServices Billing, Foundation Frameworks, FSDB - Financial Summary Database (5087), Galaxy, G</t>
  </si>
  <si>
    <t>CareOne, COSMOS, CPW, Enterprise Application Architecture, Enterprise Information Management, EPMO, GPT - Configuration Management, GPT - Release Management, GPT Enterprise QA, Health Statement Engine, iLEAD, NDB, Prescription Solutions, UPCSA-United Plat</t>
  </si>
  <si>
    <t>Mike Flynn</t>
  </si>
  <si>
    <t>Thomas J McGuire</t>
  </si>
  <si>
    <t>CBA does not justify development.  Cancelled in Prompt 6/7/07</t>
  </si>
  <si>
    <t>Sue Berkel</t>
  </si>
  <si>
    <t>One shot requests</t>
  </si>
  <si>
    <t>NDB does not appear to be an impacted application in Prompt.</t>
  </si>
  <si>
    <t>CES, COMET Desktop.NET, COSMOS, FMR (Field Mgmt Reporting), Foundation Frameworks, NDB, TOPS</t>
  </si>
  <si>
    <t>B2B Provider Portal, CDD, CES, COSMOS, EFS/CS IT PM, FSDB - Financial Summary Database (5087), GFLX, Myuhc - Member Portal, NDB, SIFS, Summary Check, TOPS, UCAS - Unet Claim Accounting Sys (multiple apps)</t>
  </si>
  <si>
    <t>Work Order.  JCL changes and FTP set up</t>
  </si>
  <si>
    <t>ACIS Suite, BASICS, CES, CIX (Customer Installation Express), Consumer Database (CDB), CTS - Common Tables System, Data Management, Electronic Eligibility Management System (EEMS), Employer Portal, Enterprise Testing, EPMO, eServices Billing, FADB (Financ</t>
  </si>
  <si>
    <t>Architecture &amp; Infastructure, CES, EPD/NDB, EPMO, IDRS (SCAD), IDT - Intelligent Desktop, Knowledge library, ORBIT - Operational Reporting, Outsourcing Project Management, PC-ORS, Program Definition Intake Team, SALSA, T-DARS, TOPS</t>
  </si>
  <si>
    <t>Karen Cain</t>
  </si>
  <si>
    <t>Melanie Erickson</t>
  </si>
  <si>
    <t>FRPEvergreen-Episode of Care-Add-on Codes-Analysis</t>
  </si>
  <si>
    <t>Oxford Integration</t>
  </si>
  <si>
    <t>COSMOS, NDB, Provider Network Analysis UAT &amp; Tools, UFE</t>
  </si>
  <si>
    <t>Application Enablement, CES, Consumer Database (CDB), Foundation Frameworks, NDB, ORS, TOPS</t>
  </si>
  <si>
    <t>PBD - Data Migration R2.5</t>
  </si>
  <si>
    <t>Steve Auerbach</t>
  </si>
  <si>
    <t>replaced with 4-18000</t>
  </si>
  <si>
    <t>load NCOA address corrections</t>
  </si>
  <si>
    <t xml:space="preserve">ACIS Suite, Application Enablement, B2B Provider Portal, CareOne, CCS-CCF, Claims QA, Computer Services, Consumer Database (CDB), COSMOS, Cross Application Testing, Enterprise Application Architecture, Enterprise Information Management, Enterprise Letter </t>
  </si>
  <si>
    <t>400044785A</t>
  </si>
  <si>
    <t xml:space="preserve">5/20 Cancelled in Prompt
12/6 per the pm - This program is on a long-term hold. There are no actions you need to take at this time but it is likely your team will need to re-engage in the future. Please stay in contact with George Hucul going forward. </t>
  </si>
  <si>
    <t>BH-Clinical Applications, BH-Data Warehouses, BH-Facets - UBH, BH-Linx, BH-Liveandworkwell.com, BH-Mgmt and Planning, BH-ubhonline.com, BPID, CareOne, COSMOS, Enterprise Application Architecture, Enterprise Information Management, EPMO, Facets Solution Gr</t>
  </si>
  <si>
    <t>PDR -DRG CH / Transfer Pricing-Continuation</t>
  </si>
  <si>
    <t>BPID, COSMOS, EPMO, NDB, ppoONE</t>
  </si>
  <si>
    <t xml:space="preserve">ACIS Suite, Application Enablement, Claims Highway, Claims QA, Computer Services, Consumer Database (CDB), Cross Application Testing, Enterprise Information Management, EPMO, Financial Data Warehouse, NDB, Network Technology &amp; Support, PeopleSoft General </t>
  </si>
  <si>
    <t>Kentucky Medicaid Implementation</t>
  </si>
  <si>
    <t>LAN HOANG</t>
  </si>
  <si>
    <t>Application Enablement, CES, Claims QA, Consumer Database (CDB), COSMOS, Cross Application Testing, EPMO, Healthcare Alliance - Medica, Integrated Service Experience Tool ISET, NDB, Network Technology &amp; Support, ORS, Systems Integration, Testing Environme</t>
  </si>
  <si>
    <t>OptumHealth Behavioral Empire ISET Fixes</t>
  </si>
  <si>
    <t>Application Enablement, CareOne, CCS-CCF, Claims QA, Consumer Database (CDB), COSMOS, Cross Application Testing, Enterprise Application Architecture, Enterprise Information Management, Enterprise Letter Generation System, Enterprise Systems Planning Busin</t>
  </si>
  <si>
    <t>ACIS Suite, Application Enablement, B2B Provider Portal, B2C Provider Portal, CDD, CES, COMET Desktop.NET, Consumer Database (CDB), Cross Application Testing, Data Delivery System (DDS), Employer Portal, Enterprise Architecture, Enterprise Care Management</t>
  </si>
  <si>
    <t>ACIS Suite, BASICS, CES, CIX (Customer Installation Express), Consumer Database (CDB), Cross Application Testing, Data Management, EA Data Architecture, Enterprise Architecture, Enterprise Solutions, Galaxy, NDB, PCIS, PHS - IFS (Integrated Financial Syst</t>
  </si>
  <si>
    <t>Application Enablement, CES, COMET Desktop.NET, Cross Application Testing, Data Delivery System (DDS), Data Management, EA Data Architecture, Emptoris, Enterprise Architecture, EPMO, Galaxy, IDT - Intelligent Desktop, NDB, ORBIT - Operational Reporting, p</t>
  </si>
  <si>
    <t>Application Enablement, Cross Application Testing, Data Delivery System (DDS), Data Management, Enterprise Architecture, Foundation Frameworks, Healthcare Alliance - Medica, NDB, ORBIT - Operational Reporting, Systems Integration</t>
  </si>
  <si>
    <t>ACIS Suite, Application Enablement, B2B Provider Portal, B2C Provider Portal, CES, COMET Desktop.NET, Contact Center Services, COSMOS, Cross Application Testing, CTS - Common Tables System, Data Management, Employer Portal, Emptoris, eServices Billing, FA</t>
  </si>
  <si>
    <t>MAMSI Export File Modifications</t>
  </si>
  <si>
    <t>NDM Work Queue Enhancements - Release 2</t>
  </si>
  <si>
    <t>Gayle Adams</t>
  </si>
  <si>
    <t>Auto-Adjudication - Diagnosis / Cause Code Table</t>
  </si>
  <si>
    <t>T. Rainey</t>
  </si>
  <si>
    <t>Ready to Schedule.  Must be delivered with 4-9947 and before or with 4-12830</t>
  </si>
  <si>
    <t>Provider Search Capability for B2B</t>
  </si>
  <si>
    <t>Hercules - Server Standardization</t>
  </si>
  <si>
    <t>Thomas O'Brien</t>
  </si>
  <si>
    <t>ACIS Suite, CES, CIX (Customer Installation Express), CTS - Common Tables System, Data Management, Employer Portal, Enterprise Testing, eServices Billing, GRDC - (Group Reporting Data Control), NDB, PRIME, Product Benefit Database - UT, Summary Check, Tec</t>
  </si>
  <si>
    <t>PPII Security - Shared ID Logic</t>
  </si>
  <si>
    <t>Being reviewed by Mike G.  No planned date for scheduling.  CC not approved</t>
  </si>
  <si>
    <t>Leslie Carter</t>
  </si>
  <si>
    <t>Jeffrey Jablonski</t>
  </si>
  <si>
    <t>May 2005 Southbury Data Center DR Exercise</t>
  </si>
  <si>
    <t>Capitation Strategy - Admin Analysis Options</t>
  </si>
  <si>
    <t>EPD/NDB, Myuhc - Member Portal</t>
  </si>
  <si>
    <t>Centers of Excellence - Generation 2 (2005)</t>
  </si>
  <si>
    <t>Kristin Herrera</t>
  </si>
  <si>
    <t>NDB, ppoONE, Provider Network Analysis UAT &amp; Tools, Reimbursement Technology, TOPS, UPCSA-United Platform Claims Systems Architecture</t>
  </si>
  <si>
    <t>Changes to provider functions in COMET</t>
  </si>
  <si>
    <t>CAT project to establish UFE in the Zulu region</t>
  </si>
  <si>
    <t>ACIS Suite, CES, COMET Desktop.NET, Data Management, Definity Health Consumer Portal, Emptoris, EPMO, FMR (Field Mgmt Reporting), Galaxy, GEOAccess, GeoAccess for UHC.Com, IBAAG - IT (System Changes), IDT - Intelligent Desktop, Myuhc - Member Portal, NDB,</t>
  </si>
  <si>
    <t>Gino Tenace\Chris Brown</t>
  </si>
  <si>
    <t xml:space="preserve">UHG-Cisco Telemedicine Pilot </t>
  </si>
  <si>
    <t>Bud Flagstad</t>
  </si>
  <si>
    <t>NYHCRA AUDIT - 2003</t>
  </si>
  <si>
    <t>Application Enablement, Claims Highway, Claims QA, Computer Services, Consumer Database (CDB), EPMO, ETQS - Enterprise Technology Quality Services, IBM FileNet, iCES Clearinghouse, NDB, PHS - Bottom Line, PHS - IFS (Integrated Financial System) Oracle Fin</t>
  </si>
  <si>
    <t>UNET Provider Prior Effective Date</t>
  </si>
  <si>
    <t>Still need to finalize the data to be shared with Geo-Access.  Item has moved in several releases.  Move to Unscheduled per M. Mahoney 12/6</t>
  </si>
  <si>
    <t>L1 consolidated back with R3</t>
  </si>
  <si>
    <t>Consolidated NDB Extract Fix</t>
  </si>
  <si>
    <t>Endevor Conversion-PRIME (2007 phase)</t>
  </si>
  <si>
    <t>Discount Files to DM NDB</t>
  </si>
  <si>
    <t>B2B/B2C Transactional Reporting Development</t>
  </si>
  <si>
    <t>Jolly Nanda</t>
  </si>
  <si>
    <t>James Bogdan</t>
  </si>
  <si>
    <t>B2B Provider Portal, B2C Provider Portal, COSMOS, EPMO, HIPAA, IDT - Intelligent Desktop, NDB, Optum Infrastructure, TOPS, UFE</t>
  </si>
  <si>
    <t>Definity/Medica Enterprise Test &amp; Partner Cert.</t>
  </si>
  <si>
    <t>2/7 - Program not ready to engage NDB</t>
  </si>
  <si>
    <t>Project cancelled in Prompt</t>
  </si>
  <si>
    <t>Testing Center of Excellence</t>
  </si>
  <si>
    <t>ALLA TASKENT</t>
  </si>
  <si>
    <t>Per Scott Thompson, CC# 9 is complete.
Center of Excellence funding pool does not have budget in 2006.  Being moved to a Uniprise funding pool.</t>
  </si>
  <si>
    <t>COSMOS Fee Schedule Rewrite-Postponed from 4-10173</t>
  </si>
  <si>
    <t>Foundation Frameworks, NDB, TOPS</t>
  </si>
  <si>
    <t>Carenet Billing, Computer Services, COSMOS, GEFT - Global Electronic Funds Transfer, GFLX, GRDC - (Group Reporting Data Control), ISL (Individual Stop Loss), Millenium, NDB, ORS, OTS - Overpayment Tracking System, PRAFSII - Premium and Fee System II (5737</t>
  </si>
  <si>
    <t xml:space="preserve">HPHC1 JV 8/01/06 Branding Overall </t>
  </si>
  <si>
    <t xml:space="preserve">Medica IB Enterprise Test &amp; Operational Readiness </t>
  </si>
  <si>
    <t xml:space="preserve">Tracy Berg </t>
  </si>
  <si>
    <t>ACIS Suite, Application Enablement, B2B Provider Portal, B2C Provider Portal, BPID, CareOne, CCS-CCF, CES, CMA (Content Management Application), Consumer Database (CDB), COSMOS, Cross Application Testing, Enterprise Information Management, Facets Solution</t>
  </si>
  <si>
    <t>Consumer Database (CDB), EPMO, NDB, TOPS</t>
  </si>
  <si>
    <t>EPMO, Facets Solution Group, NDB, UHC C and S Business Requirements, UHC C and S Facets-Interfaces-Extensions-Pitt</t>
  </si>
  <si>
    <t>ACNJ Contract Changes 7/1/2011</t>
  </si>
  <si>
    <t>HIPAA 5010 - PHS NICE 5010 / EDI Completion</t>
  </si>
  <si>
    <t>BASICS, BH-Facets - UBH, BH-PBH Facets, Capitation - Business Analysis, Claims Highway, CMS Dev, COMCALC, Consumer Account Management System (CAMS), COSMOS, DCM - Distribution Channel Management, Diamond, Diamond Interfaces, ECap, Facets - Detroit, Facets</t>
  </si>
  <si>
    <t>Provider Touchpoint Reduction Pilot</t>
  </si>
  <si>
    <t>Direct allocations not through prompt</t>
  </si>
  <si>
    <t>N/a</t>
  </si>
  <si>
    <t>We are being given direct allocations, not coming through prompt.</t>
  </si>
  <si>
    <t>2/12 CC12 Reduced estimate from 6.27 to 4.89
CC11</t>
  </si>
  <si>
    <t>Collaborative Care</t>
  </si>
  <si>
    <t>Medica Data Conversion</t>
  </si>
  <si>
    <t>Corporate Systems</t>
  </si>
  <si>
    <t>12/6 Cancelled in prompt 11/9</t>
  </si>
  <si>
    <t>Claims QA, EPMO, Facets Alpha, MAPS, NDB, UHC C and S Business Requirements, UHC C and S Diamond-Diamond Interfaces, UHC C and S Facets-Interfaces-Detroit, UHC C and S Provider Web Applications</t>
  </si>
  <si>
    <t>Application Enablement, Claim Work DIstribution (CWD), Claims QA, COMET Desktop.NET, Consumer Database (CDB), Cross Application Testing, EPMO, NDB, ORS, PRIME, Testing Environment and Integration, TOPS, USEC - Universal Security Systems</t>
  </si>
  <si>
    <t>ORX FS Dependent CHP WRTF</t>
  </si>
  <si>
    <t>Swartz, Richard A</t>
  </si>
  <si>
    <t>10-00000-239</t>
  </si>
  <si>
    <t>05-50710-000</t>
  </si>
  <si>
    <t>12-69110-000</t>
  </si>
  <si>
    <t>10-00000-236</t>
  </si>
  <si>
    <t xml:space="preserve">10/11/12 Project now BGE Approved in prompt.  
9/10/2012 Offshore support.  BGE split between Q4 12 and Q1 13.  Project still in estimating in prompt. </t>
  </si>
  <si>
    <t>10/11 Project now BGE Approved in prompt.  
8/24 Project still in estimating in prompt</t>
  </si>
  <si>
    <t>Enterprise Product Planning &amp; Architecture (EPPA), Facets Alpha, FSDB - Financial Summary Database (5087), GEOAccess, NDB, Peoplesoft-GL, ppoONE, Provider Network Analysis UAT &amp; Tools, UFE</t>
  </si>
  <si>
    <t>ACIS Suite, Application Enablement, B2B Provider Portal, B2C Provider Portal, BPID, CareOne, CCS-CCF, CES, CIX (Customer Installation Express), Claims Highway, COMET Desktop.NET, Consumer Database (CDB), Contact Center Services, COSMOS, Customer Reporting</t>
  </si>
  <si>
    <t>ACME Reporting, Acquisition Integrations, Facets Alpha, NDB, Provider Network Analysis UAT &amp; Tools, UHCTS-UMR-WES(Facets Harrington)</t>
  </si>
  <si>
    <t>B2C Provider Portal, Facets Alpha, NDB, PHS - Pacificare Internet</t>
  </si>
  <si>
    <t>B2B Provider Portal, B2C Provider Portal, CES, Claims Highway, Claims QA, Consumer Database (CDB), Data Delivery System (DDS), Enterprise EDI Technical Operations, EPMO, Galaxy, iCES Clearinghouse, Integrated Service Experience Tool ISET, NDB, Network Tec</t>
  </si>
  <si>
    <t>HIPAA 5010 CMS 25 Occurrences E&amp;I</t>
  </si>
  <si>
    <t>CES, Consumer Database (CDB), Contact Center Services, Cross Application Testing, Enterprise Architecture, NDB, PRIME, Systems Integration, Testing Environment and Integration, United Platform Systems Analysis and Architecture, UP Policy Profile Service</t>
  </si>
  <si>
    <t>Application Enablement, CES, Cross Application Testing, Employer Portal, Foundation Frameworks, IDT - Intelligent Desktop, NDB</t>
  </si>
  <si>
    <t>Cross Application Testing, Data Management, Enterprise Architecture, NDB, ORBIT - Operational Reporting, Systems Integration, UHN Reporting Database</t>
  </si>
  <si>
    <t>Cross Application Testing, Healthcare Alliance - Harvard Pilgrim, NDB, ppoONE, Provider Network Analysis UAT &amp; Tools, Systems Integration, Testing Environment and Integration</t>
  </si>
  <si>
    <t xml:space="preserve">ACIS Suite, CES, Cross Application Testing, Data Delivery System (DDS), Data Management, Enterprise Architecture, eServices Billing, eServices Billing OM, Healthcare Alliance - Medica, NDB, PRIME, Systems Integration, Testing Environment and Integration, </t>
  </si>
  <si>
    <t>Cross Application Testing, Data Delivery System (DDS), Data Management, Enterprise Architecture, Healthcare Alliance - Medica, NDB, Systems Integration</t>
  </si>
  <si>
    <t>CES, Cross Application Testing, Electronic Eligibility Management System (EEMS), Healthcare Alliance - Medica, NDB, PRIME, Systems Integration</t>
  </si>
  <si>
    <t>ACIS Suite, Application Enablement, Automated Underwriting, B2B Provider Portal, B2C Provider Portal, BASICS, CDD, CES, COMET Desktop.NET, Commercial Payment System (EPS), Consumer Database (CDB), Contact Center Services, COSMOS, Cross Application Testing</t>
  </si>
  <si>
    <t>CES, Cross Application Testing, Data Management, Emptoris, Enterprise Architecture, Enterprise Solutions, Foundation Frameworks, Galaxy, GEOAccess, IBM FileNet, NDB, PHS - NICE, PRIME, Provider Network Analysis UAT &amp; Tools, Systems Integration, United Pla</t>
  </si>
  <si>
    <t>ACIS Suite, Application Enablement, Atlas, B2B Provider Portal, B2C Provider Portal, CES, Consumer Database (CDB), Contact Center Services, Cross Application Testing, Employer Portal, Enterprise Architecture, Enterprise Solutions, eServices Billing, Found</t>
  </si>
  <si>
    <t>Application Enablement, COMET Desktop.NET, Data Management, NDB, TOPS, USEC - Universal Security Systems</t>
  </si>
  <si>
    <t xml:space="preserve">Pre-Auth Table Enhancements </t>
  </si>
  <si>
    <t>2005 Plymouth Data Center Test/Dev DR Exercise</t>
  </si>
  <si>
    <t>EPD/NDB</t>
  </si>
  <si>
    <r>
      <t xml:space="preserve">Cancelled in Prompt.  Priority - </t>
    </r>
    <r>
      <rPr>
        <b/>
        <sz val="8"/>
        <rFont val="Arial"/>
        <family val="2"/>
      </rPr>
      <t>High</t>
    </r>
    <r>
      <rPr>
        <sz val="8"/>
        <rFont val="Arial"/>
        <family val="2"/>
      </rPr>
      <t>.</t>
    </r>
  </si>
  <si>
    <t>1</t>
  </si>
  <si>
    <t>ACIS Suite, BASICS, CES, Data Delivery System (DDS), eServices Billing, NDB, PRIME, Systems Integration, TOPS, UCAS - Unet Claim Accounting Sys (multiple apps)</t>
  </si>
  <si>
    <t>Secure Horizons Migr from NICE to Peradigm-UT Only</t>
  </si>
  <si>
    <t>Brian Lindell</t>
  </si>
  <si>
    <t>Randall Smith</t>
  </si>
  <si>
    <t>2 UT FTEs to support ongoing ORBIT report developm</t>
  </si>
  <si>
    <t>APT, CES, COSMOS, CPW, Data Management, EDSS (COLD), Employer Portal, EPMO, Galaxy, IDRS (SCAD), Ingenix - Non Galaxy, LETGEN, Myuhc - Member Portal, NDB, PRMS, QStar, SRDB (APT Reporting), T-DARS, TRACR, UHT</t>
  </si>
  <si>
    <t>BRYAN SHEEHAN</t>
  </si>
  <si>
    <t>FRP - Clinical Self Service</t>
  </si>
  <si>
    <t>EPS Infrastructure - Not impacted</t>
  </si>
  <si>
    <t>MAMSI-FEHB (Feds)  Choice HM6 w/MDIPA Legal Entity</t>
  </si>
  <si>
    <t>ACIS Suite, CES, Cross Application Testing, ECap, EPMO, Galaxy, GPS, NDB, Pacificare Regional Data Store - PRDS, PRIME, Provider Network Analysis UAT &amp; Tools, Settlements Plus, United Platform Systems Analysis and Architecture</t>
  </si>
  <si>
    <t>CES, Consumer Database (CDB), Cross Application Testing, EPMO, NDB, Payment Engine, Summary Check, TOPS</t>
  </si>
  <si>
    <t>ACIS Suite, Application Enablement, B2B Provider Portal, B2C Provider Portal, CCS-CCF, CES, CIX (Customer Installation Express), Computer Services, Consumer Database (CDB), Contact Center Services, Cross Application Testing, CTS - Common Tables System, Cu</t>
  </si>
  <si>
    <t>Adjudipro, ATG Automated Transaction Generator, CFAS, Claims Highway, COSMOS, CPW, Cross Application Testing, Galaxy, iCES Clearinghouse, LETGEN, NDB, Provider Network Analysis UAT &amp; Tools, Reimbursement Technology, TOPS</t>
  </si>
  <si>
    <t>Application Enablement, B2C Provider Portal, BPID, Claims Highway, COSMOS, Cross Application Testing, Emptoris, Enterprise EDI Technical Operations, Enterprise Information Management, EPMO, iCES Clearinghouse, Integrated Service Experience Tool ISET, Myuh</t>
  </si>
  <si>
    <t>ASG</t>
  </si>
  <si>
    <t>Network Services</t>
  </si>
  <si>
    <t>IRD</t>
  </si>
  <si>
    <t>Finance</t>
  </si>
  <si>
    <t>Desktop &amp; Groupware</t>
  </si>
  <si>
    <t>ITSM</t>
  </si>
  <si>
    <t>Computer Services</t>
  </si>
  <si>
    <t>Medica UNET Conversion</t>
  </si>
  <si>
    <t>Human Capital</t>
  </si>
  <si>
    <t>UHG IT - CS</t>
  </si>
  <si>
    <t>BPID, Claims Highway, Claims QA, COSMOS, EPMO, GGMAP, NDB, ppoONE</t>
  </si>
  <si>
    <t>BPID, Claims Highway, Claims QA, COSMOS, Emptoris, EPMO, GGMAP, NDB, ppoONE</t>
  </si>
  <si>
    <t>HCE Data Warehouse:  Move to Managed Services</t>
  </si>
  <si>
    <t xml:space="preserve">River Valley ppoONE Commercial Claim Extract </t>
  </si>
  <si>
    <t xml:space="preserve">Verrilli, Sally </t>
  </si>
  <si>
    <t>Facets Alpha, NDB, Network Technology &amp; Support, UFE</t>
  </si>
  <si>
    <t>NDB 2012 One Shot Requests</t>
  </si>
  <si>
    <t>Common Pricing Solution- Anesthesia Enhancements</t>
  </si>
  <si>
    <t>ACIS Suite, Application Enablement, Atlas, Automated Underwriting, B2B Provider Portal, B2C Provider Portal, BASICS, CIX (Customer Installation Express), Claims Highway, Claims QA, Claims QA - EDI, COMET Desktop.NET, Consumer Database (CDB), Contact Cente</t>
  </si>
  <si>
    <t>Application Enablement, Applications Impacted Unknown, CES, Claims QA, Computer Services, Consumer Database (CDB), Cross Application Testing, Enterprise Architecture Practices, Enterprise Content Management and Architecture, Enterprise EDI Business Soluti</t>
  </si>
  <si>
    <t>ACIS Suite, Application Enablement, B2B Provider Portal, B2C Provider Portal, BPID, BPM CoE, Business Intent Certification Tool (BIC), CareOne, CCS-CCF, CDD, CES, Claims Highway, Claims QA, Claims QA - EDI, COMET Desktop.NET, Consumer Database (CDB), COSM</t>
  </si>
  <si>
    <t>Per Brian Short and RR confirmed - After digging a little deeper and the e-mail below from Betsy, it looks like we don't need a USEC spec for 4-41805 as that work has already been done in the November 2010 release. - cancelled per Karla</t>
  </si>
  <si>
    <t>OI00247U1</t>
  </si>
  <si>
    <t>DRM - EPDL Load USEC</t>
  </si>
  <si>
    <t>Replaced with 4-42320 on 5/10</t>
  </si>
  <si>
    <t>400037131</t>
  </si>
  <si>
    <t>Placeholder for permanent fix</t>
  </si>
  <si>
    <t>Migrate Medica Medicare Business to GPS</t>
  </si>
  <si>
    <t>Anita Shiels</t>
  </si>
  <si>
    <t>Kathy Learst</t>
  </si>
  <si>
    <t>Application Enablement, COMET Desktop.NET, Cross Application Testing, EA Data Architecture, Enterprise Application Architecture, Enterprise Architecture, ERC, Foundation Frameworks, HSS (Pricing Applications), Information Risk Management, NDB, ppoONE, Tes</t>
  </si>
  <si>
    <t>CES, Cross Application Testing, Data Delivery System (DDS), NDB, Summary Check, Systems Integration, Testing Environment and Integration, TOPS</t>
  </si>
  <si>
    <t>Specialist Providers with More than 252 Contract L</t>
  </si>
  <si>
    <t xml:space="preserve">New Provider Wkly Mailing - Change to ret address </t>
  </si>
  <si>
    <t>ALI Cred Type Fix</t>
  </si>
  <si>
    <t>MAMSI Claims Pricing - Custom URL</t>
  </si>
  <si>
    <t xml:space="preserve">Daily data feeds to Thedacare  </t>
  </si>
  <si>
    <t>Bob Jacqmin</t>
  </si>
  <si>
    <t>CDD, CES, NDB, PRIME</t>
  </si>
  <si>
    <t xml:space="preserve">Medicare Roadmap - Integration </t>
  </si>
  <si>
    <t>Provider Portal Consolidation - GRI B2C Portal</t>
  </si>
  <si>
    <t>ACIS Suite, Application Infrastructure Services, B2B Provider Portal, B2C Provider Portal, Carenet Billing, CDD, CFAS, CheckWriting, ComAgg, COMCALC, ComStat, CTS - Common Tables System, Data Management, EBDS, FICS, FMR (Field Mgmt Reporting), FSDB - Fina</t>
  </si>
  <si>
    <t>HPHC has decided NOT to proceed with this solution at this time. Cancelled in Prompt.  6/4/07</t>
  </si>
  <si>
    <t>ACIS</t>
  </si>
  <si>
    <t>diCarta Doc ID One Shot for Converted Contracts</t>
  </si>
  <si>
    <t>same as above</t>
  </si>
  <si>
    <t>EPD Batch Extract / PMW Rpt Enhance (030, 067)</t>
  </si>
  <si>
    <t>There will be no R2 for this cc.  It is complete for NDB</t>
  </si>
  <si>
    <t>6/10 Cnx in Prompt 5/25</t>
  </si>
  <si>
    <t>updated per Liz due to decrease in cc 1 - 3/14 Effort changed from 4.70 to 1 person month  5/31- Marked completed per Cathy Chen via email.</t>
  </si>
  <si>
    <t>Per Karla via email 5/31- completed.</t>
  </si>
  <si>
    <t>5/31- marked Complete per email from Anne Marie.</t>
  </si>
  <si>
    <t>CC3 - cc still in estimating  5/31- marked Complete per email from Anne Marie.</t>
  </si>
  <si>
    <t>5/31 email from Mary Sue to move to Q4</t>
  </si>
  <si>
    <t>5/31- moved to June per email from Karla stating extended to 6/15</t>
  </si>
  <si>
    <t>5/31 email from Mary Sue to move to June</t>
  </si>
  <si>
    <t>Effort has been reduced from .53 to .13 person months 5/31 email from Hameed- OK to mark complete</t>
  </si>
  <si>
    <t>5/31 email from Hameed- OK to mark complete</t>
  </si>
  <si>
    <t xml:space="preserve">Burn   </t>
  </si>
  <si>
    <t>6/7/11 NDB un-impacted on project but project coordinated with NDB as zero estimate</t>
  </si>
  <si>
    <t>6/7/2011 - project cancelled in prompt on 6/1</t>
  </si>
  <si>
    <t>6/7/2011 NDB was un-impacted on this project</t>
  </si>
  <si>
    <t xml:space="preserve">6/7 Updated estimate from 71.19 to 80.52 per Bridget
Includes cc 1 and CC 7 split between June and August </t>
  </si>
  <si>
    <t>6/7 Changed estimate from 75.12 to 52.79 per Bridget
Includes cc 1 and CC 7 split between June and August - cc 7 is still in estimating</t>
  </si>
  <si>
    <t>6/7 Changed estimate from 43.20 to 56.19 per Bridget
CC 5</t>
  </si>
  <si>
    <t>Scott Thompson CT</t>
  </si>
  <si>
    <t>Application Enablement, Consumer Account Management System (CAMS), Consumer Database (CDB), Enterprise Application Architecture, Enterprise Information Management, GGMAP, NDB, OptumHealth Bank - IT, ppoONE, TOPS</t>
  </si>
  <si>
    <t>Medica Superuser Role - refer also to 4-43407</t>
  </si>
  <si>
    <t>New Market # 21646 in NDB</t>
  </si>
  <si>
    <t>MI Network Management</t>
  </si>
  <si>
    <t>Application Enablement, B2B Provider Portal, B2C Provider Portal, CareOne, CCS-CCF, CES, Claims Highway, Claims QA, COMET Desktop.NET, Computer Services, Consumer Account Management System (CAMS), Consumer Database (CDB), COSMOS, Cross Application Testing</t>
  </si>
  <si>
    <t>BH-Facets - UBH, BPID, COSMOS, EPMO, Healthcare Alliance - Medica, NDB, Systems Integration</t>
  </si>
  <si>
    <t>RSASL - Navigate PCP Patient Roster Report</t>
  </si>
  <si>
    <t>Provider POS Zip is not being valued correctly</t>
  </si>
  <si>
    <t>John Fleig</t>
  </si>
  <si>
    <t>5010 EDI Reporting</t>
  </si>
  <si>
    <t xml:space="preserve">WOQ2 NDB OI 00245 Change Display on NDB Addr Scrn </t>
  </si>
  <si>
    <t>WOQ2 NDB OI 00275 Weekly Data Extract New Tins</t>
  </si>
  <si>
    <t>WOQ2 NDB OI 00278 Expanded Search by PTI MPIN</t>
  </si>
  <si>
    <t>400049911A</t>
  </si>
  <si>
    <t>Cancelled 1/20/12</t>
  </si>
  <si>
    <t>UDP Path</t>
  </si>
  <si>
    <t>RSA</t>
  </si>
  <si>
    <t>Sutter Provider Exception</t>
  </si>
  <si>
    <t>Imad, Ahmed</t>
  </si>
  <si>
    <t>1/26 NDB un-impacted on this project</t>
  </si>
  <si>
    <t>1/26 NDB has been un-impacted in prompt</t>
  </si>
  <si>
    <t>1/26/ 12  Project entered zero estimate for NDB but NDB is not needed on this project</t>
  </si>
  <si>
    <t>1/31/12 NDB has been un-impacted on this project</t>
  </si>
  <si>
    <t>PHS Migration to UHCOnline</t>
  </si>
  <si>
    <t>ICUE Q2 2012</t>
  </si>
  <si>
    <t>ICUE Q1 2012</t>
  </si>
  <si>
    <t>Integrated Testing Environment Buildout</t>
  </si>
  <si>
    <t>CC8</t>
  </si>
  <si>
    <t>Date Added to GK</t>
  </si>
  <si>
    <t>UCMG ID</t>
  </si>
  <si>
    <t>11-62360-000</t>
  </si>
  <si>
    <t>03-47540-002</t>
  </si>
  <si>
    <t>CC12 - CC still in estimating in prompt</t>
  </si>
  <si>
    <t>15-43170-000</t>
  </si>
  <si>
    <t>2/6/12 Decreased estimate from 63.61 to 15 pm's - There will be no code deploy for this piece
Project still in estimating</t>
  </si>
  <si>
    <t>2/6 Reduced in LDE from 3.12 to 1.9
11/23 Project OOM Approved
Project still in estimating in prompt</t>
  </si>
  <si>
    <t>2/6/12 Project oom approved in prompt
Project in estimating in prompt</t>
  </si>
  <si>
    <t>2/6/12 NDB has been un-impacted on this project on CC11
CC10</t>
  </si>
  <si>
    <t>PHC/CHC Health Plans Migration to GPS</t>
  </si>
  <si>
    <t>RV FACETS CMS DRG Outlier move to NDB Webstrat</t>
  </si>
  <si>
    <t>Scott Bower</t>
  </si>
  <si>
    <t>End to End Claims Processing Analysis</t>
  </si>
  <si>
    <t>NDB Feed to OTS</t>
  </si>
  <si>
    <t>Brian Bugiel</t>
  </si>
  <si>
    <t>NDB, OHCS - TCE, V4 TCE</t>
  </si>
  <si>
    <t>Health Care Cost Estimator R2</t>
  </si>
  <si>
    <t>Georgia Prompt Pay and ASO Interest Automation</t>
  </si>
  <si>
    <t>Jim Becker</t>
  </si>
  <si>
    <t>Elizabeth Zadrozny</t>
  </si>
  <si>
    <t>B2B Provider Portal, B2C Provider Portal, Claims QA, Enterprise EDI Technical Operations, EPMO, Facets Alpha, Facets Solution Group, NDB, Network Technology &amp; Support, ppoONE, UFE, UHC C and S Diamond-Diamond Interfaces</t>
  </si>
  <si>
    <t>Claims Highway, Claims QA, EPMO, NDB, OHCS - PH Accent, OHCS OCIO ARCHITECTURE &amp; IT STRATEGY</t>
  </si>
  <si>
    <t>01-19260-012</t>
  </si>
  <si>
    <t>CPS/NCD Program Analysis</t>
  </si>
  <si>
    <t xml:space="preserve">UMR myHCE integration </t>
  </si>
  <si>
    <t>Claims Highway, Claims QA, Enterprise Adjudication Service, Enterprise Application Architecture, EPMO, Facets Alpha, iCES Clearinghouse, NDB, ppoONE</t>
  </si>
  <si>
    <t>Application Enablement, CES, Claims QA, Consumer Database (CDB), COSMOS, Cross Application Testing, EPMO, Healthcare Alliance - Medica, IDT - Intelligent Desktop, Integrated Service Experience Tool ISET, NDB, PRIME, Systems Integration, Testing Environmen</t>
  </si>
  <si>
    <t>Application Enablement, B2C Provider Portal, BH-Elig/Accum, BH-Facets - UBH, BH-PBH Facets, BPID, Business Intelligence &amp; Data Management, CES, Claims Highway, Claims QA, Computer Services, Consumer Account Management System (CAMS), Consumer Database (CDB</t>
  </si>
  <si>
    <t>400045257A</t>
  </si>
  <si>
    <t>Modify static text on Notifications</t>
  </si>
  <si>
    <t>Lisa Graikowski</t>
  </si>
  <si>
    <t>Enhancement to NDB provider feed for NSD</t>
  </si>
  <si>
    <t>OI00122</t>
  </si>
  <si>
    <t>Load Network Provider Database(NPD) to AMS Desktop</t>
  </si>
  <si>
    <t>COMET, EPD/NDB, UNET Claim, UNET Batch, Summary Check, EPD/NDB, CES</t>
  </si>
  <si>
    <t>EOB/HS SSN and Profanity checker</t>
  </si>
  <si>
    <t>ACIS Suite, Application Enablement, Application Infrastructure Services, CES, Employer Portal, Enterprise Application Architecture, eServices Billing, Galaxy, GFLX, IBAAG - IT (System Changes), IDT - Intelligent Desktop, Internal Integrations, Myuhc - Mem</t>
  </si>
  <si>
    <t>POA (Present on Admission</t>
  </si>
  <si>
    <t>08 MPQ Operational Improvement</t>
  </si>
  <si>
    <t>COSMOS, NDB, ORBIT - Operational Reporting, ppoONE</t>
  </si>
  <si>
    <t>PHS/Secure Horizons Provider Portal Integration</t>
  </si>
  <si>
    <t>AARP Provider Feed to SOURCECORP Part II</t>
  </si>
  <si>
    <t>OTS Phases 2 and 3</t>
  </si>
  <si>
    <t>Duplicate Master Address Query Creation</t>
  </si>
  <si>
    <t>custom directory splash page</t>
  </si>
  <si>
    <t>Amy Hinrichs</t>
  </si>
  <si>
    <t>Enterprise Capitation - United Platform Integratio</t>
  </si>
  <si>
    <t xml:space="preserve">User Security Via Wrap </t>
  </si>
  <si>
    <t>UPCSA - Decoupling from TOPS Phase 2</t>
  </si>
  <si>
    <t>Build B2C in Alpha,Bravo,Charlie,Master,&amp; Zulu</t>
  </si>
  <si>
    <t>EDI Hub Consolidation Release 2.0</t>
  </si>
  <si>
    <t xml:space="preserve">ACIS Suite, B2B Provider Portal, B2C Provider Portal, Case Package, CDD, Conversion Application List, Data Management, EA Data Architecture, EFS/CS IT PM, Employer Portal, EPMO, FMR (Field Mgmt Reporting), Galaxy, GFLX, IDT - Intelligent Desktop, Myuhc - </t>
  </si>
  <si>
    <t>Added 2008 to D2-Resource Plan, R7- Resource Alloc and R8-Resource Recap</t>
  </si>
  <si>
    <t>Claims Repricing - NDB FTP Change Work Order</t>
  </si>
  <si>
    <t xml:space="preserve">Application Enablement, CES, Contact Center Services, CTS - Common Tables System, Data Management, Electronic Eligibility Management System (EEMS), Employer Portal, Foundation Frameworks, FSDB - Financial Summary Database (5087), Galaxy, GEOAccess, GFLX, </t>
  </si>
  <si>
    <t>ACIS Suite, Acquisition Integrations, Application Enablement, B2B Provider Portal, B2C Provider Portal, BASICS, CES, CIX (Customer Installation Express), COMET Desktop.NET, Commercial Payment System (EPS), Consumer Database (CDB), Contact Center Services,</t>
  </si>
  <si>
    <t>Contact Center Services, GEOAccess, NDB</t>
  </si>
  <si>
    <t>AmeriChoice Michigan (Facets) to UHC Online</t>
  </si>
  <si>
    <t>UMR Scope Change for EPDE</t>
  </si>
  <si>
    <t>DAVID YAKER</t>
  </si>
  <si>
    <t>Nicole Bruno</t>
  </si>
  <si>
    <t>UHPD Facility Designation Program v2.0</t>
  </si>
  <si>
    <t>EPDL MPN Empire Transition</t>
  </si>
  <si>
    <t>Fix Medicaid field from 12 char to 13 chars</t>
  </si>
  <si>
    <t>Project</t>
  </si>
  <si>
    <t>Lori Bravoco</t>
  </si>
  <si>
    <t>EPS implementation on OHBS Facets - Deferred Scope</t>
  </si>
  <si>
    <t>NPI Portals Compliance - B2C</t>
  </si>
  <si>
    <t>Suzie Parten</t>
  </si>
  <si>
    <t xml:space="preserve">Matt Guisinger </t>
  </si>
  <si>
    <t>CE00033</t>
  </si>
  <si>
    <t>NOTS</t>
  </si>
  <si>
    <t>iCES Clearinghouse - COSMOS</t>
  </si>
  <si>
    <t xml:space="preserve">HPHC JV MultiSite ET &amp; Operational Readiness </t>
  </si>
  <si>
    <t>Data Extract - no coding changes</t>
  </si>
  <si>
    <t>OI00140</t>
  </si>
  <si>
    <t>OI00140R1</t>
  </si>
  <si>
    <t>Eileen Dock/Fiad Ali</t>
  </si>
  <si>
    <t>Deployed on 6/23.  NDB support not needed</t>
  </si>
  <si>
    <t>Stevan Garcia</t>
  </si>
  <si>
    <t>Change UBH EPDL start time &amp; FTP</t>
  </si>
  <si>
    <t>Additional NY analysis for NDB EA for AmeriChoice</t>
  </si>
  <si>
    <t>D1 - Master Project Table</t>
  </si>
  <si>
    <t>Mike Mikan, Dirk McMahon</t>
  </si>
  <si>
    <t>Analysis and QCA support</t>
  </si>
  <si>
    <t>Review and update the percentages assigned to activities in the SDLC.  Used to drive elapsed days allocated to each activity.</t>
  </si>
  <si>
    <t>EFS Paper Directory Service Area Logic Change</t>
  </si>
  <si>
    <t xml:space="preserve">Mike Cautin/Jerry Knutson  </t>
  </si>
  <si>
    <t xml:space="preserve">Fee Schedule Extraction (One-Shot) for MAMSI </t>
  </si>
  <si>
    <t xml:space="preserve">Legal and Compliance </t>
  </si>
  <si>
    <t xml:space="preserve">HP market roll up changes for cred reporting </t>
  </si>
  <si>
    <t>GRI HCFA access to long term repricing solution</t>
  </si>
  <si>
    <t>Analysis &amp;QCA Support Only</t>
  </si>
  <si>
    <t>QTP - FEES Automation</t>
  </si>
  <si>
    <t>GRI Network Access &amp; Claims Pricing - Custom URL</t>
  </si>
  <si>
    <t>NDB</t>
  </si>
  <si>
    <t>OI00152R1</t>
  </si>
  <si>
    <t>Fix PVO Table Extract</t>
  </si>
  <si>
    <t>Modify NDB-EA Pull Gov Indicator in NDB</t>
  </si>
  <si>
    <t>Capture and Display UB/HCFA Contract CLaim Informa</t>
  </si>
  <si>
    <t>Impacted on CC#2- Not OOM Approved</t>
  </si>
  <si>
    <t xml:space="preserve">This is EPDL. </t>
  </si>
  <si>
    <t>D. DeMatteo
J. King</t>
  </si>
  <si>
    <t>Medica – MH/SA Provider Migration</t>
  </si>
  <si>
    <t>WO New Paper Directory Book Codes</t>
  </si>
  <si>
    <t>Non-Discretionary</t>
  </si>
  <si>
    <t>Collins, Garfield</t>
  </si>
  <si>
    <t>APM Portal/Systems Solution</t>
  </si>
  <si>
    <t>Added Orbit Col, One-Shot col and Data Model Due Date to D5-Gatekeeper</t>
  </si>
  <si>
    <t>DEBORAH LAXSON</t>
  </si>
  <si>
    <t>Harvard Pilgrim EPDL Data Load &amp; Directory Set-up</t>
  </si>
  <si>
    <t>TellMe Phase 1 -- Routing and Basic Eligibility</t>
  </si>
  <si>
    <t>Mike Mikan</t>
  </si>
  <si>
    <t>Medica - UHG Directory Extract-Phase 2</t>
  </si>
  <si>
    <t>NDB, TOPS, UFE</t>
  </si>
  <si>
    <t>Online Provider Directory - Future Effective Dates</t>
  </si>
  <si>
    <t>NDB is no longer needed on this project and the time should be backed out in the lockdown</t>
  </si>
  <si>
    <t>NaviNet National Provider Data Extract</t>
  </si>
  <si>
    <t>Chris Kent</t>
  </si>
  <si>
    <t>NDB unimpacted in Prompt.  Radius search removed from scope</t>
  </si>
  <si>
    <t>4 - Cancelled</t>
  </si>
  <si>
    <t>MAHP IDT Enhancements</t>
  </si>
  <si>
    <t>Marla Leigh</t>
  </si>
  <si>
    <t>Need business requirements to establish reliable estimate.  NDB estimate backed out.  USEC component complete</t>
  </si>
  <si>
    <t>Carol Pennington</t>
  </si>
  <si>
    <t>B. Childress</t>
  </si>
  <si>
    <t>SIP_VETSS_CNI Change Request</t>
  </si>
  <si>
    <t>Plymount Account Code Clean Up</t>
  </si>
  <si>
    <t>OI00223</t>
  </si>
  <si>
    <t xml:space="preserve">NDB Area Menu/Screen Level Access  </t>
  </si>
  <si>
    <t>3/21 NDB unimpacted in Prompt</t>
  </si>
  <si>
    <t>Cross Application Testing, Data Delivery System (DDS), Data Management, Enterprise Architecture, NDB, Systems Integration</t>
  </si>
  <si>
    <t>Application Enablement, Bank Information System (BIS), CDD, CES, CMA (Content Management Application), Data Management, Definity Health App Suite, eArt, Enterprise Application Architecture, Enterprise Testing, EPMO, Foundation Frameworks, GEFT - Global El</t>
  </si>
  <si>
    <t>Consumer Experience</t>
  </si>
  <si>
    <t>ACIS Suite, Acquisition Integrations, CES, Consumer Database (CDB), GPT Project Management Services, NDB, PHS - NICE, United Platform Systems Analysis and Architecture, UP Policy Profile Service, UPCT</t>
  </si>
  <si>
    <t xml:space="preserve">Enterprise Capitation – MAHP NDB/ECap County Code </t>
  </si>
  <si>
    <t>Medica NPI &amp; Demographic Feed Update</t>
  </si>
  <si>
    <t>CC#7 impacting NDB is in Funding.  CC cancelled.</t>
  </si>
  <si>
    <t>NPI Phase 4 Implementation</t>
  </si>
  <si>
    <t>PDR -  Fraud &amp; Abuse on Claims Highway</t>
  </si>
  <si>
    <t>PDR- DRG Clearinghouse</t>
  </si>
  <si>
    <t>PDR - Loading UBH Providers in NDB</t>
  </si>
  <si>
    <t>CDB Front End Development Phase 1</t>
  </si>
  <si>
    <t>Ed Skopas</t>
  </si>
  <si>
    <t>Implement myUHC authentication redesign</t>
  </si>
  <si>
    <t>Not a Work Order  Moved from Oct to Dec</t>
  </si>
  <si>
    <t>Dependent on 4-9763.</t>
  </si>
  <si>
    <t xml:space="preserve">COSMOS Providers Penalty Assignment </t>
  </si>
  <si>
    <t>Enter the project manager name on the Gatekeeper tab and pull to the Project Master tab instead of vice versa.</t>
  </si>
  <si>
    <t>Suppress Display of Non-UHPD Physician Designation</t>
  </si>
  <si>
    <t>Craig Anderson</t>
  </si>
  <si>
    <t>TestDirector Infrastructure Consolidation</t>
  </si>
  <si>
    <t>Update NC feed to incl alliance/chg date logic</t>
  </si>
  <si>
    <t xml:space="preserve">Mike Etheridge </t>
  </si>
  <si>
    <t>9/2 Per Rick reduced estimate from .53 to .27
8/8 reduced estimate from 1.04 to .53 per Hameed</t>
  </si>
  <si>
    <t>9/2 Per Rick reduced estimate from .80 to .33
5/27 Updated per ld est from 1.56 to .80</t>
  </si>
  <si>
    <t>9/2 Per Rick reduced estimate from .33 to .27</t>
  </si>
  <si>
    <t>9/2 Per Rick reduced estimate from 1.07 to .27
CC3</t>
  </si>
  <si>
    <t>9/2 Per Rick reduced estimate from .67 to .27
CC10</t>
  </si>
  <si>
    <t>9/2 9/2 Per Rick reduced estimate from .6 to .53
Reduced effort from 1.07 to .6 in LDE - cc5</t>
  </si>
  <si>
    <t>9/2 Per Rick - Per the cross app PM they are deploying code in Q3 and no longer require NDB assitance. 
9/2 reduced estimate from .65 to .27 per Rick</t>
  </si>
  <si>
    <t>9/2 NDB will be un-impacted for A&amp;D
CC3</t>
  </si>
  <si>
    <t>9/2 Per Rick can be reduce from .53 to  .13</t>
  </si>
  <si>
    <t>9/2 9/2 Per Rick can be reduce from 1 to .6
4/18 Decreased estimate - not updated in prompt yet
updated per Liz due to decrease in cc 1</t>
  </si>
  <si>
    <t>Transparency: OHBS Providers CS-UHC Consumer Trans</t>
  </si>
  <si>
    <t>BS-Netwk Reg.Online Claims Pre-Service Adjud.</t>
  </si>
  <si>
    <t>STACY BURDEAU</t>
  </si>
  <si>
    <t>Jann Dodd</t>
  </si>
  <si>
    <t>Add Specialty to ‘P’ Type Search</t>
  </si>
  <si>
    <t>Bring Address down to Business Segment Level</t>
  </si>
  <si>
    <t>Added per Vicky with JD approval</t>
  </si>
  <si>
    <t>COMET Desktop.NET, Cross Application Testing, NDB, Testing Environment and Integration, TOPS</t>
  </si>
  <si>
    <t>Cross Application Testing, NDB</t>
  </si>
  <si>
    <t>B2B Provider Portal, BH-Data Warehouses, BH-EDI/Data Extracts, BH-Facets - UBH, BH-Mgmt and Planning, BH-Shared Components, BH-ubhonline.com, Consumer Database (CDB), COSMOS, Cross Application Testing, HIPAA, NDB, TOPS, UFE</t>
  </si>
  <si>
    <t>Computer Services, Cross Application Testing, NDB, Payables, PHS - Bottom Line, PHS - IFS (Integrated Financial System) Oracle Fin, PHS - ILIAD, PHS - NICE, Provider Network Analysis UAT &amp; Tools</t>
  </si>
  <si>
    <t>Adjudipro, ATG Automated Transaction Generator, BH-Customer Reporting, BH-Data Warehouses, BH-EDI/Data Extracts, BH-Elig/Accum, BH-Elig/Benefits, BH-Facets - UBH, BH-Linx, BH-PBH Facets, BH-ubhonline.com, CES, CFAS, Consumer Database (CDB), COSMOS, CPW, C</t>
  </si>
  <si>
    <t>CES, Consumer Database (CDB), Cross Application Testing, FSDB - Financial Summary Database (5087), ISL (Individual Stop Loss), NDB, ORS, Summary Check, TOPS</t>
  </si>
  <si>
    <t>Application Enablement, Computer Services, Cross Application Testing, ERC, Foundation Frameworks, Reimbursement Technology, Testing Environment and Integration</t>
  </si>
  <si>
    <t>B2C Provider Portal, BSG, Computer Services, Consumer Account Management System (CAMS), COSMOS, Cross Application Testing, Desktop and Groupware Services, EPMO, eServices Billing, GPS, GPT Business Systems, GPT eCommerce, GPT Enterprise QA, GPT Project Ma</t>
  </si>
  <si>
    <t>Fee Schedule Error Clean-up</t>
  </si>
  <si>
    <t>Keith Koszuta/Joe Hafermann</t>
  </si>
  <si>
    <t>being replaced with 4-27069</t>
  </si>
  <si>
    <t>CC27</t>
  </si>
  <si>
    <t>Fee Schedule Change Audit Report</t>
  </si>
  <si>
    <t>U3</t>
  </si>
  <si>
    <t>NDB-EA Queue Consolidation - Phase 1</t>
  </si>
  <si>
    <t>NDB, Systems Integration, UFE</t>
  </si>
  <si>
    <t>ELIZABETH Young</t>
  </si>
  <si>
    <t>CES, COSMOS, IDT - Intelligent Desktop, NDB</t>
  </si>
  <si>
    <t>CC06U</t>
  </si>
  <si>
    <t>Gold Card Status Indicator - NDB/EPD</t>
  </si>
  <si>
    <t>OpX253 NDB F12 Screen Enhancements</t>
  </si>
  <si>
    <t>PIT - Monthly NDC Database Maintenance</t>
  </si>
  <si>
    <t>Analyis and QCA Support Only.  In Strategy Council</t>
  </si>
  <si>
    <t>Jean Boord</t>
  </si>
  <si>
    <t>EPS</t>
  </si>
  <si>
    <t>Harlan Levine</t>
  </si>
  <si>
    <t>Kevin Carlson</t>
  </si>
  <si>
    <t>e-mail from Wm Davis on 8/17.  NDB not impacted</t>
  </si>
  <si>
    <t>Application Enablement, IDT - Intelligent Desktop, NDB</t>
  </si>
  <si>
    <t>Definity Health PM, NDB, Systems Integration, UFE</t>
  </si>
  <si>
    <t>Mike Keeler</t>
  </si>
  <si>
    <t>SSP Vendor Flexibility-Development and Implement</t>
  </si>
  <si>
    <t>Dirk McMahon</t>
  </si>
  <si>
    <t>Empire Plan Annual Fee Schedule Audit Extract</t>
  </si>
  <si>
    <t>Emptoris Batch Automation - Phase I (COSMOS)</t>
  </si>
  <si>
    <t>Add Provider Termination History to UHN Reporting</t>
  </si>
  <si>
    <t>diCarta v6.0 Upgrade App/Int Enhancements</t>
  </si>
  <si>
    <t>B2B Provider Portal, COSMOS, Data Management, EPD/NDB, Summary Check, UFE</t>
  </si>
  <si>
    <t>Joan Dion</t>
  </si>
  <si>
    <t>CC02 does not exist in Prompt</t>
  </si>
  <si>
    <t>CC14R1</t>
  </si>
  <si>
    <t>Analysis of Service Area Use</t>
  </si>
  <si>
    <t>Pass Through Calculations by Rev Code</t>
  </si>
  <si>
    <t>WO - Move Zip Code Query web app to production svr</t>
  </si>
  <si>
    <t>NDB, UHT</t>
  </si>
  <si>
    <t>Project Not OOM Approved</t>
  </si>
  <si>
    <t>Common Intake / Coverage Review Initial Deployment</t>
  </si>
  <si>
    <t>UBH OON Tiered UCR</t>
  </si>
  <si>
    <t>ANGELA BERGA</t>
  </si>
  <si>
    <t>Automated Customer Installation - Release 1</t>
  </si>
  <si>
    <t>AMS Facility Data Load</t>
  </si>
  <si>
    <t>Scott Ireland</t>
  </si>
  <si>
    <t>Manage the release of break/fix issues for Provider Systems.  Removed from workbook in April 2008</t>
  </si>
  <si>
    <t>Alliance PPO: Phase I, Claims Repricing Onboarding</t>
  </si>
  <si>
    <t>Not on Feed from Prompt</t>
  </si>
  <si>
    <t>GEOAccess, MRS, NDB, Network Match, Systems Integration</t>
  </si>
  <si>
    <t>Application Enablement, NDB</t>
  </si>
  <si>
    <t>B2B Provider Portal, EPD, Myuhc - Member Portal, NDB, Summary Check, TOPS, TOPS - FrontEnd &amp; Online, TOPS Reimbursement, Unet - Front End, Unet Batch</t>
  </si>
  <si>
    <t>ACIS Suite, CES, EPMO, Internal Integrations, NDB, ORBIT - Operational Reporting, Product Benefit Database - UT, Systems Integration, TOPS</t>
  </si>
  <si>
    <t>1 - Red</t>
  </si>
  <si>
    <t>Provider Directory Lookup for Claimlynx - B2B</t>
  </si>
  <si>
    <t>D6 - Gatekeeper - Break/Fix</t>
  </si>
  <si>
    <t>B2C to have NDB send daily batch files</t>
  </si>
  <si>
    <t xml:space="preserve">2007 Business Continuity Planning </t>
  </si>
  <si>
    <t>Notifications - Provider Search Favorites List</t>
  </si>
  <si>
    <t xml:space="preserve">Build B2B in Alpha, Bravo, Charlie, Master &amp; Zulu </t>
  </si>
  <si>
    <t>CC in est.  USEC impacted on cc.  CC need approval to charge time in TRS</t>
  </si>
  <si>
    <t>Moved to unscheduled per Mike G.  3/26.  In Strategy Council</t>
  </si>
  <si>
    <t>HPHC-ppoONE Metrics</t>
  </si>
  <si>
    <t xml:space="preserve">Gated HMO on UNET </t>
  </si>
  <si>
    <t xml:space="preserve"> Assumption is SPRF 4-11565 will be cancelled and all work will be done under 4-12672 pending agreement on split funding / capacity allocation arrangement.</t>
  </si>
  <si>
    <t>Feasibility Study for CES Return of PCP/RV Stop Dt</t>
  </si>
  <si>
    <t>EPDL OP ID</t>
  </si>
  <si>
    <t>Project descoped.  NDB testing only.</t>
  </si>
  <si>
    <t>IDT - Intelligent Desktop, NDB, TOPS</t>
  </si>
  <si>
    <t xml:space="preserve">Notification Case Routing </t>
  </si>
  <si>
    <t>Jeanette Klausing</t>
  </si>
  <si>
    <t>Derek Harris</t>
  </si>
  <si>
    <t>John Doe Cosmos Recovery</t>
  </si>
  <si>
    <t>LOVE JUDY</t>
  </si>
  <si>
    <t>Application Enablement Development, B2B Provider Portal, CES, Data Management, Enterprise Application Architecture, Foundation Frameworks, GFLX, NDB, Project Delivery (UHT), TOPS, UHT, Unet - Front End, Unet Batch, USEC - Universal Security Systems</t>
  </si>
  <si>
    <t>Enterprise Architecture, Information Risk Management, NDB, Network Services (UHT)</t>
  </si>
  <si>
    <t>MAHP - CDB Requirements</t>
  </si>
  <si>
    <t>Kirk Stapleton</t>
  </si>
  <si>
    <t>Gno Tenace</t>
  </si>
  <si>
    <t>OTS Security Authentication</t>
  </si>
  <si>
    <t>Return "Prof Fee" Providers for EDI Transactions</t>
  </si>
  <si>
    <t>Paul Zenner</t>
  </si>
  <si>
    <t>John Donkersloot</t>
  </si>
  <si>
    <t>Galaxy, NDB, ppoONE</t>
  </si>
  <si>
    <t>OI00116</t>
  </si>
  <si>
    <t>Being cancelled per D. Keith</t>
  </si>
  <si>
    <t>Non-ProTech/ProTech Prof Srvc Global Facility POS</t>
  </si>
  <si>
    <t>Unet 835 Release Date Change</t>
  </si>
  <si>
    <t>Rich Keane</t>
  </si>
  <si>
    <t>Gated Product on UNET/UHC Navigate - Core Apps</t>
  </si>
  <si>
    <t>EPMO, NDB, ppoONE, Provider Network Analysis UAT &amp; Tools, UFE, UHCTS-OXHP(Oxford)</t>
  </si>
  <si>
    <t>ACIS Suite, Atlas, B2B Provider Portal, Claims Highway, Claims QA, Claims QA - EDI, COMET Desktop.NET, COSMOS, COSMOS Medicaid Processing, Emptoris, Enterprise Information Management, Enterprise Letter Generation System, Enterprise Systems Planning Busine</t>
  </si>
  <si>
    <t>Will be done under admin - added per vicky - not in prompt</t>
  </si>
  <si>
    <t>Eratta Changes - no cc in prompt since we had unburned hours on the project</t>
  </si>
  <si>
    <t>Change Directory Indicator Flag</t>
  </si>
  <si>
    <t>ACIS Suite, CES, CFAS, Claims Highway, Consumer Database (CDB), Cross Application Testing, Enterprise Architecture, EPMO, eServices Billing, FTS Financial Tagging Service, Galaxy, NDB, OHCS - NextGen Data Integrations, Peoplesoft-GL, Pharmacy Platforms, P</t>
  </si>
  <si>
    <t>CC4 for testing only was cancelled and replaced with cc11</t>
  </si>
  <si>
    <t>Healthcare Alliance - Harvard Pilgrim, NDB, Provider Network Analysis UAT &amp; Tools, Systems Integration</t>
  </si>
  <si>
    <t>NDB, Provider Network Analysis UAT &amp; Tools, UFE</t>
  </si>
  <si>
    <t>Provider Demographics &amp; Reimbursement Phase 1</t>
  </si>
  <si>
    <t xml:space="preserve">Saint Mary's Hosp GEO Rpt </t>
  </si>
  <si>
    <t>Cynitha Middaugh</t>
  </si>
  <si>
    <t>9/2 this project was marked completed in prompt 
Per Bridget this project was put on hold 10/19/2010</t>
  </si>
  <si>
    <t>9/2/11 Marked completed in prompt - never sched for NDB</t>
  </si>
  <si>
    <t>9/2/2011 Per Sean only project def hours were burned so made no impact</t>
  </si>
  <si>
    <t>GPS/CDB interface to IKA (WellMed)</t>
  </si>
  <si>
    <t>8/25 NDB was not needed on this project
8/2 Project oom approved
Project still in estimating in prompt - added per Vicky</t>
  </si>
  <si>
    <t>8/25 NDB was not needed on this project
6/7/11 Project now oom approved in prompt
Project still in estimating in prompt - added per Vicky</t>
  </si>
  <si>
    <t>8/25 NDB was not needed on this project
8/15 Completed in prompt and per Mary Sue
Not OOM approved in Prompt yet</t>
  </si>
  <si>
    <t>8/25 NDB was not needed on this project
8/15 Project completed in prompt
Not OOM approved in Prompt yet          Placed  ON HOLD 7/13</t>
  </si>
  <si>
    <t xml:space="preserve">Application Enablement, CASP Webstrat-QCA, Claims Highway, Claims Inventory Navigator, Claims QA, COSMOS, CPW, EPMO, Galaxy, GGMAP, IDT - Intelligent Desktop, Integrated Service Experience Tool ISET, NDB, Network Technology &amp; Support, PAS - Examiner, PAS </t>
  </si>
  <si>
    <t xml:space="preserve">Application Enablement, BPID, CASP Webstrat-QCA, Claims Highway, Claims QA, Claims QA - EDI, COSMOS, CPW, Emptoris, Enterprise Information Management, EPMO, Galaxy, GGMAP, NDB, Network Technology &amp; Support, ORBIT - Operational Reporting, PAS - Navigator, </t>
  </si>
  <si>
    <t>CSS-B2X 2013B Release (PHS Migration)</t>
  </si>
  <si>
    <t>CDD, EPMO, Galaxy, NDB</t>
  </si>
  <si>
    <t xml:space="preserve">Facility Claim Editor </t>
  </si>
  <si>
    <t xml:space="preserve">Lee Newcomer </t>
  </si>
  <si>
    <t>B2B Provider Portal, B2C Provider Portal, CareOne, Claims QA - EDI, Consumer Database (CDB), EPMO, NDB, UHC C and S Business Requirements, UHC C and S Med Mgmt Web Applications</t>
  </si>
  <si>
    <t>NJ LTC Waiver Expansion</t>
  </si>
  <si>
    <t>Scott Waulters</t>
  </si>
  <si>
    <t>B2B Provider Portal, BH-Agate, BH-Clinical Applications, BH-Data Warehouses, BH-Elig/Benefits, BH-HP Compare, BH-Linx, BH-Liveandworkwell.com, BH-Mgmt and Planning, BH-ubhonline.com, Card Request System (CRS), CFAS, Claims QA, Claims QA - EDI, Consumer Da</t>
  </si>
  <si>
    <t>MA MME</t>
  </si>
  <si>
    <t>Diane Perry</t>
  </si>
  <si>
    <t>Michele Lepore</t>
  </si>
  <si>
    <t xml:space="preserve">Tracy Davidson </t>
  </si>
  <si>
    <t>Application Enablement, Audit Recovery Operations (ARO) Datamart, B2B Provider Portal, B2C Provider Portal, CareOne, Claims QA, Claims QA - EDI, Consumer Database (CDB), Contact Center Services, EPMO, ETS (Escalation Tracking System), Facets Alpha, FSDB -</t>
  </si>
  <si>
    <t xml:space="preserve">WI MME </t>
  </si>
  <si>
    <t>Kemmera Wilke</t>
  </si>
  <si>
    <t>Adjudipro, Application Enablement, Audit Recovery Operations (ARO) Datamart, B2B Provider Portal, B2C Provider Portal, CareOne, CFAS, Claims Highway, Claims QA, Claims QA - EDI, Consumer Database (CDB), Contact Center Services, COSMOS, COSMOS Medicaid Pro</t>
  </si>
  <si>
    <t>C&amp;S COSMOS Full Radiology Implementation</t>
  </si>
  <si>
    <t>C&amp;S CSP FACETS Full Radiology Implementation</t>
  </si>
  <si>
    <t>F2F - Delaware Migration</t>
  </si>
  <si>
    <t>F2F Michigan Migration</t>
  </si>
  <si>
    <t>SCOTT HENNESSEY</t>
  </si>
  <si>
    <t>Application Enablement, Audit Recovery Operations (ARO) Datamart, B2B Provider Portal, BH-EDI/Data Extracts, BH-Elig/Accum, Card Request System (CRS), Claims QA, Computer Services, Consumer Database (CDB), Contact Center Services, Cross Application Testin</t>
  </si>
  <si>
    <t>Application Enablement, Audit Recovery Operations (ARO) Datamart, B2B Provider Portal, CareOne, Claims QA, Claims QA - EDI, Consumer Database (CDB), Contact Center Services, EPMO, Facets Alpha, FSDB - Financial Summary Database (5087), FTS Financial Taggi</t>
  </si>
  <si>
    <t>Application Enablement, Audit Recovery Operations (ARO) Datamart, B2B Provider Portal, B2C Provider Portal, BH-Agate, BH-Clinical Applications, BH-Data Warehouses, BH-EDI/Data Extracts, BH-Elig/Benefits, BH-Facets - UBH, BH-HP Compare, BH-Linx, BH-Liveand</t>
  </si>
  <si>
    <t>ROSSANA SALVADORI</t>
  </si>
  <si>
    <t>A&amp;G Workflow &amp; Tracking System, Acquisition Integrations, AMC NE Data Warehouse, AmeriChoice, Application Enablement, Audit Recovery Operations (ARO) Datamart, B2B Provider Portal, B2C Provider Portal, BH-Clinical Applications, BH-Customer Reporting, BH-D</t>
  </si>
  <si>
    <t>AMS Staff Augmentation on UT Apps, Application Enablement, B2B Provider Portal, B2C Provider Portal, BH-Clinical Applications, BOSS, CBTS - Clinical Architecture, CCS-CCF, Consumer Database (CDB), Coordinated Care Management, CPAS, Customer Reporting eCR,</t>
  </si>
  <si>
    <t xml:space="preserve">4/15 Cancelled in Prompt </t>
  </si>
  <si>
    <t>CC3</t>
  </si>
  <si>
    <t>NDB's estimate in prompt is 1.30 pm's - requested cc to reduce</t>
  </si>
  <si>
    <t>4/18 Decreased estimate - not updated in prompt yet
updated per Liz due to decrease in cc 1</t>
  </si>
  <si>
    <t>OI00250</t>
  </si>
  <si>
    <t>OI00190</t>
  </si>
  <si>
    <t>OI00191</t>
  </si>
  <si>
    <r>
      <t xml:space="preserve">Should be cancelled.  Functionality will be delivered by SPRF 4-0803.  </t>
    </r>
    <r>
      <rPr>
        <b/>
        <sz val="8"/>
        <rFont val="Arial"/>
        <family val="2"/>
      </rPr>
      <t>CONFIRM NDB NOT IMPACTED AND MARK AS CANCELLED.</t>
    </r>
  </si>
  <si>
    <t>Duration</t>
  </si>
  <si>
    <t>Working
Date</t>
  </si>
  <si>
    <t>Requested
Date</t>
  </si>
  <si>
    <t>NDB impacted via CC01.</t>
  </si>
  <si>
    <t>Matt A Guisinger</t>
  </si>
  <si>
    <t>In Strategy Council. Will be cancelled.</t>
  </si>
  <si>
    <t>Empire Plan - Outpatient Surgical Locations Report</t>
  </si>
  <si>
    <t>UMR UB Claims Repricing Project</t>
  </si>
  <si>
    <t xml:space="preserve">APT, Atlas, CES, CFAS, Electronic Eligibility Management System (EEMS), FMR (Field Mgmt Reporting), GEFT - Global Electronic Funds Transfer, GFLX, GRDC - (Group Reporting Data Control), IDT - Intelligent Desktop, ISL (Individual Stop Loss), LCR, ORS, OTS </t>
  </si>
  <si>
    <t xml:space="preserve">UBH/ACN Product-Contract Data </t>
  </si>
  <si>
    <t>PHS Insurance Product Migration PHASE 1</t>
  </si>
  <si>
    <t>Moved to Dec at request of B2B</t>
  </si>
  <si>
    <t>Medica-PSIT 3 (Partner Specific Integration Test)</t>
  </si>
  <si>
    <t>NDB-Facets (long term solution; includes Unison)</t>
  </si>
  <si>
    <t>UMR Choice Repricing Addition</t>
  </si>
  <si>
    <t>Mark Garrity</t>
  </si>
  <si>
    <t>Computer Services, Emptoris, Enterprise Application Architecture, FMR (Field Mgmt Reporting), Galaxy, NDB, Summary Check, TOPS</t>
  </si>
  <si>
    <t>Employer eServices Link</t>
  </si>
  <si>
    <t>SB Design Pattern/Middle Tier Replacement</t>
  </si>
  <si>
    <t>8/25 NDB was not needed on this project
8/15 Project completed in prompt
Not OOM approved in Prompt yet</t>
  </si>
  <si>
    <t xml:space="preserve">8/25 NDB was not needed on this project
Project still in estimating in prompt </t>
  </si>
  <si>
    <t>8/25 Decreased the hours on gk but not yet in prompt from 9.24 to 3.71
Not oom approved yet - but funded - added per vicky</t>
  </si>
  <si>
    <t>8/26 Project going to be closed so program can regroup
Project still in estimating</t>
  </si>
  <si>
    <t>8/26 Project going to be closed so program can regroup
AO effort and will be allocated 300 hours as part of an “Enterprise Tech Practice” Admin bucket to charge time to - not in prompt</t>
  </si>
  <si>
    <t>8/26 NDB will not be needed on this porject</t>
  </si>
  <si>
    <t>Per Rev added Usec line with 1 pm until correct hours are determined  - USEC no longer needed - cancel 8/30</t>
  </si>
  <si>
    <t>9/2/11 NDB had no impact on this project</t>
  </si>
  <si>
    <t>AO effort and will be allocated 300 hours as part of an “Enterprise Tech Practice” Admin bucket to charge time to - not in prompt</t>
  </si>
  <si>
    <t>Orginial estimate is 2.70 however the sprf was funded for 1/2 so a cc will be entered to reduce and we are putting 1.35 on GK</t>
  </si>
  <si>
    <t>99 - New Add</t>
  </si>
  <si>
    <t>6 - No Impact</t>
  </si>
  <si>
    <t>B. Brown</t>
  </si>
  <si>
    <t>WellMed Florida Utilization Mangement Delegation</t>
  </si>
  <si>
    <t>Karen Altro</t>
  </si>
  <si>
    <t>Consumer Database (CDB), COSMOS, EPMO, I-CUE Core, NDB</t>
  </si>
  <si>
    <t>Health Wealth Dashboard - Pilot Product</t>
  </si>
  <si>
    <t>Winkler, Yasmine</t>
  </si>
  <si>
    <t>AO to identify Veterans Admin. Providers and preve</t>
  </si>
  <si>
    <t xml:space="preserve">Cascade Batch Automation                </t>
  </si>
  <si>
    <t>Mass Maintenance Batch Automation</t>
  </si>
  <si>
    <t xml:space="preserve">QTP - Autoflow Object Repository  </t>
  </si>
  <si>
    <t>4/18 Now oom approved
CC 5 - cc still in estimating - added per Vicky's ok</t>
  </si>
  <si>
    <t>4/22 Project is now oom approved in prompt
Project still in estimating in prompt</t>
  </si>
  <si>
    <t>Cancelled - Entire project will now be delivered in Q4.</t>
  </si>
  <si>
    <t>Added the Q3 release effort to Q4 so increased the effort from 51.79 ti 55.17</t>
  </si>
  <si>
    <t>4/22 Due to budget constraints this project was cancelled but completed in prompt so marked completed</t>
  </si>
  <si>
    <t>4/29- cancelled per Dulce- email on 4/29</t>
  </si>
  <si>
    <t>OI00209</t>
  </si>
  <si>
    <t>OI00210</t>
  </si>
  <si>
    <t>OI00228</t>
  </si>
  <si>
    <t>OI00233</t>
  </si>
  <si>
    <t>OI00243</t>
  </si>
  <si>
    <t>OI00209R1</t>
  </si>
  <si>
    <t>OI00210R1</t>
  </si>
  <si>
    <t>OI00233R1</t>
  </si>
  <si>
    <t>OI00243R1</t>
  </si>
  <si>
    <t>Credential Status Screen Updates</t>
  </si>
  <si>
    <t>Delegated Entity Eff. Date Logic</t>
  </si>
  <si>
    <t>Delegated Entity Name</t>
  </si>
  <si>
    <t>Cross Application Testing, Data Delivery System (DDS), Enterprise Architecture, NDB, Provider Network Analysis UAT &amp; Tools, Testing Environment and Integration, TOPS</t>
  </si>
  <si>
    <t>Cross Application Testing, Enterprise Architecture, NDB, UFE</t>
  </si>
  <si>
    <t>Resolve process for determining business requirements due date.  Have lookup based on project size, published dates for major releases, and Laura may have a third way.</t>
  </si>
  <si>
    <t>TBDERC01</t>
  </si>
  <si>
    <t>Claims Repricing - NDB Performance Enhancements</t>
  </si>
  <si>
    <t>COLLEEN MEAGHER</t>
  </si>
  <si>
    <t>Application &amp; Entitlement Review Proof-of-Concept</t>
  </si>
  <si>
    <t>ACIS Suite, CES, COSMOS, Data Management, EFS/CS IT PM, Electronic Eligibility Management System (EEMS), EPD/NDB, GFLX, IDT - Intelligent Desktop, Myuhc - Member Portal, ORBIT - Operational Reporting, PRIME, Product Benefit Database - UT, Program Definiti</t>
  </si>
  <si>
    <t>Research for Internet Directory Options</t>
  </si>
  <si>
    <t>Elizabeth Smith-Fries</t>
  </si>
  <si>
    <t>UnitedHealth Premium - Customer Svc Requirements</t>
  </si>
  <si>
    <t>Kathi Norman</t>
  </si>
  <si>
    <t>Enterprise Application Architecture, NDB</t>
  </si>
  <si>
    <t>USEC SOX Audit Reports</t>
  </si>
  <si>
    <t>Not OOM Approved. Business deferred to 2009</t>
  </si>
  <si>
    <t xml:space="preserve">ACIS Suite, Application Enablement, Atlas, B2B Provider Portal, B2C Provider Portal, CIX (Customer Installation Express), Claims Highway, Claims QA, CMA (Content Management Application), Consumer Account Management System (CAMS), Consumer Database (CDB), </t>
  </si>
  <si>
    <t>Administrative Simplification General A/O: UHC</t>
  </si>
  <si>
    <t>NHP/Facets System Enhancements &amp; OOA Wrap</t>
  </si>
  <si>
    <t>Christine Vall</t>
  </si>
  <si>
    <t>Kurt Johnson</t>
  </si>
  <si>
    <t>B2B Provider Portal, CES, COSMOS, EDI, EPD/NDB, UFE</t>
  </si>
  <si>
    <t>Requested project team provide overview of Gated HMO work to be peformed by Provider Systems in 2006.  20 pm being applied to R1 and 20 pm's to R2.  Project to be reconciled by project team</t>
  </si>
  <si>
    <t>2009 One Shot Requests</t>
  </si>
  <si>
    <t>ACIS Suite, CES, CES, Intelligent Desktop, COMET Desktop, COMET Desktop.NET, Contact Center Services, COSMOS, NDB, PRIME, Unified Application IVR</t>
  </si>
  <si>
    <t>TX Medicaid Provider Identifiers</t>
  </si>
  <si>
    <t>Jessica Ayers</t>
  </si>
  <si>
    <t xml:space="preserve">Alerts Admin Tool, Application Enablement, CES, COSMOS, Data Management, Desktop and Groupware Services, Enterprise Application Architecture, Enterprise Testing, EPMO, IDT - Intelligent Desktop, Internal Integrations, NDB, Network Services (UHT), ORBIT - </t>
  </si>
  <si>
    <t>Provider Capitation - Phase 1</t>
  </si>
  <si>
    <t>Orbit.  Uniprise Funded.  UT Ready to Schedule</t>
  </si>
  <si>
    <t>MAHP Add COE segment to EPDE NDB feed</t>
  </si>
  <si>
    <t>DBA's
(Data Mgmt)</t>
  </si>
  <si>
    <t>This release not needed.  Subsequent release in April.</t>
  </si>
  <si>
    <t>Implement Replication Technology for DDS App.</t>
  </si>
  <si>
    <t>Enterprise Application Architecture, Enterprise Information Management, GEOAccess, GPT - Configuration Management, GPT - Release Management, GPT eCommerce, GPT Enterprise QA, GPT Project Management Services, NDB, Provider Network Analysis UAT &amp; Tools, UHN</t>
  </si>
  <si>
    <t>Peter Ngin</t>
  </si>
  <si>
    <t>B2C Provider Portal, Computer Services, NDB</t>
  </si>
  <si>
    <t>CAT project to complete build of PRIME and require</t>
  </si>
  <si>
    <t>Payment Deductions from Standard Capitation Rate</t>
  </si>
  <si>
    <t>State of Minnesota Testing Support</t>
  </si>
  <si>
    <t>David Chenok</t>
  </si>
  <si>
    <t>ACIS Suite, BASICS, CES, CIX (Customer Installation Express), Data Management, EA Data Architecture, Galaxy, NDB, PCIS, PHS - ILIAD, PRIME, Technical Architecture Services, UPCT</t>
  </si>
  <si>
    <t>Gated HMO Design &amp; Development Phase IV</t>
  </si>
  <si>
    <t>B2C Provider Portal, COSMOS, NDB, Provider Network Analysis UAT &amp; Tools</t>
  </si>
  <si>
    <t>UHG Medica IRAAD Resolution for Q3 and Q4 2009</t>
  </si>
  <si>
    <t>Vincent Radinieri</t>
  </si>
  <si>
    <t>Pro/Tech Reimbursement pays more than Global Rate</t>
  </si>
  <si>
    <t>CBA required. Per Keith Ernst, project completing in June.  Testing support from SA's for Contract setup</t>
  </si>
  <si>
    <t>Claims Highway, Computer Services, Consumer Database (CDB), COSMOS, Enterprise Information Management, NDB, TOPS</t>
  </si>
  <si>
    <t>Facets Alpha, NDB, ppoONE, Provider Network Analysis UAT &amp; Tools, UFE</t>
  </si>
  <si>
    <t>Facets Alpha, iCES Clearinghouse, NDB, ppoONE, Provider Network Analysis UAT &amp; Tools, UFE</t>
  </si>
  <si>
    <t>Facets Alpha, iCES Clearinghouse, NDB, Network Technology &amp; Support, Ovations - iCES, ppoONE, Provider Network Analysis UAT &amp; Tools, UFE</t>
  </si>
  <si>
    <t>Facets Alpha, NDB, UHC C and S Facets-Interfaces-Detroit, UHC C and S Facets-Interfaces-Extensions-Pitt, UHC C and S IT PM</t>
  </si>
  <si>
    <t xml:space="preserve">ACIS Suite, B2C Provider Portal, CES, CIX (Customer Installation Express), Commercial Payment System (EPS), Data Management, ECap, EPMO, FSDB - Financial Summary Database (5087), NDB, PacifiCare Development, PRIME, RPS - Reserve Production System (5611), </t>
  </si>
  <si>
    <t>ECap, Enterprise Content Management and Architecture, Enterprise Information Management, NDB, PHS - Bottom Line, PHS - EDI, PHS - IFS (Integrated Financial System) Oracle Fin, Reimbursement Technology, UnitedHealth Group Print Services</t>
  </si>
  <si>
    <t>Application Enablement, Audit Recovery Operations (ARO) Datamart, BH-EDI/Data Extracts, BH-Elig/Accum, Card Request System (CRS), Claims QA, Computer Services, Consumer Database (CDB), Contact Center Services, COSMOS, Cross Application Testing, Enterprise</t>
  </si>
  <si>
    <t>B2B Provider Portal, B2C Provider Portal, Claims QA, COSMOS, Cross Application Testing, Enterprise EDI Technical Operations, EPMO, NDB, Network Technology &amp; Support, ppoONE, TOPS, UHC C and S Diamond-Diamond Interfaces, UHC C and S Facets-Interfaces-Exten</t>
  </si>
  <si>
    <t>Application Infrastructure Services, B2B Provider Portal, B2C Provider Portal, CES, COMCALC, COMET Desktop, Consumer Database (CDB), Contact Center Services, Electronic Eligibility Management System (EEMS), Employer Portal, FMR (Field Mgmt Reporting), Fou</t>
  </si>
  <si>
    <t>ACIS Suite, Application Infrastructure Services, B2B Provider Portal, B2C Provider Portal, CDD, CES, CFAS, COMCALC, COMET Desktop.NET, COSMOS, CTS - Common Tables System, Data Management, Electronic Eligibility Management System (EEMS), EPMO, FICS, FMR (F</t>
  </si>
  <si>
    <t>ACIS Suite, Adjudipro, Automated Underwriting, B2B Provider Portal, B2C Provider Portal, Bank Information System (BIS), BASICS, CDD, CES, CFAS, COMCALC, Commercial Payment System (EPS), Consumer Database (CDB), COSMOS, CPW, Definity Health App Suite, Eldo</t>
  </si>
  <si>
    <t>Kaja,</t>
  </si>
  <si>
    <t>AmeriChoice, Application Enablement, B2B Provider Portal, B2C Provider Portal, Claims Highway, Cross Application Testing, ECap, EPMO, Galaxy, IBAAG - BPST (Template updates and testing), Integrated Service Experience Tool ISET, NDB, Payment Engine, Provid</t>
  </si>
  <si>
    <t>Applications and Acquisitions (AAA), B2B Provider Portal, Claims Highway, COMET Desktop.NET, COSMOS, Cross Application Testing, Data Delivery System (DDS), Data Management, Definity Health App Suite, ELO Enterprise Letter Operations, Enterprise Architectu</t>
  </si>
  <si>
    <t>B2B Provider Portal, B2C Provider Portal, Claims Highway, Consumer Database (CDB), COSMOS, Cross Application Testing, Enterprise Letter Generation System, NDB, Portal Reporting, Testing Environment and Integration, TOPS, UFE</t>
  </si>
  <si>
    <t>Claims Highway, Cross Application Testing, Enterprise Letter Generation System, NDB, ppoONE, Reimbursement Technology, Testing Environment and Integration, TOPS</t>
  </si>
  <si>
    <t>Integrated Test Environment Build Out - Charlie</t>
  </si>
  <si>
    <t>Larry Lacombe</t>
  </si>
  <si>
    <t>M. Duhaime</t>
  </si>
  <si>
    <t>Replace Log Analyzer AO</t>
  </si>
  <si>
    <t>Cornerstone Infrastructure Set-up</t>
  </si>
  <si>
    <t>Susan Bellile</t>
  </si>
  <si>
    <t>Facility 84 Provider Type Resolution</t>
  </si>
  <si>
    <t>02-71206-000</t>
  </si>
  <si>
    <t>11-65180-000</t>
  </si>
  <si>
    <t>01-15500-000</t>
  </si>
  <si>
    <t>01-15500-012</t>
  </si>
  <si>
    <t>10-70830-000</t>
  </si>
  <si>
    <t>03-57310-002</t>
  </si>
  <si>
    <t>400051740A</t>
  </si>
  <si>
    <t>HCR-Exchanges(Prd/Ntw/Bill/Enrl/Prducr)</t>
  </si>
  <si>
    <t>RSASL-Navigate E2E Testing/Integrated UAT</t>
  </si>
  <si>
    <t>ACIS Suite, Application Enablement, Bank Information System (BIS), Computer Services, Consumer Database (CDB), Enterprise Application Architecture, Information Risk Management, Myuhc - Member Portal, NDB, OHCS - TCE, OptumHealth Bank - IT, TOPS</t>
  </si>
  <si>
    <t>Clinical Integration</t>
  </si>
  <si>
    <t>Jennifer Pinerski</t>
  </si>
  <si>
    <t>Gregg Grunewald</t>
  </si>
  <si>
    <t xml:space="preserve">AE Mainframe Services, Application Infrastructure Services, APT, Automated Underwriting, B2B Provider Portal, B2C Provider Portal, CDD, CES, CFAS, CMA (Content Management Application), COMCALC, COMET Desktop.NET, Commercial Payment System (EPS), Computer </t>
  </si>
  <si>
    <t>Pass Network Status to Hospital Comparison Tool</t>
  </si>
  <si>
    <t>FRP - Provider Data &amp; Reimbursement</t>
  </si>
  <si>
    <t>Nicole Cartwright</t>
  </si>
  <si>
    <t>AmeriChoice Self Service Solution</t>
  </si>
  <si>
    <t>Patricia Stream</t>
  </si>
  <si>
    <t>COSMOS, Emptoris, NDB</t>
  </si>
  <si>
    <t>Kelly Gilbertson</t>
  </si>
  <si>
    <t>diCarta v6.0 Upgrade Infrastructure Enhancements</t>
  </si>
  <si>
    <t>B2B Provider Portal, B2C Provider Portal, Data Management, NDB, ORBIT - Operational Reporting, Portal Reporting</t>
  </si>
  <si>
    <t>NDB impacted on cc #3</t>
  </si>
  <si>
    <t>Cynthia Collier</t>
  </si>
  <si>
    <t>PHP Michigan UB Claims Repricing Project</t>
  </si>
  <si>
    <t>Fix to NDB extract for NSD</t>
  </si>
  <si>
    <t>NDB Extracts to Ingenix - Move to Delta File</t>
  </si>
  <si>
    <t>Kelly Vavra</t>
  </si>
  <si>
    <t>CES, NDB</t>
  </si>
  <si>
    <t>Bill Guptail</t>
  </si>
  <si>
    <t>Reporting / Extract</t>
  </si>
  <si>
    <t>ACIS Suite, BASICS, CDD, CES, Data Delivery System (DDS), Data Management, eServices Billing, FSDB - Financial Summary Database (5087), Internal Integrations, NDB, PCIS, PRIME, Systems Integration, TOPS, UCAS - Unet Claim Accounting Sys (multiple apps), U</t>
  </si>
  <si>
    <t>B2B Provider Portal, B2C Provider Portal, CDD, Data Management, EDSS (COLD), EFS/CS IT PM, Enterprise Application Architecture, FMR (Field Mgmt Reporting), FSDB - Financial Summary Database (5087), Galaxy, NDB, ORBIT - Operational Reporting, OTS - Overpay</t>
  </si>
  <si>
    <t>NDB ORBIT TIN Change Report</t>
  </si>
  <si>
    <t>Lori Willard</t>
  </si>
  <si>
    <t>Data Management, NDB, ORBIT - Operational Reporting, TOPS, TOPS Reimbursement, UFE, UHT, Unet - Front End</t>
  </si>
  <si>
    <t>Centers of Excellence Gen 2 Analysis and Develop</t>
  </si>
  <si>
    <t>SE analysis for MAMSI Integration Project</t>
  </si>
  <si>
    <t>PDS Scrubbing Improvement</t>
  </si>
  <si>
    <t>OKSANA SOKOLOVSKY</t>
  </si>
  <si>
    <t>DARYL PELLINO</t>
  </si>
  <si>
    <t>CSS-B2C 2009B Release</t>
  </si>
  <si>
    <t>CAT Claims Regression / Automation support</t>
  </si>
  <si>
    <t>Integration - Neighborhood</t>
  </si>
  <si>
    <t>Unable to get Ovations to reply</t>
  </si>
  <si>
    <t>Mike McDonnell</t>
  </si>
  <si>
    <t>3/9 Cancelled in PROMT 2/18 - Per request from Linda Breault, return to requestor until business decisions regarding the direction of CSS Release 2 has been confirmed</t>
  </si>
  <si>
    <t xml:space="preserve">TCE Outpatient Costs for Hospitals </t>
  </si>
  <si>
    <t>GeoAccess Phase 2</t>
  </si>
  <si>
    <t>CMG 2008 Analysis Only</t>
  </si>
  <si>
    <t>AmeriChoice, CareOne, COSMOS, NDB</t>
  </si>
  <si>
    <t>UBH PTI by Network Contracting Organization EPDL</t>
  </si>
  <si>
    <t>Sunil Sachdev</t>
  </si>
  <si>
    <t>Sunil Sacdev</t>
  </si>
  <si>
    <t>UHG Transparency Program - Phase 1</t>
  </si>
  <si>
    <t xml:space="preserve">CS - eSync Portal (TPM)05-41000-000  </t>
  </si>
  <si>
    <t>Karl Ulfers</t>
  </si>
  <si>
    <t xml:space="preserve">NDB Modifier Exception Tbl Reporting for ppoONE </t>
  </si>
  <si>
    <t xml:space="preserve">Darla Haagensen </t>
  </si>
  <si>
    <t>TANYA RYLEE</t>
  </si>
  <si>
    <t>NDB, ORBIT - Operational Reporting, UFE</t>
  </si>
  <si>
    <t>UHC Online Address Deactivation Resolution</t>
  </si>
  <si>
    <t>Change NDB Oxford Provider feed to support UBH</t>
  </si>
  <si>
    <t>Dawn Bazarko</t>
  </si>
  <si>
    <t>HPHC2-DataSharing-MedImpact (Accumulators)</t>
  </si>
  <si>
    <t>CC38</t>
  </si>
  <si>
    <t>CC20</t>
  </si>
  <si>
    <t>Med Nec-Related Services Claim Processing</t>
  </si>
  <si>
    <t>Add requirements signed off flag to Gatekeeper and to Provider Council tab.</t>
  </si>
  <si>
    <t>PPI Cleanup</t>
  </si>
  <si>
    <t>Matt Norton</t>
  </si>
  <si>
    <t>Enhance Provider Selection Criteria</t>
  </si>
  <si>
    <t>Mark Gennerman/Giulia Pogers</t>
  </si>
  <si>
    <t>Plymouth Data Center Vital Record Analysis</t>
  </si>
  <si>
    <t>PHS Placeholder</t>
  </si>
  <si>
    <t>ACIS Suite, CES, Definity Health App Suite, Definity Health PM, EFS/CS IT PM, EPMO, GFLX, IBAAG - IT (System Changes), Myuhc - Member Portal, NDB, PRIME, Summary Check, Systems Integration, TOPS</t>
  </si>
  <si>
    <t>Application Enablement, Data Management, NDB, ORBIT - Operational Reporting</t>
  </si>
  <si>
    <t>E2E Emptoris NDB Integration Enhancements</t>
  </si>
  <si>
    <t>Jill Foucre</t>
  </si>
  <si>
    <t>EPD/NDB, Myuhc - Member Portal, Portal Reporting</t>
  </si>
  <si>
    <t>Check add to Master Project?</t>
  </si>
  <si>
    <t>CC02</t>
  </si>
  <si>
    <t>Mike Cautin/Jerry Knutson</t>
  </si>
  <si>
    <t>OI00127</t>
  </si>
  <si>
    <t>OI00127R1</t>
  </si>
  <si>
    <t>OHP Non-Par Pricing for Legacy Platforms</t>
  </si>
  <si>
    <t>Expanded searches, Incoming Accred File</t>
  </si>
  <si>
    <t>James Bogdan/Dan Sherred</t>
  </si>
  <si>
    <t>Acquisition Integrations, Applications Impacted Unknown, B2C Provider Portal, CES, Cross Application Testing, Employer Portal, Foundation Frameworks, GEOAccess, GeoAccess for UHC.Com, IBAAG - IT (System Changes), IDT - Intelligent Desktop, Integrated Serv</t>
  </si>
  <si>
    <t>EPD/NDB, PMW ( Provide Mgmt Workstation), TOPS, Tops, EPD</t>
  </si>
  <si>
    <t>iCES to Unet</t>
  </si>
  <si>
    <t>Hospital PPI feed and allow one set of rates for products</t>
  </si>
  <si>
    <t>EPD/NDB, NDB, Summary Check, TOPS, TOPS - FrontEnd &amp; Online, Unet Batch, Unet Claims, EPD, Galaxy, UNET online</t>
  </si>
  <si>
    <t>CPSA Black Box Release 2</t>
  </si>
  <si>
    <t>Network Database Phase 4 (Sunset EPD)</t>
  </si>
  <si>
    <t>CC010</t>
  </si>
  <si>
    <t>No code is being delivered into production for this</t>
  </si>
  <si>
    <t>PRIME 21 - Infrastructure Self / Split Funded Prod</t>
  </si>
  <si>
    <t>Per Bruce this has been taken off Gatekeeper</t>
  </si>
  <si>
    <t>B2C Provider Portal, ISEC (Internet Security Database), Myuhc - Member Portal, NDB, ORBIT - Operational Reporting, ORS, Portal Reporting, Unified Application IVR</t>
  </si>
  <si>
    <t>Alliance - DDS Recon - UP Source to Partner Target</t>
  </si>
  <si>
    <t>Alliance Data File Generation</t>
  </si>
  <si>
    <t>Laurie Wasserstein</t>
  </si>
  <si>
    <t>Need to determine what is left after R1.  TOPS has not committed to Oct release.  NDB needs to start work in May to make the Oct release</t>
  </si>
  <si>
    <t>myuhc Object Models - Consumer and Provider</t>
  </si>
  <si>
    <t>Parent/Child Fee Schedule One-Shot</t>
  </si>
  <si>
    <t>Level 3 - Update Splash Page - #195820</t>
  </si>
  <si>
    <t>WO NDB Investigate Best Apprach to Alias Cities</t>
  </si>
  <si>
    <t>All PHS on hold 1/15/07</t>
  </si>
  <si>
    <t>Requested Updates</t>
  </si>
  <si>
    <t>Did not make the list for TOPS for 2007 per D. Sullivan</t>
  </si>
  <si>
    <t>Non-par provider access to uhconline.com</t>
  </si>
  <si>
    <t>Orbit- Provider by DIV/panel, additional fields</t>
  </si>
  <si>
    <t>COSMOS, NDB, ORBIT - Operational Reporting</t>
  </si>
  <si>
    <t>MAHP Utilization Mgmt Data Sharing</t>
  </si>
  <si>
    <t>Application Enablement, B2B Provider Portal, NDB</t>
  </si>
  <si>
    <t>Laura Celentano</t>
  </si>
  <si>
    <t>Cathy Hanson</t>
  </si>
  <si>
    <t>Donna McCart</t>
  </si>
  <si>
    <t>Included new tab referencing the fields to D6- Gatekeeper</t>
  </si>
  <si>
    <t>NDB AMAV Table update - Add New Specialties</t>
  </si>
  <si>
    <t>CDD, COMET Desktop, COMET Desktop.NET, Foundation Frameworks, NDB, Product Benefit Database - UT, Summary Check, TCA, TOPS, TOPS, Galaxy, UNET Claims</t>
  </si>
  <si>
    <t>Price Par OP Facility Claims per Medicare APCs</t>
  </si>
  <si>
    <t>EPDL Cred- Delegated Entity File Format</t>
  </si>
  <si>
    <t>NDB Auto-Archive of Provider Data</t>
  </si>
  <si>
    <t>Data Management, EPD/NDB, Galaxy</t>
  </si>
  <si>
    <t>Enkata Application, IDT - Intelligent Desktop, NDB</t>
  </si>
  <si>
    <t>myuhc.com for SRS</t>
  </si>
  <si>
    <t>In-Network status for claims</t>
  </si>
  <si>
    <t xml:space="preserve">SAM Application Enhancement </t>
  </si>
  <si>
    <t>HIT Electronic Notifications</t>
  </si>
  <si>
    <t>Could be pushed out of June if required.</t>
  </si>
  <si>
    <t>Passport V2 Carry Over</t>
  </si>
  <si>
    <t>Application Enablement, CES, CMA (Content Management Application), Computer Services, COSMOS, Data Management, Definity Health Consumer Portal, Enterprise Application Security, Foundation Frameworks, GEFT - Global Electronic Funds Transfer, GFLX, IDT - In</t>
  </si>
  <si>
    <t>Contact Interaction Management System Evaluation</t>
  </si>
  <si>
    <t>Mike Sanderson</t>
  </si>
  <si>
    <t>Paul Mead</t>
  </si>
  <si>
    <t>Acquisition Integrations, NDB, Systems Integration</t>
  </si>
  <si>
    <t>Fee Schedule Practice Rewards</t>
  </si>
  <si>
    <t>2008 Funding issues</t>
  </si>
  <si>
    <t>Ready to schedule</t>
  </si>
  <si>
    <t xml:space="preserve">AmeriChoice, Application Enablement, B2B Provider Portal, B2C Provider Portal, COSMOS, Data Management, EA Data Architecture, Enterprise Application Architecture, EPMO, Foundation Frameworks, GPT Admin Platform Peradigm, HIPAA, NDB, Optum Infrastructure, </t>
  </si>
  <si>
    <t>Robert O Brooks</t>
  </si>
  <si>
    <t>Golden Rule - Provider Network Data</t>
  </si>
  <si>
    <t>NDB, ppoONE, Provider Network Analysis UAT &amp; Tools, UFE</t>
  </si>
  <si>
    <t xml:space="preserve">NPI Upload from NDB to NICE </t>
  </si>
  <si>
    <t>HPHC - Ongoing Ops Improvements - PMO Support</t>
  </si>
  <si>
    <t>JORDAN TAYLOR</t>
  </si>
  <si>
    <t>Joanne Houck</t>
  </si>
  <si>
    <t>Joanne Sigstad</t>
  </si>
  <si>
    <t>NDB, Provider Network Analysis UAT &amp; Tools, UHCTS-OXHP(Oxford)</t>
  </si>
  <si>
    <t>PHS Work Package 1 Rel 2 - PCP Call Service/Select</t>
  </si>
  <si>
    <t>Healthcare Alliance - Medica, NDB</t>
  </si>
  <si>
    <t>High priority for June.</t>
  </si>
  <si>
    <t>Par Hospital Report Fix</t>
  </si>
  <si>
    <t>ERC Placeholder</t>
  </si>
  <si>
    <t>COG Dec Resource Placeholder</t>
  </si>
  <si>
    <t>Replaces On-boarding Placeholder</t>
  </si>
  <si>
    <t>NDB, Provider Network Analysis UAT &amp; Tools, UFE, UHCTS-UMR-MWS(Midwest Security-Onalaska)</t>
  </si>
  <si>
    <t>Standardize One Shot Process</t>
  </si>
  <si>
    <t>Jim Congelton</t>
  </si>
  <si>
    <t>ST/ET Modifier Recognition &amp; Processing</t>
  </si>
  <si>
    <t>Bob Fredette</t>
  </si>
  <si>
    <t>Will pull red and yellows at the top of every release.  Should speed up review of projects with issues.</t>
  </si>
  <si>
    <t>- Sort by scheduled status, sherpa, priority and ready to schedule
- Sort by ready to schedule, work date
- Sort by unique identifier
- Sort by priority, by sherpa</t>
  </si>
  <si>
    <t>UHN Tech Lead</t>
  </si>
  <si>
    <t xml:space="preserve">NDB-EA Database Enhancements to Support Optum </t>
  </si>
  <si>
    <t>Funding authorized for OM.  Project not part of a release.  Start in May to be completed before Aug release</t>
  </si>
  <si>
    <t>Consumer Database (CDB) Release 1.2</t>
  </si>
  <si>
    <t>CORP1-Security-NDB Data Tracking</t>
  </si>
  <si>
    <t xml:space="preserve">Deductible Field Expansion </t>
  </si>
  <si>
    <t>KELLY JANDT</t>
  </si>
  <si>
    <t>Rob Warshaw</t>
  </si>
  <si>
    <t>ACIS Suite, Adjudipro, Application Development Repository, Application Enablement, Application Infrastructure Services, B2B Provider Portal, B2C Provider Portal, Bank Information System (BIS), Card Integration Platform (CIP), CES, COMCALC, COMET Desktop.N</t>
  </si>
  <si>
    <t>OI00123</t>
  </si>
  <si>
    <t>OI00129</t>
  </si>
  <si>
    <t>OI00123R1</t>
  </si>
  <si>
    <t>OI00129R1</t>
  </si>
  <si>
    <t>Avis Braschayko</t>
  </si>
  <si>
    <t>NDB not impacted per email in 5/23</t>
  </si>
  <si>
    <t>HIPAA 5010-UHC-835 RA</t>
  </si>
  <si>
    <t>UHG Medica IRAAD Resolution for Q1 &amp; Q2 2009</t>
  </si>
  <si>
    <t>Chad Walker</t>
  </si>
  <si>
    <t>Pre-Auth Table - Line Expansion</t>
  </si>
  <si>
    <t>iCES to UNET Release 3.0</t>
  </si>
  <si>
    <t>Tom O'Brien</t>
  </si>
  <si>
    <t>AmeriChoice, B2B Provider Portal, B2C Provider Portal, CareOne, Consumer Database (CDB), NDB, Portal Reporting, Provider Network Analysis UAT &amp; Tools</t>
  </si>
  <si>
    <t>NDB Feed Change</t>
  </si>
  <si>
    <t>Settlement Contract Repository</t>
  </si>
  <si>
    <t>Provider Timely Filing by Contract</t>
  </si>
  <si>
    <t>W/O: Update NBD pick logic for fee look-up - UHCO</t>
  </si>
  <si>
    <t>NDB WO - Provider Newletter Extract Updates</t>
  </si>
  <si>
    <t>UHT Disaster Recovery Planning</t>
  </si>
  <si>
    <t>On the Provider Council Unscheduled tab, need to reach agreement with Laura on who to calculate the working date.</t>
  </si>
  <si>
    <t>NDB Changes to Support AmeriChoice Providers</t>
  </si>
  <si>
    <t>Application Enablement, Computer Services, COSMOS, Enterprise Architecture, iLEAD, Integrated Service Experience Tool ISET, NDB, TOPS</t>
  </si>
  <si>
    <t>Rename tabs to coincide with new sequence.</t>
  </si>
  <si>
    <t>Application Enablement, B2C Provider Portal, Commercial Payment System (EPS), Data Management, Enterprise Application Architecture, EPMO, Foundation Frameworks, NDB, Summary Check, Systems Integration, UHG Enterprise Data Architecture, UHT, United Platfor</t>
  </si>
  <si>
    <t>Heritage Product in OH, GA and AR Provider Develop</t>
  </si>
  <si>
    <t>RSA - End-to-End Medical Necessity - Analysis Only</t>
  </si>
  <si>
    <t xml:space="preserve">ACIS Suite, B2C Provider Portal, Case Package, CDD, CES, COMET Desktop, COMET Rules, Contact Center Services, Data Management, EFS/CS IT PM, EPMO, eServices Billing, FMR (Field Mgmt Reporting), ID Cards, IDT - Intelligent Desktop, ISEC (Internet Security </t>
  </si>
  <si>
    <t>ACIS Suite, Application Enablement, B2B Provider Portal, B2C Provider Portal, Bank Information System (BIS), Card Integration Platform (CIP), CDD, CES, Contact Center Services, Data Management, Definity Health App Suite, Definity Health PM, EDSS (COLD), E</t>
  </si>
  <si>
    <t>NDB Unimpacted.  Reimpacted on CC#2 and unimpacted on cc6</t>
  </si>
  <si>
    <t>All-Inclusive Provider Flat Rate Reimbursement</t>
  </si>
  <si>
    <t xml:space="preserve">RSA - CA HMO Network </t>
  </si>
  <si>
    <t xml:space="preserve">Removed from Schedule.  Only Front Office books to this sprf.  These resources are not included in the total development FTE used for capacity and scheduling </t>
  </si>
  <si>
    <t>Enterprise Capitation Solution - Provider Phase II</t>
  </si>
  <si>
    <t>NDB COSMOS Feed Error Reduction</t>
  </si>
  <si>
    <t>PIT UNET 835 Corrections</t>
  </si>
  <si>
    <t>Medica - COB Calculations</t>
  </si>
  <si>
    <t>ACIS Suite, CDD, CES, FSDB - Financial Summary Database (5087), Galaxy, NDB, PRIME, SIFS, Summary Check, Systems Integration, Technical Architecture Services, TOPS, UCAS - Unet Claim Accounting Sys (multiple apps), UFE</t>
  </si>
  <si>
    <t xml:space="preserve"> Middle Tier change for Notification remark codes</t>
  </si>
  <si>
    <t>LYNN FRENZ</t>
  </si>
  <si>
    <t xml:space="preserve">ACIS Suite, Atlas, B2B Provider Portal, BASICS, CES, Contact Center Services, CTS - Common Tables System, Customer Financial Solutions Web-site for KA, Data Management, Employer Portal, eServices Billing, FSDB - Financial Summary Database (5087), Galaxy, </t>
  </si>
  <si>
    <t>ACIS Suite, Application Enablement, B2B Provider Portal, B2C Provider Portal, CDD, CES, CIX (Customer Installation Express), COMET Desktop.NET, Contact Center Services, COSMOS, CTS - Common Tables System, Data Management, Electronic Eligibility Management</t>
  </si>
  <si>
    <t>Move Old Version of PTI E/N Report into Production</t>
  </si>
  <si>
    <t>UHPD PAR Edit modification in DDB to NDB Feed</t>
  </si>
  <si>
    <t>UHPD: NDB derived designation values modification</t>
  </si>
  <si>
    <t>Medica EPDL Feed Update for Premium Designation</t>
  </si>
  <si>
    <t>Karen Bogden</t>
  </si>
  <si>
    <t>Requesting Monthly Physician Data</t>
  </si>
  <si>
    <t>ACIS Suite, Adjudipro, Application Enablement, CFAS, Contact Center Services, COSMOS, Data Management, eArt, EPMO, eServices Billing, Foundation Frameworks, FSDB - Financial Summary Database (5087), KARA, Myuhc - Member Portal, NDB, ORBIT - Operational Re</t>
  </si>
  <si>
    <t>ACIS Suite, Automated Customer Installation, B2B Provider Portal, B2C Provider Portal, CDD, CES, Contact Center Services, COSMOS, Data Management, Electronic Eligibility Management System (EEMS), Employer Portal, Enterprise Application Architecture, Enter</t>
  </si>
  <si>
    <t>Data Delivery System (DDS), GEOAccess, iCES Clearinghouse, NDB, Network Services (UHT), ORBIT - Operational Reporting, Portal Reporting, ppoONE, Systems Integration, TOPS, UHT</t>
  </si>
  <si>
    <t>COMET Desktop, COMET Desktop.NET, iCES Clearinghouse, IDT - Intelligent Desktop, NDB, ppoONE, Systems Integration, TOPS, United Platform Systems Analysis and Architecture</t>
  </si>
  <si>
    <t>iCES Clearinghouse, NDB, TOPS</t>
  </si>
  <si>
    <t>Work Order - AMS Addition of Choice Plus Providers</t>
  </si>
  <si>
    <t>HEDIS 2010 Board Certification</t>
  </si>
  <si>
    <t>MAMSI eliminate "retriggers" from export file</t>
  </si>
  <si>
    <t>Add?</t>
  </si>
  <si>
    <t>Data Management, NDB, ORBIT - Operational Reporting</t>
  </si>
  <si>
    <t>ACIS Suite, B2B Provider Portal, B2C Provider Portal, CES, Contact Center Services, IBAAG - IT (System Changes), NDB, PRIME, Systems Integration, TOPS, United Voice Portal Business</t>
  </si>
  <si>
    <t>CES, Contact Center Services, FSDB - Financial Summary Database (5087), IDT - Intelligent Desktop, NDB, UFE, United Voice Portal Business</t>
  </si>
  <si>
    <t>CES, Contact Center Services, COSMOS, FSDB - Financial Summary Database (5087), IDT - Intelligent Desktop, NDB, UFE</t>
  </si>
  <si>
    <t xml:space="preserve">Application Enablement, B2B Provider Portal, B2C Provider Portal, Card Integration Platform (CIP), CES, Contact Center Services, Data Management, Employer Portal, Enterprise Application Architecture, Enterprise Testing, EPMO, Foundation Frameworks, Myuhc </t>
  </si>
  <si>
    <t xml:space="preserve">ACIS Suite, Atlas, B2B Provider Portal, B2C Provider Portal, BASICS, CDD, CES, CMA (Content Management Application), Contact Center Services, Data Management, Electronic Eligibility Management System (EEMS), Employer Portal, eSBPP, eServices Billing, FMR </t>
  </si>
  <si>
    <t>Alliance</t>
  </si>
  <si>
    <t>ACIS Suite, Atlas, B2B Provider Portal, B2C Provider Portal, BASICS, Case Package, CDD, CES, COMET Rules, Contact Center Services, COSMOS, EFS/CS IT PM, Enterprise Architecture and Planning, EPD/NDB, EPMO, eServices Billing, FICS, FMR (Field Mgmt Reportin</t>
  </si>
  <si>
    <t>B2B Provider Portal, B2C Provider Portal, CES, COMET Desktop, COMET Desktop.NET, Contact Center Services, EFS/CS IT PM, Enterprise Testing, EPD/NDB, EPMO, FMR (Field Mgmt Reporting), IBAAG - IT (System Changes), IDT - Intelligent Desktop, Myuhc - Member P</t>
  </si>
  <si>
    <t>All Applications except COSMOS, Solutions Engineering, B2B Provider Portal, B2C Provider Portal, B2C Security, EFS/CS IT PM, EPD/NDB, Myuhc - Member Portal, No Applications Impacted, OPS Reporting, PMG (Program Management Group), Summary Check, TOPS, UFE,</t>
  </si>
  <si>
    <t>Lotus Notes NPI Data to NDB - One Shot</t>
  </si>
  <si>
    <t>In Estimating in Prompt</t>
  </si>
  <si>
    <t>CC16</t>
  </si>
  <si>
    <t>Capacity to track Captive resource separate from EE's and COG</t>
  </si>
  <si>
    <t>Stephen Maciosek</t>
  </si>
  <si>
    <t>Phil Buttress</t>
  </si>
  <si>
    <t>PDR - Gaps in Initiate Record Count</t>
  </si>
  <si>
    <t>Daid Wichmann</t>
  </si>
  <si>
    <t>no resources will be allocated beyond the one-shot queue holdback.  Need to account for deployment of new code for SOX</t>
  </si>
  <si>
    <t>Anne DeFusco</t>
  </si>
  <si>
    <t>Adjudipro, Application Enablement, ATG Automated Transaction Generator, Claims Highway, Claims QA, Claims QA - EDI, COMET Desktop.NET, Consumer Database (CDB), COSMOS, COSMOS Medicaid Processing, CPW, EPMO, Exodes, GGMAP, Health Statement Engine, iCES Cle</t>
  </si>
  <si>
    <t xml:space="preserve">Quality Operating System Solution Delivery </t>
  </si>
  <si>
    <t>Application Enablement, B2B Provider Portal, B2C Provider Portal, BPID, BPM CoE, BPM_PEGA, Claims Highway, Claims QA, COSMOS, Emptoris, Enterprise Document Management System (EDMS), Enterprise Information Management, Enterprise Systems Planning Business A</t>
  </si>
  <si>
    <t>Application Enablement, BPID, Claims Highway, Claims QA, COSMOS, CPW, EPMO, GGMAP, NDB, PAS - Examiner, PAS - Navigator, PAS - Small Projects, Physician Pricing Model (PPM), ppoONE, UNO/UIS</t>
  </si>
  <si>
    <t>Application Enablement, BPID, Claims Highway, Claims QA, COSMOS, CPW, Emptoris, Enterprise Information Management, EPMO, GGMAP, Healthcare Alliance - Medica, Hospital Pricing Model (HPM), NDB, Network Technology &amp; Support, PAS - Small Projects, Pool Ledge</t>
  </si>
  <si>
    <t>Computer Services, Enterprise Decomm Architecture, EPMO, IT Service Management, NDB, SSS Decommissioning CoE, TOPS, UHCTS-UMR Portal, UHCTS-UMR-WAU(Wausau), UHG IT Testing Center of Excellence</t>
  </si>
  <si>
    <t>Claims QA, COSMOS, Emptoris, Enterprise Information Management, EPMO, NDB, PAS - Navigator, PAS - Small Projects, ppoONE, QMO - Quality Management Organization, UHN Reporting Database, Unified Data Warehouse (UDW)</t>
  </si>
  <si>
    <t>10-71095-000</t>
  </si>
  <si>
    <t>Planview Work ID</t>
  </si>
  <si>
    <t>J</t>
  </si>
  <si>
    <t>Application Enablement, B2C Provider Portal, BH-Facets - UBH, BH-Liveandworkwell.com, BPID, CareOne, Computer Services, Corporate Payment Services Applications, Emptoris, Enterprise Application Architecture, Enterprise Information Management, Enterprise S</t>
  </si>
  <si>
    <t>NICE Oklahoma Migration</t>
  </si>
  <si>
    <t>2012 NDB Provider Pick Research Analysis Only</t>
  </si>
  <si>
    <t>COE enhancements to Myuhc.com</t>
  </si>
  <si>
    <t>Bill Whitely</t>
  </si>
  <si>
    <t>B2B Provider Portal, CES, EPD/NDB, ISEC (Internet Security Database), Myuhc - Member Portal, Portal Reporting, UHC.COM</t>
  </si>
  <si>
    <t>NDB Data Cleanup to help UFE Selection</t>
  </si>
  <si>
    <t>NDB New Provider Deactivation/Reactivation Edits</t>
  </si>
  <si>
    <t>Read Only Access to NDB Data</t>
  </si>
  <si>
    <t>Bryan Morgenthaler, James Handlan, Steve Mueller</t>
  </si>
  <si>
    <t>Center of Excellence (COE) indicator in NDB</t>
  </si>
  <si>
    <t>kirk stapleton/EdNovinksy</t>
  </si>
  <si>
    <t>Reporting for EPD proc code file</t>
  </si>
  <si>
    <t>CDD, Data Management, EPD/NDB, NDB, ORBIT - Operational Reporting</t>
  </si>
  <si>
    <t>DRG Strategist on Unet</t>
  </si>
  <si>
    <t xml:space="preserve">Splitting of Choice Internet Delivery System </t>
  </si>
  <si>
    <t>CES, EPD/NDB, ID Cards, Myuhc - Member Portal, NDB, No Applications Impacted, Online Provider Directory, Unified Application IVR</t>
  </si>
  <si>
    <t>UPIN from NDB to Galaxy</t>
  </si>
  <si>
    <t>EPD/NDB, EPMO</t>
  </si>
  <si>
    <t>Electronic Provider Data Load-SUNY</t>
  </si>
  <si>
    <t>NDB Views into Web Application</t>
  </si>
  <si>
    <t>Tim Kaja/James Handlan/Bryan Morgenthaler</t>
  </si>
  <si>
    <t>If the integrated release ends up being in March, this project will have to slide to March</t>
  </si>
  <si>
    <t>United eServices Development - Release 8</t>
  </si>
  <si>
    <t>Claim 338</t>
  </si>
  <si>
    <t>Building Permit - UBH facets implementation</t>
  </si>
  <si>
    <t>Ovations 50-64 Ind. product, SourceCorp vendor</t>
  </si>
  <si>
    <t>Guinan, Kathy</t>
  </si>
  <si>
    <t>Brendan Dolan</t>
  </si>
  <si>
    <t>HEDIS 2008 Board Certification and Turnover Report</t>
  </si>
  <si>
    <t>United Essentials - Strategy and Architecture</t>
  </si>
  <si>
    <t>ERC Release 1.3 Analysis</t>
  </si>
  <si>
    <t xml:space="preserve">ACIS Suite, B2B Provider Portal, B2C Provider Portal, BASICS, CDD, CES, Contact Center Services, Enterprise Application Architecture, EPMO, eServices Billing, FMR (Field Mgmt Reporting), FSDB - Financial Summary Database (5087), Galaxy, GFLX, NDB, PRIME, </t>
  </si>
  <si>
    <t>10/11/12 NDB unimpacted in prompt.</t>
  </si>
  <si>
    <t xml:space="preserve">10/11/12 Project now cancelled in prompt. </t>
  </si>
  <si>
    <t>Provider Reimbursement Modernization – Phase I</t>
  </si>
  <si>
    <t>10/11 Reduced estimate from .27 to .11 in DE CC3.  
CC 2</t>
  </si>
  <si>
    <t xml:space="preserve">10/11/12 The business cancelled CC1  in prompt.  </t>
  </si>
  <si>
    <t xml:space="preserve">10/11/12 NDB unimpacted in prompt. </t>
  </si>
  <si>
    <t>10/11 Per Janine estimate adjusted from 102.94 to 110.9.
9/17 Project now BGE approved in prompt. 
9/10/12 Tricare being broken down into more releases, therefore the estimate for November has changed. 
8/3 BGE split between Q4 12 and Q1 13 - project not bge approved yet in prompt</t>
  </si>
  <si>
    <t>10/11 Per Janine estimate adjusted from 15.44 to 15.33.  
9/27 Breakout change per Vicky for December increase.  
9/10/12 Estimate part of bge</t>
  </si>
  <si>
    <t xml:space="preserve">10/11/12 Added a line to show the deployment, but effort completed in September.  </t>
  </si>
  <si>
    <t xml:space="preserve">10/11/12 Added a line to show the deployment, but effort completed in September.   
</t>
  </si>
  <si>
    <t xml:space="preserve">
5/25 Per Mel reduced  BGE in Aug  to 103 and moved 6 pm's to Sept for UDW effort</t>
  </si>
  <si>
    <t xml:space="preserve">10/11/12 For oneshot and will process as a work order.  </t>
  </si>
  <si>
    <t xml:space="preserve">Peter Ross- RM   </t>
  </si>
  <si>
    <t>10-00000-155</t>
  </si>
  <si>
    <t>10-00000-157</t>
  </si>
  <si>
    <t>10/17 Project now BGE Approved in prompt.  
10/4 Estimate increased from 120 to 123.  
9/10/12 Reduced estimate from 129 to 120 per CC1. 
8/24 Split BGE estimate between 2 reelases so this one reduced from 184.51 to 129
8/10 BGE increased to 184.51 from 143.36
5/25 Updated est from 112.51 to 143.36 per revised bge
5/11 Updated est to 112.51 due to revised bge
Project still in estimating</t>
  </si>
  <si>
    <t xml:space="preserve">10/17 Project now BGE Approved in prompt.  
10/11/2012 Cathy is working on the split and will get back to us.  </t>
  </si>
  <si>
    <t>B2B Provider Portal, Claim Work DIstribution (CWD), Claims Highway, Claims QA, Claims QA - EDI, COMET Desktop.NET, Enterprise Systems Planning Business Architecture, EPMO, GGMAP, NDB, ORBIT - Operational Reporting, Payment Engine, ppoONE, TOPS, UFE, Unifi</t>
  </si>
  <si>
    <t>Performance Measurement Program - PCPI</t>
  </si>
  <si>
    <t>TouchPoint Release 2-Scheduling &amp; Registration</t>
  </si>
  <si>
    <t>FITZPATRICK ELIZABETH</t>
  </si>
  <si>
    <t>Application Enablement, BPID, BPM CoE, Connected Care (TeleHealth), COSMOS, eHealth Technology Solutions, Enterprise Application Architecture, EPMO, Information Risk Management, Innovation Delivery Center, NDB, ORS, PHS - NICE, UHC C and S Business Requir</t>
  </si>
  <si>
    <t>TouchPoint Release 3 - Claim Management</t>
  </si>
  <si>
    <t>Heidi Stern</t>
  </si>
  <si>
    <t>5/2 Cancelled in Prompt</t>
  </si>
  <si>
    <t>Per Dulce on 5/6/11- moved to Q1A 2012. (hid record on D5)</t>
  </si>
  <si>
    <t>2011 EPDL KTLO Shared Provider</t>
  </si>
  <si>
    <t>Adjudipro, ATG Automated Transaction Generator, BPID, CFAS, Claims Highway, COSMOS, CPW, Cross Application Testing, EPMO, Galaxy, GPT - Configuration Management, GPT - Release Management, iCES Clearinghouse, iLEAD, Integrated Service Experience Tool ISET,</t>
  </si>
  <si>
    <t>B2B Provider Portal, B2C Provider Portal, BH-Facets - UBH, BH-Mgmt and Planning, CareOne, Claims Highway, Consumer Database (CDB), COSMOS, CPW, Enterprise Information Management, EPMO, FSDB - Financial Summary Database (5087), Galaxy, GPS, GPT - Configura</t>
  </si>
  <si>
    <t>B2C Provider Portal, Enterprise EDI Technical Operations, Enterprise Information Management, EPMO, Integrated Service Experience Tool ISET, Myuhc - Member Portal, NDB, Network Technology &amp; Support, OHCS - HAZ Portal, ppoONE, TOPS, UFE</t>
  </si>
  <si>
    <t xml:space="preserve">WO Expand the USEC FMR USER Report – SAS70 </t>
  </si>
  <si>
    <t>SCS</t>
  </si>
  <si>
    <t>Optum</t>
  </si>
  <si>
    <t>URN</t>
  </si>
  <si>
    <t>HSG</t>
  </si>
  <si>
    <t>OptumHealth Care Solutions</t>
  </si>
  <si>
    <t>Care Solutions</t>
  </si>
  <si>
    <t xml:space="preserve">OptumHealth Financial Services </t>
  </si>
  <si>
    <t>11/17 - cancelled in prompt 11/4/11</t>
  </si>
  <si>
    <t>11/18 Closed with No -Impact
9/16 Per Hameed updated effort from .60 to .77
9/2 Per Rick reduced estimate from 1.30 to .6
7/6 Moved from 8/13 to 11/12</t>
  </si>
  <si>
    <t>No cc added to prompt for this</t>
  </si>
  <si>
    <t xml:space="preserve">UDW Strategic Sourcing Planning </t>
  </si>
  <si>
    <t>Strategic Initiatives</t>
  </si>
  <si>
    <t>11/18 - 0.04</t>
  </si>
  <si>
    <t>OI00292</t>
  </si>
  <si>
    <t>OI00292R1</t>
  </si>
  <si>
    <t>CSP Facets Non-PCP Provider Status</t>
  </si>
  <si>
    <t>Estimate reduced in CC 1 in prompt</t>
  </si>
  <si>
    <t>11/23 Project oom approved</t>
  </si>
  <si>
    <t>Gabe Enabore</t>
  </si>
  <si>
    <t>Electronic Group returns for NICE</t>
  </si>
  <si>
    <t>SANDRA MAULDEN</t>
  </si>
  <si>
    <t>IBM FileNet, NDB, PHS - EDI, PHS - NICE</t>
  </si>
  <si>
    <t>UHC Clinical Edit &amp; Pricing Solution-URV Heritage</t>
  </si>
  <si>
    <t>Molly Knorr &amp; Kathy Learst</t>
  </si>
  <si>
    <t>Medica - Provider Portal Hybrid Solution</t>
  </si>
  <si>
    <t>MAMSI Repricing Access - HMO APC contracts (UBs)</t>
  </si>
  <si>
    <t>In IT Leadership Estimate Review</t>
  </si>
  <si>
    <t>Medica Notification Logic, RC change, API enhance</t>
  </si>
  <si>
    <t>Diance Schofield</t>
  </si>
  <si>
    <t>Timely Filing One-Shot</t>
  </si>
  <si>
    <t>Auto-Assign Correct IPA for New/Migrated business</t>
  </si>
  <si>
    <t>Patrick Stroh</t>
  </si>
  <si>
    <t>CORP1-Callserv-Call and Service</t>
  </si>
  <si>
    <t>Steve Auerback</t>
  </si>
  <si>
    <t>UCFS Payment Processing and Reconciliation Service</t>
  </si>
  <si>
    <t xml:space="preserve">Add expansion area to public website </t>
  </si>
  <si>
    <t>Cognizant support of DDS in Dec before roll-off from NDB</t>
  </si>
  <si>
    <t>Consumer Experience - Health Advisor Desktop R2</t>
  </si>
  <si>
    <t>OI00104</t>
  </si>
  <si>
    <t xml:space="preserve">Emptoris Batch Automation - Phase II (UNET) </t>
  </si>
  <si>
    <t xml:space="preserve">FSLA Automation Updates  </t>
  </si>
  <si>
    <t>EDI 278 X12 Notification Implementation Phase 1.5</t>
  </si>
  <si>
    <t>NPV
(000's)</t>
  </si>
  <si>
    <t>N/A</t>
  </si>
  <si>
    <t>ACIS Suite, Application Enablement, CDD, CES, Consumer Database (CDB), Employer Portal, Enterprise EDI Technical Operations, Enterprise Product Planning &amp; Architecture (EPPA), Enterprise Technical Practices PMO, EPMO, eServices Billing, Integrated Service</t>
  </si>
  <si>
    <t>Improve Pricing TAT between UMR Wausau and UHN</t>
  </si>
  <si>
    <t>ACIS Suite, B2B Provider Portal, B2C Provider Portal, CCS-CCF, CES, CMA (Content Management Application), Consumer Database (CDB), Contact Center Services, COSMOS, Data Delivery System (DDS), Electronic Eligibility Management System (EEMS), Enterprise Arc</t>
  </si>
  <si>
    <t>ACIS Suite, Acquisition Integrations, Application Enablement, Applications Impacted Unknown, B2B Provider Portal, B2C Provider Portal, CareOne, CCS-CCF, CES, COMET Desktop.NET, Commercial Payment System (EPS), Consumer Account Management System (CAMS), Co</t>
  </si>
  <si>
    <t>Enterprise Solutions, EPMO, IBM FileNet, NDB, PacifiCare Development, PHS - Bottom Line, PHS - EDI, PHS - QicLink/ClaimExchange, ppoONE, Systems Integration, UFE</t>
  </si>
  <si>
    <t>ACIS Suite, Application Enablement, B2B Provider Portal, B2C Provider Portal, BASICS, CDD, CES, CIX (Customer Installation Express), COMET Desktop.NET, Contact Center Services, Cross Application Testing, CTS - Common Tables System, Data Delivery System (D</t>
  </si>
  <si>
    <t>ACIS Suite, Adjudipro, Application Enablement, ATG Automated Transaction Generator, B2B Provider Portal, B2C Provider Portal, BPID, Business Intelligence &amp; Data Management, Business Intent Certification Tool (BIC), CareOne, CareOne ODS, CBTS - Clinical Ar</t>
  </si>
  <si>
    <t>E&amp;I HCR- Admin.Simplif (HPID) RSA A/O Phase-1</t>
  </si>
  <si>
    <t>Neil Sinclair</t>
  </si>
  <si>
    <t>HIPAA 5010 B2B rejection of 4010 trans. in 2012</t>
  </si>
  <si>
    <t>B2B Provider Portal, B2C Provider Portal, EPMO, GGMAP, HIPAA, NDB, ppoONE, UFE</t>
  </si>
  <si>
    <t>Transparency 1/1 Release</t>
  </si>
  <si>
    <t>Centralization of HSD tool</t>
  </si>
  <si>
    <t>Tobey Klaus</t>
  </si>
  <si>
    <t>NDB, Network Technology &amp; Support</t>
  </si>
  <si>
    <t>Medica ISET Q3 Project</t>
  </si>
  <si>
    <t>AmeriChoice, Application Enablement, B2B Provider Portal, B2C Provider Portal, CareOne, CCS-CCF, CES, CMA (Content Management Application), Computer Services, Consumer Database (CDB), COSMOS, Cross Application Testing, Enterprise Application Architecture,</t>
  </si>
  <si>
    <t>BH-Facets - UBH, BH-Mgmt and Planning, BH-PBH Facets, BH-Shared Components, BPM_PEGA, COSMOS, EPMO, NDB, OptumHealth Financial Services Architecture, OptumHealth Segment Architecture - OHBS</t>
  </si>
  <si>
    <t>Application Enablement, B2B Provider Portal, Business Intent Certification Tool (BIC), Claims Highway, Claims QA, COSMOS, Cross Application Testing, Enterprise Application Architecture, Enterprise EDI Technical Operations, Enterprise Information Managemen</t>
  </si>
  <si>
    <t>Enterprise EDI Technical Operations, Enterprise Product Planning &amp; Architecture (EPPA), EPMO, Facets Alpha, Facets Solution Group, FSDB - Financial Summary Database (5087), NDB, Network Technology &amp; Support, PeopleSoft General Ledger, ppoONE, UFE</t>
  </si>
  <si>
    <t>B2B Provider Portal, B2C Provider Portal, BH-Elig/Accum, CareOne, Claims QA, Consumer Database (CDB), COSMOS, COSMOS Medicaid Processing, Enterprise EDI Business Solutions, EPMO, FSDB - Financial Summary Database (5087), FTS Financial Tagging Service, HAR</t>
  </si>
  <si>
    <t>Application Enablement, B2B Provider Portal, Claims Highway, Claims QA, Computer Services, Consumer Database (CDB), Contact Center Services, Cross Application Testing, Enterprise EDI Business Solutions, EPMO, HIPAA, IBM FileNet, Ingenix EDI Solutions, NDB</t>
  </si>
  <si>
    <t>COSMOS, EPMO, Facets Alpha, NDB, Network Technology &amp; Support, PHS - NICE, TOPS, UHCTS-UMR EDI Services, UHCTS-UMR-MWS(Midwest Security-Onalaska), UHCTS-UMR-WAU(Wausau)</t>
  </si>
  <si>
    <t>6/27 Cancelled in Prompt 6/21/11</t>
  </si>
  <si>
    <t>6/27 Moved to unscheduled 
CC1- Per emails on 6/27 to mark as complete and remove from GK- it may resurface as a small effort in 2012</t>
  </si>
  <si>
    <t>Support Only</t>
  </si>
  <si>
    <t>Proj comp in Prompt 3/4/2011</t>
  </si>
  <si>
    <t>Proj comp in Prompt without  USEC 3/4/11</t>
  </si>
  <si>
    <t>6/17/</t>
  </si>
  <si>
    <t>10/11010</t>
  </si>
  <si>
    <t>7/1 Un-impacted on project
6/7/11 CC is now scheduled in prompt
CC22 - cc still in estimating</t>
  </si>
  <si>
    <t>7/1 Un-impacted on project
CC22 - cc still in estimating</t>
  </si>
  <si>
    <t>OHBS MNAUC 270/271 5010</t>
  </si>
  <si>
    <t>BH-Facets - UBH, Enterprise Information Management, EPMO, NDB</t>
  </si>
  <si>
    <t>OneHealthPort SSO to UHCOnline</t>
  </si>
  <si>
    <t>Barbara Chandler</t>
  </si>
  <si>
    <t xml:space="preserve">HPHC Platform Based Joint Venture </t>
  </si>
  <si>
    <t>HPHC Pricing for United Platform Based Business</t>
  </si>
  <si>
    <t>NICE Narrow Networks Phase 2</t>
  </si>
  <si>
    <t>Mark Ochal</t>
  </si>
  <si>
    <t>A&amp;G Workflow &amp; Tracking System, ACIS Suite, Application Enablement, Atlas, B2B Provider Portal, B2C Provider Portal, BPID, Capitation - Business Analysis, CareOne, Claims Highway, Claims QA, COMET Desktop.NET, Consumer Account Management System (CAMS), Co</t>
  </si>
  <si>
    <t>7/13 - Now oom approved
Not oom approved yet -  added per vicky</t>
  </si>
  <si>
    <t>Per 7/18 email- NDB unimpacted on request</t>
  </si>
  <si>
    <t>Jason Bornholdt</t>
  </si>
  <si>
    <t>CES, Claims Highway, Computer Services, Consumer Database (CDB), COSMOS, Enterprise Information Management, EPMO, NDB, Payment Engine, PHS - NICE, Summary Check, TOPS</t>
  </si>
  <si>
    <t>ACIS Suite, Application Enablement, APT, Atlas, Automated Underwriting, B2B Provider Portal, B2C Provider Portal, Bank Information System (BIS), BASICS, BlueStar (AUP), Card Integration Platform (CIP), CareOne, CareOne ODS, CCS-CCF, CDD, CES, CIX (Custome</t>
  </si>
  <si>
    <t>USEC not needed.  Being consolidated into 4-13210</t>
  </si>
  <si>
    <t>PHS - UBH Network Integration</t>
  </si>
  <si>
    <t>CORP1-Provider Network Directory Table Extract</t>
  </si>
  <si>
    <t>Robert King, MD</t>
  </si>
  <si>
    <t>HIPAA 5010-UHC-270/271 Eligibility</t>
  </si>
  <si>
    <t>HIPAA 5010-UHC-276/277 Calims Inquiry</t>
  </si>
  <si>
    <t>HIPAA 5010-UHC-278 Auth &amp; Referral</t>
  </si>
  <si>
    <t xml:space="preserve">HIPAA 5010-UHC-834 Enrollment </t>
  </si>
  <si>
    <t>Shared Services Model</t>
  </si>
  <si>
    <t>Due to short notification, miminal admin support provided to meeting project deadlines</t>
  </si>
  <si>
    <t>Ingenix</t>
  </si>
  <si>
    <t>Emptoris, NDB, USEC - Universal Security Systems</t>
  </si>
  <si>
    <t>HCA-DataSharing Data Exchange Platform Analysis</t>
  </si>
  <si>
    <t>Alicia Durdahl</t>
  </si>
  <si>
    <t>B2B Provider Portal, B2C Provider Portal, COSMOS, EPD/NDB</t>
  </si>
  <si>
    <t>Unkown</t>
  </si>
  <si>
    <t>Application Enablement, COMET Desktop.NET, COSMOS, Data Management, Desktop and Groupware Services, EA Data Architecture, EPMO, Foundation Frameworks, NDB, ORBIT - Operational Reporting, ppoONE, TOPS, USEC - Universal Security Systems</t>
  </si>
  <si>
    <t>Global Solutions Claim Payment - Q4 2010</t>
  </si>
  <si>
    <t>Steven Kmoch</t>
  </si>
  <si>
    <t>Ori Karev</t>
  </si>
  <si>
    <t>Must be delived with 4-8265 cc11 and before or with 4-12830.  LD Approved Status</t>
  </si>
  <si>
    <t>Application Infrastructure Services, B2B Provider Portal, Commercial Payment System (EPS), COSMOS, EFS/CS IT PM, Enterprise Testing, EPMO, HIPAA, NDB, PROMPT, Railroad, Summary Check, TOPS, UDP, UFE</t>
  </si>
  <si>
    <t>Application Enablement, Commercial Payment System (EPS), Computer Services, Data Management, EA Data Architecture, Enterprise Architecture, NDB, OptumHealth Bank - IT, OptumHealth Financial Services Architecture, ORBIT - Operational Reporting, Systems Int</t>
  </si>
  <si>
    <t>Enterprise Information Management, EPMO, NDB, Provider Network Analysis UAT &amp; Tools, UHCTS-OXHP(Oxford)</t>
  </si>
  <si>
    <t>EPDE Enhancements URV</t>
  </si>
  <si>
    <t>Sally Verrelli</t>
  </si>
  <si>
    <t>JDHE Scope Change for EPDE Feed</t>
  </si>
  <si>
    <t>Brett Turnquist</t>
  </si>
  <si>
    <t>David Shapiro</t>
  </si>
  <si>
    <t>Mike Rossi</t>
  </si>
  <si>
    <t>Steve Kooren</t>
  </si>
  <si>
    <t>Empire Plan-Utilize Ingenix data i/o Redbook Data</t>
  </si>
  <si>
    <t>Handicap Access Field for Paper Directories</t>
  </si>
  <si>
    <t>UHI Expatriate Product Creation</t>
  </si>
  <si>
    <t xml:space="preserve"> AmC Wisconsin CareOne Clinical Migration </t>
  </si>
  <si>
    <t>PTE NDB Table TIN Exclusion/Inclusion Fix</t>
  </si>
  <si>
    <t>James Congleton</t>
  </si>
  <si>
    <t>COSMOS, EPD/NDB, Myuhc - Member Portal, Summary Check</t>
  </si>
  <si>
    <t>UBH JRS ProvNet to UNet</t>
  </si>
  <si>
    <t>Jeffrey Francis</t>
  </si>
  <si>
    <t>Change SLDC lable to Gatekeeper on the Master Project tab (see cross-check section).</t>
  </si>
  <si>
    <t>PPII - Security - Security QuickWins - R.1</t>
  </si>
  <si>
    <t>Adjudipro, B2B Provider Portal, B2C Provider Portal, COMET Desktop, COMET Desktop.NET, Contact Center Services, Definity Health App Suite, Definity Health Consumer Portal, Employer Portal, Emptoris, Enterprise Testing, Galaxy, IBAAG - IT (System Changes),</t>
  </si>
  <si>
    <t>Adjudipro, Application Enablement, B2B Provider Portal, B2C Provider Portal, Contact Center Services, COSMOS, CPW, NDB, QStar, UHN Reporting Database, United Voice Portal Business</t>
  </si>
  <si>
    <t>Application Enablement, CES, Contact Center Services, NDB, United Voice Portal Business</t>
  </si>
  <si>
    <t>Network Service Area Generation Project</t>
  </si>
  <si>
    <t>ACIS Suite, BASICS, CES, Data Delivery System (DDS), Enterprise Architecture, eServices Billing, GRDC - (Group Reporting Data Control), Healthcare Alliance - Medica, NDB, PCIS, Peoplesoft-GL, PRIME, SIFS, Systems Integration, TOPS, UCAS - Unet Claim Accou</t>
  </si>
  <si>
    <t>UNET Enhancements To Support UBH Auto-Adjudication</t>
  </si>
  <si>
    <t>NDM Work Queue Enhancements - Release 1</t>
  </si>
  <si>
    <t>CCS Access to Preminum Provider Searches</t>
  </si>
  <si>
    <t>CDD, Data Management, Enterprise Application Architecture, NDB, ORBIT - Operational Reporting, TOPS, UFE, UHT, Unet - Front End</t>
  </si>
  <si>
    <t xml:space="preserve">APM Phase One; Lab Services Online  </t>
  </si>
  <si>
    <t>Project Category</t>
  </si>
  <si>
    <t>replaced by 4-19846</t>
  </si>
  <si>
    <t>Replaced by 4-19619</t>
  </si>
  <si>
    <t>HIPAA - Security Gap Analysis</t>
  </si>
  <si>
    <t>PHP of MI - Claims Repricer</t>
  </si>
  <si>
    <t>Multiple MPINS to same Prefix, Tin, Suffix Report</t>
  </si>
  <si>
    <t>UMR HCFA Claims Repricing Project</t>
  </si>
  <si>
    <t>HCA - National Pay/ Refer/ Deny Table</t>
  </si>
  <si>
    <t>Ellis Miller</t>
  </si>
  <si>
    <t>Application Enablement, IDT - Intelligent Desktop, Integrated Service Experience Tool ISET, NDB, Provider Network Analysis UAT &amp; Tools, TOPS</t>
  </si>
  <si>
    <t xml:space="preserve">CDB Core Processing:  Inquiry Views </t>
  </si>
  <si>
    <t>OI00166</t>
  </si>
  <si>
    <t>OI00166R1</t>
  </si>
  <si>
    <t>Medicare ID Edit</t>
  </si>
  <si>
    <t>cancelled in PROMPT 11/16/09</t>
  </si>
  <si>
    <t>CES, Electronic Eligibility Management System (EEMS), Employer Portal, EPD/NDB</t>
  </si>
  <si>
    <t>OHBS Parity Process Improvement</t>
  </si>
  <si>
    <t>Application Enablement, BH-Linx, BH-Shared Components, NDB</t>
  </si>
  <si>
    <t>David Albright</t>
  </si>
  <si>
    <t>UMR-HBP Non-Par Pricing Legacy System</t>
  </si>
  <si>
    <t>MDW 2010 Datawarehouse Issue or IRAAD</t>
  </si>
  <si>
    <t>Done by 6/1.  Regression testing only</t>
  </si>
  <si>
    <t>UHCOL Notification R3</t>
  </si>
  <si>
    <t>Additional Analysis for NDB EA Project for AmeriCh</t>
  </si>
  <si>
    <t>Jim Congleton</t>
  </si>
  <si>
    <t xml:space="preserve">NDB Provider Future Effective/Termination Dates </t>
  </si>
  <si>
    <t>COSMOS, EPMO, Ingenix ITD Solutions Architecture, NDB, PHS - ILIAD, PHS - NICE, Provider Network Analysis UAT &amp; Tools, UHCTS-OXHP(Oxford)</t>
  </si>
  <si>
    <t>IBM Optim Analysis for Integrated Test Environment</t>
  </si>
  <si>
    <t>WP1 Dual Coverage Members</t>
  </si>
  <si>
    <t>No USEC changes or testing needed</t>
  </si>
  <si>
    <t>Computer Services, Enterprise Application Architecture, Information Risk Management, NDB, Network Services (UHT), Project Delivery (UHT), UHT</t>
  </si>
  <si>
    <t>Empire Plan-Automate High Tech Radiology</t>
  </si>
  <si>
    <t>Build GGMAP in Zulu</t>
  </si>
  <si>
    <t>Michael Schwarz</t>
  </si>
  <si>
    <t>Paul Emerson</t>
  </si>
  <si>
    <t>B2C Provider Portal, B2C Security, EPD/NDB, Portal Reporting</t>
  </si>
  <si>
    <t>Query for Additional Dummy Fee Schedules</t>
  </si>
  <si>
    <r>
      <t>Ready to Schedule</t>
    </r>
    <r>
      <rPr>
        <sz val="8"/>
        <rFont val="Arial"/>
        <family val="2"/>
      </rPr>
      <t>.  Need to coordinate with CBD project team.</t>
    </r>
  </si>
  <si>
    <t>PHS ILIAD move to United Platform (UP)</t>
  </si>
  <si>
    <t>Gail Boudreaux</t>
  </si>
  <si>
    <t>Automation of clean-up program for NDC files</t>
  </si>
  <si>
    <t>ACIS Suite, B2C Provider Portal, CES, COMET Desktop.NET, Data Delivery System (DDS), Data Management, Employer Portal, EPMO, FMR (Field Mgmt Reporting), Galaxy, GEOAccess, IDT - Intelligent Desktop, Myuhc - Member Portal, NDB, PRIME, Summary Check, Techni</t>
  </si>
  <si>
    <t>Data Management, EPMO, Foundation Frameworks, NDB</t>
  </si>
  <si>
    <t>NIS to LDAP - Direct User Authentication</t>
  </si>
  <si>
    <t>Tricare</t>
  </si>
  <si>
    <t>Les Sowa</t>
  </si>
  <si>
    <t>BRUCE CARVER</t>
  </si>
  <si>
    <t>Christopher Brown</t>
  </si>
  <si>
    <t>R1 &amp; R2 comblined 4/27/07</t>
  </si>
  <si>
    <t>ECap - Integrate MAHP capitation needs into ECap</t>
  </si>
  <si>
    <t xml:space="preserve">Todd Berkley </t>
  </si>
  <si>
    <t xml:space="preserve">SUSAN D SCHICK </t>
  </si>
  <si>
    <t>CES, TOPS, COSMOS, Qstar, CPW, USEC, PMG (Program Management Group)</t>
  </si>
  <si>
    <t>NDB estimate is for Analysis and Testing only.  No Dev.  Must be delived with or before 4-8265 cc11 and4-9947.  Not AO - Dev work beign done</t>
  </si>
  <si>
    <t>ANDREW FELRICE</t>
  </si>
  <si>
    <t>BART - Single Provider Contract Line</t>
  </si>
  <si>
    <t>Per D. DeMatteo on 7/12</t>
  </si>
  <si>
    <t>Seperate TIN Type records</t>
  </si>
  <si>
    <t>NPI Feeds Compliance</t>
  </si>
  <si>
    <t>UPCSA - OAO Feasibility Study</t>
  </si>
  <si>
    <t>GEOAccess, Myuhc - Member Portal, NDB, Online Provider Directory</t>
  </si>
  <si>
    <t>UnitedHealthcare</t>
  </si>
  <si>
    <t xml:space="preserve">HPHC Fee Schedule Modifier UE Clean-up </t>
  </si>
  <si>
    <t>Revised Modifier Field Expansion</t>
  </si>
  <si>
    <t>B2B Provider Portal, B2C Provider Portal, CareOne, Consumer Database (CDB), COSMOS, Cross Application Testing, GPT Project Management Services, NDB</t>
  </si>
  <si>
    <t>Belinda Jones</t>
  </si>
  <si>
    <t>COSMOS, EPMO, FSDB - Financial Summary Database (5087), NDB, OTS - Overpayment Tracking System, SIFS, Summary Check, TOPS, TRACR, UCAS - Unet Claim Accounting Sys (multiple apps), UHC ITS Resource</t>
  </si>
  <si>
    <t xml:space="preserve">B2B Provider Portal, B2C Provider Portal, Bank Information System (BIS), BASICS, CES, COMCALC, CTS - Common Tables System, Data Management, Employer Portal, EPMO, eServices Billing, Foundation Frameworks, FSDB - Financial Summary Database (5087), Galaxy, </t>
  </si>
  <si>
    <t>Peradigm/NDB inetface-Contract Structure changes</t>
  </si>
  <si>
    <t>CC11</t>
  </si>
  <si>
    <t>PacifiCare NICE Pricing through ppoONE</t>
  </si>
  <si>
    <t>PacifiCare QicLink Pricing through ppoONE</t>
  </si>
  <si>
    <t>Chuck Weber</t>
  </si>
  <si>
    <t>CORP1-architecture-Arch and Roadmap</t>
  </si>
  <si>
    <t>NDB support for CLIA (SPRF 652)</t>
  </si>
  <si>
    <t>PHS - Update Specialty Exclusion Table</t>
  </si>
  <si>
    <t>Will need CC or LDE to support this additional 25 PM's for R2</t>
  </si>
  <si>
    <t>Test Automation</t>
  </si>
  <si>
    <t>Congleton, Jim</t>
  </si>
  <si>
    <t>formerly 4-13376 cc38</t>
  </si>
  <si>
    <t>HIPAA 5010 Program - Common Solutions Analysis</t>
  </si>
  <si>
    <t>Not Onboardings - as originally presumed.  On PHS-Suspend list 3/27</t>
  </si>
  <si>
    <t>Gated on UNET/UHC Navigate - HS PP Ref &amp; P Penalty</t>
  </si>
  <si>
    <t xml:space="preserve"> NDB Parallel Sysplex - Analysis</t>
  </si>
  <si>
    <t>Data Management, Enterprise Architecture, NDB, Railroad, TOPS, UFE, USEC - Universal Security Systems</t>
  </si>
  <si>
    <t>T. Rainey/C. Chen</t>
  </si>
  <si>
    <t>S. Khara</t>
  </si>
  <si>
    <t>Y</t>
  </si>
  <si>
    <t>Data load of AmeriChoice States into NDB</t>
  </si>
  <si>
    <t>MIke Mikan</t>
  </si>
  <si>
    <t>NDB impacted on CC#2. CC still in estimating</t>
  </si>
  <si>
    <t>Provider Council Scheduled tab - change sort to scheduled status, release date, status and unique identifier</t>
  </si>
  <si>
    <t>R2</t>
  </si>
  <si>
    <t>UBH Facets</t>
  </si>
  <si>
    <t>Added Captive Categories to D2-Resource Plan, R2- 2007 Capacity, R8-Resource Recap</t>
  </si>
  <si>
    <t>James Jarratt</t>
  </si>
  <si>
    <t xml:space="preserve">DRG Grouper Migration for COSMOS	</t>
  </si>
  <si>
    <t>Replacing unfunded 4-23446.</t>
  </si>
  <si>
    <t>Align work to end with 10/31/2008 release date of other applications</t>
  </si>
  <si>
    <t>CE</t>
  </si>
  <si>
    <t>APT, COSMOS, Galaxy, NDB, QStar</t>
  </si>
  <si>
    <t>IT Opt - EPS Migration</t>
  </si>
  <si>
    <t>Mike Rossi/Rev Mohta</t>
  </si>
  <si>
    <t>Dr. Sam Ho</t>
  </si>
  <si>
    <t>Split routing and sub-accounts for 835</t>
  </si>
  <si>
    <t>Claims Repricing - Release 5, Two-Way Repricing</t>
  </si>
  <si>
    <t>ACIS Suite, Adjudipro, Atlas, Automated Underwriting, B2B Provider Portal, B2C Provider Portal, Bank Information System (BIS), BASICS, Card Integration Platform (CIP), CES, CIX (Customer Installation Express), CMA (Content Management Application), COMET D</t>
  </si>
  <si>
    <t xml:space="preserve">Heritage Expansion - Illinois </t>
  </si>
  <si>
    <t>ACIS Suite, CDD, COMET Desktop.NET, Data Management, EPMO, IDT - Intelligent Desktop, NDB, ORBIT - Operational Reporting, OTS - Overpayment Tracking System, PRIME, PRIME Renewals, Summary Check, TCA, Technical Architecture Services, TOPS, Unet - Front End</t>
  </si>
  <si>
    <t>Susan Gruwell</t>
  </si>
  <si>
    <t>Two onboarding placeholders used to support 4-24510</t>
  </si>
  <si>
    <t>No DTR';s for Aug</t>
  </si>
  <si>
    <t>W/O ORBIT RPT - Active/Term'd providers X Fee Sch</t>
  </si>
  <si>
    <t>Susan Berkel</t>
  </si>
  <si>
    <t xml:space="preserve">UBH Facets Public Sector Integration </t>
  </si>
  <si>
    <t>Craig Herman</t>
  </si>
  <si>
    <t>FRP - PHS POS RIMS OON Wrapper move to UNET</t>
  </si>
  <si>
    <t>John Deere Health UB Claims Repricing Project</t>
  </si>
  <si>
    <t xml:space="preserve">estimte includes cc's </t>
  </si>
  <si>
    <t>EPMO, NDB, ppoONE, Provider Network Analysis UAT &amp; Tools, Reimbursement Technology, UFE, UHCTS-UMR EDI Services, UHCTS-UMR-WAU(Wausau)</t>
  </si>
  <si>
    <t>Marilyn Levi-Baumgarten</t>
  </si>
  <si>
    <t>ACIS Suite, Adjudipro, Application Infrastructure Services, Automated Customer Installation, B2B Provider Portal, B2C Provider Portal, BASICS, CES, CFAS, COMCALC, COMET Desktop.NET, COSMOS, CPW, Electronic Eligibility Management System (EEMS), Employer Po</t>
  </si>
  <si>
    <t>U</t>
  </si>
  <si>
    <t>Larry Schear</t>
  </si>
  <si>
    <t>Consumer Database (CDB), Galaxy, NDB</t>
  </si>
  <si>
    <t>ACIS Suite, CDD, CES, COSMOS, Employer Portal, Enterprise Application Architecture, FMR (Field Mgmt Reporting), FSDB - Financial Summary Database (5087), GFLX, IDT - Intelligent Desktop, ISL (Individual Stop Loss), NDB, PRIME, Program Definition Intake Te</t>
  </si>
  <si>
    <t>Provider Termination Detail Report (Orbit/NDB)</t>
  </si>
  <si>
    <t>PRIME 21 PLAN</t>
  </si>
  <si>
    <t>Galaxy, GFLX, Myuhc - Member Portal, NDB, Summary Check, TOPS, Unet - Front End, Unet Batch</t>
  </si>
  <si>
    <t>2010 NDB Provider Pick Research Analysis Only</t>
  </si>
  <si>
    <t>ACIS Suite, Adjudipro, B2B Provider Portal, B2C Provider Portal, B2C Security, Case Package, CES, COMET, COSMOS, EBDS, Electronic Eligibility Management System (EEMS), Employer Portal, EPD/NDB, GEFT - Global Electronic Funds Transfer, IBAAG - IT (System C</t>
  </si>
  <si>
    <t>Common Intake / Coverage Review Commercial Deploym</t>
  </si>
  <si>
    <t xml:space="preserve">Radiology Transformation Strategy </t>
  </si>
  <si>
    <t>Data Management, GEOAccess, NDB</t>
  </si>
  <si>
    <t>Moved to 4-28253 for 2009</t>
  </si>
  <si>
    <t>iCES February 2008 Maintenance Release</t>
  </si>
  <si>
    <t>Claire Verity</t>
  </si>
  <si>
    <t>Galaxy, NDB, Summary Check, Testing Environment and Integration, TOPS</t>
  </si>
  <si>
    <t>Cancelled due to OOM aging</t>
  </si>
  <si>
    <t>Brief discription of worksheets in this workbook</t>
  </si>
  <si>
    <t>Review the sort buttons on the Provider Council Scheduled tab to see if the columns referenced are still appropriate.  May need to redo sort macros and update buttons to reflect changes in columns.</t>
  </si>
  <si>
    <t>CC05</t>
  </si>
  <si>
    <t>EPMO, NDB, PHS - ILIAD, ppoONE, Provider Network Analysis UAT &amp; Tools, UFE</t>
  </si>
  <si>
    <t>FRP - Qualified Network Access Plan</t>
  </si>
  <si>
    <t>Amy Haben/Dave Chenok</t>
  </si>
  <si>
    <t>PDR - NDB Integration Tool - Pulse</t>
  </si>
  <si>
    <t>HPI/HPHC Netwk Access Solution-Fee Schedule Loads</t>
  </si>
  <si>
    <t>Leslie Sheldon</t>
  </si>
  <si>
    <t>Todd Spaulding</t>
  </si>
  <si>
    <t>Kevin Ruth / Sam Ho</t>
  </si>
  <si>
    <t>OHBS-MN AUC EDI  04-42980-000</t>
  </si>
  <si>
    <t>RSA - UHI Expatriate Product Creation</t>
  </si>
  <si>
    <t>PAMELA OCONNOR</t>
  </si>
  <si>
    <t>Michael Hartkopf</t>
  </si>
  <si>
    <t>Medica IDT/ISET Parity</t>
  </si>
  <si>
    <t>Middle Tier Replacement Phase 1</t>
  </si>
  <si>
    <t>CES, COSMOS, IDT - Intelligent Desktop, Integrated Service Experience Tool ISET, NDB, ORS, PHS - NICE, PHS - Resolution, TOPS</t>
  </si>
  <si>
    <t>Interest Waiver on Retro Eff. Provider Contracts</t>
  </si>
  <si>
    <t>NDB Contract Numbers Increase to 5 digits on Facet</t>
  </si>
  <si>
    <t>Integration Playbook Support</t>
  </si>
  <si>
    <t>Analysis Only</t>
  </si>
  <si>
    <t>Update to Claims Repricing Claim Status Report</t>
  </si>
  <si>
    <t>MICHAEL STONE</t>
  </si>
  <si>
    <t>CES, GEOAccess, Myuhc - Member Portal, NDB, Portal Reporting</t>
  </si>
  <si>
    <t>Load
Status</t>
  </si>
  <si>
    <t>Harvard Pilgrim Directory Extract Change - JV</t>
  </si>
  <si>
    <t>NDB / Diamond provider/credentialing interface dev</t>
  </si>
  <si>
    <t>NDB Refresh of Radiology Accreditation Data</t>
  </si>
  <si>
    <t>John Deere Health HCFA Claims Repricing Project</t>
  </si>
  <si>
    <t>NDB not impacted on this sprf</t>
  </si>
  <si>
    <t>per e-mail from Tanya Rainey on 11/29.  NDB is unimpacted</t>
  </si>
  <si>
    <t>Claims Repricing Specialty selection via NDB /ppo1</t>
  </si>
  <si>
    <t>Nancy Turner</t>
  </si>
  <si>
    <t>Assigned
To</t>
  </si>
  <si>
    <t>PPI Facility Rate Feed Enhancement for Nat Anc</t>
  </si>
  <si>
    <t>Medica - Reference Lab Provider Pick</t>
  </si>
  <si>
    <t>ACIS Suite, ACN Infrastructure, Acquisition Integrations, Atlas, B2B Provider Portal, B2C Provider Portal, BASICS, CES, COMCALC, Commercial Payment System (EPS), Consumer Database (CDB), Contact Center Services, CTS - Common Tables System, Dental/Vision I</t>
  </si>
  <si>
    <r>
      <t>Per Prompt, completed</t>
    </r>
    <r>
      <rPr>
        <sz val="8"/>
        <rFont val="Arial"/>
        <family val="2"/>
      </rPr>
      <t>. Requested project team provide overview of Gated HMO work to be peformed by Provider Systems in 2006.  There is no cc#4 for 8339.  cc was issued as cc#3 under 4-9454</t>
    </r>
  </si>
  <si>
    <t>This includes all cc's</t>
  </si>
  <si>
    <t>Ingenix Multi-Access Portal for UHC Online - B2C</t>
  </si>
  <si>
    <t>ACIS Suite, Acquisition Integrations, Application Enablement, Atlas, Automated Underwriting, B2B Provider Portal, B2C Provider Portal, BASICS, CDD, CES, COMET Desktop.NET, Computer Services, Consumer Account Management System (CAMS), Consumer Database (CD</t>
  </si>
  <si>
    <t>ACIS Suite, BASICS, CES, Cross Application Testing, Data Management, Enterprise Architecture, NDB, PRIME, Summary Check, Testing Environment and Integration, TOPS, UHC ITS Resource, UPCT</t>
  </si>
  <si>
    <t>B2C Provider Portal, CES, Cross Application Testing, Employer Portal, GEOAccess, IDT - Intelligent Desktop, Myuhc - Member Portal, NDB, Systems Integration</t>
  </si>
  <si>
    <t>ACIS Suite, Application Enablement, B2B Provider Portal, B2C Provider Portal, CES, CIX (Customer Installation Express), Consumer Database (CDB), Contact Center Services, Cross Application Testing, CTS - Common Tables System, Data Delivery System (DDS), Em</t>
  </si>
  <si>
    <t>COSMOS, CPW, Cross Application Testing, EPMO, HIPAA, NDB, Summary Check, TOPS, UFE</t>
  </si>
  <si>
    <t>ACIS Suite, Application Enablement, Automated Underwriting, B2B Provider Portal, B2C Provider Portal, BASICS, CCS-CCF, CDD, CES, COMET Desktop.NET, Consumer Account Management System (CAMS), Consumer Database (CDB), Contact Center Services, Cross Applicat</t>
  </si>
  <si>
    <t>Application Enablement, CES, Cross Application Testing, Electronic Eligibility Management System (EEMS), Employer Portal, GEOAccess, IDT - Intelligent Desktop, NDB, PRIME, Summary Check, Systems Integration, Testing Environment and Integration, TOPS, UP P</t>
  </si>
  <si>
    <t>Application Enablement, Applications Impacted Unknown, B2B Provider Portal, B2C Provider Portal, CES, Contact Center Services, COSMOS, Data Management, Desktop and Groupware Services, Emptoris, Enterprise Application Architecture, Enterprise Testing, EPMO</t>
  </si>
  <si>
    <t>B2B Provider Portal, B2C Provider Portal, CES, Contact Center Services, COSMOS, Data Management, Electronic Eligibility Management System (EEMS), Employer Portal, EPMO, FSDB - Financial Summary Database (5087), ISEC (Internet Security Database), Myuhc - M</t>
  </si>
  <si>
    <t>Requirements not finalized. JAD sessions to be conducted in February to confirm scope.  Ovations has plaecholder of 35 pm's. OOM Estimate exceeded placeholder.  Sept release is for Field Values Screens only.  All other work deferred</t>
  </si>
  <si>
    <t>Application Enablement, Data Management, NDB</t>
  </si>
  <si>
    <t xml:space="preserve">URV Facets Provider Extract </t>
  </si>
  <si>
    <t>COSMOS, EPD, COSMOS, EPD/NDB</t>
  </si>
  <si>
    <t>PHS WP1 - PCP Call Service - PCP Reassignment</t>
  </si>
  <si>
    <t>work orders 2007</t>
  </si>
  <si>
    <t>dom furfari</t>
  </si>
  <si>
    <t>The additional hours will be entered into the lockdown cc</t>
  </si>
  <si>
    <t>OI00144</t>
  </si>
  <si>
    <t>Check Suppression</t>
  </si>
  <si>
    <t xml:space="preserve">UBH EPDL (ProvNet – NDB) Feed Improvement </t>
  </si>
  <si>
    <t>CDD, NDB</t>
  </si>
  <si>
    <t>Business Case Status</t>
  </si>
  <si>
    <t>NDB, ORBIT - Operational Reporting, Systems Integration</t>
  </si>
  <si>
    <t>NDB, Summary Check</t>
  </si>
  <si>
    <t>UMR Standard EPDE</t>
  </si>
  <si>
    <t>Integration - Definity</t>
  </si>
  <si>
    <t>OHBS MNAUC 837 5010</t>
  </si>
  <si>
    <t>Treatment Cost Estimator (TCE) - Compliance Reqmts</t>
  </si>
  <si>
    <t>ATG Automated Transaction Generator, BH-Facets - UBH, BH-Linx, BH-Liveandworkwell.com, BH-PBH Facets, BH-Shared Components, CFAS, Claims Highway, COSMOS, COSMOS Medicaid Processing, CPW, Cross Application Testing, Enterprise Letter Generation System, EPMO</t>
  </si>
  <si>
    <t>Data Management, Enterprise Application Architecture, NDB, ORBIT - Operational Reporting, TOPS, TOPS Reimbursement, UFE, UHT, Unet - Front End</t>
  </si>
  <si>
    <t>Credentialing Metrics TAT Fix</t>
  </si>
  <si>
    <t>Derek Peterson</t>
  </si>
  <si>
    <t>HCA - Super User Access on Employer Portal</t>
  </si>
  <si>
    <t>Medica</t>
  </si>
  <si>
    <t>Scott Walker</t>
  </si>
  <si>
    <t>Nick Santoro</t>
  </si>
  <si>
    <t>Kurt Heumann</t>
  </si>
  <si>
    <t>COMET Desktop.NET, Data Management, IDT - Intelligent Desktop, NDB, Systems Integration, TOPS, USEC - Universal Security Systems</t>
  </si>
  <si>
    <t>On line provider search enhancements</t>
  </si>
  <si>
    <t>2007 DRG Annual Updates - UNET</t>
  </si>
  <si>
    <t>HCA Pass/Prime integration with IDT</t>
  </si>
  <si>
    <t>Feed Reconciliation Controls - NDB</t>
  </si>
  <si>
    <t>OptumHealth ISET &amp; KM Implementation</t>
  </si>
  <si>
    <t>CDB MBL Cutover: IVR</t>
  </si>
  <si>
    <t>NPI Capture for provider UVP</t>
  </si>
  <si>
    <t>BRD signoff needed by 1/31 to remain in Aug</t>
  </si>
  <si>
    <t>GHMO Analysis &amp; Design Phase V (Medica)</t>
  </si>
  <si>
    <t>MAMSI - UHC Extract Provider Maintenance File</t>
  </si>
  <si>
    <t>Dual Elig Membership- Final A&amp;D</t>
  </si>
  <si>
    <t>ACIS Suite, Application Enablement, B2B Provider Portal, B2C Provider Portal, CES, COMET Desktop.NET, EDSS (COLD), Enterprise Application Architecture, FMR (Field Mgmt Reporting), Foundation Frameworks, HIPAA, IBAAG - IT (System Changes), IDRS (sunset), N</t>
  </si>
  <si>
    <t>replaced with 4-25413</t>
  </si>
  <si>
    <t>NDB, TCA, TOPS</t>
  </si>
  <si>
    <t>Online Registration for UHC Online</t>
  </si>
  <si>
    <t>CURTIS ROSENTHAL</t>
  </si>
  <si>
    <t>Sue Edberg</t>
  </si>
  <si>
    <t>Premium Designation Market File Updates - Oxford</t>
  </si>
  <si>
    <t>Frederick Wendte</t>
  </si>
  <si>
    <t>Moved to 4-14315</t>
  </si>
  <si>
    <t>CPR2 - Phase II</t>
  </si>
  <si>
    <t>WO -Add Market type 57 to the Paper Directory Proc</t>
  </si>
  <si>
    <t>RSA - National PPO Rollout</t>
  </si>
  <si>
    <t>Glenn Walsh / Kurt Heumann</t>
  </si>
  <si>
    <t>B2B/B2C Integration - Ovations to Peradigm(Phased)</t>
  </si>
  <si>
    <t>Lisa Stimson</t>
  </si>
  <si>
    <t>ACIS Suite, BASICS, CDD, CES, eServices Billing, FSDB - Financial Summary Database (5087), Galaxy, NDB, ORBIT - Operational Reporting, PeopleSoft BI/AR, PRIME, SIFS, Systems Integration, UCAS - Unet Claim Accounting Sys (multiple apps)</t>
  </si>
  <si>
    <t>Bill Hagen</t>
  </si>
  <si>
    <t xml:space="preserve">ETC and WATC Data Center Migrations </t>
  </si>
  <si>
    <t>CC4</t>
  </si>
  <si>
    <t>PDR- Contract Selection on the Hwy for MAHP OneNet</t>
  </si>
  <si>
    <t>B2C Provider Portal, CES, Consumer Database (CDB), NDB</t>
  </si>
  <si>
    <t>Requires access to VSAM files not currently available in Orbit.  CC needed, not a WO</t>
  </si>
  <si>
    <t>new sprf to be opened to cover any additional work</t>
  </si>
  <si>
    <t>Application Enablement, B2B Provider Portal, B2C Provider Portal, CES, Consumer Database (CDB), Cross Application Testing, Data Delivery System (DDS), EDSS, Electronic Eligibility Management System (EEMS), Employer Portal, Enterprise Letter Generation Sys</t>
  </si>
  <si>
    <t>Pay as Medicare</t>
  </si>
  <si>
    <t>CPQ</t>
  </si>
  <si>
    <t>Claim Submission Enhancement (1500 form)</t>
  </si>
  <si>
    <t>In funding.  High priority for June.  Work done under 4-9772</t>
  </si>
  <si>
    <t>iCES Clearinghouse August 2010 Maintenance Release</t>
  </si>
  <si>
    <t>ITI 72-24 Hour On Notification</t>
  </si>
  <si>
    <t>Trent Simpson</t>
  </si>
  <si>
    <t>EDI 278N Phase 2.5</t>
  </si>
  <si>
    <t>Accreditation NDB File Processing Frequency Change</t>
  </si>
  <si>
    <t>Elena McFann</t>
  </si>
  <si>
    <t>Medica Passport Choice Member Residential Market</t>
  </si>
  <si>
    <t>Provider # Re-use:  COSMOS MSP Type 01 Medica OON</t>
  </si>
  <si>
    <t>Jai Narayanan</t>
  </si>
  <si>
    <t>GHMO MAHP - Items Moved From Phases III &amp; IV</t>
  </si>
  <si>
    <t>Stephan Rodgers</t>
  </si>
  <si>
    <t>Medica - COSMOS Entry of Referring NPI</t>
  </si>
  <si>
    <t>Kevin O'Brien</t>
  </si>
  <si>
    <t>Meg Rush</t>
  </si>
  <si>
    <t>B2B Provider Portal, B2C Provider Portal, Enterprise Application Security, NDB, ORBIT - Operational Reporting</t>
  </si>
  <si>
    <t>NDB-PERADIGM Migration - 8/5/06 Seed File</t>
  </si>
  <si>
    <t>ACIS Suite, Acquisition Integrations, CES, GeoAccess for UHC.Com, Myuhc - Member Portal, NDB, PRIME, TOPS</t>
  </si>
  <si>
    <t>Security Track Analysis and Development</t>
  </si>
  <si>
    <t>Data Management, Healthcare Alliance - Harvard Pilgrim, NDB, ORBIT - Operational Reporting, Systems Integration</t>
  </si>
  <si>
    <t>DRG Field Expansion</t>
  </si>
  <si>
    <t>Medica Check Rollup - Payables Approach</t>
  </si>
  <si>
    <t>Application Enablement, Claims Highway, COSMOS, Enterprise Application Architecture, Enterprise Information Management, EPMO, NDB, ppoONE, Provider Network Analysis UAT &amp; Tools, Reimbursement Technology, UHCTS-OXHP(Oxford)</t>
  </si>
  <si>
    <t>Application Enablement, Computer Services, Cross Application Testing, ERC, Foundation Frameworks, Host Session Signon, Testing Environment and Integration</t>
  </si>
  <si>
    <t>Application Enablement, Computer Services, Cross Application Testing, Foundation Frameworks, NDB, Testing Environment and Integration</t>
  </si>
  <si>
    <t>Application Enablement, B2B Provider Portal, B2C Provider Portal, CES, COMET Desktop.NET, Contact Center Services, COSMOS, Cross Application Testing, Data Management, Employer Portal, Emptoris, Foundation Frameworks, GRDC - (Group Reporting Data Control),</t>
  </si>
  <si>
    <t>CES, Cross Application Testing, NDB, Summary Check, Testing Environment and Integration, TOPS, UHT</t>
  </si>
  <si>
    <t>Data Management, Foundation Frameworks, NDB, TOPS</t>
  </si>
  <si>
    <t>Post Release Support</t>
  </si>
  <si>
    <t>NDB / Diamond interface</t>
  </si>
  <si>
    <t>Application Enablement, Data Management, Enterprise Architecture, Foundation Frameworks, NDB, ORBIT - Operational Reporting</t>
  </si>
  <si>
    <t>Data Management, Enterprise Architecture, Healthcare Alliance - Harvard Pilgrim, NDB, USEC - Universal Security Systems</t>
  </si>
  <si>
    <t>NDC Database - Replace FDB rates with Redbook Rates</t>
  </si>
  <si>
    <t>PHS Work Package 2, Release 2</t>
  </si>
  <si>
    <t>UHPD p3.0 - NDB Inplementation Support</t>
  </si>
  <si>
    <t>Barb Stenger</t>
  </si>
  <si>
    <t>iCES Clearinghouse February 2011 Maint. Release</t>
  </si>
  <si>
    <t>iCES Clearinghouse May 2011 Maintenance Release</t>
  </si>
  <si>
    <t>iCES Clearinghouse August 2011 Maintenance Release</t>
  </si>
  <si>
    <t>Application Enablement, BPID, BPM CoE, CISS - TOPS Case Installation, Claims Highway, Claims QA, COMET Desktop.NET, Data Delivery System (DDS), Enterprise Information Management, EPMO, Galaxy, ICD-10 Architecture, NDB, Product Benefit Database - UT, Quali</t>
  </si>
  <si>
    <t>Nebraska new State Requirements - Diamond</t>
  </si>
  <si>
    <t>Heather Johnson</t>
  </si>
  <si>
    <t xml:space="preserve">Chris Scherer </t>
  </si>
  <si>
    <t xml:space="preserve">Application Enablement, BPM CoE, Claims Highway, Claims QA, Connected Care (TeleHealth), Consumer Database (CDB), COSMOS, Enterprise Application Architecture, EPMO, Facets Alpha, Information Risk Management, Innovation Delivery Center, Interactive Design </t>
  </si>
  <si>
    <t xml:space="preserve">WOQ2 01 Navigate Provider Contract One Shots </t>
  </si>
  <si>
    <t>Janice Dade</t>
  </si>
  <si>
    <t>Bridge NDB Gaps-Release 2</t>
  </si>
  <si>
    <t>11-62480-000</t>
  </si>
  <si>
    <t>11-46160-000</t>
  </si>
  <si>
    <t>CSS-B2X 2013A Release (PHS Migration)</t>
  </si>
  <si>
    <t>London Medical Repricing for AT&amp;T Non-Net. Claims</t>
  </si>
  <si>
    <t>B2B Provider Portal, Claims Highway, Claims QA, COMET Desktop.NET, Enterprise Application Architecture, Enterprise Systems Planning Business Architecture, EPMO, GGMAP, iCES Clearinghouse, NDB, ORBIT - Operational Reporting, Payment Engine, ppoONE, QMO - Q</t>
  </si>
  <si>
    <t>Application Enablement, Application Infrastructure Services, B2B Provider Portal, B2C Provider Portal, CES, COMET Desktop.NET, Contact Center Services, Electronic Eligibility Management System (EEMS), Employer Portal, Foundation Frameworks, IDT - Intellig</t>
  </si>
  <si>
    <t>CES, Contact Center Services, Data Management, Enterprise Application Architecture, EPMO, Foundation Frameworks, IDT - Intelligent Desktop, Myuhc - Member Portal, NDB, PRIME, Project Delivery (UHT), UHT, Unified Application IVR, United Platform Systems An</t>
  </si>
  <si>
    <t>ACIS Suite, Application Enablement, B2B Provider Portal, B2C Provider Portal, CES, COMET Desktop.NET, Contact Center Services, Data Management, Electronic Eligibility Management System (EEMS), Employer Portal, Enterprise Application Architecture, EPMO, Fo</t>
  </si>
  <si>
    <t xml:space="preserve">ACIS Suite, Adjudipro, Application Development Repository, Atlas, Automated Underwriting, B2B Provider Portal, B2C Provider Portal, BASICS, CDD, CES, CMA (Content Management Application), Commercial Payment System (EPS), Computer Services, Contact Center </t>
  </si>
  <si>
    <t>BSG, Computer Services, Consumer Database (CDB), Contact Center Services, Data Management, Desktop and Groupware Services, Network Services (UHT), United Voice Portal Business, USEC - Universal Security Systems</t>
  </si>
  <si>
    <t>ACIS Suite, B2B Provider Portal, B2C Provider Portal, BASICS, Case Package, CDD, CES, CFAS, COMCALC, COMET Desktop, COMET Desktop.NET, Computer Services, Connect.UHC.com, Contact Center Services, COSMOS, CTS - Common Tables System, Data Management, Deskto</t>
  </si>
  <si>
    <t>ACIS Suite, B2B Provider Portal, B2C Provider Portal, BASICS, CDD, CES, Commercial Payment System (EPS), Consumer Database (CDB), Contact Center Services, Electronic Eligibility Management System (EEMS), Employer Portal, Enterprise Testing, eServices Bill</t>
  </si>
  <si>
    <t>ACN Infrastructure, BASICS, Card Integration Platform (CIP), CDD, CES, COMET Desktop, COMET Desktop.NET, Commercial Payment System (EPS), Contact Center Services, CTS - Common Tables System, Data Management, Enterprise Testing, eServices Billing, FMR (Fie</t>
  </si>
  <si>
    <t>400041436A</t>
  </si>
  <si>
    <t>400041457A</t>
  </si>
  <si>
    <t>OI00237</t>
  </si>
  <si>
    <t>OI00237R1</t>
  </si>
  <si>
    <t>Emptoris to NDB Feed Research</t>
  </si>
  <si>
    <t>Integrated Test Env. Phase II BUILD - 2</t>
  </si>
  <si>
    <t>Deffered UHN Reporting and ISET  from August 2010 release</t>
  </si>
  <si>
    <t>Facets Alpha, NDB, Network Technology &amp; Support, ppoONE, UFE</t>
  </si>
  <si>
    <t>Applications Impacted Unknown, Enterprise Application Architecture, Enterprise Information Management, Enterprise Systems Planning Business Architecture, EPMO, Facets Alpha, Facets Solution Group, NDB, Network Technology &amp; Support, Provider Network Analys</t>
  </si>
  <si>
    <t>COSMOS, Facets Alpha, NDB</t>
  </si>
  <si>
    <t>Application Enablement, COSMOS, Cross Application Testing, NDB, Reimbursement Technology, TOPS</t>
  </si>
  <si>
    <t xml:space="preserve">Application Enablement, B2B Provider Portal, B2C Provider Portal, Business Intent Certification Tool (BIC), CDD, CES, Claims Highway, Claims QA, CMDB (Correction Management Database), Computer Services, Consumer Account Management System (CAMS), Consumer </t>
  </si>
  <si>
    <t>ACIS Suite, Application Enablement, Applications Impacted Unknown, B2B Provider Portal, B2C Provider Portal, BSG, CES, CIX (Customer Installation Express), Claims Highway, Computer Services, Consumer Database (CDB), Contact Center Services, COSMOS, Deskto</t>
  </si>
  <si>
    <t>Application Enablement, BPID, Claims Highway, COMET Desktop.NET, Consumer Database (CDB), COSMOS, Enterprise Application Architecture, Enterprise Architecture Practices, Enterprise Information Management, EPMO, ESP Systems Planning and Alignment, NDB, ppo</t>
  </si>
  <si>
    <t>Application Enablement, Claims Highway, COSMOS, Cross Application Testing, Enterprise Information Management, EPMO, IBM FileNet, iCES Clearinghouse, NDB, Network Technology &amp; Support, PHS - NICE, ppoONE, Reimbursement Technology, Testing Environment and I</t>
  </si>
  <si>
    <t>ACN Infrastructure, Application Enablement, B2C Provider Portal, Data Management, EPMO, Foundation Frameworks, HIPAA, NDB, ORBIT - Operational Reporting, UFE</t>
  </si>
  <si>
    <t>AmeriChoice, Data Management, EA Data Architecture, Enterprise Architecture, EPMO, Foundation Frameworks, GPT Business Systems, NDB, USEC - Universal Security Systems</t>
  </si>
  <si>
    <t>EPMO, NDB, USEC - Universal Security Systems</t>
  </si>
  <si>
    <t>General Alliance Development</t>
  </si>
  <si>
    <t>John Haben</t>
  </si>
  <si>
    <t>One Shot Requests</t>
  </si>
  <si>
    <t>Paul Kaus</t>
  </si>
  <si>
    <t>Kimberly Wolson</t>
  </si>
  <si>
    <t>Peggy Doud</t>
  </si>
  <si>
    <t>CC12</t>
  </si>
  <si>
    <t>MWS System Enhancement Testing</t>
  </si>
  <si>
    <t>ACIS Suite, Adjudipro, Application Development Repository, Atlas, Automated Underwriting, B2B Provider Portal, B2C Provider Portal, Bank Information System (BIS), BASICS, Card Integration Platform (CIP), CDD, CES, CMA (Content Management Application), Com</t>
  </si>
  <si>
    <t>Fee Schedule: DME Parent/Child Oneshot</t>
  </si>
  <si>
    <t>SPRF has been cancelled in Prompt due to lack of funding.  Funding alternatives being reviewed.</t>
  </si>
  <si>
    <t>USS</t>
  </si>
  <si>
    <t>Radiology Notification Q&amp;E Value Change</t>
  </si>
  <si>
    <t>Medica Web Services Incentive</t>
  </si>
  <si>
    <t>R. Mohta</t>
  </si>
  <si>
    <t>New Manual Pick Queue Edits (P1-P4)</t>
  </si>
  <si>
    <t>HPHC Modifier 53 Reimbursement Change</t>
  </si>
  <si>
    <t>ACIS Suite, Application Enablement, Automated Underwriting, B2B Provider Portal, B2C Provider Portal, CDD, CES, COMET Desktop.NET, Contact Center Services, CTS - Common Tables System, Data Management, Electronic Eligibility Management System (EEMS), Emplo</t>
  </si>
  <si>
    <t>B2B Provider Portal, B2C Provider Portal, Contact Center Services, Data Management, NDB, UHT</t>
  </si>
  <si>
    <t xml:space="preserve">ACIS Suite, Adjudipro, Application Enablement, B2B Provider Portal, B2C Provider Portal, CDD, CES, CFAS, COMET Desktop, COMET Desktop.NET, COMET Rules, Contact Center Services, COSMOS, CPW, Data Management, EFS/CS IT PM, Electronic Eligibility Management </t>
  </si>
  <si>
    <t>B2B Provider Portal, B2C Provider Portal, COLD (expired), EFS/CS IT PM, EPD/NDB, FSDB - Financial Summary Database (5087), NDB, ORBIT - Operational Reporting, PMG (Program Management Group), SIFS, Summary Check, TOPS, UCAS - Unet Claim Accounting Sys (mul</t>
  </si>
  <si>
    <t>Application Enablement, CareOne, COSMOS, Foundation Frameworks, Galaxy, IDT - Intelligent Desktop, iLEAD, Integrated Service Experience Tool ISET, NDB, Provider Network Analysis UAT &amp; Tools</t>
  </si>
  <si>
    <t>TBD</t>
  </si>
  <si>
    <t>CBA required.  Includes CC#4</t>
  </si>
  <si>
    <t>Project Status</t>
  </si>
  <si>
    <t>FRP - NHP Migration (GSP Build)</t>
  </si>
  <si>
    <t>Completed without USEC</t>
  </si>
  <si>
    <t>NDB unimpacted per Mike G</t>
  </si>
  <si>
    <t>PHS Partner Certification Test WP2</t>
  </si>
  <si>
    <t>EPD/NDB, Program Definition Intake Team, TOPS</t>
  </si>
  <si>
    <t>Christopher Ross</t>
  </si>
  <si>
    <t>Clinical Operations HEDIS Provider Measure Report</t>
  </si>
  <si>
    <t>ACIS Suite, Adjudipro, APT, Atlas, B2B Provider Portal, B2C Provider Portal, Carenet Billing, Case Package, CES, ComAgg, COMCALC, COMET Rules, ComStat, COSMOS, CPW, EBDS, eGateway, Electronic Eligibility Management System (EEMS), EPMO, E-Talk, FICS, FMR (</t>
  </si>
  <si>
    <t>IDT - Intelligent Desktop, NDB, ORS</t>
  </si>
  <si>
    <t>Change of scope has increased the work effort putting the June date at risk.</t>
  </si>
  <si>
    <t>B2C Provider Portal, EPD/NDB, UFE</t>
  </si>
  <si>
    <t>Gated HMO - Pacificare</t>
  </si>
  <si>
    <t>Project Team to determine if earlier delivery date     Completed 4/9</t>
  </si>
  <si>
    <t>Brett Edelson</t>
  </si>
  <si>
    <t>OI00147</t>
  </si>
  <si>
    <t>All-inclusive rate reimbursement - multiple claims - Not impacted</t>
  </si>
  <si>
    <t xml:space="preserve">Paul McCarthy </t>
  </si>
  <si>
    <t>BH-Facets - UBH, BH-Mgmt and Planning, EPMO, NDB, ppoONE, Provider Network Analysis UAT &amp; Tools</t>
  </si>
  <si>
    <t>Collaborative Care Platform 2/2011 - provider data</t>
  </si>
  <si>
    <t>Mark Caron</t>
  </si>
  <si>
    <t>BPID, Connected Care (TeleHealth), EPMO, NDB, Network Technology &amp; Support</t>
  </si>
  <si>
    <t>EPMO, GEOAccess, NDB, Network Technology &amp; Support</t>
  </si>
  <si>
    <t>CC2 - Added before OOM Approval per Bruce</t>
  </si>
  <si>
    <t>reduced to tesing only</t>
  </si>
  <si>
    <t>CC for descope to testing only is stil in estimating in prompt</t>
  </si>
  <si>
    <t>Texas State Master File Changes (COR 89)</t>
  </si>
  <si>
    <t>Toni Townsend/Nancy Burghardt</t>
  </si>
  <si>
    <t>FL - New Encounter NPI Implementation</t>
  </si>
  <si>
    <t>B2C Provider Portal, COMET Desktop.NET, COSMOS, Data Management, FMR (Field Mgmt Reporting), NDB, ORBIT - Operational Reporting, TOPS, UFE, Unet - Front End, Unet Batch</t>
  </si>
  <si>
    <t xml:space="preserve">PSS Search Foundation Fee's Screens </t>
  </si>
  <si>
    <t xml:space="preserve">Provider Portal Foundation Fee's Screens </t>
  </si>
  <si>
    <t xml:space="preserve">Cosmos Foundation Fee's Screen </t>
  </si>
  <si>
    <t xml:space="preserve">NDB Auto-load Enhancement </t>
  </si>
  <si>
    <t>SSP Vendor Flexibility (Facility and Physician)</t>
  </si>
  <si>
    <t>Base source of data to support workbook</t>
  </si>
  <si>
    <t>Computer Services, Enterprise Architecture, NDB, Provider Network Analysis UAT &amp; Tools</t>
  </si>
  <si>
    <t>United eServices Development - Release 7</t>
  </si>
  <si>
    <t>National PCP file for Edward Jones</t>
  </si>
  <si>
    <t>Application Infrastructure Services, COSMOS, NDB, Summary Check, Unet Batch</t>
  </si>
  <si>
    <t>EPDL</t>
  </si>
  <si>
    <t>B2C Provider Portal, NDB, Summary Check, TOPS, UCAS - Unet Claim Accounting Sys (multiple apps)</t>
  </si>
  <si>
    <t>cc 23 is still in estimating</t>
  </si>
  <si>
    <t>NDB to Peradigm interface feed</t>
  </si>
  <si>
    <t>Bill Munsell</t>
  </si>
  <si>
    <t>Add new Accreditation agency - ACRO</t>
  </si>
  <si>
    <t>Enhance Duplicate/Mismatch Logic in NDB</t>
  </si>
  <si>
    <t>William B Hall</t>
  </si>
  <si>
    <t>Enterprise Capitation – MAHP R2: Implementation</t>
  </si>
  <si>
    <t>Geno Tenace</t>
  </si>
  <si>
    <t>Application Enablement Development, Enterprise Application Architecture, EPMO, Foundation Frameworks, NDB, ORBIT - Operational Reporting, TOPS, UFE, UHT, USEC - Universal Security Systems</t>
  </si>
  <si>
    <t>CES, COMET Desktop.NET, Computer Services, Foundation Frameworks, NDB, TOPS</t>
  </si>
  <si>
    <t>CC#7 rolled into release R2 and not carried separately</t>
  </si>
  <si>
    <t>Application Enablement, CES, COMET Desktop, COMET Desktop.NET, Data Management, Foundation Frameworks, NDB, SAL, SALSA, TOPS</t>
  </si>
  <si>
    <t>Requested project team provide overview of Gated HMO work to be peformed by Provider Systems in 2006.  20 pm being applied to R1 and 20 pm's to R2.  Project to be reconciled by project team.  Moved to TBD on 3/21 per B. Gaudet</t>
  </si>
  <si>
    <t>William Schofield</t>
  </si>
  <si>
    <t>CareOne Data Sharing w/UNIT NDB/CES/CDB</t>
  </si>
  <si>
    <t>HIPAA Security-U1- Transactional Services Security</t>
  </si>
  <si>
    <t>Donna Pooley</t>
  </si>
  <si>
    <t>FS-Payables Optimization</t>
  </si>
  <si>
    <t>Medica - Non-Par Provider Demographics</t>
  </si>
  <si>
    <t>Pete Bompane</t>
  </si>
  <si>
    <t>ACIS Suite, Acquisition Integrations, Atlas, B2B Provider Portal, B2C Provider Portal, BASICS, CES, CIX (Customer Installation Express), Contact Center Services, Employer Portal, eServices Billing, FSDB - Financial Summary Database (5087), Galaxy, GEOAcce</t>
  </si>
  <si>
    <t>IDT Integration With UBH Facets</t>
  </si>
  <si>
    <t>Additional Routing Identifier for 835's</t>
  </si>
  <si>
    <t>M. Stoy
J. Childers</t>
  </si>
  <si>
    <t>NDB to COSMOS Record Volume - Demographic Data</t>
  </si>
  <si>
    <t>Task
Type</t>
  </si>
  <si>
    <t>TOPS
Impact</t>
  </si>
  <si>
    <t>Provider Search Enhancements</t>
  </si>
  <si>
    <t>M. Mahoney</t>
  </si>
  <si>
    <t>B2B Provider Portal, CES, Data Management, Electronic Eligibility Management System (EEMS), Enterprise Architecture, NDB, ORBIT - Operational Reporting, PRIME</t>
  </si>
  <si>
    <t>Fix Contract Org Driver Fv</t>
  </si>
  <si>
    <t>ID Card Production Rules Engine</t>
  </si>
  <si>
    <t>PRIME 21 - Individual Purchasers</t>
  </si>
  <si>
    <t>Integrated Test Improvements</t>
  </si>
  <si>
    <t>UnitedHealth Allies Participant Indicator</t>
  </si>
  <si>
    <t>Tech Lead</t>
  </si>
  <si>
    <t>QCA Lead</t>
  </si>
  <si>
    <t>Backup Withholding Macro</t>
  </si>
  <si>
    <t>JENNIFER RICE</t>
  </si>
  <si>
    <t>SUSAN HINES</t>
  </si>
  <si>
    <t>DDS Reconciliation Feeds to Source</t>
  </si>
  <si>
    <t>Contract Master Maint. and Search Enhancements</t>
  </si>
  <si>
    <t>Diane Schofiled</t>
  </si>
  <si>
    <t>Lloyd Dyer</t>
  </si>
  <si>
    <t>Don Tierney</t>
  </si>
  <si>
    <t xml:space="preserve">4-11181, 4-13604 and 4-10564.  All chgs to TOPS demo feed.  </t>
  </si>
  <si>
    <t>Not needed for Feb</t>
  </si>
  <si>
    <t>NDB Inactive Fee Schedules</t>
  </si>
  <si>
    <t>Data Management, Emptoris, NDB, USEC - Universal Security Systems</t>
  </si>
  <si>
    <t>Need to coordinate with Service Alliance team.</t>
  </si>
  <si>
    <t>B2B Provider Portal, B2C Provider Portal, CCS, CES, Consumer Database (CDB), GEOAccess, Myuhc - Member Portal, NDB, UHCTS-RV(River Valley)</t>
  </si>
  <si>
    <t>IT BPM - Planview 10 COM Pilot</t>
  </si>
  <si>
    <t>diCarta and NDB enhancements for Ovations Migratio</t>
  </si>
  <si>
    <t>John Reinke</t>
  </si>
  <si>
    <t>Jane Hill</t>
  </si>
  <si>
    <t>Geoaccess Physican and Facilities Search</t>
  </si>
  <si>
    <t>CCS Elig Update</t>
  </si>
  <si>
    <t>Emptoris to NDB Physician Interface Match on IPA</t>
  </si>
  <si>
    <t>Medica Specific IDT Enhancements</t>
  </si>
  <si>
    <t>One-shots</t>
  </si>
  <si>
    <t>Ashok Sudarshan</t>
  </si>
  <si>
    <t>Remove panel 999 (default panel) from directory</t>
  </si>
  <si>
    <t>MICHAEL CANTOR</t>
  </si>
  <si>
    <t>UPCSA - IBM Assessment</t>
  </si>
  <si>
    <t>Claims Repricing Release 4 - ppoONE</t>
  </si>
  <si>
    <t>HPHC2-Credential Data Feed from NetworksPro to NDB</t>
  </si>
  <si>
    <t>Corp-Benefits Svc Allnce Benefit Config - TOPS SCs</t>
  </si>
  <si>
    <t>USEC Dev only.  Processing Files.  No SA or QCA support needed</t>
  </si>
  <si>
    <t>Weekly New Provider Welcome Kit Mailing - Revised</t>
  </si>
  <si>
    <t>NDB estimate entered, but project not coordinated or OOM Approved</t>
  </si>
  <si>
    <t>Replaced by 4-22981</t>
  </si>
  <si>
    <t>Karen Creedon</t>
  </si>
  <si>
    <t>CSS-B2C 2010A Release- MIGRATIONS FUNDING</t>
  </si>
  <si>
    <t>Provider VETSS II and III CUS0010</t>
  </si>
  <si>
    <t>EPMO, NDB, PHS - QicLink/ClaimExchange</t>
  </si>
  <si>
    <t>NDB no longer impacted</t>
  </si>
  <si>
    <t>EPS Long-Term Projects - Scope Analysis</t>
  </si>
  <si>
    <t>PPII Enhancements &amp; Minor Defects</t>
  </si>
  <si>
    <t>Solutions Engineering Resource for NASC Project</t>
  </si>
  <si>
    <t>PHS W1R1 Emptoris 2009 Requirements</t>
  </si>
  <si>
    <t>Diana Schofield/Eileen Dock</t>
  </si>
  <si>
    <t>In estimating.  NDB added via CC01.</t>
  </si>
  <si>
    <t>EPDL Work Queue ORBIT Audit Report Enhancement</t>
  </si>
  <si>
    <t>OptumHealth Financial Services</t>
  </si>
  <si>
    <t>NDB unimpacted per Dave Baarck</t>
  </si>
  <si>
    <t>3 - Not Loaded</t>
  </si>
  <si>
    <t>A/O.  Being done by us and OM.  Work will end on 12/31/08</t>
  </si>
  <si>
    <t>Pacificare -- Term Caretrust</t>
  </si>
  <si>
    <t>HCA-Contract Designation Key - Security PII</t>
  </si>
  <si>
    <t>E2E Facility &amp; Ancillary Contract Tech Improvement</t>
  </si>
  <si>
    <t>Elaine Begen</t>
  </si>
  <si>
    <t xml:space="preserve">Provider File Transition - tape to FTP </t>
  </si>
  <si>
    <t>Expanded EPDE Onboardings for September 2008</t>
  </si>
  <si>
    <t>Update Provider Selection Matching Logic</t>
  </si>
  <si>
    <t>FRP - Medical Necessity</t>
  </si>
  <si>
    <t>Product Ideation</t>
  </si>
  <si>
    <t>Add the NDB degree code “AUD” as a selection</t>
  </si>
  <si>
    <t>Gated HMO</t>
  </si>
  <si>
    <t>John Cravero</t>
  </si>
  <si>
    <t>NDB UT ZPN Provider Pick Analysis</t>
  </si>
  <si>
    <t>FRP - Implementation of APC’s for Medica’s BOB-AO</t>
  </si>
  <si>
    <t>EPO logic bypass for desired groups</t>
  </si>
  <si>
    <t>M. Johnston</t>
  </si>
  <si>
    <t xml:space="preserve">Not a WO.  4-11181, 4-13604 and 4-10564.  All chgs to TOPS demo feed. </t>
  </si>
  <si>
    <t>Move to Managed Services</t>
  </si>
  <si>
    <t>Randy Jacob</t>
  </si>
  <si>
    <t>Pacificare QicLink -HCFA ppoONE Repricing</t>
  </si>
  <si>
    <t>Medica 1/1/06 EPDL Load UAT Resources</t>
  </si>
  <si>
    <t>ITI Reimbursement Reductions - Commercial</t>
  </si>
  <si>
    <t>Lee Biersdorf</t>
  </si>
  <si>
    <t>B2C Security, CES, Data Management, Employer Portal, EPD/NDB, Galaxy, UCAS, EPD, IDT, Unet Online/FE, GRDC - (Group Reporting Data Control), ISEC (Internet Security Database), NDB, ORBIT - Operational Reporting, PRIME, Unified Application IVR</t>
  </si>
  <si>
    <t>Network Database Phase 2</t>
  </si>
  <si>
    <t>COSMOS, EPD/NDB, GALAXY,  EPD, Myuhc - Member Portal, NDB, ORBIT - Operational Reporting, OTS - Overpayment Tracking System, TOPS, UCAS - Unet Claim Accounting Sys (multiple apps), UFE</t>
  </si>
  <si>
    <t>Network Database Phase 3</t>
  </si>
  <si>
    <t>Architecture &amp; Infastructure, B2B Provider Portal, B2C Provider Portal, B2C Security, COSMOS, EPD/NDB, GALAXY, EPD, NDB, ORBIT - Operational Reporting, TOPS</t>
  </si>
  <si>
    <t>Anesthesia 2003 Gaps</t>
  </si>
  <si>
    <t>Adjudipro, Adjudipro, COSMOS. EPD/NDB, Unet Online/FE, COSMOS, TOPS, TOPS Reimbursement, Unet - Front End</t>
  </si>
  <si>
    <t>UHC ONLINE: New Provider Monthly Mailing</t>
  </si>
  <si>
    <t>Extract from EPD/NDB of VA Providers</t>
  </si>
  <si>
    <t>EPD, NDB</t>
  </si>
  <si>
    <t>PreferredOne to LaborCare Vendor Network Transition</t>
  </si>
  <si>
    <t>Dick McCaskill</t>
  </si>
  <si>
    <t>ACIS Suite, CES, EPD/NDB, Summary Check, TCA, TOPS</t>
  </si>
  <si>
    <t>Notifications - UnitedHealthcare Online</t>
  </si>
  <si>
    <t>B2C Provider Portal, CES, COSMOS, EPD/NDB, TOPS</t>
  </si>
  <si>
    <t>Automate Transfer of Corp Owner MPIN for UHC Online</t>
  </si>
  <si>
    <t>B2C Provider Portal, CES, EPD, EPD/NDB, Security/Reporting</t>
  </si>
  <si>
    <t>Unet EOB Summary Check Sort - Stuffer buck slip</t>
  </si>
  <si>
    <t>EPD/NDB, Summary Check</t>
  </si>
  <si>
    <t>HL7 Feed Improvements</t>
  </si>
  <si>
    <t>SPI Benefit Maximums</t>
  </si>
  <si>
    <t>Confirmed with Diana that NDB is not impacted</t>
  </si>
  <si>
    <t>Application Enablement, B2B Provider Portal, B2C Provider Portal, Data Management, EA Data Architecture, Foundation Frameworks, NDB, Portal Reporting, USEC - Universal Security Systems</t>
  </si>
  <si>
    <t>to be replaced with 4-20418</t>
  </si>
  <si>
    <t>B2B Provider Portal, B2C Provider Portal, COMET Desktop.NET, COSMOS, EPD/NDB, IDT - Intelligent Desktop, Summary Check, Testing Environment and Integration, TOPS, Tops Foundation View, TOPS Reimbursement, Unet - Front End</t>
  </si>
  <si>
    <t>ACIS Suite, Acquisition Integrations, CES, Employer Portal, Healthcare Alliance - Medica, NDB, Systems Integration, Testing Environment and Integration, UP Policy Profile Service</t>
  </si>
  <si>
    <t>RSA - Non-Par Payment Schedule</t>
  </si>
  <si>
    <t>TOPS has requested that this be pulled from Sep.  The TOPS deadline for definition is not likely to be met.</t>
  </si>
  <si>
    <t>EPS - Portal Provider Search Relesae 1 (CST Phase)</t>
  </si>
  <si>
    <t>Fee Schedule Automated Quarterly Updates</t>
  </si>
  <si>
    <t>Work Order - Network Management PTI Report</t>
  </si>
  <si>
    <t>Unified Testing Phase I</t>
  </si>
  <si>
    <t>Integration</t>
  </si>
  <si>
    <t>EPS-Database Interfaces</t>
  </si>
  <si>
    <t>SPRF marked as completed in Prompt.</t>
  </si>
  <si>
    <t>Supporting reference data related to Releases and Projects Planning.  Removed from workbook in April 2008</t>
  </si>
  <si>
    <t>2011 MPQ Enhancement Project</t>
  </si>
  <si>
    <t>Application Enablement, COSMOS, Enterprise Application Architecture, NDB, ppoONE, Provider Network Analysis UAT &amp; Tools, TOPS, USEC - Universal Security Systems</t>
  </si>
  <si>
    <t>COSMOS only.  Business requirements have not been finalized.</t>
  </si>
  <si>
    <t>Support ASO for Neighborhood Health Plan products</t>
  </si>
  <si>
    <t>Llyod Dyer</t>
  </si>
  <si>
    <t>Lori Pomroy/Dawn Bazarko</t>
  </si>
  <si>
    <t>ppoONE synchronization to NDB Fee Schedules</t>
  </si>
  <si>
    <t>HPI Behavioral Health Claims Submission</t>
  </si>
  <si>
    <t>Medica-DataSharing-CCMS GHMO Ref/Auth/Not Integrat</t>
  </si>
  <si>
    <t>Enhance NDB to track disclosure forms (Medicaid)</t>
  </si>
  <si>
    <t>ACIS Suite, CES, NDB, PacifiCare Development, PRIME, Systems Integration, United Platform Systems Analysis and Architecture</t>
  </si>
  <si>
    <t>OXHP eliminate "retriggers" from export file</t>
  </si>
  <si>
    <t>Endevor 4.0 Conversion</t>
  </si>
  <si>
    <t xml:space="preserve">1st impact on cc.  </t>
  </si>
  <si>
    <t>SRS Internet Directories</t>
  </si>
  <si>
    <t>Kendall Nygard</t>
  </si>
  <si>
    <t>Application Enablement, Emptoris, Enterprise Application Architecture, Foundation Frameworks, Galaxy, IT Service Management, NDB, TOPS</t>
  </si>
  <si>
    <t>Shelly Pearson</t>
  </si>
  <si>
    <t xml:space="preserve">Medica Migration from IDT/Qstar to ISET </t>
  </si>
  <si>
    <t>ACIS Suite, Atlas, Automated Underwriting, B2B Provider Portal, B2C Provider Portal, BASICS, Card Integration Platform (CIP), CES, CIX (Customer Installation Express), CMA (Content Management Application), COMET Desktop.NET, Contact Center Services, CTS -</t>
  </si>
  <si>
    <t>CC 1 still in estimating - test support only estimate will change estimate number if estimate is not 160 hours</t>
  </si>
  <si>
    <t>Americhoice Rhode Island EPDE file</t>
  </si>
  <si>
    <t>Americhoice Florida NDB EPDE file</t>
  </si>
  <si>
    <t>Application Enablement, Application Enablement Development, Data Management, EPMO, NDB, PRIME, Product Benefit Database - UT, Project Delivery (UHT), Technical Architecture Services, TOPS</t>
  </si>
  <si>
    <t>COSMOS, EPMO, NDB, UFE</t>
  </si>
  <si>
    <t>margaret rush</t>
  </si>
  <si>
    <t>Provider TSO File Update</t>
  </si>
  <si>
    <t>Full Fee Schedule Look up</t>
  </si>
  <si>
    <t>Application Enablement, B2C Provider Portal, NDB, Provider Network Analysis UAT &amp; Tools</t>
  </si>
  <si>
    <t>3 - Completed</t>
  </si>
  <si>
    <t>R1 - Proj Size - Time</t>
  </si>
  <si>
    <t>COMET Desktop.NET, Data Management, NDB, TOPS</t>
  </si>
  <si>
    <t>Application Enablement, B2B Provider Portal, Consumer Database (CDB), Enterprise EDI Business Solutions, Enterprise EDI Technical Operations, HIPAA, Ingenix EDI Solutions, NDB, PHS - EDI, PHS - NICE, Provider Network Analysis UAT &amp; Tools, REVA, UFE</t>
  </si>
  <si>
    <t>UMR-UHIS GEHA Public Account EPDE Feed</t>
  </si>
  <si>
    <t>Application Enablement, B2C Provider Portal, Contact Center Services, Data Management, Enterprise Application Architecture, Enterprise Application Security, EPMO, Foundation Frameworks, NDB, UHT, United Voice Portal Business</t>
  </si>
  <si>
    <t>ACIS Suite, Application Development Repository, Automated Underwriting, B2B Provider Portal, B2C Provider Portal, BASICS, CDD, CES, CMA (Content Management Application), COMCALC, Contact Center Services, COSMOS, Data Management, eArt, EFS/CS IT PM, Electr</t>
  </si>
  <si>
    <t>iCES Clearinghouse, NDB, ppoONE, Summary Check, Testing Environment and Integration, TOPS</t>
  </si>
  <si>
    <t>iCES Clearinghouse, NDB, Summary Check, TOPS, Tops Foundation View, TOPS Reimbursement, Unet - Front End, Unet Batch</t>
  </si>
  <si>
    <t>EPD/NDB, FMR (Field Mgmt Reporting), iCES Clearinghouse, ORBIT - Operational Reporting, Summary Check, TOPS, Tops Foundation View, TOPS Reimbursement</t>
  </si>
  <si>
    <t>Enterprise Solutions, IBM FileNet, iCES Clearinghouse, NDB, PHS - Bottom Line, PHS - EDI, PHS - QicLink/ClaimExchange, ppoONE, Systems Integration, UFE</t>
  </si>
  <si>
    <t>iCES Clearinghouse, NDB, ppoONE, Technical Architecture Services</t>
  </si>
  <si>
    <t>Application Enablement, CES, iCES Clearinghouse, NDB, PRIME, Provider Network Analysis UAT &amp; Tools, TOPS</t>
  </si>
  <si>
    <t>ACIS Suite, CES, CIX (Customer Installation Express), Contact Center Services, Employer Portal, Enterprise Testing, IBAAG - IT (System Changes), iCES Clearinghouse, NDB, PRIME, Summary Check, Systems Integration, Technical Architecture Services, TOPS, UHT</t>
  </si>
  <si>
    <t>iCES Clearinghouse, NDB, ppoONE</t>
  </si>
  <si>
    <t>iCES Clearinghouse, NDB, ppoONE, Systems Integration, UFE</t>
  </si>
  <si>
    <t>B2B Provider Portal, B2C Provider Portal, iCES Clearinghouse, NDB, ppoONE, Summary Check, TOPS</t>
  </si>
  <si>
    <t>ACIS Suite, Applications Impacted Unknown, CES, COMET Desktop.NET, Data Management, EPMO, Galaxy, iCES Clearinghouse, NDB, Network Services (UHT), PRIME, Product Benefit Database - UT, Summary Check, Technical Architecture Services, TOPS, UHT, USEC - Univ</t>
  </si>
  <si>
    <t>CDD, CES, Data Management, iCES Clearinghouse, NDB, Program Definition Intake Team, TCA, TOPS, TOPS Reimbursement, UFE, UHT, Unet - Front End</t>
  </si>
  <si>
    <t>CES, EDI, EPD/NDB, iCES Clearinghouse, Program Definition Intake Team, TOPS, UFE, Unet - Front End, Unet Batch</t>
  </si>
  <si>
    <t>Application Enablement Development, B2B Provider Portal, COMET, COMET Desktop, Contact Center Services, EPD/NDB, Galaxy, GFLX, iCES Clearinghouse, Myuhc - Member Portal, Summary Check, TOPS, UCAS - Unet Claim Accounting Sys (multiple apps), Unet - Front E</t>
  </si>
  <si>
    <t>Data Management, Enterprise Architecture, Enterprise Solutions, IBM FileNet, iCES Clearinghouse, NDB, Pacificare Regional Data Store - PRDS, PHS - Bottom Line, PHS - EDI, PHS - NICE, ppoONE, Systems Integration, UFE</t>
  </si>
  <si>
    <t>IBM FileNet, iCES Clearinghouse, NDB, PHS - EDI, PHS - QicLink/ClaimExchange, ppoONE, Systems Integration, UFE</t>
  </si>
  <si>
    <t>IBM FileNet, iCES Clearinghouse, NDB, PHS - Bottom Line, PHS - EDI, PHS - ILIAD, ppoONE, Systems Integration, UFE</t>
  </si>
  <si>
    <t>iCES Clearinghouse, NDB, ppoONE, UFE</t>
  </si>
  <si>
    <t>iCES Clearinghouse, NDB, PacifiCare Development, ppoONE, TOPS, UFE</t>
  </si>
  <si>
    <t>EPMO, IBM FileNet, iCES Clearinghouse, NDB, PacifiCare Development, PHS - ILIAD, PHS - NICE, ppoONE, TOPS, UFE</t>
  </si>
  <si>
    <t>IBM FileNet, iCES Clearinghouse, NDB, PacifiCare Development, PHS - NICE, ppoONE, TOPS, UFE</t>
  </si>
  <si>
    <t>AmeriChoice, B2B Provider Portal, B2C Provider Portal, CareOne, CareOne ODS, Consumer Database (CDB), Cross Application Testing, Enterprise Clinical ODS (ECODS), NDB, OHCS - Data Management</t>
  </si>
  <si>
    <t>EPMO, Integrated Service Experience Tool ISET, NDB, ORBIT - Operational Reporting, ORS</t>
  </si>
  <si>
    <t>CC19</t>
  </si>
  <si>
    <t>Not oom approved yet - but funded - added per vicky</t>
  </si>
  <si>
    <t>CC5</t>
  </si>
  <si>
    <t>CC 5</t>
  </si>
  <si>
    <t>Pat Casey</t>
  </si>
  <si>
    <t>NDB, Provider Network Analysis UAT &amp; Tools, TOPS, UFE</t>
  </si>
  <si>
    <t>Annelise Martin</t>
  </si>
  <si>
    <t>Notification exclusion info for IDT/ISET</t>
  </si>
  <si>
    <t>Need to coordinate with TOPS.</t>
  </si>
  <si>
    <t>CES, COSMOS, EPD/NDB, Myuhc - Member Portal, PRIME</t>
  </si>
  <si>
    <t>Computer Services, COSMOS, Cross Application Testing, Enterprise Information Management, GPS, GPT - Configuration Management, GPT - EQA Automation, GPT - Release Management, GPT Enterprise QA, GPT Project Management Services, iLEAD, Integrated Service Exp</t>
  </si>
  <si>
    <t>Data Management, EPD/NDB, GFLX, iCES Clearinghouse, IDT - Intelligent Desktop, OPS Reporting, ORBIT - Operational Reporting, PRS, PRS, UNET Claims, UNET Batch, Summary Check, Galaxy, TOPS, UNET OnLine, Summary Check, TCA, TOPS, TOPS - FrontEnd &amp; Online, U</t>
  </si>
  <si>
    <t>Emptoris 2011 Feed Reconciliation Enhancements</t>
  </si>
  <si>
    <t>EPMO, NDB, Network Technology &amp; Support, ppoONE, UFE, UHCTS-UMR EDI Services, UHCTS-UMR-WAU(Wausau)</t>
  </si>
  <si>
    <t>ACIS Suite, Acquisition Integrations, Application Enablement, B2B Provider Portal, B2C Provider Portal, Bank Information System (BIS), BH-Elig/Benefits, Card Request System (CRS), CCS-CCF, CES, CIX (Customer Installation Express), Consumer Account Managem</t>
  </si>
  <si>
    <t>EPMO, IBM FileNet, NDB, PHS - IFS (Integrated Financial System) Oracle Fin, PHS - NICE, Provider Network Analysis UAT &amp; Tools, UFE</t>
  </si>
  <si>
    <t>EOB Print 2010</t>
  </si>
  <si>
    <t>Build provider db to capture fields not in NDB</t>
  </si>
  <si>
    <t>AMC IT PM, EPMO, Galaxy, NDB</t>
  </si>
  <si>
    <t>B2B Provider Portal, B2C Provider Portal, CareOne, CCS-CCF, Consumer Database (CDB), COSMOS, Ingenix EDI Solutions, NDB</t>
  </si>
  <si>
    <t>Completed in prompt 1/27/11</t>
  </si>
  <si>
    <t>cancelled in prompt 1/27/11</t>
  </si>
  <si>
    <t>updated per Liz due to decrease in cc 1</t>
  </si>
  <si>
    <t>Automate online FL provider search &amp; directory</t>
  </si>
  <si>
    <t>Complete NDB to Facets for Pittsburgh Facets/ASP</t>
  </si>
  <si>
    <t>HPHC - DataSharing - Staging Area for PTDD</t>
  </si>
  <si>
    <t>Integration - John Deere</t>
  </si>
  <si>
    <t>MEDICA Education sessions, follow-up support and Integration Testing</t>
  </si>
  <si>
    <t>Claims Repricing</t>
  </si>
  <si>
    <t>Melissa Tessier</t>
  </si>
  <si>
    <t>J. King</t>
  </si>
  <si>
    <t>OXHP Scope Change for EPDE Feed</t>
  </si>
  <si>
    <t>National Medical - Strategy &amp; Architecture - 2007</t>
  </si>
  <si>
    <t>Application Enablement, B2C Provider Portal, CES, CMA (Content Management Application), Employer Portal, EPMO, GEOAccess, Myuhc - Member Portal, NDB, Online Provider Directory</t>
  </si>
  <si>
    <t>CORP1-ConvTools-Corporate BPO Analysis</t>
  </si>
  <si>
    <t>Georgia Heritage Expansion to Facets &amp; Narrow Ntwk</t>
  </si>
  <si>
    <t>ACIS Suite, ACN Infrastructure, Atlas, CES, CIX (Customer Installation Express), CMA (Content Management Application), COMET Desktop.NET, CTS - Common Tables System, Dental/Vision Infrastructure, eArt, eBor, Employer Portal, FADB (Financial Assignment Dat</t>
  </si>
  <si>
    <t>HPHC2-O-rate Schedule Submission via EPDL</t>
  </si>
  <si>
    <t>Application(s) impacted</t>
  </si>
  <si>
    <t>Per Unit Calculation</t>
  </si>
  <si>
    <t>NGRC Full EPDE File Pull</t>
  </si>
  <si>
    <t>Facility Processing</t>
  </si>
  <si>
    <t>ACIS Suite, CES, COMET Desktop.NET, NDB, PRIME, Systems Integration, Technical Architecture Services, TOPS</t>
  </si>
  <si>
    <t xml:space="preserve">ACIS Suite, Application Infrastructure Services, B2B Provider Portal, B2C Provider Portal, CES, CFAS, COMCALC, CTS - Common Tables System, Data Management, FICS, FMR (Field Mgmt Reporting), Foundation Frameworks, FSDB - Financial Summary Database (5087), </t>
  </si>
  <si>
    <t>Freiheit, Kathy</t>
  </si>
  <si>
    <t>B2C Provider Portal, CES, ISEC (Internet Security Database), Myuhc - Member Portal, NDB</t>
  </si>
  <si>
    <t>1099 Extract Modification Claim Acctg</t>
  </si>
  <si>
    <t>Laura Levesque / Guy Grindberg</t>
  </si>
  <si>
    <t>EDI 278 Notification Enhancements - 2010.02</t>
  </si>
  <si>
    <t>Bartley Bryt</t>
  </si>
  <si>
    <t>CES, Data Management, Galaxy, NDB, UPCT</t>
  </si>
  <si>
    <t>CDD, CES, EPD/NDB, Network Match, NSD, PRIME, Program Definition Intake Team, TOPS, TOPS Reimbursement, Unet - Front End</t>
  </si>
  <si>
    <t>ACIS Suite, Atlas, Automated Customer Installation, Case Package, CDD, CES, Employer Portal, eServices Billing, FMR (Field Mgmt Reporting), Galaxy, ISL (Individual Stop Loss), NDB, OnLine Enrollment, ORBIT - Operational Reporting, PeopleSoft BI/AR, Produc</t>
  </si>
  <si>
    <t>PBD - Benefit Query/Data Migration 3.0 - NDB not impacted</t>
  </si>
  <si>
    <t>Eligibility File Transmissions</t>
  </si>
  <si>
    <t>Decommission PHP Michigan Health Plans</t>
  </si>
  <si>
    <t>Medica Enhancements - Target Directory</t>
  </si>
  <si>
    <t>Provider Data Download by ZIP</t>
  </si>
  <si>
    <t>Complete in Prompt.</t>
  </si>
  <si>
    <t>Rev Code 510</t>
  </si>
  <si>
    <t xml:space="preserve">Tim Kaja </t>
  </si>
  <si>
    <t>Work Order to fix provider phone number pull</t>
  </si>
  <si>
    <t>IDT, USEC</t>
  </si>
  <si>
    <t>TBDOB05</t>
  </si>
  <si>
    <t>Application Enablement, Computer Services, Consumer Database (CDB), Enterprise Information Management, Security Access Tracking System, USEC - Universal Security Systems</t>
  </si>
  <si>
    <t>iHSR - Release 4</t>
  </si>
  <si>
    <t>UT
Duration</t>
  </si>
  <si>
    <t>NDB, Pacificare Regional Data Store - PRDS, PHS - NICE</t>
  </si>
  <si>
    <t>Erin Nelson</t>
  </si>
  <si>
    <t>MPQ Inventory Reports</t>
  </si>
  <si>
    <t>Windows XP Service Pack 2 Application Testing</t>
  </si>
  <si>
    <t>Timely Filing Contract Resolution</t>
  </si>
  <si>
    <t>Retiree Solutions - Strategy and Architecture</t>
  </si>
  <si>
    <t>CORP1 - Infrastructure - Capacity Growth</t>
  </si>
  <si>
    <t xml:space="preserve">ACIS Suite, Application Enablement, B2B Provider Portal, B2C Provider Portal, CCS-CCF, CES, CMA (Content Management Application), Computer Services, Consumer Database (CDB), Contact Center Services, COSMOS, Cross Application Testing, Data Delivery System </t>
  </si>
  <si>
    <t>Application Enablement, CES, Consumer Database (CDB), COSMOS, Cross Application Testing, EPMO, Healthcare Alliance - Medica, Integrated Service Experience Tool ISET, NDB, ORS, PRIME, Systems Integration, TOPS</t>
  </si>
  <si>
    <t>COSMOS, Cross Application Testing, EPMO, Galaxy, Healthcare Alliance - Medica, NDB, Systems Integration, Testing Environment and Integration</t>
  </si>
  <si>
    <t>CES, Consumer Account Management System (CAMS), Cross Application Testing, Myuhc - Member Portal, NDB, Testing Environment and Integration</t>
  </si>
  <si>
    <t>multiple provider update- UHC Online</t>
  </si>
  <si>
    <t>KA Custom Website Funding for 2004</t>
  </si>
  <si>
    <t>Alert Notification HL7 Feed</t>
  </si>
  <si>
    <t>EPDL Report Reformat</t>
  </si>
  <si>
    <t>GeoAccess/Ingenix Directory Integration - Phase 1</t>
  </si>
  <si>
    <t>Galaxy, ISEC (Internet Security Database), Myuhc - Member Portal, NDB, UHC.COM</t>
  </si>
  <si>
    <t>Network Gap with Care Coordination</t>
  </si>
  <si>
    <t>Add Data Elements To 022, 064, and 065 Queries</t>
  </si>
  <si>
    <t>ACIS Suite, B2B Provider Portal, B2C Provider Portal, BASICS, CDD, CES, COMET Desktop.NET, Computer Services, Contact Center Services, CTS - Common Tables System, Data Management, eArt, EDSS (COLD), Employer Portal, Emptoris, Enterprise Application Archit</t>
  </si>
  <si>
    <t xml:space="preserve">ACIS Suite, Application Enablement, APT, Automated Underwriting, B2B Provider Portal, B2C Provider Portal, CDD, CES, COMET Desktop, COMET Desktop.NET, Contact Center Services, CTS - Common Tables System, Data Management, Electronic Eligibility Management </t>
  </si>
  <si>
    <t>USEC - Universal Security Systems</t>
  </si>
  <si>
    <t>NDB, TOPS</t>
  </si>
  <si>
    <t>Mississippi PP01 Updates</t>
  </si>
  <si>
    <t>SHARION WILTON</t>
  </si>
  <si>
    <t>Application Enablement, Automated Underwriting, CMA (Content Management Application), Data Management, Enterprise Application Architecture, Enterprise Architecture, EPMO, eServices Billing, Foundation Frameworks, GRDC - (Group Reporting Data Control), NDB</t>
  </si>
  <si>
    <t>UHPD (Physician) – Desig Rules &amp; Data Input/Output</t>
  </si>
  <si>
    <t>Replacing 2 TBD Onboarding Placeholders</t>
  </si>
  <si>
    <t>not OOM approved for 90 days.</t>
  </si>
  <si>
    <t>Targeted Provider Indicator Addition to NDB</t>
  </si>
  <si>
    <t>MWSFully Insured business repricing w/ UHN Network</t>
  </si>
  <si>
    <t>Replaced with sprf 4-14653</t>
  </si>
  <si>
    <t>Auto Assign Correct GHMO IPA with MAHP RAD Area</t>
  </si>
  <si>
    <t>Annual sprf for one-shot queue</t>
  </si>
  <si>
    <t>AmeriChoice, B2B Provider Portal, B2C Provider Portal, CareOne, Consumer Database (CDB), COSMOS, NDB, Portal Reporting</t>
  </si>
  <si>
    <t>W/O Eliminate emailed IDs from daily LDAP file</t>
  </si>
  <si>
    <t>HPHC1-WO- Update Logic for Weekly Provider Mailing</t>
  </si>
  <si>
    <t>UHN Sales Pipeline Management</t>
  </si>
  <si>
    <t xml:space="preserve">Add contr template, IRT &amp; Ref Rules to UHN Rept </t>
  </si>
  <si>
    <t>Ready to schedule.</t>
  </si>
  <si>
    <t>Completed in Prompt</t>
  </si>
  <si>
    <t>Integegration - PHS</t>
  </si>
  <si>
    <t>MAHP MLH Product Build on United Platform</t>
  </si>
  <si>
    <t>AMS EPDL Data Load</t>
  </si>
  <si>
    <t>In Strategy Council.  Will be cancelled.</t>
  </si>
  <si>
    <t>In Funding</t>
  </si>
  <si>
    <t>ACIS Suite, Application Enablement, B2B Provider Portal, B2C Provider Portal, CES, COMET Desktop.NET, Contact Center Services, COSMOS, Data Management, Definity Health App Suite, Employer Portal, Enterprise Application Architecture, Foundation Frameworks,</t>
  </si>
  <si>
    <t>Application Enablement, CES, Consumer Database (CDB), Integrated Service Experience Tool ISET, Knowledge Management, NDB, ORS, Provider Network Analysis UAT &amp; Tools, TOPS</t>
  </si>
  <si>
    <t>MAHP OneNet Replatform - Analysis</t>
  </si>
  <si>
    <t>ETS-Replace IDT MT WebServices (UPM / AE)</t>
  </si>
  <si>
    <t>Michael Racette</t>
  </si>
  <si>
    <t>AmeriChoice, Application Enablement, CES, Consumer Database (CDB), COSMOS, EPMO, ETS (Escalation Tracking System), Facets Solution Group, NDB, ORS, PRIME, TOPS</t>
  </si>
  <si>
    <t>Medica HCA NPI Analysis Only</t>
  </si>
  <si>
    <t>New Super User Roles for HP</t>
  </si>
  <si>
    <t>Network Mgt/H.P. Access to NDB Phy.Dem. Info</t>
  </si>
  <si>
    <t>BR/HLD Due Date</t>
  </si>
  <si>
    <t>Program Name</t>
  </si>
  <si>
    <t>Business sponsor</t>
  </si>
  <si>
    <t>Member Portal Migration to NCP - mymedica</t>
  </si>
  <si>
    <t>Empire Plan - AS/Co-surgeon Calculations</t>
  </si>
  <si>
    <t>Medica - UHC Network Reciprocity</t>
  </si>
  <si>
    <t>COMET Desktop.NET, NDB, TOPS</t>
  </si>
  <si>
    <t>diCarta Phy Load - Exclusion Table</t>
  </si>
  <si>
    <r>
      <t>Ready to schedule</t>
    </r>
    <r>
      <rPr>
        <sz val="8"/>
        <rFont val="Arial"/>
        <family val="2"/>
      </rPr>
      <t>.  Targeting Q1 2007.</t>
    </r>
  </si>
  <si>
    <t>OI00001</t>
  </si>
  <si>
    <t>OI00004</t>
  </si>
  <si>
    <t>OI00011</t>
  </si>
  <si>
    <t>OI00034</t>
  </si>
  <si>
    <t>OI00035</t>
  </si>
  <si>
    <t>ERC Proof of Concept</t>
  </si>
  <si>
    <t>Needs to be scheduled with 4-14472.  Project descoped.  NDB is testing only.  It was determined that testing could be done under 4-14794.</t>
  </si>
  <si>
    <t>NDB was unimpacted on this sprf</t>
  </si>
  <si>
    <t>Regulatory Reporting System - Phase 1</t>
  </si>
  <si>
    <t xml:space="preserve">Texas Service Delivery Area (SDA) </t>
  </si>
  <si>
    <t>Moved to one-shot queue?</t>
  </si>
  <si>
    <t>TBDEPDL1</t>
  </si>
  <si>
    <t>TBDEPDL2</t>
  </si>
  <si>
    <t>CES, COLD (expired), COSMOS, Data Management, EPD/NDB, IBAAG - IT (System Changes), IDRS (SCAD), IDT - Intelligent Desktop, Knowledge library, ORBIT - Operational Reporting, ORS, PC-ORS, Product Benefit Database - UT, Program Definition Intake Team, SALSA</t>
  </si>
  <si>
    <t>API_AMI_EUI Test Capability</t>
  </si>
  <si>
    <t>CBA required. Per Uniprise, project is regulatory and a CBA is not required.  One-shots to COSMOS</t>
  </si>
  <si>
    <t xml:space="preserve">UFE Security Compliance </t>
  </si>
  <si>
    <t>Teresa Melchior</t>
  </si>
  <si>
    <t>2008 One Shot Requests</t>
  </si>
  <si>
    <t xml:space="preserve">Update NDB Org Typ Crosswalk </t>
  </si>
  <si>
    <t>MAHP GHMO APC Contr Pricing</t>
  </si>
  <si>
    <t xml:space="preserve">NHP Migration </t>
  </si>
  <si>
    <t xml:space="preserve">NDM Queue Search Auto </t>
  </si>
  <si>
    <t>Descope makes NDB testing only.  Includes CC04</t>
  </si>
  <si>
    <t>Corrected all spreadsheets that use GK to lookup data</t>
  </si>
  <si>
    <t>Data Model Due Date</t>
  </si>
  <si>
    <t>Fee Schedule Enhancements</t>
  </si>
  <si>
    <t>All Payor Setup in NDB</t>
  </si>
  <si>
    <t>UTSF Comet</t>
  </si>
  <si>
    <t>diCarta Validation Engine</t>
  </si>
  <si>
    <t>FRED CAMACHO</t>
  </si>
  <si>
    <t>NPI UFECompliance</t>
  </si>
  <si>
    <t>HPHC1-Apply LO Logic - individual claim line level</t>
  </si>
  <si>
    <t>Suzanne Smith</t>
  </si>
  <si>
    <t>Claim Repricing - Resubmitted</t>
  </si>
  <si>
    <t>Roxanne Hanus</t>
  </si>
  <si>
    <t>Application Enablement, B2B Provider Portal, B2C Provider Portal, COSMOS, CPW, Cross Application Testing, Data Management, Enterprise Architecture, Foundation Frameworks, NDB, ORBIT - Operational Reporting, ppoONE, Provider Network Analysis UAT &amp; Tools, S</t>
  </si>
  <si>
    <t xml:space="preserve">Applications Impacted Unknown, B2B Provider Portal, CareOne, CCS-CCF, CES, Computer Services, Consumer Database (CDB), COSMOS, Cross Application Testing, Enterprise Architecture, EPMO, Ingenix EDI Solutions, Ingenix Intra-Segment Work Request, NDB, ORBIT </t>
  </si>
  <si>
    <t>WOQ2 NDB OI 00262 EPDI Tbl access &amp; query ability</t>
  </si>
  <si>
    <t>B2B Provider Portal, BH-Eagle, BH-Elig/Benefits, BH-Facets - UBH, BH-PBH Facets, BH-Shared Components, Claims Highway, Claims QA, Consumer Database (CDB), EPMO, Integrated Service Experience Tool ISET, NDB, OptumHealth Segment Architecture - OHBS, UFE</t>
  </si>
  <si>
    <t>400049159A</t>
  </si>
  <si>
    <t>400041448A</t>
  </si>
  <si>
    <t>Claims QA, COSMOS, Cross Application Testing, Enterprise Information Management, EPMO, NDB, Network Technology &amp; Support, UHC C and S Business Requirements, UHC C and S Diamond-Diamond Interfaces, UHC C and S IT PM, UHC C and S Portals (Provider/Marketing</t>
  </si>
  <si>
    <t>Dev-Led</t>
  </si>
  <si>
    <t>1/23 Added additional scope  - increased from 4 to 7.16 pm's</t>
  </si>
  <si>
    <t>Applications Impacted Unknown, B2B Provider Portal, Capitation - Business Analysis, Claims Highway, Consumer Database (CDB), COSMOS, ECap, EPMO, ESP Systems Planning and Alignment, FSDB - Financial Summary Database (5087), FTS Financial Tagging Service, G</t>
  </si>
  <si>
    <t xml:space="preserve">PDR - Cosmos to PDR Pilot Facility Pricing </t>
  </si>
  <si>
    <t>Project Strawberry - Application Solutions</t>
  </si>
  <si>
    <t>Dino Colaluca</t>
  </si>
  <si>
    <t>Louisiana Medicaid</t>
  </si>
  <si>
    <t>Application Enablement, EPMO, GEOAccess, Integrated Service Experience Tool ISET, NDB, Provider Network Analysis UAT &amp; Tools, UHN Reporting Database, United Health Premium Designation (UHPD)</t>
  </si>
  <si>
    <t>Provider search solution fit-gap analysis</t>
  </si>
  <si>
    <t>Changes to HEDIS Provider Measures for NDB</t>
  </si>
  <si>
    <t>Maryland Application Tracking Log</t>
  </si>
  <si>
    <t>NPI Count Orbit Report</t>
  </si>
  <si>
    <t>Eileen Dock</t>
  </si>
  <si>
    <t>PacifiCare Behavioral Health Repricing Implementat</t>
  </si>
  <si>
    <t>Contract Master Report</t>
  </si>
  <si>
    <t>U2</t>
  </si>
  <si>
    <t xml:space="preserve">HCAC Enhanced Functionality and Combined ID Cards </t>
  </si>
  <si>
    <t>B2C Provider Portal, CES, Emptoris, EPMO, Galaxy, GEOAccess, GeoAccess for UHC.Com, IDT - Intelligent Desktop, Myuhc - Member Portal, NDB, TOPS, Trend Analytic Datamart (TADM), UHC Use Only -Non Galaxy Ingenix, United Health Premium Designation (UHPD)</t>
  </si>
  <si>
    <t>ACIS Suite, Acquisition Integrations, CES, Employer Portal, Healthcare Alliance - Medica, NDB, PRIME, Systems Integration, UP Policy Profile Service</t>
  </si>
  <si>
    <t>MWS Choice claims to be automatically repriced</t>
  </si>
  <si>
    <t>Consumer Experience Portal</t>
  </si>
  <si>
    <t>Regulatory</t>
  </si>
  <si>
    <t>Alliance PPO: Phase I, NDB Provider Extract/Counts</t>
  </si>
  <si>
    <t>Periodic Provider File Transfer Via FTP to Aon</t>
  </si>
  <si>
    <t>KIMBERLY DOWNS</t>
  </si>
  <si>
    <t xml:space="preserve">EPDL Batch Auto- Cha/Del </t>
  </si>
  <si>
    <t>RSA - PDR Contract Maintenance</t>
  </si>
  <si>
    <t>OI00110R1</t>
  </si>
  <si>
    <t>OI00110</t>
  </si>
  <si>
    <t>Integration - WPAHS</t>
  </si>
  <si>
    <t>CIN - EPO</t>
  </si>
  <si>
    <t>Radiology Accreditation – Pilot Test Claims</t>
  </si>
  <si>
    <t>Policy Alpha Definition Enh: Medica Test Support</t>
  </si>
  <si>
    <t>Medica - NDB/DDS Data Dictionary Enhancements - WO</t>
  </si>
  <si>
    <t>Update to eBroker NDB Feed to exclude CSP/GSP</t>
  </si>
  <si>
    <t>Carloyn Magill/ Bill Guptail</t>
  </si>
  <si>
    <t>Per Scott Thompson - CC# 6 needs to be cancelled.
Center of Excellence funding pool does not have budget in 2006.  Being moved to a Uniprise funding pool.</t>
  </si>
  <si>
    <t>PDR - NDB Enhanced Logical Data Model</t>
  </si>
  <si>
    <t>Data Extracts to support NYAG / AMA Settlement Act</t>
  </si>
  <si>
    <t>COSMOS, NDB</t>
  </si>
  <si>
    <t>Prompt
Status</t>
  </si>
  <si>
    <t>PRIME 21 - Multi-Site / Multi-Option</t>
  </si>
  <si>
    <t>HIPAA Security-U3,6- UDP Enhancement</t>
  </si>
  <si>
    <t>Galaxy, GEOAccess, NDB, ORBIT - Operational Reporting, UHC Use Only -Non Galaxy Ingenix</t>
  </si>
  <si>
    <t>WILLIAM CAVANAUGH</t>
  </si>
  <si>
    <t>CC36</t>
  </si>
  <si>
    <t>CC37</t>
  </si>
  <si>
    <t>835 - All records set up in NDB</t>
  </si>
  <si>
    <t>Non-Network Timely Filing</t>
  </si>
  <si>
    <t>Data Delivery System (DDS), Healthcare Alliance - Medica, NDB, Systems Integration</t>
  </si>
  <si>
    <t>Imad  Ahmed</t>
  </si>
  <si>
    <t>Replication of Provider Contract Lines</t>
  </si>
  <si>
    <t>COMET Desktop.NET, Data Management, Foundation Frameworks, Galaxy, NDB, TOPS, TOPS Reimbursement, UCAS - Unet Claim Accounting Sys (multiple apps)</t>
  </si>
  <si>
    <t>HEDIS 2006 Provider Measures</t>
  </si>
  <si>
    <t>Updates to Claims Repricing Statistical Report</t>
  </si>
  <si>
    <t>This will impact multiple tabs including Provider Council - Unscheduled.</t>
  </si>
  <si>
    <t>CT Medicaid Implementation - Cross App</t>
  </si>
  <si>
    <t>ACEC Trust</t>
  </si>
  <si>
    <t>Alfredo Penteado</t>
  </si>
  <si>
    <t>Dave Withee</t>
  </si>
  <si>
    <t>CC14R4</t>
  </si>
  <si>
    <t>Web-Based Solution for NDM Work Queue</t>
  </si>
  <si>
    <t>VirtualClinic - QA Resources</t>
  </si>
  <si>
    <t>Looking to leverage offshore.  Will be done as On-demand jobs, offcycle</t>
  </si>
  <si>
    <t>Passport V2</t>
  </si>
  <si>
    <t xml:space="preserve">Returned to Requestor </t>
  </si>
  <si>
    <t>Lab</t>
  </si>
  <si>
    <t>iCES November 2009 Maintenance Release</t>
  </si>
  <si>
    <t>HPHC1 - Implement HPHC Multi-site on PRIME/UNET</t>
  </si>
  <si>
    <t>Marked completed in Prompt.  Will be replaced by 4-13198.</t>
  </si>
  <si>
    <t>PIT- UNET Medicare CrossOver MH claim underpayment</t>
  </si>
  <si>
    <t xml:space="preserve">Ovations Load Status errors. </t>
  </si>
  <si>
    <t>B2B Provider Portal, B2C Provider Portal, Data Management, Emptoris, Enterprise Architecture, Galaxy, IDT - Intelligent Desktop, NDB, ORBIT - Operational Reporting, Security Access Tracking System, Systems Integration, Testing Environment and Integration,</t>
  </si>
  <si>
    <t>CES, NDB, Testing Environment and Integration, TOPS</t>
  </si>
  <si>
    <t>1st impact on cc.  Anne Marie only attending only status calls in Nov.  Not adding to GK</t>
  </si>
  <si>
    <t>ACIS Suite, Adjudipro, Application Infrastructure Services, B2B Provider Portal, B2C Provider Portal, BASICS, CDD, CES, CFAS, COMCALC, COMET Desktop.NET, COSMOS, CPW, Electronic Eligibility Management System (EEMS), Employer Portal, eServices Billing, FIC</t>
  </si>
  <si>
    <t>Comet Desktop Performance Testing Support</t>
  </si>
  <si>
    <t>UBH</t>
  </si>
  <si>
    <t>Queue Consolidation and Management</t>
  </si>
  <si>
    <t>JDRV: FACETS EPDE Enhancements</t>
  </si>
  <si>
    <t>B2B Provider Portal, B2C Provider Portal, Myuhc - Member Portal, NDB, ORBIT - Operational Reporting, Portal Reporting, RAD/BOB</t>
  </si>
  <si>
    <t>NDB Provider Pick: RTA Defect Rate Analysis</t>
  </si>
  <si>
    <t>Updated NDB Foundation View: NPI and Fax</t>
  </si>
  <si>
    <t>Role level resource utilization by sprf within release - removed from workbook April 2008</t>
  </si>
  <si>
    <t>Executive summary of R7 - Resource Alloc - removed from workbook April 2008</t>
  </si>
  <si>
    <t>R2 - Capacity</t>
  </si>
  <si>
    <t>CC6</t>
  </si>
  <si>
    <t>Dist
Apps</t>
  </si>
  <si>
    <t>One Shot</t>
  </si>
  <si>
    <t>Cynthia Barwin</t>
  </si>
  <si>
    <t>CURT SCHROEDERS</t>
  </si>
  <si>
    <t>WO: Modification to X-Walk Updates</t>
  </si>
  <si>
    <t>Dual Elig Membership- RSA Analysis</t>
  </si>
  <si>
    <t xml:space="preserve">Neighborh'd Health Part'shp (NHP) EPDE Extract </t>
  </si>
  <si>
    <t>PacifiCare HNS UB ppoONE Repricing</t>
  </si>
  <si>
    <t>APCD Provider Reporting</t>
  </si>
  <si>
    <t xml:space="preserve">Enterprise Provider Data Interface </t>
  </si>
  <si>
    <t>UHPD values missing on Directory (Prim Dir Ind=N)</t>
  </si>
  <si>
    <t>NDB, UHCTS-OXHP(Oxford)</t>
  </si>
  <si>
    <t>Telehealth - NDB Adding Clinic Types</t>
  </si>
  <si>
    <t>B2B Provider Portal, COSMOS, EPMO, Foundation Frameworks, NDB, Railroad, Summary Check, TOPS, UFE</t>
  </si>
  <si>
    <t>Adjudipro, COSMOS, EPMO, NDB, UFE</t>
  </si>
  <si>
    <t>COG Preparation: Conversion to Diamond Analysis</t>
  </si>
  <si>
    <t>Sarbanes-Oxley Project</t>
  </si>
  <si>
    <t>In estimating.  Per Jeff Huxley, NDB will not be impacted on this SPRF.</t>
  </si>
  <si>
    <t>ACIS Suite, Atlas, Automated Customer Installation, BASICS, CDD, CES, Data Management, e-Bill, Electronic Eligibility Management System (EEMS), Employer Portal, EPD/NDB, FMR (Field Mgmt Reporting), GEFT - Global Electronic Funds Transfer, GFLX, IDT - Inte</t>
  </si>
  <si>
    <t>Empire Plan-Correct IVR Directory Information</t>
  </si>
  <si>
    <t>Convenience Care Prov. Type Communication to Optum</t>
  </si>
  <si>
    <t>Definity Integrated Platform for 1/1/06</t>
  </si>
  <si>
    <t>Gloria Callari</t>
  </si>
  <si>
    <t>Redesign Provider Search for myuhc.com</t>
  </si>
  <si>
    <t>Display consumer GIC messages in UHConline</t>
  </si>
  <si>
    <t>Scott Heimes</t>
  </si>
  <si>
    <t>Allow UHC to pay the enrollee for OON providers</t>
  </si>
  <si>
    <t>EPMO, Galaxy, HIPAA, NDB, ORBIT - Operational Reporting</t>
  </si>
  <si>
    <t>COMET Desktop.NET, Enterprise Testing, EPMO, HIPAA, NDB, TOPS</t>
  </si>
  <si>
    <t>add virgin islands as a state pick in the market f</t>
  </si>
  <si>
    <t>NASC, NDB</t>
  </si>
  <si>
    <t>Gated HMO Design &amp; Development Phase III</t>
  </si>
  <si>
    <t>EPDE Full File Pull for PHS Auto-Load - Oregon</t>
  </si>
  <si>
    <t>to be cancelled per MStoy</t>
  </si>
  <si>
    <t>TBDOB11</t>
  </si>
  <si>
    <t>Paul McCarthy</t>
  </si>
  <si>
    <t>Time for Anton to do DR work.  Not really NDB - just needed to impact 7785 for TRS</t>
  </si>
  <si>
    <t>CES, NDB, PHS - Medical Infomatics/Management, PHS - Medical Management, TOPS</t>
  </si>
  <si>
    <t>Data Integrity Analysis</t>
  </si>
  <si>
    <t>B2B 276 Search - MPIN Not Required</t>
  </si>
  <si>
    <t>Application Enablement, CareOne, GPT Clinical, NDB</t>
  </si>
  <si>
    <t>Dave Decker</t>
  </si>
  <si>
    <t>NDB Orate Contract Level Detail Table Data</t>
  </si>
  <si>
    <t>Enhance NDB's PDS Module to delete invalid UHCIDs</t>
  </si>
  <si>
    <t>PTI Derivation Project Completion</t>
  </si>
  <si>
    <t>Application Enablement, B2B Provider Portal, B2C Provider Portal, NDB, Provider Network Analysis UAT &amp; Tools, UHN Reporting Database</t>
  </si>
  <si>
    <t>NDB impacted via CC01. In estimating</t>
  </si>
  <si>
    <t>Mark Gennerman</t>
  </si>
  <si>
    <t>PHS RIMS_UPCT Cust-Elig</t>
  </si>
  <si>
    <t xml:space="preserve">Web Enabled Customer Self Service  </t>
  </si>
  <si>
    <t>EFS -Anderle-Rem NDB edit EPS Address Inactivation</t>
  </si>
  <si>
    <t>Application Enablement, B2B Provider Portal, B2C Provider Portal, Commercial Payment System (EPS), Data Management, EA Data Architecture, EPMO, Foundation Frameworks, HIPAA, IDT - Intelligent Desktop, NDB, ORS, Portal Reporting, TOPS, UFE</t>
  </si>
  <si>
    <t>NDB to DDS Feed Regression Test &amp; RI Issue Remed</t>
  </si>
  <si>
    <t>ACIS Suite, BASICS, CES, Data Delivery System (DDS), eServices Billing, FADB (Financial Assignment Database), NDB, PCIS, PRIME, Systems Integration, TOPS, UCAS - Unet Claim Accounting Sys (multiple apps), UHG Enterprise Data Architecture, UPCT</t>
  </si>
  <si>
    <t>O/P Surgery Move to EPD</t>
  </si>
  <si>
    <t>Add row button was complex with coloring, Laura noted that she didn't need this and could copy the final row for an add.  A review of the process to add a row might be needed either way to prevent people from inserting rows</t>
  </si>
  <si>
    <t>Cancelled?</t>
  </si>
  <si>
    <t>Common Intake / Coverage Review Release 3</t>
  </si>
  <si>
    <t>Ellen Koch</t>
  </si>
  <si>
    <t>ePrescribe System Enhanc for Provider Directory</t>
  </si>
  <si>
    <t>COSMOS Provider ID Runout</t>
  </si>
  <si>
    <t>Pam Harmon</t>
  </si>
  <si>
    <t>C. Chen</t>
  </si>
  <si>
    <t>Medical Necessity Legacy Application Updates</t>
  </si>
  <si>
    <t>Stephanie Elliott</t>
  </si>
  <si>
    <t>UHIS - Zenith Implementation</t>
  </si>
  <si>
    <t>Enterprise Application Architecture, NDB, Project Delivery (UHT), UHT</t>
  </si>
  <si>
    <t>Provider Data for QuotIt</t>
  </si>
  <si>
    <t>This includes NDB and USEC components</t>
  </si>
  <si>
    <t xml:space="preserve">ITI Reimbursement Reductions - Commercial </t>
  </si>
  <si>
    <t>Still reviewing requirement and determining scope for Dec</t>
  </si>
  <si>
    <t>PEGGY LOPRETE</t>
  </si>
  <si>
    <t>Application Enablement, B2B Provider Portal, B2C Provider Portal, Consumer Database (CDB), Enterprise Architecture, EPMO, IBAAG - IT (System Changes), IDT - Intelligent Desktop, Myuhc - Member Portal, NDB, Portal Reporting</t>
  </si>
  <si>
    <t>Harvard Pilgrim EPDL Standard Set-up - Phase II</t>
  </si>
  <si>
    <t>MAHP Well Woman Copay</t>
  </si>
  <si>
    <t>NDC Pricing - Phase 2 PHS (Nice)</t>
  </si>
  <si>
    <t xml:space="preserve">Migration of Medica to UNET and Passport </t>
  </si>
  <si>
    <t>Consolidate&amp; Optimize Network Reporting Environmen</t>
  </si>
  <si>
    <t>UB-92 Claim: Ability to Read COSMOS CMS Fee Sched.</t>
  </si>
  <si>
    <t>NPI Reporting Compliance</t>
  </si>
  <si>
    <t>Mimi Taylor</t>
  </si>
  <si>
    <t xml:space="preserve">EPDE Full File Pulls for PHS Auto-Load </t>
  </si>
  <si>
    <t>OI00106</t>
  </si>
  <si>
    <t xml:space="preserve">OI00109 </t>
  </si>
  <si>
    <t>OI00107</t>
  </si>
  <si>
    <t>NHP Migration - EPDE file for data conversion</t>
  </si>
  <si>
    <t>PHS Rx Solutions Connectivity</t>
  </si>
  <si>
    <t xml:space="preserve">Fix CAP IND Logic </t>
  </si>
  <si>
    <t xml:space="preserve">Z Format Contract Edit </t>
  </si>
  <si>
    <t>Radiology Accreditaiton NDB Report Change</t>
  </si>
  <si>
    <t>B2B Provider Portal, B2C Provider Portal, NDB, Systems Integration</t>
  </si>
  <si>
    <t>Anne Defusco</t>
  </si>
  <si>
    <t>Tara Lund</t>
  </si>
  <si>
    <t>Ted Waz</t>
  </si>
  <si>
    <t>CPR2</t>
  </si>
  <si>
    <t>PPII - Security - Conversion Readiness - R.2</t>
  </si>
  <si>
    <t>PPII - Security - Full Conversion - R.3</t>
  </si>
  <si>
    <t>KAREN MCKINNEY</t>
  </si>
  <si>
    <t>UHG .NET Development Strategy</t>
  </si>
  <si>
    <t>Definity HCFA and UB to ppoONE/iCES</t>
  </si>
  <si>
    <t>No DTR's were identified for April</t>
  </si>
  <si>
    <t>PIC Phase 2 and 2010 Enhancements</t>
  </si>
  <si>
    <t>PacifiCare NICE Long Term HCFA ppoONE Repricing</t>
  </si>
  <si>
    <t>Medica-Feed Local Markets w/IPA 555 from NDBtoTOPS</t>
  </si>
  <si>
    <t>COSMOS Provider Number Field Expansion</t>
  </si>
  <si>
    <t>Pam Stegora Axberg</t>
  </si>
  <si>
    <t>Galaxy, NDB</t>
  </si>
  <si>
    <t>Tom Quirk</t>
  </si>
  <si>
    <t>Online Case Submission and Installation Project P3</t>
  </si>
  <si>
    <t xml:space="preserve">ACIS Suite, BASICS, CDD, CES, Data Delivery System (DDS), Data Management, eServices Billing, FSDB - Financial Summary Database (5087), Internal Integrations, NDB, PCIS, PRIME, Systems Integration, Technical Architecture Services, TOPS, UCAS - Unet Claim </t>
  </si>
  <si>
    <t>PBD</t>
  </si>
  <si>
    <t>NDM Work Queue Enhancements - Release 4</t>
  </si>
  <si>
    <t xml:space="preserve">Will not be scheduled in 2008 per Mike G. Returned by Funding Approver.  </t>
  </si>
  <si>
    <t>In Est</t>
  </si>
  <si>
    <t>Project no longer exists in Prompt</t>
  </si>
  <si>
    <t>B2B Provider Portal, B2C Provider Portal, CareOne, Consumer Database (CDB), NDB, Portal Reporting</t>
  </si>
  <si>
    <t>Cancelled in Prompt</t>
  </si>
  <si>
    <t>EPD/NDB, Paris, Railroad, TOPS, UCAS - Unet Claim Accounting Sys (multiple apps)</t>
  </si>
  <si>
    <t>NDB added via change control on 5/24.  NDB should be unimpacted</t>
  </si>
  <si>
    <t>SPRF created for accounting purposes only.  No work to be scheduled for this SPRF.</t>
  </si>
  <si>
    <t>UP Generic Conv Tools - Prime Case/Eligibility</t>
  </si>
  <si>
    <t>TRICARE Program:  Provider</t>
  </si>
  <si>
    <t>NDM Process Improvements</t>
  </si>
  <si>
    <t>HPHC Provider PTI Reporting Needs</t>
  </si>
  <si>
    <t xml:space="preserve">Medica - Create New PTI Value to mimic UHC's 'G' </t>
  </si>
  <si>
    <t>Ovations Strategic Platform</t>
  </si>
  <si>
    <t>B2C Provider Portal, Employer Portal, EPMO, Myuhc - Member Portal, NDB, Online Provider Directory, UHC.COM, UHT, United eServices</t>
  </si>
  <si>
    <t>Enterprise Capitation - Integrated Inputs Testing</t>
  </si>
  <si>
    <t>Claims Repricing ppoONE Platform Upgrade</t>
  </si>
  <si>
    <t>OXHP Export File Table Update &amp; Code Change</t>
  </si>
  <si>
    <t>Add expansion areas to public website</t>
  </si>
  <si>
    <t>EFS NDB New Book Codes</t>
  </si>
  <si>
    <t>CE00012</t>
  </si>
  <si>
    <t>CE00021</t>
  </si>
  <si>
    <t>John Santelli</t>
  </si>
  <si>
    <t>GRI Non-Par Pricing for Legacy Platforms</t>
  </si>
  <si>
    <t>OTS Enhancement-Provider Mgmt&amp;Compliance &amp;Contract</t>
  </si>
  <si>
    <t>per Bob: This change control was rolled into the requirements for 4-19846 so they could close out 4-13376.</t>
  </si>
  <si>
    <t>NDB unimpacted at LDE</t>
  </si>
  <si>
    <t>EPD/NDB, NDB, ORBIT - Operational Reporting, Railroad, Summary Check, TOPS, UCAS - Unet Claim Accounting Sys (multiple apps), Unet - Front End</t>
  </si>
  <si>
    <r>
      <t>In estimating.</t>
    </r>
    <r>
      <rPr>
        <b/>
        <sz val="8"/>
        <rFont val="Arial"/>
        <family val="2"/>
      </rPr>
      <t xml:space="preserve">  Do not believe that NDB will be impacted.</t>
    </r>
  </si>
  <si>
    <t>joanne houck</t>
  </si>
  <si>
    <t>B2C Provider Portal, B2C Security, EPD/NDB</t>
  </si>
  <si>
    <t>Not dev work.  Willnever deploy.</t>
  </si>
  <si>
    <t>Medica Commercial PCC ID Translation</t>
  </si>
  <si>
    <t>Darla Haagensen</t>
  </si>
  <si>
    <t>Claims Repricing Engine Phase 2</t>
  </si>
  <si>
    <t>CBA needs to be re-validated after cc is entered.</t>
  </si>
  <si>
    <t>Application Enablement, CES, Foundation Frameworks, NDB, Testing Environment and Integration, UHT</t>
  </si>
  <si>
    <t>Application Enablement, CES, Consumer Account Management System (CAMS), Cross Application Testing, Enterprise Application Architecture, GFLX, Integrated Service Experience Tool ISET, Myuhc - Member Portal, NDB, OHCS - Clinical Ops, OHCS - eSync Portal, Op</t>
  </si>
  <si>
    <t>AmeriChoice of CT Online Authorization Submissions</t>
  </si>
  <si>
    <t>Carol Brunetti</t>
  </si>
  <si>
    <t>MPQ</t>
  </si>
  <si>
    <t>MPQ Operational Improvements</t>
  </si>
  <si>
    <t>Karen Davezac</t>
  </si>
  <si>
    <t>OXHP Integration Export File</t>
  </si>
  <si>
    <t>Moved the Prov Council Comments from the Scheduled tab to the Gatekeeper tab</t>
  </si>
  <si>
    <t>In Strategy Council.</t>
  </si>
  <si>
    <t>diCarta</t>
  </si>
  <si>
    <t>Cancelled in Prompt before being scheduled.  No longer visible</t>
  </si>
  <si>
    <t>replaced with 4-25844</t>
  </si>
  <si>
    <t>Ross Lippincott/Eileen Dock</t>
  </si>
  <si>
    <t>Green - Started on Sched</t>
  </si>
  <si>
    <t>EPDL P3 Product Bypass Process Change</t>
  </si>
  <si>
    <t>Create carve out subroprocess -Operating Engineers</t>
  </si>
  <si>
    <t>Funding approved on 2/6</t>
  </si>
  <si>
    <t>DAWN BOLLER</t>
  </si>
  <si>
    <t xml:space="preserve">To be cancelled.  Deb Keith submitted under weekly oneshot process.  TD Defect# 5740 will run after freeze
</t>
  </si>
  <si>
    <t xml:space="preserve">ITI: August Commercial Release </t>
  </si>
  <si>
    <t>Inclusion of Contract Master Data in UHN Extract</t>
  </si>
  <si>
    <t>Medica-New ASO Customer Deployment-4/1/06</t>
  </si>
  <si>
    <t>SARAH PETERSON</t>
  </si>
  <si>
    <t>Fall Forward from June release</t>
  </si>
  <si>
    <t>Medica Travel Benefit Administration</t>
  </si>
  <si>
    <t>CDD, COSMOS, NDB, Summary Check, TOPS</t>
  </si>
  <si>
    <t>ACIS Suite, Application Enablement, Application Infrastructure Services, B2B Provider Portal, B2C Provider Portal, CDD, CES, CFAS, COMCALC, Data Management, FICS, FMR (Field Mgmt Reporting), Foundation Frameworks, GFLX, GRDC - (Group Reporting Data Contro</t>
  </si>
  <si>
    <t>HIPAA 5010-UHC-CORE for 270/271 and 276/277</t>
  </si>
  <si>
    <t>Heritage Product Expansion- Arkansas</t>
  </si>
  <si>
    <t>AmeriChoice Markets to UHCOnline for Notifications</t>
  </si>
  <si>
    <t>Bank Information System (BIS), Commercial Payment System (EPS), COSMOS, NDB, OptumHealth Bank - IT, UFE</t>
  </si>
  <si>
    <t>Susan Spring</t>
  </si>
  <si>
    <t>Jack Wickens</t>
  </si>
  <si>
    <t xml:space="preserve">Update Provider Foundation Views </t>
  </si>
  <si>
    <t>Application Enablement, CES, Definity Health PM, Enterprise Application Architecture, Foundation Frameworks, GEOAccess, Myuhc - Member Portal, NDB, United Platform Systems Analysis and Architecture</t>
  </si>
  <si>
    <t>C2 Care Solutions - TOPS Enhancements</t>
  </si>
  <si>
    <t>Enterprise Architecture, IDT - Intelligent Desktop, Security Access Tracking System, Systems Integration, UHT, UP Policy Profile Service, USEC - Universal Security Systems</t>
  </si>
  <si>
    <t>EPD/NDB, EPMO, Galaxy, NDB, TOPS, Tops Foundation View, TOPS Reimbursement, Unet - Front End</t>
  </si>
  <si>
    <t>NDB Impacted not on report</t>
  </si>
  <si>
    <t>IDT Sunset Prep - IDT Parity Must Haves</t>
  </si>
  <si>
    <t>Jim David</t>
  </si>
  <si>
    <t>Michael Ile</t>
  </si>
  <si>
    <t>Insure Missouri Implementation - Cross App</t>
  </si>
  <si>
    <t>Create instance of OTS in Master &amp; Zulu for CAT</t>
  </si>
  <si>
    <t>Michael Connly</t>
  </si>
  <si>
    <t>Application Enablement, Applications Impacted Unknown, CES, Consumer Database (CDB), Data Management, Desktop and Groupware Services, Enterprise Application Architecture, Enterprise Architecture, EPMO, Foundation Frameworks, GRDC - (Group Reporting Data C</t>
  </si>
  <si>
    <t>PTE funding pool is being closed. Completed per research with Shirley Reynolds</t>
  </si>
  <si>
    <t>Non-Par Pilot for UHC Online</t>
  </si>
  <si>
    <t>Requirements being rolled into CC#9</t>
  </si>
  <si>
    <t>Project looking for Q2 or Q3 2009.  Per Mike G. in March, 2008</t>
  </si>
  <si>
    <t>Reed Bjergo</t>
  </si>
  <si>
    <t>Unknown</t>
  </si>
  <si>
    <t xml:space="preserve">MAHP –  Operational Readiness Test  - Phase I </t>
  </si>
  <si>
    <t xml:space="preserve">Integr Cust Svs Frnt End Ph 1 (12-10540-000) </t>
  </si>
  <si>
    <t>Formerly 4-13376 cc20.  NDB unimpacted when scope was reduced</t>
  </si>
  <si>
    <t>United - HPI DIRIGO product</t>
  </si>
  <si>
    <t>Late add to schedule</t>
  </si>
  <si>
    <t>Fee Schedule Extraction On Demand</t>
  </si>
  <si>
    <t xml:space="preserve">PHS Nice UB92 direct connection to Claim Pricing </t>
  </si>
  <si>
    <t>OI00119</t>
  </si>
  <si>
    <t>OI00119R1</t>
  </si>
  <si>
    <t xml:space="preserve">Fix Address Specific Edits for Voids </t>
  </si>
  <si>
    <t>Data Management, Foundation Frameworks, IBAAG - IT (System Changes), NDB, TOPS, Unet - Front End, Unet Batch</t>
  </si>
  <si>
    <t>William Whitely</t>
  </si>
  <si>
    <t>Cancelled-OOM Aging Report</t>
  </si>
  <si>
    <t>MPQ Enhancements</t>
  </si>
  <si>
    <t>iCES August 2008 Maintenance Release</t>
  </si>
  <si>
    <t>Four New Leased Networks (TBD)  full Add, Change and Delete Automation &amp; Enhancement Request</t>
  </si>
  <si>
    <t xml:space="preserve">Ovations 50-64 individual product- Claims/service </t>
  </si>
  <si>
    <t>AmeriChoice Data Load Funding</t>
  </si>
  <si>
    <t>ACIS Suite, Application Enablement, Atlas, B2B Provider Portal, B2C Provider Portal, BASICS, Case Package, CDD, CES, COMCALC, Contact Center Services, CTS - Common Tables System, Customer Financial Solutions Web-site for KA, Data Management, Electronic El</t>
  </si>
  <si>
    <t>ACIS Suite, Atlas, B2B Provider Portal, B2C Provider Portal, BASICS, CDD, CES, Contact Center Services, Electronic Eligibility Management System (EEMS), Employer Portal, eSBPP, eServices Billing, FMR (Field Mgmt Reporting), FSDB - Financial Summary Databa</t>
  </si>
  <si>
    <t>4 - Complete</t>
  </si>
  <si>
    <t>Applications and Acquisitions (AAA), NDB, Systems Integration, UFE</t>
  </si>
  <si>
    <t>ACIS Suite, B2C Provider Portal, CES, CIX (Customer Installation Express), COMET Desktop.NET, Galaxy, IBAAG - IT (System Changes), IDT - Intelligent Desktop, NDB, PRIME, Technical Architecture Services, TOPS</t>
  </si>
  <si>
    <t>Orbit Report for COSMOS Facility Directories</t>
  </si>
  <si>
    <t>UPCSA</t>
  </si>
  <si>
    <t>OI00159R1</t>
  </si>
  <si>
    <t>OI00159</t>
  </si>
  <si>
    <t xml:space="preserve">MPQ Special Payee Enhancement </t>
  </si>
  <si>
    <t>B2B Provider Portal, B2C Provider Portal, CMA (Content Management Application), Employer Portal, GEOAccess, Myuhc - Member Portal, NDB, Online Provider Directory, Systems Integration, TOPS</t>
  </si>
  <si>
    <t xml:space="preserve"> EPDL error</t>
  </si>
  <si>
    <t>HPHC1 - Create Directory Ind/Flag by Contracting O</t>
  </si>
  <si>
    <t>NA</t>
  </si>
  <si>
    <t>TBDPHS</t>
  </si>
  <si>
    <t>MAUREEN WARD</t>
  </si>
  <si>
    <t>Americhoice - UHG Provider Portal Link to FACETS</t>
  </si>
  <si>
    <t>UFE taxonomy table update 2009</t>
  </si>
  <si>
    <t>VICTORIA Wrobel</t>
  </si>
  <si>
    <t xml:space="preserve">TRICARE Program:  Access to Data (A2D) </t>
  </si>
  <si>
    <t>UMVS</t>
  </si>
  <si>
    <t xml:space="preserve">Analysis - 1/1 NDB-Emp Reconc </t>
  </si>
  <si>
    <t>Determining if resources are available</t>
  </si>
  <si>
    <t>Acquisition Integrations, Cross Application Testing, Healthcare Alliance - Harvard Pilgrim, NDB, Provider Network Analysis UAT &amp; Tools, Systems Integration, Testing Environment and Integration</t>
  </si>
  <si>
    <t>Cross Application Testing, Data Delivery System (DDS), Enterprise Information Management, EPMO, Healthcare Alliance - Harvard Pilgrim, NDB, Provider Network Analysis UAT &amp; Tools, Systems Integration, Testing Environment and Integration, TOPS</t>
  </si>
  <si>
    <t xml:space="preserve">ACIS Suite, Acquisition Integrations, CES, Consumer Database (CDB), Cross Application Testing, Electronic Eligibility Management System (EEMS), Employer Portal, IDT - Intelligent Desktop, NDB, PHS - NICE, PHS - Resolution, Provider Network Analysis UAT &amp; </t>
  </si>
  <si>
    <t>Application Enablement, CES, Consumer Database (CDB), COSMOS, Cross Application Testing, Integrated Service Experience Tool ISET, NDB, Testing Environment and Integration</t>
  </si>
  <si>
    <t>ACIS Suite, BASICS, CES, Cross Application Testing, Data Delivery System (DDS), Enterprise Architecture, eServices Billing, Healthcare Alliance - Medica, NDB, PCIS, Peoplesoft-GL, PRIME, SIFS, Systems Integration, TOPS, UCAS - Unet Claim Accounting Sys (m</t>
  </si>
  <si>
    <t>Included fixing links in Master that use lookups from GK tab</t>
  </si>
  <si>
    <t>Dual Elig Membership Enhanc- A&amp;D</t>
  </si>
  <si>
    <t>PDR - Integration POC A&amp;D</t>
  </si>
  <si>
    <t>PDR - Contract Maintenance</t>
  </si>
  <si>
    <t>Definity Provider Demographic Transaction File</t>
  </si>
  <si>
    <t>Medica - Passport IDT Enhancements</t>
  </si>
  <si>
    <t>EFS Paper Directory Error Reports</t>
  </si>
  <si>
    <t>PDR - Provider Pick Enhancements (Initiate)</t>
  </si>
  <si>
    <t>Enterprise 5010 Program</t>
  </si>
  <si>
    <t xml:space="preserve">NPI TOPS-COSMOS Winstrat Compliance </t>
  </si>
  <si>
    <t>ORBIT Knowledge Transfer Resource</t>
  </si>
  <si>
    <t>Dental HMO product support on PRIME (PacDental)</t>
  </si>
  <si>
    <t>Delvis Schilling</t>
  </si>
  <si>
    <t>UPCSA - Claims Highway Cookbook Development</t>
  </si>
  <si>
    <t>Returned by funding approver.</t>
  </si>
  <si>
    <t>UDP Adoption</t>
  </si>
  <si>
    <t>IDT / ORS</t>
  </si>
  <si>
    <t>B2B Provider Portal, NDB, Summary Check, TOPS, UFE, United Platform Systems Analysis and Architecture</t>
  </si>
  <si>
    <t>009273 Capitation-Strategic Solution-UHC &amp; PHS</t>
  </si>
  <si>
    <t>NDB Alt Payee PTI Bug</t>
  </si>
  <si>
    <t>Application Enablement, CES, Consumer Database (CDB), COSMOS, Cross Application Testing, IDT - Intelligent Desktop, Integrated Service Experience Tool ISET, NDB, ORS, TOPS</t>
  </si>
  <si>
    <t>Facets Alpha, NDB, Provider Network Analysis UAT &amp; Tools</t>
  </si>
  <si>
    <t>Facets Alpha, FSDB - Financial Summary Database (5087), NDB, Peoplesoft-GL, RPS - Reserve Production System (5611), UHCTS-UMR-WES(Facets Harrington)</t>
  </si>
  <si>
    <t>Application Enablement, Applications and Acquisitions (AAA), B2B Provider Portal, B2C Provider Portal, Computer Services, Enterprise Architecture, EPMO, ERC, Facets Alpha, Foundation Frameworks, Healthcare Alliance - Medica, IBM FileNet, IDT - Intelligent</t>
  </si>
  <si>
    <t>Application Enablement, Applications and Acquisitions (AAA), B2B Provider Portal, B2C Provider Portal, CES, Claims Highway, COMET Desktop.NET, Consumer Database (CDB), COSMOS, Cross Application Testing, Data Delivery System (DDS), Definity Health App Suit</t>
  </si>
  <si>
    <t>B2B Provider Portal, B2C Provider Portal, CES, Cross Application Testing, Data Delivery System (DDS), Enterprise Letter Generation System, EPMO, Galaxy, IBAAG - BPST (Template updates and testing), IBAAG - IT (System Changes), iCES Clearinghouse, NDB, Pro</t>
  </si>
  <si>
    <t>Application Enablement, BASICS, CES, CTS - Common Tables System, Data Management, Employer Portal, Enterprise Application Architecture, EPMO, eServices Billing, Foundation Frameworks, FSDB - Financial Summary Database (5087), Galaxy, GEFT - Global Electro</t>
  </si>
  <si>
    <t>Application Enablement, COSMOS, Foundation Frameworks, GPS, GPT - Configuration Management, GPT - EQA Automation, GPT - Release Management, GPT Business Systems, GPT Project Management Services, iLEAD, Integrated Service Experience Tool ISET, NDB, ORS, PH</t>
  </si>
  <si>
    <t>CES, GEOAccess, Healthcare Alliance - Medica, Myuhc - Member Portal, NDB, Provider Network Analysis UAT &amp; Tools</t>
  </si>
  <si>
    <t>Add new column to Market Offering table</t>
  </si>
  <si>
    <t>NDC Pricing - Phase 2 PHS (Iliad)</t>
  </si>
  <si>
    <t>2009 EPDI KTLO: EPDL Enhancements</t>
  </si>
  <si>
    <t>Track whether or not business has approved the Lockdown estimate on Gatekeeper and Provider Council tab.</t>
  </si>
  <si>
    <t>B2B Provider Portal, EFS/CS IT PM, NDB, Summary Check, TOPS, UFE</t>
  </si>
  <si>
    <t xml:space="preserve">Searches </t>
  </si>
  <si>
    <t>Sarah Dorman</t>
  </si>
  <si>
    <t>R8 - Resource Recap</t>
  </si>
  <si>
    <r>
      <t>In estimating.  TOPS has in Aug schedule.</t>
    </r>
    <r>
      <rPr>
        <b/>
        <sz val="8"/>
        <rFont val="Arial"/>
        <family val="2"/>
      </rPr>
      <t xml:space="preserve"> NDB to be un-impacted</t>
    </r>
  </si>
  <si>
    <t>Ryan Anderson</t>
  </si>
  <si>
    <t>Unique
Reference</t>
  </si>
  <si>
    <t>Requirements have not been defined.</t>
  </si>
  <si>
    <t>ACIS Suite, AE Mainframe Services, AMS Staff Augmentation on UT Apps, Application Infrastructure Services, CES, Definity Health App Suite, Enterprise Solutions, Foundation Frameworks, NDB, UHG IT OM</t>
  </si>
  <si>
    <t>State of Maryland Vision</t>
  </si>
  <si>
    <t>Sharon Hose</t>
  </si>
  <si>
    <t xml:space="preserve">UMR Premium Designation </t>
  </si>
  <si>
    <t xml:space="preserve">Michael Kriofsky </t>
  </si>
  <si>
    <t>HPHC Premium Designation Access Controls</t>
  </si>
  <si>
    <t>Application Enablement, Audit Recovery Operations (ARO) Datamart, BH-Elig/Accum, Card Request System (CRS), CareOne, CES, Computer Services, Consumer Database (CDB), COSMOS, Facets Solution Group, FSDB - Financial Summary Database (5087), iCES, NDB, Presc</t>
  </si>
  <si>
    <t>Returned to requestor</t>
  </si>
  <si>
    <t>ACIS Suite, CES, Cross Application Testing, Data Management, ECap, Enterprise Architecture, NDB, PHS - Bottom Line, PHS - IFS (Integrated Financial System) Oracle Fin, PRIME, Testing Environment and Integration, United Platform Systems Analysis and Archit</t>
  </si>
  <si>
    <t>ACIS Suite, BASICS, CES, Cross Application Testing, Data Management, Enterprise Architecture, NDB, PRIME, Testing Environment and Integration, TOPS, UHC ITS Resource, UPCT</t>
  </si>
  <si>
    <t>CCS-CCF, Cross Application Testing, ECap, Foundation Frameworks, GEOAccess, IDT - Intelligent Desktop, NDB, ORBIT - Operational Reporting, USEC - Universal Security Systems</t>
  </si>
  <si>
    <t>ACIS Suite, CES, Cross Application Testing, ECap, NDB, PRIME, Testing Environment and Integration</t>
  </si>
  <si>
    <t>Audit Recovery Operations (ARO) Datamart, B2C Provider Portal, Consumer Database (CDB), Contact Center Services, Facets Alpha, FSDB - Financial Summary Database (5087), iCES Clearinghouse, NDB, OptumHealth Behavioral Solutions, OptumHealth Specialty Benef</t>
  </si>
  <si>
    <t>Application Enablement, B2B Provider Portal, B2C Provider Portal, CES, Contact Center Services, Cross Application Testing, Employer Portal, Emptoris, Enterprise Architecture, Foundation Frameworks, Galaxy, GEOAccess, IDT - Intelligent Desktop, Myuhc - Mem</t>
  </si>
  <si>
    <t>ACIS Suite, CES, Cross Application Testing, Data Delivery System (DDS), Galaxy, NDB, PRIME, Summary Check, Systems Integration, Testing Environment and Integration, TOPS</t>
  </si>
  <si>
    <t>Application Enablement, Cross Application Testing, Data Management, Enterprise Architecture, Foundation Frameworks, IDT - Intelligent Desktop, NDB, ORBIT - Operational Reporting, Testing Environment and Integration, TOPS, USEC - Universal Security Systems</t>
  </si>
  <si>
    <t>ACIS Suite, Application Enablement, Atlas, B2B Provider Portal, B2C Provider Portal, BASICS, Capitation - Business Analysis, CareOne, CareOne ODS, CCS-CCF, CES, CIX (Customer Installation Express), Claims Highway, Claims QA, Common Clinical Framework (CCF</t>
  </si>
  <si>
    <t>NDB, ppoONE, Provider Network Analysis UAT &amp; Tools, UHCTS-OXHP(Oxford)</t>
  </si>
  <si>
    <t>08 Provider Selection</t>
  </si>
  <si>
    <t>CANDRA TAYLOR</t>
  </si>
  <si>
    <t>B2B Provider Portal, B2C Provider Portal, CES, NDB</t>
  </si>
  <si>
    <t>Definity Network - Repricing</t>
  </si>
  <si>
    <t>D2 - Resource Plan</t>
  </si>
  <si>
    <t>WO - HPHC1 - EPDL Address Comparison Reports</t>
  </si>
  <si>
    <t>Application Infrastructure Services, B2B Provider Portal, CES, COSMOS, NDB, Program Definition Intake Team, Railroad, TOPS, UFE</t>
  </si>
  <si>
    <t>QCA Support</t>
  </si>
  <si>
    <t>Galaxy, NDB, Systems Integration, Technical Architecture Services, TOPS</t>
  </si>
  <si>
    <t>Modify NDB Deactivation/Reactivation Logic &amp; Edits</t>
  </si>
  <si>
    <t>Network Rental Product</t>
  </si>
  <si>
    <t>Tonya Maurer</t>
  </si>
  <si>
    <t>New MCR pend code for Anesthesia on iCES</t>
  </si>
  <si>
    <t>NDB Expanded Extract to Galaxy</t>
  </si>
  <si>
    <t>ACN Prov Spec Exclusion Grid - UpDate</t>
  </si>
  <si>
    <t>New Consumer Portal</t>
  </si>
  <si>
    <t>Riskanalysis complete per L. Peters (e-mail on 8/21)</t>
  </si>
  <si>
    <t>Ameri-Choice Cred Integration Export File</t>
  </si>
  <si>
    <t>Mike Connly</t>
  </si>
  <si>
    <t>OOM</t>
  </si>
  <si>
    <t>PacifiCare Iliad Pricing through ppoONE</t>
  </si>
  <si>
    <t>I have checked the other two buttons.  Both appear to be ok, one was a sort by program and then just a general Unique Identifier button</t>
  </si>
  <si>
    <t>B2C Provider Portal, CES, COSMOS, EPD/NDB</t>
  </si>
  <si>
    <t>COSMOS, Cross Application Testing, Emptoris, Enterprise Architecture, EPMO, NDB, ORBIT - Operational Reporting, ppoONE, Testing Environment and Integration</t>
  </si>
  <si>
    <t>COSMOS, Cross Application Testing, Emptoris, EPMO, NDB, ORBIT - Operational Reporting, ppoONE, Railroad, SAM, Testing Environment and Integration, TOPS, UFE</t>
  </si>
  <si>
    <t>Cross Application Testing, Enterprise Architecture, Foundation Frameworks, GEOAccess, IDT - Intelligent Desktop, Myuhc - Member Portal, NDB, ORBIT - Operational Reporting, USEC - Universal Security Systems</t>
  </si>
  <si>
    <t>B2B Provider Portal, B2C Provider Portal, CES, Cross Application Testing, Employer Portal, GEOAccess, IDT - Intelligent Desktop, Myuhc - Member Portal, NDB, Online Provider Directory, ORBIT - Operational Reporting, PRIME, Systems Integration, TOPS</t>
  </si>
  <si>
    <t>ACIS Suite, Atlas, B2B Provider Portal, B2C Provider Portal, Card Integration Platform (CIP), CES, CIX (Customer Installation Express), Consumer Database (CDB), Contact Center Services, Cross Application Testing, CTS - Common Tables System, Customer Repor</t>
  </si>
  <si>
    <t xml:space="preserve">B2B Provider Portal, B2C Provider Portal, CES, Cross Application Testing, Employer Portal, Foundation Frameworks, IDT - Intelligent Desktop, NDB, ORBIT - Operational Reporting, PRIME, Systems Integration, Testing Environment and Integration, TOPS, United </t>
  </si>
  <si>
    <t>Application Enablement, Contact Center Services, COSMOS, Cross Application Testing, NDB, Network Services (UHT), Testing Environment and Integration, TOPS, United Voice Portal Business</t>
  </si>
  <si>
    <t>Application Enablement, Business Intent Certification Tool (BIC), Claims Highway, Claims QA, Consumer Account Management System (CAMS), Data Delivery System (DDS), Emptoris, Enterprise Letter Generation System, EPMO, Facets Alpha, Healthcare Alliance - Ha</t>
  </si>
  <si>
    <t>Application Enablement, B2B Provider Portal, B2C Provider Portal, Contact Center Services, Data Management, Emptoris, Enterprise Application Architecture, EPMO, IDT - Intelligent Desktop, Myuhc - Member Portal, NDB, Portal Reporting, UHC ITS Resource, Uni</t>
  </si>
  <si>
    <t>Emptoris, EPMO, NDB</t>
  </si>
  <si>
    <t>Healthcare Alliance - Harvard Pilgrim, NDB, Provider Network Analysis UAT &amp; Tools</t>
  </si>
  <si>
    <t>OI00105R1</t>
  </si>
  <si>
    <t>OI00105</t>
  </si>
  <si>
    <t>OI00148</t>
  </si>
  <si>
    <t>OI00148R1</t>
  </si>
  <si>
    <t xml:space="preserve">Network Number Improvement </t>
  </si>
  <si>
    <t xml:space="preserve">New Expanded Search Option </t>
  </si>
  <si>
    <t>Inpatient Transformation Initiative (ITI)</t>
  </si>
  <si>
    <t>COMET Desktop, COMET Desktop.NET, EPD, Unet OnlineFE, FMR (Field Mgmt Reporting), Galaxy, NDB, TOPS, TOPS Reimbursement, UHT, Unet - Front End, Unet Batch</t>
  </si>
  <si>
    <t>UHC Security, TDARS, USEC</t>
  </si>
  <si>
    <t>FiServ ppoONE- Dallas-UHIS Regression Testing</t>
  </si>
  <si>
    <t>ACIS Suite, B2B Provider Portal, CES, e-Bill, EPD/NDB, FSDB - Financial Summary Database (5087), OPS Reporting, PRIME, Program Definition Intake Team, PTAS - Premium Tax Accrual System (5478), RPS - Reserve Production System (5611), SIFS, Summary Check, T</t>
  </si>
  <si>
    <t>ACIS Suite, ACN Infrastructure, B2B Provider Portal, B2C Provider Portal, Bank Information System (BIS), BASICS, Card Integration Platform (CIP), CDD, CES, CIX (Customer Installation Express), COMET Desktop, COMET Desktop.NET, Commercial Payment System (E</t>
  </si>
  <si>
    <t>Moved from Sept to Oct because the two searches are also being changed as part of cc2 for 4-11181.  Don't want to test in 2 consecutive deliverables</t>
  </si>
  <si>
    <t>Uniprise TestDirector Infrastructure Consolidation</t>
  </si>
  <si>
    <t>CDD, Data Management, EPMO, FMR (Field Mgmt Reporting), IBAAG - IT (System Changes), NDB, ORBIT - Operational Reporting, TCA, Technical Architecture Services, TOPS, UFE</t>
  </si>
  <si>
    <t>Application Enablement, B2B Provider Portal, Computer Services, Consumer Database (CDB), Enterprise Architecture, Foundation Frameworks, Healthcare Alliance - Medica, NDB, Systems Integration</t>
  </si>
  <si>
    <t>ABD/LTC Regulatory Projects 01-53260-000</t>
  </si>
  <si>
    <t xml:space="preserve">Funding Table Redesign </t>
  </si>
  <si>
    <t>moved to TBD on 1/22 per D. Keith</t>
  </si>
  <si>
    <t>UnitedHealth Basics V2.0 Q2 2006 Requirements</t>
  </si>
  <si>
    <t>TRICARE Project -  Claims and Provider</t>
  </si>
  <si>
    <t>ACIS Suite, B2B Provider Portal, B2C Provider Portal, CES, Contact Center Services, Data Delivery System (DDS), Electronic Eligibility Management System (EEMS), Employer Portal, GEOAccess, GeoAccess for UHC.Com, IDT - Intelligent Desktop, Myuhc - Member P</t>
  </si>
  <si>
    <t>ACIS Suite, Application Enablement, Audit Recovery Operations (ARO) Datamart, B2B Provider Portal, B2C Provider Portal, Claims Highway, CMA (Content Management Application), COMET Desktop.NET, Consumer Account Management System (CAMS), Cross Application T</t>
  </si>
  <si>
    <t>AMC Configuration, AmeriChoice MACESS, B2B Provider Portal, B2C Provider Portal, BH-Customer Dashboards, BH-Customer Reporting, BH-Data Warehouses, BH-Facets - UBH, BH-Liveandworkwell.com, BH-NM Customer Reporting, BH-ubhonline.com, BPID, Business Intelli</t>
  </si>
  <si>
    <t>BPID, Claims Highway, COSMOS, EPMO, NDB, Network Technology &amp; Support, ppoONE, Reimbursement Technology, UFE</t>
  </si>
  <si>
    <t>B2B Provider Portal, BH-Facets - UBH, BH-PBH Facets, BPID, Claims Highway, COMET Desktop.NET, COSMOS, Data Delivery System (DDS), Diamond, Enterprise EDI Technical Operations, EPMO, NDB, PHS - NICE, ppoONE, TOPS, UFE, UHCTS-MAHP(Mid Atlantic)</t>
  </si>
  <si>
    <t xml:space="preserve">Application Enablement, B2B Provider Portal, B2C Provider Portal, Claims Highway, ECap, EPMO, Galaxy, IBAAG - BPST (Template updates and testing), Integrated Service Experience Tool ISET, NDB, Payment Engine, PRIME, Provider Network Analysis UAT &amp; Tools, </t>
  </si>
  <si>
    <t>Claims Highway, COSMOS, Enterprise Information Management, Enterprise Systems Planning Business Architecture, EPMO, Healthcare Alliance - Medica, HIPAA, NDB, Provider Network Analysis UAT &amp; Tools, Systems Integration, TOPS, UFE</t>
  </si>
  <si>
    <t>EPMO, Facets Alpha, NDB, Provider Network Analysis UAT &amp; Tools, UFE</t>
  </si>
  <si>
    <t>Application Enablement, Applications and Acquisitions (AAA), B2B Provider Portal, B2C Provider Portal, CES, Claims Highway, Consumer Database (CDB), COSMOS, Cross Application Testing, Data Management, Enterprise Architecture, Facets Alpha, Foundation Fram</t>
  </si>
  <si>
    <t>Claims Highway, NDB</t>
  </si>
  <si>
    <t>CES, Claims Highway, Cross Application Testing, Data Delivery System (DDS), Data Management, Enterprise Architecture, Enterprise Letter Generation System, Foundation Frameworks, IDT - Intelligent Desktop, NDB, Summary Check, Systems Integration, Testing E</t>
  </si>
  <si>
    <t>Data Delivery System (DDS), Employer Portal, GEOAccess, NDB, ORBIT - Operational Reporting, Portal Reporting, ppoONE, Systems Integration</t>
  </si>
  <si>
    <t>PDI -Update NDB fields to support AmeriChoice data</t>
  </si>
  <si>
    <t>NDB EA NY One to Many Provider Structure</t>
  </si>
  <si>
    <t>OI00023</t>
  </si>
  <si>
    <t>Enhance Notifications for Ancillary(uhconline.com)</t>
  </si>
  <si>
    <t>In funding.  Need to confirm funding source.</t>
  </si>
  <si>
    <t>Adjudipro, COSMOS, NDB</t>
  </si>
  <si>
    <t>EPDE Full File Pull for JDHC Auto-Load</t>
  </si>
  <si>
    <t>Scheduled</t>
  </si>
  <si>
    <t>Kurt Roggendorf</t>
  </si>
  <si>
    <t>PIT-835 Error Avoidance</t>
  </si>
  <si>
    <t>Karen Battaglini</t>
  </si>
  <si>
    <t>Per J. Alhberg 1/2/07 - business will be cancelling this sprf</t>
  </si>
  <si>
    <t>will be resubmitted with a diff scope, cancelled in PROMPT 6/8/07</t>
  </si>
  <si>
    <t>Enable phone number to be same digits in NDB</t>
  </si>
  <si>
    <t>Enterprise Capitation - Ovations Platform Integrat</t>
  </si>
  <si>
    <t>Todd Murr</t>
  </si>
  <si>
    <t>R4</t>
  </si>
  <si>
    <t xml:space="preserve">Work Order NDB 1 shot to add 'M' in product field </t>
  </si>
  <si>
    <t>ETL Tool</t>
  </si>
  <si>
    <t>Solutions Engineering Consultative Resourcing for UHC projects</t>
  </si>
  <si>
    <t xml:space="preserve">PTI Erros Clean-Up - Part I </t>
  </si>
  <si>
    <t>PTI Erros Clean-Up - Part II</t>
  </si>
  <si>
    <t>Karen Cain-VP Home Services</t>
  </si>
  <si>
    <t>ACIS Suite, Application Enablement Development, Enterprise Application Architecture, EPMO, NDB, PRIME, Product Benefit Database - UT, TOPS</t>
  </si>
  <si>
    <t>HIPAA 5010-UHC-837D Dental Claims</t>
  </si>
  <si>
    <t>HPHC Alliance</t>
  </si>
  <si>
    <t>Letters Reengineering - Q2 08</t>
  </si>
  <si>
    <t>NDB, ORBIT - Operational Reporting</t>
  </si>
  <si>
    <t>Jamie Reynoso</t>
  </si>
  <si>
    <t>Release
Date</t>
  </si>
  <si>
    <t>PHS Product Release Delivery Planning and Analysis</t>
  </si>
  <si>
    <t>MEDICA - NDB-EA Medica Enhancements - Phase 1</t>
  </si>
  <si>
    <t>Diane Scofield</t>
  </si>
  <si>
    <t>John Deere Health - UP Conversion Tools</t>
  </si>
  <si>
    <t>PCP Indicator Assignment at Contract Level</t>
  </si>
  <si>
    <t>UHG Clinical Toolbox Migrations (04-27560-000)</t>
  </si>
  <si>
    <t>Macro Updates to Market File</t>
  </si>
  <si>
    <t>NDB to be unimpacted or project to be cancelled</t>
  </si>
  <si>
    <t>HPHC Perot Project</t>
  </si>
  <si>
    <t>PHS HMO Product Capabilities</t>
  </si>
  <si>
    <t>WO- Provider Turnover by specialty and market</t>
  </si>
  <si>
    <t>PacifiCare -- Create Market Type and del sys</t>
  </si>
  <si>
    <t>Unique
Identifier</t>
  </si>
  <si>
    <t>ACIS Suite, Acquisition Integrations, Application Enablement, Atlas, Automated Underwriting, B2B Provider Portal, B2C Provider Portal, BASICS, Card Integration Platform (CIP), CDD, CES, CMA (Content Management Application), CMDB (Correction Management Dat</t>
  </si>
  <si>
    <t>ECap, Enterprise Architecture, NDB</t>
  </si>
  <si>
    <t>ACIS Suite, CES, ECap, Enterprise Architecture, NDB, PRIME</t>
  </si>
  <si>
    <t>ECap, NDB</t>
  </si>
  <si>
    <t>Data Delivery System (DDS), NDB, Systems Integration, TOPS</t>
  </si>
  <si>
    <t>Medica - Definity by Medica</t>
  </si>
  <si>
    <t>2007 One Shot Requests</t>
  </si>
  <si>
    <t>Lisa Murphy</t>
  </si>
  <si>
    <t>NDB-EA (BPO)</t>
  </si>
  <si>
    <t>Includes CC#13</t>
  </si>
  <si>
    <t>P1</t>
  </si>
  <si>
    <t>Loaded</t>
  </si>
  <si>
    <t>CC13</t>
  </si>
  <si>
    <t>Build NDB.NET in Bravo</t>
  </si>
  <si>
    <t>Integrate NPI into Provider Pick Logic</t>
  </si>
  <si>
    <t>TSO File/UHN Reporting Tool Alignment</t>
  </si>
  <si>
    <t>UHCOnline Product Consistency w/ ID cards - COSMOS</t>
  </si>
  <si>
    <r>
      <t xml:space="preserve">NDB included on change control to remove requirements.  </t>
    </r>
    <r>
      <rPr>
        <b/>
        <sz val="8"/>
        <rFont val="Arial"/>
        <family val="2"/>
      </rPr>
      <t>CONFIRM NDB NOT IMPACTED AND MARK AS CANCELLED.</t>
    </r>
  </si>
  <si>
    <t>Provider Directory Enhance.</t>
  </si>
  <si>
    <t>ppoONE Commercial Repricing</t>
  </si>
  <si>
    <t>Richard Keane</t>
  </si>
  <si>
    <t xml:space="preserve">NPI Phase 2 enhancements for COSMOS			</t>
  </si>
  <si>
    <t>AL ALL KIDS (CHIP)</t>
  </si>
  <si>
    <t>UHCOnline for Facets ASP</t>
  </si>
  <si>
    <t>JEFFREY KINNEMANN</t>
  </si>
  <si>
    <t>Chris Scherer</t>
  </si>
  <si>
    <t>MS CHIP ppoOne/RVF Claims Processing Logic</t>
  </si>
  <si>
    <t>B2B Provider Portal, B2C Provider Portal, Galaxy, NDB, Program Definition Intake Team, UHT, USEC - Universal Security Systems</t>
  </si>
  <si>
    <t>TOPS will re-engage NDB in Q4</t>
  </si>
  <si>
    <t>NDB Provider Pick process for Medica COSMOS claims</t>
  </si>
  <si>
    <t>PHP Michigan HCFA Claims Repricing Project</t>
  </si>
  <si>
    <t>Honeywell HealthGrades Initiative</t>
  </si>
  <si>
    <t>NGRC</t>
  </si>
  <si>
    <t xml:space="preserve">MedNet EPDL - Ingenix NetPro Enhancement </t>
  </si>
  <si>
    <t>Medica-NetClaim-Updated Medica iCES Workflow ID</t>
  </si>
  <si>
    <t>Personal Health Record One-Click Summary/Lab Data</t>
  </si>
  <si>
    <t>Project to be phased.  Subsequent phases have not been defined.</t>
  </si>
  <si>
    <t>LUND ROSS</t>
  </si>
  <si>
    <t>RxSOL HCP Prior Auth Web Front-end</t>
  </si>
  <si>
    <t>Prescription Solutions</t>
  </si>
  <si>
    <t>ACIS Suite, CIX (Customer Installation Express), Data Management, EPMO, IBAAG - IT (System Changes), NDB, PRIME, Testing Environment and Integration, TOPS</t>
  </si>
  <si>
    <t>ITI: October Government Release</t>
  </si>
  <si>
    <t>Medica-EPDL Enhancements for GHMO</t>
  </si>
  <si>
    <t>CES, COMET, COMET Rules, Data Management, EPD/NDB, OPS Reporting, ORBIT - Operational Reporting, TACS, TOPS, Unet - Front End, UNET online/FE, COMET</t>
  </si>
  <si>
    <t>AMELIA HINRICHS</t>
  </si>
  <si>
    <t>Harvard Pilgrim Fee Schedule Date Spanning</t>
  </si>
  <si>
    <t>Application Enablement, COMET Desktop.NET, Enterprise Application Architecture, IDT - Intelligent Desktop, Ingenix - Non Galaxy, NDB, PRIME, Product Benefit Database - UT</t>
  </si>
  <si>
    <t xml:space="preserve">UHP Physician Designation 5.0 </t>
  </si>
  <si>
    <t>UHG IT - Enterprise Technology Services</t>
  </si>
  <si>
    <t>Correct GF Errors</t>
  </si>
  <si>
    <t>Infrastructure only</t>
  </si>
  <si>
    <t>Patrick Kennedy</t>
  </si>
  <si>
    <t>Soln Engineering Further analysis of UBH UNet Gaps</t>
  </si>
  <si>
    <t>Per L. Reid - 1/10/07-TBD</t>
  </si>
  <si>
    <t>NDB Dx Code File Extract</t>
  </si>
  <si>
    <t>MICHAEL WOOD</t>
  </si>
  <si>
    <t>Need to identify Provider Systems project manager.</t>
  </si>
  <si>
    <t>D4 - Provider Council Unsched</t>
  </si>
  <si>
    <t>Manage the SDLC Status for Provider Systems Projects and Releases.  Removed from workbook in April 2008</t>
  </si>
  <si>
    <t>NDB, ppoONE, UFE</t>
  </si>
  <si>
    <t>EPMO, NDB, TOPS</t>
  </si>
  <si>
    <t>Application Enablement, B2B Provider Portal, B2C Provider Portal, CES, eArt, NDB, ORBIT - Operational Reporting, ORS, UFE</t>
  </si>
  <si>
    <t>Duane White</t>
  </si>
  <si>
    <t>NHP Standard EPDE</t>
  </si>
  <si>
    <t>tim kaja</t>
  </si>
  <si>
    <t>diCarta Error Queue Enhancements</t>
  </si>
  <si>
    <t>Move FSLA Off UPM Servers</t>
  </si>
  <si>
    <t>Janet Bertram</t>
  </si>
  <si>
    <t>Access Profile Update batch</t>
  </si>
  <si>
    <t>HCA - Claim-NDB Timely Filing</t>
  </si>
  <si>
    <t>NDB-PERADIGM Migration - 9/16/06 Seed File</t>
  </si>
  <si>
    <t>Perry Stein</t>
  </si>
  <si>
    <t>KURT SHERA</t>
  </si>
  <si>
    <t>Medica MPIN/Address Sequence Number Inclusion</t>
  </si>
  <si>
    <t>PIT-2004 Quarterly R&amp;C and PRocedure Code Updates</t>
  </si>
  <si>
    <t>Ambulance Fee Schedule</t>
  </si>
  <si>
    <t>iCES Clearinghouse November 2010 Maint.Release</t>
  </si>
  <si>
    <t>Medica - Product - Patient Choice Insights on UNET</t>
  </si>
  <si>
    <t>EPMO, NDB, PHS - QicLink/ClaimExchange, Provider Network Analysis UAT &amp; Tools, UFE</t>
  </si>
  <si>
    <t>Add rev Code 0948 to RSP Ser Cat in NDB</t>
  </si>
  <si>
    <t>Service-Specific Narrow Network</t>
  </si>
  <si>
    <t>PHS HMO Product Capabilities - Front Office</t>
  </si>
  <si>
    <t>Cancelled in PROMPT 05/09</t>
  </si>
  <si>
    <t xml:space="preserve">NDB Unimpacted. </t>
  </si>
  <si>
    <t>Joseph Dwyer</t>
  </si>
  <si>
    <t>Myuhc.com Site Redesign Analysis</t>
  </si>
  <si>
    <t>CDD, Foundation Frameworks, NDB, TOPS, USEC - Universal Security Systems</t>
  </si>
  <si>
    <t>PacifiCare--Include HMO on PHS Export File</t>
  </si>
  <si>
    <t>FRANK ROMANO</t>
  </si>
  <si>
    <t>D. DeMatteo</t>
  </si>
  <si>
    <t>TBDOB14</t>
  </si>
  <si>
    <t>Analysis of UNET Contract Load Feed Issues</t>
  </si>
  <si>
    <t>Registered Provider Report</t>
  </si>
  <si>
    <t>11/2 This project has been put on hold per Karla Starkd.  This project is A&amp;D in prompt but NDB will be doing the analysis under this sprf and the dev under sprf 4-31493  Also dev analysis cannot begin until the end of Sept due to resource constraints</t>
  </si>
  <si>
    <t>Fix Contract Selection(Generic Entry &amp; Exclu Mkts)</t>
  </si>
  <si>
    <t>UB-04 Diagnosis Codes</t>
  </si>
  <si>
    <t>James Mallard</t>
  </si>
  <si>
    <t>No longer used.  Removed from workbook in April 2008</t>
  </si>
  <si>
    <t>CE Health Advisor Desktop - Phase I</t>
  </si>
  <si>
    <t>Marked as complete in PROMPT, comments note it should have been cancelled.</t>
  </si>
  <si>
    <t>Architecture-ETL Tool Installation for EPDL</t>
  </si>
  <si>
    <t>Directories</t>
  </si>
  <si>
    <t>Misdirected Call - Phase 2</t>
  </si>
  <si>
    <t>Empire Metrics Reporting</t>
  </si>
  <si>
    <t>Data Management, EPD/NDB, NDB, ORBIT - Operational Reporting</t>
  </si>
  <si>
    <t>NDB, ppoONE, Summary Check, Systems Integration, Testing Environment and Integration, TOPS</t>
  </si>
  <si>
    <t>This is support only and may be SA and Tech support</t>
  </si>
  <si>
    <t>OI00150</t>
  </si>
  <si>
    <t>OI00150R1</t>
  </si>
  <si>
    <t>Brian Schimke</t>
  </si>
  <si>
    <t>Kelly Gilberston</t>
  </si>
  <si>
    <t>MAHP migration to Clinical Toolbox- A/D</t>
  </si>
  <si>
    <t>Darcie Corban</t>
  </si>
  <si>
    <t>CES, Consumer Account Management System (CAMS), Consumer Database (CDB), GFLX, NDB, OHCS - eSync Portal, PRIME, TOPS, UHG IT OM</t>
  </si>
  <si>
    <t>PCE TCE HEALTH PLAN FLEXIBILITY</t>
  </si>
  <si>
    <t>CES, Consumer Database (CDB), Myuhc - Member Portal, NDB, OHCS - eSync Portal, OptumHealth IT Planning &amp; PMO, PRIME</t>
  </si>
  <si>
    <t>PULSE Migration to GPS/COSMOS</t>
  </si>
  <si>
    <t>CSS-B2X 2011B Release</t>
  </si>
  <si>
    <t>QCA Support only for EPDE feed for PHS</t>
  </si>
  <si>
    <t>cc #2 impacting NDB is In Estimating</t>
  </si>
  <si>
    <t>Proof of Concept</t>
  </si>
  <si>
    <t>CE00001</t>
  </si>
  <si>
    <t>Data Management, NDB, Systems Integration, TOPS</t>
  </si>
  <si>
    <t>Routing of exception reports for UHC Online</t>
  </si>
  <si>
    <t>Cancelled in PROMPT</t>
  </si>
  <si>
    <t>NINA THOMPSON</t>
  </si>
  <si>
    <t>PDR - Operational Data Store</t>
  </si>
  <si>
    <t>Dave</t>
  </si>
  <si>
    <t>Medica - Claim Status Inquiry Web Service</t>
  </si>
  <si>
    <t xml:space="preserve">COSMOS Panels Providers Penalty Assignment </t>
  </si>
  <si>
    <t>Sue Kunze</t>
  </si>
  <si>
    <t>CSS - Phase 2 Release 2</t>
  </si>
  <si>
    <t>976 - Member Attestation &amp; Unproven Reimbursement</t>
  </si>
  <si>
    <t>Sam Ho</t>
  </si>
  <si>
    <t>ALBERT PETRUNTI</t>
  </si>
  <si>
    <t>AmeriChoice, Applications and Acquisitions (AAA), B2B Provider Portal, B2C Provider Portal, CareOne, Consumer Database (CDB), NDB</t>
  </si>
  <si>
    <t>Enterprise Information Management, EPMO, NDB, PHS - ILIAD, PHS - NICE, Provider Network Analysis UAT &amp; Tools, Reimbursement Technology, UHCTS-OXHP(Oxford)</t>
  </si>
  <si>
    <t>System
Spec</t>
  </si>
  <si>
    <t>QA Testing</t>
  </si>
  <si>
    <t>Revision to Orbit Report</t>
  </si>
  <si>
    <t>ACIS Suite, CES, Data Delivery System (DDS), Healthcare Alliance - Harvard Pilgrim, NDB, Summary Check, Systems Integration, TOPS, UCAS - Unet Claim Accounting Sys (multiple apps)</t>
  </si>
  <si>
    <t>Charlie Jacoby</t>
  </si>
  <si>
    <t>Medica1 NetClaim - Process Medica Claims thru iCES</t>
  </si>
  <si>
    <t>TOPS</t>
  </si>
  <si>
    <t>iCES November 2008 Maintenance Update</t>
  </si>
  <si>
    <t>NDB impacted on CC.   Includes CC#7</t>
  </si>
  <si>
    <t>NDB, TOPS, Unet - Front End, Unet Batch</t>
  </si>
  <si>
    <t>BS-PBH Facets to UBH Facets, COSMOS  05-49070-000</t>
  </si>
  <si>
    <t>B2B Provider Portal, B2C Provider Portal, EPMO, HIPAA, NDB, Optum Infrastructure, Railroad, UFE</t>
  </si>
  <si>
    <t>Per Scott Thompson, CC# 11 is complete.
Center of Excellence funding pool does not have budget in 2006.  Being moved to a Uniprise funding pool.</t>
  </si>
  <si>
    <t>Use prov. term date to determine uhconline access</t>
  </si>
  <si>
    <t>COSMOS 835 NPI Enhancements</t>
  </si>
  <si>
    <t>Commercial Payment System (EPS), NDB, Summary Check, Testing Environment and Integration, TOPS</t>
  </si>
  <si>
    <t>CC02U</t>
  </si>
  <si>
    <t>Data Management, GEOAccess, GeoAccess for UHC.Com, NDB, Online Provider Directory, Systems Integration</t>
  </si>
  <si>
    <t>P/F Data - Add Address Sequence # for UHCOL</t>
  </si>
  <si>
    <t>Corporate Service Alliance</t>
  </si>
  <si>
    <t>Provider Data &amp; Reimbursement</t>
  </si>
  <si>
    <t xml:space="preserve">R1-one shots to be deployed with 4-12540.  R2 batch reporting in Aug.  </t>
  </si>
  <si>
    <t>Steve Frankel</t>
  </si>
  <si>
    <t>Application Enablement, Computer Services, Enterprise Application Architecture, Enterprise Information Management, EPMO, NDB, Provider Network Analysis UAT &amp; Tools, Reimbursement Technology, UHCTS-OXHP(Oxford)</t>
  </si>
  <si>
    <t xml:space="preserve">Continuation/completion of All Payor Setup in NDB </t>
  </si>
  <si>
    <t>B2B Provider Portal, B2C Provider Portal, CareOne, Claims QA, COSMOS, EPMO, ICUE Core, NDB</t>
  </si>
  <si>
    <t>B2B Provider Portal, CCS-CCF, Claims QA, Consumer Database (CDB), COSMOS, Enterprise Letter Generation System, EPMO, Galaxy, ICUE Core, NDB, OHCS - Data Management, Oracle Universal Content Management (UCM), TOPS</t>
  </si>
  <si>
    <t>B2B Provider Portal, B2C Provider Portal, CareOne, Claims QA, Claims QA - EDI, Consumer Database (CDB), COSMOS, EPMO, Facets Alpha, ICUE Core, NDB, UHC C and S Business Requirements</t>
  </si>
  <si>
    <t>NDB Pre-Auth Table Enhancements</t>
  </si>
  <si>
    <t>5 Digit FS Number Report</t>
  </si>
  <si>
    <t>L2 consolidated with R4</t>
  </si>
  <si>
    <t>ELGS Provider Electronic Messaging</t>
  </si>
  <si>
    <t>Claims Pricing Project</t>
  </si>
  <si>
    <t>Create add row buttons on the appropriate worksheets.</t>
  </si>
  <si>
    <t>Matt Hartman</t>
  </si>
  <si>
    <t>NDB R2</t>
  </si>
  <si>
    <t>SCE</t>
  </si>
  <si>
    <t>Project Y enhancements</t>
  </si>
  <si>
    <t>NDB, PRIME, UPCT</t>
  </si>
  <si>
    <t>SCHULSTAD LOIS</t>
  </si>
  <si>
    <t>Need to revisit scope 1/1 start</t>
  </si>
  <si>
    <t>diCarta v6 Upgrade National System Reporting</t>
  </si>
  <si>
    <t>Ryan &amp; Laura attended meetings to support this program</t>
  </si>
  <si>
    <t>NICE SSN Masking - Providers, Brokers, Emplyr Grps</t>
  </si>
  <si>
    <t>OI00169R1</t>
  </si>
  <si>
    <t>OI00169</t>
  </si>
  <si>
    <t>OI00188</t>
  </si>
  <si>
    <t>OI00188R1</t>
  </si>
  <si>
    <t>OI00205</t>
  </si>
  <si>
    <t>OI00205R1</t>
  </si>
  <si>
    <t>OI00206</t>
  </si>
  <si>
    <t>OI00206R1</t>
  </si>
  <si>
    <t>EPDL Review Current Logic</t>
  </si>
  <si>
    <t xml:space="preserve">Orbit MPQ Report Enhancement  </t>
  </si>
  <si>
    <t>Adjudipro, Atlas, B2B Provider Portal, B2C Provider Portal, CDD, CES, CFAS, COSMOS, CPW, Electronic Eligibility Management System (EEMS), Employer Portal, FMR (Field Mgmt Reporting), GEFT - Global Electronic Funds Transfer, GRDC - (Group Reporting Data Co</t>
  </si>
  <si>
    <t>Pacificare Product Migration</t>
  </si>
  <si>
    <t>PDR - Pulse-URV Data Load to NDB</t>
  </si>
  <si>
    <t>PDR - NDB Integration Tool - URV-Facets</t>
  </si>
  <si>
    <t>UHPDp3.0 Implementation Support - NDB</t>
  </si>
  <si>
    <t>IRR</t>
  </si>
  <si>
    <t>OI00142</t>
  </si>
  <si>
    <t xml:space="preserve">NHP Migration - Part II </t>
  </si>
  <si>
    <t>Healthcare Alliance - Harvard Pilgrim, IDT - Intelligent Desktop, NDB</t>
  </si>
  <si>
    <t>NDB, Payables, Railroad, Summary Check</t>
  </si>
  <si>
    <t>Provider Contract Info on Irate and Orate Tables</t>
  </si>
  <si>
    <t>Moved to TBD 11/14/07 due to funding.  Rescheduled in 2008</t>
  </si>
  <si>
    <t>PHS Work Package 2, Release 1</t>
  </si>
  <si>
    <t>PHS RIMS to Galaxy and Downstream Data Marts</t>
  </si>
  <si>
    <t>Consumer Database</t>
  </si>
  <si>
    <t>Gerald Brockman</t>
  </si>
  <si>
    <t>IDs/Passwords for Non-Par Providers -- PILOT</t>
  </si>
  <si>
    <t>COMET</t>
  </si>
  <si>
    <t>Sheila Nelson</t>
  </si>
  <si>
    <t>Redesign of iCES_NDB interface to asynchorous proc</t>
  </si>
  <si>
    <t>CDD, COMET Desktop.NET, Consumer Account Management System (CAMS), Emptoris, Enterprise Architecture, Foundation Frameworks, Galaxy, HSS (Pricing Applications), NDB, ppoONE, Summary Check, TOPS, UFE</t>
  </si>
  <si>
    <t>Green from a Provider Systems perspective.  Concern is with other queues.  TOPS listed as impacted application.  ACIS estimate is 12.97 pm's.</t>
  </si>
  <si>
    <t>MHAP Funding Table Fixes</t>
  </si>
  <si>
    <t>Sean Watkins</t>
  </si>
  <si>
    <t>JOHN HIEBERT</t>
  </si>
  <si>
    <t>MS_DRG</t>
  </si>
  <si>
    <t>Computer Services, NDB, Systems Integration, United Platform Systems Analysis and Architecture</t>
  </si>
  <si>
    <t>Claim Pricing for External Customer</t>
  </si>
  <si>
    <t>Healthy Indiana Implementation</t>
  </si>
  <si>
    <t>John Kaelin</t>
  </si>
  <si>
    <t>Healthcare Alliance - Harvard Pilgrim, NDB, ppoONE, Systems Integration</t>
  </si>
  <si>
    <t>Alliances Data Exchange Platform</t>
  </si>
  <si>
    <t>Per Larry - no NDB impact</t>
  </si>
  <si>
    <t>UBH Provider File for Eldorado</t>
  </si>
  <si>
    <t>Project to be cancelled.  Replaced by multiple smaller sprfs</t>
  </si>
  <si>
    <t xml:space="preserve">Due to regression testing of 4-7821 being over 2 weeks behind.  New dates will be published.     </t>
  </si>
  <si>
    <t>HPHC-Network Match Harvard Pilgrim JV Project</t>
  </si>
  <si>
    <t>Medica - NDB modify initial load process</t>
  </si>
  <si>
    <t>David Roy</t>
  </si>
  <si>
    <t>Barb Daquino</t>
  </si>
  <si>
    <t>Steven Mueller</t>
  </si>
  <si>
    <t>CES, COSMOS, Foundation Frameworks, NDB, TOPS</t>
  </si>
  <si>
    <t>Expanded EPDE Onboardings for August 2008</t>
  </si>
  <si>
    <t>CORP1-Infrastructure-Optimal App. Connectivity</t>
  </si>
  <si>
    <t>Radiology</t>
  </si>
  <si>
    <t>Ryan King confirmed no NDB impact</t>
  </si>
  <si>
    <t>Cancelled in Prompt.</t>
  </si>
  <si>
    <t>COSMOS Port - UNISYS to IBM</t>
  </si>
  <si>
    <t>Provider TIN Suffix Service</t>
  </si>
  <si>
    <t>D8 - Release Mgmt</t>
  </si>
  <si>
    <t>Emptoris, NDB, UHT</t>
  </si>
  <si>
    <t>Online Provider Search Enhancements</t>
  </si>
  <si>
    <t>Service Alliance</t>
  </si>
  <si>
    <t>R1</t>
  </si>
  <si>
    <t>DEA ‘F’ Data Load</t>
  </si>
  <si>
    <t>CES, MNDB - Member Number Database</t>
  </si>
  <si>
    <t>HPHC2-HPHC BPO - Analysis</t>
  </si>
  <si>
    <t>Rare Diseases - NDC Pricing</t>
  </si>
  <si>
    <t>Contract Line Selection by Physical Location</t>
  </si>
  <si>
    <t>Claims Reprcing Onboarding Placeholder</t>
  </si>
  <si>
    <t>Not funded in 2008</t>
  </si>
  <si>
    <t>CC#2 and CC#3.  Only R1 is funded in 2008</t>
  </si>
  <si>
    <t>In estimating.  Likely to be cancelled.</t>
  </si>
  <si>
    <t>CES, Consumer Database (CDB), Integrated Service Experience Tool ISET, NDB, TOPS</t>
  </si>
  <si>
    <t>Care One Data Sharing w/Unet</t>
  </si>
  <si>
    <t>Application Enablement, Data Management, EA Data Architecture, Emptoris, Enterprise Application Architecture, Foundation Frameworks, NDB, ORBIT - Operational Reporting, ppoONE, Systems Integration, USEC - Universal Security Systems</t>
  </si>
  <si>
    <t>Steve Black</t>
  </si>
  <si>
    <t>Pojrect is A/D in prompt but NDB is A/O only</t>
  </si>
  <si>
    <t>Mel Johnston</t>
  </si>
  <si>
    <t>4/20/09 Cancelled in PROMPT</t>
  </si>
  <si>
    <t>HPHC1-WO - Provider Network Extract for HPHC</t>
  </si>
  <si>
    <t>HPHC-Enhance NDB extract files for NSD</t>
  </si>
  <si>
    <t>Medica Ancillary/Facility Providers Load via EPDL</t>
  </si>
  <si>
    <t>Medica - ORBIT PTI of 'M' Report</t>
  </si>
  <si>
    <t>Bob Preston</t>
  </si>
  <si>
    <t>ITI: November Commercial Release</t>
  </si>
  <si>
    <t>Uniprise Quicken Health Implementation A&amp;D</t>
  </si>
  <si>
    <t>JAMES SALSBERG</t>
  </si>
  <si>
    <t>Clin Ops</t>
  </si>
  <si>
    <t>Ron Harms</t>
  </si>
  <si>
    <t>COSMOS, Data Delivery System (DDS), Galaxy, Healthcare Alliance - Medica, IDT - Intelligent Desktop, NDB, QStar</t>
  </si>
  <si>
    <t>EPMO, Galaxy, NDB, United Health Premium Designation (UHPD)</t>
  </si>
  <si>
    <t>Field Expansion</t>
  </si>
  <si>
    <t>CC10</t>
  </si>
  <si>
    <t>Integration - PHP Michigan</t>
  </si>
  <si>
    <t>HCA-Arch-Provider Portal II Placeholder</t>
  </si>
  <si>
    <t>Add edits to eServices App to prevent input errors</t>
  </si>
  <si>
    <t>Middle Tier Replacement 2010</t>
  </si>
  <si>
    <t>iLEAD, Integrated Service Experience Tool ISET, NDB, ORS</t>
  </si>
  <si>
    <t>Chicago Narrow Network</t>
  </si>
  <si>
    <t>Stephen Rodgers</t>
  </si>
  <si>
    <t>Provider Group Analysis for NDB</t>
  </si>
  <si>
    <t>Replaced by 4-22982</t>
  </si>
  <si>
    <t>HPHC2-DataSharing-PBH Integration</t>
  </si>
  <si>
    <t>Empire Plan FTP Access Change on Local Server</t>
  </si>
  <si>
    <t>NOS Implant Contract Reporting</t>
  </si>
  <si>
    <t>Julie Giese</t>
  </si>
  <si>
    <t>Analysis completed earlier than planned</t>
  </si>
  <si>
    <t>D7 - NDB Impacted SPRF's</t>
  </si>
  <si>
    <t>Clean up of year end data</t>
  </si>
  <si>
    <t>PHS Work Package 1 Release 2 - Service</t>
  </si>
  <si>
    <t>Michael Costa</t>
  </si>
  <si>
    <t>ACIS Suite, B2B Provider Portal, B2C Provider Portal, CES, Commercial Payment System (EPS), Computer Services, Contact Center Services, Desktop and Groupware Services, FSDB - Financial Summary Database (5087), IDT - Intelligent Desktop, NDB, Network Servi</t>
  </si>
  <si>
    <t>AE Mainframe Services, Application Enablement, B2C Provider Portal, Computer Services, Contact Center Services, Data Management, Enterprise Application Architecture, Foundation Frameworks, ISEC (Internet Security Database), NDB, OTS - Overpayment Tracking</t>
  </si>
  <si>
    <t>B2B Provider Portal, B2C Provider Portal, CDD, Contact Center Services, Data Management, eArt, Galaxy, NDB, ORBIT - Operational Reporting, ORS, Portal Reporting, TOPS, United Voice Portal Business</t>
  </si>
  <si>
    <t>NDB not impacted per D. DeMatteo on 2/2.  No longer impacted in Prompt</t>
  </si>
  <si>
    <t>Data Management, EA Data Architecture, Enterprise Application Architecture, Enterprise Architecture, Enterprise Solutions, EPMO, IBM FileNet, iCES Clearinghouse, NDB, PacifiCare Development, PHS - Bottom Line, PHS - Data Warehouse, PHS - EDI, PHS - IFS (I</t>
  </si>
  <si>
    <t>iCES Clearinghouse, NDB, PacifiCare Development, PHS - ILIAD, ppoONE, TOPS, UFE</t>
  </si>
  <si>
    <t>EPMO, IBM FileNet, iCES Clearinghouse, NDB, PacifiCare Development, PHS - ILIAD, ppoONE, TOPS, UFE</t>
  </si>
  <si>
    <t>Enterprise Solutions, EPMO, IBM FileNet, iCES Clearinghouse, NDB, PacifiCare Development, PHS - Bottom Line, PHS - EDI, PHS - QicLink/ClaimExchange, ppoONE, Systems Integration, UFE</t>
  </si>
  <si>
    <t>TX migrations to UHConline - Star/CHIP/StarPlus</t>
  </si>
  <si>
    <t>Connecticut NPI and Taxonomy Validation</t>
  </si>
  <si>
    <t>CareOne, Consumer Database (CDB), Contact Center Services, Enterprise EDI Technical Operations, EPMO, Facets Solution Group, NDB, Network Technology &amp; Support, Provider Network Analysis UAT &amp; Tools, UFE</t>
  </si>
  <si>
    <t>Convey eStatement - UHC Online Hosting</t>
  </si>
  <si>
    <t>John E. Wallace</t>
  </si>
  <si>
    <t>Application Enablement, BH-Facets - UBH, BH-Shared Components, Consumer Database (CDB), Contact Center Services, EPMO, NDB</t>
  </si>
  <si>
    <t>TBS Provider Workflow - PEGA Analysis</t>
  </si>
  <si>
    <t>PDR - EVC Fee Schedule Migration to NDB</t>
  </si>
  <si>
    <t>TaaS - External Identity Management and Authorizat</t>
  </si>
  <si>
    <t>CDD, COSMOS, EPD/NDB, iCES Clearinghouse, NDB, PRS, TOPS</t>
  </si>
  <si>
    <t>2/7/201 1  Cancelled in prompt</t>
  </si>
  <si>
    <t>2/7/201 1 Completed in prompt</t>
  </si>
  <si>
    <t>NDB was unimpacted on this project</t>
  </si>
  <si>
    <t>2/7/2011 NDB not impacted on project in prompt</t>
  </si>
  <si>
    <t>2/7/2011 NDB not impacted on project in prompt and project now completed</t>
  </si>
  <si>
    <t>2/7/2010 cancelled in prompt</t>
  </si>
  <si>
    <t>2/7/11 Project completed in prompt- and NDB not impacted in prompt</t>
  </si>
  <si>
    <t>2/7/2011  NDB not impacted in prompt</t>
  </si>
  <si>
    <t>2/7/2011 NDB was un-impacted</t>
  </si>
  <si>
    <t>2/7/11  NDB not impacted in prompt</t>
  </si>
  <si>
    <t>2/7 OOM approved in prompt.  This is still in estimating in prompt  - final funding approval on Jan 13th</t>
  </si>
  <si>
    <t>2/7 Per Farahani, Rob this project is considered completed</t>
  </si>
  <si>
    <t>CC 4</t>
  </si>
  <si>
    <t>2/16 GK meeting confirmation by K Starks that NDB is unimpacted on this project</t>
  </si>
  <si>
    <t>Move to March</t>
  </si>
  <si>
    <t>PBH Facets Migration - Public Sector Health Plans</t>
  </si>
  <si>
    <t>Jennifer Weed</t>
  </si>
  <si>
    <t>CSS-B2X 2011D Release</t>
  </si>
  <si>
    <t>Provider Data from Pulse for iCUE &amp; UHC Online</t>
  </si>
  <si>
    <t>PHS CLINICAL MIGRATION TO I-CUE (AO)</t>
  </si>
  <si>
    <t>KAREN SCHLIESSER</t>
  </si>
  <si>
    <t>SHEILA NELSON</t>
  </si>
  <si>
    <t>Connected Care (TeleHealth), Consumer Database (CDB), Enterprise Application Architecture, EPMO, Information Risk Management, NDB, Network Services (UHT), USEC - Universal Security Systems</t>
  </si>
  <si>
    <t>Heritage RV Expansion to SC</t>
  </si>
  <si>
    <t xml:space="preserve">Lori Logan </t>
  </si>
  <si>
    <t>EeS Full Family Functionality</t>
  </si>
  <si>
    <t>Harrington/Benesight Repricing - HCFAs</t>
  </si>
  <si>
    <t>HPHC Fee Schedule Audit Error Report Revision</t>
  </si>
  <si>
    <t>Patrico Cobos</t>
  </si>
  <si>
    <t>Provider TCE - TN &amp; TX Regulations</t>
  </si>
  <si>
    <t xml:space="preserve">Research TX address level Medicaid IDs </t>
  </si>
  <si>
    <t>NDB to ECap Provdr Demo &amp; Contract Full File Feed</t>
  </si>
  <si>
    <t>SHIRLEY REYNOLDS</t>
  </si>
  <si>
    <t>Network Changes Application Re-Architecture</t>
  </si>
  <si>
    <t>Cathy Ball</t>
  </si>
  <si>
    <t>National Provider ID (NPI) Compliance</t>
  </si>
  <si>
    <t>Steven Auerbach</t>
  </si>
  <si>
    <r>
      <t>Per Prompt, completed</t>
    </r>
    <r>
      <rPr>
        <sz val="8"/>
        <rFont val="Arial"/>
        <family val="2"/>
      </rPr>
      <t>.  Per Bob Gaudet, completed in March.</t>
    </r>
  </si>
  <si>
    <t>Primary Owner</t>
  </si>
  <si>
    <t>By Pass Premium For Accreditation</t>
  </si>
  <si>
    <t>NHP clinical migration to the Clinical Toolbox</t>
  </si>
  <si>
    <t>Need to work with TOPS to determine what can be delivered without them.  This is not in the 2009 roadmap for TOPS. This is to be removed from schedule for 2009</t>
  </si>
  <si>
    <t>Ovations Provider Pick Improvements</t>
  </si>
  <si>
    <t>EPDE for NGRC</t>
  </si>
  <si>
    <t>CIN - Radiology</t>
  </si>
  <si>
    <t>Prov Directory Improvement -  Verification Fields</t>
  </si>
  <si>
    <t>CE00020</t>
  </si>
  <si>
    <t>OI00144R1</t>
  </si>
  <si>
    <t>Medica NPI HIPAA Implementation</t>
  </si>
  <si>
    <t>B2B Provider Portal, B2C Provider Portal, EFS/CS IT PM, FSDB - Financial Summary Database (5087), NDB, Railroad, SIFS, Summary Check, UCAS - Unet Claim Accounting Sys (multiple apps)</t>
  </si>
  <si>
    <t>Cancelled</t>
  </si>
  <si>
    <t>PDR - Provider Pick on Claims Highway</t>
  </si>
  <si>
    <t>B2B Provider Portal, CareOne, CCS-CCF, CES, Consumer Database (CDB), COSMOS, Cross Application Testing, EPMO, Ingenix EDI Solutions, NDB, ORBIT - Operational Reporting, TOPS, UFE</t>
  </si>
  <si>
    <t>ACIS Suite, AmeriChoice, Application Enablement, B2B Provider Portal, B2C Provider Portal, CareOne, CCS-CCF, CES, Consumer Database (CDB), COSMOS, Cross Application Testing, NDB, TOPS</t>
  </si>
  <si>
    <t>ACIS Suite, AmeriChoice, Application Enablement, B2B Provider Portal, B2C Provider Portal, CareOne, CCS-CCF, CES, CMA (Content Management Application), Consumer Database (CDB), COSMOS, Cross Application Testing, Enterprise Application Architecture, Enterp</t>
  </si>
  <si>
    <t>AmeriChoice, CareOne, CareOne ODS, Computer Services, Consumer Database (CDB), Cross Application Testing, NDB, OHCS - Data Management</t>
  </si>
  <si>
    <t xml:space="preserve">Per Karla Starks 2/22- Remove- business creating new SPRF to support Texas deployments </t>
  </si>
  <si>
    <t>Corp1-Infrastructure-Enterprise Test/Serv Alliance</t>
  </si>
  <si>
    <t>ACIS Suite, ACR - Annual Consultation Review, Adjudipro, AE Mainframe Services, Application Development Repository, Application Enablement, Application Enablement Development, Application Infrastructure Services, APT, Atlas, Automated Customer Installatio</t>
  </si>
  <si>
    <t>Systems of Record - Data Integration Support 2011</t>
  </si>
  <si>
    <t>UnitedHealthcare Employer &amp; Individual</t>
  </si>
  <si>
    <t>UnitedHealthcare Medicare &amp; Retirement</t>
  </si>
  <si>
    <t>Robert OBrien</t>
  </si>
  <si>
    <t>Medicare&amp;Retirement (Cosmos) Clinical Migration</t>
  </si>
  <si>
    <t xml:space="preserve">CMS Mandates 04-56800-000 </t>
  </si>
  <si>
    <t>BPM Development Group, COSMOS, Enterprise Information Management, EPMO, NDB, Network Technology &amp; Support, UNO/UIS</t>
  </si>
  <si>
    <t>cancelled in prompt 1/31/11</t>
  </si>
  <si>
    <t>Cancelled in PROMPT- Note received 2/3 from K. Stark</t>
  </si>
  <si>
    <t>COMET Desktop.NET, Galaxy, GFLX, iCES Clearinghouse, IDT - Intelligent Desktop, NDB, Summary Check, Systems Integration, TOPS</t>
  </si>
  <si>
    <t>iCES Clearinghouse, NDB, Systems Integration, TOPS</t>
  </si>
  <si>
    <t>iCES Clearinghouse, NDB, ppoONE, Systems Integration, TOPS</t>
  </si>
  <si>
    <t>iCES Clearinghouse, NDB, ppoONE, TOPS</t>
  </si>
  <si>
    <t>iCES Clearinghouse, NDB, Network Services (UHT), ppoONE, Systems Integration, TOPS, UHT</t>
  </si>
  <si>
    <t xml:space="preserve">ACIS Suite, Application Enablement, B2B Provider Portal, B2C Provider Portal, CareOne, CCS-CCF, CES, CMA (Content Management Application), Computer Services, Consumer Database (CDB), COSMOS, Cross Application Testing, Enterprise Application Architecture, </t>
  </si>
  <si>
    <t>CCS-CCF, Computer Services, Consumer Database (CDB), Cross Application Testing, ELO Enterprise Letter Operations, Enterprise Clinical ODS (ECODS), Enterprise Content Management and Architecture, Enterprise Letter Generation System, EPMO, GRDC - (Group Rep</t>
  </si>
  <si>
    <t>Application Enablement, B2B Provider Portal, CareOne, CCS-CCF, CES, Computer Services, Consumer Database (CDB), COSMOS, Cross Application Testing, EPMO, Ingenix EDI Solutions, NDB, ORBIT - Operational Reporting, Provider Network Analysis UAT &amp; Tools, Test</t>
  </si>
  <si>
    <t>Adjudipro, Application Enablement, B2B Provider Portal, B2C Provider Portal, BH-Data Warehouses, BH-Elig/Accum, BH-Elig/Benefits, BH-Facets - UBH, BH-Linx, CareOne, Consumer Database (CDB), COSMOS, Cross Application Testing, EPMO, GPS, GPT - Configuration</t>
  </si>
  <si>
    <t>ACIS Suite, AmeriChoice, Application Enablement, B2B Provider Portal, B2C Provider Portal, CareOne, CCS-CCF, CES, CMA (Content Management Application), Computer Services, Consumer Database (CDB), COSMOS, Cross Application Testing, Enterprise Application A</t>
  </si>
  <si>
    <t>Application Enablement, Cross Application Testing, Emptoris, Foundation Frameworks, NDB, Provider Network Analysis UAT &amp; Tools, Systems Integration</t>
  </si>
  <si>
    <t>Incorrect Dup Denials related to modifiers and SDS</t>
  </si>
  <si>
    <t>HCA-Contract Nbr Issuance Solution-Analysis Only</t>
  </si>
  <si>
    <r>
      <t xml:space="preserve">In estimating. </t>
    </r>
    <r>
      <rPr>
        <b/>
        <sz val="8"/>
        <rFont val="Arial"/>
        <family val="2"/>
      </rPr>
      <t xml:space="preserve"> Do not believe that NDB will be impacted.</t>
    </r>
  </si>
  <si>
    <t>UHC Online - Midwest Team Resets</t>
  </si>
  <si>
    <t>Auto-Generate PDLT from diCarta</t>
  </si>
  <si>
    <t>Upload MGA List to diCarta</t>
  </si>
  <si>
    <t>NDB-CES PCP TIN Validation Interface Issue</t>
  </si>
  <si>
    <t>B2B Provider Portal, CES, EPD/NDB, Portal Reporting, Program Definition Intake Team</t>
  </si>
  <si>
    <t>B2B Provider Portal, B2C Provider Portal, NDB</t>
  </si>
  <si>
    <t>UHPD Feeds Scheduling Changes</t>
  </si>
  <si>
    <t>Christopher J Brown</t>
  </si>
  <si>
    <t>replaced by 4-21741</t>
  </si>
  <si>
    <t>replaced by 4-21743</t>
  </si>
  <si>
    <t xml:space="preserve">MPQ Enhancements </t>
  </si>
  <si>
    <t>Need to deliver early so downstream applications can use.</t>
  </si>
  <si>
    <t>CC23R2</t>
  </si>
  <si>
    <t>OI00155</t>
  </si>
  <si>
    <t>OI00156</t>
  </si>
  <si>
    <t>PM&amp;R Service Notification submissions thru portal</t>
  </si>
  <si>
    <t>In estimating.</t>
  </si>
  <si>
    <t>CIX - CIM (Customer Installation Mgt) 2006 - NDB not listed as an impacted application.</t>
  </si>
  <si>
    <t>Case Package, CES, EPD/NDB, IBAAG - IT (System Changes), Program Definition Intake Team, TCA, TOPS, Unet Batch</t>
  </si>
  <si>
    <t xml:space="preserve">B2B Provider Portal, B2C Provider Portal, Computer Services, COSMOS, Cross Application Testing, Data Management, EDSS, Enterprise Architecture, HIPAA, NDB, OptumHealth Bank - IT, OptumHealth Financial Services Architecture, ORBIT - Operational Reporting, </t>
  </si>
  <si>
    <t>Application Enablement, B2B Provider Portal, CareOne, CCS-CCF, CES, Consumer Database (CDB), COSMOS, Cross Application Testing, Data Management, EPMO, Ingenix EDI Solutions, NDB, ORBIT - Operational Reporting, Testing Environment and Integration, TOPS, UF</t>
  </si>
  <si>
    <t>B2B Provider Portal, B2C Provider Portal, CareOne, CCS-CCF, CES, CIX (Customer Installation Express), CMA (Content Management Application), Consumer Database (CDB), COSMOS, Cross Application Testing, Enterprise Architecture, Enterprise Letter Generation S</t>
  </si>
  <si>
    <t>B2B Provider Portal, B2C Provider Portal, CareOne, CES, COSMOS, Cross Application Testing, Data Management, Emptoris, Enterprise Architecture, EPMO, Galaxy, IDT - Intelligent Desktop, NDB</t>
  </si>
  <si>
    <t>Application Enablement, B2B Provider Portal, B2C Provider Portal, CES, Consumer Database (CDB), Contact Center Services, COSMOS, Cross Application Testing, Enterprise Architecture, Enterprise Letter Generation System, EPMO, Foundation Frameworks, GPT Busi</t>
  </si>
  <si>
    <t>Adjudipro, ATG Automated Transaction Generator, B2B Provider Portal, COSMOS, CPW, Cross Application Testing, EPMO, NDB, UFE</t>
  </si>
  <si>
    <t>AmeriChoice, CareOne, CareOne ODS, Consumer Database (CDB), Cross Application Testing, NDB, OHCS - Data Management</t>
  </si>
  <si>
    <t>AmeriChoice, CareOne, CareOne ODS, Consumer Database (CDB), Cross Application Testing, Enterprise Clinical ODS (ECODS), NDB, OHCS - Data Management</t>
  </si>
  <si>
    <t>CSS-B2X 2012B Release</t>
  </si>
  <si>
    <t>M&amp;R Clinical Programs ICUE Migration</t>
  </si>
  <si>
    <t>Anne Marie Gavel</t>
  </si>
  <si>
    <t>Consumer Database (CDB), Enterprise Letter Generation System, EPMO, I-CUE Core, NDB</t>
  </si>
  <si>
    <t>7/8n Cancelled in Prompt 6/30</t>
  </si>
  <si>
    <t>7/8 Cancelled in Prompt 6/30</t>
  </si>
  <si>
    <t>NDB has been un-impacted on cc5 and scope added to sprf 4-41805 cc6</t>
  </si>
  <si>
    <t>7/11/11 NDB Has been un-impacted on this project</t>
  </si>
  <si>
    <t>7/11/11 This project was cancelled in prompt</t>
  </si>
  <si>
    <t>5 - Un-impacted</t>
  </si>
  <si>
    <t>Application Enablement, B2B Provider Portal, BH-Facets - UBH, BH-Mgmt and Planning, BH-Shared Components, BH-ubhonline.com, Claims QA, Consumer Database (CDB), COSMOS, Enterprise EDI Business Solutions, EPMO, HIPAA, MAPS, NDB, OH Segment Services, TOPS, U</t>
  </si>
  <si>
    <t>Application Enablement, BPID, CES, Claims Highway, Claims QA, COMET Desktop.NET, Data Delivery System (DDS), EPMO, Galaxy, GGMAP, Integrated Service Experience Tool ISET, NDB, Network Technology &amp; Support, ppoONE, PRIME, TOPS, UHC C and S Business Require</t>
  </si>
  <si>
    <t>Claims QA, COSMOS, Cross Application Testing, EPMO, Galaxy, NDB, Network Technology &amp; Support</t>
  </si>
  <si>
    <t>Claims QA, COSMOS, Cross Application Testing, EPMO, NDB, Network Technology &amp; Support, Provider Network Analysis UAT &amp; Tools</t>
  </si>
  <si>
    <t>E2E Performance test for all HIPA5010 transactions</t>
  </si>
  <si>
    <t xml:space="preserve">MNRP - Override codes </t>
  </si>
  <si>
    <t>Peterson, Sarah</t>
  </si>
  <si>
    <t xml:space="preserve">ACIS Suite, Atlas, Automated Underwriting, BASICS, CCS-CCF, CES, CIX (Customer Installation Express), CMA (Content Management Application), COMET Desktop.NET, Computer Services, COSMOS, Data Management, Definity Health App Suite, Definity Health Consumer </t>
  </si>
  <si>
    <t>Network Product Configuration Redesign</t>
  </si>
  <si>
    <t>SHANNON MORROW</t>
  </si>
  <si>
    <t>B2C Provider Portal, CCS-CCF, EPMO, IDT - Intelligent Desktop, NDB</t>
  </si>
  <si>
    <t>B2B Provider Portal, B2C Provider Portal, CareOne, CCS-CCF, NDB, Portal Reporting</t>
  </si>
  <si>
    <t>CCS-CCF, Enterprise Architecture, Foundation Frameworks, IDT - Intelligent Desktop, NDB, ORBIT - Operational Reporting, Provider Network Analysis UAT &amp; Tools, UHN Reporting Database, USEC - Universal Security Systems</t>
  </si>
  <si>
    <t>EPMO, IBM FileNet, NDB, PHS - ILIAD, PHS - NICE</t>
  </si>
  <si>
    <t>ACIS Suite, Atlas, B2C Provider Portal, BASICS, CCS-CCF, CES, CIX (Customer Installation Express), Consumer Database (CDB), Contact Center Services, Employer Portal, Enterprise Architecture, Enterprise Letter Generation System, eServices Billing, FSDB - F</t>
  </si>
  <si>
    <t>6/13 CC4 is now scheduled in prompt
CC4 - still in estimating - Added per Vicky</t>
  </si>
  <si>
    <t>CC 7</t>
  </si>
  <si>
    <t>CC 1</t>
  </si>
  <si>
    <t>OI00101R1</t>
  </si>
  <si>
    <t>OI00101</t>
  </si>
  <si>
    <t>Auto DBA Name Population</t>
  </si>
  <si>
    <t xml:space="preserve">
6/13 changed from .8 to .4 pm's in cc39
CC 22</t>
  </si>
  <si>
    <t>CC4 - marked complete 6/14 per Hameed in QCA staff meeting</t>
  </si>
  <si>
    <t>Application Enablement, B2B Provider Portal, CDD, CES, Computer Services, COSMOS, Cross Application Testing, Enterprise Application Architecture, Enterprise Architecture, EPMO, Foundation Frameworks, Galaxy, GFLX, Ingenix Custom Reporting and Consulting (</t>
  </si>
  <si>
    <t>CES, COMET Desktop.NET, Cross Application Testing, Data Delivery System (DDS), EPMO, Galaxy, Healthcare Alliance - Harvard Pilgrim, Healthcare Alliance - Medica, NDB, Payment Engine, ppoONE, Provider Network Analysis UAT &amp; Tools, Summary Check, Testing En</t>
  </si>
  <si>
    <t xml:space="preserve">ACIS Suite, Application Enablement, CES, CIX (Customer Installation Express), Contact Center Services, Cross Application Testing, Data Delivery System (DDS), Employer Portal, Healthcare Alliance - Medica, IDT - Intelligent Desktop, Myuhc - Member Portal, </t>
  </si>
  <si>
    <t>EPDE Full File Pull for PHS Auto-Load - AZ/CO</t>
  </si>
  <si>
    <t>ACIS Suite, CDD, CES, COMET Desktop.NET, Data Management, EPMO, FMR (Field Mgmt Reporting), FSDB - Financial Summary Database (5087), Galaxy, IDT - Intelligent Desktop, NDB, ORBIT - Operational Reporting, PRIME, Product Benefit Database - UT, Summary Chec</t>
  </si>
  <si>
    <t>COSMOS, EPD/NDB, EPMO, Letter Systems, Myuhc - Member Portal, ORS, TOPS</t>
  </si>
  <si>
    <t>B2B Provider Portal, B2C Provider Portal, Consumer Database (CDB), Contact Center Services, Emptoris, FSDB - Financial Summary Database (5087), IBAAG - IT (System Changes), NDB, PacifiCare Development, RPS - Reserve Production System (5611), UFE, UHT, Uni</t>
  </si>
  <si>
    <t>COSMOS Field Expansion Long Term Solution</t>
  </si>
  <si>
    <t>Enterprise Application Architecture, Enterprise Systems Planning Business Architecture, EPMO, GEOAccess, GPT eCommerce, NDB, PHS - Distributed Application Services, PHS - NICE</t>
  </si>
  <si>
    <t>EDI 278N 2010 Q4</t>
  </si>
  <si>
    <t>Jim Gillen</t>
  </si>
  <si>
    <t xml:space="preserve">B2B Provider Portal, B2C Provider Portal, CES, Contact Center Services, COSMOS, Data Management, Electronic Eligibility Management System (EEMS), EPMO, eServices Billing, FSDB - Financial Summary Database (5087), IDT - Intelligent Desktop, Myuhc - Member </t>
  </si>
  <si>
    <t xml:space="preserve">AmC Nebraska CareOne Clinical Migration </t>
  </si>
  <si>
    <t>ERC Proof of Concept Release 3</t>
  </si>
  <si>
    <t xml:space="preserve">HPHC1 - MultiSite Routing 835s with HPHC as Payor </t>
  </si>
  <si>
    <t>Extraterritorial Mandates</t>
  </si>
  <si>
    <t>IDT - Intelligent Desktop, NDB, SCAD Operations</t>
  </si>
  <si>
    <t>USEC support not needed toward release per Souvik Kar.  USEC added to the lockdown change control and to CC06. Per M. Buckley, project will be delivered on 6/23.  Testing support only.</t>
  </si>
  <si>
    <t>Empire Plan - PTI by Contract Organization Report</t>
  </si>
  <si>
    <t>Fix to CT State-Req Mid-Lvl Provider Report</t>
  </si>
  <si>
    <t>Rita Johnson-Mills</t>
  </si>
  <si>
    <t>Stephen Wilson</t>
  </si>
  <si>
    <t>B2B Provider Portal, B2C Provider Portal, COMET, COMET Desktop.NET, Employer Portal, FMR (Field Mgmt Reporting), FSA IVR, FSDB - Financial Summary Database (5087), GFLX, IDT - Intelligent Desktop, MNDB - Member Number Database, PC-ORS, Summary Check, TACS</t>
  </si>
  <si>
    <t>Quirk, Tom</t>
  </si>
  <si>
    <t>Greenberg, Jason</t>
  </si>
  <si>
    <t>HPHC2-100/50/50 Logic Application for Multi Surgs</t>
  </si>
  <si>
    <t>DTRs for UT Applications</t>
  </si>
  <si>
    <t>Kevin Kantola</t>
  </si>
  <si>
    <t>NDB Recycling of TOPS TIN Prefix/Suffix</t>
  </si>
  <si>
    <t>UBH Facets and United Systems Integration</t>
  </si>
  <si>
    <t>Dom Furfari</t>
  </si>
  <si>
    <t>HEDIS 2007 Provider Measure</t>
  </si>
  <si>
    <t>Scheduling
Sherpa</t>
  </si>
  <si>
    <t>Analyze 5010 format for 835</t>
  </si>
  <si>
    <t>HCA - Create a report showing PTI of 'M'</t>
  </si>
  <si>
    <t>moved to unshed on 12/5.  Lack of Ovations participation</t>
  </si>
  <si>
    <t>Need change control - resource requirements greater than original estimate.</t>
  </si>
  <si>
    <t>Premium Designation</t>
  </si>
  <si>
    <t>ITI Reimbursement Reductions - Commercial Phase 2</t>
  </si>
  <si>
    <t>Harvard Pilgrim EPDL Provider Match Edit</t>
  </si>
  <si>
    <t>Completed in Prompt.</t>
  </si>
  <si>
    <t>Description</t>
  </si>
  <si>
    <t>PHS Commercial Medical Mgmt Data Sharing</t>
  </si>
  <si>
    <t>NDB impacted for Zero hours - work being done under 34142 per Joe Sneddon</t>
  </si>
  <si>
    <t>CES, Computer Services, CTS - Common Tables System, Data Management, Employer Portal, EPMO, eServices Billing, FSDB - Financial Summary Database (5087), GRDC - (Group Reporting Data Control), Myuhc - Member Portal, NDB, PeopleSoft BI/AR, PRAFSII - Premium</t>
  </si>
  <si>
    <r>
      <t xml:space="preserve">Cancelled per KF 2/24/06 I lieu of 11565.  NDB-EA Demographic Enhcmts- BPO Offerng Phs I  - Returned by Funding Approver - need to identify funding source.  </t>
    </r>
    <r>
      <rPr>
        <b/>
        <sz val="8"/>
        <rFont val="Arial"/>
        <family val="2"/>
      </rPr>
      <t>CONFIRM NDB NOT IMPACTED AND MARK AS CANCELLED.</t>
    </r>
  </si>
  <si>
    <t xml:space="preserve">835 Indicator for Claim </t>
  </si>
  <si>
    <r>
      <t>Cancelled in Prompt</t>
    </r>
    <r>
      <rPr>
        <sz val="8"/>
        <rFont val="Arial"/>
        <family val="2"/>
      </rPr>
      <t xml:space="preserve">  Per Dan Sullivan, this SPRF is likely to be rescheduled.</t>
    </r>
  </si>
  <si>
    <t>Greg Kassebaum</t>
  </si>
  <si>
    <t>Assign NDB Resource to UHC Online (.25 FTE)</t>
  </si>
  <si>
    <t>NPI Portals Compliance - B2B &amp; B2C</t>
  </si>
  <si>
    <t>Gino Tenance</t>
  </si>
  <si>
    <t>12/14 for signoff</t>
  </si>
  <si>
    <t>11/13/12 - Cancelled in Prompt 8/16/11</t>
  </si>
  <si>
    <t>11/13/12 - NDB unimpacted in Prompt</t>
  </si>
  <si>
    <t>11/13/12  NDB unimpacted in Prompt</t>
  </si>
  <si>
    <t>11/13/12 - Cancelled in Prompt</t>
  </si>
  <si>
    <t>11/13/12 - Cancelled in Prompt 9/12/11</t>
  </si>
  <si>
    <t>11/13/12 Cancelled No longer in Prompt</t>
  </si>
  <si>
    <t>11/13/12 - Completed in Prompt 11/8/12</t>
  </si>
  <si>
    <t xml:space="preserve">Application Enablement, B2C Provider Portal, CES, Data Management, Enterprise Architecture, GEOAccess, GeoAccess for UHC.Com, IDT - Intelligent Desktop, Myuhc - Member Portal, NDB, ORBIT - Operational Reporting, Testing Environment and Integration, TOPS, </t>
  </si>
  <si>
    <t>NASC LT Enhancement Addendum - Provider Search</t>
  </si>
  <si>
    <t>John Doddy</t>
  </si>
  <si>
    <t>PPL001 - PMW to ORBIT Report Migration</t>
  </si>
  <si>
    <t>John Deere - Create Export</t>
  </si>
  <si>
    <t>No longer in Prompt</t>
  </si>
  <si>
    <t>includes rescope and cc#5 &amp;#6</t>
  </si>
  <si>
    <t>Jennifer Steffens</t>
  </si>
  <si>
    <t>Integration - Americhoice</t>
  </si>
  <si>
    <t>PRIME 21</t>
  </si>
  <si>
    <t>Claims Repricing - R5, Physician Two-way Repricing</t>
  </si>
  <si>
    <t>Deb Streb</t>
  </si>
  <si>
    <t>Resolve process for determining target dates for SDLC stages.  Have lookup based on project size and Laura may have another way.</t>
  </si>
  <si>
    <t>PHS EPDE/Auto-Upload Enhancement UT Support</t>
  </si>
  <si>
    <t>PRIME Policy Number Capacity Expansion</t>
  </si>
  <si>
    <t>Guess Vince</t>
  </si>
  <si>
    <t>Lab Network Reimbursement Model - New Remark Code</t>
  </si>
  <si>
    <t>GE Provider Directory Data Feed - WO</t>
  </si>
  <si>
    <t>Scott Roberge</t>
  </si>
  <si>
    <t>Medical Necessity - Rad/Card Prior Auth</t>
  </si>
  <si>
    <t>Dr. Sam Ho / Kevin Ruth</t>
  </si>
  <si>
    <t xml:space="preserve"> NDB Data Quality Edits and Functionality</t>
  </si>
  <si>
    <t>Data Management, EA Data Architecture, ECap, Foundation Frameworks, NDB, United Platform Systems Analysis and Architecture, USEC - Universal Security Systems</t>
  </si>
  <si>
    <t>PHS Enterprise &amp; Partner Certification Testing</t>
  </si>
  <si>
    <t xml:space="preserve">This is broken out from the OOM - no cc for this </t>
  </si>
  <si>
    <t>6/22 NDB completed AO sprf.  
Project still in estimating in prompt</t>
  </si>
  <si>
    <t>6/22 NDB unimpacted</t>
  </si>
  <si>
    <t xml:space="preserve">6/22 Vicky provided t-shirt estimate, but NDB did not attend AO meetings.  </t>
  </si>
  <si>
    <t>6/22 Increased from 52 to 57 in CC10.   Second piece of CC8 moved to 52217 so CC10 has  a decrease for that piece as well as an increase for the September piece.   
3/5 Est split between 2 releases - Q3 reduced from 65 pm's to 52 pm's
CC8 is now scheduled
CC8 - estimate not yet entered in prompt and cc still in estimating</t>
  </si>
  <si>
    <t>Notification Search Enhancements</t>
  </si>
  <si>
    <t>Cardiac Imaging and EP Implant Notification</t>
  </si>
  <si>
    <t>Dee Wyatt</t>
  </si>
  <si>
    <t>Chad Peel</t>
  </si>
  <si>
    <t>NPI PCP Directory</t>
  </si>
  <si>
    <t>Garcia, Stevan</t>
  </si>
  <si>
    <t>EPMO, NDB, Network Technology &amp; Support, ppoONE, Reimbursement Technology, UFE, UHCTS-OXHP(Oxford)</t>
  </si>
  <si>
    <t>ER/HBP OON Fee schedule</t>
  </si>
  <si>
    <t>AMS Automated Repricing HCFA &amp; UB</t>
  </si>
  <si>
    <t>Redirect epd internet feed to geoaccess</t>
  </si>
  <si>
    <t>NPI Plan D Compliance</t>
  </si>
  <si>
    <t>PHS Partner Certification Test (NICE/Tops) WP1</t>
  </si>
  <si>
    <t>MAHP NDB Data Extract</t>
  </si>
  <si>
    <t>T. Rainey
M. Stoy</t>
  </si>
  <si>
    <t>none</t>
  </si>
  <si>
    <t>B. Elser
H. Mohammed</t>
  </si>
  <si>
    <t>HPHC Fee Schedule Metric Report</t>
  </si>
  <si>
    <t>Midwest Security UB claims repricing</t>
  </si>
  <si>
    <t>B2B Provider Portal, B2C Provider Portal, EPD/NDB</t>
  </si>
  <si>
    <t>MAHP OneNet Migration</t>
  </si>
  <si>
    <t>NDM Workflow</t>
  </si>
  <si>
    <t>iCES Clearinghouse March 2010 Maintenance Release</t>
  </si>
  <si>
    <t>DR Plan Update for Rapid Recovery</t>
  </si>
  <si>
    <t>Component of Pacificare short-term integration.  Need to determine earliest feasible implementation.</t>
  </si>
  <si>
    <t>EPMO, NDB, PHS - ILIAD, ppoONE, UFE</t>
  </si>
  <si>
    <t>Rich Nechanicky</t>
  </si>
  <si>
    <t>Data Dictionary Table Names</t>
  </si>
  <si>
    <t>Tricare Pre-Award</t>
  </si>
  <si>
    <t>TRICARE</t>
  </si>
  <si>
    <t>Mike Schwarz</t>
  </si>
  <si>
    <t>Provider Contract - Vendor Level Par Status</t>
  </si>
  <si>
    <t>Tom Sinkewitz</t>
  </si>
  <si>
    <t>Create new MedStat data file</t>
  </si>
  <si>
    <t>CES, COMET, EPD/NDB, ORBIT - Operational Reporting, ORS, TOPS, UFE, Unet - Front End, Unet Batch</t>
  </si>
  <si>
    <t>Lisa Jones</t>
  </si>
  <si>
    <t>WP1 Member Contin Coverage &amp; Structure Feed</t>
  </si>
  <si>
    <t>Change control required to reflect change in scope.</t>
  </si>
  <si>
    <t>NPI Enterprise Test</t>
  </si>
  <si>
    <t>G1</t>
  </si>
  <si>
    <t>NDB impacted via CC01.  Being released over 2 releases.  Total of .53 pm's split between releases</t>
  </si>
  <si>
    <t xml:space="preserve">Application Enablement, CES, CMA (Content Management Application), Computer Services, Consumer Account Management System (CAMS), Consumer Activity Presentment/Emp Portal (CAP/EAP), COSMOS, Data Management, Definity Health App Suite, Enterprise Activation </t>
  </si>
  <si>
    <t>Portals</t>
  </si>
  <si>
    <t>Placeholder for 4-22158</t>
  </si>
  <si>
    <t>B2B Provider Portal, COSMOS, NDB, Systems Integration, TOPS, UHT</t>
  </si>
  <si>
    <t>Michelle Brennen-Cooke</t>
  </si>
  <si>
    <t>NPI Care Coordination Compliance</t>
  </si>
  <si>
    <t>Bev Nyce</t>
  </si>
  <si>
    <t>B2B Provider Portal, B2C Provider Portal, Data Management, NDB</t>
  </si>
  <si>
    <t xml:space="preserve">NDB Fee Sched Report - Voids/ Adds done same day </t>
  </si>
  <si>
    <t>Ovations Diamond</t>
  </si>
  <si>
    <t>Medica Unlink/Relink UHCIDs</t>
  </si>
  <si>
    <t>Lori Zurlo</t>
  </si>
  <si>
    <t>iLEAD Release 2.0</t>
  </si>
  <si>
    <t>Radiology Accreditation Search Functionality</t>
  </si>
  <si>
    <t>ACIS Suite, CES, Data Management, FSDB - Financial Summary Database (5087), Galaxy, HIPAA, NDB, Paris, PRIME, Summary Check, Systems Integration, UCAS - Unet Claim Accounting Sys (multiple apps), UHT, UPCT</t>
  </si>
  <si>
    <t>Richard Metcalf</t>
  </si>
  <si>
    <t>The estimate is for the oom plus the cc.  The cc is sill in estimating.  I have asked for this to be scheduled asap</t>
  </si>
  <si>
    <t>Project in IT Leadership review</t>
  </si>
  <si>
    <t>ACIS Suite, Adjudipro, APT, Architecture &amp; Infastructure, Atlas, Automated Customer Installation, B2B Provider Portal, B2C Provider Portal, B2C Security, BASICS, Campaign Management, Carenet Billing, Case Package, Case Track (FS), Case Track (SS), CDD, CE</t>
  </si>
  <si>
    <t>Joseph Chalastra</t>
  </si>
  <si>
    <t>Helene Roybal</t>
  </si>
  <si>
    <t>Medica - Enhance EPDL Layouts-Add MPIN to Match</t>
  </si>
  <si>
    <t>SIP_IDT_GUI Rearchitecture &amp; .NET Conversion</t>
  </si>
  <si>
    <t>Robert Oakley</t>
  </si>
  <si>
    <t>Contract Load Feedback Loop</t>
  </si>
  <si>
    <t>4-11181, 4-13604 and 4-10564.  All chgs to TOPS demo feed</t>
  </si>
  <si>
    <t>Tom Rekart</t>
  </si>
  <si>
    <t>DDS Data Reconciliation -- Reevaluate design</t>
  </si>
  <si>
    <t>Robert Trachman</t>
  </si>
  <si>
    <t>Provider Cross-reference</t>
  </si>
  <si>
    <t>2 - Yellow</t>
  </si>
  <si>
    <t>Add formula to calculate remaining placeholder for work orders.</t>
  </si>
  <si>
    <t>Daily Mail Order Report</t>
  </si>
  <si>
    <t>Application Infrastructure Services, B2B Provider Portal, EFS/CS IT PM, NDB, Railroad, Summary Check, TOPS</t>
  </si>
  <si>
    <t>Directory Enhancements</t>
  </si>
  <si>
    <t>This was analysis to prepare for COG.  That work has been completed.</t>
  </si>
  <si>
    <t>Adrian Sale</t>
  </si>
  <si>
    <t>Steve Rodgers</t>
  </si>
  <si>
    <t>Joe Ricci</t>
  </si>
  <si>
    <t>NDB Extract for Connectivity Director</t>
  </si>
  <si>
    <t>Ellen Dela Rosa-Pearn</t>
  </si>
  <si>
    <t>Cancelled in PROMPT 10/12</t>
  </si>
  <si>
    <t>ZZ - New Add</t>
  </si>
  <si>
    <t>UMR Cincinnat Non-Par Pricing for Legacy Platforms</t>
  </si>
  <si>
    <t>APP Release 2</t>
  </si>
  <si>
    <t>Anita Bachmann</t>
  </si>
  <si>
    <t xml:space="preserve">ACIS Suite, B2C Provider Portal, BASICS, CDD, CES, Commercial Payment System (EPS), Data Management, Definity Health PM, Employer Portal, Enterprise Application Architecture, Enterprise Application Security, eServices Billing, Foundation Frameworks, FSDB </t>
  </si>
  <si>
    <t>Health Advancement Sol. - Strategy-Architecture</t>
  </si>
  <si>
    <t>MICHAEL BAKER</t>
  </si>
  <si>
    <t>BRIAN ULRICH</t>
  </si>
  <si>
    <t>Blue - Completed</t>
  </si>
  <si>
    <t>Integration Framework - NDB searches for CTB</t>
  </si>
  <si>
    <t>WO - High</t>
  </si>
  <si>
    <t>WO - TBD</t>
  </si>
  <si>
    <t>Compliance</t>
  </si>
  <si>
    <t xml:space="preserve">Ovations Conversion to Diamond </t>
  </si>
  <si>
    <t>1/12/09 - complete in PROMPT, never scheduled by NDBPer Robin DiSalvo on 10/7/08: I project it would be Q3 or Q4 of 2009 before anything spins up for NDB (if funding persists for this effort).</t>
  </si>
  <si>
    <t>Completed in PROMPT, never scheduled</t>
  </si>
  <si>
    <t>t. Rainey</t>
  </si>
  <si>
    <t>E2E</t>
  </si>
  <si>
    <t>PDR</t>
  </si>
  <si>
    <t>NDB impacted under CC#9</t>
  </si>
  <si>
    <t>Fee Schedule Load to UNET</t>
  </si>
  <si>
    <t>Patrick Kenndey</t>
  </si>
  <si>
    <t>TBDOB06</t>
  </si>
  <si>
    <t>Funding for Customer Specific Websites</t>
  </si>
  <si>
    <t>Chris Hock</t>
  </si>
  <si>
    <t>B2B/B2C Internal Transaction Reporting Overhaul</t>
  </si>
  <si>
    <t>No work for 2008 deliverables.  Al   Clevenger will re-engage in late 2008 for scheduling.  Marked Completed in Prompt</t>
  </si>
  <si>
    <t>CareOne, Contact Center Services, COSMOS, EPMO, FSA IVR, FSDB - Financial Summary Database (5087), Galaxy, ICUE eVI, Integrated Service Experience Tool ISET, NDB, OHCS - Clinical Ops, ORBIT - Operational Reporting, ORS, Provider Network Analysis UAT &amp; Too</t>
  </si>
  <si>
    <t>Enterprise Information Management, ICUE Core, ICUE eVI, NDB, OHCS - Consumer Profile, OHCS - Data Management, OHCS - eVisor, OHCS - HAZ Portal, PDG</t>
  </si>
  <si>
    <t>PLM CDB 2013</t>
  </si>
  <si>
    <t>Dominic Buonocore</t>
  </si>
  <si>
    <t>Connected Care (TeleHealth), Enterprise Information Management, Enterprise Systems Planning Business Architecture, EPMO, NDB</t>
  </si>
  <si>
    <t xml:space="preserve">HPHC-UHG Shared Provider Contract Line Selection </t>
  </si>
  <si>
    <t>Kelly Lee</t>
  </si>
  <si>
    <t>EPMO, Healthcare Alliance - Harvard Pilgrim, NDB, TOPS</t>
  </si>
  <si>
    <t>HCR-RSA-1099 Changes in Support of HC Reform</t>
  </si>
  <si>
    <t>John Kelly, Corporate Tax</t>
  </si>
  <si>
    <t>R5</t>
  </si>
  <si>
    <t>HCA - DataSeg - Obligor ID/Shared Arrangement - NDB not impacted.</t>
  </si>
  <si>
    <t>New Delsys Codes for Sngl Cons Porta/Medica</t>
  </si>
  <si>
    <t>John Ryan</t>
  </si>
  <si>
    <t>HCA - Data Sharing Data Exchange Test Data</t>
  </si>
  <si>
    <t>NDB Address Standardization</t>
  </si>
  <si>
    <t>Only cc#6 is cancelled, not entire project</t>
  </si>
  <si>
    <t>BRIAN COOPER</t>
  </si>
  <si>
    <t>Paul Conlin</t>
  </si>
  <si>
    <t>Open Enrollment Splash for 10 USS customers</t>
  </si>
  <si>
    <t>Tenet CSP Provider Search</t>
  </si>
  <si>
    <t>Not yet defined.  Expected to be additional requirements after the Sept Deliverable</t>
  </si>
  <si>
    <t>Testing</t>
  </si>
  <si>
    <t>B. Gaudet ?</t>
  </si>
  <si>
    <t>Update Network Changes for NDB &amp; CCM</t>
  </si>
  <si>
    <t>eART Release 9.0 - Provider Portal</t>
  </si>
  <si>
    <t>CSP/GSP Provider Search</t>
  </si>
  <si>
    <t>Empire Plan Provider Directory Cover Letter Update</t>
  </si>
  <si>
    <t>Consumer Portal Site Redesign - Pre-enrollment</t>
  </si>
  <si>
    <t>Super User Report</t>
  </si>
  <si>
    <t>Update GGMAP / ERC in CAT test regions</t>
  </si>
  <si>
    <t>PPII</t>
  </si>
  <si>
    <t>Project moved to 4-25395</t>
  </si>
  <si>
    <t>deferred until 2009</t>
  </si>
  <si>
    <t>Robert Starman</t>
  </si>
  <si>
    <t>Michel Daley, Allison Miller</t>
  </si>
  <si>
    <t>Don Kinney</t>
  </si>
  <si>
    <t>Peter Bompane</t>
  </si>
  <si>
    <t>Julie Gustafson</t>
  </si>
  <si>
    <t>NHP - UP Conversion Tools</t>
  </si>
  <si>
    <t>Provider Search(Enterprise Portal) (04-27190-000)</t>
  </si>
  <si>
    <t>COMET Desktop, COMET Desktop.NET, Knowledge library, NDB, TOPS</t>
  </si>
  <si>
    <t xml:space="preserve">HPHC 1 - Split 835 file for HPHC by TIN </t>
  </si>
  <si>
    <t>Rebecca Gent</t>
  </si>
  <si>
    <t>Comcast Accolade Super User Access - USEC WO</t>
  </si>
  <si>
    <t>Mike Cunningham</t>
  </si>
  <si>
    <t xml:space="preserve">Conversion of CES update capable foundation views </t>
  </si>
  <si>
    <t>PBH Facets Migration - Direct Employer</t>
  </si>
  <si>
    <t>ANGIE SEKULA</t>
  </si>
  <si>
    <t>Ovations dedicated Test Environment in COSMOS</t>
  </si>
  <si>
    <t>Harry Holmberg</t>
  </si>
  <si>
    <t>Marked as complete in PROMPT, never scheduled by NDB</t>
  </si>
  <si>
    <t xml:space="preserve">John Santelli </t>
  </si>
  <si>
    <t>Laura Levesque</t>
  </si>
  <si>
    <t>Michael Moore</t>
  </si>
  <si>
    <t>Impacts NDB only.  Looks like tech effort  only ftp and runtime.  Try to schedule</t>
  </si>
  <si>
    <t>Impacted on CC#1 - Still In Estimating in Prompt</t>
  </si>
  <si>
    <t>Paul Karazija</t>
  </si>
  <si>
    <t>Joel Brey</t>
  </si>
  <si>
    <t>needs to be delivered with 4-12672</t>
  </si>
  <si>
    <t>U4</t>
  </si>
  <si>
    <t>Alliance CSP for Roundy's Inc</t>
  </si>
  <si>
    <t>COSMOS, Data Management, Enterprise Architecture, Healthcare Alliance - Medica, NDB</t>
  </si>
  <si>
    <t>Refinement of CCS Provider Search Tool</t>
  </si>
  <si>
    <t>MAHP – ET and Operational Readiness</t>
  </si>
  <si>
    <t>NDB to be unimpacted per M. Hartel on 11/13 - not funded for 2008</t>
  </si>
  <si>
    <t xml:space="preserve">Edit Processing for Overlay Oneshots </t>
  </si>
  <si>
    <t>Empire Plan- Audiology Centers Enhancement</t>
  </si>
  <si>
    <t>Georg Muller</t>
  </si>
  <si>
    <t>In Strategy Council.  Per Uniprise, this is complete.  One open change control - likely to be re-submitted under a new SPRF.</t>
  </si>
  <si>
    <t>Rod Jardine</t>
  </si>
  <si>
    <t>Roger Faber</t>
  </si>
  <si>
    <t>Enkata Implementation</t>
  </si>
  <si>
    <t>Lewis Sandy</t>
  </si>
  <si>
    <t>CON ARR 4 TOPS Logic Fix</t>
  </si>
  <si>
    <t>GRI Network Access &amp; Claims Pricing - Hosp. URL</t>
  </si>
  <si>
    <t>Kathy Freiehit</t>
  </si>
  <si>
    <t>EPDL Pay to Individual Values</t>
  </si>
  <si>
    <t>EPMO, NDB, Provider Network Analysis UAT &amp; Tools, UFE, UHC IT-UMR (United Medical Resources)</t>
  </si>
  <si>
    <t>NDB-EA Provider Data Integration Analysis Project</t>
  </si>
  <si>
    <t>Tim Wicks</t>
  </si>
  <si>
    <t>Thomas Watson</t>
  </si>
  <si>
    <t>Optum Care Management - VETSS 3.0</t>
  </si>
  <si>
    <t>Application Enablement, BH-Facets - UBH, CareOne (TRICARE), EPMO, NDB, QMO - Quality Management Organization, UMVS IT Program Management</t>
  </si>
  <si>
    <t>EPMO, GEOAccess, NDB, OHCS - TCE</t>
  </si>
  <si>
    <t>Prior Auth/Notification POS Translation</t>
  </si>
  <si>
    <t>Claims QA, Claims QA - EDI, EPMO, Facets Alpha, NDB, Network Technology &amp; Support, ppoONE, UFE, UHCTS-UMR EDI Services, UHCTS-UMR-WAU(Wausau)</t>
  </si>
  <si>
    <t>Update Case Installation process for CRS business</t>
  </si>
  <si>
    <t xml:space="preserve">HIPAA Security-U4-RACF Entitlement Review </t>
  </si>
  <si>
    <t>Uniprise Technologies BCP Plan Creation &amp; Testing</t>
  </si>
  <si>
    <t>Rich Boyde</t>
  </si>
  <si>
    <t>EPD/NDB, Unified Application IVR</t>
  </si>
  <si>
    <t xml:space="preserve">MWS Regretion Testing - Legacy System Updates </t>
  </si>
  <si>
    <t>Move the Comments on column on the Resource Plan tab to the last column.</t>
  </si>
  <si>
    <t>Policy Alpha Definition Enhancement, Phase One</t>
  </si>
  <si>
    <t>Capitation - Harvard Pilgrim</t>
  </si>
  <si>
    <t>CMA (Content Management Application), NDB</t>
  </si>
  <si>
    <r>
      <t>Completed in Prompt</t>
    </r>
    <r>
      <rPr>
        <sz val="8"/>
        <rFont val="Arial"/>
        <family val="2"/>
      </rPr>
      <t>.</t>
    </r>
  </si>
  <si>
    <t>Funding Cut - 4/24/08</t>
  </si>
  <si>
    <t xml:space="preserve">Enhancement to USEC and SATS interface to improve </t>
  </si>
  <si>
    <t>IB Product Development</t>
  </si>
  <si>
    <t>Corp1-Financial Svc Allnce Financial Configuration</t>
  </si>
  <si>
    <t>Medica 2008 Test (Dummy) Incentive</t>
  </si>
  <si>
    <t>DRG FE Transition Codes</t>
  </si>
  <si>
    <t xml:space="preserve">MEDSTAT Provider Data File Analysis </t>
  </si>
  <si>
    <t>ACIS Suite, CES, Computer Services, Consumer Database (CDB), COSMOS, CTS - Common Tables System, Enterprise Architecture, EPMO, eServices Billing, FSDB - Financial Summary Database (5087), FTS Financial Tagging Service, Galaxy, NDB, PeopleSoft BI/AR, PRIM</t>
  </si>
  <si>
    <t>Diagnostic vs. Surgical for Scopic Procedures</t>
  </si>
  <si>
    <t>AMERICHOICE TEXAS PROV DATA EXPORT</t>
  </si>
  <si>
    <t>ACIS Suite, B2B Provider Portal, B2C Provider Portal, CES, e-Bill, Electronic Eligibility Management System (EEMS), EPD/NDB, FMR (Field Mgmt Reporting), GEFT - Global Electronic Funds Transfer, GFLX, IDRS (SCAD), ISL (Individual Stop Loss), Myuhc - Member</t>
  </si>
  <si>
    <t>Gerry Brockman</t>
  </si>
  <si>
    <t>QPDI -Quality Provider Documentation Initiative</t>
  </si>
  <si>
    <t>PASSPORT</t>
  </si>
  <si>
    <t>PacifiCare EPDL Credentials Data Load</t>
  </si>
  <si>
    <t>EPD/NDB, NDB, ORBIT - Operational Reporting</t>
  </si>
  <si>
    <t>Daniel Clerkin</t>
  </si>
  <si>
    <t>Medica Portal Development, UHG B2B Option 1</t>
  </si>
  <si>
    <t>Expire panels on termed UHC ID demographics</t>
  </si>
  <si>
    <t>Reciprocity for iCES templates - Permanent Solutio</t>
  </si>
  <si>
    <t>JACQUELYN LOTTER</t>
  </si>
  <si>
    <t>M. Stoy
T. Rainey</t>
  </si>
  <si>
    <t>Data Management, Galaxy, NDB, UHC Use Only -Non Galaxy Ingenix</t>
  </si>
  <si>
    <t xml:space="preserve"> LN Oneshot DB Migration </t>
  </si>
  <si>
    <t>Modifier Field Expansion</t>
  </si>
  <si>
    <t>Complete NDB-EA for remaining Health Plans</t>
  </si>
  <si>
    <t>NDB Roll Out for Facets</t>
  </si>
  <si>
    <t>ACIS Suite, Architecture &amp; Infastructure, Atlas, B2B Provider Portal, B2C Provider Portal, B2C Security, BASICS, Carenet Billing, CDD, Centralized Content Management, CES, COMCALC, COMET Desktop, COMET Rules, COSMOS, CTS - Common Tables System, Data Manag</t>
  </si>
  <si>
    <t>Clone the RV Facets Application</t>
  </si>
  <si>
    <t>Facets Platform Buildout 01-34040-000</t>
  </si>
  <si>
    <t>BASICS, CES, Data Management, Galaxy, NDB, PCIS, PRIME, TOPS, UPCT</t>
  </si>
  <si>
    <t>Analysis &amp; testing support only.</t>
  </si>
  <si>
    <t xml:space="preserve">SIP VETSS Consumer Experience </t>
  </si>
  <si>
    <t xml:space="preserve">Check with Ross Ogden before scheduling.  Issue with subpools via e-mail on 1/15/09 </t>
  </si>
  <si>
    <t>COSMOS Modernization:  Release 1 - Track 1, 2, &amp; 3</t>
  </si>
  <si>
    <t>Consumer Database (CDB), NDB, Product Benefit Database - UT</t>
  </si>
  <si>
    <t xml:space="preserve">Medica State of Minnesota Market Type </t>
  </si>
  <si>
    <t>ACIS Suite, BASICS, Carenet Billing, Case Package, CES, COMET Desktop, COMET Desktop.NET, COMET Rules, Computer Services, COSMOS, Data Management, Desktop and Groupware Services, EBDS, Employer Portal, Enterprise Architecture and Planning, Enterprise Test</t>
  </si>
  <si>
    <t>Congleton James</t>
  </si>
  <si>
    <t>Per Sean/Rev ok to leave on - will be completed in Nov- Marked Completed in Column 7 because we did deploy code in November for this butl inkedi t under a separate SPTF</t>
  </si>
  <si>
    <t>Fee Schedule</t>
  </si>
  <si>
    <t>2 - Soft Load</t>
  </si>
  <si>
    <t>GRI UB conversion to long term repricing solution</t>
  </si>
  <si>
    <t>Resource from NDB needed to assist Galaxy SOW 623</t>
  </si>
  <si>
    <t>Uniprise Test Director Consolidation</t>
  </si>
  <si>
    <t>Includeds CC#3</t>
  </si>
  <si>
    <t>Modify DEA Edit</t>
  </si>
  <si>
    <t>DDS Final Reconciliation Feeds to Source Apps</t>
  </si>
  <si>
    <t>Heritage Product in Ohio</t>
  </si>
  <si>
    <t>Heather Lowe</t>
  </si>
  <si>
    <t>Integration - MAMSI</t>
  </si>
  <si>
    <t>CIX (Customer Installation Express), Emptoris, IBAAG - IT (System Changes), NDB, TOPS</t>
  </si>
  <si>
    <t>Dan Kueter</t>
  </si>
  <si>
    <t>peter bompane</t>
  </si>
  <si>
    <t>Matt Guisinger</t>
  </si>
  <si>
    <t>GEORGE GELLY</t>
  </si>
  <si>
    <t>WO for EPDL support in UN11 region</t>
  </si>
  <si>
    <t>John Deer EPDL Cred Data Load</t>
  </si>
  <si>
    <t>ACIS Suite, Acquisition Integrations, BASICS, Computer Services, Consumer Database (CDB), Data Delivery System (DDS), Data Management, Enterprise Architecture, eServices Billing, Galaxy, NDB, PCIS, PRIME, Technical Architecture Services, TOPS, UCAS - Unet</t>
  </si>
  <si>
    <t>Ovations has come to the table for a partial deliverable for December and we have sent the first file for testing.</t>
  </si>
  <si>
    <t>National Accounts</t>
  </si>
  <si>
    <t>Added Tabs R7 - Resource Alloc and R8 - Resource Recap</t>
  </si>
  <si>
    <t>Worksheet Name</t>
  </si>
  <si>
    <t>CORP1-NetClaim-PTI By Network Contracting Org.</t>
  </si>
  <si>
    <t>Alliance PPO: Phase II, NDB Provider Directories</t>
  </si>
  <si>
    <t>Fee Schedule Extraction</t>
  </si>
  <si>
    <t>Rebecca Embry</t>
  </si>
  <si>
    <t>CDD, COMET Desktop.NET, NDB, TOPS, UCAS - Unet Claim Accounting Sys (multiple apps), Unet - Front End, Unet Batch</t>
  </si>
  <si>
    <t>SPP - Payment Engine Release 1</t>
  </si>
  <si>
    <t>Robert Oberrender</t>
  </si>
  <si>
    <t>William O'brien</t>
  </si>
  <si>
    <t>B2B Provider Portal, B2C Provider Portal, Contact Center Services, COSMOS, EPMO, GEOAccess, IDT - Intelligent Desktop, iLEAD, Integrated Service Experience Tool ISET, Myuhc - Member Portal, NDB, PHS - Distributed Application Services, PHS - ILIAD, PHS - P</t>
  </si>
  <si>
    <t>B2C Provider Portal, EPD/NDB</t>
  </si>
  <si>
    <t>Add Provider Medicaid ID to NDB to OAP data feed</t>
  </si>
  <si>
    <t>Termination of NDB file transmissions to ACS</t>
  </si>
  <si>
    <t>COMET Rules Engine R1.x</t>
  </si>
  <si>
    <t>EPMO, NDB, PHS - EDI, PHS - NICE, ppoONE, Provider Network Analysis UAT &amp; Tools, UFE</t>
  </si>
  <si>
    <t>4-7560 CC07 and 4-10988 both vying for EPDL resources in Jun.  One of the projects must be moved to Sep.</t>
  </si>
  <si>
    <t>EPD to COSMOS Feed Error Handling</t>
  </si>
  <si>
    <t>Quality Center Upgrade</t>
  </si>
  <si>
    <t>Comet - Concurrent Development Environments</t>
  </si>
  <si>
    <t>NDB R2 - Site Survey Conversion</t>
  </si>
  <si>
    <t>Karla Starks</t>
  </si>
  <si>
    <t>Application Enablement, Contact Center Services, IDT - Intelligent Desktop, NDB, United Voice Portal Business</t>
  </si>
  <si>
    <t>ORBIT</t>
  </si>
  <si>
    <t>Uniprise</t>
  </si>
  <si>
    <t>UCRT</t>
  </si>
  <si>
    <t>Ready to schedule.  Aperture must be prepared to support before scheduling.</t>
  </si>
  <si>
    <t>Bawa Singh</t>
  </si>
  <si>
    <t>Outsourcing 2003</t>
  </si>
  <si>
    <t>Laurie Willard</t>
  </si>
  <si>
    <t>Must be scheduled with final release of 4-20629 or after.  Funding for 2008 pulled</t>
  </si>
  <si>
    <t>B2C Provider Portal, CES, Myuhc - Member Portal, NDB, Online Provider Directory</t>
  </si>
  <si>
    <t>UBH ProvNet UHCID Transaction</t>
  </si>
  <si>
    <t>SARAH HAROLD</t>
  </si>
  <si>
    <t>Medica APC/ASC Implementation</t>
  </si>
  <si>
    <t>Business case adjusted for current estimate in Prompt - $784K.</t>
  </si>
  <si>
    <t>no funding in 2007</t>
  </si>
  <si>
    <t>ACIS Suite, Automated Customer Installation, B2B Provider Portal, B2C Provider Portal, Case Package, CDD, CES, Contact Center Services, Data Management, EFS/CS IT PM, Electronic Eligibility Management System (EEMS), Employer Portal, Enterprise Architectur</t>
  </si>
  <si>
    <t>ACIS Suite, BASICS, CDD, CES, Data Delivery System (DDS), Data Management, Employer Portal, Enterprise Application Architecture, Enterprise Application Security, EPMO, eServices Billing, FSDB - Financial Summary Database (5087), Internal Integrations, NDB</t>
  </si>
  <si>
    <t>To be cancelled in Prompt per Mel 1/4</t>
  </si>
  <si>
    <t>Process Improvement - General Fund</t>
  </si>
  <si>
    <t>ACIS Suite, B2B Provider Portal, B2C Provider Portal, Case Package, CDD, CES, COMET, COMET Desktop, Electronic Eligibility Management System (EEMS), Employer Portal, Enterprise Testing, EPD/NDB, EPMO, FMR (Field Mgmt Reporting), GFLX, IBAAG - IT (System C</t>
  </si>
  <si>
    <t>Will not be scheduled in 2008 per Mike G. In Strategy Council</t>
  </si>
  <si>
    <t>Provider Network File Extraction</t>
  </si>
  <si>
    <t>Nancy Milardo</t>
  </si>
  <si>
    <t>Build Service Capacity in Green Bay</t>
  </si>
  <si>
    <t>Shortened testing window as the calling application will not have code ready as expected</t>
  </si>
  <si>
    <t xml:space="preserve">In estimating.  Americhoice wants to rerun 4-11248 with different market parameters. </t>
  </si>
  <si>
    <t>Consolidated NDB Provider Extract</t>
  </si>
  <si>
    <t>SL Modifier Enhancement</t>
  </si>
  <si>
    <t xml:space="preserve">B2B Provider Portal, B2C Provider Portal, B2C Security, Data Management, EFS/CS IT PM, EPD/NDB, FMR (Field Mgmt Reporting), FSDB - Financial Summary Database (5087), ORBIT - Operational Reporting, PMG (Program Management Group), Program Definition Intake </t>
  </si>
  <si>
    <t>COSMOS, Enterprise Architecture, NDB, Network Services (UHT), PHS - ILIAD, PHS - NICE, TOPS</t>
  </si>
  <si>
    <t>Inactive Markets One-Shot</t>
  </si>
  <si>
    <t>B2C Provider Portal, CMA (Content Management Application), Data Management, NDB, UHT</t>
  </si>
  <si>
    <t>TOPS is looking for NDB resources now - earlier than we planned.  Trying to determine an available SME to participate in May</t>
  </si>
  <si>
    <t>CT - CMP (Care Mgt Plan) - ASO/MSO</t>
  </si>
  <si>
    <t>Don Langer</t>
  </si>
  <si>
    <t>MEDICA-Implement Commercial Business on PRIME/UNET</t>
  </si>
  <si>
    <t xml:space="preserve">Today - </t>
  </si>
  <si>
    <t>B2B Provider Portal, B2C Provider Portal, CES, COMET Desktop.NET, Contact Center Services, COSMOS, Data Management, Electronic Eligibility Management System (EEMS), Emptoris, Enterprise Application Architecture, Enterprise Testing, EPMO, Foundation Framew</t>
  </si>
  <si>
    <t>Application Enablement, B2C Provider Portal, CMA (Content Management Application), Commercial Payment System (EPS), Data Management, Desktop and Groupware Services, EPMO, Foundation Frameworks, NDB, ORS, Portal Reporting, UHT</t>
  </si>
  <si>
    <t>ACIS Suite, CES, EPD/NDB, IDT - Intelligent Desktop, ORBIT - Operational Reporting, Program Definition Intake Team, Summary Check, TOPS, UCAS - Unet Claim Accounting Sys (multiple apps), UFE</t>
  </si>
  <si>
    <t>AMY HINRICHS</t>
  </si>
  <si>
    <t>Logic Change/Read all digits of ORATE on NXI</t>
  </si>
  <si>
    <t>Will  use offshore resources.   BR Approved status</t>
  </si>
  <si>
    <t>Penny Paque</t>
  </si>
  <si>
    <t>Ameri-Choice EPDL Demo and Credential Data Exchang</t>
  </si>
  <si>
    <t>B2B Provider Portal, B2C Provider Portal, CES, Consumer Database (CDB), COSMOS, Cross Application Testing, Data Delivery System (DDS), EPMO, Galaxy, Health Statement Engine, IDT - Intelligent Desktop, Integrated Service Experience Tool ISET, Myuhc - Membe</t>
  </si>
  <si>
    <t>Application Enablement, B2B Provider Portal, B2C Provider Portal, Consumer Database (CDB), Cross Application Testing, Data Delivery System (DDS), EPMO, Foundation Frameworks, iCES Clearinghouse, IDT - Intelligent Desktop, Integrated Service Experience Too</t>
  </si>
  <si>
    <t>AmeriChoice, Application Enablement, Applications and Acquisitions (AAA), Audit Recovery Operations (ARO) Datamart, B2B Provider Portal, B2C Provider Portal, Business Intent Certification Tool (BIC), CDD, CES, Claims Highway, COMET Desktop.NET, Consumer A</t>
  </si>
  <si>
    <t>Application Enablement, Applications and Acquisitions (AAA), B2B Provider Portal, B2C Provider Portal, CES, Claims Highway, Consumer Database (CDB), COSMOS, Cross Application Testing, Data Delivery System (DDS), Data Management, Eldorado, ELO Enterprise L</t>
  </si>
  <si>
    <t>B2C Provider Portal, CCS-CCF, COMET Desktop.NET, Computer Services, Employer Portal, Enterprise Architecture, EPMO, GEOAccess, IDT - Intelligent Desktop, Myuhc - Member Portal, NDB, OHCS - NextGen Data Integrations, Portal Reporting, Program Definition In</t>
  </si>
  <si>
    <t>B2B Provider Portal, B2C Provider Portal, CES, Claims Highway, Consumer Database (CDB), IBM FileNet, NDB, PHS - EDI, PHS - NICE, Summary Check, Testing Environment and Integration, TOPS, UFE</t>
  </si>
  <si>
    <t>Radiology Accreditation Impact Analysis</t>
  </si>
  <si>
    <t>AmeriChoice Unison Provider Data to NDB</t>
  </si>
  <si>
    <t>OI00121</t>
  </si>
  <si>
    <t>United StudentResources HCFA Claims Repricing Proj</t>
  </si>
  <si>
    <t>Off cycle deliverable.</t>
  </si>
  <si>
    <t>Pacificare -- Create Export File</t>
  </si>
  <si>
    <t>PHS Work Package 1 Release 1 - Install and Admin</t>
  </si>
  <si>
    <t>OEB Provider Selection Build 2</t>
  </si>
  <si>
    <t>6/8/09 cancelled in PROMPT</t>
  </si>
  <si>
    <t>Orbit</t>
  </si>
  <si>
    <t>Integration - UMR</t>
  </si>
  <si>
    <t>Medica - Additional NDB Data to DDS/Medica DW feed</t>
  </si>
  <si>
    <t>Jeffrey Hanas</t>
  </si>
  <si>
    <t>Harrington/Benesite UB Repricing</t>
  </si>
  <si>
    <t>NDB is not impacted  in prompt</t>
  </si>
  <si>
    <t>NDB unimpacted</t>
  </si>
  <si>
    <t>Application Enablement, COMET Desktop.NET, Data Management, FMR (Field Mgmt Reporting), Foundation Frameworks, Galaxy, Myuhc - Member Portal, NDB, Summary Check, TOPS, TOPS Reimbursement, Unet - Front End</t>
  </si>
  <si>
    <t>Thomas Rekart</t>
  </si>
  <si>
    <t>Healthcare Alliance - Harvard Pilgrim, NDB, ORBIT - Operational Reporting, Systems Integration</t>
  </si>
  <si>
    <t>CC outstanding to cost additional potential impact - Project is cancelled</t>
  </si>
  <si>
    <t>Moved to unscheduled per L. Murphy, M. Mahoney, K. Schafer.  To be cancelled per Mike G 11/6/07</t>
  </si>
  <si>
    <t>B2C Provider Portal, Data Management, Enterprise Architecture, NDB</t>
  </si>
  <si>
    <t>Orbit Report for COSMOS PCP Directories</t>
  </si>
  <si>
    <t>PHS Illiad UB Automation/Repricing Regression Test</t>
  </si>
  <si>
    <t xml:space="preserve">GHMO-Automate QL, Take in POS Zip, Id Lab/Rad </t>
  </si>
  <si>
    <t>Funding Bus
Segment</t>
  </si>
  <si>
    <t>HCA-DataSeg-Partner Defined Market Number</t>
  </si>
  <si>
    <t>Ovations Provider Search Release 1</t>
  </si>
  <si>
    <t>UHN</t>
  </si>
  <si>
    <t>Laurie Torres</t>
  </si>
  <si>
    <t>CDD, COMET Desktop.NET, EPD/NDB, Foundation Frameworks, Galaxy, NDB, Summary Check, TOPS, TOPS Reimbursement, Unet - Front End</t>
  </si>
  <si>
    <t>Application Enablement, B2B Provider Portal, Consumer Database (CDB), Enterprise Application Architecture, Enterprise EDI Business Solutions, Enterprise EDI Technical Operations, Enterprise Information Management, Facets Alpha, HIPAA, Ingenix EDI Solution</t>
  </si>
  <si>
    <t>Application Enablement, B2B Provider Portal, Claims Highway, Computer Services, Consumer Database (CDB), Enkata Application, Enterprise EDI Business Solutions, Enterprise EDI Technical Operations, ETS (Escalation Tracking System), HIPAA, Ingenix EDI Solut</t>
  </si>
  <si>
    <t>Application Enablement, B2B Provider Portal, Claims Highway, Computer Services, Consumer Database (CDB), COSMOS, Cross Application Testing, Enterprise Application Architecture, Enterprise EDI Business Solutions, Enterprise EDI Technical Operations, Enterp</t>
  </si>
  <si>
    <t>EPMO, Facets Alpha, FSDB - Financial Summary Database (5087), NDB, Network Technology &amp; Support, Peoplesoft-GL, ppoONE, Provider Network Analysis UAT &amp; Tools, Reimbursement Technology, UFE</t>
  </si>
  <si>
    <t>CES, Cross Application Testing, NDB, Provider Network Analysis UAT &amp; Tools, Systems Integration</t>
  </si>
  <si>
    <t>Cross Application Testing, Foundation Frameworks, NDB, Testing Environment and Integration, TOPS, UCAS - Unet Claim Accounting Sys (multiple apps), Unet - Front End, USEC - Universal Security Systems</t>
  </si>
  <si>
    <t>Acquisition Integrations, CES, Consumer Database (CDB), Cross Application Testing, NDB, PHS - NICE, UP Policy Profile Service</t>
  </si>
  <si>
    <t>Acquisition Integrations, Cross Application Testing, Healthcare Alliance - Harvard Pilgrim, NDB, ORBIT - Operational Reporting, Provider Network Analysis UAT &amp; Tools, Systems Integration, Testing Environment and Integration</t>
  </si>
  <si>
    <t>Cross Application Testing, NDB, Payment Engine, Provider Network Analysis UAT &amp; Tools, Summary Check, Testing Environment and Integration, TOPS</t>
  </si>
  <si>
    <t xml:space="preserve">MM Pay Method L Processing </t>
  </si>
  <si>
    <t>Pacificare ASI -HCFA ppoONE Repricing</t>
  </si>
  <si>
    <t>Pacificare ASI UB ppoONE repricing</t>
  </si>
  <si>
    <t>HEATHER LOWE-SMITH</t>
  </si>
  <si>
    <t>Beverly Nyce</t>
  </si>
  <si>
    <r>
      <t xml:space="preserve">Cancelled in Prompt.  </t>
    </r>
    <r>
      <rPr>
        <sz val="8"/>
        <rFont val="Arial"/>
        <family val="2"/>
      </rPr>
      <t>Requires CBA.  TOPS has in Aug release.</t>
    </r>
  </si>
  <si>
    <t>ANNMARIE LEWIS</t>
  </si>
  <si>
    <t>JCL Changes only</t>
  </si>
  <si>
    <t>Suffix</t>
  </si>
  <si>
    <t>Add DPRP Indicator to EPD (NDB)</t>
  </si>
  <si>
    <t>Placeholder for 4-19681</t>
  </si>
  <si>
    <t>Laura Levesque/Mike Rossi</t>
  </si>
  <si>
    <t>All</t>
  </si>
  <si>
    <t xml:space="preserve">TX Provider Repository additions	</t>
  </si>
  <si>
    <t>Kim Nettleton</t>
  </si>
  <si>
    <t>SSP Onboarding</t>
  </si>
  <si>
    <t>Off cycle deliverable. Business has not provided file.  Moved to TBD on 12/20.  Cancelled per Ross Lund on 1/5, Completed in Jan</t>
  </si>
  <si>
    <t>Definity Health Consumer Portal, GeoAccess for UHC.Com, NDB</t>
  </si>
  <si>
    <t>Jeff Huxley</t>
  </si>
  <si>
    <t>R4 - EPD Sunset QA Support</t>
  </si>
  <si>
    <t xml:space="preserve">Capping OON Out Patient Surgery Charges </t>
  </si>
  <si>
    <t>NDB, ppoONE, Systems Integration, TOPS</t>
  </si>
  <si>
    <t>M. Stoy</t>
  </si>
  <si>
    <t>B2C Provider Portal, NDB</t>
  </si>
  <si>
    <t>Rpleaced by 4-22682</t>
  </si>
  <si>
    <t>Applications Impacted Unknown, Audit Recovery Operations (ARO) Datamart, B2C Provider Portal, Consumer Database (CDB), Contact Center Services, Facets Alpha, Facets Solution Group, FSDB - Financial Summary Database (5087), iCES Clearinghouse, NDB, OptumHe</t>
  </si>
  <si>
    <t>EPMO, NDB, UHC C and S Facets-Interfaces-Extensions-Pitt, UHC C and S IT PM</t>
  </si>
  <si>
    <t>B2B Provider Portal, Claims Highway, EPMO, NDB, Network Technology &amp; Support, PHS - NICE, ppoONE, Reimbursement Technology, UFE</t>
  </si>
  <si>
    <t>Application Enablement, BPID, Claims Highway, COMET Desktop.NET, Consumer Account Management System (CAMS), COSMOS, Enterprise EDI Technical Operations, Enterprise Information Management, Facets Solution Group, FS-Power, Galaxy, HIPAA, iCES Clearinghouse,</t>
  </si>
  <si>
    <t>Acquisition Integrations, Claims Highway, COSMOS, Cross Application Testing, Healthcare Alliance - Medica, NDB, Provider Network Analysis UAT &amp; Tools, Testing Environment and Integration, TOPS, UFE</t>
  </si>
  <si>
    <t>Facets Alpha, FSDB - Financial Summary Database (5087), NDB, ppoONE, Provider Network Analysis UAT &amp; Tools, Reimbursement Technology, UFE</t>
  </si>
  <si>
    <t>B2C Provider Portal, CES, COSMOS, Cross Application Testing, Galaxy, NDB, ppoONE, Provider Network Analysis UAT &amp; Tools, Summary Check, Testing Environment and Integration, TOPS, UFE, UHN Reporting Database</t>
  </si>
  <si>
    <t>Cross Application Testing, Integrated Service Experience Tool ISET, NDB, OH Segment Services</t>
  </si>
  <si>
    <t>Cross Application Testing, EPMO, Integrated Service Experience Tool ISET, NDB, Testing Environment and Integration</t>
  </si>
  <si>
    <t>ACIS Suite, Application Enablement, B2B Provider Portal, B2C Provider Portal, BPID, CBTS - Clinical Architecture, CCS-CCF, CES, CIX (Customer Installation Express), Claims Highway, COMET Desktop.NET, Consumer Database (CDB), Cross Application Testing, Dat</t>
  </si>
  <si>
    <t>Consumer Database (CDB), EPMO, NDB, Network Technology &amp; Support</t>
  </si>
  <si>
    <t>Par Providers by Zip Code and Fee Schedule</t>
  </si>
  <si>
    <t>Julie Newman</t>
  </si>
  <si>
    <t>UHC</t>
  </si>
  <si>
    <t>Analysis of Contract Master Timelining via ONESHOT</t>
  </si>
  <si>
    <t>Small task to support Cosmos delivery in late Oct.  Waiting for estimate to confirm with each discipline</t>
  </si>
  <si>
    <t>Corp1 - Finance - HPHC Multi-site Financial Report</t>
  </si>
  <si>
    <t>IT support for the 2003 SAS 70 Audit (COSMO/UNET)</t>
  </si>
  <si>
    <t>Camille Degiglio</t>
  </si>
  <si>
    <t>Automate Invoice Processing</t>
  </si>
  <si>
    <t>Ellyn Hosch</t>
  </si>
  <si>
    <t>United StudentResource UB Claims Repricing Prjct</t>
  </si>
  <si>
    <t>ECap Testing - Extended Support by NDB</t>
  </si>
  <si>
    <t xml:space="preserve">Accept Certain Procedure Codes w/Futuristic Dates </t>
  </si>
  <si>
    <t>RSA Ova Provider Search Data Latency Reduction</t>
  </si>
  <si>
    <t>Dennis Cernohous</t>
  </si>
  <si>
    <t>National PPO Rollout</t>
  </si>
  <si>
    <t>ACIS Suite, CDD, CES, FSDB - Financial Summary Database (5087), Galaxy, GEOAccess, NDB, PRIME, SIFS, Systems Integration, Technical Architecture Services, TOPS, UCAS - Unet Claim Accounting Sys (multiple apps), UFE</t>
  </si>
  <si>
    <t>Need CBA</t>
  </si>
  <si>
    <t>Send additional information from NDB to ppoONE</t>
  </si>
  <si>
    <t>SPRF complete, never scheduled for NDB</t>
  </si>
  <si>
    <t>UBH G-Record Transition Initiative</t>
  </si>
  <si>
    <t>Claims Pricing for External Customer</t>
  </si>
  <si>
    <t>400031316R1</t>
  </si>
  <si>
    <t>EPS Portal Provider Search Release 1-NDB to COSMOS</t>
  </si>
  <si>
    <t>Quicken Health: Bill Pay</t>
  </si>
  <si>
    <t>CES, EPD/NDB, Unified Application IVR</t>
  </si>
  <si>
    <t>Steve Mueller</t>
  </si>
  <si>
    <t>Need defined BRD and signoff.  NDB not needed for R2 - cancelled</t>
  </si>
  <si>
    <t>Scott Nicholson</t>
  </si>
  <si>
    <t>Application Enablement, B2B Provider Portal, B2C Provider Portal, CES, COMET Desktop.NET, Consumer Database (CDB), Contact Center Services, COSMOS, Data Management, EA Data Architecture, Electronic Eligibility Management System (EEMS), Employer Portal, EP</t>
  </si>
  <si>
    <t>ACIS Suite, Application Enablement, B2B Provider Portal, B2C Provider Portal, BASICS, CES, CIX (Customer Installation Express), COMET Desktop.NET, Consumer Account Management System (CAMS), Consumer Database (CDB), Contact Center Services, CTS - Common Ta</t>
  </si>
  <si>
    <t>B2B Provider Portal, EPD/NDB, UFE</t>
  </si>
  <si>
    <t>ISAAC DAVIDI</t>
  </si>
  <si>
    <t>Analysis COSMOS 124 Feed Error</t>
  </si>
  <si>
    <t>Application Enablement, BASICS, CES, Computer Services, CTS - Common Tables System, Data Management, Employer Portal, EPMO, eServices Billing, FSDB - Financial Summary Database (5087), Galaxy, GEFT - Global Electronic Funds Transfer, GRDC - (Group Reporti</t>
  </si>
  <si>
    <t>Release Date Status</t>
  </si>
  <si>
    <t>Mike Kriofsky</t>
  </si>
  <si>
    <t>Op ID extract</t>
  </si>
  <si>
    <t>Chanita Sumar</t>
  </si>
  <si>
    <t xml:space="preserve">Gated on UNET/UHC Navigate - Constituent Services </t>
  </si>
  <si>
    <t>Dan Sullivan</t>
  </si>
  <si>
    <t>AARP Provider Feed to SOURCECORP</t>
  </si>
  <si>
    <t xml:space="preserve">Main Screen MPIN Correction </t>
  </si>
  <si>
    <t>Program
Name</t>
  </si>
  <si>
    <t>CC02R1</t>
  </si>
  <si>
    <t>CC02R2</t>
  </si>
  <si>
    <t>NDB, Systems Integration, TOPS</t>
  </si>
  <si>
    <t>Daily EPDE Volume Metrics</t>
  </si>
  <si>
    <t>NPI Data Load and Matching Process</t>
  </si>
  <si>
    <t>PHS HMO Data Sharing</t>
  </si>
  <si>
    <t>Phase 2: Radiology Transformation</t>
  </si>
  <si>
    <t>Myuhc - Member Portal, NDB, UHT</t>
  </si>
  <si>
    <t>Tuning Program 2009</t>
  </si>
  <si>
    <t>B2B Provider Portal, B2C Provider Portal, CES, Data Management, FSDB - Financial Summary Database (5087), Galaxy, GEFT - Global Electronic Funds Transfer, NDB, Paris, Peoplesoft-GL, RAD/BOB, Summary Check, Systems Integration, TDS -  Transaction Distribut</t>
  </si>
  <si>
    <t>B2B Provider Portal, B2C Provider Portal, BPID, CareOne, CBTS - Clinical Architecture, Claims Highway, COSMOS, Enterprise Systems Planning Business Architecture, EPMO, GGMAP, ICUE Core, NDB, Network Technology &amp; Support, PDG, PHS - NICE, UMVS IT Program M</t>
  </si>
  <si>
    <t>Application Enablement, B2B Provider Portal, B2C Provider Portal, CareOne, CCS-CCF, Claims QA, Consumer Database (CDB), COSMOS, Cross Application Testing, Enterprise EDI Technical Operations, Enterprise Letter Generation System, ICUE Core, NDB, Oracle Uni</t>
  </si>
  <si>
    <t>ACIS Suite, AmeriChoice, Application Enablement, B2B Provider Portal, B2C Provider Portal, CareOne, CCS-CCF, Consumer Database (CDB), Cross Application Testing, Enterprise Application Architecture, Enterprise Information Management, ICUE Core, NDB, PDG</t>
  </si>
  <si>
    <t>B2B Provider Portal, B2C Provider Portal, BPID, Claims Highway, Claims QA, Consumer Database (CDB), COSMOS, EPMO, GPS, ICUE Core, iLEAD, NDB, Network Technology &amp; Support, UFE</t>
  </si>
  <si>
    <t>Application Enablement, B2B Provider Portal, B2C Provider Portal, Claims QA, Claims QA - EDI, Consumer Database (CDB), COSMOS, EPMO, HIPAA, NDB, TOPS, UFE</t>
  </si>
  <si>
    <t>Application Enablement, B2B Provider Portal, B2C Provider Portal, Cross Application Testing, Data Delivery System (DDS), Data Management, Emptoris, Enterprise Architecture, ICUE Core, NDB, Provider Network Analysis UAT &amp; Tools</t>
  </si>
  <si>
    <t>HPHC1 - 040107 HPHC ET &amp; Operational Readiness</t>
  </si>
  <si>
    <t>Claims Repricing Engine Phase 3</t>
  </si>
  <si>
    <t>Transaction - Operational Requirements</t>
  </si>
  <si>
    <t>Karen Erickson</t>
  </si>
  <si>
    <t>CC14</t>
  </si>
  <si>
    <t>Funding Pool</t>
  </si>
  <si>
    <t>Bouwe Hamersma</t>
  </si>
  <si>
    <t>Melinda Banks</t>
  </si>
  <si>
    <t>John Silva</t>
  </si>
  <si>
    <t>B2C Provider Portal, Data Management, NDB</t>
  </si>
  <si>
    <t>Alliance/Empire Only Product Codes</t>
  </si>
  <si>
    <t>1st impact on cc's: cc#17 &amp; #19</t>
  </si>
  <si>
    <t xml:space="preserve">W/O-PHS-Export File for Non-CA PPO </t>
  </si>
  <si>
    <t>completed in prompt</t>
  </si>
  <si>
    <t xml:space="preserve">Tracy Steward </t>
  </si>
  <si>
    <t>MAHP Cllincal Migration to the Clinical Toolbox</t>
  </si>
  <si>
    <t>Shannon Nelson</t>
  </si>
  <si>
    <t>replaced by 4-23438</t>
  </si>
  <si>
    <t>OI00116R1</t>
  </si>
  <si>
    <t xml:space="preserve">Taxonomy Project </t>
  </si>
  <si>
    <t>Ovations Provider Data Management Analysis</t>
  </si>
  <si>
    <r>
      <t>Ready to Schedule. Priority - TBD.</t>
    </r>
    <r>
      <rPr>
        <sz val="8"/>
        <rFont val="Arial"/>
        <family val="2"/>
      </rPr>
      <t xml:space="preserve">  Could be pushed out of June if required.</t>
    </r>
  </si>
  <si>
    <t>EPS Short Term Enhancements</t>
  </si>
  <si>
    <t>OptumHealth</t>
  </si>
  <si>
    <t>Very late add to release</t>
  </si>
  <si>
    <t>Jeff Kagan</t>
  </si>
  <si>
    <t>EPD,NDB, EPD/NDB</t>
  </si>
  <si>
    <t>NDB Test Table Refresh for PRIME</t>
  </si>
  <si>
    <t>COSMOS, EPMO, HIPAA, NDB, Payables, Payment Engine, Summary Check, TOPS, UFE</t>
  </si>
  <si>
    <t>Application Enablement, B2C Provider Portal, CES, COMET Desktop.NET, COSMOS, Data Management, Foundation Frameworks, Galaxy, IDT - Intelligent Desktop, NDB, ORBIT - Operational Reporting, Summary Check, Systems Integration, Technical Architecture Services</t>
  </si>
  <si>
    <t>R1 &amp; R2 comblined 4/27/07.  Cancelled per Mike G 11/5/07</t>
  </si>
  <si>
    <t>Unit Truncation Issue</t>
  </si>
  <si>
    <t>Yvonne Tavis</t>
  </si>
  <si>
    <t>Randy Falkenrath</t>
  </si>
  <si>
    <t>White - Not Started</t>
  </si>
  <si>
    <t>WO</t>
  </si>
  <si>
    <t>Ovations</t>
  </si>
  <si>
    <t>MN 62J Legislation for EOBs</t>
  </si>
  <si>
    <t>VETSS Provider Experience Enhancements 2004</t>
  </si>
  <si>
    <t>Jessica Tattersall</t>
  </si>
  <si>
    <t>The UHT code promotion process is cumbersome.</t>
  </si>
  <si>
    <t>CE00022</t>
  </si>
  <si>
    <t>FSLA Analysis</t>
  </si>
  <si>
    <t>CE00019</t>
  </si>
  <si>
    <t>CBA for PHS attached.  High priority for June.</t>
  </si>
  <si>
    <t>Gary Simmons</t>
  </si>
  <si>
    <t>Patricia Fitzgerald</t>
  </si>
  <si>
    <t>UMR-Onalaska (MWS) Non-Par Pricing-Legacy Systems</t>
  </si>
  <si>
    <t>DEREK HAAG</t>
  </si>
  <si>
    <t>Change control in estimating.</t>
  </si>
  <si>
    <t>HPHC Data Sharing/ Exchange - support</t>
  </si>
  <si>
    <t>4-22748 EPS Railroad Plan D Implementation</t>
  </si>
  <si>
    <t>CSS-B2C 2010A Release</t>
  </si>
  <si>
    <t>Common Intake / Coverage Review Release 2</t>
  </si>
  <si>
    <t>Lab Network Reimbursement Model Claims Enhancement</t>
  </si>
  <si>
    <t xml:space="preserve">NDB System Input and User Update Review </t>
  </si>
  <si>
    <t>Judy Perlman</t>
  </si>
  <si>
    <t>NDB, USEC - Universal Security Systems</t>
  </si>
  <si>
    <t>EPMO, NDB, Network Technology &amp; Support, ppoONE, UFE, UHCTS-UMR EDI Services, UHCTS-UMR Portal, UHCTS-UMR-WAU(Wausau)</t>
  </si>
  <si>
    <t>UVP - Automated Provider Directory Request</t>
  </si>
  <si>
    <t>Brian Schmid</t>
  </si>
  <si>
    <t>OI00135</t>
  </si>
  <si>
    <t>OI00135R1</t>
  </si>
  <si>
    <t>NDB Address Type Change</t>
  </si>
  <si>
    <t>OI00225R1</t>
  </si>
  <si>
    <t>OI00225</t>
  </si>
  <si>
    <t>Automate market table download for Oxford - UHPD</t>
  </si>
  <si>
    <t>NDB backed out hours at lockdown- NDB not needed</t>
  </si>
  <si>
    <t>CC 2</t>
  </si>
  <si>
    <t>CC 3</t>
  </si>
  <si>
    <t>CC 42</t>
  </si>
  <si>
    <t>Dev resources also needed for this sprf</t>
  </si>
  <si>
    <t>CC8 - UAT from 11/12 to 12/3</t>
  </si>
  <si>
    <t>CC5 -Medica</t>
  </si>
  <si>
    <t>Bus Rqmts
Due Date</t>
  </si>
  <si>
    <t>Optum Care Management - VETSS 2.0</t>
  </si>
  <si>
    <t>PHS EPDE File Pulls for RePricing Projects</t>
  </si>
  <si>
    <t>R5 - Capacity Calc</t>
  </si>
  <si>
    <t>Impacted on cc#1</t>
  </si>
  <si>
    <t xml:space="preserve">UBH COSMOS Physician Claims Provider Selection </t>
  </si>
  <si>
    <t>Application Enablement, COSMOS, Enterprise Architecture, Foundation Frameworks, GEOAccess, GeoAccess for UHC.Com, IDT - Intelligent Desktop, Integrated Service Experience Tool ISET, Myuhc - Member Portal, NDB</t>
  </si>
  <si>
    <t xml:space="preserve">AmC Texas CareOne Clinical Migration </t>
  </si>
  <si>
    <t>CSS-B2C 2011A RELEASE</t>
  </si>
  <si>
    <t xml:space="preserve">Enable Notifications for Unison PA on UHC Online </t>
  </si>
  <si>
    <t>Kyle Winnegar</t>
  </si>
  <si>
    <t>Ken Burdick &amp; Mike Turpin</t>
  </si>
  <si>
    <t xml:space="preserve">P M &amp; R Pre-Auth Table Copy from GAT to MN81 </t>
  </si>
  <si>
    <t>NICE PHS Non-Par Pricing for Legacy Platforms</t>
  </si>
  <si>
    <t>NDB unimpacted on this sprf</t>
  </si>
  <si>
    <t xml:space="preserve">for USEC Identity Service.  CC needed to impact USEC.  Project team may want Aug. </t>
  </si>
  <si>
    <t>Cancelled and replaced by another SPRF.</t>
  </si>
  <si>
    <t>Adjudipro, B2B Provider Portal, B2C Provider Portal, COSMOS, Employer Portal, LETGEN, Myuhc - Member Portal, NDB, QStar, UFE</t>
  </si>
  <si>
    <t>NDB, ppoONE, Provider Network Analysis UAT &amp; Tools, UHT</t>
  </si>
  <si>
    <t>UHG IT - Application Services Group</t>
  </si>
  <si>
    <t>WPAHS Product Directories</t>
  </si>
  <si>
    <t>Ed Lagerstrom</t>
  </si>
  <si>
    <t>In funding.</t>
  </si>
  <si>
    <t>PDR - Contract Selection on Claims Highway</t>
  </si>
  <si>
    <t>CES, CMA (Content Management Application), Data Management, Definity Health App Suite, Enterprise Application Architecture, GEOAccess, IBAAG - IT (System Changes), Myuhc - Member Portal, NDB, Portal Reporting, Product Benefit Database - UT, Project Delive</t>
  </si>
  <si>
    <t>Integration - Pacificare</t>
  </si>
  <si>
    <t>KATHRYN GORHAM</t>
  </si>
  <si>
    <t>Applications and Acquisitions (AAA), Computer Services, COSMOS, Enterprise Application Architecture, Enterprise Architecture, Enterprise Information Management, GEOAccess, GPS, GPT - Configuration Management, GPT - EQA Automation, GPT - Release Management</t>
  </si>
  <si>
    <t>PDR - NDB Fee Schedule Enhancements</t>
  </si>
  <si>
    <t>PacifiCare Iliad HCFA Interim ppoONE Repricing</t>
  </si>
  <si>
    <t>Midwest Security HCFA claims repricing</t>
  </si>
  <si>
    <t>Synergies with 4-13461CC 04 in May (not R1 in Feb)</t>
  </si>
  <si>
    <t>Steve Penn</t>
  </si>
  <si>
    <t>Jessica Macknight</t>
  </si>
  <si>
    <t>Hospital Listing Orbit Report</t>
  </si>
  <si>
    <t>Empire Plan-Correct Orbit Report for Empire Use</t>
  </si>
  <si>
    <t>HPHC1-iCES UB Editing for HPHC Passport/JV</t>
  </si>
  <si>
    <t>EPD/NDB, UFE</t>
  </si>
  <si>
    <t>Searches CC is in Estimating</t>
  </si>
  <si>
    <t>New process for handling Orbit reports being put in place.  Tech specs outstanding</t>
  </si>
  <si>
    <t>Deere GSP Narrow Network Provider Search</t>
  </si>
  <si>
    <t>Patricia Mullins</t>
  </si>
  <si>
    <t>EPMO, NDB, ppoONE, Provider Network Analysis UAT &amp; Tools, Reimbursement Technology, UFE</t>
  </si>
  <si>
    <t>diCarta Facility Interface Enhancements</t>
  </si>
  <si>
    <t>NDB to COSMOS Record Volume-Panel Data</t>
  </si>
  <si>
    <t>CSS-B2C 2009B Release- MIGRATIONS FUNDING</t>
  </si>
  <si>
    <t>NDB added via change control.  TOPS is targeting June release.  Need to confirm that NDB is impacted.</t>
  </si>
  <si>
    <t>Pre-Auth Table - Spec/Org Slotting Order</t>
  </si>
  <si>
    <t>NDB-PERADIGM Migration Seed File</t>
  </si>
  <si>
    <t>Ashok Sundarshan</t>
  </si>
  <si>
    <r>
      <t>Medica - Data Sharing - MedImpact - Appears that NDB has been removed as an impacted application.</t>
    </r>
    <r>
      <rPr>
        <b/>
        <sz val="8"/>
        <rFont val="Arial"/>
        <family val="2"/>
      </rPr>
      <t xml:space="preserve">  CONFIRM NDB NOT IMPACTED AND MARK AS CANCELLED.</t>
    </r>
  </si>
  <si>
    <t>Per Kim Wolson, NDB to be unimpacted.  Functionality will be addressed at a future date.</t>
  </si>
  <si>
    <t>Emptoris, NDB</t>
  </si>
  <si>
    <t>Ingenix - Non Galaxy, NDB, TOPS</t>
  </si>
  <si>
    <t>David Stout</t>
  </si>
  <si>
    <t>enable ordering of stand alone site surveys</t>
  </si>
  <si>
    <t>Joe Druzolowski</t>
  </si>
  <si>
    <t>TBDEPDL4</t>
  </si>
  <si>
    <t>Dependent on 4-3044</t>
  </si>
  <si>
    <t>White - Not Applicable</t>
  </si>
  <si>
    <t>Data Management, EA Data Architecture, Employer Portal, EPMO, GEOAccess, HIPAA, Myuhc - Member Portal, NDB, ORBIT - Operational Reporting</t>
  </si>
  <si>
    <t>EPMO, HIPAA, NDB</t>
  </si>
  <si>
    <t>CCS-CCF, Claims Highway, EPMO, Galaxy, ICUE Core, Integrated Service Experience Tool ISET, NDB, ppoONE, Program Definition Intake Team, Provider Network Analysis UAT &amp; Tools, Reimbursement Technology, TOPS, United Platform Systems Analysis and Architectur</t>
  </si>
  <si>
    <t>A&amp;G Workflow &amp; Tracking System, B2B Provider Portal, BPM CoE, Claims Highway, Claims QA, Consumer Database (CDB), Enterprise Letter Generation System, EPMO, ICUE Core, NDB, OHCS - Data Management, Oracle Universal Content Management (UCM), PHS - Medical M</t>
  </si>
  <si>
    <t>Application Enablement, B2B Provider Portal, B2C Provider Portal, CareOne, Claims QA, Claims QA - EDI, Consumer Database (CDB), COSMOS, Enterprise Information Management, EPMO, ICUE Core, Information Risk Management, NDB, OHCS - Data Management, ORBIT - O</t>
  </si>
  <si>
    <t>Application Enablement, B2C Provider Portal, BPID, CCS-CCF, Claims Highway, Claims QA, COMET Desktop.NET, Consumer Database (CDB), Enterprise Systems Planning Business Architecture, EPMO, ICUE Core, Integrated Service Experience Tool ISET, NDB, PDG, PRIME</t>
  </si>
  <si>
    <t>BH-Agate, Claims QA, Claims QA - EDI, Consumer Database (CDB), EPMO, Healthcare Alliance - Harvard Pilgrim, iCES Clearinghouse, ICUE Core, NDB, Network Technology &amp; Support, ppoONE, Provider Data &amp; Reimbursement, Systems Integration, Testing Environment a</t>
  </si>
  <si>
    <t>ECap, Enterprise Application Architecture, FSDB - Financial Summary Database (5087), NDB, RPS - Reserve Production System (5611), Summary Check, UCAS - Unet Claim Accounting Sys (multiple apps), United Platform Systems Analysis and Architecture</t>
  </si>
  <si>
    <t>End-to-End Medicare MedNec PreService</t>
  </si>
  <si>
    <t>Mark Leenay</t>
  </si>
  <si>
    <t>PO Database Data Sources</t>
  </si>
  <si>
    <t>David Stratton, Susan Struebing</t>
  </si>
  <si>
    <t xml:space="preserve">B2C Provider Portal, bConnected - UHG IT, BH-Facets - UBH, BH-PBH Facets, Computer Services, Consumer Database (CDB), Contact Center Services, Employer Portal, Enterprise Application Architecture, Enterprise Letter Generation System, GPS, iEnroll, iLEAD, </t>
  </si>
  <si>
    <t>ACIS Suite, B2C Security, BSG, CES, EPD/NDB, EPMO, Summary Check, TOPS, UFE, Unet - Front End, Unet Batch</t>
  </si>
  <si>
    <t>ACIS Suite, Adjudipro, APT, Atlas, Automated Customer Installation, B2B Provider Portal, B2C Provider Portal, B2C Security, BASICS, BSG, Carenet Billing, Case Package, CDD, CES, CheckWriting, CMA (Content Management Application), COLD (expired), ComAgg, C</t>
  </si>
  <si>
    <t>ACIS Suite, B2B Provider Portal, B2C Provider Portal, CES, Data Management, ECap, Emptoris, Enterprise Application Architecture, FSDB - Financial Summary Database (5087), Galaxy, NDB, PacifiCare Development, Paris, Pool Ledger, Portal Reporting, PRIME, Pr</t>
  </si>
  <si>
    <t xml:space="preserve"> assumption is SPRF 4-11565 will be cancelled and all work will be done under 4-12672</t>
  </si>
  <si>
    <t>Provider Search Redesign-Analysis Only</t>
  </si>
  <si>
    <t>Access Profile Database Update</t>
  </si>
  <si>
    <t>GEOAccess, NDB, UHC Use Only -Non Galaxy Ingenix, United Health Premium Designation (UHPD)</t>
  </si>
  <si>
    <t>Add NPI to Galaxy Provider Subject Area</t>
  </si>
  <si>
    <t>NDB, ppoONE, Systems Integration, Testing Environment and Integration, TOPS</t>
  </si>
  <si>
    <t>replaced with 4-17088</t>
  </si>
  <si>
    <t>CSS-B2C 2010C Release - CSS Funding</t>
  </si>
  <si>
    <t>Application Enablement, COMET Desktop.NET, Data Management, Enterprise Application Architecture, Foundation Frameworks, NDB, Technical Architecture Services, TOPS</t>
  </si>
  <si>
    <t>NEON Eligible Claims - Application Develop. Effort</t>
  </si>
  <si>
    <t>Adjudipro, COSMOS, NDB, ppoONE, TOPS</t>
  </si>
  <si>
    <t xml:space="preserve">The project scope has to be determined in order to finalize a release date.  Once work begins it can be determined if the date has to be adjusted. </t>
  </si>
  <si>
    <t>Do not need to change workbook.  Need to start using the NA date for business requirements when appropriate.
May need to update the business requirements functionality on the Provider Council Unscheduled tab.</t>
  </si>
  <si>
    <t>ECap/Trizetto Facets Analysis - Capitation</t>
  </si>
  <si>
    <t>Cassandra Price</t>
  </si>
  <si>
    <t>replaced by 4-22108</t>
  </si>
  <si>
    <t>Integration - Oxford</t>
  </si>
  <si>
    <t>COSMOS, EPD/NDB</t>
  </si>
  <si>
    <t>Application Enablement, B2B Provider Portal, BH-Facets - UBH, Claim Life Tracking (CLT) Dashboard, Claims Highway, Claims QA, Claims QA OHBS, Commercial Payment System (EPS), Consumer Account Management System (CAMS), Consumer Database (CDB), COSMOS, Ente</t>
  </si>
  <si>
    <t>Q2 2013 eSync Advocacy</t>
  </si>
  <si>
    <t>Peer Bridger Code H0038</t>
  </si>
  <si>
    <t>Ovations Electronic Payments and Statements (EPS)</t>
  </si>
  <si>
    <t>Date
Completed</t>
  </si>
  <si>
    <t>B2C Provider Portal, Data Management, Foundation Frameworks, NDB, UHT</t>
  </si>
  <si>
    <t>Working date is first feasible date given Provider Systems time required to complete.  Does not take into consideration readiness of requirements, scheduling in other queues, etc.</t>
  </si>
  <si>
    <t>HPHC2-datasharing-Staging Area Integration</t>
  </si>
  <si>
    <t>COMET Desktop.Net Rewrite</t>
  </si>
  <si>
    <t>AmeriChoice MI Facets to UHCO(Old A/O SPR 4-23623)</t>
  </si>
  <si>
    <t>Splitting of eligibility file tables</t>
  </si>
  <si>
    <t>EFS NDB Directory Codes</t>
  </si>
  <si>
    <t>CDB Phase 1 - Data Capture Enhancements</t>
  </si>
  <si>
    <t>IT BPM – Common Operating Model Phase I</t>
  </si>
  <si>
    <t xml:space="preserve">UDW Systems of Record and Data Discovery </t>
  </si>
  <si>
    <t>Juan Serrano</t>
  </si>
  <si>
    <t>Fee Schedule ProTech ORATE Logic</t>
  </si>
  <si>
    <t>MYUHC.com PCP Search Fix (for HMO product)</t>
  </si>
  <si>
    <t>2 - High</t>
  </si>
  <si>
    <t>3 - Medium</t>
  </si>
  <si>
    <t>4 - Low</t>
  </si>
  <si>
    <t>Bruce Macgibbon</t>
  </si>
  <si>
    <t>Susan Hames</t>
  </si>
  <si>
    <t>Diane Schfield</t>
  </si>
  <si>
    <t>Not Loaded</t>
  </si>
  <si>
    <t>Data Management, NDB, ORBIT - Operational Reporting, OTS - Overpayment Tracking System, Summary Check, TOPS, UCAS - Unet Claim Accounting Sys (multiple apps)</t>
  </si>
  <si>
    <t>Not OOM business approved</t>
  </si>
  <si>
    <t>Medica Insights Product Build on United Platform</t>
  </si>
  <si>
    <t>Anesthesia changes for the AD Modifier</t>
  </si>
  <si>
    <t xml:space="preserve">PHS NICE_UPCT Cust-Elig </t>
  </si>
  <si>
    <t>Pam Stegora-Axberg</t>
  </si>
  <si>
    <t>NDB, ppoONE, Systems Integration, UFE</t>
  </si>
  <si>
    <t>COMET Desktop.NET, Galaxy, NDB, TOPS</t>
  </si>
  <si>
    <t>Medica GIL Charge Line Codes</t>
  </si>
  <si>
    <t>MAMSI UB conversion to long term repricing engine</t>
  </si>
  <si>
    <t>CES, IDT - Intelligent Desktop, NDB</t>
  </si>
  <si>
    <t>Stacy Dennis</t>
  </si>
  <si>
    <t/>
  </si>
  <si>
    <t>NPI EPDL Data Capture</t>
  </si>
  <si>
    <t>COSMOS NPI Requirements</t>
  </si>
  <si>
    <t>CDD, CES, Data Management, e-Bill, EPD/NDB, ORBIT - Operational Reporting, Program Definition Intake Team, SALSA, TOPS, Unet - Front End</t>
  </si>
  <si>
    <t>CES, Employer Portal, Enterprise Architecture, GEOAccess, GeoAccess for UHC.Com, IDT - Intelligent Desktop, Myuhc - Member Portal, NDB, Network Services (UHT), ppoONE, Systems Integration, UHT</t>
  </si>
  <si>
    <t>MAHP FELRA Customer Commitment</t>
  </si>
  <si>
    <t>COMET Desktop.NET, Enterprise Application Architecture, Foundation Frameworks, NDB, Technical Architecture Services, Testing Environment and Integration, TOPS</t>
  </si>
  <si>
    <t>HPHC NetMatch Enhancements to support product mix</t>
  </si>
  <si>
    <t>Susan Tonkin</t>
  </si>
  <si>
    <t>WO - NDB TIN/ SSN Analysis</t>
  </si>
  <si>
    <t>PDI -Support AmeriChoice Feed from NDB to Diamond</t>
  </si>
  <si>
    <t>HCPC Codes</t>
  </si>
  <si>
    <t>Neighborhood Health Part'shp (NHP) EPDL Data Load</t>
  </si>
  <si>
    <t>835 Registration Upload - NDB</t>
  </si>
  <si>
    <t>Realtime Adjudication</t>
  </si>
  <si>
    <t>MAMSI-UHIC PPO Product with MLH Legal Entity</t>
  </si>
  <si>
    <t>Orbit Report for COSMOS Specialists Directories</t>
  </si>
  <si>
    <t xml:space="preserve">Jolly Nanda </t>
  </si>
  <si>
    <t>Data Delivery System (DDS), Data Management, Enterprise Architecture, Healthcare Alliance - Medica, NDB, Systems Integration</t>
  </si>
  <si>
    <t>Golden Rule Options PPO</t>
  </si>
  <si>
    <t>NDB Re-impacted.  No NDB Impact per Mike G 11/6/07</t>
  </si>
  <si>
    <t>NDB Parallel Sysplex</t>
  </si>
  <si>
    <t>PRIME</t>
  </si>
  <si>
    <t>Migration of Reimbursement Logic from TOPS to NDB</t>
  </si>
  <si>
    <t xml:space="preserve">276/277 Claim search when mutlple MPINS </t>
  </si>
  <si>
    <t>NPI - 2005 Readiness</t>
  </si>
  <si>
    <t>Usec not needed for this project</t>
  </si>
  <si>
    <t>ITI: November Government Release</t>
  </si>
  <si>
    <t xml:space="preserve">ACIS Suite, B2B Provider Portal, Case Package, CES, Contact Center Services, COSMOS, Data Management, FSDB - Financial Summary Database (5087), Galaxy, GFLX, IDT - Intelligent Desktop, ISL (Individual Stop Loss), KARA, Myuhc - Member Portal, NDB, ORBIT - </t>
  </si>
  <si>
    <t>ACIS Suite, Application Enablement, B2B Provider Portal, B2C Provider Portal, Case Package, CDD, CES, CMA (Content Management Application), COMET Rules, Contact Center Services, Customer Financial Solutions Web-site for KA, Data Management, Employer Porta</t>
  </si>
  <si>
    <t>ACIS Suite, Adjudipro, Application Infrastructure Services, B2B Provider Portal, B2C Provider Portal, BASICS, Carenet Billing, Case Package, CMA (Content Management Application), Connect.UHC.com, Contact Center Services, CPW, CTS - Common Tables System, C</t>
  </si>
  <si>
    <t>A/O only to figure out issue</t>
  </si>
  <si>
    <t>add additional 7.97 hours for lde per Revathy</t>
  </si>
  <si>
    <t>Small Business Online Case Submission - 2007</t>
  </si>
  <si>
    <t>Generic Provider Portal</t>
  </si>
  <si>
    <t>Analysis Only SPRF on moving Application Owner</t>
  </si>
  <si>
    <t>Margaret Rush</t>
  </si>
  <si>
    <t>PDR - Rapid Recovery for Provider Initiate DB</t>
  </si>
  <si>
    <t>NDB 835 Extract</t>
  </si>
  <si>
    <t>OI00139</t>
  </si>
  <si>
    <t>OI00139R1</t>
  </si>
  <si>
    <t xml:space="preserve">EPDL Batch Auto - Add </t>
  </si>
  <si>
    <t>OI00141</t>
  </si>
  <si>
    <t>Bev Nyce, Peter Bompane</t>
  </si>
  <si>
    <t>Margaret Bottazzi</t>
  </si>
  <si>
    <t>Member and Provider CSP/GSP Notification</t>
  </si>
  <si>
    <t>CBA required.  NDB added via CC#1</t>
  </si>
  <si>
    <t>EPD/NDB, IDT - Intelligent Desktop, Unified Application IVR</t>
  </si>
  <si>
    <t>Create new SuperUser access level for SSO access</t>
  </si>
  <si>
    <t>Analysis Request</t>
  </si>
  <si>
    <t>NPI Details Report move to new server</t>
  </si>
  <si>
    <t xml:space="preserve">UHC Online Redesign - 20 plus claims </t>
  </si>
  <si>
    <t>Jessica Kozlowski</t>
  </si>
  <si>
    <t>Corporate Tax</t>
  </si>
  <si>
    <t>Definity EPDL On-Boarding</t>
  </si>
  <si>
    <t>cc#8 In Estimating</t>
  </si>
  <si>
    <t>FRP Contract Line Selection by Physical Location</t>
  </si>
  <si>
    <t>Daily UNET Letter file to Attachment Vendors</t>
  </si>
  <si>
    <t>NDB, Online Provider Directory</t>
  </si>
  <si>
    <t>Cynthia Middaugh/ Bob Shandley</t>
  </si>
  <si>
    <t>CLIA Processing Cycle Time (Analysis Only)</t>
  </si>
  <si>
    <t>Tax Exempt Provider Report</t>
  </si>
  <si>
    <t>B2B Provider Portal, B2C Provider Portal, CES, COSMOS, e-Bill, EPD/NDB, EPMO, FSDB - Financial Summary Database (5087), Intelligent Desktop, LETGEN, Member Portal - myUHC, OPS Reporting, Solutions Engineering, UFE</t>
  </si>
  <si>
    <t>Keith Koszuta</t>
  </si>
  <si>
    <t>Not OOM Approved A/O</t>
  </si>
  <si>
    <t>Marked Completed in Prompt</t>
  </si>
  <si>
    <t>Early Detection PPI Report -  TOPS feed issues</t>
  </si>
  <si>
    <t>Completed/
Cancelled</t>
  </si>
  <si>
    <t>Data Management, NDB, TOPS, TOPS Reimbursement, Unet - Front End</t>
  </si>
  <si>
    <t>MAHP Auth Table Redesign</t>
  </si>
  <si>
    <t>Mary Stenberg</t>
  </si>
  <si>
    <t>Project not OOM Approved</t>
  </si>
  <si>
    <t>Replaced with 4-11082</t>
  </si>
  <si>
    <t>Replaced with 4/11083</t>
  </si>
  <si>
    <t>GEOAccess, NDB, ORBIT - Operational Reporting, Portal Reporting, ppoONE, Systems Integration</t>
  </si>
  <si>
    <t>Conservative Spine Treatment</t>
  </si>
  <si>
    <t>Roberta Dressen</t>
  </si>
  <si>
    <t>AmeriChoice, COSMOS, Data Delivery System (DDS), NDB, Provider Network Analysis UAT &amp; Tools</t>
  </si>
  <si>
    <t>Acquisition Legacy Application Support</t>
  </si>
  <si>
    <t>ICD9 Diagnosis Code Extract from NDB</t>
  </si>
  <si>
    <t>Ruth Hufnagle</t>
  </si>
  <si>
    <t>OHBS General Funds</t>
  </si>
  <si>
    <t>DOUG TROTT</t>
  </si>
  <si>
    <t>Karen Battaglini/Craig Anderson</t>
  </si>
  <si>
    <t>Definity - Strategy and Architecture</t>
  </si>
  <si>
    <t>PPII - Transactions - Claim Status - R.2</t>
  </si>
  <si>
    <t xml:space="preserve"> Off cycle deliverable, combined with 4-12826 to save resources</t>
  </si>
  <si>
    <t>Medica - Fee Schedule via Web Service</t>
  </si>
  <si>
    <t>PacifiCare NICE Interim HCFA ppoONE Repricing</t>
  </si>
  <si>
    <t>2 - Not Scheduled</t>
  </si>
  <si>
    <t>In SE review</t>
  </si>
  <si>
    <t>Correct COE Hospital Directory Display (FRED)</t>
  </si>
  <si>
    <t>COSMOS Provider Selection Quality Improvements</t>
  </si>
  <si>
    <t>Enhance Reimbursement Capability - Planning</t>
  </si>
  <si>
    <t>Steven Morelli</t>
  </si>
  <si>
    <t>Steven Penn</t>
  </si>
  <si>
    <t>Mary Jo Curtin</t>
  </si>
  <si>
    <t>myuhc link to Geoaccess for provider search</t>
  </si>
  <si>
    <t>AmeriChoice Diamond to UHCO (Old A/O SPR 4-23562)</t>
  </si>
  <si>
    <t>Project Completed in Prompt.  To be replaced with another sprf</t>
  </si>
  <si>
    <t>Emptoris</t>
  </si>
  <si>
    <t>HPHC1 - Network-'G' Record Layout Phase II</t>
  </si>
  <si>
    <t>Sheri Petrucci</t>
  </si>
  <si>
    <t>Jim Pogue</t>
  </si>
  <si>
    <t>NDB PRICING &lt; $1.00</t>
  </si>
  <si>
    <t>COSMOS, Data Management, Foundation Frameworks, NDB, Summary Check, TOPS, Tops Foundation View, Unet - Front End, Unet Batch, USEC - Universal Security Systems</t>
  </si>
  <si>
    <t>Analysis Only Work Order for meetings on Ovations feed errors</t>
  </si>
  <si>
    <t>ACIS Suite, CES, Data Delivery System (DDS), Enterprise Architecture, NDB, PCIS, PRIME, Systems Integration, TOPS</t>
  </si>
  <si>
    <t>KRISTEN LEWIS</t>
  </si>
  <si>
    <t>Michael Curran</t>
  </si>
  <si>
    <r>
      <t xml:space="preserve">Can be cancelled. Will be addressed, as necessary, in the Gen III release of UHPD. I do not forsee us having bandwidth (anywhere) to address them otherwise. CBA required.  </t>
    </r>
    <r>
      <rPr>
        <b/>
        <sz val="8"/>
        <rFont val="Arial"/>
        <family val="2"/>
      </rPr>
      <t>CONFIRM NDB NOT IMPACTED AND MARK AS CANCELLED.</t>
    </r>
  </si>
  <si>
    <t>Myuhc Migration to Portal Server</t>
  </si>
  <si>
    <t>Add columns for 2007 to the resource plan</t>
  </si>
  <si>
    <t>NDB removed from scope.</t>
  </si>
  <si>
    <t>CC03</t>
  </si>
  <si>
    <t>Moved to TBD 11/14 due to funding</t>
  </si>
  <si>
    <t>Application Enablement, B2B Provider Portal, Data Management, Desktop and Groupware Services, Enterprise Application Architecture, GEOAccess, Myuhc - Member Portal, NDB, Online Provider Directory, ORBIT - Operational Reporting, USEC - Universal Security S</t>
  </si>
  <si>
    <t>SCS Integration Analysis And Architecture</t>
  </si>
  <si>
    <t>PHS WP1 PCP Crosswalk Analysis Only</t>
  </si>
  <si>
    <t>OPG Code Criteria for Unet</t>
  </si>
  <si>
    <t>This is cncelled in Prompt</t>
  </si>
  <si>
    <t xml:space="preserve">This </t>
  </si>
  <si>
    <t>ACIS Suite, Data Delivery System (DDS), Data Management, EA Data Architecture, Foundation Frameworks, IDT - Intelligent Desktop, NDB, PRIME, Systems Integration, TOPS</t>
  </si>
  <si>
    <t>Application Enablement, B2C Provider Portal, CES, Consumer Database (CDB), Contact Center Services, COSMOS, Enterprise Systems Planning Business Architecture, EPMO, NDB, TOPS, United Voice Portal Business</t>
  </si>
  <si>
    <t>Claim Estimator Enhancements</t>
  </si>
  <si>
    <t>HPHC Expansion of A Record Anesth. Factor Field</t>
  </si>
  <si>
    <t>Application Enablement, Data Management, Foundation Frameworks, NDB, USEC - Universal Security Systems</t>
  </si>
  <si>
    <t>HCA - EPS Core 2007 Reporting Enhancements</t>
  </si>
  <si>
    <t>TRS
Enabled</t>
  </si>
  <si>
    <t>Add SRS products and providers to find a physician</t>
  </si>
  <si>
    <t>In Estimating.  Represents a modification to extract developed in SPRF 4-11863.</t>
  </si>
  <si>
    <t>Orbit - Provider Rep Specialty Report</t>
  </si>
  <si>
    <t xml:space="preserve">Life Print 05-53880-000  </t>
  </si>
  <si>
    <t>Andrew Start</t>
  </si>
  <si>
    <t>Application Enablement, B2B Provider Portal, B2C Provider Portal, CES, Consumer Database (CDB), Contact Center Services, COSMOS, Data Management, Employer Portal, Enterprise Testing, EPMO, FSDB - Financial Summary Database (5087), Internal Integrations, M</t>
  </si>
  <si>
    <t>Doug Smith</t>
  </si>
  <si>
    <t>ACIS Suite, Atlas, Automated Underwriting, B2B Provider Portal, B2C Provider Portal, Bank Information System (BIS), BASICS, Card Management System (CMS), Card Request System (CRS), CareOne, CareOne ODS, CCS-CCF, CES, CFAS, CIX (Customer Installation Expre</t>
  </si>
  <si>
    <t>Application Enablement, Consumer Database (CDB), Enterprise Information Management, EPMO, NDB</t>
  </si>
  <si>
    <t>BPM Planview 10 Production Data Load</t>
  </si>
  <si>
    <t>ACIS Suite, AmeriChoice, Atlas, Automated Underwriting, B2B Provider Portal, Bank Information System (BIS), BASICS, Card Request System (CRS), CareOne, CCS-CCF, CIX (Customer Installation Express), CMDB (Correction Management Database), Computer Services,</t>
  </si>
  <si>
    <t>Internet Explorer 7</t>
  </si>
  <si>
    <t>Janet Hribar</t>
  </si>
  <si>
    <t>ACIS Suite, Adjudipro, Applications Impacted Unknown, APT, Atlas, Automated Underwriting, B2B Provider Portal, B2C Provider Portal, BASICS, Capacity Planning Online (CPO), Card Request System (CRS), CES, CFAS, CIX (Customer Installation Express), CMA (Con</t>
  </si>
  <si>
    <t>1/1/2006 Readiness</t>
  </si>
  <si>
    <t xml:space="preserve">ACIS Suite, Adjudipro, Application Development Repository, Application Enablement, Application Infrastructure Services, APT, Atlas, Automated Customer Installation, Automated Underwriting, B2B Provider Portal, B2C Provider Portal, Bank Information System </t>
  </si>
  <si>
    <t>UnitedHealthcare Community &amp; State</t>
  </si>
  <si>
    <t xml:space="preserve">ACIS Suite, ACME Reporting, Atlas, Audit Recovery Operations (ARO) Datamart, Automated Underwriting, Bank Information System (BIS), BASICS, BH-Facets - UBH, BPID, Business Intent Certification Tool (BIC), Capitation - Business Analysis, CareOne, CCS-CCF, </t>
  </si>
  <si>
    <t>Empire Plan- Choice Plus Integrated Market Testing</t>
  </si>
  <si>
    <t>Cliff Omstrom</t>
  </si>
  <si>
    <t>chg to ftp site only</t>
  </si>
  <si>
    <t>PRIME 21 - Acquisition, Alliance, TPA business</t>
  </si>
  <si>
    <t>FRP - CA SB 853 - Language Assistance Program</t>
  </si>
  <si>
    <t>CICS 3.1 Upgrade</t>
  </si>
  <si>
    <t>WILLIAM KOWALSKY</t>
  </si>
  <si>
    <t>OI00142R1</t>
  </si>
  <si>
    <t>No funding for 2008 -- do not schedule.  Cancelled in Prompt</t>
  </si>
  <si>
    <t xml:space="preserve">Medica data sharing/exchange - Joint integration  </t>
  </si>
  <si>
    <t>Fee Schedule Load Enhancements - Phase II</t>
  </si>
  <si>
    <r>
      <t>Ready to schedule</t>
    </r>
    <r>
      <rPr>
        <sz val="8"/>
        <rFont val="Arial"/>
        <family val="2"/>
      </rPr>
      <t xml:space="preserve">. Priority - </t>
    </r>
    <r>
      <rPr>
        <b/>
        <sz val="8"/>
        <rFont val="Arial"/>
        <family val="2"/>
      </rPr>
      <t>TBD</t>
    </r>
    <r>
      <rPr>
        <sz val="8"/>
        <rFont val="Arial"/>
        <family val="2"/>
      </rPr>
      <t>.  We would like the database updated by 6/19 for all August Alliance testing.</t>
    </r>
  </si>
  <si>
    <t>Cosmos can't accommodate 2008- will reschedule with 2009 releases are available</t>
  </si>
  <si>
    <t>CES, CMA (Content Management Application), Employer Portal, EPMO, GEOAccess, Myuhc - Member Portal, NDB, Online Provider Directory, Technical Architecture Services</t>
  </si>
  <si>
    <t>Medica Electronic Payments and Statements (EPS)</t>
  </si>
  <si>
    <t>Descope makes NDB testing only.</t>
  </si>
  <si>
    <t>Overall
Status</t>
  </si>
  <si>
    <t>Segment</t>
  </si>
  <si>
    <t>Definition</t>
  </si>
  <si>
    <t>Claim Status - Search by Physician</t>
  </si>
  <si>
    <t>Medica - MEDI1 PTI One-Shot</t>
  </si>
  <si>
    <t>NDB unimpacted.</t>
  </si>
  <si>
    <t>Per Scott Thompson, CC# 1 needs to be removed from scope and reassessed for 2006.
Center of Excellence funding pool does not have budget in 2006.  Being moved to a Uniprise funding pool.</t>
  </si>
  <si>
    <t>Data feed for Provider Search redesign</t>
  </si>
  <si>
    <t>Debi Streb</t>
  </si>
  <si>
    <t>B2C Provider Portal, Data Delivery System (DDS), Employer Portal, GEOAccess, Myuhc - Member Portal, NDB, Network Services (UHT), Portal Reporting, ppoONE, Systems Integration, UHT</t>
  </si>
  <si>
    <t>HPHC2-Contiguous Radiology Reduction</t>
  </si>
  <si>
    <t>HPHC2-Designation of Practitioners as PCP and Spec</t>
  </si>
  <si>
    <t>Medica DayOne-Phase 2 IDT Enhancements</t>
  </si>
  <si>
    <t>NDB, Network Services (UHT), Systems Integration, UHT</t>
  </si>
  <si>
    <t>Alternative Network Reimbursement-Lab &amp; Cardiology</t>
  </si>
  <si>
    <t>Shared Services Model - External Security Access</t>
  </si>
  <si>
    <t>Thomas Mafale</t>
  </si>
  <si>
    <t>Jodie Mckie</t>
  </si>
  <si>
    <t>FRP - Optimal Access (name TBD)</t>
  </si>
  <si>
    <t>Jeffrey Lucht</t>
  </si>
  <si>
    <t>NPP</t>
  </si>
  <si>
    <t>OI00153</t>
  </si>
  <si>
    <t>OI00153R1</t>
  </si>
  <si>
    <t xml:space="preserve">OPS Table PF6 Key </t>
  </si>
  <si>
    <t>CDB Phase 1 - DB &amp; Services</t>
  </si>
  <si>
    <t>CES, COMET, COMET Desktop, COMET Desktop.NET, Enterprise Application Architecture, EPD/NDB, Foundation Frameworks, NDB, ORS, PMG (Program Management Group), Technical Architecture Services, TOPS, Tops Foundation View, Unet Batch</t>
  </si>
  <si>
    <t>EMILY TIMRECK</t>
  </si>
  <si>
    <t>CARL SWEENEY</t>
  </si>
  <si>
    <t>Fee Schedule: MNRP Fix</t>
  </si>
  <si>
    <t>Medica Data Sharing - NDB Reference Tables</t>
  </si>
  <si>
    <t>UMR-Cincinnati Non-Par Pricing Legacy Systems</t>
  </si>
  <si>
    <t>Ross Lippincott</t>
  </si>
  <si>
    <t>Weekly New Provider Welcome Kit - Mailing</t>
  </si>
  <si>
    <t>Integration - Midwest</t>
  </si>
  <si>
    <t>Business Sponsor</t>
  </si>
  <si>
    <t>Medicaid Incorrect Timely Filing Denials</t>
  </si>
  <si>
    <t>Pujji Anu</t>
  </si>
  <si>
    <t>Meta Data Management</t>
  </si>
  <si>
    <t xml:space="preserve">Xcel Energy - Single Experince Consumer Portal </t>
  </si>
  <si>
    <t>Add ADR column to D5- Gatekkeper</t>
  </si>
  <si>
    <t>Americhoice TouchPoint migration - Diamond</t>
  </si>
  <si>
    <t>Consumer Database (CDB) CBA</t>
  </si>
  <si>
    <t>NDB Search Change Request</t>
  </si>
  <si>
    <t>UBH OON tiered Pricing for Prime Accounts</t>
  </si>
  <si>
    <t>NHP Product Builds on United Platform</t>
  </si>
  <si>
    <t>GHMO HPHC Design &amp; Development Phase VI</t>
  </si>
  <si>
    <t>NYHCRA pre Audit of 2001</t>
  </si>
  <si>
    <t>Emptoris feed to NDB for AmeriChoice Providers</t>
  </si>
  <si>
    <t>TBDOB15</t>
  </si>
  <si>
    <t>TBDOB16</t>
  </si>
  <si>
    <t>TBDOB17</t>
  </si>
  <si>
    <t>TBDOB18</t>
  </si>
  <si>
    <t>Work Order - NDB 'Office Contact' Table Update</t>
  </si>
  <si>
    <t>SBC MNRP Default %</t>
  </si>
  <si>
    <t>Mark Pontliana</t>
  </si>
  <si>
    <t>EPDL - ACN Credentialing Data Load</t>
  </si>
  <si>
    <t>ZZZ - New Add</t>
  </si>
  <si>
    <t>Bill Cady /
Laura Levesque</t>
  </si>
  <si>
    <t>TBD024</t>
  </si>
  <si>
    <t>VRU Personalized Directories</t>
  </si>
  <si>
    <t xml:space="preserve">Utah SB 29 Implementation </t>
  </si>
  <si>
    <t>Clinical Self Service</t>
  </si>
  <si>
    <t>Cindi Middaugh</t>
  </si>
  <si>
    <t>Application Enablement, Data Management, Foundation Frameworks, NDB</t>
  </si>
  <si>
    <t>total est 8.84.  2.5 burned through April.  6.44 remaining</t>
  </si>
  <si>
    <t>Gated HMO Design &amp; Development Phase II</t>
  </si>
  <si>
    <t>Application Infrastructure Services, Contact Center Services, Data Management, eBor, Electronic Eligibility Management System (EEMS), Enkata Application, EPMO, eServices Billing, IBAAG - IT (System Changes), IDT - Intelligent Desktop, Knowledge library, M</t>
  </si>
  <si>
    <t>B2B Provider Portal, B2C Provider Portal, Contact Center Services, COSMOS, EFS/CS IT PM, FSDB - Financial Summary Database (5087), NDB, PeopleSoft BI/AR, Summary Check, Treasury-Check Data System, UFE</t>
  </si>
  <si>
    <t>ACIS Suite, Adjudipro, Atlas, B2B Provider Portal, B2C Provider Portal, BASICS, BSG, CDD, CES, CFAS, CheckWriting, CMA (Content Management Application), ComAgg, COMCALC, COMET Desktop.NET, ComStat, Connect.UHC.com, Contact Center Services, COSMOS, CPW, CT</t>
  </si>
  <si>
    <t>Application Enablement, CES, Contact Center Services, Foundation Frameworks, NDB, Product Benefit Database - UT, UHT, United Voice Portal Business</t>
  </si>
  <si>
    <t>Computer Services, EPMO, NDB, ORBIT - Operational Reporting</t>
  </si>
  <si>
    <t>Medical Necessity Provider Contracting</t>
  </si>
  <si>
    <t>E2E M&amp;R MedNec - Intake and Authorization Determin</t>
  </si>
  <si>
    <t>Return to Requestor</t>
  </si>
  <si>
    <t>Health Services</t>
  </si>
  <si>
    <t>E2E M&amp;R MedNec - Claims to Authorization Matching</t>
  </si>
  <si>
    <t>Returned to Requestor</t>
  </si>
  <si>
    <t>E2E M&amp;R MedNec - Consequence Determination</t>
  </si>
  <si>
    <t>OXHP Medicare Adoption of ICUE</t>
  </si>
  <si>
    <t>Enterprise Clinical</t>
  </si>
  <si>
    <t xml:space="preserve">Enterprise Letter Generation System, I-CUE Core, Oracle Universal Content Management (UCM), PDG
</t>
  </si>
  <si>
    <t>TBS Provider Workflow - PEGA Development</t>
  </si>
  <si>
    <t xml:space="preserve">Karen Riley </t>
  </si>
  <si>
    <t>Behavioral Solutions</t>
  </si>
  <si>
    <t xml:space="preserve">BPM_PEGA, Computer Services, EPMO, OptumHealth Financial Services Architecture, OptumHealth Architecture - OHBS
</t>
  </si>
  <si>
    <t>TBS Provider Data Quality - Enable EPDE Extract</t>
  </si>
  <si>
    <t>TBS Provider Data Quality - EPDL &amp; P&amp;P</t>
  </si>
  <si>
    <t xml:space="preserve">BH-Facets - UBH, BPID, EPMO, NDB
</t>
  </si>
  <si>
    <t>Emptoris Single step Provider Reassign 51.64</t>
  </si>
  <si>
    <t>Deb Coolege</t>
  </si>
  <si>
    <t xml:space="preserve">Emptoris, EPMO, NDB, Network Technology &amp; Support
</t>
  </si>
  <si>
    <t xml:space="preserve">Add Specialty to ‘P’ Type Search              </t>
  </si>
  <si>
    <t>B2B Provider Portal, B2C Provider Portal, Enterprise Testing, EPMO, HIPAA, NDB, Railroad, Summary Check, TOPS, UFE</t>
  </si>
  <si>
    <t>Cannot begin until March</t>
  </si>
  <si>
    <t xml:space="preserve">ACIS Suite, Atlas, CES, CIX (Customer Installation Express), CMA (Content Management Application), COMET Desktop.NET, CTS - Common Tables System, eArt, eBor, Employer Portal, FADB (Financial Assignment Database), FSDB - Financial Summary Database (5087), </t>
  </si>
  <si>
    <t>B2B Provider Portal, B2C Provider Portal, CES, Consumer Database (CDB), NDB, Systems Integration</t>
  </si>
  <si>
    <t>HPHC1-Network-'G' Record Layout</t>
  </si>
  <si>
    <t>GEOAccess, NDB</t>
  </si>
  <si>
    <t>UPCSA - Source Of Truth - NDB</t>
  </si>
  <si>
    <t>Sharon Slotnick</t>
  </si>
  <si>
    <t>CC needed to support Marketing/Geo feed - Per Mike M on 11/28 GK call  this needs to be removed from GK</t>
  </si>
  <si>
    <t>Growth &amp; Market Expansions 01-15500-000</t>
  </si>
  <si>
    <t>UT/UOS resourcing collaboration Q2/3/4 2004</t>
  </si>
  <si>
    <t>FRP - Nat'l Open Access Narrow Network (Non-Gated)</t>
  </si>
  <si>
    <t>Yasmine Winkler</t>
  </si>
  <si>
    <t>R7</t>
  </si>
  <si>
    <t>B2B Provider Portal, COSMOS, NDB, UFE</t>
  </si>
  <si>
    <t>Although this is in the Nov deliverable the anallysis will be done during the normal analysis time for Nov - April - June</t>
  </si>
  <si>
    <t>Real-time Adjudication - UNET</t>
  </si>
  <si>
    <t>PDR-CPS/ILIAD Provider Data to NDB for Directories</t>
  </si>
  <si>
    <t>revised estimate from June</t>
  </si>
  <si>
    <t>Modify MAMSI Fee Schedule Extract</t>
  </si>
  <si>
    <t>EDI X.12 Notification Implementation for ITI</t>
  </si>
  <si>
    <t>Lab Network Reimbursement Program</t>
  </si>
  <si>
    <t>Linda Stewart</t>
  </si>
  <si>
    <t xml:space="preserve">UMR - Reduce UHN Repricing TAT </t>
  </si>
  <si>
    <t>FACETS to EDI Hub Migration</t>
  </si>
  <si>
    <t>Ellen delaRosa-Pearn</t>
  </si>
  <si>
    <t>Oxford to EDI Hub Migration</t>
  </si>
  <si>
    <t>Ellen delaRosa Pearn</t>
  </si>
  <si>
    <t>NDB, ppoONE, Provider Network Analysis UAT &amp; Tools, UFE, UHCTS-UMR EDI Services, UHCTS-UMR-WAU(Wausau)</t>
  </si>
  <si>
    <t xml:space="preserve">TRICARE Program: ISET Provider Search </t>
  </si>
  <si>
    <t>In Program Manager Request Review</t>
  </si>
  <si>
    <t>TRICARE- Customer Service &amp; Portals</t>
  </si>
  <si>
    <t>B2C Provider Portal, Employer Portal, EPMO, GEOAccess, Myuhc - Member Portal, NDB, UHC.COM, UHT, United eServices</t>
  </si>
  <si>
    <t>Definity HCFA repricing on ppoONE phase 2</t>
  </si>
  <si>
    <t xml:space="preserve">Identify Fee Schedule/Market # w/o Master PPI </t>
  </si>
  <si>
    <t xml:space="preserve"> Primary Function</t>
  </si>
  <si>
    <t>scope moved to 4-19848</t>
  </si>
  <si>
    <t>Address Inactivations &amp; Timelining of UCHIDs</t>
  </si>
  <si>
    <t>M. Johnston
J. Childers</t>
  </si>
  <si>
    <t>ACIS Suite, CES, NDB, PacifiCare Development, PRIME, Systems Integration, Technical Architecture Services, United Platform Systems Analysis and Architecture</t>
  </si>
  <si>
    <t>MAMSI One-Shot &amp; Directory Indicator Report</t>
  </si>
  <si>
    <t>HCA-Network - PTI EPDL Requirements</t>
  </si>
  <si>
    <t>Data Management, EPD/NDB, Myuhc - Member Portal, NDB, Online Provider Directory</t>
  </si>
  <si>
    <t>ACIS Suite, Application Enablement, B2B Provider Portal, B2C Provider Portal, CES, Data Management, Foundation Frameworks, Myuhc - Member Portal, PRIME, Testing Environment and Integration, UFE, UHT, UP Policy Profile Service, USEC - Universal Security Sy</t>
  </si>
  <si>
    <t>TBDOB07</t>
  </si>
  <si>
    <t>Application Enablement, Foundation Frameworks, Myuhc - Member Portal, Security Access Tracking System, USEC - Universal Security Systems</t>
  </si>
  <si>
    <t>Market Offering Tble &amp; TOPS Invalid Match One-Shot</t>
  </si>
  <si>
    <t>CES, EPD/NDB, TOPS</t>
  </si>
  <si>
    <t>Create Empire Behavioral OHBS Network within Tops</t>
  </si>
  <si>
    <t>Ready to schedule.  Need to coordinate with TOPS and Sum Check</t>
  </si>
  <si>
    <t>In SE Review</t>
  </si>
  <si>
    <t>Charles Jacoby</t>
  </si>
  <si>
    <t>Application Enablement, Data Management, EA Data Architecture, EPMO, FMR (Field Mgmt Reporting), Galaxy, HIPAA, NDB, Railroad, Summary Check, Testing Environment and Integration, TOPS, UFE</t>
  </si>
  <si>
    <t>CDD, Foundation Frameworks, NDB, ORBIT - Operational Reporting, Summary Check, Systems Integration, TOPS, UHC Business Resource</t>
  </si>
  <si>
    <t>Mike Marchetti</t>
  </si>
  <si>
    <t>HPHC2-CASR Data Exchange Test Data Prep/Creation</t>
  </si>
  <si>
    <t>CSS-B2C 2010D Release</t>
  </si>
  <si>
    <t>Microsoft Windows 7 Upgrade</t>
  </si>
  <si>
    <t>NDM Workflow Process Improvement - NDB Development</t>
  </si>
  <si>
    <t>Empire Plan Provider Data Extracts</t>
  </si>
  <si>
    <t xml:space="preserve">SAM Application Connection with USEC  </t>
  </si>
  <si>
    <t>UnitedHealth Premium  - Paper Directory update</t>
  </si>
  <si>
    <t xml:space="preserve">Lew Sandy </t>
  </si>
  <si>
    <t>Sept is EPDE &amp; AARP.  Optum and Ovations to be handled via CC03 in another release.</t>
  </si>
  <si>
    <t>Medica-ConvTools-Source Data Loads</t>
  </si>
  <si>
    <t>3 Tier Benefit Plans Project - Phase 3</t>
  </si>
  <si>
    <t xml:space="preserve"> 11/13/12 Cancelled in Prompt 11/15/11</t>
  </si>
  <si>
    <t>11/13/12 Completed in Prompt 9/7/12 with NDB unimpacted</t>
  </si>
  <si>
    <t>11/13/12 - Ret to Requestor 9/13/11 Karen Marquis</t>
  </si>
  <si>
    <t>11/13/12 - Being tracked on AIF Ret to Req 9/17/12 Mark Boemer</t>
  </si>
  <si>
    <t>11/13/12 - Ret to Req 6/14/11 Karen Marquis</t>
  </si>
  <si>
    <t>11/13/12 - Ret to Req 6/30/11 Karen Marquis</t>
  </si>
  <si>
    <t>11/13/12 Being tracked on AIF - In Est ready to be coordinated - Kenneth Mui</t>
  </si>
  <si>
    <t>11/13/12 - Completed in Prompt 9/25/12 without NDB impact</t>
  </si>
  <si>
    <t xml:space="preserve">11/13/12 Cancelled No longer in Prompt </t>
  </si>
  <si>
    <t>11/13/12 Completed 9/20/12 with NDB unimpacted</t>
  </si>
  <si>
    <t>1/13/12 Completed 9/20/12 with NDB unimpacted</t>
  </si>
  <si>
    <t xml:space="preserve">11/13/12 Cancelled in Prompt 9/27/12 </t>
  </si>
  <si>
    <t>11/13/12 Completed in Prompt 10/11/12 with NDB unimpacted</t>
  </si>
  <si>
    <t>11/13/12 - Ret to Req 3/8/12 Keith Ernst</t>
  </si>
  <si>
    <t>11/13/12 Ret to Req 3/8/12 Keith Ernst</t>
  </si>
  <si>
    <t>11/9/12 Per the pm project will be cancelled in prompt - Tripathy Ajit</t>
  </si>
  <si>
    <t>11/13/12 Cancelled in Prompt 10/8/12</t>
  </si>
  <si>
    <t>11/13/12 Ret to Req 7/20/12 Larry Lacombe - being tracked on AIF</t>
  </si>
  <si>
    <t>11/13/12 Strat Council 10/26/12</t>
  </si>
  <si>
    <t>11/13/12 WO - Completed 10/31 with NDB unimpacted</t>
  </si>
  <si>
    <t xml:space="preserve">11/13/12 - Still Ret to Req
11/8 Still Ret to Req status &amp; not cancelled yet
11/7 Per Ryan M "Funding has not been secured.  I am not sure how to remove these from Prompt" Dana adv s/be able to cancel as the Requstor &amp; to reach out to Prompt QA if needed
11/5 Trish adv Ryan McC not resubmitted - I f/up with Ryan for a status update </t>
  </si>
  <si>
    <t>11/13/2012 Scheduled in Prompt with NDB unimpacted</t>
  </si>
  <si>
    <t>Navigate2 Product Network Clone</t>
  </si>
  <si>
    <t>Harvard Pilgrim Network Systems Migration Support</t>
  </si>
  <si>
    <t>Pete Anderson</t>
  </si>
  <si>
    <t>Run Code1 Process for IL, IN, TN Master Addresses</t>
  </si>
  <si>
    <t>CareOne, Computer Services, Desktop and Groupware Services, HIPAA, Information Risk Management, IT Service Management, NDB, Network Services (UHT), ORBIT - Operational Reporting, PHS - NICE, PHS - QicLink/ClaimExchange, Security Access Tracking System, SI</t>
  </si>
  <si>
    <r>
      <t xml:space="preserve">CORP1-BrandPortal- Branding and Portals - Appears that NDB has been removed as an impacted applications.  </t>
    </r>
    <r>
      <rPr>
        <b/>
        <sz val="8"/>
        <rFont val="Arial"/>
        <family val="2"/>
      </rPr>
      <t>CONFIRM NDB NOT IMPACTED AND MARK AS CANCELLED.</t>
    </r>
  </si>
  <si>
    <t>CDD, EPD/NDB, IDT - Intelligent Desktop, Summary Check, TCA, TOPS, Tops Foundation View, UCAS - Unet Claim Accounting Sys (multiple apps), Unet - Front End, UNETClaim, UNET Batch, Galaxy, UCAS, UFE</t>
  </si>
  <si>
    <r>
      <t xml:space="preserve">Remove from schedule. - 10186,  (inactive) (formerly 9967)  was returned by funder, and was Non funded by Serv Alliance.  I have removed it from our active projects.  NDB-EA Demgraphic - 2nd addrss line expansion - Returned by Funding Approver - need to identify funding source.  </t>
    </r>
    <r>
      <rPr>
        <b/>
        <sz val="8"/>
        <rFont val="Arial"/>
        <family val="2"/>
      </rPr>
      <t>CONFIRM NDB NOT IMPACTED AND MARK AS CANCELLED.</t>
    </r>
  </si>
  <si>
    <t>Subrogation Diagnosis Maintenance Screen</t>
  </si>
  <si>
    <t>NDB Feed to Self Service for Provider Validation</t>
  </si>
  <si>
    <t>Mark Allen</t>
  </si>
  <si>
    <t>Diane Schofied</t>
  </si>
  <si>
    <t>PHS Scope Change for EPDE Feeds</t>
  </si>
  <si>
    <t>EPMO, NDB, ppoONE, Provider Network Analysis UAT &amp; Tools, Reimbursement Technology, UFE, UHCTS-UMR Validata Application, UHCTS-UMR-MWS(Midwest Security-Onalaska)</t>
  </si>
  <si>
    <t>NDB No Bulk Flag Report</t>
  </si>
  <si>
    <t>NPI Phase 2 COSMOS Enhancements</t>
  </si>
  <si>
    <t>Regulatory (01-19260-000)</t>
  </si>
  <si>
    <t>ACIS Suite, Atlas, Automated Underwriting, BASICS, CES, Data Management, Employer Portal, Enterprise Application Architecture, eServices Billing, ID Cards, IDT - Intelligent Desktop, NDB, ORBIT - Operational Reporting, PeopleSoft BI/AR, Product Benefit Da</t>
  </si>
  <si>
    <t>EPMO, NDB, PHS - EDI, PHS - QicLink/ClaimExchange, ppoONE, Provider Network Analysis UAT &amp; Tools, UFE</t>
  </si>
  <si>
    <t>Medica Commercial Migration on PRIME-CEBB 9/1/07</t>
  </si>
  <si>
    <t>CORP1-datasharing-Integration Architecture Model</t>
  </si>
  <si>
    <t>Determine projects/programs that are ready to be scheduled</t>
  </si>
  <si>
    <t>UHPD Physician Demographic Feed - Analysis Only</t>
  </si>
  <si>
    <t>COBB DOROTHY</t>
  </si>
  <si>
    <t>send NDB extract files to different server</t>
  </si>
  <si>
    <t xml:space="preserve">RSA - National Optimal Access Gated Product </t>
  </si>
  <si>
    <t>PBH Migration</t>
  </si>
  <si>
    <t>EDWARD NOVINSKI</t>
  </si>
  <si>
    <r>
      <t xml:space="preserve">Remove from schedule. - 9686, (inactive) was returned by funder, and was Non funded by Serv Alliance.  I have removed it from our active projects.  Create Provider Type Mapping Table - Returned by funding approver.  Need to identify funding source.    </t>
    </r>
    <r>
      <rPr>
        <b/>
        <sz val="8"/>
        <rFont val="Arial"/>
        <family val="2"/>
      </rPr>
      <t>CONFIRM NDB NOT IMPACTED AND MARK AS CANCELLED.</t>
    </r>
  </si>
  <si>
    <t>EFT Capability for COSMOS</t>
  </si>
  <si>
    <t>ADR to PlanView Migration</t>
  </si>
  <si>
    <t>Student Resources Non-Par Pricing Legacy Systems</t>
  </si>
  <si>
    <t>No USEC per Diana</t>
  </si>
  <si>
    <t>R9</t>
  </si>
  <si>
    <t>R10</t>
  </si>
  <si>
    <t>R11</t>
  </si>
  <si>
    <t>R12</t>
  </si>
  <si>
    <t>R13</t>
  </si>
  <si>
    <t>PS2 changes only for Security.  USEC not needed for this release</t>
  </si>
  <si>
    <t>B2C Provider Portal, B2C Security, CES, COSMOS, EPD/NDB</t>
  </si>
  <si>
    <t>OI00164</t>
  </si>
  <si>
    <t>OI00195</t>
  </si>
  <si>
    <t>OI00196</t>
  </si>
  <si>
    <t>OI00197</t>
  </si>
  <si>
    <t>OI00164R1</t>
  </si>
  <si>
    <t>OI00195R1</t>
  </si>
  <si>
    <t>OI00196R1</t>
  </si>
  <si>
    <t>OI00197R1</t>
  </si>
  <si>
    <t xml:space="preserve">Empire Plan- Choice+ Integrated Market Testing </t>
  </si>
  <si>
    <t>Add office 118 to USEC table</t>
  </si>
  <si>
    <t>lloyd dyer</t>
  </si>
  <si>
    <t>Mueller, Steven</t>
  </si>
  <si>
    <t>WP1 PCP Selection &amp; Reporting</t>
  </si>
  <si>
    <t>Moved to one-shot queue</t>
  </si>
  <si>
    <t>NetV Extract</t>
  </si>
  <si>
    <t xml:space="preserve">B2B Provider Portal, B2C Provider Portal, BSG, CES, Computer Services, Consumer Account Management System (CAMS), Consumer Database (CDB), Electronic Eligibility Management System (EEMS), GEOAccess, GeoAccess for UHC.Com, GFLX, IDT - Intelligent Desktop, </t>
  </si>
  <si>
    <t>HPHC2 -  Provider Honor Roll Designation</t>
  </si>
  <si>
    <t>Application Enablement, NDB, Provider Network Analysis UAT &amp; Tools</t>
  </si>
  <si>
    <t>Data Management, NDB, ORBIT - Operational Reporting, Systems Integration, TOPS, USEC - Universal Security Systems</t>
  </si>
  <si>
    <t>Wait until all other changes are complete.</t>
  </si>
  <si>
    <t>Americhoice Nebraska Conversion COSMOS to Diamond</t>
  </si>
  <si>
    <t>L1</t>
  </si>
  <si>
    <t>L2</t>
  </si>
  <si>
    <t>Provider Repository Update for ME3400 Encounters</t>
  </si>
  <si>
    <t>CHRISTINA MOSHER</t>
  </si>
  <si>
    <t>Cynthia Middaugh</t>
  </si>
  <si>
    <t>Jim Donovan</t>
  </si>
  <si>
    <t>12/12 Cannot start until Jan 13
11/21 IT Leadership Rev 11/16</t>
  </si>
  <si>
    <t>12/13/12 NDB unimpacted on CC 2</t>
  </si>
  <si>
    <t>12/13/12 Estimate increased from 53.88 to 57.08 -in cc11 DE.
8/10 Scope will increase by 20.51 from 33.37 to 53.88 - cc not opened yet in prompt
5/18 Estimate includes BGE and CC 2 effort</t>
  </si>
  <si>
    <t>12/13 Per Bridget 2.08 should be reduced from the May release due to reduction in SE
10/4 Release date changed from Q1 to Q1 and decreased estimate from 18.31 to 9.44.  
9/27 Release date changed from Q1B to Q113.  
9/5 Release date changed from Q113 to Q213
6/15 Revised estimate on GK from 24.43 to 18.31 - moved 6.12 to March for UDW per Mel</t>
  </si>
  <si>
    <t>12/13 Per Bridget 2.16 should be reduced from the May release due to reduction in SE
10/4 Changed release date from Q213 to Q2B.  Also increased estimate from 6.12 to 10.27. 
9/27 Release date changed from Q2B to Q213.  
9/5 Release date changed from Q1B2013 to Q2B2013
6/15 BGE split betweek Feb and March - March pieced is 6.12 tfor UDW per Mel</t>
  </si>
  <si>
    <t>400047477D</t>
  </si>
  <si>
    <t>12/14 Cancelled in Prompt 12/10/2012
11/19 Still in Strat Council
11/13/12 Strat Council 
11/5 Per Kerrie "Neither of these project can get funding approval at this point but they are still trying.  Based on the CBAs I have seen, guessing these will both get cancelled."  
11/5 MM f/up for update status
Strat Council - 10/1/12 - Kerrie Hessler</t>
  </si>
  <si>
    <t xml:space="preserve">Thumma S Kumar
</t>
  </si>
  <si>
    <t>NHP Claims Processing on United Platform</t>
  </si>
  <si>
    <t>Mississippi CHIP program - on RV Facets</t>
  </si>
  <si>
    <t>NCQA Provider Search- Hospital Accreditation Field</t>
  </si>
  <si>
    <t>Peter Demaris</t>
  </si>
  <si>
    <t xml:space="preserve">Medica Network ID &amp; EOB Comment Change			</t>
  </si>
  <si>
    <t>Mike Radu</t>
  </si>
  <si>
    <t>Michael Geary</t>
  </si>
  <si>
    <t>Tim Holt</t>
  </si>
  <si>
    <t>Robert Oxford</t>
  </si>
  <si>
    <t>Medica End-State Model/Target System Architecture</t>
  </si>
  <si>
    <t>NDM Workflow Process Improvement - NDB Dev(Update)</t>
  </si>
  <si>
    <t>Oxford Designation V3.2</t>
  </si>
  <si>
    <t xml:space="preserve"> Testing support only for changes on the vendor side ACN &amp; MPN</t>
  </si>
  <si>
    <t>Wells Fargo Provider Feed to Myuhc.com</t>
  </si>
  <si>
    <t>AmeriChoiceOnline to NDB demographic submission</t>
  </si>
  <si>
    <t>Added Tab D8 - Release Mgmt to manage the SDLC Status for Provider Systems Projects and Releases.</t>
  </si>
  <si>
    <t>DRG/APC Grouping/Pricing on Unet using HSS sftware</t>
  </si>
  <si>
    <t>Centers of Excellence</t>
  </si>
  <si>
    <t>Carl Bilter</t>
  </si>
  <si>
    <t>3-Tier Benefit Plans</t>
  </si>
  <si>
    <t>testing and sa nd dev support for questions</t>
  </si>
  <si>
    <t>OI00176</t>
  </si>
  <si>
    <t>B2C Provider Portal, CES, Contact Center Services, FMR (Field Mgmt Reporting), Galaxy, IBAAG - IT (System Changes), IDT - Intelligent Desktop, Myuhc - Member Portal, NDB, Summary Check, TCA, TOPS, UHT, United Voice Portal Business</t>
  </si>
  <si>
    <t>Track whether or not business has approved the OOM estimate on Gatekeeper and Provider Council tab.</t>
  </si>
  <si>
    <t>Radiology Accreditation Testing</t>
  </si>
  <si>
    <t>Modify EMCCF Logic - Utilize NDB Claim Runout Date</t>
  </si>
  <si>
    <t>HPHC1-DataSharing-eCare Integration</t>
  </si>
  <si>
    <t>To be cancelled in Prompt</t>
  </si>
  <si>
    <t>physician mailing list for Physician Bulletin</t>
  </si>
  <si>
    <t>Regression Test diCarta to NDB Facility Feed</t>
  </si>
  <si>
    <t>In funding</t>
  </si>
  <si>
    <t>CC01R1</t>
  </si>
  <si>
    <t>COGDEC</t>
  </si>
  <si>
    <t>Notifications - Provider Search Contract Indicator</t>
  </si>
  <si>
    <t>John Craver</t>
  </si>
  <si>
    <t>James jarrat/Sue Edberg</t>
  </si>
  <si>
    <t>Import of raw data from Prompt to feed D1 - Master Projects Table</t>
  </si>
  <si>
    <t>NDB Enhancement</t>
  </si>
  <si>
    <t>Reimbursement</t>
  </si>
  <si>
    <t>CC011</t>
  </si>
  <si>
    <t>ICD-10 Remediation- UHC West Auth Log SSF Format</t>
  </si>
  <si>
    <t>AmeriChoice, Application Enablement, B2B Provider Portal, B2C Provider Portal, Contact Center Services, COSMOS, CPW, EDSS - Enterprise Data Storage System, Enterprise Testing, EPMO, Foundation Frameworks, GPT Admin Platform Peradigm, HIPAA, IDT - Intellig</t>
  </si>
  <si>
    <t>Application Enablement, B2B Provider Portal, B2C Provider Portal, BPID, Claims Highway, Claims QA, Claims QA - EDI, Claims QA - Specialty Benefits, Claims QA Oxford, Consumer Database (CDB), COSMOS, Data Delivery System (DDS), EDSS - Enterprise Data Stora</t>
  </si>
  <si>
    <t>B2C Provider Portal, Claims QA, Claims QA - EDI, EDSS - Enterprise Data Storage System, iCES Clearinghouse, NDB, ppoONE, Testing Environment and Integration, TOPS, UFE</t>
  </si>
  <si>
    <t>UBCS Planning</t>
  </si>
  <si>
    <t>Application Enablement, BH-Facets - UBH, Claims Highway, Claims QA, Claims QA OHBS, Computer Services, Consumer Account Management System (CAMS), Consumer Database (CDB), EDSS - Enterprise Data Storage System, eHealth Medical Claims Database, Enterprise I</t>
  </si>
  <si>
    <t xml:space="preserve">ICM Release 5 - Disconnected </t>
  </si>
  <si>
    <t>B. Kirkpatrick</t>
  </si>
  <si>
    <t>Kojak</t>
  </si>
  <si>
    <t>ppoOne</t>
  </si>
  <si>
    <t>TBDOB19</t>
  </si>
  <si>
    <t>TBDOB20</t>
  </si>
  <si>
    <t>TBDOB21</t>
  </si>
  <si>
    <t>TBDOB22</t>
  </si>
  <si>
    <t>TBDOB23</t>
  </si>
  <si>
    <t>TBDOB24</t>
  </si>
  <si>
    <t>EPD/NDB, NDB, Online Provider Directory</t>
  </si>
  <si>
    <t>NPI Ingenix GeoAccess Compliance</t>
  </si>
  <si>
    <t>Linda Peterson</t>
  </si>
  <si>
    <t>EPDE Expansion &amp; Supporting Table Conversions</t>
  </si>
  <si>
    <t>Plymouth Data Center</t>
  </si>
  <si>
    <t>Mario Fabrizio</t>
  </si>
  <si>
    <t>Julie Foster</t>
  </si>
  <si>
    <t xml:space="preserve">Provider Data Quality </t>
  </si>
  <si>
    <t xml:space="preserve">National Ancillary Prof Rate Feed Enhancement  </t>
  </si>
  <si>
    <t>B2B Provider Portal, CES, Electronic Eligibility Management System (EEMS), NDB</t>
  </si>
  <si>
    <t>Americhoice - UHG Provider Portal Link to COSMOS</t>
  </si>
  <si>
    <t>Provider Pick</t>
  </si>
  <si>
    <t>Application Enablement, BH-Eagle, BH-Facets - UBH, BH-Liveandworkwell.com, BH-Shared Components, COSMOS, Enterprise Systems Planning Business Architecture, EPMO, NDB, OHCS - TCE, OptumHealth Segment Architecture</t>
  </si>
  <si>
    <t>Optum Integrated Service Platform (OISP)</t>
  </si>
  <si>
    <t>John Prince</t>
  </si>
  <si>
    <t>ICD-10 Partnership UHG Par Provider Verification</t>
  </si>
  <si>
    <t>Angela Boynton</t>
  </si>
  <si>
    <t>NDB, UHC.COM</t>
  </si>
  <si>
    <t>00-00035-517</t>
  </si>
  <si>
    <t>02-60670-000</t>
  </si>
  <si>
    <t>400054394A</t>
  </si>
  <si>
    <t>400054724A</t>
  </si>
  <si>
    <t>400055586A</t>
  </si>
  <si>
    <t>P00023 - EXTENSION OF THE AUTISM SERVICES DEMO</t>
  </si>
  <si>
    <t>ACIS Suite, B2C Security, Case Package, CES, e-Bill, EPD/NDB, IBAAG - IT (System Changes), IDT - Intelligent Desktop, Myuhc - Member Portal, PC-ORS, PRIME, Product Benefit Database - UT, Program Definition Intake Team, Summary Check, TOPS, UCAS - Unet Cla</t>
  </si>
  <si>
    <t>NDB R2 - Contracting Front End</t>
  </si>
  <si>
    <t>WO - Modify PTI Report to sort by state and filter</t>
  </si>
  <si>
    <t>CC14R2</t>
  </si>
  <si>
    <t>CC14R3</t>
  </si>
  <si>
    <t>Awaiting final BRD for signoff.  Need to confirm that it is testing only</t>
  </si>
  <si>
    <t>Bruce Clark</t>
  </si>
  <si>
    <t>Fred Schulz</t>
  </si>
  <si>
    <t>Medica-DataSharing CCMS (Ref/Auth/Not) Integration</t>
  </si>
  <si>
    <t>Add MAMSI to automated Re-pricing solution</t>
  </si>
  <si>
    <t>CC07R2</t>
  </si>
  <si>
    <t>includes rescope and cc#5 &amp;#7</t>
  </si>
  <si>
    <t>Emptoris to NDB Physician - COSMOS Master Match</t>
  </si>
  <si>
    <t>Analysis</t>
  </si>
  <si>
    <t>ACIS Suite, BASICS, CES, CIX (Customer Installation Express), Emptoris, eServices Billing, Galaxy, GEOAccess, GeoAccess for UHC.Com, NDB, PRIME, Systems Integration, Technical Architecture Services, TOPS, USEC - Universal Security Systems</t>
  </si>
  <si>
    <t>Cardiac-CIN Patient Consent</t>
  </si>
  <si>
    <t>Multiple Imaging Reduction on Partner Claims</t>
  </si>
  <si>
    <t>AmeriChoice, EPMO, NDB, Provider Network Analysis UAT &amp; Tools</t>
  </si>
  <si>
    <t>Funding Status</t>
  </si>
  <si>
    <t>CES</t>
  </si>
  <si>
    <t>Enable PTI G for PTI by Contract Organization</t>
  </si>
  <si>
    <t>Online Directory Extract Program</t>
  </si>
  <si>
    <t>Application Infrastructure Services, B2B Provider Portal, CES, COSMOS, Data Management, FMR (Field Mgmt Reporting), GFLX, GRDC - (Group Reporting Data Control), ISEC (Internet Security Database), NDB, ORS, PRIME, RAD/BOB, Summary Check, T-DARS, TOPS, UCAS</t>
  </si>
  <si>
    <t>CICTCE1 System Test Region</t>
  </si>
  <si>
    <t>Jeff Hanas</t>
  </si>
  <si>
    <t>Chuck Officer</t>
  </si>
  <si>
    <t>PDR - NDB Data Model Buildout</t>
  </si>
  <si>
    <t>Jefferson Health 3-tier HSA product for PRIME</t>
  </si>
  <si>
    <t>EPD/NDB, Myuhc - Member Portal, NDB, Online Provider Directory, UHC.COM</t>
  </si>
  <si>
    <t>EPDE for Radiology Notification (CCN)</t>
  </si>
  <si>
    <t>CFS</t>
  </si>
  <si>
    <t>Remove filter from NDB-Geo directory feed process</t>
  </si>
  <si>
    <t xml:space="preserve">CBA required.
As long as we move forward with PDI this Americhoice Proj would be covered in 4-13210. </t>
  </si>
  <si>
    <t>Harvard Pilgrim Fee Schedule Maintenance</t>
  </si>
  <si>
    <t>Multiple frequency per CPT definition - not impacted</t>
  </si>
  <si>
    <t>Check add to Gatekeeper?</t>
  </si>
  <si>
    <t>B2C Provider Portal, CES, EPD/NDB, TOPS, Tops Foundation View</t>
  </si>
  <si>
    <t>ACIS Suite, Adjudipro, APT, Atlas, Automated Customer Installation, B2B Provider Portal, B2C Provider Portal, B2C Security, BASICS, Case Package, CDD, CES, CFAS, CheckWriting, CMA (Content Management Application), CMS (Contract Management System), COLD (e</t>
  </si>
  <si>
    <t>THIS PROJECT NO LONGER NEEDS NDB HOWEVER WAS COORDINATED WITH 0 HR EST</t>
  </si>
  <si>
    <t>Enterprise provider search analysis</t>
  </si>
  <si>
    <t>Timothy G Peterson</t>
  </si>
  <si>
    <t>Medica Pay to Enrollee Logic</t>
  </si>
  <si>
    <t>11/19/12 NDB un-impacted on the project</t>
  </si>
  <si>
    <t>400041201B</t>
  </si>
  <si>
    <t>State of MN GIS/Market Type/New NDB Product Combo</t>
  </si>
  <si>
    <t>ACIS Suite, CES, NDB, Systems Integration, Testing Environment and Integration, TOPS</t>
  </si>
  <si>
    <t>PHS Work Package 1 Release 2 - Install and Admin</t>
  </si>
  <si>
    <t>NHP High Level GHMO Product Development Costs</t>
  </si>
  <si>
    <t>CC09</t>
  </si>
  <si>
    <t>CC07</t>
  </si>
  <si>
    <t>CC01</t>
  </si>
  <si>
    <t>CC06</t>
  </si>
  <si>
    <t>Tom Mafale</t>
  </si>
  <si>
    <t>EPD/NDB, TOPS</t>
  </si>
  <si>
    <t>GRI MNRP Pricing for Legacy Systems</t>
  </si>
  <si>
    <t>eCredentialing NDB Provider 170 Code SQL query</t>
  </si>
  <si>
    <t>Data Management, NDB, USEC - Universal Security Systems</t>
  </si>
  <si>
    <t>Batch</t>
  </si>
  <si>
    <t>Online</t>
  </si>
  <si>
    <t>SMDC Testing Support</t>
  </si>
  <si>
    <t>TOPS Single Internal Letter</t>
  </si>
  <si>
    <t>Jim Bogdan</t>
  </si>
  <si>
    <t>EIS Analysis of Federated Opportunites w/ RV/Facet</t>
  </si>
  <si>
    <t>Enterprise SSN Ctrls - Mask Provider SSN on EOBs</t>
  </si>
  <si>
    <t xml:space="preserve">Bror Hultgren/ Mark Bjornson </t>
  </si>
  <si>
    <t xml:space="preserve">Automate COSMOS Duplicate UHCID Oneshot </t>
  </si>
  <si>
    <t>AmC New York CareOne Clinical Migration</t>
  </si>
  <si>
    <t>Cross Application Testing, Data Delivery System (DDS), EDSS - Enterprise Data Storage System, Enterprise Letter Generation System, NDB, Provider Network Analysis UAT &amp; Tools, Summary Check, Systems Integration, Testing Environment and Integration, TOPS</t>
  </si>
  <si>
    <t>Consumer Database (CDB), EDSS - Enterprise Data Storage System, Integrated Service Experience Tool ISET, Knowledge Management, NDB, ORS</t>
  </si>
  <si>
    <t>Cross Application Testing, EDSS - Enterprise Data Storage System, iCES Clearinghouse, NDB, Network Technology &amp; Support, Testing Environment and Integration, UFE</t>
  </si>
  <si>
    <t>Application Enablement, B2C Provider Portal, Claims Highway, Claims QA, Consumer Account Management System (CAMS), COSMOS, Cross Application Testing, EDSS - Enterprise Data Storage System, EPMO, GFLX, NDB, OptumHealth Financial Services Architecture, Paym</t>
  </si>
  <si>
    <t>Cross Application Testing, EDSS - Enterprise Data Storage System, NDB, Summary Check, Testing Environment and Integration, TOPS</t>
  </si>
  <si>
    <t>Cross Application Testing, Data Management, EA Data Architecture, EDSS - Enterprise Data Storage System, Enterprise Architecture, NDB, Summary Check, Systems Integration, Testing Environment and Integration, TOPS</t>
  </si>
  <si>
    <t>AmeriChoice, B2B Provider Portal, COSMOS, CPW, Data Management, EA Data Architecture, EDSS - Enterprise Data Storage System, Emptoris, EPMO, Foundation Frameworks, GPT Admin Platform Peradigm, HIPAA, NDB, PHS - Distributed Application Services, ppoONE, Ra</t>
  </si>
  <si>
    <t>Cross Application Testing, EDSS - Enterprise Data Storage System, Emptoris, iCES Clearinghouse, NDB, ppoONE, SAM, Summary Check, Testing Environment and Integration, TOPS</t>
  </si>
  <si>
    <t>CDD, Cross Application Testing, EDSS - Enterprise Data Storage System, NDB, Summary Check, Testing Environment and Integration, TOPS, UFE</t>
  </si>
  <si>
    <t>Application Enablement, Commercial Payment System (EPS), Cross Application Testing, EA Data Architecture, EDSS - Enterprise Data Storage System, Enterprise Application Architecture, Enterprise Architecture, EPMO, Foundation Frameworks, NDB, Summary Check,</t>
  </si>
  <si>
    <t>CES, COMET Desktop.NET, Data Management, EA Data Architecture, EDSS - Enterprise Data Storage System, EDSS (COLD), EPMO, Foundation Frameworks, Galaxy, HIPAA, IBAAG - IT (System Changes), NDB, PRIME, Product Benefit Database - UT, Summary Check, Technical</t>
  </si>
  <si>
    <t>CES, Cross Application Testing, Data Delivery System (DDS), EDSS - Enterprise Data Storage System, EPMO, Galaxy, iCES Clearinghouse, IDT - Intelligent Desktop, Integrated Service Experience Tool ISET, NDB, Payment Engine, Program Definition Intake Team, R</t>
  </si>
  <si>
    <t>COSMOS, Cross Application Testing, EDSS - Enterprise Data Storage System, NDB, ppoONE, Summary Check, TOPS</t>
  </si>
  <si>
    <t>EDSS - Enterprise Data Storage System, iCES Clearinghouse, NDB, ppoONE, Summary Check, Testing Environment and Integration, TOPS, UFE</t>
  </si>
  <si>
    <t>Cross Application Testing, EDSS - Enterprise Data Storage System, iCES Clearinghouse, NDB, ppoONE, Summary Check, Testing Environment and Integration, TOPS</t>
  </si>
  <si>
    <t>Cross Application Testing, EDSS - Enterprise Data Storage System, iCES Clearinghouse, NDB, ppoONE, Summary Check, Testing Environment and Integration, TOPS, UFE</t>
  </si>
  <si>
    <t>Claims Highway, Cross Application Testing, EDSS - Enterprise Data Storage System, iCES Clearinghouse, NDB, ppoONE, Summary Check, Testing Environment and Integration, TOPS, UFE</t>
  </si>
  <si>
    <t>Application Enablement, Cross Application Testing, EDSS - Enterprise Data Storage System, Enterprise Architecture, EPMO, ERC, Foundation Frameworks, Galaxy, NDB, ppoONE, Summary Check, Testing Environment and Integration, TOPS, UHT</t>
  </si>
  <si>
    <t>Data Management, EDSS - Enterprise Data Storage System, Enterprise Architecture, NDB, PRIME, Summary Check, TOPS</t>
  </si>
  <si>
    <t>Applications Impacted Unknown, B2B Provider Portal, B2C Provider Portal, CareOne, CCS-CCF, CES, Consumer Database (CDB), COSMOS, Cross Application Testing, EDSS - Enterprise Data Storage System, EPMO, NDB, Testing Environment and Integration, TOPS, UFE</t>
  </si>
  <si>
    <t>Application Enablement, COMET Desktop.NET, Cross Application Testing, Data Management, EDSS - Enterprise Data Storage System, Enterprise Architecture, EPMO, ERC, Foundation Frameworks, Information Risk Management, NDB, ppoONE, Summary Check, Testing Envir</t>
  </si>
  <si>
    <t>Application Enablement Development, COMET Desktop.NET, IDT - Intelligent Desktop, NDB, PRIME, TOPS</t>
  </si>
  <si>
    <t>UTSF COMET Release 3.0 - Adjustments</t>
  </si>
  <si>
    <t>B2B Provider Portal, B2C Provider Portal, Contact Center Services, Data Management, Employer Portal, Enterprise Testing, EPMO, Galaxy, IBAAG - IT (System Changes), IDT - Intelligent Desktop, Myuhc - Member Portal, NDB, Network Match, OnLine Enrollment, On</t>
  </si>
  <si>
    <t>ACIS Suite, Atlas, Automated Customer Installation, B2B Provider Portal, B2C Provider Portal, BASICS, CDD, CES, Contact Center Services, CTS - Common Tables System, Data Management, Employer Portal, EPMO, eServices Billing, FICS, FMR (Field Mgmt Reporting</t>
  </si>
  <si>
    <t>Application Enablement, B2C Provider Portal, Computer Services, Data Management, NDB, Portal Reporting, United Health Premium Designation (UHPD), Web Trends</t>
  </si>
  <si>
    <t>JEFFREY ZIEL</t>
  </si>
  <si>
    <t>donna pooely</t>
  </si>
  <si>
    <t>Brenda Keith</t>
  </si>
  <si>
    <t>Hans Christensen</t>
  </si>
  <si>
    <t>EPD/NDB, TOPS, Unet Batch</t>
  </si>
  <si>
    <t>OptumHealth Financial Services-DDC</t>
  </si>
  <si>
    <t>Claim Search Results Detail Parity</t>
  </si>
  <si>
    <t>NDB Unimpacted</t>
  </si>
  <si>
    <t>TBDUPCSA</t>
  </si>
  <si>
    <t>UPCAS-TOPS Rearch Placeholder</t>
  </si>
  <si>
    <t>Fee Schedule Load Enhancements</t>
  </si>
  <si>
    <t>PHS NICE  -Members Assigned to Closed PCP Panels</t>
  </si>
  <si>
    <t>to be cancelled per M. Cantor</t>
  </si>
  <si>
    <t>Extract 835 from NDB</t>
  </si>
  <si>
    <t>Myuhc.com Requirements for the AARP 50-64 new indi</t>
  </si>
  <si>
    <t>MAMSI HCFA conversion to longterm repricer</t>
  </si>
  <si>
    <t>ACIS Suite, Application Enablement, BASICS, CES, COMCALC, COMET Desktop.NET, Contact Center Services, CTS - Common Tables System, Data Management, Electronic Eligibility Management System (EEMS), Employer Portal, Enterprise Application Architecture, Enter</t>
  </si>
  <si>
    <t>ACIS Suite, Application Enablement, BASICS, CES, CIX (Customer Installation Express), Contact Center Services, CTS - Common Tables System, Customer Financial Solutions Web-site for KA, Data Management, Employer Portal, eServices Billing, Foundation Framew</t>
  </si>
  <si>
    <t>Facets Group Record Feed into NDB</t>
  </si>
  <si>
    <t>Michael J Moore</t>
  </si>
  <si>
    <t>moved to tbd on 8/2 per M. Stoy.  Moved to 5/18/08 per L. Murphy</t>
  </si>
  <si>
    <t>Provider Systems unable to deliver EPDL requirements in March. Confirmed that UFE and CES can meet March deliverable.  Testing compressed from 8 weeks to 6 weeks.  Will remain yellow until testing completed.</t>
  </si>
  <si>
    <t>Error</t>
  </si>
  <si>
    <t>ISEC (Internet Security Database), Myuhc - Member Portal, NDB</t>
  </si>
  <si>
    <t>UCFS EPS Phase III</t>
  </si>
  <si>
    <t>B2B Provider Portal, B2C Provider Portal, B2C Security, COSMOS, EPD/NDB, EPMO, ORBIT - Operational Reporting, Program Definition Intake Team, Summary Check, TOPS</t>
  </si>
  <si>
    <t>Opx - NCQA Recognition IDT Program Search</t>
  </si>
  <si>
    <t>1/20 Cancelled in PROMPT</t>
  </si>
  <si>
    <t xml:space="preserve">Orbit Report only.  </t>
  </si>
  <si>
    <t>Long Term Compliance Solutions</t>
  </si>
  <si>
    <t>David Decker</t>
  </si>
  <si>
    <t>JD/NHP - IT Analysis Support</t>
  </si>
  <si>
    <t>Pre-Auth Table Query</t>
  </si>
  <si>
    <t>Emptoris Onboarding Evercare</t>
  </si>
  <si>
    <t xml:space="preserve">Electronics Payment and 835 Transactions for OHBS </t>
  </si>
  <si>
    <t>Provider Search Results</t>
  </si>
  <si>
    <t xml:space="preserve"> MAHP/MAMSI Scope Change for EPDE Feed (add H-line</t>
  </si>
  <si>
    <t>CORP1-Netclaim-Reciprocity Enhancement Phase II</t>
  </si>
  <si>
    <t>CBA required. Submitted 2/23/2004.</t>
  </si>
  <si>
    <t>eServices</t>
  </si>
  <si>
    <t>Application Enablement, B2B Provider Portal, BSG, Computer Services, COSMOS, Enterprise Product Planning &amp; Architecture (EPPA), EPMO, HIPAA, Integrated Service Experience Tool ISET, NDB, PHS - EDI, ppoONE, Provider Network Analysis UAT &amp; Tools, Reimbursem</t>
  </si>
  <si>
    <t>New non-select to stop OHBS claims for reciprocity</t>
  </si>
  <si>
    <t>Emptoris and NDB Contract Master/Doc ID Sync</t>
  </si>
  <si>
    <t>Medica Extended UHG Re-Pricer</t>
  </si>
  <si>
    <t>Project on hold.  CC#1 backed out entire estimate.  NDB unimpacted</t>
  </si>
  <si>
    <t>For 2 QCA resource to be on-loan to Virtual clinic in ETS.  No NDB effort.</t>
  </si>
  <si>
    <t>Regulatory - General Fund</t>
  </si>
  <si>
    <t>WO-PCP/Specialist-Determine Using Active Records</t>
  </si>
  <si>
    <t>Medica DHS Atypical provider number</t>
  </si>
  <si>
    <t>EPDE Full File Pull for PHS Auto-Load - TX</t>
  </si>
  <si>
    <t>TERRENCE HUDSON</t>
  </si>
  <si>
    <t>ACN &amp; UBH Network Access &amp; claims pricing</t>
  </si>
  <si>
    <t>NDB, TOPS, TOPS Reimbursement</t>
  </si>
  <si>
    <t>Provider Address Mail File</t>
  </si>
  <si>
    <t>CORP1-Security-Outward Facing &amp; Sens. App Security</t>
  </si>
  <si>
    <t>Component Site Visit HL7 Modification</t>
  </si>
  <si>
    <t>Ready to Schedule</t>
  </si>
  <si>
    <t>1- Critical</t>
  </si>
  <si>
    <t>NPI COMET Compliance</t>
  </si>
  <si>
    <t xml:space="preserve">ACIS Suite, Acquisition Integrations, B2B Provider Portal, B2C Provider Portal, CES, Consumer Database (CDB), Enterprise Letter Generation System, eServices Billing, IBAAG - BPST (Template updates and testing), IBAAG - IT (System Changes), Myuhc - Member </t>
  </si>
  <si>
    <t>PDR - Initiate Provider Matching Phase 2</t>
  </si>
  <si>
    <t>4-14712 - was MWS CHoice - which was done under 4-7544 and replaced 4-14186 which was cancelled as Sarah Peterson didn't get the necessary info in on time for the release.</t>
  </si>
  <si>
    <t xml:space="preserve"> Becky Murphy looking to schedule</t>
  </si>
  <si>
    <t>UBH unable to provide a resource in 2006.  70 hrs burned, 90 remain</t>
  </si>
  <si>
    <t>United StudentResources Standard EPDE</t>
  </si>
  <si>
    <t>Non Par Access Phase II - UHCOL B2C</t>
  </si>
  <si>
    <t>Empire Plan FTP Access Data Center Change</t>
  </si>
  <si>
    <t>Sierra HCFA Claims Repricing Project</t>
  </si>
  <si>
    <t>Sierra UB Claims Repricing Project</t>
  </si>
  <si>
    <t>Prem Design outgoing to CCS and Finish JADS</t>
  </si>
  <si>
    <t>Payor ID Change for PHS License Products on UNET</t>
  </si>
  <si>
    <t>NDC Pricing - Phase 2 OHP</t>
  </si>
  <si>
    <t>Brent Graham</t>
  </si>
  <si>
    <t>NDC Pricing - Phase 2 PHS (QicLink)</t>
  </si>
  <si>
    <t>NDB - Harvard Pilgrim Feed Change - Work Order</t>
  </si>
  <si>
    <t xml:space="preserve">SSO from UHConline.com to PPI Hub </t>
  </si>
  <si>
    <t>Dennis Zuzek</t>
  </si>
  <si>
    <t>Alliance PPO: Phase 1, diCarta Contracting</t>
  </si>
  <si>
    <t>Ron Bakowski</t>
  </si>
  <si>
    <t>TBDEPDL3</t>
  </si>
  <si>
    <t>FRP-1 Regulatory Reporting Database</t>
  </si>
  <si>
    <t>Al McMahon</t>
  </si>
  <si>
    <t>Mike Cautin</t>
  </si>
  <si>
    <t>CHERYL STAUFFER</t>
  </si>
  <si>
    <t>MPIN file received 11/22. Ovations cancelled</t>
  </si>
  <si>
    <t>PDR -Claims systems to DRG CH / Transfer Pricing</t>
  </si>
  <si>
    <t>TOPS Employee SSN Usage - Replace SSN with EE ID</t>
  </si>
  <si>
    <t>UPCSA Savefile Maint Elimination 2009 (4-22654)</t>
  </si>
  <si>
    <t>ACIS Suite, CES, COSMOS, FSDB - Financial Summary Database (5087), NDB, PRIME, Product Benefit Database - UT, Summary Check, Systems Integration, TOPS, UCAS - Unet Claim Accounting Sys (multiple apps)</t>
  </si>
  <si>
    <t>Impacted on CC3 - added as R2 since R1 was in nov 2009</t>
  </si>
  <si>
    <t>Covered with TD defect 5146 and HPSD ticket 7601.  Testing time to be charged to 4-8054. Dev time to OM</t>
  </si>
  <si>
    <t>Regional Contracting for Ancillary Services</t>
  </si>
  <si>
    <t>Carl Mattson</t>
  </si>
  <si>
    <t>HPHC Shared Provider-Provider Directory Indicators</t>
  </si>
  <si>
    <t>Tonkin, Susan</t>
  </si>
  <si>
    <t xml:space="preserve">HPHC Shared Provider - Variable PTI </t>
  </si>
  <si>
    <t>Sue Tonkin</t>
  </si>
  <si>
    <t>MARGARET CONNIFF</t>
  </si>
  <si>
    <t>Application Enablement, Data Management, Emptoris, EPMO, Galaxy, IDT - Intelligent Desktop, NDB, ORBIT - Operational Reporting, ppoONE, Program Definition Intake Team, Summary Check, TOPS</t>
  </si>
  <si>
    <t>Hipaa Transaction Set Improvement (B2B)</t>
  </si>
  <si>
    <t>ITI Funding 72 to 24 Hour on Notification (04-39180-000)</t>
  </si>
  <si>
    <t>Exante</t>
  </si>
  <si>
    <t>FMR (Field Mgmt Reporting), Galaxy, IDT - Intelligent Desktop, NDB, Summary Check, Systems Integration, Testing Environment and Integration, TOPS</t>
  </si>
  <si>
    <t>PDR - Pulse-URV Pricing via GGMAP (Analysis Only)</t>
  </si>
  <si>
    <t>COSMOS to UHCO: Development for 4-22084</t>
  </si>
  <si>
    <t>CDD, CES, NDB, TOPS, Unet - Front End, Unet Batch</t>
  </si>
  <si>
    <t>Credentialing ORBIT Report Enhancements</t>
  </si>
  <si>
    <t>B2C Security, EPD/NDB</t>
  </si>
  <si>
    <t>HPI/Harvard Pilgrim HCFA Only Repricing &amp; Editing</t>
  </si>
  <si>
    <t>B. Kirkpatrick
D. Chitty</t>
  </si>
  <si>
    <t>Diane Schofield/ Jason Greenberg</t>
  </si>
  <si>
    <t>MAMSI EPDL Refresh Maintenance File</t>
  </si>
  <si>
    <t>KENNETH MATARAZZO</t>
  </si>
  <si>
    <t>Medica Pre-Auth Table Enhancement</t>
  </si>
  <si>
    <t>Load Medica Providers into EPD</t>
  </si>
  <si>
    <t>COSMOS, EPD/NDB, PMW ( Provide Mgmt Workstation), TOPS, TOPS Reimbursement</t>
  </si>
  <si>
    <t>CC15</t>
  </si>
  <si>
    <t>Dave Wichmann</t>
  </si>
  <si>
    <t>COSMOS, Data Management, EPMO, HIPAA, IDT - Intelligent Desktop, NDB, ORS, TOPS</t>
  </si>
  <si>
    <t>EPMO, GEOAccess, HIPAA, Myuhc - Member Portal, NDB</t>
  </si>
  <si>
    <t>Replacement for CC# 7 for 4-7560</t>
  </si>
  <si>
    <t>Galaxy, IDT - Intelligent Desktop, NDB, TOPS</t>
  </si>
  <si>
    <t>Pacificare diCarta NDB Facility Loading Updates</t>
  </si>
  <si>
    <t>CORP1-Infrastructure-Production Pilot Testing</t>
  </si>
  <si>
    <t>ACN Infrastructure, COSMOS, Enterprise Application Architecture, Enterprise Testing, EPMO, HIPAA, NDB, ppoONE, Railroad, TOPS, UFE</t>
  </si>
  <si>
    <t>Product</t>
  </si>
  <si>
    <t>EPD, UNET Claim Batch, Summary Check, EPD/NDB, Paris, Railroad, TOPS, Unet Batch</t>
  </si>
  <si>
    <t>R6</t>
  </si>
  <si>
    <t>Consumer/Financial Services</t>
  </si>
  <si>
    <t>Medica - Check Roll Up functionality</t>
  </si>
  <si>
    <t>OpX - uhconline Registration</t>
  </si>
  <si>
    <t>Diane Schofield, Deborah Streb</t>
  </si>
  <si>
    <t>Add email address to HL7 feed.</t>
  </si>
  <si>
    <t>CC#4 for additional effort for Feb including JCL changes.  Talk to Cathy and Hameed re: PM</t>
  </si>
  <si>
    <t>CC31</t>
  </si>
  <si>
    <t>SIP</t>
  </si>
  <si>
    <t>MEDecision to UP Contingency Integration</t>
  </si>
  <si>
    <t>SUSAN TONKIN</t>
  </si>
  <si>
    <t>Victoria Albert</t>
  </si>
  <si>
    <t>EPMO, NDB, ppoONE, Provider Network Analysis UAT &amp; Tools, Reimbursement Technology, UFE, UHCTS-OXHP(Oxford)</t>
  </si>
  <si>
    <t>B2C Provider Portal, Data Management, Enterprise Application Security, NDB, UHT</t>
  </si>
  <si>
    <t>Par Physicians Per Product</t>
  </si>
  <si>
    <t>NPI Claims - UNET</t>
  </si>
  <si>
    <t>NPI Aperture Compliance</t>
  </si>
  <si>
    <t>B2C Security, COSMOS, CPW, IDRS (SCAD), NDB, T-DARS, TOPS, Unet - Front End, USEC - Universal Security Systems</t>
  </si>
  <si>
    <t>B2C Security, NDB</t>
  </si>
  <si>
    <t>AmC AZ CareOne Migration</t>
  </si>
  <si>
    <t>AmC Maryland CareOne Clinical Migration</t>
  </si>
  <si>
    <t>NDB-EA Develop Optum HC3 to NDB provider search</t>
  </si>
  <si>
    <t>ppoONE</t>
  </si>
  <si>
    <t>PPL002 - PMW to ORBIT Report Migration</t>
  </si>
  <si>
    <t>1 - Hard Load</t>
  </si>
  <si>
    <t>Red -Started Late</t>
  </si>
  <si>
    <t>UMR - MNRP Implementation</t>
  </si>
  <si>
    <t>ACIS Suite, B2B Provider Portal, CES, CIX (Customer Installation Express), Consumer Database (CDB), Contact Center Services, Employer Portal, Enterprise EDI Business Solutions, Enterprise EDI Technical Operations, Enterprise Product Planning &amp; Architectur</t>
  </si>
  <si>
    <t>Acquisition Integrations, EPMO, NDB, Provider Network Analysis UAT &amp; Tools, UHCTS-MAHP(Mid Atlantic)</t>
  </si>
  <si>
    <t>Per Karla this can now be closed 8/24</t>
  </si>
  <si>
    <t>8/24 Project cancelled in prompt</t>
  </si>
  <si>
    <t>8/23 Project cancelled in prompt</t>
  </si>
  <si>
    <t>8/23 Project completed back in May in prompt</t>
  </si>
  <si>
    <t>NYHCRA System Analysis</t>
  </si>
  <si>
    <t>Kevin Ericson</t>
  </si>
  <si>
    <t>EPPS - Telesales Reqs and Affiliated Physicians</t>
  </si>
  <si>
    <t>Cosmos Modifier Field Expansion</t>
  </si>
  <si>
    <t>BPID, EPMO, NDB</t>
  </si>
  <si>
    <t>EPMO, NDB, Network Technology &amp; Support, Provider Network Analysis UAT &amp; Tools, UHCTS-UMR EDI Services, UHCTS-UMR-WAU(Wausau), United Health Premium Designation (UHPD)</t>
  </si>
  <si>
    <t>EPMO, NDB, Network Technology &amp; Support, ppoONE, Provider Network Analysis UAT &amp; Tools, Reimbursement Technology, UFE, UHCTS-UMR EDI Services, UHCTS-UMR-WAU(Wausau)</t>
  </si>
  <si>
    <t>Changed from Analysis to Testing only per rev and moved from 8/14 to 11/13</t>
  </si>
  <si>
    <t>NDB, Network Technology &amp; Support, ORBIT - Operational Reporting, UHN Reporting Database</t>
  </si>
  <si>
    <t>COSMOS Membership on HSR Application</t>
  </si>
  <si>
    <t>MPFS Non-Par - Plan Does Not Pay Balance Billing</t>
  </si>
  <si>
    <t>John White</t>
  </si>
  <si>
    <t>HPHC2-Radiology Svcs Reductions-All Facility Types</t>
  </si>
  <si>
    <t>Jim Jarratt</t>
  </si>
  <si>
    <t>Acquisition Integrations, Application Enablement, B2B Provider Portal, B2C Provider Portal, Consumer Database (CDB), Enterprise Application Architecture, IDRS, NDB, UFE</t>
  </si>
  <si>
    <t>Notifications Phase 2</t>
  </si>
  <si>
    <t>Accepting Assignment and Limiting Charge</t>
  </si>
  <si>
    <t>Lloyd Wright</t>
  </si>
  <si>
    <t>David Withee</t>
  </si>
  <si>
    <t>LOIS MATTI</t>
  </si>
  <si>
    <t>9/30 CC now scheduled in prompt
CC39 - cc still in estinating in prompt</t>
  </si>
  <si>
    <t xml:space="preserve">9/30 Project in SC - parf of the oom </t>
  </si>
  <si>
    <t>OI00245</t>
  </si>
  <si>
    <t>OI00245R1</t>
  </si>
  <si>
    <t>NDM/NCST Reengineering Proof of Concept RSA</t>
  </si>
  <si>
    <t>BPM Development Group, Enterprise Information Management, EPMO, NDB, Network Technology &amp; Support</t>
  </si>
  <si>
    <t>ACIS Suite, B2C Provider Portal, CES, Consumer Database (CDB), Contact Center Services, CTS - Common Tables System, ECap, FADB (Financial Assignment Database), FSDB - Financial Summary Database (5087), Myuhc - Member Portal, NDB, PRIME, PTAS - Premium Tax</t>
  </si>
  <si>
    <t>ACIS Suite, B2B Provider Portal, B2C Provider Portal, CES, CIX (Customer Installation Express), Consumer Database (CDB), Contact Center Services, CTS - Common Tables System, ECap, FADB (Financial Assignment Database), FSDB - Financial Summary Database (50</t>
  </si>
  <si>
    <t>UHCOnline Updates - MIPA/OCI Compliance of MD E-PA</t>
  </si>
  <si>
    <t>B2C Provider Portal, CCS-CCF, COSMOS, Cross Application Testing, EPMO, GEOAccess, Healthcare Alliance - Harvard Pilgrim, ICUE Core, Integrated Service Experience Tool ISET, Myuhc - Member Portal, NDB, Provider Network Analysis UAT &amp; Tools, Systems Integra</t>
  </si>
  <si>
    <t>Claims QA, Consumer Database (CDB), Enterprise Application Architecture, Enterprise Letter Generation System, EPMO, ICUE Core, NDB, OHCS - Data Management, Oracle Universal Content Management (UCM), PHS - Medical Management, PHS - NICE, RightFax, UnitedHe</t>
  </si>
  <si>
    <t>B2B Provider Portal, B2C Provider Portal, CareOne, Claims QA - EDI, EPMO, ICUE Core, NDB</t>
  </si>
  <si>
    <t>Nancy Sewitch</t>
  </si>
  <si>
    <t>Mary Jane Beeson</t>
  </si>
  <si>
    <t>Medica Commercial ET/PC Operational Readiness Test</t>
  </si>
  <si>
    <t>Kelly Clark</t>
  </si>
  <si>
    <t>iCES</t>
  </si>
  <si>
    <t>Patti Hallback</t>
  </si>
  <si>
    <t>1/1/2006 Readiness - Unable to pull from Prompt due to the number of applications impacted.</t>
  </si>
  <si>
    <t>Current Date</t>
  </si>
  <si>
    <t>Update business requirements functionality to reflect that work orders and analysis only projects do not need business requirements.</t>
  </si>
  <si>
    <t>1st impact on  cc#5, still In Estimating</t>
  </si>
  <si>
    <t>CE00013</t>
  </si>
  <si>
    <t>Log of changes</t>
  </si>
  <si>
    <t>Glossary</t>
  </si>
  <si>
    <t>Roberts Ron</t>
  </si>
  <si>
    <t>Anesthesia Policy Changes</t>
  </si>
  <si>
    <t>Sharon Childs</t>
  </si>
  <si>
    <t>Caryn Asklar</t>
  </si>
  <si>
    <t>Mainframe Insourcing</t>
  </si>
  <si>
    <t>Computer Services, Data Management, Emptoris, Enterprise Architecture, Foundation Frameworks, Information Risk Management, NDB, UHN Reporting Database</t>
  </si>
  <si>
    <t>Valley Preferred Provider Directory</t>
  </si>
  <si>
    <t>Data Management, EPD, EPD/NDB</t>
  </si>
  <si>
    <t>NDB has been unimpacted.</t>
  </si>
  <si>
    <t>EPDL ACM-Part II</t>
  </si>
  <si>
    <t>BRD Status</t>
  </si>
  <si>
    <t>Cisco Alliance - TaaS</t>
  </si>
  <si>
    <t>John Hodgson</t>
  </si>
  <si>
    <t>Mark Duhaime</t>
  </si>
  <si>
    <t>Application Enablement, Computer Services, Connected Care (TeleHealth), Consumer Database (CDB), Contact Center Services, Enterprise Application Architecture, EPMO, Information Risk Management, NDB, Network Services (UHT)</t>
  </si>
  <si>
    <t>Decoupling Clms Hwy from TOPS Phase 2</t>
  </si>
  <si>
    <t>FL - NDB County Code Enhancement</t>
  </si>
  <si>
    <t>COSMOS, Cross Application Testing, EPMO, NDB</t>
  </si>
  <si>
    <t>APIPA Medicaid ID Cleanup Sweep</t>
  </si>
  <si>
    <t>Facets ASP Texas Medicaid Migration</t>
  </si>
  <si>
    <t>Chris Schere</t>
  </si>
  <si>
    <t>AmeriChoice Project 1014 to be used for funding.</t>
  </si>
  <si>
    <t>Matthew Wazny</t>
  </si>
  <si>
    <t>TCE Member Eligibility &amp; Benefit Data Feed Error</t>
  </si>
  <si>
    <t>Meridyth Pettis</t>
  </si>
  <si>
    <t>11-62230-000</t>
  </si>
  <si>
    <t>11-50300-000</t>
  </si>
  <si>
    <t>400055976A</t>
  </si>
  <si>
    <t>400056000A</t>
  </si>
  <si>
    <t>400055987A</t>
  </si>
  <si>
    <t>400055275A</t>
  </si>
  <si>
    <t>Small Proj Submission - NDM/PCIS Examiner Q12013</t>
  </si>
  <si>
    <t>Small Proj Submission - NDM/PCIS Examiner Q22013</t>
  </si>
  <si>
    <t>Small Proj Submission - NDM/PCIS Examiner Q32013</t>
  </si>
  <si>
    <t>Small Proj Submission - NDM/PCIS Examiner Q42013</t>
  </si>
  <si>
    <t>myHCE UnitedhealthOne integration</t>
  </si>
  <si>
    <t>Kelley, Jamie</t>
  </si>
  <si>
    <t>Optum Cloud Portal: Branding and Configurability</t>
  </si>
  <si>
    <t>ERIC DUVALL</t>
  </si>
  <si>
    <t>Andy Alasso &amp; Bryan Morgenthaler</t>
  </si>
  <si>
    <t>Application Enablement, B2B Provider Portal, Connected Care (TeleHealth), Enterprise Application Architecture, EPMO, Information Risk Management, Innovation Delivery Center, Interactive Design Services (iDS), NDB</t>
  </si>
  <si>
    <t>Jordana Costello</t>
  </si>
  <si>
    <t>TAYLOR MIRIAM</t>
  </si>
  <si>
    <t>UMR - Reduce UHN Repricing Turnaround Time</t>
  </si>
  <si>
    <t>Impacted on CC#2.  R1-Analysis Only.  If development is needed additional cc's and releases will be needed</t>
  </si>
  <si>
    <t>Systest Date / Code Review</t>
  </si>
  <si>
    <t>Susan Edberg</t>
  </si>
  <si>
    <t>Korb Matosich</t>
  </si>
  <si>
    <t>ADR</t>
  </si>
  <si>
    <t>Harvard Pilgrim - UHG Passport Alliance</t>
  </si>
  <si>
    <t>New Consumer Portal 1.1 Enhanced Provider Search</t>
  </si>
  <si>
    <t>Gino Tenace</t>
  </si>
  <si>
    <t>Tiered Conditional Benefits</t>
  </si>
  <si>
    <t>CES, Myuhc - Member Portal, NDB</t>
  </si>
  <si>
    <t>Definity Health App Suite, Definity Health PM, NDB, Systems Integration, UFE</t>
  </si>
  <si>
    <t>CBA required.</t>
  </si>
  <si>
    <t>Mary Leszuk</t>
  </si>
  <si>
    <t>D5 - Gatekeeper - Projects</t>
  </si>
  <si>
    <t>CIX</t>
  </si>
  <si>
    <t>B2B Provider Portal, B2C Provider Portal, Consumer Database (CDB), COSMOS, HIPAA, NDB, PHS - EDI, Railroad, Summary Check, TOPS, UFE</t>
  </si>
  <si>
    <t>50-64 PPO Batch directory processing interface</t>
  </si>
  <si>
    <t>NDC Pricing - Phase 2</t>
  </si>
  <si>
    <t>Mini-PSIT Medica Non-Notification Testing Effort</t>
  </si>
  <si>
    <t>Rejection of HIPAA transactions without NPI</t>
  </si>
  <si>
    <t>Proof of Concept Scalability Test</t>
  </si>
  <si>
    <t>PBD - Data Migration R2.0</t>
  </si>
  <si>
    <t>Deploy myuhc on Tactical Hardware</t>
  </si>
  <si>
    <t>working on design.  OOM likely to be much lower.  Includes EPDL.  TOPS working on testing for Aug</t>
  </si>
  <si>
    <t>NDB, ORBIT - Operational Reporting, ppoONE, Provider Network Analysis UAT &amp; Tools, Reimbursement Technology</t>
  </si>
  <si>
    <t>Capitation Automation Tactical Approach-Phase I</t>
  </si>
  <si>
    <t>Patrick Casey</t>
  </si>
  <si>
    <t>Tammy Wright</t>
  </si>
  <si>
    <t>B2B Provider Portal, Data Management, EFS/CS IT PM, NDB, Railroad, Summary Check, TOPS</t>
  </si>
  <si>
    <t>John Kohner</t>
  </si>
  <si>
    <t>EDI Hub Consolidation: Release 1.0</t>
  </si>
  <si>
    <t>Fee Schedule: Parent/Child One Shot</t>
  </si>
  <si>
    <t>MAHP Specialist Copay</t>
  </si>
  <si>
    <t>Fee Scehdule Extraction On-Demand for PacifiCare</t>
  </si>
  <si>
    <t>CAT to build NICE in Alpha, Bravo, &amp; Master region</t>
  </si>
  <si>
    <t>Application Enablement, B2B Provider Portal, B2C Provider Portal, CareOne, Claims QA, Claims QA - EDI, Consumer Database (CDB), EPMO, Facets Alpha, ICUE Core, NDB, UHC C and S BI (Business Intelligence), UHC C and S Business Requirements</t>
  </si>
  <si>
    <t>B2B Provider Portal, CareOne, Claims QA, Consumer Database (CDB), COSMOS, EPMO, Facets Alpha, ICUE Core, NDB, UHC C and S Business Requirements, UHC C and S Diamond-Diamond Interfaces, UHC C and S Facets-Interfaces-Detroit, UHC C and S Facets-Interfaces-E</t>
  </si>
  <si>
    <t>Application Enablement, Claims Highway, Consumer Database (CDB), ECap, Enterprise Adjudication Service, Enterprise Application Architecture, Enterprise Information Management, EPMO, ESP Systems Planning and Alignment, GGMAP, ICUE Core, Innovation Delivery</t>
  </si>
  <si>
    <t>Application Enablement, B2C Provider Portal, CCS-CCF, Claims Highway, Claims QA, Computer Services, Consumer Database (CDB), Enterprise Adjudication Service, ETQS - Enterprise Technology Quality Services, ICUE Core, Integrated Service Experience Tool ISET</t>
  </si>
  <si>
    <t>Application Enablement, B2B Provider Portal, B2C Provider Portal, CareOne, Claims QA - EDI, EPMO, ICUE Core, NDB</t>
  </si>
  <si>
    <t>B2B Provider Portal, B2C Provider Portal, Claims QA, Consumer Database (CDB), COSMOS, Enterprise Letter Generation System, EPMO, ICUE Core, NDB</t>
  </si>
  <si>
    <t>Application Enablement, BPID, Cross Application Testing, Emptoris, Enterprise Information Management, Enterprise Letter Generation System, Enterprise Systems Planning Business Architecture, EPMO, ETS (Escalation Tracking System), ICUE Core, NDB, Network T</t>
  </si>
  <si>
    <t>ACIS Suite, CareOne, CCS-CCF, CES, CIX (Customer Installation Express), COMET Desktop.NET, Consumer Database (CDB), EPMO, Galaxy, IBAAG - BPST (Template updates and testing), ICUE Core, NDB, OHCS - Data Management, Product Benefit Database - UT, TOPS, UFE</t>
  </si>
  <si>
    <t>Adam Cohen</t>
  </si>
  <si>
    <t>Susan Casey</t>
  </si>
  <si>
    <t>Laurie Paidosh</t>
  </si>
  <si>
    <t>B2B Provider Portal, EFS/CS IT PM, FMR (Field Mgmt Reporting), nexLink, ORBIT - Operational Reporting, Program Definition Intake Team, USEC - Universal Security Systems</t>
  </si>
  <si>
    <t>Network Changes Data to UHC - Move to Daily Feeds</t>
  </si>
  <si>
    <t>NDB, UCAS - Unet Claim Accounting Sys (multiple apps)</t>
  </si>
  <si>
    <t>Steven Black</t>
  </si>
  <si>
    <t>Replacing unfunded 4-26253</t>
  </si>
  <si>
    <t>Pre-Auth</t>
  </si>
  <si>
    <t>1st impact on cc#1</t>
  </si>
  <si>
    <t>BSAR Contract Screen Enhancement</t>
  </si>
  <si>
    <t>Bus Seg Contract Selection Edit</t>
  </si>
  <si>
    <t>HIPAA 5010-UHC-837I&amp;P</t>
  </si>
  <si>
    <t>5010 - Base Compliance</t>
  </si>
  <si>
    <t>Bill Schofield</t>
  </si>
  <si>
    <t>PacifiCare DST (ASI) Pricing through ppoONE</t>
  </si>
  <si>
    <t>10/1/07 CMS Quarterly/Annual CMS Updates for MNRP</t>
  </si>
  <si>
    <t>FRP RAPL/NOBLX 1st Pass Claim Payment Improvements</t>
  </si>
  <si>
    <t>Catherine Krause</t>
  </si>
  <si>
    <t>Session Header Parity</t>
  </si>
  <si>
    <t>ACIS Suite, Adjudipro, Atlas, Automated Underwriting, B2B Provider Portal, B2C Provider Portal, Bank Information System (BIS), BASICS, Card Integration Platform (CIP), CDD, CES, CMA (Content Management Application), COMET Desktop.NET, Commercial Payment S</t>
  </si>
  <si>
    <t>Cheryl Fiemann</t>
  </si>
  <si>
    <t>Claims Repricing Engine Phase 1</t>
  </si>
  <si>
    <t>JOSEPH SNEDDON</t>
  </si>
  <si>
    <t>Data Management, NDB, TOPS, Unet - Front End, USEC - Universal Security Systems</t>
  </si>
  <si>
    <t>ROBSON DAVID</t>
  </si>
  <si>
    <t>J. Childers</t>
  </si>
  <si>
    <t xml:space="preserve">Application Enablement, B2B Provider Portal, B2C Provider Portal, Claims Highway, Cross Application Testing, Data Delivery System (DDS), Data Management, EDSS - Enterprise Data Storage System, Enterprise Architecture, Enterprise Letter Generation System, </t>
  </si>
  <si>
    <t>ACIS Suite, Application Enablement, Automated Underwriting, B2C Provider Portal, BASICS, CES, CIX (Customer Installation Express), COSMOS, Data Management, EA Data Architecture, EDSS - Enterprise Data Storage System, EDSS (COLD), Employer Portal, Enterpri</t>
  </si>
  <si>
    <t>ACIS Suite, Application Enablement, B2B Provider Portal, B2C Provider Portal, BPID, BPM Development Group, CareOne, CCS-CCF, CES, Claims Highway, Claims QA, COMET Desktop.NET, Consumer Database (CDB), Cross Application Testing, EDSS - Enterprise Data Stor</t>
  </si>
  <si>
    <t>Application Enablement, Claims Highway, Claims QA, COMET Desktop.NET, Cross Application Testing, Data Delivery System (DDS), EDSS - Enterprise Data Storage System, Enterprise Adjudication Service, Enterprise Information Management, EPMO, Galaxy, GGMAP, HI</t>
  </si>
  <si>
    <t>ACIS Suite, CES, CIX (Customer Installation Express), Claims QA, COMET Desktop.NET, Consumer Database (CDB), Cross Application Testing, Data Delivery System (DDS), EDSS - Enterprise Data Storage System, Enterprise Information Management, EPMO, Galaxy, GGM</t>
  </si>
  <si>
    <t xml:space="preserve">Acquisition Integrations, Application Enablement, Computer Services, Consumer Database (CDB), COSMOS, Cross Application Testing, Data Delivery System (DDS), EDSS - Enterprise Data Storage System, ELO Enterprise Letter Operations, Enterprise Architecture, </t>
  </si>
  <si>
    <t>Application Enablement, CES, COMET Desktop.NET, Computer Services, Consumer Database (CDB), Cross Application Testing, EDSS - Enterprise Data Storage System, ELO Enterprise Letter Operations, Enterprise Letter Generation System, Foundation Frameworks, IDT</t>
  </si>
  <si>
    <t>B2B Provider Portal, B2C Provider Portal, Commercial Payment System (EPS), Consumer Database (CDB), Data Management, ECap, EPMO, Foundation Frameworks, NDB, ORS, PHS - ILIAD, PHS - NICE, PHS - NICE Capitation, PHS - Pacificare Internet, PHS - QicLink/Clai</t>
  </si>
  <si>
    <t>400039622A</t>
  </si>
  <si>
    <t>Sent email to see if this should be cancelled- DB</t>
  </si>
  <si>
    <t>In IT Leadership Review</t>
  </si>
  <si>
    <t>CC 28</t>
  </si>
  <si>
    <t>Lifeprint - Sierra FACETS Implementation</t>
  </si>
  <si>
    <t>B2B Provider Portal, Computer Services, Cross Application Testing, Electronic Eligibility Management System (EEMS), Enterprise Application Architecture, Enterprise Content Management and Architecture, Enterprise EDI Business Solutions, Enterprise EDI Tech</t>
  </si>
  <si>
    <t>ACIS Suite, Acquisition Integrations, Application Enablement, B2B Provider Portal, B2C Provider Portal, CES, Consumer Database (CDB), Cross Application Testing, CTS - Common Tables System, Data Delivery System (DDS), EDSS, Employer Portal, FADB (Financial</t>
  </si>
  <si>
    <t>Rodney Armstead</t>
  </si>
  <si>
    <t>ACIS Suite, Application Enablement, BASICS, CES, COMCALC, Contact Center Services, COSMOS, Data Management, EPMO, eServices Billing, IDT - Intelligent Desktop, IT Service Management, NDB, Network Services (UHT), ORS, PCIS, PRIME, Producer Database, System</t>
  </si>
  <si>
    <t>OI00143R1</t>
  </si>
  <si>
    <t>Los Alamos Black Box Provider load</t>
  </si>
  <si>
    <t>ERC</t>
  </si>
  <si>
    <t>Ovations 50 - 64 Provider Directory Cover Letter</t>
  </si>
  <si>
    <t>EPD/NDB, NDB</t>
  </si>
  <si>
    <t>Medica Non-Notification Penalty</t>
  </si>
  <si>
    <t>Classify DRG's as Medical or Surgical</t>
  </si>
  <si>
    <t>Molly Knorr</t>
  </si>
  <si>
    <t>COMET Rules, Data Management, NDB, TOPS</t>
  </si>
  <si>
    <t>Placeholder</t>
  </si>
  <si>
    <t>Lockdown</t>
  </si>
  <si>
    <t>Data Management, EPD/NDB, EPMO, FMR (Field Mgmt Reporting), NDB, ORBIT - Operational Reporting, OTS - Overpayment Tracking System, Summary Check, TOPS, UCAS - Unet Claim Accounting Sys (multiple apps), Unet Batch</t>
  </si>
  <si>
    <t>Cobos, Patricio</t>
  </si>
  <si>
    <t>Change FTP Info for UBH Facets NDB/EPDL Implementa</t>
  </si>
  <si>
    <t>CBA required. Change control adding NDB. Submitted 12/21/2004.</t>
  </si>
  <si>
    <t xml:space="preserve">NDB NPI Extract to COSMOS </t>
  </si>
  <si>
    <r>
      <t>Ready to Schedule.</t>
    </r>
    <r>
      <rPr>
        <sz val="8"/>
        <rFont val="Arial"/>
        <family val="2"/>
      </rPr>
      <t xml:space="preserve">  This is part of PRIME's July release (7/24)</t>
    </r>
  </si>
  <si>
    <t>NDB-PERADIGM Migration -10/28/06 Seed File</t>
  </si>
  <si>
    <t>Ross Lund</t>
  </si>
  <si>
    <t>CES, EPD/NDB, IDT - Intelligent Desktop, ORS, SIFS</t>
  </si>
  <si>
    <t>NDB-PERADIGM Migration - 12/9/06 Seed File</t>
  </si>
  <si>
    <t>Prov
Council
Index</t>
  </si>
  <si>
    <t>2010 EPDI KTLO: Operational Enhancements</t>
  </si>
  <si>
    <t>2010 One Shot Requests</t>
  </si>
  <si>
    <t>ORBIT SOS Report</t>
  </si>
  <si>
    <t>Replaced by 4-25534</t>
  </si>
  <si>
    <t>Replaced by 4-25580</t>
  </si>
  <si>
    <t>Data Management, NDB, ORBIT - Operational Reporting, UHN Reporting Database</t>
  </si>
  <si>
    <t>Integration - HP</t>
  </si>
  <si>
    <t>CC04</t>
  </si>
  <si>
    <t>CC18</t>
  </si>
  <si>
    <t>Claims Repricing Release 1 - ppoONE</t>
  </si>
  <si>
    <t>Project is still in estimating</t>
  </si>
  <si>
    <t xml:space="preserve">Work Order- Duplicate Address Hard Edit </t>
  </si>
  <si>
    <t>NDB not impacted on Phase I.  Likely to come back in another phase.  In Strategy Council</t>
  </si>
  <si>
    <t>Medica – Target Directory Extract–Phs 2</t>
  </si>
  <si>
    <t>Per Kathy Catalano, NDB not impacted for 12/2006 release</t>
  </si>
  <si>
    <t>Medica  Telephony - VETSS</t>
  </si>
  <si>
    <t>NDB Unimpacted.  Work to be done under 4-19600</t>
  </si>
  <si>
    <t>develop "single screen concept" of NDB</t>
  </si>
  <si>
    <t>EPD/NDB, IVR, IDT, Unified Application IVR</t>
  </si>
  <si>
    <t>Provider Systems PM</t>
  </si>
  <si>
    <t>Application Enablement, B2B Provider Portal, BH-Elig/Benefits, BH-Facets - UBH, BH-PBH Facets, BH-Shared Components, Claims QA, Consumer Database (CDB), Contact Center Services, COSMOS, Cross Application Testing, EPMO, Facets Alpha, Facets Solution Group,</t>
  </si>
  <si>
    <t xml:space="preserve">ACIS Suite, Adjudipro, Application Development Repository, Automated Underwriting, B2B Provider Portal, B2C Provider Portal, Bank Information System (BIS), BASICS, Card Integration Platform (CIP), CES, CMA (Content Management Application), COMCALC, COMET </t>
  </si>
  <si>
    <t>HPHC1-Provider-Multi Site Directory Extract</t>
  </si>
  <si>
    <t>Data Management, NDB</t>
  </si>
  <si>
    <t>Darrell Brooks</t>
  </si>
  <si>
    <t>Will remain yellow until performance testing is completed.</t>
  </si>
  <si>
    <t>DME Rental vs. Purchase - Not impacted</t>
  </si>
  <si>
    <t>Harvard Pilgrim Automated Fee Schedule Load</t>
  </si>
  <si>
    <t>Site of service</t>
  </si>
  <si>
    <t>Cindy Griggs</t>
  </si>
  <si>
    <t>Pipeline</t>
  </si>
  <si>
    <t>OI00112</t>
  </si>
  <si>
    <t>OI00112R1</t>
  </si>
  <si>
    <t>Rad Accreditation-Add fields to Error reports</t>
  </si>
  <si>
    <t>HPHC Modifier 52 Reimbursement Rate Change</t>
  </si>
  <si>
    <t>Patricio Cobos</t>
  </si>
  <si>
    <t>Provide two week freeze period before go live for each release in the start and end date calculations.</t>
  </si>
  <si>
    <t>Detailed Tuning Recommendations</t>
  </si>
  <si>
    <t>Paul Balthazor</t>
  </si>
  <si>
    <t>Claims Highway, Claims QA, Consumer Database (CDB), Emptoris, Enterprise Information Management, Enterprise Systems Planning Business Architecture, GGMAP, ICUE Core, NDB, OHCS - CMC Facets, OHCS - CMC Web, PDG, ppoONE, TOPS, UFE</t>
  </si>
  <si>
    <t>Application Enablement, Claims QA - Specialty Benefits, Consumer Database (CDB), Enterprise Information Management, Enterprise Letter Generation System, EPMO, ICUE Core, NDB, OHCS - CMC Facets, OHCS - CMC Web, OHCS - PH Accent, Oracle Universal Content Ma</t>
  </si>
  <si>
    <t>10-00000-335</t>
  </si>
  <si>
    <t>400056402A</t>
  </si>
  <si>
    <t>400056389A</t>
  </si>
  <si>
    <t>11/21 Still in Est - NDB only est completed so far</t>
  </si>
  <si>
    <t>11/21 Sked &amp; appvd with NDB/USEC unimpacted</t>
  </si>
  <si>
    <t>1/14 Reduced to testing only from 2.91 to .4
11/20 Sked &amp; appvd 11/15
11/5 Per SP tool comments 10/31 AC came back &amp; adv if John H can send details she can try to work with info &amp; see if she can work on the est with her limited resources"
In Estimating 9/27/12 - all ests compl except NDB - Denise Buonano</t>
  </si>
  <si>
    <t xml:space="preserve">1/14/13 Project BGE approved in Prompt
10/17/12 Project still in estimating in prompt. </t>
  </si>
  <si>
    <t xml:space="preserve">1/14/13 BGE approved in Prompt
10/17/12 Project still in estimating in prompt. </t>
  </si>
  <si>
    <t>1/25/2013  (last date- staggered approach)</t>
  </si>
  <si>
    <t>Application Enablement, BH-Liveandworkwell.com, BPID, CareOne (TRICARE), Emptoris, Enterprise Application Architecture, Enterprise Information Management, Enterprise Systems Planning Business Architecture, EPMO, ICD-10 Architecture, NDB, Payables, SAM, tr</t>
  </si>
  <si>
    <t>myHCE M&amp;R Implementation</t>
  </si>
  <si>
    <t>Growth &amp; Innovation</t>
  </si>
  <si>
    <t>Claims QA, Claims QA - EDI, EPMO, NDB, UHCTS-UMR EDI Services, UHCTS-UMR Portal, UHCTS-UMR Reporting/DW/Analytics, UHCTS-UMR-MWS(Midwest Security-Onalaska), UHCTS-UMR-WAU(Wausau), UHCTS-UMR-WES(Facets Harrington)</t>
  </si>
  <si>
    <t>myHCE - Support for Reverse Tiered Networks (Edge)</t>
  </si>
  <si>
    <t>Legacy PHS Migration Warranty</t>
  </si>
  <si>
    <t>UHG Corporate</t>
  </si>
  <si>
    <t>BH-Facets - UBH, Claims QA OHBS, EPMO, NDB</t>
  </si>
  <si>
    <t>CIMMP- Provider Data Maintenance Workstream- Q3</t>
  </si>
  <si>
    <t>B2B Provider Portal, BH-Data Warehouses, BH-Facets - UBH, BH-Liveandworkwell.com, BH-Shared Components, BH-ubhonline.com, Claims QA, Claims QA - EDI, Claims QA OHBS, Consumer Database (CDB), EPMO, ETS (Escalation Tracking System), Facets Alpha, NDB, Optum</t>
  </si>
  <si>
    <t>CIMMP- Appeals &amp; Grievances Workstream- Q3</t>
  </si>
  <si>
    <t>10-00000-212</t>
  </si>
  <si>
    <t>400054884A</t>
  </si>
  <si>
    <t>ACIS Suite, B2C Provider Portal, Consumer Database (CDB), COSMOS, ECap, EDSS - Enterprise Data Storage System, Enterprise Information Management, Facets Alpha, FSDB - Financial Summary Database (5087), FTS Financial Tagging Service, Galaxy, GPS, IDT - Int</t>
  </si>
  <si>
    <t>400046616B</t>
  </si>
  <si>
    <t>400046616C</t>
  </si>
  <si>
    <t>400051510B</t>
  </si>
  <si>
    <t>Project still in estimating in Prompt</t>
  </si>
  <si>
    <t>Moved from May release and split between Q3/Q4 - effort split as well</t>
  </si>
  <si>
    <t>Application Enablement, Bank Information System (BIS), Claims Highway, Consumer Account Management System (CAMS), Consumer Database (CDB), COSMOS, EDSS - Enterprise Data Storage System, Enterprise Activation Messaging Platform (eAMP), Enterprise Applicati</t>
  </si>
  <si>
    <t>Revathy Mohta</t>
  </si>
  <si>
    <t>Sally Verrilli</t>
  </si>
  <si>
    <t>Harrington-Benesight HCFA w iCES and Choice Plus</t>
  </si>
  <si>
    <t>Harrington-Benesight UB Choice Plus Access</t>
  </si>
  <si>
    <t>Add More Pages to NDB Svc Cat Table- Analysis Only</t>
  </si>
  <si>
    <t xml:space="preserve">PTI Derivation </t>
  </si>
  <si>
    <t>OI00122R1</t>
  </si>
  <si>
    <t>DDS Select Criteria for NDB feed to DDS</t>
  </si>
  <si>
    <t>IDT Provider Alert Enhancements</t>
  </si>
  <si>
    <t>Medica-Create EPDE w/Enhancements</t>
  </si>
  <si>
    <r>
      <t>Completed in Prompt.</t>
    </r>
    <r>
      <rPr>
        <sz val="8"/>
        <rFont val="Arial"/>
        <family val="2"/>
      </rPr>
      <t xml:space="preserve">  NDB added via change control. </t>
    </r>
  </si>
  <si>
    <t xml:space="preserve">835 Migration for HIPAA Compliant Transaction </t>
  </si>
  <si>
    <t>Integrated Testing Environments Phase 2 Analysis</t>
  </si>
  <si>
    <t>Acquisition Integrations, Healthcare Alliance - Harvard Pilgrim, NDB, Provider Network Analysis UAT &amp; Tools, Testing Environment and Integration</t>
  </si>
  <si>
    <t>EDI Consolidation Proof Concept</t>
  </si>
  <si>
    <t>Cancelled in Prompt. 11/16/09</t>
  </si>
  <si>
    <t>Create Field Values Tables for Reimbursement Compatibility Indicators</t>
  </si>
  <si>
    <t>CES, Consumer Database (CDB), Galaxy, NDB, Systems Integration, TOPS, UFE, United Platform Systems Analysis and Architecture</t>
  </si>
  <si>
    <t>EDPL task using offshore NDB Resources</t>
  </si>
  <si>
    <t>1/10/13 CC Cancelled
1/2/13 cc 7 -CC still in estimating in Prompt</t>
  </si>
  <si>
    <t>1/10/13 CC1 - CC still in eestimating in Prompt
11/9/12 Project in estimating in Prompt</t>
  </si>
  <si>
    <t>1/10/13 CC cancelled
CC 1</t>
  </si>
  <si>
    <t>1/10/13 Moved from May to June
Project may escalate to move to Q1</t>
  </si>
  <si>
    <t>1/10/13 Moved from May release and split between Q3/Q4 - effort split as well
11/9 May need additional support for Q4 but Laura will let us know - 11/2 Scheduled in Prompt (being tracked on AIF)</t>
  </si>
  <si>
    <t xml:space="preserve">
11/30/2012 Moved from April 2013 to TBD - delayed to 2014
0/26 Added to April per Vicky</t>
  </si>
  <si>
    <t>1/10/13 Unimpacted and remainder of est backed out in CC7</t>
  </si>
  <si>
    <t>1/10/13 Baced out .14 in DE 
CC6 Offshore Support</t>
  </si>
  <si>
    <t>Per Shannon Duffy.  NDB removed from scope of this phase.  New sprf will be created, when needed</t>
  </si>
  <si>
    <t>Timothy Kaja</t>
  </si>
  <si>
    <t>AmeriChoice, COSMOS, NDB, Provider Network Analysis UAT &amp; Tools</t>
  </si>
  <si>
    <t>Dale WILLIAMS</t>
  </si>
  <si>
    <t>CE00036</t>
  </si>
  <si>
    <t>400029436 Incorrect Duplicate denials - Modifiers</t>
  </si>
  <si>
    <t>NDB Data Feed</t>
  </si>
  <si>
    <t>SOX Compliance Superuser reporting/certification</t>
  </si>
  <si>
    <t>User Maintained Table for the Specialty Crosswalk</t>
  </si>
  <si>
    <t>DANIEL CRIMMINS</t>
  </si>
  <si>
    <t>GREGORY MILLS</t>
  </si>
  <si>
    <t>Kevin McCloughan</t>
  </si>
  <si>
    <t>FS-Payables Implementations (2010)05-49580-000</t>
  </si>
  <si>
    <t>CA Language Assistance - Phase 2 Development</t>
  </si>
  <si>
    <t>Jill Fource</t>
  </si>
  <si>
    <t xml:space="preserve"> funding is split between 29874 CC (35%) and 31504 (65%)</t>
  </si>
  <si>
    <t>OI00145</t>
  </si>
  <si>
    <t>OI00145R1</t>
  </si>
  <si>
    <t xml:space="preserve">NDB FS for NHP Migration </t>
  </si>
  <si>
    <t>COE</t>
  </si>
  <si>
    <t>CDB</t>
  </si>
  <si>
    <t>PIT - TDARS FLNDCC-FLNKEY Display Updates</t>
  </si>
  <si>
    <t>NDB, ppoONE, UFE, UHC ITS Resource</t>
  </si>
  <si>
    <t>Will not be sched in GK.  Min hours per week to support running a file until Oxford moves to expanded EPDE/L layout.  Lori Bravoco is managing</t>
  </si>
  <si>
    <t>In estimating - late addition to the schedule.  Per Ross Lippincott, NDM would like to accelerate to the March release if possible to help deal with additional volume of fee schedules created by Pacificare.</t>
  </si>
  <si>
    <t>Macro Analysis</t>
  </si>
  <si>
    <t>Operational Improvements</t>
  </si>
  <si>
    <t>Application Enablement, BH-Facets - UBH, BH-Linx, BH-PBH Facets, BH-Shared Components, Claims Highway, Claims QA, Consumer Database (CDB), Contact Center Services, COSMOS, Cross Application Testing, EPMO, Facets Alpha, Facets Solution Group, NDB, TOPS, UH</t>
  </si>
  <si>
    <t>UHN Reporting Replacement for PD Program</t>
  </si>
  <si>
    <t>James Rouse</t>
  </si>
  <si>
    <t>Mike Baker</t>
  </si>
  <si>
    <t>ED - ISET-ELGS Integration</t>
  </si>
  <si>
    <t>Establish an instance of NDB in Zulu ITE region</t>
  </si>
  <si>
    <t>WA Implementation</t>
  </si>
  <si>
    <t>Christine Mulheran</t>
  </si>
  <si>
    <t>NY CSP Facets Migration</t>
  </si>
  <si>
    <t>WA NDB to CSP provider process</t>
  </si>
  <si>
    <t>Facets Alpha, NDB</t>
  </si>
  <si>
    <t>PPO-1 Updates to include NDC Information</t>
  </si>
  <si>
    <t>Application Enablement, Claims QA, COMET Desktop.NET, Consumer Database (CDB), EPMO, Integrated Service Experience Tool ISET, NDB, ORS, PC-ORS, TOPS, WAND</t>
  </si>
  <si>
    <t>New TOPS Remark Code for VA Providers</t>
  </si>
  <si>
    <t>Lisa Stamm</t>
  </si>
  <si>
    <t>400047192A</t>
  </si>
  <si>
    <t>EPDE-W/O-Analysis for improving effectiveness</t>
  </si>
  <si>
    <t>Ready to 
Schedule</t>
  </si>
  <si>
    <t>Funded?</t>
  </si>
  <si>
    <t>EDWARD SIWICKI</t>
  </si>
  <si>
    <t>NPI Data Capture and Searches</t>
  </si>
  <si>
    <t>myuhc Provider Directory Enhancements</t>
  </si>
  <si>
    <t>Requestor</t>
  </si>
  <si>
    <t>N</t>
  </si>
  <si>
    <t>R1-one shots to be deployed with 4-12540.  R2 batch reporting in Aug</t>
  </si>
  <si>
    <t>Enterprise Information Management, NDB, PHS - NICE</t>
  </si>
  <si>
    <t xml:space="preserve">Enterprise Capitation Solution - Provider </t>
  </si>
  <si>
    <t>Empire Plan Choice+Integrated Market Testing</t>
  </si>
  <si>
    <t>Cliff Ostrom</t>
  </si>
  <si>
    <t>NDB, Summary Check, TOPS</t>
  </si>
  <si>
    <t>Student Health Plan &amp; Hospital - 3 Tier UBH</t>
  </si>
  <si>
    <t>Application Enablement, CES, Consumer Database (CDB), NDB</t>
  </si>
  <si>
    <t>ECAP - Third Party Capitation</t>
  </si>
  <si>
    <t>D3 - Provider Council Sched</t>
  </si>
  <si>
    <t>NDB, UHN Reporting Database</t>
  </si>
  <si>
    <t>B2C Provider Portal, COSMOS, EPD/NDB</t>
  </si>
  <si>
    <t>Project will remain yellow until 4-8265 successfully delivered in March due to dependencies between projects.</t>
  </si>
  <si>
    <t>replaced with4-25413</t>
  </si>
  <si>
    <t>Planview Suffix</t>
  </si>
  <si>
    <t>D</t>
  </si>
  <si>
    <t>B</t>
  </si>
  <si>
    <t>E</t>
  </si>
  <si>
    <t>C</t>
  </si>
  <si>
    <t>NDB to be unimpacted.</t>
  </si>
  <si>
    <t>business cancelled per D. Keith</t>
  </si>
  <si>
    <t>iCES May 2008 Maintenance Release</t>
  </si>
  <si>
    <t>Integ-Acquitisions</t>
  </si>
  <si>
    <t>PHP MI - WAN/LAN Infrastructure Migration</t>
  </si>
  <si>
    <t>Automated Customer Installation</t>
  </si>
  <si>
    <t>K. Starks</t>
  </si>
  <si>
    <t xml:space="preserve">Provider PM </t>
  </si>
  <si>
    <t>Integrated Test Environment</t>
  </si>
  <si>
    <r>
      <t>Per Prompt, completed</t>
    </r>
    <r>
      <rPr>
        <sz val="8"/>
        <rFont val="Arial"/>
        <family val="2"/>
      </rPr>
      <t>.  All being delivered with 4-9454</t>
    </r>
  </si>
  <si>
    <t>Replaces 4-8339 cc#4</t>
  </si>
  <si>
    <t>PHS Work Package 1 Rel 2 Provider Crosswalk Update</t>
  </si>
  <si>
    <t>Project Name</t>
  </si>
  <si>
    <t>Enhance Fees App for ORATES and IRATES</t>
  </si>
  <si>
    <t>OI00113</t>
  </si>
  <si>
    <t>OI00114</t>
  </si>
  <si>
    <t>OI00115</t>
  </si>
  <si>
    <t>Radiology Mgmt UHG Claim Notification Match</t>
  </si>
  <si>
    <t>PDR 2010 - Scope and Approach Review (Doddy Xfer)</t>
  </si>
  <si>
    <t>Vlookup</t>
  </si>
  <si>
    <t>NDB to Facets for Pittsburgh Facets/ASP</t>
  </si>
  <si>
    <t>AMC Behavioral Health</t>
  </si>
  <si>
    <t>Portals Roadmap AMC to UHCOL</t>
  </si>
  <si>
    <t>MississippiCAN Medicaid program - on RV Facets</t>
  </si>
  <si>
    <t>Initiate Provider Matching For UHPD Rel 5.0</t>
  </si>
  <si>
    <t>Consumer Database (CDB), NDB</t>
  </si>
  <si>
    <t>Stand-alone UM for TPAs IT Infrastructure</t>
  </si>
  <si>
    <t>BH-Customer Reporting, BH-Elig/Benefits, BH-Facets - UBH, BH-Linx, BH-Mgmt and Planning, BH-Shared Components, NDB</t>
  </si>
  <si>
    <t>Gordon Sween</t>
  </si>
  <si>
    <t>Field Expansion Short Term Fix A&amp;D</t>
  </si>
  <si>
    <t>Lan Hoang</t>
  </si>
  <si>
    <t>HSR Q3 2011 Release</t>
  </si>
  <si>
    <t>EPS Tool Fix</t>
  </si>
  <si>
    <t>OXHP (Comm) Clinical Migration to ICUE</t>
  </si>
  <si>
    <t>Field Expansion Short Term Fix</t>
  </si>
  <si>
    <t>ACIS Suite, AMS Staff Augmentation on UT Apps, Application Development Repository, Application Enablement, Audit Recovery Operations (ARO) Datamart, BASICS, CDD, CES, CIX (Customer Installation Express), COMET Desktop, COMET Desktop.NET, Commercial Paymen</t>
  </si>
  <si>
    <t>Empire Plan - NDB Extract Changes</t>
  </si>
  <si>
    <t>Master Data Management Strategy</t>
  </si>
  <si>
    <t>custom directory splash page 2004</t>
  </si>
  <si>
    <t>Scott Steinkirchner</t>
  </si>
  <si>
    <t>COMET Rules, Data Management, NDB, Product Benefit Database - UT, TCA, TOPS</t>
  </si>
  <si>
    <t>Application Enablement, Applications and Acquisitions (AAA), IDT - Intelligent Desktop, NDB, ORS, Systems Integration, UHC ITS Resource</t>
  </si>
  <si>
    <t>GHMO-Capitation Automation Design &amp; Development</t>
  </si>
  <si>
    <t>UHN Reporting - Premium Designation Code Enhance</t>
  </si>
  <si>
    <t xml:space="preserve">ACIS Suite, Application Development Repository, Application Infrastructure Services, Atlas, Automated Underwriting, B2B Provider Portal, B2C Provider Portal, BASICS, Capacity Planning Online (CPO), Card Integration Platform (CIP), CMA (Content Management </t>
  </si>
  <si>
    <t>Barb Stenger/Nancy Engel</t>
  </si>
  <si>
    <t>Gated HMO Design and Development</t>
  </si>
  <si>
    <t>Network Changes Feed to UHC - 2 Changes Needed</t>
  </si>
  <si>
    <t>Bruce MacGibbon</t>
  </si>
  <si>
    <t>PDR–Provider Platform Gap Analysis Using Trillium</t>
  </si>
  <si>
    <t>OI00163</t>
  </si>
  <si>
    <t>OI00158</t>
  </si>
  <si>
    <t>OI00160</t>
  </si>
  <si>
    <t>OI00147R1</t>
  </si>
  <si>
    <t>OI00163R2</t>
  </si>
  <si>
    <t>B2B Provider Portal, B2C Provider Portal, CES, Contact Center Services, COSMOS, Data Management, GRDC - (Group Reporting Data Control), NDB, TOPS, UHT, United Voice Portal Business</t>
  </si>
  <si>
    <t>UnitedHealth Premium Designations v3.0 (Gen III)</t>
  </si>
  <si>
    <t>Eldorado, NDB, UFE</t>
  </si>
  <si>
    <t>UNET Modifier Pricing</t>
  </si>
  <si>
    <t>Description of Success/Error Messages from NDB</t>
  </si>
  <si>
    <t>NDM Work Queue Enhancements - Release 3</t>
  </si>
  <si>
    <t>Almerinda Kolodziej</t>
  </si>
  <si>
    <t>LaborCare EPDL Testing</t>
  </si>
  <si>
    <t>Project cancelled in Prompt before moving to In Estimating.  SPRF no longer valid in Prompt</t>
  </si>
  <si>
    <t>Hercules Server Project - Q1 2005</t>
  </si>
  <si>
    <t>Sarbanes-Oxley - 2006 Compliance</t>
  </si>
  <si>
    <t>PTI G Report Change</t>
  </si>
  <si>
    <t>B2C Provider Portal, Enterprise Application Architecture, Enterprise Information Management, Enterprise Product Planning &amp; Architecture (EPPA), NDB</t>
  </si>
  <si>
    <t>PDR-PULSE remediated providers (demographics)</t>
  </si>
  <si>
    <t>unimpacted in prompt</t>
  </si>
  <si>
    <t>OI00232</t>
  </si>
  <si>
    <t>OI00232R1</t>
  </si>
  <si>
    <t>Edit Request for Address Screens</t>
  </si>
  <si>
    <t>Medicaid Reclamation Identification&amp;Timely Filing</t>
  </si>
  <si>
    <t>Lab Ntwrk- iSET  Testing Only Cap-Indicator Field</t>
  </si>
  <si>
    <t>Melanie Lidster</t>
  </si>
  <si>
    <t>Linda Stewart / Mark Allen</t>
  </si>
  <si>
    <t>UNO 2010 Operational Efficiencies</t>
  </si>
  <si>
    <t>NDC Remediation-RSA NDC pricing end state analysis</t>
  </si>
  <si>
    <t>Thekkot Suresh</t>
  </si>
  <si>
    <t>NDC Remediation - RSA COSMOS PrePricing validation</t>
  </si>
  <si>
    <t xml:space="preserve">Medicaid Portal Access Notification for HI only  </t>
  </si>
  <si>
    <t>B2B Provider Portal, B2C Provider Portal, CareOne, Consumer Database (CDB), COSMOS, NDB, PDG</t>
  </si>
  <si>
    <t>AMC Care Core NDB Extract COSMOS Field Additions</t>
  </si>
  <si>
    <t>Eric Yoder</t>
  </si>
  <si>
    <t>Cisco Alliance TaaS</t>
  </si>
  <si>
    <t>Acquisition Integrations, Cross Application Testing, Enterprise Information Management, EPMO, GPT Project Management Services, NDB, PHS - Application Services Support Tools, PHS - Distributed Application Services, PHS - ILIAD, PHS - NICE</t>
  </si>
  <si>
    <t>ACIS Suite, B2B Provider Portal, B2C Provider Portal, CES, Computer Services, Desktop and Groupware Services, NDB, Network Services (UHT), PRIME, SALSA, Systems Integration, TOPS</t>
  </si>
  <si>
    <t>Golden Rule Claims Pricing - Sales Tool</t>
  </si>
  <si>
    <t>iCES Clearinghouse May 2010 Maintenance Release</t>
  </si>
  <si>
    <t>Should be replaced with sprf 4-31125 once it is oom approved.</t>
  </si>
  <si>
    <t>TOPS estimate 102 PM's</t>
  </si>
  <si>
    <t>NDB, UFE</t>
  </si>
  <si>
    <t>Contract Version Tracking in NDB</t>
  </si>
  <si>
    <t>CES, NDB, PacifiCare Development, TOPS</t>
  </si>
  <si>
    <t>EPD/NDB, Galaxy, NDB, Technical Architecture Services, TOPS, Unet Batch</t>
  </si>
  <si>
    <t>VETS implementation</t>
  </si>
  <si>
    <t>This is CC#11 &amp; CC#12</t>
  </si>
  <si>
    <t>COSMOS Port - Unisys to IBM - January 2009</t>
  </si>
  <si>
    <t>Nanette Poole</t>
  </si>
  <si>
    <t>APR-DRG Grouping / Editing / Pricing</t>
  </si>
  <si>
    <t>CHRISTOPHER EMPSON</t>
  </si>
  <si>
    <t>NDB R2 - Credentialing Status on IVR VETSS</t>
  </si>
  <si>
    <t>Mark Knutson</t>
  </si>
  <si>
    <t>Medica - NDB data file</t>
  </si>
  <si>
    <t>MAHP Provider Directory Long-Term Solution</t>
  </si>
  <si>
    <t>COMET Desktop.NET, Data Management, Foundation Frameworks, NDB, TOPS</t>
  </si>
  <si>
    <t>Modify ORBIT Fee Schedule Code and Dollar List Rpt</t>
  </si>
  <si>
    <t>Ed Novinski</t>
  </si>
  <si>
    <t>On-Demand</t>
  </si>
  <si>
    <t>Bill Hagan</t>
  </si>
  <si>
    <t>4-13210, 4-13211, 4-13212 to be consolidted in 4-13210</t>
  </si>
  <si>
    <t>Complete
?</t>
  </si>
  <si>
    <t>Estimate Status</t>
  </si>
  <si>
    <t>Claim Submission Redesign</t>
  </si>
  <si>
    <t>Joan Gionfriddo</t>
  </si>
  <si>
    <t>Multi-payor solution cap to existing B2C/B2B solut</t>
  </si>
  <si>
    <t>Credentialing</t>
  </si>
  <si>
    <t>B2C Provider Portal, CES, CMA (Content Management Application), COSMOS, NDB, Systems Integration</t>
  </si>
  <si>
    <t>OI00100</t>
  </si>
  <si>
    <t>OI00102</t>
  </si>
  <si>
    <t>OI00103</t>
  </si>
  <si>
    <t>HPHC1 - PTI Batch Edit Report</t>
  </si>
  <si>
    <t>Will not be scheduled in 2008 per Mike G.</t>
  </si>
  <si>
    <t>Simeon Schindelman</t>
  </si>
  <si>
    <t>Completed</t>
  </si>
  <si>
    <t>Adi Codaty</t>
  </si>
  <si>
    <t xml:space="preserve"> </t>
  </si>
  <si>
    <t>Testing only.</t>
  </si>
  <si>
    <t>Medica data sharing/exchange - UAT/production load</t>
  </si>
  <si>
    <t>CES, E-Talk, IBAAG - IT (System Changes), IDRS (SCAD), IDT - Intelligent Desktop, Knowledge library, Myuhc - Member Portal, NASC, NDB, ORS, OTS - Overpayment Tracking System, PC-ORS, Preference, SALSA, Summary Check, T-DARS, TOPS, UHT, WAND, Workforce Man</t>
  </si>
  <si>
    <t>NDB estimate backed out in Prompt</t>
  </si>
  <si>
    <t>Application Enablement, Contact Center Services, NDB, United Voice Portal Business</t>
  </si>
  <si>
    <t>RM - Rob Reddington</t>
  </si>
  <si>
    <t>Encounter Data Remediation</t>
  </si>
  <si>
    <t>Angela Wang</t>
  </si>
  <si>
    <t>Claims Highway, Claims QA, EPMO, NDB, PHS - NICE</t>
  </si>
  <si>
    <t>ACIS Suite, Application Enablement, Atlas, B2B Provider Portal, BASICS, CIX (Customer Installation Express), Claims QA, Claims QA - EDI, COMET Desktop.NET, Consumer Account Management System (CAMS), Consumer Database (CDB), CTS - Common Tables System, Cus</t>
  </si>
  <si>
    <t>Navigate2 Case Effective</t>
  </si>
  <si>
    <t>Provider Touchpoint- Claims Reconsideration 1.5</t>
  </si>
  <si>
    <t>LESLIE WORLEY</t>
  </si>
  <si>
    <t>Provider Touchpoint - Claims Management</t>
  </si>
  <si>
    <t>EFT ERA Op Rules - AD- E&amp;I</t>
  </si>
  <si>
    <t>Erin Kroll</t>
  </si>
  <si>
    <t>Application Enablement, B2B Provider Portal, B2C Provider Portal, Claims QA - EDI, Consumer Database (CDB), EPMO, ICUE Core, NDB</t>
  </si>
  <si>
    <t>Store Adjusments (Copays/Ded) at the Detail Line</t>
  </si>
  <si>
    <t>Jane Knous</t>
  </si>
  <si>
    <t>HCR EHB Plus Case Installation &amp; Eligibility Ready</t>
  </si>
  <si>
    <t>UHCOnline Update-Golden Rule Compliance MD E-PA</t>
  </si>
  <si>
    <t>Karen DiPalmo</t>
  </si>
  <si>
    <t>CSS Portal &amp; EDI Clinical Integration Acceleration</t>
  </si>
  <si>
    <t>CIA – ICUE HSR Core Build</t>
  </si>
  <si>
    <t>Colleen Valenti</t>
  </si>
  <si>
    <t>Darcie Corbin</t>
  </si>
  <si>
    <t>NDB Emptoris Synchronization</t>
  </si>
  <si>
    <t>Patrick Beckstead</t>
  </si>
  <si>
    <t>CareOne, Claims Highway, Claims QA, COSMOS, Emptoris, EPMO, GGMAP, NDB, OH Dental Facets, Ovations - iCES, Processing Eligibility Enhancement Resource (PEER)</t>
  </si>
  <si>
    <t>Provider Contract Line Selection by Physical Locat</t>
  </si>
  <si>
    <t>EPMO, NDB, Network Technology &amp; Support</t>
  </si>
  <si>
    <t>Primary Care Transformation - Withhold capability</t>
  </si>
  <si>
    <t>Chris Ritchie</t>
  </si>
  <si>
    <t>RSA UMR Premium Designation - Long Term Solution</t>
  </si>
  <si>
    <t>Urgent Care Incorrect Copay</t>
  </si>
  <si>
    <t>Unit Cost Reporting Tool- NDB interface</t>
  </si>
  <si>
    <t>resources from July-Sept added to 4-12978 on the resource plan because this sprf closed</t>
  </si>
  <si>
    <t>COE physician mailing list</t>
  </si>
  <si>
    <t>Roger Wambheim</t>
  </si>
  <si>
    <t>iLIAD Directory Migration to CPS Process</t>
  </si>
  <si>
    <t>NDB, NSD</t>
  </si>
  <si>
    <t>EFS Electronic Payments &amp; Statements Phase IV</t>
  </si>
  <si>
    <t>CIX - Cust. Inst. Express 2006</t>
  </si>
  <si>
    <t>Invalid Market Number and IPA Combination Report</t>
  </si>
  <si>
    <t>PlanView Grant</t>
  </si>
  <si>
    <t>Tri-Care RFP Term report</t>
  </si>
  <si>
    <t>Spec Due Date</t>
  </si>
  <si>
    <t>Navigate2 Quote Ready</t>
  </si>
  <si>
    <t>Only 10 hours agreed upon for the month of August</t>
  </si>
  <si>
    <t>COSMOS, Enterprise Testing, EPD/NDB</t>
  </si>
  <si>
    <t>NPI UFE/NDB Provider Pick Compliance</t>
  </si>
  <si>
    <t>HPI/Harvard Pilgrim UB92 Only Pricing on ppoOne</t>
  </si>
  <si>
    <t>Requires coordination with TOPS.</t>
  </si>
  <si>
    <t>Provider Mailing Preference Reporting</t>
  </si>
  <si>
    <t>HIPAA 5010 2009 Work Acceleration</t>
  </si>
  <si>
    <t>ROSS OGDEN</t>
  </si>
  <si>
    <t>B2B Provider Portal, B2C Provider Portal, Data Management, Healthcare Alliance - Harvard Pilgrim, NDB, Portal Reporting</t>
  </si>
  <si>
    <t>Oxford EPDL Data Load</t>
  </si>
  <si>
    <t>In Strategy Council</t>
  </si>
  <si>
    <t>CMA (Content Management Application), eBor, Employer Portal, GRDC - (Group Reporting Data Control), NDB, Network Match, ORBIT - Operational Reporting, PCIS, PRIME Renewals, Rosetta, UHT, United eServices</t>
  </si>
  <si>
    <t>Ovations Online Provider Directory</t>
  </si>
  <si>
    <t>NDB Unimpacted in Prompt</t>
  </si>
  <si>
    <t>Application Enablement, Computer Services, Consumer Database (CDB), Enterprise Architecture, EPMO, Foundation Frameworks, NDB, Provider Network Analysis UAT &amp; Tools, TOPS, UFE, USEC - Universal Security Systems</t>
  </si>
  <si>
    <t>CES, Ingenix - Non Galaxy, NDB, Paris</t>
  </si>
  <si>
    <t>Removed from 2008 due to budget issues</t>
  </si>
  <si>
    <t>COMET, EPD/NDB, TOPS</t>
  </si>
  <si>
    <t>This will be release on 3/31 but is aligned with the 3/13 release</t>
  </si>
  <si>
    <t>Consumer Database (CDB) Release 1.1</t>
  </si>
  <si>
    <t>NDB sending full files of EPS enrolment to Facets</t>
  </si>
  <si>
    <t>Sharon McCullough</t>
  </si>
  <si>
    <t>Add requirements due date to the Provider Council tab.</t>
  </si>
  <si>
    <t>NDB first impacted on CC#3.  CC includes A&amp;D.  Project is A/O in Prompt.   Need to resolve w/Prompt before proceeding.  Business looking for April, which is closed - 12/21/06, LCM mrkd as cancelled - replaced with another sprf</t>
  </si>
  <si>
    <t>Jim Handlan</t>
  </si>
  <si>
    <t>Ashok Sundashan</t>
  </si>
  <si>
    <t>Corporate Tax Dept</t>
  </si>
  <si>
    <t>Therese Anderson</t>
  </si>
  <si>
    <t xml:space="preserve">HBP BEN Fiserv FACTS San Antonio </t>
  </si>
  <si>
    <t>Sally A Verrilli</t>
  </si>
  <si>
    <t>EPDE Onboarding Placeholder</t>
  </si>
  <si>
    <t>NDB, Provider Network Analysis UAT &amp; Tools, TOPS</t>
  </si>
  <si>
    <t>Application Enablement, Bank Information System (BIS), bConnected - UHG IT, BH-Data Warehouses, BH-Facets - UBH, BH-Linx, BH-PBH Facets, BH-SURE, BPID, BPM CoE, BPM_PEGA, CareOne, Claims QA, Client Master Data Management, Consumer Account Management Syste</t>
  </si>
  <si>
    <t>00-00000-000</t>
  </si>
  <si>
    <t>10-00000-269</t>
  </si>
  <si>
    <t>400055634A</t>
  </si>
  <si>
    <t>400055941A</t>
  </si>
  <si>
    <t>400056790A</t>
  </si>
  <si>
    <t>400056783A</t>
  </si>
  <si>
    <t>400056814A</t>
  </si>
  <si>
    <t>CC 18</t>
  </si>
  <si>
    <t>Medica - UHG HCR - Exchange - SHOP - C266 - 1</t>
  </si>
  <si>
    <t>EDSS - Enterprise Data Storage System, Foundation Frameworks, Healthcare Alliance - Harvard Pilgrim, IBAAG - IT (System Changes), IDRS, IDT - Intelligent Desktop, Knowledge Library, SALSA, Security Access Tracking System, Systems Integration, T-DARS, USEC</t>
  </si>
  <si>
    <t>ACIS Suite, CES, Cross Application Testing, CTS - Common Tables System, EDSS - Enterprise Data Storage System, Electronic Eligibility Management System (EEMS), Health Statement Engine, NDB, Summary Check, Systems Integration, Testing Environment and Integ</t>
  </si>
  <si>
    <t>Application Enablement, B2C Provider Portal, EDSS - Enterprise Data Storage System, EPMO, ICUE Core, NDB, Provider Network Analysis UAT &amp; Tools</t>
  </si>
  <si>
    <t>CES, Claims Highway, Consumer Database (CDB), Cross Application Testing, EDSS - Enterprise Data Storage System, EPMO, Health Statement Engine, NDB, Payment Engine, Summary Check, Testing Environment and Integration, TOPS</t>
  </si>
  <si>
    <t>CES, Consumer Database (CDB), Cross Application Testing, EDSS - Enterprise Data Storage System, Enterprise Letter Generation System, NDB, Provider Network Analysis UAT &amp; Tools, Summary Check, Testing Environment and Integration, TOPS</t>
  </si>
  <si>
    <t>Application Enablement, B2B Provider Portal, B2C Provider Portal, CCS-CCF, CES, Consumer Database (CDB), COSMOS, EDSS - Enterprise Data Storage System, NDB, TOPS, UFE</t>
  </si>
  <si>
    <t>Cross Application Testing, EDSS - Enterprise Data Storage System, NDB, ORBIT - Operational Reporting, Summary Check, Testing Environment and Integration, TOPS</t>
  </si>
  <si>
    <t>ACIS Suite, B2B Provider Portal, B2C Provider Portal, CES, Consumer Account Management System (CAMS), EDSS - Enterprise Data Storage System, Employer Portal, GEOAccess, GFLX, Myuhc - Member Portal, NDB, Portal Reporting, PRIME, Summary Check, TOPS</t>
  </si>
  <si>
    <t>Cross Application Testing, EDSS - Enterprise Data Storage System, Emptoris, Galaxy, NDB, ORBIT - Operational Reporting, ppoONE, SAM, Summary Check, Testing Environment and Integration, TOPS</t>
  </si>
  <si>
    <t>CES, Claims Highway, Consumer Database (CDB), Cross Application Testing, EDSS - Enterprise Data Storage System, EPMO, NDB, Payment Engine, Summary Check, Testing Environment and Integration, TOPS</t>
  </si>
  <si>
    <t>AmeriChoice, B2C Provider Portal, COSMOS, Cross Application Testing, EDSS - Enterprise Data Storage System, Enterprise Content Management and Architecture, Enterprise Letter Generation System, EPMO, Facets Alpha, NDB, ppoONE, Provider Network Analysis UAT</t>
  </si>
  <si>
    <t>COMET Desktop.NET, Consumer Account Management System (CAMS), Cross Application Testing, EDSS - Enterprise Data Storage System, EPMO, Health Statement Engine, NDB, OH Business Analysts, Payment Engine, Summary Check, TOPS</t>
  </si>
  <si>
    <t>AmeriChoice, B2B Provider Portal, B2C Provider Portal, COSMOS, Data Management, Definity Health App Suite, EDSS - Enterprise Data Storage System, Eldorado, Enterprise Testing, EPMO, GPT Admin Platform Peradigm, HIPAA, NDB, PHS - EDI, Railroad, T-DARS, TOP</t>
  </si>
  <si>
    <t>B2B Provider Portal, Commercial Payment System (EPS), Consumer Account Management System (CAMS), Cross Application Testing, Definity Health App Suite, EDSS - Enterprise Data Storage System, EPMO, Galaxy, HIPAA, NDB, OTS - Overpayment Tracking System, Rail</t>
  </si>
  <si>
    <t>Claims QA, Claims QA - EDI, EDSS - Enterprise Data Storage System, EPMO, iCES Clearinghouse, NDB, Testing Environment and Integration, TOPS, UFE</t>
  </si>
  <si>
    <t>Cross Application Testing, EDSS - Enterprise Data Storage System, iCES Clearinghouse, NDB, ppoONE, Provider Network Analysis UAT &amp; Tools, Summary Check, Testing Environment and Integration, TOPS, UFE</t>
  </si>
  <si>
    <t>Cross Application Testing, EDSS - Enterprise Data Storage System, iCES Clearinghouse, NDB, ppoONE, Provider Network Analysis UAT &amp; Tools, Summary Check, Testing Environment and Integration, TOPS</t>
  </si>
  <si>
    <t>Computer Services, COSMOS, Data Delivery System (DDS), EDSS - Enterprise Data Storage System, Enterprise Architecture, EPMO, Foundation Frameworks, NDB, Program Definition Intake Team, Reimbursement Technology, Summary Check, Systems Integration, TOPS, Un</t>
  </si>
  <si>
    <t>B2B Provider Portal, B2C Provider Portal, CES, Consumer Database (CDB), COSMOS, Cross Application Testing, EDSS - Enterprise Data Storage System, EPMO, NDB, ppoONE, Provider Network Analysis UAT &amp; Tools, Summary Check, TOPS, UFE</t>
  </si>
  <si>
    <t>CES, Claims Highway, Consumer Account Management System (CAMS), Cross Application Testing, Data Management, EDSS - Enterprise Data Storage System, Enterprise Letter Generation System, GFLX, Health Statement Engine, NDB, Summary Check, TOPS</t>
  </si>
  <si>
    <t>Application Enablement, Computer Services, Enterprise Information Management, Enterprise Systems Planning Business Architecture, EPMO, NDB, OHCS - TCE, UHN Reporting Database, USEC - Universal Security Systems</t>
  </si>
  <si>
    <t>ICD 10 Inventory Management and Code Review Tool</t>
  </si>
  <si>
    <t>Charles Cockayne</t>
  </si>
  <si>
    <t>Application Enablement, B2B Provider Portal, Claims QA - EDI, Claims QA - Specialty Benefits, Consumer Database (CDB), Electronic Eligibility Management System (EEMS), Enterprise Application Architecture, Enterprise Information Management, Enterprise Syst</t>
  </si>
  <si>
    <t>ACIS Suite, B2B Provider Portal, B2C Provider Portal, BH-Data Warehouses, BH-Elig/Benefits, BH-Liveandworkwell.com, BH-ubhonline.com, Claims Highway, Claims QA, Claims QA - EDI, Consumer Database (CDB), CTS - Common Tables System, EDSS - Enterprise Data S</t>
  </si>
  <si>
    <t>ACIS Suite, Application Enablement, B2B Provider Portal, Claims Highway, Claims QA, Claims QA - EDI, Claims QA - Specialty Benefits, Computer Services, Consumer Account Management System (CAMS), Consumer Database (CDB), Corporate Tax Applications, COSMOS,</t>
  </si>
  <si>
    <t>ACIS Suite, Application Enablement, B2B Provider Portal, B2C Provider Portal, CES, Claims Highway, Claims QA, Claims QA - EDI, COMET Desktop.NET, Consumer Database (CDB), Contact Center Services, EDSS - Enterprise Data Storage System, Electronic Eligibili</t>
  </si>
  <si>
    <t>Application Enablement, CES, CIX (Customer Installation Express), Consumer Database (CDB), Contact Center Services, Data Management, Definity Health App Suite, EDSS - Enterprise Data Storage System, Enterprise Application Architecture, Enterprise Architec</t>
  </si>
  <si>
    <t>Application Enablement, Claim Work DIstribution (CWD), Claims Highway, Claims QA, COMET Desktop.NET, COSMOS, Data Delivery System (DDS), EDSS - Enterprise Data Storage System, Enterprise Information Management, Enterprise Systems Planning Business Archite</t>
  </si>
  <si>
    <t>ACIS Suite, Application Enablement, B2B Provider Portal, B2C Provider Portal, CIX (Customer Installation Express), Claims Highway, Claims QA, Consumer Database (CDB), CRDM, Data Delivery System (DDS), EDSS - Enterprise Data Storage System, Electronic Elig</t>
  </si>
  <si>
    <t>B2B Provider Portal, B2C Provider Portal, CES, Claims Highway, Cross Application Testing, Data Delivery System (DDS), EDSS - Enterprise Data Storage System, Enterprise Letter Generation System, EPMO, Galaxy, Health Statement Engine, HIPAA, Integrated Serv</t>
  </si>
  <si>
    <t>Acquisition Integrations, Application Enablement, B2B Provider Portal, Claims Highway, Claims QA, Claims QA Oxford, Consumer Account Management System (CAMS), Consumer Database (CDB), COSMOS, Cross Application Testing, Data Delivery System (DDS), EDSS - E</t>
  </si>
  <si>
    <t>Acquisition Integrations, Application Enablement, B2B Provider Portal, B2C Provider Portal, BH-Facets - UBH, CES, Claims QA, Consumer Database (CDB), COSMOS, Cross Application Testing, Data Delivery System (DDS), EDSS - Enterprise Data Storage System, Enk</t>
  </si>
  <si>
    <t>Acquisition Integrations, Application Enablement, B2B Provider Portal, B2C Provider Portal, CareOne, CCS-CCF, Claims QA, Claims QA Oxford, Consumer Database (CDB), COSMOS, Cross Application Testing, EDSS - Enterprise Data Storage System, Enkata-Data Load,</t>
  </si>
  <si>
    <t>Acquisition Integrations, B2B Provider Portal, CES, Claims QA, Consumer Database (CDB), COSMOS, Cross Application Testing, Data Delivery System (DDS), EDSS - Enterprise Data Storage System, Electronic Eligibility Management System (EEMS), Enkata-Data Load</t>
  </si>
  <si>
    <t>Acquisition Integrations, Application Enablement, B2B Provider Portal, CES, Claims QA, Consumer Database (CDB), Contact Center Services, COSMOS, Cross Application Testing, EDSS - Enterprise Data Storage System, Enkata-Data Load, Enterprise Content Managem</t>
  </si>
  <si>
    <t>Application Enablement, CCS-CCF, Claims Highway, Claims QA, Cross Application Testing, Data Delivery System (DDS), EDSS - Enterprise Data Storage System, Enterprise Letter Generation System, Enterprise Product Planning &amp; Architecture (EPPA), EPMO, iCES Cl</t>
  </si>
  <si>
    <t>B2B Provider Portal, B2C Provider Portal, CES, Claims Highway, Cross Application Testing, Data Delivery System (DDS), EDSS - Enterprise Data Storage System, Enterprise Letter Generation System, Galaxy, IDRS, IDT - Intelligent Desktop, Integrated Service E</t>
  </si>
  <si>
    <t>ACIS Suite, Application Enablement, B2B Provider Portal, B2C Provider Portal, CES, Claims Highway, Consumer Database (CDB), Contact Center Services, Cross Application Testing, Data Delivery System (DDS), EDSS - Enterprise Data Storage System, Enterprise I</t>
  </si>
  <si>
    <t>Application Enablement, B2B Provider Portal, BASICS, CDD, CES, Consumer Database (CDB), Cross Application Testing, Data Delivery System (DDS), EDSS - Enterprise Data Storage System, Enterprise Activation Messaging Platform (eAMP), EPMO, eServices Billing,</t>
  </si>
  <si>
    <t>Application Enablement, CCS-CCF, CES, COMET Desktop, COMET Desktop.NET, Consumer Database (CDB), Cross Application Testing, EDSS - Enterprise Data Storage System, Enterprise Activation Messaging Platform (eAMP), Enterprise Architecture, Foundation Framewo</t>
  </si>
  <si>
    <t>ACIS Suite, B2B Provider Portal, BASICS, CDD, CES, Consumer Database (CDB), COSMOS, Cross Application Testing, CTS - Common Tables System, EDSS - Enterprise Data Storage System, Electronic Eligibility Management System (EEMS), Enterprise Activation Messag</t>
  </si>
  <si>
    <t>ACIS Suite, CES, CMA (Content Management Application), Cross Application Testing, EDSS - Enterprise Data Storage System, Enterprise Activation Messaging Platform (eAMP), ETS (Escalation Tracking System), GEOAccess, GFLX, Healthcare Alliance - Harvard Pilg</t>
  </si>
  <si>
    <t>Applications Impacted Unknown, CES, Cross Application Testing, Data Management, EDSS - Enterprise Data Storage System, Employer Portal, Enterprise Architecture, Enterprise Testing, GEFT - Global Electronic Funds Transfer, GEOAccess, GFLX, Myuhc - Member P</t>
  </si>
  <si>
    <t xml:space="preserve">ACIS Suite, Application Enablement, B2B Provider Portal, B2C Provider Portal, CES, CIX (Customer Installation Express), Claims Highway, Consumer Database (CDB), Cross Application Testing, Data Delivery System (DDS), EDSS - Enterprise Data Storage System, </t>
  </si>
  <si>
    <t>ACIS Suite, CES, CIX (Customer Installation Express), Claims Highway, COMET Desktop.NET, Consumer Database (CDB), Data Delivery System (DDS), EDSS - Enterprise Data Storage System, Enterprise Systems Planning Business Architecture, EPMO, Galaxy, GGMAP, IB</t>
  </si>
  <si>
    <t>Cross Application Testing, Data Management, EA Data Architecture, EDSS - Enterprise Data Storage System, Emptoris, Enterprise Architecture, NDB, ppoONE, Summary Check, Testing Environment and Integration, TOPS</t>
  </si>
  <si>
    <t>ACIS Suite, Cross Application Testing, EDSS - Enterprise Data Storage System, NDB, PRIME, Summary Check, Testing Environment and Integration, TOPS</t>
  </si>
  <si>
    <t>ACIS Suite, Cross Application Testing, EDSS - Enterprise Data Storage System, NDB, PRIME, Summary Check, Systems Integration, Testing Environment and Integration, TOPS</t>
  </si>
  <si>
    <t>CES, Cross Application Testing, EDSS - Enterprise Data Storage System, NDB, Summary Check, Testing Environment and Integration, TOPS</t>
  </si>
  <si>
    <t>ACIS Suite, CES, COSMOS, Cross Application Testing, eArt, EDSS - Enterprise Data Storage System, Employer Portal, Enterprise Architecture, Enterprise Testing, eServices Billing, Healthcare Alliance - Harvard Pilgrim, Healthcare Alliance - Medica, NDB, ORB</t>
  </si>
  <si>
    <t>Cross Application Testing, Data Management, EDSS - Enterprise Data Storage System, Enterprise Architecture, EPMO, FMR (Field Mgmt Reporting), NDB, Testing Environment and Integration, TOPS, UFE</t>
  </si>
  <si>
    <t>Cross Application Testing, EDSS - Enterprise Data Storage System, EPMO, iCES Clearinghouse, NDB, Payment Engine, Provider Network Analysis UAT &amp; Tools, Summary Check, Testing Environment and Integration, TOPS, UFE</t>
  </si>
  <si>
    <t>Cross Application Testing, EDSS - Enterprise Data Storage System, iCES Clearinghouse, NDB, Payment Engine, Provider Network Analysis UAT &amp; Tools, Summary Check, Testing Environment and Integration, TOPS, UFE</t>
  </si>
  <si>
    <t>Application Enablement, B2B Provider Portal, B2C Provider Portal, CES, COMET Desktop.NET, Commercial Payment System (EPS), Contact Center Services, COSMOS, CPW, Data Management, Electronic Eligibility Management System (EEMS), Enterprise Testing, EPMO, Fo</t>
  </si>
  <si>
    <t>Steve Gudvangen</t>
  </si>
  <si>
    <t>Estimate
Type</t>
  </si>
  <si>
    <t>CCS-CCF, Computer Services, Consumer Database (CDB), ELO Enterprise Letter Operations, Enterprise Content Management and Architecture, Enterprise Letter Generation System, ICUE Core, NDB, Provider Network Analysis UAT &amp; Tools, TOPS</t>
  </si>
  <si>
    <t>B2B Provider Portal, BPID, CareOne, CBTS - Clinical Architecture, Claims Highway, COSMOS, Cross Application Testing, Enterprise EDI Technical Operations, EPMO, ICUE Core, NDB, PDG, PHS - NICE</t>
  </si>
  <si>
    <t>Application Enablement, B2B Provider Portal, B2C Provider Portal, BPID, BPM Development Group, Claims Highway, Computer Services, COSMOS, Cross Application Testing, Enterprise Systems Planning Business Architecture, EPMO, GGMAP, ICUE Core, NDB, Network Te</t>
  </si>
  <si>
    <t>BPID, BPM Development Group, Claims Highway, COSMOS, Cross Application Testing, Enterprise Systems Planning Business Architecture, EPMO, GGMAP, ICUE Core, NDB, Network Technology &amp; Support, PDG, PHS - NICE, ppoONE, UMVS IT Program Management</t>
  </si>
  <si>
    <t>BPID, BPM Development Group, Claims Highway, COSMOS, Cross Application Testing, Enterprise Letter Generation System, Enterprise Systems Planning Business Architecture, EPMO, GGMAP, ICUE Core, iLEAD, NDB, Network Technology &amp; Support, PDG, PHS - NICE, UMVS</t>
  </si>
  <si>
    <t>Application Enablement, B2C Provider Portal, Consumer Database (CDB), Enterprise Information Management, EPMO, ICUE Core, NDB, Oxford Cross Application Testing, PDG, PULSE Provider</t>
  </si>
  <si>
    <t>Application Enablement, B2B Provider Portal, B2C Provider Portal, CareOne, Claims QA, Consumer Database (CDB), COSMOS, Enterprise Application Architecture, Enterprise Information Management, EPMO, Facets Alpha, ICUE Core, MAPS, NDB, PDG, UHC C and S Busin</t>
  </si>
  <si>
    <t>A&amp;G Workflow &amp; Tracking System, BPID, Claims QA, COSMOS, Emptoris, Enterprise Systems Planning Business Architecture, EPMO, ICUE Core, NDB, Network Technology &amp; Support, PDG, UMVS IT Program Management</t>
  </si>
  <si>
    <t>ACIS Suite, Application Enablement, B2B Provider Portal, B2C Provider Portal, CareOne, Claims QA, Consumer Database (CDB), COSMOS, Enterprise Application Architecture, Enterprise EDI Technical Operations, EPMO, ICUE Core, NDB, ORBIT - Operational Reportin</t>
  </si>
  <si>
    <t>B2B Provider Portal, B2C Provider Portal, EPMO, ICUE Core, NDB</t>
  </si>
  <si>
    <t>B2B Provider Portal, B2C Provider Portal, CareOne, Data Management, Enterprise Architecture, ICUE Core, NDB, Provider Network Analysis UAT &amp; Tools</t>
  </si>
  <si>
    <t>B2B Provider Portal, B2C Provider Portal, CareOne, Common Clinical Framework (CCF), Consumer Database (CDB), Contact Center Services, Enterprise Letter Generation System, ICUE Core, NDB, Other Non-UT Claims, Portal Reporting</t>
  </si>
  <si>
    <t>Computer Services, COSMOS, Cross Application Testing, Data Management, ICUE Core, NDB, Provider Network Analysis UAT &amp; Tools, Testing Environment and Integration, TOPS</t>
  </si>
  <si>
    <t>Application Enablement, B2B Provider Portal, B2C Provider Portal, CES, Consumer Database (CDB), EPMO, ICUE Core, NDB, Program Definition Intake Team</t>
  </si>
  <si>
    <t>Application Enablement, B2B Provider Portal, B2C Provider Portal, CareOne, CCS-CCF, CES, Computer Services, Consumer Database (CDB), COSMOS, Cross Application Testing, Enterprise Architecture, EPMO, Foundation Frameworks, ICUE Core, NDB, Program Definitio</t>
  </si>
  <si>
    <t>Application Enablement, B2B Provider Portal, B2C Provider Portal, CES, Consumer Database (CDB), Enterprise Architecture, EPMO, ICUE Core, NDB, Program Definition Intake Team, United Platform Systems Analysis and Architecture</t>
  </si>
  <si>
    <t>ACIS Suite, Application Enablement, CBTS - Clinical Architecture, CES, Consumer Database (CDB), Cross Application Testing, Enterprise Content Management and Architecture, Enterprise Letter Generation System, ICUE Core, NDB, OHCS - Data Management, PDG, TO</t>
  </si>
  <si>
    <t>Add Organization Type to NDB call</t>
  </si>
  <si>
    <t>Steve Pollack</t>
  </si>
  <si>
    <t>Acquisition Integrations, NDB, Preference, TOPS, United Platform Systems Analysis and Architecture</t>
  </si>
  <si>
    <t>Interest Payment Identifier at the Contract Level</t>
  </si>
  <si>
    <t>Cathy Holman</t>
  </si>
  <si>
    <t>Sushmeeta Nanda</t>
  </si>
  <si>
    <t xml:space="preserve">Build "C" Environment for Integrated Test    </t>
  </si>
  <si>
    <t>TBDERC</t>
  </si>
  <si>
    <t>Capitation</t>
  </si>
  <si>
    <t>AmeriChoice</t>
  </si>
  <si>
    <t>NDB impacted via CC02.  NDB provided est in cc1 &amp; cc 5, but there is no NDB work as confirmed by project team</t>
  </si>
  <si>
    <t>Medica Electronic Payments &amp; Statements (EPS)</t>
  </si>
  <si>
    <t>EDI 278 X12 Notification Implementation Phase II</t>
  </si>
  <si>
    <t>NPI Services Compliance</t>
  </si>
  <si>
    <t>Hercules: UT Application Testing and Remediation</t>
  </si>
  <si>
    <t>Alistair Jacques</t>
  </si>
  <si>
    <t>Jay Anliker</t>
  </si>
  <si>
    <t>Enterprise SSN Controls</t>
  </si>
  <si>
    <t xml:space="preserve">   IRM </t>
  </si>
  <si>
    <t>Access Administration Centralization</t>
  </si>
  <si>
    <t>Judd Frahm</t>
  </si>
  <si>
    <t>Applications Impacted Unknown, B2B Provider Portal, NDB, UMVS IT Program Management, UMVS IT Provider Search</t>
  </si>
  <si>
    <t>BPID, BPM Development Group, Claims Highway, Claims QA, COSMOS, Enterprise Information Management, Enterprise Systems Planning Business Architecture, EPMO, GGMAP, ICUE Core, NDB, Network Technology &amp; Support, PDG, PHS - NICE, ppoONE, UMVS IT Program Manag</t>
  </si>
  <si>
    <t>BPID, BPM Development Group, Claims Highway, Claims QA, COSMOS, Enterprise Information Management, Enterprise Letter Generation System, Enterprise Systems Planning Business Architecture, EPMO, GGMAP, ICUE Core, iLEAD, NDB, Network Technology &amp; Support, PD</t>
  </si>
  <si>
    <t>Jason Greenberg</t>
  </si>
  <si>
    <t>UNO - NCST Cred Order Scrub - ETL</t>
  </si>
  <si>
    <t>Time-lined Procedure Code File</t>
  </si>
  <si>
    <t>ACIS Suite, AmeriChoice, Application Enablement, B2B Provider Portal, B2C Provider Portal, CareOne, CCS-CCF, CES, Consumer Database (CDB), COSMOS, Cross Application Testing, Data Management, Enterprise Architecture, ICUE Core, NDB, ORBIT - Operational Rep</t>
  </si>
  <si>
    <t>Application Enablement, CES, Computer Services, Consumer Database (CDB), Cross Application Testing, Foundation Frameworks, ICUE Core, NDB, Provider Network Analysis UAT &amp; Tools, TOPS</t>
  </si>
  <si>
    <t>Applications Impacted Unknown, Computer Services, Consumer Database (CDB), ICUE Core, NDB, Provider Network Analysis UAT &amp; Tools</t>
  </si>
  <si>
    <t>Application Infrastructure Services, B2B Provider Portal, B2C Provider Portal, CDD, CES, CFAS, COMCALC, CTS - Common Tables System, EBDS, FICS, FMR (Field Mgmt Reporting), Foundation Frameworks, FSDB - Financial Summary Database (5087), GEFT - Global Elec</t>
  </si>
  <si>
    <t>In estimating.  Per Amy Hinrichs, this change control was delivered in March '06.</t>
  </si>
  <si>
    <t>Ready to schedule.  NDB added via CC01.</t>
  </si>
  <si>
    <t>MAHP Funding Table Redesign</t>
  </si>
  <si>
    <t>RAPL/NOBLX claim processing improvement</t>
  </si>
  <si>
    <t>Enterprise Capitation - MAHP R1: NDB/ECap Enhance</t>
  </si>
  <si>
    <t>Definity Integration - Consumer Experience Rel 1</t>
  </si>
  <si>
    <t>P3 Options Analysis</t>
  </si>
  <si>
    <t>R3 release not needed</t>
  </si>
  <si>
    <t>Cancelled in Prompt. Business to open a new SPRF per Cathy Chen.  This will be done as a CE project</t>
  </si>
  <si>
    <t>MAHP - IDT Integration</t>
  </si>
  <si>
    <t>Green for first phase in March.  Subsequent phases have not been defined.</t>
  </si>
  <si>
    <t>CLIA Processing Cycle Time</t>
  </si>
  <si>
    <t>CE00030</t>
  </si>
  <si>
    <t>Gyan Dwibedy</t>
  </si>
  <si>
    <t>Arizona provider extract file</t>
  </si>
  <si>
    <t>Per Bob Lee, this SPRF has been completed.</t>
  </si>
  <si>
    <t>Fee Schedule Enhancements - Phase 2</t>
  </si>
  <si>
    <t>Lori McGhee</t>
  </si>
  <si>
    <t>2009 NDB UT Provider Pick Analysis Only</t>
  </si>
  <si>
    <t>NDM Process Improvement</t>
  </si>
  <si>
    <t>USEC not needed for this phase</t>
  </si>
  <si>
    <t>SP00001</t>
  </si>
  <si>
    <t>Clinical Self Service Release 3</t>
  </si>
  <si>
    <t>COSMOS, NDB, Provider Network Analysis UAT &amp; Tools</t>
  </si>
  <si>
    <t>Correct NDB feed to COSMOS</t>
  </si>
  <si>
    <t xml:space="preserve">James Congleton </t>
  </si>
  <si>
    <t>Shutdown NDB to Peradigm Feed</t>
  </si>
  <si>
    <t>Paula Engstrom</t>
  </si>
  <si>
    <t>iCES to UNET - Release 5.0</t>
  </si>
  <si>
    <t>HPHC2-Load Ancillary/Hosp/UB Billers via EPDL</t>
  </si>
  <si>
    <t>Project resources to end in Dec to align with application releases</t>
  </si>
  <si>
    <t>CES, Claim Systems, COMET, COMET Desktop, COMET Desktop.NET, EPD/NDB, IDT - Intelligent Desktop, NDB, TOPS, Tops Foundation View, Unet - Front End</t>
  </si>
  <si>
    <t>PTI - NDB to Cosmos mapping G to E</t>
  </si>
  <si>
    <t xml:space="preserve">HPHC Soft$ Anesth Calc Type Change from R to P </t>
  </si>
  <si>
    <t>Kelly Leonard</t>
  </si>
  <si>
    <t>NDC Pricing</t>
  </si>
  <si>
    <t>Non Par Pricing</t>
  </si>
  <si>
    <t>PacifiCare EPS - IT Optimization</t>
  </si>
  <si>
    <t>Global Ops – India Expansion, network reliability</t>
  </si>
  <si>
    <t xml:space="preserve">PTI by Contract Org UBH Pre-Implementation report </t>
  </si>
  <si>
    <t xml:space="preserve">PHS Iliad UB92 direct connection to Claim Pricing </t>
  </si>
  <si>
    <t>Ashu Sharma</t>
  </si>
  <si>
    <t>PLM CDB 2013 - AD</t>
  </si>
  <si>
    <t>Computer Services, Consumer Database (CDB), EPMO, IT Service Management, NDB</t>
  </si>
  <si>
    <t>EPMO, GGMAP, NDB, ppoONE, UFE</t>
  </si>
  <si>
    <t>Application Enablement, Claims Highway, Claims QA, Consumer Account Management System (CAMS), Consumer Database (CDB), eHealth Medical Claims Database, Enterprise Information Management, EPMO, Myuhc - Member Portal, NDB, OH Business Analysts, PRIME, TOPS</t>
  </si>
  <si>
    <t>Market Type Solution</t>
  </si>
  <si>
    <t>NEP</t>
  </si>
  <si>
    <t>PD Designation Display Change</t>
  </si>
  <si>
    <t>Carol Carlson</t>
  </si>
  <si>
    <t>Medica Funded</t>
  </si>
  <si>
    <t>Medica Exchange Analysis</t>
  </si>
  <si>
    <t>Application Enablement, bConnected - UHG IT, Claims QA, Computer Services, COSMOS, EDSS - Enterprise Data Storage System, Employer Portal, Enterprise Application Architecture, Enterprise Document Management System (EDMS), Enterprise Information Management</t>
  </si>
  <si>
    <t>Medica-UHS Funded</t>
  </si>
  <si>
    <t>NDB Fee Schedule ID Tactical Solution</t>
  </si>
  <si>
    <t>OON FACILITY PAYMENT METHODOLOGY</t>
  </si>
  <si>
    <t>400057748A</t>
  </si>
  <si>
    <t>400057023A</t>
  </si>
  <si>
    <t>400057661A</t>
  </si>
  <si>
    <t>400057751A</t>
  </si>
  <si>
    <t>400057746A</t>
  </si>
  <si>
    <t>2/1 Added line for EPDL for Tricare - will get split later</t>
  </si>
  <si>
    <t>2/1 Moved from June to Sept</t>
  </si>
  <si>
    <t>2/1/13 Increased estimate from 18.79 to 19.42 - DE CC 13 - increase of .63
8/3 Estimate includes BGE and CC 1</t>
  </si>
  <si>
    <t xml:space="preserve">2/1 Completed in prompt - cancelled for NDB - we did not do any work except estimating
10/26 Per Vicky moved to unscheduled until funding is secured
10/11/12 Project moved from Q213 to Q313.  </t>
  </si>
  <si>
    <t>Moved from June to Sept - testing to be done in August so moved to Sept date</t>
  </si>
  <si>
    <t>2/1 Moved from Q3 to Q1 14 - may need to adjust date once 2014 release calendar is created
CC 17</t>
  </si>
  <si>
    <t>2/1 Moved from Q3 to Q1 14 - may need to adjust date once 2014 
CC17</t>
  </si>
  <si>
    <t>UAT-7/17/13
INT-7/1/13</t>
  </si>
  <si>
    <t>UAT-8/17/13
INT-8/16/13</t>
  </si>
  <si>
    <t>ACIS Suite, Application Enablement, Claims QA, COMET Desktop.NET, Computer Services, Consumer Database (CDB), EDSS - Enterprise Data Storage System, Enterprise Letter Generation System, EPMO, GPT - Release Management, IDRS, IDT - Intelligent Desktop, Inte</t>
  </si>
  <si>
    <t xml:space="preserve">ACIS Suite, Application Enablement, B2B Provider Portal, B2C Provider Portal, CCS-CCF, Claims Highway, Claims QA, COMET Desktop.NET, Computer Services, Consumer Database (CDB), Contact Center Services, COSMOS, Cross Application Testing, EDSS - Enterprise </t>
  </si>
  <si>
    <t>myHCE Group Search</t>
  </si>
  <si>
    <t>Enterprise Systems Planning Business Architecture, NDB, OHCS - TCE</t>
  </si>
  <si>
    <t>Limited Rx Network ASO and FI</t>
  </si>
  <si>
    <t>Erin Beyer</t>
  </si>
  <si>
    <t>Kelley Nolan Maccione</t>
  </si>
  <si>
    <t>Computer Services, Enterprise Application Architecture, Enterprise Architecture Practices, Enterprise Information Management, Enterprise Systems Planning Business Architecture, EPMO, ESP Systems Planning and Alignment, NDB</t>
  </si>
  <si>
    <t>ACIS Suite, Application Enablement, B2B Provider Portal, B2C Provider Portal, Bank Information System (BIS), BASICS, BH-Linx, Claims Highway, Claims QA, Claims QA - EDI, Consumer Account Management System (CAMS), Consumer Database (CDB), COSMOS, Data Deli</t>
  </si>
  <si>
    <t>PCP Tiering - Open Access products</t>
  </si>
  <si>
    <t>Anthony Kattukaran</t>
  </si>
  <si>
    <t>Application Enablement, B2B Provider Portal, B2C Provider Portal, Claims Highway, Claims QA, Claims QA - EDI, Computer Services, Consumer Database (CDB), Coordinated Care Management, COSMOS, Enterprise Application Architecture, Enterprise Information Mana</t>
  </si>
  <si>
    <t xml:space="preserve">ACIS Suite, Application Enablement, Bank Information System (BIS), Business Intent Certification Tool (BIC), CASP Webstrat-QCA, CISS - TOPS Case Installation, Claim Work DIstribution (CWD), Claims QA, Computer Services, Consumer Account Management System </t>
  </si>
  <si>
    <t>Application Enablement, B2B Provider Portal, B2C Provider Portal, CareOne, Claims QA, Claims QA - EDI, Consumer Database (CDB), COSMOS, Enterprise Information Management, EPMO, ICUE Core, Ingenix EDI Solutions, NDB, ORBIT - Operational Reporting, PHS - ED</t>
  </si>
  <si>
    <t>ACIS Suite, Application Enablement, B2B Provider Portal, BASICS, CIX (Customer Installation Express), Claim Work DIstribution (CWD), Claims Highway, Claims QA, Claims QA - EDI, Claims QA Oxford, COMET Desktop.NET, Computer Services, Consumer Database (CDB</t>
  </si>
  <si>
    <t>Vision Administration System - Mobilization</t>
  </si>
  <si>
    <t xml:space="preserve">ACIS Suite, Application Enablement, Atlas, Automated Underwriting, B2B Provider Portal, B2C Provider Portal, Bank Information System (BIS), BASICS, CDD, CIX (Customer Installation Express), Claim Work DIstribution (CWD), Claims Highway, Claims QA, Claims </t>
  </si>
  <si>
    <t>AZ Acute Care/CRS - IT Demo Only</t>
  </si>
  <si>
    <t>Application Enablement, B2C Provider Portal, Claims QA, Enterprise Information Management, EPMO, Facets Alpha, FSDB - Financial Summary Database (5087), FTS Financial Tagging Service, NDB, Oracle Universal Content Management (UCM), UHC C and S Business Re</t>
  </si>
  <si>
    <t>KS Front End Billing</t>
  </si>
  <si>
    <t>ED - Adjudipro Analysis &amp; Development</t>
  </si>
  <si>
    <t>BH-Data Warehouses, BH-Elig/Benefits, BH-Facets - UBH, BH-Linx, BH-Liveandworkwell.com, BH-ubhonline.com, Claims QA, Claims QA OHBS, COMET Desktop.NET, COSMOS, EPMO, NDB, OptumHealth Segment Architecture, TOPS</t>
  </si>
  <si>
    <t>Enhance OHBS Facets EPDL Feed to NDB</t>
  </si>
  <si>
    <t>04-71096-000</t>
  </si>
  <si>
    <t>10-00000-477</t>
  </si>
  <si>
    <t>10-00000-479</t>
  </si>
  <si>
    <t>10-00000-331</t>
  </si>
  <si>
    <t>11-28970-000</t>
  </si>
  <si>
    <t>05-71140-000</t>
  </si>
  <si>
    <t>400055999A</t>
  </si>
  <si>
    <t>400055879A</t>
  </si>
  <si>
    <t>400055895A</t>
  </si>
  <si>
    <t>400056297A</t>
  </si>
  <si>
    <t>400056873A</t>
  </si>
  <si>
    <t>400056886A</t>
  </si>
  <si>
    <t>400057022A</t>
  </si>
  <si>
    <t>400057085A</t>
  </si>
  <si>
    <t>400057123A</t>
  </si>
  <si>
    <t>400053933A</t>
  </si>
  <si>
    <t>400056052A</t>
  </si>
  <si>
    <t>Fri, 10/26</t>
  </si>
  <si>
    <t>Deb Keith/Dhana</t>
  </si>
  <si>
    <t xml:space="preserve">Deb Keith/ Dhana
</t>
  </si>
  <si>
    <t>NDB-EA Enhance Optum CCS to NDB provider search</t>
  </si>
  <si>
    <t xml:space="preserve"> ITI Oneshot for LaborCare and MedNet Contracts</t>
  </si>
  <si>
    <t>CSS Phase 2 Release 1</t>
  </si>
  <si>
    <t>Bob Shandley</t>
  </si>
  <si>
    <t>Work done under another sprf</t>
  </si>
  <si>
    <t>NDB, PHS - QicLink/ClaimExchange</t>
  </si>
  <si>
    <t>To be cancelled per Terri Hiller on 8/8/08</t>
  </si>
  <si>
    <t>Track whether or not Business Requirements change control submitted on Gatekeeper and Provider Council tab.</t>
  </si>
  <si>
    <t>Giulia Pogers</t>
  </si>
  <si>
    <t>B2C Provider Portal, NDB, ORS</t>
  </si>
  <si>
    <t>Mary Sue Stoy</t>
  </si>
  <si>
    <t>HPHC2-Reimburse IVF Services Under Multi Fee Sched</t>
  </si>
  <si>
    <t>COSMOS, EPD/NDB, ISEC (Internet Security Database), Myuhc - Member Portal, Portal Reporting</t>
  </si>
  <si>
    <t>Richard Lahrman</t>
  </si>
  <si>
    <t>Data Management, NDB, ORBIT - Operational Reporting, Systems Integration, UHN Reporting Database</t>
  </si>
  <si>
    <t>Ovations has come to the table for a partial deliverable for December.</t>
  </si>
  <si>
    <t>Corporate</t>
  </si>
  <si>
    <t>PHS - Front Office Integration - Data Intake</t>
  </si>
  <si>
    <t>Electronic EOBs on LAWW</t>
  </si>
  <si>
    <t>Liberty Fiala</t>
  </si>
  <si>
    <t>UHG IT Knowledge Management Pilot Program</t>
  </si>
  <si>
    <t>PDR - Manual Provider Pick on Claims Highway</t>
  </si>
  <si>
    <t>Milla Hautman</t>
  </si>
  <si>
    <t>No defined requirements.  Needs to be delayed until after Dec when Corntract Desigination is deployed.  Move to January.  Per Jay King - move from Jan to March.  Additional requirements being added</t>
  </si>
  <si>
    <t>replaced with 4-17091</t>
  </si>
  <si>
    <t>Analysis only.  Minimal impact on Provider Systems.</t>
  </si>
  <si>
    <t>None</t>
  </si>
  <si>
    <t>EPD/NDB, Railroad, TOPS, Tops Foundation View, UCAS - Unet Claim Accounting Sys (multiple apps), Unet Batch</t>
  </si>
  <si>
    <t>HPHC -- DDS Reference Files</t>
  </si>
  <si>
    <t>Data Management, NDB, TOPS</t>
  </si>
  <si>
    <t>CORP1-NDB-EA Security P1:Contract Designation Key</t>
  </si>
  <si>
    <t>Cancelled in PROMPT (4/6/09)</t>
  </si>
  <si>
    <t>Application Infrastructure Services, B2C Provider Portal, BSG, Electronic Eligibility Management System (EEMS), Foundation Frameworks, NDB, Systems Integration</t>
  </si>
  <si>
    <t>Thomas Sinkewicz/Oscar Vance</t>
  </si>
  <si>
    <t>Integration-PHS</t>
  </si>
  <si>
    <t>Make changes to Gatekeeper tab for NDB</t>
  </si>
  <si>
    <t>CORP1-architecture-Partner Profile</t>
  </si>
  <si>
    <t>Auerbach</t>
  </si>
  <si>
    <t xml:space="preserve">myuhc/Medica Single Consumer Portal </t>
  </si>
  <si>
    <t>Emptoris Support</t>
  </si>
  <si>
    <t>Payto Individual (PTI) Cleanup Reports</t>
  </si>
  <si>
    <t>Fee Schedule Site of Service</t>
  </si>
  <si>
    <t>UHC Online Kick out reports</t>
  </si>
  <si>
    <t>Sally Verilli</t>
  </si>
  <si>
    <t>EPMO, NDB, Provider Network Analysis UAT &amp; Tools</t>
  </si>
  <si>
    <t>Brokertape for Ovations AdminPlatform</t>
  </si>
  <si>
    <t>tech only &amp; testing support; cc needed for one-shot.  Burn exceeds total estimate - approved and unapproved</t>
  </si>
  <si>
    <t>Centers of Excellence Generation 1 (2004)</t>
  </si>
  <si>
    <t>B2B Provider Portal, Card Integration Platform (CIP), Definity Health App Suite, Definity Health PM, EFS Product Implementation &amp; Integration, Enterprise Application Architecture, EPMO, GFLX, IDT - Intelligent Desktop, Myuhc - Member Portal, NDB, ORS, OTS</t>
  </si>
  <si>
    <t>EFS/CS IT PM, EPMO, NDB, Summary Check, TOPS, UFE, Unet Batch</t>
  </si>
  <si>
    <t>Specialized Care Services</t>
  </si>
  <si>
    <t>ACIS Suite, Application Enablement, B2B Provider Portal, B2C Provider Portal, CareOne, Claims QA, Consumer Database (CDB), COSMOS, Enterprise Application Architecture, Enterprise Information Management, EPMO, ICUE Core, MAPS, NDB, PDG, UFE</t>
  </si>
  <si>
    <t>UHCOnline Updates for PASSPORT</t>
  </si>
  <si>
    <t>Linda Crandall</t>
  </si>
  <si>
    <t>Data Management, Enterprise Architecture, NDB, ORBIT - Operational Reporting</t>
  </si>
  <si>
    <t>Regis O'Neill</t>
  </si>
  <si>
    <t>Provider Extract-Evercare fields</t>
  </si>
  <si>
    <t>David Andre</t>
  </si>
  <si>
    <t>lower copay for convenience care clinics</t>
  </si>
  <si>
    <t>Empire Plan-System Enhancement for Consultations</t>
  </si>
  <si>
    <t>CE00009</t>
  </si>
  <si>
    <t>PTE NDB Table One Org Type Per Specialty</t>
  </si>
  <si>
    <t>Joe Hafermann</t>
  </si>
  <si>
    <t>COSMOS, Galaxy, NDB</t>
  </si>
  <si>
    <t>RSA AIliad/CPS Provider Conversion for Directories</t>
  </si>
  <si>
    <t>OHBS Linx non-par MPIN for UNET Empire auths</t>
  </si>
  <si>
    <t>Need to work with business on solution.  Asking for SPRF to be cancelled</t>
  </si>
  <si>
    <t>ACIS Suite, CES, IDT - Intelligent Desktop, NDB, PRIME, Systems Integration, TOPS</t>
  </si>
  <si>
    <t>NDB unimpacted in Prompt</t>
  </si>
  <si>
    <t>Medica Specific Grouper Table</t>
  </si>
  <si>
    <t>Establish Centralized Automated Regressions</t>
  </si>
  <si>
    <t>Shared Savings</t>
  </si>
  <si>
    <t>2013 CPT Code Changes</t>
  </si>
  <si>
    <t>Shanna Loewen</t>
  </si>
  <si>
    <t>Kent Monical</t>
  </si>
  <si>
    <t>Claims QA, COSMOS, EPMO, NDB, Prescription Solutions, UHC C and S Business Requirements, UHC C and S Diamond-Diamond Interfaces</t>
  </si>
  <si>
    <t>Claims QA, COSMOS, EPMO, NDB, UHC C and S Business Requirements</t>
  </si>
  <si>
    <t>UMR EPS Reroute Corrected Claims 2259</t>
  </si>
  <si>
    <t>Rob Wulf</t>
  </si>
  <si>
    <t>Q3 2013 eSync Supplemental Features</t>
  </si>
  <si>
    <t>BH-Facets - UBH, Claims QA, Claims QA OHBS, COSMOS, EPMO, Facets Alpha, NDB, OptumHealth Segment Architecture, UHC C and S Business Requirements</t>
  </si>
  <si>
    <t xml:space="preserve">2013 Transparency: OHBS Members CS-UHC Consumer </t>
  </si>
  <si>
    <t>Jann Dodd and Deb Adler</t>
  </si>
  <si>
    <t>Out of Network Facility Payment Methodology</t>
  </si>
  <si>
    <t>05-71144-000</t>
  </si>
  <si>
    <t>400056838A</t>
  </si>
  <si>
    <t>400053961A</t>
  </si>
  <si>
    <t>400052635A</t>
  </si>
  <si>
    <t>400056628A</t>
  </si>
  <si>
    <t>400054916A</t>
  </si>
  <si>
    <t>400057349A</t>
  </si>
  <si>
    <t>BH-Linx, BH-Mgmt and Planning, CES, Claims Highway, Consumer Database (CDB), Cross Application Testing, EDSS - Enterprise Data Storage System, Health Statement Engine, NDB, Network Technology &amp; Support, Payment Engine, Summary Check, Testing Environment a</t>
  </si>
  <si>
    <t>BSG, CES, Consumer Database (CDB), EDSS - Enterprise Data Storage System, EPMO, FSDB - Financial Summary Database (5087), IDT - Intelligent Desktop, NDB, PHS - ILIAD, PHS - NICE, PHS - QicLink/ClaimExchange, RPS - Reserve Production System (5611), UFE</t>
  </si>
  <si>
    <t>B2B Provider Portal, BH-EDI/Data Extracts, BH-Facets - UBH, BH-Mgmt and Planning, Consumer Database (CDB), EDSS - Enterprise Data Storage System, EPMO, HIPAA, Ingenix EDI Solutions, NDB, OptumHealth Behavioral Solutions, OptumHealth Financial Services Arc</t>
  </si>
  <si>
    <t>Consumer Database (CDB), Data Management, EDSS - Enterprise Data Storage System, Enterprise Architecture, EPMO, FSDB - Financial Summary Database (5087), NDB, Peoplesoft-GL, RPS - Reserve Production System (5611), Treasury-Check Data System, UFE, UnitedHe</t>
  </si>
  <si>
    <t>Consumer Database (CDB), Cross Application Testing, Data Management, EDSS - Enterprise Data Storage System, Enterprise Content Management and Architecture, EPMO, FSDB - Financial Summary Database (5087), HIPAA, Integrated Service Experience Tool ISET, NDB</t>
  </si>
  <si>
    <t>Cross Application Testing, EDSS - Enterprise Data Storage System, NDB, Summary Check, Systems Integration, Testing Environment and Integration, TOPS, UFE</t>
  </si>
  <si>
    <t>B2B Provider Portal, B2C Provider Portal, CES, COSMOS, Cross Application Testing, Data Management, EA Data Architecture, EDSS - Enterprise Data Storage System, EDSS (COLD), EPMO, Foundation Frameworks, IDT - Intelligent Desktop, NDB, ORS, Systems Integrat</t>
  </si>
  <si>
    <t>EPDL Cigna Behavoir Health</t>
  </si>
  <si>
    <t>CDB Initiate POC for Provider &amp; Employer Data</t>
  </si>
  <si>
    <t>Create COSMOS Batch for NDB in A, B, C, &amp; Master</t>
  </si>
  <si>
    <t>JADs postponed from August to Sept.  Project marked cancelled in Prompt.  Time should be charged to underlying A&amp;D projects</t>
  </si>
  <si>
    <t>Empire Plan - Add NPI on to OOC Extract</t>
  </si>
  <si>
    <t>Tenet - PTI by Contract Organization Report</t>
  </si>
  <si>
    <t>IDT UNP02 Testing for UHPD program-NDB</t>
  </si>
  <si>
    <t>Integration - Sierra</t>
  </si>
  <si>
    <t>VERONICA BELL</t>
  </si>
  <si>
    <t>OI00208</t>
  </si>
  <si>
    <t>OI00174</t>
  </si>
  <si>
    <t>OI00199</t>
  </si>
  <si>
    <t>OI00192</t>
  </si>
  <si>
    <t>OI00186</t>
  </si>
  <si>
    <t>OI00208R1</t>
  </si>
  <si>
    <t>OI00174R2</t>
  </si>
  <si>
    <t>OI00199R1</t>
  </si>
  <si>
    <t>OI00192R1</t>
  </si>
  <si>
    <t>OI00186R1</t>
  </si>
  <si>
    <t>EPDL Corp TIN Owner Change</t>
  </si>
  <si>
    <t>Deactive/JCode NDC Pricing</t>
  </si>
  <si>
    <t xml:space="preserve">MPQ Pend 52 Claim Role </t>
  </si>
  <si>
    <t xml:space="preserve">NDB MNSPS Separate Jobs </t>
  </si>
  <si>
    <t>MPQ Re-price Items Feed as Priority 1</t>
  </si>
  <si>
    <t>Fee Schedule Extraction for North &amp; South Carolina</t>
  </si>
  <si>
    <t>LD Approved status</t>
  </si>
  <si>
    <t>Pacificare QicLink UB ppoONE repricing</t>
  </si>
  <si>
    <t>PlanView 10 UHG IT Requirements</t>
  </si>
  <si>
    <t>United Hygeia HCFA Claims Repricing Project</t>
  </si>
  <si>
    <t>United Hygeia UB Claims Repricing Project</t>
  </si>
  <si>
    <t>CE Data Quality Track - Assessment Activities</t>
  </si>
  <si>
    <t>NDB not impacted</t>
  </si>
  <si>
    <t>Kathy Orner</t>
  </si>
  <si>
    <t>PRIME 21 - Consumer Driven Healthcare Products</t>
  </si>
  <si>
    <t>CSS-B2C 2009A Release</t>
  </si>
  <si>
    <t>HPHC JV: Migration to New Member Portal</t>
  </si>
  <si>
    <t>replaced with 4-20867</t>
  </si>
  <si>
    <t>ACIS Suite, Application Enablement, CES, Computer Services, ECap, Enterprise Architecture, NDB, PRIME, Provider Network Analysis UAT &amp; Tools, Reimbursement Technology, UHCTS-MAHP(Mid Atlantic), United Platform Systems Analysis and Architecture</t>
  </si>
  <si>
    <t>ACIS Suite, Application Enablement, B2C Provider Portal, CES, Consumer Database (CDB), Contact Center Services, ECap, ELO Enterprise Letter Operations, Enterprise Letter Generation System, FSDB - Financial Summary Database (5087), FTS Financial Tagging Se</t>
  </si>
  <si>
    <t>ACIS Suite, CES, ECap, Enterprise Application Architecture, Enterprise Content Management and Architecture, FSDB - Financial Summary Database (5087), FTS Financial Tagging Service, NDB, ORBIT - Operational Reporting, PHS - Bottom Line, PHS - IFS (Integrat</t>
  </si>
  <si>
    <t xml:space="preserve">Data Management, EA Data Architecture, ECap, Enterprise Architecture, Enterprise Testing, Foundation Frameworks, Knowledge library, NDB, ORBIT - Operational Reporting, PacifiCare Development, Paris, United Platform Systems Analysis and Architecture, USEC </t>
  </si>
  <si>
    <t>Computer Services, Consumer Database (CDB), EPMO, NDB, Provider Network Analysis UAT &amp; Tools</t>
  </si>
  <si>
    <t>UVP Provider Experience Redesign - Development</t>
  </si>
  <si>
    <t>MAMSI EPDL Data Load</t>
  </si>
  <si>
    <t>Add APC Information to Portal Claim Status Display</t>
  </si>
  <si>
    <t>USEC not needed for this deliverable</t>
  </si>
  <si>
    <t>Need to finalize resources participating in knowledge transfer and timeframe.</t>
  </si>
  <si>
    <t>KELLY Valentine</t>
  </si>
  <si>
    <t>TBDOB08</t>
  </si>
  <si>
    <t>UP Generic Conv Tools - CES/UPCT Eligibility</t>
  </si>
  <si>
    <t>Jo Anne Anderson</t>
  </si>
  <si>
    <t>marked completed in Prompt.  Never scheduled for NDB</t>
  </si>
  <si>
    <t>NDB no longer impacted in Prompt</t>
  </si>
  <si>
    <t>ANGELA VALLIER</t>
  </si>
  <si>
    <t>MAHP OneNet Y Contract Master for L pay method</t>
  </si>
  <si>
    <t>NDC Remediation - Package Size Enhancement</t>
  </si>
  <si>
    <t>MAHP LIVE Decommission</t>
  </si>
  <si>
    <t>Kevin Cogle</t>
  </si>
  <si>
    <t>OneNet Migration NDB Y-Line Enhancement</t>
  </si>
  <si>
    <t>HIPAA 5010-UHC-UHC Duhaime Trading Partner Testing</t>
  </si>
  <si>
    <t>Lori Bravacco</t>
  </si>
  <si>
    <t>Bob Ashnault</t>
  </si>
  <si>
    <t>RM   Dulce Mariano</t>
  </si>
  <si>
    <t>12/17/2012, 12/21 and 12/31</t>
  </si>
  <si>
    <t>CMS Mandated Part C EOB Transformation</t>
  </si>
  <si>
    <t>Application Enablement, CCS-CCF, CES, Claims QA, Consumer Database (CDB), COSMOS, Enterprise Application Architecture, Enterprise Information Management, Enterprise Letter Generation System, Enterprise Systems Planning Business Architecture, EPMO, ICUE Co</t>
  </si>
  <si>
    <t>AmeriChoice, Application Enablement, Applications and Acquisitions (AAA), B2B Provider Portal, B2C Provider Portal, CareOne, Consumer Database (CDB), COSMOS, Enterprise Architecture, Facets Alpha, IBAAG - IT (System Changes), ICUE Core, NDB</t>
  </si>
  <si>
    <t>Application Enablement, Applications and Acquisitions (AAA), CareOne, CCS-CCF, Consumer Database (CDB), Cross Application Testing, ELO Enterprise Letter Operations, Enterprise Architecture, Enterprise Letter Generation System, ICUE Core, NDB, PHS - Stelle</t>
  </si>
  <si>
    <t>Negative Payee Phase III COSMOS</t>
  </si>
  <si>
    <t>Mark Johnson</t>
  </si>
  <si>
    <t>WOQ NDB One Shot to update LOS Contract Clauses</t>
  </si>
  <si>
    <t xml:space="preserve">Nebraska Medicaid ID Storage </t>
  </si>
  <si>
    <t>AZ LTC Phase IV - ASC Claims</t>
  </si>
  <si>
    <t>Karen Saelens</t>
  </si>
  <si>
    <t>NDB Provider Pick Enh/Cosmos Pick Shutdown (NCD)</t>
  </si>
  <si>
    <t>eFullfillment of Group Retiree Materials</t>
  </si>
  <si>
    <t>Matthew Lilleboe</t>
  </si>
  <si>
    <t>10-00000-304</t>
  </si>
  <si>
    <t>400056056A</t>
  </si>
  <si>
    <t>400055843A</t>
  </si>
  <si>
    <t>Donna Salt
Mary Corcoran</t>
  </si>
  <si>
    <t>EPMO, ICUE Core, NDB</t>
  </si>
  <si>
    <t>OI00176R1</t>
  </si>
  <si>
    <t>Auto Link P Types to PTI MPIN</t>
  </si>
  <si>
    <t>Analysis Only: UBH Providers/Programs in CareOne</t>
  </si>
  <si>
    <t>R8</t>
  </si>
  <si>
    <t>Implement EPDE feed to ElDorado including NPI Data</t>
  </si>
  <si>
    <t>RSA - Provider Search- Telesales Requirements</t>
  </si>
  <si>
    <t>RxSOL Prior Auth Web Front-end 2010 Enhancements</t>
  </si>
  <si>
    <t>CDB Online:  Security Enhancements</t>
  </si>
  <si>
    <t>ACN G-Record Transition Initiative</t>
  </si>
  <si>
    <t>Application Enablement, BPM CoE, BPM_PEGA, Claims QA, Consumer Database (CDB), COSMOS, EDSS - Enterprise Data Storage System, Enterprise Application Architecture, Enterprise Architecture Practices, Enterprise Letter Generation System, Enterprise Systems P</t>
  </si>
  <si>
    <t>Applications and Acquisitions (AAA), B2B Provider Portal, CareOne, CCS-CCF, CES, Consumer Database (CDB), Cross Application Testing, Data Delivery System (DDS), Data Management, EDSS - Enterprise Data Storage System, ELO Enterprise Letter Operations, Ente</t>
  </si>
  <si>
    <t>Application Enablement, B2B Provider Portal, B2C Provider Portal, Claims Highway, COSMOS, CPW, Cross Application Testing, Data Delivery System (DDS), EDSS - Enterprise Data Storage System, Enterprise Information Management, Enterprise Letter Generation Sy</t>
  </si>
  <si>
    <t xml:space="preserve">Application Enablement, Applications Impacted Unknown, B2B Provider Portal, B2C Provider Portal, CareOne, Consumer Database (CDB), COSMOS, CPW, EA Data Architecture, EDSS - Enterprise Data Storage System, Employer Portal, Emptoris, Enterprise Application </t>
  </si>
  <si>
    <t>Application Enablement, B2C Provider Portal, CFAS, Commercial Payment System (EPS), Contact Center Services, COSMOS, CPW, Cross Application Testing, Data Management, EDSS - Enterprise Data Storage System, Enterprise Architecture, EPMO, FSDB - Financial Su</t>
  </si>
  <si>
    <t>Claims QA, COSMOS, Cross Application Testing, EDSS - Enterprise Data Storage System, EPMO, NDB</t>
  </si>
  <si>
    <t>Application Enablement, B2B Provider Portal, B2C Provider Portal, Claims Highway, Computer Services, Consumer Database (CDB), COSMOS, Cross Application Testing, EDSS - Enterprise Data Storage System, EPMO, FSDB - Financial Summary Database (5087), FTS Fin</t>
  </si>
  <si>
    <t>Application Enablement, B2B Provider Portal, B2C Provider Portal, BPID, Capitation - Business Analysis, CareOne, CERTS, Claims Highway, Claims QA, CMS Dev, Consumer Database (CDB), COSMOS, Cross Application Testing, ECap, EDSS - Enterprise Data Storage Sy</t>
  </si>
  <si>
    <t>B2B Provider Portal, B2C Provider Portal, COSMOS, Cross Application Testing, EDSS - Enterprise Data Storage System, Enterprise Systems Planning Business Architecture, GPS, GPT Project Management Services, IDT - Intelligent Desktop, iLEAD, Integrated Servi</t>
  </si>
  <si>
    <t>Adjudipro, AmeriChoice, Application Enablement, ATG Automated Transaction Generator, B2B Provider Portal, B2C Provider Portal, Computer Services, Contact Center Services, COSMOS, CPW, Cross Application Testing, Data Management, EDSS - Enterprise Data Stor</t>
  </si>
  <si>
    <t>Claims QA, Claims QA - EDI, EDSS - Enterprise Data Storage System, iCES Clearinghouse, NDB, Testing Environment and Integration, TOPS, UFE</t>
  </si>
  <si>
    <t>CES, Consumer Database (CDB), Cross Application Testing, EDSS - Enterprise Data Storage System, Enterprise Letter Generation System, NDB, Payment Engine, Summary Check, Testing Environment and Integration, TOPS</t>
  </si>
  <si>
    <t>ACIS Suite, AE Mainframe Services, Application Enablement, Application Infrastructure Services, Atlas, Automated Underwriting, B2B Provider Portal, B2C Provider Portal, BASICS, Card Integration Platform (CIP), CDD, CES, CFAS, CMA (Content Management Appli</t>
  </si>
  <si>
    <t>Move to Aug w/4-12695.  Effort will not exceed 150hrs/1pm if done together</t>
  </si>
  <si>
    <t>Tracy Berg</t>
  </si>
  <si>
    <t>Control Review Program</t>
  </si>
  <si>
    <t>Place Of Service 20 UNET</t>
  </si>
  <si>
    <t>Laura Gilchrist</t>
  </si>
  <si>
    <t>HPHC Modifier Exception Table Updates eff 04012009</t>
  </si>
  <si>
    <t>MAMSI Referral Integration</t>
  </si>
  <si>
    <t>Project Short Name</t>
  </si>
  <si>
    <t>Enterprise Solutions, NDB, PHS - Bottom Line, PHS - EDI, PHS - QicLink/ClaimExchange, UFE</t>
  </si>
  <si>
    <t>Conversion to Diamond Analysis</t>
  </si>
  <si>
    <t>CSS-B2C 2010B RELEASE- MIGRATIONS FUNDING</t>
  </si>
  <si>
    <t>NDB may not be impacted if requirement for Enterprise Testing has been dropped.</t>
  </si>
  <si>
    <t>UHPD Portal Consolidation</t>
  </si>
  <si>
    <t>Medica Commercial Partner Certification Wave 2</t>
  </si>
  <si>
    <t>replaces with 4-11083</t>
  </si>
  <si>
    <t>Adjudipro, B2B Provider Portal, B2C Provider Portal, CDD, CFAS, COSMOS, CPW, Data Management, Galaxy, LETGEN, NDB, Program Definition Intake Team, QStar, UFE</t>
  </si>
  <si>
    <t>IDT - Intelligent Desktop, NDB, TOPS, UHC ITS Resource, United Platform Systems Analysis and Architecture</t>
  </si>
  <si>
    <t>HPHC JV 2007 COC/Products - Implement on ACIS/UNET</t>
  </si>
  <si>
    <t>Application Infrastructure Services, CDD, CES, COSMOS, NDB, Paris, PeopleSoft BI/AR, PMG (Program Management Group), TOPS, UCAS - Unet Claim Accounting Sys (multiple apps), Unet Batch</t>
  </si>
  <si>
    <t>Data Management, ISEC (Internet Security Database), Myuhc - Member Portal, USEC - Universal Security Systems</t>
  </si>
  <si>
    <t>Chicago Public Schools Encompass Integration</t>
  </si>
  <si>
    <t>Joe Chalastra</t>
  </si>
  <si>
    <t>SARNA PENDERGRASS</t>
  </si>
  <si>
    <t>ACIS Suite, Application Enablement, Automated Underwriting, B2B Provider Portal, B2C Provider Portal, BASICS, Card Integration Platform (CIP), CDD, CES, CMA (Content Management Application), COMET Desktop, COMET Desktop.NET, Commercial Payment System (EPS</t>
  </si>
  <si>
    <t>CMS DRG</t>
  </si>
  <si>
    <t>Display of UBH PTI indicator</t>
  </si>
  <si>
    <t>Thomas D. Policelli</t>
  </si>
  <si>
    <t>URN On-Boarding to Emptoris Contracting Solution</t>
  </si>
  <si>
    <t>ACIS Suite, BASICS, CDD, CES, Commercial Payment System (EPS), Data Management, Definity Health PM, Employer Portal, Enterprise Application Architecture, Enterprise Application Security, eServices Billing, Foundation Frameworks, FSDB - Financial Summary D</t>
  </si>
  <si>
    <t>Robert Holman</t>
  </si>
  <si>
    <t xml:space="preserve">Employer Dashboard </t>
  </si>
  <si>
    <t>T. Rainey
J. Childers</t>
  </si>
  <si>
    <t>Not A/O Business Approved</t>
  </si>
  <si>
    <t>9/17 &amp; 9/24</t>
  </si>
  <si>
    <t>NDB added via change control.  NDB completed this work under the one-shot queue replacing 4-5444</t>
  </si>
  <si>
    <t>OI00109</t>
  </si>
  <si>
    <t>CES, Consumer Database (CDB), Integrated Service Experience Tool ISET, NDB</t>
  </si>
  <si>
    <t>UHCOnline Request for Reconsideration Enhancements</t>
  </si>
  <si>
    <t>4-10173 is not scheduled in TOPS.  Scope for June will be changed to exclude TOPS.</t>
  </si>
  <si>
    <t>Analysis to reject HIPAA transactions</t>
  </si>
  <si>
    <t>OI00158R1</t>
  </si>
  <si>
    <t>OI00160R1</t>
  </si>
  <si>
    <t xml:space="preserve">NDB Specialty Search R1  </t>
  </si>
  <si>
    <t xml:space="preserve">NDB Specialty Search R2  </t>
  </si>
  <si>
    <t>OI00143</t>
  </si>
  <si>
    <t xml:space="preserve">CAPI </t>
  </si>
  <si>
    <t>Application Enablement, B2B Provider Portal, B2C Provider Portal, CareOne, Claims QA, Claims QA - EDI, Consumer Database (CDB), COSMOS, EPMO, ICUE Core, NDB, UHC C and S BI (Business Intelligence), UHC C and S Business Requirements</t>
  </si>
  <si>
    <t>1/22/13 (per report)</t>
  </si>
  <si>
    <t>3/4-4/2/2013</t>
  </si>
  <si>
    <t>3 - Green</t>
  </si>
  <si>
    <t>GLEN KVADUS</t>
  </si>
  <si>
    <t>Migrate Empire TFN to UVP from Unified App</t>
  </si>
  <si>
    <t>Not funded in 2008.  Partial funding restored.  Looking to reschedule (1/23/08)</t>
  </si>
  <si>
    <t>TBDOB25</t>
  </si>
  <si>
    <t>TBDOB26</t>
  </si>
  <si>
    <t>TBDPHS01</t>
  </si>
  <si>
    <t>TBDPHS02</t>
  </si>
  <si>
    <t>Removal of ID # and Policy # from Personalized Dir</t>
  </si>
  <si>
    <t>CIN</t>
  </si>
  <si>
    <t xml:space="preserve">AmeriChoice-Expand EPDE Data Elements </t>
  </si>
  <si>
    <t>End to End Physician Contracting</t>
  </si>
  <si>
    <t>PDI - AmeriChoice EPDL provider load</t>
  </si>
  <si>
    <t>Medical Necessity</t>
  </si>
  <si>
    <t>Limitation of Reimbursement for OutPatient Lab Svc</t>
  </si>
  <si>
    <t>GHMO B2B/B2C Authorization Intake</t>
  </si>
  <si>
    <t>Sarbanes-Oxley - 2005 Compliance Activity</t>
  </si>
  <si>
    <t>Code One Online and Batch Enhancement Project</t>
  </si>
  <si>
    <t>In Prompt per Jill Berg</t>
  </si>
  <si>
    <t xml:space="preserve">COSMOS Port - Unisys to IBM - May 2008  </t>
  </si>
  <si>
    <t>CHRISTINE VU</t>
  </si>
  <si>
    <t>Per Prompt, completed.  Project over budget from prior phases.  Need to determine funding</t>
  </si>
  <si>
    <t>Application Enablement, Computer Services, Consumer Database (CDB), Enterprise Architecture, Foundation Frameworks, Security Access Tracking System, USEC - Universal Security Systems</t>
  </si>
  <si>
    <t>Modifier Exception Table Edit Removal</t>
  </si>
  <si>
    <t>EPD/NDB, PMW ( Provide Mgmt Workstation)</t>
  </si>
  <si>
    <t>Medicare ID project for Ovations</t>
  </si>
  <si>
    <t>Univ of MO-Group Specific Prov Network-Myuhc.com</t>
  </si>
  <si>
    <t>PHS ILIAD -UPCT Cust-Elig</t>
  </si>
  <si>
    <t>Centralized Content Management, EPD/NDB</t>
  </si>
  <si>
    <t>COSMOS, Data Management, Enterprise Architecture, NDB, ppoONE</t>
  </si>
  <si>
    <t>Daniel Gauthier</t>
  </si>
  <si>
    <t>CICS 2.3 Upgrade</t>
  </si>
  <si>
    <t>In Estimating</t>
  </si>
  <si>
    <t>Dr. Lewis Sandy</t>
  </si>
  <si>
    <t>Extending/Modifying TOPS TIN Suffix</t>
  </si>
  <si>
    <t>Peer Bridger and Case Management Codes</t>
  </si>
  <si>
    <t>11-62300-000</t>
  </si>
  <si>
    <t>400055699A</t>
  </si>
  <si>
    <t xml:space="preserve">11/19 Cancelede - Proj no longer in Prompt </t>
  </si>
  <si>
    <t>11/19 Cancelled proj no longer in Prompt</t>
  </si>
  <si>
    <t>11/19 Sked in Prompt with  NDB/USEC unimpacted</t>
  </si>
  <si>
    <t>11/19 Ret to Requestor status</t>
  </si>
  <si>
    <t>11/19 Still in Funding status</t>
  </si>
  <si>
    <t>11/19 Compl 9/5/12 with NDB/USEC unimpacted</t>
  </si>
  <si>
    <t>11/19 Scheduled with NDB/USEC unimpacted</t>
  </si>
  <si>
    <t>11/19 In Estimating 10/16/12</t>
  </si>
  <si>
    <t>11/5 Per Don S "Pick was approved for 100 hours only so the project requestor could develop an implementation plan should the A/O effort be approved.  As yet, no formal approval for IT to begin work."
11/5 MM sent f/up for update status
Sked - not approved as of 10/31 - Don Stout</t>
  </si>
  <si>
    <t>11/19 11/5 Per call w/Padma waiting on NDB T/O est but some confusion as only NDB impacted so if we're T/O who will be doing DEV (but ok to enter T/O as is when ready) and she has reached out to Joy E for info on Dev question
11/5 MM f/up for update status
In est 9/24/12 - No est - Padmaja Devabhaktuni</t>
  </si>
  <si>
    <t>11/19 In Estimating 10/16 - no NDB est - Joanne Hepp</t>
  </si>
  <si>
    <t xml:space="preserve">11/19 In Estimating 10/16 - no NDB est - Joanne Hepp </t>
  </si>
  <si>
    <t>11/19 Ready to Sked - all ests compl in Prompt</t>
  </si>
  <si>
    <t>11/19/12 CC 8</t>
  </si>
  <si>
    <t>11/191/2 CC scheduled in prompt
CC4 Still in estimating in prompt</t>
  </si>
  <si>
    <t>CC schedulded in Prompt</t>
  </si>
  <si>
    <t>CC9</t>
  </si>
  <si>
    <t>1/18/13 NDB un-impacted in prompt</t>
  </si>
  <si>
    <t>Added line for USEC dep in Feb - effort included in Feb Tricare release - for tracking purpose only</t>
  </si>
  <si>
    <t>400033825C</t>
  </si>
  <si>
    <t>EOB Transformation</t>
  </si>
  <si>
    <t>V. Jackson</t>
  </si>
  <si>
    <t>B2B Provider Portal, B2C Provider Portal, CES, Commercial Payment System (EPS), Consumer Database (CDB), COSMOS, Data Management, EDSS - Enterprise Data Storage System, Electronic Eligibility Management System (EEMS), Employer Portal, Emptoris, Enterprise</t>
  </si>
  <si>
    <t>Application Enablement, B2B Provider Portal, B2C Provider Portal, BPID, Claims Highway, Claims QA, COMET Desktop.NET, Cross Application Testing, EDSS - Enterprise Data Storage System, Emptoris, Enterprise Application Architecture, Enterprise EDI Technical</t>
  </si>
  <si>
    <t>B2B Provider Portal, CCS-CCF, CES, COMET Desktop.NET, COSMOS, Cross Application Testing, Data Delivery System (DDS), Data Management, EDSS - Enterprise Data Storage System, Emptoris, Enterprise Architecture, FMR (Field Mgmt Reporting), Foundation Framewor</t>
  </si>
  <si>
    <t>B2B Provider Portal, B2C Provider Portal, BPID, CES, Claims Highway, Consumer Database (CDB), COSMOS, Cross Application Testing, Data Delivery System (DDS), EDSS - Enterprise Data Storage System, Enterprise EDI Technical Operations, EPMO, Galaxy, GEOAcces</t>
  </si>
  <si>
    <t>Application Enablement, B2B Provider Portal, B2C Provider Portal, CES, Claims Highway, COMET Desktop.NET, Consumer Database (CDB), Cross Application Testing, EDSS - Enterprise Data Storage System, Enterprise Letter Generation System, EPMO, Health Statemen</t>
  </si>
  <si>
    <t>ACIS Suite, Application Enablement, Automated Underwriting, CES, CIX (Customer Installation Express), Consumer Database (CDB), Contact Center Services, Cross Application Testing, CTS - Common Tables System, EDSS - Enterprise Data Storage System, Electroni</t>
  </si>
  <si>
    <t>Application Enablement, B2C Provider Portal, Computer Services, Cross Application Testing, Data Management, EDSS - Enterprise Data Storage System, Enterprise Architecture, Enterprise Letter Generation System, EPMO, Foundation Frameworks, Myuhc - Member Po</t>
  </si>
  <si>
    <t>ACIS Suite, B2B Provider Portal, B2C Provider Portal, CES, CIX (Customer Installation Express), Consumer Account Management System (CAMS), Cross Application Testing, EDSS - Enterprise Data Storage System, Employer Portal, GEOAccess, GFLX, Myuhc - Member P</t>
  </si>
  <si>
    <t>MEDICA - Testing effort to support Copis 4.5</t>
  </si>
  <si>
    <t>Patrick McIntyre</t>
  </si>
  <si>
    <t>State of MN Partner Certification Testing</t>
  </si>
  <si>
    <t>TBDPHS03</t>
  </si>
  <si>
    <t>Placeholder for 4-22471</t>
  </si>
  <si>
    <t>OI00141R1</t>
  </si>
  <si>
    <t>Steve Burdick</t>
  </si>
  <si>
    <t>ACIS Suite, B2C Provider Portal, IDT - Intelligent Desktop, NDB, PHS - NICE, PRIME, Summary Check, TOPS, UFE, United Platform Systems Analysis and Architecture</t>
  </si>
  <si>
    <t>Clinical Integration Framework</t>
  </si>
  <si>
    <t>2009 EPDI Operational Maintenance</t>
  </si>
  <si>
    <t>NDB support of AmeriChoice Providers contract Info</t>
  </si>
  <si>
    <t>Integration Framework - Q3</t>
  </si>
  <si>
    <t>Manfugas, Gabe</t>
  </si>
  <si>
    <t>Mel Johnston/ Ro Ruggieri / Brian Short</t>
  </si>
  <si>
    <t>Replaced with 4-23858 in Nov</t>
  </si>
  <si>
    <t>NDB/Emptoris Integration Enhancements</t>
  </si>
  <si>
    <t>B2C Provider Portal, B2C Security, CES, COSMOS, EPMO, IBAAG - IT (System Changes), Myuhc - Member Portal, NDB, ORBIT - Operational Reporting, ORS, Summary Check, TOPS, Tops Foundation View</t>
  </si>
  <si>
    <t>UNO</t>
  </si>
  <si>
    <t>Index</t>
  </si>
  <si>
    <t>Impacted on CC#2</t>
  </si>
  <si>
    <t>to support OM.  Cc Impacting NDB still In Estimating</t>
  </si>
  <si>
    <t>Impacted on CC#7</t>
  </si>
  <si>
    <t>AmeriChoice, COSMOS, Data Management, Emptoris, Enterprise Architecture, GPT Business Systems, NDB, ORBIT - Operational Reporting, UHN Reporting Database, United Platform Systems Analysis and Architecture</t>
  </si>
  <si>
    <t>PAULA ENGSTROM</t>
  </si>
  <si>
    <t>Add policy specific logic to provider flags on PMI - Not impacted</t>
  </si>
  <si>
    <t>CBA required. Submitted 11/12/2004.</t>
  </si>
  <si>
    <t>Mark Leone</t>
  </si>
  <si>
    <t>Tim Kaja</t>
  </si>
  <si>
    <t>COSMOS Dual Eligible Enhancements (04-10210-400)</t>
  </si>
  <si>
    <t>NYHCRA documentation needed</t>
  </si>
  <si>
    <t>Needs only QCA/testing support in May and June</t>
  </si>
  <si>
    <t>To be delivered 5/9 ORBIT release</t>
  </si>
  <si>
    <t>UHP Physician Designation v3.3</t>
  </si>
  <si>
    <t xml:space="preserve">8/26 Per Matt Johnson in the queue call today this project was completed </t>
  </si>
  <si>
    <t>Barbara Tooley</t>
  </si>
  <si>
    <t>TBDOB09</t>
  </si>
  <si>
    <t>B2B Provider Portal, COSMOS, Foundation Frameworks, NDB, Railroad, Summary Check, TOPS, UFE</t>
  </si>
  <si>
    <t>Preeti Dua</t>
  </si>
  <si>
    <t>B2B Provider Portal, B2C Provider Portal, Consumer Database (CDB), Foundation Frameworks, NDB, Railroad, Summary Check, TOPS, UFE</t>
  </si>
  <si>
    <t>Elizabeth Corbin</t>
  </si>
  <si>
    <t>Priority High.  Not a WO.  Needs to move to January release.  CC costed at 4.86 pm's.  Cancelled due to negative CBA</t>
  </si>
  <si>
    <t>AmeriChoice, NDB, Provider Network Analysis UAT &amp; Tools</t>
  </si>
  <si>
    <t>NDB, ppoONE</t>
  </si>
  <si>
    <t>NDB R2 - Queue Consolidation &amp; Management</t>
  </si>
  <si>
    <t>Brian Murray / Brigid Bonner</t>
  </si>
  <si>
    <t>Michelle Brennan-Cooke</t>
  </si>
  <si>
    <t>Gated HMO Non-Par In-Network Reimbursement Change</t>
  </si>
  <si>
    <t>MAHP</t>
  </si>
  <si>
    <t>Charles (Chuck) Betts</t>
  </si>
  <si>
    <t>MPQ Enhancements: CPW Migration</t>
  </si>
  <si>
    <t>Per Scott Thompson, CC# 8 is complete.
Center of Excellence funding pool does not have budget in 2006.  Being moved to a Uniprise funding pool.</t>
  </si>
  <si>
    <t>Create sort buttons for the Provider Council Unscheduled tab.</t>
  </si>
  <si>
    <t>SIP_VETSS_Cust Needs Change Request</t>
  </si>
  <si>
    <r>
      <rPr>
        <b/>
        <sz val="8"/>
        <rFont val="Arial"/>
        <family val="2"/>
      </rPr>
      <t>as of 2/5/13:</t>
    </r>
    <r>
      <rPr>
        <sz val="8"/>
        <rFont val="Arial"/>
        <family val="2"/>
      </rPr>
      <t xml:space="preserve">
</t>
    </r>
    <r>
      <rPr>
        <b/>
        <u/>
        <sz val="8"/>
        <rFont val="Arial"/>
        <family val="2"/>
      </rPr>
      <t>Recon piece</t>
    </r>
    <r>
      <rPr>
        <sz val="8"/>
        <rFont val="Arial"/>
        <family val="2"/>
      </rPr>
      <t xml:space="preserve"> 
 PRD-/SSD-100%, SRI 100%, Specs 100%, dev 100%,  SYS:100% complete with the team re-testing defects. UAT is 91% complete. Both teams will be
working this weekend with the goal of having testing completed next Friday and no weekend
work.</t>
    </r>
  </si>
  <si>
    <t>2/13/13 (signoff)</t>
  </si>
  <si>
    <t>2/11 for signoff</t>
  </si>
  <si>
    <t>B2B Provider Portal, CES, Consumer Database (CDB), COSMOS, Cross Application Testing, EDSS - Enterprise Data Storage System, Myuhc - Member Portal, NDB, Summary Check, Systems Integration, Testing Environment and Integration, TOPS</t>
  </si>
  <si>
    <t>Claims QA, EDSS - Enterprise Data Storage System, EPMO, iCES Clearinghouse, NDB, Network Technology &amp; Support, QMO - Quality Management Organization, Testing Environment and Integration, TOPS, UFE</t>
  </si>
  <si>
    <t>EDSS - Enterprise Data Storage System, EPMO, iCES Clearinghouse, NDB, Testing Environment and Integration, TOPS, UFE</t>
  </si>
  <si>
    <t>Claims QA - EDI, EDSS - Enterprise Data Storage System, EPMO, iCES Clearinghouse, NDB, Testing Environment and Integration, TOPS, UFE</t>
  </si>
  <si>
    <t>Cross Application Testing, EDSS - Enterprise Data Storage System, NDB, Summary Check, Systems Integration, Testing Environment and Integration, TOPS</t>
  </si>
  <si>
    <t>Provider Timely Filing for ISET</t>
  </si>
  <si>
    <t>Appears that NDB has been unimpacted.</t>
  </si>
  <si>
    <t>W/O - MAMSI - EPDE - Move to Standard File Layout</t>
  </si>
  <si>
    <t>Replaced by 4-25531</t>
  </si>
  <si>
    <t>Enterprise SSN Ctrls - Provider SSN/TIN on EOB/PRA</t>
  </si>
  <si>
    <t>HPHC2-Capture Supv Physicians&amp;Tie to Resident Prov</t>
  </si>
  <si>
    <t>Short Term Cleanup - Emory Clinic TIN Suffix</t>
  </si>
  <si>
    <t>Dave Chenok</t>
  </si>
  <si>
    <t>MAHP Outpatient Auth Matching vs. Inpatient</t>
  </si>
  <si>
    <t>PHS Provider Crosswalk</t>
  </si>
  <si>
    <t>B2C Provider Data</t>
  </si>
  <si>
    <t>CC08</t>
  </si>
  <si>
    <t>Cynthia Midaugh</t>
  </si>
  <si>
    <t>TRICARE Program:  B2B / Provider Search</t>
  </si>
  <si>
    <t>Change in Display NBB Selection Screen</t>
  </si>
  <si>
    <t>HIPAA 5010 Rendering Provider ID (TIN) not avail</t>
  </si>
  <si>
    <t>Acquisition Integrations, AmeriChoice, Application Enablement, Applications Impacted Unknown, Audit Recovery Operations (ARO) Datamart, B2B Provider Portal, B2C Provider Portal, Business Intent Certification Tool (BIC), CDD, CES, Claims Highway, Claims QA</t>
  </si>
  <si>
    <t>10/4 Cancelled in Prompt</t>
  </si>
  <si>
    <t>Global Solutions Claim Payment</t>
  </si>
  <si>
    <t>Rob Verrengia</t>
  </si>
  <si>
    <t>NHP Clinical Migration to the Clinical Toolbox</t>
  </si>
  <si>
    <t xml:space="preserve">UBH PTI by Network Contracting Organization EPDL  </t>
  </si>
  <si>
    <t>Claims Repricing - Enhanced Claim File Processing</t>
  </si>
  <si>
    <t>Architecture &amp; Infastructure, EPD/NDB</t>
  </si>
  <si>
    <t>Tech Infrastructure</t>
  </si>
  <si>
    <t>Notifications - Updates and Case Notes</t>
  </si>
  <si>
    <t>Not Applicable -</t>
  </si>
  <si>
    <t>Comments</t>
  </si>
  <si>
    <t>Ref</t>
  </si>
  <si>
    <t>UA</t>
  </si>
  <si>
    <t>OI00221</t>
  </si>
  <si>
    <t>OI00222</t>
  </si>
  <si>
    <t xml:space="preserve">Modify ADD Functionality for MM </t>
  </si>
  <si>
    <t xml:space="preserve">(UNET requests and COSMOS error report) </t>
  </si>
  <si>
    <t>(Cosmos Requests)</t>
  </si>
  <si>
    <t>OI00221R1</t>
  </si>
  <si>
    <t>OI00222R1</t>
  </si>
  <si>
    <t>includes cc1 and cc8</t>
  </si>
  <si>
    <t>Empire Plan - Credentialing database</t>
  </si>
  <si>
    <t>M. Johnstong</t>
  </si>
  <si>
    <t>Emptoris, NDB, UFE</t>
  </si>
  <si>
    <t>eODS Enterprise Operational Data Store Development</t>
  </si>
  <si>
    <t>NDB, ORBIT - Operational Reporting, UHN Reporting Database</t>
  </si>
  <si>
    <t>B2B Provider Portal, B2C Provider Portal, Computer Services, Desktop and Groupware Services, IBAAG - IT (System Changes), IDRS (sunset), IDT - Intelligent Desktop, Information Risk Management, Myuhc - Member Portal, NDB, ORBIT - Operational Reporting, ORS</t>
  </si>
  <si>
    <t>TOPS is targeting June.  Need to determine if TOPS is actually impacted.  Not listed as impacted application in Prompt.</t>
  </si>
  <si>
    <t>Computer Services, Consumer Database (CDB), Enterprise Architecture Practices, Enterprise Systems Planning Business Architecture, EPMO, Information Risk Management, Infrastructure Architecture &amp; Engineering, IT Service Management, NDB</t>
  </si>
  <si>
    <t>Consumer Transparency, ICUE eVI, NDB</t>
  </si>
  <si>
    <t>Consumer Transparency, EPMO, ICUE eVI, NDB, OHCS - eVisor, OptumHealth Segment Architecture</t>
  </si>
  <si>
    <t>Application Enablement, B2B Provider Portal, B2C Provider Portal, CCS-CCF, Claims QA, Claims QA - EDI, Consumer Database (CDB), COSMOS, Enterprise Information Management, Enterprise Letter Generation System, EPMO, ICUE Core, ICUE eVI, MAPS, NDB, OHCS - Da</t>
  </si>
  <si>
    <t xml:space="preserve">Application Enablement, Consumer Database (CDB), Enterprise Information Management, Enterprise Letter Generation System, EPMO, ICUE Core, ICUE eVI, NDB, OHCS - CMC Facets, OHCS - CMC Web, OHCS - PH Accent, OHCS - Technology Innovation, UnitedHealth Group </t>
  </si>
  <si>
    <t>11/30 Waiting for this to be cancelled in prompt
11/13/12 Ret to Req - can be cnx per Drew Peterson but not done yet in Prompt</t>
  </si>
  <si>
    <t>11/301/12 Estimate reduced in DE by .89 hours from 5.85 to 4.96</t>
  </si>
  <si>
    <t xml:space="preserve">11/30/12 Reduced estimate in DE by .65 pm's from 7.37 to 6.72
9/27 Reduced estimate from 8.45 to 7.37 in CC  1  SE.  
8/3 Includes CC 4 - increased 5.60 to 8.45 </t>
  </si>
  <si>
    <t>11/30/12 CC 5 Cancelled
Sked &amp; appvd - CC5 first impact 10/11/12 - still in est waiting on MJ to estimate -  Brian Adams - NEWER</t>
  </si>
  <si>
    <t xml:space="preserve">BH-Facets - UBH, BPID, CASP Webstrat-QCA, CCS-CCF, Claims Highway, Claims QA, COSMOS, Emptoris, Enterprise Application Architecture, Enterprise Systems Planning Business Architecture, EPMO, ESP Systems Planning and Alignment, GGMAP, Healthcare Alliance - </t>
  </si>
  <si>
    <t>AmeriChoice, Application Enablement, B2B Provider Portal, B2C Provider Portal, CareOne, CareOne ODS, CCS-CCF, Computer Services, Consumer Activity Presentment/Emp Portal (CAP/EAP), COSMOS, Emptoris, Enterprise Architecture, Galaxy, GEOAccess, ICUE Core, I</t>
  </si>
  <si>
    <t>ICUE Release Q3 2013 - PHS</t>
  </si>
  <si>
    <t>MyUHC - Member Payment Capability</t>
  </si>
  <si>
    <t>Margaret Palmer</t>
  </si>
  <si>
    <t>Claims QA, COMET Desktop.NET, EPMO, NDB, Systems Integration, TOPS</t>
  </si>
  <si>
    <t xml:space="preserve">HCR- NICE: Plan Effective Date &amp; Field Length </t>
  </si>
  <si>
    <t>Anna Flynn</t>
  </si>
  <si>
    <t>Application Enablement, Claim Work DIstribution (CWD), Claims QA, COMET Desktop.NET, Data Delivery System (DDS), Enterprise Information Management, EPMO, Galaxy, NDB, QMO - Quality Management Organization, Quality Solutions Development, TOPS, Unified Data</t>
  </si>
  <si>
    <t>ACIS Suite, Application Enablement, B2B Provider Portal, B2C Provider Portal, Claims Highway, Claims QA, Claims QA - EDI, Computer Services, Consumer Database (CDB), EPMO, eServices Billing, GPT Enterprise QA, IBM FileNet, IDRS, iLEAD, iRADS, NDB, Ovation</t>
  </si>
  <si>
    <t>eHealth Portal Build in Master</t>
  </si>
  <si>
    <t>NDC Provider Additions to EDI Submission Process</t>
  </si>
  <si>
    <t>Nicholas D'ambrose</t>
  </si>
  <si>
    <t>Greg Dosedel</t>
  </si>
  <si>
    <t>Ingenix EDI Solutions, NDB, ppoONE, UFE</t>
  </si>
  <si>
    <t xml:space="preserve">System support of Capitation and Case Rates </t>
  </si>
  <si>
    <t>Deborah J. Adler</t>
  </si>
  <si>
    <t>Application Enablement, B2B Provider Portal, B2C Provider Portal, BH-Facets - UBH, Business Intent Certification Tool (BIC), Claims Highway, Claims QA, COMET Desktop.NET, Cross Application Testing, Data Delivery System (DDS), EDSS - Enterprise Data Storag</t>
  </si>
  <si>
    <t>Application Enablement, B2B Provider Portal, CareOne, CES, Claims Highway, Claims QA, Claims QA - EDI, Consumer Database (CDB), COSMOS, Cross Application Testing, EDSS - Enterprise Data Storage System, Enterprise EDI Business Solutions, EPMO, Healthcare A</t>
  </si>
  <si>
    <t>Application Enablement, B2B Provider Portal, B2C Provider Portal, CareOne, CCS-CCF, CES, COMET Desktop.NET, Computer Services, Data Management, EDSS - Enterprise Data Storage System, ELO Enterprise Letter Operations, Enterprise Architecture, Enterprise Le</t>
  </si>
  <si>
    <t>B2B Provider Portal, B2C Provider Portal, COMET Desktop.NET, Consumer Account Management System (CAMS), COSMOS, Cross Application Testing, Data Delivery System (DDS), Data Management, Definity Health App Suite, EA Data Architecture, EDSS - Enterprise Data</t>
  </si>
  <si>
    <t>Application Enablement, B2B Provider Portal, B2C Provider Portal, CES, Claims Highway, Cross Application Testing, Data Delivery System (DDS), EDSS - Enterprise Data Storage System, Emptoris, Enterprise EDI Technical Operations, Enterprise Letter Generatio</t>
  </si>
  <si>
    <t>Application Enablement, CES, Consumer Database (CDB), Cross Application Testing, Data Delivery System (DDS), EDSS - Enterprise Data Storage System, Enterprise Letter Generation System, EPMO, Galaxy, IDT - Intelligent Desktop, Integrated Service Experience</t>
  </si>
  <si>
    <t xml:space="preserve">Acquisition Integrations, Application Enablement, CDD, CES, Claims Highway, Consumer Database (CDB), Cross Application Testing, Data Delivery System (DDS), EDSS - Enterprise Data Storage System, Enterprise Application Architecture, Enterprise Information </t>
  </si>
  <si>
    <t>ACIS Suite, Application Enablement, Automated Underwriting, BASICS, CES, Computer Services, Consumer Account Management System (CAMS), Consumer Database (CDB), Contact Center Services, Cross Application Testing, Data Delivery System (DDS), EDSS - Enterpri</t>
  </si>
  <si>
    <t>Acquisition Integrations, Application Enablement, B2B Provider Portal, B2C Provider Portal, Claims Highway, Computer Services, Consumer Database (CDB), Contact Center Services, Cross Application Testing, EDSS - Enterprise Data Storage System, Enterprise A</t>
  </si>
  <si>
    <t>Application Enablement, CES, Cross Application Testing, Data Delivery System (DDS), EDSS - Enterprise Data Storage System, Enterprise Architecture, Foundation Frameworks, Galaxy, IBAAG - BPST (Template updates and testing), IBAAG - IT (System Changes), In</t>
  </si>
  <si>
    <t>ACIS Suite, Application Enablement, B2B Provider Portal, B2C Provider Portal, CES, Contact Center Services, Cross Application Testing, Data Management, EDSS - Enterprise Data Storage System, Employer Portal, Healthcare Alliance - Medica, IDT - Intelligent</t>
  </si>
  <si>
    <t>Application Enablement, B2B Provider Portal, B2C Provider Portal, CCS-CCF, Consumer Account Management System (CAMS), COSMOS, Cross Application Testing, Data Delivery System (DDS), EDSS - Enterprise Data Storage System, Enterprise Letter Generation System</t>
  </si>
  <si>
    <t>Cross Application Testing, EDSS - Enterprise Data Storage System, iCES Clearinghouse, NDB, Network Technology &amp; Support, Payment Engine, Provider Network Analysis UAT &amp; Tools, Summary Check, Testing Environment and Integration, TOPS, UFE</t>
  </si>
  <si>
    <t>Application Enablement, CES, Consumer Database (CDB), Cross Application Testing, EDSS - Enterprise Data Storage System, IDT - Intelligent Desktop, Integrated Service Experience Tool ISET, NDB, PRIME, TOPS</t>
  </si>
  <si>
    <t>AZ PAT Files - Phase II - Vendor Info</t>
  </si>
  <si>
    <t>Application Enablement, B2B Provider Portal, B2C Provider Portal, BPID, CareOne, CCS-CCF, Consumer Database (CDB), EDSS - Enterprise Data Storage System, EPMO, Facets Solution Group, GEOAccess, ICUE Core, NDB, Portal Reporting, Provider Network Analysis U</t>
  </si>
  <si>
    <t>Claims QA, COSMOS, Cross Application Testing, EDSS - Enterprise Data Storage System, EPMO, LETGEN, NDB, UBS ODS Applications, UnitedHealth Group Print Services</t>
  </si>
  <si>
    <t>B2B Provider Portal, B2C Provider Portal, Claim Life Tracking (CLT) Dashboard, Claims Highway, Claims QA, Claims QA - EDI, Consumer Database (CDB), EDSS - Enterprise Data Storage System, Enterprise Information Management, EPMO, Facets Alpha, IDRS, NDB, QM</t>
  </si>
  <si>
    <t>ACIS Suite, B2B Provider Portal, B2C Provider Portal, CCS-CCF, CES, Consumer Database (CDB), Data Delivery System (DDS), EDSS - Enterprise Data Storage System, Electronic Eligibility Management System (EEMS), Employer Portal, Enterprise Architecture, eSer</t>
  </si>
  <si>
    <t>ACN Infrastructure, Application Enablement, B2B Provider Portal, B2C Provider Portal, CES, Consumer Database (CDB), COSMOS, Data Management, DCG/UWB Infrastructure, Definity Health App Suite, Dental/Vision Infrastructure, EDSS - Enterprise Data Storage Sy</t>
  </si>
  <si>
    <t>BH-Facets - UBH, BH-Shared Components, Claims Highway, Consumer Database (CDB), COSMOS, EDSS - Enterprise Data Storage System, Enterprise Technical Practices PMO, Integrated Service Experience Tool ISET, ORS, Payment Engine, Summary Check, TOPS, Treasury-</t>
  </si>
  <si>
    <t>Application Enablement, B2B Provider Portal, B2C Provider Portal, CCS-CCF, CES, Computer Services, Consumer Account Management System (CAMS), Consumer Database (CDB), Contact Center Services, COSMOS, Cross Application Testing, EDSS - Enterprise Data Stora</t>
  </si>
  <si>
    <t>B2C Provider Portal, BH-Facets - UBH, CES, Claims Highway, Consumer Database (CDB), COSMOS, Cross Application Testing, EDSS - Enterprise Data Storage System, Enterprise Letter Generation System, EPMO, HIPAA, NDB, OHFS - App Support, Payables, Payment Engi</t>
  </si>
  <si>
    <t xml:space="preserve">Application Enablement, B2B Provider Portal, B2C Provider Portal, CareOne, CCS-CCF, CES, Claims Highway, Claims QA, Cognos Financial Reporting, Computer Services, Consumer Database (CDB), COSMOS, Cross Application Testing, Diamond, EDSS - Enterprise Data </t>
  </si>
  <si>
    <t>Application Enablement, B2B Provider Portal, B2C Provider Portal, CareOne, Claims Highway, Claims QA, Claims QA - EDI, Computer Services, Consumer Database (CDB), COSMOS, EDSS - Enterprise Data Storage System, eHealth Medical Claims Database, Enterprise L</t>
  </si>
  <si>
    <t>CES, Consumer Database (CDB), EPMO, ICUE Core, NDB, TOPS</t>
  </si>
  <si>
    <t>ACIS Suite, CES, Consumer Database (CDB), Cross Application Testing, EPMO, ICUE Core, NDB, OHCS - Data Management, TOPS</t>
  </si>
  <si>
    <t>Application Enablement, Computer Services, Cross Application Testing, Enterprise Information Management, ICUE Core, NDB, PDG, Provider Network Analysis UAT &amp; Tools</t>
  </si>
  <si>
    <t>Application Enablement, CES, Computer Services, Consumer Database (CDB), Cross Application Testing, Enterprise Content Management and Architecture, Enterprise Letter Generation System, EPMO, ICUE Core, NDB, OHCS - Data Management, TOPS</t>
  </si>
  <si>
    <t>INT - 2/20/2013
UAT - 3/4/2013</t>
  </si>
  <si>
    <t>CC4
see above</t>
  </si>
  <si>
    <t>00</t>
  </si>
  <si>
    <t>Gabe Manfugas/Gabe Enabore</t>
  </si>
  <si>
    <t>RM  Cindy</t>
  </si>
  <si>
    <t>RM   Pete Ross</t>
  </si>
  <si>
    <t>Supply vs Demand for NDB - month over month and totals.  Removed from workbook in Feb 2013</t>
  </si>
  <si>
    <t>Status Reporting for Provider Program Status and Provider Council Meetings.  Removed from workbook in Feb 2013</t>
  </si>
  <si>
    <t>Maintain the headcount and development resources for Provider Systems.  Removed from workbook in Feb 2013</t>
  </si>
  <si>
    <t>No longer used.  Removed from workbook in Feb 2013</t>
  </si>
  <si>
    <t>HP JV Member Portal Model Project</t>
  </si>
  <si>
    <t>CC2 (not bge approved)</t>
  </si>
  <si>
    <t>400050155B</t>
  </si>
  <si>
    <t>400050282UA</t>
  </si>
  <si>
    <t>400044833A</t>
  </si>
  <si>
    <t>400054607B</t>
  </si>
  <si>
    <t>400055699UA</t>
  </si>
  <si>
    <t>A. Colombo</t>
  </si>
  <si>
    <t>2/16/13 NDB unimpacted</t>
  </si>
  <si>
    <t xml:space="preserve">2/16 completed before scheduled
10/11/12 Project now BGE Approved in prompt.  
9/10/2012 Offshore support.  BGE split between Q4 12 and Q1 13.  Project still in estimating in prompt. </t>
  </si>
  <si>
    <t>2/16/13 Increased .77 in DE CC 22 from .63 to 1.4
11/19 Waiting for T/O estimate 
11/13 AC advised NDB T/O</t>
  </si>
  <si>
    <t>2 - Not Loaded</t>
  </si>
  <si>
    <t>support Facets thru early July, hence the 2.7 PMs</t>
  </si>
  <si>
    <t>400050630F</t>
  </si>
  <si>
    <t xml:space="preserve">BDSS (Oneshot)
PGBA? </t>
  </si>
  <si>
    <t>Manfugas, Gabe
Walker, Dave</t>
  </si>
  <si>
    <t>3/1/13 (approvals)</t>
  </si>
  <si>
    <t>Villages &amp; Preferred Care Partners Bus. Migration</t>
  </si>
  <si>
    <t>Heather Selseth/Margarita Ferrari</t>
  </si>
  <si>
    <t>00-00300-066</t>
  </si>
  <si>
    <t>Jennifer Cowling</t>
  </si>
  <si>
    <t>Mary Middleton</t>
  </si>
  <si>
    <t>Belza Mayorquin</t>
  </si>
  <si>
    <t>Lisa Panopio-Hill</t>
  </si>
  <si>
    <t xml:space="preserve">2/21/13 Work order in Prompt but A/O work </t>
  </si>
  <si>
    <t>2/21/13 Cancelled in Prompt</t>
  </si>
  <si>
    <t>2/21/2013 Minimal work done - never scheduled</t>
  </si>
  <si>
    <t>2/21/13 CC 13 is scheduled
1/10/13 CC13 - CC still in estimating in Prompt - Loaded as Red due to compressed timeline
11/23 Project oom approved
Project still in estimating</t>
  </si>
  <si>
    <t>2/21/13 CC 13 is scheduled
1/10/13 CC16 - CC still in estimating in Prompt - Loaded as Red due to compressed timeline
11/23 Project oom approved
Project still in estimating</t>
  </si>
  <si>
    <t>2/21/13 Project cancelled in prompt
11/13/12 - in Funding 10/19/12 - being tracked on AIF - Tripathy Ajit</t>
  </si>
  <si>
    <t>2/21/13 Added 4.67 DE CC 4 - increased from 50 to 54.67
1/18/13 Added 3.04 to total estimate for CC 3 - went from 46.96 to 50
1/10/13 Increase of 1.2 in SE CC2
9/10/12 Replacing Code Load estimated in 48140</t>
  </si>
  <si>
    <t>2/21/13 NDB un-impacted</t>
  </si>
  <si>
    <t>400057678A</t>
  </si>
  <si>
    <t>400054352A</t>
  </si>
  <si>
    <t>Brian Davis</t>
  </si>
  <si>
    <t>Derek Schmit</t>
  </si>
  <si>
    <t>Staci ZZZZColeman</t>
  </si>
  <si>
    <t>DANA SILLS</t>
  </si>
  <si>
    <t>Julie Severson</t>
  </si>
  <si>
    <t>CHRISTINE REIN</t>
  </si>
  <si>
    <t>Brian Schulte</t>
  </si>
  <si>
    <t>Shavone Sears</t>
  </si>
  <si>
    <t>Rosalind Hoagland</t>
  </si>
  <si>
    <t>Andrew Eggimann</t>
  </si>
  <si>
    <t>Balance Forward (Negative Payee) COSMOS</t>
  </si>
  <si>
    <t>Nick Schuchardt</t>
  </si>
  <si>
    <t>Kevin Nyaribo</t>
  </si>
  <si>
    <t>James Untz</t>
  </si>
  <si>
    <t>MICHAEL WENTZIEN</t>
  </si>
  <si>
    <t>Nicola Brown</t>
  </si>
  <si>
    <t>MICHAEL CAMERON</t>
  </si>
  <si>
    <t>Neeson Tom</t>
  </si>
  <si>
    <t>GERALD GORODISCH</t>
  </si>
  <si>
    <t>Janet Wright</t>
  </si>
  <si>
    <t>SWENSON JERRY</t>
  </si>
  <si>
    <t>HARRIET HODGE</t>
  </si>
  <si>
    <t>Amy Baxter</t>
  </si>
  <si>
    <t>MICHAEL FLIPPING</t>
  </si>
  <si>
    <t>Chad Wege</t>
  </si>
  <si>
    <t>COSMOS, Decision Support System (DSS), Galaxy, NDB</t>
  </si>
  <si>
    <t>T Charles</t>
  </si>
  <si>
    <t>COSMOS, Decision Support System (DSS), EPMO, Galaxy, NDB</t>
  </si>
  <si>
    <t>Julie Hays</t>
  </si>
  <si>
    <t>Jennifer Wayland</t>
  </si>
  <si>
    <t>Mary McDonald</t>
  </si>
  <si>
    <t>Robert Shandley</t>
  </si>
  <si>
    <t>Claims Highway, COSMOS, Cross Application Testing, Decision Support System (DSS), EDSS - Enterprise Data Storage System, Enterprise Information Management, EPMO, Galaxy, HIPAA, NDB, Provider Network Analysis UAT &amp; Tools, Reimbursement Technology, UnitedHe</t>
  </si>
  <si>
    <t>STEPHANIE LEAPHART</t>
  </si>
  <si>
    <t>Robert Hoerl</t>
  </si>
  <si>
    <t>Jessica Yeo</t>
  </si>
  <si>
    <t>Application Enablement, ATG Automated Transaction Generator, BPID, Claims Highway, Claims QA, COSMOS, CPW, Decision Support System (DSS), Emptoris, Enterprise Information Management, EPMO, Galaxy, GGMAP, Healthcare Alliance - Medica, NDB, Network Technolo</t>
  </si>
  <si>
    <t>Application Enablement, Claims Highway, Claims QA, COSMOS, Decision Support System (DSS), EDSS - Enterprise Data Storage System, EPMO, Galaxy, GGMAP, NDB, PHS - NICE, ppoONE, QMO - Quality Management Organization, UFE</t>
  </si>
  <si>
    <t>Dorman Sarah</t>
  </si>
  <si>
    <t>KRISTYN EIRING</t>
  </si>
  <si>
    <t>Mary Reich</t>
  </si>
  <si>
    <t>Barbara Eustace</t>
  </si>
  <si>
    <t>Doug Trott</t>
  </si>
  <si>
    <t>Barbara Fischkelta</t>
  </si>
  <si>
    <t>Dianna Worcester</t>
  </si>
  <si>
    <t>STEPHEN FINLEY</t>
  </si>
  <si>
    <t>Kurt Brenkus</t>
  </si>
  <si>
    <t>Susan Neal</t>
  </si>
  <si>
    <t>NANCY GRIMALDI</t>
  </si>
  <si>
    <t>Pamela Nash</t>
  </si>
  <si>
    <t>Jessica Tapani</t>
  </si>
  <si>
    <t>JOHNSON KIMBERLY</t>
  </si>
  <si>
    <t>Algino Joseph</t>
  </si>
  <si>
    <t>SARA CHANDLER</t>
  </si>
  <si>
    <t>Janet Butler</t>
  </si>
  <si>
    <t>Bryan Tepedino</t>
  </si>
  <si>
    <t>Barbara Joyce</t>
  </si>
  <si>
    <t>Melinda Dukat</t>
  </si>
  <si>
    <t>Cassandra Logue</t>
  </si>
  <si>
    <t>LISA DAVIDSON</t>
  </si>
  <si>
    <t>Betty Dahlke</t>
  </si>
  <si>
    <t>Dwayne Macadangdang</t>
  </si>
  <si>
    <t>Ronald Wallner</t>
  </si>
  <si>
    <t>SHELBY GRAHAM</t>
  </si>
  <si>
    <t>PENNINGTON CAROL</t>
  </si>
  <si>
    <t>Mark Fowler</t>
  </si>
  <si>
    <t>GREGORY DELARUELLE</t>
  </si>
  <si>
    <t>Bonnie Theis</t>
  </si>
  <si>
    <t>Tamara Zwirtz</t>
  </si>
  <si>
    <t>Terri Cook</t>
  </si>
  <si>
    <t>FRANKLIN BEARSS</t>
  </si>
  <si>
    <t>Tiered Benefit Plan Enhancements</t>
  </si>
  <si>
    <t>Joanne Hepp</t>
  </si>
  <si>
    <t>B2B Provider Portal, Computer Services, Consumer Database (CDB), Electronic Eligibility Management System (EEMS), EPMO, IT Service Management, NDB, PRIME, UFE</t>
  </si>
  <si>
    <t>NextGen HSR- CSS</t>
  </si>
  <si>
    <t>Nick Dewey</t>
  </si>
  <si>
    <t>Application Enablement, B2B Provider Portal, B2C Provider Portal, Claims QA, Claims QA - EDI, Consumer Database (CDB), Enterprise Application Architecture, Enterprise Information Management, EPMO, IBAAG - BPST (Template updates and testing), ICUE Core, ND</t>
  </si>
  <si>
    <t>Walmart Co-branding on Member Collateral</t>
  </si>
  <si>
    <t>NHP Facets System Enhancements and OOA Wrap</t>
  </si>
  <si>
    <t>Tamara Falish</t>
  </si>
  <si>
    <t>TRICIA ANDERSON</t>
  </si>
  <si>
    <t>Patrick Schwartz</t>
  </si>
  <si>
    <t>Barbara Dickson</t>
  </si>
  <si>
    <t>LIEM NGUYEN</t>
  </si>
  <si>
    <t>John Hoefer</t>
  </si>
  <si>
    <t>Suzanne McManus</t>
  </si>
  <si>
    <t>Melanie ZZZZZZErickson</t>
  </si>
  <si>
    <t>Kelly Link</t>
  </si>
  <si>
    <t>Daniel Peters</t>
  </si>
  <si>
    <t>Elizabeth Zadrozny-DNU</t>
  </si>
  <si>
    <t>Deirdre Dyreson</t>
  </si>
  <si>
    <t>Kristin Stephens</t>
  </si>
  <si>
    <t>Jana James</t>
  </si>
  <si>
    <t>Greg Benat</t>
  </si>
  <si>
    <t>Kelly Moyer</t>
  </si>
  <si>
    <t>Amy Clatterbuck</t>
  </si>
  <si>
    <t>Tracy Hall</t>
  </si>
  <si>
    <t>WADLOW KAREN</t>
  </si>
  <si>
    <t>Verity Claire</t>
  </si>
  <si>
    <t>MICHAEL SWEET</t>
  </si>
  <si>
    <t xml:space="preserve">MARY </t>
  </si>
  <si>
    <t>BLAKE HESTER</t>
  </si>
  <si>
    <t>BRAHMBHATT LIBBY</t>
  </si>
  <si>
    <t>TANYA SMITH</t>
  </si>
  <si>
    <t>JEFFREY HUXLEY</t>
  </si>
  <si>
    <t>Dianne Lachenmayer</t>
  </si>
  <si>
    <t>Matthew E Johnson</t>
  </si>
  <si>
    <t>Laura Burroughs</t>
  </si>
  <si>
    <t>TUNSTALL ROSEMARY</t>
  </si>
  <si>
    <t>Carla Muggio</t>
  </si>
  <si>
    <t>BETH SODERBERG</t>
  </si>
  <si>
    <t>LISA DOSCH</t>
  </si>
  <si>
    <t>John Getz</t>
  </si>
  <si>
    <t>Eric Blad</t>
  </si>
  <si>
    <t>Heritage Select Advantage Tiered Network Expansion</t>
  </si>
  <si>
    <t>LISA MARENGO</t>
  </si>
  <si>
    <t>Kent Adkisson</t>
  </si>
  <si>
    <t>William Talamantes</t>
  </si>
  <si>
    <t>Application Enablement, B2B Provider Portal, B2C Provider Portal, CareOne, Claims QA, Claims QA - EDI, Consumer Database (CDB), Enterprise Letter Generation System, EPMO, ICUE Core, NDB, OHCS - Data Management, Oracle Universal Content Management (UCM), P</t>
  </si>
  <si>
    <t>Deneen Andrades</t>
  </si>
  <si>
    <t>B2B Provider Portal, Claims QA - EDI, Consumer Database (CDB), EPMO, ICUE Core, Ingenix EDI Solutions, NDB</t>
  </si>
  <si>
    <t>HARSHA RAO</t>
  </si>
  <si>
    <t>DINAN JIANG</t>
  </si>
  <si>
    <t>JERRIL PALMER</t>
  </si>
  <si>
    <t>MELINDA BURWELL</t>
  </si>
  <si>
    <t>KIMBERLY ALEXANDER</t>
  </si>
  <si>
    <t>Lori West</t>
  </si>
  <si>
    <t>Brenda Colwill</t>
  </si>
  <si>
    <t>TRACEY HENSEL</t>
  </si>
  <si>
    <t>James Genovese</t>
  </si>
  <si>
    <t>JAMES SHELTON</t>
  </si>
  <si>
    <t>Dayo Odunlami</t>
  </si>
  <si>
    <t>Roderica Morris</t>
  </si>
  <si>
    <t>SEAN WATKINS</t>
  </si>
  <si>
    <t>Carmela Ciniglio</t>
  </si>
  <si>
    <t>MARCIA MONACO</t>
  </si>
  <si>
    <t>William Coyle</t>
  </si>
  <si>
    <t>Lindsey Flynn</t>
  </si>
  <si>
    <t>Kathleen Cormier</t>
  </si>
  <si>
    <t>MONICA LOPEZ</t>
  </si>
  <si>
    <t>KATHRYN LEARST</t>
  </si>
  <si>
    <t>STACIE THOMAS</t>
  </si>
  <si>
    <t>Thomasa Hindman</t>
  </si>
  <si>
    <t>Borzage Deborah</t>
  </si>
  <si>
    <t>MARK ECKSTEIN</t>
  </si>
  <si>
    <t>JOSEPH MCCONVILLE</t>
  </si>
  <si>
    <t>MELINDA SAYLOR</t>
  </si>
  <si>
    <t>Michelle Thompson</t>
  </si>
  <si>
    <t>Jessica Vardian</t>
  </si>
  <si>
    <t>Tammy Marovich</t>
  </si>
  <si>
    <t>KRISTINE NOBLE</t>
  </si>
  <si>
    <t>Inderpreet Sandhu</t>
  </si>
  <si>
    <t>PARK CHRISTINE</t>
  </si>
  <si>
    <t>Ali Fiad</t>
  </si>
  <si>
    <t>Michael Brisko</t>
  </si>
  <si>
    <t>ROGER AUCLAIR</t>
  </si>
  <si>
    <t>TERRY ROBILLARD</t>
  </si>
  <si>
    <t>Mark Stockhowe</t>
  </si>
  <si>
    <t>SHELDON KLUKAS</t>
  </si>
  <si>
    <t>Powers A</t>
  </si>
  <si>
    <t>Dwayne Pettway</t>
  </si>
  <si>
    <t>MICHAEL LUCAS</t>
  </si>
  <si>
    <t>HUBER ALLISON</t>
  </si>
  <si>
    <t>Marie Rahn</t>
  </si>
  <si>
    <t>Tammy Hausken</t>
  </si>
  <si>
    <t>RUTH HOLMBERG</t>
  </si>
  <si>
    <t>THOMAS VOGEL</t>
  </si>
  <si>
    <t>JOSHUA WOODRUM</t>
  </si>
  <si>
    <t>MONIQUE WERNER</t>
  </si>
  <si>
    <t>Gregory Greenwood</t>
  </si>
  <si>
    <t>Sherrie Martin</t>
  </si>
  <si>
    <t>Nate Flaherty</t>
  </si>
  <si>
    <t>Burke Claire M</t>
  </si>
  <si>
    <t>STEVEN MORELLI</t>
  </si>
  <si>
    <t>Molloy Lynette</t>
  </si>
  <si>
    <t>LOUIS COTOIA</t>
  </si>
  <si>
    <t>Jermaine Crooks</t>
  </si>
  <si>
    <t>SUSHMEETA NANDA</t>
  </si>
  <si>
    <t>John Underwood</t>
  </si>
  <si>
    <t>John Ragland</t>
  </si>
  <si>
    <t>Jeanne Wittig</t>
  </si>
  <si>
    <t>Charity Torguson</t>
  </si>
  <si>
    <t>JEFFERY GREELY</t>
  </si>
  <si>
    <t>Margaret Kershner</t>
  </si>
  <si>
    <t>DECEMBER WALKER</t>
  </si>
  <si>
    <t>Michael Feller</t>
  </si>
  <si>
    <t>LINDA BARTELT-HERRMANN</t>
  </si>
  <si>
    <t>Joan Hayes</t>
  </si>
  <si>
    <t>Richard Oliveira</t>
  </si>
  <si>
    <t>Mark Auletta</t>
  </si>
  <si>
    <t>Amy Gustafson</t>
  </si>
  <si>
    <t>CAROL WINTER</t>
  </si>
  <si>
    <t>Shelly Heit</t>
  </si>
  <si>
    <t>LISA DUNNE</t>
  </si>
  <si>
    <t>OLIVA MARGARET</t>
  </si>
  <si>
    <t>LUIS ANGUIANO</t>
  </si>
  <si>
    <t>STANISLAV MARY</t>
  </si>
  <si>
    <t>SUSAN HAMES</t>
  </si>
  <si>
    <t>GUY GRINDBERG</t>
  </si>
  <si>
    <t>Scott Behnke</t>
  </si>
  <si>
    <t>Carolyn Callopy-Mora</t>
  </si>
  <si>
    <t>TAMMY CASEY</t>
  </si>
  <si>
    <t>Belinda Jackson</t>
  </si>
  <si>
    <t>DARLA LEVERCOM</t>
  </si>
  <si>
    <t>Nancy Hickam</t>
  </si>
  <si>
    <t>Flo Hebert</t>
  </si>
  <si>
    <t>Patty Franco</t>
  </si>
  <si>
    <t>Karen Olszewski</t>
  </si>
  <si>
    <t>MARILYNN KING</t>
  </si>
  <si>
    <t>ROGER FABER</t>
  </si>
  <si>
    <t>Barbara Kallay</t>
  </si>
  <si>
    <t>Sherry Stockman</t>
  </si>
  <si>
    <t>Sue Thompson</t>
  </si>
  <si>
    <t>SCOTT BRUNK</t>
  </si>
  <si>
    <t>Wood Kay</t>
  </si>
  <si>
    <t xml:space="preserve">Application Enablement, B2B Provider Portal, B2C Provider Portal, CDD, Claim Life Tracking (CLT) Dashboard, Claim Work DIstribution (CWD), Claims Highway, Claims QA, Claims QA - EDI, COMET Desktop.NET, Consumer Database (CDB), Data Delivery System (DDS), </t>
  </si>
  <si>
    <t xml:space="preserve">Integrated Administration - Structure Matching </t>
  </si>
  <si>
    <t>ACIS Suite, Claims QA, Consumer Database (CDB), EPMO, NDB, PHS - NICE, UP Policy Profile Service</t>
  </si>
  <si>
    <t>Mark Caporale</t>
  </si>
  <si>
    <t>Rebecca Reynolds</t>
  </si>
  <si>
    <t>Rory Green</t>
  </si>
  <si>
    <t>Nancy Spaulding</t>
  </si>
  <si>
    <t>MARIANNE NEEB</t>
  </si>
  <si>
    <t>Denise Daubney</t>
  </si>
  <si>
    <t>Application Enablement, Benefit Intent Certification (BIC) Development – FACETS, Benefit Intent Certification (BIC) Development – UNET, BPID, BPM Development Group, Business Intent Certification Tool (BIC), CDD, Claims Highway, Claims QA, COMET Desktop.NE</t>
  </si>
  <si>
    <t>Chlease Brown</t>
  </si>
  <si>
    <t>B2B Provider Portal, Claims Highway, Claims QA, Claims QA - EDI, EPMO, Facets Alpha, Facets Solution Group, Facets Solution Group Architecture, FSDB - Financial Summary Database (5087), HIPAA, Infrastructure Architecture &amp; Engineering, NDB, Network Techno</t>
  </si>
  <si>
    <t>Dianna Hamilton</t>
  </si>
  <si>
    <t>STALEY CHERYL</t>
  </si>
  <si>
    <t>Bryan Morgenthaler</t>
  </si>
  <si>
    <t>Alexandria Nordstrom</t>
  </si>
  <si>
    <t>Carrie Reno</t>
  </si>
  <si>
    <t>Todd Nielsen</t>
  </si>
  <si>
    <t>DOREEN DESPIERRE</t>
  </si>
  <si>
    <t>Mark Ferris</t>
  </si>
  <si>
    <t>Martin Thurber</t>
  </si>
  <si>
    <t>Delana Anderson</t>
  </si>
  <si>
    <t>Bertram Janet</t>
  </si>
  <si>
    <t>Jensen Michelle</t>
  </si>
  <si>
    <t>Shawn McCord</t>
  </si>
  <si>
    <t>MICHAEL LONG</t>
  </si>
  <si>
    <t>DONALD DEMARCO</t>
  </si>
  <si>
    <t>Theresa Drexler</t>
  </si>
  <si>
    <t>SUSAN MIMICK</t>
  </si>
  <si>
    <t>Jason Dedzej</t>
  </si>
  <si>
    <t>Blake Norby</t>
  </si>
  <si>
    <t>Brian Foppes</t>
  </si>
  <si>
    <t>Shawn Lyon</t>
  </si>
  <si>
    <t>Cory Mehan</t>
  </si>
  <si>
    <t>SCHWENDINGER HOLLY</t>
  </si>
  <si>
    <t>GILDA BURFEIND</t>
  </si>
  <si>
    <t>Patrick Lattimer</t>
  </si>
  <si>
    <t>Mariyah Badani</t>
  </si>
  <si>
    <t>Peter Hessedal</t>
  </si>
  <si>
    <t>Cathleen Ackerman</t>
  </si>
  <si>
    <t>Corrine Guerber</t>
  </si>
  <si>
    <t>HEIDI JOHNSON</t>
  </si>
  <si>
    <t>MICHELE BOERGER</t>
  </si>
  <si>
    <t>SCOTT AUGUST</t>
  </si>
  <si>
    <t>Gated and Non-Gatefd Networks &amp; Product Fixes</t>
  </si>
  <si>
    <t>Melissa Bynon</t>
  </si>
  <si>
    <t>Emptoris, GEOAccess, NDB, UHC.COM</t>
  </si>
  <si>
    <t>Accolade/TWC/HP - myuhc Super User Access Level</t>
  </si>
  <si>
    <t>Loren Rohrer</t>
  </si>
  <si>
    <t>Mike Capeles</t>
  </si>
  <si>
    <t>KYLE WINNEGAR</t>
  </si>
  <si>
    <t>SCOTT PIETAK</t>
  </si>
  <si>
    <t>CHARLES JACOBY</t>
  </si>
  <si>
    <t>KELLY HARRISON</t>
  </si>
  <si>
    <t>ROBERT LEE</t>
  </si>
  <si>
    <t>RANDY LENTZ</t>
  </si>
  <si>
    <t>Christine Martin-Peterson</t>
  </si>
  <si>
    <t>MARGARET GRIFFIN</t>
  </si>
  <si>
    <t>MIKE KIL</t>
  </si>
  <si>
    <t>JOANN STOFREGEN</t>
  </si>
  <si>
    <t>Kim Koch</t>
  </si>
  <si>
    <t>JOHN LIPPINCOTT</t>
  </si>
  <si>
    <t>Rigina Stewart</t>
  </si>
  <si>
    <t>LORI POMROY</t>
  </si>
  <si>
    <t>STEVEN NELSON</t>
  </si>
  <si>
    <t>Freiheit Kathleen</t>
  </si>
  <si>
    <t>Rob Schleinitz</t>
  </si>
  <si>
    <t>FURST ANN-MARIE</t>
  </si>
  <si>
    <t>Joan Koehler</t>
  </si>
  <si>
    <t>10094 gandossy</t>
  </si>
  <si>
    <t>VIRGINIA MATHEWS</t>
  </si>
  <si>
    <t>TRACY STRUZYK</t>
  </si>
  <si>
    <t>DONNA SALT</t>
  </si>
  <si>
    <t>DENISE STRAIT</t>
  </si>
  <si>
    <t>TEDD HAUSER</t>
  </si>
  <si>
    <t>MELISSA EKSTRAND</t>
  </si>
  <si>
    <t>BRANDON HARBAUGH</t>
  </si>
  <si>
    <t>PETER MARTINSON</t>
  </si>
  <si>
    <t>WILLIAM BARBATO</t>
  </si>
  <si>
    <t>Kristin Emmanuel</t>
  </si>
  <si>
    <t>CAROLYN GUSTAFSON</t>
  </si>
  <si>
    <t>LINK KAREN</t>
  </si>
  <si>
    <t>MaryAnn Taylor</t>
  </si>
  <si>
    <t>CAROL CALVIN</t>
  </si>
  <si>
    <t>Maria Thompson</t>
  </si>
  <si>
    <t>ROBERT ECONOMY</t>
  </si>
  <si>
    <t>LAURIE PAIDOSH</t>
  </si>
  <si>
    <t>CARRIE CALL</t>
  </si>
  <si>
    <t>BRENDA BACK</t>
  </si>
  <si>
    <t>Paul Caouette</t>
  </si>
  <si>
    <t>AMY CANO</t>
  </si>
  <si>
    <t>Marianne Augello</t>
  </si>
  <si>
    <t xml:space="preserve">ACIS Suite, Application Enablement, Automated Underwriting, B2C Provider Portal, Claims Highway, Claims QA, Claims QA - EDI, Consumer Database (CDB), Contact Center Services, eHealth Medical Claims Database, Emptoris, Enterprise Letter Generation System, </t>
  </si>
  <si>
    <t>ROOP SONPAR</t>
  </si>
  <si>
    <t>JEAN CLARK</t>
  </si>
  <si>
    <t>Application Enablement, B2C Provider Portal, BPID, BPM CoE, Claims Highway, Claims QA, Computer Services, Connected Care (TeleHealth), EDSS - Enterprise Data Storage System, Enterprise Application Architecture, Enterprise Systems Planning Business Archite</t>
  </si>
  <si>
    <t>Provider Touchpoint - Scheduling and Registration</t>
  </si>
  <si>
    <t>Application Enablement, B2B Provider Portal, B2C Provider Portal, BPID, CareOne, Claims Highway, Claims QA, Claims QA - EDI, Computer Services, Connected Care (TeleHealth), Consumer Database (CDB), Enterprise Adjudication Service, Enterprise Application A</t>
  </si>
  <si>
    <t>Traci Gilbert</t>
  </si>
  <si>
    <t>LAURA GUY</t>
  </si>
  <si>
    <t>Joyce Valentukonis</t>
  </si>
  <si>
    <t>Brendan Griggs</t>
  </si>
  <si>
    <t>RYAN VASKE</t>
  </si>
  <si>
    <t>NICHOLE HEIDEN</t>
  </si>
  <si>
    <t>Karmen Anderson</t>
  </si>
  <si>
    <t>MICHAEL ROSLER</t>
  </si>
  <si>
    <t>Vankirksmith Judith</t>
  </si>
  <si>
    <t>Aaron Williamson</t>
  </si>
  <si>
    <t>NELSON MICHAEL</t>
  </si>
  <si>
    <t>PAUL ZWEIFEL</t>
  </si>
  <si>
    <t>Rebecca Saffert</t>
  </si>
  <si>
    <t>Melissa Orth</t>
  </si>
  <si>
    <t>CONGLETON JAMES</t>
  </si>
  <si>
    <t>Michelle Lorenzetti</t>
  </si>
  <si>
    <t>Donna Naessig</t>
  </si>
  <si>
    <t>COOPER PAULA</t>
  </si>
  <si>
    <t>Gabriela ZZZZZZRapp</t>
  </si>
  <si>
    <t>STANLEY CROUGHTER</t>
  </si>
  <si>
    <t>Craig Johnson</t>
  </si>
  <si>
    <t>WILLIAM DOBRANSKY</t>
  </si>
  <si>
    <t>BREE CORDELL</t>
  </si>
  <si>
    <t>BRYAN ANDERSON</t>
  </si>
  <si>
    <t>Frances Walls</t>
  </si>
  <si>
    <t>PALLAVI PATEL</t>
  </si>
  <si>
    <t>NICOLE TRAN</t>
  </si>
  <si>
    <t>RICHARD HOWARD</t>
  </si>
  <si>
    <t>JACQUELINE DEMARINIS</t>
  </si>
  <si>
    <t>Laura Ness</t>
  </si>
  <si>
    <t>AIMEE ARANDA</t>
  </si>
  <si>
    <t>CHERI BEHLES</t>
  </si>
  <si>
    <t>PATRICK TIMA</t>
  </si>
  <si>
    <t>P GIBLIN</t>
  </si>
  <si>
    <t>Jesse Owdom</t>
  </si>
  <si>
    <t>Steven Schweigert</t>
  </si>
  <si>
    <t>Ann Gjelten</t>
  </si>
  <si>
    <t>Jill Lammer</t>
  </si>
  <si>
    <t>SUSAN HAGEN</t>
  </si>
  <si>
    <t>JOHN HULEN</t>
  </si>
  <si>
    <t>Lee Solheim</t>
  </si>
  <si>
    <t>Rebecca Noreen</t>
  </si>
  <si>
    <t>Southerland SHERRY</t>
  </si>
  <si>
    <t>PAM JOHNSON</t>
  </si>
  <si>
    <t>Gizelle Chrisafis</t>
  </si>
  <si>
    <t>Diana Brown</t>
  </si>
  <si>
    <t>Michael Etheridge</t>
  </si>
  <si>
    <t>LAURIE SCHNEPPMUELLER</t>
  </si>
  <si>
    <t>James Maher</t>
  </si>
  <si>
    <t>Jeffrey Clark</t>
  </si>
  <si>
    <t>Sharon Katz</t>
  </si>
  <si>
    <t>Charlotte Salisbury</t>
  </si>
  <si>
    <t xml:space="preserve">Application Enablement, Audit Recovery Operations (ARO) Datamart, B2B Provider Portal, Claims Highway, Claims QA, Claims QA - EDI, Contact Center Services, EPMO, FSDB - Financial Summary Database (5087), FTS Financial Tagging Service, HIPAA, IBM FileNet, </t>
  </si>
  <si>
    <t>Vickie Gross</t>
  </si>
  <si>
    <t>Sue Ann Sparks</t>
  </si>
  <si>
    <t>HOLMAN JACQUELYNE</t>
  </si>
  <si>
    <t>ACIS Suite, B2B Provider Portal, B2C Provider Portal, Claims Highway, Claims QA, Claims QA - EDI, Consumer Account Management System (CAMS), Consumer Database (CDB), EDSS - Enterprise Data Storage System, Enterprise Activation Messaging Platform (eAMP), E</t>
  </si>
  <si>
    <t>MICHAEL KOMINIAK</t>
  </si>
  <si>
    <t>SHAUNA ARGENTO</t>
  </si>
  <si>
    <t>Angela Ravasz</t>
  </si>
  <si>
    <t>Ruth Backlund</t>
  </si>
  <si>
    <t>RANDY FARBER</t>
  </si>
  <si>
    <t>RITTEN KIMBERLY</t>
  </si>
  <si>
    <t>MICHEAU CAROL</t>
  </si>
  <si>
    <t>WILLIAM REBOUL</t>
  </si>
  <si>
    <t>Paula Bloodhart</t>
  </si>
  <si>
    <t>Dhaveji Chakravadhanula</t>
  </si>
  <si>
    <t>ROB WILSON</t>
  </si>
  <si>
    <t>Brian Azzarello</t>
  </si>
  <si>
    <t>Alicia Houske</t>
  </si>
  <si>
    <t>Rebecca Stelter</t>
  </si>
  <si>
    <t>Marykay Jones</t>
  </si>
  <si>
    <t>Mary Vanspeybroeck</t>
  </si>
  <si>
    <t>Jennifer Kosecki</t>
  </si>
  <si>
    <t>Bree Drenning</t>
  </si>
  <si>
    <t>Kristine Klauer</t>
  </si>
  <si>
    <t>Jeffrey Greenspan</t>
  </si>
  <si>
    <t>Toni Townsend</t>
  </si>
  <si>
    <t>JAMES HUBEN</t>
  </si>
  <si>
    <t>John Lewis</t>
  </si>
  <si>
    <t>Michael Elert</t>
  </si>
  <si>
    <t>GARY SPENCER</t>
  </si>
  <si>
    <t>MARJORIE GANDOSSY</t>
  </si>
  <si>
    <t>MARK CARLEBACH</t>
  </si>
  <si>
    <t>Pamela D Allen</t>
  </si>
  <si>
    <t>Connie Claros</t>
  </si>
  <si>
    <t>Oded Smilovici</t>
  </si>
  <si>
    <t>Application Enablement, B2C Provider Portal, BPID, Claims Highway, Claims QA, COSMOS, Cross Application Testing, Decision Support System (DSS), EPMO, Galaxy, GGMAP, IDT - Intelligent Desktop, NDB, ORBIT - Operational Reporting, ORS, ppoONE, UHC C and S Bu</t>
  </si>
  <si>
    <t>Scott Spillman</t>
  </si>
  <si>
    <t>Barbara Petrauschke</t>
  </si>
  <si>
    <t>Susan Dzialo</t>
  </si>
  <si>
    <t>Michael Shaw</t>
  </si>
  <si>
    <t>Thomas Finkel</t>
  </si>
  <si>
    <t>Jennifer Daigle</t>
  </si>
  <si>
    <t>Debra Pinney</t>
  </si>
  <si>
    <t>Joe Moran</t>
  </si>
  <si>
    <t>STACIE NABEDRICK</t>
  </si>
  <si>
    <t>Robert Hilke Jr.</t>
  </si>
  <si>
    <t>Pasini Liz</t>
  </si>
  <si>
    <t>Christine Cone</t>
  </si>
  <si>
    <t>GEOFFREY BRUNKHORST</t>
  </si>
  <si>
    <t>Robert Benat</t>
  </si>
  <si>
    <t>Wayne Mickiewicz</t>
  </si>
  <si>
    <t>Jan Lemke</t>
  </si>
  <si>
    <t>Peter Lutz</t>
  </si>
  <si>
    <t>Mark Hutensky</t>
  </si>
  <si>
    <t>Stan Guzek</t>
  </si>
  <si>
    <t>Anthony Latronica</t>
  </si>
  <si>
    <t>Shanie Bahr</t>
  </si>
  <si>
    <t>Doreen Linton</t>
  </si>
  <si>
    <t>Susan Jepson</t>
  </si>
  <si>
    <t>Randy Parent</t>
  </si>
  <si>
    <t>Paul Grandpre</t>
  </si>
  <si>
    <t>Marilyn Rath</t>
  </si>
  <si>
    <t>James Newlon</t>
  </si>
  <si>
    <t>Beth Stately</t>
  </si>
  <si>
    <t>Jonathan Schmidt</t>
  </si>
  <si>
    <t>Peter McHenry</t>
  </si>
  <si>
    <t>Carolyn Besch</t>
  </si>
  <si>
    <t>Brian McCarthy</t>
  </si>
  <si>
    <t>Thomas Longar</t>
  </si>
  <si>
    <t>Shauna Ulloa</t>
  </si>
  <si>
    <t>Caryn Zange-Josephson</t>
  </si>
  <si>
    <t>Arthur Drennan</t>
  </si>
  <si>
    <t>Inga Borggreve</t>
  </si>
  <si>
    <t>Julie Meyer</t>
  </si>
  <si>
    <t>Melissa Murphy</t>
  </si>
  <si>
    <t>MARGARET MURPHY</t>
  </si>
  <si>
    <t>RONALD RODER</t>
  </si>
  <si>
    <t>APARNA ABBURI</t>
  </si>
  <si>
    <t>JASON LAVOIE</t>
  </si>
  <si>
    <t>Dawn Gunderson</t>
  </si>
  <si>
    <t>MARK SHIPLEY</t>
  </si>
  <si>
    <t>AMBER BARKER</t>
  </si>
  <si>
    <t>Chris Hansen</t>
  </si>
  <si>
    <t>Callari Gloria</t>
  </si>
  <si>
    <t>Howard Levenson</t>
  </si>
  <si>
    <t>Jill ZZZZZBerg</t>
  </si>
  <si>
    <t>Cheryl ZZZZZZZBerg</t>
  </si>
  <si>
    <t>LISA ROONEY</t>
  </si>
  <si>
    <t>TASHA LEDDY</t>
  </si>
  <si>
    <t>Scott Freberg</t>
  </si>
  <si>
    <t>Vincent Tyler</t>
  </si>
  <si>
    <t>ALLISON COPELAND</t>
  </si>
  <si>
    <t>Sue Tran</t>
  </si>
  <si>
    <t>Jim Kimmel</t>
  </si>
  <si>
    <t>Mary Dotson</t>
  </si>
  <si>
    <t>Darla Uylaky-McKee</t>
  </si>
  <si>
    <t>DAWN WALTER</t>
  </si>
  <si>
    <t>Mary Kenady</t>
  </si>
  <si>
    <t>Susan Thompson</t>
  </si>
  <si>
    <t>Dale Biros</t>
  </si>
  <si>
    <t>LISA STARIN</t>
  </si>
  <si>
    <t>PAUL KASCHULUK</t>
  </si>
  <si>
    <t>Michael Miller</t>
  </si>
  <si>
    <t>CAROL BERCAW</t>
  </si>
  <si>
    <t>STEEN POULSEN</t>
  </si>
  <si>
    <t>STEVEN BERG</t>
  </si>
  <si>
    <t>GREG SAVONEN</t>
  </si>
  <si>
    <t>Daniel Sullivan</t>
  </si>
  <si>
    <t>MICHELLE Smeby</t>
  </si>
  <si>
    <t>RATNA ZZZZZNANISETTY</t>
  </si>
  <si>
    <t>Beth Harness</t>
  </si>
  <si>
    <t>RICHARD PAPA</t>
  </si>
  <si>
    <t>Mary Margaret Beswick</t>
  </si>
  <si>
    <t>William James</t>
  </si>
  <si>
    <t>Alex Dunn</t>
  </si>
  <si>
    <t>Gail Gretzmacher</t>
  </si>
  <si>
    <t>Aiello Gina</t>
  </si>
  <si>
    <t>RENEE SMITH</t>
  </si>
  <si>
    <t>LISA GREENWOOD</t>
  </si>
  <si>
    <t>Angela Bleibaum</t>
  </si>
  <si>
    <t>Application Enablement, B2B Provider Portal, B2C Provider Portal, Bank Information System (BIS), BASICS, BH-Linx, CFAS, Claims QA, Claims QA - EDI, Contact Center Services, COSMOS, Decision Support System (DSS), EDSS - Enterprise Data Storage System, Ente</t>
  </si>
  <si>
    <t>Karl Shallenberger</t>
  </si>
  <si>
    <t>KAREN SAUER</t>
  </si>
  <si>
    <t>Thomas Torborg</t>
  </si>
  <si>
    <t>Shirelyn ZZZZZZBirdwell</t>
  </si>
  <si>
    <t>Joshua Ely</t>
  </si>
  <si>
    <t>Victoria Host</t>
  </si>
  <si>
    <t>Michele Mougey</t>
  </si>
  <si>
    <t>JOY EBANKS</t>
  </si>
  <si>
    <t>Traci Mollenkopf</t>
  </si>
  <si>
    <t xml:space="preserve">Adjudipro, Application Enablement, BPM CoE, Claims Highway, Claims QA, Claims QA - EDI, Computer Services, COSMOS, CPW, Decision Support System (DSS), EDSS - Enterprise Data Storage System, Enterprise Adjudication Service, Enterprise Decomm Architecture, </t>
  </si>
  <si>
    <t>Elena Filimonova</t>
  </si>
  <si>
    <t>CareOne, Claims Highway, Claims Inventory Navigator, Claims QA, Consumer Database (CDB), COSMOS, Decision Support System (DSS), Enterprise Letter Generation System, EPMO, eServices Billing, Galaxy, Healthcare Alliance - Medica, ISEC (Internet Security Dat</t>
  </si>
  <si>
    <t>MELANIE ZIERER</t>
  </si>
  <si>
    <t>BRANDON BERMAN</t>
  </si>
  <si>
    <t>Sue Meotti</t>
  </si>
  <si>
    <t>MELONY SCHREINER</t>
  </si>
  <si>
    <t>Michael Rossi</t>
  </si>
  <si>
    <t>Eileen Cabe</t>
  </si>
  <si>
    <t>Michelle Klemz</t>
  </si>
  <si>
    <t>Carolyn Green</t>
  </si>
  <si>
    <t>GEORGE HUCUL</t>
  </si>
  <si>
    <t>Tina Marthaler</t>
  </si>
  <si>
    <t>Pamela DiNatalie</t>
  </si>
  <si>
    <t>Annitta Ingraham</t>
  </si>
  <si>
    <t>Mitch Forsyth</t>
  </si>
  <si>
    <t>JABIR YUSUF</t>
  </si>
  <si>
    <t>Bill Kennedy</t>
  </si>
  <si>
    <t>Brian Horn</t>
  </si>
  <si>
    <t>Joseph Kostrzewa</t>
  </si>
  <si>
    <t>Marie Gonzalez</t>
  </si>
  <si>
    <t>GUY HICKLIN</t>
  </si>
  <si>
    <t>MICHAEL GWIN</t>
  </si>
  <si>
    <t>Ganapathy Venkataraman</t>
  </si>
  <si>
    <t>JOCELYN FREEDMAN</t>
  </si>
  <si>
    <t>MARK VanATTA</t>
  </si>
  <si>
    <t>BPID, Claims Highway, Claims QA, COSMOS, COSMOS Medicaid Processing, CPW, Decision Support System (DSS), Emptoris, EPMO, Galaxy, GGMAP, Healthcare Alliance - Medica, NDB, PAS - Examiner, PAS - Navigator, PAS - Small Projects, Provider Data &amp; Reimbursement</t>
  </si>
  <si>
    <t>Stacy Blackstad</t>
  </si>
  <si>
    <t>Eric Peterson</t>
  </si>
  <si>
    <t>Application Enablement, BPID, Claims Highway, Claims QA, COSMOS, Cross Application Testing, Decision Support System (DSS), Emptoris, Enterprise Application Architecture, Enterprise Information Management, Enterprise Systems Planning Business Architecture,</t>
  </si>
  <si>
    <t>Glen Ferrera</t>
  </si>
  <si>
    <t>Renee Overton-Palma</t>
  </si>
  <si>
    <t>DIANE KOWAL</t>
  </si>
  <si>
    <t>LEISA SODHI</t>
  </si>
  <si>
    <t>David Clevenger</t>
  </si>
  <si>
    <t>Tanya Rainey</t>
  </si>
  <si>
    <t>THOMAS BARTHEL</t>
  </si>
  <si>
    <t>Sharon Au</t>
  </si>
  <si>
    <t>Mark Paidosh</t>
  </si>
  <si>
    <t>Deborah Green</t>
  </si>
  <si>
    <t>Sara Maruska</t>
  </si>
  <si>
    <t>RINA SCHARTZ</t>
  </si>
  <si>
    <t>Alejandro Corral</t>
  </si>
  <si>
    <t>James Brady</t>
  </si>
  <si>
    <t>Latha Alex</t>
  </si>
  <si>
    <t>RONALD SMREKAR</t>
  </si>
  <si>
    <t>Deepa Ramanathen</t>
  </si>
  <si>
    <t>Angela Curtis</t>
  </si>
  <si>
    <t>WILLIAM MARSHALL</t>
  </si>
  <si>
    <t>Leslie Pitchford</t>
  </si>
  <si>
    <t>KENNETH KULUS</t>
  </si>
  <si>
    <t>JON PAUL</t>
  </si>
  <si>
    <t>MATT MCDONOUGH</t>
  </si>
  <si>
    <t>Gangadhar Sulkunte</t>
  </si>
  <si>
    <t>Stephanie Moore</t>
  </si>
  <si>
    <t>Kari Buck</t>
  </si>
  <si>
    <t>Terri Fanaselle</t>
  </si>
  <si>
    <t>Debra Dee</t>
  </si>
  <si>
    <t>Dani Hochleutner</t>
  </si>
  <si>
    <t>Terri Hiller</t>
  </si>
  <si>
    <t>Mary Zack</t>
  </si>
  <si>
    <t>Brian Beharry</t>
  </si>
  <si>
    <t>MELISSA SUTHERLAND</t>
  </si>
  <si>
    <t>SHARON MCCARTHY</t>
  </si>
  <si>
    <t>Todd Rachwal</t>
  </si>
  <si>
    <t>TERESA GULDEN</t>
  </si>
  <si>
    <t>KATHRYN CATALANO</t>
  </si>
  <si>
    <t>Dave Farrington</t>
  </si>
  <si>
    <t>JULIE FOSTER</t>
  </si>
  <si>
    <t>AMY East-Glenn</t>
  </si>
  <si>
    <t>Deborah Plumb</t>
  </si>
  <si>
    <t>BISH PADHI</t>
  </si>
  <si>
    <t>PATRICK KENDELLEN</t>
  </si>
  <si>
    <t>LAUREN HANOVER</t>
  </si>
  <si>
    <t>Gavin Sinclair</t>
  </si>
  <si>
    <t>ELIZABETH Krajewski</t>
  </si>
  <si>
    <t>Jill Knightschwitalla</t>
  </si>
  <si>
    <t>Doug Fossum</t>
  </si>
  <si>
    <t>Daniel Zeh</t>
  </si>
  <si>
    <t>Karen Riley</t>
  </si>
  <si>
    <t>Mark Hinnenthal</t>
  </si>
  <si>
    <t>Lawrence Feinstein</t>
  </si>
  <si>
    <t>Lisa Xiong</t>
  </si>
  <si>
    <t>Rene Savage</t>
  </si>
  <si>
    <t>Candice Smith</t>
  </si>
  <si>
    <t>Yanick Hazlewood</t>
  </si>
  <si>
    <t>Amanda Johnson</t>
  </si>
  <si>
    <t>John Wallace</t>
  </si>
  <si>
    <t>Shannon Goyette</t>
  </si>
  <si>
    <t>Probir Mukerjee</t>
  </si>
  <si>
    <t>AARON SAPP</t>
  </si>
  <si>
    <t>William Wallberg</t>
  </si>
  <si>
    <t>Cindy Nelson</t>
  </si>
  <si>
    <t>Lisa Obrien</t>
  </si>
  <si>
    <t>Jim Beebe</t>
  </si>
  <si>
    <t>Sheila Pellow</t>
  </si>
  <si>
    <t>Kardock Elaine</t>
  </si>
  <si>
    <t>ANDREW SIMON</t>
  </si>
  <si>
    <t>TODD COBBS</t>
  </si>
  <si>
    <t>JESSICA BURRELL</t>
  </si>
  <si>
    <t>KRISTINE FUDER</t>
  </si>
  <si>
    <t>THOMAS ABBOTT</t>
  </si>
  <si>
    <t>RINA LASSEN</t>
  </si>
  <si>
    <t>Terry Kramer</t>
  </si>
  <si>
    <t>KARLA KRAFT</t>
  </si>
  <si>
    <t>10-00000-480</t>
  </si>
  <si>
    <t>400057589A</t>
  </si>
  <si>
    <t>400058005A</t>
  </si>
  <si>
    <t>400058052A</t>
  </si>
  <si>
    <t>400055989A</t>
  </si>
  <si>
    <t>400058033A</t>
  </si>
  <si>
    <t>400057546A</t>
  </si>
  <si>
    <t>400055897A</t>
  </si>
  <si>
    <t>Int - 7/1/2013
UAT - 7/8/2013</t>
  </si>
  <si>
    <t>INT - 7/1/2013
UAT - 7/17/2013</t>
  </si>
  <si>
    <t>Nitin Upreti</t>
  </si>
  <si>
    <t>Nicole Bruno/
John McGrath
Fran Johnson</t>
  </si>
  <si>
    <t>AmeriChoice, Application Enablement, B2B Provider Portal, B2C Provider Portal, CareOne, CCS-CCF, CES, Claims Highway, Consumer Account Management System (CAMS), COSMOS, Customer Reporting (eCR), EDSS - Enterprise Data Storage System, Electronic Eligibilit</t>
  </si>
  <si>
    <t>Application Enablement, B2B Provider Portal, B2C Provider Portal, BH-Elig/Accum, CareOne, Claims Highway, Claims QA, Consumer Database (CDB), Contact Center Services, COSMOS, COSMOS Medicaid Processing, Decision Support System (DSS), EDSS - Enterprise Dat</t>
  </si>
  <si>
    <t>ACIS Suite, Application Enablement, Applications Impacted Unknown, BASICS, CES, Claims Highway, Consumer Database (CDB), Cross Application Testing, CTS - Common Tables System, Customer Reporting (eCR), Data Delivery System (DDS), Decision Support System (</t>
  </si>
  <si>
    <t>ACIS Suite, Application Enablement, BASICS, CES, Claims Highway, Claims QA, Claims QA - EDI, Consumer Database (CDB), Cross Application Testing, EDSS - Enterprise Data Storage System, Electronic Eligibility Management System (EEMS), Emptoris, Enterprise E</t>
  </si>
  <si>
    <t>A&amp;G Workflow &amp; Tracking System, Application Enablement, Audit Recovery Operations (ARO) Datamart, BPID, Capitation - Business Analysis, Claims Highway, Claims QA, Consumer Database (CDB), COSMOS, Customer Reporting (eCR), ECap, Employer Portal, Enterprise</t>
  </si>
  <si>
    <t>Florida Statewide Medicaid Managed Care Acute ITN</t>
  </si>
  <si>
    <t>Business Intelligence &amp; Data Management, Claims Highway, Claims QA, Claims QA - EDI, Claims QA Oxford, COMET Desktop.NET, Consumer Database (CDB), COSMOS, Electronic Eligibility Management System (EEMS), Employer Portal, EPMO, eServices Billing, Galaxy, G</t>
  </si>
  <si>
    <t>ACIS Suite, B2B Provider Portal, B2C Provider Portal, BASICS, CES, COMET Desktop.NET, Computer Services, Consumer Database (CDB), Contact Center Services, CTS - Common Tables System, Data Management, EDSS - Enterprise Data Storage System, Electronic Eligi</t>
  </si>
  <si>
    <t>ACIS Suite, Application Enablement, CES, CIX (Customer Installation Express), Claims Highway, COMET Desktop.NET, Computer Services, Consumer Database (CDB), Contact Center Services, Cross Application Testing, Customer Reporting (eCR), Data Delivery System</t>
  </si>
  <si>
    <t>Application Enablement, Automated Underwriting, BASICS, Card Integration Platform (CIP), CES, COMET Desktop, COMET Desktop.NET, Contact Center Services, COSMOS, Cross Application Testing, CTS - Common Tables System, Data Management, EDSS - Enterprise Data</t>
  </si>
  <si>
    <t>Adjudipro, Alerts Admin Tool, AmeriChoice, Application Enablement, APT, B2B Provider Portal, B2C Provider Portal, CareOne, CCS-CCF, CES, CFAS, Consumer Database (CDB), Contact Center Services, COSMOS, CPW, Cross Application Testing, Customer Reporting (eC</t>
  </si>
  <si>
    <t>Lisa Preece</t>
  </si>
  <si>
    <t>Pennsylvania Facets to Facets Migration</t>
  </si>
  <si>
    <t>AMBER WONG</t>
  </si>
  <si>
    <t>Denise Puskaric</t>
  </si>
  <si>
    <t xml:space="preserve">Adjudipro, Application Enablement, Audit Recovery Operations (ARO) Datamart, B2B Provider Portal, B2C Provider Portal, Card Request System (CRS), CareOne, CFAS, Claims Highway, Claims QA, Claims QA - EDI, Consumer Database (CDB), COSMOS, Decision Support </t>
  </si>
  <si>
    <t>Application Enablement, B2B Provider Portal, B2C Provider Portal, CareOne, CFAS, Claims Highway, Claims QA, Claims QA - EDI, Computer Services, Consumer Database (CDB), COSMOS, Decision Support System (DSS), EDSS - Enterprise Data Storage System, Enterpri</t>
  </si>
  <si>
    <t>Nikki Sidney</t>
  </si>
  <si>
    <t>Audit Recovery Operations (ARO) Datamart, B2B Provider Portal, Card Request System (CRS), CareOne, Claims QA, Claims QA - EDI, Consumer Database (CDB), Emptoris, EPMO, ETS (Escalation Tracking System), FSDB - Financial Summary Database (5087), iCES Cleari</t>
  </si>
  <si>
    <t>Audit Recovery Operations (ARO) Datamart, B2B Provider Portal, BH-Elig/Accum, BH-HP Compare, Card Request System (CRS), CareOne, Claims QA, Claims QA - EDI, Consumer Database (CDB), Contact Center Services, EDSS - Enterprise Data Storage System, Enterpris</t>
  </si>
  <si>
    <t>Atlas, Automated Underwriting, BASICS, CCS-CCF, CES, Contact Center Services, Cross Application Testing, CTS - Common Tables System, Customer Reporting (eCR), EA Data Architecture, Employer Portal, Enterprise Solutions, EPMO, eSBPP, eServices Billing, eSe</t>
  </si>
  <si>
    <t>Audit Recovery Operations (ARO) Datamart, Claims Highway, Claims QA, Consumer Account Management System (CAMS), COSMOS, Customer Reporting (eCR), Data Delivery System (DDS), Decision Support System (DSS), EPMO, Exodes, Facets Alpha, Galaxy, GGMAP, iCES Cl</t>
  </si>
  <si>
    <t>ACIS Suite, Application Enablement, Atlas, Automated Underwriting, B2B Provider Portal, CES, Claims Highway, Consumer Database (CDB), Cross Application Testing, CTS - Common Tables System, Customer Reporting (eCR), Data Management, Employer Portal, Enterp</t>
  </si>
  <si>
    <t>Application Enablement, B2C Provider Portal, Billing and Enrollment Navigator, CareOne, Claims QA, CMS Dev, Consumer Database (CDB), COSMOS, Decision Support System (DSS), Eau Claire Productivity Suite, EDSS - Enterprise Data Storage System, Eligibility R</t>
  </si>
  <si>
    <t>ACIS Suite, B2B Provider Portal, B2C Provider Portal, BPID, Claims Highway, COMET Desktop.NET, Consumer Database (CDB), Cross Application Testing, Customer Reporting (eCR), ECap, EDSS - Enterprise Data Storage System, Employer Portal, Emptoris, Enterprise</t>
  </si>
  <si>
    <t>Application Enablement, BASICS, CES, Contact Center Services, CTS - Common Tables System, Data Delivery System (DDS), Data Management, EA Data Architecture, EDSS - Enterprise Data Storage System, Employer Portal, eServices Billing, FADB (Financial Assignm</t>
  </si>
  <si>
    <t>ACIS Suite, Application Enablement, Atlas, BASICS, CES, CMA (Content Management Application), Commercial Payment System (EPS), Computer Services, Data Management, EDSS - Enterprise Data Storage System, EDSS (COLD), Electronic Eligibility Management System</t>
  </si>
  <si>
    <t>Medicare Advantage Part C EOB Day 1 Project (A/D)</t>
  </si>
  <si>
    <t>Karen Piacentini</t>
  </si>
  <si>
    <t>B2B Provider Portal, B2C Provider Portal, BH-HP Compare, CFAS, Claims Highway, Claims QA, Claims QA - EDI, Consumer Database (CDB), COSMOS, DCM - Distribution Channel Management, Decision Support System (DSS), Enterprise Systems Planning Business Architec</t>
  </si>
  <si>
    <t>Application Enablement, B2B Provider Portal, B2C Provider Portal, CareOne, CERTS, Claims Inventory Navigator, Claims QA, CMS Dev, Consumer Database (CDB), COSMOS, Decision Support System (DSS), EDSS - Enterprise Data Storage System, Enterprise Information</t>
  </si>
  <si>
    <t>Application Enablement, Audit Recovery Operations (ARO) Datamart, BH-EDI/Data Extracts, BH-Elig/Accum, Card Request System (CRS), Claims QA, Consumer Database (CDB), Contact Center Services, Cross Application Testing, EPMO, Facets Alpha, Facets Solution G</t>
  </si>
  <si>
    <t>ACIS Suite, B2B Provider Portal, B2C Provider Portal, CCS-CCF, CES, CIX (Customer Installation Express), Computer Services, Contact Center Services, Cross Application Testing, CTS - Common Tables System, Customer Reporting (eCR), Employer Portal, Enterpri</t>
  </si>
  <si>
    <t>ACIS Suite, B2B Provider Portal, CISS - TOPS Case Installation, CIX (Customer Installation Express), Claims QA, CMA (Content Management Application), Consumer Account Management System (CAMS), Consumer Database (CDB), COSMOS, Customer Reporting (eCR), Ele</t>
  </si>
  <si>
    <t xml:space="preserve">ACIS Suite, Application Enablement, BPID, Capitation - Business Analysis, CES, Computer Services, Consumer Database (CDB), Customer Reporting (eCR), ECap, Enterprise Application Architecture, Enterprise Content Management and Architecture, Enterprise EDI </t>
  </si>
  <si>
    <t>Application Enablement, B2B Provider Portal, B2C Provider Portal, CareOne, CCS-CCF, CES, Consumer Database (CDB), Contact Center Services, COSMOS, Cross Application Testing, Data Management, EDSS - Enterprise Data Storage System, Employer Portal, Enterpri</t>
  </si>
  <si>
    <t>ACIS Suite, Application Enablement, Atlas, CES, CIX (Customer Installation Express), Consumer Database (CDB), Contact Center Services, Cross Application Testing, Customer Reporting (eCR), Data Management, Electronic Eligibility Management System (EEMS), E</t>
  </si>
  <si>
    <t>Application Enablement, B2B Provider Portal, CFAS, Claims Highway, COSMOS, CPW, Cross Application Testing, Desktop and Groupware Services, EDSS - Enterprise Data Storage System, Enterprise Architecture, Enterprise Content Management and Architecture, Ente</t>
  </si>
  <si>
    <t>Adjudipro, Application Enablement, APT, B2B Provider Portal, B2C Provider Portal, CareOne, CCS-CCF, CES, Consumer Database (CDB), Contact Center Services, COSMOS, CPW, Cross Application Testing, Data Delivery System (DDS), EDSS - Enterprise Data Storage S</t>
  </si>
  <si>
    <t>Washington State Qualified Health Homes</t>
  </si>
  <si>
    <t>Doug Bowes</t>
  </si>
  <si>
    <t>PHS Commercial Migration from PBHtoOHBS Facets-Dev</t>
  </si>
  <si>
    <t>Paul Gueldner</t>
  </si>
  <si>
    <t>Application Enablement, B2B Provider Portal, BH-Agate, BH-Clinical Applications, BH-Data Warehouses, BH-Eagle, BH-EDI/Data Extracts, BH-Elig/Benefits, BH-Facets - UBH, BH-HP Compare, BH-Linx, BH-PBH Facets, BH-Shared Components, Claims Highway, Claims QA,</t>
  </si>
  <si>
    <t xml:space="preserve">ACIS Suite, Application Enablement, BASICS, CES, Consumer Database (CDB), Contact Center Services, Cross Application Testing, Customer Reporting (eCR), Employer Portal, Enterprise Information Management, Enterprise Product Planning &amp; Architecture (EPPA), </t>
  </si>
  <si>
    <t>ACIS Suite, Application Enablement, CES, Consumer Account Management System (CAMS), Consumer Database (CDB), Contact Center Services, CTS - Common Tables System, Customer Reporting (eCR), Definity Health App Suite, Definity Health PM, Employer Portal, Ent</t>
  </si>
  <si>
    <t>Application Enablement, B2B Provider Portal, B2C Provider Portal, BPID, BPM CoE, Claims Highway, Claims QA, Claims QA - EDI, Claims QA Oxford, Computer Services, Connected Care (TeleHealth), Consumer Database (CDB), COSMOS, eHealth Medical Claims Database</t>
  </si>
  <si>
    <t>ACIS Suite, Application Enablement, Claims Highway, Claims QA, CMA (Content Management Application), Computer Services, Consumer Database (CDB), COSMOS, Customer Reporting (eCR), eArt, EDSS - Enterprise Data Storage System, eHealth Medical Claims Database</t>
  </si>
  <si>
    <t>Application Enablement, BH-Facets - UBH, Claims Highway, Claims QA, Claims QA - Specialty Benefits, Consumer Database (CDB), COSMOS, Enterprise Document Management System (EDMS), Enterprise Information Management, Enterprise Systems Planning Business Arch</t>
  </si>
  <si>
    <t>Application Enablement, B2B Provider Portal, B2C Provider Portal, CCS-CCF, CES, COMET Desktop.NET, Computer Services, Consumer Account Management System (CAMS), Consumer Database (CDB), COSMOS, Cross Application Testing, CTS - Common Tables System, EDSS -</t>
  </si>
  <si>
    <t>Paul Mcgahan</t>
  </si>
  <si>
    <t xml:space="preserve">Application Enablement, B2B Provider Portal, Claims Highway, Claims QA, Claims QA - EDI, COSMOS, Decision Support System (DSS), Enterprise Information Management, Enterprise Systems Planning Business Architecture, EPMO, Galaxy, GGMAP, HIPAA, IBM FileNet, </t>
  </si>
  <si>
    <t>Audit Recovery Operations (ARO) Datamart, CFAS, Claims QA, Claims QA - EDI, COSMOS, CPW, Customer Reporting (eCR), EDSS - Enterprise Data Storage System, EPMO, FSDB - Financial Summary Database (5087), FTS Financial Tagging Service, NDB, ODAR, Ovations Fi</t>
  </si>
  <si>
    <t>B2C Provider Portal, CCS-CCF, Corporate Real Estate Applications, Corporate Tax Applications, Customer Management - Training  &amp; Communications, DCM - Distribution Channel Management, FICS, Galaxy, Human Capital Applications, Oxford Ancillary Apps, PeopleS</t>
  </si>
  <si>
    <t xml:space="preserve">CMDB (Correction Management Database), Cross Application Testing, Data Delivery System (DDS), Data Management, EDSS - Enterprise Data Storage System, Enterprise Architecture, FADB (Financial Assignment Database), FSDB - Financial Summary Database (5087), </t>
  </si>
  <si>
    <t>Application Enablement, CMDB (Correction Management Database), Commercial Payment System (EPS), COSMOS, Data Management, EA Data Architecture, EDSS - Enterprise Data Storage System, EPDL/EPDE, FSDB - Financial Summary Database (5087), Galaxy, HIPAA, IDT -</t>
  </si>
  <si>
    <t>Application Enablement, B2B Provider Portal, B2C Provider Portal, CareOne, Computer Services, Consumer Database (CDB), Cross Application Testing, ECMA-TMS, EDSS - Enterprise Data Storage System, Enterprise Content Management and Architecture, Enterprise E</t>
  </si>
  <si>
    <t>BH-Facets - UBH, BH-IT App Services, BH-Mgmt and Planning, BH-PBH Facets, CES, Consumer Database (CDB), COSMOS, Definity Health App Suite, Eldorado, Facets Alpha, Ingenix Custom Reporting and Consulting (ICRC  Formerly Ad Hoc), NDB, Oxford DM &amp; Analytics,</t>
  </si>
  <si>
    <t xml:space="preserve">Acquisition Integrations, B2C Provider Portal, CES, Consumer Database (CDB), Cross Application Testing, Customer Reporting (eCR), Enterprise Letter Generation System, Galaxy, Healthcare Alliance - Medica, IBAAG - BPST (Template updates and testing), iCES </t>
  </si>
  <si>
    <t>ACIS Suite, Application Enablement, BPM Development Group, Claims QA, Emptoris, Enterprise Application Architecture, Enterprise Architecture Practices, Enterprise Information Management, Enterprise Product Planning &amp; Architecture (EPPA), EPMO, Galaxy, GEO</t>
  </si>
  <si>
    <t>Audit Recovery Operations (ARO) Datamart, BPID, Business Intelligence &amp; Data Management, Customer Reporting (eCR), Decision Support System (DSS), Enterprise Systems Planning Business Architecture, Galaxy, Ingenix Ovations Data Mart (ODM), NDB, Orbit Gover</t>
  </si>
  <si>
    <t>Audit Recovery Operations (ARO) Datamart, B2B Provider Portal, B2C Provider Portal, BH-Facets - UBH, Claims QA, Claims QA - EDI, Claims QA OHBS, Consumer Database (CDB), Enterprise Information Management, EPMO, Facets Alpha, FSDB - Financial Summary Datab</t>
  </si>
  <si>
    <t>Claims Highway, Claims QA, COMET Desktop.NET, Consumer Database (CDB), Customer Reporting (eCR), Data Delivery System (DDS), EDSS - Enterprise Data Storage System, Enterprise Letter Generation System, EPMO, Galaxy, Healthcare Alliance - Medica, IBAAG - BP</t>
  </si>
  <si>
    <t>Application Enablement, ATG Automated Transaction Generator, B2B Provider Portal, B2C Provider Portal, COSMOS, CPW, Cross Application Testing, Data Delivery System (DDS), EDSS - Enterprise Data Storage System, Enterprise Architecture, EPMO, Foundation Fra</t>
  </si>
  <si>
    <t>Cross Application Testing, Enterprise Application Architecture, Enterprise Information Management, EPMO, GEOAccess, GPT - Configuration Management, GPT - Release Management, GPT eCommerce, iLEAD, NDB, Network Technology &amp; Support, OHCS - PH Accent, Oxford</t>
  </si>
  <si>
    <t>Application Enablement, B2B Provider Portal, B2C Provider Portal, Claims Highway, Claims QA, Claims QA - EDI, COSMOS, CPW, Decision Support System (DSS), Enterprise Information Management, EPMO, Galaxy, GGMAP, Ingenix Custom Reporting and Consulting (ICRC</t>
  </si>
  <si>
    <t>Corporate - Health Care Exchange</t>
  </si>
  <si>
    <t>Application Enablement, Claims QA, Claims QA - Specialty Benefits, Consumer Database (CDB), COSMOS, Enterprise Application Architecture, Enterprise Information Management, Enterprise Letter Generation System, Enterprise Systems Planning Business Architect</t>
  </si>
  <si>
    <t>Audit Recovery Operations (ARO) Datamart, CFAS, Claims QA, COSMOS, CPW, Customer Reporting (eCR), EDSS - Enterprise Data Storage System, EPMO, FSDB - Financial Summary Database (5087), FTS Financial Tagging Service, NDB, ODAR, Ovations Financial Warehouse</t>
  </si>
  <si>
    <t xml:space="preserve">Application Enablement, Behavioral Solutions Navigator, BOSS, BPM Development Group, CareOne, Consumer Database (CDB), Corporate UHG IT Applications, CRDM, Enterprise Information Management, Enterprise Letter Generation System, EPMO, ICUE Core, NDB, OHCS </t>
  </si>
  <si>
    <t>Customer Reporting (eCR), eArt, Employer Portal, Enterprise Application Architecture, Enterprise Information Management, eServices Billing, GPS, GPT - Configuration Management, GPT - EQA Automation, GPT - Release Management, GPT Architecture, GPT Business</t>
  </si>
  <si>
    <t>Corporate - Personal Health Record</t>
  </si>
  <si>
    <t>Claims QA - EDI, Claims QA Oxford, Enterprise Systems Planning Business Architecture, EPMO, GGMAP, NDB, Network Technology &amp; Support, OHCS - PH Accent, Oxford Claim Adjudication/Policy (Universe), Oxford Claim Intake / Pricing, Oxford DM &amp; Analytics, Oxfo</t>
  </si>
  <si>
    <t>Clinical Analytic Platforms (CAPI), Computer Services, Customer Reporting (eCR), Data Management, EA Data Architecture, eServices Billing, eServices Billing OM, Galaxy, NDB, Peoplesoft-GL, PHS - Data Warehouse, PHS - EDI, PHS - ILIAD, PHS - NICE, PHS - Qi</t>
  </si>
  <si>
    <t>Public Sector User Migration to ICUE</t>
  </si>
  <si>
    <t>Application Enablement, Computer Services, Consumer Database (CDB), EPMO, Facets Alpha, NDB</t>
  </si>
  <si>
    <t>ACIS Suite, B2B Provider Portal, B2C Provider Portal, CES, Claims Highway, Cross Application Testing, Customer Reporting (eCR), EPMO, Galaxy, Integrated Service Experience Tool ISET, NDB, ppoONE, PRIME, Provider Network Analysis UAT &amp; Tools, Reimbursement</t>
  </si>
  <si>
    <t>BPID, COSMOS, Enterprise Application Architecture, Enterprise Information Management, EPMO, GEOAccess, GPT eCommerce, NDB, Oxford DM &amp; Analytics, PHS - Distributed Application Services, Provider Network Analysis UAT &amp; Tools, UHCTS-OXHP(Oxford), UHN Report</t>
  </si>
  <si>
    <t>BPID, Computer Services, Enterprise Application Architecture, Enterprise Information Management, Enterprise Technical Practices PMO, EPMO, NDB, Network Technology &amp; Support, Oxford DM &amp; Analytics, Reimbursement Technology, UHCTS-OXHP(Oxford)</t>
  </si>
  <si>
    <t>ESOC Gap Remediation from Phase 1b,3,pilot</t>
  </si>
  <si>
    <t>Jennifer Clarke</t>
  </si>
  <si>
    <t>BPID, Claims QA, COMET Desktop.NET, COSMOS, Emptoris, Enterprise Systems Planning Business Architecture, EPMO, NDB, PAS - Navigator, ppoONE, Provider Intent Certification Tool (PIC), QMO - Quality Management Organization, TOPS</t>
  </si>
  <si>
    <t>B2B Provider Portal, CareOne, Claims QA - EDI, Consumer Database (CDB), Diamond, EPMO, ICUE Core, NDB, UHC C and S Business Requirements, UHC C and S Diamond-Diamond Interfaces, UHC C and S IT PM</t>
  </si>
  <si>
    <t>Enterprise Information Management, Enterprise Technical Practices PMO, EPMO, Facets Alpha, NDB, Oxford DM &amp; Analytics, Provider Network Analysis UAT &amp; Tools, UHCTS-OXHP(Oxford)</t>
  </si>
  <si>
    <t>myHCE: TCI Tables (Core functionality) 2013</t>
  </si>
  <si>
    <t>Computer Services, Consumer Database (CDB), Customer Reporting (eCR), Enterprise Architecture, Galaxy, NDB, ORBIT - Operational Reporting</t>
  </si>
  <si>
    <t>CDD, Claims QA, COSMOS, Customer Reporting (eCR), Enterprise Information Management, EPMO, Galaxy, NDB, TOPS</t>
  </si>
  <si>
    <t>New Basics Directory Changes</t>
  </si>
  <si>
    <t>OHBS Reciprocity Development 2013</t>
  </si>
  <si>
    <t>robert preston</t>
  </si>
  <si>
    <t>Cross Application Testing, NDB, United Health Group Analytic Platform (UGAP)</t>
  </si>
  <si>
    <t>10-00000-505</t>
  </si>
  <si>
    <t>05-71450-000</t>
  </si>
  <si>
    <t>400058053A</t>
  </si>
  <si>
    <t>400057121A</t>
  </si>
  <si>
    <t>400057743A</t>
  </si>
  <si>
    <t>400058190A</t>
  </si>
  <si>
    <t>400058144A</t>
  </si>
  <si>
    <t>400058175A</t>
  </si>
  <si>
    <t>3/1/13 Added USEC line - effort done under NDB</t>
  </si>
  <si>
    <t xml:space="preserve">3/1/13 Added additonal effort of .17 to BGE in CC2 - increased from .17 to .34
11/19 In Estimating 10/16 - no NDB est - Joanne Hepp </t>
  </si>
  <si>
    <t>CAQH - EPDI Feed</t>
  </si>
  <si>
    <t>3/1/13 NDB un-impacted - moved to 56628 and reduced effort
11/19 11/5 FPA adv this now BGE Approved in Prompt - verified it was done</t>
  </si>
  <si>
    <t>3/1/13 Per Cross App NDB has been un-impacted in Prompt</t>
  </si>
  <si>
    <t>400050630UA</t>
  </si>
  <si>
    <t>400047192B</t>
  </si>
  <si>
    <t>400057571A</t>
  </si>
  <si>
    <t xml:space="preserve">ACIS Suite, Application Enablement, Atlas, B2B Provider Portal, B2C Provider Portal, BASICS, BPM Development Group, Claims Highway, Claims QA, Claims QA - EDI, COMET Desktop.NET, Consumer Account Management System (CAMS), Consumer Database (CDB), Contact </t>
  </si>
  <si>
    <t xml:space="preserve">Audit Recovery Operations (ARO) Datamart, B2B Provider Portal, BH-Elig/Accum, BH-HP Compare, BH-Linx, Card Request System (CRS), CareOne, Claims QA, Claims QA - EDI, Claims QA OHBS, Computer Services, Consumer Database (CDB), Contact Center Services, DCM </t>
  </si>
  <si>
    <t>Application Enablement, Audit Recovery Operations (ARO) Datamart, B2B Provider Portal, B2C Provider Portal, Card Request System (CRS), CareOne, Claims QA, Claims QA - EDI, Consumer Database (CDB), Contact Center Services, EPMO, Facets Alpha, FSDB - Financ</t>
  </si>
  <si>
    <t>Application Enablement, BPID, CareOne, CCS-CCF, Claims QA, Computer Services, Consumer Account Management System (CAMS), Consumer Database (CDB), Contact Center Services, COSMOS, eHealth Technology Solutions, Enterprise Systems Planning Business Architect</t>
  </si>
  <si>
    <t xml:space="preserve">Application Enablement, B2B Provider Portal, B2C Provider Portal, CareOne, Claims Highway, Claims QA, Claims QA - EDI, Computer Services, Consumer Database (CDB), Contact Center Services, ETQS - Enterprise Technology Quality Services, Facets Alpha, FAST, </t>
  </si>
  <si>
    <t xml:space="preserve">Villages &amp; Preferred Care Partners </t>
  </si>
  <si>
    <t>Application Enablement, Automated Resolution Utility (ARU) - COSMOS, Automated Resolution Utility (ARU) - UNET, Claims Highway, Claims QA, Claims QA - EDI, COSMOS, CPW, Decision Support System (DSS), EDSS - Enterprise Data Storage System, EPMO, Galaxy, GG</t>
  </si>
  <si>
    <t>Application Enablement, Claims QA - Specialty Benefits, EPMO, ICUE Core, NDB, OHCS - CMC Facets, OHCS - CMC Web</t>
  </si>
  <si>
    <t>John O'Neill</t>
  </si>
  <si>
    <t>Application Enablement, CCS-CCF, Claims Highway, Claims QA, Consumer Database (CDB), COSMOS, Enterprise Information Management, Enterprise Letter Generation System, EPMO, ICUE Core, NDB, TOPS</t>
  </si>
  <si>
    <t>NDB Contract Clause Display in ICUE</t>
  </si>
  <si>
    <t>Janet Bridigam</t>
  </si>
  <si>
    <t>Unified Provider Search</t>
  </si>
  <si>
    <t>Melissa Ives</t>
  </si>
  <si>
    <t>EPMO, NDB, OHCS - TCE</t>
  </si>
  <si>
    <t>400058409A</t>
  </si>
  <si>
    <t>400057607A</t>
  </si>
  <si>
    <t>400058318A</t>
  </si>
  <si>
    <t>400054593A</t>
  </si>
  <si>
    <t xml:space="preserve">A&amp;G Workflow &amp; Tracking System, Application Enablement, B2B Provider Portal, B2C Provider Portal, BH-Agate, BH-Clinical Applications, BH-Data Warehouses, BH-Elig/Benefits, BH-HP Compare, BH-Linx, CareOne, CFAS, Claims QA, Claims QA - EDI, Claims QA OHBS, </t>
  </si>
  <si>
    <t>ACIS Suite, Application Enablement, BH-Facets - UBH, Business Support Services, CID-RxML, Claims Highway, Claims QA, Computer Services, Consumer Account Management System (CAMS), Consumer Database (CDB), Consumer Portal (OptumRx), Contact Center Services,</t>
  </si>
  <si>
    <t>Application Enablement, Applications Impacted Unknown, B2B Provider Portal, B2C Provider Portal, Card Request System (CRS), CareOne, Claims QA, Claims QA - EDI, Consumer Database (CDB), Consumer Portal (OptumRx), EDSS - Enterprise Data Storage System, Ent</t>
  </si>
  <si>
    <t>Application Enablement, B2B Provider Portal, B2C Provider Portal, Claims Highway, Claims QA, Claims QA - EDI, Consumer Database (CDB), EPMO, ETS (Escalation Tracking System), Facets Alpha, FSDB - Financial Summary Database (5087), FTS Financial Tagging Se</t>
  </si>
  <si>
    <t>Clinical Adoption - Legacy PHS Migration Support</t>
  </si>
  <si>
    <t>Application Enablement, B2B Provider Portal, B2C Provider Portal, Claims QA, Claims QA - EDI, Consumer Database (CDB), Enterprise Information Management, Enterprise Letter Generation System, EPMO, ICUE Core, ICUE eVI, NDB, OHCS - Data Management, OHCS - e</t>
  </si>
  <si>
    <t>OPTIM: Test Data Mgmt and Data Masking in Zulu</t>
  </si>
  <si>
    <t>Ga Dept of Comm Health - Remote Access to Data</t>
  </si>
  <si>
    <t xml:space="preserve">IPA Functionality in CSP </t>
  </si>
  <si>
    <t>Monthly Batch Feed of NPI and Zip</t>
  </si>
  <si>
    <t>Kimberly Mcleod</t>
  </si>
  <si>
    <t>10-00000-376</t>
  </si>
  <si>
    <t>400052214A</t>
  </si>
  <si>
    <t>400058463A</t>
  </si>
  <si>
    <t>400058600A</t>
  </si>
  <si>
    <t>400058528A</t>
  </si>
  <si>
    <t xml:space="preserve">Barb Daquino
Gupreet Guliani  </t>
  </si>
  <si>
    <t xml:space="preserve">Barb Daquino
Gupreet Guliani </t>
  </si>
  <si>
    <t>Barb Daquino
Joy Laig</t>
  </si>
  <si>
    <t xml:space="preserve">Teresa kester
</t>
  </si>
  <si>
    <t>Yaswanth Sarikonda
Satinder Singh</t>
  </si>
  <si>
    <t>Donna Salt
Mary Corcoran
Gurpreet Guliani
Mahesh Jasti</t>
  </si>
  <si>
    <t>Vernon Kirkwood
Kiran Chilukuri</t>
  </si>
  <si>
    <t>V. Kirkwood
Kiran Chilukuri</t>
  </si>
  <si>
    <t xml:space="preserve"> Teresa Kester
Yeraballi Kumar</t>
  </si>
  <si>
    <t xml:space="preserve">Yeraballi Kumar  </t>
  </si>
  <si>
    <t>Nageshwara Janjanan</t>
  </si>
  <si>
    <t xml:space="preserve">Nageshwara Janjanan
</t>
  </si>
  <si>
    <t xml:space="preserve">Teresa Kester </t>
  </si>
  <si>
    <t>Vernon Kirkwood
Satinder Singh</t>
  </si>
  <si>
    <t>Joy Laig</t>
  </si>
  <si>
    <t>Work already completed under NDB - added line to gk for tracking purposes
USEC documents are 95% (pending signoff)</t>
  </si>
  <si>
    <t xml:space="preserve">3/8/13 Project completed and rest moved to 58144
1/24 Added 11.85 for CC6 - increased from 38.87 to 50.72
1/18 Increased estimate in CC 2 SE by 6.38 pm's - from 32.49 to 38.87
1/14/13 Moved to May
9/27 Project now BGE approved in prompt.  
BGE is  split into 2  releases this piece going in for Q1B-13.  Not BGE approved in prompt.  </t>
  </si>
  <si>
    <t>3/8/2013 CC6 - PCP Y or N Row CC271</t>
  </si>
  <si>
    <t>3/813 NDB un-impacted in Prompt</t>
  </si>
  <si>
    <t>3/8/13 Project was cancelled</t>
  </si>
  <si>
    <t>3/8/13 NDB un-impacted in Prompt</t>
  </si>
  <si>
    <t>400050282B</t>
  </si>
  <si>
    <t>400054944UA</t>
  </si>
  <si>
    <t>3/8/13 Project completed and rest moved to 58144
1/14/13 Moved to May
CC 3</t>
  </si>
  <si>
    <t>3/11 Leaving 50.72 on GK - 58144 only has rest of effort not burned 36.90 in prompt
3/8/13 This is a swap for 4-53105 and a small part of 4-50155 - still in estimating in Prompt</t>
  </si>
  <si>
    <t xml:space="preserve">
3/8/13 This is a swap for 4-53105 and a small part of 4-50155 - still in estimating in Prompt</t>
  </si>
  <si>
    <t>400058144UA</t>
  </si>
  <si>
    <t>Anne Marie Colonna/ Lori Bravoco</t>
  </si>
  <si>
    <t>Y (Kevin O.)</t>
  </si>
  <si>
    <t>Dave Walker
Kevin O'brien (Arch)</t>
  </si>
  <si>
    <t>Mary Sue Stoy/Mel Johnston</t>
  </si>
  <si>
    <t xml:space="preserve">Gabe Manfugas
</t>
  </si>
  <si>
    <t>Dave Chitty</t>
  </si>
  <si>
    <t>Mary Sue/Mel Johnston</t>
  </si>
  <si>
    <t>Y (TBD)</t>
  </si>
  <si>
    <t xml:space="preserve">Y (Sarma) </t>
  </si>
  <si>
    <t>Y (Tim Benton)</t>
  </si>
  <si>
    <t>B.Brown</t>
  </si>
  <si>
    <t>T. Kester/B. Williams</t>
  </si>
  <si>
    <t>3/14 Per Anne Marie - ok to complete
2/1  Per Sean ok to schedule - not oom approved in prompt
11/20 Same as 11/5 update
11/5 Has not gone into Estimating ever yet in Prompt still in Pgr Mgr Review
Pgr Mgr Review - 10/19/12 - all ests outstanding - Joy Ebanks - NEWER</t>
  </si>
  <si>
    <t>3/14/13 Per the pm NDB is un-impacted</t>
  </si>
  <si>
    <t>3/14/13 CC23 DE - increased from 52 to 63.6
10/17 Project now BGE Approved in prompt.  
10/4 Estimate increased from 49 to 52 and changed release from 12/8 to Q1.  
9/10/12 Reduced estimate from 55.51 to 49.  
8/24 Split BGE estiamte between 2 reelases</t>
  </si>
  <si>
    <t>3/14/13 Project OOM approved
1/18/2013 Project in estimating in Prompt</t>
  </si>
  <si>
    <t>3/14/13 CC 6 scheduled
3/8 Added 1.07 for CC 7 - increased from 32.10 to 33.17
2/16/13 Added 207 to March for additional effort - increased from 12.10 to 32.10 in CC6 (still in est in prompt)</t>
  </si>
  <si>
    <t>3/14/13 CC 20 DE 2.55 pm's increased from 3.13 to 5.68</t>
  </si>
  <si>
    <t>0 in effort for now as the work is included in May estimate</t>
  </si>
  <si>
    <t>3/14 Added CC3  .12 pm's - increased from .42 to .54
2/16/13 Increased 22.5 hrs in SE CC1 - from .27 to .42</t>
  </si>
  <si>
    <t>L</t>
  </si>
  <si>
    <t>CC 79</t>
  </si>
  <si>
    <t>400050155G</t>
  </si>
  <si>
    <t>400053723H</t>
  </si>
  <si>
    <t>400041737L</t>
  </si>
  <si>
    <t>CC79</t>
  </si>
  <si>
    <t>CC3 - Added to existing line item already on gk</t>
  </si>
  <si>
    <t xml:space="preserve">
11/19/12 Decreased estimate by 10 pm's moved to Q3
9/24 Project moved from Q313 to Q213.
8/2 Project is oom approved
Project in Strategy Council in prompt</t>
  </si>
  <si>
    <t>3/15/13 Added 6 pm's per DE CC10 - increased from 10 to 16
11/19/12 Split oom between Q2 and Q3</t>
  </si>
  <si>
    <r>
      <rPr>
        <b/>
        <sz val="8"/>
        <rFont val="Arial"/>
        <family val="2"/>
      </rPr>
      <t xml:space="preserve">
3/18/13</t>
    </r>
    <r>
      <rPr>
        <sz val="8"/>
        <rFont val="Arial"/>
        <family val="2"/>
      </rPr>
      <t xml:space="preserve">
PRD/SSD/SRI/TS-100%, RTM-95%,
Data Modeling 100%,  Dev-100%, -  BDSS- 100%, </t>
    </r>
    <r>
      <rPr>
        <b/>
        <sz val="8"/>
        <rFont val="Arial"/>
        <family val="2"/>
      </rPr>
      <t xml:space="preserve">USEC-95% </t>
    </r>
    <r>
      <rPr>
        <sz val="8"/>
        <rFont val="Arial"/>
        <family val="2"/>
      </rPr>
      <t xml:space="preserve"> 
Systest-100% UAT-100%. UAT
and documentation completion for 4 PM tickets and 1 Service Request Work Order, scheduled to
deploy on 3/23 are in progress and on track to complete by 3/15 .
</t>
    </r>
    <r>
      <rPr>
        <b/>
        <sz val="8"/>
        <rFont val="Arial"/>
        <family val="2"/>
      </rPr>
      <t>PM10095158/PM10099279/PM10099277 are complete will deploy on 3/23,
The FTP test for the MD file to NDB's mainframe failed on 3/15. Nicole, John M., Robin Burks (ECG)
and Dan Heitke-Felbeck (ECG) met on 3/15 to resolve. John and Nicole are working on resolution
on 3/18.</t>
    </r>
    <r>
      <rPr>
        <sz val="8"/>
        <rFont val="Arial"/>
        <family val="2"/>
      </rPr>
      <t xml:space="preserve">
</t>
    </r>
    <r>
      <rPr>
        <b/>
        <sz val="8"/>
        <rFont val="Arial"/>
        <family val="2"/>
      </rPr>
      <t/>
    </r>
  </si>
  <si>
    <t>2/18/13 - (Syst) - 
3/22 - Prd ofr CICS screen</t>
  </si>
  <si>
    <t>EPDI
NDB UAT - John Devroy</t>
  </si>
  <si>
    <t>NDB UAT - John Devroy</t>
  </si>
  <si>
    <t>ACIS Suite, Application Enablement, Applications Impacted Unknown, B2B Provider Portal, B2C Provider Portal, Benefit Intent Certification (BIC) Development – UNET, BPID, Business Intent Certification Tool (BIC), CBTS - Clinical Architecture, CCS-CCF, CES,</t>
  </si>
  <si>
    <t>JESSICA BROWER</t>
  </si>
  <si>
    <t>Heritage Gulf States Expansion</t>
  </si>
  <si>
    <t>Shannon Horgan</t>
  </si>
  <si>
    <t>CMC KRS Wrap Network A/O</t>
  </si>
  <si>
    <t>Application Enablement, B2B Provider Portal, B2C Provider Portal, BPID, Claim Life Tracking (CLT) Dashboard, Claims Highway, Claims QA, Claims QA - EDI, Consumer Database (CDB), COSMOS, EDSS - Enterprise Data Storage System, Enterprise Information Managem</t>
  </si>
  <si>
    <t>Rodney Joe</t>
  </si>
  <si>
    <t xml:space="preserve">Application Enablement, B2B Provider Portal, Claims QA, Claims QA - EDI, Consumer Database (CDB), COSMOS, Enterprise Information Management, Enterprise Letter Generation System, EPMO, ICUE Core, ICUE eVI, MAPS, NDB, OHCS - Data Management, OHCS - eVisor, </t>
  </si>
  <si>
    <t>Claims QA, Claims QA Oxford, COSMOS, EPMO, Healthcare Alliance - Medica, NDB, ORBIT - Operational Reporting, Orbit Government Reporting, OXHP Provider Portal, PAS - Examiner, PAS - Small Projects, PHS - ILIAD, PHS - NICE, Provider Data &amp; Reimbursement, PU</t>
  </si>
  <si>
    <t>Application Enablement, BH-Facets - UBH, BH-Shared Components, BPID, Claims QA, Claims QA OHBS, COSMOS, Enterprise Information Management, EPMO, NDB, OptumHealth Segment Architecture, OptumHealth Segment Architecture - OHBS, USEC - Universal Security Syst</t>
  </si>
  <si>
    <t>Claims QA, COSMOS, EPMO, Healthcare Alliance - Medica, NDB, ORBIT - Operational Reporting, Orbit Government Reporting, PAS - Examiner, PAS - Small Projects, PCIS, PHS - ILIAD, PHS - NICE</t>
  </si>
  <si>
    <t>ED - QW - Fee Schedule Dwnld (Provider Touchpoint)</t>
  </si>
  <si>
    <t>Application Enablement, Computer Services, EPMO, NDB, SSS Decommissioning CoE</t>
  </si>
  <si>
    <t xml:space="preserve">Send/Receive all Provider License Numbers </t>
  </si>
  <si>
    <t>NDB, UHC C and S Facets-Interfaces-Detroit</t>
  </si>
  <si>
    <t>05-64690-001</t>
  </si>
  <si>
    <t>400058487A</t>
  </si>
  <si>
    <t>400058658A</t>
  </si>
  <si>
    <t>Application Enablement, Audit Recovery Operations (ARO) Datamart, B2B Provider Portal, B2C Provider Portal, Card Request System (CRS), CareOne, CFAS, Claims Highway, Claims QA, Claims QA - EDI, Claims QA - Specialty Benefits, Consumer Database (CDB), COSM</t>
  </si>
  <si>
    <t>RI LTSS/ MME -New Products</t>
  </si>
  <si>
    <t>Patrice Cooper</t>
  </si>
  <si>
    <t>TN TennCare PLUS MME Implementation</t>
  </si>
  <si>
    <t>Scott Bowers</t>
  </si>
  <si>
    <t xml:space="preserve">Application Enablement, Audit Recovery Operations (ARO) Datamart, B2B Provider Portal, CareOne, CCS-CCF, Claims QA, Claims QA - EDI, Consumer Database (CDB), EDSS - Enterprise Data Storage System, Emptoris, Enterprise Letter Generation System, Enterprise </t>
  </si>
  <si>
    <t>Enhance Acct Implementation capabilities in Master</t>
  </si>
  <si>
    <t>OISP Release 1</t>
  </si>
  <si>
    <t>Douglas Arnstein</t>
  </si>
  <si>
    <t>Application Enablement, Applications Impacted Unknown, B2B Provider Portal, Bank Information System (BIS), Claims QA, Client Portal (OptumRx), COMET Desktop.NET, Consumer Account Management System (CAMS), Consumer Database (CDB), Data Delivery System (DDS</t>
  </si>
  <si>
    <t>RI Integrated Care Initiative - Phase I, LTSS</t>
  </si>
  <si>
    <t>Enhance Broker &amp; Employer capabilities in Master</t>
  </si>
  <si>
    <t>Workflow Mgmt - Scaling Advocacy traditional Reqs</t>
  </si>
  <si>
    <t>Deborah Morris</t>
  </si>
  <si>
    <t>A&amp;D Veterans Admin. Prov not to pay from CAMS</t>
  </si>
  <si>
    <t>Crausaz, Jennifer E</t>
  </si>
  <si>
    <t>Claims Highway, Claims QA, Consumer Account Management System (CAMS), Consumer Database (CDB), eHealth Medical Claims Database, EPMO, Global Hub, Health Statement Engine, NDB, OH Business Analysts, Payment Engine, Payment Systems Front-End, TOPS</t>
  </si>
  <si>
    <t>Application Enablement, Claims Highway, Claims Inventory Navigator, Claims QA, Claims QA - EDI, Consumer Database (CDB), COSMOS, Enterprise Information Management, EPMO, Healthcare Alliance - Medica, NDB, UFE, USEC - Universal Security Systems</t>
  </si>
  <si>
    <t>NDB Provider Pick Enh/COSMOS Pick Shutdown A&amp;D</t>
  </si>
  <si>
    <t>B2B Provider Portal, Claims Highway, Claims QA, Claims QA - EDI, Contact Center Services, EPMO, Facets Alpha, FSDB - Financial Summary Database (5087), HIPAA, NDB, ppoONE, UFE, United Voice Portal Business, UnitedHealth Group Print Services</t>
  </si>
  <si>
    <t>UBCS Prototype:  End to End Scenarios</t>
  </si>
  <si>
    <t>Application Enablement, BH-Facets - UBH, Claims Highway, Claims QA, Claims QA OHBS, COMET Desktop.NET, COSMOS, Enterprise Information Management, EPMO, GGMAP, NDB, TOPS, USEC - Universal Security Systems</t>
  </si>
  <si>
    <t>UBCS Prototype: Design/Develop (deep dive)Provider</t>
  </si>
  <si>
    <t>Navigate Required Enhancements</t>
  </si>
  <si>
    <t>Change an existing eff dt on Grp Links &amp; Contracts</t>
  </si>
  <si>
    <t>William Calhoun</t>
  </si>
  <si>
    <t xml:space="preserve">DONALD R REILLY </t>
  </si>
  <si>
    <t>Partial Bill Replace Func feed to Facets</t>
  </si>
  <si>
    <t>NDB Provider Data Quality – A/O</t>
  </si>
  <si>
    <t>10-00000-252</t>
  </si>
  <si>
    <t>01-15500-015</t>
  </si>
  <si>
    <t>01-19260-009</t>
  </si>
  <si>
    <t>400055633A</t>
  </si>
  <si>
    <t>400058170A</t>
  </si>
  <si>
    <t>400058776A</t>
  </si>
  <si>
    <t>400058609A</t>
  </si>
  <si>
    <t>400058173A</t>
  </si>
  <si>
    <t>400058742A</t>
  </si>
  <si>
    <t>400058857A</t>
  </si>
  <si>
    <t>400058909A</t>
  </si>
  <si>
    <t>400058913A</t>
  </si>
  <si>
    <t>400058921A</t>
  </si>
  <si>
    <t>400058912A</t>
  </si>
  <si>
    <t xml:space="preserve">Dave Gibson </t>
  </si>
  <si>
    <t>Teresa Sharp</t>
  </si>
  <si>
    <t>Dave Gibson
Lalita Navaneethan</t>
  </si>
  <si>
    <t>John Devroy</t>
  </si>
  <si>
    <t>3/21/13 Unimpacted in Prompt</t>
  </si>
  <si>
    <t>3/21/2013 NDB un-impacted in Prompt</t>
  </si>
  <si>
    <t>3/21/13 Moved from Q1 to Q2B
1/18/2013 increased estimate from .17 to .26 in DE CC 3 (.09)</t>
  </si>
  <si>
    <t>3/21/13 Increased effort in SE CC 9 by .07pm's from .39 to .46</t>
  </si>
  <si>
    <t>3/13/2013 Increased estimate from 1.09 to 1.20 in DE CC7  - .11pm's
10/26/12 Project BGE Approved in Prompt
Project still in estimating in prompt</t>
  </si>
  <si>
    <t>3/21/13 Increased estimate from 8.66 to 9.29 - CC2 SE -  .63 pm's
3/14/13 Added CC3 - added 4.09 pm's increased from 4.57 to 8.66</t>
  </si>
  <si>
    <t>3/21/13 Per Jose - decreased effort from 45.20 to 43.4 - moved to Q3
11/12 Additional effort in CC 11 Addeded  - increased from 10.92 to 45.20
6/22 CC  will be opened to adjust BGE since estimated in 2010</t>
  </si>
  <si>
    <t>M</t>
  </si>
  <si>
    <t>400041737M</t>
  </si>
  <si>
    <t>400046131B</t>
  </si>
  <si>
    <t>400048340UA</t>
  </si>
  <si>
    <t>400050350C</t>
  </si>
  <si>
    <t>CC84 - CC still  in estimating in Prompt</t>
  </si>
  <si>
    <t>CC5 - CC still in estimating in Prompt</t>
  </si>
  <si>
    <r>
      <t xml:space="preserve"> 0 in effort for now as the work is included in May
</t>
    </r>
    <r>
      <rPr>
        <b/>
        <sz val="8"/>
        <rFont val="Arial"/>
        <family val="2"/>
      </rPr>
      <t xml:space="preserve">3/23/13:
</t>
    </r>
    <r>
      <rPr>
        <sz val="8"/>
        <rFont val="Arial"/>
        <family val="2"/>
      </rPr>
      <t>Inte Test-80%, Systest-80%. testing sign of-3/25, 
For TRICARE search issue, HCCE needs to deploy Address Scrubbed 'update' process to production
earlier than Q2.
QA/Integration testing in progress. This may shift to 4/6 deployment due to additional testing
need.</t>
    </r>
  </si>
  <si>
    <r>
      <t>3/5- just .NET-  recon/ tracer id- will not be part of 3/23  (need PIMS load for tracer id)
Deliver a one time load of Tracer IDs to PGBA for loading to their PIMS database.</t>
    </r>
    <r>
      <rPr>
        <b/>
        <sz val="8"/>
        <rFont val="Arial"/>
        <family val="2"/>
      </rPr>
      <t xml:space="preserve">
As of 3/17/2013:</t>
    </r>
    <r>
      <rPr>
        <sz val="8"/>
        <rFont val="Arial"/>
        <family val="2"/>
      </rPr>
      <t xml:space="preserve">
PRD/SSD/SRI/TS-100%, Dev-100%(Core, .Net), Systest-100%, UAT-100%, DeploymentPlanning-100%
Dependent upon getting recon turned on in production and we are waiting on date from business.  Chance tracer will move.
</t>
    </r>
    <r>
      <rPr>
        <b/>
        <sz val="8"/>
        <rFont val="Arial"/>
        <family val="2"/>
      </rPr>
      <t>As of 3/6:</t>
    </r>
    <r>
      <rPr>
        <sz val="8"/>
        <rFont val="Arial"/>
        <family val="2"/>
      </rPr>
      <t xml:space="preserve"> System testing in progress for both Tracer ID 1x Load and .Net EPDL changes. UAT started for .Net EPDL changes. Tracer ID 1x Load will be moved to a later release TBD, pending business decision to turn on Recon.
</t>
    </r>
    <r>
      <rPr>
        <b/>
        <sz val="8"/>
        <rFont val="Arial"/>
        <family val="2"/>
      </rPr>
      <t xml:space="preserve">3/24: Deploy completed. Next Steps:
</t>
    </r>
    <r>
      <rPr>
        <sz val="8"/>
        <rFont val="Arial"/>
        <family val="2"/>
      </rPr>
      <t xml:space="preserve">Identify plan and timing for Recon turn on and 1x Tracer ID Load (change control to the project
Create plan for permanent fix for screen updates to ZIP_BUS_CONTR_ORG
Define plan to implement change to return physician affiliations for a group (defect 2791)
Triage PCM issue identifed in production (defect 3142)
Deploy Provider Online update process
Define timing to fix 3 additional defects identifed during 3/23 testing (break fix process)
</t>
    </r>
  </si>
  <si>
    <r>
      <t xml:space="preserve">CC6 - PCP Y or N Row CC271
</t>
    </r>
    <r>
      <rPr>
        <b/>
        <sz val="8"/>
        <rFont val="Arial"/>
        <family val="2"/>
      </rPr>
      <t>3/25/2013:
doucments rates not yet reported</t>
    </r>
  </si>
  <si>
    <t>NDB UAT - John Devroy 
CSP? - TBD</t>
  </si>
  <si>
    <t>CSP - Nicole L. Hamilton</t>
  </si>
  <si>
    <t>Ashu Sharma
NDB UAT - Dave Gibson</t>
  </si>
  <si>
    <t>ndb uat - Lalita N.</t>
  </si>
  <si>
    <t>John Devroy
Int  TOPS - 3/22</t>
  </si>
  <si>
    <t>1/31 (stagger approach for W/T)</t>
  </si>
  <si>
    <t>Anne Marie C.</t>
  </si>
  <si>
    <t>Dave Walker
Gabe Manfugas</t>
  </si>
  <si>
    <t>3/15/203</t>
  </si>
  <si>
    <r>
      <t xml:space="preserve">This is a swap for 4-53105 and a small part of 4-50155 - still in estimating in Prompt
</t>
    </r>
    <r>
      <rPr>
        <b/>
        <sz val="8"/>
        <rFont val="Arial"/>
        <family val="2"/>
      </rPr>
      <t xml:space="preserve">Details: Same as above </t>
    </r>
  </si>
  <si>
    <t>3/29 Award not given may protest but for now no more work will be done</t>
  </si>
  <si>
    <t>3/29/13 NDB unimpacted in prompt</t>
  </si>
  <si>
    <t>3/29 Project was cancelled
3/14/14 CC4 
11/21 ON AIF being tracked
Sked &amp; approved - CC4 first impact - Bharat Sondhi</t>
  </si>
  <si>
    <t>3/29 Increased estimate from .32 to .39 in DE estimate CC 6 - .07 pm's
11/19 Moved from Q1 to Q2
11/19 On AIF being tracked - Swked &amp; Approved 10/26</t>
  </si>
  <si>
    <t>400046739B</t>
  </si>
  <si>
    <t>Anne Marie/Lori</t>
  </si>
  <si>
    <t>Dave Gibson
myHCE
AE</t>
  </si>
  <si>
    <t xml:space="preserve">NDB UAT - Dave Gibson 
INT - UHN Reporting - </t>
  </si>
  <si>
    <t>NDB UAT - TBD</t>
  </si>
  <si>
    <t>Int - UDW? - TBD
Int - UHN Rep ? - TBD
NDB UAT - Dave Gibson</t>
  </si>
  <si>
    <t>Sonovia Kearse</t>
  </si>
  <si>
    <t>5/6 or 5/22  ? TBD</t>
  </si>
  <si>
    <t>EPDI - Joyce Somma</t>
  </si>
  <si>
    <t xml:space="preserve">NDB UAT - John Devroy (oneshot)
CSP - TBD </t>
  </si>
  <si>
    <t>Nicole Hamilton</t>
  </si>
  <si>
    <r>
      <t xml:space="preserve">Project still in estimating in Prompt. </t>
    </r>
    <r>
      <rPr>
        <b/>
        <sz val="8"/>
        <rFont val="Arial"/>
        <family val="2"/>
      </rPr>
      <t xml:space="preserve">4/1/2013 </t>
    </r>
    <r>
      <rPr>
        <sz val="8"/>
        <rFont val="Arial"/>
        <family val="2"/>
      </rPr>
      <t>- Descope to testing only for NDB</t>
    </r>
  </si>
  <si>
    <t xml:space="preserve">NDB UAT (formely BDSS) - John Devroy and Lalitta N.
CSP - Nicole Hamilton </t>
  </si>
  <si>
    <t>CC15 -(Same info as above) Added line to track USEC - estimate was included in the NDB estimate</t>
  </si>
  <si>
    <t>3/25, 4/15 (stagger approach)</t>
  </si>
  <si>
    <t>UAT - NEP
INT - TBD
NDB UAT - for oneshots ( Dave Gibson, Stacey Denil)</t>
  </si>
  <si>
    <r>
      <rPr>
        <b/>
        <sz val="8"/>
        <rFont val="Arial"/>
        <family val="2"/>
      </rPr>
      <t>Follow up - 
 as of 3/6/13:</t>
    </r>
    <r>
      <rPr>
        <sz val="8"/>
        <rFont val="Arial"/>
        <family val="2"/>
      </rPr>
      <t xml:space="preserve"> JAD sessions completed week of 2/22. SAs are working on requirements.
PV is complete as of 3/5. 
**Large state file. New CC6 ~21 PMs</t>
    </r>
  </si>
  <si>
    <t>4/5 Moved to Q1 Per Bridget</t>
  </si>
  <si>
    <t>4/5 Project cancelled in Prompt
11/20 Sked not yet appvd
11/5 Per SP comments 10/24 team working on sev C&amp;S ests - to advise
In Estimating 9/24/12 - several ests outstanding (inc NDB) - James Rondeau</t>
  </si>
  <si>
    <t>4/5 Project now oom approved
1/24 Project still in estimating in Prompt</t>
  </si>
  <si>
    <t>4/5 NDB unimpacted</t>
  </si>
  <si>
    <t xml:space="preserve">4/5 Project cancelled in Prompt
</t>
  </si>
  <si>
    <t xml:space="preserve">Raj Zaladanki </t>
  </si>
  <si>
    <t>400050744C</t>
  </si>
  <si>
    <t>400057589UA</t>
  </si>
  <si>
    <t>Project is still in estimating in Prompt</t>
  </si>
  <si>
    <t>10-00000-235</t>
  </si>
  <si>
    <t>10-00000-240</t>
  </si>
  <si>
    <t>10-00000-360</t>
  </si>
  <si>
    <t>10-00000-540</t>
  </si>
  <si>
    <t>10-00000-596</t>
  </si>
  <si>
    <t>10-00000-370</t>
  </si>
  <si>
    <t>05-71443-000</t>
  </si>
  <si>
    <t>10-00000-338</t>
  </si>
  <si>
    <t>No impact to NDB UAT</t>
  </si>
  <si>
    <t>NEP - Dawn Engle
NDB UAT - TBD
ICUE - TBD (test script W/T completed on 4/3)</t>
  </si>
  <si>
    <t>4/12 CC2 - descoped (-.63) pm's - project closed</t>
  </si>
  <si>
    <t>4/12 CC 16 is now scheduled in Prompt
1/2/13 CC16 - CC still in estimating in Prompt</t>
  </si>
  <si>
    <t>4/12 CC 15 is now scheduled
CC15 - Added line to track USEC - estimate was included in the NDB estimate</t>
  </si>
  <si>
    <t>4/12/13 Project cancelled in Prompt after estimated</t>
  </si>
  <si>
    <t>4/12 CC 14 now scheduled in Prompt
CC14 - project in Stategy Council in Prompt</t>
  </si>
  <si>
    <t>4/12/13 Cancelled in Prompt</t>
  </si>
  <si>
    <t>400053723I</t>
  </si>
  <si>
    <t>400047877B</t>
  </si>
  <si>
    <t>Mahesh Jasti</t>
  </si>
  <si>
    <t>BDSS
Dave Gibson
NEP
 Int - UFE &amp; CQA-EDI 
Int - Claims Hwy and CQA
Int - Orbit Micro-strategy</t>
  </si>
  <si>
    <t>CC3  Specs- 100%, Dev - 100%, Systest - 100%</t>
  </si>
  <si>
    <t>UHG IT - Shared Services</t>
  </si>
  <si>
    <t>Application Enablement, Audit Recovery Operations (ARO) Datamart, B2B Provider Portal, B2C Provider Portal, BH-Elig/Accum, BH-HP Compare, BH-Linx, Card Request System (CRS), CareOne, Claims QA, Claims QA - EDI, Claims QA OHBS, Consumer Database (CDB), Con</t>
  </si>
  <si>
    <t>Anthony Carmignani</t>
  </si>
  <si>
    <t>Adjudipro, Application Enablement, Audit Recovery Operations (ARO) Datamart, B2B Provider Portal, B2C Provider Portal, BH-Liveandworkwell.com, Card Request System (CRS), CareOne, CFAS, Claims Highway, Claims QA, Claims QA - EDI, Consumer Database (CDB), C</t>
  </si>
  <si>
    <t>Application Enablement, B2B Provider Portal, B2C Provider Portal, Benefit Intent Certification (BIC) Development – FACETS, Benefit Intent Certification (BIC) Development – UNET, Business Intent Certification Tool (BIC), Claim Work DIstribution (CWD), Clai</t>
  </si>
  <si>
    <t>Application Enablement, B2B Provider Portal, B2C Provider Portal, Business Intent Certification Tool (BIC), Claim Work DIstribution (CWD), Claims Highway, Claims QA, COMET Desktop.NET, EDSS - Enterprise Data Storage System, eHealth Medical Claims Database</t>
  </si>
  <si>
    <t xml:space="preserve">Texas Star+PLUS MRSA Expansion </t>
  </si>
  <si>
    <t>Norine Yukon</t>
  </si>
  <si>
    <t>ACIS Suite, Application Enablement, Claims QA, Computer Services, Consumer Database (CDB), COSMOS, Customer Reporting (eCR), eArt, eHealth Medical Claims Database, Electronic Eligibility Management System (EEMS), Employer Portal, Enterprise Systems Planni</t>
  </si>
  <si>
    <t>NowClinic 2.0</t>
  </si>
  <si>
    <t>Dion Keane-Dawes</t>
  </si>
  <si>
    <t>Kelley Nolan-Maccione</t>
  </si>
  <si>
    <t xml:space="preserve">ACIS Suite, Application Enablement, CES, Claims QA, COMET Desktop.NET, Consumer Database (CDB), COSMOS, Electronic Eligibility Management System (EEMS), Employer Portal, EPMO, GPT - Release Management, Integrated Service Experience Tool ISET, NDB, PRIME, </t>
  </si>
  <si>
    <t>Application Enablement, Claims QA, Computer Services, EDSS - Enterprise Data Storage System, eHealth Medical Claims Database, Employer Portal, Enterprise Application Architecture, Enterprise Information Management, EPMO, IDOL Development Services, IDRS, I</t>
  </si>
  <si>
    <t>HCR-Connect Exchanges</t>
  </si>
  <si>
    <t>Claims Highway, Claims QA, Consumer Account Management System (CAMS), eHealth Medical Claims Database, EPMO, Health Statement Engine, HIPAA, NDB, OH Business Analysts, OH Program Management, Payment Engine, Payment Systems Front-End, TOPS, UnitedHealth Gr</t>
  </si>
  <si>
    <t>ICD10 Field Expansion UHC EI UMR</t>
  </si>
  <si>
    <t>Claims QA, Claims QA - EDI, Computer Services, EPMO, NDB, ppoONE, UFE, UHCTS-EIA-CPORT, UHCTS-UMR EDI Services, UHCTS-UMR Portal, UHCTS-UMR Reporting/DW/Analytics, UHCTS-UMR Validata Application, UHCTS-UMR-MWS(Midwest Security-Onalaska), UHCTS-UMR-WAU(Wau</t>
  </si>
  <si>
    <t>ACIS Suite, Application Enablement, B2B Provider Portal, B2C Provider Portal, CareOne, Claims QA, Claims QA - EDI, COMET Desktop.NET, Consumer Database (CDB), COSMOS, Enterprise Information Management, EPMO, Facets Alpha, ICUE Core, NDB, TOPS, UFE</t>
  </si>
  <si>
    <t>Provider Touchpoint Redirect</t>
  </si>
  <si>
    <t>Caesar Eileen</t>
  </si>
  <si>
    <t>Application Enablement, Claims Highway, Claims Inventory Navigator, Claims QA, Claims QA - EDI, Consumer Database (CDB), COSMOS, Enterprise Information Management, EPMO, Healthcare Alliance - Medica, NDB, UFE</t>
  </si>
  <si>
    <t>UBCS Prototype: Provider Demographics &amp; Credential</t>
  </si>
  <si>
    <t>Enterprise Systems Planning Business Architecture, EPMO, NDB, OHCS - TCE, UHN Reporting Database</t>
  </si>
  <si>
    <t>Application Enablement, Consumer Database (CDB), EPMO, NDB, Network Technology &amp; Support</t>
  </si>
  <si>
    <t>OnLine M&amp;R Gatekeeper Referrals - Therapy Support</t>
  </si>
  <si>
    <t>Mike Donovan</t>
  </si>
  <si>
    <t>Application Enablement, B2C Provider Portal, Claims QA, COSMOS, EPMO, NDB</t>
  </si>
  <si>
    <t>UHCMW Defect release</t>
  </si>
  <si>
    <t>Application Enablement, CareOne (UHC MV), EPMO, NDB, tricare.360 Portal</t>
  </si>
  <si>
    <t>TX THSteps indicator in NDB</t>
  </si>
  <si>
    <t>David Solyom</t>
  </si>
  <si>
    <t>Robert Hilliard</t>
  </si>
  <si>
    <t>400058419A</t>
  </si>
  <si>
    <t>400057490A</t>
  </si>
  <si>
    <t>400043077A</t>
  </si>
  <si>
    <t>400058720A</t>
  </si>
  <si>
    <t>400059062A</t>
  </si>
  <si>
    <t>400058809A</t>
  </si>
  <si>
    <t>Application Enablement, B2B Provider Portal, B2C Provider Portal, BPID, Business Intent Certification Tool (BIC), Capitation - Business Analysis, CASP Webstrat-QCA, CDD, CES, Claim Work DIstribution (CWD), Claims Highway, Claims QA, Claims QA - EDI, Claim</t>
  </si>
  <si>
    <t>ACIS Suite, Acquisition Integrations, B2B Provider Portal, B2C Provider Portal, CBTS - Clinical Architecture, CCS-CCF, CES, Common Clinical Framework (CCF), Computer Services, Consumer Database (CDB), CRDM, Cross Application Testing, ECMA-TMS, eHP - eSync</t>
  </si>
  <si>
    <t>ACIS Suite, Application Enablement, Claims Highway, Claims QA, Consumer Account Management System (CAMS), Consumer Database (CDB), EDSS - Enterprise Data Storage System, eHP - eSync Health Portal, Enterprise Activation Messaging Platform (eAMP), Enterpris</t>
  </si>
  <si>
    <t>Application Enablement, BH-Linx, BH-Shared Components, BPID, BPM CoE, BPM_PEGA, Card Request System (CRS), Computer Services, Consumer Database (CDB), Contact Center Services, EDSS - Enterprise Data Storage System, Enterprise Application Architecture, Ent</t>
  </si>
  <si>
    <t>ACIS Suite, Application Enablement, BH-Liveandworkwell.com, CES, CMA (Content Management Application), Consumer Account Management System (CAMS), Consumer Database (CDB), COSMOS, Cross Application Testing, EDSS - Enterprise Data Storage System, eHP - eSyn</t>
  </si>
  <si>
    <t>Application Enablement, Benefit Intent Certification (BIC) Development – FACETS, Benefit Intent Certification (BIC) Development – UNET, BPID, Business Intent Certification Tool (BIC), CDD, Claims QA, Claims QA - EDI, COMET Desktop.NET, Consumer Database (</t>
  </si>
  <si>
    <t>New CAID ID</t>
  </si>
  <si>
    <t>Mary Kelleher</t>
  </si>
  <si>
    <t>ACIS Suite, Application Enablement, B2B Provider Portal, B2C Provider Portal, BOSS, CareOne, Claims QA, Claims QA - EDI, Computer Services, Consumer Database (CDB), COSMOS, eHP - eSync Health Portal, Enterprise Application Architecture, Enterprise Informa</t>
  </si>
  <si>
    <t>ACIS Suite, Application Enablement, B2B Provider Portal, B2C Provider Portal, CareOne, Claims QA, Claims QA - EDI, Consumer Database (CDB), COSMOS, eHP - eSync Health Portal, Enterprise Application Architecture, Enterprise Architecture Practices, Enterpri</t>
  </si>
  <si>
    <t>Application Enablement, B2B Provider Portal, B2C Provider Portal, Claims QA, Claims QA - EDI, Consumer Database (CDB), COSMOS, eHP - eSync Health Portal, Enterprise Application Architecture, Enterprise Information Management, EPMO, FSDB - Financial Summar</t>
  </si>
  <si>
    <t>HCR - Cause Code at detail level for UB format</t>
  </si>
  <si>
    <t>Regis O'neil</t>
  </si>
  <si>
    <t>ACIS Suite, Application Enablement, B2B Provider Portal, B2C Provider Portal, CareOne, Claims QA, Consumer Database (CDB), COSMOS, eHP - eSync Health Portal, Enterprise Architecture Practices, Enterprise Information Management, Enterprise Letter Generatio</t>
  </si>
  <si>
    <t xml:space="preserve">Application Enablement, B2B Provider Portal, CareOne, Consumer Database (CDB), Enterprise Information Management, EPMO, Facets Alpha, ICUE Core, ISEC (Internet Security Database), Myuhc - Member Portal, NDB, Oracle Universal Content Management (UCM), UHC </t>
  </si>
  <si>
    <t>Application Enablement, B2C Provider Portal, CCS-CCF, CES, Consumer Database (CDB), Cross Application Testing, eHP - eSync Health Portal, Enterprise Clinical ODS (ECODS), Enterprise Content Management and Architecture, Enterprise Letter Generation System,</t>
  </si>
  <si>
    <t>Application Enablement, Claims QA, COSMOS, Enterprise Systems Planning Business Architecture, EPMO, GPT - Configuration Management, GPT Enterprise QA, IQSS Front Office, NDB, OHCS - TCE, UHC M and R Consumer Portals, UHC Retiree Portal</t>
  </si>
  <si>
    <t>B2B Provider Portal, B2C Provider Portal, Claims QA, Consumer Database (CDB), COSMOS, Employer Portal, Enterprise Information Management, Enterprise Systems Planning Business Architecture, EPMO, GPS, iEnroll, iLEAD, MAPS, NDB, UFE, UHC M and R Consumer Po</t>
  </si>
  <si>
    <t>Lindsay Olson</t>
  </si>
  <si>
    <t>Application Enablement, Automated Resolution Utility (ARU) - UNET, Claims QA, COMET Desktop.NET, Enterprise Adjudication Service, EPMO, ETS (Escalation Tracking System), ICUE Core, iLEAD, Integrated Service Experience Tool ISET, Myuhc - Member Portal, NDB</t>
  </si>
  <si>
    <t>Application Enablement, B2C Provider Portal, Computer Services, Connected Care (TeleHealth), Enterprise Application Architecture, EPMO, Information Risk Management, Innovation Delivery Center, Integrated Client Services, Interactive Design Services (iDS),</t>
  </si>
  <si>
    <t>Claims QA, Claims QA - EDI, Computer Services, EPMO, Facets Alpha, FSDB - Financial Summary Database (5087), NDB, PeopleSoft General Ledger, ppoONE, RPS - Reserve Production System (5611), Software Quality Assurance (SQA), UFE</t>
  </si>
  <si>
    <t>Application Enablement, Claims QA, Consumer Account Management System (CAMS), COSMOS, Enterprise Systems Planning Business Architecture, EPMO, NDB, OHCS - TCE, UHC M and R Consumer Portals, UHC Retiree Portal</t>
  </si>
  <si>
    <t>Increase existing Master connectivity for ICD10</t>
  </si>
  <si>
    <t>Application Enablement, Cross Application Testing, eHP - eSync Health Portal, ICUE eVI, Integrated Client Services, NDB, OHCS - HAZ Portal, PRIME</t>
  </si>
  <si>
    <t>Replace Function/Partial Bill Replace</t>
  </si>
  <si>
    <t>SHANE HOCHRADEL</t>
  </si>
  <si>
    <t>Shane Hochradel</t>
  </si>
  <si>
    <t>Retro Change to Effective Date &amp; Group Date</t>
  </si>
  <si>
    <t>Soft $ Calculations in NDB 4000 Enhancement</t>
  </si>
  <si>
    <t xml:space="preserve">Eileen Dock </t>
  </si>
  <si>
    <t>11-59910-000</t>
  </si>
  <si>
    <t>01-19260-000</t>
  </si>
  <si>
    <t>400054251A</t>
  </si>
  <si>
    <t>400054009A</t>
  </si>
  <si>
    <t>400059118A</t>
  </si>
  <si>
    <t>400058424A</t>
  </si>
  <si>
    <t>400058425A</t>
  </si>
  <si>
    <t>400059184A</t>
  </si>
  <si>
    <t>ACIS Suite, Application Enablement, Automated Underwriting, BASICS, Business Intelligence &amp; Data Management, CISS - TOPS Case Installation, CIX (Customer Installation Express), Claims QA, Claims QA - Specialty Benefits, Claims QA Oxford, Computer Services</t>
  </si>
  <si>
    <t>HCR EHB Plus Constituent Services</t>
  </si>
  <si>
    <t>Mary Stringer</t>
  </si>
  <si>
    <t>Application Enablement, B2B Provider Portal, B2C Provider Portal, CareOne, Claims QA, Claims QA - EDI, COMET Desktop.NET, Consumer Database (CDB), Contact Center Services, COSMOS, Enterprise Adjudication Service, Enterprise Information Management, EPMO, E</t>
  </si>
  <si>
    <t>ACIS Suite, Application Enablement, Claims QA, Computer Services, Consumer Database (CDB), Contact Center Services, COSMOS, Cross Application Testing, Employer Portal, Enterprise Information Management, EPMO, eServices Billing, GEOAccess, GPT - Release Ma</t>
  </si>
  <si>
    <t>RMIR PC imaging/Card TC/Optht TC</t>
  </si>
  <si>
    <t>Lisa Ridgley</t>
  </si>
  <si>
    <t xml:space="preserve">Application Enablement, B2B Provider Portal, B2C Provider Portal, Claims QA, Claims QA - EDI, Consumer Database (CDB), COSMOS, Enterprise Information Management, Enterprise Letter Generation System, EPMO, ICUE Core, ICUE eVI, NDB, OHCS - Data Management, </t>
  </si>
  <si>
    <t>Enterprise Information Management, EPMO, ICUE Core, ICUE eVI, myHCE - myHealthcare Cost Estimator, NDB, OHCS - CMC Web, OHCS - Data Management, OHCS - eVisor</t>
  </si>
  <si>
    <t>Enterprise Information Management, EPMO, GEOAccess, Ingenix Consulting/Innovations Lab, Myuhc - Member Portal, NDB, OHCS - TCE, UHC M and R Provider Search</t>
  </si>
  <si>
    <t>Claims QA, Claims QA - EDI, EPMO, NDB, ppoONE, ppoONE-Optum, UFE, UHCTS-UMR EDI Services, UHCTS-UMR-WAU(Wausau)</t>
  </si>
  <si>
    <t>2013 ROBOTs for COSMOS</t>
  </si>
  <si>
    <t>Automated Resolution Utility (ARU) - COSMOS, Claims QA, COSMOS, EPMO, NDB, Quality Solutions Development, SAM</t>
  </si>
  <si>
    <t>10-00000-306</t>
  </si>
  <si>
    <t>400059234A</t>
  </si>
  <si>
    <t>400058269A</t>
  </si>
  <si>
    <t>400056306A</t>
  </si>
  <si>
    <t>HCR EHB Plus Claim Processing and Claim Accounting</t>
  </si>
  <si>
    <t>Application Enablement, Claim Life Tracking (CLT) Dashboard, Claims Highway, Claims QA, Claims QA - EDI, Claims QA - Specialty Benefits, Computer Services, Consumer Database (CDB), COSMOS, EDSS - Enterprise Data Storage System, Enterprise Activation Messa</t>
  </si>
  <si>
    <t xml:space="preserve">Adjudipro, Application Enablement, Audit Recovery Operations (ARO) Datamart, B2B Provider Portal, B2C Provider Portal, Card Request System (CRS), CareOne, CFAS, Claims Highway, Claims QA, Claims QA - EDI, Consumer Database (CDB), Contact Center Services, </t>
  </si>
  <si>
    <t>A&amp;G Workflow &amp; Tracking System, B2B Provider Portal, B2C Provider Portal, bConnected - UHG IT, CareOne, CFAS, Claims QA, CMS Dev, Consumer Database (CDB), Contact Center Services, COSMOS, Enterprise Letter Generation System, Enterprise Systems Planning Bu</t>
  </si>
  <si>
    <t>Application Enablement, Automated Underwriting, BH-Liveandworkwell.com, BH-ubhonline.com, CFAS, Claims QA, Computer Services, Consumer Account Management System (CAMS), Consumer Database (CDB), Contact Center Services, Data Delivery System (DDS), ECap, El</t>
  </si>
  <si>
    <t>Application Enablement, B2B Provider Portal, B2C Provider Portal, Claims QA, Claims QA - EDI, Consumer Database (CDB), Enterprise Letter Generation System, EPMO, ICUE Core, NDB, OHCS - Data Management, Oracle Universal Content Management (UCM), ORBIT - Op</t>
  </si>
  <si>
    <t>ACIS Suite, Application Enablement, B2C Provider Portal, BASICS, Claims Highway, Claims QA, COMET Desktop.NET, Consumer Database (CDB), Contact Center Services, Emptoris, Enterprise Product Planning &amp; Architecture (EPPA), Enterprise Systems Planning Busin</t>
  </si>
  <si>
    <t xml:space="preserve">Application Enablement, BH-Elig/Benefits, Claims QA, Consumer Database (CDB), COSMOS, CRDM, Enterprise Application Architecture, Enterprise Information Management, Enterprise Letter Generation System, EPMO, ICUE Core, ICUE eVI, NDB, OHCS - eVisor, OHCS - </t>
  </si>
  <si>
    <t>M&amp;V ICD-10 Remediation P00036</t>
  </si>
  <si>
    <t>M&amp;V ICD-10 Testing P00036</t>
  </si>
  <si>
    <t>Provider Withhold</t>
  </si>
  <si>
    <t>Pia Rowland-Jones</t>
  </si>
  <si>
    <t>B2B Provider Portal, B2C Provider Portal, Claims QA, Claims QA - EDI, Contact Center Services, EPMO, Facets Alpha, FSDB - Financial Summary Database (5087), GPT - Configuration Management, GPT - Release Management, Integrated Service Experience Tool ISET,</t>
  </si>
  <si>
    <t>Enterprise Application Architecture, Enterprise Information Management, Enterprise Systems Planning Business Architecture, EPMO, HealthEdge Services, IQSS Supply and Demand (IQSS S&amp;D), NDB, PAM (Policy Administration Modernization)</t>
  </si>
  <si>
    <t>B2B Provider Portal, CareOne, Claims Highway, Claims QA, Claims QA - EDI, Consumer Database (CDB), COSMOS, ETQS - Enterprise Technology Quality Services, GGMAP, ICUE Core, NDB, ppoONE, TOPS, UFE</t>
  </si>
  <si>
    <t>Application Enablement, CareOne, Claims QA, COSMOS, Enterprise Information Management, EPMO, Facets Alpha, NDB, UHC C and S Business Requirements, USEC - Universal Security Systems</t>
  </si>
  <si>
    <t>DocGPS Implementation</t>
  </si>
  <si>
    <t>Application Enablement, EPMO, Innovation Delivery Center, Innovation R&amp;D, NDB, tricare.360 Portal</t>
  </si>
  <si>
    <t>Loretta Kraus</t>
  </si>
  <si>
    <t>BPID, EPMO, ICUE Core, IQSS Supply and Demand (IQSS S&amp;D), NDB</t>
  </si>
  <si>
    <t>Facility Registration</t>
  </si>
  <si>
    <t>Application Enablement, EPMO, NDB, tricare.360 Portal</t>
  </si>
  <si>
    <t>Texas Health Steps</t>
  </si>
  <si>
    <t>Bobby Hilliard</t>
  </si>
  <si>
    <t>10-00000-279</t>
  </si>
  <si>
    <t>400059236A</t>
  </si>
  <si>
    <t>400059246A</t>
  </si>
  <si>
    <t>400059248A</t>
  </si>
  <si>
    <t>400058484A</t>
  </si>
  <si>
    <t>400058803A</t>
  </si>
  <si>
    <t>400059415A</t>
  </si>
  <si>
    <t>400052595A</t>
  </si>
  <si>
    <t xml:space="preserve">Donna Salt                                        Teresa Kester                         Mary Corcoran </t>
  </si>
  <si>
    <t>Barb Daquino
Joy Laig       Laura Manley</t>
  </si>
  <si>
    <t xml:space="preserve">Teresa Kester
Yeraballi Kumar
</t>
  </si>
  <si>
    <t>Offshore</t>
  </si>
  <si>
    <t>Pending Verification of offshore restrictions</t>
  </si>
  <si>
    <t xml:space="preserve">Laura Manley
Offshore restriction?
</t>
  </si>
  <si>
    <t>Mary Corcoran
Nitin Upreti
Donna Salt</t>
  </si>
  <si>
    <t>Nagesh</t>
  </si>
  <si>
    <t>Vernon Kirkwood
Satinder</t>
  </si>
  <si>
    <t xml:space="preserve">Teresa Kester
Mahesh 
</t>
  </si>
  <si>
    <t xml:space="preserve">Donna Salt
Satinder
</t>
  </si>
  <si>
    <t xml:space="preserve">Laura Manley
Nitin
</t>
  </si>
  <si>
    <t xml:space="preserve">Laura Manley
Nagesh
</t>
  </si>
  <si>
    <t xml:space="preserve">Vernon Kirkwood
Yeraballi
</t>
  </si>
  <si>
    <t xml:space="preserve">Donna Salt
Yeraballi
</t>
  </si>
  <si>
    <t xml:space="preserve">Laura Manley
Gurpreet Guliani
</t>
  </si>
  <si>
    <t>Vernon Kirkwood
Kiran</t>
  </si>
  <si>
    <t>Vernon Kirkwood
Gurpreet Guliani</t>
  </si>
  <si>
    <t>Kiran</t>
  </si>
  <si>
    <t>Donna Salt
Kiran</t>
  </si>
  <si>
    <t>Donna Salt   Mary Corcoran Gurpreet Guliani</t>
  </si>
  <si>
    <t>Joy</t>
  </si>
  <si>
    <t>4/15/2013 (UAT)
3/22/2013 (Int)</t>
  </si>
  <si>
    <t>Int - 9/24/2013
UAT - 10/9/2013</t>
  </si>
  <si>
    <t xml:space="preserve">Int - 5/21/2013
UAT - 6/4/2013 </t>
  </si>
  <si>
    <t>INT: 9/24/13
UAT: 9/30/13</t>
  </si>
  <si>
    <t>satinder Singh</t>
  </si>
  <si>
    <t>Arch-Led</t>
  </si>
  <si>
    <t>Data Classification &amp; Retention Survey</t>
  </si>
  <si>
    <t>Continuous Improvement</t>
  </si>
  <si>
    <t>Linda Maghan</t>
  </si>
  <si>
    <t>Too many applications to list</t>
  </si>
  <si>
    <t>4/26 Project still in estimating in Prompt</t>
  </si>
  <si>
    <t>4/26 Project still in estimating in Prompt - no code deploy - forms only - Bruce following up to see who would own this</t>
  </si>
  <si>
    <t>10-00000-002</t>
  </si>
  <si>
    <t>4/26 PRoject still in estimating in Prompt - no production code deploy</t>
  </si>
  <si>
    <t>CC 23</t>
  </si>
  <si>
    <t>4/26 Per the pm this sprf should now be cancelled</t>
  </si>
  <si>
    <t>4/26 Per the pm this should be cancelled today
4/12 Project maybe cancelled - pending further business review</t>
  </si>
  <si>
    <t>4/26 Usec impacted in CC2</t>
  </si>
  <si>
    <t>4/26 Reduced effort by 1.72 for USEC impact
2/16 Rescheduled - CC3
1/18/2013 Moved to unscheduled per Vicky - It's an NDB &amp; Facets alignment, and figuring out if Cosmos is also in scope. If yes, both NDB and cosmos have to change estimates and also align. Plus Care One needs to be aligned.
1/10/13 CC 3 - cc still in estimating in Prompt</t>
  </si>
  <si>
    <t>4/26 CC 5 Scheduled
2/16/13 Added 1.92 for SE CC 4 went from 15.90 to 17.82
2/16/13 Added 2.85 for CC 5 - went from 13.05 to 15.9  (still in est in prompt)</t>
  </si>
  <si>
    <t>4/26 Project now BGEapproved
4/5 Project is still in estimating in Prompt</t>
  </si>
  <si>
    <t>4/26 NDB un-impacted on this project</t>
  </si>
  <si>
    <t>4/26/2013 Cancelled in Prompt</t>
  </si>
  <si>
    <t>4/26 DE CC 17 .07 - increased from .14 to .21
1/18/13 Project scheduled and BGE approved
11/20 Still in Est - 7 est outstanding - NDB est done
11/5 Per SP Tool comment 10/29 Teresa K sent out T/O template
In Estimating 9/26/12 - most ests outstanding (inc NDB) - Panamthundil Alexander</t>
  </si>
  <si>
    <t xml:space="preserve">4/26 Added .53 SE CC 17 est increased from 15.56 to 16.06
4/5 CC now scheduled in prompt
3/1/13 CC11 - CC in estimating in Prompt - Justin Hurdley confirmed Change Control Committee approved NDB to move forward on the NY CC already while they push it through the admin processes.  </t>
  </si>
  <si>
    <t>4/26 Increased est by .29 in DE - increased from 6.09 to 6.38</t>
  </si>
  <si>
    <t>400051116A</t>
  </si>
  <si>
    <t>400056887A</t>
  </si>
  <si>
    <t>400056887UA</t>
  </si>
  <si>
    <t>400054607UA</t>
  </si>
  <si>
    <t>400057571UA</t>
  </si>
  <si>
    <t>Still in estimating in Prompt</t>
  </si>
  <si>
    <t>Still in estimating in Prompt - no code delivery</t>
  </si>
  <si>
    <t>Arch Lead - Ryan point - project still in est in Prompt - no prod code delivery</t>
  </si>
  <si>
    <t>Arch Lead no production code deployed</t>
  </si>
  <si>
    <t>R. King</t>
  </si>
  <si>
    <r>
      <rPr>
        <b/>
        <sz val="8"/>
        <rFont val="Arial"/>
        <family val="2"/>
      </rPr>
      <t>4/26/2013:</t>
    </r>
    <r>
      <rPr>
        <sz val="8"/>
        <rFont val="Arial"/>
        <family val="2"/>
      </rPr>
      <t xml:space="preserve">
The existing BRD, SSD, BRTM, SRI, RTM, and Tech Specs for NDB also include USEC.</t>
    </r>
  </si>
  <si>
    <t>ACIS Suite, Application Enablement, B2B Provider Portal, BH-Facets - UBH, Business Intelligence &amp; Data Management, CDD, CISS - TOPS Case Installation, Claims Highway, Claims QA, Claims QA - EDI, Claims QA - Specialty Benefits, Claims QA OHBS, Claims QA Ox</t>
  </si>
  <si>
    <t>Application Enablement, Audit Recovery Operations (ARO) Datamart, B2B Provider Portal, BH-Agate, BH-Elig/Accum, BH-Elig/Benefits, BH-HP Compare, BH-Linx, Card Request System (CRS), CareOne, Claims QA, Claims QA - EDI, Claims QA OHBS, Consumer Database (CD</t>
  </si>
  <si>
    <t>Audit Recovery Operations (ARO) Datamart, B2B Provider Portal, BH-Elig/Accum, BH-HP Compare, BH-Linx, Card Request System (CRS), CareOne, Claims QA, Claims QA - EDI, Claims QA OHBS, Consumer Database (CDB), DCM - Distribution Channel Management, EDSS - En</t>
  </si>
  <si>
    <t>Application Enablement, Audit Recovery Operations (ARO) Datamart, B2B Provider Portal, B2C Provider Portal, Card Request System (CRS), CareOne, Claims QA, Claims QA - EDI, Consumer Database (CDB), Contact Center Services, DCM - Distribution Channel Manage</t>
  </si>
  <si>
    <t>Application Enablement, Audit Recovery Operations (ARO) Datamart, B2B Provider Portal, B2C Provider Portal, Card Request System (CRS), CareOne, Claims Highway, Claims QA, Claims QA - EDI, Consumer Database (CDB), Emptoris, EPMO, ETS (Escalation Tracking S</t>
  </si>
  <si>
    <t>Growth and Innovation</t>
  </si>
  <si>
    <t>colleen meagher</t>
  </si>
  <si>
    <t>Application Enablement, B2B Provider Portal, B2C Provider Portal, CareOne, Claims QA, Claims QA - EDI, Consumer Database (CDB), Contact Center Services, COSMOS, Emptoris, EPMO, Facets Alpha, iCES Clearinghouse, Myuhc - Member Portal, NDB, ppoONE, UFE, UHC</t>
  </si>
  <si>
    <t>eSync Integration Consumer Dashboard 2013 Q4</t>
  </si>
  <si>
    <t>Jeffrey Thompson</t>
  </si>
  <si>
    <t xml:space="preserve">Application Enablement, Claims QA, Consumer Account Management System (CAMS), Consumer Database (CDB), Contact Center Services, COSMOS, eHP - eSync Health Portal, Enterprise Information Management, EPMO, IBAAG - BPST (Template updates and testing), IBAAG </t>
  </si>
  <si>
    <t>Application Enablement, BPID, BPM CoE, BPM Development Group, Claims QA, Computer Services, Enterprise Information Management, Enterprise Systems Planning Business Architecture, EPMO, ESP Systems Planning and Alignment, Healthcare Alliance - Medica, ICD-1</t>
  </si>
  <si>
    <t>CCS-CCF, COMET Desktop.NET, Connected Care (TeleHealth), Consumer Account Management System (CAMS), Consumer Database (CDB), Coordinated Care Management, Electronic Eligibility Management System (EEMS), Enterprise Letter Generation System, EPMO, ERC, GGMA</t>
  </si>
  <si>
    <t>Application Enablement, BH-Liveandworkwell.com, CareOne (UHC MV), Contact Center Services, Enterprise Application Architecture, Enterprise Information Management, Enterprise Requirements Analysis (ERA), EPMO, ICD-10 Architecture, IQSS Supply and Demand (I</t>
  </si>
  <si>
    <t>Q2 2013 Risk Carve Out</t>
  </si>
  <si>
    <t>Application Enablement, Claims QA - Specialty Benefits, Consumer Database (CDB), Enterprise Letter Generation System, EPMO, ICUE Core, NDB, OHCS - CMC Facets, OHCS - CMC Web, Oracle Universal Content Management (UCM)</t>
  </si>
  <si>
    <t>Agile Engineering Practices, Enterprise Application Architecture, Enterprise Information Management, EPMO, HealthEdge Services, NDB</t>
  </si>
  <si>
    <t>Consumer Database (CDB), EPMO, GEOAccess, Health4Me, Myuhc - Member Portal, NDB</t>
  </si>
  <si>
    <t>myHCE: NDB Search Performance (Pagination)</t>
  </si>
  <si>
    <t>Facility Amdmt - Display of non-standard clauses</t>
  </si>
  <si>
    <t>BPID, EPMO, ICUE Core, NDB</t>
  </si>
  <si>
    <t>05-71387-000</t>
  </si>
  <si>
    <t>10-00000-634</t>
  </si>
  <si>
    <t>400056048A</t>
  </si>
  <si>
    <t>400056462A</t>
  </si>
  <si>
    <t>400059545A</t>
  </si>
  <si>
    <t>400059529A</t>
  </si>
  <si>
    <t>ACIS Suite, AmeriChoice, Application Enablement, B2B Provider Portal, B2C Provider Portal, BASICS, BPM CoE, Business Intent Certification Tool (BIC), CareOne, CCS-CCF, CDD, Claims Highway, Claims QA, Claims QA - EDI, COMET Desktop.NET, Consumer Account Ma</t>
  </si>
  <si>
    <t>A&amp;G Workflow &amp; Tracking System, B2B Provider Portal, B2C Provider Portal, bConnected - UHG IT, CareOne, CFAS, Claims QA, Claims QA - EDI, CMS Dev, Consumer Database (CDB), Contact Center Services, COSMOS, Enterprise Letter Generation System, Enterprise Sy</t>
  </si>
  <si>
    <t>UHC E&amp;I ICD10 Business Partner Testing</t>
  </si>
  <si>
    <t>Adjudipro, B2B Provider Portal, B2C Provider Portal, CareOne, CFAS, Claims QA, Claims QA - EDI, COSMOS, Decision Support System (DSS), Emptoris, EPMO, FSDB - Financial Summary Database (5087), FTS Financial Tagging Service, Galaxy, GGMAP, IDRS, IDT - Inte</t>
  </si>
  <si>
    <t>ACIS Suite, Application Enablement, B2B Provider Portal, B2C Provider Portal, Claims Highway, Claims QA, Claims QA - EDI, COMET Desktop.NET, Consumer Database (CDB), Contact Center Services, Employer Portal, Enterprise Product Planning &amp; Architecture (EPP</t>
  </si>
  <si>
    <t>B2B Provider Portal, Claim Work DIstribution (CWD), Claims Highway, Claims QA, Claims QA - EDI, COMET Desktop.NET, Consumer Database (CDB), Data Delivery System (DDS), Enterprise Adjudication Service, Enterprise Application Architecture, Enterprise System</t>
  </si>
  <si>
    <t xml:space="preserve">ACIS Suite, B2B Provider Portal, Claims QA - EDI, Claims QA - Specialty Benefits, Consumer Database (CDB), Electronic Eligibility Management System (EEMS), Enterprise Letter Generation System, Enterprise Systems Planning Business Architecture, EPMO, IQSS </t>
  </si>
  <si>
    <t>Application Enablement, Claims Highway, Claims QA, Consumer Database (CDB), COSMOS, Enterprise Application Architecture, Enterprise Information Management, Enterprise Letter Generation System, EPMO, ICUE Core, MAPS, NDB, OHCS - Data Management, OHCS - eVi</t>
  </si>
  <si>
    <t>Claims Highway, Claims QA, EPMO, FSDB - Financial Summary Database (5087), FTS Financial Tagging Service, Galaxy, NDB, Payment Engine, QMO - Quality Management Organization, TOPS, UCAS - Unet Claim Accounting Sys (multiple apps), Unified Data Warehouse (U</t>
  </si>
  <si>
    <t>BH-Data Warehouses, BH-Elig/Benefits, BH-Facets - UBH, BH-Linx, BH-Liveandworkwell.com, BH-ubhonline.com, Claims QA, Claims QA - EDI, Claims QA OHBS, COMET Desktop.NET, COSMOS, EPMO, IBAAG - BPST (Template updates and testing), NDB, OH Program Management,</t>
  </si>
  <si>
    <t>Application Enablement, BPID, Claims QA, COMET Desktop.NET, Enterprise Information Management, Enterprise Systems Planning Business Architecture, EPMO, IQSS Front Office, IQSS Supply and Demand (IQSS S&amp;D), NDB, QMO - Quality Management Organization, TOPS,</t>
  </si>
  <si>
    <t>HCR OHCS - Release B - EDI 270/271, 276/277</t>
  </si>
  <si>
    <t>Lori Austin</t>
  </si>
  <si>
    <t>Chris Stidman</t>
  </si>
  <si>
    <t>Application Enablement, Enterprise Information Management, Enterprise Systems Planning Business Architecture, EPMO, IQSS Front Office, NDB, OHCS - TCE, TOPS, UHN Reporting Database, USEC - Universal Security Systems</t>
  </si>
  <si>
    <t>Agile Engineering Practices, Computer Services, Enterprise Application Architecture, Enterprise Information Management, Enterprise Systems Planning Business Architecture, EPMO, IQSS Supply and Demand (IQSS S&amp;D), NDB</t>
  </si>
  <si>
    <t>Claims QA, Computer Services, COSMOS, EPMO, NDB, RxCLAIM, RxCLAIM - Catamaran, UHC C and S Business Requirements, UHC C and S Diamond-Diamond Interfaces, UHC C and S National Encounters (NEMIS)</t>
  </si>
  <si>
    <t>Computer Services, Enterprise Information Management, EPMO, NDB, UHN Reporting Database, USEC - Universal Security Systems</t>
  </si>
  <si>
    <t>Application Enablement, myHCE Business Analysis - myHealthcare Cost Estimator Busine, NDB, OHCS - TCE</t>
  </si>
  <si>
    <t>Golden Rule MNRP Pricing</t>
  </si>
  <si>
    <t>Amy Barker</t>
  </si>
  <si>
    <t>Margaret Hays</t>
  </si>
  <si>
    <t>EPMO, NDB, ppoONE, UFE</t>
  </si>
  <si>
    <t>10-00000-150</t>
  </si>
  <si>
    <t>400059537A</t>
  </si>
  <si>
    <t>400053636A</t>
  </si>
  <si>
    <t>400058206A</t>
  </si>
  <si>
    <t>5/3 Project is now BGE approved in prompt
3/21/13 Increased estimate from 20 to 23.01 based on estimate
3/1/13 Not yet throught prompt process and NDB not yet impacted in Prompt</t>
  </si>
  <si>
    <t>5/3 Project is now BGE approved in prompt</t>
  </si>
  <si>
    <t>5/3 CC still in est in Prompt
CC29</t>
  </si>
  <si>
    <t>5/3 CC still in estimating in Prompt
 CC19</t>
  </si>
  <si>
    <t>400046616D</t>
  </si>
  <si>
    <t>400052619B</t>
  </si>
  <si>
    <t>CC19 CC still in estimating in Prompt  - added to gk since Deb is currently supporting</t>
  </si>
  <si>
    <t>5/3/13 Project completed in prompt</t>
  </si>
  <si>
    <t xml:space="preserve">Project Completed in Prompt. </t>
  </si>
  <si>
    <t>5/3/13 Project completed in prompt
CC7</t>
  </si>
  <si>
    <t>5/3 Project cancelled in Prompt</t>
  </si>
  <si>
    <t xml:space="preserve">CES </t>
  </si>
  <si>
    <r>
      <rPr>
        <b/>
        <sz val="8"/>
        <rFont val="Arial"/>
        <family val="2"/>
      </rPr>
      <t>5/6/2013:</t>
    </r>
    <r>
      <rPr>
        <sz val="8"/>
        <rFont val="Arial"/>
        <family val="2"/>
      </rPr>
      <t xml:space="preserve">
project is following Agile process.  PEGA team is in charge with the SSD creation and cross app PM will now have a project kick off meeting this Wednesday only and according to Agile process, their SSD won’t be completed for a few weeks.    Since there is no firm date on the SSD, it’s hard for us to plan our Q4 milestone date.  May go to RED (TBD)</t>
    </r>
  </si>
  <si>
    <t>6/17/2013 (Int)</t>
  </si>
  <si>
    <r>
      <rPr>
        <b/>
        <sz val="8"/>
        <rFont val="Arial"/>
        <family val="2"/>
      </rPr>
      <t xml:space="preserve">05/03/2013:
Overall SPRF project status is GREEN. As a result of escalations that occurred over the previous
weekend (within the Facets-AUX DB org.), resources and priorities were reshuffled, allowing Diamond to commit to the accelerated delivery date of 5/11.
SRI and Tech. Specs. have been sent out for approval (the PRD and SSD were completed on 4/29). CC#1 (SE) and CC#2 (accelerate deployment date from 6/22 to 5/11) are expected to be
completed and uploaded to PROMPT by 5/8.
Overall NDB project status is YELLOW. Front Office, IT Architecture, and SA burn rate is running
hot. Please refer to the Issues &amp; Risks section for details.5/11 deployment date may still be on. Bob to confirm on 4/30. 
YELLOW </t>
    </r>
    <r>
      <rPr>
        <sz val="8"/>
        <rFont val="Arial"/>
        <family val="2"/>
      </rPr>
      <t>status</t>
    </r>
    <r>
      <rPr>
        <b/>
        <sz val="8"/>
        <rFont val="Arial"/>
        <family val="2"/>
      </rPr>
      <t xml:space="preserve"> </t>
    </r>
    <r>
      <rPr>
        <sz val="8"/>
        <rFont val="Arial"/>
        <family val="2"/>
      </rPr>
      <t>as deployment is still being determined. Although the PRD and
SSD are not scheduled to be finalized until 4/19, they are stable enough to have allowed NDB to conduct SRI and Tech. Specs. walk-thrus this week. 
PRD/SSD -95% (pending approvals), SRI-95% (send for approval on 4/23). Tech specs 95% - (due on 5/08). Dev : 100 % .  QCA - 100%, Integration Test - 50 % The SE (CC#1) is expected to be completed and uploaded to
PROMPT by 5/3.                                   
                               After a series of meetings this week, it was determined
that the Diamond application did not have resources available (due to other priorities) to support
the expedited 5/15 delivery date requested by the client. (The Diamond app needed to be able to
accept a new Div and Panel from NDB.) However, as of this writing, the Diamond organization was
expediting their efforts to get the work estimated, prioritized, and scheduled. Afterwards, they
will then attempt to get resources assigned as soon as possible. Due to the current uncertainty
surrounding the Release date, the NDB WBS will be updated after a definitive Release date has
been agreed upon.</t>
    </r>
  </si>
  <si>
    <r>
      <t xml:space="preserve">
CC#11 -</t>
    </r>
    <r>
      <rPr>
        <b/>
        <sz val="8"/>
        <color rgb="FFFF0000"/>
        <rFont val="Arial"/>
        <family val="2"/>
      </rPr>
      <t xml:space="preserve"> </t>
    </r>
    <r>
      <rPr>
        <sz val="8"/>
        <rFont val="Arial"/>
        <family val="2"/>
      </rPr>
      <t xml:space="preserve">Deployment date must be confirmed. 
need revised milestones
</t>
    </r>
    <r>
      <rPr>
        <b/>
        <sz val="8"/>
        <rFont val="Arial"/>
        <family val="2"/>
      </rPr>
      <t xml:space="preserve">ON SHORE ONLY
</t>
    </r>
    <r>
      <rPr>
        <sz val="8"/>
        <rFont val="Arial"/>
        <family val="2"/>
      </rPr>
      <t>State file - Needed as part of Provider Go Live (TBD)
Define strategy for testing and coding onshore</t>
    </r>
    <r>
      <rPr>
        <b/>
        <sz val="8"/>
        <rFont val="Arial"/>
        <family val="2"/>
      </rPr>
      <t xml:space="preserve">
</t>
    </r>
    <r>
      <rPr>
        <sz val="8"/>
        <rFont val="Arial"/>
        <family val="2"/>
      </rPr>
      <t xml:space="preserve">
Ensure that Integration partners have been engaged. Ensure planned is defined with INT partners.  
</t>
    </r>
    <r>
      <rPr>
        <b/>
        <sz val="8"/>
        <rFont val="Arial"/>
        <family val="2"/>
      </rPr>
      <t xml:space="preserve">As of 5/6/2013:
Claim GO Live date move - 9/1
There are two deliverables
- NY Migration One Shot - June 13
- CC#11 Inbound State File - June 22( yet to be confirmed)
Concerns regarding environement refresh. Meetings in place to coordinate all efforts with C&amp;S. </t>
    </r>
    <r>
      <rPr>
        <sz val="8"/>
        <rFont val="Arial"/>
        <family val="2"/>
      </rPr>
      <t xml:space="preserve"> 
Meeting on 5/8 to determine new NDB Go Live date
PRD/SSD-95% , SRI-95% (pending approvals) , TS-100%,  Dev - 100%, Systest -5%. Testing strategy needed with Facets and Nemis</t>
    </r>
  </si>
  <si>
    <t>5/10 PRD/SSD
5/20 (SRI)</t>
  </si>
  <si>
    <t>PRD/SSD 5/10
5/17 (SRI)</t>
  </si>
  <si>
    <r>
      <t xml:space="preserve">
Onshore only 
</t>
    </r>
    <r>
      <rPr>
        <sz val="8"/>
        <rFont val="Arial"/>
        <family val="2"/>
      </rPr>
      <t xml:space="preserve">NJ Long Term care is now a 4/1 date with a possible 7/1 date. 
</t>
    </r>
    <r>
      <rPr>
        <b/>
        <sz val="8"/>
        <rFont val="Arial"/>
        <family val="2"/>
      </rPr>
      <t xml:space="preserve">
Onboarding oneshot + Code deployment </t>
    </r>
    <r>
      <rPr>
        <sz val="8"/>
        <rFont val="Arial"/>
        <family val="2"/>
      </rPr>
      <t xml:space="preserve">
</t>
    </r>
    <r>
      <rPr>
        <b/>
        <sz val="8"/>
        <rFont val="Arial"/>
        <family val="2"/>
      </rPr>
      <t>4/29/2013:
CSP call on 4/16 for confirmation on migration oneshot date.</t>
    </r>
    <r>
      <rPr>
        <sz val="8"/>
        <rFont val="Arial"/>
        <family val="2"/>
      </rPr>
      <t xml:space="preserve">
WO Form - 100%, Development - 100%
TP&amp;E - 90% (pending UAT results) - Systest - 100%, UAT - 99% . Expected to complete by 5/8. 
Aligned with May release (5/16). Revised milestones needed (alignment between NDB and Facets needed).
</t>
    </r>
  </si>
  <si>
    <r>
      <t xml:space="preserve">CC29 CC still in estimating in Prompt - added to gk since Deb is currently supporting. </t>
    </r>
    <r>
      <rPr>
        <sz val="8"/>
        <color rgb="FFFF0000"/>
        <rFont val="Arial"/>
        <family val="2"/>
      </rPr>
      <t>Confirm type of support provided.</t>
    </r>
  </si>
  <si>
    <t xml:space="preserve">Stacy Denil
</t>
  </si>
  <si>
    <t>A&amp;D</t>
  </si>
  <si>
    <t>Dawn Willemssen</t>
  </si>
  <si>
    <t>ACEProject, Adjudipro, Analytics Optimizer, Application Enablement, Atlas, B2B Provider Portal, B2C Provider Portal, BH-Clinical Applications, Billing and Enrollment Navigator, Capture, CareOne, CareOne (UHC MV), CHCS, Claims Highway, Client Letter (Speci</t>
  </si>
  <si>
    <t>ACIS Suite, Application Enablement, Automated Underwriting, B2B Provider Portal, B2C Provider Portal, BASICS, BPID, Business Intelligence &amp; Data Management, CDD, CISS - TOPS Case Installation, CIX (Customer Installation Express), Claims Highway, Claims QA</t>
  </si>
  <si>
    <t>Application Enablement, B2B Provider Portal, B2C Provider Portal, Benefit Intent Certification (BIC) Development – UNET, BPM Development Group, Business Intent Certification Tool (BIC), CASP Webstrat-QCA, CDD, Claim Work DIstribution (CWD), Claims Highway</t>
  </si>
  <si>
    <t>ACIS Suite, Application Enablement, B2B Provider Portal, B2C Provider Portal, Claims Highway, Claims QA, Claims QA - EDI, Claims QA - Specialty Benefits, Claims QA Oxford, Consumer Database (CDB), Contact Center Services, EDSS - Enterprise Data Storage Sy</t>
  </si>
  <si>
    <t>WA MME</t>
  </si>
  <si>
    <t xml:space="preserve">Application Enablement, Audit Recovery Operations (ARO) Datamart, B2B Provider Portal, B2C Provider Portal, BH-Agate, BH-Clinical Applications, BH-Data Warehouses, BH-Elig/Benefits, BH-HP Compare, BH-Linx, BH-Portals, CareOne, Claims QA, Claims QA - EDI, </t>
  </si>
  <si>
    <t>Application Enablement, Audit Recovery Operations (ARO) Datamart, B2B Provider Portal, B2C Provider Portal, BH-Liveandworkwell.com, Card Request System (CRS), CareOne, Claims QA, Claims QA - EDI, Consumer Database (CDB), Contact Center Services, EPMO, ETS</t>
  </si>
  <si>
    <t>Application Enablement, Audit Recovery Operations (ARO) Datamart, B2B Provider Portal, BH-Facets - UBH, CareOne, Claims QA, Claims QA - EDI, Claims QA OHBS, Computer Services, Consumer Database (CDB), Contact Center Services, EPMO, ETS (Escalation Trackin</t>
  </si>
  <si>
    <t>Application Enablement, B2B Provider Portal, B2C Provider Portal, Benefit Intent Certification (BIC) Development – UNET, BPM Development Group, Business Intent Certification Tool (BIC), Claims Highway, Claims QA, Claims QA - EDI, COMET Desktop.NET, Consum</t>
  </si>
  <si>
    <t>OHBS DSM-5</t>
  </si>
  <si>
    <t>Jean Voxland</t>
  </si>
  <si>
    <t>Noreen Callahan-Langbehn</t>
  </si>
  <si>
    <t>BH-Clinical Applications, BH-Customer Dashboards, BH-Data Warehouses, BH-Facets - UBH, BH-Hyperion, BH-Linx, BH-Liveandworkwell.com, BH-NetSmart, BH-PBH Facets, BH-Portals, BH-Public Sector Portals, BH-Puma, BH-Shared Components, BH-SURE, BH-ubhonline.com</t>
  </si>
  <si>
    <t>BH-Data Warehouses, BH-Facets - UBH, CareOne, Claims QA Oxford, Consumer Database (CDB), Consumer Portal (OptumRx), COSMOS, eHP - eSync Health Portal, Enterprise Letter Generation System, Galaxy, GEOAccess, ICUE Core, Myuhc - Member Portal, NDB, OH Dental</t>
  </si>
  <si>
    <t>Application Enablement, Audit Recovery Operations (ARO) Datamart, B2B Provider Portal, BPID, Claims Highway, Claims QA, Claims QA - EDI, Enterprise Requirements Analysis (ERA), EPMO, HIPAA, IBM FileNet, iCES Clearinghouse, IDRS, iLEAD, IQSS Supply and Dem</t>
  </si>
  <si>
    <t>BASICS, Claims Highway, Computer Services, Consumer Database (CDB), Enterprise Adjudication Service, Enterprise Application Architecture, Enterprise Architecture Practices, Enterprise Information Management, Enterprise Systems Planning Business Architectu</t>
  </si>
  <si>
    <t xml:space="preserve">Adjudipro, Claims Highway, Claims QA, Claims QA - EDI, Consumer Account Management System (CAMS), Consumer Database (CDB), COSMOS, Enterprise Information Management, Enterprise Letter Generation System, GGMAP, Health Statement Engine, HIPAA, LETGEN, NDB, </t>
  </si>
  <si>
    <t>B2C Provider Portal, CareOne, CareOne (UHC MV), CCS-CCF, Claims QA, Claims QA Oxford, COSMOS, EPMO, GEOAccess, Health4Me, ICUE Core, Innovation Delivery Center, Integrated Service Experience Tool ISET, Myuhc - Member Portal, NDB, OHCS - TCE, Oxford Platfo</t>
  </si>
  <si>
    <t>B2B Provider Portal, BH-Agate, BH-Facets - UBH, Claim Life Tracking (CLT) Dashboard, Claims QA, Claims QA - EDI, Consumer Database (CDB), eServices Billing, GPS, IQSS Supply and Demand (IQSS S&amp;D), NDB, ORBIT - Operational Reporting, TOPS, UCAS - Unet Clai</t>
  </si>
  <si>
    <t xml:space="preserve">Application Enablement, BH-Liveandworkwell.com, CareOne (UHC MV), Contact Center Services, Enterprise Application Architecture, Enterprise Information Management, EPMO, ICD-10 Architecture, IQSS Supply and Demand (IQSS S&amp;D), NDB, QMO - Quality Management </t>
  </si>
  <si>
    <t>Application Enablement, BH-Facets - UBH, BH-Liveandworkwell.com, Claims QA OHBS, Consumer Database (CDB), COSMOS, Enterprise Systems Planning Business Architecture, EPMO, IQSS Front Office, NDB, OHCS - TCE, OptumHealth Segment Architecture, OptumHealth Se</t>
  </si>
  <si>
    <t xml:space="preserve">Application Enablement, B2B Provider Portal, Claims QA - EDI, Consumer Database (CDB), Enterprise Application Architecture, Enterprise Information Management, EPMO, Ingenix EDI Solutions, NDB, OHCS - CMC Web, OHCS - PH Accent, OHCS OCIO ARCHITECTURE &amp; IT </t>
  </si>
  <si>
    <t>Application Enablement, Claims Highway, Claims QA, Claims QA - EDI, COMET Desktop.NET, Enterprise Adjudication Service, EPMO, iCES Clearinghouse, NDB, Payment Engine, ppoONE, ppoONE-Optum, Systems Integration, TOPS, UFE</t>
  </si>
  <si>
    <t>Referral / Auth intake on Portal</t>
  </si>
  <si>
    <t>Eileen Peterson</t>
  </si>
  <si>
    <t>Application Enablement, CareOne (UHC MV), Enterprise Application Architecture, Enterprise Information Management, EPMO, Interactive Design Services (iDS), NDB, Quality Solutions Development, tricare.360 Portal</t>
  </si>
  <si>
    <t>Application Enablement, CareOne, Claims QA, Claims QA Oxford, COSMOS, EPMO, ICUE Core, Myuhc - Member Portal, NDB, PHS - NICE, PULSE Provider, TOPS</t>
  </si>
  <si>
    <t>NDB, OHCS - TCE</t>
  </si>
  <si>
    <t>NDB Fee Schedule Auto Load</t>
  </si>
  <si>
    <t>400059714A</t>
  </si>
  <si>
    <t>400059802A</t>
  </si>
  <si>
    <t>400059765A</t>
  </si>
  <si>
    <t>400059824A</t>
  </si>
  <si>
    <t>UHCMW Defect release (Portal Only)</t>
  </si>
  <si>
    <t xml:space="preserve">EPMO, tricare.360 Portal, NDB 
</t>
  </si>
  <si>
    <t>5/10 Moved 2.82 pm's from July to June to support June</t>
  </si>
  <si>
    <t>5/10 Moved 2.82 pm's from July to June to support June
3/21/13 Increased estimate from 16.06 to 19.83 - CC3 DE increase 3.77 pm's
2/21/2013 CC2 SE Added 3.54 - increased from 12.52 to 16.06
1/18/2013 split release - moved 1.52 to Aug release
12/13/12 Project in estimating in Prompt</t>
  </si>
  <si>
    <t>5/10 BGE and CC1 combined</t>
  </si>
  <si>
    <t>CC1 soft booked - will reassess once req are clearly defined- email sent to pm</t>
  </si>
  <si>
    <t>5/10 No code deploy to production - Effort from Q3 split between Q3 2013 and Q1 2014</t>
  </si>
  <si>
    <t>4/26 No code deploy to production - Effort from Q3 split between Q3 2013 and Q1 2014</t>
  </si>
  <si>
    <t>5/10 CC8 -Added 8.57 to effort 
CC 1</t>
  </si>
  <si>
    <t>5/10 Estimate increased in CC 8 DE by 1.54 pm's
2/21/13 Added cc 5 SE 4pms - increased from 46.21 to 50.21
1/124/13 Moved to August from June
8/24 CC 1 was opened and estimate total is now 46.21 (53.59 reduction in cc 1)
8/6 Project BGE approved and we reduced estimate to 42 pm's - cc to be opened in prompt
Project not OOM Approved</t>
  </si>
  <si>
    <t>5/10 Estimate increased in CC17 DE by .27 pm's
3/14/2013 SE CC 8  .15pm's  increased from .11 to .26</t>
  </si>
  <si>
    <t>5/10 Being decoped to testing only - will update GK to TBD so A/D effort is out of demand until T/O effort completed</t>
  </si>
  <si>
    <t>5/10 Project cancelled in Prompt
11/20 Still in Estimating - 2 apps outstanding
In Estimating (10/8) - ests outstanding - Kerrie Hessler - NEWER</t>
  </si>
  <si>
    <t>5/10 Project OOM approved in Prompt
1/24 Project still in estimating in Prompt</t>
  </si>
  <si>
    <t>5/10 CC 84 now scheduled in Prompt
CC 84 - CC still  in estimating in Prompt</t>
  </si>
  <si>
    <t>5/10 Moved from Q4 to Q1 2014 per pm</t>
  </si>
  <si>
    <t>400059319A</t>
  </si>
  <si>
    <t>400055976C</t>
  </si>
  <si>
    <t>400057529A</t>
  </si>
  <si>
    <t>400058463B</t>
  </si>
  <si>
    <t>Anne Marie</t>
  </si>
  <si>
    <t xml:space="preserve">Had ok to add with TBD for effort since deploying </t>
  </si>
  <si>
    <t>T. Kester/R. King</t>
  </si>
  <si>
    <t>Moved 2.82 pm's from July to June to support June</t>
  </si>
  <si>
    <t>CC1  - soft booked - will reassess once req are clearly defined- email sent to pm</t>
  </si>
  <si>
    <t>Deb</t>
  </si>
  <si>
    <t>No code deploy to production -Effort from Q3 split between Q3 2013 and Q1 2014</t>
  </si>
  <si>
    <r>
      <t xml:space="preserve">NDB status Green this week(Green for USEC also)  and NEP gave their sign off on 5/10. NDB will be deploying everything but
moving New Pick changes to June release.
05/10/2013:
</t>
    </r>
    <r>
      <rPr>
        <sz val="8"/>
        <rFont val="Arial"/>
        <family val="2"/>
      </rPr>
      <t xml:space="preserve">outstanding defects on Clms hwy are closed. 
</t>
    </r>
    <r>
      <rPr>
        <sz val="8"/>
        <rFont val="Arial"/>
        <family val="2"/>
      </rPr>
      <t xml:space="preserve">PRD/SSD-100% SRI-100%, TS-100%, Dev-100%,  Data Model - 100%. 
QA- 99% passed, Integrate &amp; Test - 70%, NEP UAT- 30% NEP UAT is in Red Status, Claims Hwy integration -90%,UFE-100%, NDB UAT-100%(for CICS only). 
 </t>
    </r>
    <r>
      <rPr>
        <b/>
        <sz val="8"/>
        <rFont val="Arial"/>
        <family val="2"/>
      </rPr>
      <t>New Pick module will be isolated and moved to June. No impact to other functionality.  Add line item in June (cathy to provide the effort. FO to add)</t>
    </r>
  </si>
  <si>
    <r>
      <t xml:space="preserve">1/24 Added 3.8 in CC27 - increased from 17.40 to 21.2 pm's.
CC3   OHBS
</t>
    </r>
    <r>
      <rPr>
        <b/>
        <sz val="8"/>
        <rFont val="Arial"/>
        <family val="2"/>
      </rPr>
      <t xml:space="preserve">05/10/2013:   </t>
    </r>
    <r>
      <rPr>
        <sz val="8"/>
        <rFont val="Arial"/>
        <family val="2"/>
      </rPr>
      <t xml:space="preserve">PRD/SSD/SRI/TS–100%, Dev-100%.  Systest- 100% UAT-100%, </t>
    </r>
    <r>
      <rPr>
        <sz val="8"/>
        <color rgb="FFFF0000"/>
        <rFont val="Arial"/>
        <family val="2"/>
      </rPr>
      <t xml:space="preserve">                                                                                                                                                                                     </t>
    </r>
    <r>
      <rPr>
        <sz val="8"/>
        <rFont val="Arial"/>
        <family val="2"/>
      </rPr>
      <t>Integrate &amp; Test
SysTest: 100% (As of 5/9)
UAT: 100%, 35/35
Intgr: TOPS - 100%/100%
5/10 - 5/12: Key OHBS data into Master, review &amp; sign-off
5/6: Lori Bravoco hosted an NDB Treatment Cause Code Screen info/training
session for the business (Becky Embry).</t>
    </r>
  </si>
  <si>
    <r>
      <t xml:space="preserve">05/10/2013: </t>
    </r>
    <r>
      <rPr>
        <sz val="8"/>
        <rFont val="Arial"/>
        <family val="2"/>
      </rPr>
      <t xml:space="preserve">
PRD - 100%, SSD-100%, SRI-100%, TS- 100%,Dev-100%, QCA - 100% passed Int test - 100% passed.                                                                                                        Nyki Moore &amp; Joyce Somma of NEP confirmed that the
Oneshot to load the NUCC Taxonomy table is no longer needed.
On 3/31 Nyki Moore submitted a Navigator request to have the data loaded
into UAT-A &amp; UAT-B. The data will be loaded into Prod via the same means.</t>
    </r>
  </si>
  <si>
    <r>
      <t xml:space="preserve">This is a Quarterly Work Order
</t>
    </r>
    <r>
      <rPr>
        <b/>
        <sz val="8"/>
        <rFont val="Arial"/>
        <family val="2"/>
      </rPr>
      <t xml:space="preserve">05/10/2013:
 </t>
    </r>
    <r>
      <rPr>
        <sz val="8"/>
        <rFont val="Arial"/>
        <family val="2"/>
      </rPr>
      <t xml:space="preserve">WO Req Form-100%,  TS-100%-not required for WO but created &amp; walked-thru, Dev-100%, Systest-100%, UAT-100% , TP&amp;E - completed. </t>
    </r>
  </si>
  <si>
    <r>
      <t>05/10/2013</t>
    </r>
    <r>
      <rPr>
        <sz val="8"/>
        <rFont val="Arial"/>
        <family val="2"/>
      </rPr>
      <t xml:space="preserve">:
PRD/SSD-100%, </t>
    </r>
    <r>
      <rPr>
        <sz val="8"/>
        <color rgb="FFFF0000"/>
        <rFont val="Arial"/>
        <family val="2"/>
      </rPr>
      <t xml:space="preserve"> </t>
    </r>
    <r>
      <rPr>
        <sz val="8"/>
        <rFont val="Arial"/>
        <family val="2"/>
      </rPr>
      <t xml:space="preserve">SRI/TS/Dev-100%, Systest-100%. UAT/INT-100% </t>
    </r>
    <r>
      <rPr>
        <b/>
        <sz val="8"/>
        <rFont val="Arial"/>
        <family val="2"/>
      </rPr>
      <t>NDB Budget Health - Red</t>
    </r>
    <r>
      <rPr>
        <sz val="8"/>
        <rFont val="Arial"/>
        <family val="2"/>
      </rPr>
      <t xml:space="preserve">
Current DE to EAC variance &amp; is 11.1%</t>
    </r>
  </si>
  <si>
    <r>
      <t xml:space="preserve">
</t>
    </r>
    <r>
      <rPr>
        <b/>
        <sz val="8"/>
        <rFont val="Arial"/>
        <family val="2"/>
      </rPr>
      <t>05/13/2013</t>
    </r>
    <r>
      <rPr>
        <sz val="8"/>
        <rFont val="Arial"/>
        <family val="2"/>
      </rPr>
      <t>: 
PRD -100%, SSD-95% (Pending approval from Eileen Dock) pending ), SRI-95%, TS- 95% (Anne Marie's approval), TS to AE -100%, TS-Delivery of Copybook to AE -100%. Data model -100%, 
Dev- 100% Systest-100% passed. NDB UAT- 100% and ICUE Integration testing 100% completed.
 This SPRF is
a GO for a May deployment.</t>
    </r>
  </si>
  <si>
    <r>
      <rPr>
        <b/>
        <sz val="8"/>
        <rFont val="Arial"/>
        <family val="2"/>
      </rPr>
      <t xml:space="preserve"> </t>
    </r>
    <r>
      <rPr>
        <sz val="8"/>
        <rFont val="Arial"/>
        <family val="2"/>
      </rPr>
      <t xml:space="preserve">
CC will be opened to adjust BGE since estimated in 2010
5</t>
    </r>
    <r>
      <rPr>
        <b/>
        <sz val="8"/>
        <rFont val="Arial"/>
        <family val="2"/>
      </rPr>
      <t>/10/2013-</t>
    </r>
    <r>
      <rPr>
        <sz val="8"/>
        <rFont val="Arial"/>
        <family val="2"/>
      </rPr>
      <t xml:space="preserve"> TOPS issue/concerns
PRD/SSD - 100% SRI-100%, TS -100%, Dev - 100% data model and databases from EIM.- impacts complete. NDB UAT - 100% ex and 95% passed
Will move to Q3 but we will have revised milestones to deliver a bit earlier than standard Q3 milestones for TOPS
Dev will run to 3/25 but system testing will start 3/18
</t>
    </r>
  </si>
  <si>
    <r>
      <rPr>
        <b/>
        <sz val="8"/>
        <rFont val="Arial"/>
        <family val="2"/>
      </rPr>
      <t>Onshore ONLY
A</t>
    </r>
    <r>
      <rPr>
        <sz val="8"/>
        <rFont val="Arial"/>
        <family val="2"/>
      </rPr>
      <t xml:space="preserve"> CC13 - CC still in estimating in Prompt - 
  (Medicaid id  one shot May and medicare opt out going in June) 
</t>
    </r>
    <r>
      <rPr>
        <b/>
        <sz val="8"/>
        <rFont val="Arial"/>
        <family val="2"/>
      </rPr>
      <t xml:space="preserve">5/14/2013:  </t>
    </r>
    <r>
      <rPr>
        <sz val="8"/>
        <rFont val="Arial"/>
        <family val="2"/>
      </rPr>
      <t>PRD/SSD -95% Send for approval - target 5/9 for approval. SRI-100%, TS - 100% Dev-100%, Systest-100%</t>
    </r>
    <r>
      <rPr>
        <sz val="8"/>
        <color rgb="FFFF0000"/>
        <rFont val="Arial"/>
        <family val="2"/>
      </rPr>
      <t>.</t>
    </r>
    <r>
      <rPr>
        <sz val="8"/>
        <rFont val="Arial"/>
        <family val="2"/>
      </rPr>
      <t xml:space="preserve"> UAT - 99%. NDB UAT - 100%
This SPRF will be deployed in 3 parts- Currently GREEN
2nd Part- CC#13 Medicaid One Shot- Deployment on May 17/18. </t>
    </r>
  </si>
  <si>
    <r>
      <t xml:space="preserve">5/14/2013: </t>
    </r>
    <r>
      <rPr>
        <sz val="8"/>
        <color indexed="10"/>
        <rFont val="Arial"/>
        <family val="2"/>
      </rPr>
      <t xml:space="preserve">
</t>
    </r>
    <r>
      <rPr>
        <sz val="8"/>
        <rFont val="Arial"/>
        <family val="2"/>
      </rPr>
      <t>PRD-95% (pending approval), SSD-100%,  SRI-100%, TS-100%, Dev-100%, Systest- 100%, UAT-100%</t>
    </r>
  </si>
  <si>
    <r>
      <t xml:space="preserve">5/14/2013:
</t>
    </r>
    <r>
      <rPr>
        <sz val="8"/>
        <rFont val="Arial"/>
        <family val="2"/>
      </rPr>
      <t>PRD-100 % , SSD-100%, SRI- 100%, Tech Specs-100%, Dev-100%, Systest-100%  UAT-100%</t>
    </r>
  </si>
  <si>
    <r>
      <t xml:space="preserve">CC 6
</t>
    </r>
    <r>
      <rPr>
        <b/>
        <sz val="8"/>
        <rFont val="Arial"/>
        <family val="2"/>
      </rPr>
      <t>5/14/2013:</t>
    </r>
    <r>
      <rPr>
        <sz val="8"/>
        <rFont val="Arial"/>
        <family val="2"/>
      </rPr>
      <t xml:space="preserve">
PRD/SSD - 100%</t>
    </r>
    <r>
      <rPr>
        <sz val="8"/>
        <color rgb="FFFF0000"/>
        <rFont val="Arial"/>
        <family val="2"/>
      </rPr>
      <t xml:space="preserve"> </t>
    </r>
    <r>
      <rPr>
        <sz val="8"/>
        <rFont val="Arial"/>
        <family val="2"/>
      </rPr>
      <t xml:space="preserve">, SRI- 100% -  TS-100%, Dev-100%, </t>
    </r>
    <r>
      <rPr>
        <sz val="8"/>
        <color rgb="FFFF0000"/>
        <rFont val="Arial"/>
        <family val="2"/>
      </rPr>
      <t>Systest - 15%</t>
    </r>
    <r>
      <rPr>
        <sz val="8"/>
        <rFont val="Arial"/>
        <family val="2"/>
      </rPr>
      <t xml:space="preserve"> </t>
    </r>
  </si>
  <si>
    <r>
      <t xml:space="preserve">5/14/2013:
Plan to handle high volume in PROD : 
</t>
    </r>
    <r>
      <rPr>
        <sz val="8"/>
        <rFont val="Arial"/>
        <family val="2"/>
      </rPr>
      <t>1. 5/18 Clia deployment will pick up NJ Clia
2. There will be a repeatable One Shot  required  2 weekends for remaining  BSAR retrigger in two installments  minus Nj Clia.</t>
    </r>
    <r>
      <rPr>
        <b/>
        <sz val="8"/>
        <rFont val="Arial"/>
        <family val="2"/>
      </rPr>
      <t xml:space="preserve">
</t>
    </r>
    <r>
      <rPr>
        <sz val="8"/>
        <rFont val="Arial"/>
        <family val="2"/>
      </rPr>
      <t xml:space="preserve">
PRD/SSD-100%, SRI-100%, TS-95% (new versions exist) , Dev-100%. Systest- 99%. NDB UAT - 100%. CSP UAT - 100%                         To alleviate the production volume concerns , 2 one shots will trigger
BSARS in two installments on 5/18 and 6/1. 
 NDB plan to address a
gap on un-matched master addresses via amonthly recon process.  </t>
    </r>
  </si>
  <si>
    <t>Dave Gibson
Lalita Navaneethan
ICIRA - Int</t>
  </si>
  <si>
    <t>4/1/2013
5/22/13 - Int</t>
  </si>
  <si>
    <t>Dave Gibson</t>
  </si>
  <si>
    <t>TBD - Possibly EPDI</t>
  </si>
  <si>
    <r>
      <rPr>
        <b/>
        <sz val="8"/>
        <rFont val="Arial"/>
        <family val="2"/>
      </rPr>
      <t xml:space="preserve">5/14/2013: </t>
    </r>
    <r>
      <rPr>
        <sz val="8"/>
        <rFont val="Arial"/>
        <family val="2"/>
      </rPr>
      <t xml:space="preserve">
Discussions to take place around the traceability to turn on Pick. Requirements have been incorporated to existing PRD/SSD. Would need SRI, Specs, etc. + revised milestones. 
CC9 - Support parallel testing effort (May-August). Requirements + Specs - (May Release). No A/D for NDB. 
Re-deploy code to turn on Pick. Code deploy - Turn on pick with new code/name - Full traceability required (dependent on results of parallel testing. Additional discussions taking place to determine a plan). Any defects found from the May deployment will be handled in this release (break fixes). </t>
    </r>
  </si>
  <si>
    <t>NDB UAT - Lalita N.</t>
  </si>
  <si>
    <t xml:space="preserve">NDB UAT - Dave Gibson </t>
  </si>
  <si>
    <t>NDB UAT - Teresa Sharp</t>
  </si>
  <si>
    <t>NDB UAT - Teresa Sharp
Careone - Contact ?</t>
  </si>
  <si>
    <r>
      <t xml:space="preserve">CC 1 
</t>
    </r>
    <r>
      <rPr>
        <b/>
        <sz val="8"/>
        <rFont val="Arial"/>
        <family val="2"/>
      </rPr>
      <t xml:space="preserve">5/14/2013: </t>
    </r>
    <r>
      <rPr>
        <sz val="8"/>
        <rFont val="Arial"/>
        <family val="2"/>
      </rPr>
      <t xml:space="preserve">
PRD/SSD - 95% (pending approvals), SRI - 95% (pending approvals) Specs - 95%, Dev - 50%. Milestones + Impact. Extract only. No online
</t>
    </r>
  </si>
  <si>
    <t>Lalita N. 
Phyllis Adkins</t>
  </si>
  <si>
    <t xml:space="preserve">CC2 (same as above)
Specs - TBD </t>
  </si>
  <si>
    <t>5/17 Added add effort per Vicky
3/21/13 Increased per Jose from 1.22 to 4.4 - moved from Q2
2/16 CC 17 Added effort
1/24 Most work being done in q2, with integration testing and deploy in q3 only. Do not have the split yet</t>
  </si>
  <si>
    <t>5/17 DE CC 5 - .13 increase</t>
  </si>
  <si>
    <t xml:space="preserve">Dave Walker
</t>
  </si>
  <si>
    <t>Gabe E</t>
  </si>
  <si>
    <t>5/17/2013 Cancelled in prompt
11/5 Per Padma "Held until 2013 to determine if it could be handled via work orders."
11/5 Per phone call w/Padma she will f/up &amp; advise why Ret to Req
11/5 MM f/up for update status
Ret to Req - 10/11/12 all ests outstanding - Padmaja Devabhaktuni</t>
  </si>
  <si>
    <t>5/17 DE  CC 2 increase of .01
4/26 Increased by .01 in SE CC1 from .09 to .10
3/29 Project now BGE approved
3/8/2013 Project still in estimating in Prompt</t>
  </si>
  <si>
    <t>5/17 Project BGE approved
4/26 Project still in estimating in Prompt - no code deploy - forms only - Bruce following up to see who would own this</t>
  </si>
  <si>
    <t>5/17 Project BGE approved
3/1/13 Project not through Prompt Process</t>
  </si>
  <si>
    <t>5/17 CC scheduled
CC3 (still in est in prompt)</t>
  </si>
  <si>
    <t>5/17/2013 Project cancelled in Prompt</t>
  </si>
  <si>
    <t>5/17 CC3 DE increase of .95
3/1/13 Increased estimate 1.25 pms in SE CC 1 - from 6.28 to 7.53</t>
  </si>
  <si>
    <t>5/17 DE for CC 73 is CC 90 - increased by 1.13 pm's
CC 73</t>
  </si>
  <si>
    <t>5/17 CC71</t>
  </si>
  <si>
    <t>400050630G</t>
  </si>
  <si>
    <t>400046616E</t>
  </si>
  <si>
    <t>400049798C</t>
  </si>
  <si>
    <t>400053883C</t>
  </si>
  <si>
    <t>CC71</t>
  </si>
  <si>
    <t>CC32 - cc in estimating in Prompt</t>
  </si>
  <si>
    <t>Gabe M</t>
  </si>
  <si>
    <t>RM   Rob Reddington</t>
  </si>
  <si>
    <r>
      <rPr>
        <b/>
        <sz val="8"/>
        <rFont val="Arial"/>
        <family val="2"/>
      </rPr>
      <t xml:space="preserve">
05/18/2013                                                                                                     </t>
    </r>
    <r>
      <rPr>
        <sz val="8"/>
        <rFont val="Arial"/>
        <family val="2"/>
      </rPr>
      <t>Green status - this will be moved out again to Aug/Sept timeframe because of myHCE schedule
move.</t>
    </r>
    <r>
      <rPr>
        <b/>
        <sz val="8"/>
        <rFont val="Arial"/>
        <family val="2"/>
      </rPr>
      <t xml:space="preserve">
</t>
    </r>
    <r>
      <rPr>
        <sz val="8"/>
        <rFont val="Arial"/>
        <family val="2"/>
      </rPr>
      <t>PRD/SRD - 100% ,SRI - 100%, Tech Specs 95% (chasing down on re-sign offs), Data model-100%, Dev-100%, QCA-55%, Int-w/ AE- 55%.(on hold with testing because of the move),Integration Test w/
UHN Reporting - 30%,NEP UAT Test Status -30%.</t>
    </r>
  </si>
  <si>
    <r>
      <rPr>
        <b/>
        <sz val="8"/>
        <rFont val="Arial"/>
        <family val="2"/>
      </rPr>
      <t xml:space="preserve">05/18/2013: </t>
    </r>
    <r>
      <rPr>
        <sz val="8"/>
        <rFont val="Arial"/>
        <family val="2"/>
      </rPr>
      <t>Green - PRD &amp; SSD - 100%, SRI - 90%, Tech Spec - 5%</t>
    </r>
  </si>
  <si>
    <r>
      <t xml:space="preserve">Leaving 50.72 on GK - 58144 only has rest of effort not burned 36.90 in prompt
This is a swap for 4-53105 and a small part of 4-50155 - still in estimating in Prompt
</t>
    </r>
    <r>
      <rPr>
        <b/>
        <sz val="8"/>
        <rFont val="Arial"/>
        <family val="2"/>
      </rPr>
      <t xml:space="preserve">05/18/2013:                                                                                                    </t>
    </r>
    <r>
      <rPr>
        <sz val="8"/>
        <rFont val="Arial"/>
        <family val="2"/>
      </rPr>
      <t>Overall Green status for Q2 June (will be moved to align with myHCE go live date in Q3 Sept)</t>
    </r>
    <r>
      <rPr>
        <b/>
        <sz val="8"/>
        <rFont val="Arial"/>
        <family val="2"/>
      </rPr>
      <t xml:space="preserve">
</t>
    </r>
    <r>
      <rPr>
        <sz val="8"/>
        <rFont val="Arial"/>
        <family val="2"/>
      </rPr>
      <t>PRD - 100% ,SSD-100% ,SRI-95%(pending signoff), TS-95% (pending signoff), DEV-100% (stagger date approach ), Data model-100%, Systest-30%, Int-30% (QA testing on hold because of the move)</t>
    </r>
  </si>
  <si>
    <r>
      <t xml:space="preserve">CC73- Search Functionality
</t>
    </r>
    <r>
      <rPr>
        <b/>
        <sz val="8"/>
        <rFont val="Arial"/>
        <family val="2"/>
      </rPr>
      <t xml:space="preserve">as of 05/18/2013:  </t>
    </r>
    <r>
      <rPr>
        <sz val="8"/>
        <rFont val="Arial"/>
        <family val="2"/>
      </rPr>
      <t>PRD/SSD-100%, SRI-100%, TS-100%, Tech Spec walkthrough were completed, Dev - 10%.(DEV running behind with coding due to Q2 code load testing)</t>
    </r>
  </si>
  <si>
    <r>
      <rPr>
        <b/>
        <sz val="8"/>
        <rFont val="Arial"/>
        <family val="2"/>
      </rPr>
      <t xml:space="preserve">                                                   05/18/2013:                                                                                     </t>
    </r>
    <r>
      <rPr>
        <sz val="8"/>
        <rFont val="Arial"/>
        <family val="2"/>
      </rPr>
      <t xml:space="preserve">This project just got scheduled recently. There is a request asking NDB to move this up from Q4 to Q3 to be aligned with TOPS  deployment.                                                                                                                                                                      After a meeting with TOPS, it has been determined this A&amp;D project will turn into TO only for Q3.
Cross app PM created a new CC #2 to descope NDB impact for Q3.                 PRD - 100% SSD-100% ,BRTM -100%                                     </t>
    </r>
  </si>
  <si>
    <r>
      <t xml:space="preserve">CC1 - </t>
    </r>
    <r>
      <rPr>
        <b/>
        <sz val="8"/>
        <rFont val="Arial"/>
        <family val="2"/>
      </rPr>
      <t>Scope -</t>
    </r>
    <r>
      <rPr>
        <sz val="8"/>
        <rFont val="Arial"/>
        <family val="2"/>
      </rPr>
      <t xml:space="preserve"> Recon process</t>
    </r>
  </si>
  <si>
    <r>
      <t xml:space="preserve">CC8 - 
Scope - Additional Integration test with ICIRA
</t>
    </r>
    <r>
      <rPr>
        <b/>
        <sz val="8"/>
        <rFont val="Arial"/>
        <family val="2"/>
      </rPr>
      <t>May + June tracks will be combined</t>
    </r>
    <r>
      <rPr>
        <sz val="8"/>
        <rFont val="Arial"/>
        <family val="2"/>
      </rPr>
      <t xml:space="preserve">. </t>
    </r>
    <r>
      <rPr>
        <b/>
        <sz val="8"/>
        <rFont val="Arial"/>
        <family val="2"/>
      </rPr>
      <t xml:space="preserve">Team performed Integration testing with Mock up files in May. For June end to end integration testing with ICIRA plust deployment fo the full SPRF. </t>
    </r>
    <r>
      <rPr>
        <sz val="8"/>
        <rFont val="Arial"/>
        <family val="2"/>
      </rPr>
      <t xml:space="preserve">
</t>
    </r>
    <r>
      <rPr>
        <b/>
        <sz val="8"/>
        <rFont val="Arial"/>
        <family val="2"/>
      </rPr>
      <t>as of 05/18/2013:
YELLOW</t>
    </r>
    <r>
      <rPr>
        <sz val="8"/>
        <rFont val="Arial"/>
        <family val="2"/>
      </rPr>
      <t xml:space="preserve"> status due to delay of ICIRA file resulting in shorter testing window. </t>
    </r>
    <r>
      <rPr>
        <b/>
        <sz val="8"/>
        <rFont val="Arial"/>
        <family val="2"/>
      </rPr>
      <t xml:space="preserve">
</t>
    </r>
    <r>
      <rPr>
        <sz val="8"/>
        <rFont val="Arial"/>
        <family val="2"/>
      </rPr>
      <t xml:space="preserve">PRD/SSD/SRI-100%, TS-100% (Tech Spce walkthrough Completed ).Dev-10% ( DEV
running behind with Coding due to Q2 code load testing ). 
Arch - Tim Benton ( HLD Documentation completed)
</t>
    </r>
  </si>
  <si>
    <r>
      <t xml:space="preserve">05/20/2013:
NDB Project Status: Green
Overall SPRF Status: Red
 Schedule &amp; Quality Status: Red
Schedule - AuxDB to State deployment moved to 7/18 to accommodate  RI State request for 1st Prod. File between 7/1 &amp; 7/31.
Quality - at risk by RI State for the following reasons: Lack of testing details and compressed testing timelines with inadequate time for UHC testing. Unresolved critical issues with Prov. Matching in MMIS as compared to AuxDB. Continuous Q&amp;A regarding Provider File.
</t>
    </r>
    <r>
      <rPr>
        <b/>
        <u/>
        <sz val="8"/>
        <rFont val="Arial"/>
        <family val="2"/>
      </rPr>
      <t>Integrate &amp; Test</t>
    </r>
    <r>
      <rPr>
        <b/>
        <sz val="8"/>
        <rFont val="Arial"/>
        <family val="2"/>
      </rPr>
      <t xml:space="preserve">:                                                                                        SysTest: 90% ( Executed: 90% ,Passed: 90%), DTP Walkthrough - 100%
UAT: Kick -off Mtg .5/16 
</t>
    </r>
    <r>
      <rPr>
        <b/>
        <u/>
        <sz val="8"/>
        <rFont val="Arial"/>
        <family val="2"/>
      </rPr>
      <t>Design &amp; Engineering, Development</t>
    </r>
    <r>
      <rPr>
        <b/>
        <sz val="8"/>
        <rFont val="Arial"/>
        <family val="2"/>
      </rPr>
      <t xml:space="preserve">-                                             Development: 100%, Tech Specs: 100%, DE: CC#2 - 100%
</t>
    </r>
    <r>
      <rPr>
        <b/>
        <u/>
        <sz val="8"/>
        <rFont val="Arial"/>
        <family val="2"/>
      </rPr>
      <t>Definition &amp; Analysis</t>
    </r>
    <r>
      <rPr>
        <b/>
        <sz val="8"/>
        <rFont val="Arial"/>
        <family val="2"/>
      </rPr>
      <t>:                                                                                      PRD: 100%, SSD: 95%, SRI: 100%</t>
    </r>
  </si>
  <si>
    <r>
      <rPr>
        <sz val="8"/>
        <rFont val="Arial"/>
        <family val="2"/>
      </rPr>
      <t xml:space="preserve">
Most work being done in Q2, with integration testing and deploy in Q3 only. 
</t>
    </r>
    <r>
      <rPr>
        <b/>
        <sz val="8"/>
        <rFont val="Arial"/>
        <family val="2"/>
      </rPr>
      <t>05/20/2013:</t>
    </r>
    <r>
      <rPr>
        <sz val="8"/>
        <rFont val="Arial"/>
        <family val="2"/>
      </rPr>
      <t xml:space="preserve">
PRD/SSD-100%, SRI-100% TS-100% F56 - Tech Specs-100% Dev-100%, Data Model - 100%, Systest-91%( includes Incl./Excl. OneShot testing) ,Integration Testing - NDB will not be performing integration testing; but will support TOPS Unit Testing at the beginning of June_2013.                                                                                                            UAT Q2 -100% ( Test  Cases -112 ) passed,                                                  UAT Q3 - Incl./Excl. One-Shot - 7/17-8/16                                                                             </t>
    </r>
    <r>
      <rPr>
        <b/>
        <sz val="8"/>
        <rFont val="Arial"/>
        <family val="2"/>
      </rPr>
      <t>CC#23 (274-Searches):</t>
    </r>
    <r>
      <rPr>
        <sz val="8"/>
        <rFont val="Arial"/>
        <family val="2"/>
      </rPr>
      <t xml:space="preserve">
- 5/7 - CC cancelled. Funding denied by business                                    </t>
    </r>
    <r>
      <rPr>
        <b/>
        <sz val="8"/>
        <rFont val="Arial"/>
        <family val="2"/>
      </rPr>
      <t xml:space="preserve">Dev &amp; Construct (Q3)-                                                                                       </t>
    </r>
    <r>
      <rPr>
        <sz val="8"/>
        <rFont val="Arial"/>
        <family val="2"/>
      </rPr>
      <t xml:space="preserve">Q3: Inclusion/Exclusion One-Shot: 100%                                                    Dev ( Q2 &amp; Q3 Effort ) - 100%
</t>
    </r>
  </si>
  <si>
    <r>
      <rPr>
        <b/>
        <sz val="8"/>
        <rFont val="Arial"/>
        <family val="2"/>
      </rPr>
      <t xml:space="preserve">05/20/2013:
</t>
    </r>
    <r>
      <rPr>
        <sz val="8"/>
        <rFont val="Arial"/>
        <family val="2"/>
      </rPr>
      <t xml:space="preserve"> PRD/SSD-100%, SRI-100%, TS-100%, RTM-100%, Dev: 95% - 5/17,EIM Impact - Completed,                                                                    </t>
    </r>
    <r>
      <rPr>
        <b/>
        <sz val="8"/>
        <rFont val="Arial"/>
        <family val="2"/>
      </rPr>
      <t>Design &amp; Engineering</t>
    </r>
    <r>
      <rPr>
        <sz val="8"/>
        <rFont val="Arial"/>
        <family val="2"/>
      </rPr>
      <t xml:space="preserve"> DE (CC#5) - Completed &amp; Approved 
TOPS has requested NDB code by 6/3, two weeks ahead of NDB Dev. finish date of 6/17. </t>
    </r>
    <r>
      <rPr>
        <b/>
        <sz val="8"/>
        <rFont val="Arial"/>
        <family val="2"/>
      </rPr>
      <t xml:space="preserve">Jose to confirm with TOPS if NDB UAT support will be required by 6/3. </t>
    </r>
    <r>
      <rPr>
        <sz val="8"/>
        <rFont val="Arial"/>
        <family val="2"/>
      </rPr>
      <t xml:space="preserve">
</t>
    </r>
    <r>
      <rPr>
        <b/>
        <sz val="8"/>
        <rFont val="Arial"/>
        <family val="2"/>
      </rPr>
      <t>5/6</t>
    </r>
    <r>
      <rPr>
        <sz val="8"/>
        <rFont val="Arial"/>
        <family val="2"/>
      </rPr>
      <t xml:space="preserve"> - Nicole Bruno informed the team that coding will be complete by 6/3 and code moved to UAT. TOPS was notified.</t>
    </r>
  </si>
  <si>
    <r>
      <rPr>
        <sz val="8"/>
        <rFont val="Arial"/>
        <family val="2"/>
      </rPr>
      <t xml:space="preserve">
</t>
    </r>
    <r>
      <rPr>
        <b/>
        <sz val="8"/>
        <rFont val="Arial"/>
        <family val="2"/>
      </rPr>
      <t xml:space="preserve">5/21/2013: 
New requirements being addressed as part of CC12. Brainstorming sessions around Retro-Bill replace logic (Cannot go live without these requirements). Determine impact on NJ Go Live if this is not deployed in time. Possilby impact NY
RED status due to lack of clarity of new requirements and delievery plan.
Review milestones and determine if June deliverable is still feasible. More details by Monday 5/20 or earlier. 
</t>
    </r>
    <r>
      <rPr>
        <sz val="8"/>
        <rFont val="Arial"/>
        <family val="2"/>
      </rPr>
      <t>PRD/SSD -95%, SRI-100%, TS-100%, Dev-100%,  Systest - 95% passed (will be changed once CC12 is added)</t>
    </r>
    <r>
      <rPr>
        <sz val="8"/>
        <color rgb="FFFF0000"/>
        <rFont val="Arial"/>
        <family val="2"/>
      </rPr>
      <t xml:space="preserve">- </t>
    </r>
    <r>
      <rPr>
        <sz val="8"/>
        <rFont val="Arial"/>
        <family val="2"/>
      </rPr>
      <t xml:space="preserve">UAT - Discuss what can be tested and do not have impact on the new requirements
CC- 2.8 PM effort.                                                                                    Project has been running behind about 14 weeks. Solutioning resources
were unavailable until late Nov. With Change Controls &amp; Project
Document completion delays, the deploy date needed to be moved out from Feb to April to May to June
.Chances of deploy date being moved again due to continued delays in CQA /UAT testing on account of test environment set up issues. </t>
    </r>
  </si>
  <si>
    <r>
      <t>Replaced 48140-- 
  (no comingled code with other Q2 deliverables)</t>
    </r>
    <r>
      <rPr>
        <b/>
        <sz val="8"/>
        <rFont val="Arial"/>
        <family val="2"/>
      </rPr>
      <t xml:space="preserve">
05/21/2013:                                                                                                                No Code deployment in May.</t>
    </r>
    <r>
      <rPr>
        <b/>
        <u/>
        <sz val="8"/>
        <rFont val="Arial"/>
        <family val="2"/>
      </rPr>
      <t>This is moved to June Release</t>
    </r>
    <r>
      <rPr>
        <b/>
        <sz val="8"/>
        <rFont val="Arial"/>
        <family val="2"/>
      </rPr>
      <t xml:space="preserve">. Yellow due to no ICIRA files until after 5/22 and also volume concern with ICIRA files and NDB Irate/Orate/Svc Cat testing is running behind.  
</t>
    </r>
    <r>
      <rPr>
        <sz val="8"/>
        <rFont val="Arial"/>
        <family val="2"/>
      </rPr>
      <t>Program team being asked to deployed in Q2. Review milestones to ensure these meet the Q2 deployment.</t>
    </r>
    <r>
      <rPr>
        <b/>
        <sz val="8"/>
        <rFont val="Arial"/>
        <family val="2"/>
      </rPr>
      <t xml:space="preserve"> </t>
    </r>
    <r>
      <rPr>
        <sz val="8"/>
        <rFont val="Arial"/>
        <family val="2"/>
      </rPr>
      <t xml:space="preserve">
PRD/SSD-100%, SRI-100%, TS-100%, Dev-100%,QCA-90% passed passed for mock up file testing,For irate/orate/svc cat design change, QA is 25%. 
. This is moved to June Release. June - Yellow due to no ICIRA files
until after 5/22, there is volume concern and can't use Master to test because of TRICARE so NDB
propose to test in path C.
</t>
    </r>
  </si>
  <si>
    <r>
      <rPr>
        <b/>
        <sz val="8"/>
        <rFont val="Arial"/>
        <family val="2"/>
      </rPr>
      <t xml:space="preserve">5/21/13 </t>
    </r>
    <r>
      <rPr>
        <sz val="8"/>
        <rFont val="Arial"/>
        <family val="2"/>
      </rPr>
      <t xml:space="preserve">- PLM Project under SSS. Sprf in Prompt - Fran's Team - Put as Dev-Led. 
We may need to deploy changes as a result of testing
Split between June and September (estimates to be provided) 
FLSA portion - 8/24
Workqueue - September.  9/21
</t>
    </r>
    <r>
      <rPr>
        <b/>
        <sz val="8"/>
        <rFont val="Arial"/>
        <family val="2"/>
      </rPr>
      <t xml:space="preserve">NDB Dev does not see issues completing both tasks in September to reduce overhead. Confirmation is needed from SSS team to support a split release or earlier release. </t>
    </r>
    <r>
      <rPr>
        <sz val="8"/>
        <rFont val="Arial"/>
        <family val="2"/>
      </rPr>
      <t xml:space="preserve">
Tech Only (RSA) - Tech Specs will be created. Full UDP documenation required.
Trying to identify dependencies and deliverables. More communication required in order to explore options of what NDB can deliever and when (ETA - 5/24 - tentatively). Contraints with testing for FSLA and using test PC.</t>
    </r>
  </si>
  <si>
    <r>
      <t xml:space="preserve">CC16 - </t>
    </r>
    <r>
      <rPr>
        <sz val="8"/>
        <color rgb="FFFF0000"/>
        <rFont val="Arial"/>
        <family val="2"/>
      </rPr>
      <t xml:space="preserve">
NJ for medicare opt out with June
</t>
    </r>
    <r>
      <rPr>
        <sz val="8"/>
        <rFont val="Arial"/>
        <family val="2"/>
      </rPr>
      <t>Comingled with Capitation which is currently in RED status</t>
    </r>
    <r>
      <rPr>
        <sz val="8"/>
        <color rgb="FFFF0000"/>
        <rFont val="Arial"/>
        <family val="2"/>
      </rPr>
      <t xml:space="preserve">
</t>
    </r>
    <r>
      <rPr>
        <sz val="8"/>
        <rFont val="Arial"/>
        <family val="2"/>
      </rPr>
      <t>**CC 32 (approx 8PMs) to be scheduled. Possibly June? Devin to set up meeting review impact to original June scope.</t>
    </r>
    <r>
      <rPr>
        <sz val="8"/>
        <color rgb="FFFF0000"/>
        <rFont val="Arial"/>
        <family val="2"/>
      </rPr>
      <t xml:space="preserve">
</t>
    </r>
    <r>
      <rPr>
        <b/>
        <sz val="8"/>
        <rFont val="Arial"/>
        <family val="2"/>
      </rPr>
      <t xml:space="preserve">5/14/2013:        This SPRF will be deployed in 3 parts, 
3rd Part- CC#16 Medicare Opt Out to be deployed in with Capitation 4-50282.
</t>
    </r>
    <r>
      <rPr>
        <sz val="8"/>
        <rFont val="Arial"/>
        <family val="2"/>
      </rPr>
      <t>PRD/SSD - 100% 
SRI - 100%, TS-100%, Dev-100%, Systest-100% - UAT -  6/14</t>
    </r>
  </si>
  <si>
    <r>
      <t xml:space="preserve">Target 8/1 date- 2013 target- may move
</t>
    </r>
    <r>
      <rPr>
        <b/>
        <sz val="8"/>
        <rFont val="Arial"/>
        <family val="2"/>
      </rPr>
      <t>ON SHORE ONLY
Prov Go Live date - 6/13 
Oneshot ONLY -</t>
    </r>
    <r>
      <rPr>
        <sz val="8"/>
        <rFont val="Arial"/>
        <family val="2"/>
      </rPr>
      <t xml:space="preserve"> Confirm with C&amp;S. TBD)
</t>
    </r>
    <r>
      <rPr>
        <b/>
        <sz val="8"/>
        <rFont val="Arial"/>
        <family val="2"/>
      </rPr>
      <t xml:space="preserve"> 5/212013:
At this point the ask for NDB is to Go live in July 2013 - To be confirmed on Rachelle's call. 
</t>
    </r>
    <r>
      <rPr>
        <sz val="8"/>
        <rFont val="Arial"/>
        <family val="2"/>
      </rPr>
      <t xml:space="preserve">Migration oneshot (7/24?) - Confirmation required
Inbound effort can potentially aligned with Q3 </t>
    </r>
    <r>
      <rPr>
        <b/>
        <sz val="8"/>
        <rFont val="Arial"/>
        <family val="2"/>
      </rPr>
      <t xml:space="preserve">
</t>
    </r>
    <r>
      <rPr>
        <sz val="8"/>
        <rFont val="Arial"/>
        <family val="2"/>
      </rPr>
      <t xml:space="preserve">WO-100%, Dev-100%, Systest (migrations run in SYS C - PROD like testing region) - 100%.  CSP UAT due to complete on - 5/1
There are two deliverables
- NY Migration One Shot - July - 11                                                                      - NY Inbound State Files July 11                                                             NDB is tracking GREEN.
Project team reporting YELLOW due to Data load duration impacting testing start dates by 4 weeks.
- CC#11 Inbound State File - June 22( yet to be confirmed)
Pending clarity on managing large provider load via multiple one shots and lack of confirmed NDB
go live date . </t>
    </r>
  </si>
  <si>
    <t>INT - 6/3</t>
  </si>
  <si>
    <r>
      <rPr>
        <b/>
        <sz val="8"/>
        <rFont val="Arial"/>
        <family val="2"/>
      </rPr>
      <t xml:space="preserve">5/6/2013: 
</t>
    </r>
    <r>
      <rPr>
        <sz val="8"/>
        <rFont val="Arial"/>
        <family val="2"/>
      </rPr>
      <t xml:space="preserve">PRD/SSD - 100%, SRI/Specs 90% 
The SRI - TBD (call for the week of 5/21) Tech Spec are 95% (Pending approvals) Dev - 100% </t>
    </r>
  </si>
  <si>
    <t>Mary Sue/Mel</t>
  </si>
  <si>
    <t>RM   Dulce Mariano (+ TDP)</t>
  </si>
  <si>
    <t xml:space="preserve">RM -   Dulce Mariano </t>
  </si>
  <si>
    <r>
      <rPr>
        <b/>
        <sz val="8"/>
        <rFont val="Arial"/>
        <family val="2"/>
      </rPr>
      <t xml:space="preserve">5/21/2013 - 
Project meeting on 5/21 to confirm new deployment date (Nov). Determine if Nov milestones will be followed or earlier to be ready for Integration testing.
YELLOW status due to delayed PRD/SSD
Back to GREEN based on clarifications on NDB Requirements
Possibly move to Q4 to align with consuming applications (discussions in place. Meeting on 5/14 w/ NDB team on communciation to project team).  Regulatory project.
</t>
    </r>
    <r>
      <rPr>
        <sz val="8"/>
        <rFont val="Arial"/>
        <family val="2"/>
      </rPr>
      <t xml:space="preserve">PRD - 95% (pending approvals), SSD- 90% (new requirement identified. CC required.) SRI due - 95%, Specs - 4%. 
EIM impact (date TBD)
Revised milestones to be provided by EOW - 5/17 (tentatively)
</t>
    </r>
  </si>
  <si>
    <t>5/23 CC 21 Scheduled in Prompt
5/10 Added 7.74 to increase from 83.92 to 91.66 in CC 21
2/16 Added 7 pm's to increase from 76.92 to 83.92 in CC 17
1/25 Added .98 pm in CC 15 - increased effort from 75.94 to 76.92
1/4/13 Added 4.91  pm's from 71.03 to 75.94per split of DE CC 12 from Janine
9/10/12 Search and Directory piece.  This includes the SE</t>
  </si>
  <si>
    <t>5/23 CC3 estimate decoped to testing only &amp; includes burn - cc in estimating in prompt
5/10 Being decoped to testing only - will update GK to TBD so A/D effort is out of demand until T/O effort completed
1/10/13 Project still in estimating in Prompt</t>
  </si>
  <si>
    <t>5/23 Project now BGE approved in Prompt
11/23 Project oom approved
Project still in estimating</t>
  </si>
  <si>
    <t>5/23 CC 32 scheduled in Prompt
5/17 CC 32 - CC not yet scheduled in Prompt</t>
  </si>
  <si>
    <t>5/23 OOM approved in Prompt</t>
  </si>
  <si>
    <t>5/23 CC2 descoped to t/o added .41 effort 
5/10 Being decoped to testing only - will update GK to TBD so A/D effort is out of demand until T/O effort completed
4/26 Per Bridget this will be descoped to testing only</t>
  </si>
  <si>
    <t xml:space="preserve">5/23 CC scheduled in Prompt
CC5 - CC still in estimating in Prompt
</t>
  </si>
  <si>
    <t>5/23 increased NDB estimate in DE CC 14 by .13 pm's
CC12</t>
  </si>
  <si>
    <t>5/23 Increased estimate by .77 pms in DE CC5
3/29 Project BGE approved
3/21/13 Increased estimate from 8.70  to 9.34 in SE CC1  - .64 pm's
2/16/13 Added 4.61 in CC 2- increase from 4.09 to 8.7 (not bge approved)</t>
  </si>
  <si>
    <t>5/23 SE increase 1.11 pms
5/10 Estimate increased in CC 7 DE by .88 pm's
3/8/13 Project in Strategy Council in Prompt - added as red</t>
  </si>
  <si>
    <t>5/23 Project moved to Q4 waiting for effort</t>
  </si>
  <si>
    <t>CC33</t>
  </si>
  <si>
    <t>400047477F</t>
  </si>
  <si>
    <t>400056297B</t>
  </si>
  <si>
    <t>400057743B</t>
  </si>
  <si>
    <t>R. Datta</t>
  </si>
  <si>
    <t>Project moved to Q4 waiting for effort</t>
  </si>
  <si>
    <t>UHOne Med Nec PA/IPCM for New &amp; Existing Products</t>
  </si>
  <si>
    <t>estimating</t>
  </si>
  <si>
    <t>Janet Breidigam</t>
  </si>
  <si>
    <t xml:space="preserve">Application Enablement, B2B Provider Portal, COMET Desktop.NET, Consumer Database (CDB),
Enterprise Letter Generation System, Enterprise Requirements Analysis (ERA),
Enterprise Systems Planning Business Architecture, EPMO, ICUE Core, IQSS Supply and Demand (IQSS S&amp;D),
NDB, ppoONE, TOPS
</t>
  </si>
  <si>
    <t>5/23 Project still in estimating in Prompt</t>
  </si>
  <si>
    <t>400057380A</t>
  </si>
  <si>
    <t>5/24 Scope expected to change/decrease after meetings next week</t>
  </si>
  <si>
    <t>Scope expected to change/decrease after meetings next week</t>
  </si>
  <si>
    <t xml:space="preserve">5/24 cc still in estimating - effort added to gk- CC1 </t>
  </si>
  <si>
    <r>
      <rPr>
        <b/>
        <sz val="8"/>
        <rFont val="Arial"/>
        <family val="2"/>
      </rPr>
      <t xml:space="preserve">05/24/2013:   
    </t>
    </r>
    <r>
      <rPr>
        <sz val="8"/>
        <rFont val="Arial"/>
        <family val="2"/>
      </rPr>
      <t>The Project is Reporting in Green Status.No issues or concerns at this point . (</t>
    </r>
    <r>
      <rPr>
        <b/>
        <sz val="8"/>
        <rFont val="Arial"/>
        <family val="2"/>
      </rPr>
      <t>This release is being
moved to align with the August deployment</t>
    </r>
    <r>
      <rPr>
        <sz val="8"/>
        <rFont val="Arial"/>
        <family val="2"/>
      </rPr>
      <t>.)
UHN Reporting scope will be deployed in June.                                                                                                                                                                                                                                 (6/15 BGE split betweek Feb and March - March piece is 6.12 for UDW per Mel
Dependency on scope from June.
PRD/SSD - 100% - SRI-100%, 
(EIM),100%
Specs - 100%, Development: UDW 100% (Historical - 100%. incremental -100%) - 
UHN Rpting - 100% - 
Systest - 43% Executed and 41% Passed
INT (UDW) - due-5/22 (New milestone to be provided). Realignment needed due to deliverable move</t>
    </r>
  </si>
  <si>
    <r>
      <t xml:space="preserve">05/24/2013: 
2-phase deployment approach will be used for June and July
</t>
    </r>
    <r>
      <rPr>
        <sz val="8"/>
        <rFont val="Arial"/>
        <family val="2"/>
      </rPr>
      <t xml:space="preserve">  PRD/SSD-100%, SRI- 95%, Tech Specs-95%                                         </t>
    </r>
    <r>
      <rPr>
        <b/>
        <sz val="8"/>
        <rFont val="Arial"/>
        <family val="2"/>
      </rPr>
      <t>June</t>
    </r>
    <r>
      <rPr>
        <sz val="8"/>
        <rFont val="Arial"/>
        <family val="2"/>
      </rPr>
      <t xml:space="preserve"> Development is 100% complete for One Shot development.
System testing is 39% pass, 35% pass. Systest will go until 6/14.
No integration testing or UAT .                                                                       </t>
    </r>
    <r>
      <rPr>
        <b/>
        <sz val="8"/>
        <rFont val="Arial"/>
        <family val="2"/>
      </rPr>
      <t>July</t>
    </r>
    <r>
      <rPr>
        <sz val="8"/>
        <rFont val="Arial"/>
        <family val="2"/>
      </rPr>
      <t xml:space="preserve"> : Downstream feed development -95%), 
Tech Specs and SRI for both releases will be sent for approval once final business rules are
received. ETA 6/7/2013.                                                                                           ( Dulce Requested to create a new row for June in GK )
</t>
    </r>
  </si>
  <si>
    <r>
      <rPr>
        <b/>
        <sz val="8"/>
        <rFont val="Arial"/>
        <family val="2"/>
      </rPr>
      <t xml:space="preserve">3/14 </t>
    </r>
    <r>
      <rPr>
        <sz val="8"/>
        <rFont val="Arial"/>
        <family val="2"/>
      </rPr>
      <t xml:space="preserve">Added CC3 to effort for Aug </t>
    </r>
    <r>
      <rPr>
        <b/>
        <sz val="8"/>
        <rFont val="Arial"/>
        <family val="2"/>
      </rPr>
      <t xml:space="preserve">gk
05/24/2013: </t>
    </r>
    <r>
      <rPr>
        <sz val="8"/>
        <rFont val="Arial"/>
        <family val="2"/>
      </rPr>
      <t xml:space="preserve">
PRD/SSD 100%, SRI -100% , TS-95% (due 05/03), RTM-95% (due - 05/03 ), Dev -75% Completed.
CC to be added (confirm status)
No EIM impact
</t>
    </r>
    <r>
      <rPr>
        <sz val="8"/>
        <color rgb="FFFF0000"/>
        <rFont val="Arial"/>
        <family val="2"/>
      </rPr>
      <t xml:space="preserve">NDB is reporting in Green, </t>
    </r>
  </si>
  <si>
    <r>
      <rPr>
        <b/>
        <sz val="8"/>
        <rFont val="Arial"/>
        <family val="2"/>
      </rPr>
      <t>5/24/2013</t>
    </r>
    <r>
      <rPr>
        <sz val="8"/>
        <rFont val="Arial"/>
        <family val="2"/>
      </rPr>
      <t xml:space="preserve"> - The project is on track to complete all
infrastructure and configuration work, and load test data by 5/31. Testing is scheduled to occur
6/3 - 6/14, afterwhich the environment will be available to process migrations.
The hardware for the .Net and Initiate applications has been installed and is in the process of being
configured. It is anticipated that the environment will be ready to process inbound state files</t>
    </r>
    <r>
      <rPr>
        <b/>
        <sz val="8"/>
        <rFont val="Arial"/>
        <family val="2"/>
      </rPr>
      <t xml:space="preserve">
Dev-Only. There is No Code Deployment/Production impact.</t>
    </r>
  </si>
  <si>
    <r>
      <rPr>
        <b/>
        <sz val="8"/>
        <rFont val="Arial"/>
        <family val="2"/>
      </rPr>
      <t>5/24/2013:</t>
    </r>
    <r>
      <rPr>
        <sz val="8"/>
        <rFont val="Arial"/>
        <family val="2"/>
      </rPr>
      <t xml:space="preserve"> BGE and CC1 combined . PRD and SSD complete and routed for approval. Met with SA and Dev teams to identify target
milestones. SRI in progress.</t>
    </r>
  </si>
  <si>
    <r>
      <t xml:space="preserve">Project not yet through prompt process
</t>
    </r>
    <r>
      <rPr>
        <b/>
        <sz val="8"/>
        <rFont val="Arial"/>
        <family val="2"/>
      </rPr>
      <t xml:space="preserve">05/24/2013: 
</t>
    </r>
    <r>
      <rPr>
        <sz val="8"/>
        <rFont val="Arial"/>
        <family val="2"/>
      </rPr>
      <t>PRD-95%(will send for approval when SSD complete), SSD-90%(targeted to complete on 5/24). .JAD successful. Two /items discussed during the JAD were identified as new scope; these are being tracked on the
project IRAAD and will be reviewed for next steps. Final review of SSD pushed to week of 5/27
pending revisions identified in the JAD. SRI completion date targeted for 6/21.</t>
    </r>
  </si>
  <si>
    <r>
      <t xml:space="preserve">Project not yet through prompt process
</t>
    </r>
    <r>
      <rPr>
        <b/>
        <sz val="8"/>
        <rFont val="Arial"/>
        <family val="2"/>
      </rPr>
      <t xml:space="preserve">05/24/2013:                                                                                                          Open solution decisions pending with regard to Data Stage, canonical model mapping/messaging
and Initiate. The team is meeting next week to discuss the possible solution scenarios and
estimate. Team discussed two deploy options with leadership and is following up on incremental
Release Management effort for two deploys to assist in decision making.                                                                                
</t>
    </r>
    <r>
      <rPr>
        <sz val="8"/>
        <rFont val="Arial"/>
        <family val="2"/>
      </rPr>
      <t>PRD-95%. SSD- 90% , SRI: 75%  . Final review of SSD the week of 5/20.</t>
    </r>
  </si>
  <si>
    <r>
      <t>05/24/2013</t>
    </r>
    <r>
      <rPr>
        <sz val="8"/>
        <rFont val="Arial"/>
        <family val="2"/>
      </rPr>
      <t xml:space="preserve">:                                                                                                                            NDB is moving the core scope of work plus the UHN reporting work to the June release to support
integration testing with Cosmos.
 Bridget to provide updates/dates on meetings w COSMOS
PRD/SSD-100%, SRI-100%, TS-100%, Dev-100% Data Model -100%, Systest-84% exec(78%passed), Int-0%, NDB UAT 0% passed.  </t>
    </r>
    <r>
      <rPr>
        <b/>
        <sz val="8"/>
        <rFont val="Arial"/>
        <family val="2"/>
      </rPr>
      <t xml:space="preserve">
</t>
    </r>
    <r>
      <rPr>
        <sz val="8"/>
        <rFont val="Arial"/>
        <family val="2"/>
      </rPr>
      <t xml:space="preserve">
 NDB is
reporting this SPRF in Green Status.                                                  Integration testing with Cosmos is 0%. Cosmos will begin testing with NDB on 5/28/2013.</t>
    </r>
  </si>
  <si>
    <r>
      <t xml:space="preserve">RED - Overall project status is </t>
    </r>
    <r>
      <rPr>
        <b/>
        <sz val="8"/>
        <color rgb="FFFF0000"/>
        <rFont val="Arial"/>
        <family val="2"/>
      </rPr>
      <t xml:space="preserve">RED </t>
    </r>
    <r>
      <rPr>
        <sz val="8"/>
        <rFont val="Arial"/>
        <family val="2"/>
      </rPr>
      <t xml:space="preserve">due to extremely compressed timelines.
</t>
    </r>
    <r>
      <rPr>
        <b/>
        <sz val="8"/>
        <rFont val="Arial"/>
        <family val="2"/>
      </rPr>
      <t xml:space="preserve">5/24/2013         
Overall project status is RED due to extremely compressed timelines (4 weeks behind schedule). Additional CC (16PMs) opened
SSD/ PRD completion
dependent on approval of CC#10.                                                            Functional SA currently working with the Solution Architect on those revisions. Target
to have SSD sent for sign off is TBD .(awaiting a decion on CC#10.) 
</t>
    </r>
    <r>
      <rPr>
        <sz val="8"/>
        <rFont val="Arial"/>
        <family val="2"/>
      </rPr>
      <t xml:space="preserve">PRD -95%(Not sent for approval) Target Compl Date :- 05/10, SSD -85% ,SRI - 80 % complete (Internal meeting on 5/23 for update) . Milestone dates to support Sept deliverable will be defined (to be provided by 6/17).  
</t>
    </r>
  </si>
  <si>
    <r>
      <t xml:space="preserve">PV updates in progress
</t>
    </r>
    <r>
      <rPr>
        <b/>
        <sz val="8"/>
        <rFont val="Arial"/>
        <family val="2"/>
      </rPr>
      <t>05/24/2013:
P</t>
    </r>
    <r>
      <rPr>
        <sz val="8"/>
        <rFont val="Arial"/>
        <family val="2"/>
      </rPr>
      <t xml:space="preserve">RD/SSD/SRI-100%, Specs-100%, Dev - 62% 
, USEC is 50% complete .                                                                                                       Tech Spec are 100% signed off and Dev is 62% Completed.            CC#8 (DE) is expected to be completed and uploaded to PROMPT by 5/8.                                                                                                                               </t>
    </r>
    <r>
      <rPr>
        <b/>
        <sz val="8"/>
        <rFont val="Arial"/>
        <family val="2"/>
      </rPr>
      <t xml:space="preserve">As of 5/24: </t>
    </r>
    <r>
      <rPr>
        <sz val="8"/>
        <rFont val="Arial"/>
        <family val="2"/>
      </rPr>
      <t xml:space="preserve">HLTS Review Meetings (internal to NDB) will be finished by 5/24. The HLTS’s will then be
transitioned into actual Test Plans during the week of 5/27. HLTS Review Meetings with BH-Facets
will begin during the week of 6/3.                                                                          </t>
    </r>
    <r>
      <rPr>
        <sz val="8"/>
        <color rgb="FFFF0000"/>
        <rFont val="Arial"/>
        <family val="2"/>
      </rPr>
      <t xml:space="preserve">
                                                                                                                                   </t>
    </r>
    <r>
      <rPr>
        <sz val="8"/>
        <rFont val="Arial"/>
        <family val="2"/>
      </rPr>
      <t xml:space="preserve">EIM has delivered all documents to Development . 
A technical problem occurred when NDB attempted to run the Match Only file (on 4/13) that
Facets created. Due to the size of the file, the Match Only file cannot be
re-run until this coming weekend (4/20). A follow-up meeting has been scheduled for 4/25 to
review the results of the run. The results will dictate next steps.
</t>
    </r>
    <r>
      <rPr>
        <sz val="8"/>
        <color rgb="FFFF0000"/>
        <rFont val="Arial"/>
        <family val="2"/>
      </rPr>
      <t xml:space="preserve">**Facets currently in YELLOW status 
Arch - Sarma. </t>
    </r>
    <r>
      <rPr>
        <sz val="8"/>
        <rFont val="Arial"/>
        <family val="2"/>
      </rPr>
      <t xml:space="preserve">
</t>
    </r>
    <r>
      <rPr>
        <b/>
        <sz val="8"/>
        <rFont val="Arial"/>
        <family val="2"/>
      </rPr>
      <t>HLD (Arch) Document must be completed at the same time as the SRI.                                                                                 A follow-up meeting was held on 4/23 to review the results from NDB running the Match Only file
created by Facets. The results were as follows:
1) Out of 138,719 Providers with a unique MPIN/TIN combination (in the EPDL file sent by Facets
to NDB), 131,098 matched the Providers in NDB's database while 2,080 did not match.
2) Volume of no matches was much lower than expected (&lt; 2% fallout).
3) No surprises in the types of errors seen (e.g., missing phone number, PO Box for street address,
etc.).
4) NDB needs to investigate why 5,541 Providers (138,719 – 131,098 – 2,080 = 5,541) were not
evaluated (possibly due to NDB’s reliance on MPN versus Cosmos’ reliance on TIN).</t>
    </r>
  </si>
  <si>
    <r>
      <t xml:space="preserve">5/242013:
Although this project is technically slotted for a Q4 Release,
NDB (along with other applications) has been asked to have its piece ready by Q3 in order to
support the client's "Q3 Readiness Review".
</t>
    </r>
    <r>
      <rPr>
        <sz val="8"/>
        <rFont val="Arial"/>
        <family val="2"/>
      </rPr>
      <t>As of 5/21</t>
    </r>
    <r>
      <rPr>
        <b/>
        <sz val="8"/>
        <rFont val="Arial"/>
        <family val="2"/>
      </rPr>
      <t xml:space="preserve"> </t>
    </r>
    <r>
      <rPr>
        <sz val="8"/>
        <rFont val="Arial"/>
        <family val="2"/>
      </rPr>
      <t>CC#3 - A&amp;D support - determine if it needs to be in scope for Q4. - Waiting for other components to determine if NDB will align for Q4. More information will be provided by June. Dana to follow up</t>
    </r>
    <r>
      <rPr>
        <b/>
        <sz val="8"/>
        <rFont val="Arial"/>
        <family val="2"/>
      </rPr>
      <t xml:space="preserve">
</t>
    </r>
    <r>
      <rPr>
        <sz val="8"/>
        <rFont val="Arial"/>
        <family val="2"/>
      </rPr>
      <t xml:space="preserve">CC#1 has been issued (need to move from EVC to a
recycled DIV due to EVC not being able to support the growth of NM Centennial Care) and its
impact is currently being evaluated/estimated.  
Target for requirements is moving as client is still changing requirements.
</t>
    </r>
    <r>
      <rPr>
        <b/>
        <sz val="8"/>
        <rFont val="Arial"/>
        <family val="2"/>
      </rPr>
      <t xml:space="preserve">NO CODE DEPLOY IN Q3, therefore no delievery risk. </t>
    </r>
    <r>
      <rPr>
        <sz val="8"/>
        <rFont val="Arial"/>
        <family val="2"/>
      </rPr>
      <t>(Is there any delievery in test, expected from NDB for Q3 readiness - TBD)</t>
    </r>
    <r>
      <rPr>
        <b/>
        <sz val="8"/>
        <rFont val="Arial"/>
        <family val="2"/>
      </rPr>
      <t xml:space="preserve"> </t>
    </r>
    <r>
      <rPr>
        <sz val="8"/>
        <rFont val="Arial"/>
        <family val="2"/>
      </rPr>
      <t xml:space="preserve">A&amp;D Delivery will align with Q4. End to End claims testing expected earlier from QCA.
PRD/SSD-95% 
</t>
    </r>
    <r>
      <rPr>
        <b/>
        <sz val="8"/>
        <rFont val="Arial"/>
        <family val="2"/>
      </rPr>
      <t>Need revised SRI and spec dates.   According to the X-App PM, this project has been targeting a Q4 release all
along, even though NDB originally slotted it for Q3. This project requires only
a small effort on the part of NDB. However, because the project is following
the Q4 Release schedule, SA has not made much traction on the SRI and Tech
Specs due to a "delay" (from a Q3 Release schedule perspective) in the X-App
PM getting the PRD/SSD completely signed-off. What is currently unknown is
the amount of work required by NDB to perform the "Q3 Readiness Review".    PRD/SSD -</t>
    </r>
    <r>
      <rPr>
        <sz val="8"/>
        <rFont val="Arial"/>
        <family val="2"/>
      </rPr>
      <t xml:space="preserve"> 95% (Will be updated as a result of CC3).                                                        </t>
    </r>
    <r>
      <rPr>
        <b/>
        <sz val="8"/>
        <rFont val="Arial"/>
        <family val="2"/>
      </rPr>
      <t xml:space="preserve">As of 5/24: </t>
    </r>
    <r>
      <rPr>
        <sz val="8"/>
        <rFont val="Arial"/>
        <family val="2"/>
      </rPr>
      <t xml:space="preserve">There continues to be scope creep which, in turn, is
causing the SSD to be modified and re-sent for approval. For example, we learned this week that
NDB may be required to provide CLIA data. However, the business is not yet certain whether this
requirement is truly needed. On a positive note, the SRI is 75% complete.   </t>
    </r>
    <r>
      <rPr>
        <b/>
        <sz val="8"/>
        <rFont val="Arial"/>
        <family val="2"/>
      </rPr>
      <t xml:space="preserve">                 </t>
    </r>
  </si>
  <si>
    <r>
      <t xml:space="preserve">05/28/2013:                                                                                                                 </t>
    </r>
    <r>
      <rPr>
        <sz val="8"/>
        <rFont val="Arial"/>
        <family val="2"/>
      </rPr>
      <t xml:space="preserve">5/24 - Project is green. Change control #8 for a 3rd address is still under review by CAB. An additional change control will be needed for new NDB edits for state level enrollment rules (this would be new table driven edits) and new field values screens (EIM and USEC impact).                                                 </t>
    </r>
  </si>
  <si>
    <r>
      <rPr>
        <b/>
        <sz val="8"/>
        <rFont val="Arial"/>
        <family val="2"/>
      </rPr>
      <t>05/28/2013</t>
    </r>
    <r>
      <rPr>
        <sz val="8"/>
        <rFont val="Arial"/>
        <family val="2"/>
      </rPr>
      <t>:                                                                                                                        JAD sessions completed week of 2/22. High level dates have been determined and wbs built. SAs
have begun work on tech specs</t>
    </r>
  </si>
  <si>
    <r>
      <rPr>
        <b/>
        <sz val="8"/>
        <rFont val="Arial"/>
        <family val="2"/>
      </rPr>
      <t>05/28/2013</t>
    </r>
    <r>
      <rPr>
        <sz val="8"/>
        <rFont val="Arial"/>
        <family val="2"/>
      </rPr>
      <t xml:space="preserve">:                                                                                                                PRD-100%,SSD-100%,SRI-95%,Specs - 95% (pending approvals), Dev - 54% ( To be complete by - 06/17 )                        </t>
    </r>
  </si>
  <si>
    <r>
      <t xml:space="preserve">CC4
</t>
    </r>
    <r>
      <rPr>
        <b/>
        <sz val="8"/>
        <rFont val="Arial"/>
        <family val="2"/>
      </rPr>
      <t xml:space="preserve">5/28/2013: </t>
    </r>
    <r>
      <rPr>
        <sz val="8"/>
        <rFont val="Arial"/>
        <family val="2"/>
      </rPr>
      <t xml:space="preserve">
PRD/SSD - 95% (pending approvals), SRI - 90% , Specs - 80% 
Revised milestones and Impact to be provided.
Requires TX inbound state file for testing (Subba)</t>
    </r>
  </si>
  <si>
    <t xml:space="preserve">
5/28/2013 - The tech specs are 95% complete. The SE is zero and was submitted on 5/20 . </t>
  </si>
  <si>
    <r>
      <rPr>
        <b/>
        <sz val="8"/>
        <rFont val="Arial"/>
        <family val="2"/>
      </rPr>
      <t>5/28/2013</t>
    </r>
    <r>
      <rPr>
        <sz val="8"/>
        <rFont val="Arial"/>
        <family val="2"/>
      </rPr>
      <t xml:space="preserve"> -
This Project has been reporting in yellow status due to the lack of State requirements. Recommend the project go to green status once the state requirements are received.                                                                                </t>
    </r>
    <r>
      <rPr>
        <b/>
        <sz val="8"/>
        <rFont val="Arial"/>
        <family val="2"/>
      </rPr>
      <t xml:space="preserve">The official word has come from the State of Ohio regarding the new timeline for OH MME. The new implementation is now March 1, 2014. The implications of this information will be discussed at the 05/29 OH MME Status meeting                                                       </t>
    </r>
    <r>
      <rPr>
        <sz val="8"/>
        <rFont val="Arial"/>
        <family val="2"/>
      </rPr>
      <t xml:space="preserve">                                              
Test oneshot completed on 5/15, successfully.
- 70% of the MME network is built. Target date for network readiness at 80% is 5/31.Back to green once 80% network readiness has been achieved.       - Still have not received MCPN file requirements.
Issues with Gold Star LOB which may drive release date to change (volume of records to support manual load is big). Large facilities that may not be ready by 5/31.                                                                                                       - Investigating the root cause of 500 missing providers.                                   - Reviewing potential solutions for the gold star indicators.
 Program is RED. Revised milestones - TBD
Reference file from Trizetto still pending. 
  </t>
    </r>
    <r>
      <rPr>
        <sz val="8"/>
        <color indexed="10"/>
        <rFont val="Arial"/>
        <family val="2"/>
      </rPr>
      <t xml:space="preserve">OH MME Provider Go Live date was pushed out to 9/1. </t>
    </r>
    <r>
      <rPr>
        <sz val="8"/>
        <rFont val="Arial"/>
        <family val="2"/>
      </rPr>
      <t xml:space="preserve">                                                         </t>
    </r>
    <r>
      <rPr>
        <b/>
        <sz val="8"/>
        <rFont val="Arial"/>
        <family val="2"/>
      </rPr>
      <t xml:space="preserve"> WO Form - 100%</t>
    </r>
    <r>
      <rPr>
        <sz val="8"/>
        <rFont val="Arial"/>
        <family val="2"/>
      </rPr>
      <t xml:space="preserve">
One Shot to production - 6/15.                                                                                 In the upcoming weeks, in the CSP Provider Testing meetings, more information will be provided
around revised Provider Go Live dates, network readiness and issues and/or dependencies among
the CSP testing projects.                                                                               Release date may change 
</t>
    </r>
    <r>
      <rPr>
        <i/>
        <sz val="8"/>
        <rFont val="Arial"/>
        <family val="2"/>
      </rPr>
      <t/>
    </r>
  </si>
  <si>
    <r>
      <rPr>
        <b/>
        <sz val="8"/>
        <rFont val="Arial"/>
        <family val="2"/>
      </rPr>
      <t xml:space="preserve">5/28/2013:                                                                                                         </t>
    </r>
    <r>
      <rPr>
        <sz val="8"/>
        <rFont val="Arial"/>
        <family val="2"/>
      </rPr>
      <t xml:space="preserve">Reviewed and revised the project plan and PV to reflect new
release dates per Facets revised release dates. </t>
    </r>
    <r>
      <rPr>
        <b/>
        <sz val="8"/>
        <rFont val="Arial"/>
        <family val="2"/>
      </rPr>
      <t xml:space="preserve">Team meeting scheduled for 5/31 to determine the
specifics for deploying Nebraska, Texas and Texas LTSS.                                                                                                                       </t>
    </r>
    <r>
      <rPr>
        <sz val="8"/>
        <rFont val="Arial"/>
        <family val="2"/>
      </rPr>
      <t xml:space="preserve">-Facets has revised it's deployment schedule: MD deployment - 6/22; NE deployment - 7/20, TX and TX LTSS deployment - 8/24.
NDB will deploy NE - 6/22. NY must deploy when TX deploys.
Fixes for MD are complete and Dev is testing. Once Dev completes their testing will send to QCA. Eta for retrigger of MD file asap.
Change Control 8 has been opened to cover additional coding, testing and deployment support for
MD, NE and TX deployments. Gathering input from disciplines to submit for approval on or before
5/9.
PRD-100%,SSD-100%,SRI-100%,Dev&amp;Construct - 100%,Systest-90%
</t>
    </r>
  </si>
  <si>
    <r>
      <t xml:space="preserve">CC3 
</t>
    </r>
    <r>
      <rPr>
        <b/>
        <sz val="8"/>
        <rFont val="Arial"/>
        <family val="2"/>
      </rPr>
      <t>5/28/2013:</t>
    </r>
    <r>
      <rPr>
        <sz val="8"/>
        <rFont val="Arial"/>
        <family val="2"/>
      </rPr>
      <t xml:space="preserve">
PRD-100%, SSD-100%, SRI -95%, Specs - 95%(Pending approval),  Dev - 54%(Target to complete by 6/17) project  EIM Impact   
Data Model Completed 
Current concerns with alignment with CSP (Brenda to follow up)
Revised milestones to be provided + impact</t>
    </r>
  </si>
  <si>
    <r>
      <rPr>
        <b/>
        <sz val="8"/>
        <rFont val="Arial"/>
        <family val="2"/>
      </rPr>
      <t>as of 5/29/2013:</t>
    </r>
    <r>
      <rPr>
        <sz val="8"/>
        <rFont val="Arial"/>
        <family val="2"/>
      </rPr>
      <t xml:space="preserve">
Scheduled for 2/22/14 (once 2014 release dates are confirmed we can adjust the date)
- All PRDs are complete,                                                                                      - Solutioning has started - 5/29/2013.
- Reverse engineering by Cognizant is in progress.                                         -Quick meeting to agree to high level project dates and build out PV - 6/3    PRD-100%</t>
    </r>
  </si>
</sst>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6" formatCode="&quot;$&quot;#,##0_);[Red]\(&quot;$&quot;#,##0\)"/>
    <numFmt numFmtId="42" formatCode="_(&quot;$&quot;* #,##0_);_(&quot;$&quot;* \(#,##0\);_(&quot;$&quot;* &quot;-&quot;_);_(@_)"/>
    <numFmt numFmtId="43" formatCode="_(* #,##0.00_);_(* \(#,##0.00\);_(* &quot;-&quot;??_);_(@_)"/>
    <numFmt numFmtId="164" formatCode="0.000"/>
    <numFmt numFmtId="165" formatCode="000000000000"/>
    <numFmt numFmtId="166" formatCode="m/d/yy;@"/>
    <numFmt numFmtId="167" formatCode="mm/dd/yy;@"/>
    <numFmt numFmtId="168" formatCode="[$-409]d\-mmm\-yy;@"/>
    <numFmt numFmtId="169" formatCode="ddd\,\ mm/dd"/>
    <numFmt numFmtId="170" formatCode="0000000"/>
    <numFmt numFmtId="171" formatCode="mm/dd/yy"/>
  </numFmts>
  <fonts count="90" x14ac:knownFonts="1">
    <font>
      <sz val="10"/>
      <name val="Arial"/>
    </font>
    <font>
      <sz val="10"/>
      <name val="Arial"/>
      <family val="2"/>
    </font>
    <font>
      <sz val="8"/>
      <name val="Arial"/>
      <family val="2"/>
    </font>
    <font>
      <b/>
      <sz val="8"/>
      <name val="Arial"/>
      <family val="2"/>
    </font>
    <font>
      <sz val="8"/>
      <name val="Arial Narrow"/>
      <family val="2"/>
    </font>
    <font>
      <sz val="8"/>
      <name val="Arial"/>
      <family val="2"/>
    </font>
    <font>
      <sz val="8"/>
      <color indexed="9"/>
      <name val="Arial"/>
      <family val="2"/>
    </font>
    <font>
      <b/>
      <sz val="10"/>
      <name val="Arial"/>
      <family val="2"/>
    </font>
    <font>
      <sz val="10"/>
      <color indexed="8"/>
      <name val="Arial"/>
      <family val="2"/>
    </font>
    <font>
      <b/>
      <sz val="8"/>
      <name val="Arial"/>
      <family val="2"/>
    </font>
    <font>
      <sz val="8"/>
      <color indexed="8"/>
      <name val="Arial"/>
      <family val="2"/>
    </font>
    <font>
      <b/>
      <sz val="8"/>
      <color indexed="8"/>
      <name val="Arial"/>
      <family val="2"/>
    </font>
    <font>
      <b/>
      <sz val="6"/>
      <name val="Arial"/>
      <family val="2"/>
    </font>
    <font>
      <sz val="8"/>
      <color indexed="8"/>
      <name val="Arial"/>
      <family val="2"/>
    </font>
    <font>
      <sz val="10"/>
      <name val="Arial"/>
      <family val="2"/>
    </font>
    <font>
      <sz val="10"/>
      <name val="Times New Roman"/>
      <family val="1"/>
    </font>
    <font>
      <sz val="10"/>
      <color indexed="8"/>
      <name val="Arial"/>
      <family val="2"/>
    </font>
    <font>
      <sz val="10"/>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10"/>
      <color indexed="8"/>
      <name val="Arial"/>
      <family val="2"/>
    </font>
    <font>
      <sz val="8"/>
      <color indexed="8"/>
      <name val="Arial"/>
      <family val="2"/>
    </font>
    <font>
      <sz val="8"/>
      <color indexed="9"/>
      <name val="Arial"/>
      <family val="2"/>
    </font>
    <font>
      <sz val="11"/>
      <color indexed="8"/>
      <name val="Calibri"/>
      <family val="2"/>
    </font>
    <font>
      <sz val="10"/>
      <color indexed="8"/>
      <name val="Arial"/>
      <family val="2"/>
    </font>
    <font>
      <sz val="10"/>
      <color indexed="8"/>
      <name val="Arial"/>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0"/>
      <color indexed="63"/>
      <name val="Arial"/>
      <family val="2"/>
    </font>
    <font>
      <sz val="10"/>
      <color indexed="63"/>
      <name val="Arial"/>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8"/>
      <color indexed="10"/>
      <name val="Arial"/>
      <family val="2"/>
    </font>
    <font>
      <i/>
      <sz val="8"/>
      <name val="Arial"/>
      <family val="2"/>
    </font>
    <font>
      <sz val="10"/>
      <color indexed="63"/>
      <name val="Arial"/>
      <family val="2"/>
    </font>
    <font>
      <sz val="9"/>
      <color indexed="63"/>
      <name val="Arial"/>
      <family val="2"/>
    </font>
    <font>
      <sz val="11"/>
      <color indexed="8"/>
      <name val="Calibri"/>
      <family val="2"/>
    </font>
    <font>
      <sz val="10"/>
      <color indexed="63"/>
      <name val="Arial"/>
      <family val="2"/>
    </font>
    <font>
      <b/>
      <i/>
      <sz val="8"/>
      <name val="Arial"/>
      <family val="2"/>
    </font>
    <font>
      <sz val="11"/>
      <color indexed="8"/>
      <name val="Calibri"/>
      <family val="2"/>
    </font>
    <font>
      <sz val="10"/>
      <color indexed="63"/>
      <name val="Arial"/>
      <family val="2"/>
    </font>
    <font>
      <sz val="10"/>
      <color indexed="63"/>
      <name val="Arial"/>
      <family val="2"/>
    </font>
    <font>
      <sz val="10"/>
      <color indexed="63"/>
      <name val="Arial"/>
      <family val="2"/>
    </font>
    <font>
      <sz val="11"/>
      <color indexed="8"/>
      <name val="Calibri"/>
      <family val="2"/>
    </font>
    <font>
      <sz val="10"/>
      <color indexed="63"/>
      <name val="Arial"/>
      <family val="2"/>
    </font>
    <font>
      <b/>
      <sz val="11"/>
      <color indexed="8"/>
      <name val="Calibri"/>
      <family val="2"/>
    </font>
    <font>
      <sz val="10"/>
      <color indexed="63"/>
      <name val="Arial"/>
      <family val="2"/>
    </font>
    <font>
      <sz val="10"/>
      <color indexed="63"/>
      <name val="Arial"/>
      <family val="2"/>
    </font>
    <font>
      <sz val="11"/>
      <color indexed="8"/>
      <name val="Calibri"/>
      <family val="2"/>
    </font>
    <font>
      <sz val="10"/>
      <color indexed="63"/>
      <name val="Arial"/>
      <family val="2"/>
    </font>
    <font>
      <sz val="11"/>
      <color indexed="8"/>
      <name val="Calibri"/>
      <family val="2"/>
    </font>
    <font>
      <sz val="10"/>
      <color indexed="63"/>
      <name val="Arial"/>
      <family val="2"/>
    </font>
    <font>
      <b/>
      <u/>
      <sz val="8"/>
      <name val="Arial"/>
      <family val="2"/>
    </font>
    <font>
      <sz val="11"/>
      <color indexed="8"/>
      <name val="Calibri"/>
      <family val="2"/>
    </font>
    <font>
      <sz val="10"/>
      <color indexed="63"/>
      <name val="Arial"/>
      <family val="2"/>
    </font>
    <font>
      <sz val="11"/>
      <color indexed="8"/>
      <name val="Calibri"/>
      <family val="2"/>
    </font>
    <font>
      <sz val="10"/>
      <color indexed="63"/>
      <name val="Arial"/>
      <family val="2"/>
    </font>
    <font>
      <sz val="11"/>
      <color theme="1"/>
      <name val="Calibri"/>
      <family val="2"/>
      <scheme val="minor"/>
    </font>
    <font>
      <sz val="10"/>
      <color theme="0" tint="-0.34998626667073579"/>
      <name val="Arial"/>
      <family val="2"/>
    </font>
    <font>
      <sz val="10"/>
      <color theme="0" tint="-0.499984740745262"/>
      <name val="Arial"/>
      <family val="2"/>
    </font>
    <font>
      <b/>
      <sz val="10"/>
      <color rgb="FF000000"/>
      <name val="Arial"/>
      <family val="2"/>
    </font>
    <font>
      <sz val="10"/>
      <color rgb="FF000000"/>
      <name val="Arial"/>
      <family val="2"/>
    </font>
    <font>
      <sz val="8"/>
      <color rgb="FFFF0000"/>
      <name val="Arial"/>
      <family val="2"/>
    </font>
    <font>
      <sz val="11"/>
      <name val="Cambria"/>
      <family val="1"/>
    </font>
    <font>
      <b/>
      <sz val="11"/>
      <name val="Cambria"/>
      <family val="1"/>
    </font>
    <font>
      <sz val="10"/>
      <color rgb="FF333333"/>
      <name val="Arial"/>
      <family val="2"/>
    </font>
    <font>
      <b/>
      <sz val="8"/>
      <color rgb="FFFF0000"/>
      <name val="Arial"/>
      <family val="2"/>
    </font>
    <font>
      <sz val="11"/>
      <color indexed="8"/>
      <name val="Calibri"/>
      <family val="2"/>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8"/>
        <bgColor indexed="64"/>
      </patternFill>
    </fill>
    <fill>
      <patternFill patternType="solid">
        <fgColor indexed="13"/>
        <bgColor indexed="64"/>
      </patternFill>
    </fill>
    <fill>
      <patternFill patternType="solid">
        <fgColor indexed="43"/>
        <bgColor indexed="8"/>
      </patternFill>
    </fill>
    <fill>
      <patternFill patternType="solid">
        <fgColor indexed="22"/>
        <bgColor indexed="0"/>
      </patternFill>
    </fill>
    <fill>
      <patternFill patternType="solid">
        <fgColor indexed="57"/>
        <bgColor indexed="64"/>
      </patternFill>
    </fill>
    <fill>
      <patternFill patternType="solid">
        <fgColor indexed="59"/>
        <bgColor indexed="64"/>
      </patternFill>
    </fill>
    <fill>
      <patternFill patternType="solid">
        <fgColor indexed="4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bottom/>
      <diagonal/>
    </border>
  </borders>
  <cellStyleXfs count="12">
    <xf numFmtId="0" fontId="0" fillId="0" borderId="0"/>
    <xf numFmtId="43" fontId="14" fillId="0" borderId="0" applyFont="0" applyFill="0" applyBorder="0" applyAlignment="0" applyProtection="0"/>
    <xf numFmtId="43" fontId="14" fillId="0" borderId="0" applyFont="0" applyFill="0" applyBorder="0" applyAlignment="0" applyProtection="0"/>
    <xf numFmtId="42" fontId="4" fillId="0" borderId="1">
      <alignment horizontal="center" wrapText="1"/>
      <protection locked="0"/>
    </xf>
    <xf numFmtId="2" fontId="4" fillId="0" borderId="1">
      <alignment horizontal="center" wrapText="1"/>
      <protection locked="0"/>
    </xf>
    <xf numFmtId="164" fontId="4" fillId="0" borderId="1">
      <alignment horizontal="center" wrapText="1"/>
      <protection locked="0"/>
    </xf>
    <xf numFmtId="165" fontId="4" fillId="0" borderId="1">
      <alignment horizontal="center" wrapText="1"/>
      <protection locked="0"/>
    </xf>
    <xf numFmtId="0" fontId="17" fillId="0" borderId="0"/>
    <xf numFmtId="0" fontId="14" fillId="0" borderId="0"/>
    <xf numFmtId="0" fontId="14" fillId="0" borderId="0"/>
    <xf numFmtId="0" fontId="14" fillId="0" borderId="0"/>
    <xf numFmtId="0" fontId="79" fillId="0" borderId="0"/>
  </cellStyleXfs>
  <cellXfs count="441">
    <xf numFmtId="0" fontId="0" fillId="0" borderId="0" xfId="0"/>
    <xf numFmtId="0" fontId="2" fillId="0" borderId="0" xfId="0" applyFont="1"/>
    <xf numFmtId="0" fontId="3" fillId="0" borderId="0" xfId="0" applyFont="1" applyAlignment="1">
      <alignment horizontal="center"/>
    </xf>
    <xf numFmtId="0" fontId="3" fillId="2" borderId="1" xfId="0" applyFont="1" applyFill="1" applyBorder="1" applyAlignment="1">
      <alignment horizontal="center" wrapText="1"/>
    </xf>
    <xf numFmtId="0" fontId="2" fillId="0" borderId="1" xfId="0" applyFont="1" applyFill="1" applyBorder="1" applyAlignment="1">
      <alignment horizontal="center" vertical="center"/>
    </xf>
    <xf numFmtId="0" fontId="2" fillId="0" borderId="0" xfId="0" applyFont="1" applyAlignment="1">
      <alignment vertical="center"/>
    </xf>
    <xf numFmtId="0" fontId="2" fillId="0" borderId="1" xfId="0" applyFont="1" applyBorder="1" applyAlignment="1">
      <alignment horizontal="center" vertical="center"/>
    </xf>
    <xf numFmtId="0" fontId="2" fillId="0" borderId="1" xfId="0" applyFont="1" applyFill="1" applyBorder="1" applyAlignment="1">
      <alignment horizontal="center" vertical="center" wrapText="1"/>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2" fillId="0" borderId="1" xfId="0" applyFont="1" applyBorder="1"/>
    <xf numFmtId="0" fontId="2" fillId="0" borderId="0" xfId="0" applyFont="1" applyAlignment="1">
      <alignment horizontal="center" vertical="center"/>
    </xf>
    <xf numFmtId="1" fontId="2" fillId="3" borderId="1" xfId="0" applyNumberFormat="1" applyFont="1" applyFill="1" applyBorder="1" applyAlignment="1">
      <alignment horizontal="center" vertical="center"/>
    </xf>
    <xf numFmtId="0" fontId="3" fillId="0" borderId="0" xfId="0" applyFont="1" applyAlignment="1">
      <alignment horizontal="left"/>
    </xf>
    <xf numFmtId="0" fontId="2" fillId="0" borderId="0" xfId="0" applyFont="1" applyAlignment="1">
      <alignment horizontal="left" vertical="center"/>
    </xf>
    <xf numFmtId="0" fontId="3" fillId="4" borderId="1" xfId="0" applyFont="1" applyFill="1" applyBorder="1" applyAlignment="1">
      <alignment horizontal="center"/>
    </xf>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2" fontId="2" fillId="3" borderId="1" xfId="0" applyNumberFormat="1" applyFont="1" applyFill="1" applyBorder="1" applyAlignment="1">
      <alignment horizontal="center" vertical="center"/>
    </xf>
    <xf numFmtId="2" fontId="3" fillId="5" borderId="1" xfId="0" applyNumberFormat="1" applyFont="1" applyFill="1" applyBorder="1" applyAlignment="1">
      <alignment horizontal="center" wrapText="1"/>
    </xf>
    <xf numFmtId="0" fontId="5" fillId="0" borderId="0" xfId="0" applyFont="1"/>
    <xf numFmtId="0" fontId="5" fillId="0" borderId="0" xfId="0" applyFont="1" applyFill="1"/>
    <xf numFmtId="0" fontId="5" fillId="0" borderId="0" xfId="0" applyFont="1" applyAlignment="1">
      <alignment horizontal="center"/>
    </xf>
    <xf numFmtId="14" fontId="9" fillId="0" borderId="0" xfId="0" applyNumberFormat="1" applyFont="1" applyAlignment="1">
      <alignment horizontal="left"/>
    </xf>
    <xf numFmtId="0" fontId="9" fillId="4" borderId="1" xfId="0" applyFont="1" applyFill="1" applyBorder="1" applyAlignment="1">
      <alignment horizontal="center" wrapText="1"/>
    </xf>
    <xf numFmtId="0" fontId="9" fillId="5" borderId="1" xfId="0" applyFont="1" applyFill="1" applyBorder="1" applyAlignment="1">
      <alignment horizontal="center" wrapText="1"/>
    </xf>
    <xf numFmtId="0" fontId="5" fillId="3" borderId="1" xfId="0" applyFont="1" applyFill="1" applyBorder="1" applyAlignment="1">
      <alignment horizontal="center" vertical="center"/>
    </xf>
    <xf numFmtId="0" fontId="5" fillId="0" borderId="1" xfId="0" applyFont="1" applyFill="1" applyBorder="1" applyAlignment="1">
      <alignment horizontal="left" vertical="center" wrapText="1"/>
    </xf>
    <xf numFmtId="2" fontId="5" fillId="0" borderId="1" xfId="0" applyNumberFormat="1" applyFont="1" applyFill="1" applyBorder="1" applyAlignment="1">
      <alignment horizontal="center" vertical="center" wrapText="1"/>
    </xf>
    <xf numFmtId="167" fontId="5" fillId="0" borderId="1" xfId="0" applyNumberFormat="1" applyFont="1" applyFill="1" applyBorder="1" applyAlignment="1">
      <alignment horizontal="center" vertical="center"/>
    </xf>
    <xf numFmtId="0" fontId="5" fillId="0" borderId="1" xfId="0" applyFont="1" applyFill="1" applyBorder="1" applyAlignment="1">
      <alignment horizontal="center" vertical="center"/>
    </xf>
    <xf numFmtId="0" fontId="9" fillId="0" borderId="0" xfId="0" applyFont="1" applyFill="1" applyAlignment="1">
      <alignment horizontal="center"/>
    </xf>
    <xf numFmtId="0" fontId="5" fillId="0" borderId="1" xfId="0" applyFont="1" applyFill="1" applyBorder="1" applyAlignment="1">
      <alignment horizontal="center" vertical="center" wrapText="1"/>
    </xf>
    <xf numFmtId="0" fontId="5" fillId="0" borderId="0" xfId="0" applyFont="1" applyFill="1" applyBorder="1"/>
    <xf numFmtId="1" fontId="5" fillId="0" borderId="1" xfId="0" applyNumberFormat="1" applyFont="1" applyFill="1" applyBorder="1" applyAlignment="1">
      <alignment horizontal="center" vertical="center"/>
    </xf>
    <xf numFmtId="49" fontId="9" fillId="4" borderId="1" xfId="0" applyNumberFormat="1" applyFont="1" applyFill="1" applyBorder="1" applyAlignment="1">
      <alignment horizontal="center" wrapText="1"/>
    </xf>
    <xf numFmtId="0" fontId="2" fillId="3" borderId="1" xfId="0" applyFont="1" applyFill="1" applyBorder="1" applyAlignment="1">
      <alignment horizontal="left" vertical="center" wrapText="1"/>
    </xf>
    <xf numFmtId="2" fontId="5" fillId="0" borderId="0" xfId="0" applyNumberFormat="1" applyFont="1" applyAlignment="1">
      <alignment horizontal="center"/>
    </xf>
    <xf numFmtId="1" fontId="5" fillId="0" borderId="3" xfId="0" applyNumberFormat="1" applyFont="1" applyFill="1" applyBorder="1" applyAlignment="1">
      <alignment horizontal="center" vertical="center"/>
    </xf>
    <xf numFmtId="167" fontId="3" fillId="5" borderId="1" xfId="0" applyNumberFormat="1" applyFont="1" applyFill="1" applyBorder="1" applyAlignment="1">
      <alignment horizontal="center" wrapText="1"/>
    </xf>
    <xf numFmtId="167" fontId="5" fillId="0" borderId="1" xfId="0" applyNumberFormat="1" applyFont="1" applyFill="1" applyBorder="1" applyAlignment="1">
      <alignment horizontal="center" vertical="center" wrapText="1"/>
    </xf>
    <xf numFmtId="0" fontId="5" fillId="6" borderId="1" xfId="0" applyFont="1" applyFill="1" applyBorder="1" applyAlignment="1">
      <alignment horizontal="center" vertical="center"/>
    </xf>
    <xf numFmtId="0" fontId="5" fillId="6" borderId="1" xfId="0" applyFont="1" applyFill="1" applyBorder="1" applyAlignment="1">
      <alignment horizontal="center" vertical="center" wrapText="1"/>
    </xf>
    <xf numFmtId="2" fontId="5" fillId="6" borderId="1" xfId="0" applyNumberFormat="1" applyFont="1" applyFill="1" applyBorder="1" applyAlignment="1">
      <alignment horizontal="center" vertical="center" wrapText="1"/>
    </xf>
    <xf numFmtId="0" fontId="2" fillId="6" borderId="1" xfId="0" applyFont="1" applyFill="1" applyBorder="1" applyAlignment="1">
      <alignment horizontal="center" vertical="center"/>
    </xf>
    <xf numFmtId="0" fontId="6" fillId="6" borderId="1" xfId="0" applyFont="1" applyFill="1" applyBorder="1" applyAlignment="1">
      <alignment horizontal="center" vertical="center"/>
    </xf>
    <xf numFmtId="2" fontId="6" fillId="6" borderId="1" xfId="0" applyNumberFormat="1" applyFont="1" applyFill="1" applyBorder="1" applyAlignment="1">
      <alignment horizontal="center" vertical="center"/>
    </xf>
    <xf numFmtId="0" fontId="6" fillId="6" borderId="0" xfId="0" applyFont="1" applyFill="1" applyAlignment="1">
      <alignment horizontal="center" vertical="center"/>
    </xf>
    <xf numFmtId="49" fontId="9" fillId="5" borderId="1" xfId="0" applyNumberFormat="1" applyFont="1" applyFill="1" applyBorder="1" applyAlignment="1">
      <alignment horizontal="center" wrapText="1"/>
    </xf>
    <xf numFmtId="49" fontId="5" fillId="0" borderId="0" xfId="0" applyNumberFormat="1" applyFont="1" applyFill="1"/>
    <xf numFmtId="0" fontId="2" fillId="6" borderId="1" xfId="0" applyFont="1" applyFill="1" applyBorder="1" applyAlignment="1">
      <alignment horizontal="center" vertical="center" wrapText="1"/>
    </xf>
    <xf numFmtId="1" fontId="5" fillId="6" borderId="1" xfId="0" applyNumberFormat="1" applyFont="1" applyFill="1" applyBorder="1" applyAlignment="1">
      <alignment horizontal="center" vertical="center"/>
    </xf>
    <xf numFmtId="0" fontId="5" fillId="0" borderId="0" xfId="0" applyFont="1" applyAlignment="1">
      <alignment wrapText="1"/>
    </xf>
    <xf numFmtId="9" fontId="2" fillId="0" borderId="0" xfId="0" applyNumberFormat="1" applyFont="1" applyAlignment="1">
      <alignment horizontal="center" vertical="center"/>
    </xf>
    <xf numFmtId="9" fontId="3" fillId="4" borderId="1" xfId="0" applyNumberFormat="1" applyFont="1" applyFill="1" applyBorder="1" applyAlignment="1">
      <alignment horizontal="center" wrapText="1"/>
    </xf>
    <xf numFmtId="9" fontId="2" fillId="3" borderId="1" xfId="0" applyNumberFormat="1" applyFont="1" applyFill="1" applyBorder="1" applyAlignment="1">
      <alignment horizontal="center" vertical="center"/>
    </xf>
    <xf numFmtId="9" fontId="6" fillId="6" borderId="1" xfId="0" applyNumberFormat="1" applyFont="1" applyFill="1" applyBorder="1" applyAlignment="1">
      <alignment horizontal="center" vertical="center"/>
    </xf>
    <xf numFmtId="0" fontId="5" fillId="0" borderId="0" xfId="0" applyFont="1" applyAlignment="1">
      <alignment vertical="top"/>
    </xf>
    <xf numFmtId="0" fontId="5" fillId="0" borderId="0" xfId="0" applyFont="1" applyAlignment="1">
      <alignment vertical="top" wrapText="1"/>
    </xf>
    <xf numFmtId="0" fontId="5" fillId="0" borderId="0" xfId="0" applyFont="1" applyAlignment="1">
      <alignment horizontal="center" vertical="top"/>
    </xf>
    <xf numFmtId="0" fontId="5" fillId="0" borderId="1" xfId="0" applyFont="1" applyBorder="1" applyAlignment="1">
      <alignment vertical="top"/>
    </xf>
    <xf numFmtId="0" fontId="5" fillId="0" borderId="1" xfId="0" applyFont="1" applyBorder="1" applyAlignment="1">
      <alignment horizontal="center" vertical="top"/>
    </xf>
    <xf numFmtId="0" fontId="3" fillId="2" borderId="1" xfId="0" applyFont="1" applyFill="1" applyBorder="1" applyAlignment="1">
      <alignment horizontal="center"/>
    </xf>
    <xf numFmtId="0" fontId="3" fillId="3" borderId="1" xfId="0" applyFont="1" applyFill="1" applyBorder="1" applyAlignment="1">
      <alignment horizontal="left" vertical="center" wrapText="1"/>
    </xf>
    <xf numFmtId="0" fontId="9" fillId="2" borderId="1" xfId="0" applyFont="1" applyFill="1" applyBorder="1" applyAlignment="1">
      <alignment horizontal="center" wrapText="1"/>
    </xf>
    <xf numFmtId="167" fontId="2" fillId="0" borderId="0" xfId="0" applyNumberFormat="1" applyFont="1" applyAlignment="1">
      <alignment vertical="center"/>
    </xf>
    <xf numFmtId="167" fontId="3" fillId="4" borderId="1" xfId="0" applyNumberFormat="1" applyFont="1" applyFill="1" applyBorder="1" applyAlignment="1">
      <alignment horizontal="center" wrapText="1"/>
    </xf>
    <xf numFmtId="167" fontId="2" fillId="0" borderId="1" xfId="0" applyNumberFormat="1" applyFont="1" applyFill="1" applyBorder="1" applyAlignment="1">
      <alignment horizontal="center" vertical="center" wrapText="1"/>
    </xf>
    <xf numFmtId="167" fontId="5" fillId="0" borderId="0" xfId="0" applyNumberFormat="1" applyFont="1" applyAlignment="1">
      <alignment wrapText="1"/>
    </xf>
    <xf numFmtId="0" fontId="2" fillId="0" borderId="0" xfId="0" applyNumberFormat="1" applyFont="1" applyAlignment="1">
      <alignment vertical="center"/>
    </xf>
    <xf numFmtId="168" fontId="5" fillId="0" borderId="0" xfId="0" applyNumberFormat="1" applyFont="1" applyAlignment="1">
      <alignment horizontal="center"/>
    </xf>
    <xf numFmtId="0" fontId="5" fillId="0" borderId="0" xfId="0" applyFont="1" applyFill="1" applyAlignment="1">
      <alignment wrapText="1"/>
    </xf>
    <xf numFmtId="0" fontId="5" fillId="3" borderId="1" xfId="0" applyFont="1" applyFill="1" applyBorder="1" applyAlignment="1">
      <alignment horizontal="center" vertical="center" wrapText="1"/>
    </xf>
    <xf numFmtId="0" fontId="9" fillId="0" borderId="0" xfId="0" applyFont="1" applyFill="1" applyBorder="1" applyAlignment="1">
      <alignment horizontal="center"/>
    </xf>
    <xf numFmtId="0" fontId="0" fillId="0" borderId="0" xfId="0" applyFill="1" applyBorder="1" applyAlignment="1">
      <alignment horizontal="center"/>
    </xf>
    <xf numFmtId="169" fontId="5" fillId="0" borderId="0" xfId="0" applyNumberFormat="1" applyFont="1" applyFill="1"/>
    <xf numFmtId="169" fontId="9" fillId="0" borderId="0" xfId="0" applyNumberFormat="1" applyFont="1" applyFill="1" applyBorder="1" applyAlignment="1">
      <alignment horizontal="center"/>
    </xf>
    <xf numFmtId="169" fontId="9" fillId="4" borderId="1" xfId="0" applyNumberFormat="1" applyFont="1" applyFill="1" applyBorder="1" applyAlignment="1">
      <alignment horizontal="center" wrapText="1"/>
    </xf>
    <xf numFmtId="169" fontId="5" fillId="3" borderId="1" xfId="0" applyNumberFormat="1" applyFont="1" applyFill="1" applyBorder="1" applyAlignment="1">
      <alignment horizontal="center" vertical="center"/>
    </xf>
    <xf numFmtId="169" fontId="5" fillId="6" borderId="1" xfId="0" applyNumberFormat="1" applyFont="1" applyFill="1" applyBorder="1" applyAlignment="1">
      <alignment horizontal="center" vertical="center"/>
    </xf>
    <xf numFmtId="169" fontId="9" fillId="5" borderId="1" xfId="0" applyNumberFormat="1" applyFont="1" applyFill="1" applyBorder="1" applyAlignment="1">
      <alignment horizontal="center" wrapText="1"/>
    </xf>
    <xf numFmtId="169" fontId="5" fillId="0" borderId="0" xfId="0" applyNumberFormat="1" applyFont="1" applyFill="1" applyAlignment="1">
      <alignment wrapText="1"/>
    </xf>
    <xf numFmtId="169" fontId="5" fillId="3" borderId="1" xfId="0" applyNumberFormat="1" applyFont="1" applyFill="1" applyBorder="1" applyAlignment="1">
      <alignment horizontal="center" vertical="center" wrapText="1"/>
    </xf>
    <xf numFmtId="169" fontId="5" fillId="6" borderId="1" xfId="0" applyNumberFormat="1" applyFont="1" applyFill="1" applyBorder="1" applyAlignment="1">
      <alignment horizontal="center" vertical="center" wrapText="1"/>
    </xf>
    <xf numFmtId="49" fontId="3" fillId="0" borderId="5" xfId="0" applyNumberFormat="1" applyFont="1" applyFill="1" applyBorder="1"/>
    <xf numFmtId="1" fontId="5" fillId="0" borderId="0" xfId="0" applyNumberFormat="1" applyFont="1" applyFill="1" applyAlignment="1">
      <alignment horizontal="center" vertical="center"/>
    </xf>
    <xf numFmtId="0" fontId="5" fillId="0" borderId="0" xfId="0" applyFont="1" applyFill="1" applyAlignment="1">
      <alignment horizontal="left" vertical="center" wrapText="1"/>
    </xf>
    <xf numFmtId="0" fontId="5" fillId="0" borderId="0" xfId="0" applyFont="1" applyFill="1" applyAlignment="1">
      <alignment vertical="center" wrapText="1"/>
    </xf>
    <xf numFmtId="0" fontId="5" fillId="3" borderId="1" xfId="0" applyFont="1" applyFill="1" applyBorder="1" applyAlignment="1">
      <alignment wrapText="1"/>
    </xf>
    <xf numFmtId="0" fontId="6" fillId="0" borderId="0" xfId="0" applyFont="1" applyFill="1" applyAlignment="1">
      <alignment horizontal="center" vertical="center"/>
    </xf>
    <xf numFmtId="0" fontId="5" fillId="3" borderId="1" xfId="0" applyFont="1" applyFill="1" applyBorder="1" applyAlignment="1">
      <alignment horizontal="left" vertical="center" wrapText="1"/>
    </xf>
    <xf numFmtId="0" fontId="5" fillId="0" borderId="0" xfId="0" applyFont="1" applyFill="1" applyAlignment="1">
      <alignment horizontal="center" vertical="center" wrapText="1"/>
    </xf>
    <xf numFmtId="9" fontId="5" fillId="0" borderId="1" xfId="0" applyNumberFormat="1" applyFont="1" applyFill="1" applyBorder="1" applyAlignment="1">
      <alignment horizontal="center" vertical="center" wrapText="1"/>
    </xf>
    <xf numFmtId="2" fontId="3" fillId="4" borderId="1" xfId="0" applyNumberFormat="1" applyFont="1" applyFill="1" applyBorder="1" applyAlignment="1">
      <alignment horizontal="center" wrapText="1"/>
    </xf>
    <xf numFmtId="167" fontId="5" fillId="3" borderId="1" xfId="0" applyNumberFormat="1" applyFont="1" applyFill="1" applyBorder="1" applyAlignment="1">
      <alignment horizontal="center" vertical="center" wrapText="1"/>
    </xf>
    <xf numFmtId="167" fontId="2" fillId="3" borderId="1" xfId="0" applyNumberFormat="1" applyFont="1" applyFill="1" applyBorder="1" applyAlignment="1">
      <alignment horizontal="center" vertical="center" wrapText="1"/>
    </xf>
    <xf numFmtId="0" fontId="3" fillId="0" borderId="0" xfId="0" applyFont="1" applyFill="1" applyBorder="1" applyAlignment="1">
      <alignment horizontal="center" wrapText="1"/>
    </xf>
    <xf numFmtId="0" fontId="5" fillId="0" borderId="0" xfId="0" applyFont="1" applyFill="1" applyBorder="1" applyAlignment="1">
      <alignment horizontal="left" vertical="center" wrapText="1"/>
    </xf>
    <xf numFmtId="6" fontId="5" fillId="0" borderId="0" xfId="0" applyNumberFormat="1" applyFont="1" applyAlignment="1">
      <alignment horizontal="center"/>
    </xf>
    <xf numFmtId="6" fontId="3" fillId="4" borderId="1" xfId="0" applyNumberFormat="1" applyFont="1" applyFill="1" applyBorder="1" applyAlignment="1">
      <alignment horizontal="center" wrapText="1"/>
    </xf>
    <xf numFmtId="6" fontId="5" fillId="0" borderId="1" xfId="0" applyNumberFormat="1" applyFont="1" applyFill="1" applyBorder="1" applyAlignment="1">
      <alignment horizontal="center" vertical="center" wrapText="1"/>
    </xf>
    <xf numFmtId="9" fontId="5" fillId="0" borderId="0" xfId="0" applyNumberFormat="1" applyFont="1" applyAlignment="1">
      <alignment horizontal="center"/>
    </xf>
    <xf numFmtId="6" fontId="2" fillId="0" borderId="0" xfId="0" applyNumberFormat="1" applyFont="1" applyAlignment="1">
      <alignment horizontal="center" vertical="center"/>
    </xf>
    <xf numFmtId="6" fontId="2" fillId="3" borderId="1" xfId="0" applyNumberFormat="1" applyFont="1" applyFill="1" applyBorder="1" applyAlignment="1">
      <alignment horizontal="center" vertical="center"/>
    </xf>
    <xf numFmtId="6" fontId="6" fillId="6" borderId="1" xfId="0" applyNumberFormat="1" applyFont="1" applyFill="1" applyBorder="1" applyAlignment="1">
      <alignment horizontal="center" vertical="center"/>
    </xf>
    <xf numFmtId="0" fontId="5" fillId="4" borderId="1" xfId="0" applyFont="1" applyFill="1" applyBorder="1" applyAlignment="1">
      <alignment vertical="top"/>
    </xf>
    <xf numFmtId="0" fontId="5" fillId="4" borderId="1" xfId="0" applyFont="1" applyFill="1" applyBorder="1" applyAlignment="1">
      <alignment vertical="top" wrapText="1"/>
    </xf>
    <xf numFmtId="0" fontId="5" fillId="4" borderId="1" xfId="0" applyFont="1" applyFill="1" applyBorder="1" applyAlignment="1">
      <alignment horizontal="center" vertical="top"/>
    </xf>
    <xf numFmtId="0" fontId="5" fillId="4" borderId="0" xfId="0" applyFont="1" applyFill="1" applyAlignment="1">
      <alignment vertical="top"/>
    </xf>
    <xf numFmtId="0" fontId="5" fillId="4" borderId="1" xfId="0" applyFont="1" applyFill="1" applyBorder="1" applyAlignment="1">
      <alignment horizontal="center" vertical="top" wrapText="1"/>
    </xf>
    <xf numFmtId="0" fontId="5" fillId="4" borderId="1" xfId="0" quotePrefix="1" applyFont="1" applyFill="1" applyBorder="1" applyAlignment="1">
      <alignment vertical="top" wrapText="1"/>
    </xf>
    <xf numFmtId="0" fontId="3" fillId="4" borderId="3" xfId="0" applyFont="1" applyFill="1" applyBorder="1" applyAlignment="1">
      <alignment horizontal="center" wrapText="1"/>
    </xf>
    <xf numFmtId="9" fontId="5" fillId="0" borderId="0" xfId="0" applyNumberFormat="1" applyFont="1" applyFill="1"/>
    <xf numFmtId="9" fontId="9" fillId="5" borderId="1" xfId="0" applyNumberFormat="1" applyFont="1" applyFill="1" applyBorder="1" applyAlignment="1">
      <alignment horizontal="center" wrapText="1"/>
    </xf>
    <xf numFmtId="9" fontId="5" fillId="3" borderId="1" xfId="0" applyNumberFormat="1" applyFont="1" applyFill="1" applyBorder="1" applyAlignment="1">
      <alignment horizontal="center" vertical="center"/>
    </xf>
    <xf numFmtId="168" fontId="3" fillId="2" borderId="1" xfId="0" applyNumberFormat="1" applyFont="1" applyFill="1" applyBorder="1" applyAlignment="1">
      <alignment horizontal="center" wrapText="1"/>
    </xf>
    <xf numFmtId="168" fontId="5" fillId="0" borderId="1" xfId="0" applyNumberFormat="1" applyFont="1" applyBorder="1" applyAlignment="1">
      <alignment horizontal="center" vertical="top"/>
    </xf>
    <xf numFmtId="168" fontId="5" fillId="4" borderId="1" xfId="0" applyNumberFormat="1" applyFont="1" applyFill="1" applyBorder="1" applyAlignment="1">
      <alignment horizontal="center" vertical="top"/>
    </xf>
    <xf numFmtId="168" fontId="5" fillId="0" borderId="0" xfId="0" applyNumberFormat="1" applyFont="1" applyAlignment="1">
      <alignment horizontal="center" vertical="top"/>
    </xf>
    <xf numFmtId="168" fontId="5" fillId="7" borderId="1" xfId="0" applyNumberFormat="1" applyFont="1" applyFill="1" applyBorder="1" applyAlignment="1">
      <alignment horizontal="center" vertical="top"/>
    </xf>
    <xf numFmtId="1" fontId="2" fillId="0" borderId="0" xfId="0" applyNumberFormat="1" applyFont="1" applyAlignment="1">
      <alignment vertical="center"/>
    </xf>
    <xf numFmtId="1" fontId="2" fillId="0" borderId="0" xfId="0" applyNumberFormat="1" applyFont="1" applyAlignment="1">
      <alignment horizontal="center" vertical="center"/>
    </xf>
    <xf numFmtId="49" fontId="5" fillId="0" borderId="0" xfId="0" applyNumberFormat="1" applyFont="1"/>
    <xf numFmtId="49" fontId="5" fillId="3" borderId="1" xfId="0" applyNumberFormat="1" applyFont="1" applyFill="1" applyBorder="1" applyAlignment="1">
      <alignment horizontal="center" vertical="center"/>
    </xf>
    <xf numFmtId="49" fontId="3" fillId="4" borderId="1" xfId="0" applyNumberFormat="1" applyFont="1" applyFill="1" applyBorder="1" applyAlignment="1">
      <alignment horizontal="center" wrapText="1"/>
    </xf>
    <xf numFmtId="49" fontId="9" fillId="0" borderId="0" xfId="0" applyNumberFormat="1" applyFont="1" applyFill="1" applyAlignment="1">
      <alignment horizontal="right"/>
    </xf>
    <xf numFmtId="0" fontId="5" fillId="0" borderId="0" xfId="0" applyFont="1" applyBorder="1"/>
    <xf numFmtId="0" fontId="5" fillId="0" borderId="0" xfId="0" applyFont="1" applyBorder="1" applyAlignment="1">
      <alignment horizontal="center"/>
    </xf>
    <xf numFmtId="49" fontId="5" fillId="0" borderId="0" xfId="0" applyNumberFormat="1" applyFont="1" applyFill="1" applyAlignment="1">
      <alignment vertical="center"/>
    </xf>
    <xf numFmtId="49" fontId="5" fillId="0" borderId="0" xfId="0" applyNumberFormat="1" applyFont="1" applyFill="1" applyAlignment="1">
      <alignment horizontal="center" vertical="center"/>
    </xf>
    <xf numFmtId="49" fontId="5" fillId="3" borderId="1" xfId="0" applyNumberFormat="1" applyFont="1" applyFill="1" applyBorder="1" applyAlignment="1">
      <alignment vertical="center"/>
    </xf>
    <xf numFmtId="1" fontId="6" fillId="6" borderId="1" xfId="0" applyNumberFormat="1" applyFont="1" applyFill="1" applyBorder="1" applyAlignment="1">
      <alignment horizontal="center" vertical="center"/>
    </xf>
    <xf numFmtId="0" fontId="2" fillId="3" borderId="1" xfId="0" applyNumberFormat="1" applyFont="1" applyFill="1" applyBorder="1" applyAlignment="1">
      <alignment horizontal="center" vertical="center"/>
    </xf>
    <xf numFmtId="14" fontId="9" fillId="0" borderId="0" xfId="0" applyNumberFormat="1" applyFont="1" applyAlignment="1">
      <alignment horizontal="center"/>
    </xf>
    <xf numFmtId="2" fontId="2" fillId="0" borderId="0" xfId="0" applyNumberFormat="1" applyFont="1" applyAlignment="1">
      <alignment horizontal="center" vertical="center"/>
    </xf>
    <xf numFmtId="0" fontId="6" fillId="6" borderId="1" xfId="0" applyFont="1" applyFill="1" applyBorder="1" applyAlignment="1">
      <alignment horizontal="center" vertical="center" wrapText="1"/>
    </xf>
    <xf numFmtId="0" fontId="7" fillId="2" borderId="9" xfId="0" applyFont="1" applyFill="1" applyBorder="1" applyAlignment="1">
      <alignment horizontal="center" vertical="top" wrapText="1"/>
    </xf>
    <xf numFmtId="0" fontId="7" fillId="0" borderId="0" xfId="0" applyFont="1" applyAlignment="1">
      <alignment horizontal="center" vertical="top" wrapText="1"/>
    </xf>
    <xf numFmtId="0" fontId="0" fillId="0" borderId="8" xfId="0" applyBorder="1" applyAlignment="1">
      <alignment vertical="top" wrapText="1"/>
    </xf>
    <xf numFmtId="0" fontId="0" fillId="0" borderId="0" xfId="0" applyAlignment="1">
      <alignment vertical="top" wrapText="1"/>
    </xf>
    <xf numFmtId="0" fontId="0" fillId="0" borderId="1" xfId="0" applyBorder="1" applyAlignment="1">
      <alignment vertical="top" wrapText="1"/>
    </xf>
    <xf numFmtId="0" fontId="5" fillId="0" borderId="1" xfId="0" applyFont="1" applyBorder="1" applyAlignment="1">
      <alignment wrapText="1"/>
    </xf>
    <xf numFmtId="0" fontId="5" fillId="0" borderId="1" xfId="0" applyFont="1" applyFill="1" applyBorder="1" applyAlignment="1">
      <alignment wrapText="1"/>
    </xf>
    <xf numFmtId="0" fontId="0" fillId="0" borderId="1" xfId="0" applyBorder="1"/>
    <xf numFmtId="0" fontId="5" fillId="0" borderId="1" xfId="0" applyFont="1" applyBorder="1"/>
    <xf numFmtId="0" fontId="5" fillId="5" borderId="1" xfId="0" applyFont="1" applyFill="1" applyBorder="1" applyAlignment="1">
      <alignment horizontal="center" vertical="top"/>
    </xf>
    <xf numFmtId="0" fontId="5" fillId="0" borderId="1" xfId="0" applyFont="1" applyBorder="1" applyAlignment="1">
      <alignment horizontal="center"/>
    </xf>
    <xf numFmtId="0" fontId="5" fillId="0" borderId="1" xfId="0" applyFont="1" applyBorder="1" applyAlignment="1">
      <alignment horizontal="left" wrapText="1"/>
    </xf>
    <xf numFmtId="0" fontId="5" fillId="0" borderId="1" xfId="0" applyFont="1" applyBorder="1" applyAlignment="1">
      <alignment horizontal="center" wrapText="1"/>
    </xf>
    <xf numFmtId="0" fontId="11" fillId="9" borderId="1" xfId="0" applyFont="1" applyFill="1" applyBorder="1" applyAlignment="1">
      <alignment horizontal="center" wrapText="1"/>
    </xf>
    <xf numFmtId="0" fontId="11" fillId="9" borderId="1" xfId="0" applyFont="1" applyFill="1" applyBorder="1" applyAlignment="1">
      <alignment horizontal="center"/>
    </xf>
    <xf numFmtId="0" fontId="6" fillId="10" borderId="1" xfId="0" applyFont="1" applyFill="1" applyBorder="1" applyAlignment="1">
      <alignment horizontal="center" vertical="center"/>
    </xf>
    <xf numFmtId="0" fontId="2" fillId="6" borderId="0" xfId="0" applyFont="1" applyFill="1" applyAlignment="1">
      <alignment horizontal="center" vertical="center"/>
    </xf>
    <xf numFmtId="0" fontId="8" fillId="0" borderId="2" xfId="0" applyFont="1" applyFill="1" applyBorder="1" applyAlignment="1">
      <alignment wrapText="1"/>
    </xf>
    <xf numFmtId="0" fontId="5" fillId="0" borderId="0" xfId="0" applyFont="1" applyBorder="1" applyAlignment="1">
      <alignment horizontal="left" wrapText="1"/>
    </xf>
    <xf numFmtId="0" fontId="9" fillId="0" borderId="0" xfId="0" applyFont="1" applyBorder="1"/>
    <xf numFmtId="0" fontId="5" fillId="0" borderId="0" xfId="0" applyFont="1" applyBorder="1" applyAlignment="1">
      <alignment wrapText="1"/>
    </xf>
    <xf numFmtId="0" fontId="5" fillId="0" borderId="0" xfId="0" applyFont="1" applyBorder="1" applyAlignment="1">
      <alignment vertical="top"/>
    </xf>
    <xf numFmtId="0" fontId="5" fillId="5" borderId="0" xfId="0" applyFont="1" applyFill="1" applyBorder="1" applyAlignment="1">
      <alignment vertical="top"/>
    </xf>
    <xf numFmtId="0" fontId="5" fillId="5" borderId="0" xfId="0" applyFont="1" applyFill="1" applyBorder="1"/>
    <xf numFmtId="0" fontId="14" fillId="0" borderId="0" xfId="0" quotePrefix="1" applyFont="1"/>
    <xf numFmtId="0" fontId="14" fillId="0" borderId="1" xfId="0" applyFont="1" applyBorder="1"/>
    <xf numFmtId="0" fontId="1" fillId="0" borderId="0" xfId="0" applyFont="1" applyBorder="1"/>
    <xf numFmtId="0" fontId="8" fillId="0" borderId="0" xfId="0" applyFont="1" applyFill="1" applyBorder="1" applyAlignment="1">
      <alignment wrapText="1"/>
    </xf>
    <xf numFmtId="0" fontId="8" fillId="0" borderId="0" xfId="0" applyFont="1" applyFill="1" applyAlignment="1">
      <alignment wrapText="1"/>
    </xf>
    <xf numFmtId="0" fontId="5" fillId="0" borderId="0" xfId="0" applyFont="1" applyBorder="1" applyAlignment="1">
      <alignment horizontal="center" vertical="top"/>
    </xf>
    <xf numFmtId="49" fontId="5" fillId="0" borderId="1" xfId="0" applyNumberFormat="1" applyFont="1" applyFill="1" applyBorder="1"/>
    <xf numFmtId="169" fontId="5" fillId="0" borderId="1" xfId="0" applyNumberFormat="1" applyFont="1" applyFill="1" applyBorder="1"/>
    <xf numFmtId="9" fontId="5" fillId="0" borderId="1" xfId="0" applyNumberFormat="1" applyFont="1" applyFill="1" applyBorder="1"/>
    <xf numFmtId="0" fontId="5" fillId="0" borderId="1" xfId="0" applyFont="1" applyFill="1" applyBorder="1"/>
    <xf numFmtId="169" fontId="5" fillId="0" borderId="1" xfId="0" applyNumberFormat="1" applyFont="1" applyFill="1" applyBorder="1" applyAlignment="1">
      <alignment wrapText="1"/>
    </xf>
    <xf numFmtId="49" fontId="6" fillId="6" borderId="1" xfId="0" applyNumberFormat="1" applyFont="1" applyFill="1" applyBorder="1" applyAlignment="1">
      <alignment horizontal="center" vertical="center"/>
    </xf>
    <xf numFmtId="9" fontId="5" fillId="3" borderId="1" xfId="0" applyNumberFormat="1" applyFont="1" applyFill="1" applyBorder="1" applyAlignment="1">
      <alignment horizontal="center" vertical="center" wrapText="1"/>
    </xf>
    <xf numFmtId="169" fontId="2" fillId="3" borderId="1" xfId="0" applyNumberFormat="1" applyFont="1" applyFill="1" applyBorder="1" applyAlignment="1">
      <alignment horizontal="center" vertical="center"/>
    </xf>
    <xf numFmtId="169" fontId="2" fillId="3" borderId="1" xfId="0" applyNumberFormat="1" applyFont="1" applyFill="1" applyBorder="1" applyAlignment="1">
      <alignment horizontal="center" vertical="center" wrapText="1"/>
    </xf>
    <xf numFmtId="0" fontId="5" fillId="3" borderId="1" xfId="0" applyFont="1" applyFill="1" applyBorder="1" applyAlignment="1">
      <alignment vertical="center"/>
    </xf>
    <xf numFmtId="0" fontId="2" fillId="0" borderId="0" xfId="0" applyFont="1" applyFill="1"/>
    <xf numFmtId="0" fontId="30" fillId="0" borderId="1" xfId="0" applyFont="1" applyBorder="1" applyAlignment="1">
      <alignment horizontal="center" vertical="center" wrapText="1"/>
    </xf>
    <xf numFmtId="0" fontId="2" fillId="6" borderId="1" xfId="0" quotePrefix="1" applyFont="1" applyFill="1" applyBorder="1" applyAlignment="1">
      <alignment horizontal="center" vertical="center"/>
    </xf>
    <xf numFmtId="0" fontId="2" fillId="0" borderId="0" xfId="0" applyFont="1" applyAlignment="1" applyProtection="1">
      <alignment horizontal="center" vertical="center"/>
    </xf>
    <xf numFmtId="167" fontId="2" fillId="3" borderId="1" xfId="0" applyNumberFormat="1" applyFont="1" applyFill="1" applyBorder="1" applyAlignment="1" applyProtection="1">
      <alignment horizontal="center" vertical="center"/>
    </xf>
    <xf numFmtId="167" fontId="6" fillId="6" borderId="1" xfId="0" applyNumberFormat="1" applyFont="1" applyFill="1" applyBorder="1" applyAlignment="1" applyProtection="1">
      <alignment horizontal="center" vertical="center"/>
    </xf>
    <xf numFmtId="14" fontId="6" fillId="6" borderId="1" xfId="0" applyNumberFormat="1" applyFont="1" applyFill="1" applyBorder="1" applyAlignment="1" applyProtection="1">
      <alignment horizontal="center" vertical="center"/>
    </xf>
    <xf numFmtId="1" fontId="2" fillId="6" borderId="1" xfId="0" applyNumberFormat="1"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1" xfId="0" applyFont="1" applyFill="1" applyBorder="1" applyAlignment="1">
      <alignment horizontal="center" vertical="center"/>
    </xf>
    <xf numFmtId="16" fontId="2" fillId="12" borderId="1" xfId="0" applyNumberFormat="1" applyFont="1" applyFill="1" applyBorder="1" applyAlignment="1">
      <alignment horizontal="center" vertical="center"/>
    </xf>
    <xf numFmtId="2" fontId="2" fillId="0" borderId="1" xfId="0" applyNumberFormat="1" applyFont="1" applyFill="1" applyBorder="1" applyAlignment="1">
      <alignment horizontal="center" vertical="center" wrapText="1"/>
    </xf>
    <xf numFmtId="0" fontId="5" fillId="0" borderId="4" xfId="0" applyFont="1" applyBorder="1" applyAlignment="1">
      <alignment horizontal="center" vertical="top"/>
    </xf>
    <xf numFmtId="0" fontId="5" fillId="0" borderId="8" xfId="0" applyFont="1" applyBorder="1" applyAlignment="1">
      <alignment horizontal="center" vertical="top"/>
    </xf>
    <xf numFmtId="0" fontId="0" fillId="0" borderId="8" xfId="0" applyBorder="1"/>
    <xf numFmtId="169" fontId="3" fillId="4" borderId="1" xfId="0" applyNumberFormat="1" applyFont="1" applyFill="1" applyBorder="1" applyAlignment="1">
      <alignment horizontal="center" wrapText="1"/>
    </xf>
    <xf numFmtId="0" fontId="5" fillId="0" borderId="1" xfId="0" applyFont="1" applyBorder="1" applyAlignment="1">
      <alignment horizontal="center" vertical="center"/>
    </xf>
    <xf numFmtId="0" fontId="2" fillId="0" borderId="0" xfId="0" applyFont="1" applyBorder="1" applyAlignment="1">
      <alignment horizontal="left" wrapText="1"/>
    </xf>
    <xf numFmtId="0" fontId="14" fillId="0" borderId="0" xfId="0" applyFont="1" applyAlignment="1">
      <alignment wrapText="1"/>
    </xf>
    <xf numFmtId="0" fontId="2" fillId="0" borderId="0" xfId="0" applyFont="1" applyBorder="1"/>
    <xf numFmtId="0" fontId="2" fillId="0" borderId="0" xfId="0" applyFont="1" applyBorder="1" applyAlignment="1">
      <alignment wrapText="1"/>
    </xf>
    <xf numFmtId="167" fontId="6" fillId="6" borderId="1" xfId="0" applyNumberFormat="1" applyFont="1" applyFill="1" applyBorder="1" applyAlignment="1">
      <alignment horizontal="center" vertical="center"/>
    </xf>
    <xf numFmtId="49" fontId="2" fillId="3" borderId="1" xfId="0" applyNumberFormat="1" applyFont="1" applyFill="1" applyBorder="1" applyAlignment="1">
      <alignment horizontal="center" vertical="center"/>
    </xf>
    <xf numFmtId="0" fontId="31" fillId="6" borderId="1" xfId="0" applyFont="1" applyFill="1" applyBorder="1" applyAlignment="1">
      <alignment horizontal="center" vertical="center"/>
    </xf>
    <xf numFmtId="166" fontId="2" fillId="3" borderId="1" xfId="0" applyNumberFormat="1" applyFont="1" applyFill="1" applyBorder="1" applyAlignment="1">
      <alignment horizontal="center" vertical="center"/>
    </xf>
    <xf numFmtId="0" fontId="2" fillId="0" borderId="0" xfId="0" applyFont="1" applyBorder="1" applyAlignment="1">
      <alignment horizontal="left" vertical="top" wrapText="1"/>
    </xf>
    <xf numFmtId="0" fontId="5" fillId="0" borderId="1" xfId="0" applyFont="1" applyFill="1" applyBorder="1" applyAlignment="1">
      <alignment horizontal="center" vertical="top"/>
    </xf>
    <xf numFmtId="1" fontId="13" fillId="6" borderId="1" xfId="0" applyNumberFormat="1" applyFont="1" applyFill="1" applyBorder="1" applyAlignment="1">
      <alignment horizontal="center" vertical="center"/>
    </xf>
    <xf numFmtId="0" fontId="14" fillId="0" borderId="0" xfId="0" applyFont="1" applyBorder="1" applyAlignment="1">
      <alignment horizontal="right" vertical="top" wrapText="1"/>
    </xf>
    <xf numFmtId="0" fontId="14" fillId="0" borderId="1" xfId="0" applyFont="1" applyBorder="1" applyAlignment="1">
      <alignment horizontal="right" vertical="top" wrapText="1"/>
    </xf>
    <xf numFmtId="0" fontId="8" fillId="9" borderId="1" xfId="0" applyFont="1" applyFill="1" applyBorder="1" applyAlignment="1">
      <alignment horizontal="right" vertical="top" wrapText="1"/>
    </xf>
    <xf numFmtId="0" fontId="8" fillId="0" borderId="1" xfId="0" applyFont="1" applyFill="1" applyBorder="1" applyAlignment="1">
      <alignment horizontal="right" vertical="top" wrapText="1"/>
    </xf>
    <xf numFmtId="0" fontId="8" fillId="0" borderId="0" xfId="0" applyFont="1" applyFill="1" applyBorder="1" applyAlignment="1">
      <alignment horizontal="right" vertical="top" wrapText="1"/>
    </xf>
    <xf numFmtId="0" fontId="8" fillId="0" borderId="2" xfId="0" applyFont="1" applyFill="1" applyBorder="1" applyAlignment="1">
      <alignment horizontal="right" wrapText="1"/>
    </xf>
    <xf numFmtId="0" fontId="0" fillId="0" borderId="0" xfId="0" applyBorder="1"/>
    <xf numFmtId="0" fontId="14" fillId="0" borderId="0" xfId="0" applyFont="1"/>
    <xf numFmtId="169" fontId="2" fillId="0" borderId="0" xfId="0" applyNumberFormat="1" applyFont="1" applyFill="1"/>
    <xf numFmtId="6" fontId="2" fillId="3" borderId="0" xfId="0" applyNumberFormat="1" applyFont="1" applyFill="1" applyBorder="1" applyAlignment="1">
      <alignment horizontal="center" vertical="center"/>
    </xf>
    <xf numFmtId="0" fontId="2" fillId="0" borderId="0" xfId="0" applyFont="1" applyBorder="1" applyAlignment="1">
      <alignment horizontal="center" vertical="center"/>
    </xf>
    <xf numFmtId="0" fontId="16" fillId="0" borderId="0" xfId="0" applyFont="1" applyFill="1" applyBorder="1" applyAlignment="1">
      <alignment wrapText="1"/>
    </xf>
    <xf numFmtId="0" fontId="33" fillId="0" borderId="2" xfId="0" applyFont="1" applyFill="1" applyBorder="1" applyAlignment="1">
      <alignment horizontal="right" wrapText="1"/>
    </xf>
    <xf numFmtId="0" fontId="33" fillId="0" borderId="2" xfId="0" applyFont="1" applyFill="1" applyBorder="1" applyAlignment="1">
      <alignment wrapText="1"/>
    </xf>
    <xf numFmtId="0" fontId="2" fillId="0" borderId="0" xfId="0" applyFont="1" applyFill="1" applyBorder="1" applyAlignment="1">
      <alignment wrapText="1"/>
    </xf>
    <xf numFmtId="0" fontId="34" fillId="0" borderId="2" xfId="0" applyFont="1" applyFill="1" applyBorder="1" applyAlignment="1">
      <alignment horizontal="right" wrapText="1"/>
    </xf>
    <xf numFmtId="0" fontId="34" fillId="0" borderId="2" xfId="0" applyFont="1" applyFill="1" applyBorder="1" applyAlignment="1">
      <alignment wrapText="1"/>
    </xf>
    <xf numFmtId="0" fontId="5" fillId="3" borderId="0" xfId="0" applyFont="1" applyFill="1" applyAlignment="1">
      <alignment horizontal="center" vertical="center"/>
    </xf>
    <xf numFmtId="0" fontId="3" fillId="3" borderId="3" xfId="0" applyFont="1" applyFill="1" applyBorder="1" applyAlignment="1">
      <alignment horizontal="center" vertical="center" wrapText="1"/>
    </xf>
    <xf numFmtId="1" fontId="5" fillId="3" borderId="1" xfId="0" applyNumberFormat="1" applyFont="1" applyFill="1" applyBorder="1" applyAlignment="1">
      <alignment horizontal="center" vertical="center"/>
    </xf>
    <xf numFmtId="0" fontId="5" fillId="0" borderId="0" xfId="0" applyFont="1" applyFill="1" applyAlignment="1">
      <alignment horizontal="center" vertical="center"/>
    </xf>
    <xf numFmtId="14" fontId="5" fillId="0" borderId="1" xfId="0" applyNumberFormat="1" applyFont="1" applyBorder="1"/>
    <xf numFmtId="14" fontId="2" fillId="0" borderId="1" xfId="0" applyNumberFormat="1" applyFont="1" applyBorder="1"/>
    <xf numFmtId="0" fontId="35" fillId="0" borderId="2" xfId="0" applyFont="1" applyFill="1" applyBorder="1" applyAlignment="1">
      <alignment horizontal="right" wrapText="1"/>
    </xf>
    <xf numFmtId="0" fontId="35" fillId="0" borderId="2" xfId="0" applyFont="1" applyFill="1" applyBorder="1" applyAlignment="1">
      <alignment wrapText="1"/>
    </xf>
    <xf numFmtId="0" fontId="14" fillId="0" borderId="2" xfId="0" applyFont="1" applyBorder="1" applyAlignment="1">
      <alignment horizontal="right" vertical="top" wrapText="1"/>
    </xf>
    <xf numFmtId="0" fontId="5" fillId="0" borderId="2" xfId="0" applyFont="1" applyBorder="1" applyAlignment="1">
      <alignment horizontal="left" wrapText="1"/>
    </xf>
    <xf numFmtId="0" fontId="5" fillId="0" borderId="2" xfId="0" applyFont="1" applyBorder="1" applyAlignment="1">
      <alignment wrapText="1"/>
    </xf>
    <xf numFmtId="0" fontId="2" fillId="0" borderId="2" xfId="0" applyFont="1" applyBorder="1"/>
    <xf numFmtId="0" fontId="5" fillId="0" borderId="2" xfId="0" applyFont="1" applyBorder="1"/>
    <xf numFmtId="0" fontId="2" fillId="0" borderId="2" xfId="0" applyFont="1" applyBorder="1" applyAlignment="1">
      <alignment wrapText="1"/>
    </xf>
    <xf numFmtId="1" fontId="2" fillId="3" borderId="2" xfId="0" applyNumberFormat="1" applyFont="1" applyFill="1" applyBorder="1" applyAlignment="1">
      <alignment horizontal="center" vertical="center"/>
    </xf>
    <xf numFmtId="0" fontId="18" fillId="0" borderId="0" xfId="0" applyFont="1" applyFill="1" applyBorder="1" applyAlignment="1">
      <alignment wrapText="1"/>
    </xf>
    <xf numFmtId="0" fontId="36" fillId="0" borderId="2" xfId="0" applyFont="1" applyFill="1" applyBorder="1" applyAlignment="1">
      <alignment horizontal="right" wrapText="1"/>
    </xf>
    <xf numFmtId="0" fontId="36" fillId="0" borderId="2" xfId="0" applyFont="1" applyFill="1" applyBorder="1" applyAlignment="1">
      <alignment wrapText="1"/>
    </xf>
    <xf numFmtId="9" fontId="3" fillId="5" borderId="1" xfId="0" applyNumberFormat="1" applyFont="1" applyFill="1" applyBorder="1" applyAlignment="1">
      <alignment horizontal="center" wrapText="1"/>
    </xf>
    <xf numFmtId="0" fontId="19" fillId="0" borderId="0" xfId="0" applyFont="1" applyFill="1" applyBorder="1" applyAlignment="1">
      <alignment wrapText="1"/>
    </xf>
    <xf numFmtId="0" fontId="20" fillId="0" borderId="0" xfId="0" applyFont="1" applyFill="1" applyBorder="1" applyAlignment="1">
      <alignment wrapText="1"/>
    </xf>
    <xf numFmtId="0" fontId="5" fillId="5" borderId="8" xfId="0" applyFont="1" applyFill="1" applyBorder="1" applyAlignment="1">
      <alignment horizontal="center" vertical="top"/>
    </xf>
    <xf numFmtId="0" fontId="22" fillId="0" borderId="0" xfId="0" applyFont="1" applyFill="1" applyBorder="1" applyAlignment="1">
      <alignment wrapText="1"/>
    </xf>
    <xf numFmtId="0" fontId="21" fillId="0" borderId="0" xfId="0" applyFont="1" applyFill="1" applyBorder="1" applyAlignment="1">
      <alignment wrapText="1"/>
    </xf>
    <xf numFmtId="0" fontId="37" fillId="0" borderId="2" xfId="0" applyFont="1" applyFill="1" applyBorder="1" applyAlignment="1">
      <alignment horizontal="right" wrapText="1"/>
    </xf>
    <xf numFmtId="0" fontId="37" fillId="0" borderId="2" xfId="0" applyFont="1" applyFill="1" applyBorder="1" applyAlignment="1">
      <alignment wrapText="1"/>
    </xf>
    <xf numFmtId="0" fontId="23" fillId="0" borderId="0" xfId="0" applyFont="1" applyFill="1" applyBorder="1" applyAlignment="1">
      <alignment wrapText="1"/>
    </xf>
    <xf numFmtId="0" fontId="38" fillId="0" borderId="2" xfId="0" applyFont="1" applyFill="1" applyBorder="1" applyAlignment="1">
      <alignment horizontal="right" wrapText="1"/>
    </xf>
    <xf numFmtId="0" fontId="38" fillId="0" borderId="2" xfId="0" applyFont="1" applyFill="1" applyBorder="1" applyAlignment="1">
      <alignment wrapText="1"/>
    </xf>
    <xf numFmtId="0" fontId="24" fillId="0" borderId="0" xfId="0" applyFont="1" applyFill="1" applyBorder="1" applyAlignment="1">
      <alignment wrapText="1"/>
    </xf>
    <xf numFmtId="0" fontId="39" fillId="0" borderId="2" xfId="0" applyFont="1" applyFill="1" applyBorder="1" applyAlignment="1">
      <alignment horizontal="right" wrapText="1"/>
    </xf>
    <xf numFmtId="0" fontId="39" fillId="0" borderId="2" xfId="0" applyFont="1" applyFill="1" applyBorder="1" applyAlignment="1">
      <alignment wrapText="1"/>
    </xf>
    <xf numFmtId="0" fontId="40" fillId="0" borderId="2" xfId="0" applyFont="1" applyFill="1" applyBorder="1" applyAlignment="1">
      <alignment horizontal="right" wrapText="1"/>
    </xf>
    <xf numFmtId="0" fontId="40" fillId="0" borderId="2" xfId="0" applyFont="1" applyFill="1" applyBorder="1" applyAlignment="1">
      <alignment wrapText="1"/>
    </xf>
    <xf numFmtId="1" fontId="2" fillId="0" borderId="0" xfId="0" applyNumberFormat="1" applyFont="1" applyFill="1" applyAlignment="1">
      <alignment horizontal="center" vertical="center"/>
    </xf>
    <xf numFmtId="0" fontId="41" fillId="0" borderId="2" xfId="0" applyFont="1" applyFill="1" applyBorder="1" applyAlignment="1">
      <alignment horizontal="right" wrapText="1"/>
    </xf>
    <xf numFmtId="0" fontId="41" fillId="0" borderId="2" xfId="0" applyFont="1" applyFill="1" applyBorder="1" applyAlignment="1">
      <alignment wrapText="1"/>
    </xf>
    <xf numFmtId="0" fontId="42" fillId="0" borderId="2" xfId="0" applyFont="1" applyFill="1" applyBorder="1" applyAlignment="1">
      <alignment horizontal="right" wrapText="1"/>
    </xf>
    <xf numFmtId="0" fontId="42" fillId="0" borderId="2" xfId="0" applyFont="1" applyFill="1" applyBorder="1" applyAlignment="1">
      <alignment wrapText="1"/>
    </xf>
    <xf numFmtId="0" fontId="2" fillId="0" borderId="3" xfId="0" applyFont="1" applyBorder="1" applyAlignment="1">
      <alignment horizontal="center" vertical="center"/>
    </xf>
    <xf numFmtId="0" fontId="43" fillId="0" borderId="2" xfId="0" applyFont="1" applyFill="1" applyBorder="1" applyAlignment="1">
      <alignment horizontal="right" wrapText="1"/>
    </xf>
    <xf numFmtId="0" fontId="43" fillId="0" borderId="2" xfId="0" applyFont="1" applyFill="1" applyBorder="1" applyAlignment="1">
      <alignment wrapText="1"/>
    </xf>
    <xf numFmtId="0" fontId="44" fillId="0" borderId="2" xfId="0" applyFont="1" applyFill="1" applyBorder="1" applyAlignment="1">
      <alignment horizontal="right" wrapText="1"/>
    </xf>
    <xf numFmtId="0" fontId="44" fillId="0" borderId="2" xfId="0" applyFont="1" applyFill="1" applyBorder="1" applyAlignment="1">
      <alignment wrapText="1"/>
    </xf>
    <xf numFmtId="0" fontId="3" fillId="0" borderId="3" xfId="0" applyFont="1" applyBorder="1" applyAlignment="1">
      <alignment horizontal="center"/>
    </xf>
    <xf numFmtId="0" fontId="48" fillId="0" borderId="2" xfId="0" applyFont="1" applyFill="1" applyBorder="1" applyAlignment="1">
      <alignment horizontal="right" wrapText="1"/>
    </xf>
    <xf numFmtId="0" fontId="48" fillId="0" borderId="2" xfId="0" applyFont="1" applyFill="1" applyBorder="1" applyAlignment="1">
      <alignment wrapText="1"/>
    </xf>
    <xf numFmtId="0" fontId="49" fillId="0" borderId="2" xfId="0" applyFont="1" applyFill="1" applyBorder="1" applyAlignment="1">
      <alignment horizontal="right" wrapText="1"/>
    </xf>
    <xf numFmtId="0" fontId="49" fillId="0" borderId="2" xfId="0" applyFont="1" applyFill="1" applyBorder="1" applyAlignment="1">
      <alignment wrapText="1"/>
    </xf>
    <xf numFmtId="0" fontId="5" fillId="3" borderId="3" xfId="0" applyFont="1" applyFill="1" applyBorder="1" applyAlignment="1">
      <alignment horizontal="center" vertical="center"/>
    </xf>
    <xf numFmtId="170" fontId="2" fillId="0" borderId="0" xfId="0" applyNumberFormat="1" applyFont="1" applyAlignment="1">
      <alignment vertical="center"/>
    </xf>
    <xf numFmtId="170" fontId="2" fillId="0" borderId="1" xfId="0" applyNumberFormat="1" applyFont="1" applyBorder="1" applyAlignment="1">
      <alignment horizontal="center" vertical="center"/>
    </xf>
    <xf numFmtId="170" fontId="3" fillId="0" borderId="1" xfId="0" applyNumberFormat="1" applyFont="1" applyBorder="1" applyAlignment="1">
      <alignment horizontal="center"/>
    </xf>
    <xf numFmtId="0" fontId="50" fillId="0" borderId="2" xfId="0" applyFont="1" applyFill="1" applyBorder="1" applyAlignment="1">
      <alignment horizontal="right" wrapText="1"/>
    </xf>
    <xf numFmtId="0" fontId="50" fillId="0" borderId="2" xfId="0" applyFont="1" applyFill="1" applyBorder="1" applyAlignment="1">
      <alignment wrapText="1"/>
    </xf>
    <xf numFmtId="0" fontId="51" fillId="0" borderId="2" xfId="0" applyFont="1" applyFill="1" applyBorder="1" applyAlignment="1">
      <alignment horizontal="right" wrapText="1"/>
    </xf>
    <xf numFmtId="0" fontId="51" fillId="0" borderId="2" xfId="0" applyFont="1" applyFill="1" applyBorder="1" applyAlignment="1">
      <alignment wrapText="1"/>
    </xf>
    <xf numFmtId="0" fontId="52" fillId="0" borderId="2" xfId="0" applyFont="1" applyFill="1" applyBorder="1" applyAlignment="1">
      <alignment horizontal="right" wrapText="1"/>
    </xf>
    <xf numFmtId="0" fontId="52" fillId="0" borderId="2" xfId="0" applyFont="1" applyFill="1" applyBorder="1" applyAlignment="1">
      <alignment wrapText="1"/>
    </xf>
    <xf numFmtId="0" fontId="2" fillId="3" borderId="1" xfId="0" applyFont="1" applyFill="1" applyBorder="1" applyAlignment="1">
      <alignment horizontal="left" vertical="center"/>
    </xf>
    <xf numFmtId="0" fontId="53" fillId="0" borderId="2" xfId="0" applyFont="1" applyFill="1" applyBorder="1" applyAlignment="1">
      <alignment wrapText="1"/>
    </xf>
    <xf numFmtId="0" fontId="53" fillId="0" borderId="2" xfId="0" applyFont="1" applyFill="1" applyBorder="1" applyAlignment="1">
      <alignment horizontal="right" wrapText="1"/>
    </xf>
    <xf numFmtId="0" fontId="3" fillId="3" borderId="1" xfId="0" applyFont="1" applyFill="1" applyBorder="1" applyAlignment="1">
      <alignment horizontal="center" vertical="center" wrapText="1"/>
    </xf>
    <xf numFmtId="1" fontId="2" fillId="3" borderId="10" xfId="0" applyNumberFormat="1" applyFont="1" applyFill="1" applyBorder="1" applyAlignment="1">
      <alignment horizontal="center" vertical="center"/>
    </xf>
    <xf numFmtId="170" fontId="2" fillId="0" borderId="0" xfId="0" applyNumberFormat="1" applyFont="1" applyBorder="1" applyAlignment="1">
      <alignment horizontal="center" vertical="center"/>
    </xf>
    <xf numFmtId="0" fontId="58" fillId="0" borderId="2" xfId="0" applyFont="1" applyFill="1" applyBorder="1" applyAlignment="1">
      <alignment horizontal="right" wrapText="1"/>
    </xf>
    <xf numFmtId="0" fontId="58" fillId="0" borderId="2" xfId="0" applyFont="1" applyFill="1" applyBorder="1" applyAlignment="1">
      <alignment wrapText="1"/>
    </xf>
    <xf numFmtId="0" fontId="61" fillId="0" borderId="2" xfId="0" applyFont="1" applyFill="1" applyBorder="1" applyAlignment="1">
      <alignment horizontal="right" wrapText="1"/>
    </xf>
    <xf numFmtId="0" fontId="61" fillId="0" borderId="2" xfId="0" applyFont="1" applyFill="1" applyBorder="1" applyAlignment="1">
      <alignment wrapText="1"/>
    </xf>
    <xf numFmtId="0" fontId="65" fillId="0" borderId="2" xfId="0" applyFont="1" applyFill="1" applyBorder="1" applyAlignment="1">
      <alignment horizontal="right" wrapText="1"/>
    </xf>
    <xf numFmtId="0" fontId="65" fillId="0" borderId="2" xfId="0" applyFont="1" applyFill="1" applyBorder="1" applyAlignment="1">
      <alignment wrapText="1"/>
    </xf>
    <xf numFmtId="16" fontId="2" fillId="3" borderId="1" xfId="0" applyNumberFormat="1" applyFont="1" applyFill="1" applyBorder="1" applyAlignment="1">
      <alignment horizontal="center" vertical="center" wrapText="1"/>
    </xf>
    <xf numFmtId="0" fontId="25" fillId="0" borderId="0" xfId="0" applyFont="1" applyFill="1" applyBorder="1" applyAlignment="1">
      <alignment wrapText="1"/>
    </xf>
    <xf numFmtId="0" fontId="70" fillId="0" borderId="2" xfId="0" applyFont="1" applyFill="1" applyBorder="1" applyAlignment="1">
      <alignment horizontal="right" wrapText="1"/>
    </xf>
    <xf numFmtId="0" fontId="70" fillId="0" borderId="2" xfId="0" applyFont="1" applyFill="1" applyBorder="1" applyAlignment="1">
      <alignment wrapText="1"/>
    </xf>
    <xf numFmtId="0" fontId="72" fillId="0" borderId="2" xfId="0" applyFont="1" applyFill="1" applyBorder="1" applyAlignment="1">
      <alignment horizontal="right" wrapText="1"/>
    </xf>
    <xf numFmtId="0" fontId="72" fillId="0" borderId="2" xfId="0" applyFont="1" applyFill="1" applyBorder="1" applyAlignment="1">
      <alignment wrapText="1"/>
    </xf>
    <xf numFmtId="0" fontId="75" fillId="0" borderId="2" xfId="0" applyFont="1" applyFill="1" applyBorder="1" applyAlignment="1">
      <alignment wrapText="1"/>
    </xf>
    <xf numFmtId="14" fontId="5" fillId="3" borderId="1" xfId="0" applyNumberFormat="1" applyFont="1" applyFill="1" applyBorder="1" applyAlignment="1">
      <alignment horizontal="center" vertical="center" wrapText="1"/>
    </xf>
    <xf numFmtId="0" fontId="77" fillId="0" borderId="2" xfId="0" applyFont="1" applyFill="1" applyBorder="1" applyAlignment="1">
      <alignment horizontal="right" wrapText="1"/>
    </xf>
    <xf numFmtId="0" fontId="77" fillId="0" borderId="2" xfId="0" applyFont="1" applyFill="1" applyBorder="1" applyAlignment="1">
      <alignment wrapText="1"/>
    </xf>
    <xf numFmtId="0" fontId="2" fillId="0" borderId="8" xfId="0" applyFont="1" applyBorder="1" applyAlignment="1">
      <alignment horizontal="center" vertical="center"/>
    </xf>
    <xf numFmtId="14" fontId="2" fillId="3" borderId="1" xfId="0" applyNumberFormat="1" applyFont="1" applyFill="1" applyBorder="1" applyAlignment="1">
      <alignment horizontal="center" vertical="center"/>
    </xf>
    <xf numFmtId="0" fontId="80" fillId="0" borderId="1" xfId="0" applyFont="1" applyBorder="1" applyAlignment="1">
      <alignment vertical="top" wrapText="1"/>
    </xf>
    <xf numFmtId="0" fontId="81" fillId="0" borderId="1" xfId="0" applyFont="1" applyBorder="1" applyAlignment="1">
      <alignment vertical="top" wrapText="1"/>
    </xf>
    <xf numFmtId="0" fontId="67" fillId="0" borderId="0" xfId="0" applyFont="1" applyAlignment="1"/>
    <xf numFmtId="0" fontId="2" fillId="0" borderId="1" xfId="0" applyFont="1" applyFill="1" applyBorder="1" applyAlignment="1">
      <alignment horizontal="left" vertical="center"/>
    </xf>
    <xf numFmtId="167" fontId="2" fillId="0" borderId="1" xfId="0" applyNumberFormat="1" applyFont="1" applyFill="1" applyBorder="1" applyAlignment="1">
      <alignment horizontal="center" vertical="center"/>
    </xf>
    <xf numFmtId="0" fontId="2" fillId="0" borderId="1" xfId="0" applyNumberFormat="1" applyFont="1" applyFill="1" applyBorder="1" applyAlignment="1">
      <alignment horizontal="center" vertical="center"/>
    </xf>
    <xf numFmtId="0" fontId="56" fillId="0" borderId="1" xfId="0" applyFont="1" applyBorder="1" applyAlignment="1"/>
    <xf numFmtId="0" fontId="66" fillId="0" borderId="1" xfId="0" applyFont="1" applyBorder="1" applyAlignment="1"/>
    <xf numFmtId="0" fontId="59" fillId="0" borderId="1" xfId="0" applyFont="1" applyBorder="1" applyAlignment="1"/>
    <xf numFmtId="0" fontId="68" fillId="0" borderId="1" xfId="0" applyFont="1" applyBorder="1" applyAlignment="1"/>
    <xf numFmtId="0" fontId="71" fillId="0" borderId="1" xfId="0" applyFont="1" applyBorder="1" applyAlignment="1"/>
    <xf numFmtId="0" fontId="63" fillId="0" borderId="1" xfId="0" applyFont="1" applyBorder="1" applyAlignment="1"/>
    <xf numFmtId="0" fontId="56" fillId="0" borderId="1" xfId="0" applyFont="1" applyBorder="1" applyAlignment="1">
      <alignment horizontal="left" vertical="center"/>
    </xf>
    <xf numFmtId="0" fontId="57" fillId="0" borderId="1" xfId="0" applyFont="1" applyBorder="1" applyAlignment="1">
      <alignment vertical="center"/>
    </xf>
    <xf numFmtId="0" fontId="64" fillId="0" borderId="1" xfId="0" applyFont="1" applyBorder="1" applyAlignment="1"/>
    <xf numFmtId="0" fontId="59" fillId="0" borderId="1" xfId="0" applyFont="1" applyBorder="1" applyAlignment="1">
      <alignment horizontal="left" vertical="center"/>
    </xf>
    <xf numFmtId="0" fontId="68" fillId="0" borderId="3" xfId="0" applyFont="1" applyBorder="1" applyAlignment="1"/>
    <xf numFmtId="0" fontId="56" fillId="0" borderId="3" xfId="0" applyFont="1" applyBorder="1" applyAlignment="1"/>
    <xf numFmtId="0" fontId="6" fillId="6" borderId="1" xfId="0" applyFont="1" applyFill="1" applyBorder="1" applyAlignment="1">
      <alignment horizontal="left" vertical="center"/>
    </xf>
    <xf numFmtId="167" fontId="2" fillId="6" borderId="1" xfId="0" applyNumberFormat="1" applyFont="1" applyFill="1" applyBorder="1" applyAlignment="1">
      <alignment horizontal="center" vertical="center"/>
    </xf>
    <xf numFmtId="0" fontId="2" fillId="11" borderId="1" xfId="0" applyNumberFormat="1" applyFont="1" applyFill="1" applyBorder="1" applyAlignment="1">
      <alignment horizontal="center" vertical="center"/>
    </xf>
    <xf numFmtId="0" fontId="71" fillId="0" borderId="3" xfId="0" applyFont="1" applyBorder="1" applyAlignment="1"/>
    <xf numFmtId="0" fontId="64" fillId="0" borderId="3" xfId="0" applyFont="1" applyBorder="1" applyAlignment="1"/>
    <xf numFmtId="0" fontId="59" fillId="0" borderId="3" xfId="0" applyFont="1" applyBorder="1" applyAlignment="1"/>
    <xf numFmtId="0" fontId="78" fillId="0" borderId="3" xfId="0" applyFont="1" applyBorder="1" applyAlignment="1"/>
    <xf numFmtId="0" fontId="73" fillId="0" borderId="1" xfId="0" applyFont="1" applyBorder="1" applyAlignment="1">
      <alignment horizontal="left" vertical="center"/>
    </xf>
    <xf numFmtId="0" fontId="2" fillId="0" borderId="0" xfId="0" applyFont="1" applyFill="1" applyBorder="1" applyAlignment="1">
      <alignment horizontal="left" vertical="center"/>
    </xf>
    <xf numFmtId="0" fontId="63" fillId="0" borderId="3" xfId="0" applyFont="1" applyBorder="1" applyAlignment="1"/>
    <xf numFmtId="0" fontId="73" fillId="0" borderId="3" xfId="0" applyFont="1" applyBorder="1" applyAlignment="1"/>
    <xf numFmtId="0" fontId="76" fillId="0" borderId="3" xfId="0" applyFont="1" applyBorder="1" applyAlignment="1"/>
    <xf numFmtId="0" fontId="2" fillId="0" borderId="0" xfId="0" applyFont="1" applyFill="1" applyBorder="1" applyAlignment="1">
      <alignment horizontal="center" vertical="center"/>
    </xf>
    <xf numFmtId="0" fontId="2" fillId="3" borderId="0" xfId="0" applyFont="1" applyFill="1" applyBorder="1" applyAlignment="1">
      <alignment horizontal="left" vertical="center"/>
    </xf>
    <xf numFmtId="1" fontId="10" fillId="8" borderId="1" xfId="0" applyNumberFormat="1" applyFont="1" applyFill="1" applyBorder="1" applyAlignment="1">
      <alignment horizontal="center"/>
    </xf>
    <xf numFmtId="0" fontId="2" fillId="0" borderId="1" xfId="0" applyFont="1" applyBorder="1" applyAlignment="1"/>
    <xf numFmtId="0" fontId="2" fillId="4" borderId="1" xfId="0" applyFont="1" applyFill="1" applyBorder="1" applyAlignment="1">
      <alignment horizontal="left" vertical="center"/>
    </xf>
    <xf numFmtId="0" fontId="14" fillId="0" borderId="1" xfId="0" applyFont="1" applyBorder="1" applyAlignment="1"/>
    <xf numFmtId="0" fontId="15" fillId="0" borderId="1" xfId="0" applyFont="1" applyBorder="1" applyAlignment="1"/>
    <xf numFmtId="0" fontId="2" fillId="0" borderId="8" xfId="0" applyFont="1" applyFill="1" applyBorder="1" applyAlignment="1">
      <alignment horizontal="left" vertical="center"/>
    </xf>
    <xf numFmtId="0" fontId="45" fillId="0" borderId="1" xfId="0" applyFont="1" applyBorder="1" applyAlignment="1"/>
    <xf numFmtId="0" fontId="32" fillId="0" borderId="1" xfId="0" applyFont="1" applyBorder="1" applyAlignment="1"/>
    <xf numFmtId="0" fontId="46" fillId="0" borderId="3" xfId="0" applyFont="1" applyBorder="1" applyAlignment="1"/>
    <xf numFmtId="0" fontId="0" fillId="6" borderId="1" xfId="0" applyFill="1" applyBorder="1" applyAlignment="1"/>
    <xf numFmtId="0" fontId="46" fillId="0" borderId="0" xfId="0" applyFont="1" applyBorder="1" applyAlignment="1"/>
    <xf numFmtId="0" fontId="56" fillId="0" borderId="0" xfId="0" applyFont="1" applyBorder="1" applyAlignment="1"/>
    <xf numFmtId="0" fontId="59" fillId="0" borderId="0" xfId="0" applyFont="1" applyBorder="1" applyAlignment="1"/>
    <xf numFmtId="0" fontId="68" fillId="0" borderId="0" xfId="0" applyFont="1" applyBorder="1" applyAlignment="1"/>
    <xf numFmtId="0" fontId="71" fillId="0" borderId="0" xfId="0" applyFont="1" applyBorder="1" applyAlignment="1"/>
    <xf numFmtId="1" fontId="3" fillId="0" borderId="0" xfId="0" applyNumberFormat="1" applyFont="1" applyAlignment="1"/>
    <xf numFmtId="0" fontId="3" fillId="0" borderId="0" xfId="0" applyFont="1" applyAlignment="1"/>
    <xf numFmtId="0" fontId="3" fillId="0" borderId="0" xfId="0" applyFont="1" applyAlignment="1" applyProtection="1"/>
    <xf numFmtId="167" fontId="3" fillId="0" borderId="0" xfId="0" applyNumberFormat="1" applyFont="1" applyAlignment="1"/>
    <xf numFmtId="0" fontId="3" fillId="0" borderId="0" xfId="0" applyNumberFormat="1" applyFont="1" applyAlignment="1"/>
    <xf numFmtId="9" fontId="3" fillId="0" borderId="0" xfId="0" applyNumberFormat="1" applyFont="1" applyAlignment="1"/>
    <xf numFmtId="6" fontId="3" fillId="0" borderId="0" xfId="0" applyNumberFormat="1" applyFont="1" applyAlignment="1"/>
    <xf numFmtId="170" fontId="3" fillId="0" borderId="0" xfId="0" applyNumberFormat="1" applyFont="1" applyAlignment="1"/>
    <xf numFmtId="0" fontId="3" fillId="4" borderId="1" xfId="0" applyFont="1" applyFill="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3" borderId="1" xfId="0" applyNumberFormat="1" applyFont="1" applyFill="1" applyBorder="1" applyAlignment="1">
      <alignment horizontal="left" vertical="center" wrapText="1"/>
    </xf>
    <xf numFmtId="16" fontId="2" fillId="3" borderId="1" xfId="0" applyNumberFormat="1" applyFont="1" applyFill="1" applyBorder="1" applyAlignment="1">
      <alignment horizontal="left" vertical="center" wrapText="1"/>
    </xf>
    <xf numFmtId="0" fontId="6" fillId="6" borderId="1" xfId="0" applyFont="1" applyFill="1" applyBorder="1" applyAlignment="1">
      <alignment horizontal="left" vertical="center" wrapText="1"/>
    </xf>
    <xf numFmtId="0" fontId="2" fillId="3" borderId="1" xfId="0" applyFont="1" applyFill="1" applyBorder="1" applyAlignment="1">
      <alignment vertical="center" wrapText="1"/>
    </xf>
    <xf numFmtId="0" fontId="3" fillId="3" borderId="1" xfId="0" applyFont="1" applyFill="1" applyBorder="1" applyAlignment="1">
      <alignment vertical="center" wrapText="1"/>
    </xf>
    <xf numFmtId="0" fontId="2" fillId="3" borderId="1" xfId="0" applyFont="1" applyFill="1" applyBorder="1" applyAlignment="1">
      <alignment horizontal="left" wrapText="1"/>
    </xf>
    <xf numFmtId="0" fontId="5" fillId="3" borderId="1" xfId="0" applyFont="1" applyFill="1" applyBorder="1" applyAlignment="1">
      <alignment horizontal="left" wrapText="1"/>
    </xf>
    <xf numFmtId="0" fontId="3" fillId="7" borderId="1" xfId="0" applyFont="1" applyFill="1" applyBorder="1" applyAlignment="1">
      <alignment vertical="center" wrapText="1"/>
    </xf>
    <xf numFmtId="0" fontId="3" fillId="0" borderId="0" xfId="0" applyFont="1" applyAlignment="1">
      <alignment wrapText="1"/>
    </xf>
    <xf numFmtId="1" fontId="3" fillId="4" borderId="1" xfId="0" applyNumberFormat="1" applyFont="1" applyFill="1" applyBorder="1" applyAlignment="1">
      <alignment horizontal="center" wrapText="1"/>
    </xf>
    <xf numFmtId="0" fontId="3" fillId="5" borderId="1" xfId="0" applyFont="1" applyFill="1" applyBorder="1" applyAlignment="1" applyProtection="1">
      <alignment horizontal="center" wrapText="1"/>
    </xf>
    <xf numFmtId="0" fontId="3" fillId="4" borderId="1" xfId="0" applyNumberFormat="1" applyFont="1" applyFill="1" applyBorder="1" applyAlignment="1">
      <alignment horizontal="center" wrapText="1"/>
    </xf>
    <xf numFmtId="9" fontId="3" fillId="0" borderId="1" xfId="0" applyNumberFormat="1" applyFont="1" applyFill="1" applyBorder="1" applyAlignment="1">
      <alignment horizontal="center" wrapText="1"/>
    </xf>
    <xf numFmtId="6" fontId="3" fillId="0" borderId="1" xfId="0" applyNumberFormat="1" applyFont="1" applyFill="1" applyBorder="1" applyAlignment="1">
      <alignment horizontal="center" wrapText="1"/>
    </xf>
    <xf numFmtId="0" fontId="3" fillId="0" borderId="0" xfId="0" applyFont="1" applyAlignment="1">
      <alignment horizontal="center" wrapText="1"/>
    </xf>
    <xf numFmtId="170" fontId="3" fillId="4" borderId="1" xfId="0" applyNumberFormat="1" applyFont="1" applyFill="1" applyBorder="1" applyAlignment="1">
      <alignment horizontal="center" vertical="center" wrapText="1"/>
    </xf>
    <xf numFmtId="0" fontId="2" fillId="0"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2" fillId="0" borderId="0" xfId="0" applyFont="1" applyFill="1" applyBorder="1" applyAlignment="1">
      <alignment horizontal="left" vertical="center" wrapText="1"/>
    </xf>
    <xf numFmtId="0" fontId="2" fillId="4" borderId="1" xfId="0" applyFont="1" applyFill="1" applyBorder="1" applyAlignment="1">
      <alignment horizontal="left" vertical="center" wrapText="1"/>
    </xf>
    <xf numFmtId="0" fontId="78" fillId="0" borderId="1" xfId="0" applyFont="1" applyBorder="1" applyAlignment="1"/>
    <xf numFmtId="0" fontId="85" fillId="0" borderId="0" xfId="0" applyFont="1" applyBorder="1" applyAlignment="1">
      <alignment horizontal="center"/>
    </xf>
    <xf numFmtId="0" fontId="86" fillId="0" borderId="0" xfId="0" applyFont="1" applyBorder="1"/>
    <xf numFmtId="0" fontId="85" fillId="0" borderId="0" xfId="0" applyFont="1" applyAlignment="1">
      <alignment vertical="center"/>
    </xf>
    <xf numFmtId="0" fontId="85" fillId="0" borderId="0" xfId="0" applyFont="1" applyBorder="1"/>
    <xf numFmtId="0" fontId="73" fillId="0" borderId="0" xfId="0" applyFont="1" applyBorder="1" applyAlignment="1"/>
    <xf numFmtId="0" fontId="27" fillId="0" borderId="0" xfId="0" applyFont="1" applyFill="1" applyBorder="1" applyAlignment="1">
      <alignment wrapText="1"/>
    </xf>
    <xf numFmtId="0" fontId="26" fillId="0" borderId="0" xfId="0" applyFont="1" applyFill="1" applyBorder="1" applyAlignment="1">
      <alignment wrapText="1"/>
    </xf>
    <xf numFmtId="0" fontId="32" fillId="0" borderId="2" xfId="0" applyFont="1" applyFill="1" applyBorder="1" applyAlignment="1">
      <alignment wrapText="1"/>
    </xf>
    <xf numFmtId="0" fontId="32" fillId="0" borderId="2" xfId="0" applyFont="1" applyFill="1" applyBorder="1" applyAlignment="1">
      <alignment horizontal="right" wrapText="1"/>
    </xf>
    <xf numFmtId="0" fontId="87" fillId="0" borderId="3" xfId="0" applyFont="1" applyBorder="1"/>
    <xf numFmtId="0" fontId="8" fillId="0" borderId="1" xfId="0" applyFont="1" applyFill="1" applyBorder="1" applyAlignment="1">
      <alignment horizontal="right" wrapText="1"/>
    </xf>
    <xf numFmtId="0" fontId="29" fillId="0" borderId="0" xfId="0" applyFont="1" applyFill="1" applyBorder="1" applyAlignment="1">
      <alignment wrapText="1"/>
    </xf>
    <xf numFmtId="0" fontId="8" fillId="0" borderId="1" xfId="0" applyFont="1" applyFill="1" applyBorder="1" applyAlignment="1">
      <alignment wrapText="1"/>
    </xf>
    <xf numFmtId="0" fontId="28" fillId="0" borderId="0" xfId="0" applyFont="1" applyFill="1" applyBorder="1" applyAlignment="1">
      <alignment wrapText="1"/>
    </xf>
    <xf numFmtId="0" fontId="5" fillId="0" borderId="2" xfId="0" applyFont="1" applyBorder="1" applyAlignment="1">
      <alignment vertical="top" wrapText="1"/>
    </xf>
    <xf numFmtId="0" fontId="25" fillId="0" borderId="2" xfId="0" applyFont="1" applyFill="1" applyBorder="1" applyAlignment="1">
      <alignment wrapText="1"/>
    </xf>
    <xf numFmtId="0" fontId="25" fillId="0" borderId="11" xfId="0" applyFont="1" applyFill="1" applyBorder="1" applyAlignment="1">
      <alignment wrapText="1"/>
    </xf>
    <xf numFmtId="0" fontId="8" fillId="0" borderId="3" xfId="0" applyFont="1" applyFill="1" applyBorder="1" applyAlignment="1">
      <alignment wrapText="1"/>
    </xf>
    <xf numFmtId="0" fontId="69" fillId="0" borderId="0" xfId="0" applyFont="1" applyBorder="1" applyAlignment="1"/>
    <xf numFmtId="0" fontId="87" fillId="0" borderId="1" xfId="0" applyFont="1" applyBorder="1"/>
    <xf numFmtId="169" fontId="2" fillId="0" borderId="0" xfId="0" applyNumberFormat="1" applyFont="1" applyFill="1" applyAlignment="1">
      <alignment wrapText="1"/>
    </xf>
    <xf numFmtId="0" fontId="71" fillId="0" borderId="1" xfId="0" applyFont="1" applyBorder="1" applyAlignment="1">
      <alignment horizontal="left" vertical="center"/>
    </xf>
    <xf numFmtId="0" fontId="76" fillId="0" borderId="1" xfId="0" applyFont="1" applyBorder="1" applyAlignment="1"/>
    <xf numFmtId="0" fontId="73" fillId="0" borderId="1" xfId="0" applyFont="1" applyBorder="1" applyAlignment="1"/>
    <xf numFmtId="171" fontId="2" fillId="3" borderId="1" xfId="0" applyNumberFormat="1" applyFont="1" applyFill="1" applyBorder="1" applyAlignment="1">
      <alignment horizontal="center" vertical="center"/>
    </xf>
    <xf numFmtId="0" fontId="8" fillId="0" borderId="0" xfId="0" applyFont="1" applyFill="1" applyBorder="1" applyAlignment="1">
      <alignment horizontal="right" wrapText="1"/>
    </xf>
    <xf numFmtId="0" fontId="5" fillId="0" borderId="8" xfId="0" applyFont="1" applyBorder="1" applyAlignment="1">
      <alignment vertical="top"/>
    </xf>
    <xf numFmtId="0" fontId="87" fillId="0" borderId="0" xfId="0" applyFont="1" applyBorder="1"/>
    <xf numFmtId="9" fontId="2" fillId="3" borderId="1" xfId="0" applyNumberFormat="1" applyFont="1" applyFill="1" applyBorder="1" applyAlignment="1">
      <alignment horizontal="center" vertical="center" wrapText="1"/>
    </xf>
    <xf numFmtId="0" fontId="66" fillId="0" borderId="0" xfId="0" applyFont="1" applyBorder="1" applyAlignment="1"/>
    <xf numFmtId="16" fontId="5" fillId="3" borderId="1" xfId="0" applyNumberFormat="1" applyFont="1" applyFill="1" applyBorder="1" applyAlignment="1">
      <alignment horizontal="center" vertical="center" wrapText="1"/>
    </xf>
    <xf numFmtId="9" fontId="84" fillId="3" borderId="1" xfId="0" applyNumberFormat="1" applyFont="1" applyFill="1" applyBorder="1" applyAlignment="1">
      <alignment horizontal="center" vertical="center"/>
    </xf>
    <xf numFmtId="0" fontId="56" fillId="0" borderId="0" xfId="0" applyFont="1" applyBorder="1" applyAlignment="1">
      <alignment horizontal="left" vertical="center"/>
    </xf>
    <xf numFmtId="0" fontId="64" fillId="0" borderId="0" xfId="0" applyFont="1" applyBorder="1" applyAlignment="1"/>
    <xf numFmtId="14" fontId="2" fillId="3" borderId="1" xfId="0" applyNumberFormat="1" applyFont="1" applyFill="1" applyBorder="1" applyAlignment="1">
      <alignment horizontal="center" vertical="center" wrapText="1"/>
    </xf>
    <xf numFmtId="13" fontId="2" fillId="3" borderId="1" xfId="0" applyNumberFormat="1" applyFont="1" applyFill="1" applyBorder="1" applyAlignment="1">
      <alignment horizontal="center" vertical="center"/>
    </xf>
    <xf numFmtId="0" fontId="89" fillId="0" borderId="2" xfId="0" applyFont="1" applyFill="1" applyBorder="1" applyAlignment="1">
      <alignment horizontal="right" wrapText="1"/>
    </xf>
    <xf numFmtId="0" fontId="47" fillId="0" borderId="0" xfId="0" applyFont="1" applyBorder="1" applyAlignment="1"/>
    <xf numFmtId="0" fontId="66" fillId="0" borderId="3" xfId="0" applyFont="1" applyBorder="1" applyAlignment="1"/>
    <xf numFmtId="0" fontId="62" fillId="0" borderId="3" xfId="0" applyFont="1" applyBorder="1" applyAlignment="1"/>
    <xf numFmtId="14" fontId="2" fillId="3" borderId="1" xfId="0" applyNumberFormat="1" applyFont="1" applyFill="1" applyBorder="1" applyAlignment="1">
      <alignment vertical="center" wrapText="1"/>
    </xf>
    <xf numFmtId="0" fontId="26" fillId="0" borderId="2" xfId="0" applyFont="1" applyFill="1" applyBorder="1" applyAlignment="1">
      <alignment wrapText="1"/>
    </xf>
    <xf numFmtId="0" fontId="26" fillId="0" borderId="11" xfId="0" applyFont="1" applyFill="1" applyBorder="1" applyAlignment="1">
      <alignment wrapText="1"/>
    </xf>
    <xf numFmtId="0" fontId="5" fillId="0" borderId="0" xfId="0" applyFont="1" applyBorder="1" applyAlignment="1">
      <alignment vertical="top" wrapText="1"/>
    </xf>
    <xf numFmtId="0" fontId="73" fillId="0" borderId="0" xfId="0" applyFont="1" applyBorder="1" applyAlignment="1">
      <alignment horizontal="left" vertical="center"/>
    </xf>
    <xf numFmtId="14" fontId="3" fillId="3" borderId="1" xfId="0" applyNumberFormat="1" applyFont="1" applyFill="1" applyBorder="1" applyAlignment="1">
      <alignment horizontal="center" vertical="top" wrapText="1"/>
    </xf>
    <xf numFmtId="0" fontId="3" fillId="2" borderId="1" xfId="0" applyFont="1" applyFill="1" applyBorder="1" applyAlignment="1">
      <alignment horizontal="center" vertical="center"/>
    </xf>
    <xf numFmtId="0" fontId="12" fillId="2" borderId="1" xfId="0" applyFont="1" applyFill="1" applyBorder="1" applyAlignment="1">
      <alignment horizontal="center" vertical="center"/>
    </xf>
    <xf numFmtId="0" fontId="3" fillId="5" borderId="1"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9" fillId="2" borderId="1" xfId="0" applyFont="1" applyFill="1" applyBorder="1" applyAlignment="1">
      <alignment horizontal="center" vertical="center"/>
    </xf>
  </cellXfs>
  <cellStyles count="12">
    <cellStyle name="Comma 2" xfId="1"/>
    <cellStyle name="Comma 2 2" xfId="2"/>
    <cellStyle name="MIL Currency" xfId="3"/>
    <cellStyle name="MIL Person Months" xfId="4"/>
    <cellStyle name="MIL Score" xfId="5"/>
    <cellStyle name="MIL Unique Reference Number" xfId="6"/>
    <cellStyle name="Normal" xfId="0" builtinId="0"/>
    <cellStyle name="Normal 2" xfId="7"/>
    <cellStyle name="Normal 2 2" xfId="8"/>
    <cellStyle name="Normal 3" xfId="9"/>
    <cellStyle name="Normal 3 2" xfId="10"/>
    <cellStyle name="Normal 4" xfId="11"/>
  </cellStyles>
  <dxfs count="6782">
    <dxf>
      <font>
        <condense val="0"/>
        <extend val="0"/>
        <color indexed="9"/>
      </font>
      <fill>
        <patternFill>
          <bgColor indexed="10"/>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ill>
        <patternFill>
          <bgColor indexed="10"/>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10"/>
      </font>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auto="1"/>
      </font>
      <fill>
        <patternFill>
          <bgColor indexed="13"/>
        </patternFill>
      </fill>
    </dxf>
    <dxf>
      <fill>
        <patternFill>
          <bgColor indexed="13"/>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ill>
        <patternFill>
          <bgColor indexed="13"/>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ill>
        <patternFill>
          <bgColor indexed="13"/>
        </patternFill>
      </fill>
    </dxf>
    <dxf>
      <fill>
        <patternFill>
          <bgColor indexed="13"/>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0"/>
        </patternFill>
      </fill>
    </dxf>
    <dxf>
      <fill>
        <patternFill>
          <bgColor indexed="13"/>
        </patternFill>
      </fill>
    </dxf>
    <dxf>
      <fill>
        <patternFill>
          <bgColor indexed="10"/>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lor theme="0"/>
      </font>
      <fill>
        <patternFill>
          <bgColor rgb="FF0070C0"/>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57"/>
        </patternFill>
      </fill>
    </dxf>
    <dxf>
      <font>
        <condense val="0"/>
        <extend val="0"/>
        <color indexed="9"/>
      </font>
      <fill>
        <patternFill>
          <bgColor indexed="10"/>
        </patternFill>
      </fill>
    </dxf>
    <dxf>
      <font>
        <condense val="0"/>
        <extend val="0"/>
        <color indexed="9"/>
      </font>
      <fill>
        <patternFill>
          <bgColor indexed="57"/>
        </patternFill>
      </fill>
    </dxf>
    <dxf>
      <font>
        <condense val="0"/>
        <extend val="0"/>
        <color indexed="9"/>
      </font>
      <fill>
        <patternFill>
          <bgColor indexed="12"/>
        </patternFill>
      </fill>
    </dxf>
    <dxf>
      <font>
        <condense val="0"/>
        <extend val="0"/>
        <color indexed="9"/>
      </font>
      <fill>
        <patternFill>
          <bgColor indexed="10"/>
        </patternFill>
      </fill>
    </dxf>
    <dxf>
      <font>
        <condense val="0"/>
        <extend val="0"/>
        <color auto="1"/>
      </font>
      <fill>
        <patternFill>
          <bgColor indexed="13"/>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10</xdr:row>
          <xdr:rowOff>47625</xdr:rowOff>
        </xdr:from>
        <xdr:to>
          <xdr:col>2</xdr:col>
          <xdr:colOff>123825</xdr:colOff>
          <xdr:row>14</xdr:row>
          <xdr:rowOff>0</xdr:rowOff>
        </xdr:to>
        <xdr:sp macro="" textlink="">
          <xdr:nvSpPr>
            <xdr:cNvPr id="21612" name="Button 108" hidden="1">
              <a:extLst>
                <a:ext uri="{63B3BB69-23CF-44E3-9099-C40C66FF867C}">
                  <a14:compatExt spid="_x0000_s21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Columns H, K, then 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10</xdr:row>
          <xdr:rowOff>47625</xdr:rowOff>
        </xdr:from>
        <xdr:to>
          <xdr:col>3</xdr:col>
          <xdr:colOff>857250</xdr:colOff>
          <xdr:row>14</xdr:row>
          <xdr:rowOff>9525</xdr:rowOff>
        </xdr:to>
        <xdr:sp macro="" textlink="">
          <xdr:nvSpPr>
            <xdr:cNvPr id="21613" name="Button 109" hidden="1">
              <a:extLst>
                <a:ext uri="{63B3BB69-23CF-44E3-9099-C40C66FF867C}">
                  <a14:compatExt spid="_x0000_s21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 D</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5</xdr:row>
          <xdr:rowOff>57150</xdr:rowOff>
        </xdr:from>
        <xdr:to>
          <xdr:col>6</xdr:col>
          <xdr:colOff>371475</xdr:colOff>
          <xdr:row>7</xdr:row>
          <xdr:rowOff>95250</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 C</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5</xdr:row>
          <xdr:rowOff>19050</xdr:rowOff>
        </xdr:from>
        <xdr:to>
          <xdr:col>5</xdr:col>
          <xdr:colOff>114300</xdr:colOff>
          <xdr:row>7</xdr:row>
          <xdr:rowOff>114300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 </a:t>
              </a:r>
              <a:r>
                <a:rPr lang="en-US" sz="1000" b="0" i="0" u="none" strike="noStrike" baseline="0">
                  <a:solidFill>
                    <a:srgbClr val="000000"/>
                  </a:solidFill>
                  <a:latin typeface="Arial"/>
                  <a:cs typeface="Arial"/>
                </a:rPr>
                <a:t>Columns I then U</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5</xdr:row>
          <xdr:rowOff>57150</xdr:rowOff>
        </xdr:from>
        <xdr:to>
          <xdr:col>7</xdr:col>
          <xdr:colOff>857250</xdr:colOff>
          <xdr:row>7</xdr:row>
          <xdr:rowOff>104775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 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5</xdr:row>
          <xdr:rowOff>38100</xdr:rowOff>
        </xdr:from>
        <xdr:to>
          <xdr:col>3</xdr:col>
          <xdr:colOff>819150</xdr:colOff>
          <xdr:row>8</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Columns G, H, J then I</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923925</xdr:colOff>
          <xdr:row>5</xdr:row>
          <xdr:rowOff>57150</xdr:rowOff>
        </xdr:from>
        <xdr:to>
          <xdr:col>9</xdr:col>
          <xdr:colOff>533400</xdr:colOff>
          <xdr:row>7</xdr:row>
          <xdr:rowOff>114300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Columns J &amp; H</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0</xdr:row>
          <xdr:rowOff>57150</xdr:rowOff>
        </xdr:from>
        <xdr:to>
          <xdr:col>3</xdr:col>
          <xdr:colOff>333375</xdr:colOff>
          <xdr:row>3</xdr:row>
          <xdr:rowOff>28575</xdr:rowOff>
        </xdr:to>
        <xdr:sp macro="" textlink="">
          <xdr:nvSpPr>
            <xdr:cNvPr id="25719" name="Button 119" hidden="1">
              <a:extLst>
                <a:ext uri="{63B3BB69-23CF-44E3-9099-C40C66FF867C}">
                  <a14:compatExt spid="_x0000_s257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Columns E then C</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0</xdr:row>
          <xdr:rowOff>66675</xdr:rowOff>
        </xdr:from>
        <xdr:to>
          <xdr:col>3</xdr:col>
          <xdr:colOff>1647825</xdr:colOff>
          <xdr:row>3</xdr:row>
          <xdr:rowOff>9525</xdr:rowOff>
        </xdr:to>
        <xdr:sp macro="" textlink="">
          <xdr:nvSpPr>
            <xdr:cNvPr id="25720" name="Button 120" hidden="1">
              <a:extLst>
                <a:ext uri="{63B3BB69-23CF-44E3-9099-C40C66FF867C}">
                  <a14:compatExt spid="_x0000_s257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 C</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28575</xdr:rowOff>
        </xdr:from>
        <xdr:to>
          <xdr:col>1</xdr:col>
          <xdr:colOff>476250</xdr:colOff>
          <xdr:row>2</xdr:row>
          <xdr:rowOff>85725</xdr:rowOff>
        </xdr:to>
        <xdr:sp macro="" textlink="">
          <xdr:nvSpPr>
            <xdr:cNvPr id="24592" name="Button 16" hidden="1">
              <a:extLst>
                <a:ext uri="{63B3BB69-23CF-44E3-9099-C40C66FF867C}">
                  <a14:compatExt spid="_x0000_s245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Sort</a:t>
              </a:r>
              <a:r>
                <a:rPr lang="en-US" sz="1000" b="0" i="0" u="none" strike="noStrike" baseline="0">
                  <a:solidFill>
                    <a:srgbClr val="000000"/>
                  </a:solidFill>
                  <a:latin typeface="Arial"/>
                  <a:cs typeface="Arial"/>
                </a:rPr>
                <a:t>: Columns E</a:t>
              </a:r>
              <a:endParaRPr 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Front%20Office\Access%20Database%20Files\Access%20Output%20SPRFs%200503201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DB Impacted SPRFs 05032013"/>
    </sheetNames>
    <sheetDataSet>
      <sheetData sheetId="0" refreshError="1">
        <row r="2">
          <cell r="A2">
            <v>400030288</v>
          </cell>
        </row>
        <row r="3">
          <cell r="A3">
            <v>400031355</v>
          </cell>
        </row>
        <row r="4">
          <cell r="A4">
            <v>400001630</v>
          </cell>
        </row>
        <row r="5">
          <cell r="A5">
            <v>400030954</v>
          </cell>
        </row>
        <row r="6">
          <cell r="A6">
            <v>400051823</v>
          </cell>
        </row>
        <row r="7">
          <cell r="A7">
            <v>400006070</v>
          </cell>
        </row>
        <row r="8">
          <cell r="A8">
            <v>400030799</v>
          </cell>
        </row>
        <row r="9">
          <cell r="A9">
            <v>400052233</v>
          </cell>
        </row>
        <row r="10">
          <cell r="A10">
            <v>400048835</v>
          </cell>
        </row>
        <row r="11">
          <cell r="A11">
            <v>400038788</v>
          </cell>
        </row>
        <row r="12">
          <cell r="A12">
            <v>400041737</v>
          </cell>
        </row>
        <row r="13">
          <cell r="A13">
            <v>400043280</v>
          </cell>
        </row>
        <row r="14">
          <cell r="A14">
            <v>400057023</v>
          </cell>
        </row>
        <row r="15">
          <cell r="A15">
            <v>400000508</v>
          </cell>
        </row>
        <row r="16">
          <cell r="A16">
            <v>400009144</v>
          </cell>
        </row>
        <row r="17">
          <cell r="A17">
            <v>400014596</v>
          </cell>
        </row>
        <row r="18">
          <cell r="A18">
            <v>400049434</v>
          </cell>
        </row>
        <row r="19">
          <cell r="A19">
            <v>400024001</v>
          </cell>
        </row>
        <row r="20">
          <cell r="A20">
            <v>400056887</v>
          </cell>
        </row>
        <row r="21">
          <cell r="A21">
            <v>400041984</v>
          </cell>
        </row>
        <row r="22">
          <cell r="A22">
            <v>400033418</v>
          </cell>
        </row>
        <row r="23">
          <cell r="A23">
            <v>400046355</v>
          </cell>
        </row>
        <row r="24">
          <cell r="A24">
            <v>400056886</v>
          </cell>
        </row>
        <row r="25">
          <cell r="A25">
            <v>400026639</v>
          </cell>
        </row>
        <row r="26">
          <cell r="A26">
            <v>400011813</v>
          </cell>
        </row>
        <row r="27">
          <cell r="A27">
            <v>400008028</v>
          </cell>
        </row>
        <row r="28">
          <cell r="A28">
            <v>400027002</v>
          </cell>
        </row>
        <row r="29">
          <cell r="A29">
            <v>400041330</v>
          </cell>
        </row>
        <row r="30">
          <cell r="A30">
            <v>400031209</v>
          </cell>
        </row>
        <row r="31">
          <cell r="A31">
            <v>400011426</v>
          </cell>
        </row>
        <row r="32">
          <cell r="A32">
            <v>400013422</v>
          </cell>
        </row>
        <row r="33">
          <cell r="A33">
            <v>400022158</v>
          </cell>
        </row>
        <row r="34">
          <cell r="A34">
            <v>400025511</v>
          </cell>
        </row>
        <row r="35">
          <cell r="A35">
            <v>400015751</v>
          </cell>
        </row>
        <row r="36">
          <cell r="A36">
            <v>400028495</v>
          </cell>
        </row>
        <row r="37">
          <cell r="A37">
            <v>400053873</v>
          </cell>
        </row>
        <row r="38">
          <cell r="A38">
            <v>400010145</v>
          </cell>
        </row>
        <row r="39">
          <cell r="A39">
            <v>400054944</v>
          </cell>
        </row>
        <row r="40">
          <cell r="A40">
            <v>400043816</v>
          </cell>
        </row>
        <row r="41">
          <cell r="A41">
            <v>400029089</v>
          </cell>
        </row>
        <row r="42">
          <cell r="A42">
            <v>400032654</v>
          </cell>
        </row>
        <row r="43">
          <cell r="A43">
            <v>400018524</v>
          </cell>
        </row>
        <row r="44">
          <cell r="A44">
            <v>400049904</v>
          </cell>
        </row>
        <row r="45">
          <cell r="A45">
            <v>400007755</v>
          </cell>
        </row>
        <row r="46">
          <cell r="A46">
            <v>400045042</v>
          </cell>
        </row>
        <row r="47">
          <cell r="A47">
            <v>400040764</v>
          </cell>
        </row>
        <row r="48">
          <cell r="A48">
            <v>400039913</v>
          </cell>
        </row>
        <row r="49">
          <cell r="A49">
            <v>400015611</v>
          </cell>
        </row>
        <row r="50">
          <cell r="A50">
            <v>400052576</v>
          </cell>
        </row>
        <row r="51">
          <cell r="A51">
            <v>400053058</v>
          </cell>
        </row>
        <row r="52">
          <cell r="A52">
            <v>400054091</v>
          </cell>
        </row>
        <row r="53">
          <cell r="A53">
            <v>400020307</v>
          </cell>
        </row>
        <row r="54">
          <cell r="A54">
            <v>400033127</v>
          </cell>
        </row>
        <row r="55">
          <cell r="A55">
            <v>400055325</v>
          </cell>
        </row>
        <row r="56">
          <cell r="A56">
            <v>400055999</v>
          </cell>
        </row>
        <row r="57">
          <cell r="A57">
            <v>400037013</v>
          </cell>
        </row>
        <row r="58">
          <cell r="A58">
            <v>400006567</v>
          </cell>
        </row>
        <row r="59">
          <cell r="A59">
            <v>400048402</v>
          </cell>
        </row>
        <row r="60">
          <cell r="A60">
            <v>400002030</v>
          </cell>
        </row>
        <row r="61">
          <cell r="A61">
            <v>400028576</v>
          </cell>
        </row>
        <row r="62">
          <cell r="A62">
            <v>400024137</v>
          </cell>
        </row>
        <row r="63">
          <cell r="A63">
            <v>400059236</v>
          </cell>
        </row>
        <row r="64">
          <cell r="A64">
            <v>400046205</v>
          </cell>
        </row>
        <row r="65">
          <cell r="A65">
            <v>400020808</v>
          </cell>
        </row>
        <row r="66">
          <cell r="A66">
            <v>400015510</v>
          </cell>
        </row>
        <row r="67">
          <cell r="A67">
            <v>400009141</v>
          </cell>
        </row>
        <row r="68">
          <cell r="A68">
            <v>400054992</v>
          </cell>
        </row>
        <row r="69">
          <cell r="A69">
            <v>400046616</v>
          </cell>
        </row>
        <row r="70">
          <cell r="A70">
            <v>400026974</v>
          </cell>
        </row>
        <row r="71">
          <cell r="A71">
            <v>400049826</v>
          </cell>
        </row>
        <row r="72">
          <cell r="A72">
            <v>400008742</v>
          </cell>
        </row>
        <row r="73">
          <cell r="A73">
            <v>400040729</v>
          </cell>
        </row>
        <row r="74">
          <cell r="A74">
            <v>400024121</v>
          </cell>
        </row>
        <row r="75">
          <cell r="A75">
            <v>400045842</v>
          </cell>
        </row>
        <row r="76">
          <cell r="A76">
            <v>400046103</v>
          </cell>
        </row>
        <row r="77">
          <cell r="A77">
            <v>400040075</v>
          </cell>
        </row>
        <row r="78">
          <cell r="A78">
            <v>400050744</v>
          </cell>
        </row>
        <row r="79">
          <cell r="A79">
            <v>400015441</v>
          </cell>
        </row>
        <row r="80">
          <cell r="A80">
            <v>400019663</v>
          </cell>
        </row>
        <row r="81">
          <cell r="A81">
            <v>400049798</v>
          </cell>
        </row>
        <row r="82">
          <cell r="A82">
            <v>400047192</v>
          </cell>
        </row>
        <row r="83">
          <cell r="A83">
            <v>400052259</v>
          </cell>
        </row>
        <row r="84">
          <cell r="A84">
            <v>400055987</v>
          </cell>
        </row>
        <row r="85">
          <cell r="A85">
            <v>400008351</v>
          </cell>
        </row>
        <row r="86">
          <cell r="A86">
            <v>400001117</v>
          </cell>
        </row>
        <row r="87">
          <cell r="A87">
            <v>400024295</v>
          </cell>
        </row>
        <row r="88">
          <cell r="A88">
            <v>400008571</v>
          </cell>
        </row>
        <row r="89">
          <cell r="A89">
            <v>400041390</v>
          </cell>
        </row>
        <row r="90">
          <cell r="A90">
            <v>400052244</v>
          </cell>
        </row>
        <row r="91">
          <cell r="A91">
            <v>400036303</v>
          </cell>
        </row>
        <row r="92">
          <cell r="A92">
            <v>400036184</v>
          </cell>
        </row>
        <row r="93">
          <cell r="A93">
            <v>400016845</v>
          </cell>
        </row>
        <row r="94">
          <cell r="A94">
            <v>400053451</v>
          </cell>
        </row>
        <row r="95">
          <cell r="A95">
            <v>400002320</v>
          </cell>
        </row>
        <row r="96">
          <cell r="A96">
            <v>400055211</v>
          </cell>
        </row>
        <row r="97">
          <cell r="A97">
            <v>400039622</v>
          </cell>
        </row>
        <row r="98">
          <cell r="A98">
            <v>400008339</v>
          </cell>
        </row>
        <row r="99">
          <cell r="A99">
            <v>400013458</v>
          </cell>
        </row>
        <row r="100">
          <cell r="A100">
            <v>400056183</v>
          </cell>
        </row>
        <row r="101">
          <cell r="A101">
            <v>400059234</v>
          </cell>
        </row>
        <row r="102">
          <cell r="A102">
            <v>400004549</v>
          </cell>
        </row>
        <row r="103">
          <cell r="A103">
            <v>400054686</v>
          </cell>
        </row>
        <row r="104">
          <cell r="A104">
            <v>400052357</v>
          </cell>
        </row>
        <row r="105">
          <cell r="A105">
            <v>400036284</v>
          </cell>
        </row>
        <row r="106">
          <cell r="A106">
            <v>400051510</v>
          </cell>
        </row>
        <row r="107">
          <cell r="A107">
            <v>400040360</v>
          </cell>
        </row>
        <row r="108">
          <cell r="A108">
            <v>400005906</v>
          </cell>
        </row>
        <row r="109">
          <cell r="A109">
            <v>400034709</v>
          </cell>
        </row>
        <row r="110">
          <cell r="A110">
            <v>400044331</v>
          </cell>
        </row>
        <row r="111">
          <cell r="A111">
            <v>400033231</v>
          </cell>
        </row>
        <row r="112">
          <cell r="A112">
            <v>400057743</v>
          </cell>
        </row>
        <row r="113">
          <cell r="A113">
            <v>400004368</v>
          </cell>
        </row>
        <row r="114">
          <cell r="A114">
            <v>400051518</v>
          </cell>
        </row>
        <row r="115">
          <cell r="A115">
            <v>400008017</v>
          </cell>
        </row>
        <row r="116">
          <cell r="A116">
            <v>400013376</v>
          </cell>
        </row>
        <row r="117">
          <cell r="A117">
            <v>400053155</v>
          </cell>
        </row>
        <row r="118">
          <cell r="A118">
            <v>400052076</v>
          </cell>
        </row>
        <row r="119">
          <cell r="A119">
            <v>400040568</v>
          </cell>
        </row>
        <row r="120">
          <cell r="A120">
            <v>400019706</v>
          </cell>
        </row>
        <row r="121">
          <cell r="A121">
            <v>400029470</v>
          </cell>
        </row>
        <row r="122">
          <cell r="A122">
            <v>400046739</v>
          </cell>
        </row>
        <row r="123">
          <cell r="A123">
            <v>400051135</v>
          </cell>
        </row>
        <row r="124">
          <cell r="A124">
            <v>400047877</v>
          </cell>
        </row>
        <row r="125">
          <cell r="A125">
            <v>400014745</v>
          </cell>
        </row>
        <row r="126">
          <cell r="A126">
            <v>400009454</v>
          </cell>
        </row>
        <row r="127">
          <cell r="A127">
            <v>400015305</v>
          </cell>
        </row>
        <row r="128">
          <cell r="A128">
            <v>400059714</v>
          </cell>
        </row>
        <row r="129">
          <cell r="A129">
            <v>400013208</v>
          </cell>
        </row>
        <row r="130">
          <cell r="A130">
            <v>400043969</v>
          </cell>
        </row>
        <row r="131">
          <cell r="A131">
            <v>400008020</v>
          </cell>
        </row>
        <row r="132">
          <cell r="A132">
            <v>400013226</v>
          </cell>
        </row>
        <row r="133">
          <cell r="A133">
            <v>400033793</v>
          </cell>
        </row>
        <row r="134">
          <cell r="A134">
            <v>400014509</v>
          </cell>
        </row>
        <row r="135">
          <cell r="A135">
            <v>400010635</v>
          </cell>
        </row>
        <row r="136">
          <cell r="A136">
            <v>400006758</v>
          </cell>
        </row>
        <row r="137">
          <cell r="A137">
            <v>400058053</v>
          </cell>
        </row>
        <row r="138">
          <cell r="A138">
            <v>400055633</v>
          </cell>
        </row>
        <row r="139">
          <cell r="A139">
            <v>400049159</v>
          </cell>
        </row>
        <row r="140">
          <cell r="A140">
            <v>400052614</v>
          </cell>
        </row>
        <row r="141">
          <cell r="A141">
            <v>400016644</v>
          </cell>
        </row>
        <row r="142">
          <cell r="A142">
            <v>400052093</v>
          </cell>
        </row>
        <row r="143">
          <cell r="A143">
            <v>400017806</v>
          </cell>
        </row>
        <row r="144">
          <cell r="A144">
            <v>400049736</v>
          </cell>
        </row>
        <row r="145">
          <cell r="A145">
            <v>400040395</v>
          </cell>
        </row>
        <row r="146">
          <cell r="A146">
            <v>400047648</v>
          </cell>
        </row>
        <row r="147">
          <cell r="A147">
            <v>400008023</v>
          </cell>
        </row>
        <row r="148">
          <cell r="A148">
            <v>400054322</v>
          </cell>
        </row>
        <row r="149">
          <cell r="A149">
            <v>400041452</v>
          </cell>
        </row>
        <row r="150">
          <cell r="A150">
            <v>400010721</v>
          </cell>
        </row>
        <row r="151">
          <cell r="A151">
            <v>400014925</v>
          </cell>
        </row>
        <row r="152">
          <cell r="A152">
            <v>400046441</v>
          </cell>
        </row>
        <row r="153">
          <cell r="A153">
            <v>400058409</v>
          </cell>
        </row>
        <row r="154">
          <cell r="A154">
            <v>400052619</v>
          </cell>
        </row>
        <row r="155">
          <cell r="A155">
            <v>400057121</v>
          </cell>
        </row>
        <row r="156">
          <cell r="A156">
            <v>400050350</v>
          </cell>
        </row>
        <row r="157">
          <cell r="A157">
            <v>400049365</v>
          </cell>
        </row>
        <row r="158">
          <cell r="A158">
            <v>400055564</v>
          </cell>
        </row>
        <row r="159">
          <cell r="A159">
            <v>400008016</v>
          </cell>
        </row>
        <row r="160">
          <cell r="A160">
            <v>400006014</v>
          </cell>
        </row>
        <row r="161">
          <cell r="A161">
            <v>400051297</v>
          </cell>
        </row>
        <row r="162">
          <cell r="A162">
            <v>400021916</v>
          </cell>
        </row>
        <row r="163">
          <cell r="A163">
            <v>400058609</v>
          </cell>
        </row>
        <row r="164">
          <cell r="A164">
            <v>400044868</v>
          </cell>
        </row>
        <row r="165">
          <cell r="A165">
            <v>400050867</v>
          </cell>
        </row>
        <row r="166">
          <cell r="A166">
            <v>400054266</v>
          </cell>
        </row>
        <row r="167">
          <cell r="A167">
            <v>400003836</v>
          </cell>
        </row>
        <row r="168">
          <cell r="A168">
            <v>400041805</v>
          </cell>
        </row>
        <row r="169">
          <cell r="A169">
            <v>400056838</v>
          </cell>
        </row>
        <row r="170">
          <cell r="A170">
            <v>400033120</v>
          </cell>
        </row>
        <row r="171">
          <cell r="A171">
            <v>400055534</v>
          </cell>
        </row>
        <row r="172">
          <cell r="A172">
            <v>400001912</v>
          </cell>
        </row>
        <row r="173">
          <cell r="A173">
            <v>400004494</v>
          </cell>
        </row>
        <row r="174">
          <cell r="A174">
            <v>400054326</v>
          </cell>
        </row>
        <row r="175">
          <cell r="A175">
            <v>400048108</v>
          </cell>
        </row>
        <row r="176">
          <cell r="A176">
            <v>400040896</v>
          </cell>
        </row>
        <row r="177">
          <cell r="A177">
            <v>400059537</v>
          </cell>
        </row>
        <row r="178">
          <cell r="A178">
            <v>400033121</v>
          </cell>
        </row>
        <row r="179">
          <cell r="A179">
            <v>400022471</v>
          </cell>
        </row>
        <row r="180">
          <cell r="A180">
            <v>400043075</v>
          </cell>
        </row>
        <row r="181">
          <cell r="A181">
            <v>400040033</v>
          </cell>
        </row>
        <row r="182">
          <cell r="A182">
            <v>400012996</v>
          </cell>
        </row>
        <row r="183">
          <cell r="A183">
            <v>400042323</v>
          </cell>
        </row>
        <row r="184">
          <cell r="A184">
            <v>400033431</v>
          </cell>
        </row>
        <row r="185">
          <cell r="A185">
            <v>400027649</v>
          </cell>
        </row>
        <row r="186">
          <cell r="A186">
            <v>400003192</v>
          </cell>
        </row>
        <row r="187">
          <cell r="A187">
            <v>400046667</v>
          </cell>
        </row>
        <row r="188">
          <cell r="A188">
            <v>400012858</v>
          </cell>
        </row>
        <row r="189">
          <cell r="A189">
            <v>400017474</v>
          </cell>
        </row>
        <row r="190">
          <cell r="A190">
            <v>400038388</v>
          </cell>
        </row>
        <row r="191">
          <cell r="A191">
            <v>400039290</v>
          </cell>
        </row>
        <row r="192">
          <cell r="A192">
            <v>400047477</v>
          </cell>
        </row>
        <row r="193">
          <cell r="A193">
            <v>400057864</v>
          </cell>
        </row>
        <row r="194">
          <cell r="A194">
            <v>400047130</v>
          </cell>
        </row>
        <row r="195">
          <cell r="A195">
            <v>400010930</v>
          </cell>
        </row>
        <row r="196">
          <cell r="A196">
            <v>400025619</v>
          </cell>
        </row>
        <row r="197">
          <cell r="A197">
            <v>400022538</v>
          </cell>
        </row>
        <row r="198">
          <cell r="A198">
            <v>400008078</v>
          </cell>
        </row>
        <row r="199">
          <cell r="A199">
            <v>400024127</v>
          </cell>
        </row>
        <row r="200">
          <cell r="A200">
            <v>400041331</v>
          </cell>
        </row>
        <row r="201">
          <cell r="A201">
            <v>400058170</v>
          </cell>
        </row>
        <row r="202">
          <cell r="A202">
            <v>400011181</v>
          </cell>
        </row>
        <row r="203">
          <cell r="A203">
            <v>400002409</v>
          </cell>
        </row>
        <row r="204">
          <cell r="A204">
            <v>400021649</v>
          </cell>
        </row>
        <row r="205">
          <cell r="A205">
            <v>400007446</v>
          </cell>
        </row>
        <row r="206">
          <cell r="A206">
            <v>400005810</v>
          </cell>
        </row>
        <row r="207">
          <cell r="A207">
            <v>400027647</v>
          </cell>
        </row>
        <row r="208">
          <cell r="A208">
            <v>400004400</v>
          </cell>
        </row>
        <row r="209">
          <cell r="A209">
            <v>400040541</v>
          </cell>
        </row>
        <row r="210">
          <cell r="A210">
            <v>400029465</v>
          </cell>
        </row>
        <row r="211">
          <cell r="A211">
            <v>400059802</v>
          </cell>
        </row>
        <row r="212">
          <cell r="A212">
            <v>400003692</v>
          </cell>
        </row>
        <row r="213">
          <cell r="A213">
            <v>400051695</v>
          </cell>
        </row>
        <row r="214">
          <cell r="A214">
            <v>400011485</v>
          </cell>
        </row>
        <row r="215">
          <cell r="A215">
            <v>400033123</v>
          </cell>
        </row>
        <row r="216">
          <cell r="A216">
            <v>400023532</v>
          </cell>
        </row>
        <row r="217">
          <cell r="A217">
            <v>400009995</v>
          </cell>
        </row>
        <row r="218">
          <cell r="A218">
            <v>400051327</v>
          </cell>
        </row>
        <row r="219">
          <cell r="A219">
            <v>400008843</v>
          </cell>
        </row>
        <row r="220">
          <cell r="A220">
            <v>400029463</v>
          </cell>
        </row>
        <row r="221">
          <cell r="A221">
            <v>400011786</v>
          </cell>
        </row>
        <row r="222">
          <cell r="A222">
            <v>400057364</v>
          </cell>
        </row>
        <row r="223">
          <cell r="A223">
            <v>400047206</v>
          </cell>
        </row>
        <row r="224">
          <cell r="A224">
            <v>400024646</v>
          </cell>
        </row>
        <row r="225">
          <cell r="A225">
            <v>400003084</v>
          </cell>
        </row>
        <row r="226">
          <cell r="A226">
            <v>400023653</v>
          </cell>
        </row>
        <row r="227">
          <cell r="A227">
            <v>400048069</v>
          </cell>
        </row>
        <row r="228">
          <cell r="A228">
            <v>400052210</v>
          </cell>
        </row>
        <row r="229">
          <cell r="A229">
            <v>400001699</v>
          </cell>
        </row>
        <row r="230">
          <cell r="A230">
            <v>400029853</v>
          </cell>
        </row>
        <row r="231">
          <cell r="A231">
            <v>400007827</v>
          </cell>
        </row>
        <row r="232">
          <cell r="A232">
            <v>400042525</v>
          </cell>
        </row>
        <row r="233">
          <cell r="A233">
            <v>400030888</v>
          </cell>
        </row>
        <row r="234">
          <cell r="A234">
            <v>400008169</v>
          </cell>
        </row>
        <row r="235">
          <cell r="A235">
            <v>400028715</v>
          </cell>
        </row>
        <row r="236">
          <cell r="A236">
            <v>400032323</v>
          </cell>
        </row>
        <row r="237">
          <cell r="A237">
            <v>400027391</v>
          </cell>
        </row>
        <row r="238">
          <cell r="A238">
            <v>400009828</v>
          </cell>
        </row>
        <row r="239">
          <cell r="A239">
            <v>400041255</v>
          </cell>
        </row>
        <row r="240">
          <cell r="A240">
            <v>400005716</v>
          </cell>
        </row>
        <row r="241">
          <cell r="A241">
            <v>400007579</v>
          </cell>
        </row>
        <row r="242">
          <cell r="A242">
            <v>400030959</v>
          </cell>
        </row>
        <row r="243">
          <cell r="A243">
            <v>400016578</v>
          </cell>
        </row>
        <row r="244">
          <cell r="A244">
            <v>400051856</v>
          </cell>
        </row>
        <row r="245">
          <cell r="A245">
            <v>400021850</v>
          </cell>
        </row>
        <row r="246">
          <cell r="A246">
            <v>400033827</v>
          </cell>
        </row>
        <row r="247">
          <cell r="A247">
            <v>400043458</v>
          </cell>
        </row>
        <row r="248">
          <cell r="A248">
            <v>400028253</v>
          </cell>
        </row>
        <row r="249">
          <cell r="A249">
            <v>400033128</v>
          </cell>
        </row>
        <row r="250">
          <cell r="A250">
            <v>400028796</v>
          </cell>
        </row>
        <row r="251">
          <cell r="A251">
            <v>400051694</v>
          </cell>
        </row>
        <row r="252">
          <cell r="A252">
            <v>400052290</v>
          </cell>
        </row>
        <row r="253">
          <cell r="A253">
            <v>400006105</v>
          </cell>
        </row>
        <row r="254">
          <cell r="A254">
            <v>400019600</v>
          </cell>
        </row>
        <row r="255">
          <cell r="A255">
            <v>400030150</v>
          </cell>
        </row>
        <row r="256">
          <cell r="A256">
            <v>400051315</v>
          </cell>
        </row>
        <row r="257">
          <cell r="A257">
            <v>400020317</v>
          </cell>
        </row>
        <row r="258">
          <cell r="A258">
            <v>400056494</v>
          </cell>
        </row>
        <row r="259">
          <cell r="A259">
            <v>400025395</v>
          </cell>
        </row>
        <row r="260">
          <cell r="A260">
            <v>400009865</v>
          </cell>
        </row>
        <row r="261">
          <cell r="A261">
            <v>400043329</v>
          </cell>
        </row>
        <row r="262">
          <cell r="A262">
            <v>400058776</v>
          </cell>
        </row>
        <row r="263">
          <cell r="A263">
            <v>400037865</v>
          </cell>
        </row>
        <row r="264">
          <cell r="A264">
            <v>400045320</v>
          </cell>
        </row>
        <row r="265">
          <cell r="A265">
            <v>400045060</v>
          </cell>
        </row>
        <row r="266">
          <cell r="A266">
            <v>400046041</v>
          </cell>
        </row>
        <row r="267">
          <cell r="A267">
            <v>400004056</v>
          </cell>
        </row>
        <row r="268">
          <cell r="A268">
            <v>400012680</v>
          </cell>
        </row>
        <row r="269">
          <cell r="A269">
            <v>400033448</v>
          </cell>
        </row>
        <row r="270">
          <cell r="A270">
            <v>400054724</v>
          </cell>
        </row>
        <row r="271">
          <cell r="A271">
            <v>400013438</v>
          </cell>
        </row>
        <row r="272">
          <cell r="A272">
            <v>400019683</v>
          </cell>
        </row>
        <row r="273">
          <cell r="A273">
            <v>400057589</v>
          </cell>
        </row>
        <row r="274">
          <cell r="A274">
            <v>400043195</v>
          </cell>
        </row>
        <row r="275">
          <cell r="A275">
            <v>400050155</v>
          </cell>
        </row>
        <row r="276">
          <cell r="A276">
            <v>400028872</v>
          </cell>
        </row>
        <row r="277">
          <cell r="A277">
            <v>400026683</v>
          </cell>
        </row>
        <row r="278">
          <cell r="A278">
            <v>400040917</v>
          </cell>
        </row>
        <row r="279">
          <cell r="A279">
            <v>400033125</v>
          </cell>
        </row>
        <row r="280">
          <cell r="A280">
            <v>400051811</v>
          </cell>
        </row>
        <row r="281">
          <cell r="A281">
            <v>400012753</v>
          </cell>
        </row>
        <row r="282">
          <cell r="A282">
            <v>400053883</v>
          </cell>
        </row>
        <row r="283">
          <cell r="A283">
            <v>400014830</v>
          </cell>
        </row>
        <row r="284">
          <cell r="A284">
            <v>400056052</v>
          </cell>
        </row>
        <row r="285">
          <cell r="A285">
            <v>400016029</v>
          </cell>
        </row>
        <row r="286">
          <cell r="A286">
            <v>400044784</v>
          </cell>
        </row>
        <row r="287">
          <cell r="A287">
            <v>400003809</v>
          </cell>
        </row>
        <row r="288">
          <cell r="A288">
            <v>400025286</v>
          </cell>
        </row>
        <row r="289">
          <cell r="A289">
            <v>400048111</v>
          </cell>
        </row>
        <row r="290">
          <cell r="A290">
            <v>400042999</v>
          </cell>
        </row>
        <row r="291">
          <cell r="A291">
            <v>400027910</v>
          </cell>
        </row>
        <row r="292">
          <cell r="A292">
            <v>400056929</v>
          </cell>
        </row>
        <row r="293">
          <cell r="A293">
            <v>400021154</v>
          </cell>
        </row>
        <row r="294">
          <cell r="A294">
            <v>400048088</v>
          </cell>
        </row>
        <row r="295">
          <cell r="A295">
            <v>400019723</v>
          </cell>
        </row>
        <row r="296">
          <cell r="A296">
            <v>400009823</v>
          </cell>
        </row>
        <row r="297">
          <cell r="A297">
            <v>400008171</v>
          </cell>
        </row>
        <row r="298">
          <cell r="A298">
            <v>400015827</v>
          </cell>
        </row>
        <row r="299">
          <cell r="A299">
            <v>400053591</v>
          </cell>
        </row>
        <row r="300">
          <cell r="A300">
            <v>400013334</v>
          </cell>
        </row>
        <row r="301">
          <cell r="A301">
            <v>400020440</v>
          </cell>
        </row>
        <row r="302">
          <cell r="A302">
            <v>400034904</v>
          </cell>
        </row>
        <row r="303">
          <cell r="A303">
            <v>400009842</v>
          </cell>
        </row>
        <row r="304">
          <cell r="A304">
            <v>400046538</v>
          </cell>
        </row>
        <row r="305">
          <cell r="A305">
            <v>400038313</v>
          </cell>
        </row>
        <row r="306">
          <cell r="A306">
            <v>400034700</v>
          </cell>
        </row>
        <row r="307">
          <cell r="A307">
            <v>400008074</v>
          </cell>
        </row>
        <row r="308">
          <cell r="A308">
            <v>400028333</v>
          </cell>
        </row>
        <row r="309">
          <cell r="A309">
            <v>400018543</v>
          </cell>
        </row>
        <row r="310">
          <cell r="A310">
            <v>400026847</v>
          </cell>
        </row>
        <row r="311">
          <cell r="A311">
            <v>400055462</v>
          </cell>
        </row>
        <row r="312">
          <cell r="A312">
            <v>400012190</v>
          </cell>
        </row>
        <row r="313">
          <cell r="A313">
            <v>400058912</v>
          </cell>
        </row>
        <row r="314">
          <cell r="A314">
            <v>400018188</v>
          </cell>
        </row>
        <row r="315">
          <cell r="A315">
            <v>400038885</v>
          </cell>
        </row>
        <row r="316">
          <cell r="A316">
            <v>400055879</v>
          </cell>
        </row>
        <row r="317">
          <cell r="A317">
            <v>400045814</v>
          </cell>
        </row>
        <row r="318">
          <cell r="A318">
            <v>400000585</v>
          </cell>
        </row>
        <row r="319">
          <cell r="A319">
            <v>400019199</v>
          </cell>
        </row>
        <row r="320">
          <cell r="A320">
            <v>400055538</v>
          </cell>
        </row>
        <row r="321">
          <cell r="A321">
            <v>400051668</v>
          </cell>
        </row>
        <row r="322">
          <cell r="A322">
            <v>400034796</v>
          </cell>
        </row>
        <row r="323">
          <cell r="A323">
            <v>110311056</v>
          </cell>
        </row>
        <row r="324">
          <cell r="A324">
            <v>400031409</v>
          </cell>
        </row>
        <row r="325">
          <cell r="A325">
            <v>400048200</v>
          </cell>
        </row>
        <row r="326">
          <cell r="A326">
            <v>400013849</v>
          </cell>
        </row>
        <row r="327">
          <cell r="A327">
            <v>400007336</v>
          </cell>
        </row>
        <row r="328">
          <cell r="A328">
            <v>400013382</v>
          </cell>
        </row>
        <row r="329">
          <cell r="A329">
            <v>400016889</v>
          </cell>
        </row>
        <row r="330">
          <cell r="A330">
            <v>400014790</v>
          </cell>
        </row>
        <row r="331">
          <cell r="A331">
            <v>400015308</v>
          </cell>
        </row>
        <row r="332">
          <cell r="A332">
            <v>400014951</v>
          </cell>
        </row>
        <row r="333">
          <cell r="A333">
            <v>400055505</v>
          </cell>
        </row>
        <row r="334">
          <cell r="A334">
            <v>400007728</v>
          </cell>
        </row>
        <row r="335">
          <cell r="A335">
            <v>400055895</v>
          </cell>
        </row>
        <row r="336">
          <cell r="A336">
            <v>400027519</v>
          </cell>
        </row>
        <row r="337">
          <cell r="A337">
            <v>400044701</v>
          </cell>
        </row>
        <row r="338">
          <cell r="A338">
            <v>400047560</v>
          </cell>
        </row>
        <row r="339">
          <cell r="A339">
            <v>400056297</v>
          </cell>
        </row>
        <row r="340">
          <cell r="A340">
            <v>400006895</v>
          </cell>
        </row>
        <row r="341">
          <cell r="A341">
            <v>400027069</v>
          </cell>
        </row>
        <row r="342">
          <cell r="A342">
            <v>400038267</v>
          </cell>
        </row>
        <row r="343">
          <cell r="A343">
            <v>400057078</v>
          </cell>
        </row>
        <row r="344">
          <cell r="A344">
            <v>400022824</v>
          </cell>
        </row>
        <row r="345">
          <cell r="A345">
            <v>400044833</v>
          </cell>
        </row>
        <row r="346">
          <cell r="A346">
            <v>400007365</v>
          </cell>
        </row>
        <row r="347">
          <cell r="A347">
            <v>400049341</v>
          </cell>
        </row>
        <row r="348">
          <cell r="A348">
            <v>400056873</v>
          </cell>
        </row>
        <row r="349">
          <cell r="A349">
            <v>400044152</v>
          </cell>
        </row>
        <row r="350">
          <cell r="A350">
            <v>400008163</v>
          </cell>
        </row>
        <row r="351">
          <cell r="A351">
            <v>400039471</v>
          </cell>
        </row>
        <row r="352">
          <cell r="A352">
            <v>400054730</v>
          </cell>
        </row>
        <row r="353">
          <cell r="A353">
            <v>400031125</v>
          </cell>
        </row>
        <row r="354">
          <cell r="A354">
            <v>400035939</v>
          </cell>
        </row>
        <row r="355">
          <cell r="A355">
            <v>400010394</v>
          </cell>
        </row>
        <row r="356">
          <cell r="A356">
            <v>400043000</v>
          </cell>
        </row>
        <row r="357">
          <cell r="A357">
            <v>400051451</v>
          </cell>
        </row>
        <row r="358">
          <cell r="A358">
            <v>400000165</v>
          </cell>
        </row>
        <row r="359">
          <cell r="A359">
            <v>400018385</v>
          </cell>
        </row>
        <row r="360">
          <cell r="A360">
            <v>400052510</v>
          </cell>
        </row>
        <row r="361">
          <cell r="A361">
            <v>400015312</v>
          </cell>
        </row>
        <row r="362">
          <cell r="A362">
            <v>400030396</v>
          </cell>
        </row>
        <row r="363">
          <cell r="A363">
            <v>400009592</v>
          </cell>
        </row>
        <row r="364">
          <cell r="A364">
            <v>400055976</v>
          </cell>
        </row>
        <row r="365">
          <cell r="A365">
            <v>400058173</v>
          </cell>
        </row>
        <row r="366">
          <cell r="A366">
            <v>400048660</v>
          </cell>
        </row>
        <row r="367">
          <cell r="A367">
            <v>400045957</v>
          </cell>
        </row>
        <row r="368">
          <cell r="A368">
            <v>400046032</v>
          </cell>
        </row>
        <row r="369">
          <cell r="A369">
            <v>400022993</v>
          </cell>
        </row>
        <row r="370">
          <cell r="A370">
            <v>400038122</v>
          </cell>
        </row>
        <row r="371">
          <cell r="A371">
            <v>400027439</v>
          </cell>
        </row>
        <row r="372">
          <cell r="A372">
            <v>400055779</v>
          </cell>
        </row>
        <row r="373">
          <cell r="A373">
            <v>400007903</v>
          </cell>
        </row>
        <row r="374">
          <cell r="A374">
            <v>400022906</v>
          </cell>
        </row>
        <row r="375">
          <cell r="A375">
            <v>400029455</v>
          </cell>
        </row>
        <row r="376">
          <cell r="A376">
            <v>400044956</v>
          </cell>
        </row>
        <row r="377">
          <cell r="A377">
            <v>400048140</v>
          </cell>
        </row>
        <row r="378">
          <cell r="A378">
            <v>400004055</v>
          </cell>
        </row>
        <row r="379">
          <cell r="A379">
            <v>400043123</v>
          </cell>
        </row>
        <row r="380">
          <cell r="A380">
            <v>400014794</v>
          </cell>
        </row>
        <row r="381">
          <cell r="A381">
            <v>400026067</v>
          </cell>
        </row>
        <row r="382">
          <cell r="A382">
            <v>400029024</v>
          </cell>
        </row>
        <row r="383">
          <cell r="A383">
            <v>400013859</v>
          </cell>
        </row>
        <row r="384">
          <cell r="A384">
            <v>400055897</v>
          </cell>
        </row>
        <row r="385">
          <cell r="A385">
            <v>400007362</v>
          </cell>
        </row>
        <row r="386">
          <cell r="A386">
            <v>400031219</v>
          </cell>
        </row>
        <row r="387">
          <cell r="A387">
            <v>400033126</v>
          </cell>
        </row>
        <row r="388">
          <cell r="A388">
            <v>400007366</v>
          </cell>
        </row>
        <row r="389">
          <cell r="A389">
            <v>400019568</v>
          </cell>
        </row>
        <row r="390">
          <cell r="A390">
            <v>400027437</v>
          </cell>
        </row>
        <row r="391">
          <cell r="A391">
            <v>400008434</v>
          </cell>
        </row>
        <row r="392">
          <cell r="A392">
            <v>400016069</v>
          </cell>
        </row>
        <row r="393">
          <cell r="A393">
            <v>400013749</v>
          </cell>
        </row>
        <row r="394">
          <cell r="A394">
            <v>400032295</v>
          </cell>
        </row>
        <row r="395">
          <cell r="A395">
            <v>400024193</v>
          </cell>
        </row>
        <row r="396">
          <cell r="A396">
            <v>400040404</v>
          </cell>
        </row>
        <row r="397">
          <cell r="A397">
            <v>400039957</v>
          </cell>
        </row>
        <row r="398">
          <cell r="A398">
            <v>400007367</v>
          </cell>
        </row>
        <row r="399">
          <cell r="A399">
            <v>400000691</v>
          </cell>
        </row>
        <row r="400">
          <cell r="A400">
            <v>400041596</v>
          </cell>
        </row>
        <row r="401">
          <cell r="A401">
            <v>400044588</v>
          </cell>
        </row>
        <row r="402">
          <cell r="A402">
            <v>400053553</v>
          </cell>
        </row>
        <row r="403">
          <cell r="A403">
            <v>400050715</v>
          </cell>
        </row>
        <row r="404">
          <cell r="A404">
            <v>400018187</v>
          </cell>
        </row>
        <row r="405">
          <cell r="A405">
            <v>400012830</v>
          </cell>
        </row>
        <row r="406">
          <cell r="A406">
            <v>400016775</v>
          </cell>
        </row>
        <row r="407">
          <cell r="A407">
            <v>400005228</v>
          </cell>
        </row>
        <row r="408">
          <cell r="A408">
            <v>400033670</v>
          </cell>
        </row>
        <row r="409">
          <cell r="A409">
            <v>400041320</v>
          </cell>
        </row>
        <row r="410">
          <cell r="A410">
            <v>400004023</v>
          </cell>
        </row>
        <row r="411">
          <cell r="A411">
            <v>400041201</v>
          </cell>
        </row>
        <row r="412">
          <cell r="A412">
            <v>400054009</v>
          </cell>
        </row>
        <row r="413">
          <cell r="A413">
            <v>400017134</v>
          </cell>
        </row>
        <row r="414">
          <cell r="A414">
            <v>400040139</v>
          </cell>
        </row>
        <row r="415">
          <cell r="A415">
            <v>400038608</v>
          </cell>
        </row>
        <row r="416">
          <cell r="A416">
            <v>400043230</v>
          </cell>
        </row>
        <row r="417">
          <cell r="A417">
            <v>400009428</v>
          </cell>
        </row>
        <row r="418">
          <cell r="A418">
            <v>400023659</v>
          </cell>
        </row>
        <row r="419">
          <cell r="A419">
            <v>400046410</v>
          </cell>
        </row>
        <row r="420">
          <cell r="A420">
            <v>400035075</v>
          </cell>
        </row>
        <row r="421">
          <cell r="A421">
            <v>400057490</v>
          </cell>
        </row>
        <row r="422">
          <cell r="A422">
            <v>400054251</v>
          </cell>
        </row>
        <row r="423">
          <cell r="A423">
            <v>400044969</v>
          </cell>
        </row>
        <row r="424">
          <cell r="A424">
            <v>400037479</v>
          </cell>
        </row>
        <row r="425">
          <cell r="A425">
            <v>400053961</v>
          </cell>
        </row>
        <row r="426">
          <cell r="A426">
            <v>400050144</v>
          </cell>
        </row>
        <row r="427">
          <cell r="A427">
            <v>400026313</v>
          </cell>
        </row>
        <row r="428">
          <cell r="A428">
            <v>400023212</v>
          </cell>
        </row>
        <row r="429">
          <cell r="A429">
            <v>400040681</v>
          </cell>
        </row>
        <row r="430">
          <cell r="A430">
            <v>400007560</v>
          </cell>
        </row>
        <row r="431">
          <cell r="A431">
            <v>400054151</v>
          </cell>
        </row>
        <row r="432">
          <cell r="A432">
            <v>400029858</v>
          </cell>
        </row>
        <row r="433">
          <cell r="A433">
            <v>400020987</v>
          </cell>
        </row>
        <row r="434">
          <cell r="A434">
            <v>400037131</v>
          </cell>
        </row>
        <row r="435">
          <cell r="A435">
            <v>400032354</v>
          </cell>
        </row>
        <row r="436">
          <cell r="A436">
            <v>400009492</v>
          </cell>
        </row>
        <row r="437">
          <cell r="A437">
            <v>400033052</v>
          </cell>
        </row>
        <row r="438">
          <cell r="A438">
            <v>400003226</v>
          </cell>
        </row>
        <row r="439">
          <cell r="A439">
            <v>400043359</v>
          </cell>
        </row>
        <row r="440">
          <cell r="A440">
            <v>400038607</v>
          </cell>
        </row>
        <row r="441">
          <cell r="A441">
            <v>400041626</v>
          </cell>
        </row>
        <row r="442">
          <cell r="A442">
            <v>400002277</v>
          </cell>
        </row>
        <row r="443">
          <cell r="A443">
            <v>400000123</v>
          </cell>
        </row>
        <row r="444">
          <cell r="A444">
            <v>400010268</v>
          </cell>
        </row>
        <row r="445">
          <cell r="A445">
            <v>400020355</v>
          </cell>
        </row>
        <row r="446">
          <cell r="A446">
            <v>400004891</v>
          </cell>
        </row>
        <row r="447">
          <cell r="A447">
            <v>400048214</v>
          </cell>
        </row>
        <row r="448">
          <cell r="A448">
            <v>400029090</v>
          </cell>
        </row>
        <row r="449">
          <cell r="A449">
            <v>400031493</v>
          </cell>
        </row>
        <row r="450">
          <cell r="A450">
            <v>400052635</v>
          </cell>
        </row>
        <row r="451">
          <cell r="A451">
            <v>400024145</v>
          </cell>
        </row>
        <row r="452">
          <cell r="A452">
            <v>400030214</v>
          </cell>
        </row>
        <row r="453">
          <cell r="A453">
            <v>400040017</v>
          </cell>
        </row>
        <row r="454">
          <cell r="A454">
            <v>400020328</v>
          </cell>
        </row>
        <row r="455">
          <cell r="A455">
            <v>400044584</v>
          </cell>
        </row>
        <row r="456">
          <cell r="A456">
            <v>400047982</v>
          </cell>
        </row>
        <row r="457">
          <cell r="A457">
            <v>400024847</v>
          </cell>
        </row>
        <row r="458">
          <cell r="A458">
            <v>400039147</v>
          </cell>
        </row>
        <row r="459">
          <cell r="A459">
            <v>400012998</v>
          </cell>
        </row>
        <row r="460">
          <cell r="A460">
            <v>400043228</v>
          </cell>
        </row>
        <row r="461">
          <cell r="A461">
            <v>400007908</v>
          </cell>
        </row>
        <row r="462">
          <cell r="A462">
            <v>400017672</v>
          </cell>
        </row>
        <row r="463">
          <cell r="A463">
            <v>400032655</v>
          </cell>
        </row>
        <row r="464">
          <cell r="A464">
            <v>400045359</v>
          </cell>
        </row>
        <row r="465">
          <cell r="A465">
            <v>400041197</v>
          </cell>
        </row>
        <row r="466">
          <cell r="A466">
            <v>400025170</v>
          </cell>
        </row>
        <row r="467">
          <cell r="A467">
            <v>400026542</v>
          </cell>
        </row>
        <row r="468">
          <cell r="A468">
            <v>400032168</v>
          </cell>
        </row>
        <row r="469">
          <cell r="A469">
            <v>400035751</v>
          </cell>
        </row>
        <row r="470">
          <cell r="A470">
            <v>400034135</v>
          </cell>
        </row>
        <row r="471">
          <cell r="A471">
            <v>400020118</v>
          </cell>
        </row>
        <row r="472">
          <cell r="A472">
            <v>400023051</v>
          </cell>
        </row>
        <row r="473">
          <cell r="A473">
            <v>400023056</v>
          </cell>
        </row>
        <row r="474">
          <cell r="A474">
            <v>400025412</v>
          </cell>
        </row>
        <row r="475">
          <cell r="A475">
            <v>400034464</v>
          </cell>
        </row>
        <row r="476">
          <cell r="A476">
            <v>400002436</v>
          </cell>
        </row>
        <row r="477">
          <cell r="A477">
            <v>400003710</v>
          </cell>
        </row>
        <row r="478">
          <cell r="A478">
            <v>400015277</v>
          </cell>
        </row>
        <row r="479">
          <cell r="A479">
            <v>400018317</v>
          </cell>
        </row>
        <row r="480">
          <cell r="A480">
            <v>400027325</v>
          </cell>
        </row>
        <row r="481">
          <cell r="A481">
            <v>400027775</v>
          </cell>
        </row>
        <row r="482">
          <cell r="A482">
            <v>400030128</v>
          </cell>
        </row>
        <row r="483">
          <cell r="A483">
            <v>400031951</v>
          </cell>
        </row>
        <row r="484">
          <cell r="A484">
            <v>400038322</v>
          </cell>
        </row>
        <row r="485">
          <cell r="A485">
            <v>400038703</v>
          </cell>
        </row>
        <row r="486">
          <cell r="A486">
            <v>400042532</v>
          </cell>
        </row>
        <row r="487">
          <cell r="A487">
            <v>400044769</v>
          </cell>
        </row>
        <row r="488">
          <cell r="A488">
            <v>400049966</v>
          </cell>
        </row>
        <row r="489">
          <cell r="A489">
            <v>400054163</v>
          </cell>
        </row>
        <row r="490">
          <cell r="A490">
            <v>400000520</v>
          </cell>
        </row>
        <row r="491">
          <cell r="A491">
            <v>400003631</v>
          </cell>
        </row>
        <row r="492">
          <cell r="A492">
            <v>400007100</v>
          </cell>
        </row>
        <row r="493">
          <cell r="A493">
            <v>400012114</v>
          </cell>
        </row>
        <row r="494">
          <cell r="A494">
            <v>400019742</v>
          </cell>
        </row>
        <row r="495">
          <cell r="A495">
            <v>400022801</v>
          </cell>
        </row>
        <row r="496">
          <cell r="A496">
            <v>400027393</v>
          </cell>
        </row>
        <row r="497">
          <cell r="A497">
            <v>400044863</v>
          </cell>
        </row>
        <row r="498">
          <cell r="A498">
            <v>400057929</v>
          </cell>
        </row>
        <row r="499">
          <cell r="A499">
            <v>400011659</v>
          </cell>
        </row>
        <row r="500">
          <cell r="A500">
            <v>400016651</v>
          </cell>
        </row>
        <row r="501">
          <cell r="A501">
            <v>400027467</v>
          </cell>
        </row>
        <row r="502">
          <cell r="A502">
            <v>400050157</v>
          </cell>
        </row>
        <row r="503">
          <cell r="A503">
            <v>400021975</v>
          </cell>
        </row>
        <row r="504">
          <cell r="A504">
            <v>400024510</v>
          </cell>
        </row>
        <row r="505">
          <cell r="A505">
            <v>400028921</v>
          </cell>
        </row>
        <row r="506">
          <cell r="A506">
            <v>400037993</v>
          </cell>
        </row>
        <row r="507">
          <cell r="A507">
            <v>400039292</v>
          </cell>
        </row>
        <row r="508">
          <cell r="A508">
            <v>400052540</v>
          </cell>
        </row>
        <row r="509">
          <cell r="A509">
            <v>400031944</v>
          </cell>
        </row>
        <row r="510">
          <cell r="A510">
            <v>400032685</v>
          </cell>
        </row>
        <row r="511">
          <cell r="A511">
            <v>400037001</v>
          </cell>
        </row>
        <row r="512">
          <cell r="A512">
            <v>400041457</v>
          </cell>
        </row>
        <row r="513">
          <cell r="A513">
            <v>400052851</v>
          </cell>
        </row>
        <row r="514">
          <cell r="A514">
            <v>400002704</v>
          </cell>
        </row>
        <row r="515">
          <cell r="A515">
            <v>400009191</v>
          </cell>
        </row>
        <row r="516">
          <cell r="A516">
            <v>400015272</v>
          </cell>
        </row>
        <row r="517">
          <cell r="A517">
            <v>400023552</v>
          </cell>
        </row>
        <row r="518">
          <cell r="A518">
            <v>400031164</v>
          </cell>
        </row>
        <row r="519">
          <cell r="A519">
            <v>400032533</v>
          </cell>
        </row>
        <row r="520">
          <cell r="A520">
            <v>400036059</v>
          </cell>
        </row>
        <row r="521">
          <cell r="A521">
            <v>400036362</v>
          </cell>
        </row>
        <row r="522">
          <cell r="A522">
            <v>400015538</v>
          </cell>
        </row>
        <row r="523">
          <cell r="A523">
            <v>400005358</v>
          </cell>
        </row>
        <row r="524">
          <cell r="A524">
            <v>400029253</v>
          </cell>
        </row>
        <row r="525">
          <cell r="A525">
            <v>400030208</v>
          </cell>
        </row>
        <row r="526">
          <cell r="A526">
            <v>400039951</v>
          </cell>
        </row>
        <row r="527">
          <cell r="A527">
            <v>400051213</v>
          </cell>
        </row>
        <row r="528">
          <cell r="A528">
            <v>400002895</v>
          </cell>
        </row>
        <row r="529">
          <cell r="A529">
            <v>400015086</v>
          </cell>
        </row>
        <row r="530">
          <cell r="A530">
            <v>400028640</v>
          </cell>
        </row>
        <row r="531">
          <cell r="A531">
            <v>400049237</v>
          </cell>
        </row>
        <row r="532">
          <cell r="A532">
            <v>400053878</v>
          </cell>
        </row>
        <row r="533">
          <cell r="A533">
            <v>400000605</v>
          </cell>
        </row>
        <row r="534">
          <cell r="A534">
            <v>400025698</v>
          </cell>
        </row>
        <row r="535">
          <cell r="A535">
            <v>400054333</v>
          </cell>
        </row>
        <row r="536">
          <cell r="A536">
            <v>400058175</v>
          </cell>
        </row>
        <row r="537">
          <cell r="A537">
            <v>400022519</v>
          </cell>
        </row>
        <row r="538">
          <cell r="A538">
            <v>400037290</v>
          </cell>
        </row>
        <row r="539">
          <cell r="A539">
            <v>400038325</v>
          </cell>
        </row>
        <row r="540">
          <cell r="A540">
            <v>400014987</v>
          </cell>
        </row>
        <row r="541">
          <cell r="A541">
            <v>400015084</v>
          </cell>
        </row>
        <row r="542">
          <cell r="A542">
            <v>400015470</v>
          </cell>
        </row>
        <row r="543">
          <cell r="A543">
            <v>400023011</v>
          </cell>
        </row>
        <row r="544">
          <cell r="A544">
            <v>400023791</v>
          </cell>
        </row>
        <row r="545">
          <cell r="A545">
            <v>400027758</v>
          </cell>
        </row>
        <row r="546">
          <cell r="A546">
            <v>400029108</v>
          </cell>
        </row>
        <row r="547">
          <cell r="A547">
            <v>400016367</v>
          </cell>
        </row>
        <row r="548">
          <cell r="A548">
            <v>400018972</v>
          </cell>
        </row>
        <row r="549">
          <cell r="A549">
            <v>400019059</v>
          </cell>
        </row>
        <row r="550">
          <cell r="A550">
            <v>400019060</v>
          </cell>
        </row>
        <row r="551">
          <cell r="A551">
            <v>400026637</v>
          </cell>
        </row>
        <row r="552">
          <cell r="A552">
            <v>400039439</v>
          </cell>
        </row>
        <row r="553">
          <cell r="A553">
            <v>400041436</v>
          </cell>
        </row>
        <row r="554">
          <cell r="A554">
            <v>400046131</v>
          </cell>
        </row>
        <row r="555">
          <cell r="A555">
            <v>400053933</v>
          </cell>
        </row>
        <row r="556">
          <cell r="A556">
            <v>400039510</v>
          </cell>
        </row>
        <row r="557">
          <cell r="A557">
            <v>400033967</v>
          </cell>
        </row>
        <row r="558">
          <cell r="A558">
            <v>400042820</v>
          </cell>
        </row>
        <row r="559">
          <cell r="A559">
            <v>301211340</v>
          </cell>
        </row>
        <row r="560">
          <cell r="A560">
            <v>400042795</v>
          </cell>
        </row>
        <row r="561">
          <cell r="A561">
            <v>400010525</v>
          </cell>
        </row>
        <row r="562">
          <cell r="A562">
            <v>400038390</v>
          </cell>
        </row>
        <row r="563">
          <cell r="A563">
            <v>400054432</v>
          </cell>
        </row>
        <row r="564">
          <cell r="A564">
            <v>400005241</v>
          </cell>
        </row>
        <row r="565">
          <cell r="A565">
            <v>400039444</v>
          </cell>
        </row>
        <row r="566">
          <cell r="A566">
            <v>400025129</v>
          </cell>
        </row>
        <row r="567">
          <cell r="A567">
            <v>400011261</v>
          </cell>
        </row>
        <row r="568">
          <cell r="A568">
            <v>400042808</v>
          </cell>
        </row>
        <row r="569">
          <cell r="A569">
            <v>400044267</v>
          </cell>
        </row>
        <row r="570">
          <cell r="A570">
            <v>400017623</v>
          </cell>
        </row>
        <row r="571">
          <cell r="A571">
            <v>400011332</v>
          </cell>
        </row>
        <row r="572">
          <cell r="A572">
            <v>400037515</v>
          </cell>
        </row>
        <row r="573">
          <cell r="A573">
            <v>400005348</v>
          </cell>
        </row>
        <row r="574">
          <cell r="A574">
            <v>400001116</v>
          </cell>
        </row>
        <row r="575">
          <cell r="A575">
            <v>400017901</v>
          </cell>
        </row>
        <row r="576">
          <cell r="A576">
            <v>400013002</v>
          </cell>
        </row>
        <row r="577">
          <cell r="A577">
            <v>400024666</v>
          </cell>
        </row>
        <row r="578">
          <cell r="A578">
            <v>400012465</v>
          </cell>
        </row>
        <row r="579">
          <cell r="A579">
            <v>400012116</v>
          </cell>
        </row>
        <row r="580">
          <cell r="A580">
            <v>400048263</v>
          </cell>
        </row>
        <row r="581">
          <cell r="A581">
            <v>400038391</v>
          </cell>
        </row>
        <row r="582">
          <cell r="A582">
            <v>400042997</v>
          </cell>
        </row>
        <row r="583">
          <cell r="A583">
            <v>400051373</v>
          </cell>
        </row>
        <row r="584">
          <cell r="A584">
            <v>400002779</v>
          </cell>
        </row>
        <row r="585">
          <cell r="A585">
            <v>400006999</v>
          </cell>
        </row>
        <row r="586">
          <cell r="A586">
            <v>400026178</v>
          </cell>
        </row>
        <row r="587">
          <cell r="A587">
            <v>400030433</v>
          </cell>
        </row>
        <row r="588">
          <cell r="A588">
            <v>400030560</v>
          </cell>
        </row>
        <row r="589">
          <cell r="A589">
            <v>400015075</v>
          </cell>
        </row>
        <row r="590">
          <cell r="A590">
            <v>400023707</v>
          </cell>
        </row>
        <row r="591">
          <cell r="A591">
            <v>400053186</v>
          </cell>
        </row>
        <row r="592">
          <cell r="A592">
            <v>400058611</v>
          </cell>
        </row>
        <row r="593">
          <cell r="A593">
            <v>400039538</v>
          </cell>
        </row>
        <row r="594">
          <cell r="A594">
            <v>400025238</v>
          </cell>
        </row>
        <row r="595">
          <cell r="A595">
            <v>400028345</v>
          </cell>
        </row>
        <row r="596">
          <cell r="A596">
            <v>400031505</v>
          </cell>
        </row>
        <row r="597">
          <cell r="A597">
            <v>400015044</v>
          </cell>
        </row>
        <row r="598">
          <cell r="A598">
            <v>400030467</v>
          </cell>
        </row>
        <row r="599">
          <cell r="A599">
            <v>400055634</v>
          </cell>
        </row>
        <row r="600">
          <cell r="A600">
            <v>400018045</v>
          </cell>
        </row>
        <row r="601">
          <cell r="A601">
            <v>400044491</v>
          </cell>
        </row>
        <row r="602">
          <cell r="A602">
            <v>400023981</v>
          </cell>
        </row>
        <row r="603">
          <cell r="A603">
            <v>400027333</v>
          </cell>
        </row>
        <row r="604">
          <cell r="A604">
            <v>400036210</v>
          </cell>
        </row>
        <row r="605">
          <cell r="A605">
            <v>400056615</v>
          </cell>
        </row>
        <row r="606">
          <cell r="A606">
            <v>400058463</v>
          </cell>
        </row>
        <row r="607">
          <cell r="A607">
            <v>400027470</v>
          </cell>
        </row>
        <row r="608">
          <cell r="A608">
            <v>400054155</v>
          </cell>
        </row>
        <row r="609">
          <cell r="A609">
            <v>400026735</v>
          </cell>
        </row>
        <row r="610">
          <cell r="A610">
            <v>400044585</v>
          </cell>
        </row>
        <row r="611">
          <cell r="A611">
            <v>400050946</v>
          </cell>
        </row>
        <row r="612">
          <cell r="A612">
            <v>400012909</v>
          </cell>
        </row>
        <row r="613">
          <cell r="A613">
            <v>400013461</v>
          </cell>
        </row>
        <row r="614">
          <cell r="A614">
            <v>400033725</v>
          </cell>
        </row>
        <row r="615">
          <cell r="A615">
            <v>400013811</v>
          </cell>
        </row>
        <row r="616">
          <cell r="A616">
            <v>400031981</v>
          </cell>
        </row>
        <row r="617">
          <cell r="A617">
            <v>400006646</v>
          </cell>
        </row>
        <row r="618">
          <cell r="A618">
            <v>400037933</v>
          </cell>
        </row>
        <row r="619">
          <cell r="A619">
            <v>400051460</v>
          </cell>
        </row>
        <row r="620">
          <cell r="A620">
            <v>400013477</v>
          </cell>
        </row>
        <row r="621">
          <cell r="A621">
            <v>400050298</v>
          </cell>
        </row>
        <row r="622">
          <cell r="A622">
            <v>400057123</v>
          </cell>
        </row>
        <row r="623">
          <cell r="A623">
            <v>400015927</v>
          </cell>
        </row>
        <row r="624">
          <cell r="A624">
            <v>400024118</v>
          </cell>
        </row>
        <row r="625">
          <cell r="A625">
            <v>400048667</v>
          </cell>
        </row>
        <row r="626">
          <cell r="A626">
            <v>400023415</v>
          </cell>
        </row>
        <row r="627">
          <cell r="A627">
            <v>400039370</v>
          </cell>
        </row>
        <row r="628">
          <cell r="A628">
            <v>400003080</v>
          </cell>
        </row>
        <row r="629">
          <cell r="A629">
            <v>400031780</v>
          </cell>
        </row>
        <row r="630">
          <cell r="A630">
            <v>400054062</v>
          </cell>
        </row>
        <row r="631">
          <cell r="A631">
            <v>400026898</v>
          </cell>
        </row>
        <row r="632">
          <cell r="A632">
            <v>400053723</v>
          </cell>
        </row>
        <row r="633">
          <cell r="A633">
            <v>400039328</v>
          </cell>
        </row>
        <row r="634">
          <cell r="A634">
            <v>400020974</v>
          </cell>
        </row>
        <row r="635">
          <cell r="A635">
            <v>400009475</v>
          </cell>
        </row>
        <row r="636">
          <cell r="A636">
            <v>400021195</v>
          </cell>
        </row>
        <row r="637">
          <cell r="A637">
            <v>400023067</v>
          </cell>
        </row>
        <row r="638">
          <cell r="A638">
            <v>400006083</v>
          </cell>
        </row>
        <row r="639">
          <cell r="A639">
            <v>400012672</v>
          </cell>
        </row>
        <row r="640">
          <cell r="A640">
            <v>400019846</v>
          </cell>
        </row>
        <row r="641">
          <cell r="A641">
            <v>400024662</v>
          </cell>
        </row>
        <row r="642">
          <cell r="A642">
            <v>400002493</v>
          </cell>
        </row>
        <row r="643">
          <cell r="A643">
            <v>400029492</v>
          </cell>
        </row>
        <row r="644">
          <cell r="A644">
            <v>400041907</v>
          </cell>
        </row>
        <row r="645">
          <cell r="A645">
            <v>400009235</v>
          </cell>
        </row>
        <row r="646">
          <cell r="A646">
            <v>400045569</v>
          </cell>
        </row>
        <row r="647">
          <cell r="A647">
            <v>400008585</v>
          </cell>
        </row>
        <row r="648">
          <cell r="A648">
            <v>400039428</v>
          </cell>
        </row>
        <row r="649">
          <cell r="A649">
            <v>400013198</v>
          </cell>
        </row>
        <row r="650">
          <cell r="A650">
            <v>400045746</v>
          </cell>
        </row>
        <row r="651">
          <cell r="A651">
            <v>400017262</v>
          </cell>
        </row>
        <row r="652">
          <cell r="A652">
            <v>400035820</v>
          </cell>
        </row>
        <row r="653">
          <cell r="A653">
            <v>400029283</v>
          </cell>
        </row>
        <row r="654">
          <cell r="A654">
            <v>400033446</v>
          </cell>
        </row>
        <row r="655">
          <cell r="A655">
            <v>400055024</v>
          </cell>
        </row>
        <row r="656">
          <cell r="A656">
            <v>400000765</v>
          </cell>
        </row>
        <row r="657">
          <cell r="A657">
            <v>400010953</v>
          </cell>
        </row>
        <row r="658">
          <cell r="A658">
            <v>400026635</v>
          </cell>
        </row>
        <row r="659">
          <cell r="A659">
            <v>400047776</v>
          </cell>
        </row>
        <row r="660">
          <cell r="A660">
            <v>400015412</v>
          </cell>
        </row>
        <row r="661">
          <cell r="A661">
            <v>400042418</v>
          </cell>
        </row>
        <row r="662">
          <cell r="A662">
            <v>400032359</v>
          </cell>
        </row>
        <row r="663">
          <cell r="A663">
            <v>400036406</v>
          </cell>
        </row>
        <row r="664">
          <cell r="A664">
            <v>400030515</v>
          </cell>
        </row>
        <row r="665">
          <cell r="A665">
            <v>400057300</v>
          </cell>
        </row>
        <row r="666">
          <cell r="A666">
            <v>400032370</v>
          </cell>
        </row>
        <row r="667">
          <cell r="A667">
            <v>400035185</v>
          </cell>
        </row>
        <row r="668">
          <cell r="A668">
            <v>400043017</v>
          </cell>
        </row>
        <row r="669">
          <cell r="A669">
            <v>400032787</v>
          </cell>
        </row>
        <row r="670">
          <cell r="A670">
            <v>400045917</v>
          </cell>
        </row>
        <row r="671">
          <cell r="A671">
            <v>400032208</v>
          </cell>
        </row>
        <row r="672">
          <cell r="A672">
            <v>400046416</v>
          </cell>
        </row>
        <row r="673">
          <cell r="A673">
            <v>400044587</v>
          </cell>
        </row>
        <row r="674">
          <cell r="A674">
            <v>400000803</v>
          </cell>
        </row>
        <row r="675">
          <cell r="A675">
            <v>400008105</v>
          </cell>
        </row>
        <row r="676">
          <cell r="A676">
            <v>400009205</v>
          </cell>
        </row>
        <row r="677">
          <cell r="A677">
            <v>400047841</v>
          </cell>
        </row>
        <row r="678">
          <cell r="A678">
            <v>400048009</v>
          </cell>
        </row>
        <row r="679">
          <cell r="A679">
            <v>400032523</v>
          </cell>
        </row>
        <row r="680">
          <cell r="A680">
            <v>400000579</v>
          </cell>
        </row>
        <row r="681">
          <cell r="A681">
            <v>400047969</v>
          </cell>
        </row>
        <row r="682">
          <cell r="A682">
            <v>400008000</v>
          </cell>
        </row>
        <row r="683">
          <cell r="A683">
            <v>400021299</v>
          </cell>
        </row>
        <row r="684">
          <cell r="A684">
            <v>400032830</v>
          </cell>
        </row>
        <row r="685">
          <cell r="A685">
            <v>400037224</v>
          </cell>
        </row>
        <row r="686">
          <cell r="A686">
            <v>400057661</v>
          </cell>
        </row>
        <row r="687">
          <cell r="A687">
            <v>400023210</v>
          </cell>
        </row>
        <row r="688">
          <cell r="A688">
            <v>400007568</v>
          </cell>
        </row>
        <row r="689">
          <cell r="A689">
            <v>400012883</v>
          </cell>
        </row>
        <row r="690">
          <cell r="A690">
            <v>400013434</v>
          </cell>
        </row>
        <row r="691">
          <cell r="A691">
            <v>400029061</v>
          </cell>
        </row>
        <row r="692">
          <cell r="A692">
            <v>400033715</v>
          </cell>
        </row>
        <row r="693">
          <cell r="A693">
            <v>400000607</v>
          </cell>
        </row>
        <row r="694">
          <cell r="A694">
            <v>400024374</v>
          </cell>
        </row>
        <row r="695">
          <cell r="A695">
            <v>400052214</v>
          </cell>
        </row>
        <row r="696">
          <cell r="A696">
            <v>400054585</v>
          </cell>
        </row>
        <row r="697">
          <cell r="A697">
            <v>400015474</v>
          </cell>
        </row>
        <row r="698">
          <cell r="A698">
            <v>400040632</v>
          </cell>
        </row>
        <row r="699">
          <cell r="A699">
            <v>400042108</v>
          </cell>
        </row>
        <row r="700">
          <cell r="A700">
            <v>400018770</v>
          </cell>
        </row>
        <row r="701">
          <cell r="A701">
            <v>400029935</v>
          </cell>
        </row>
        <row r="702">
          <cell r="A702">
            <v>400031541</v>
          </cell>
        </row>
        <row r="703">
          <cell r="A703">
            <v>400017060</v>
          </cell>
        </row>
        <row r="704">
          <cell r="A704">
            <v>400038665</v>
          </cell>
        </row>
        <row r="705">
          <cell r="A705">
            <v>400044879</v>
          </cell>
        </row>
        <row r="706">
          <cell r="A706">
            <v>400048530</v>
          </cell>
        </row>
        <row r="707">
          <cell r="A707">
            <v>400054386</v>
          </cell>
        </row>
        <row r="708">
          <cell r="A708">
            <v>400001094</v>
          </cell>
        </row>
        <row r="709">
          <cell r="A709">
            <v>400052277</v>
          </cell>
        </row>
        <row r="710">
          <cell r="A710">
            <v>400046134</v>
          </cell>
        </row>
        <row r="711">
          <cell r="A711">
            <v>400008719</v>
          </cell>
        </row>
        <row r="712">
          <cell r="A712">
            <v>400007651</v>
          </cell>
        </row>
        <row r="713">
          <cell r="A713">
            <v>400007656</v>
          </cell>
        </row>
        <row r="714">
          <cell r="A714">
            <v>400014569</v>
          </cell>
        </row>
        <row r="715">
          <cell r="A715">
            <v>400004401</v>
          </cell>
        </row>
        <row r="716">
          <cell r="A716">
            <v>400033156</v>
          </cell>
        </row>
        <row r="717">
          <cell r="A717">
            <v>400055989</v>
          </cell>
        </row>
        <row r="718">
          <cell r="A718">
            <v>400033861</v>
          </cell>
        </row>
        <row r="719">
          <cell r="A719">
            <v>400059246</v>
          </cell>
        </row>
        <row r="720">
          <cell r="A720">
            <v>400022837</v>
          </cell>
        </row>
        <row r="721">
          <cell r="A721">
            <v>400058484</v>
          </cell>
        </row>
        <row r="722">
          <cell r="A722">
            <v>400029724</v>
          </cell>
        </row>
        <row r="723">
          <cell r="A723">
            <v>400042320</v>
          </cell>
        </row>
        <row r="724">
          <cell r="A724">
            <v>400042398</v>
          </cell>
        </row>
        <row r="725">
          <cell r="A725">
            <v>400029436</v>
          </cell>
        </row>
        <row r="726">
          <cell r="A726">
            <v>400010852</v>
          </cell>
        </row>
        <row r="727">
          <cell r="A727">
            <v>400033825</v>
          </cell>
        </row>
        <row r="728">
          <cell r="A728">
            <v>400042193</v>
          </cell>
        </row>
        <row r="729">
          <cell r="A729">
            <v>400050282</v>
          </cell>
        </row>
        <row r="730">
          <cell r="A730">
            <v>400038307</v>
          </cell>
        </row>
        <row r="731">
          <cell r="A731">
            <v>400018368</v>
          </cell>
        </row>
        <row r="732">
          <cell r="A732">
            <v>400029032</v>
          </cell>
        </row>
        <row r="733">
          <cell r="A733">
            <v>400033657</v>
          </cell>
        </row>
        <row r="734">
          <cell r="A734">
            <v>400029506</v>
          </cell>
        </row>
        <row r="735">
          <cell r="A735">
            <v>400007553</v>
          </cell>
        </row>
        <row r="736">
          <cell r="A736">
            <v>400019681</v>
          </cell>
        </row>
        <row r="737">
          <cell r="A737">
            <v>400043056</v>
          </cell>
        </row>
        <row r="738">
          <cell r="A738">
            <v>400046957</v>
          </cell>
        </row>
        <row r="739">
          <cell r="A739">
            <v>400012633</v>
          </cell>
        </row>
        <row r="740">
          <cell r="A740">
            <v>400054916</v>
          </cell>
        </row>
        <row r="741">
          <cell r="A741">
            <v>400046277</v>
          </cell>
        </row>
        <row r="742">
          <cell r="A742">
            <v>400058190</v>
          </cell>
        </row>
        <row r="743">
          <cell r="A743">
            <v>400042994</v>
          </cell>
        </row>
        <row r="744">
          <cell r="A744">
            <v>400046600</v>
          </cell>
        </row>
        <row r="745">
          <cell r="A745">
            <v>400028342</v>
          </cell>
        </row>
        <row r="746">
          <cell r="A746">
            <v>400017992</v>
          </cell>
        </row>
        <row r="747">
          <cell r="A747">
            <v>400008109</v>
          </cell>
        </row>
        <row r="748">
          <cell r="A748">
            <v>400010593</v>
          </cell>
        </row>
        <row r="749">
          <cell r="A749">
            <v>400022191</v>
          </cell>
        </row>
        <row r="750">
          <cell r="A750">
            <v>400027193</v>
          </cell>
        </row>
        <row r="751">
          <cell r="A751">
            <v>400030522</v>
          </cell>
        </row>
        <row r="752">
          <cell r="A752">
            <v>400054912</v>
          </cell>
        </row>
        <row r="753">
          <cell r="A753">
            <v>303251014</v>
          </cell>
        </row>
        <row r="754">
          <cell r="A754">
            <v>400007597</v>
          </cell>
        </row>
        <row r="755">
          <cell r="A755">
            <v>400030051</v>
          </cell>
        </row>
        <row r="756">
          <cell r="A756">
            <v>400058742</v>
          </cell>
        </row>
        <row r="757">
          <cell r="A757">
            <v>400050630</v>
          </cell>
        </row>
        <row r="758">
          <cell r="A758">
            <v>400026479</v>
          </cell>
        </row>
        <row r="759">
          <cell r="A759">
            <v>400009192</v>
          </cell>
        </row>
        <row r="760">
          <cell r="A760">
            <v>400046415</v>
          </cell>
        </row>
        <row r="761">
          <cell r="A761">
            <v>400000504</v>
          </cell>
        </row>
        <row r="762">
          <cell r="A762">
            <v>400028298</v>
          </cell>
        </row>
        <row r="763">
          <cell r="A763">
            <v>400036845</v>
          </cell>
        </row>
        <row r="764">
          <cell r="A764">
            <v>400020629</v>
          </cell>
        </row>
        <row r="765">
          <cell r="A765">
            <v>400020097</v>
          </cell>
        </row>
        <row r="766">
          <cell r="A766">
            <v>400005987</v>
          </cell>
        </row>
        <row r="767">
          <cell r="A767">
            <v>400010547</v>
          </cell>
        </row>
        <row r="768">
          <cell r="A768">
            <v>400027363</v>
          </cell>
        </row>
        <row r="769">
          <cell r="A769">
            <v>400050588</v>
          </cell>
        </row>
        <row r="770">
          <cell r="A770">
            <v>400029570</v>
          </cell>
        </row>
        <row r="771">
          <cell r="A771">
            <v>400036404</v>
          </cell>
        </row>
        <row r="772">
          <cell r="A772">
            <v>400007971</v>
          </cell>
        </row>
        <row r="773">
          <cell r="A773">
            <v>400029885</v>
          </cell>
        </row>
        <row r="774">
          <cell r="A774">
            <v>400037964</v>
          </cell>
        </row>
        <row r="775">
          <cell r="A775">
            <v>400012422</v>
          </cell>
        </row>
        <row r="776">
          <cell r="A776">
            <v>400021640</v>
          </cell>
        </row>
        <row r="777">
          <cell r="A777">
            <v>400023797</v>
          </cell>
        </row>
        <row r="778">
          <cell r="A778">
            <v>400028290</v>
          </cell>
        </row>
        <row r="779">
          <cell r="A779">
            <v>400050430</v>
          </cell>
        </row>
        <row r="780">
          <cell r="A780">
            <v>400010966</v>
          </cell>
        </row>
        <row r="781">
          <cell r="A781">
            <v>400013478</v>
          </cell>
        </row>
        <row r="782">
          <cell r="A782">
            <v>400020418</v>
          </cell>
        </row>
        <row r="783">
          <cell r="A783">
            <v>400026380</v>
          </cell>
        </row>
        <row r="784">
          <cell r="A784">
            <v>400037203</v>
          </cell>
        </row>
        <row r="785">
          <cell r="A785">
            <v>400014166</v>
          </cell>
        </row>
        <row r="786">
          <cell r="A786">
            <v>400014549</v>
          </cell>
        </row>
        <row r="787">
          <cell r="A787">
            <v>400059248</v>
          </cell>
        </row>
        <row r="788">
          <cell r="A788">
            <v>400025896</v>
          </cell>
        </row>
        <row r="789">
          <cell r="A789">
            <v>400003545</v>
          </cell>
        </row>
        <row r="790">
          <cell r="A790">
            <v>400057942</v>
          </cell>
        </row>
        <row r="791">
          <cell r="A791">
            <v>400034838</v>
          </cell>
        </row>
        <row r="792">
          <cell r="A792">
            <v>400045571</v>
          </cell>
        </row>
        <row r="793">
          <cell r="A793">
            <v>400050192</v>
          </cell>
        </row>
        <row r="794">
          <cell r="A794">
            <v>400000923</v>
          </cell>
        </row>
        <row r="795">
          <cell r="A795">
            <v>400018011</v>
          </cell>
        </row>
        <row r="796">
          <cell r="A796">
            <v>400042400</v>
          </cell>
        </row>
        <row r="797">
          <cell r="A797">
            <v>400044424</v>
          </cell>
        </row>
        <row r="798">
          <cell r="A798">
            <v>400029386</v>
          </cell>
        </row>
        <row r="799">
          <cell r="A799">
            <v>400031064</v>
          </cell>
        </row>
        <row r="800">
          <cell r="A800">
            <v>400033875</v>
          </cell>
        </row>
        <row r="801">
          <cell r="A801">
            <v>400042576</v>
          </cell>
        </row>
        <row r="802">
          <cell r="A802">
            <v>400026797</v>
          </cell>
        </row>
        <row r="803">
          <cell r="A803">
            <v>400052035</v>
          </cell>
        </row>
        <row r="804">
          <cell r="A804">
            <v>400000759</v>
          </cell>
        </row>
        <row r="805">
          <cell r="A805">
            <v>400023425</v>
          </cell>
        </row>
        <row r="806">
          <cell r="A806">
            <v>400011389</v>
          </cell>
        </row>
        <row r="807">
          <cell r="A807">
            <v>400023629</v>
          </cell>
        </row>
        <row r="808">
          <cell r="A808">
            <v>400055699</v>
          </cell>
        </row>
        <row r="809">
          <cell r="A809">
            <v>400028440</v>
          </cell>
        </row>
        <row r="810">
          <cell r="A810">
            <v>400030846</v>
          </cell>
        </row>
        <row r="811">
          <cell r="A811">
            <v>400033809</v>
          </cell>
        </row>
        <row r="812">
          <cell r="A812">
            <v>400041622</v>
          </cell>
        </row>
        <row r="813">
          <cell r="A813">
            <v>400013384</v>
          </cell>
        </row>
        <row r="814">
          <cell r="A814">
            <v>400024677</v>
          </cell>
        </row>
        <row r="815">
          <cell r="A815">
            <v>400036131</v>
          </cell>
        </row>
        <row r="816">
          <cell r="A816">
            <v>400052833</v>
          </cell>
        </row>
        <row r="817">
          <cell r="A817">
            <v>400047534</v>
          </cell>
        </row>
        <row r="818">
          <cell r="A818">
            <v>400049346</v>
          </cell>
        </row>
        <row r="819">
          <cell r="A819">
            <v>400041921</v>
          </cell>
        </row>
        <row r="820">
          <cell r="A820">
            <v>400001473</v>
          </cell>
        </row>
        <row r="821">
          <cell r="A821">
            <v>400012978</v>
          </cell>
        </row>
        <row r="822">
          <cell r="A822">
            <v>400013435</v>
          </cell>
        </row>
        <row r="823">
          <cell r="A823">
            <v>400018421</v>
          </cell>
        </row>
        <row r="824">
          <cell r="A824">
            <v>400056151</v>
          </cell>
        </row>
        <row r="825">
          <cell r="A825">
            <v>207191244</v>
          </cell>
        </row>
        <row r="826">
          <cell r="A826">
            <v>400024166</v>
          </cell>
        </row>
        <row r="827">
          <cell r="A827">
            <v>400053442</v>
          </cell>
        </row>
        <row r="828">
          <cell r="A828">
            <v>400015073</v>
          </cell>
        </row>
        <row r="829">
          <cell r="A829">
            <v>400010731</v>
          </cell>
        </row>
        <row r="830">
          <cell r="A830">
            <v>400013288</v>
          </cell>
        </row>
        <row r="831">
          <cell r="A831">
            <v>400027492</v>
          </cell>
        </row>
        <row r="832">
          <cell r="A832">
            <v>400032537</v>
          </cell>
        </row>
        <row r="833">
          <cell r="A833">
            <v>400032675</v>
          </cell>
        </row>
        <row r="834">
          <cell r="A834">
            <v>400046092</v>
          </cell>
        </row>
        <row r="835">
          <cell r="A835">
            <v>400050542</v>
          </cell>
        </row>
        <row r="836">
          <cell r="A836">
            <v>400057349</v>
          </cell>
        </row>
        <row r="837">
          <cell r="A837">
            <v>400010918</v>
          </cell>
        </row>
        <row r="838">
          <cell r="A838">
            <v>400031062</v>
          </cell>
        </row>
        <row r="839">
          <cell r="A839">
            <v>400041480</v>
          </cell>
        </row>
        <row r="840">
          <cell r="A840">
            <v>400051687</v>
          </cell>
        </row>
        <row r="841">
          <cell r="A841">
            <v>400009772</v>
          </cell>
        </row>
        <row r="842">
          <cell r="A842">
            <v>400019582</v>
          </cell>
        </row>
        <row r="843">
          <cell r="A843">
            <v>400031437</v>
          </cell>
        </row>
        <row r="844">
          <cell r="A844">
            <v>400032874</v>
          </cell>
        </row>
        <row r="845">
          <cell r="A845">
            <v>400043058</v>
          </cell>
        </row>
        <row r="846">
          <cell r="A846">
            <v>400039962</v>
          </cell>
        </row>
        <row r="847">
          <cell r="A847">
            <v>400037260</v>
          </cell>
        </row>
        <row r="848">
          <cell r="A848">
            <v>400035391</v>
          </cell>
        </row>
        <row r="849">
          <cell r="A849">
            <v>400037626</v>
          </cell>
        </row>
        <row r="850">
          <cell r="A850">
            <v>400037885</v>
          </cell>
        </row>
        <row r="851">
          <cell r="A851">
            <v>400051193</v>
          </cell>
        </row>
        <row r="852">
          <cell r="A852">
            <v>400000786</v>
          </cell>
        </row>
        <row r="853">
          <cell r="A853">
            <v>400002210</v>
          </cell>
        </row>
        <row r="854">
          <cell r="A854">
            <v>400010708</v>
          </cell>
        </row>
        <row r="855">
          <cell r="A855">
            <v>400045748</v>
          </cell>
        </row>
        <row r="856">
          <cell r="A856">
            <v>400048226</v>
          </cell>
        </row>
        <row r="857">
          <cell r="A857">
            <v>304021447</v>
          </cell>
        </row>
        <row r="858">
          <cell r="A858">
            <v>400048702</v>
          </cell>
        </row>
        <row r="859">
          <cell r="A859">
            <v>400050483</v>
          </cell>
        </row>
        <row r="860">
          <cell r="A860">
            <v>400052518</v>
          </cell>
        </row>
        <row r="861">
          <cell r="A861">
            <v>400009636</v>
          </cell>
        </row>
        <row r="862">
          <cell r="A862">
            <v>400014167</v>
          </cell>
        </row>
        <row r="863">
          <cell r="A863">
            <v>400018800</v>
          </cell>
        </row>
        <row r="864">
          <cell r="A864">
            <v>400024883</v>
          </cell>
        </row>
        <row r="865">
          <cell r="A865">
            <v>400029107</v>
          </cell>
        </row>
        <row r="866">
          <cell r="A866">
            <v>400036906</v>
          </cell>
        </row>
        <row r="867">
          <cell r="A867">
            <v>210181413</v>
          </cell>
        </row>
        <row r="868">
          <cell r="A868">
            <v>400008265</v>
          </cell>
        </row>
        <row r="869">
          <cell r="A869">
            <v>400032790</v>
          </cell>
        </row>
        <row r="870">
          <cell r="A870">
            <v>400044674</v>
          </cell>
        </row>
        <row r="871">
          <cell r="A871">
            <v>400057607</v>
          </cell>
        </row>
        <row r="872">
          <cell r="A872">
            <v>400039661</v>
          </cell>
        </row>
        <row r="873">
          <cell r="A873">
            <v>400041269</v>
          </cell>
        </row>
        <row r="874">
          <cell r="A874">
            <v>400053636</v>
          </cell>
        </row>
        <row r="875">
          <cell r="A875">
            <v>400002873</v>
          </cell>
        </row>
        <row r="876">
          <cell r="A876">
            <v>400037882</v>
          </cell>
        </row>
        <row r="877">
          <cell r="A877">
            <v>400009320</v>
          </cell>
        </row>
        <row r="878">
          <cell r="A878">
            <v>400010711</v>
          </cell>
        </row>
        <row r="879">
          <cell r="A879">
            <v>400017207</v>
          </cell>
        </row>
        <row r="880">
          <cell r="A880">
            <v>400019724</v>
          </cell>
        </row>
        <row r="881">
          <cell r="A881">
            <v>400045570</v>
          </cell>
        </row>
        <row r="882">
          <cell r="A882">
            <v>400043077</v>
          </cell>
        </row>
        <row r="883">
          <cell r="A883">
            <v>400058720</v>
          </cell>
        </row>
        <row r="884">
          <cell r="A884">
            <v>400032447</v>
          </cell>
        </row>
        <row r="885">
          <cell r="A885">
            <v>400034893</v>
          </cell>
        </row>
        <row r="886">
          <cell r="A886">
            <v>400048340</v>
          </cell>
        </row>
        <row r="887">
          <cell r="A887">
            <v>400000169</v>
          </cell>
        </row>
        <row r="888">
          <cell r="A888">
            <v>400034596</v>
          </cell>
        </row>
        <row r="889">
          <cell r="A889">
            <v>400037512</v>
          </cell>
        </row>
        <row r="890">
          <cell r="A890">
            <v>400026555</v>
          </cell>
        </row>
        <row r="891">
          <cell r="A891">
            <v>400029616</v>
          </cell>
        </row>
        <row r="892">
          <cell r="A892">
            <v>400021257</v>
          </cell>
        </row>
        <row r="893">
          <cell r="A893">
            <v>400043528</v>
          </cell>
        </row>
        <row r="894">
          <cell r="A894">
            <v>400050564</v>
          </cell>
        </row>
        <row r="895">
          <cell r="A895">
            <v>400009978</v>
          </cell>
        </row>
        <row r="896">
          <cell r="A896">
            <v>400055941</v>
          </cell>
        </row>
        <row r="897">
          <cell r="A897">
            <v>400012999</v>
          </cell>
        </row>
        <row r="898">
          <cell r="A898">
            <v>400050088</v>
          </cell>
        </row>
        <row r="899">
          <cell r="A899">
            <v>400041448</v>
          </cell>
        </row>
        <row r="900">
          <cell r="A900">
            <v>400056470</v>
          </cell>
        </row>
        <row r="901">
          <cell r="A901">
            <v>400000463</v>
          </cell>
        </row>
        <row r="902">
          <cell r="A902">
            <v>400005917</v>
          </cell>
        </row>
        <row r="903">
          <cell r="A903">
            <v>400037764</v>
          </cell>
        </row>
        <row r="904">
          <cell r="A904">
            <v>400006407</v>
          </cell>
        </row>
        <row r="905">
          <cell r="A905">
            <v>400021487</v>
          </cell>
        </row>
        <row r="906">
          <cell r="A906">
            <v>400018662</v>
          </cell>
        </row>
        <row r="907">
          <cell r="A907">
            <v>400027402</v>
          </cell>
        </row>
        <row r="908">
          <cell r="A908">
            <v>400037965</v>
          </cell>
        </row>
        <row r="909">
          <cell r="A909">
            <v>400011478</v>
          </cell>
        </row>
        <row r="910">
          <cell r="A910">
            <v>400022903</v>
          </cell>
        </row>
        <row r="911">
          <cell r="A911">
            <v>400048665</v>
          </cell>
        </row>
        <row r="912">
          <cell r="A912">
            <v>400001982</v>
          </cell>
        </row>
        <row r="913">
          <cell r="A913">
            <v>400035935</v>
          </cell>
        </row>
        <row r="914">
          <cell r="A914">
            <v>400039254</v>
          </cell>
        </row>
        <row r="915">
          <cell r="A915">
            <v>400048789</v>
          </cell>
        </row>
        <row r="916">
          <cell r="A916">
            <v>400021648</v>
          </cell>
        </row>
        <row r="917">
          <cell r="A917">
            <v>400021939</v>
          </cell>
        </row>
        <row r="918">
          <cell r="A918">
            <v>400057085</v>
          </cell>
        </row>
        <row r="919">
          <cell r="A919">
            <v>400040488</v>
          </cell>
        </row>
        <row r="920">
          <cell r="A920">
            <v>400041109</v>
          </cell>
        </row>
        <row r="921">
          <cell r="A921">
            <v>400049612</v>
          </cell>
        </row>
        <row r="922">
          <cell r="A922">
            <v>400058226</v>
          </cell>
        </row>
        <row r="923">
          <cell r="A923">
            <v>400014829</v>
          </cell>
        </row>
        <row r="924">
          <cell r="A924">
            <v>400030189</v>
          </cell>
        </row>
        <row r="925">
          <cell r="A925">
            <v>400039160</v>
          </cell>
        </row>
        <row r="926">
          <cell r="A926">
            <v>400048971</v>
          </cell>
        </row>
        <row r="927">
          <cell r="A927">
            <v>400058857</v>
          </cell>
        </row>
        <row r="928">
          <cell r="A928">
            <v>210281301</v>
          </cell>
        </row>
        <row r="929">
          <cell r="A929">
            <v>400038282</v>
          </cell>
        </row>
        <row r="930">
          <cell r="A930">
            <v>400035330</v>
          </cell>
        </row>
        <row r="931">
          <cell r="A931">
            <v>400037917</v>
          </cell>
        </row>
        <row r="932">
          <cell r="A932">
            <v>400043057</v>
          </cell>
        </row>
        <row r="933">
          <cell r="A933">
            <v>400026540</v>
          </cell>
        </row>
        <row r="934">
          <cell r="A934">
            <v>400058052</v>
          </cell>
        </row>
        <row r="935">
          <cell r="A935">
            <v>400021517</v>
          </cell>
        </row>
        <row r="936">
          <cell r="A936">
            <v>400025820</v>
          </cell>
        </row>
        <row r="937">
          <cell r="A937">
            <v>400045434</v>
          </cell>
        </row>
        <row r="938">
          <cell r="A938">
            <v>400055737</v>
          </cell>
        </row>
        <row r="939">
          <cell r="A939">
            <v>400011947</v>
          </cell>
        </row>
        <row r="940">
          <cell r="A940">
            <v>400014888</v>
          </cell>
        </row>
        <row r="941">
          <cell r="A941">
            <v>400046951</v>
          </cell>
        </row>
        <row r="942">
          <cell r="A942">
            <v>400031482</v>
          </cell>
        </row>
        <row r="943">
          <cell r="A943">
            <v>400042688</v>
          </cell>
        </row>
        <row r="944">
          <cell r="A944">
            <v>400045745</v>
          </cell>
        </row>
        <row r="945">
          <cell r="A945">
            <v>400054681</v>
          </cell>
        </row>
        <row r="946">
          <cell r="A946">
            <v>400055347</v>
          </cell>
        </row>
        <row r="947">
          <cell r="A947">
            <v>400022071</v>
          </cell>
        </row>
        <row r="948">
          <cell r="A948">
            <v>400008004</v>
          </cell>
        </row>
        <row r="949">
          <cell r="A949">
            <v>400030480</v>
          </cell>
        </row>
        <row r="950">
          <cell r="A950">
            <v>400032539</v>
          </cell>
        </row>
        <row r="951">
          <cell r="A951">
            <v>400055269</v>
          </cell>
        </row>
        <row r="952">
          <cell r="A952">
            <v>400057918</v>
          </cell>
        </row>
        <row r="953">
          <cell r="A953">
            <v>400010173</v>
          </cell>
        </row>
        <row r="954">
          <cell r="A954">
            <v>400016834</v>
          </cell>
        </row>
        <row r="955">
          <cell r="A955">
            <v>400023030</v>
          </cell>
        </row>
        <row r="956">
          <cell r="A956">
            <v>400030262</v>
          </cell>
        </row>
        <row r="957">
          <cell r="A957">
            <v>400041323</v>
          </cell>
        </row>
        <row r="958">
          <cell r="A958">
            <v>400056165</v>
          </cell>
        </row>
        <row r="959">
          <cell r="A959">
            <v>400030448</v>
          </cell>
        </row>
        <row r="960">
          <cell r="A960">
            <v>400030633</v>
          </cell>
        </row>
        <row r="961">
          <cell r="A961">
            <v>400045941</v>
          </cell>
        </row>
        <row r="962">
          <cell r="A962">
            <v>400034915</v>
          </cell>
        </row>
        <row r="963">
          <cell r="A963">
            <v>400000032</v>
          </cell>
        </row>
        <row r="964">
          <cell r="A964">
            <v>400009947</v>
          </cell>
        </row>
        <row r="965">
          <cell r="A965">
            <v>400019776</v>
          </cell>
        </row>
        <row r="966">
          <cell r="A966">
            <v>400028474</v>
          </cell>
        </row>
        <row r="967">
          <cell r="A967">
            <v>400054674</v>
          </cell>
        </row>
        <row r="968">
          <cell r="A968">
            <v>400058909</v>
          </cell>
        </row>
        <row r="969">
          <cell r="A969">
            <v>400005333</v>
          </cell>
        </row>
        <row r="970">
          <cell r="A970">
            <v>400014494</v>
          </cell>
        </row>
        <row r="971">
          <cell r="A971">
            <v>400025523</v>
          </cell>
        </row>
        <row r="972">
          <cell r="A972">
            <v>400049953</v>
          </cell>
        </row>
        <row r="973">
          <cell r="A973">
            <v>400011666</v>
          </cell>
        </row>
        <row r="974">
          <cell r="A974">
            <v>400044772</v>
          </cell>
        </row>
        <row r="975">
          <cell r="A975">
            <v>400026320</v>
          </cell>
        </row>
        <row r="976">
          <cell r="A976">
            <v>400044960</v>
          </cell>
        </row>
        <row r="977">
          <cell r="A977">
            <v>400037192</v>
          </cell>
        </row>
        <row r="978">
          <cell r="A978">
            <v>400015752</v>
          </cell>
        </row>
        <row r="979">
          <cell r="A979">
            <v>400028550</v>
          </cell>
        </row>
        <row r="980">
          <cell r="A980">
            <v>400054445</v>
          </cell>
        </row>
        <row r="981">
          <cell r="A981">
            <v>400013040</v>
          </cell>
        </row>
        <row r="982">
          <cell r="A982">
            <v>400008046</v>
          </cell>
        </row>
        <row r="983">
          <cell r="A983">
            <v>400020183</v>
          </cell>
        </row>
        <row r="984">
          <cell r="A984">
            <v>400025401</v>
          </cell>
        </row>
        <row r="985">
          <cell r="A985">
            <v>400026544</v>
          </cell>
        </row>
        <row r="986">
          <cell r="A986">
            <v>400034142</v>
          </cell>
        </row>
        <row r="987">
          <cell r="A987">
            <v>400048848</v>
          </cell>
        </row>
        <row r="988">
          <cell r="A988">
            <v>400009875</v>
          </cell>
        </row>
        <row r="989">
          <cell r="A989">
            <v>400033008</v>
          </cell>
        </row>
        <row r="990">
          <cell r="A990">
            <v>400033436</v>
          </cell>
        </row>
        <row r="991">
          <cell r="A991">
            <v>400015648</v>
          </cell>
        </row>
        <row r="992">
          <cell r="A992">
            <v>400033842</v>
          </cell>
        </row>
        <row r="993">
          <cell r="A993">
            <v>400051334</v>
          </cell>
        </row>
        <row r="994">
          <cell r="A994">
            <v>400055731</v>
          </cell>
        </row>
        <row r="995">
          <cell r="A995">
            <v>400055735</v>
          </cell>
        </row>
        <row r="996">
          <cell r="A996">
            <v>400055736</v>
          </cell>
        </row>
        <row r="997">
          <cell r="A997">
            <v>400002032</v>
          </cell>
        </row>
        <row r="998">
          <cell r="A998">
            <v>400041022</v>
          </cell>
        </row>
        <row r="999">
          <cell r="A999">
            <v>400031770</v>
          </cell>
        </row>
        <row r="1000">
          <cell r="A1000">
            <v>400033799</v>
          </cell>
        </row>
        <row r="1001">
          <cell r="A1001">
            <v>400035973</v>
          </cell>
        </row>
        <row r="1002">
          <cell r="A1002">
            <v>400036098</v>
          </cell>
        </row>
        <row r="1003">
          <cell r="A1003">
            <v>400016661</v>
          </cell>
        </row>
        <row r="1004">
          <cell r="A1004">
            <v>400040376</v>
          </cell>
        </row>
        <row r="1005">
          <cell r="A1005">
            <v>400058269</v>
          </cell>
        </row>
        <row r="1006">
          <cell r="A1006">
            <v>400007602</v>
          </cell>
        </row>
        <row r="1007">
          <cell r="A1007">
            <v>400023877</v>
          </cell>
        </row>
        <row r="1008">
          <cell r="A1008">
            <v>400048113</v>
          </cell>
        </row>
        <row r="1009">
          <cell r="A1009">
            <v>400015128</v>
          </cell>
        </row>
        <row r="1010">
          <cell r="A1010">
            <v>400056462</v>
          </cell>
        </row>
        <row r="1011">
          <cell r="A1011">
            <v>400010967</v>
          </cell>
        </row>
        <row r="1012">
          <cell r="A1012">
            <v>400025411</v>
          </cell>
        </row>
        <row r="1013">
          <cell r="A1013">
            <v>400058144</v>
          </cell>
        </row>
        <row r="1014">
          <cell r="A1014">
            <v>400058913</v>
          </cell>
        </row>
        <row r="1015">
          <cell r="A1015">
            <v>400008006</v>
          </cell>
        </row>
        <row r="1016">
          <cell r="A1016">
            <v>302211011</v>
          </cell>
        </row>
        <row r="1017">
          <cell r="A1017">
            <v>400031433</v>
          </cell>
        </row>
        <row r="1018">
          <cell r="A1018">
            <v>400031479</v>
          </cell>
        </row>
        <row r="1019">
          <cell r="A1019">
            <v>400031480</v>
          </cell>
        </row>
        <row r="1020">
          <cell r="A1020">
            <v>400050954</v>
          </cell>
        </row>
        <row r="1021">
          <cell r="A1021">
            <v>400000364</v>
          </cell>
        </row>
        <row r="1022">
          <cell r="A1022">
            <v>400014975</v>
          </cell>
        </row>
        <row r="1023">
          <cell r="A1023">
            <v>400036248</v>
          </cell>
        </row>
        <row r="1024">
          <cell r="A1024">
            <v>400047855</v>
          </cell>
        </row>
        <row r="1025">
          <cell r="A1025">
            <v>400050092</v>
          </cell>
        </row>
        <row r="1026">
          <cell r="A1026">
            <v>400041257</v>
          </cell>
        </row>
        <row r="1027">
          <cell r="A1027">
            <v>400053251</v>
          </cell>
        </row>
        <row r="1028">
          <cell r="A1028">
            <v>400014609</v>
          </cell>
        </row>
        <row r="1029">
          <cell r="A1029">
            <v>400028642</v>
          </cell>
        </row>
        <row r="1030">
          <cell r="A1030">
            <v>400031197</v>
          </cell>
        </row>
        <row r="1031">
          <cell r="A1031">
            <v>400033451</v>
          </cell>
        </row>
        <row r="1032">
          <cell r="A1032">
            <v>400052232</v>
          </cell>
        </row>
        <row r="1033">
          <cell r="A1033">
            <v>400018429</v>
          </cell>
        </row>
        <row r="1034">
          <cell r="A1034">
            <v>400032484</v>
          </cell>
        </row>
        <row r="1035">
          <cell r="A1035">
            <v>400053105</v>
          </cell>
        </row>
        <row r="1036">
          <cell r="A1036">
            <v>400056328</v>
          </cell>
        </row>
        <row r="1037">
          <cell r="A1037">
            <v>400056398</v>
          </cell>
        </row>
        <row r="1038">
          <cell r="A1038">
            <v>400059765</v>
          </cell>
        </row>
        <row r="1039">
          <cell r="A1039">
            <v>400007403</v>
          </cell>
        </row>
        <row r="1040">
          <cell r="A1040">
            <v>400020298</v>
          </cell>
        </row>
        <row r="1041">
          <cell r="A1041">
            <v>400029874</v>
          </cell>
        </row>
        <row r="1042">
          <cell r="A1042">
            <v>400036187</v>
          </cell>
        </row>
        <row r="1043">
          <cell r="A1043">
            <v>400055271</v>
          </cell>
        </row>
        <row r="1044">
          <cell r="A1044">
            <v>400055677</v>
          </cell>
        </row>
        <row r="1045">
          <cell r="A1045">
            <v>400012517</v>
          </cell>
        </row>
        <row r="1046">
          <cell r="A1046">
            <v>400031481</v>
          </cell>
        </row>
        <row r="1047">
          <cell r="A1047">
            <v>400044578</v>
          </cell>
        </row>
        <row r="1048">
          <cell r="A1048">
            <v>400027714</v>
          </cell>
        </row>
        <row r="1049">
          <cell r="A1049">
            <v>400027865</v>
          </cell>
        </row>
        <row r="1050">
          <cell r="A1050">
            <v>400050945</v>
          </cell>
        </row>
        <row r="1051">
          <cell r="A1051">
            <v>400009770</v>
          </cell>
        </row>
        <row r="1052">
          <cell r="A1052">
            <v>400020073</v>
          </cell>
        </row>
        <row r="1053">
          <cell r="A1053">
            <v>400042381</v>
          </cell>
        </row>
        <row r="1054">
          <cell r="A1054">
            <v>400002499</v>
          </cell>
        </row>
        <row r="1055">
          <cell r="A1055">
            <v>400007296</v>
          </cell>
        </row>
        <row r="1056">
          <cell r="A1056">
            <v>400019619</v>
          </cell>
        </row>
        <row r="1057">
          <cell r="A1057">
            <v>400021580</v>
          </cell>
        </row>
        <row r="1058">
          <cell r="A1058">
            <v>400033245</v>
          </cell>
        </row>
        <row r="1059">
          <cell r="A1059">
            <v>400037314</v>
          </cell>
        </row>
        <row r="1060">
          <cell r="A1060">
            <v>400003717</v>
          </cell>
        </row>
        <row r="1061">
          <cell r="A1061">
            <v>400057746</v>
          </cell>
        </row>
        <row r="1062">
          <cell r="A1062">
            <v>400038687</v>
          </cell>
        </row>
        <row r="1063">
          <cell r="A1063">
            <v>400044754</v>
          </cell>
        </row>
        <row r="1064">
          <cell r="A1064">
            <v>400045800</v>
          </cell>
        </row>
        <row r="1065">
          <cell r="A1065">
            <v>400004350</v>
          </cell>
        </row>
        <row r="1066">
          <cell r="A1066">
            <v>400010750</v>
          </cell>
        </row>
        <row r="1067">
          <cell r="A1067">
            <v>400011473</v>
          </cell>
        </row>
        <row r="1068">
          <cell r="A1068">
            <v>400032328</v>
          </cell>
        </row>
        <row r="1069">
          <cell r="A1069">
            <v>400049534</v>
          </cell>
        </row>
        <row r="1070">
          <cell r="A1070">
            <v>400001058</v>
          </cell>
        </row>
        <row r="1071">
          <cell r="A1071">
            <v>400026601</v>
          </cell>
        </row>
        <row r="1072">
          <cell r="A1072">
            <v>400026608</v>
          </cell>
        </row>
        <row r="1073">
          <cell r="A1073">
            <v>400026609</v>
          </cell>
        </row>
        <row r="1074">
          <cell r="A1074">
            <v>400027683</v>
          </cell>
        </row>
        <row r="1075">
          <cell r="A1075">
            <v>400032571</v>
          </cell>
        </row>
        <row r="1076">
          <cell r="A1076">
            <v>400016960</v>
          </cell>
        </row>
        <row r="1077">
          <cell r="A1077">
            <v>400018088</v>
          </cell>
        </row>
        <row r="1078">
          <cell r="A1078">
            <v>400021040</v>
          </cell>
        </row>
        <row r="1079">
          <cell r="A1079">
            <v>208201234</v>
          </cell>
        </row>
        <row r="1080">
          <cell r="A1080">
            <v>400008103</v>
          </cell>
        </row>
        <row r="1081">
          <cell r="A1081">
            <v>400019501</v>
          </cell>
        </row>
        <row r="1082">
          <cell r="A1082">
            <v>400030674</v>
          </cell>
        </row>
        <row r="1083">
          <cell r="A1083">
            <v>400047302</v>
          </cell>
        </row>
        <row r="1084">
          <cell r="A1084">
            <v>400007870</v>
          </cell>
        </row>
        <row r="1085">
          <cell r="A1085">
            <v>400009991</v>
          </cell>
        </row>
        <row r="1086">
          <cell r="A1086">
            <v>400044569</v>
          </cell>
        </row>
        <row r="1087">
          <cell r="A1087">
            <v>400028280</v>
          </cell>
        </row>
        <row r="1088">
          <cell r="A1088">
            <v>400029975</v>
          </cell>
        </row>
        <row r="1089">
          <cell r="A1089">
            <v>400031858</v>
          </cell>
        </row>
        <row r="1090">
          <cell r="A1090">
            <v>400041065</v>
          </cell>
        </row>
        <row r="1091">
          <cell r="A1091">
            <v>400006630</v>
          </cell>
        </row>
        <row r="1092">
          <cell r="A1092">
            <v>400026607</v>
          </cell>
        </row>
        <row r="1093">
          <cell r="A1093">
            <v>400030918</v>
          </cell>
        </row>
        <row r="1094">
          <cell r="A1094">
            <v>400040438</v>
          </cell>
        </row>
        <row r="1095">
          <cell r="A1095">
            <v>400043376</v>
          </cell>
        </row>
        <row r="1096">
          <cell r="A1096">
            <v>400059118</v>
          </cell>
        </row>
        <row r="1097">
          <cell r="A1097">
            <v>400015564</v>
          </cell>
        </row>
        <row r="1098">
          <cell r="A1098">
            <v>400039379</v>
          </cell>
        </row>
        <row r="1099">
          <cell r="A1099">
            <v>400048089</v>
          </cell>
        </row>
        <row r="1100">
          <cell r="A1100">
            <v>400050503</v>
          </cell>
        </row>
        <row r="1101">
          <cell r="A1101">
            <v>400056269</v>
          </cell>
        </row>
        <row r="1102">
          <cell r="A1102">
            <v>400015352</v>
          </cell>
        </row>
        <row r="1103">
          <cell r="A1103">
            <v>400035329</v>
          </cell>
        </row>
        <row r="1104">
          <cell r="A1104">
            <v>400041113</v>
          </cell>
        </row>
        <row r="1105">
          <cell r="A1105">
            <v>400026294</v>
          </cell>
        </row>
        <row r="1106">
          <cell r="A1106">
            <v>400040928</v>
          </cell>
        </row>
        <row r="1107">
          <cell r="A1107">
            <v>400053176</v>
          </cell>
        </row>
        <row r="1108">
          <cell r="A1108">
            <v>400000016</v>
          </cell>
        </row>
        <row r="1109">
          <cell r="A1109">
            <v>400022302</v>
          </cell>
        </row>
        <row r="1110">
          <cell r="A1110">
            <v>400032153</v>
          </cell>
        </row>
        <row r="1111">
          <cell r="A1111">
            <v>400018846</v>
          </cell>
        </row>
        <row r="1112">
          <cell r="A1112">
            <v>400029480</v>
          </cell>
        </row>
        <row r="1113">
          <cell r="A1113">
            <v>400031991</v>
          </cell>
        </row>
        <row r="1114">
          <cell r="A1114">
            <v>400034829</v>
          </cell>
        </row>
        <row r="1115">
          <cell r="A1115">
            <v>400042851</v>
          </cell>
        </row>
        <row r="1116">
          <cell r="A1116">
            <v>400048329</v>
          </cell>
        </row>
        <row r="1117">
          <cell r="A1117">
            <v>400049625</v>
          </cell>
        </row>
        <row r="1118">
          <cell r="A1118">
            <v>400002621</v>
          </cell>
        </row>
        <row r="1119">
          <cell r="A1119">
            <v>400010564</v>
          </cell>
        </row>
        <row r="1120">
          <cell r="A1120">
            <v>400011768</v>
          </cell>
        </row>
        <row r="1121">
          <cell r="A1121">
            <v>400018293</v>
          </cell>
        </row>
        <row r="1122">
          <cell r="A1122">
            <v>400033476</v>
          </cell>
        </row>
        <row r="1123">
          <cell r="A1123">
            <v>400035195</v>
          </cell>
        </row>
        <row r="1124">
          <cell r="A1124">
            <v>400042460</v>
          </cell>
        </row>
        <row r="1125">
          <cell r="A1125">
            <v>212000000</v>
          </cell>
        </row>
        <row r="1126">
          <cell r="A1126">
            <v>400005162</v>
          </cell>
        </row>
        <row r="1127">
          <cell r="A1127">
            <v>400005520</v>
          </cell>
        </row>
        <row r="1128">
          <cell r="A1128">
            <v>400011370</v>
          </cell>
        </row>
        <row r="1129">
          <cell r="A1129">
            <v>400019848</v>
          </cell>
        </row>
        <row r="1130">
          <cell r="A1130">
            <v>400030375</v>
          </cell>
        </row>
        <row r="1131">
          <cell r="A1131">
            <v>400041243</v>
          </cell>
        </row>
        <row r="1132">
          <cell r="A1132">
            <v>400018724</v>
          </cell>
        </row>
        <row r="1133">
          <cell r="A1133">
            <v>400056152</v>
          </cell>
        </row>
        <row r="1134">
          <cell r="A1134">
            <v>400056153</v>
          </cell>
        </row>
        <row r="1135">
          <cell r="A1135">
            <v>400056154</v>
          </cell>
        </row>
        <row r="1136">
          <cell r="A1136">
            <v>210281320</v>
          </cell>
        </row>
        <row r="1137">
          <cell r="A1137">
            <v>400000912</v>
          </cell>
        </row>
        <row r="1138">
          <cell r="A1138">
            <v>400014814</v>
          </cell>
        </row>
        <row r="1139">
          <cell r="A1139">
            <v>400021949</v>
          </cell>
        </row>
        <row r="1140">
          <cell r="A1140">
            <v>400048809</v>
          </cell>
        </row>
        <row r="1141">
          <cell r="A1141">
            <v>400036212</v>
          </cell>
        </row>
        <row r="1142">
          <cell r="A1142">
            <v>400047172</v>
          </cell>
        </row>
        <row r="1143">
          <cell r="A1143">
            <v>400052476</v>
          </cell>
        </row>
        <row r="1144">
          <cell r="A1144">
            <v>400011083</v>
          </cell>
        </row>
        <row r="1145">
          <cell r="A1145">
            <v>400016872</v>
          </cell>
        </row>
        <row r="1146">
          <cell r="A1146">
            <v>400003548</v>
          </cell>
        </row>
        <row r="1147">
          <cell r="A1147">
            <v>400031504</v>
          </cell>
        </row>
        <row r="1148">
          <cell r="A1148">
            <v>400004379</v>
          </cell>
        </row>
        <row r="1149">
          <cell r="A1149">
            <v>400028281</v>
          </cell>
        </row>
        <row r="1150">
          <cell r="A1150">
            <v>400029187</v>
          </cell>
        </row>
        <row r="1151">
          <cell r="A1151">
            <v>400011082</v>
          </cell>
        </row>
        <row r="1152">
          <cell r="A1152">
            <v>400030275</v>
          </cell>
        </row>
        <row r="1153">
          <cell r="A1153">
            <v>400030803</v>
          </cell>
        </row>
        <row r="1154">
          <cell r="A1154">
            <v>400051300</v>
          </cell>
        </row>
        <row r="1155">
          <cell r="A1155">
            <v>400054610</v>
          </cell>
        </row>
        <row r="1156">
          <cell r="A1156">
            <v>400002577</v>
          </cell>
        </row>
        <row r="1157">
          <cell r="A1157">
            <v>400008008</v>
          </cell>
        </row>
        <row r="1158">
          <cell r="A1158">
            <v>400027485</v>
          </cell>
        </row>
        <row r="1159">
          <cell r="A1159">
            <v>400042821</v>
          </cell>
        </row>
        <row r="1160">
          <cell r="A1160">
            <v>400050457</v>
          </cell>
        </row>
        <row r="1161">
          <cell r="A1161">
            <v>400054607</v>
          </cell>
        </row>
        <row r="1162">
          <cell r="A1162">
            <v>400015236</v>
          </cell>
        </row>
        <row r="1163">
          <cell r="A1163">
            <v>400021423</v>
          </cell>
        </row>
        <row r="1164">
          <cell r="A1164">
            <v>400021977</v>
          </cell>
        </row>
        <row r="1165">
          <cell r="A1165">
            <v>400009567</v>
          </cell>
        </row>
        <row r="1166">
          <cell r="A1166">
            <v>400027989</v>
          </cell>
        </row>
        <row r="1167">
          <cell r="A1167">
            <v>400029529</v>
          </cell>
        </row>
        <row r="1168">
          <cell r="A1168">
            <v>400013386</v>
          </cell>
        </row>
        <row r="1169">
          <cell r="A1169">
            <v>400043182</v>
          </cell>
        </row>
        <row r="1170">
          <cell r="A1170">
            <v>400020080</v>
          </cell>
        </row>
        <row r="1171">
          <cell r="A1171">
            <v>400033841</v>
          </cell>
        </row>
        <row r="1172">
          <cell r="A1172">
            <v>400034817</v>
          </cell>
        </row>
        <row r="1173">
          <cell r="A1173">
            <v>400041817</v>
          </cell>
        </row>
        <row r="1174">
          <cell r="A1174">
            <v>400050909</v>
          </cell>
        </row>
        <row r="1175">
          <cell r="A1175">
            <v>400008054</v>
          </cell>
        </row>
        <row r="1176">
          <cell r="A1176">
            <v>400009896</v>
          </cell>
        </row>
        <row r="1177">
          <cell r="A1177">
            <v>400015275</v>
          </cell>
        </row>
        <row r="1178">
          <cell r="A1178">
            <v>400022618</v>
          </cell>
        </row>
        <row r="1179">
          <cell r="A1179">
            <v>400028877</v>
          </cell>
        </row>
        <row r="1180">
          <cell r="A1180">
            <v>400043342</v>
          </cell>
        </row>
        <row r="1181">
          <cell r="A1181">
            <v>400050549</v>
          </cell>
        </row>
        <row r="1182">
          <cell r="A1182">
            <v>400052226</v>
          </cell>
        </row>
        <row r="1183">
          <cell r="A1183">
            <v>400018635</v>
          </cell>
        </row>
        <row r="1184">
          <cell r="A1184">
            <v>400032988</v>
          </cell>
        </row>
        <row r="1185">
          <cell r="A1185">
            <v>400042934</v>
          </cell>
        </row>
        <row r="1186">
          <cell r="A1186">
            <v>400017600</v>
          </cell>
        </row>
        <row r="1187">
          <cell r="A1187">
            <v>400019028</v>
          </cell>
        </row>
        <row r="1188">
          <cell r="A1188">
            <v>400034075</v>
          </cell>
        </row>
        <row r="1189">
          <cell r="A1189">
            <v>400037320</v>
          </cell>
        </row>
        <row r="1190">
          <cell r="A1190">
            <v>400007826</v>
          </cell>
        </row>
        <row r="1191">
          <cell r="A1191">
            <v>400014056</v>
          </cell>
        </row>
        <row r="1192">
          <cell r="A1192">
            <v>400017223</v>
          </cell>
        </row>
        <row r="1193">
          <cell r="A1193">
            <v>400030199</v>
          </cell>
        </row>
        <row r="1194">
          <cell r="A1194">
            <v>400036341</v>
          </cell>
        </row>
        <row r="1195">
          <cell r="A1195">
            <v>400021307</v>
          </cell>
        </row>
        <row r="1196">
          <cell r="A1196">
            <v>400033693</v>
          </cell>
        </row>
        <row r="1197">
          <cell r="A1197">
            <v>400041433</v>
          </cell>
        </row>
        <row r="1198">
          <cell r="A1198">
            <v>400002656</v>
          </cell>
        </row>
        <row r="1199">
          <cell r="A1199">
            <v>400003918</v>
          </cell>
        </row>
        <row r="1200">
          <cell r="A1200">
            <v>400005444</v>
          </cell>
        </row>
        <row r="1201">
          <cell r="A1201">
            <v>400013978</v>
          </cell>
        </row>
        <row r="1202">
          <cell r="A1202">
            <v>400043349</v>
          </cell>
        </row>
        <row r="1203">
          <cell r="A1203">
            <v>400003085</v>
          </cell>
        </row>
        <row r="1204">
          <cell r="A1204">
            <v>400018247</v>
          </cell>
        </row>
        <row r="1205">
          <cell r="A1205">
            <v>400024508</v>
          </cell>
        </row>
        <row r="1206">
          <cell r="A1206">
            <v>400037167</v>
          </cell>
        </row>
        <row r="1207">
          <cell r="A1207">
            <v>400054074</v>
          </cell>
        </row>
        <row r="1208">
          <cell r="A1208">
            <v>400013210</v>
          </cell>
        </row>
        <row r="1209">
          <cell r="A1209">
            <v>400017186</v>
          </cell>
        </row>
        <row r="1210">
          <cell r="A1210">
            <v>400021209</v>
          </cell>
        </row>
        <row r="1211">
          <cell r="A1211">
            <v>400032220</v>
          </cell>
        </row>
        <row r="1212">
          <cell r="A1212">
            <v>400040773</v>
          </cell>
        </row>
        <row r="1213">
          <cell r="A1213">
            <v>400014472</v>
          </cell>
        </row>
        <row r="1214">
          <cell r="A1214">
            <v>400025245</v>
          </cell>
        </row>
        <row r="1215">
          <cell r="A1215">
            <v>400041398</v>
          </cell>
        </row>
        <row r="1216">
          <cell r="A1216">
            <v>400036073</v>
          </cell>
        </row>
        <row r="1217">
          <cell r="A1217">
            <v>400008062</v>
          </cell>
        </row>
        <row r="1218">
          <cell r="A1218">
            <v>400011185</v>
          </cell>
        </row>
        <row r="1219">
          <cell r="A1219">
            <v>400030726</v>
          </cell>
        </row>
        <row r="1220">
          <cell r="A1220">
            <v>400055050</v>
          </cell>
        </row>
        <row r="1221">
          <cell r="A1221">
            <v>400007935</v>
          </cell>
        </row>
        <row r="1222">
          <cell r="A1222">
            <v>400025131</v>
          </cell>
        </row>
        <row r="1223">
          <cell r="A1223">
            <v>400000656</v>
          </cell>
        </row>
        <row r="1224">
          <cell r="A1224">
            <v>400000961</v>
          </cell>
        </row>
        <row r="1225">
          <cell r="A1225">
            <v>400032528</v>
          </cell>
        </row>
        <row r="1226">
          <cell r="A1226">
            <v>400038465</v>
          </cell>
        </row>
        <row r="1227">
          <cell r="A1227">
            <v>400038466</v>
          </cell>
        </row>
        <row r="1228">
          <cell r="A1228">
            <v>400038467</v>
          </cell>
        </row>
        <row r="1229">
          <cell r="A1229">
            <v>400038468</v>
          </cell>
        </row>
        <row r="1230">
          <cell r="A1230">
            <v>400020079</v>
          </cell>
        </row>
        <row r="1231">
          <cell r="A1231">
            <v>400025521</v>
          </cell>
        </row>
        <row r="1232">
          <cell r="A1232">
            <v>400036771</v>
          </cell>
        </row>
        <row r="1233">
          <cell r="A1233">
            <v>400044781</v>
          </cell>
        </row>
        <row r="1234">
          <cell r="A1234">
            <v>400003893</v>
          </cell>
        </row>
        <row r="1235">
          <cell r="A1235">
            <v>400006276</v>
          </cell>
        </row>
        <row r="1236">
          <cell r="A1236">
            <v>400015810</v>
          </cell>
        </row>
        <row r="1237">
          <cell r="A1237">
            <v>400027506</v>
          </cell>
        </row>
        <row r="1238">
          <cell r="A1238">
            <v>400028445</v>
          </cell>
        </row>
        <row r="1239">
          <cell r="A1239">
            <v>400032222</v>
          </cell>
        </row>
        <row r="1240">
          <cell r="A1240">
            <v>400043432</v>
          </cell>
        </row>
        <row r="1241">
          <cell r="A1241">
            <v>400009433</v>
          </cell>
        </row>
        <row r="1242">
          <cell r="A1242">
            <v>400017319</v>
          </cell>
        </row>
        <row r="1243">
          <cell r="A1243">
            <v>400021510</v>
          </cell>
        </row>
        <row r="1244">
          <cell r="A1244">
            <v>400050633</v>
          </cell>
        </row>
        <row r="1245">
          <cell r="A1245">
            <v>400057740</v>
          </cell>
        </row>
        <row r="1246">
          <cell r="A1246">
            <v>400004939</v>
          </cell>
        </row>
        <row r="1247">
          <cell r="A1247">
            <v>400007711</v>
          </cell>
        </row>
        <row r="1248">
          <cell r="A1248">
            <v>400010225</v>
          </cell>
        </row>
        <row r="1249">
          <cell r="A1249">
            <v>400051411</v>
          </cell>
        </row>
        <row r="1250">
          <cell r="A1250">
            <v>210281327</v>
          </cell>
        </row>
        <row r="1251">
          <cell r="A1251">
            <v>400011744</v>
          </cell>
        </row>
        <row r="1252">
          <cell r="A1252">
            <v>400016318</v>
          </cell>
        </row>
        <row r="1253">
          <cell r="A1253">
            <v>400021334</v>
          </cell>
        </row>
        <row r="1254">
          <cell r="A1254">
            <v>400028359</v>
          </cell>
        </row>
        <row r="1255">
          <cell r="A1255">
            <v>400044043</v>
          </cell>
        </row>
        <row r="1256">
          <cell r="A1256">
            <v>400016790</v>
          </cell>
        </row>
        <row r="1257">
          <cell r="A1257">
            <v>400018944</v>
          </cell>
        </row>
        <row r="1258">
          <cell r="A1258">
            <v>400020078</v>
          </cell>
        </row>
        <row r="1259">
          <cell r="A1259">
            <v>400021333</v>
          </cell>
        </row>
        <row r="1260">
          <cell r="A1260">
            <v>400057546</v>
          </cell>
        </row>
        <row r="1261">
          <cell r="A1261">
            <v>212181609</v>
          </cell>
        </row>
        <row r="1262">
          <cell r="A1262">
            <v>400010372</v>
          </cell>
        </row>
        <row r="1263">
          <cell r="A1263">
            <v>400024411</v>
          </cell>
        </row>
        <row r="1264">
          <cell r="A1264">
            <v>400024548</v>
          </cell>
        </row>
        <row r="1265">
          <cell r="A1265">
            <v>400031900</v>
          </cell>
        </row>
        <row r="1266">
          <cell r="A1266">
            <v>400046373</v>
          </cell>
        </row>
        <row r="1267">
          <cell r="A1267">
            <v>400048416</v>
          </cell>
        </row>
        <row r="1268">
          <cell r="A1268">
            <v>400020071</v>
          </cell>
        </row>
        <row r="1269">
          <cell r="A1269">
            <v>400026691</v>
          </cell>
        </row>
        <row r="1270">
          <cell r="A1270">
            <v>400027951</v>
          </cell>
        </row>
        <row r="1271">
          <cell r="A1271">
            <v>400033903</v>
          </cell>
        </row>
        <row r="1272">
          <cell r="A1272">
            <v>400024251</v>
          </cell>
        </row>
        <row r="1273">
          <cell r="A1273">
            <v>400032877</v>
          </cell>
        </row>
        <row r="1274">
          <cell r="A1274">
            <v>400048659</v>
          </cell>
        </row>
        <row r="1275">
          <cell r="A1275">
            <v>400048846</v>
          </cell>
        </row>
        <row r="1276">
          <cell r="A1276">
            <v>400053467</v>
          </cell>
        </row>
        <row r="1277">
          <cell r="A1277">
            <v>211011229</v>
          </cell>
        </row>
        <row r="1278">
          <cell r="A1278">
            <v>303111044</v>
          </cell>
        </row>
        <row r="1279">
          <cell r="A1279">
            <v>400001918</v>
          </cell>
        </row>
        <row r="1280">
          <cell r="A1280">
            <v>400033823</v>
          </cell>
        </row>
        <row r="1281">
          <cell r="A1281">
            <v>400042641</v>
          </cell>
        </row>
        <row r="1282">
          <cell r="A1282">
            <v>302210941</v>
          </cell>
        </row>
        <row r="1283">
          <cell r="A1283">
            <v>400009660</v>
          </cell>
        </row>
        <row r="1284">
          <cell r="A1284">
            <v>400021187</v>
          </cell>
        </row>
        <row r="1285">
          <cell r="A1285">
            <v>400023208</v>
          </cell>
        </row>
        <row r="1286">
          <cell r="A1286">
            <v>400028032</v>
          </cell>
        </row>
        <row r="1287">
          <cell r="A1287">
            <v>400029399</v>
          </cell>
        </row>
        <row r="1288">
          <cell r="A1288">
            <v>400029511</v>
          </cell>
        </row>
        <row r="1289">
          <cell r="A1289">
            <v>400029571</v>
          </cell>
        </row>
        <row r="1290">
          <cell r="A1290">
            <v>400035720</v>
          </cell>
        </row>
        <row r="1291">
          <cell r="A1291">
            <v>400052496</v>
          </cell>
        </row>
        <row r="1292">
          <cell r="A1292">
            <v>400024378</v>
          </cell>
        </row>
        <row r="1293">
          <cell r="A1293">
            <v>400030601</v>
          </cell>
        </row>
        <row r="1294">
          <cell r="A1294">
            <v>400034822</v>
          </cell>
        </row>
        <row r="1295">
          <cell r="A1295">
            <v>400037557</v>
          </cell>
        </row>
        <row r="1296">
          <cell r="A1296">
            <v>400039697</v>
          </cell>
        </row>
        <row r="1297">
          <cell r="A1297">
            <v>400047343</v>
          </cell>
        </row>
        <row r="1298">
          <cell r="A1298">
            <v>400058658</v>
          </cell>
        </row>
        <row r="1299">
          <cell r="A1299">
            <v>206061751</v>
          </cell>
        </row>
        <row r="1300">
          <cell r="A1300">
            <v>400001172</v>
          </cell>
        </row>
        <row r="1301">
          <cell r="A1301">
            <v>400006806</v>
          </cell>
        </row>
        <row r="1302">
          <cell r="A1302">
            <v>400017959</v>
          </cell>
        </row>
        <row r="1303">
          <cell r="A1303">
            <v>400048397</v>
          </cell>
        </row>
        <row r="1304">
          <cell r="A1304">
            <v>204091242</v>
          </cell>
        </row>
        <row r="1305">
          <cell r="A1305">
            <v>400012311</v>
          </cell>
        </row>
        <row r="1306">
          <cell r="A1306">
            <v>400037786</v>
          </cell>
        </row>
        <row r="1307">
          <cell r="A1307">
            <v>400040814</v>
          </cell>
        </row>
        <row r="1308">
          <cell r="A1308">
            <v>400031687</v>
          </cell>
        </row>
        <row r="1309">
          <cell r="A1309">
            <v>400039473</v>
          </cell>
        </row>
        <row r="1310">
          <cell r="A1310">
            <v>400053904</v>
          </cell>
        </row>
        <row r="1311">
          <cell r="A1311">
            <v>400057143</v>
          </cell>
        </row>
        <row r="1312">
          <cell r="A1312">
            <v>400018000</v>
          </cell>
        </row>
        <row r="1313">
          <cell r="A1313">
            <v>400018003</v>
          </cell>
        </row>
        <row r="1314">
          <cell r="A1314">
            <v>400027602</v>
          </cell>
        </row>
        <row r="1315">
          <cell r="A1315">
            <v>400031685</v>
          </cell>
        </row>
        <row r="1316">
          <cell r="A1316">
            <v>400033077</v>
          </cell>
        </row>
        <row r="1317">
          <cell r="A1317">
            <v>400052162</v>
          </cell>
        </row>
        <row r="1318">
          <cell r="A1318">
            <v>400001592</v>
          </cell>
        </row>
        <row r="1319">
          <cell r="A1319">
            <v>400003582</v>
          </cell>
        </row>
        <row r="1320">
          <cell r="A1320">
            <v>400018977</v>
          </cell>
        </row>
        <row r="1321">
          <cell r="A1321">
            <v>400019781</v>
          </cell>
        </row>
        <row r="1322">
          <cell r="A1322">
            <v>400002417</v>
          </cell>
        </row>
        <row r="1323">
          <cell r="A1323">
            <v>400003373</v>
          </cell>
        </row>
        <row r="1324">
          <cell r="A1324">
            <v>400011028</v>
          </cell>
        </row>
        <row r="1325">
          <cell r="A1325">
            <v>400038076</v>
          </cell>
        </row>
        <row r="1326">
          <cell r="A1326">
            <v>400039944</v>
          </cell>
        </row>
        <row r="1327">
          <cell r="A1327">
            <v>400049911</v>
          </cell>
        </row>
        <row r="1328">
          <cell r="A1328">
            <v>400013639</v>
          </cell>
        </row>
        <row r="1329">
          <cell r="A1329">
            <v>400038653</v>
          </cell>
        </row>
        <row r="1330">
          <cell r="A1330">
            <v>400038705</v>
          </cell>
        </row>
        <row r="1331">
          <cell r="A1331">
            <v>400002619</v>
          </cell>
        </row>
        <row r="1332">
          <cell r="A1332">
            <v>400007562</v>
          </cell>
        </row>
        <row r="1333">
          <cell r="A1333">
            <v>400032925</v>
          </cell>
        </row>
        <row r="1334">
          <cell r="A1334">
            <v>400053899</v>
          </cell>
        </row>
        <row r="1335">
          <cell r="A1335">
            <v>400054137</v>
          </cell>
        </row>
        <row r="1336">
          <cell r="A1336">
            <v>400009523</v>
          </cell>
        </row>
        <row r="1337">
          <cell r="A1337">
            <v>400010982</v>
          </cell>
        </row>
        <row r="1338">
          <cell r="A1338">
            <v>400011157</v>
          </cell>
        </row>
        <row r="1339">
          <cell r="A1339">
            <v>400013589</v>
          </cell>
        </row>
        <row r="1340">
          <cell r="A1340">
            <v>400015276</v>
          </cell>
        </row>
        <row r="1341">
          <cell r="A1341">
            <v>400030076</v>
          </cell>
        </row>
        <row r="1342">
          <cell r="A1342">
            <v>400032282</v>
          </cell>
        </row>
        <row r="1343">
          <cell r="A1343">
            <v>400000102</v>
          </cell>
        </row>
        <row r="1344">
          <cell r="A1344">
            <v>400004898</v>
          </cell>
        </row>
        <row r="1345">
          <cell r="A1345">
            <v>400021295</v>
          </cell>
        </row>
        <row r="1346">
          <cell r="A1346">
            <v>400038169</v>
          </cell>
        </row>
        <row r="1347">
          <cell r="A1347">
            <v>400038434</v>
          </cell>
        </row>
        <row r="1348">
          <cell r="A1348">
            <v>400021978</v>
          </cell>
        </row>
        <row r="1349">
          <cell r="A1349">
            <v>400027214</v>
          </cell>
        </row>
        <row r="1350">
          <cell r="A1350">
            <v>400006516</v>
          </cell>
        </row>
        <row r="1351">
          <cell r="A1351">
            <v>400011199</v>
          </cell>
        </row>
        <row r="1352">
          <cell r="A1352">
            <v>400032532</v>
          </cell>
        </row>
        <row r="1353">
          <cell r="A1353">
            <v>400036724</v>
          </cell>
        </row>
        <row r="1354">
          <cell r="A1354">
            <v>400041432</v>
          </cell>
        </row>
        <row r="1355">
          <cell r="A1355">
            <v>400010616</v>
          </cell>
        </row>
        <row r="1356">
          <cell r="A1356">
            <v>400029216</v>
          </cell>
        </row>
        <row r="1357">
          <cell r="A1357">
            <v>400035183</v>
          </cell>
        </row>
        <row r="1358">
          <cell r="A1358">
            <v>400057192</v>
          </cell>
        </row>
        <row r="1359">
          <cell r="A1359">
            <v>400000338</v>
          </cell>
        </row>
        <row r="1360">
          <cell r="A1360">
            <v>400004211</v>
          </cell>
        </row>
        <row r="1361">
          <cell r="A1361">
            <v>400010580</v>
          </cell>
        </row>
        <row r="1362">
          <cell r="A1362">
            <v>400010813</v>
          </cell>
        </row>
        <row r="1363">
          <cell r="A1363">
            <v>400020077</v>
          </cell>
        </row>
        <row r="1364">
          <cell r="A1364">
            <v>400021163</v>
          </cell>
        </row>
        <row r="1365">
          <cell r="A1365">
            <v>400024408</v>
          </cell>
        </row>
        <row r="1366">
          <cell r="A1366">
            <v>400025071</v>
          </cell>
        </row>
        <row r="1367">
          <cell r="A1367">
            <v>400030840</v>
          </cell>
        </row>
        <row r="1368">
          <cell r="A1368">
            <v>400031063</v>
          </cell>
        </row>
        <row r="1369">
          <cell r="A1369">
            <v>400032631</v>
          </cell>
        </row>
        <row r="1370">
          <cell r="A1370">
            <v>400044571</v>
          </cell>
        </row>
        <row r="1371">
          <cell r="A1371">
            <v>400017125</v>
          </cell>
        </row>
        <row r="1372">
          <cell r="A1372">
            <v>400017964</v>
          </cell>
        </row>
        <row r="1373">
          <cell r="A1373">
            <v>400019621</v>
          </cell>
        </row>
        <row r="1374">
          <cell r="A1374">
            <v>400019956</v>
          </cell>
        </row>
        <row r="1375">
          <cell r="A1375">
            <v>400033020</v>
          </cell>
        </row>
        <row r="1376">
          <cell r="A1376">
            <v>400033322</v>
          </cell>
        </row>
        <row r="1377">
          <cell r="A1377">
            <v>400028153</v>
          </cell>
        </row>
        <row r="1378">
          <cell r="A1378">
            <v>400042159</v>
          </cell>
        </row>
        <row r="1379">
          <cell r="A1379">
            <v>400058921</v>
          </cell>
        </row>
        <row r="1380">
          <cell r="A1380">
            <v>400047208</v>
          </cell>
        </row>
        <row r="1381">
          <cell r="A1381">
            <v>400003734</v>
          </cell>
        </row>
        <row r="1382">
          <cell r="A1382">
            <v>400010681</v>
          </cell>
        </row>
        <row r="1383">
          <cell r="A1383">
            <v>400015205</v>
          </cell>
        </row>
        <row r="1384">
          <cell r="A1384">
            <v>400023794</v>
          </cell>
        </row>
        <row r="1385">
          <cell r="A1385">
            <v>400028736</v>
          </cell>
        </row>
        <row r="1386">
          <cell r="A1386">
            <v>400001923</v>
          </cell>
        </row>
        <row r="1387">
          <cell r="A1387">
            <v>400009608</v>
          </cell>
        </row>
        <row r="1388">
          <cell r="A1388">
            <v>400027911</v>
          </cell>
        </row>
        <row r="1389">
          <cell r="A1389">
            <v>400056402</v>
          </cell>
        </row>
        <row r="1390">
          <cell r="A1390">
            <v>400057022</v>
          </cell>
        </row>
        <row r="1391">
          <cell r="A1391">
            <v>400003583</v>
          </cell>
        </row>
        <row r="1392">
          <cell r="A1392">
            <v>400005272</v>
          </cell>
        </row>
        <row r="1393">
          <cell r="A1393">
            <v>400007192</v>
          </cell>
        </row>
        <row r="1394">
          <cell r="A1394">
            <v>400015179</v>
          </cell>
        </row>
        <row r="1395">
          <cell r="A1395">
            <v>400015364</v>
          </cell>
        </row>
        <row r="1396">
          <cell r="A1396">
            <v>400017961</v>
          </cell>
        </row>
        <row r="1397">
          <cell r="A1397">
            <v>400018040</v>
          </cell>
        </row>
        <row r="1398">
          <cell r="A1398">
            <v>400020219</v>
          </cell>
        </row>
        <row r="1399">
          <cell r="A1399">
            <v>400039641</v>
          </cell>
        </row>
        <row r="1400">
          <cell r="A1400">
            <v>400021215</v>
          </cell>
        </row>
        <row r="1401">
          <cell r="A1401">
            <v>400029894</v>
          </cell>
        </row>
        <row r="1402">
          <cell r="A1402">
            <v>400032531</v>
          </cell>
        </row>
        <row r="1403">
          <cell r="A1403">
            <v>400003768</v>
          </cell>
        </row>
        <row r="1404">
          <cell r="A1404">
            <v>400013931</v>
          </cell>
        </row>
        <row r="1405">
          <cell r="A1405">
            <v>400015479</v>
          </cell>
        </row>
        <row r="1406">
          <cell r="A1406">
            <v>400022356</v>
          </cell>
        </row>
        <row r="1407">
          <cell r="A1407">
            <v>400033661</v>
          </cell>
        </row>
        <row r="1408">
          <cell r="A1408">
            <v>400042122</v>
          </cell>
        </row>
        <row r="1409">
          <cell r="A1409">
            <v>400003579</v>
          </cell>
        </row>
        <row r="1410">
          <cell r="A1410">
            <v>400012697</v>
          </cell>
        </row>
        <row r="1411">
          <cell r="A1411">
            <v>400014296</v>
          </cell>
        </row>
        <row r="1412">
          <cell r="A1412">
            <v>400021036</v>
          </cell>
        </row>
        <row r="1413">
          <cell r="A1413">
            <v>400023729</v>
          </cell>
        </row>
        <row r="1414">
          <cell r="A1414">
            <v>400033766</v>
          </cell>
        </row>
        <row r="1415">
          <cell r="A1415">
            <v>400040275</v>
          </cell>
        </row>
        <row r="1416">
          <cell r="A1416">
            <v>400010736</v>
          </cell>
        </row>
        <row r="1417">
          <cell r="A1417">
            <v>400015728</v>
          </cell>
        </row>
        <row r="1418">
          <cell r="A1418">
            <v>400027875</v>
          </cell>
        </row>
        <row r="1419">
          <cell r="A1419">
            <v>400030284</v>
          </cell>
        </row>
        <row r="1420">
          <cell r="A1420">
            <v>400037047</v>
          </cell>
        </row>
        <row r="1421">
          <cell r="A1421">
            <v>400041162</v>
          </cell>
        </row>
        <row r="1422">
          <cell r="A1422">
            <v>400042436</v>
          </cell>
        </row>
        <row r="1423">
          <cell r="A1423">
            <v>400057571</v>
          </cell>
        </row>
        <row r="1424">
          <cell r="A1424">
            <v>400008049</v>
          </cell>
        </row>
        <row r="1425">
          <cell r="A1425">
            <v>400020443</v>
          </cell>
        </row>
        <row r="1426">
          <cell r="A1426">
            <v>400023042</v>
          </cell>
        </row>
        <row r="1427">
          <cell r="A1427">
            <v>400038669</v>
          </cell>
        </row>
        <row r="1428">
          <cell r="A1428">
            <v>400044141</v>
          </cell>
        </row>
        <row r="1429">
          <cell r="A1429">
            <v>400001113</v>
          </cell>
        </row>
        <row r="1430">
          <cell r="A1430">
            <v>400022873</v>
          </cell>
        </row>
        <row r="1431">
          <cell r="A1431">
            <v>400046682</v>
          </cell>
        </row>
        <row r="1432">
          <cell r="A1432">
            <v>400052237</v>
          </cell>
        </row>
        <row r="1433">
          <cell r="A1433">
            <v>400014653</v>
          </cell>
        </row>
        <row r="1434">
          <cell r="A1434">
            <v>400024723</v>
          </cell>
        </row>
        <row r="1435">
          <cell r="A1435">
            <v>400032696</v>
          </cell>
        </row>
        <row r="1436">
          <cell r="A1436">
            <v>400036244</v>
          </cell>
        </row>
        <row r="1437">
          <cell r="A1437">
            <v>400001693</v>
          </cell>
        </row>
        <row r="1438">
          <cell r="A1438">
            <v>400022084</v>
          </cell>
        </row>
        <row r="1439">
          <cell r="A1439">
            <v>400016662</v>
          </cell>
        </row>
        <row r="1440">
          <cell r="A1440">
            <v>400038491</v>
          </cell>
        </row>
        <row r="1441">
          <cell r="A1441">
            <v>400050642</v>
          </cell>
        </row>
        <row r="1442">
          <cell r="A1442">
            <v>400002458</v>
          </cell>
        </row>
        <row r="1443">
          <cell r="A1443">
            <v>400044570</v>
          </cell>
        </row>
        <row r="1444">
          <cell r="A1444">
            <v>400044572</v>
          </cell>
        </row>
        <row r="1445">
          <cell r="A1445">
            <v>400003207</v>
          </cell>
        </row>
        <row r="1446">
          <cell r="A1446">
            <v>400054133</v>
          </cell>
        </row>
        <row r="1447">
          <cell r="A1447">
            <v>400010790</v>
          </cell>
        </row>
        <row r="1448">
          <cell r="A1448">
            <v>400034837</v>
          </cell>
        </row>
        <row r="1449">
          <cell r="A1449">
            <v>400038612</v>
          </cell>
        </row>
        <row r="1450">
          <cell r="A1450">
            <v>400039474</v>
          </cell>
        </row>
        <row r="1451">
          <cell r="A1451">
            <v>400041936</v>
          </cell>
        </row>
        <row r="1452">
          <cell r="A1452">
            <v>400043583</v>
          </cell>
        </row>
        <row r="1453">
          <cell r="A1453">
            <v>400003020</v>
          </cell>
        </row>
        <row r="1454">
          <cell r="A1454">
            <v>400005294</v>
          </cell>
        </row>
        <row r="1455">
          <cell r="A1455">
            <v>400005940</v>
          </cell>
        </row>
        <row r="1456">
          <cell r="A1456">
            <v>400011565</v>
          </cell>
        </row>
        <row r="1457">
          <cell r="A1457">
            <v>400020622</v>
          </cell>
        </row>
        <row r="1458">
          <cell r="A1458">
            <v>400025391</v>
          </cell>
        </row>
        <row r="1459">
          <cell r="A1459">
            <v>400032853</v>
          </cell>
        </row>
        <row r="1460">
          <cell r="A1460">
            <v>400019286</v>
          </cell>
        </row>
        <row r="1461">
          <cell r="A1461">
            <v>400038567</v>
          </cell>
        </row>
        <row r="1462">
          <cell r="A1462">
            <v>400052854</v>
          </cell>
        </row>
        <row r="1463">
          <cell r="A1463">
            <v>400019197</v>
          </cell>
        </row>
        <row r="1464">
          <cell r="A1464">
            <v>400021395</v>
          </cell>
        </row>
        <row r="1465">
          <cell r="A1465">
            <v>400022311</v>
          </cell>
        </row>
        <row r="1466">
          <cell r="A1466">
            <v>400026293</v>
          </cell>
        </row>
        <row r="1467">
          <cell r="A1467">
            <v>400056628</v>
          </cell>
        </row>
        <row r="1468">
          <cell r="A1468">
            <v>210021349</v>
          </cell>
        </row>
        <row r="1469">
          <cell r="A1469">
            <v>400000439</v>
          </cell>
        </row>
        <row r="1470">
          <cell r="A1470">
            <v>400001115</v>
          </cell>
        </row>
        <row r="1471">
          <cell r="A1471">
            <v>400002450</v>
          </cell>
        </row>
        <row r="1472">
          <cell r="A1472">
            <v>400012110</v>
          </cell>
        </row>
        <row r="1473">
          <cell r="A1473">
            <v>400025169</v>
          </cell>
        </row>
        <row r="1474">
          <cell r="A1474">
            <v>400025413</v>
          </cell>
        </row>
        <row r="1475">
          <cell r="A1475">
            <v>400008045</v>
          </cell>
        </row>
        <row r="1476">
          <cell r="A1476">
            <v>400008254</v>
          </cell>
        </row>
        <row r="1477">
          <cell r="A1477">
            <v>400025351</v>
          </cell>
        </row>
        <row r="1478">
          <cell r="A1478">
            <v>400056306</v>
          </cell>
        </row>
        <row r="1479">
          <cell r="A1479">
            <v>400001144</v>
          </cell>
        </row>
        <row r="1480">
          <cell r="A1480">
            <v>400002142</v>
          </cell>
        </row>
        <row r="1481">
          <cell r="A1481">
            <v>400003959</v>
          </cell>
        </row>
        <row r="1482">
          <cell r="A1482">
            <v>400007178</v>
          </cell>
        </row>
        <row r="1483">
          <cell r="A1483">
            <v>400033456</v>
          </cell>
        </row>
        <row r="1484">
          <cell r="A1484">
            <v>400039453</v>
          </cell>
        </row>
        <row r="1485">
          <cell r="A1485">
            <v>400052759</v>
          </cell>
        </row>
        <row r="1486">
          <cell r="A1486">
            <v>400001189</v>
          </cell>
        </row>
        <row r="1487">
          <cell r="A1487">
            <v>400028633</v>
          </cell>
        </row>
        <row r="1488">
          <cell r="A1488">
            <v>400029227</v>
          </cell>
        </row>
        <row r="1489">
          <cell r="A1489">
            <v>400049869</v>
          </cell>
        </row>
        <row r="1490">
          <cell r="A1490">
            <v>400002073</v>
          </cell>
        </row>
        <row r="1491">
          <cell r="A1491">
            <v>400006992</v>
          </cell>
        </row>
        <row r="1492">
          <cell r="A1492">
            <v>400009650</v>
          </cell>
        </row>
        <row r="1493">
          <cell r="A1493">
            <v>400028865</v>
          </cell>
        </row>
        <row r="1494">
          <cell r="A1494">
            <v>400047626</v>
          </cell>
        </row>
        <row r="1495">
          <cell r="A1495">
            <v>302071440</v>
          </cell>
        </row>
        <row r="1496">
          <cell r="A1496">
            <v>400000134</v>
          </cell>
        </row>
        <row r="1497">
          <cell r="A1497">
            <v>400003580</v>
          </cell>
        </row>
        <row r="1498">
          <cell r="A1498">
            <v>400011289</v>
          </cell>
        </row>
        <row r="1499">
          <cell r="A1499">
            <v>400015003</v>
          </cell>
        </row>
        <row r="1500">
          <cell r="A1500">
            <v>400047682</v>
          </cell>
        </row>
        <row r="1501">
          <cell r="A1501">
            <v>400002196</v>
          </cell>
        </row>
        <row r="1502">
          <cell r="A1502">
            <v>400018931</v>
          </cell>
        </row>
        <row r="1503">
          <cell r="A1503">
            <v>400033787</v>
          </cell>
        </row>
        <row r="1504">
          <cell r="A1504">
            <v>400011541</v>
          </cell>
        </row>
        <row r="1505">
          <cell r="A1505">
            <v>400030890</v>
          </cell>
        </row>
        <row r="1506">
          <cell r="A1506">
            <v>400032872</v>
          </cell>
        </row>
        <row r="1507">
          <cell r="A1507">
            <v>400016080</v>
          </cell>
        </row>
        <row r="1508">
          <cell r="A1508">
            <v>400018092</v>
          </cell>
        </row>
        <row r="1509">
          <cell r="A1509">
            <v>400028174</v>
          </cell>
        </row>
        <row r="1510">
          <cell r="A1510">
            <v>400028534</v>
          </cell>
        </row>
        <row r="1511">
          <cell r="A1511">
            <v>400033994</v>
          </cell>
        </row>
        <row r="1512">
          <cell r="A1512">
            <v>400041026</v>
          </cell>
        </row>
        <row r="1513">
          <cell r="A1513">
            <v>400009410</v>
          </cell>
        </row>
        <row r="1514">
          <cell r="A1514">
            <v>400013608</v>
          </cell>
        </row>
        <row r="1515">
          <cell r="A1515">
            <v>400028151</v>
          </cell>
        </row>
        <row r="1516">
          <cell r="A1516">
            <v>400036298</v>
          </cell>
        </row>
        <row r="1517">
          <cell r="A1517">
            <v>400042751</v>
          </cell>
        </row>
        <row r="1518">
          <cell r="A1518">
            <v>400015071</v>
          </cell>
        </row>
        <row r="1519">
          <cell r="A1519">
            <v>400019566</v>
          </cell>
        </row>
        <row r="1520">
          <cell r="A1520">
            <v>400028638</v>
          </cell>
        </row>
        <row r="1521">
          <cell r="A1521">
            <v>400059545</v>
          </cell>
        </row>
        <row r="1522">
          <cell r="A1522">
            <v>400016424</v>
          </cell>
        </row>
        <row r="1523">
          <cell r="A1523">
            <v>400035528</v>
          </cell>
        </row>
        <row r="1524">
          <cell r="A1524">
            <v>400038314</v>
          </cell>
        </row>
        <row r="1525">
          <cell r="A1525">
            <v>400055272</v>
          </cell>
        </row>
        <row r="1526">
          <cell r="A1526">
            <v>400042115</v>
          </cell>
        </row>
        <row r="1527">
          <cell r="A1527">
            <v>400003666</v>
          </cell>
        </row>
        <row r="1528">
          <cell r="A1528">
            <v>400012118</v>
          </cell>
        </row>
        <row r="1529">
          <cell r="A1529">
            <v>400013322</v>
          </cell>
        </row>
        <row r="1530">
          <cell r="A1530">
            <v>400019720</v>
          </cell>
        </row>
        <row r="1531">
          <cell r="A1531">
            <v>400031975</v>
          </cell>
        </row>
        <row r="1532">
          <cell r="A1532">
            <v>400039624</v>
          </cell>
        </row>
        <row r="1533">
          <cell r="A1533">
            <v>400005533</v>
          </cell>
        </row>
        <row r="1534">
          <cell r="A1534">
            <v>400016788</v>
          </cell>
        </row>
        <row r="1535">
          <cell r="A1535">
            <v>400018747</v>
          </cell>
        </row>
        <row r="1536">
          <cell r="A1536">
            <v>400023560</v>
          </cell>
        </row>
        <row r="1537">
          <cell r="A1537">
            <v>400023562</v>
          </cell>
        </row>
        <row r="1538">
          <cell r="A1538">
            <v>400023623</v>
          </cell>
        </row>
        <row r="1539">
          <cell r="A1539">
            <v>400039517</v>
          </cell>
        </row>
        <row r="1540">
          <cell r="A1540">
            <v>400047370</v>
          </cell>
        </row>
        <row r="1541">
          <cell r="A1541">
            <v>400058803</v>
          </cell>
        </row>
        <row r="1542">
          <cell r="A1542">
            <v>400000164</v>
          </cell>
        </row>
        <row r="1543">
          <cell r="A1543">
            <v>400009754</v>
          </cell>
        </row>
        <row r="1544">
          <cell r="A1544">
            <v>400012686</v>
          </cell>
        </row>
        <row r="1545">
          <cell r="A1545">
            <v>400019755</v>
          </cell>
        </row>
        <row r="1546">
          <cell r="A1546">
            <v>400030274</v>
          </cell>
        </row>
        <row r="1547">
          <cell r="A1547">
            <v>400031316</v>
          </cell>
        </row>
        <row r="1548">
          <cell r="A1548">
            <v>400052217</v>
          </cell>
        </row>
        <row r="1549">
          <cell r="A1549">
            <v>400054352</v>
          </cell>
        </row>
        <row r="1550">
          <cell r="A1550">
            <v>400054394</v>
          </cell>
        </row>
        <row r="1551">
          <cell r="A1551">
            <v>400010981</v>
          </cell>
        </row>
        <row r="1552">
          <cell r="A1552">
            <v>400021485</v>
          </cell>
        </row>
        <row r="1553">
          <cell r="A1553">
            <v>400029062</v>
          </cell>
        </row>
        <row r="1554">
          <cell r="A1554">
            <v>400037987</v>
          </cell>
        </row>
        <row r="1555">
          <cell r="A1555">
            <v>400050243</v>
          </cell>
        </row>
        <row r="1556">
          <cell r="A1556">
            <v>400053772</v>
          </cell>
        </row>
        <row r="1557">
          <cell r="A1557">
            <v>400015544</v>
          </cell>
        </row>
        <row r="1558">
          <cell r="A1558">
            <v>400018457</v>
          </cell>
        </row>
        <row r="1559">
          <cell r="A1559">
            <v>400019587</v>
          </cell>
        </row>
        <row r="1560">
          <cell r="A1560">
            <v>400021898</v>
          </cell>
        </row>
        <row r="1561">
          <cell r="A1561">
            <v>400025030</v>
          </cell>
        </row>
        <row r="1562">
          <cell r="A1562">
            <v>400031646</v>
          </cell>
        </row>
        <row r="1563">
          <cell r="A1563">
            <v>400039476</v>
          </cell>
        </row>
        <row r="1564">
          <cell r="A1564">
            <v>400039828</v>
          </cell>
        </row>
        <row r="1565">
          <cell r="A1565">
            <v>400040569</v>
          </cell>
        </row>
        <row r="1566">
          <cell r="A1566">
            <v>400024505</v>
          </cell>
        </row>
        <row r="1567">
          <cell r="A1567">
            <v>400039666</v>
          </cell>
        </row>
        <row r="1568">
          <cell r="A1568">
            <v>400041460</v>
          </cell>
        </row>
        <row r="1569">
          <cell r="A1569">
            <v>400046290</v>
          </cell>
        </row>
        <row r="1570">
          <cell r="A1570">
            <v>400000652</v>
          </cell>
        </row>
        <row r="1571">
          <cell r="A1571">
            <v>400019061</v>
          </cell>
        </row>
        <row r="1572">
          <cell r="A1572">
            <v>400019062</v>
          </cell>
        </row>
        <row r="1573">
          <cell r="A1573">
            <v>400025370</v>
          </cell>
        </row>
        <row r="1574">
          <cell r="A1574">
            <v>400028187</v>
          </cell>
        </row>
        <row r="1575">
          <cell r="A1575">
            <v>400028636</v>
          </cell>
        </row>
        <row r="1576">
          <cell r="A1576">
            <v>400032355</v>
          </cell>
        </row>
        <row r="1577">
          <cell r="A1577">
            <v>400032368</v>
          </cell>
        </row>
        <row r="1578">
          <cell r="A1578">
            <v>400033837</v>
          </cell>
        </row>
        <row r="1579">
          <cell r="A1579">
            <v>400049870</v>
          </cell>
        </row>
        <row r="1580">
          <cell r="A1580">
            <v>201291557</v>
          </cell>
        </row>
        <row r="1581">
          <cell r="A1581">
            <v>400000058</v>
          </cell>
        </row>
        <row r="1582">
          <cell r="A1582">
            <v>400000282</v>
          </cell>
        </row>
        <row r="1583">
          <cell r="A1583">
            <v>400032480</v>
          </cell>
        </row>
        <row r="1584">
          <cell r="A1584">
            <v>400034719</v>
          </cell>
        </row>
        <row r="1585">
          <cell r="A1585">
            <v>400000854</v>
          </cell>
        </row>
        <row r="1586">
          <cell r="A1586">
            <v>400003173</v>
          </cell>
        </row>
        <row r="1587">
          <cell r="A1587">
            <v>400003614</v>
          </cell>
        </row>
        <row r="1588">
          <cell r="A1588">
            <v>400008044</v>
          </cell>
        </row>
        <row r="1589">
          <cell r="A1589">
            <v>400010920</v>
          </cell>
        </row>
        <row r="1590">
          <cell r="A1590">
            <v>400012117</v>
          </cell>
        </row>
        <row r="1591">
          <cell r="A1591">
            <v>400049913</v>
          </cell>
        </row>
        <row r="1592">
          <cell r="A1592">
            <v>400057529</v>
          </cell>
        </row>
        <row r="1593">
          <cell r="A1593">
            <v>400000594</v>
          </cell>
        </row>
        <row r="1594">
          <cell r="A1594">
            <v>400002644</v>
          </cell>
        </row>
        <row r="1595">
          <cell r="A1595">
            <v>400021175</v>
          </cell>
        </row>
        <row r="1596">
          <cell r="A1596">
            <v>400027694</v>
          </cell>
        </row>
        <row r="1597">
          <cell r="A1597">
            <v>400013760</v>
          </cell>
        </row>
        <row r="1598">
          <cell r="A1598">
            <v>400042330</v>
          </cell>
        </row>
        <row r="1599">
          <cell r="A1599">
            <v>400007802</v>
          </cell>
        </row>
        <row r="1600">
          <cell r="A1600">
            <v>400015245</v>
          </cell>
        </row>
        <row r="1601">
          <cell r="A1601">
            <v>400016013</v>
          </cell>
        </row>
        <row r="1602">
          <cell r="A1602">
            <v>400019657</v>
          </cell>
        </row>
        <row r="1603">
          <cell r="A1603">
            <v>400025767</v>
          </cell>
        </row>
        <row r="1604">
          <cell r="A1604">
            <v>400028352</v>
          </cell>
        </row>
        <row r="1605">
          <cell r="A1605">
            <v>400051359</v>
          </cell>
        </row>
        <row r="1606">
          <cell r="A1606">
            <v>400057748</v>
          </cell>
        </row>
        <row r="1607">
          <cell r="A1607">
            <v>400000337</v>
          </cell>
        </row>
        <row r="1608">
          <cell r="A1608">
            <v>400003960</v>
          </cell>
        </row>
        <row r="1609">
          <cell r="A1609">
            <v>400006132</v>
          </cell>
        </row>
        <row r="1610">
          <cell r="A1610">
            <v>400009763</v>
          </cell>
        </row>
        <row r="1611">
          <cell r="A1611">
            <v>400010988</v>
          </cell>
        </row>
        <row r="1612">
          <cell r="A1612">
            <v>400015853</v>
          </cell>
        </row>
        <row r="1613">
          <cell r="A1613">
            <v>400017437</v>
          </cell>
        </row>
        <row r="1614">
          <cell r="A1614">
            <v>400042615</v>
          </cell>
        </row>
        <row r="1615">
          <cell r="A1615">
            <v>400044869</v>
          </cell>
        </row>
        <row r="1616">
          <cell r="A1616">
            <v>400047476</v>
          </cell>
        </row>
        <row r="1617">
          <cell r="A1617">
            <v>202271346</v>
          </cell>
        </row>
        <row r="1618">
          <cell r="A1618">
            <v>400001183</v>
          </cell>
        </row>
        <row r="1619">
          <cell r="A1619">
            <v>400027600</v>
          </cell>
        </row>
        <row r="1620">
          <cell r="A1620">
            <v>400028641</v>
          </cell>
        </row>
        <row r="1621">
          <cell r="A1621">
            <v>400040082</v>
          </cell>
        </row>
        <row r="1622">
          <cell r="A1622">
            <v>400000878</v>
          </cell>
        </row>
        <row r="1623">
          <cell r="A1623">
            <v>400013499</v>
          </cell>
        </row>
        <row r="1624">
          <cell r="A1624">
            <v>400017138</v>
          </cell>
        </row>
        <row r="1625">
          <cell r="A1625">
            <v>400018558</v>
          </cell>
        </row>
        <row r="1626">
          <cell r="A1626">
            <v>400019860</v>
          </cell>
        </row>
        <row r="1627">
          <cell r="A1627">
            <v>400021162</v>
          </cell>
        </row>
        <row r="1628">
          <cell r="A1628">
            <v>400021250</v>
          </cell>
        </row>
        <row r="1629">
          <cell r="A1629">
            <v>400026253</v>
          </cell>
        </row>
        <row r="1630">
          <cell r="A1630">
            <v>400027894</v>
          </cell>
        </row>
        <row r="1631">
          <cell r="A1631">
            <v>400039771</v>
          </cell>
        </row>
        <row r="1632">
          <cell r="A1632">
            <v>400041818</v>
          </cell>
        </row>
        <row r="1633">
          <cell r="A1633">
            <v>400059062</v>
          </cell>
        </row>
        <row r="1634">
          <cell r="A1634">
            <v>400004805</v>
          </cell>
        </row>
        <row r="1635">
          <cell r="A1635">
            <v>400010803</v>
          </cell>
        </row>
        <row r="1636">
          <cell r="A1636">
            <v>304021549</v>
          </cell>
        </row>
        <row r="1637">
          <cell r="A1637">
            <v>400000108</v>
          </cell>
        </row>
        <row r="1638">
          <cell r="A1638">
            <v>400000207</v>
          </cell>
        </row>
        <row r="1639">
          <cell r="A1639">
            <v>400007856</v>
          </cell>
        </row>
        <row r="1640">
          <cell r="A1640">
            <v>400017980</v>
          </cell>
        </row>
        <row r="1641">
          <cell r="A1641">
            <v>400021877</v>
          </cell>
        </row>
        <row r="1642">
          <cell r="A1642">
            <v>400030031</v>
          </cell>
        </row>
        <row r="1643">
          <cell r="A1643">
            <v>400052216</v>
          </cell>
        </row>
        <row r="1644">
          <cell r="A1644">
            <v>400058809</v>
          </cell>
        </row>
        <row r="1645">
          <cell r="A1645">
            <v>400031992</v>
          </cell>
        </row>
        <row r="1646">
          <cell r="A1646">
            <v>400002290</v>
          </cell>
        </row>
        <row r="1647">
          <cell r="A1647">
            <v>400006324</v>
          </cell>
        </row>
        <row r="1648">
          <cell r="A1648">
            <v>400011520</v>
          </cell>
        </row>
        <row r="1649">
          <cell r="A1649">
            <v>400016886</v>
          </cell>
        </row>
        <row r="1650">
          <cell r="A1650">
            <v>400022487</v>
          </cell>
        </row>
        <row r="1651">
          <cell r="A1651">
            <v>400034455</v>
          </cell>
        </row>
        <row r="1652">
          <cell r="A1652">
            <v>400036446</v>
          </cell>
        </row>
        <row r="1653">
          <cell r="A1653">
            <v>400052607</v>
          </cell>
        </row>
        <row r="1654">
          <cell r="A1654">
            <v>400054948</v>
          </cell>
        </row>
        <row r="1655">
          <cell r="A1655">
            <v>400056056</v>
          </cell>
        </row>
        <row r="1656">
          <cell r="A1656">
            <v>400058424</v>
          </cell>
        </row>
        <row r="1657">
          <cell r="A1657">
            <v>400058425</v>
          </cell>
        </row>
        <row r="1658">
          <cell r="A1658">
            <v>400007796</v>
          </cell>
        </row>
        <row r="1659">
          <cell r="A1659">
            <v>400030595</v>
          </cell>
        </row>
        <row r="1660">
          <cell r="A1660">
            <v>400040283</v>
          </cell>
        </row>
        <row r="1661">
          <cell r="A1661">
            <v>400046213</v>
          </cell>
        </row>
        <row r="1662">
          <cell r="A1662">
            <v>206141150</v>
          </cell>
        </row>
        <row r="1663">
          <cell r="A1663">
            <v>212061201</v>
          </cell>
        </row>
        <row r="1664">
          <cell r="A1664">
            <v>400013607</v>
          </cell>
        </row>
        <row r="1665">
          <cell r="A1665">
            <v>400028780</v>
          </cell>
        </row>
        <row r="1666">
          <cell r="A1666">
            <v>400028831</v>
          </cell>
        </row>
        <row r="1667">
          <cell r="A1667">
            <v>400053541</v>
          </cell>
        </row>
        <row r="1668">
          <cell r="A1668">
            <v>400007822</v>
          </cell>
        </row>
        <row r="1669">
          <cell r="A1669">
            <v>400016387</v>
          </cell>
        </row>
        <row r="1670">
          <cell r="A1670">
            <v>400056810</v>
          </cell>
        </row>
        <row r="1671">
          <cell r="A1671">
            <v>400056814</v>
          </cell>
        </row>
        <row r="1672">
          <cell r="A1672">
            <v>400004029</v>
          </cell>
        </row>
        <row r="1673">
          <cell r="A1673">
            <v>400006591</v>
          </cell>
        </row>
        <row r="1674">
          <cell r="A1674">
            <v>400012408</v>
          </cell>
        </row>
        <row r="1675">
          <cell r="A1675">
            <v>400019342</v>
          </cell>
        </row>
        <row r="1676">
          <cell r="A1676">
            <v>400022664</v>
          </cell>
        </row>
        <row r="1677">
          <cell r="A1677">
            <v>400023438</v>
          </cell>
        </row>
        <row r="1678">
          <cell r="A1678">
            <v>400030891</v>
          </cell>
        </row>
        <row r="1679">
          <cell r="A1679">
            <v>400041911</v>
          </cell>
        </row>
        <row r="1680">
          <cell r="A1680">
            <v>400054884</v>
          </cell>
        </row>
        <row r="1681">
          <cell r="A1681">
            <v>400056000</v>
          </cell>
        </row>
        <row r="1682">
          <cell r="A1682">
            <v>400001851</v>
          </cell>
        </row>
        <row r="1683">
          <cell r="A1683">
            <v>400032404</v>
          </cell>
        </row>
        <row r="1684">
          <cell r="A1684">
            <v>400044866</v>
          </cell>
        </row>
        <row r="1685">
          <cell r="A1685">
            <v>400055296</v>
          </cell>
        </row>
        <row r="1686">
          <cell r="A1686">
            <v>400002639</v>
          </cell>
        </row>
        <row r="1687">
          <cell r="A1687">
            <v>400002643</v>
          </cell>
        </row>
        <row r="1688">
          <cell r="A1688">
            <v>400005410</v>
          </cell>
        </row>
        <row r="1689">
          <cell r="A1689">
            <v>400009861</v>
          </cell>
        </row>
        <row r="1690">
          <cell r="A1690">
            <v>400012863</v>
          </cell>
        </row>
        <row r="1691">
          <cell r="A1691">
            <v>400017885</v>
          </cell>
        </row>
        <row r="1692">
          <cell r="A1692">
            <v>400031958</v>
          </cell>
        </row>
        <row r="1693">
          <cell r="A1693">
            <v>400041515</v>
          </cell>
        </row>
        <row r="1694">
          <cell r="A1694">
            <v>400012473</v>
          </cell>
        </row>
        <row r="1695">
          <cell r="A1695">
            <v>400013110</v>
          </cell>
        </row>
        <row r="1696">
          <cell r="A1696">
            <v>400026981</v>
          </cell>
        </row>
        <row r="1697">
          <cell r="A1697">
            <v>400030090</v>
          </cell>
        </row>
        <row r="1698">
          <cell r="A1698">
            <v>400000441</v>
          </cell>
        </row>
        <row r="1699">
          <cell r="A1699">
            <v>400049238</v>
          </cell>
        </row>
        <row r="1700">
          <cell r="A1700">
            <v>400055843</v>
          </cell>
        </row>
        <row r="1701">
          <cell r="A1701">
            <v>400009371</v>
          </cell>
        </row>
        <row r="1702">
          <cell r="A1702">
            <v>400009831</v>
          </cell>
        </row>
        <row r="1703">
          <cell r="A1703">
            <v>400030352</v>
          </cell>
        </row>
        <row r="1704">
          <cell r="A1704">
            <v>400030900</v>
          </cell>
        </row>
        <row r="1705">
          <cell r="A1705">
            <v>400034486</v>
          </cell>
        </row>
        <row r="1706">
          <cell r="A1706">
            <v>400052855</v>
          </cell>
        </row>
        <row r="1707">
          <cell r="A1707">
            <v>400001568</v>
          </cell>
        </row>
        <row r="1708">
          <cell r="A1708">
            <v>400002197</v>
          </cell>
        </row>
        <row r="1709">
          <cell r="A1709">
            <v>400002825</v>
          </cell>
        </row>
        <row r="1710">
          <cell r="A1710">
            <v>400003003</v>
          </cell>
        </row>
        <row r="1711">
          <cell r="A1711">
            <v>400003294</v>
          </cell>
        </row>
        <row r="1712">
          <cell r="A1712">
            <v>400010916</v>
          </cell>
        </row>
        <row r="1713">
          <cell r="A1713">
            <v>400014643</v>
          </cell>
        </row>
        <row r="1714">
          <cell r="A1714">
            <v>400015184</v>
          </cell>
        </row>
        <row r="1715">
          <cell r="A1715">
            <v>400015771</v>
          </cell>
        </row>
        <row r="1716">
          <cell r="A1716">
            <v>400028213</v>
          </cell>
        </row>
        <row r="1717">
          <cell r="A1717">
            <v>400044755</v>
          </cell>
        </row>
        <row r="1718">
          <cell r="A1718">
            <v>400058318</v>
          </cell>
        </row>
        <row r="1719">
          <cell r="A1719">
            <v>400000515</v>
          </cell>
        </row>
        <row r="1720">
          <cell r="A1720">
            <v>400000770</v>
          </cell>
        </row>
        <row r="1721">
          <cell r="A1721">
            <v>400013727</v>
          </cell>
        </row>
        <row r="1722">
          <cell r="A1722">
            <v>400020527</v>
          </cell>
        </row>
        <row r="1723">
          <cell r="A1723">
            <v>400036033</v>
          </cell>
        </row>
        <row r="1724">
          <cell r="A1724">
            <v>400043737</v>
          </cell>
        </row>
        <row r="1725">
          <cell r="A1725">
            <v>112151316</v>
          </cell>
        </row>
        <row r="1726">
          <cell r="A1726">
            <v>400000566</v>
          </cell>
        </row>
        <row r="1727">
          <cell r="A1727">
            <v>400011291</v>
          </cell>
        </row>
        <row r="1728">
          <cell r="A1728">
            <v>400017044</v>
          </cell>
        </row>
        <row r="1729">
          <cell r="A1729">
            <v>400020846</v>
          </cell>
        </row>
        <row r="1730">
          <cell r="A1730">
            <v>400041517</v>
          </cell>
        </row>
        <row r="1731">
          <cell r="A1731">
            <v>400048115</v>
          </cell>
        </row>
        <row r="1732">
          <cell r="A1732">
            <v>400049101</v>
          </cell>
        </row>
        <row r="1733">
          <cell r="A1733">
            <v>400054309</v>
          </cell>
        </row>
        <row r="1734">
          <cell r="A1734">
            <v>303041429</v>
          </cell>
        </row>
        <row r="1735">
          <cell r="A1735">
            <v>400015249</v>
          </cell>
        </row>
        <row r="1736">
          <cell r="A1736">
            <v>400015270</v>
          </cell>
        </row>
        <row r="1737">
          <cell r="A1737">
            <v>400015655</v>
          </cell>
        </row>
        <row r="1738">
          <cell r="A1738">
            <v>400019895</v>
          </cell>
        </row>
        <row r="1739">
          <cell r="A1739">
            <v>400024353</v>
          </cell>
        </row>
        <row r="1740">
          <cell r="A1740">
            <v>400033790</v>
          </cell>
        </row>
        <row r="1741">
          <cell r="A1741">
            <v>400050546</v>
          </cell>
        </row>
        <row r="1742">
          <cell r="A1742">
            <v>207011525</v>
          </cell>
        </row>
        <row r="1743">
          <cell r="A1743">
            <v>400000866</v>
          </cell>
        </row>
        <row r="1744">
          <cell r="A1744">
            <v>400015597</v>
          </cell>
        </row>
        <row r="1745">
          <cell r="A1745">
            <v>400021741</v>
          </cell>
        </row>
        <row r="1746">
          <cell r="A1746">
            <v>400021743</v>
          </cell>
        </row>
        <row r="1747">
          <cell r="A1747">
            <v>400000608</v>
          </cell>
        </row>
        <row r="1748">
          <cell r="A1748">
            <v>400003019</v>
          </cell>
        </row>
        <row r="1749">
          <cell r="A1749">
            <v>400028209</v>
          </cell>
        </row>
        <row r="1750">
          <cell r="A1750">
            <v>400019946</v>
          </cell>
        </row>
        <row r="1751">
          <cell r="A1751">
            <v>400027224</v>
          </cell>
        </row>
        <row r="1752">
          <cell r="A1752">
            <v>400029450</v>
          </cell>
        </row>
        <row r="1753">
          <cell r="A1753">
            <v>400030998</v>
          </cell>
        </row>
        <row r="1754">
          <cell r="A1754">
            <v>400031436</v>
          </cell>
        </row>
        <row r="1755">
          <cell r="A1755">
            <v>400033277</v>
          </cell>
        </row>
        <row r="1756">
          <cell r="A1756">
            <v>400039268</v>
          </cell>
        </row>
        <row r="1757">
          <cell r="A1757">
            <v>400041306</v>
          </cell>
        </row>
        <row r="1758">
          <cell r="A1758">
            <v>400000436</v>
          </cell>
        </row>
        <row r="1759">
          <cell r="A1759">
            <v>400009862</v>
          </cell>
        </row>
        <row r="1760">
          <cell r="A1760">
            <v>400010915</v>
          </cell>
        </row>
        <row r="1761">
          <cell r="A1761">
            <v>400013556</v>
          </cell>
        </row>
        <row r="1762">
          <cell r="A1762">
            <v>400013949</v>
          </cell>
        </row>
        <row r="1763">
          <cell r="A1763">
            <v>400026903</v>
          </cell>
        </row>
        <row r="1764">
          <cell r="A1764">
            <v>400029382</v>
          </cell>
        </row>
        <row r="1765">
          <cell r="A1765">
            <v>400030016</v>
          </cell>
        </row>
        <row r="1766">
          <cell r="A1766">
            <v>400030018</v>
          </cell>
        </row>
        <row r="1767">
          <cell r="A1767">
            <v>400039652</v>
          </cell>
        </row>
        <row r="1768">
          <cell r="A1768">
            <v>400043996</v>
          </cell>
        </row>
        <row r="1769">
          <cell r="A1769">
            <v>400015485</v>
          </cell>
        </row>
        <row r="1770">
          <cell r="A1770">
            <v>400021767</v>
          </cell>
        </row>
        <row r="1771">
          <cell r="A1771">
            <v>400039846</v>
          </cell>
        </row>
        <row r="1772">
          <cell r="A1772">
            <v>400042325</v>
          </cell>
        </row>
        <row r="1773">
          <cell r="A1773">
            <v>400000635</v>
          </cell>
        </row>
        <row r="1774">
          <cell r="A1774">
            <v>400002716</v>
          </cell>
        </row>
        <row r="1775">
          <cell r="A1775">
            <v>400015273</v>
          </cell>
        </row>
        <row r="1776">
          <cell r="A1776">
            <v>400015274</v>
          </cell>
        </row>
        <row r="1777">
          <cell r="A1777">
            <v>400029575</v>
          </cell>
        </row>
        <row r="1778">
          <cell r="A1778">
            <v>400059415</v>
          </cell>
        </row>
        <row r="1779">
          <cell r="A1779">
            <v>400000341</v>
          </cell>
        </row>
        <row r="1780">
          <cell r="A1780">
            <v>400002461</v>
          </cell>
        </row>
        <row r="1781">
          <cell r="A1781">
            <v>400005413</v>
          </cell>
        </row>
        <row r="1782">
          <cell r="A1782">
            <v>400009291</v>
          </cell>
        </row>
        <row r="1783">
          <cell r="A1783">
            <v>400014911</v>
          </cell>
        </row>
        <row r="1784">
          <cell r="A1784">
            <v>400015254</v>
          </cell>
        </row>
        <row r="1785">
          <cell r="A1785">
            <v>400015390</v>
          </cell>
        </row>
        <row r="1786">
          <cell r="A1786">
            <v>400017637</v>
          </cell>
        </row>
        <row r="1787">
          <cell r="A1787">
            <v>400017892</v>
          </cell>
        </row>
        <row r="1788">
          <cell r="A1788">
            <v>400019643</v>
          </cell>
        </row>
        <row r="1789">
          <cell r="A1789">
            <v>400021501</v>
          </cell>
        </row>
        <row r="1790">
          <cell r="A1790">
            <v>400027111</v>
          </cell>
        </row>
        <row r="1791">
          <cell r="A1791">
            <v>400055865</v>
          </cell>
        </row>
        <row r="1792">
          <cell r="A1792">
            <v>302261309</v>
          </cell>
        </row>
        <row r="1793">
          <cell r="A1793">
            <v>400000303</v>
          </cell>
        </row>
        <row r="1794">
          <cell r="A1794">
            <v>400000375</v>
          </cell>
        </row>
        <row r="1795">
          <cell r="A1795">
            <v>400007677</v>
          </cell>
        </row>
        <row r="1796">
          <cell r="A1796">
            <v>400009166</v>
          </cell>
        </row>
        <row r="1797">
          <cell r="A1797">
            <v>400010300</v>
          </cell>
        </row>
        <row r="1798">
          <cell r="A1798">
            <v>400010929</v>
          </cell>
        </row>
        <row r="1799">
          <cell r="A1799">
            <v>400012535</v>
          </cell>
        </row>
        <row r="1800">
          <cell r="A1800">
            <v>400015239</v>
          </cell>
        </row>
        <row r="1801">
          <cell r="A1801">
            <v>400016611</v>
          </cell>
        </row>
        <row r="1802">
          <cell r="A1802">
            <v>400019690</v>
          </cell>
        </row>
        <row r="1803">
          <cell r="A1803">
            <v>400026084</v>
          </cell>
        </row>
        <row r="1804">
          <cell r="A1804">
            <v>400027392</v>
          </cell>
        </row>
        <row r="1805">
          <cell r="A1805">
            <v>400028863</v>
          </cell>
        </row>
        <row r="1806">
          <cell r="A1806">
            <v>400032232</v>
          </cell>
        </row>
        <row r="1807">
          <cell r="A1807">
            <v>400037108</v>
          </cell>
        </row>
        <row r="1808">
          <cell r="A1808">
            <v>400038786</v>
          </cell>
        </row>
        <row r="1809">
          <cell r="A1809">
            <v>400039575</v>
          </cell>
        </row>
        <row r="1810">
          <cell r="A1810">
            <v>400040350</v>
          </cell>
        </row>
        <row r="1811">
          <cell r="A1811">
            <v>400000371</v>
          </cell>
        </row>
        <row r="1812">
          <cell r="A1812">
            <v>400003447</v>
          </cell>
        </row>
        <row r="1813">
          <cell r="A1813">
            <v>400006515</v>
          </cell>
        </row>
        <row r="1814">
          <cell r="A1814">
            <v>400008063</v>
          </cell>
        </row>
        <row r="1815">
          <cell r="A1815">
            <v>400013696</v>
          </cell>
        </row>
        <row r="1816">
          <cell r="A1816">
            <v>400013697</v>
          </cell>
        </row>
        <row r="1817">
          <cell r="A1817">
            <v>400016500</v>
          </cell>
        </row>
        <row r="1818">
          <cell r="A1818">
            <v>400000407</v>
          </cell>
        </row>
        <row r="1819">
          <cell r="A1819">
            <v>400000529</v>
          </cell>
        </row>
        <row r="1820">
          <cell r="A1820">
            <v>400012539</v>
          </cell>
        </row>
        <row r="1821">
          <cell r="A1821">
            <v>400012929</v>
          </cell>
        </row>
        <row r="1822">
          <cell r="A1822">
            <v>400030543</v>
          </cell>
        </row>
        <row r="1823">
          <cell r="A1823">
            <v>400031439</v>
          </cell>
        </row>
        <row r="1824">
          <cell r="A1824">
            <v>400041808</v>
          </cell>
        </row>
        <row r="1825">
          <cell r="A1825">
            <v>302261328</v>
          </cell>
        </row>
        <row r="1826">
          <cell r="A1826">
            <v>400004581</v>
          </cell>
        </row>
        <row r="1827">
          <cell r="A1827">
            <v>400008279</v>
          </cell>
        </row>
        <row r="1828">
          <cell r="A1828">
            <v>400014852</v>
          </cell>
        </row>
        <row r="1829">
          <cell r="A1829">
            <v>400028161</v>
          </cell>
        </row>
        <row r="1830">
          <cell r="A1830">
            <v>400029931</v>
          </cell>
        </row>
        <row r="1831">
          <cell r="A1831">
            <v>400030838</v>
          </cell>
        </row>
        <row r="1832">
          <cell r="A1832">
            <v>400000646</v>
          </cell>
        </row>
        <row r="1833">
          <cell r="A1833">
            <v>400003627</v>
          </cell>
        </row>
        <row r="1834">
          <cell r="A1834">
            <v>400004347</v>
          </cell>
        </row>
        <row r="1835">
          <cell r="A1835">
            <v>400010297</v>
          </cell>
        </row>
        <row r="1836">
          <cell r="A1836">
            <v>400043272</v>
          </cell>
        </row>
        <row r="1837">
          <cell r="A1837">
            <v>400047345</v>
          </cell>
        </row>
        <row r="1838">
          <cell r="A1838">
            <v>400013211</v>
          </cell>
        </row>
        <row r="1839">
          <cell r="A1839">
            <v>400013500</v>
          </cell>
        </row>
        <row r="1840">
          <cell r="A1840">
            <v>400016767</v>
          </cell>
        </row>
        <row r="1841">
          <cell r="A1841">
            <v>400020712</v>
          </cell>
        </row>
        <row r="1842">
          <cell r="A1842">
            <v>400046520</v>
          </cell>
        </row>
        <row r="1843">
          <cell r="A1843">
            <v>400048849</v>
          </cell>
        </row>
        <row r="1844">
          <cell r="A1844">
            <v>400000320</v>
          </cell>
        </row>
        <row r="1845">
          <cell r="A1845">
            <v>400006947</v>
          </cell>
        </row>
        <row r="1846">
          <cell r="A1846">
            <v>400030423</v>
          </cell>
        </row>
        <row r="1847">
          <cell r="A1847">
            <v>400031908</v>
          </cell>
        </row>
        <row r="1848">
          <cell r="A1848">
            <v>400033840</v>
          </cell>
        </row>
        <row r="1849">
          <cell r="A1849">
            <v>400033863</v>
          </cell>
        </row>
        <row r="1850">
          <cell r="A1850">
            <v>400031539</v>
          </cell>
        </row>
        <row r="1851">
          <cell r="A1851">
            <v>400047232</v>
          </cell>
        </row>
        <row r="1852">
          <cell r="A1852">
            <v>212261327</v>
          </cell>
        </row>
        <row r="1853">
          <cell r="A1853">
            <v>400000342</v>
          </cell>
        </row>
        <row r="1854">
          <cell r="A1854">
            <v>400000477</v>
          </cell>
        </row>
        <row r="1855">
          <cell r="A1855">
            <v>400000974</v>
          </cell>
        </row>
        <row r="1856">
          <cell r="A1856">
            <v>400002934</v>
          </cell>
        </row>
        <row r="1857">
          <cell r="A1857">
            <v>400014754</v>
          </cell>
        </row>
        <row r="1858">
          <cell r="A1858">
            <v>400020538</v>
          </cell>
        </row>
        <row r="1859">
          <cell r="A1859">
            <v>400025531</v>
          </cell>
        </row>
        <row r="1860">
          <cell r="A1860">
            <v>400026400</v>
          </cell>
        </row>
        <row r="1861">
          <cell r="A1861">
            <v>400026716</v>
          </cell>
        </row>
        <row r="1862">
          <cell r="A1862">
            <v>400027648</v>
          </cell>
        </row>
        <row r="1863">
          <cell r="A1863">
            <v>400028030</v>
          </cell>
        </row>
        <row r="1864">
          <cell r="A1864">
            <v>400028305</v>
          </cell>
        </row>
        <row r="1865">
          <cell r="A1865">
            <v>400035298</v>
          </cell>
        </row>
        <row r="1866">
          <cell r="A1866">
            <v>400017329</v>
          </cell>
        </row>
        <row r="1867">
          <cell r="A1867">
            <v>400037801</v>
          </cell>
        </row>
        <row r="1868">
          <cell r="A1868">
            <v>400056997</v>
          </cell>
        </row>
        <row r="1869">
          <cell r="A1869">
            <v>400058699</v>
          </cell>
        </row>
        <row r="1870">
          <cell r="A1870">
            <v>400002072</v>
          </cell>
        </row>
        <row r="1871">
          <cell r="A1871">
            <v>400005873</v>
          </cell>
        </row>
        <row r="1872">
          <cell r="A1872">
            <v>400010204</v>
          </cell>
        </row>
        <row r="1873">
          <cell r="A1873">
            <v>400014868</v>
          </cell>
        </row>
        <row r="1874">
          <cell r="A1874">
            <v>400022941</v>
          </cell>
        </row>
        <row r="1875">
          <cell r="A1875">
            <v>400023260</v>
          </cell>
        </row>
        <row r="1876">
          <cell r="A1876">
            <v>400000747</v>
          </cell>
        </row>
        <row r="1877">
          <cell r="A1877">
            <v>400000859</v>
          </cell>
        </row>
        <row r="1878">
          <cell r="A1878">
            <v>400001000</v>
          </cell>
        </row>
        <row r="1879">
          <cell r="A1879">
            <v>400001032</v>
          </cell>
        </row>
        <row r="1880">
          <cell r="A1880">
            <v>400033029</v>
          </cell>
        </row>
        <row r="1881">
          <cell r="A1881">
            <v>400012718</v>
          </cell>
        </row>
        <row r="1882">
          <cell r="A1882">
            <v>400016125</v>
          </cell>
        </row>
        <row r="1883">
          <cell r="A1883">
            <v>400017788</v>
          </cell>
        </row>
        <row r="1884">
          <cell r="A1884">
            <v>400041530</v>
          </cell>
        </row>
        <row r="1885">
          <cell r="A1885">
            <v>400032936</v>
          </cell>
        </row>
        <row r="1886">
          <cell r="A1886">
            <v>400001279</v>
          </cell>
        </row>
        <row r="1887">
          <cell r="A1887">
            <v>400001291</v>
          </cell>
        </row>
        <row r="1888">
          <cell r="A1888">
            <v>400002008</v>
          </cell>
        </row>
        <row r="1889">
          <cell r="A1889">
            <v>400002955</v>
          </cell>
        </row>
        <row r="1890">
          <cell r="A1890">
            <v>400003711</v>
          </cell>
        </row>
        <row r="1891">
          <cell r="A1891">
            <v>400003961</v>
          </cell>
        </row>
        <row r="1892">
          <cell r="A1892">
            <v>400004030</v>
          </cell>
        </row>
        <row r="1893">
          <cell r="A1893">
            <v>400014885</v>
          </cell>
        </row>
        <row r="1894">
          <cell r="A1894">
            <v>400037752</v>
          </cell>
        </row>
        <row r="1895">
          <cell r="A1895">
            <v>400039719</v>
          </cell>
        </row>
        <row r="1896">
          <cell r="A1896">
            <v>400045714</v>
          </cell>
        </row>
        <row r="1897">
          <cell r="A1897">
            <v>400046988</v>
          </cell>
        </row>
        <row r="1898">
          <cell r="A1898">
            <v>400048227</v>
          </cell>
        </row>
        <row r="1899">
          <cell r="A1899">
            <v>400048981</v>
          </cell>
        </row>
        <row r="1900">
          <cell r="A1900">
            <v>400048983</v>
          </cell>
        </row>
        <row r="1901">
          <cell r="A1901">
            <v>400048984</v>
          </cell>
        </row>
        <row r="1902">
          <cell r="A1902">
            <v>400048985</v>
          </cell>
        </row>
        <row r="1903">
          <cell r="A1903">
            <v>400049041</v>
          </cell>
        </row>
        <row r="1904">
          <cell r="A1904">
            <v>400049163</v>
          </cell>
        </row>
        <row r="1905">
          <cell r="A1905">
            <v>400049235</v>
          </cell>
        </row>
        <row r="1906">
          <cell r="A1906">
            <v>400049239</v>
          </cell>
        </row>
        <row r="1907">
          <cell r="A1907">
            <v>400049240</v>
          </cell>
        </row>
        <row r="1908">
          <cell r="A1908">
            <v>400049241</v>
          </cell>
        </row>
        <row r="1909">
          <cell r="A1909">
            <v>400049243</v>
          </cell>
        </row>
        <row r="1910">
          <cell r="A1910">
            <v>400049435</v>
          </cell>
        </row>
        <row r="1911">
          <cell r="A1911">
            <v>400049436</v>
          </cell>
        </row>
        <row r="1912">
          <cell r="A1912">
            <v>400013686</v>
          </cell>
        </row>
        <row r="1913">
          <cell r="A1913">
            <v>400013769</v>
          </cell>
        </row>
        <row r="1914">
          <cell r="A1914">
            <v>400014470</v>
          </cell>
        </row>
        <row r="1915">
          <cell r="A1915">
            <v>400057151</v>
          </cell>
        </row>
        <row r="1916">
          <cell r="A1916">
            <v>400000163</v>
          </cell>
        </row>
        <row r="1917">
          <cell r="A1917">
            <v>400001154</v>
          </cell>
        </row>
        <row r="1918">
          <cell r="A1918">
            <v>400001192</v>
          </cell>
        </row>
        <row r="1919">
          <cell r="A1919">
            <v>400022748</v>
          </cell>
        </row>
        <row r="1920">
          <cell r="A1920">
            <v>400040444</v>
          </cell>
        </row>
        <row r="1921">
          <cell r="A1921">
            <v>400000896</v>
          </cell>
        </row>
        <row r="1922">
          <cell r="A1922">
            <v>400000902</v>
          </cell>
        </row>
        <row r="1923">
          <cell r="A1923">
            <v>400000977</v>
          </cell>
        </row>
        <row r="1924">
          <cell r="A1924">
            <v>400001489</v>
          </cell>
        </row>
        <row r="1925">
          <cell r="A1925">
            <v>400003749</v>
          </cell>
        </row>
        <row r="1926">
          <cell r="A1926">
            <v>400006288</v>
          </cell>
        </row>
        <row r="1927">
          <cell r="A1927">
            <v>400008110</v>
          </cell>
        </row>
        <row r="1928">
          <cell r="A1928">
            <v>400008835</v>
          </cell>
        </row>
        <row r="1929">
          <cell r="A1929">
            <v>400015271</v>
          </cell>
        </row>
        <row r="1930">
          <cell r="A1930">
            <v>400021936</v>
          </cell>
        </row>
        <row r="1931">
          <cell r="A1931">
            <v>400008950</v>
          </cell>
        </row>
        <row r="1932">
          <cell r="A1932">
            <v>400012823</v>
          </cell>
        </row>
        <row r="1933">
          <cell r="A1933">
            <v>400013282</v>
          </cell>
        </row>
        <row r="1934">
          <cell r="A1934">
            <v>400014892</v>
          </cell>
        </row>
        <row r="1935">
          <cell r="A1935">
            <v>400017088</v>
          </cell>
        </row>
        <row r="1936">
          <cell r="A1936">
            <v>400017091</v>
          </cell>
        </row>
        <row r="1937">
          <cell r="A1937">
            <v>400018270</v>
          </cell>
        </row>
        <row r="1938">
          <cell r="A1938">
            <v>400018593</v>
          </cell>
        </row>
        <row r="1939">
          <cell r="A1939">
            <v>400020127</v>
          </cell>
        </row>
        <row r="1940">
          <cell r="A1940">
            <v>400002074</v>
          </cell>
        </row>
        <row r="1941">
          <cell r="A1941">
            <v>400008390</v>
          </cell>
        </row>
        <row r="1942">
          <cell r="A1942">
            <v>400035310</v>
          </cell>
        </row>
        <row r="1943">
          <cell r="A1943">
            <v>400039648</v>
          </cell>
        </row>
        <row r="1944">
          <cell r="A1944">
            <v>400001287</v>
          </cell>
        </row>
        <row r="1945">
          <cell r="A1945">
            <v>400004071</v>
          </cell>
        </row>
        <row r="1946">
          <cell r="A1946">
            <v>400013075</v>
          </cell>
        </row>
        <row r="1947">
          <cell r="A1947">
            <v>400021816</v>
          </cell>
        </row>
        <row r="1948">
          <cell r="A1948">
            <v>400022851</v>
          </cell>
        </row>
        <row r="1949">
          <cell r="A1949">
            <v>400042633</v>
          </cell>
        </row>
        <row r="1950">
          <cell r="A1950">
            <v>400000948</v>
          </cell>
        </row>
        <row r="1951">
          <cell r="A1951">
            <v>400052595</v>
          </cell>
        </row>
        <row r="1952">
          <cell r="A1952">
            <v>400002231</v>
          </cell>
        </row>
        <row r="1953">
          <cell r="A1953">
            <v>400002289</v>
          </cell>
        </row>
        <row r="1954">
          <cell r="A1954">
            <v>400002539</v>
          </cell>
        </row>
        <row r="1955">
          <cell r="A1955">
            <v>400002886</v>
          </cell>
        </row>
        <row r="1956">
          <cell r="A1956">
            <v>400002893</v>
          </cell>
        </row>
        <row r="1957">
          <cell r="A1957">
            <v>400002907</v>
          </cell>
        </row>
        <row r="1958">
          <cell r="A1958">
            <v>400002917</v>
          </cell>
        </row>
        <row r="1959">
          <cell r="A1959">
            <v>400002932</v>
          </cell>
        </row>
        <row r="1960">
          <cell r="A1960">
            <v>400003028</v>
          </cell>
        </row>
        <row r="1961">
          <cell r="A1961">
            <v>400003037</v>
          </cell>
        </row>
        <row r="1962">
          <cell r="A1962">
            <v>400003046</v>
          </cell>
        </row>
        <row r="1963">
          <cell r="A1963">
            <v>400003074</v>
          </cell>
        </row>
        <row r="1964">
          <cell r="A1964">
            <v>400003326</v>
          </cell>
        </row>
        <row r="1965">
          <cell r="A1965">
            <v>400003374</v>
          </cell>
        </row>
        <row r="1966">
          <cell r="A1966">
            <v>400003397</v>
          </cell>
        </row>
        <row r="1967">
          <cell r="A1967">
            <v>400003402</v>
          </cell>
        </row>
        <row r="1968">
          <cell r="A1968">
            <v>400003414</v>
          </cell>
        </row>
        <row r="1969">
          <cell r="A1969">
            <v>400003460</v>
          </cell>
        </row>
        <row r="1970">
          <cell r="A1970">
            <v>400003461</v>
          </cell>
        </row>
        <row r="1971">
          <cell r="A1971">
            <v>400003462</v>
          </cell>
        </row>
        <row r="1972">
          <cell r="A1972">
            <v>400003463</v>
          </cell>
        </row>
        <row r="1973">
          <cell r="A1973">
            <v>400003464</v>
          </cell>
        </row>
        <row r="1974">
          <cell r="A1974">
            <v>400003616</v>
          </cell>
        </row>
        <row r="1975">
          <cell r="A1975">
            <v>400003713</v>
          </cell>
        </row>
        <row r="1976">
          <cell r="A1976">
            <v>400003872</v>
          </cell>
        </row>
        <row r="1977">
          <cell r="A1977">
            <v>400004311</v>
          </cell>
        </row>
        <row r="1978">
          <cell r="A1978">
            <v>400005337</v>
          </cell>
        </row>
        <row r="1979">
          <cell r="A1979">
            <v>400007745</v>
          </cell>
        </row>
        <row r="1980">
          <cell r="A1980">
            <v>400010809</v>
          </cell>
        </row>
        <row r="1981">
          <cell r="A1981">
            <v>400011122</v>
          </cell>
        </row>
        <row r="1982">
          <cell r="A1982">
            <v>400011444</v>
          </cell>
        </row>
        <row r="1983">
          <cell r="A1983">
            <v>400011899</v>
          </cell>
        </row>
        <row r="1984">
          <cell r="A1984">
            <v>400011900</v>
          </cell>
        </row>
        <row r="1985">
          <cell r="A1985">
            <v>400012721</v>
          </cell>
        </row>
        <row r="1986">
          <cell r="A1986">
            <v>400012834</v>
          </cell>
        </row>
        <row r="1987">
          <cell r="A1987">
            <v>400013076</v>
          </cell>
        </row>
        <row r="1988">
          <cell r="A1988">
            <v>400019703</v>
          </cell>
        </row>
        <row r="1989">
          <cell r="A1989">
            <v>400019886</v>
          </cell>
        </row>
        <row r="1990">
          <cell r="A1990">
            <v>400020494</v>
          </cell>
        </row>
        <row r="1991">
          <cell r="A1991">
            <v>400021620</v>
          </cell>
        </row>
        <row r="1992">
          <cell r="A1992">
            <v>400047927</v>
          </cell>
        </row>
        <row r="1993">
          <cell r="A1993">
            <v>400048601</v>
          </cell>
        </row>
        <row r="1994">
          <cell r="A1994">
            <v>400001084</v>
          </cell>
        </row>
        <row r="1995">
          <cell r="A1995">
            <v>400058375</v>
          </cell>
        </row>
        <row r="1996">
          <cell r="A1996">
            <v>400058376</v>
          </cell>
        </row>
        <row r="1997">
          <cell r="A1997">
            <v>400058600</v>
          </cell>
        </row>
        <row r="1998">
          <cell r="A1998">
            <v>400000552</v>
          </cell>
        </row>
        <row r="1999">
          <cell r="A1999">
            <v>400004594</v>
          </cell>
        </row>
        <row r="2000">
          <cell r="A2000">
            <v>400004788</v>
          </cell>
        </row>
        <row r="2001">
          <cell r="A2001">
            <v>400009419</v>
          </cell>
        </row>
        <row r="2002">
          <cell r="A2002">
            <v>400011841</v>
          </cell>
        </row>
        <row r="2003">
          <cell r="A2003">
            <v>400019767</v>
          </cell>
        </row>
        <row r="2004">
          <cell r="A2004">
            <v>400028439</v>
          </cell>
        </row>
        <row r="2005">
          <cell r="A2005">
            <v>400028571</v>
          </cell>
        </row>
        <row r="2006">
          <cell r="A2006">
            <v>400036604</v>
          </cell>
        </row>
        <row r="2007">
          <cell r="A2007">
            <v>400037069</v>
          </cell>
        </row>
        <row r="2008">
          <cell r="A2008">
            <v>400038063</v>
          </cell>
        </row>
        <row r="2009">
          <cell r="A2009">
            <v>400045120</v>
          </cell>
        </row>
        <row r="2010">
          <cell r="A2010">
            <v>400048304</v>
          </cell>
        </row>
        <row r="2011">
          <cell r="A2011">
            <v>400048794</v>
          </cell>
        </row>
        <row r="2012">
          <cell r="A2012">
            <v>400058001</v>
          </cell>
        </row>
        <row r="2013">
          <cell r="A2013">
            <v>400000940</v>
          </cell>
        </row>
        <row r="2014">
          <cell r="A2014">
            <v>400001692</v>
          </cell>
        </row>
        <row r="2015">
          <cell r="A2015">
            <v>400010881</v>
          </cell>
        </row>
        <row r="2016">
          <cell r="A2016">
            <v>400011863</v>
          </cell>
        </row>
        <row r="2017">
          <cell r="A2017">
            <v>400044782</v>
          </cell>
        </row>
        <row r="2018">
          <cell r="A2018">
            <v>400054152</v>
          </cell>
        </row>
        <row r="2019">
          <cell r="A2019">
            <v>400003432</v>
          </cell>
        </row>
        <row r="2020">
          <cell r="A2020">
            <v>400004112</v>
          </cell>
        </row>
        <row r="2021">
          <cell r="A2021">
            <v>400004590</v>
          </cell>
        </row>
        <row r="2022">
          <cell r="A2022">
            <v>400009838</v>
          </cell>
        </row>
        <row r="2023">
          <cell r="A2023">
            <v>400011736</v>
          </cell>
        </row>
        <row r="2024">
          <cell r="A2024">
            <v>400012921</v>
          </cell>
        </row>
        <row r="2025">
          <cell r="A2025">
            <v>400012960</v>
          </cell>
        </row>
        <row r="2026">
          <cell r="A2026">
            <v>400014177</v>
          </cell>
        </row>
        <row r="2027">
          <cell r="A2027">
            <v>400044865</v>
          </cell>
        </row>
        <row r="2028">
          <cell r="A2028">
            <v>400000379</v>
          </cell>
        </row>
        <row r="2029">
          <cell r="A2029">
            <v>400000406</v>
          </cell>
        </row>
        <row r="2030">
          <cell r="A2030">
            <v>400000528</v>
          </cell>
        </row>
        <row r="2031">
          <cell r="A2031">
            <v>400003731</v>
          </cell>
        </row>
        <row r="2032">
          <cell r="A2032">
            <v>400004310</v>
          </cell>
        </row>
        <row r="2033">
          <cell r="A2033">
            <v>400013061</v>
          </cell>
        </row>
        <row r="2034">
          <cell r="A2034">
            <v>400014699</v>
          </cell>
        </row>
        <row r="2035">
          <cell r="A2035">
            <v>400014751</v>
          </cell>
        </row>
        <row r="2036">
          <cell r="A2036">
            <v>400015096</v>
          </cell>
        </row>
        <row r="2037">
          <cell r="A2037">
            <v>400016516</v>
          </cell>
        </row>
        <row r="2038">
          <cell r="A2038">
            <v>400017089</v>
          </cell>
        </row>
        <row r="2039">
          <cell r="A2039">
            <v>400017578</v>
          </cell>
        </row>
        <row r="2040">
          <cell r="A2040">
            <v>400030951</v>
          </cell>
        </row>
        <row r="2041">
          <cell r="A2041">
            <v>400047030</v>
          </cell>
        </row>
        <row r="2042">
          <cell r="A2042">
            <v>210220934</v>
          </cell>
        </row>
        <row r="2043">
          <cell r="A2043">
            <v>212110943</v>
          </cell>
        </row>
        <row r="2044">
          <cell r="A2044">
            <v>400002437</v>
          </cell>
        </row>
        <row r="2045">
          <cell r="A2045">
            <v>400006180</v>
          </cell>
        </row>
        <row r="2046">
          <cell r="A2046">
            <v>400006365</v>
          </cell>
        </row>
        <row r="2047">
          <cell r="A2047">
            <v>400008602</v>
          </cell>
        </row>
        <row r="2048">
          <cell r="A2048">
            <v>400009120</v>
          </cell>
        </row>
        <row r="2049">
          <cell r="A2049">
            <v>400022981</v>
          </cell>
        </row>
        <row r="2050">
          <cell r="A2050">
            <v>400022982</v>
          </cell>
        </row>
        <row r="2051">
          <cell r="A2051">
            <v>400051116</v>
          </cell>
        </row>
        <row r="2052">
          <cell r="A2052">
            <v>206241108</v>
          </cell>
        </row>
        <row r="2053">
          <cell r="A2053">
            <v>212111026</v>
          </cell>
        </row>
        <row r="2054">
          <cell r="A2054">
            <v>400001321</v>
          </cell>
        </row>
        <row r="2055">
          <cell r="A2055">
            <v>400001444</v>
          </cell>
        </row>
        <row r="2056">
          <cell r="A2056">
            <v>400001764</v>
          </cell>
        </row>
        <row r="2057">
          <cell r="A2057">
            <v>400001792</v>
          </cell>
        </row>
        <row r="2058">
          <cell r="A2058">
            <v>400002075</v>
          </cell>
        </row>
        <row r="2059">
          <cell r="A2059">
            <v>400012811</v>
          </cell>
        </row>
        <row r="2060">
          <cell r="A2060">
            <v>400032086</v>
          </cell>
        </row>
        <row r="2061">
          <cell r="A2061">
            <v>400039301</v>
          </cell>
        </row>
        <row r="2062">
          <cell r="A2062">
            <v>400043122</v>
          </cell>
        </row>
        <row r="2063">
          <cell r="A2063">
            <v>400049157</v>
          </cell>
        </row>
        <row r="2064">
          <cell r="A2064">
            <v>400050081</v>
          </cell>
        </row>
        <row r="2065">
          <cell r="A2065">
            <v>400051999</v>
          </cell>
        </row>
        <row r="2066">
          <cell r="A2066">
            <v>400013039</v>
          </cell>
        </row>
        <row r="2067">
          <cell r="A2067">
            <v>400021263</v>
          </cell>
        </row>
        <row r="2068">
          <cell r="A2068">
            <v>400024224</v>
          </cell>
        </row>
        <row r="2069">
          <cell r="A2069">
            <v>400007792</v>
          </cell>
        </row>
        <row r="2070">
          <cell r="A2070">
            <v>400045720</v>
          </cell>
        </row>
        <row r="2071">
          <cell r="A2071">
            <v>400050809</v>
          </cell>
        </row>
        <row r="2072">
          <cell r="A2072">
            <v>400059529</v>
          </cell>
        </row>
        <row r="2073">
          <cell r="A2073">
            <v>211191153</v>
          </cell>
        </row>
        <row r="2074">
          <cell r="A2074">
            <v>400000319</v>
          </cell>
        </row>
        <row r="2075">
          <cell r="A2075">
            <v>400031091</v>
          </cell>
        </row>
        <row r="2076">
          <cell r="A2076">
            <v>400003265</v>
          </cell>
        </row>
        <row r="2077">
          <cell r="A2077">
            <v>400003272</v>
          </cell>
        </row>
        <row r="2078">
          <cell r="A2078">
            <v>400003358</v>
          </cell>
        </row>
        <row r="2079">
          <cell r="A2079">
            <v>400003669</v>
          </cell>
        </row>
        <row r="2080">
          <cell r="A2080">
            <v>400004129</v>
          </cell>
        </row>
        <row r="2081">
          <cell r="A2081">
            <v>400028533</v>
          </cell>
        </row>
        <row r="2082">
          <cell r="A2082">
            <v>400029397</v>
          </cell>
        </row>
        <row r="2083">
          <cell r="A2083">
            <v>400036792</v>
          </cell>
        </row>
        <row r="2084">
          <cell r="A2084">
            <v>400048978</v>
          </cell>
        </row>
        <row r="2085">
          <cell r="A2085">
            <v>303071453</v>
          </cell>
        </row>
        <row r="2086">
          <cell r="A2086">
            <v>400004717</v>
          </cell>
        </row>
        <row r="2087">
          <cell r="A2087">
            <v>400015137</v>
          </cell>
        </row>
        <row r="2088">
          <cell r="A2088">
            <v>400052785</v>
          </cell>
        </row>
        <row r="2089">
          <cell r="A2089">
            <v>400058206</v>
          </cell>
        </row>
        <row r="2090">
          <cell r="A2090">
            <v>400000495</v>
          </cell>
        </row>
        <row r="2091">
          <cell r="A2091">
            <v>400000684</v>
          </cell>
        </row>
        <row r="2092">
          <cell r="A2092">
            <v>400003628</v>
          </cell>
        </row>
        <row r="2093">
          <cell r="A2093">
            <v>400054593</v>
          </cell>
        </row>
        <row r="2094">
          <cell r="A2094">
            <v>400000171</v>
          </cell>
        </row>
        <row r="2095">
          <cell r="A2095">
            <v>400003876</v>
          </cell>
        </row>
        <row r="2096">
          <cell r="A2096">
            <v>400004603</v>
          </cell>
        </row>
        <row r="2097">
          <cell r="A2097">
            <v>400005051</v>
          </cell>
        </row>
        <row r="2098">
          <cell r="A2098">
            <v>400005210</v>
          </cell>
        </row>
        <row r="2099">
          <cell r="A2099">
            <v>400005798</v>
          </cell>
        </row>
        <row r="2100">
          <cell r="A2100">
            <v>400007836</v>
          </cell>
        </row>
        <row r="2101">
          <cell r="A2101">
            <v>400009621</v>
          </cell>
        </row>
        <row r="2102">
          <cell r="A2102">
            <v>400009625</v>
          </cell>
        </row>
        <row r="2103">
          <cell r="A2103">
            <v>400009678</v>
          </cell>
        </row>
        <row r="2104">
          <cell r="A2104">
            <v>400033792</v>
          </cell>
        </row>
        <row r="2105">
          <cell r="A2105">
            <v>400052852</v>
          </cell>
        </row>
        <row r="2106">
          <cell r="A2106">
            <v>400005534</v>
          </cell>
        </row>
        <row r="2107">
          <cell r="A2107">
            <v>400014029</v>
          </cell>
        </row>
        <row r="2108">
          <cell r="A2108">
            <v>400021582</v>
          </cell>
        </row>
        <row r="2109">
          <cell r="A2109">
            <v>400033762</v>
          </cell>
        </row>
        <row r="2110">
          <cell r="A2110">
            <v>400035760</v>
          </cell>
        </row>
        <row r="2111">
          <cell r="A2111">
            <v>400055275</v>
          </cell>
        </row>
        <row r="2112">
          <cell r="A2112">
            <v>303271335</v>
          </cell>
        </row>
        <row r="2113">
          <cell r="A2113">
            <v>400007821</v>
          </cell>
        </row>
        <row r="2114">
          <cell r="A2114">
            <v>400008295</v>
          </cell>
        </row>
        <row r="2115">
          <cell r="A2115">
            <v>400016899</v>
          </cell>
        </row>
        <row r="2116">
          <cell r="A2116">
            <v>400019927</v>
          </cell>
        </row>
        <row r="2117">
          <cell r="A2117">
            <v>400029468</v>
          </cell>
        </row>
        <row r="2118">
          <cell r="A2118">
            <v>400002454</v>
          </cell>
        </row>
        <row r="2119">
          <cell r="A2119">
            <v>400047170</v>
          </cell>
        </row>
        <row r="2120">
          <cell r="A2120">
            <v>301101219</v>
          </cell>
        </row>
        <row r="2121">
          <cell r="A2121">
            <v>400007994</v>
          </cell>
        </row>
        <row r="2122">
          <cell r="A2122">
            <v>400010863</v>
          </cell>
        </row>
        <row r="2123">
          <cell r="A2123">
            <v>400012839</v>
          </cell>
        </row>
        <row r="2124">
          <cell r="A2124">
            <v>400012980</v>
          </cell>
        </row>
        <row r="2125">
          <cell r="A2125">
            <v>400013289</v>
          </cell>
        </row>
        <row r="2126">
          <cell r="A2126">
            <v>400014307</v>
          </cell>
        </row>
        <row r="2127">
          <cell r="A2127">
            <v>400016378</v>
          </cell>
        </row>
        <row r="2128">
          <cell r="A2128">
            <v>400018272</v>
          </cell>
        </row>
        <row r="2129">
          <cell r="A2129">
            <v>400020686</v>
          </cell>
        </row>
        <row r="2130">
          <cell r="A2130">
            <v>400022108</v>
          </cell>
        </row>
        <row r="2131">
          <cell r="A2131">
            <v>400022116</v>
          </cell>
        </row>
        <row r="2132">
          <cell r="A2132">
            <v>400023728</v>
          </cell>
        </row>
        <row r="2133">
          <cell r="A2133">
            <v>400023754</v>
          </cell>
        </row>
        <row r="2134">
          <cell r="A2134">
            <v>400025075</v>
          </cell>
        </row>
        <row r="2135">
          <cell r="A2135">
            <v>303191420</v>
          </cell>
        </row>
        <row r="2136">
          <cell r="A2136">
            <v>400009019</v>
          </cell>
        </row>
        <row r="2137">
          <cell r="A2137">
            <v>400019278</v>
          </cell>
        </row>
        <row r="2138">
          <cell r="A2138">
            <v>400038704</v>
          </cell>
        </row>
        <row r="2139">
          <cell r="A2139">
            <v>400057081</v>
          </cell>
        </row>
        <row r="2140">
          <cell r="A2140">
            <v>400005631</v>
          </cell>
        </row>
        <row r="2141">
          <cell r="A2141">
            <v>400007554</v>
          </cell>
        </row>
        <row r="2142">
          <cell r="A2142">
            <v>400008262</v>
          </cell>
        </row>
        <row r="2143">
          <cell r="A2143">
            <v>400008441</v>
          </cell>
        </row>
        <row r="2144">
          <cell r="A2144">
            <v>400011866</v>
          </cell>
        </row>
        <row r="2145">
          <cell r="A2145">
            <v>400011867</v>
          </cell>
        </row>
        <row r="2146">
          <cell r="A2146">
            <v>400016535</v>
          </cell>
        </row>
        <row r="2147">
          <cell r="A2147">
            <v>400018936</v>
          </cell>
        </row>
        <row r="2148">
          <cell r="A2148">
            <v>400027967</v>
          </cell>
        </row>
        <row r="2149">
          <cell r="A2149">
            <v>112191328</v>
          </cell>
        </row>
        <row r="2150">
          <cell r="A2150">
            <v>303271454</v>
          </cell>
        </row>
        <row r="2151">
          <cell r="A2151">
            <v>400000366</v>
          </cell>
        </row>
        <row r="2152">
          <cell r="A2152">
            <v>400001281</v>
          </cell>
        </row>
        <row r="2153">
          <cell r="A2153">
            <v>400001929</v>
          </cell>
        </row>
        <row r="2154">
          <cell r="A2154">
            <v>400007964</v>
          </cell>
        </row>
        <row r="2155">
          <cell r="A2155">
            <v>400011795</v>
          </cell>
        </row>
        <row r="2156">
          <cell r="A2156">
            <v>400012042</v>
          </cell>
        </row>
        <row r="2157">
          <cell r="A2157">
            <v>400015442</v>
          </cell>
        </row>
        <row r="2158">
          <cell r="A2158">
            <v>400015793</v>
          </cell>
        </row>
        <row r="2159">
          <cell r="A2159">
            <v>400000597</v>
          </cell>
        </row>
        <row r="2160">
          <cell r="A2160">
            <v>400001231</v>
          </cell>
        </row>
        <row r="2161">
          <cell r="A2161">
            <v>400001531</v>
          </cell>
        </row>
        <row r="2162">
          <cell r="A2162">
            <v>400001696</v>
          </cell>
        </row>
        <row r="2163">
          <cell r="A2163">
            <v>400001970</v>
          </cell>
        </row>
        <row r="2164">
          <cell r="A2164">
            <v>400025663</v>
          </cell>
        </row>
        <row r="2165">
          <cell r="A2165">
            <v>400055586</v>
          </cell>
        </row>
        <row r="2166">
          <cell r="A2166">
            <v>400004188</v>
          </cell>
        </row>
        <row r="2167">
          <cell r="A2167">
            <v>400004971</v>
          </cell>
        </row>
        <row r="2168">
          <cell r="A2168">
            <v>400005799</v>
          </cell>
        </row>
        <row r="2169">
          <cell r="A2169">
            <v>400008727</v>
          </cell>
        </row>
        <row r="2170">
          <cell r="A2170">
            <v>400011266</v>
          </cell>
        </row>
        <row r="2171">
          <cell r="A2171">
            <v>400011320</v>
          </cell>
        </row>
        <row r="2172">
          <cell r="A2172">
            <v>400013738</v>
          </cell>
        </row>
        <row r="2173">
          <cell r="A2173">
            <v>400014350</v>
          </cell>
        </row>
        <row r="2174">
          <cell r="A2174">
            <v>400014461</v>
          </cell>
        </row>
        <row r="2175">
          <cell r="A2175">
            <v>400014556</v>
          </cell>
        </row>
        <row r="2176">
          <cell r="A2176">
            <v>400016847</v>
          </cell>
        </row>
        <row r="2177">
          <cell r="A2177">
            <v>400021457</v>
          </cell>
        </row>
        <row r="2178">
          <cell r="A2178">
            <v>400021837</v>
          </cell>
        </row>
        <row r="2179">
          <cell r="A2179">
            <v>400023869</v>
          </cell>
        </row>
        <row r="2180">
          <cell r="A2180">
            <v>400025422</v>
          </cell>
        </row>
        <row r="2181">
          <cell r="A2181">
            <v>400026495</v>
          </cell>
        </row>
        <row r="2182">
          <cell r="A2182">
            <v>400029829</v>
          </cell>
        </row>
        <row r="2183">
          <cell r="A2183">
            <v>211061321</v>
          </cell>
        </row>
        <row r="2184">
          <cell r="A2184">
            <v>400004790</v>
          </cell>
        </row>
        <row r="2185">
          <cell r="A2185">
            <v>400004893</v>
          </cell>
        </row>
        <row r="2186">
          <cell r="A2186">
            <v>400005315</v>
          </cell>
        </row>
        <row r="2187">
          <cell r="A2187">
            <v>400005861</v>
          </cell>
        </row>
        <row r="2188">
          <cell r="A2188">
            <v>400006063</v>
          </cell>
        </row>
        <row r="2189">
          <cell r="A2189">
            <v>400006064</v>
          </cell>
        </row>
        <row r="2190">
          <cell r="A2190">
            <v>400006065</v>
          </cell>
        </row>
        <row r="2191">
          <cell r="A2191">
            <v>400006066</v>
          </cell>
        </row>
        <row r="2192">
          <cell r="A2192">
            <v>400006067</v>
          </cell>
        </row>
        <row r="2193">
          <cell r="A2193">
            <v>400006077</v>
          </cell>
        </row>
        <row r="2194">
          <cell r="A2194">
            <v>400006375</v>
          </cell>
        </row>
        <row r="2195">
          <cell r="A2195">
            <v>400006429</v>
          </cell>
        </row>
        <row r="2196">
          <cell r="A2196">
            <v>400006775</v>
          </cell>
        </row>
        <row r="2197">
          <cell r="A2197">
            <v>400006965</v>
          </cell>
        </row>
        <row r="2198">
          <cell r="A2198">
            <v>400007459</v>
          </cell>
        </row>
        <row r="2199">
          <cell r="A2199">
            <v>400007650</v>
          </cell>
        </row>
        <row r="2200">
          <cell r="A2200">
            <v>400009024</v>
          </cell>
        </row>
        <row r="2201">
          <cell r="A2201">
            <v>400009739</v>
          </cell>
        </row>
        <row r="2202">
          <cell r="A2202">
            <v>400010540</v>
          </cell>
        </row>
        <row r="2203">
          <cell r="A2203">
            <v>400011653</v>
          </cell>
        </row>
        <row r="2204">
          <cell r="A2204">
            <v>400012847</v>
          </cell>
        </row>
        <row r="2205">
          <cell r="A2205">
            <v>400013051</v>
          </cell>
        </row>
        <row r="2206">
          <cell r="A2206">
            <v>400013212</v>
          </cell>
        </row>
        <row r="2207">
          <cell r="A2207">
            <v>400013357</v>
          </cell>
        </row>
        <row r="2208">
          <cell r="A2208">
            <v>400013370</v>
          </cell>
        </row>
        <row r="2209">
          <cell r="A2209">
            <v>400013604</v>
          </cell>
        </row>
        <row r="2210">
          <cell r="A2210">
            <v>400019686</v>
          </cell>
        </row>
        <row r="2211">
          <cell r="A2211">
            <v>400021601</v>
          </cell>
        </row>
        <row r="2212">
          <cell r="A2212">
            <v>400021650</v>
          </cell>
        </row>
        <row r="2213">
          <cell r="A2213">
            <v>400026594</v>
          </cell>
        </row>
        <row r="2214">
          <cell r="A2214">
            <v>400027001</v>
          </cell>
        </row>
        <row r="2215">
          <cell r="A2215">
            <v>400032939</v>
          </cell>
        </row>
        <row r="2216">
          <cell r="A2216">
            <v>400035919</v>
          </cell>
        </row>
        <row r="2217">
          <cell r="A2217">
            <v>400038502</v>
          </cell>
        </row>
        <row r="2218">
          <cell r="A2218">
            <v>400042058</v>
          </cell>
        </row>
        <row r="2219">
          <cell r="A2219">
            <v>400042216</v>
          </cell>
        </row>
        <row r="2220">
          <cell r="A2220">
            <v>400050304</v>
          </cell>
        </row>
        <row r="2221">
          <cell r="A2221">
            <v>400054513</v>
          </cell>
        </row>
        <row r="2222">
          <cell r="A2222">
            <v>400057678</v>
          </cell>
        </row>
        <row r="2223">
          <cell r="A2223">
            <v>400058982</v>
          </cell>
        </row>
        <row r="2224">
          <cell r="A2224">
            <v>400059824</v>
          </cell>
        </row>
        <row r="2225">
          <cell r="A2225">
            <v>302191328</v>
          </cell>
        </row>
        <row r="2226">
          <cell r="A2226">
            <v>400002684</v>
          </cell>
        </row>
        <row r="2227">
          <cell r="A2227">
            <v>400004124</v>
          </cell>
        </row>
        <row r="2228">
          <cell r="A2228">
            <v>400004925</v>
          </cell>
        </row>
        <row r="2229">
          <cell r="A2229">
            <v>400004982</v>
          </cell>
        </row>
        <row r="2230">
          <cell r="A2230">
            <v>400006181</v>
          </cell>
        </row>
        <row r="2231">
          <cell r="A2231">
            <v>400007541</v>
          </cell>
        </row>
        <row r="2232">
          <cell r="A2232">
            <v>400007542</v>
          </cell>
        </row>
        <row r="2233">
          <cell r="A2233">
            <v>400007543</v>
          </cell>
        </row>
        <row r="2234">
          <cell r="A2234">
            <v>400007544</v>
          </cell>
        </row>
        <row r="2235">
          <cell r="A2235">
            <v>400007545</v>
          </cell>
        </row>
        <row r="2236">
          <cell r="A2236">
            <v>400007546</v>
          </cell>
        </row>
        <row r="2237">
          <cell r="A2237">
            <v>400007963</v>
          </cell>
        </row>
        <row r="2238">
          <cell r="A2238">
            <v>400009021</v>
          </cell>
        </row>
        <row r="2239">
          <cell r="A2239">
            <v>400009165</v>
          </cell>
        </row>
        <row r="2240">
          <cell r="A2240">
            <v>400009197</v>
          </cell>
        </row>
        <row r="2241">
          <cell r="A2241">
            <v>400011714</v>
          </cell>
        </row>
        <row r="2242">
          <cell r="A2242">
            <v>400012869</v>
          </cell>
        </row>
        <row r="2243">
          <cell r="A2243">
            <v>400013640</v>
          </cell>
        </row>
        <row r="2244">
          <cell r="A2244">
            <v>400014186</v>
          </cell>
        </row>
        <row r="2245">
          <cell r="A2245">
            <v>400020867</v>
          </cell>
        </row>
        <row r="2246">
          <cell r="A2246">
            <v>400021224</v>
          </cell>
        </row>
        <row r="2247">
          <cell r="A2247">
            <v>400023964</v>
          </cell>
        </row>
        <row r="2248">
          <cell r="A2248">
            <v>400025844</v>
          </cell>
        </row>
        <row r="2249">
          <cell r="A2249">
            <v>400027287</v>
          </cell>
        </row>
        <row r="2250">
          <cell r="A2250">
            <v>302191010</v>
          </cell>
        </row>
        <row r="2251">
          <cell r="A2251">
            <v>302271207</v>
          </cell>
        </row>
        <row r="2252">
          <cell r="A2252">
            <v>303141559</v>
          </cell>
        </row>
        <row r="2253">
          <cell r="A2253">
            <v>303181610</v>
          </cell>
        </row>
        <row r="2254">
          <cell r="A2254">
            <v>303271502</v>
          </cell>
        </row>
        <row r="2255">
          <cell r="A2255">
            <v>303271643</v>
          </cell>
        </row>
        <row r="2256">
          <cell r="A2256">
            <v>304041448</v>
          </cell>
        </row>
        <row r="2257">
          <cell r="A2257">
            <v>400000100</v>
          </cell>
        </row>
        <row r="2258">
          <cell r="A2258">
            <v>400000143</v>
          </cell>
        </row>
        <row r="2259">
          <cell r="A2259">
            <v>400000176</v>
          </cell>
        </row>
        <row r="2260">
          <cell r="A2260">
            <v>400000234</v>
          </cell>
        </row>
        <row r="2261">
          <cell r="A2261">
            <v>400000265</v>
          </cell>
        </row>
        <row r="2262">
          <cell r="A2262">
            <v>400000357</v>
          </cell>
        </row>
        <row r="2263">
          <cell r="A2263">
            <v>400000443</v>
          </cell>
        </row>
        <row r="2264">
          <cell r="A2264">
            <v>400000447</v>
          </cell>
        </row>
        <row r="2265">
          <cell r="A2265">
            <v>400000613</v>
          </cell>
        </row>
        <row r="2266">
          <cell r="A2266">
            <v>400000639</v>
          </cell>
        </row>
        <row r="2267">
          <cell r="A2267">
            <v>400000682</v>
          </cell>
        </row>
        <row r="2268">
          <cell r="A2268">
            <v>400000746</v>
          </cell>
        </row>
        <row r="2269">
          <cell r="A2269">
            <v>400000752</v>
          </cell>
        </row>
        <row r="2270">
          <cell r="A2270">
            <v>400000787</v>
          </cell>
        </row>
        <row r="2271">
          <cell r="A2271">
            <v>400000805</v>
          </cell>
        </row>
        <row r="2272">
          <cell r="A2272">
            <v>400000944</v>
          </cell>
        </row>
        <row r="2273">
          <cell r="A2273">
            <v>400000963</v>
          </cell>
        </row>
        <row r="2274">
          <cell r="A2274">
            <v>400001039</v>
          </cell>
        </row>
        <row r="2275">
          <cell r="A2275">
            <v>400001057</v>
          </cell>
        </row>
        <row r="2276">
          <cell r="A2276">
            <v>400001165</v>
          </cell>
        </row>
        <row r="2277">
          <cell r="A2277">
            <v>400001201</v>
          </cell>
        </row>
        <row r="2278">
          <cell r="A2278">
            <v>400001224</v>
          </cell>
        </row>
        <row r="2279">
          <cell r="A2279">
            <v>400001413</v>
          </cell>
        </row>
        <row r="2280">
          <cell r="A2280">
            <v>400001451</v>
          </cell>
        </row>
        <row r="2281">
          <cell r="A2281">
            <v>400001697</v>
          </cell>
        </row>
        <row r="2282">
          <cell r="A2282">
            <v>400001717</v>
          </cell>
        </row>
        <row r="2283">
          <cell r="A2283">
            <v>400001839</v>
          </cell>
        </row>
        <row r="2284">
          <cell r="A2284">
            <v>400001959</v>
          </cell>
        </row>
        <row r="2285">
          <cell r="A2285">
            <v>400002029</v>
          </cell>
        </row>
        <row r="2286">
          <cell r="A2286">
            <v>400002296</v>
          </cell>
        </row>
        <row r="2287">
          <cell r="A2287">
            <v>400002340</v>
          </cell>
        </row>
        <row r="2288">
          <cell r="A2288">
            <v>400002383</v>
          </cell>
        </row>
        <row r="2289">
          <cell r="A2289">
            <v>400002392</v>
          </cell>
        </row>
        <row r="2290">
          <cell r="A2290">
            <v>400002407</v>
          </cell>
        </row>
        <row r="2291">
          <cell r="A2291">
            <v>400002431</v>
          </cell>
        </row>
        <row r="2292">
          <cell r="A2292">
            <v>400002464</v>
          </cell>
        </row>
        <row r="2293">
          <cell r="A2293">
            <v>400002466</v>
          </cell>
        </row>
        <row r="2294">
          <cell r="A2294">
            <v>400002467</v>
          </cell>
        </row>
        <row r="2295">
          <cell r="A2295">
            <v>400002468</v>
          </cell>
        </row>
        <row r="2296">
          <cell r="A2296">
            <v>400002497</v>
          </cell>
        </row>
        <row r="2297">
          <cell r="A2297">
            <v>400002505</v>
          </cell>
        </row>
        <row r="2298">
          <cell r="A2298">
            <v>400002536</v>
          </cell>
        </row>
        <row r="2299">
          <cell r="A2299">
            <v>400002537</v>
          </cell>
        </row>
        <row r="2300">
          <cell r="A2300">
            <v>400002540</v>
          </cell>
        </row>
        <row r="2301">
          <cell r="A2301">
            <v>400002567</v>
          </cell>
        </row>
        <row r="2302">
          <cell r="A2302">
            <v>400002591</v>
          </cell>
        </row>
        <row r="2303">
          <cell r="A2303">
            <v>400002592</v>
          </cell>
        </row>
        <row r="2304">
          <cell r="A2304">
            <v>400002648</v>
          </cell>
        </row>
        <row r="2305">
          <cell r="A2305">
            <v>400002653</v>
          </cell>
        </row>
        <row r="2306">
          <cell r="A2306">
            <v>400002691</v>
          </cell>
        </row>
        <row r="2307">
          <cell r="A2307">
            <v>400002737</v>
          </cell>
        </row>
        <row r="2308">
          <cell r="A2308">
            <v>400002744</v>
          </cell>
        </row>
        <row r="2309">
          <cell r="A2309">
            <v>400002762</v>
          </cell>
        </row>
        <row r="2310">
          <cell r="A2310">
            <v>400002799</v>
          </cell>
        </row>
        <row r="2311">
          <cell r="A2311">
            <v>400002827</v>
          </cell>
        </row>
        <row r="2312">
          <cell r="A2312">
            <v>400002828</v>
          </cell>
        </row>
        <row r="2313">
          <cell r="A2313">
            <v>400002843</v>
          </cell>
        </row>
        <row r="2314">
          <cell r="A2314">
            <v>400002849</v>
          </cell>
        </row>
        <row r="2315">
          <cell r="A2315">
            <v>400002904</v>
          </cell>
        </row>
        <row r="2316">
          <cell r="A2316">
            <v>400002977</v>
          </cell>
        </row>
        <row r="2317">
          <cell r="A2317">
            <v>400003044</v>
          </cell>
        </row>
        <row r="2318">
          <cell r="A2318">
            <v>400003045</v>
          </cell>
        </row>
        <row r="2319">
          <cell r="A2319">
            <v>400003061</v>
          </cell>
        </row>
        <row r="2320">
          <cell r="A2320">
            <v>400003239</v>
          </cell>
        </row>
        <row r="2321">
          <cell r="A2321">
            <v>400003298</v>
          </cell>
        </row>
        <row r="2322">
          <cell r="A2322">
            <v>400003350</v>
          </cell>
        </row>
        <row r="2323">
          <cell r="A2323">
            <v>400003351</v>
          </cell>
        </row>
        <row r="2324">
          <cell r="A2324">
            <v>400003352</v>
          </cell>
        </row>
        <row r="2325">
          <cell r="A2325">
            <v>400003359</v>
          </cell>
        </row>
        <row r="2326">
          <cell r="A2326">
            <v>400003395</v>
          </cell>
        </row>
        <row r="2327">
          <cell r="A2327">
            <v>400003683</v>
          </cell>
        </row>
        <row r="2328">
          <cell r="A2328">
            <v>400003707</v>
          </cell>
        </row>
        <row r="2329">
          <cell r="A2329">
            <v>400003817</v>
          </cell>
        </row>
        <row r="2330">
          <cell r="A2330">
            <v>400003870</v>
          </cell>
        </row>
        <row r="2331">
          <cell r="A2331">
            <v>400003873</v>
          </cell>
        </row>
        <row r="2332">
          <cell r="A2332">
            <v>400003878</v>
          </cell>
        </row>
        <row r="2333">
          <cell r="A2333">
            <v>400004049</v>
          </cell>
        </row>
        <row r="2334">
          <cell r="A2334">
            <v>400004098</v>
          </cell>
        </row>
        <row r="2335">
          <cell r="A2335">
            <v>400004115</v>
          </cell>
        </row>
        <row r="2336">
          <cell r="A2336">
            <v>400004240</v>
          </cell>
        </row>
        <row r="2337">
          <cell r="A2337">
            <v>400004283</v>
          </cell>
        </row>
        <row r="2338">
          <cell r="A2338">
            <v>400004294</v>
          </cell>
        </row>
        <row r="2339">
          <cell r="A2339">
            <v>400004407</v>
          </cell>
        </row>
        <row r="2340">
          <cell r="A2340">
            <v>400004412</v>
          </cell>
        </row>
        <row r="2341">
          <cell r="A2341">
            <v>400004547</v>
          </cell>
        </row>
        <row r="2342">
          <cell r="A2342">
            <v>400004613</v>
          </cell>
        </row>
        <row r="2343">
          <cell r="A2343">
            <v>400004641</v>
          </cell>
        </row>
        <row r="2344">
          <cell r="A2344">
            <v>400004643</v>
          </cell>
        </row>
        <row r="2345">
          <cell r="A2345">
            <v>400004839</v>
          </cell>
        </row>
        <row r="2346">
          <cell r="A2346">
            <v>400004856</v>
          </cell>
        </row>
        <row r="2347">
          <cell r="A2347">
            <v>400004924</v>
          </cell>
        </row>
        <row r="2348">
          <cell r="A2348">
            <v>400005373</v>
          </cell>
        </row>
        <row r="2349">
          <cell r="A2349">
            <v>400005398</v>
          </cell>
        </row>
        <row r="2350">
          <cell r="A2350">
            <v>400005461</v>
          </cell>
        </row>
        <row r="2351">
          <cell r="A2351">
            <v>400005565</v>
          </cell>
        </row>
        <row r="2352">
          <cell r="A2352">
            <v>400005740</v>
          </cell>
        </row>
        <row r="2353">
          <cell r="A2353">
            <v>400005741</v>
          </cell>
        </row>
        <row r="2354">
          <cell r="A2354">
            <v>400005800</v>
          </cell>
        </row>
        <row r="2355">
          <cell r="A2355">
            <v>400005828</v>
          </cell>
        </row>
        <row r="2356">
          <cell r="A2356">
            <v>400005930</v>
          </cell>
        </row>
        <row r="2357">
          <cell r="A2357">
            <v>400005935</v>
          </cell>
        </row>
        <row r="2358">
          <cell r="A2358">
            <v>400006055</v>
          </cell>
        </row>
        <row r="2359">
          <cell r="A2359">
            <v>400006062</v>
          </cell>
        </row>
        <row r="2360">
          <cell r="A2360">
            <v>400006142</v>
          </cell>
        </row>
        <row r="2361">
          <cell r="A2361">
            <v>400006282</v>
          </cell>
        </row>
        <row r="2362">
          <cell r="A2362">
            <v>400006295</v>
          </cell>
        </row>
        <row r="2363">
          <cell r="A2363">
            <v>400006397</v>
          </cell>
        </row>
        <row r="2364">
          <cell r="A2364">
            <v>400006511</v>
          </cell>
        </row>
        <row r="2365">
          <cell r="A2365">
            <v>400006518</v>
          </cell>
        </row>
        <row r="2366">
          <cell r="A2366">
            <v>400006641</v>
          </cell>
        </row>
        <row r="2367">
          <cell r="A2367">
            <v>400006738</v>
          </cell>
        </row>
        <row r="2368">
          <cell r="A2368">
            <v>400006744</v>
          </cell>
        </row>
        <row r="2369">
          <cell r="A2369">
            <v>400006819</v>
          </cell>
        </row>
        <row r="2370">
          <cell r="A2370">
            <v>400006849</v>
          </cell>
        </row>
        <row r="2371">
          <cell r="A2371">
            <v>400006907</v>
          </cell>
        </row>
        <row r="2372">
          <cell r="A2372">
            <v>400006943</v>
          </cell>
        </row>
        <row r="2373">
          <cell r="A2373">
            <v>400007031</v>
          </cell>
        </row>
        <row r="2374">
          <cell r="A2374">
            <v>400007060</v>
          </cell>
        </row>
        <row r="2375">
          <cell r="A2375">
            <v>400007077</v>
          </cell>
        </row>
        <row r="2376">
          <cell r="A2376">
            <v>400007106</v>
          </cell>
        </row>
        <row r="2377">
          <cell r="A2377">
            <v>400007182</v>
          </cell>
        </row>
        <row r="2378">
          <cell r="A2378">
            <v>400007445</v>
          </cell>
        </row>
        <row r="2379">
          <cell r="A2379">
            <v>400007538</v>
          </cell>
        </row>
        <row r="2380">
          <cell r="A2380">
            <v>400007601</v>
          </cell>
        </row>
        <row r="2381">
          <cell r="A2381">
            <v>400007613</v>
          </cell>
        </row>
        <row r="2382">
          <cell r="A2382">
            <v>400007615</v>
          </cell>
        </row>
        <row r="2383">
          <cell r="A2383">
            <v>400007616</v>
          </cell>
        </row>
        <row r="2384">
          <cell r="A2384">
            <v>400007659</v>
          </cell>
        </row>
        <row r="2385">
          <cell r="A2385">
            <v>400007932</v>
          </cell>
        </row>
        <row r="2386">
          <cell r="A2386">
            <v>400008229</v>
          </cell>
        </row>
        <row r="2387">
          <cell r="A2387">
            <v>400008376</v>
          </cell>
        </row>
        <row r="2388">
          <cell r="A2388">
            <v>400008380</v>
          </cell>
        </row>
        <row r="2389">
          <cell r="A2389">
            <v>400008422</v>
          </cell>
        </row>
        <row r="2390">
          <cell r="A2390">
            <v>400008428</v>
          </cell>
        </row>
        <row r="2391">
          <cell r="A2391">
            <v>400008551</v>
          </cell>
        </row>
        <row r="2392">
          <cell r="A2392">
            <v>400008656</v>
          </cell>
        </row>
        <row r="2393">
          <cell r="A2393">
            <v>400008738</v>
          </cell>
        </row>
        <row r="2394">
          <cell r="A2394">
            <v>400008776</v>
          </cell>
        </row>
        <row r="2395">
          <cell r="A2395">
            <v>400008789</v>
          </cell>
        </row>
        <row r="2396">
          <cell r="A2396">
            <v>400008790</v>
          </cell>
        </row>
        <row r="2397">
          <cell r="A2397">
            <v>400009001</v>
          </cell>
        </row>
        <row r="2398">
          <cell r="A2398">
            <v>400009124</v>
          </cell>
        </row>
        <row r="2399">
          <cell r="A2399">
            <v>400009164</v>
          </cell>
        </row>
        <row r="2400">
          <cell r="A2400">
            <v>400009168</v>
          </cell>
        </row>
        <row r="2401">
          <cell r="A2401">
            <v>400009196</v>
          </cell>
        </row>
        <row r="2402">
          <cell r="A2402">
            <v>400009251</v>
          </cell>
        </row>
        <row r="2403">
          <cell r="A2403">
            <v>400009316</v>
          </cell>
        </row>
        <row r="2404">
          <cell r="A2404">
            <v>400009362</v>
          </cell>
        </row>
        <row r="2405">
          <cell r="A2405">
            <v>400009481</v>
          </cell>
        </row>
        <row r="2406">
          <cell r="A2406">
            <v>400009672</v>
          </cell>
        </row>
        <row r="2407">
          <cell r="A2407">
            <v>400009715</v>
          </cell>
        </row>
        <row r="2408">
          <cell r="A2408">
            <v>400009771</v>
          </cell>
        </row>
        <row r="2409">
          <cell r="A2409">
            <v>400009901</v>
          </cell>
        </row>
        <row r="2410">
          <cell r="A2410">
            <v>400009909</v>
          </cell>
        </row>
        <row r="2411">
          <cell r="A2411">
            <v>400010021</v>
          </cell>
        </row>
        <row r="2412">
          <cell r="A2412">
            <v>400010048</v>
          </cell>
        </row>
        <row r="2413">
          <cell r="A2413">
            <v>400010136</v>
          </cell>
        </row>
        <row r="2414">
          <cell r="A2414">
            <v>400010280</v>
          </cell>
        </row>
        <row r="2415">
          <cell r="A2415">
            <v>400010406</v>
          </cell>
        </row>
        <row r="2416">
          <cell r="A2416">
            <v>400010528</v>
          </cell>
        </row>
        <row r="2417">
          <cell r="A2417">
            <v>400010533</v>
          </cell>
        </row>
        <row r="2418">
          <cell r="A2418">
            <v>400010562</v>
          </cell>
        </row>
        <row r="2419">
          <cell r="A2419">
            <v>400010573</v>
          </cell>
        </row>
        <row r="2420">
          <cell r="A2420">
            <v>400010619</v>
          </cell>
        </row>
        <row r="2421">
          <cell r="A2421">
            <v>400010653</v>
          </cell>
        </row>
        <row r="2422">
          <cell r="A2422">
            <v>400010660</v>
          </cell>
        </row>
        <row r="2423">
          <cell r="A2423">
            <v>400010672</v>
          </cell>
        </row>
        <row r="2424">
          <cell r="A2424">
            <v>400010807</v>
          </cell>
        </row>
        <row r="2425">
          <cell r="A2425">
            <v>400010849</v>
          </cell>
        </row>
        <row r="2426">
          <cell r="A2426">
            <v>400010869</v>
          </cell>
        </row>
        <row r="2427">
          <cell r="A2427">
            <v>400010898</v>
          </cell>
        </row>
        <row r="2428">
          <cell r="A2428">
            <v>400011106</v>
          </cell>
        </row>
        <row r="2429">
          <cell r="A2429">
            <v>400011137</v>
          </cell>
        </row>
        <row r="2430">
          <cell r="A2430">
            <v>400011175</v>
          </cell>
        </row>
        <row r="2431">
          <cell r="A2431">
            <v>400011248</v>
          </cell>
        </row>
        <row r="2432">
          <cell r="A2432">
            <v>400011271</v>
          </cell>
        </row>
        <row r="2433">
          <cell r="A2433">
            <v>400011501</v>
          </cell>
        </row>
        <row r="2434">
          <cell r="A2434">
            <v>400011623</v>
          </cell>
        </row>
        <row r="2435">
          <cell r="A2435">
            <v>400011915</v>
          </cell>
        </row>
        <row r="2436">
          <cell r="A2436">
            <v>400012132</v>
          </cell>
        </row>
        <row r="2437">
          <cell r="A2437">
            <v>400012519</v>
          </cell>
        </row>
        <row r="2438">
          <cell r="A2438">
            <v>400012540</v>
          </cell>
        </row>
        <row r="2439">
          <cell r="A2439">
            <v>400012542</v>
          </cell>
        </row>
        <row r="2440">
          <cell r="A2440">
            <v>400012543</v>
          </cell>
        </row>
        <row r="2441">
          <cell r="A2441">
            <v>400012554</v>
          </cell>
        </row>
        <row r="2442">
          <cell r="A2442">
            <v>400012695</v>
          </cell>
        </row>
        <row r="2443">
          <cell r="A2443">
            <v>400012786</v>
          </cell>
        </row>
        <row r="2444">
          <cell r="A2444">
            <v>400012826</v>
          </cell>
        </row>
        <row r="2445">
          <cell r="A2445">
            <v>400012986</v>
          </cell>
        </row>
        <row r="2446">
          <cell r="A2446">
            <v>400013022</v>
          </cell>
        </row>
        <row r="2447">
          <cell r="A2447">
            <v>400013034</v>
          </cell>
        </row>
        <row r="2448">
          <cell r="A2448">
            <v>400013085</v>
          </cell>
        </row>
        <row r="2449">
          <cell r="A2449">
            <v>400013087</v>
          </cell>
        </row>
        <row r="2450">
          <cell r="A2450">
            <v>400013089</v>
          </cell>
        </row>
        <row r="2451">
          <cell r="A2451">
            <v>400013090</v>
          </cell>
        </row>
        <row r="2452">
          <cell r="A2452">
            <v>400013238</v>
          </cell>
        </row>
        <row r="2453">
          <cell r="A2453">
            <v>400013254</v>
          </cell>
        </row>
        <row r="2454">
          <cell r="A2454">
            <v>400013291</v>
          </cell>
        </row>
        <row r="2455">
          <cell r="A2455">
            <v>400013349</v>
          </cell>
        </row>
        <row r="2456">
          <cell r="A2456">
            <v>400013416</v>
          </cell>
        </row>
        <row r="2457">
          <cell r="A2457">
            <v>400013558</v>
          </cell>
        </row>
        <row r="2458">
          <cell r="A2458">
            <v>400013559</v>
          </cell>
        </row>
        <row r="2459">
          <cell r="A2459">
            <v>400013682</v>
          </cell>
        </row>
        <row r="2460">
          <cell r="A2460">
            <v>400013694</v>
          </cell>
        </row>
        <row r="2461">
          <cell r="A2461">
            <v>400013804</v>
          </cell>
        </row>
        <row r="2462">
          <cell r="A2462">
            <v>400013873</v>
          </cell>
        </row>
        <row r="2463">
          <cell r="A2463">
            <v>400013960</v>
          </cell>
        </row>
        <row r="2464">
          <cell r="A2464">
            <v>400014002</v>
          </cell>
        </row>
        <row r="2465">
          <cell r="A2465">
            <v>400014007</v>
          </cell>
        </row>
        <row r="2466">
          <cell r="A2466">
            <v>400014011</v>
          </cell>
        </row>
        <row r="2467">
          <cell r="A2467">
            <v>400014017</v>
          </cell>
        </row>
        <row r="2468">
          <cell r="A2468">
            <v>400014021</v>
          </cell>
        </row>
        <row r="2469">
          <cell r="A2469">
            <v>400014076</v>
          </cell>
        </row>
        <row r="2470">
          <cell r="A2470">
            <v>400014077</v>
          </cell>
        </row>
        <row r="2471">
          <cell r="A2471">
            <v>400014315</v>
          </cell>
        </row>
        <row r="2472">
          <cell r="A2472">
            <v>400014532</v>
          </cell>
        </row>
        <row r="2473">
          <cell r="A2473">
            <v>400014534</v>
          </cell>
        </row>
        <row r="2474">
          <cell r="A2474">
            <v>400014674</v>
          </cell>
        </row>
        <row r="2475">
          <cell r="A2475">
            <v>400014712</v>
          </cell>
        </row>
        <row r="2476">
          <cell r="A2476">
            <v>400014855</v>
          </cell>
        </row>
        <row r="2477">
          <cell r="A2477">
            <v>400014896</v>
          </cell>
        </row>
        <row r="2478">
          <cell r="A2478">
            <v>400014900</v>
          </cell>
        </row>
        <row r="2479">
          <cell r="A2479">
            <v>400014939</v>
          </cell>
        </row>
        <row r="2480">
          <cell r="A2480">
            <v>400014997</v>
          </cell>
        </row>
        <row r="2481">
          <cell r="A2481">
            <v>400015085</v>
          </cell>
        </row>
        <row r="2482">
          <cell r="A2482">
            <v>400015126</v>
          </cell>
        </row>
        <row r="2483">
          <cell r="A2483">
            <v>400015462</v>
          </cell>
        </row>
        <row r="2484">
          <cell r="A2484">
            <v>400015483</v>
          </cell>
        </row>
        <row r="2485">
          <cell r="A2485">
            <v>400015484</v>
          </cell>
        </row>
        <row r="2486">
          <cell r="A2486">
            <v>400015615</v>
          </cell>
        </row>
        <row r="2487">
          <cell r="A2487">
            <v>400016058</v>
          </cell>
        </row>
        <row r="2488">
          <cell r="A2488">
            <v>400016092</v>
          </cell>
        </row>
        <row r="2489">
          <cell r="A2489">
            <v>400016098</v>
          </cell>
        </row>
        <row r="2490">
          <cell r="A2490">
            <v>400016157</v>
          </cell>
        </row>
        <row r="2491">
          <cell r="A2491">
            <v>400016210</v>
          </cell>
        </row>
        <row r="2492">
          <cell r="A2492">
            <v>400016267</v>
          </cell>
        </row>
        <row r="2493">
          <cell r="A2493">
            <v>400016272</v>
          </cell>
        </row>
        <row r="2494">
          <cell r="A2494">
            <v>400016453</v>
          </cell>
        </row>
        <row r="2495">
          <cell r="A2495">
            <v>400016698</v>
          </cell>
        </row>
        <row r="2496">
          <cell r="A2496">
            <v>400016727</v>
          </cell>
        </row>
        <row r="2497">
          <cell r="A2497">
            <v>400016769</v>
          </cell>
        </row>
        <row r="2498">
          <cell r="A2498">
            <v>400016808</v>
          </cell>
        </row>
        <row r="2499">
          <cell r="A2499">
            <v>400016879</v>
          </cell>
        </row>
        <row r="2500">
          <cell r="A2500">
            <v>400016995</v>
          </cell>
        </row>
        <row r="2501">
          <cell r="A2501">
            <v>400017075</v>
          </cell>
        </row>
        <row r="2502">
          <cell r="A2502">
            <v>400017099</v>
          </cell>
        </row>
        <row r="2503">
          <cell r="A2503">
            <v>400017123</v>
          </cell>
        </row>
        <row r="2504">
          <cell r="A2504">
            <v>400017173</v>
          </cell>
        </row>
        <row r="2505">
          <cell r="A2505">
            <v>400017217</v>
          </cell>
        </row>
        <row r="2506">
          <cell r="A2506">
            <v>400017413</v>
          </cell>
        </row>
        <row r="2507">
          <cell r="A2507">
            <v>400017498</v>
          </cell>
        </row>
        <row r="2508">
          <cell r="A2508">
            <v>400017619</v>
          </cell>
        </row>
        <row r="2509">
          <cell r="A2509">
            <v>400017665</v>
          </cell>
        </row>
        <row r="2510">
          <cell r="A2510">
            <v>400017870</v>
          </cell>
        </row>
        <row r="2511">
          <cell r="A2511">
            <v>400017888</v>
          </cell>
        </row>
        <row r="2512">
          <cell r="A2512">
            <v>400017984</v>
          </cell>
        </row>
        <row r="2513">
          <cell r="A2513">
            <v>400018021</v>
          </cell>
        </row>
        <row r="2514">
          <cell r="A2514">
            <v>400018029</v>
          </cell>
        </row>
        <row r="2515">
          <cell r="A2515">
            <v>400018168</v>
          </cell>
        </row>
        <row r="2516">
          <cell r="A2516">
            <v>400018250</v>
          </cell>
        </row>
        <row r="2517">
          <cell r="A2517">
            <v>400018432</v>
          </cell>
        </row>
        <row r="2518">
          <cell r="A2518">
            <v>400018532</v>
          </cell>
        </row>
        <row r="2519">
          <cell r="A2519">
            <v>400018712</v>
          </cell>
        </row>
        <row r="2520">
          <cell r="A2520">
            <v>400018799</v>
          </cell>
        </row>
        <row r="2521">
          <cell r="A2521">
            <v>400018805</v>
          </cell>
        </row>
        <row r="2522">
          <cell r="A2522">
            <v>400018838</v>
          </cell>
        </row>
        <row r="2523">
          <cell r="A2523">
            <v>400018967</v>
          </cell>
        </row>
        <row r="2524">
          <cell r="A2524">
            <v>400018987</v>
          </cell>
        </row>
        <row r="2525">
          <cell r="A2525">
            <v>400019086</v>
          </cell>
        </row>
        <row r="2526">
          <cell r="A2526">
            <v>400019613</v>
          </cell>
        </row>
        <row r="2527">
          <cell r="A2527">
            <v>400019899</v>
          </cell>
        </row>
        <row r="2528">
          <cell r="A2528">
            <v>400019916</v>
          </cell>
        </row>
        <row r="2529">
          <cell r="A2529">
            <v>400020051</v>
          </cell>
        </row>
        <row r="2530">
          <cell r="A2530">
            <v>400020588</v>
          </cell>
        </row>
        <row r="2531">
          <cell r="A2531">
            <v>400020785</v>
          </cell>
        </row>
        <row r="2532">
          <cell r="A2532">
            <v>400020858</v>
          </cell>
        </row>
        <row r="2533">
          <cell r="A2533">
            <v>400020870</v>
          </cell>
        </row>
        <row r="2534">
          <cell r="A2534">
            <v>400020926</v>
          </cell>
        </row>
        <row r="2535">
          <cell r="A2535">
            <v>400020965</v>
          </cell>
        </row>
        <row r="2536">
          <cell r="A2536">
            <v>400021008</v>
          </cell>
        </row>
        <row r="2537">
          <cell r="A2537">
            <v>400021024</v>
          </cell>
        </row>
        <row r="2538">
          <cell r="A2538">
            <v>400021069</v>
          </cell>
        </row>
        <row r="2539">
          <cell r="A2539">
            <v>400021070</v>
          </cell>
        </row>
        <row r="2540">
          <cell r="A2540">
            <v>400021103</v>
          </cell>
        </row>
        <row r="2541">
          <cell r="A2541">
            <v>400021249</v>
          </cell>
        </row>
        <row r="2542">
          <cell r="A2542">
            <v>400021363</v>
          </cell>
        </row>
        <row r="2543">
          <cell r="A2543">
            <v>400021411</v>
          </cell>
        </row>
        <row r="2544">
          <cell r="A2544">
            <v>400021418</v>
          </cell>
        </row>
        <row r="2545">
          <cell r="A2545">
            <v>400021424</v>
          </cell>
        </row>
        <row r="2546">
          <cell r="A2546">
            <v>400021471</v>
          </cell>
        </row>
        <row r="2547">
          <cell r="A2547">
            <v>400021609</v>
          </cell>
        </row>
        <row r="2548">
          <cell r="A2548">
            <v>400021614</v>
          </cell>
        </row>
        <row r="2549">
          <cell r="A2549">
            <v>400021818</v>
          </cell>
        </row>
        <row r="2550">
          <cell r="A2550">
            <v>400021854</v>
          </cell>
        </row>
        <row r="2551">
          <cell r="A2551">
            <v>400022308</v>
          </cell>
        </row>
        <row r="2552">
          <cell r="A2552">
            <v>400022341</v>
          </cell>
        </row>
        <row r="2553">
          <cell r="A2553">
            <v>400022357</v>
          </cell>
        </row>
        <row r="2554">
          <cell r="A2554">
            <v>400022682</v>
          </cell>
        </row>
        <row r="2555">
          <cell r="A2555">
            <v>400022943</v>
          </cell>
        </row>
        <row r="2556">
          <cell r="A2556">
            <v>400023089</v>
          </cell>
        </row>
        <row r="2557">
          <cell r="A2557">
            <v>400023145</v>
          </cell>
        </row>
        <row r="2558">
          <cell r="A2558">
            <v>400023298</v>
          </cell>
        </row>
        <row r="2559">
          <cell r="A2559">
            <v>400023339</v>
          </cell>
        </row>
        <row r="2560">
          <cell r="A2560">
            <v>400023340</v>
          </cell>
        </row>
        <row r="2561">
          <cell r="A2561">
            <v>400023392</v>
          </cell>
        </row>
        <row r="2562">
          <cell r="A2562">
            <v>400023446</v>
          </cell>
        </row>
        <row r="2563">
          <cell r="A2563">
            <v>400023803</v>
          </cell>
        </row>
        <row r="2564">
          <cell r="A2564">
            <v>400023858</v>
          </cell>
        </row>
        <row r="2565">
          <cell r="A2565">
            <v>400024367</v>
          </cell>
        </row>
        <row r="2566">
          <cell r="A2566">
            <v>400024515</v>
          </cell>
        </row>
        <row r="2567">
          <cell r="A2567">
            <v>400024902</v>
          </cell>
        </row>
        <row r="2568">
          <cell r="A2568">
            <v>400024967</v>
          </cell>
        </row>
        <row r="2569">
          <cell r="A2569">
            <v>400025084</v>
          </cell>
        </row>
        <row r="2570">
          <cell r="A2570">
            <v>400025176</v>
          </cell>
        </row>
        <row r="2571">
          <cell r="A2571">
            <v>400025193</v>
          </cell>
        </row>
        <row r="2572">
          <cell r="A2572">
            <v>400025310</v>
          </cell>
        </row>
        <row r="2573">
          <cell r="A2573">
            <v>400025331</v>
          </cell>
        </row>
        <row r="2574">
          <cell r="A2574">
            <v>400025357</v>
          </cell>
        </row>
        <row r="2575">
          <cell r="A2575">
            <v>400025534</v>
          </cell>
        </row>
        <row r="2576">
          <cell r="A2576">
            <v>400025580</v>
          </cell>
        </row>
        <row r="2577">
          <cell r="A2577">
            <v>400025659</v>
          </cell>
        </row>
        <row r="2578">
          <cell r="A2578">
            <v>400025950</v>
          </cell>
        </row>
        <row r="2579">
          <cell r="A2579">
            <v>400026001</v>
          </cell>
        </row>
        <row r="2580">
          <cell r="A2580">
            <v>400026114</v>
          </cell>
        </row>
        <row r="2581">
          <cell r="A2581">
            <v>400026185</v>
          </cell>
        </row>
        <row r="2582">
          <cell r="A2582">
            <v>400026233</v>
          </cell>
        </row>
        <row r="2583">
          <cell r="A2583">
            <v>400026360</v>
          </cell>
        </row>
        <row r="2584">
          <cell r="A2584">
            <v>400026362</v>
          </cell>
        </row>
        <row r="2585">
          <cell r="A2585">
            <v>400026548</v>
          </cell>
        </row>
        <row r="2586">
          <cell r="A2586">
            <v>400026566</v>
          </cell>
        </row>
        <row r="2587">
          <cell r="A2587">
            <v>400026595</v>
          </cell>
        </row>
        <row r="2588">
          <cell r="A2588">
            <v>400027396</v>
          </cell>
        </row>
        <row r="2589">
          <cell r="A2589">
            <v>400027450</v>
          </cell>
        </row>
        <row r="2590">
          <cell r="A2590">
            <v>400027651</v>
          </cell>
        </row>
        <row r="2591">
          <cell r="A2591">
            <v>400027670</v>
          </cell>
        </row>
        <row r="2592">
          <cell r="A2592">
            <v>400028147</v>
          </cell>
        </row>
        <row r="2593">
          <cell r="A2593">
            <v>400028340</v>
          </cell>
        </row>
        <row r="2594">
          <cell r="A2594">
            <v>400028346</v>
          </cell>
        </row>
        <row r="2595">
          <cell r="A2595">
            <v>400028376</v>
          </cell>
        </row>
        <row r="2596">
          <cell r="A2596">
            <v>400028655</v>
          </cell>
        </row>
        <row r="2597">
          <cell r="A2597">
            <v>400029070</v>
          </cell>
        </row>
        <row r="2598">
          <cell r="A2598">
            <v>400029494</v>
          </cell>
        </row>
        <row r="2599">
          <cell r="A2599">
            <v>400031120</v>
          </cell>
        </row>
        <row r="2600">
          <cell r="A2600">
            <v>400031611</v>
          </cell>
        </row>
        <row r="2601">
          <cell r="A2601">
            <v>400031629</v>
          </cell>
        </row>
        <row r="2602">
          <cell r="A2602">
            <v>400033150</v>
          </cell>
        </row>
        <row r="2603">
          <cell r="A2603">
            <v>400033735</v>
          </cell>
        </row>
        <row r="2604">
          <cell r="A2604">
            <v>400033872</v>
          </cell>
        </row>
        <row r="2605">
          <cell r="A2605">
            <v>400035710</v>
          </cell>
        </row>
        <row r="2606">
          <cell r="A2606">
            <v>400035731</v>
          </cell>
        </row>
        <row r="2607">
          <cell r="A2607">
            <v>400036422</v>
          </cell>
        </row>
        <row r="2608">
          <cell r="A2608">
            <v>400036424</v>
          </cell>
        </row>
        <row r="2609">
          <cell r="A2609">
            <v>400036756</v>
          </cell>
        </row>
        <row r="2610">
          <cell r="A2610">
            <v>400036786</v>
          </cell>
        </row>
        <row r="2611">
          <cell r="A2611">
            <v>400037490</v>
          </cell>
        </row>
        <row r="2612">
          <cell r="A2612">
            <v>400039753</v>
          </cell>
        </row>
        <row r="2613">
          <cell r="A2613">
            <v>400039974</v>
          </cell>
        </row>
        <row r="2614">
          <cell r="A2614">
            <v>400041297</v>
          </cell>
        </row>
        <row r="2615">
          <cell r="A2615">
            <v>400043423</v>
          </cell>
        </row>
        <row r="2616">
          <cell r="A2616">
            <v>400045267</v>
          </cell>
        </row>
        <row r="2617">
          <cell r="A2617">
            <v>400046661</v>
          </cell>
        </row>
        <row r="2618">
          <cell r="A2618">
            <v>400047194</v>
          </cell>
        </row>
        <row r="2619">
          <cell r="A2619">
            <v>400048172</v>
          </cell>
        </row>
        <row r="2620">
          <cell r="A2620">
            <v>400049890</v>
          </cell>
        </row>
        <row r="2621">
          <cell r="A2621">
            <v>400050720</v>
          </cell>
        </row>
        <row r="2622">
          <cell r="A2622">
            <v>400051104</v>
          </cell>
        </row>
        <row r="2623">
          <cell r="A2623">
            <v>400052497</v>
          </cell>
        </row>
        <row r="2624">
          <cell r="A2624">
            <v>400052561</v>
          </cell>
        </row>
        <row r="2625">
          <cell r="A2625">
            <v>400053506</v>
          </cell>
        </row>
        <row r="2626">
          <cell r="A2626">
            <v>400055289</v>
          </cell>
        </row>
        <row r="2627">
          <cell r="A2627">
            <v>400055435</v>
          </cell>
        </row>
        <row r="2628">
          <cell r="A2628">
            <v>400056389</v>
          </cell>
        </row>
        <row r="2629">
          <cell r="A2629">
            <v>400057548</v>
          </cell>
        </row>
        <row r="2630">
          <cell r="A2630">
            <v>400057751</v>
          </cell>
        </row>
        <row r="2631">
          <cell r="A2631">
            <v>400057811</v>
          </cell>
        </row>
        <row r="2632">
          <cell r="A2632">
            <v>400058528</v>
          </cell>
        </row>
        <row r="2633">
          <cell r="A2633">
            <v>400059184</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W3350"/>
  <sheetViews>
    <sheetView zoomScale="85" workbookViewId="0">
      <pane xSplit="4" ySplit="16" topLeftCell="E172" activePane="bottomRight" state="frozen"/>
      <selection activeCell="A10" sqref="A10"/>
      <selection pane="topRight" activeCell="E10" sqref="E10"/>
      <selection pane="bottomLeft" activeCell="A17" sqref="A17"/>
      <selection pane="bottomRight" activeCell="B174" sqref="B174"/>
    </sheetView>
  </sheetViews>
  <sheetFormatPr defaultRowHeight="11.25" x14ac:dyDescent="0.2"/>
  <cols>
    <col min="1" max="1" width="4.5703125" style="353" bestFit="1" customWidth="1"/>
    <col min="2" max="2" width="11.28515625" style="353" bestFit="1" customWidth="1"/>
    <col min="3" max="3" width="9" style="354" customWidth="1"/>
    <col min="4" max="4" width="13.5703125" style="354" bestFit="1" customWidth="1"/>
    <col min="5" max="5" width="51.7109375" style="15" bestFit="1" customWidth="1"/>
    <col min="6" max="6" width="20.7109375" style="354" customWidth="1"/>
    <col min="7" max="7" width="7.5703125" style="354" customWidth="1"/>
    <col min="8" max="8" width="13.5703125" style="354" bestFit="1" customWidth="1"/>
    <col min="9" max="9" width="7.85546875" style="354" customWidth="1"/>
    <col min="10" max="10" width="9" style="354" customWidth="1"/>
    <col min="11" max="11" width="10" style="355" customWidth="1"/>
    <col min="12" max="12" width="11.140625" style="354" hidden="1" customWidth="1"/>
    <col min="13" max="13" width="9.85546875" style="354" customWidth="1"/>
    <col min="14" max="14" width="25.7109375" style="372" customWidth="1"/>
    <col min="15" max="15" width="11.5703125" style="354" customWidth="1"/>
    <col min="16" max="16" width="6.28515625" style="354" hidden="1" customWidth="1"/>
    <col min="17" max="17" width="7.85546875" style="354" hidden="1" customWidth="1"/>
    <col min="18" max="18" width="8.28515625" style="354" hidden="1" customWidth="1"/>
    <col min="19" max="19" width="7.85546875" style="354" hidden="1" customWidth="1"/>
    <col min="20" max="20" width="10.85546875" style="356" hidden="1" customWidth="1"/>
    <col min="21" max="21" width="11.5703125" style="354" hidden="1" customWidth="1"/>
    <col min="22" max="24" width="9.140625" style="354" hidden="1" customWidth="1"/>
    <col min="25" max="25" width="8.5703125" style="354" hidden="1" customWidth="1"/>
    <col min="26" max="26" width="9.42578125" style="354" hidden="1" customWidth="1"/>
    <col min="27" max="27" width="9" style="354" hidden="1" customWidth="1"/>
    <col min="28" max="28" width="14.28515625" style="372" bestFit="1" customWidth="1"/>
    <col min="29" max="29" width="13.140625" style="372" customWidth="1"/>
    <col min="30" max="30" width="21.85546875" style="372" customWidth="1"/>
    <col min="31" max="31" width="23.140625" style="372" customWidth="1"/>
    <col min="32" max="32" width="12.28515625" style="372" customWidth="1"/>
    <col min="33" max="33" width="12.28515625" style="354" customWidth="1"/>
    <col min="34" max="34" width="12.28515625" style="357" customWidth="1"/>
    <col min="35" max="35" width="9.140625" style="354" hidden="1" customWidth="1"/>
    <col min="36" max="36" width="9.140625" style="358"/>
    <col min="37" max="37" width="11" style="359" customWidth="1"/>
    <col min="38" max="47" width="9.140625" style="354"/>
    <col min="48" max="48" width="12.5703125" style="354" bestFit="1" customWidth="1"/>
    <col min="49" max="49" width="9.140625" style="360"/>
    <col min="50" max="16384" width="9.140625" style="354"/>
  </cols>
  <sheetData>
    <row r="1" spans="1:49" s="5" customFormat="1" ht="14.25" hidden="1" customHeight="1" x14ac:dyDescent="0.2">
      <c r="A1" s="122"/>
      <c r="B1" s="122"/>
      <c r="E1" s="16"/>
      <c r="G1" s="13" t="s">
        <v>2980</v>
      </c>
      <c r="H1" s="5" t="s">
        <v>1606</v>
      </c>
      <c r="I1" s="13"/>
      <c r="J1" s="13" t="s">
        <v>7113</v>
      </c>
      <c r="K1" s="181"/>
      <c r="L1" s="5" t="s">
        <v>6919</v>
      </c>
      <c r="M1" s="5" t="s">
        <v>2814</v>
      </c>
      <c r="N1" s="362"/>
      <c r="O1" s="5" t="s">
        <v>2698</v>
      </c>
      <c r="P1" s="5" t="s">
        <v>3758</v>
      </c>
      <c r="Q1" s="5" t="s">
        <v>3758</v>
      </c>
      <c r="R1" s="5" t="s">
        <v>3758</v>
      </c>
      <c r="T1" s="67"/>
      <c r="V1" s="16" t="s">
        <v>6006</v>
      </c>
      <c r="W1" s="16"/>
      <c r="X1" s="16"/>
      <c r="Y1" s="16"/>
      <c r="Z1" s="16"/>
      <c r="AA1" s="16"/>
      <c r="AB1" s="363"/>
      <c r="AC1" s="362"/>
      <c r="AD1" s="362"/>
      <c r="AE1" s="362"/>
      <c r="AF1" s="362"/>
      <c r="AG1" s="5" t="s">
        <v>7420</v>
      </c>
      <c r="AH1" s="71"/>
      <c r="AI1" s="13"/>
      <c r="AJ1" s="55"/>
      <c r="AK1" s="104"/>
      <c r="AW1" s="273"/>
    </row>
    <row r="2" spans="1:49" s="5" customFormat="1" ht="11.25" hidden="1" customHeight="1" x14ac:dyDescent="0.2">
      <c r="A2" s="122"/>
      <c r="B2" s="122"/>
      <c r="E2" s="16"/>
      <c r="G2" s="13" t="s">
        <v>5565</v>
      </c>
      <c r="H2" s="5" t="s">
        <v>6266</v>
      </c>
      <c r="I2" s="13"/>
      <c r="J2" s="13" t="s">
        <v>4862</v>
      </c>
      <c r="K2" s="181"/>
      <c r="L2" s="5" t="s">
        <v>5743</v>
      </c>
      <c r="M2" s="5" t="s">
        <v>6688</v>
      </c>
      <c r="N2" s="362"/>
      <c r="O2" s="5" t="s">
        <v>6694</v>
      </c>
      <c r="P2" s="5" t="s">
        <v>7273</v>
      </c>
      <c r="Q2" s="5" t="s">
        <v>7273</v>
      </c>
      <c r="R2" s="5" t="s">
        <v>7273</v>
      </c>
      <c r="T2" s="67"/>
      <c r="V2" s="16" t="s">
        <v>4699</v>
      </c>
      <c r="W2" s="16"/>
      <c r="X2" s="16"/>
      <c r="Y2" s="16"/>
      <c r="Z2" s="16"/>
      <c r="AA2" s="16"/>
      <c r="AB2" s="363"/>
      <c r="AC2" s="362"/>
      <c r="AD2" s="362"/>
      <c r="AE2" s="362"/>
      <c r="AF2" s="362"/>
      <c r="AH2" s="71"/>
      <c r="AI2" s="13"/>
      <c r="AJ2" s="55"/>
      <c r="AK2" s="104"/>
      <c r="AW2" s="273"/>
    </row>
    <row r="3" spans="1:49" s="5" customFormat="1" ht="11.25" hidden="1" customHeight="1" x14ac:dyDescent="0.2">
      <c r="A3" s="122"/>
      <c r="B3" s="122"/>
      <c r="E3" s="16"/>
      <c r="G3" s="13" t="s">
        <v>7980</v>
      </c>
      <c r="H3" s="5" t="s">
        <v>4246</v>
      </c>
      <c r="I3" s="13"/>
      <c r="J3" s="13" t="s">
        <v>7114</v>
      </c>
      <c r="K3" s="181"/>
      <c r="L3" s="5" t="s">
        <v>4156</v>
      </c>
      <c r="M3" s="5" t="s">
        <v>5626</v>
      </c>
      <c r="N3" s="362"/>
      <c r="O3" s="5" t="s">
        <v>4800</v>
      </c>
      <c r="T3" s="67"/>
      <c r="V3" s="16" t="s">
        <v>6920</v>
      </c>
      <c r="W3" s="16"/>
      <c r="X3" s="16"/>
      <c r="Y3" s="16"/>
      <c r="Z3" s="16"/>
      <c r="AA3" s="16"/>
      <c r="AB3" s="363"/>
      <c r="AC3" s="362"/>
      <c r="AD3" s="362"/>
      <c r="AE3" s="362"/>
      <c r="AF3" s="362"/>
      <c r="AH3" s="71"/>
      <c r="AI3" s="13"/>
      <c r="AJ3" s="55"/>
      <c r="AK3" s="104"/>
      <c r="AW3" s="273"/>
    </row>
    <row r="4" spans="1:49" s="5" customFormat="1" ht="11.25" hidden="1" customHeight="1" x14ac:dyDescent="0.2">
      <c r="A4" s="122"/>
      <c r="B4" s="122"/>
      <c r="E4" s="16"/>
      <c r="G4" s="13" t="s">
        <v>4758</v>
      </c>
      <c r="H4" s="5" t="s">
        <v>2870</v>
      </c>
      <c r="I4" s="13"/>
      <c r="J4" s="13"/>
      <c r="K4" s="181"/>
      <c r="M4" s="5" t="s">
        <v>6007</v>
      </c>
      <c r="N4" s="362"/>
      <c r="O4" s="5" t="s">
        <v>6199</v>
      </c>
      <c r="T4" s="67"/>
      <c r="V4" s="16" t="s">
        <v>1963</v>
      </c>
      <c r="W4" s="16"/>
      <c r="X4" s="16"/>
      <c r="Y4" s="16"/>
      <c r="Z4" s="16"/>
      <c r="AA4" s="16"/>
      <c r="AB4" s="363"/>
      <c r="AC4" s="362"/>
      <c r="AD4" s="362"/>
      <c r="AE4" s="362"/>
      <c r="AF4" s="362"/>
      <c r="AH4" s="71"/>
      <c r="AI4" s="13"/>
      <c r="AJ4" s="55"/>
      <c r="AK4" s="104"/>
      <c r="AW4" s="273"/>
    </row>
    <row r="5" spans="1:49" s="5" customFormat="1" ht="11.25" hidden="1" customHeight="1" x14ac:dyDescent="0.2">
      <c r="A5" s="122"/>
      <c r="B5" s="122"/>
      <c r="E5" s="16"/>
      <c r="G5" s="13"/>
      <c r="H5" s="5" t="s">
        <v>5382</v>
      </c>
      <c r="I5" s="13"/>
      <c r="J5" s="13"/>
      <c r="K5" s="181"/>
      <c r="M5" s="5" t="s">
        <v>5786</v>
      </c>
      <c r="N5" s="362"/>
      <c r="O5" s="5" t="s">
        <v>5096</v>
      </c>
      <c r="T5" s="67"/>
      <c r="V5" s="16" t="s">
        <v>5585</v>
      </c>
      <c r="W5" s="16"/>
      <c r="X5" s="16"/>
      <c r="Y5" s="16"/>
      <c r="Z5" s="16"/>
      <c r="AA5" s="16"/>
      <c r="AB5" s="363"/>
      <c r="AC5" s="362"/>
      <c r="AD5" s="362"/>
      <c r="AE5" s="362"/>
      <c r="AF5" s="362"/>
      <c r="AH5" s="71"/>
      <c r="AI5" s="13"/>
      <c r="AJ5" s="55"/>
      <c r="AK5" s="104"/>
      <c r="AW5" s="273"/>
    </row>
    <row r="6" spans="1:49" s="5" customFormat="1" hidden="1" x14ac:dyDescent="0.2">
      <c r="A6" s="122"/>
      <c r="B6" s="122"/>
      <c r="E6" s="16"/>
      <c r="G6" s="13"/>
      <c r="H6" s="5" t="s">
        <v>3104</v>
      </c>
      <c r="I6" s="13"/>
      <c r="J6" s="13"/>
      <c r="K6" s="181"/>
      <c r="M6" s="5" t="s">
        <v>4450</v>
      </c>
      <c r="N6" s="362"/>
      <c r="O6" s="5" t="s">
        <v>2845</v>
      </c>
      <c r="T6" s="67"/>
      <c r="V6" s="16" t="s">
        <v>1964</v>
      </c>
      <c r="W6" s="16"/>
      <c r="X6" s="16"/>
      <c r="Y6" s="16"/>
      <c r="Z6" s="16"/>
      <c r="AA6" s="16"/>
      <c r="AB6" s="363"/>
      <c r="AC6" s="362"/>
      <c r="AD6" s="362"/>
      <c r="AE6" s="362"/>
      <c r="AF6" s="362"/>
      <c r="AH6" s="71"/>
      <c r="AI6" s="13"/>
      <c r="AJ6" s="55"/>
      <c r="AK6" s="104"/>
      <c r="AW6" s="273"/>
    </row>
    <row r="7" spans="1:49" s="5" customFormat="1" hidden="1" x14ac:dyDescent="0.2">
      <c r="A7" s="122"/>
      <c r="B7" s="122"/>
      <c r="E7" s="16"/>
      <c r="G7" s="13"/>
      <c r="I7" s="13"/>
      <c r="J7" s="13"/>
      <c r="K7" s="181"/>
      <c r="M7" s="5" t="s">
        <v>4850</v>
      </c>
      <c r="N7" s="362"/>
      <c r="T7" s="67"/>
      <c r="V7" s="16"/>
      <c r="W7" s="16"/>
      <c r="X7" s="16"/>
      <c r="Y7" s="16"/>
      <c r="Z7" s="16"/>
      <c r="AA7" s="16"/>
      <c r="AB7" s="363"/>
      <c r="AC7" s="362"/>
      <c r="AD7" s="362"/>
      <c r="AE7" s="362"/>
      <c r="AF7" s="362"/>
      <c r="AH7" s="71"/>
      <c r="AI7" s="13"/>
      <c r="AJ7" s="55"/>
      <c r="AK7" s="104"/>
      <c r="AW7" s="273"/>
    </row>
    <row r="8" spans="1:49" s="5" customFormat="1" ht="25.5" hidden="1" customHeight="1" x14ac:dyDescent="0.2">
      <c r="A8" s="122"/>
      <c r="B8" s="122"/>
      <c r="E8" s="16"/>
      <c r="G8" s="13"/>
      <c r="I8" s="13"/>
      <c r="J8" s="13"/>
      <c r="K8" s="181"/>
      <c r="M8" s="5" t="s">
        <v>7402</v>
      </c>
      <c r="N8" s="362"/>
      <c r="O8" s="5" t="s">
        <v>5536</v>
      </c>
      <c r="T8" s="67"/>
      <c r="V8" s="16" t="s">
        <v>6105</v>
      </c>
      <c r="W8" s="16"/>
      <c r="X8" s="16"/>
      <c r="Y8" s="16"/>
      <c r="Z8" s="16"/>
      <c r="AA8" s="16"/>
      <c r="AB8" s="363"/>
      <c r="AC8" s="362"/>
      <c r="AD8" s="362"/>
      <c r="AE8" s="362"/>
      <c r="AF8" s="362"/>
      <c r="AH8" s="71"/>
      <c r="AI8" s="13"/>
      <c r="AJ8" s="55"/>
      <c r="AK8" s="104"/>
      <c r="AW8" s="273"/>
    </row>
    <row r="9" spans="1:49" s="5" customFormat="1" ht="25.5" hidden="1" customHeight="1" x14ac:dyDescent="0.2">
      <c r="A9" s="122"/>
      <c r="B9" s="122"/>
      <c r="E9" s="16"/>
      <c r="G9" s="13"/>
      <c r="I9" s="13"/>
      <c r="J9" s="13"/>
      <c r="K9" s="181"/>
      <c r="M9" s="5" t="s">
        <v>3598</v>
      </c>
      <c r="N9" s="362"/>
      <c r="T9" s="67"/>
      <c r="V9" s="16"/>
      <c r="W9" s="16"/>
      <c r="X9" s="16"/>
      <c r="Y9" s="16"/>
      <c r="Z9" s="16"/>
      <c r="AA9" s="16"/>
      <c r="AB9" s="363"/>
      <c r="AC9" s="362"/>
      <c r="AD9" s="362"/>
      <c r="AE9" s="362"/>
      <c r="AF9" s="362"/>
      <c r="AH9" s="71"/>
      <c r="AI9" s="13"/>
      <c r="AJ9" s="55"/>
      <c r="AK9" s="104"/>
      <c r="AW9" s="273"/>
    </row>
    <row r="10" spans="1:49" s="5" customFormat="1" ht="28.5" hidden="1" customHeight="1" x14ac:dyDescent="0.25">
      <c r="A10" s="122"/>
      <c r="B10" s="122"/>
      <c r="E10" s="16"/>
      <c r="F10" s="308" t="s">
        <v>7420</v>
      </c>
      <c r="G10" s="13"/>
      <c r="I10" s="13"/>
      <c r="J10" s="13"/>
      <c r="K10" s="181"/>
      <c r="M10" s="5" t="s">
        <v>9364</v>
      </c>
      <c r="N10" s="362"/>
      <c r="T10" s="67"/>
      <c r="V10" s="16"/>
      <c r="W10" s="16"/>
      <c r="X10" s="16"/>
      <c r="Y10" s="16"/>
      <c r="Z10" s="16"/>
      <c r="AA10" s="16"/>
      <c r="AB10" s="363"/>
      <c r="AC10" s="362"/>
      <c r="AD10" s="362"/>
      <c r="AE10" s="362"/>
      <c r="AF10" s="362"/>
      <c r="AH10" s="71"/>
      <c r="AI10" s="13"/>
      <c r="AJ10" s="55"/>
      <c r="AK10" s="104"/>
      <c r="AW10" s="273"/>
    </row>
    <row r="11" spans="1:49" s="5" customFormat="1" ht="56.25" customHeight="1" x14ac:dyDescent="0.2">
      <c r="A11" s="122"/>
      <c r="B11" s="122"/>
      <c r="E11" s="16"/>
      <c r="G11" s="13"/>
      <c r="I11" s="136"/>
      <c r="J11" s="13"/>
      <c r="K11" s="181"/>
      <c r="N11" s="362"/>
      <c r="T11" s="67"/>
      <c r="V11" s="16"/>
      <c r="W11" s="16"/>
      <c r="X11" s="16"/>
      <c r="Y11" s="16"/>
      <c r="Z11" s="16"/>
      <c r="AA11" s="16"/>
      <c r="AB11" s="363"/>
      <c r="AC11" s="362"/>
      <c r="AD11" s="362"/>
      <c r="AE11" s="362"/>
      <c r="AF11" s="362"/>
      <c r="AH11" s="71"/>
      <c r="AI11" s="13"/>
      <c r="AJ11" s="55"/>
      <c r="AK11" s="104"/>
      <c r="AW11" s="273"/>
    </row>
    <row r="12" spans="1:49" s="5" customFormat="1" ht="11.25" customHeight="1" x14ac:dyDescent="0.2">
      <c r="A12" s="122"/>
      <c r="B12" s="122"/>
      <c r="E12" s="16"/>
      <c r="G12" s="13"/>
      <c r="I12" s="136"/>
      <c r="J12" s="13"/>
      <c r="K12" s="181"/>
      <c r="N12" s="362"/>
      <c r="T12" s="67"/>
      <c r="V12" s="16"/>
      <c r="W12" s="16"/>
      <c r="X12" s="16"/>
      <c r="Y12" s="16"/>
      <c r="Z12" s="16"/>
      <c r="AA12" s="16"/>
      <c r="AB12" s="363"/>
      <c r="AC12" s="362"/>
      <c r="AD12" s="362"/>
      <c r="AE12" s="362"/>
      <c r="AF12" s="362"/>
      <c r="AH12" s="71"/>
      <c r="AI12" s="13"/>
      <c r="AJ12" s="55"/>
      <c r="AK12" s="104"/>
      <c r="AW12" s="273"/>
    </row>
    <row r="13" spans="1:49" s="5" customFormat="1" ht="11.25" customHeight="1" x14ac:dyDescent="0.2">
      <c r="A13" s="122"/>
      <c r="B13" s="122"/>
      <c r="E13" s="16"/>
      <c r="G13" s="13"/>
      <c r="I13" s="13"/>
      <c r="J13" s="13"/>
      <c r="K13" s="181"/>
      <c r="N13" s="362"/>
      <c r="T13" s="67"/>
      <c r="V13" s="16"/>
      <c r="W13" s="16"/>
      <c r="X13" s="16"/>
      <c r="Y13" s="16"/>
      <c r="Z13" s="16"/>
      <c r="AA13" s="16"/>
      <c r="AB13" s="363"/>
      <c r="AC13" s="362"/>
      <c r="AD13" s="362"/>
      <c r="AE13" s="362"/>
      <c r="AF13" s="362"/>
      <c r="AH13" s="71"/>
      <c r="AI13" s="13"/>
      <c r="AJ13" s="55" t="b">
        <f>OR(M32="WO",M32="Analysis")</f>
        <v>0</v>
      </c>
      <c r="AK13" s="104"/>
      <c r="AW13" s="273"/>
    </row>
    <row r="14" spans="1:49" s="5" customFormat="1" ht="11.25" customHeight="1" x14ac:dyDescent="0.2">
      <c r="A14" s="122"/>
      <c r="B14" s="122"/>
      <c r="E14" s="16"/>
      <c r="G14" s="13"/>
      <c r="I14" s="13"/>
      <c r="J14" s="13"/>
      <c r="K14" s="181"/>
      <c r="N14" s="362"/>
      <c r="T14" s="67"/>
      <c r="W14" s="13"/>
      <c r="X14" s="13"/>
      <c r="Y14" s="13"/>
      <c r="Z14" s="13"/>
      <c r="AA14" s="13"/>
      <c r="AB14" s="363"/>
      <c r="AC14" s="362"/>
      <c r="AD14" s="362"/>
      <c r="AE14" s="362"/>
      <c r="AF14" s="362"/>
      <c r="AH14" s="71"/>
      <c r="AI14" s="13"/>
      <c r="AJ14" s="55"/>
      <c r="AK14" s="104"/>
      <c r="AW14" s="273"/>
    </row>
    <row r="15" spans="1:49" s="5" customFormat="1" ht="11.25" customHeight="1" x14ac:dyDescent="0.2">
      <c r="A15" s="123">
        <v>1</v>
      </c>
      <c r="B15" s="123">
        <v>2</v>
      </c>
      <c r="C15" s="13">
        <v>3</v>
      </c>
      <c r="D15" s="13">
        <v>4</v>
      </c>
      <c r="E15" s="13">
        <v>5</v>
      </c>
      <c r="F15" s="13">
        <v>6</v>
      </c>
      <c r="G15" s="13">
        <v>7</v>
      </c>
      <c r="H15" s="13">
        <v>8</v>
      </c>
      <c r="I15" s="13">
        <v>9</v>
      </c>
      <c r="J15" s="13">
        <v>10</v>
      </c>
      <c r="K15" s="181">
        <v>11</v>
      </c>
      <c r="L15" s="13">
        <v>12</v>
      </c>
      <c r="M15" s="13">
        <v>13</v>
      </c>
      <c r="N15" s="363">
        <v>14</v>
      </c>
      <c r="O15" s="13">
        <v>15</v>
      </c>
      <c r="P15" s="13">
        <v>16</v>
      </c>
      <c r="Q15" s="13">
        <v>17</v>
      </c>
      <c r="R15" s="13">
        <v>18</v>
      </c>
      <c r="S15" s="13">
        <v>19</v>
      </c>
      <c r="T15" s="13">
        <v>20</v>
      </c>
      <c r="U15" s="13">
        <v>21</v>
      </c>
      <c r="V15" s="13">
        <v>22</v>
      </c>
      <c r="W15" s="13">
        <v>23</v>
      </c>
      <c r="X15" s="13">
        <v>24</v>
      </c>
      <c r="Y15" s="13">
        <v>25</v>
      </c>
      <c r="Z15" s="13">
        <v>26</v>
      </c>
      <c r="AA15" s="13">
        <v>27</v>
      </c>
      <c r="AB15" s="363">
        <v>28</v>
      </c>
      <c r="AC15" s="363">
        <v>29</v>
      </c>
      <c r="AD15" s="363">
        <v>30</v>
      </c>
      <c r="AE15" s="363">
        <v>31</v>
      </c>
      <c r="AF15" s="363">
        <v>32</v>
      </c>
      <c r="AG15" s="13">
        <v>33</v>
      </c>
      <c r="AH15" s="13">
        <v>34</v>
      </c>
      <c r="AI15" s="13">
        <v>35</v>
      </c>
      <c r="AJ15" s="13">
        <v>36</v>
      </c>
      <c r="AK15" s="13">
        <v>37</v>
      </c>
      <c r="AM15" s="431" t="s">
        <v>6710</v>
      </c>
      <c r="AN15" s="431"/>
      <c r="AO15" s="431"/>
      <c r="AQ15" s="432" t="s">
        <v>2457</v>
      </c>
      <c r="AR15" s="432"/>
      <c r="AS15" s="432"/>
      <c r="AW15" s="273"/>
    </row>
    <row r="16" spans="1:49" s="363" customFormat="1" ht="33.75" x14ac:dyDescent="0.2">
      <c r="A16" s="373" t="s">
        <v>8137</v>
      </c>
      <c r="B16" s="373" t="s">
        <v>2097</v>
      </c>
      <c r="C16" s="18" t="s">
        <v>5884</v>
      </c>
      <c r="D16" s="18" t="s">
        <v>4952</v>
      </c>
      <c r="E16" s="18" t="s">
        <v>7305</v>
      </c>
      <c r="F16" s="18" t="s">
        <v>4399</v>
      </c>
      <c r="G16" s="19" t="s">
        <v>6340</v>
      </c>
      <c r="H16" s="19" t="s">
        <v>2096</v>
      </c>
      <c r="I16" s="19" t="s">
        <v>1448</v>
      </c>
      <c r="J16" s="19" t="s">
        <v>7567</v>
      </c>
      <c r="K16" s="374" t="s">
        <v>4939</v>
      </c>
      <c r="L16" s="19" t="s">
        <v>3835</v>
      </c>
      <c r="M16" s="19" t="s">
        <v>4096</v>
      </c>
      <c r="N16" s="18" t="s">
        <v>8136</v>
      </c>
      <c r="O16" s="19" t="s">
        <v>7465</v>
      </c>
      <c r="P16" s="19" t="s">
        <v>5096</v>
      </c>
      <c r="Q16" s="19" t="s">
        <v>4695</v>
      </c>
      <c r="R16" s="19" t="s">
        <v>6917</v>
      </c>
      <c r="S16" s="19" t="s">
        <v>6305</v>
      </c>
      <c r="T16" s="68" t="s">
        <v>6046</v>
      </c>
      <c r="U16" s="18" t="s">
        <v>2087</v>
      </c>
      <c r="V16" s="18" t="s">
        <v>1994</v>
      </c>
      <c r="W16" s="18" t="s">
        <v>6342</v>
      </c>
      <c r="X16" s="18" t="s">
        <v>5090</v>
      </c>
      <c r="Y16" s="18" t="s">
        <v>1995</v>
      </c>
      <c r="Z16" s="18" t="s">
        <v>5091</v>
      </c>
      <c r="AA16" s="18" t="s">
        <v>1993</v>
      </c>
      <c r="AB16" s="19" t="s">
        <v>4490</v>
      </c>
      <c r="AC16" s="19" t="s">
        <v>6341</v>
      </c>
      <c r="AD16" s="19" t="s">
        <v>5977</v>
      </c>
      <c r="AE16" s="19" t="s">
        <v>6374</v>
      </c>
      <c r="AF16" s="19" t="s">
        <v>7272</v>
      </c>
      <c r="AG16" s="18" t="s">
        <v>3370</v>
      </c>
      <c r="AH16" s="375" t="s">
        <v>7145</v>
      </c>
      <c r="AI16" s="18" t="s">
        <v>3671</v>
      </c>
      <c r="AJ16" s="376"/>
      <c r="AK16" s="377"/>
      <c r="AL16" s="378"/>
      <c r="AM16" s="3" t="s">
        <v>8066</v>
      </c>
      <c r="AN16" s="3" t="s">
        <v>6790</v>
      </c>
      <c r="AO16" s="3" t="s">
        <v>3434</v>
      </c>
      <c r="AP16" s="378"/>
      <c r="AQ16" s="3" t="s">
        <v>8066</v>
      </c>
      <c r="AR16" s="3" t="s">
        <v>6790</v>
      </c>
      <c r="AS16" s="3" t="s">
        <v>3434</v>
      </c>
      <c r="AT16" s="378"/>
      <c r="AU16" s="18" t="s">
        <v>2749</v>
      </c>
      <c r="AV16" s="361" t="s">
        <v>2750</v>
      </c>
      <c r="AW16" s="379" t="s">
        <v>3463</v>
      </c>
    </row>
    <row r="17" spans="1:49" s="13" customFormat="1" ht="22.5" x14ac:dyDescent="0.2">
      <c r="A17" s="14">
        <v>1</v>
      </c>
      <c r="B17" s="8">
        <v>400041452</v>
      </c>
      <c r="C17" s="8" t="s">
        <v>2207</v>
      </c>
      <c r="D17" s="4" t="str">
        <f t="shared" ref="D17:D48" si="0">CONCATENATE(B17,C17)</f>
        <v>400041452G</v>
      </c>
      <c r="E17" s="309" t="str">
        <f>VLOOKUP($B17,'D7 - NDB Impacted SPRF''s'!$E$6:$O$9929,2,FALSE)</f>
        <v>Cont CDB Core Processing: Inc View Cutovers</v>
      </c>
      <c r="F17" s="8"/>
      <c r="G17" s="8" t="s">
        <v>7980</v>
      </c>
      <c r="H17" s="8" t="s">
        <v>1606</v>
      </c>
      <c r="I17" s="20">
        <v>3.38</v>
      </c>
      <c r="J17" s="8" t="s">
        <v>4862</v>
      </c>
      <c r="K17" s="182">
        <v>41041</v>
      </c>
      <c r="L17" s="8" t="s">
        <v>4156</v>
      </c>
      <c r="M17" s="8" t="s">
        <v>4450</v>
      </c>
      <c r="N17" s="38" t="s">
        <v>4276</v>
      </c>
      <c r="O17" s="8"/>
      <c r="P17" s="4" t="str">
        <f>VLOOKUP($B17,'D7 - NDB Impacted SPRF''s'!$E$16:$O$9929,9,FALSE)</f>
        <v>Y</v>
      </c>
      <c r="Q17" s="4" t="str">
        <f>VLOOKUP($B17,'D7 - NDB Impacted SPRF''s'!$E$16:$O$9929,10,FALSE)</f>
        <v>N</v>
      </c>
      <c r="R17" s="4" t="str">
        <f>VLOOKUP($B17,'D7 - NDB Impacted SPRF''s'!$E$16:$O$9929,11,FALSE)</f>
        <v>N</v>
      </c>
      <c r="S17" s="8"/>
      <c r="T17" s="310"/>
      <c r="U17" s="310"/>
      <c r="V17" s="4"/>
      <c r="W17" s="4"/>
      <c r="X17" s="4"/>
      <c r="Y17" s="4"/>
      <c r="Z17" s="4"/>
      <c r="AA17" s="4"/>
      <c r="AB17" s="380" t="str">
        <f>VLOOKUP($B17,'D7 - NDB Impacted SPRF''s'!$E$6:$O$9929,4,FALSE)</f>
        <v>Scheduled</v>
      </c>
      <c r="AC17" s="380" t="str">
        <f>VLOOKUP($B17,'D7 - NDB Impacted SPRF''s'!$E$6:$O$9929,3,FALSE)</f>
        <v>UHG IT - Shared Services</v>
      </c>
      <c r="AD17" s="380" t="str">
        <f>VLOOKUP($B17,'D7 - NDB Impacted SPRF''s'!$E$6:$O$9929,5,FALSE)</f>
        <v>Strategic Initiatives</v>
      </c>
      <c r="AE17" s="380" t="str">
        <f>VLOOKUP($B17,'D7 - NDB Impacted SPRF''s'!$E$6:$O$9929,7,FALSE)</f>
        <v>Patrick Casey</v>
      </c>
      <c r="AF17" s="380" t="str">
        <f>VLOOKUP($B17,'D7 - NDB Impacted SPRF''s'!$E$6:$O$9929,6,FALSE)</f>
        <v>DIANE KOWAL</v>
      </c>
      <c r="AG17" s="282"/>
      <c r="AH17" s="311" t="e">
        <f>INDEX('D5 - Gatekeeper - Projects'!$A$4:$AF$1010,$AM17, 17)</f>
        <v>#N/A</v>
      </c>
      <c r="AI17" s="8"/>
      <c r="AJ17" s="57"/>
      <c r="AK17" s="105"/>
      <c r="AM17" s="6" t="e">
        <f>MATCH(D17,'D5 - Gatekeeper - Projects'!$C$4:$C$1010,0)</f>
        <v>#N/A</v>
      </c>
      <c r="AN17" s="6" t="b">
        <f t="shared" ref="AN17:AN80" si="1">ISERROR(AM17)</f>
        <v>1</v>
      </c>
      <c r="AO17" s="6" t="str">
        <f t="shared" ref="AO17:AO48" si="2">IF(AND(H17="1 - Scheduled",AN17=TRUE),"Add","OK")</f>
        <v>Add</v>
      </c>
      <c r="AQ17" s="6" t="e">
        <f>MATCH($D17,'D4 - Provider Council Unsched'!$C$11:$C$234,0)</f>
        <v>#N/A</v>
      </c>
      <c r="AR17" s="6" t="b">
        <f t="shared" ref="AR17:AR80" si="3">ISERROR(AQ17)</f>
        <v>1</v>
      </c>
      <c r="AS17" s="6" t="str">
        <f t="shared" ref="AS17:AS48" si="4">IF(AND(H17="2 - Not Scheduled",AR17=TRUE,C17="R1"),"Add","OK")</f>
        <v>OK</v>
      </c>
      <c r="AU17" s="202">
        <v>40994</v>
      </c>
      <c r="AV17" s="6" t="s">
        <v>2309</v>
      </c>
      <c r="AW17" s="274">
        <v>48936</v>
      </c>
    </row>
    <row r="18" spans="1:49" s="13" customFormat="1" ht="33.75" x14ac:dyDescent="0.2">
      <c r="A18" s="14">
        <v>2</v>
      </c>
      <c r="B18" s="8">
        <v>400041737</v>
      </c>
      <c r="C18" s="8" t="s">
        <v>2207</v>
      </c>
      <c r="D18" s="4" t="str">
        <f t="shared" si="0"/>
        <v>400041737G</v>
      </c>
      <c r="E18" s="309" t="str">
        <f>VLOOKUP($B18,'D7 - NDB Impacted SPRF''s'!$E$6:$O$9929,2,FALSE)</f>
        <v>ICD10- Field Expansion- UHC EI</v>
      </c>
      <c r="F18" s="8"/>
      <c r="G18" s="8" t="s">
        <v>7980</v>
      </c>
      <c r="H18" s="8" t="s">
        <v>1606</v>
      </c>
      <c r="I18" s="20">
        <v>1.81</v>
      </c>
      <c r="J18" s="8" t="s">
        <v>4862</v>
      </c>
      <c r="K18" s="182">
        <v>41132</v>
      </c>
      <c r="L18" s="8" t="s">
        <v>4156</v>
      </c>
      <c r="M18" s="8" t="s">
        <v>4450</v>
      </c>
      <c r="N18" s="38" t="s">
        <v>1369</v>
      </c>
      <c r="O18" s="8"/>
      <c r="P18" s="4" t="str">
        <f>VLOOKUP($B18,'D7 - NDB Impacted SPRF''s'!$E$16:$O$9929,9,FALSE)</f>
        <v>Y</v>
      </c>
      <c r="Q18" s="4" t="str">
        <f>VLOOKUP($B18,'D7 - NDB Impacted SPRF''s'!$E$16:$O$9929,10,FALSE)</f>
        <v>N</v>
      </c>
      <c r="R18" s="4" t="str">
        <f>VLOOKUP($B18,'D7 - NDB Impacted SPRF''s'!$E$16:$O$9929,11,FALSE)</f>
        <v>Y</v>
      </c>
      <c r="S18" s="8"/>
      <c r="T18" s="310"/>
      <c r="U18" s="310"/>
      <c r="V18" s="4"/>
      <c r="W18" s="4"/>
      <c r="X18" s="4"/>
      <c r="Y18" s="4"/>
      <c r="Z18" s="4"/>
      <c r="AA18" s="4"/>
      <c r="AB18" s="380" t="str">
        <f>VLOOKUP($B18,'D7 - NDB Impacted SPRF''s'!$E$6:$O$9929,4,FALSE)</f>
        <v>Scheduled</v>
      </c>
      <c r="AC18" s="380" t="str">
        <f>VLOOKUP($B18,'D7 - NDB Impacted SPRF''s'!$E$6:$O$9929,3,FALSE)</f>
        <v>UnitedHealthcare Employer &amp; Individual</v>
      </c>
      <c r="AD18" s="380" t="str">
        <f>VLOOKUP($B18,'D7 - NDB Impacted SPRF''s'!$E$6:$O$9929,5,FALSE)</f>
        <v>Regulatory / Other</v>
      </c>
      <c r="AE18" s="380" t="str">
        <f>VLOOKUP($B18,'D7 - NDB Impacted SPRF''s'!$E$6:$O$9929,7,FALSE)</f>
        <v>Tim Kaja</v>
      </c>
      <c r="AF18" s="380" t="str">
        <f>VLOOKUP($B18,'D7 - NDB Impacted SPRF''s'!$E$6:$O$9929,6,FALSE)</f>
        <v>Delvis Schilling</v>
      </c>
      <c r="AG18" s="282"/>
      <c r="AH18" s="311" t="e">
        <f>INDEX('D5 - Gatekeeper - Projects'!$A$4:$AF$1010,$AM18, 17)</f>
        <v>#N/A</v>
      </c>
      <c r="AI18" s="8"/>
      <c r="AJ18" s="57"/>
      <c r="AK18" s="105"/>
      <c r="AM18" s="6" t="e">
        <f>MATCH(D18,'D5 - Gatekeeper - Projects'!$C$4:$C$1010,0)</f>
        <v>#N/A</v>
      </c>
      <c r="AN18" s="6" t="b">
        <f t="shared" si="1"/>
        <v>1</v>
      </c>
      <c r="AO18" s="6" t="str">
        <f t="shared" si="2"/>
        <v>Add</v>
      </c>
      <c r="AQ18" s="6" t="e">
        <f>MATCH($D18,'D4 - Provider Council Unsched'!$C$11:$C$234,0)</f>
        <v>#N/A</v>
      </c>
      <c r="AR18" s="6" t="b">
        <f t="shared" si="3"/>
        <v>1</v>
      </c>
      <c r="AS18" s="6" t="str">
        <f t="shared" si="4"/>
        <v>OK</v>
      </c>
      <c r="AU18" s="202">
        <v>41005</v>
      </c>
      <c r="AV18" s="6" t="s">
        <v>2299</v>
      </c>
      <c r="AW18" s="274">
        <v>50696</v>
      </c>
    </row>
    <row r="19" spans="1:49" s="13" customFormat="1" ht="45" x14ac:dyDescent="0.2">
      <c r="A19" s="14">
        <v>3</v>
      </c>
      <c r="B19" s="8">
        <v>400048200</v>
      </c>
      <c r="C19" s="8" t="s">
        <v>7290</v>
      </c>
      <c r="D19" s="4" t="str">
        <f t="shared" si="0"/>
        <v>400048200B</v>
      </c>
      <c r="E19" s="309" t="str">
        <f>VLOOKUP($B19,'D7 - NDB Impacted SPRF''s'!$E$6:$O$9929,2,FALSE)</f>
        <v>NICE Alpha to Itanium</v>
      </c>
      <c r="F19" s="8"/>
      <c r="G19" s="8" t="s">
        <v>7980</v>
      </c>
      <c r="H19" s="8" t="s">
        <v>1606</v>
      </c>
      <c r="I19" s="20">
        <v>0.02</v>
      </c>
      <c r="J19" s="8" t="s">
        <v>4862</v>
      </c>
      <c r="K19" s="182">
        <v>41174</v>
      </c>
      <c r="L19" s="8" t="s">
        <v>4156</v>
      </c>
      <c r="M19" s="8" t="s">
        <v>5626</v>
      </c>
      <c r="N19" s="38" t="s">
        <v>1380</v>
      </c>
      <c r="O19" s="8"/>
      <c r="P19" s="4" t="str">
        <f>VLOOKUP($B19,'D7 - NDB Impacted SPRF''s'!$E$16:$O$9929,9,FALSE)</f>
        <v>N</v>
      </c>
      <c r="Q19" s="4" t="str">
        <f>VLOOKUP($B19,'D7 - NDB Impacted SPRF''s'!$E$16:$O$9929,10,FALSE)</f>
        <v>N</v>
      </c>
      <c r="R19" s="4" t="str">
        <f>VLOOKUP($B19,'D7 - NDB Impacted SPRF''s'!$E$16:$O$9929,11,FALSE)</f>
        <v>Y</v>
      </c>
      <c r="S19" s="8"/>
      <c r="T19" s="310"/>
      <c r="U19" s="310"/>
      <c r="V19" s="4"/>
      <c r="W19" s="4"/>
      <c r="X19" s="4"/>
      <c r="Y19" s="4"/>
      <c r="Z19" s="4"/>
      <c r="AA19" s="4"/>
      <c r="AB19" s="380" t="str">
        <f>VLOOKUP($B19,'D7 - NDB Impacted SPRF''s'!$E$6:$O$9929,4,FALSE)</f>
        <v>Scheduled</v>
      </c>
      <c r="AC19" s="380" t="str">
        <f>VLOOKUP($B19,'D7 - NDB Impacted SPRF''s'!$E$6:$O$9929,3,FALSE)</f>
        <v>UnitedHealthcare Employer &amp; Individual</v>
      </c>
      <c r="AD19" s="380" t="str">
        <f>VLOOKUP($B19,'D7 - NDB Impacted SPRF''s'!$E$6:$O$9929,5,FALSE)</f>
        <v>Infrastructure Requirements</v>
      </c>
      <c r="AE19" s="380" t="str">
        <f>VLOOKUP($B19,'D7 - NDB Impacted SPRF''s'!$E$6:$O$9929,7,FALSE)</f>
        <v>Claire Hannan</v>
      </c>
      <c r="AF19" s="380" t="str">
        <f>VLOOKUP($B19,'D7 - NDB Impacted SPRF''s'!$E$6:$O$9929,6,FALSE)</f>
        <v>SCOTT BRUNK</v>
      </c>
      <c r="AG19" s="282"/>
      <c r="AH19" s="311" t="str">
        <f>INDEX('D5 - Gatekeeper - Projects'!$A$4:$AF$1010,$AM19, 17)</f>
        <v>T. Kester</v>
      </c>
      <c r="AI19" s="8"/>
      <c r="AJ19" s="57"/>
      <c r="AK19" s="105"/>
      <c r="AM19" s="6">
        <f>MATCH(D19,'D5 - Gatekeeper - Projects'!$C$4:$C$1010,0)</f>
        <v>4</v>
      </c>
      <c r="AN19" s="6" t="b">
        <f t="shared" si="1"/>
        <v>0</v>
      </c>
      <c r="AO19" s="6" t="str">
        <f t="shared" si="2"/>
        <v>OK</v>
      </c>
      <c r="AQ19" s="6" t="e">
        <f>MATCH($D19,'D4 - Provider Council Unsched'!$C$11:$C$234,0)</f>
        <v>#N/A</v>
      </c>
      <c r="AR19" s="6" t="b">
        <f t="shared" si="3"/>
        <v>1</v>
      </c>
      <c r="AS19" s="6" t="str">
        <f t="shared" si="4"/>
        <v>OK</v>
      </c>
      <c r="AU19" s="202">
        <v>41127</v>
      </c>
      <c r="AV19" s="6" t="s">
        <v>3205</v>
      </c>
      <c r="AW19" s="274" t="s">
        <v>3572</v>
      </c>
    </row>
    <row r="20" spans="1:49" s="13" customFormat="1" ht="22.5" x14ac:dyDescent="0.2">
      <c r="A20" s="14">
        <v>4</v>
      </c>
      <c r="B20" s="8">
        <v>400041452</v>
      </c>
      <c r="C20" s="8" t="s">
        <v>2330</v>
      </c>
      <c r="D20" s="4" t="str">
        <f t="shared" si="0"/>
        <v>400041452H</v>
      </c>
      <c r="E20" s="309" t="str">
        <f>VLOOKUP($B20,'D7 - NDB Impacted SPRF''s'!$E$6:$O$9929,2,FALSE)</f>
        <v>Cont CDB Core Processing: Inc View Cutovers</v>
      </c>
      <c r="F20" s="8"/>
      <c r="G20" s="8" t="s">
        <v>7980</v>
      </c>
      <c r="H20" s="8" t="s">
        <v>1606</v>
      </c>
      <c r="I20" s="20">
        <v>7.0000000000000007E-2</v>
      </c>
      <c r="J20" s="8" t="s">
        <v>4862</v>
      </c>
      <c r="K20" s="182">
        <v>41223</v>
      </c>
      <c r="L20" s="8" t="s">
        <v>4156</v>
      </c>
      <c r="M20" s="8" t="s">
        <v>5626</v>
      </c>
      <c r="N20" s="38" t="s">
        <v>52</v>
      </c>
      <c r="O20" s="8"/>
      <c r="P20" s="4" t="str">
        <f>VLOOKUP($B20,'D7 - NDB Impacted SPRF''s'!$E$16:$O$9929,9,FALSE)</f>
        <v>Y</v>
      </c>
      <c r="Q20" s="4" t="str">
        <f>VLOOKUP($B20,'D7 - NDB Impacted SPRF''s'!$E$16:$O$9929,10,FALSE)</f>
        <v>N</v>
      </c>
      <c r="R20" s="4" t="str">
        <f>VLOOKUP($B20,'D7 - NDB Impacted SPRF''s'!$E$16:$O$9929,11,FALSE)</f>
        <v>N</v>
      </c>
      <c r="S20" s="8"/>
      <c r="T20" s="310"/>
      <c r="U20" s="310"/>
      <c r="V20" s="4"/>
      <c r="W20" s="4"/>
      <c r="X20" s="4"/>
      <c r="Y20" s="4"/>
      <c r="Z20" s="4"/>
      <c r="AA20" s="4"/>
      <c r="AB20" s="380" t="str">
        <f>VLOOKUP($B20,'D7 - NDB Impacted SPRF''s'!$E$6:$O$9929,4,FALSE)</f>
        <v>Scheduled</v>
      </c>
      <c r="AC20" s="380" t="str">
        <f>VLOOKUP($B20,'D7 - NDB Impacted SPRF''s'!$E$6:$O$9929,3,FALSE)</f>
        <v>UHG IT - Shared Services</v>
      </c>
      <c r="AD20" s="380" t="str">
        <f>VLOOKUP($B20,'D7 - NDB Impacted SPRF''s'!$E$6:$O$9929,5,FALSE)</f>
        <v>Strategic Initiatives</v>
      </c>
      <c r="AE20" s="380" t="str">
        <f>VLOOKUP($B20,'D7 - NDB Impacted SPRF''s'!$E$6:$O$9929,7,FALSE)</f>
        <v>Patrick Casey</v>
      </c>
      <c r="AF20" s="380" t="str">
        <f>VLOOKUP($B20,'D7 - NDB Impacted SPRF''s'!$E$6:$O$9929,6,FALSE)</f>
        <v>DIANE KOWAL</v>
      </c>
      <c r="AG20" s="282"/>
      <c r="AH20" s="311" t="str">
        <f>INDEX('D5 - Gatekeeper - Projects'!$A$4:$AF$1010,$AM20, 17)</f>
        <v>T. Kester</v>
      </c>
      <c r="AI20" s="8"/>
      <c r="AJ20" s="57"/>
      <c r="AK20" s="105"/>
      <c r="AM20" s="6">
        <f>MATCH(D20,'D5 - Gatekeeper - Projects'!$C$4:$C$1010,0)</f>
        <v>5</v>
      </c>
      <c r="AN20" s="6" t="b">
        <f t="shared" si="1"/>
        <v>0</v>
      </c>
      <c r="AO20" s="6" t="str">
        <f t="shared" si="2"/>
        <v>OK</v>
      </c>
      <c r="AQ20" s="6" t="e">
        <f>MATCH($D20,'D4 - Provider Council Unsched'!$C$11:$C$234,0)</f>
        <v>#N/A</v>
      </c>
      <c r="AR20" s="6" t="b">
        <f t="shared" si="3"/>
        <v>1</v>
      </c>
      <c r="AS20" s="6" t="str">
        <f t="shared" si="4"/>
        <v>OK</v>
      </c>
      <c r="AU20" s="202">
        <v>41179</v>
      </c>
      <c r="AV20" s="6" t="s">
        <v>2309</v>
      </c>
      <c r="AW20" s="274">
        <v>40114</v>
      </c>
    </row>
    <row r="21" spans="1:49" s="13" customFormat="1" ht="22.5" x14ac:dyDescent="0.2">
      <c r="A21" s="14">
        <v>5</v>
      </c>
      <c r="B21" s="8">
        <v>400041436</v>
      </c>
      <c r="C21" s="8" t="s">
        <v>1447</v>
      </c>
      <c r="D21" s="4" t="str">
        <f t="shared" si="0"/>
        <v>400041436A</v>
      </c>
      <c r="E21" s="309" t="str">
        <f>VLOOKUP($B21,'D7 - NDB Impacted SPRF''s'!$E$6:$O$9929,2,FALSE)</f>
        <v>CDB Online: Convert Update Foundation Views</v>
      </c>
      <c r="F21" s="8"/>
      <c r="G21" s="8" t="s">
        <v>7980</v>
      </c>
      <c r="H21" s="8" t="s">
        <v>1606</v>
      </c>
      <c r="I21" s="20">
        <v>0.91</v>
      </c>
      <c r="J21" s="8" t="s">
        <v>4862</v>
      </c>
      <c r="K21" s="182">
        <v>41321</v>
      </c>
      <c r="L21" s="8" t="s">
        <v>4156</v>
      </c>
      <c r="M21" s="8" t="s">
        <v>5626</v>
      </c>
      <c r="N21" s="38" t="s">
        <v>267</v>
      </c>
      <c r="O21" s="8"/>
      <c r="P21" s="4" t="str">
        <f>VLOOKUP($B21,'D7 - NDB Impacted SPRF''s'!$E$16:$O$9929,9,FALSE)</f>
        <v>Y</v>
      </c>
      <c r="Q21" s="4" t="str">
        <f>VLOOKUP($B21,'D7 - NDB Impacted SPRF''s'!$E$16:$O$9929,10,FALSE)</f>
        <v>N</v>
      </c>
      <c r="R21" s="4" t="str">
        <f>VLOOKUP($B21,'D7 - NDB Impacted SPRF''s'!$E$16:$O$9929,11,FALSE)</f>
        <v>N</v>
      </c>
      <c r="S21" s="8"/>
      <c r="T21" s="310"/>
      <c r="U21" s="310"/>
      <c r="V21" s="4"/>
      <c r="W21" s="4"/>
      <c r="X21" s="4"/>
      <c r="Y21" s="4"/>
      <c r="Z21" s="4"/>
      <c r="AA21" s="4"/>
      <c r="AB21" s="380" t="str">
        <f>VLOOKUP($B21,'D7 - NDB Impacted SPRF''s'!$E$6:$O$9929,4,FALSE)</f>
        <v>Scheduled</v>
      </c>
      <c r="AC21" s="380" t="str">
        <f>VLOOKUP($B21,'D7 - NDB Impacted SPRF''s'!$E$6:$O$9929,3,FALSE)</f>
        <v>UHG IT - Shared Services</v>
      </c>
      <c r="AD21" s="380" t="str">
        <f>VLOOKUP($B21,'D7 - NDB Impacted SPRF''s'!$E$6:$O$9929,5,FALSE)</f>
        <v>Strategic Initiatives</v>
      </c>
      <c r="AE21" s="380" t="str">
        <f>VLOOKUP($B21,'D7 - NDB Impacted SPRF''s'!$E$6:$O$9929,7,FALSE)</f>
        <v>Patrick Casey</v>
      </c>
      <c r="AF21" s="380" t="str">
        <f>VLOOKUP($B21,'D7 - NDB Impacted SPRF''s'!$E$6:$O$9929,6,FALSE)</f>
        <v>DIANE KOWAL</v>
      </c>
      <c r="AG21" s="282"/>
      <c r="AH21" s="311" t="str">
        <f>INDEX('D5 - Gatekeeper - Projects'!$A$4:$AF$1010,$AM21, 17)</f>
        <v>T. Kester</v>
      </c>
      <c r="AI21" s="8"/>
      <c r="AJ21" s="57"/>
      <c r="AK21" s="105"/>
      <c r="AM21" s="6">
        <f>MATCH(D21,'D5 - Gatekeeper - Projects'!$C$4:$C$1010,0)</f>
        <v>7</v>
      </c>
      <c r="AN21" s="6" t="b">
        <f t="shared" si="1"/>
        <v>0</v>
      </c>
      <c r="AO21" s="6" t="str">
        <f t="shared" si="2"/>
        <v>OK</v>
      </c>
      <c r="AQ21" s="6" t="e">
        <f>MATCH($D21,'D4 - Provider Council Unsched'!$C$11:$C$234,0)</f>
        <v>#N/A</v>
      </c>
      <c r="AR21" s="6" t="b">
        <f t="shared" si="3"/>
        <v>1</v>
      </c>
      <c r="AS21" s="6" t="str">
        <f t="shared" si="4"/>
        <v>OK</v>
      </c>
      <c r="AU21" s="202">
        <v>40602</v>
      </c>
      <c r="AV21" s="6" t="s">
        <v>2309</v>
      </c>
      <c r="AW21" s="274">
        <v>29708</v>
      </c>
    </row>
    <row r="22" spans="1:49" s="13" customFormat="1" ht="33.75" x14ac:dyDescent="0.2">
      <c r="A22" s="14">
        <v>6</v>
      </c>
      <c r="B22" s="8">
        <v>400044588</v>
      </c>
      <c r="C22" s="8" t="s">
        <v>7290</v>
      </c>
      <c r="D22" s="4" t="str">
        <f t="shared" si="0"/>
        <v>400044588B</v>
      </c>
      <c r="E22" s="309" t="str">
        <f>VLOOKUP($B22,'D7 - NDB Impacted SPRF''s'!$E$6:$O$9929,2,FALSE)</f>
        <v>UHC West - CarePlanner to ICUE Capability Release</v>
      </c>
      <c r="F22" s="8"/>
      <c r="G22" s="8" t="s">
        <v>7980</v>
      </c>
      <c r="H22" s="8" t="s">
        <v>1606</v>
      </c>
      <c r="I22" s="20">
        <v>0.16</v>
      </c>
      <c r="J22" s="8" t="s">
        <v>4862</v>
      </c>
      <c r="K22" s="182">
        <v>41321</v>
      </c>
      <c r="L22" s="8" t="s">
        <v>4156</v>
      </c>
      <c r="M22" s="8" t="s">
        <v>5626</v>
      </c>
      <c r="N22" s="38" t="s">
        <v>830</v>
      </c>
      <c r="O22" s="8"/>
      <c r="P22" s="4" t="str">
        <f>VLOOKUP($B22,'D7 - NDB Impacted SPRF''s'!$E$16:$O$9929,9,FALSE)</f>
        <v>Y</v>
      </c>
      <c r="Q22" s="4" t="str">
        <f>VLOOKUP($B22,'D7 - NDB Impacted SPRF''s'!$E$16:$O$9929,10,FALSE)</f>
        <v>N</v>
      </c>
      <c r="R22" s="4" t="str">
        <f>VLOOKUP($B22,'D7 - NDB Impacted SPRF''s'!$E$16:$O$9929,11,FALSE)</f>
        <v>N</v>
      </c>
      <c r="S22" s="8"/>
      <c r="T22" s="310"/>
      <c r="U22" s="310"/>
      <c r="V22" s="4"/>
      <c r="W22" s="4"/>
      <c r="X22" s="4"/>
      <c r="Y22" s="4"/>
      <c r="Z22" s="4"/>
      <c r="AA22" s="4"/>
      <c r="AB22" s="380" t="str">
        <f>VLOOKUP($B22,'D7 - NDB Impacted SPRF''s'!$E$6:$O$9929,4,FALSE)</f>
        <v>Scheduled</v>
      </c>
      <c r="AC22" s="380" t="str">
        <f>VLOOKUP($B22,'D7 - NDB Impacted SPRF''s'!$E$6:$O$9929,3,FALSE)</f>
        <v>UnitedHealthcare Employer &amp; Individual</v>
      </c>
      <c r="AD22" s="380" t="str">
        <f>VLOOKUP($B22,'D7 - NDB Impacted SPRF''s'!$E$6:$O$9929,5,FALSE)</f>
        <v>Medical Cost Savings Programs</v>
      </c>
      <c r="AE22" s="380" t="str">
        <f>VLOOKUP($B22,'D7 - NDB Impacted SPRF''s'!$E$6:$O$9929,7,FALSE)</f>
        <v>Ellen Koch</v>
      </c>
      <c r="AF22" s="380" t="str">
        <f>VLOOKUP($B22,'D7 - NDB Impacted SPRF''s'!$E$6:$O$9929,6,FALSE)</f>
        <v>Carol Buske</v>
      </c>
      <c r="AG22" s="282"/>
      <c r="AH22" s="311" t="str">
        <f>INDEX('D5 - Gatekeeper - Projects'!$A$4:$AF$1010,$AM22, 17)</f>
        <v>T. Kester</v>
      </c>
      <c r="AI22" s="8"/>
      <c r="AJ22" s="57"/>
      <c r="AK22" s="105"/>
      <c r="AM22" s="6">
        <f>MATCH(D22,'D5 - Gatekeeper - Projects'!$C$4:$C$1010,0)</f>
        <v>8</v>
      </c>
      <c r="AN22" s="6" t="b">
        <f t="shared" si="1"/>
        <v>0</v>
      </c>
      <c r="AO22" s="6" t="str">
        <f t="shared" si="2"/>
        <v>OK</v>
      </c>
      <c r="AQ22" s="6" t="e">
        <f>MATCH($D22,'D4 - Provider Council Unsched'!$C$11:$C$234,0)</f>
        <v>#N/A</v>
      </c>
      <c r="AR22" s="6" t="b">
        <f t="shared" si="3"/>
        <v>1</v>
      </c>
      <c r="AS22" s="6" t="str">
        <f t="shared" si="4"/>
        <v>OK</v>
      </c>
      <c r="AU22" s="202">
        <v>41186</v>
      </c>
      <c r="AV22" s="6" t="s">
        <v>436</v>
      </c>
      <c r="AW22" s="274" t="s">
        <v>3572</v>
      </c>
    </row>
    <row r="23" spans="1:49" s="13" customFormat="1" ht="33.75" x14ac:dyDescent="0.2">
      <c r="A23" s="14">
        <v>7</v>
      </c>
      <c r="B23" s="8">
        <v>400047477</v>
      </c>
      <c r="C23" s="8" t="s">
        <v>7289</v>
      </c>
      <c r="D23" s="4" t="str">
        <f t="shared" si="0"/>
        <v>400047477D</v>
      </c>
      <c r="E23" s="309" t="str">
        <f>VLOOKUP($B23,'D7 - NDB Impacted SPRF''s'!$E$6:$O$9929,2,FALSE)</f>
        <v xml:space="preserve">ICD10 E &amp; I Compliance Release </v>
      </c>
      <c r="F23" s="8"/>
      <c r="G23" s="8" t="s">
        <v>7980</v>
      </c>
      <c r="H23" s="8" t="s">
        <v>1606</v>
      </c>
      <c r="I23" s="20">
        <v>2.61</v>
      </c>
      <c r="J23" s="8" t="s">
        <v>4862</v>
      </c>
      <c r="K23" s="182">
        <v>41321</v>
      </c>
      <c r="L23" s="8" t="s">
        <v>4156</v>
      </c>
      <c r="M23" s="8" t="s">
        <v>3598</v>
      </c>
      <c r="N23" s="38" t="s">
        <v>7509</v>
      </c>
      <c r="O23" s="8"/>
      <c r="P23" s="4" t="str">
        <f>VLOOKUP($B23,'D7 - NDB Impacted SPRF''s'!$E$16:$O$9929,9,FALSE)</f>
        <v>Y</v>
      </c>
      <c r="Q23" s="4" t="str">
        <f>VLOOKUP($B23,'D7 - NDB Impacted SPRF''s'!$E$16:$O$9929,10,FALSE)</f>
        <v>N</v>
      </c>
      <c r="R23" s="4" t="str">
        <f>VLOOKUP($B23,'D7 - NDB Impacted SPRF''s'!$E$16:$O$9929,11,FALSE)</f>
        <v>Y</v>
      </c>
      <c r="S23" s="8"/>
      <c r="T23" s="310"/>
      <c r="U23" s="310"/>
      <c r="V23" s="4"/>
      <c r="W23" s="4"/>
      <c r="X23" s="4"/>
      <c r="Y23" s="4"/>
      <c r="Z23" s="4"/>
      <c r="AA23" s="4"/>
      <c r="AB23" s="380" t="str">
        <f>VLOOKUP($B23,'D7 - NDB Impacted SPRF''s'!$E$6:$O$9929,4,FALSE)</f>
        <v>Scheduled</v>
      </c>
      <c r="AC23" s="380" t="str">
        <f>VLOOKUP($B23,'D7 - NDB Impacted SPRF''s'!$E$6:$O$9929,3,FALSE)</f>
        <v>UnitedHealthcare Employer &amp; Individual</v>
      </c>
      <c r="AD23" s="380" t="str">
        <f>VLOOKUP($B23,'D7 - NDB Impacted SPRF''s'!$E$6:$O$9929,5,FALSE)</f>
        <v>Regulatory / Other</v>
      </c>
      <c r="AE23" s="380" t="str">
        <f>VLOOKUP($B23,'D7 - NDB Impacted SPRF''s'!$E$6:$O$9929,7,FALSE)</f>
        <v>Tim Kaja</v>
      </c>
      <c r="AF23" s="380" t="str">
        <f>VLOOKUP($B23,'D7 - NDB Impacted SPRF''s'!$E$6:$O$9929,6,FALSE)</f>
        <v>Delvis Schilling</v>
      </c>
      <c r="AG23" s="282"/>
      <c r="AH23" s="311" t="str">
        <f>INDEX('D5 - Gatekeeper - Projects'!$A$4:$AF$1010,$AM23, 17)</f>
        <v>J. Melendez</v>
      </c>
      <c r="AI23" s="8"/>
      <c r="AJ23" s="57"/>
      <c r="AK23" s="105"/>
      <c r="AM23" s="6">
        <f>MATCH(D23,'D5 - Gatekeeper - Projects'!$C$4:$C$1010,0)</f>
        <v>9</v>
      </c>
      <c r="AN23" s="6" t="b">
        <f t="shared" si="1"/>
        <v>0</v>
      </c>
      <c r="AO23" s="6" t="str">
        <f t="shared" si="2"/>
        <v>OK</v>
      </c>
      <c r="AQ23" s="6" t="e">
        <f>MATCH($D23,'D4 - Provider Council Unsched'!$C$11:$C$234,0)</f>
        <v>#N/A</v>
      </c>
      <c r="AR23" s="6" t="b">
        <f t="shared" si="3"/>
        <v>1</v>
      </c>
      <c r="AS23" s="6" t="str">
        <f t="shared" si="4"/>
        <v>OK</v>
      </c>
      <c r="AU23" s="202">
        <v>41256</v>
      </c>
      <c r="AV23" s="6" t="s">
        <v>2299</v>
      </c>
      <c r="AW23" s="274">
        <v>58699</v>
      </c>
    </row>
    <row r="24" spans="1:49" s="13" customFormat="1" ht="33.75" x14ac:dyDescent="0.2">
      <c r="A24" s="14">
        <v>8</v>
      </c>
      <c r="B24" s="8">
        <v>400050155</v>
      </c>
      <c r="C24" s="8" t="s">
        <v>1196</v>
      </c>
      <c r="D24" s="4" t="str">
        <f t="shared" si="0"/>
        <v>400050155F</v>
      </c>
      <c r="E24" s="309" t="str">
        <f>VLOOKUP($B24,'D7 - NDB Impacted SPRF''s'!$E$6:$O$9929,2,FALSE)</f>
        <v>Health Care Cost Estimator  Release 2.2</v>
      </c>
      <c r="F24" s="8"/>
      <c r="G24" s="8" t="s">
        <v>7980</v>
      </c>
      <c r="H24" s="8" t="s">
        <v>1606</v>
      </c>
      <c r="I24" s="20">
        <v>0</v>
      </c>
      <c r="J24" s="8" t="s">
        <v>4862</v>
      </c>
      <c r="K24" s="182">
        <v>41321</v>
      </c>
      <c r="L24" s="8" t="s">
        <v>4156</v>
      </c>
      <c r="M24" s="8" t="s">
        <v>4450</v>
      </c>
      <c r="N24" s="364" t="s">
        <v>369</v>
      </c>
      <c r="O24" s="8"/>
      <c r="P24" s="4" t="str">
        <f>VLOOKUP($B24,'D7 - NDB Impacted SPRF''s'!$E$16:$O$9929,9,FALSE)</f>
        <v>Y</v>
      </c>
      <c r="Q24" s="4" t="str">
        <f>VLOOKUP($B24,'D7 - NDB Impacted SPRF''s'!$E$16:$O$9929,10,FALSE)</f>
        <v>N</v>
      </c>
      <c r="R24" s="4" t="str">
        <f>VLOOKUP($B24,'D7 - NDB Impacted SPRF''s'!$E$16:$O$9929,11,FALSE)</f>
        <v>N</v>
      </c>
      <c r="S24" s="8"/>
      <c r="T24" s="310"/>
      <c r="U24" s="310"/>
      <c r="V24" s="4"/>
      <c r="W24" s="4"/>
      <c r="X24" s="4"/>
      <c r="Y24" s="4"/>
      <c r="Z24" s="4"/>
      <c r="AA24" s="4"/>
      <c r="AB24" s="380" t="str">
        <f>VLOOKUP($B24,'D7 - NDB Impacted SPRF''s'!$E$6:$O$9929,4,FALSE)</f>
        <v>Scheduled</v>
      </c>
      <c r="AC24" s="380" t="str">
        <f>VLOOKUP($B24,'D7 - NDB Impacted SPRF''s'!$E$6:$O$9929,3,FALSE)</f>
        <v>UnitedHealthcare Employer &amp; Individual</v>
      </c>
      <c r="AD24" s="380" t="str">
        <f>VLOOKUP($B24,'D7 - NDB Impacted SPRF''s'!$E$6:$O$9929,5,FALSE)</f>
        <v>Membership Growth / Revenue Programs</v>
      </c>
      <c r="AE24" s="380" t="str">
        <f>VLOOKUP($B24,'D7 - NDB Impacted SPRF''s'!$E$6:$O$9929,7,FALSE)</f>
        <v>Victoria Bogatyrenko</v>
      </c>
      <c r="AF24" s="380" t="str">
        <f>VLOOKUP($B24,'D7 - NDB Impacted SPRF''s'!$E$6:$O$9929,6,FALSE)</f>
        <v>Kari Mclarty</v>
      </c>
      <c r="AG24" s="282"/>
      <c r="AH24" s="311" t="str">
        <f>INDEX('D5 - Gatekeeper - Projects'!$A$4:$AF$1010,$AM24, 17)</f>
        <v>C. Chen</v>
      </c>
      <c r="AI24" s="8"/>
      <c r="AJ24" s="57"/>
      <c r="AK24" s="105"/>
      <c r="AM24" s="6">
        <f>MATCH(D24,'D5 - Gatekeeper - Projects'!$C$4:$C$1010,0)</f>
        <v>10</v>
      </c>
      <c r="AN24" s="6" t="b">
        <f t="shared" si="1"/>
        <v>0</v>
      </c>
      <c r="AO24" s="6" t="str">
        <f t="shared" si="2"/>
        <v>OK</v>
      </c>
      <c r="AQ24" s="6" t="e">
        <f>MATCH($D24,'D4 - Provider Council Unsched'!$C$11:$C$234,0)</f>
        <v>#N/A</v>
      </c>
      <c r="AR24" s="6" t="b">
        <f t="shared" si="3"/>
        <v>1</v>
      </c>
      <c r="AS24" s="6" t="str">
        <f t="shared" si="4"/>
        <v>OK</v>
      </c>
      <c r="AU24" s="202">
        <v>41298</v>
      </c>
      <c r="AV24" s="6" t="s">
        <v>932</v>
      </c>
      <c r="AW24" s="274">
        <v>56214</v>
      </c>
    </row>
    <row r="25" spans="1:49" s="13" customFormat="1" ht="33.75" x14ac:dyDescent="0.2">
      <c r="A25" s="14">
        <v>9</v>
      </c>
      <c r="B25" s="8">
        <v>400051213</v>
      </c>
      <c r="C25" s="8" t="s">
        <v>1447</v>
      </c>
      <c r="D25" s="4" t="str">
        <f t="shared" si="0"/>
        <v>400051213A</v>
      </c>
      <c r="E25" s="309" t="str">
        <f>VLOOKUP($B25,'D7 - NDB Impacted SPRF''s'!$E$6:$O$9929,2,FALSE)</f>
        <v>NHP Expansion within Florida Market</v>
      </c>
      <c r="F25" s="8"/>
      <c r="G25" s="8" t="s">
        <v>7980</v>
      </c>
      <c r="H25" s="8" t="s">
        <v>1606</v>
      </c>
      <c r="I25" s="20">
        <v>0.82</v>
      </c>
      <c r="J25" s="8" t="s">
        <v>4862</v>
      </c>
      <c r="K25" s="182">
        <v>41321</v>
      </c>
      <c r="L25" s="8" t="s">
        <v>4156</v>
      </c>
      <c r="M25" s="8" t="s">
        <v>5626</v>
      </c>
      <c r="N25" s="38"/>
      <c r="O25" s="8"/>
      <c r="P25" s="4" t="str">
        <f>VLOOKUP($B25,'D7 - NDB Impacted SPRF''s'!$E$16:$O$9929,9,FALSE)</f>
        <v>N</v>
      </c>
      <c r="Q25" s="4" t="str">
        <f>VLOOKUP($B25,'D7 - NDB Impacted SPRF''s'!$E$16:$O$9929,10,FALSE)</f>
        <v>N</v>
      </c>
      <c r="R25" s="4" t="str">
        <f>VLOOKUP($B25,'D7 - NDB Impacted SPRF''s'!$E$16:$O$9929,11,FALSE)</f>
        <v>Y</v>
      </c>
      <c r="S25" s="8"/>
      <c r="T25" s="310"/>
      <c r="U25" s="310"/>
      <c r="V25" s="4"/>
      <c r="W25" s="4"/>
      <c r="X25" s="4"/>
      <c r="Y25" s="4"/>
      <c r="Z25" s="4"/>
      <c r="AA25" s="4"/>
      <c r="AB25" s="380" t="str">
        <f>VLOOKUP($B25,'D7 - NDB Impacted SPRF''s'!$E$6:$O$9929,4,FALSE)</f>
        <v>Scheduled</v>
      </c>
      <c r="AC25" s="380" t="str">
        <f>VLOOKUP($B25,'D7 - NDB Impacted SPRF''s'!$E$6:$O$9929,3,FALSE)</f>
        <v>UnitedHealthcare Employer &amp; Individual</v>
      </c>
      <c r="AD25" s="380" t="str">
        <f>VLOOKUP($B25,'D7 - NDB Impacted SPRF''s'!$E$6:$O$9929,5,FALSE)</f>
        <v>Membership Growth / Revenue Programs</v>
      </c>
      <c r="AE25" s="380" t="str">
        <f>VLOOKUP($B25,'D7 - NDB Impacted SPRF''s'!$E$6:$O$9929,7,FALSE)</f>
        <v>Kathleen Marshall</v>
      </c>
      <c r="AF25" s="380" t="str">
        <f>VLOOKUP($B25,'D7 - NDB Impacted SPRF''s'!$E$6:$O$9929,6,FALSE)</f>
        <v>Tamara Falish</v>
      </c>
      <c r="AG25" s="282"/>
      <c r="AH25" s="311" t="str">
        <f>INDEX('D5 - Gatekeeper - Projects'!$A$4:$AF$1010,$AM25, 17)</f>
        <v>T. Kester</v>
      </c>
      <c r="AI25" s="8"/>
      <c r="AJ25" s="57"/>
      <c r="AK25" s="105"/>
      <c r="AM25" s="6">
        <f>MATCH(D25,'D5 - Gatekeeper - Projects'!$C$4:$C$1010,0)</f>
        <v>11</v>
      </c>
      <c r="AN25" s="6" t="b">
        <f t="shared" si="1"/>
        <v>0</v>
      </c>
      <c r="AO25" s="6" t="str">
        <f t="shared" si="2"/>
        <v>OK</v>
      </c>
      <c r="AQ25" s="6" t="e">
        <f>MATCH($D25,'D4 - Provider Council Unsched'!$C$11:$C$234,0)</f>
        <v>#N/A</v>
      </c>
      <c r="AR25" s="6" t="b">
        <f t="shared" si="3"/>
        <v>1</v>
      </c>
      <c r="AS25" s="6" t="str">
        <f t="shared" si="4"/>
        <v>OK</v>
      </c>
      <c r="AU25" s="202">
        <v>41162</v>
      </c>
      <c r="AV25" s="6" t="s">
        <v>192</v>
      </c>
      <c r="AW25" s="274">
        <v>60152</v>
      </c>
    </row>
    <row r="26" spans="1:49" s="13" customFormat="1" ht="22.5" x14ac:dyDescent="0.2">
      <c r="A26" s="14">
        <v>10</v>
      </c>
      <c r="B26" s="8">
        <v>400051411</v>
      </c>
      <c r="C26" s="8" t="s">
        <v>1447</v>
      </c>
      <c r="D26" s="4" t="str">
        <f t="shared" si="0"/>
        <v>400051411A</v>
      </c>
      <c r="E26" s="309" t="str">
        <f>VLOOKUP($B26,'D7 - NDB Impacted SPRF''s'!$E$6:$O$9929,2,FALSE)</f>
        <v>COSMOS Array Remediaton</v>
      </c>
      <c r="F26" s="8"/>
      <c r="G26" s="8" t="s">
        <v>7980</v>
      </c>
      <c r="H26" s="8" t="s">
        <v>1606</v>
      </c>
      <c r="I26" s="20">
        <v>0.14000000000000001</v>
      </c>
      <c r="J26" s="8" t="s">
        <v>4862</v>
      </c>
      <c r="K26" s="182">
        <v>41321</v>
      </c>
      <c r="L26" s="8" t="s">
        <v>4156</v>
      </c>
      <c r="M26" s="8" t="s">
        <v>5626</v>
      </c>
      <c r="N26" s="38" t="s">
        <v>8032</v>
      </c>
      <c r="O26" s="8"/>
      <c r="P26" s="4" t="str">
        <f>VLOOKUP($B26,'D7 - NDB Impacted SPRF''s'!$E$16:$O$9929,9,FALSE)</f>
        <v>N</v>
      </c>
      <c r="Q26" s="4" t="str">
        <f>VLOOKUP($B26,'D7 - NDB Impacted SPRF''s'!$E$16:$O$9929,10,FALSE)</f>
        <v>N</v>
      </c>
      <c r="R26" s="4" t="str">
        <f>VLOOKUP($B26,'D7 - NDB Impacted SPRF''s'!$E$16:$O$9929,11,FALSE)</f>
        <v>N</v>
      </c>
      <c r="S26" s="8"/>
      <c r="T26" s="310"/>
      <c r="U26" s="310"/>
      <c r="V26" s="4"/>
      <c r="W26" s="4"/>
      <c r="X26" s="4"/>
      <c r="Y26" s="4"/>
      <c r="Z26" s="4"/>
      <c r="AA26" s="4"/>
      <c r="AB26" s="380" t="str">
        <f>VLOOKUP($B26,'D7 - NDB Impacted SPRF''s'!$E$6:$O$9929,4,FALSE)</f>
        <v>Scheduled</v>
      </c>
      <c r="AC26" s="380" t="str">
        <f>VLOOKUP($B26,'D7 - NDB Impacted SPRF''s'!$E$6:$O$9929,3,FALSE)</f>
        <v>UHG IT - Shared Services</v>
      </c>
      <c r="AD26" s="380" t="str">
        <f>VLOOKUP($B26,'D7 - NDB Impacted SPRF''s'!$E$6:$O$9929,5,FALSE)</f>
        <v>ASG</v>
      </c>
      <c r="AE26" s="380" t="str">
        <f>VLOOKUP($B26,'D7 - NDB Impacted SPRF''s'!$E$6:$O$9929,7,FALSE)</f>
        <v>John Doddy</v>
      </c>
      <c r="AF26" s="380" t="str">
        <f>VLOOKUP($B26,'D7 - NDB Impacted SPRF''s'!$E$6:$O$9929,6,FALSE)</f>
        <v>MELANIE ZIERER</v>
      </c>
      <c r="AG26" s="282"/>
      <c r="AH26" s="311" t="str">
        <f>INDEX('D5 - Gatekeeper - Projects'!$A$4:$AF$1010,$AM26, 17)</f>
        <v>T. Kester</v>
      </c>
      <c r="AI26" s="8"/>
      <c r="AJ26" s="57"/>
      <c r="AK26" s="105"/>
      <c r="AM26" s="6">
        <f>MATCH(D26,'D5 - Gatekeeper - Projects'!$C$4:$C$1010,0)</f>
        <v>12</v>
      </c>
      <c r="AN26" s="6" t="b">
        <f t="shared" si="1"/>
        <v>0</v>
      </c>
      <c r="AO26" s="6" t="str">
        <f t="shared" si="2"/>
        <v>OK</v>
      </c>
      <c r="AQ26" s="6" t="e">
        <f>MATCH($D26,'D4 - Provider Council Unsched'!$C$11:$C$234,0)</f>
        <v>#N/A</v>
      </c>
      <c r="AR26" s="6" t="b">
        <f t="shared" si="3"/>
        <v>1</v>
      </c>
      <c r="AS26" s="6" t="str">
        <f t="shared" si="4"/>
        <v>OK</v>
      </c>
      <c r="AU26" s="202">
        <v>41186</v>
      </c>
      <c r="AV26" s="312" t="s">
        <v>193</v>
      </c>
      <c r="AW26" s="274">
        <v>69902</v>
      </c>
    </row>
    <row r="27" spans="1:49" s="13" customFormat="1" ht="157.5" x14ac:dyDescent="0.2">
      <c r="A27" s="14">
        <v>11</v>
      </c>
      <c r="B27" s="8">
        <v>400053723</v>
      </c>
      <c r="C27" s="8" t="s">
        <v>7289</v>
      </c>
      <c r="D27" s="4" t="str">
        <f t="shared" si="0"/>
        <v>400053723D</v>
      </c>
      <c r="E27" s="309" t="str">
        <f>VLOOKUP($B27,'D7 - NDB Impacted SPRF''s'!$E$6:$O$9929,2,FALSE)</f>
        <v>TRICARE West Implementation FD: Provider/Network</v>
      </c>
      <c r="F27" s="8"/>
      <c r="G27" s="8" t="s">
        <v>7980</v>
      </c>
      <c r="H27" s="8" t="s">
        <v>1606</v>
      </c>
      <c r="I27" s="20">
        <v>59.13</v>
      </c>
      <c r="J27" s="8" t="s">
        <v>4862</v>
      </c>
      <c r="K27" s="182">
        <v>41321</v>
      </c>
      <c r="L27" s="8" t="s">
        <v>4156</v>
      </c>
      <c r="M27" s="8" t="s">
        <v>2814</v>
      </c>
      <c r="N27" s="38" t="s">
        <v>854</v>
      </c>
      <c r="O27" s="8"/>
      <c r="P27" s="4" t="str">
        <f>VLOOKUP($B27,'D7 - NDB Impacted SPRF''s'!$E$16:$O$9929,9,FALSE)</f>
        <v>N</v>
      </c>
      <c r="Q27" s="4" t="str">
        <f>VLOOKUP($B27,'D7 - NDB Impacted SPRF''s'!$E$16:$O$9929,10,FALSE)</f>
        <v>N</v>
      </c>
      <c r="R27" s="4" t="str">
        <f>VLOOKUP($B27,'D7 - NDB Impacted SPRF''s'!$E$16:$O$9929,11,FALSE)</f>
        <v>Y</v>
      </c>
      <c r="S27" s="8"/>
      <c r="T27" s="310"/>
      <c r="U27" s="310"/>
      <c r="V27" s="4"/>
      <c r="W27" s="4"/>
      <c r="X27" s="4"/>
      <c r="Y27" s="4"/>
      <c r="Z27" s="4"/>
      <c r="AA27" s="4"/>
      <c r="AB27" s="380" t="str">
        <f>VLOOKUP($B27,'D7 - NDB Impacted SPRF''s'!$E$6:$O$9929,4,FALSE)</f>
        <v>Scheduled</v>
      </c>
      <c r="AC27" s="380" t="str">
        <f>VLOOKUP($B27,'D7 - NDB Impacted SPRF''s'!$E$6:$O$9929,3,FALSE)</f>
        <v>UnitedHealthcare Military &amp; Veterans</v>
      </c>
      <c r="AD27" s="380" t="str">
        <f>VLOOKUP($B27,'D7 - NDB Impacted SPRF''s'!$E$6:$O$9929,5,FALSE)</f>
        <v>Integration Requirements</v>
      </c>
      <c r="AE27" s="380" t="str">
        <f>VLOOKUP($B27,'D7 - NDB Impacted SPRF''s'!$E$6:$O$9929,7,FALSE)</f>
        <v>Mike Schwarz</v>
      </c>
      <c r="AF27" s="380" t="str">
        <f>VLOOKUP($B27,'D7 - NDB Impacted SPRF''s'!$E$6:$O$9929,6,FALSE)</f>
        <v>Michael Schwarz</v>
      </c>
      <c r="AG27" s="282"/>
      <c r="AH27" s="311" t="str">
        <f>INDEX('D5 - Gatekeeper - Projects'!$A$4:$AF$1010,$AM27, 17)</f>
        <v>J. Boulus</v>
      </c>
      <c r="AI27" s="8"/>
      <c r="AJ27" s="57"/>
      <c r="AK27" s="105"/>
      <c r="AM27" s="6">
        <f>MATCH(D27,'D5 - Gatekeeper - Projects'!$C$4:$C$1010,0)</f>
        <v>13</v>
      </c>
      <c r="AN27" s="6" t="b">
        <f t="shared" si="1"/>
        <v>0</v>
      </c>
      <c r="AO27" s="6" t="str">
        <f t="shared" si="2"/>
        <v>OK</v>
      </c>
      <c r="AQ27" s="6" t="e">
        <f>MATCH($D27,'D4 - Provider Council Unsched'!$C$11:$C$234,0)</f>
        <v>#N/A</v>
      </c>
      <c r="AR27" s="6" t="b">
        <f t="shared" si="3"/>
        <v>1</v>
      </c>
      <c r="AS27" s="6" t="str">
        <f t="shared" si="4"/>
        <v>OK</v>
      </c>
      <c r="AU27" s="202">
        <v>41162</v>
      </c>
      <c r="AV27" s="6" t="s">
        <v>3204</v>
      </c>
      <c r="AW27" s="274">
        <v>66807</v>
      </c>
    </row>
    <row r="28" spans="1:49" s="13" customFormat="1" ht="33" customHeight="1" x14ac:dyDescent="0.2">
      <c r="A28" s="14">
        <v>12</v>
      </c>
      <c r="B28" s="8">
        <v>400054062</v>
      </c>
      <c r="C28" s="8" t="s">
        <v>1447</v>
      </c>
      <c r="D28" s="4" t="str">
        <f t="shared" si="0"/>
        <v>400054062A</v>
      </c>
      <c r="E28" s="309" t="str">
        <f>VLOOKUP($B28,'D7 - NDB Impacted SPRF''s'!$E$6:$O$9929,2,FALSE)</f>
        <v>eSync Advocacy - Q1 2013</v>
      </c>
      <c r="F28" s="8"/>
      <c r="G28" s="8" t="s">
        <v>7980</v>
      </c>
      <c r="H28" s="8" t="s">
        <v>1606</v>
      </c>
      <c r="I28" s="20">
        <v>0.12</v>
      </c>
      <c r="J28" s="8" t="s">
        <v>4862</v>
      </c>
      <c r="K28" s="182">
        <v>41321</v>
      </c>
      <c r="L28" s="8" t="s">
        <v>4156</v>
      </c>
      <c r="M28" s="8" t="s">
        <v>5626</v>
      </c>
      <c r="N28" s="38"/>
      <c r="O28" s="8"/>
      <c r="P28" s="4" t="str">
        <f>VLOOKUP($B28,'D7 - NDB Impacted SPRF''s'!$E$16:$O$9929,9,FALSE)</f>
        <v>Y</v>
      </c>
      <c r="Q28" s="4" t="str">
        <f>VLOOKUP($B28,'D7 - NDB Impacted SPRF''s'!$E$16:$O$9929,10,FALSE)</f>
        <v>N</v>
      </c>
      <c r="R28" s="4" t="str">
        <f>VLOOKUP($B28,'D7 - NDB Impacted SPRF''s'!$E$16:$O$9929,11,FALSE)</f>
        <v>N</v>
      </c>
      <c r="S28" s="8"/>
      <c r="T28" s="310"/>
      <c r="U28" s="310"/>
      <c r="V28" s="4"/>
      <c r="W28" s="4"/>
      <c r="X28" s="4"/>
      <c r="Y28" s="4"/>
      <c r="Z28" s="4"/>
      <c r="AA28" s="4"/>
      <c r="AB28" s="380" t="str">
        <f>VLOOKUP($B28,'D7 - NDB Impacted SPRF''s'!$E$6:$O$9929,4,FALSE)</f>
        <v>Scheduled</v>
      </c>
      <c r="AC28" s="380" t="str">
        <f>VLOOKUP($B28,'D7 - NDB Impacted SPRF''s'!$E$6:$O$9929,3,FALSE)</f>
        <v>OptumHealth</v>
      </c>
      <c r="AD28" s="380" t="str">
        <f>VLOOKUP($B28,'D7 - NDB Impacted SPRF''s'!$E$6:$O$9929,5,FALSE)</f>
        <v>OptumHealth Care Solutions</v>
      </c>
      <c r="AE28" s="380" t="str">
        <f>VLOOKUP($B28,'D7 - NDB Impacted SPRF''s'!$E$6:$O$9929,7,FALSE)</f>
        <v>Ben Line</v>
      </c>
      <c r="AF28" s="380" t="str">
        <f>VLOOKUP($B28,'D7 - NDB Impacted SPRF''s'!$E$6:$O$9929,6,FALSE)</f>
        <v>Candice Smith</v>
      </c>
      <c r="AG28" s="282"/>
      <c r="AH28" s="311" t="str">
        <f>INDEX('D5 - Gatekeeper - Projects'!$A$4:$AF$1010,$AM28, 17)</f>
        <v>T. Kester</v>
      </c>
      <c r="AI28" s="8"/>
      <c r="AJ28" s="57"/>
      <c r="AK28" s="105"/>
      <c r="AM28" s="6">
        <f>MATCH(D28,'D5 - Gatekeeper - Projects'!$C$4:$C$1010,0)</f>
        <v>14</v>
      </c>
      <c r="AN28" s="6" t="b">
        <f t="shared" si="1"/>
        <v>0</v>
      </c>
      <c r="AO28" s="6" t="str">
        <f t="shared" si="2"/>
        <v>OK</v>
      </c>
      <c r="AQ28" s="6" t="e">
        <f>MATCH($D28,'D4 - Provider Council Unsched'!$C$11:$C$234,0)</f>
        <v>#N/A</v>
      </c>
      <c r="AR28" s="6" t="b">
        <f t="shared" si="3"/>
        <v>1</v>
      </c>
      <c r="AS28" s="6" t="str">
        <f t="shared" si="4"/>
        <v>OK</v>
      </c>
      <c r="AU28" s="202">
        <v>41179</v>
      </c>
      <c r="AV28" s="312" t="s">
        <v>1044</v>
      </c>
      <c r="AW28" s="274" t="s">
        <v>3572</v>
      </c>
    </row>
    <row r="29" spans="1:49" s="13" customFormat="1" ht="45" x14ac:dyDescent="0.2">
      <c r="A29" s="14">
        <v>13</v>
      </c>
      <c r="B29" s="8">
        <v>400054309</v>
      </c>
      <c r="C29" s="8" t="s">
        <v>1447</v>
      </c>
      <c r="D29" s="4" t="str">
        <f t="shared" si="0"/>
        <v>400054309A</v>
      </c>
      <c r="E29" s="309" t="str">
        <f>VLOOKUP($B29,'D7 - NDB Impacted SPRF''s'!$E$6:$O$9929,2,FALSE)</f>
        <v>COSMOS Testing Environment Sandbox’</v>
      </c>
      <c r="F29" s="8"/>
      <c r="G29" s="8" t="s">
        <v>7980</v>
      </c>
      <c r="H29" s="8" t="s">
        <v>1606</v>
      </c>
      <c r="I29" s="20">
        <v>0.55000000000000004</v>
      </c>
      <c r="J29" s="8" t="s">
        <v>4862</v>
      </c>
      <c r="K29" s="182">
        <v>41321</v>
      </c>
      <c r="L29" s="8" t="s">
        <v>4156</v>
      </c>
      <c r="M29" s="8" t="s">
        <v>5626</v>
      </c>
      <c r="N29" s="38" t="s">
        <v>236</v>
      </c>
      <c r="O29" s="8"/>
      <c r="P29" s="4" t="str">
        <f>VLOOKUP($B29,'D7 - NDB Impacted SPRF''s'!$E$16:$O$9929,9,FALSE)</f>
        <v>N</v>
      </c>
      <c r="Q29" s="4" t="str">
        <f>VLOOKUP($B29,'D7 - NDB Impacted SPRF''s'!$E$16:$O$9929,10,FALSE)</f>
        <v>N</v>
      </c>
      <c r="R29" s="4" t="str">
        <f>VLOOKUP($B29,'D7 - NDB Impacted SPRF''s'!$E$16:$O$9929,11,FALSE)</f>
        <v>Y</v>
      </c>
      <c r="S29" s="8"/>
      <c r="T29" s="310"/>
      <c r="U29" s="310"/>
      <c r="V29" s="4"/>
      <c r="W29" s="4"/>
      <c r="X29" s="4"/>
      <c r="Y29" s="4"/>
      <c r="Z29" s="4"/>
      <c r="AA29" s="4"/>
      <c r="AB29" s="380" t="str">
        <f>VLOOKUP($B29,'D7 - NDB Impacted SPRF''s'!$E$6:$O$9929,4,FALSE)</f>
        <v>In Strategy Council</v>
      </c>
      <c r="AC29" s="380" t="str">
        <f>VLOOKUP($B29,'D7 - NDB Impacted SPRF''s'!$E$6:$O$9929,3,FALSE)</f>
        <v>UnitedHealthcare Medicare &amp; Retirement</v>
      </c>
      <c r="AD29" s="380" t="str">
        <f>VLOOKUP($B29,'D7 - NDB Impacted SPRF''s'!$E$6:$O$9929,5,FALSE)</f>
        <v>Regulatory / Other</v>
      </c>
      <c r="AE29" s="380" t="str">
        <f>VLOOKUP($B29,'D7 - NDB Impacted SPRF''s'!$E$6:$O$9929,7,FALSE)</f>
        <v>Heather Selseth</v>
      </c>
      <c r="AF29" s="380" t="str">
        <f>VLOOKUP($B29,'D7 - NDB Impacted SPRF''s'!$E$6:$O$9929,6,FALSE)</f>
        <v>Lisa Kellner</v>
      </c>
      <c r="AG29" s="282"/>
      <c r="AH29" s="311" t="str">
        <f>INDEX('D5 - Gatekeeper - Projects'!$A$4:$AF$1010,$AM29, 17)</f>
        <v>T. Kester</v>
      </c>
      <c r="AI29" s="8"/>
      <c r="AJ29" s="57"/>
      <c r="AK29" s="105"/>
      <c r="AM29" s="6">
        <f>MATCH(D29,'D5 - Gatekeeper - Projects'!$C$4:$C$1010,0)</f>
        <v>15</v>
      </c>
      <c r="AN29" s="6" t="b">
        <f t="shared" si="1"/>
        <v>0</v>
      </c>
      <c r="AO29" s="6" t="str">
        <f t="shared" si="2"/>
        <v>OK</v>
      </c>
      <c r="AQ29" s="6" t="e">
        <f>MATCH($D29,'D4 - Provider Council Unsched'!$C$11:$C$234,0)</f>
        <v>#N/A</v>
      </c>
      <c r="AR29" s="6" t="b">
        <f t="shared" si="3"/>
        <v>1</v>
      </c>
      <c r="AS29" s="6" t="str">
        <f t="shared" si="4"/>
        <v>OK</v>
      </c>
      <c r="AU29" s="202">
        <v>41179</v>
      </c>
      <c r="AV29" s="312" t="s">
        <v>441</v>
      </c>
      <c r="AW29" s="274">
        <v>68160</v>
      </c>
    </row>
    <row r="30" spans="1:49" s="13" customFormat="1" ht="33.75" x14ac:dyDescent="0.2">
      <c r="A30" s="14">
        <v>14</v>
      </c>
      <c r="B30" s="8">
        <v>400049911</v>
      </c>
      <c r="C30" s="8" t="s">
        <v>1447</v>
      </c>
      <c r="D30" s="4" t="str">
        <f t="shared" si="0"/>
        <v>400049911A</v>
      </c>
      <c r="E30" s="309" t="str">
        <f>VLOOKUP($B30,'D7 - NDB Impacted SPRF''s'!$E$6:$O$9929,2,FALSE)</f>
        <v>Access Heritage River Valley Contracts; VA and TN</v>
      </c>
      <c r="F30" s="8"/>
      <c r="G30" s="8" t="s">
        <v>7980</v>
      </c>
      <c r="H30" s="8" t="s">
        <v>1606</v>
      </c>
      <c r="I30" s="20">
        <v>0.38</v>
      </c>
      <c r="J30" s="8" t="s">
        <v>4862</v>
      </c>
      <c r="K30" s="182">
        <v>41346</v>
      </c>
      <c r="L30" s="8" t="s">
        <v>4156</v>
      </c>
      <c r="M30" s="8" t="s">
        <v>5626</v>
      </c>
      <c r="N30" s="38"/>
      <c r="O30" s="8"/>
      <c r="P30" s="4" t="str">
        <f>VLOOKUP($B30,'D7 - NDB Impacted SPRF''s'!$E$16:$O$9929,9,FALSE)</f>
        <v>N</v>
      </c>
      <c r="Q30" s="4" t="str">
        <f>VLOOKUP($B30,'D7 - NDB Impacted SPRF''s'!$E$16:$O$9929,10,FALSE)</f>
        <v>N</v>
      </c>
      <c r="R30" s="4" t="str">
        <f>VLOOKUP($B30,'D7 - NDB Impacted SPRF''s'!$E$16:$O$9929,11,FALSE)</f>
        <v>Y</v>
      </c>
      <c r="S30" s="8"/>
      <c r="T30" s="310"/>
      <c r="U30" s="310"/>
      <c r="V30" s="4"/>
      <c r="W30" s="4"/>
      <c r="X30" s="4"/>
      <c r="Y30" s="4"/>
      <c r="Z30" s="4"/>
      <c r="AA30" s="4"/>
      <c r="AB30" s="380" t="str">
        <f>VLOOKUP($B30,'D7 - NDB Impacted SPRF''s'!$E$6:$O$9929,4,FALSE)</f>
        <v>Scheduled</v>
      </c>
      <c r="AC30" s="380" t="str">
        <f>VLOOKUP($B30,'D7 - NDB Impacted SPRF''s'!$E$6:$O$9929,3,FALSE)</f>
        <v>UnitedHealthcare Employer &amp; Individual</v>
      </c>
      <c r="AD30" s="380" t="str">
        <f>VLOOKUP($B30,'D7 - NDB Impacted SPRF''s'!$E$6:$O$9929,5,FALSE)</f>
        <v>Customer Requirements</v>
      </c>
      <c r="AE30" s="380" t="str">
        <f>VLOOKUP($B30,'D7 - NDB Impacted SPRF''s'!$E$6:$O$9929,7,FALSE)</f>
        <v>Mike Kriofsky</v>
      </c>
      <c r="AF30" s="380" t="str">
        <f>VLOOKUP($B30,'D7 - NDB Impacted SPRF''s'!$E$6:$O$9929,6,FALSE)</f>
        <v>Sue Thompson</v>
      </c>
      <c r="AG30" s="282"/>
      <c r="AH30" s="311" t="str">
        <f>INDEX('D5 - Gatekeeper - Projects'!$A$4:$AF$1010,$AM30, 17)</f>
        <v>T. Kester</v>
      </c>
      <c r="AI30" s="8"/>
      <c r="AJ30" s="57"/>
      <c r="AK30" s="105"/>
      <c r="AM30" s="6">
        <f>MATCH(D30,'D5 - Gatekeeper - Projects'!$C$4:$C$1010,0)</f>
        <v>17</v>
      </c>
      <c r="AN30" s="6" t="b">
        <f t="shared" si="1"/>
        <v>0</v>
      </c>
      <c r="AO30" s="6" t="str">
        <f t="shared" si="2"/>
        <v>OK</v>
      </c>
      <c r="AQ30" s="6" t="e">
        <f>MATCH($D30,'D4 - Provider Council Unsched'!$C$11:$C$234,0)</f>
        <v>#N/A</v>
      </c>
      <c r="AR30" s="6" t="b">
        <f t="shared" si="3"/>
        <v>1</v>
      </c>
      <c r="AS30" s="6" t="str">
        <f t="shared" si="4"/>
        <v>OK</v>
      </c>
      <c r="AU30" s="202">
        <v>41092</v>
      </c>
      <c r="AV30" s="6" t="s">
        <v>488</v>
      </c>
      <c r="AW30" s="274" t="s">
        <v>3572</v>
      </c>
    </row>
    <row r="31" spans="1:49" s="13" customFormat="1" ht="33.75" x14ac:dyDescent="0.2">
      <c r="A31" s="14">
        <v>15</v>
      </c>
      <c r="B31" s="8">
        <v>400044701</v>
      </c>
      <c r="C31" s="8" t="s">
        <v>1447</v>
      </c>
      <c r="D31" s="4" t="str">
        <f t="shared" si="0"/>
        <v>400044701A</v>
      </c>
      <c r="E31" s="309" t="str">
        <f>VLOOKUP($B31,'D7 - NDB Impacted SPRF''s'!$E$6:$O$9929,2,FALSE)</f>
        <v>EeS Modernization R2- UI redesign Shared Architect</v>
      </c>
      <c r="F31" s="8"/>
      <c r="G31" s="8" t="s">
        <v>7980</v>
      </c>
      <c r="H31" s="8" t="s">
        <v>1606</v>
      </c>
      <c r="I31" s="20">
        <v>7.0000000000000007E-2</v>
      </c>
      <c r="J31" s="8" t="s">
        <v>4862</v>
      </c>
      <c r="K31" s="182">
        <v>41356</v>
      </c>
      <c r="L31" s="8" t="s">
        <v>4156</v>
      </c>
      <c r="M31" s="8" t="s">
        <v>5626</v>
      </c>
      <c r="N31" s="38" t="s">
        <v>7222</v>
      </c>
      <c r="O31" s="8"/>
      <c r="P31" s="4" t="str">
        <f>VLOOKUP($B31,'D7 - NDB Impacted SPRF''s'!$E$16:$O$9929,9,FALSE)</f>
        <v>Y</v>
      </c>
      <c r="Q31" s="4" t="str">
        <f>VLOOKUP($B31,'D7 - NDB Impacted SPRF''s'!$E$16:$O$9929,10,FALSE)</f>
        <v>N</v>
      </c>
      <c r="R31" s="4" t="str">
        <f>VLOOKUP($B31,'D7 - NDB Impacted SPRF''s'!$E$16:$O$9929,11,FALSE)</f>
        <v>N</v>
      </c>
      <c r="S31" s="8"/>
      <c r="T31" s="310"/>
      <c r="U31" s="310"/>
      <c r="V31" s="4"/>
      <c r="W31" s="4"/>
      <c r="X31" s="4"/>
      <c r="Y31" s="4"/>
      <c r="Z31" s="4"/>
      <c r="AA31" s="4"/>
      <c r="AB31" s="380" t="str">
        <f>VLOOKUP($B31,'D7 - NDB Impacted SPRF''s'!$E$6:$O$9929,4,FALSE)</f>
        <v>Scheduled</v>
      </c>
      <c r="AC31" s="380" t="str">
        <f>VLOOKUP($B31,'D7 - NDB Impacted SPRF''s'!$E$6:$O$9929,3,FALSE)</f>
        <v>UnitedHealthcare Employer &amp; Individual</v>
      </c>
      <c r="AD31" s="380" t="str">
        <f>VLOOKUP($B31,'D7 - NDB Impacted SPRF''s'!$E$6:$O$9929,5,FALSE)</f>
        <v>Process Improvement</v>
      </c>
      <c r="AE31" s="380" t="str">
        <f>VLOOKUP($B31,'D7 - NDB Impacted SPRF''s'!$E$6:$O$9929,7,FALSE)</f>
        <v>Cathy Ball</v>
      </c>
      <c r="AF31" s="380" t="str">
        <f>VLOOKUP($B31,'D7 - NDB Impacted SPRF''s'!$E$6:$O$9929,6,FALSE)</f>
        <v>SARAH HAROLD</v>
      </c>
      <c r="AG31" s="282"/>
      <c r="AH31" s="311" t="str">
        <f>INDEX('D5 - Gatekeeper - Projects'!$A$4:$AF$1010,$AM31, 17)</f>
        <v>T. Kester</v>
      </c>
      <c r="AI31" s="8"/>
      <c r="AJ31" s="57"/>
      <c r="AK31" s="105"/>
      <c r="AM31" s="6">
        <f>MATCH(D31,'D5 - Gatekeeper - Projects'!$C$4:$C$1010,0)</f>
        <v>19</v>
      </c>
      <c r="AN31" s="6" t="b">
        <f t="shared" si="1"/>
        <v>0</v>
      </c>
      <c r="AO31" s="6" t="str">
        <f t="shared" si="2"/>
        <v>OK</v>
      </c>
      <c r="AQ31" s="6" t="e">
        <f>MATCH($D31,'D4 - Provider Council Unsched'!$C$11:$C$234,0)</f>
        <v>#N/A</v>
      </c>
      <c r="AR31" s="6" t="b">
        <f t="shared" si="3"/>
        <v>1</v>
      </c>
      <c r="AS31" s="6" t="str">
        <f t="shared" si="4"/>
        <v>OK</v>
      </c>
      <c r="AU31" s="202">
        <v>41145</v>
      </c>
      <c r="AV31" s="6" t="s">
        <v>2325</v>
      </c>
      <c r="AW31" s="274">
        <v>39735</v>
      </c>
    </row>
    <row r="32" spans="1:49" s="13" customFormat="1" ht="78.75" x14ac:dyDescent="0.2">
      <c r="A32" s="14">
        <v>16</v>
      </c>
      <c r="B32" s="8">
        <v>400050630</v>
      </c>
      <c r="C32" s="8" t="s">
        <v>7292</v>
      </c>
      <c r="D32" s="4" t="str">
        <f t="shared" si="0"/>
        <v>400050630C</v>
      </c>
      <c r="E32" s="309" t="str">
        <f>VLOOKUP($B32,'D7 - NDB Impacted SPRF''s'!$E$6:$O$9929,2,FALSE)</f>
        <v>NDB SoT - C&amp;S Strategic NDB SoT Enhancements A/D</v>
      </c>
      <c r="F32" s="8"/>
      <c r="G32" s="8" t="s">
        <v>7980</v>
      </c>
      <c r="H32" s="8" t="s">
        <v>1606</v>
      </c>
      <c r="I32" s="20">
        <v>33.17</v>
      </c>
      <c r="J32" s="8" t="s">
        <v>4862</v>
      </c>
      <c r="K32" s="182">
        <v>41356</v>
      </c>
      <c r="L32" s="8" t="s">
        <v>4156</v>
      </c>
      <c r="M32" s="8" t="s">
        <v>2814</v>
      </c>
      <c r="N32" s="38" t="s">
        <v>9050</v>
      </c>
      <c r="O32" s="8"/>
      <c r="P32" s="4" t="str">
        <f>VLOOKUP($B32,'D7 - NDB Impacted SPRF''s'!$E$16:$O$9929,9,FALSE)</f>
        <v>N</v>
      </c>
      <c r="Q32" s="4" t="str">
        <f>VLOOKUP($B32,'D7 - NDB Impacted SPRF''s'!$E$16:$O$9929,10,FALSE)</f>
        <v>N</v>
      </c>
      <c r="R32" s="4" t="str">
        <f>VLOOKUP($B32,'D7 - NDB Impacted SPRF''s'!$E$16:$O$9929,11,FALSE)</f>
        <v>N</v>
      </c>
      <c r="S32" s="8"/>
      <c r="T32" s="310"/>
      <c r="U32" s="310"/>
      <c r="V32" s="4"/>
      <c r="W32" s="4"/>
      <c r="X32" s="4"/>
      <c r="Y32" s="4"/>
      <c r="Z32" s="4"/>
      <c r="AA32" s="4"/>
      <c r="AB32" s="380" t="str">
        <f>VLOOKUP($B32,'D7 - NDB Impacted SPRF''s'!$E$6:$O$9929,4,FALSE)</f>
        <v>Scheduled</v>
      </c>
      <c r="AC32" s="380" t="str">
        <f>VLOOKUP($B32,'D7 - NDB Impacted SPRF''s'!$E$6:$O$9929,3,FALSE)</f>
        <v>UHG IT - Shared Services</v>
      </c>
      <c r="AD32" s="380" t="str">
        <f>VLOOKUP($B32,'D7 - NDB Impacted SPRF''s'!$E$6:$O$9929,5,FALSE)</f>
        <v>Strategic Initiatives</v>
      </c>
      <c r="AE32" s="380" t="str">
        <f>VLOOKUP($B32,'D7 - NDB Impacted SPRF''s'!$E$6:$O$9929,7,FALSE)</f>
        <v>Kaja, Tim</v>
      </c>
      <c r="AF32" s="380" t="str">
        <f>VLOOKUP($B32,'D7 - NDB Impacted SPRF''s'!$E$6:$O$9929,6,FALSE)</f>
        <v>Shelly Heit</v>
      </c>
      <c r="AG32" s="282"/>
      <c r="AH32" s="311" t="str">
        <f>INDEX('D5 - Gatekeeper - Projects'!$A$4:$AF$1010,$AM32, 17)</f>
        <v>B. Brown</v>
      </c>
      <c r="AI32" s="8"/>
      <c r="AJ32" s="57"/>
      <c r="AK32" s="105"/>
      <c r="AM32" s="6">
        <f>MATCH(D32,'D5 - Gatekeeper - Projects'!$C$4:$C$1010,0)</f>
        <v>20</v>
      </c>
      <c r="AN32" s="6" t="b">
        <f t="shared" si="1"/>
        <v>0</v>
      </c>
      <c r="AO32" s="6" t="str">
        <f t="shared" si="2"/>
        <v>OK</v>
      </c>
      <c r="AQ32" s="6" t="e">
        <f>MATCH($D32,'D4 - Provider Council Unsched'!$C$11:$C$234,0)</f>
        <v>#N/A</v>
      </c>
      <c r="AR32" s="6" t="b">
        <f t="shared" si="3"/>
        <v>1</v>
      </c>
      <c r="AS32" s="6" t="str">
        <f t="shared" si="4"/>
        <v>OK</v>
      </c>
      <c r="AU32" s="202">
        <v>41169</v>
      </c>
      <c r="AV32" s="6" t="s">
        <v>1081</v>
      </c>
      <c r="AW32" s="274">
        <v>59907</v>
      </c>
    </row>
    <row r="33" spans="1:49" s="13" customFormat="1" ht="22.5" x14ac:dyDescent="0.2">
      <c r="A33" s="14">
        <v>17</v>
      </c>
      <c r="B33" s="8">
        <v>400050630</v>
      </c>
      <c r="C33" s="8" t="s">
        <v>8138</v>
      </c>
      <c r="D33" s="4" t="str">
        <f t="shared" si="0"/>
        <v>400050630UA</v>
      </c>
      <c r="E33" s="309" t="str">
        <f>VLOOKUP($B33,'D7 - NDB Impacted SPRF''s'!$E$6:$O$9929,2,FALSE)</f>
        <v>NDB SoT - C&amp;S Strategic NDB SoT Enhancements A/D</v>
      </c>
      <c r="F33" s="8"/>
      <c r="G33" s="8" t="s">
        <v>7980</v>
      </c>
      <c r="H33" s="8" t="s">
        <v>1606</v>
      </c>
      <c r="I33" s="20">
        <v>0</v>
      </c>
      <c r="J33" s="8" t="s">
        <v>4862</v>
      </c>
      <c r="K33" s="182">
        <v>41356</v>
      </c>
      <c r="L33" s="8" t="s">
        <v>4156</v>
      </c>
      <c r="M33" s="8" t="s">
        <v>2814</v>
      </c>
      <c r="N33" s="38" t="s">
        <v>8964</v>
      </c>
      <c r="O33" s="8"/>
      <c r="P33" s="4" t="str">
        <f>VLOOKUP($B33,'D7 - NDB Impacted SPRF''s'!$E$16:$O$9929,9,FALSE)</f>
        <v>N</v>
      </c>
      <c r="Q33" s="4" t="str">
        <f>VLOOKUP($B33,'D7 - NDB Impacted SPRF''s'!$E$16:$O$9929,10,FALSE)</f>
        <v>N</v>
      </c>
      <c r="R33" s="4" t="str">
        <f>VLOOKUP($B33,'D7 - NDB Impacted SPRF''s'!$E$16:$O$9929,11,FALSE)</f>
        <v>N</v>
      </c>
      <c r="S33" s="8"/>
      <c r="T33" s="310"/>
      <c r="U33" s="310"/>
      <c r="V33" s="4"/>
      <c r="W33" s="4"/>
      <c r="X33" s="4"/>
      <c r="Y33" s="4"/>
      <c r="Z33" s="4"/>
      <c r="AA33" s="4"/>
      <c r="AB33" s="380" t="str">
        <f>VLOOKUP($B33,'D7 - NDB Impacted SPRF''s'!$E$6:$O$9929,4,FALSE)</f>
        <v>Scheduled</v>
      </c>
      <c r="AC33" s="380" t="str">
        <f>VLOOKUP($B33,'D7 - NDB Impacted SPRF''s'!$E$6:$O$9929,3,FALSE)</f>
        <v>UHG IT - Shared Services</v>
      </c>
      <c r="AD33" s="380" t="str">
        <f>VLOOKUP($B33,'D7 - NDB Impacted SPRF''s'!$E$6:$O$9929,5,FALSE)</f>
        <v>Strategic Initiatives</v>
      </c>
      <c r="AE33" s="380" t="str">
        <f>VLOOKUP($B33,'D7 - NDB Impacted SPRF''s'!$E$6:$O$9929,7,FALSE)</f>
        <v>Kaja, Tim</v>
      </c>
      <c r="AF33" s="380" t="str">
        <f>VLOOKUP($B33,'D7 - NDB Impacted SPRF''s'!$E$6:$O$9929,6,FALSE)</f>
        <v>Shelly Heit</v>
      </c>
      <c r="AG33" s="282"/>
      <c r="AH33" s="311" t="str">
        <f>INDEX('D5 - Gatekeeper - Projects'!$A$4:$AF$1010,$AM33, 17)</f>
        <v>B. Brown</v>
      </c>
      <c r="AI33" s="8"/>
      <c r="AJ33" s="57"/>
      <c r="AK33" s="105"/>
      <c r="AM33" s="6">
        <f>MATCH(D33,'D5 - Gatekeeper - Projects'!$C$4:$C$1010,0)</f>
        <v>21</v>
      </c>
      <c r="AN33" s="6" t="b">
        <f t="shared" si="1"/>
        <v>0</v>
      </c>
      <c r="AO33" s="6" t="str">
        <f t="shared" si="2"/>
        <v>OK</v>
      </c>
      <c r="AQ33" s="6" t="e">
        <f>MATCH($D33,'D4 - Provider Council Unsched'!$C$11:$C$234,0)</f>
        <v>#N/A</v>
      </c>
      <c r="AR33" s="6" t="b">
        <f t="shared" si="3"/>
        <v>1</v>
      </c>
      <c r="AS33" s="6" t="str">
        <f t="shared" si="4"/>
        <v>OK</v>
      </c>
      <c r="AU33" s="202">
        <v>41334</v>
      </c>
      <c r="AV33" s="6" t="s">
        <v>1081</v>
      </c>
      <c r="AW33" s="274">
        <v>59907</v>
      </c>
    </row>
    <row r="34" spans="1:49" s="13" customFormat="1" ht="78.75" x14ac:dyDescent="0.2">
      <c r="A34" s="14">
        <v>18</v>
      </c>
      <c r="B34" s="8">
        <v>400053591</v>
      </c>
      <c r="C34" s="8" t="s">
        <v>1447</v>
      </c>
      <c r="D34" s="4" t="str">
        <f t="shared" si="0"/>
        <v>400053591A</v>
      </c>
      <c r="E34" s="309" t="str">
        <f>VLOOKUP($B34,'D7 - NDB Impacted SPRF''s'!$E$6:$O$9929,2,FALSE)</f>
        <v>B2C Build in Master Enviroment</v>
      </c>
      <c r="F34" s="8"/>
      <c r="G34" s="8" t="s">
        <v>7980</v>
      </c>
      <c r="H34" s="8" t="s">
        <v>1606</v>
      </c>
      <c r="I34" s="20">
        <v>0.82</v>
      </c>
      <c r="J34" s="8" t="s">
        <v>4862</v>
      </c>
      <c r="K34" s="182">
        <v>41356</v>
      </c>
      <c r="L34" s="8" t="s">
        <v>4156</v>
      </c>
      <c r="M34" s="8" t="s">
        <v>5626</v>
      </c>
      <c r="N34" s="38" t="s">
        <v>57</v>
      </c>
      <c r="O34" s="8"/>
      <c r="P34" s="4" t="str">
        <f>VLOOKUP($B34,'D7 - NDB Impacted SPRF''s'!$E$16:$O$9929,9,FALSE)</f>
        <v>Y</v>
      </c>
      <c r="Q34" s="4" t="str">
        <f>VLOOKUP($B34,'D7 - NDB Impacted SPRF''s'!$E$16:$O$9929,10,FALSE)</f>
        <v>N</v>
      </c>
      <c r="R34" s="4" t="str">
        <f>VLOOKUP($B34,'D7 - NDB Impacted SPRF''s'!$E$16:$O$9929,11,FALSE)</f>
        <v>Y</v>
      </c>
      <c r="S34" s="8"/>
      <c r="T34" s="310"/>
      <c r="U34" s="310"/>
      <c r="V34" s="4"/>
      <c r="W34" s="4"/>
      <c r="X34" s="4"/>
      <c r="Y34" s="4"/>
      <c r="Z34" s="4"/>
      <c r="AA34" s="4"/>
      <c r="AB34" s="380" t="str">
        <f>VLOOKUP($B34,'D7 - NDB Impacted SPRF''s'!$E$6:$O$9929,4,FALSE)</f>
        <v>Scheduled</v>
      </c>
      <c r="AC34" s="380" t="str">
        <f>VLOOKUP($B34,'D7 - NDB Impacted SPRF''s'!$E$6:$O$9929,3,FALSE)</f>
        <v>UHG IT - Shared Services</v>
      </c>
      <c r="AD34" s="380" t="str">
        <f>VLOOKUP($B34,'D7 - NDB Impacted SPRF''s'!$E$6:$O$9929,5,FALSE)</f>
        <v>ASG</v>
      </c>
      <c r="AE34" s="380" t="str">
        <f>VLOOKUP($B34,'D7 - NDB Impacted SPRF''s'!$E$6:$O$9929,7,FALSE)</f>
        <v>Duhaime</v>
      </c>
      <c r="AF34" s="380" t="str">
        <f>VLOOKUP($B34,'D7 - NDB Impacted SPRF''s'!$E$6:$O$9929,6,FALSE)</f>
        <v>PETER ERNEST</v>
      </c>
      <c r="AG34" s="282"/>
      <c r="AH34" s="311" t="str">
        <f>INDEX('D5 - Gatekeeper - Projects'!$A$4:$AF$1010,$AM34, 17)</f>
        <v>T. Kester</v>
      </c>
      <c r="AI34" s="8"/>
      <c r="AJ34" s="57"/>
      <c r="AK34" s="105"/>
      <c r="AM34" s="6">
        <f>MATCH(D34,'D5 - Gatekeeper - Projects'!$C$4:$C$1010,0)</f>
        <v>22</v>
      </c>
      <c r="AN34" s="6" t="b">
        <f t="shared" si="1"/>
        <v>0</v>
      </c>
      <c r="AO34" s="6" t="str">
        <f t="shared" si="2"/>
        <v>OK</v>
      </c>
      <c r="AQ34" s="6" t="e">
        <f>MATCH($D34,'D4 - Provider Council Unsched'!$C$11:$C$234,0)</f>
        <v>#N/A</v>
      </c>
      <c r="AR34" s="6" t="b">
        <f t="shared" si="3"/>
        <v>1</v>
      </c>
      <c r="AS34" s="6" t="str">
        <f t="shared" si="4"/>
        <v>OK</v>
      </c>
      <c r="AU34" s="202">
        <v>41131</v>
      </c>
      <c r="AV34" s="6" t="s">
        <v>691</v>
      </c>
      <c r="AW34" s="274">
        <v>65270</v>
      </c>
    </row>
    <row r="35" spans="1:49" s="13" customFormat="1" ht="56.25" x14ac:dyDescent="0.2">
      <c r="A35" s="14">
        <v>19</v>
      </c>
      <c r="B35" s="8">
        <v>400053723</v>
      </c>
      <c r="C35" s="8" t="s">
        <v>1196</v>
      </c>
      <c r="D35" s="4" t="str">
        <f t="shared" si="0"/>
        <v>400053723F</v>
      </c>
      <c r="E35" s="309" t="str">
        <f>VLOOKUP($B35,'D7 - NDB Impacted SPRF''s'!$E$6:$O$9929,2,FALSE)</f>
        <v>TRICARE West Implementation FD: Provider/Network</v>
      </c>
      <c r="F35" s="8"/>
      <c r="G35" s="8" t="s">
        <v>7980</v>
      </c>
      <c r="H35" s="8" t="s">
        <v>1606</v>
      </c>
      <c r="I35" s="20">
        <v>7.84</v>
      </c>
      <c r="J35" s="8" t="s">
        <v>4862</v>
      </c>
      <c r="K35" s="182">
        <v>41356</v>
      </c>
      <c r="L35" s="8" t="s">
        <v>4156</v>
      </c>
      <c r="M35" s="8" t="s">
        <v>2814</v>
      </c>
      <c r="N35" s="38" t="s">
        <v>856</v>
      </c>
      <c r="O35" s="8"/>
      <c r="P35" s="4" t="str">
        <f>VLOOKUP($B35,'D7 - NDB Impacted SPRF''s'!$E$16:$O$9929,9,FALSE)</f>
        <v>N</v>
      </c>
      <c r="Q35" s="4" t="str">
        <f>VLOOKUP($B35,'D7 - NDB Impacted SPRF''s'!$E$16:$O$9929,10,FALSE)</f>
        <v>N</v>
      </c>
      <c r="R35" s="4" t="str">
        <f>VLOOKUP($B35,'D7 - NDB Impacted SPRF''s'!$E$16:$O$9929,11,FALSE)</f>
        <v>Y</v>
      </c>
      <c r="S35" s="8"/>
      <c r="T35" s="310"/>
      <c r="U35" s="310"/>
      <c r="V35" s="4"/>
      <c r="W35" s="4"/>
      <c r="X35" s="4"/>
      <c r="Y35" s="4"/>
      <c r="Z35" s="4"/>
      <c r="AA35" s="4"/>
      <c r="AB35" s="380" t="str">
        <f>VLOOKUP($B35,'D7 - NDB Impacted SPRF''s'!$E$6:$O$9929,4,FALSE)</f>
        <v>Scheduled</v>
      </c>
      <c r="AC35" s="380" t="str">
        <f>VLOOKUP($B35,'D7 - NDB Impacted SPRF''s'!$E$6:$O$9929,3,FALSE)</f>
        <v>UnitedHealthcare Military &amp; Veterans</v>
      </c>
      <c r="AD35" s="380" t="str">
        <f>VLOOKUP($B35,'D7 - NDB Impacted SPRF''s'!$E$6:$O$9929,5,FALSE)</f>
        <v>Integration Requirements</v>
      </c>
      <c r="AE35" s="380" t="str">
        <f>VLOOKUP($B35,'D7 - NDB Impacted SPRF''s'!$E$6:$O$9929,7,FALSE)</f>
        <v>Mike Schwarz</v>
      </c>
      <c r="AF35" s="380" t="str">
        <f>VLOOKUP($B35,'D7 - NDB Impacted SPRF''s'!$E$6:$O$9929,6,FALSE)</f>
        <v>Michael Schwarz</v>
      </c>
      <c r="AG35" s="282"/>
      <c r="AH35" s="311" t="str">
        <f>INDEX('D5 - Gatekeeper - Projects'!$A$4:$AF$1010,$AM35, 17)</f>
        <v>J. Boulus</v>
      </c>
      <c r="AI35" s="8"/>
      <c r="AJ35" s="57"/>
      <c r="AK35" s="105"/>
      <c r="AM35" s="6">
        <f>MATCH(D35,'D5 - Gatekeeper - Projects'!$C$4:$C$1010,0)</f>
        <v>23</v>
      </c>
      <c r="AN35" s="6" t="b">
        <f t="shared" si="1"/>
        <v>0</v>
      </c>
      <c r="AO35" s="6" t="str">
        <f t="shared" si="2"/>
        <v>OK</v>
      </c>
      <c r="AQ35" s="6" t="e">
        <f>MATCH($D35,'D4 - Provider Council Unsched'!$C$11:$C$234,0)</f>
        <v>#N/A</v>
      </c>
      <c r="AR35" s="6" t="b">
        <f t="shared" si="3"/>
        <v>1</v>
      </c>
      <c r="AS35" s="6" t="str">
        <f t="shared" si="4"/>
        <v>OK</v>
      </c>
      <c r="AU35" s="202">
        <v>41186</v>
      </c>
      <c r="AV35" s="6" t="s">
        <v>3204</v>
      </c>
      <c r="AW35" s="274">
        <v>66807</v>
      </c>
    </row>
    <row r="36" spans="1:49" s="13" customFormat="1" ht="33.75" x14ac:dyDescent="0.2">
      <c r="A36" s="14">
        <v>20</v>
      </c>
      <c r="B36" s="8">
        <v>400053723</v>
      </c>
      <c r="C36" s="8" t="s">
        <v>2330</v>
      </c>
      <c r="D36" s="4" t="str">
        <f t="shared" si="0"/>
        <v>400053723H</v>
      </c>
      <c r="E36" s="309" t="str">
        <f>VLOOKUP($B36,'D7 - NDB Impacted SPRF''s'!$E$6:$O$9929,2,FALSE)</f>
        <v>TRICARE West Implementation FD: Provider/Network</v>
      </c>
      <c r="F36" s="8"/>
      <c r="G36" s="8" t="s">
        <v>7980</v>
      </c>
      <c r="H36" s="8" t="s">
        <v>1606</v>
      </c>
      <c r="I36" s="20">
        <v>0.35</v>
      </c>
      <c r="J36" s="8" t="s">
        <v>4862</v>
      </c>
      <c r="K36" s="182">
        <v>41356</v>
      </c>
      <c r="L36" s="8" t="s">
        <v>4156</v>
      </c>
      <c r="M36" s="8" t="s">
        <v>5626</v>
      </c>
      <c r="N36" s="38" t="s">
        <v>3271</v>
      </c>
      <c r="O36" s="8"/>
      <c r="P36" s="4" t="str">
        <f>VLOOKUP($B36,'D7 - NDB Impacted SPRF''s'!$E$16:$O$9929,9,FALSE)</f>
        <v>N</v>
      </c>
      <c r="Q36" s="4" t="str">
        <f>VLOOKUP($B36,'D7 - NDB Impacted SPRF''s'!$E$16:$O$9929,10,FALSE)</f>
        <v>N</v>
      </c>
      <c r="R36" s="4" t="str">
        <f>VLOOKUP($B36,'D7 - NDB Impacted SPRF''s'!$E$16:$O$9929,11,FALSE)</f>
        <v>Y</v>
      </c>
      <c r="S36" s="8"/>
      <c r="T36" s="310"/>
      <c r="U36" s="310"/>
      <c r="V36" s="4"/>
      <c r="W36" s="4"/>
      <c r="X36" s="4"/>
      <c r="Y36" s="4"/>
      <c r="Z36" s="4"/>
      <c r="AA36" s="4"/>
      <c r="AB36" s="380" t="str">
        <f>VLOOKUP($B36,'D7 - NDB Impacted SPRF''s'!$E$6:$O$9929,4,FALSE)</f>
        <v>Scheduled</v>
      </c>
      <c r="AC36" s="380" t="str">
        <f>VLOOKUP($B36,'D7 - NDB Impacted SPRF''s'!$E$6:$O$9929,3,FALSE)</f>
        <v>UnitedHealthcare Military &amp; Veterans</v>
      </c>
      <c r="AD36" s="380" t="str">
        <f>VLOOKUP($B36,'D7 - NDB Impacted SPRF''s'!$E$6:$O$9929,5,FALSE)</f>
        <v>Integration Requirements</v>
      </c>
      <c r="AE36" s="380" t="str">
        <f>VLOOKUP($B36,'D7 - NDB Impacted SPRF''s'!$E$6:$O$9929,7,FALSE)</f>
        <v>Mike Schwarz</v>
      </c>
      <c r="AF36" s="380" t="str">
        <f>VLOOKUP($B36,'D7 - NDB Impacted SPRF''s'!$E$6:$O$9929,6,FALSE)</f>
        <v>Michael Schwarz</v>
      </c>
      <c r="AG36" s="282"/>
      <c r="AH36" s="311" t="str">
        <f>INDEX('D5 - Gatekeeper - Projects'!$A$4:$AF$1010,$AM36, 17)</f>
        <v>T. Kester</v>
      </c>
      <c r="AI36" s="8"/>
      <c r="AJ36" s="57"/>
      <c r="AK36" s="105"/>
      <c r="AM36" s="6">
        <f>MATCH(D36,'D5 - Gatekeeper - Projects'!$C$4:$C$1010,0)</f>
        <v>24</v>
      </c>
      <c r="AN36" s="6" t="b">
        <f t="shared" si="1"/>
        <v>0</v>
      </c>
      <c r="AO36" s="6" t="str">
        <f t="shared" si="2"/>
        <v>OK</v>
      </c>
      <c r="AQ36" s="6" t="e">
        <f>MATCH($D36,'D4 - Provider Council Unsched'!$C$11:$C$234,0)</f>
        <v>#N/A</v>
      </c>
      <c r="AR36" s="6" t="b">
        <f t="shared" si="3"/>
        <v>1</v>
      </c>
      <c r="AS36" s="6" t="str">
        <f t="shared" si="4"/>
        <v>OK</v>
      </c>
      <c r="AU36" s="202">
        <v>41347</v>
      </c>
      <c r="AV36" s="6" t="s">
        <v>3204</v>
      </c>
      <c r="AW36" s="274">
        <v>66807</v>
      </c>
    </row>
    <row r="37" spans="1:49" s="13" customFormat="1" ht="33.75" x14ac:dyDescent="0.2">
      <c r="A37" s="14">
        <v>21</v>
      </c>
      <c r="B37" s="8">
        <v>400053961</v>
      </c>
      <c r="C37" s="8" t="s">
        <v>1447</v>
      </c>
      <c r="D37" s="4" t="str">
        <f t="shared" si="0"/>
        <v>400053961A</v>
      </c>
      <c r="E37" s="309" t="str">
        <f>VLOOKUP($B37,'D7 - NDB Impacted SPRF''s'!$E$6:$O$9929,2,FALSE)</f>
        <v>UBCS Planning</v>
      </c>
      <c r="F37" s="8"/>
      <c r="G37" s="8" t="s">
        <v>7980</v>
      </c>
      <c r="H37" s="8" t="s">
        <v>1606</v>
      </c>
      <c r="I37" s="20">
        <v>1.3</v>
      </c>
      <c r="J37" s="8" t="s">
        <v>4862</v>
      </c>
      <c r="K37" s="182">
        <v>41356</v>
      </c>
      <c r="L37" s="8" t="s">
        <v>4156</v>
      </c>
      <c r="M37" s="8" t="s">
        <v>6688</v>
      </c>
      <c r="N37" s="38" t="s">
        <v>2256</v>
      </c>
      <c r="O37" s="8"/>
      <c r="P37" s="4" t="str">
        <f>VLOOKUP($B37,'D7 - NDB Impacted SPRF''s'!$E$16:$O$9929,9,FALSE)</f>
        <v>N</v>
      </c>
      <c r="Q37" s="4" t="str">
        <f>VLOOKUP($B37,'D7 - NDB Impacted SPRF''s'!$E$16:$O$9929,10,FALSE)</f>
        <v>N</v>
      </c>
      <c r="R37" s="4" t="str">
        <f>VLOOKUP($B37,'D7 - NDB Impacted SPRF''s'!$E$16:$O$9929,11,FALSE)</f>
        <v>N</v>
      </c>
      <c r="S37" s="8"/>
      <c r="T37" s="310"/>
      <c r="U37" s="310"/>
      <c r="V37" s="4"/>
      <c r="W37" s="4"/>
      <c r="X37" s="4"/>
      <c r="Y37" s="4"/>
      <c r="Z37" s="4"/>
      <c r="AA37" s="4"/>
      <c r="AB37" s="380" t="str">
        <f>VLOOKUP($B37,'D7 - NDB Impacted SPRF''s'!$E$6:$O$9929,4,FALSE)</f>
        <v>Scheduled</v>
      </c>
      <c r="AC37" s="380" t="str">
        <f>VLOOKUP($B37,'D7 - NDB Impacted SPRF''s'!$E$6:$O$9929,3,FALSE)</f>
        <v>UnitedHealthcare Employer &amp; Individual</v>
      </c>
      <c r="AD37" s="380" t="str">
        <f>VLOOKUP($B37,'D7 - NDB Impacted SPRF''s'!$E$6:$O$9929,5,FALSE)</f>
        <v>Process Improvement</v>
      </c>
      <c r="AE37" s="380" t="str">
        <f>VLOOKUP($B37,'D7 - NDB Impacted SPRF''s'!$E$6:$O$9929,7,FALSE)</f>
        <v>Dan Schumacher</v>
      </c>
      <c r="AF37" s="380" t="str">
        <f>VLOOKUP($B37,'D7 - NDB Impacted SPRF''s'!$E$6:$O$9929,6,FALSE)</f>
        <v>MARIANNE NEEB</v>
      </c>
      <c r="AG37" s="282"/>
      <c r="AH37" s="311" t="str">
        <f>INDEX('D5 - Gatekeeper - Projects'!$A$4:$AF$1010,$AM37, 17)</f>
        <v>V. Jackson</v>
      </c>
      <c r="AI37" s="8"/>
      <c r="AJ37" s="57"/>
      <c r="AK37" s="105"/>
      <c r="AM37" s="6">
        <f>MATCH(D37,'D5 - Gatekeeper - Projects'!$C$4:$C$1010,0)</f>
        <v>25</v>
      </c>
      <c r="AN37" s="6" t="b">
        <f t="shared" si="1"/>
        <v>0</v>
      </c>
      <c r="AO37" s="6" t="str">
        <f t="shared" si="2"/>
        <v>OK</v>
      </c>
      <c r="AQ37" s="6" t="e">
        <f>MATCH($D37,'D4 - Provider Council Unsched'!$C$11:$C$234,0)</f>
        <v>#N/A</v>
      </c>
      <c r="AR37" s="6" t="b">
        <f t="shared" si="3"/>
        <v>1</v>
      </c>
      <c r="AS37" s="6" t="str">
        <f t="shared" si="4"/>
        <v>OK</v>
      </c>
      <c r="AU37" s="202">
        <v>41292</v>
      </c>
      <c r="AV37" s="316" t="s">
        <v>2612</v>
      </c>
      <c r="AW37" s="274"/>
    </row>
    <row r="38" spans="1:49" s="13" customFormat="1" ht="33.75" x14ac:dyDescent="0.2">
      <c r="A38" s="14">
        <v>22</v>
      </c>
      <c r="B38" s="8">
        <v>400054724</v>
      </c>
      <c r="C38" s="8" t="s">
        <v>1447</v>
      </c>
      <c r="D38" s="4" t="str">
        <f t="shared" si="0"/>
        <v>400054724A</v>
      </c>
      <c r="E38" s="309" t="str">
        <f>VLOOKUP($B38,'D7 - NDB Impacted SPRF''s'!$E$6:$O$9929,2,FALSE)</f>
        <v>eFullfillment of Group Retiree Materials</v>
      </c>
      <c r="F38" s="8"/>
      <c r="G38" s="8" t="s">
        <v>7980</v>
      </c>
      <c r="H38" s="8" t="s">
        <v>1606</v>
      </c>
      <c r="I38" s="20">
        <v>0.77</v>
      </c>
      <c r="J38" s="8" t="s">
        <v>4862</v>
      </c>
      <c r="K38" s="182">
        <v>41356</v>
      </c>
      <c r="L38" s="8" t="s">
        <v>4156</v>
      </c>
      <c r="M38" s="8" t="s">
        <v>6688</v>
      </c>
      <c r="N38" s="38" t="s">
        <v>9182</v>
      </c>
      <c r="O38" s="8"/>
      <c r="P38" s="4" t="str">
        <f>VLOOKUP($B38,'D7 - NDB Impacted SPRF''s'!$E$16:$O$9929,9,FALSE)</f>
        <v>N</v>
      </c>
      <c r="Q38" s="4" t="str">
        <f>VLOOKUP($B38,'D7 - NDB Impacted SPRF''s'!$E$16:$O$9929,10,FALSE)</f>
        <v>N</v>
      </c>
      <c r="R38" s="4" t="str">
        <f>VLOOKUP($B38,'D7 - NDB Impacted SPRF''s'!$E$16:$O$9929,11,FALSE)</f>
        <v>N</v>
      </c>
      <c r="S38" s="8"/>
      <c r="T38" s="310"/>
      <c r="U38" s="310"/>
      <c r="V38" s="4"/>
      <c r="W38" s="4"/>
      <c r="X38" s="4"/>
      <c r="Y38" s="4"/>
      <c r="Z38" s="4"/>
      <c r="AA38" s="4"/>
      <c r="AB38" s="380" t="str">
        <f>VLOOKUP($B38,'D7 - NDB Impacted SPRF''s'!$E$6:$O$9929,4,FALSE)</f>
        <v>Scheduled</v>
      </c>
      <c r="AC38" s="380" t="str">
        <f>VLOOKUP($B38,'D7 - NDB Impacted SPRF''s'!$E$6:$O$9929,3,FALSE)</f>
        <v>UHG IT - Shared Services</v>
      </c>
      <c r="AD38" s="380" t="str">
        <f>VLOOKUP($B38,'D7 - NDB Impacted SPRF''s'!$E$6:$O$9929,5,FALSE)</f>
        <v>Strategic Initiatives</v>
      </c>
      <c r="AE38" s="380" t="str">
        <f>VLOOKUP($B38,'D7 - NDB Impacted SPRF''s'!$E$6:$O$9929,7,FALSE)</f>
        <v>Jordana Costello</v>
      </c>
      <c r="AF38" s="380" t="str">
        <f>VLOOKUP($B38,'D7 - NDB Impacted SPRF''s'!$E$6:$O$9929,6,FALSE)</f>
        <v>Matthew Lilleboe</v>
      </c>
      <c r="AG38" s="282"/>
      <c r="AH38" s="311" t="str">
        <f>INDEX('D5 - Gatekeeper - Projects'!$A$4:$AF$1010,$AM38, 17)</f>
        <v>A. Colonna</v>
      </c>
      <c r="AI38" s="8"/>
      <c r="AJ38" s="57"/>
      <c r="AK38" s="105"/>
      <c r="AM38" s="6">
        <f>MATCH(D38,'D5 - Gatekeeper - Projects'!$C$4:$C$1010,0)</f>
        <v>26</v>
      </c>
      <c r="AN38" s="6" t="b">
        <f t="shared" si="1"/>
        <v>0</v>
      </c>
      <c r="AO38" s="6" t="str">
        <f t="shared" si="2"/>
        <v>OK</v>
      </c>
      <c r="AQ38" s="6" t="e">
        <f>MATCH($D38,'D4 - Provider Council Unsched'!$C$11:$C$234,0)</f>
        <v>#N/A</v>
      </c>
      <c r="AR38" s="6" t="b">
        <f t="shared" si="3"/>
        <v>1</v>
      </c>
      <c r="AS38" s="6" t="str">
        <f t="shared" si="4"/>
        <v>OK</v>
      </c>
      <c r="AU38" s="202">
        <v>41298</v>
      </c>
      <c r="AV38" s="314" t="s">
        <v>916</v>
      </c>
      <c r="AW38" s="274"/>
    </row>
    <row r="39" spans="1:49" s="13" customFormat="1" ht="33.75" x14ac:dyDescent="0.2">
      <c r="A39" s="14">
        <v>23</v>
      </c>
      <c r="B39" s="8">
        <v>400055275</v>
      </c>
      <c r="C39" s="8" t="s">
        <v>1447</v>
      </c>
      <c r="D39" s="4" t="str">
        <f t="shared" si="0"/>
        <v>400055275A</v>
      </c>
      <c r="E39" s="309" t="str">
        <f>VLOOKUP($B39,'D7 - NDB Impacted SPRF''s'!$E$6:$O$9929,2,FALSE)</f>
        <v>NDB Emptoris Synchronization</v>
      </c>
      <c r="F39" s="8"/>
      <c r="G39" s="8" t="s">
        <v>7980</v>
      </c>
      <c r="H39" s="8" t="s">
        <v>1606</v>
      </c>
      <c r="I39" s="20">
        <v>0.14000000000000001</v>
      </c>
      <c r="J39" s="8" t="s">
        <v>4862</v>
      </c>
      <c r="K39" s="182">
        <v>41356</v>
      </c>
      <c r="L39" s="8" t="s">
        <v>4156</v>
      </c>
      <c r="M39" s="8" t="s">
        <v>6688</v>
      </c>
      <c r="N39" s="38"/>
      <c r="O39" s="8"/>
      <c r="P39" s="4" t="str">
        <f>VLOOKUP($B39,'D7 - NDB Impacted SPRF''s'!$E$16:$O$9929,9,FALSE)</f>
        <v>N</v>
      </c>
      <c r="Q39" s="4" t="str">
        <f>VLOOKUP($B39,'D7 - NDB Impacted SPRF''s'!$E$16:$O$9929,10,FALSE)</f>
        <v>N</v>
      </c>
      <c r="R39" s="4" t="str">
        <f>VLOOKUP($B39,'D7 - NDB Impacted SPRF''s'!$E$16:$O$9929,11,FALSE)</f>
        <v>N</v>
      </c>
      <c r="S39" s="8"/>
      <c r="T39" s="310"/>
      <c r="U39" s="310"/>
      <c r="V39" s="4"/>
      <c r="W39" s="4"/>
      <c r="X39" s="4"/>
      <c r="Y39" s="4"/>
      <c r="Z39" s="4"/>
      <c r="AA39" s="4"/>
      <c r="AB39" s="380" t="str">
        <f>VLOOKUP($B39,'D7 - NDB Impacted SPRF''s'!$E$6:$O$9929,4,FALSE)</f>
        <v>Completed</v>
      </c>
      <c r="AC39" s="380" t="str">
        <f>VLOOKUP($B39,'D7 - NDB Impacted SPRF''s'!$E$6:$O$9929,3,FALSE)</f>
        <v>UnitedHealthcare Employer &amp; Individual</v>
      </c>
      <c r="AD39" s="380" t="str">
        <f>VLOOKUP($B39,'D7 - NDB Impacted SPRF''s'!$E$6:$O$9929,5,FALSE)</f>
        <v>Operational Requirements</v>
      </c>
      <c r="AE39" s="380" t="str">
        <f>VLOOKUP($B39,'D7 - NDB Impacted SPRF''s'!$E$6:$O$9929,7,FALSE)</f>
        <v>Patrick Beckstead</v>
      </c>
      <c r="AF39" s="380" t="str">
        <f>VLOOKUP($B39,'D7 - NDB Impacted SPRF''s'!$E$6:$O$9929,6,FALSE)</f>
        <v>Traci Gilbert</v>
      </c>
      <c r="AG39" s="282"/>
      <c r="AH39" s="311" t="str">
        <f>INDEX('D5 - Gatekeeper - Projects'!$A$4:$AF$1010,$AM39, 17)</f>
        <v>M. Johnston</v>
      </c>
      <c r="AI39" s="8"/>
      <c r="AJ39" s="57"/>
      <c r="AK39" s="105"/>
      <c r="AM39" s="6">
        <f>MATCH(D39,'D5 - Gatekeeper - Projects'!$C$4:$C$1010,0)</f>
        <v>27</v>
      </c>
      <c r="AN39" s="6" t="b">
        <f t="shared" si="1"/>
        <v>0</v>
      </c>
      <c r="AO39" s="6" t="str">
        <f t="shared" si="2"/>
        <v>OK</v>
      </c>
      <c r="AQ39" s="6" t="e">
        <f>MATCH($D39,'D4 - Provider Council Unsched'!$C$11:$C$234,0)</f>
        <v>#N/A</v>
      </c>
      <c r="AR39" s="6" t="b">
        <f t="shared" si="3"/>
        <v>1</v>
      </c>
      <c r="AS39" s="6" t="str">
        <f t="shared" si="4"/>
        <v>OK</v>
      </c>
      <c r="AU39" s="202">
        <v>41271</v>
      </c>
      <c r="AV39" s="314" t="s">
        <v>6999</v>
      </c>
      <c r="AW39" s="274"/>
    </row>
    <row r="40" spans="1:49" s="13" customFormat="1" ht="22.5" x14ac:dyDescent="0.2">
      <c r="A40" s="14">
        <v>24</v>
      </c>
      <c r="B40" s="8">
        <v>400055538</v>
      </c>
      <c r="C40" s="8" t="s">
        <v>1447</v>
      </c>
      <c r="D40" s="4" t="str">
        <f t="shared" si="0"/>
        <v>400055538A</v>
      </c>
      <c r="E40" s="309" t="str">
        <f>VLOOKUP($B40,'D7 - NDB Impacted SPRF''s'!$E$6:$O$9929,2,FALSE)</f>
        <v xml:space="preserve">Sys.Operating Control-Gap Analysis &amp; Self-Service </v>
      </c>
      <c r="F40" s="8"/>
      <c r="G40" s="8" t="s">
        <v>7980</v>
      </c>
      <c r="H40" s="8" t="s">
        <v>1606</v>
      </c>
      <c r="I40" s="20">
        <v>0.74</v>
      </c>
      <c r="J40" s="8" t="s">
        <v>4862</v>
      </c>
      <c r="K40" s="182">
        <v>41356</v>
      </c>
      <c r="L40" s="8" t="s">
        <v>4156</v>
      </c>
      <c r="M40" s="8" t="s">
        <v>6688</v>
      </c>
      <c r="N40" s="38" t="s">
        <v>832</v>
      </c>
      <c r="O40" s="8"/>
      <c r="P40" s="4" t="str">
        <f>VLOOKUP($B40,'D7 - NDB Impacted SPRF''s'!$E$16:$O$9929,9,FALSE)</f>
        <v>Y</v>
      </c>
      <c r="Q40" s="4" t="str">
        <f>VLOOKUP($B40,'D7 - NDB Impacted SPRF''s'!$E$16:$O$9929,10,FALSE)</f>
        <v>N</v>
      </c>
      <c r="R40" s="4" t="str">
        <f>VLOOKUP($B40,'D7 - NDB Impacted SPRF''s'!$E$16:$O$9929,11,FALSE)</f>
        <v>N</v>
      </c>
      <c r="S40" s="8"/>
      <c r="T40" s="310"/>
      <c r="U40" s="310"/>
      <c r="V40" s="4"/>
      <c r="W40" s="4"/>
      <c r="X40" s="4"/>
      <c r="Y40" s="4"/>
      <c r="Z40" s="4"/>
      <c r="AA40" s="4"/>
      <c r="AB40" s="380" t="str">
        <f>VLOOKUP($B40,'D7 - NDB Impacted SPRF''s'!$E$6:$O$9929,4,FALSE)</f>
        <v>Scheduled</v>
      </c>
      <c r="AC40" s="380" t="str">
        <f>VLOOKUP($B40,'D7 - NDB Impacted SPRF''s'!$E$6:$O$9929,3,FALSE)</f>
        <v>UHG IT - Shared Services</v>
      </c>
      <c r="AD40" s="380" t="str">
        <f>VLOOKUP($B40,'D7 - NDB Impacted SPRF''s'!$E$6:$O$9929,5,FALSE)</f>
        <v>Strategic Initiatives</v>
      </c>
      <c r="AE40" s="380" t="str">
        <f>VLOOKUP($B40,'D7 - NDB Impacted SPRF''s'!$E$6:$O$9929,7,FALSE)</f>
        <v>Judy Perlman</v>
      </c>
      <c r="AF40" s="380" t="str">
        <f>VLOOKUP($B40,'D7 - NDB Impacted SPRF''s'!$E$6:$O$9929,6,FALSE)</f>
        <v>ALLA TASKENT</v>
      </c>
      <c r="AG40" s="282"/>
      <c r="AH40" s="311" t="str">
        <f>INDEX('D5 - Gatekeeper - Projects'!$A$4:$AF$1010,$AM40, 17)</f>
        <v>S. O'Brien</v>
      </c>
      <c r="AI40" s="8"/>
      <c r="AJ40" s="57"/>
      <c r="AK40" s="105"/>
      <c r="AM40" s="6">
        <f>MATCH(D40,'D5 - Gatekeeper - Projects'!$C$4:$C$1010,0)</f>
        <v>28</v>
      </c>
      <c r="AN40" s="6" t="b">
        <f t="shared" si="1"/>
        <v>0</v>
      </c>
      <c r="AO40" s="6" t="str">
        <f t="shared" si="2"/>
        <v>OK</v>
      </c>
      <c r="AQ40" s="6" t="e">
        <f>MATCH($D40,'D4 - Provider Council Unsched'!$C$11:$C$234,0)</f>
        <v>#N/A</v>
      </c>
      <c r="AR40" s="6" t="b">
        <f t="shared" si="3"/>
        <v>1</v>
      </c>
      <c r="AS40" s="6" t="str">
        <f t="shared" si="4"/>
        <v>OK</v>
      </c>
      <c r="AU40" s="202">
        <v>41222</v>
      </c>
      <c r="AV40" s="312" t="s">
        <v>48</v>
      </c>
      <c r="AW40" s="274">
        <v>71609</v>
      </c>
    </row>
    <row r="41" spans="1:49" s="13" customFormat="1" ht="12.75" x14ac:dyDescent="0.2">
      <c r="A41" s="14">
        <v>25</v>
      </c>
      <c r="B41" s="8">
        <v>400057811</v>
      </c>
      <c r="C41" s="8" t="s">
        <v>1447</v>
      </c>
      <c r="D41" s="4" t="str">
        <f t="shared" si="0"/>
        <v>400057811A</v>
      </c>
      <c r="E41" s="309" t="str">
        <f>VLOOKUP($B41,'D7 - NDB Impacted SPRF''s'!$E$6:$O$9929,2,FALSE)</f>
        <v>Maryland CRISP</v>
      </c>
      <c r="F41" s="8"/>
      <c r="G41" s="8" t="s">
        <v>7980</v>
      </c>
      <c r="H41" s="8" t="s">
        <v>1606</v>
      </c>
      <c r="I41" s="20">
        <v>1.33</v>
      </c>
      <c r="J41" s="8" t="s">
        <v>4862</v>
      </c>
      <c r="K41" s="182">
        <v>41356</v>
      </c>
      <c r="L41" s="8" t="s">
        <v>4156</v>
      </c>
      <c r="M41" s="8" t="s">
        <v>6688</v>
      </c>
      <c r="N41" s="38"/>
      <c r="O41" s="8"/>
      <c r="P41" s="4" t="str">
        <f>VLOOKUP($B41,'D7 - NDB Impacted SPRF''s'!$E$16:$O$9929,9,FALSE)</f>
        <v>N</v>
      </c>
      <c r="Q41" s="4" t="str">
        <f>VLOOKUP($B41,'D7 - NDB Impacted SPRF''s'!$E$16:$O$9929,10,FALSE)</f>
        <v>N</v>
      </c>
      <c r="R41" s="4" t="str">
        <f>VLOOKUP($B41,'D7 - NDB Impacted SPRF''s'!$E$16:$O$9929,11,FALSE)</f>
        <v>N</v>
      </c>
      <c r="S41" s="8"/>
      <c r="T41" s="310"/>
      <c r="U41" s="310"/>
      <c r="V41" s="4"/>
      <c r="W41" s="4"/>
      <c r="X41" s="4"/>
      <c r="Y41" s="4"/>
      <c r="Z41" s="4"/>
      <c r="AA41" s="4"/>
      <c r="AB41" s="380" t="str">
        <f>VLOOKUP($B41,'D7 - NDB Impacted SPRF''s'!$E$6:$O$9929,4,FALSE)</f>
        <v>Scheduled</v>
      </c>
      <c r="AC41" s="380" t="str">
        <f>VLOOKUP($B41,'D7 - NDB Impacted SPRF''s'!$E$6:$O$9929,3,FALSE)</f>
        <v>OptumInsight</v>
      </c>
      <c r="AD41" s="380" t="str">
        <f>VLOOKUP($B41,'D7 - NDB Impacted SPRF''s'!$E$6:$O$9929,5,FALSE)</f>
        <v>UHGIT Commercialization</v>
      </c>
      <c r="AE41" s="380" t="str">
        <f>VLOOKUP($B41,'D7 - NDB Impacted SPRF''s'!$E$6:$O$9929,7,FALSE)</f>
        <v>Marty Toomb</v>
      </c>
      <c r="AF41" s="380" t="str">
        <f>VLOOKUP($B41,'D7 - NDB Impacted SPRF''s'!$E$6:$O$9929,6,FALSE)</f>
        <v>Laura Levesque</v>
      </c>
      <c r="AG41" s="282"/>
      <c r="AH41" s="311" t="str">
        <f>INDEX('D5 - Gatekeeper - Projects'!$A$4:$AF$1010,$AM41, 17)</f>
        <v>A. Colombo</v>
      </c>
      <c r="AI41" s="8"/>
      <c r="AJ41" s="57"/>
      <c r="AK41" s="105"/>
      <c r="AM41" s="6">
        <f>MATCH(D41,'D5 - Gatekeeper - Projects'!$C$4:$C$1010,0)</f>
        <v>29</v>
      </c>
      <c r="AN41" s="6" t="b">
        <f t="shared" si="1"/>
        <v>0</v>
      </c>
      <c r="AO41" s="6" t="str">
        <f t="shared" si="2"/>
        <v>OK</v>
      </c>
      <c r="AQ41" s="6" t="e">
        <f>MATCH($D41,'D4 - Provider Council Unsched'!$C$11:$C$234,0)</f>
        <v>#N/A</v>
      </c>
      <c r="AR41" s="6" t="b">
        <f t="shared" si="3"/>
        <v>1</v>
      </c>
      <c r="AS41" s="6" t="str">
        <f t="shared" si="4"/>
        <v>OK</v>
      </c>
      <c r="AU41" s="202">
        <v>41321</v>
      </c>
      <c r="AV41" s="384" t="s">
        <v>83</v>
      </c>
      <c r="AW41" s="274"/>
    </row>
    <row r="42" spans="1:49" s="13" customFormat="1" ht="33.75" x14ac:dyDescent="0.2">
      <c r="A42" s="14">
        <v>26</v>
      </c>
      <c r="B42" s="8">
        <v>400050155</v>
      </c>
      <c r="C42" s="8" t="s">
        <v>2207</v>
      </c>
      <c r="D42" s="4" t="str">
        <f t="shared" si="0"/>
        <v>400050155G</v>
      </c>
      <c r="E42" s="309" t="str">
        <f>VLOOKUP($B42,'D7 - NDB Impacted SPRF''s'!$E$6:$O$9929,2,FALSE)</f>
        <v>Health Care Cost Estimator  Release 2.2</v>
      </c>
      <c r="F42" s="8"/>
      <c r="G42" s="8" t="s">
        <v>7980</v>
      </c>
      <c r="H42" s="8" t="s">
        <v>1606</v>
      </c>
      <c r="I42" s="20">
        <v>0</v>
      </c>
      <c r="J42" s="8" t="s">
        <v>4862</v>
      </c>
      <c r="K42" s="182">
        <v>41360</v>
      </c>
      <c r="L42" s="8" t="s">
        <v>4156</v>
      </c>
      <c r="M42" s="8" t="s">
        <v>2814</v>
      </c>
      <c r="N42" s="364" t="s">
        <v>9052</v>
      </c>
      <c r="O42" s="8"/>
      <c r="P42" s="4" t="str">
        <f>VLOOKUP($B42,'D7 - NDB Impacted SPRF''s'!$E$16:$O$9929,9,FALSE)</f>
        <v>Y</v>
      </c>
      <c r="Q42" s="4" t="str">
        <f>VLOOKUP($B42,'D7 - NDB Impacted SPRF''s'!$E$16:$O$9929,10,FALSE)</f>
        <v>N</v>
      </c>
      <c r="R42" s="4" t="str">
        <f>VLOOKUP($B42,'D7 - NDB Impacted SPRF''s'!$E$16:$O$9929,11,FALSE)</f>
        <v>N</v>
      </c>
      <c r="S42" s="8"/>
      <c r="T42" s="310"/>
      <c r="U42" s="310"/>
      <c r="V42" s="4"/>
      <c r="W42" s="4"/>
      <c r="X42" s="4"/>
      <c r="Y42" s="4"/>
      <c r="Z42" s="4"/>
      <c r="AA42" s="4"/>
      <c r="AB42" s="380" t="str">
        <f>VLOOKUP($B42,'D7 - NDB Impacted SPRF''s'!$E$6:$O$9929,4,FALSE)</f>
        <v>Scheduled</v>
      </c>
      <c r="AC42" s="380" t="str">
        <f>VLOOKUP($B42,'D7 - NDB Impacted SPRF''s'!$E$6:$O$9929,3,FALSE)</f>
        <v>UnitedHealthcare Employer &amp; Individual</v>
      </c>
      <c r="AD42" s="380" t="str">
        <f>VLOOKUP($B42,'D7 - NDB Impacted SPRF''s'!$E$6:$O$9929,5,FALSE)</f>
        <v>Membership Growth / Revenue Programs</v>
      </c>
      <c r="AE42" s="380" t="str">
        <f>VLOOKUP($B42,'D7 - NDB Impacted SPRF''s'!$E$6:$O$9929,7,FALSE)</f>
        <v>Victoria Bogatyrenko</v>
      </c>
      <c r="AF42" s="380" t="str">
        <f>VLOOKUP($B42,'D7 - NDB Impacted SPRF''s'!$E$6:$O$9929,6,FALSE)</f>
        <v>Kari Mclarty</v>
      </c>
      <c r="AG42" s="282"/>
      <c r="AH42" s="311" t="str">
        <f>INDEX('D5 - Gatekeeper - Projects'!$A$4:$AF$1010,$AM42, 17)</f>
        <v>C. Chen</v>
      </c>
      <c r="AI42" s="8"/>
      <c r="AJ42" s="57"/>
      <c r="AK42" s="105"/>
      <c r="AM42" s="6">
        <f>MATCH(D42,'D5 - Gatekeeper - Projects'!$C$4:$C$1010,0)</f>
        <v>30</v>
      </c>
      <c r="AN42" s="6" t="b">
        <f t="shared" si="1"/>
        <v>0</v>
      </c>
      <c r="AO42" s="6" t="str">
        <f t="shared" si="2"/>
        <v>OK</v>
      </c>
      <c r="AQ42" s="6" t="e">
        <f>MATCH($D42,'D4 - Provider Council Unsched'!$C$11:$C$234,0)</f>
        <v>#N/A</v>
      </c>
      <c r="AR42" s="6" t="b">
        <f t="shared" si="3"/>
        <v>1</v>
      </c>
      <c r="AS42" s="6" t="str">
        <f t="shared" si="4"/>
        <v>OK</v>
      </c>
      <c r="AU42" s="202">
        <v>41347</v>
      </c>
      <c r="AV42" s="6" t="s">
        <v>932</v>
      </c>
      <c r="AW42" s="274">
        <v>56214</v>
      </c>
    </row>
    <row r="43" spans="1:49" s="13" customFormat="1" ht="56.25" x14ac:dyDescent="0.2">
      <c r="A43" s="14">
        <v>27</v>
      </c>
      <c r="B43" s="8">
        <v>400053553</v>
      </c>
      <c r="C43" s="8" t="s">
        <v>1447</v>
      </c>
      <c r="D43" s="4" t="str">
        <f t="shared" si="0"/>
        <v>400053553A</v>
      </c>
      <c r="E43" s="309" t="str">
        <f>VLOOKUP($B43,'D7 - NDB Impacted SPRF''s'!$E$6:$O$9929,2,FALSE)</f>
        <v xml:space="preserve">FACETS CSP Build in Master </v>
      </c>
      <c r="F43" s="8"/>
      <c r="G43" s="8" t="s">
        <v>7980</v>
      </c>
      <c r="H43" s="8" t="s">
        <v>1606</v>
      </c>
      <c r="I43" s="20">
        <v>1.2</v>
      </c>
      <c r="J43" s="8" t="s">
        <v>4862</v>
      </c>
      <c r="K43" s="182">
        <v>41376</v>
      </c>
      <c r="L43" s="8" t="s">
        <v>4156</v>
      </c>
      <c r="M43" s="8" t="s">
        <v>5626</v>
      </c>
      <c r="N43" s="38" t="s">
        <v>9136</v>
      </c>
      <c r="O43" s="8"/>
      <c r="P43" s="4" t="str">
        <f>VLOOKUP($B43,'D7 - NDB Impacted SPRF''s'!$E$16:$O$9929,9,FALSE)</f>
        <v>N</v>
      </c>
      <c r="Q43" s="4" t="str">
        <f>VLOOKUP($B43,'D7 - NDB Impacted SPRF''s'!$E$16:$O$9929,10,FALSE)</f>
        <v>N</v>
      </c>
      <c r="R43" s="4" t="str">
        <f>VLOOKUP($B43,'D7 - NDB Impacted SPRF''s'!$E$16:$O$9929,11,FALSE)</f>
        <v>Y</v>
      </c>
      <c r="S43" s="8"/>
      <c r="T43" s="310"/>
      <c r="U43" s="310"/>
      <c r="V43" s="4"/>
      <c r="W43" s="4"/>
      <c r="X43" s="4"/>
      <c r="Y43" s="4"/>
      <c r="Z43" s="4"/>
      <c r="AA43" s="4"/>
      <c r="AB43" s="380" t="str">
        <f>VLOOKUP($B43,'D7 - NDB Impacted SPRF''s'!$E$6:$O$9929,4,FALSE)</f>
        <v>Scheduled</v>
      </c>
      <c r="AC43" s="380" t="str">
        <f>VLOOKUP($B43,'D7 - NDB Impacted SPRF''s'!$E$6:$O$9929,3,FALSE)</f>
        <v>UHG IT - Shared Services</v>
      </c>
      <c r="AD43" s="380" t="str">
        <f>VLOOKUP($B43,'D7 - NDB Impacted SPRF''s'!$E$6:$O$9929,5,FALSE)</f>
        <v>ASG</v>
      </c>
      <c r="AE43" s="380" t="str">
        <f>VLOOKUP($B43,'D7 - NDB Impacted SPRF''s'!$E$6:$O$9929,7,FALSE)</f>
        <v>Duhaime</v>
      </c>
      <c r="AF43" s="380" t="str">
        <f>VLOOKUP($B43,'D7 - NDB Impacted SPRF''s'!$E$6:$O$9929,6,FALSE)</f>
        <v>PETER ERNEST</v>
      </c>
      <c r="AG43" s="282"/>
      <c r="AH43" s="311" t="str">
        <f>INDEX('D5 - Gatekeeper - Projects'!$A$4:$AF$1010,$AM43, 17)</f>
        <v>T. Kester</v>
      </c>
      <c r="AI43" s="8"/>
      <c r="AJ43" s="57"/>
      <c r="AK43" s="105"/>
      <c r="AM43" s="6">
        <f>MATCH(D43,'D5 - Gatekeeper - Projects'!$C$4:$C$1010,0)</f>
        <v>32</v>
      </c>
      <c r="AN43" s="6" t="b">
        <f t="shared" si="1"/>
        <v>0</v>
      </c>
      <c r="AO43" s="6" t="str">
        <f t="shared" si="2"/>
        <v>OK</v>
      </c>
      <c r="AQ43" s="6" t="e">
        <f>MATCH($D43,'D4 - Provider Council Unsched'!$C$11:$C$234,0)</f>
        <v>#N/A</v>
      </c>
      <c r="AR43" s="6" t="b">
        <f t="shared" si="3"/>
        <v>1</v>
      </c>
      <c r="AS43" s="6" t="str">
        <f t="shared" si="4"/>
        <v>OK</v>
      </c>
      <c r="AU43" s="202">
        <v>41186</v>
      </c>
      <c r="AV43" s="6" t="s">
        <v>691</v>
      </c>
      <c r="AW43" s="274" t="s">
        <v>3572</v>
      </c>
    </row>
    <row r="44" spans="1:49" s="13" customFormat="1" ht="33.75" x14ac:dyDescent="0.2">
      <c r="A44" s="14">
        <v>28</v>
      </c>
      <c r="B44" s="8">
        <v>400054686</v>
      </c>
      <c r="C44" s="8" t="s">
        <v>1447</v>
      </c>
      <c r="D44" s="4" t="str">
        <f t="shared" si="0"/>
        <v>400054686A</v>
      </c>
      <c r="E44" s="309" t="str">
        <f>VLOOKUP($B44,'D7 - NDB Impacted SPRF''s'!$E$6:$O$9929,2,FALSE)</f>
        <v>Florida Long Term Care Expansion</v>
      </c>
      <c r="F44" s="8"/>
      <c r="G44" s="8" t="s">
        <v>7980</v>
      </c>
      <c r="H44" s="8" t="s">
        <v>1606</v>
      </c>
      <c r="I44" s="20">
        <v>6.65</v>
      </c>
      <c r="J44" s="8" t="s">
        <v>4862</v>
      </c>
      <c r="K44" s="182">
        <v>41404</v>
      </c>
      <c r="L44" s="8" t="s">
        <v>4156</v>
      </c>
      <c r="M44" s="8" t="s">
        <v>2814</v>
      </c>
      <c r="N44" s="38"/>
      <c r="O44" s="8"/>
      <c r="P44" s="4" t="str">
        <f>VLOOKUP($B44,'D7 - NDB Impacted SPRF''s'!$E$16:$O$9929,9,FALSE)</f>
        <v>N</v>
      </c>
      <c r="Q44" s="4" t="str">
        <f>VLOOKUP($B44,'D7 - NDB Impacted SPRF''s'!$E$16:$O$9929,10,FALSE)</f>
        <v>N</v>
      </c>
      <c r="R44" s="4" t="str">
        <f>VLOOKUP($B44,'D7 - NDB Impacted SPRF''s'!$E$16:$O$9929,11,FALSE)</f>
        <v>Y</v>
      </c>
      <c r="S44" s="8"/>
      <c r="T44" s="310"/>
      <c r="U44" s="310"/>
      <c r="V44" s="4"/>
      <c r="W44" s="4"/>
      <c r="X44" s="4"/>
      <c r="Y44" s="4"/>
      <c r="Z44" s="4"/>
      <c r="AA44" s="4"/>
      <c r="AB44" s="380" t="str">
        <f>VLOOKUP($B44,'D7 - NDB Impacted SPRF''s'!$E$6:$O$9929,4,FALSE)</f>
        <v>Scheduled</v>
      </c>
      <c r="AC44" s="380" t="str">
        <f>VLOOKUP($B44,'D7 - NDB Impacted SPRF''s'!$E$6:$O$9929,3,FALSE)</f>
        <v>UnitedHealthcare Community &amp; State</v>
      </c>
      <c r="AD44" s="380" t="str">
        <f>VLOOKUP($B44,'D7 - NDB Impacted SPRF''s'!$E$6:$O$9929,5,FALSE)</f>
        <v>Membership Growth / Revenue Programs</v>
      </c>
      <c r="AE44" s="380" t="str">
        <f>VLOOKUP($B44,'D7 - NDB Impacted SPRF''s'!$E$6:$O$9929,7,FALSE)</f>
        <v>Kathleen Crampton</v>
      </c>
      <c r="AF44" s="380" t="str">
        <f>VLOOKUP($B44,'D7 - NDB Impacted SPRF''s'!$E$6:$O$9929,6,FALSE)</f>
        <v>Carole Curry</v>
      </c>
      <c r="AG44" s="282"/>
      <c r="AH44" s="311" t="str">
        <f>INDEX('D5 - Gatekeeper - Projects'!$A$4:$AF$1010,$AM44, 17)</f>
        <v>Bob Ziemann</v>
      </c>
      <c r="AI44" s="8"/>
      <c r="AJ44" s="57"/>
      <c r="AK44" s="105"/>
      <c r="AM44" s="6">
        <f>MATCH(D44,'D5 - Gatekeeper - Projects'!$C$4:$C$1010,0)</f>
        <v>34</v>
      </c>
      <c r="AN44" s="6" t="b">
        <f t="shared" si="1"/>
        <v>0</v>
      </c>
      <c r="AO44" s="6" t="str">
        <f t="shared" si="2"/>
        <v>OK</v>
      </c>
      <c r="AQ44" s="6" t="e">
        <f>MATCH($D44,'D4 - Provider Council Unsched'!$C$11:$C$234,0)</f>
        <v>#N/A</v>
      </c>
      <c r="AR44" s="6" t="b">
        <f t="shared" si="3"/>
        <v>1</v>
      </c>
      <c r="AS44" s="6" t="str">
        <f t="shared" si="4"/>
        <v>OK</v>
      </c>
      <c r="AU44" s="202">
        <v>41298</v>
      </c>
      <c r="AV44" s="313" t="s">
        <v>9192</v>
      </c>
      <c r="AW44" s="274"/>
    </row>
    <row r="45" spans="1:49" s="13" customFormat="1" ht="33.75" x14ac:dyDescent="0.2">
      <c r="A45" s="14"/>
      <c r="B45" s="14">
        <v>400059319</v>
      </c>
      <c r="C45" s="8" t="s">
        <v>1447</v>
      </c>
      <c r="D45" s="4" t="str">
        <f t="shared" si="0"/>
        <v>400059319A</v>
      </c>
      <c r="E45" s="309" t="str">
        <f>VLOOKUP($B45,'D7 - NDB Impacted SPRF''s'!$E$6:$O$9929,2,FALSE)</f>
        <v>UHCMW Defect release (Portal Only)</v>
      </c>
      <c r="F45" s="8"/>
      <c r="G45" s="8" t="s">
        <v>7980</v>
      </c>
      <c r="H45" s="8" t="s">
        <v>1606</v>
      </c>
      <c r="I45" s="20">
        <v>0.42</v>
      </c>
      <c r="J45" s="8" t="s">
        <v>4862</v>
      </c>
      <c r="K45" s="182">
        <v>41405</v>
      </c>
      <c r="L45" s="8" t="s">
        <v>4156</v>
      </c>
      <c r="M45" s="8" t="s">
        <v>2814</v>
      </c>
      <c r="N45" s="38" t="s">
        <v>9624</v>
      </c>
      <c r="O45" s="8"/>
      <c r="P45" s="4" t="str">
        <f>VLOOKUP($B45,'D7 - NDB Impacted SPRF''s'!$E$16:$O$9929,9,FALSE)</f>
        <v>N</v>
      </c>
      <c r="Q45" s="4" t="str">
        <f>VLOOKUP($B45,'D7 - NDB Impacted SPRF''s'!$E$16:$O$9929,10,FALSE)</f>
        <v>N</v>
      </c>
      <c r="R45" s="4" t="str">
        <f>VLOOKUP($B45,'D7 - NDB Impacted SPRF''s'!$E$16:$O$9929,11,FALSE)</f>
        <v>N</v>
      </c>
      <c r="S45" s="8"/>
      <c r="T45" s="310"/>
      <c r="U45" s="310"/>
      <c r="V45" s="4"/>
      <c r="W45" s="4"/>
      <c r="X45" s="4"/>
      <c r="Y45" s="4"/>
      <c r="Z45" s="4"/>
      <c r="AA45" s="4"/>
      <c r="AB45" s="380" t="str">
        <f>VLOOKUP($B45,'D7 - NDB Impacted SPRF''s'!$E$6:$O$9929,4,FALSE)</f>
        <v>Scheduled</v>
      </c>
      <c r="AC45" s="380" t="str">
        <f>VLOOKUP($B45,'D7 - NDB Impacted SPRF''s'!$E$6:$O$9929,3,FALSE)</f>
        <v>UnitedHealthcare Military &amp; Veterans</v>
      </c>
      <c r="AD45" s="380" t="str">
        <f>VLOOKUP($B45,'D7 - NDB Impacted SPRF''s'!$E$6:$O$9929,5,FALSE)</f>
        <v>Operational Requirements</v>
      </c>
      <c r="AE45" s="380" t="str">
        <f>VLOOKUP($B45,'D7 - NDB Impacted SPRF''s'!$E$6:$O$9929,7,FALSE)</f>
        <v>Mike Schwarz</v>
      </c>
      <c r="AF45" s="380" t="str">
        <f>VLOOKUP($B45,'D7 - NDB Impacted SPRF''s'!$E$6:$O$9929,6,FALSE)</f>
        <v>Alison Ross</v>
      </c>
      <c r="AG45" s="282"/>
      <c r="AH45" s="311" t="str">
        <f>INDEX('D5 - Gatekeeper - Projects'!$A$4:$AF$1010,$AM45, 17)</f>
        <v>J. Boulus</v>
      </c>
      <c r="AI45" s="8"/>
      <c r="AJ45" s="57"/>
      <c r="AK45" s="105"/>
      <c r="AM45" s="6">
        <f>MATCH(D45,'D5 - Gatekeeper - Projects'!$C$4:$C$1010,0)</f>
        <v>35</v>
      </c>
      <c r="AN45" s="6" t="b">
        <f t="shared" si="1"/>
        <v>0</v>
      </c>
      <c r="AO45" s="6" t="str">
        <f t="shared" si="2"/>
        <v>OK</v>
      </c>
      <c r="AQ45" s="6" t="e">
        <f>MATCH($D45,'D4 - Provider Council Unsched'!$C$11:$C$234,0)</f>
        <v>#N/A</v>
      </c>
      <c r="AR45" s="6" t="b">
        <f t="shared" si="3"/>
        <v>1</v>
      </c>
      <c r="AS45" s="6" t="str">
        <f t="shared" si="4"/>
        <v>OK</v>
      </c>
      <c r="AU45" s="202">
        <v>41404</v>
      </c>
      <c r="AV45" s="6" t="s">
        <v>317</v>
      </c>
      <c r="AW45" s="274"/>
    </row>
    <row r="46" spans="1:49" s="13" customFormat="1" ht="45" x14ac:dyDescent="0.2">
      <c r="A46" s="14">
        <v>29</v>
      </c>
      <c r="B46" s="8">
        <v>400046616</v>
      </c>
      <c r="C46" s="8" t="s">
        <v>1447</v>
      </c>
      <c r="D46" s="4" t="str">
        <f t="shared" si="0"/>
        <v>400046616A</v>
      </c>
      <c r="E46" s="309" t="str">
        <f>VLOOKUP($B46,'D7 - NDB Impacted SPRF''s'!$E$6:$O$9929,2,FALSE)</f>
        <v>New Jersey CSP Facets Migration</v>
      </c>
      <c r="F46" s="8"/>
      <c r="G46" s="8" t="s">
        <v>7980</v>
      </c>
      <c r="H46" s="8" t="s">
        <v>1606</v>
      </c>
      <c r="I46" s="20">
        <v>3.12</v>
      </c>
      <c r="J46" s="8" t="s">
        <v>4862</v>
      </c>
      <c r="K46" s="182">
        <v>41411</v>
      </c>
      <c r="L46" s="8" t="s">
        <v>4156</v>
      </c>
      <c r="M46" s="8" t="s">
        <v>3598</v>
      </c>
      <c r="N46" s="38" t="s">
        <v>9601</v>
      </c>
      <c r="O46" s="8"/>
      <c r="P46" s="4" t="str">
        <f>VLOOKUP($B46,'D7 - NDB Impacted SPRF''s'!$E$16:$O$9929,9,FALSE)</f>
        <v>N</v>
      </c>
      <c r="Q46" s="4" t="str">
        <f>VLOOKUP($B46,'D7 - NDB Impacted SPRF''s'!$E$16:$O$9929,10,FALSE)</f>
        <v>N</v>
      </c>
      <c r="R46" s="4" t="str">
        <f>VLOOKUP($B46,'D7 - NDB Impacted SPRF''s'!$E$16:$O$9929,11,FALSE)</f>
        <v>Y</v>
      </c>
      <c r="S46" s="8"/>
      <c r="T46" s="310"/>
      <c r="U46" s="310"/>
      <c r="V46" s="4"/>
      <c r="W46" s="4"/>
      <c r="X46" s="4"/>
      <c r="Y46" s="4"/>
      <c r="Z46" s="4"/>
      <c r="AA46" s="4"/>
      <c r="AB46" s="380" t="str">
        <f>VLOOKUP($B46,'D7 - NDB Impacted SPRF''s'!$E$6:$O$9929,4,FALSE)</f>
        <v>Scheduled</v>
      </c>
      <c r="AC46" s="380" t="str">
        <f>VLOOKUP($B46,'D7 - NDB Impacted SPRF''s'!$E$6:$O$9929,3,FALSE)</f>
        <v>UnitedHealthcare Community &amp; State</v>
      </c>
      <c r="AD46" s="380" t="str">
        <f>VLOOKUP($B46,'D7 - NDB Impacted SPRF''s'!$E$6:$O$9929,5,FALSE)</f>
        <v>Integration Requirements</v>
      </c>
      <c r="AE46" s="380" t="str">
        <f>VLOOKUP($B46,'D7 - NDB Impacted SPRF''s'!$E$6:$O$9929,7,FALSE)</f>
        <v>Chris Scherer</v>
      </c>
      <c r="AF46" s="380" t="str">
        <f>VLOOKUP($B46,'D7 - NDB Impacted SPRF''s'!$E$6:$O$9929,6,FALSE)</f>
        <v>Dawn Ramos</v>
      </c>
      <c r="AG46" s="282"/>
      <c r="AH46" s="311" t="str">
        <f>INDEX('D5 - Gatekeeper - Projects'!$A$4:$AF$1010,$AM46, 17)</f>
        <v xml:space="preserve">D. Bajpai </v>
      </c>
      <c r="AI46" s="8"/>
      <c r="AJ46" s="57"/>
      <c r="AK46" s="105"/>
      <c r="AM46" s="6">
        <f>MATCH(D46,'D5 - Gatekeeper - Projects'!$C$4:$C$1010,0)</f>
        <v>36</v>
      </c>
      <c r="AN46" s="6" t="b">
        <f t="shared" si="1"/>
        <v>0</v>
      </c>
      <c r="AO46" s="6" t="str">
        <f t="shared" si="2"/>
        <v>OK</v>
      </c>
      <c r="AQ46" s="6" t="e">
        <f>MATCH($D46,'D4 - Provider Council Unsched'!$C$11:$C$234,0)</f>
        <v>#N/A</v>
      </c>
      <c r="AR46" s="6" t="b">
        <f t="shared" si="3"/>
        <v>1</v>
      </c>
      <c r="AS46" s="6" t="str">
        <f t="shared" si="4"/>
        <v>OK</v>
      </c>
      <c r="AU46" s="202"/>
      <c r="AV46" s="6" t="s">
        <v>1089</v>
      </c>
      <c r="AW46" s="274">
        <v>46552</v>
      </c>
    </row>
    <row r="47" spans="1:49" s="13" customFormat="1" ht="22.5" x14ac:dyDescent="0.2">
      <c r="A47" s="14">
        <v>31</v>
      </c>
      <c r="B47" s="8">
        <v>400033825</v>
      </c>
      <c r="C47" s="8" t="s">
        <v>7292</v>
      </c>
      <c r="D47" s="4" t="str">
        <f t="shared" si="0"/>
        <v>400033825C</v>
      </c>
      <c r="E47" s="309" t="str">
        <f>VLOOKUP($B47,'D7 - NDB Impacted SPRF''s'!$E$6:$O$9929,2,FALSE)</f>
        <v>CDB Online:  Update /Channels Other</v>
      </c>
      <c r="F47" s="8"/>
      <c r="G47" s="8" t="s">
        <v>7980</v>
      </c>
      <c r="H47" s="8" t="s">
        <v>1606</v>
      </c>
      <c r="I47" s="20">
        <v>0.85</v>
      </c>
      <c r="J47" s="8" t="s">
        <v>4862</v>
      </c>
      <c r="K47" s="182">
        <v>41412</v>
      </c>
      <c r="L47" s="8" t="s">
        <v>4156</v>
      </c>
      <c r="M47" s="8" t="s">
        <v>5626</v>
      </c>
      <c r="N47" s="38" t="s">
        <v>8034</v>
      </c>
      <c r="O47" s="8"/>
      <c r="P47" s="4" t="str">
        <f>VLOOKUP($B47,'D7 - NDB Impacted SPRF''s'!$E$16:$O$9929,9,FALSE)</f>
        <v>N</v>
      </c>
      <c r="Q47" s="4" t="str">
        <f>VLOOKUP($B47,'D7 - NDB Impacted SPRF''s'!$E$16:$O$9929,10,FALSE)</f>
        <v>N</v>
      </c>
      <c r="R47" s="4" t="str">
        <f>VLOOKUP($B47,'D7 - NDB Impacted SPRF''s'!$E$16:$O$9929,11,FALSE)</f>
        <v>N</v>
      </c>
      <c r="S47" s="8"/>
      <c r="T47" s="310"/>
      <c r="U47" s="310"/>
      <c r="V47" s="4"/>
      <c r="W47" s="4"/>
      <c r="X47" s="4"/>
      <c r="Y47" s="4"/>
      <c r="Z47" s="4"/>
      <c r="AA47" s="4"/>
      <c r="AB47" s="380" t="str">
        <f>VLOOKUP($B47,'D7 - NDB Impacted SPRF''s'!$E$6:$O$9929,4,FALSE)</f>
        <v>Scheduled</v>
      </c>
      <c r="AC47" s="380" t="str">
        <f>VLOOKUP($B47,'D7 - NDB Impacted SPRF''s'!$E$6:$O$9929,3,FALSE)</f>
        <v>UHG IT - Shared Services</v>
      </c>
      <c r="AD47" s="380" t="str">
        <f>VLOOKUP($B47,'D7 - NDB Impacted SPRF''s'!$E$6:$O$9929,5,FALSE)</f>
        <v>Strategic Initiatives</v>
      </c>
      <c r="AE47" s="380" t="str">
        <f>VLOOKUP($B47,'D7 - NDB Impacted SPRF''s'!$E$6:$O$9929,7,FALSE)</f>
        <v>Patrick Casey</v>
      </c>
      <c r="AF47" s="380" t="str">
        <f>VLOOKUP($B47,'D7 - NDB Impacted SPRF''s'!$E$6:$O$9929,6,FALSE)</f>
        <v>Sue Meotti</v>
      </c>
      <c r="AG47" s="282"/>
      <c r="AH47" s="311" t="str">
        <f>INDEX('D5 - Gatekeeper - Projects'!$A$4:$AF$1010,$AM47, 17)</f>
        <v>T. Kester</v>
      </c>
      <c r="AI47" s="8"/>
      <c r="AJ47" s="57"/>
      <c r="AK47" s="105"/>
      <c r="AM47" s="6">
        <f>MATCH(D47,'D5 - Gatekeeper - Projects'!$C$4:$C$1010,0)</f>
        <v>38</v>
      </c>
      <c r="AN47" s="6" t="b">
        <f t="shared" si="1"/>
        <v>0</v>
      </c>
      <c r="AO47" s="6" t="str">
        <f t="shared" si="2"/>
        <v>OK</v>
      </c>
      <c r="AQ47" s="6" t="e">
        <f>MATCH($D47,'D4 - Provider Council Unsched'!$C$11:$C$234,0)</f>
        <v>#N/A</v>
      </c>
      <c r="AR47" s="6" t="b">
        <f t="shared" si="3"/>
        <v>1</v>
      </c>
      <c r="AS47" s="6" t="str">
        <f t="shared" si="4"/>
        <v>OK</v>
      </c>
      <c r="AU47" s="202">
        <v>41292</v>
      </c>
      <c r="AV47" s="6" t="s">
        <v>2309</v>
      </c>
      <c r="AW47" s="274">
        <v>20510</v>
      </c>
    </row>
    <row r="48" spans="1:49" s="13" customFormat="1" ht="90" x14ac:dyDescent="0.2">
      <c r="A48" s="14">
        <v>32</v>
      </c>
      <c r="B48" s="8">
        <v>400039622</v>
      </c>
      <c r="C48" s="8" t="s">
        <v>1447</v>
      </c>
      <c r="D48" s="4" t="str">
        <f t="shared" si="0"/>
        <v>400039622A</v>
      </c>
      <c r="E48" s="309" t="str">
        <f>VLOOKUP($B48,'D7 - NDB Impacted SPRF''s'!$E$6:$O$9929,2,FALSE)</f>
        <v>Medical Necessity - Rad/Card Prior Auth</v>
      </c>
      <c r="F48" s="8"/>
      <c r="G48" s="8" t="s">
        <v>7980</v>
      </c>
      <c r="H48" s="8" t="s">
        <v>1606</v>
      </c>
      <c r="I48" s="20">
        <v>43.4</v>
      </c>
      <c r="J48" s="8" t="s">
        <v>4862</v>
      </c>
      <c r="K48" s="182">
        <v>41412</v>
      </c>
      <c r="L48" s="8" t="s">
        <v>4156</v>
      </c>
      <c r="M48" s="8" t="s">
        <v>2814</v>
      </c>
      <c r="N48" s="38" t="s">
        <v>9138</v>
      </c>
      <c r="O48" s="8"/>
      <c r="P48" s="4" t="str">
        <f>VLOOKUP($B48,'D7 - NDB Impacted SPRF''s'!$E$16:$O$9929,9,FALSE)</f>
        <v>Y</v>
      </c>
      <c r="Q48" s="4" t="str">
        <f>VLOOKUP($B48,'D7 - NDB Impacted SPRF''s'!$E$16:$O$9929,10,FALSE)</f>
        <v>N</v>
      </c>
      <c r="R48" s="4" t="str">
        <f>VLOOKUP($B48,'D7 - NDB Impacted SPRF''s'!$E$16:$O$9929,11,FALSE)</f>
        <v>Y</v>
      </c>
      <c r="S48" s="8"/>
      <c r="T48" s="310"/>
      <c r="U48" s="310"/>
      <c r="V48" s="4"/>
      <c r="W48" s="4"/>
      <c r="X48" s="4"/>
      <c r="Y48" s="4"/>
      <c r="Z48" s="4"/>
      <c r="AA48" s="4"/>
      <c r="AB48" s="380" t="str">
        <f>VLOOKUP($B48,'D7 - NDB Impacted SPRF''s'!$E$6:$O$9929,4,FALSE)</f>
        <v>Scheduled</v>
      </c>
      <c r="AC48" s="380" t="str">
        <f>VLOOKUP($B48,'D7 - NDB Impacted SPRF''s'!$E$6:$O$9929,3,FALSE)</f>
        <v>UnitedHealthcare Employer &amp; Individual</v>
      </c>
      <c r="AD48" s="380" t="str">
        <f>VLOOKUP($B48,'D7 - NDB Impacted SPRF''s'!$E$6:$O$9929,5,FALSE)</f>
        <v>Medical Cost Savings Programs</v>
      </c>
      <c r="AE48" s="380" t="str">
        <f>VLOOKUP($B48,'D7 - NDB Impacted SPRF''s'!$E$6:$O$9929,7,FALSE)</f>
        <v>Dr. Sam Ho / Kevin Ruth</v>
      </c>
      <c r="AF48" s="380" t="str">
        <f>VLOOKUP($B48,'D7 - NDB Impacted SPRF''s'!$E$6:$O$9929,6,FALSE)</f>
        <v>ROSS OGDEN</v>
      </c>
      <c r="AG48" s="282"/>
      <c r="AH48" s="311" t="str">
        <f>INDEX('D5 - Gatekeeper - Projects'!$A$4:$AF$1010,$AM48, 17)</f>
        <v>J. Melendez</v>
      </c>
      <c r="AI48" s="8"/>
      <c r="AJ48" s="57"/>
      <c r="AK48" s="105"/>
      <c r="AM48" s="6">
        <f>MATCH(D48,'D5 - Gatekeeper - Projects'!$C$4:$C$1010,0)</f>
        <v>39</v>
      </c>
      <c r="AN48" s="6" t="b">
        <f t="shared" si="1"/>
        <v>0</v>
      </c>
      <c r="AO48" s="6" t="str">
        <f t="shared" si="2"/>
        <v>OK</v>
      </c>
      <c r="AQ48" s="6" t="e">
        <f>MATCH($D48,'D4 - Provider Council Unsched'!$C$11:$C$234,0)</f>
        <v>#N/A</v>
      </c>
      <c r="AR48" s="6" t="b">
        <f t="shared" si="3"/>
        <v>1</v>
      </c>
      <c r="AS48" s="6" t="str">
        <f t="shared" si="4"/>
        <v>OK</v>
      </c>
      <c r="AU48" s="202">
        <v>41082</v>
      </c>
      <c r="AV48" s="6" t="s">
        <v>468</v>
      </c>
      <c r="AW48" s="274">
        <v>55804</v>
      </c>
    </row>
    <row r="49" spans="1:49" s="13" customFormat="1" ht="90" x14ac:dyDescent="0.2">
      <c r="A49" s="14">
        <v>33</v>
      </c>
      <c r="B49" s="8">
        <v>400041201</v>
      </c>
      <c r="C49" s="8" t="s">
        <v>1447</v>
      </c>
      <c r="D49" s="4" t="str">
        <f t="shared" ref="D49:D80" si="5">CONCATENATE(B49,C49)</f>
        <v>400041201A</v>
      </c>
      <c r="E49" s="309" t="str">
        <f>VLOOKUP($B49,'D7 - NDB Impacted SPRF''s'!$E$6:$O$9929,2,FALSE)</f>
        <v>Addition of NPI to NDB and COSMOS Provider Pick</v>
      </c>
      <c r="F49" s="8"/>
      <c r="G49" s="8" t="s">
        <v>7980</v>
      </c>
      <c r="H49" s="8" t="s">
        <v>1606</v>
      </c>
      <c r="I49" s="20">
        <v>100.78</v>
      </c>
      <c r="J49" s="8" t="s">
        <v>4862</v>
      </c>
      <c r="K49" s="182">
        <v>41412</v>
      </c>
      <c r="L49" s="8" t="s">
        <v>4156</v>
      </c>
      <c r="M49" s="8" t="s">
        <v>2814</v>
      </c>
      <c r="N49" s="38" t="s">
        <v>9061</v>
      </c>
      <c r="O49" s="8"/>
      <c r="P49" s="4" t="str">
        <f>VLOOKUP($B49,'D7 - NDB Impacted SPRF''s'!$E$16:$O$9929,9,FALSE)</f>
        <v>Y</v>
      </c>
      <c r="Q49" s="4" t="str">
        <f>VLOOKUP($B49,'D7 - NDB Impacted SPRF''s'!$E$16:$O$9929,10,FALSE)</f>
        <v>N</v>
      </c>
      <c r="R49" s="4" t="str">
        <f>VLOOKUP($B49,'D7 - NDB Impacted SPRF''s'!$E$16:$O$9929,11,FALSE)</f>
        <v>N</v>
      </c>
      <c r="S49" s="8"/>
      <c r="T49" s="310"/>
      <c r="U49" s="310"/>
      <c r="V49" s="4"/>
      <c r="W49" s="4"/>
      <c r="X49" s="4"/>
      <c r="Y49" s="4"/>
      <c r="Z49" s="4"/>
      <c r="AA49" s="4"/>
      <c r="AB49" s="380" t="str">
        <f>VLOOKUP($B49,'D7 - NDB Impacted SPRF''s'!$E$6:$O$9929,4,FALSE)</f>
        <v>Scheduled</v>
      </c>
      <c r="AC49" s="380" t="str">
        <f>VLOOKUP($B49,'D7 - NDB Impacted SPRF''s'!$E$6:$O$9929,3,FALSE)</f>
        <v>UnitedHealthcare Employer &amp; Individual</v>
      </c>
      <c r="AD49" s="380" t="str">
        <f>VLOOKUP($B49,'D7 - NDB Impacted SPRF''s'!$E$6:$O$9929,5,FALSE)</f>
        <v>Regulatory / Other</v>
      </c>
      <c r="AE49" s="380" t="str">
        <f>VLOOKUP($B49,'D7 - NDB Impacted SPRF''s'!$E$6:$O$9929,7,FALSE)</f>
        <v>Tim Kaja</v>
      </c>
      <c r="AF49" s="380" t="str">
        <f>VLOOKUP($B49,'D7 - NDB Impacted SPRF''s'!$E$6:$O$9929,6,FALSE)</f>
        <v>LUND ROSS</v>
      </c>
      <c r="AG49" s="282"/>
      <c r="AH49" s="311" t="str">
        <f>INDEX('D5 - Gatekeeper - Projects'!$A$4:$AF$1010,$AM49, 17)</f>
        <v>C. Chen</v>
      </c>
      <c r="AI49" s="8"/>
      <c r="AJ49" s="57"/>
      <c r="AK49" s="105"/>
      <c r="AM49" s="6">
        <f>MATCH(D49,'D5 - Gatekeeper - Projects'!$C$4:$C$1010,0)</f>
        <v>40</v>
      </c>
      <c r="AN49" s="6" t="b">
        <f t="shared" si="1"/>
        <v>0</v>
      </c>
      <c r="AO49" s="6" t="str">
        <f t="shared" ref="AO49:AO80" si="6">IF(AND(H49="1 - Scheduled",AN49=TRUE),"Add","OK")</f>
        <v>OK</v>
      </c>
      <c r="AQ49" s="6" t="e">
        <f>MATCH($D49,'D4 - Provider Council Unsched'!$C$11:$C$234,0)</f>
        <v>#N/A</v>
      </c>
      <c r="AR49" s="6" t="b">
        <f t="shared" si="3"/>
        <v>1</v>
      </c>
      <c r="AS49" s="6" t="str">
        <f t="shared" ref="AS49:AS80" si="7">IF(AND(H49="2 - Not Scheduled",AR49=TRUE,C49="R1"),"Add","OK")</f>
        <v>OK</v>
      </c>
      <c r="AU49" s="202">
        <v>40735</v>
      </c>
      <c r="AV49" s="6" t="s">
        <v>465</v>
      </c>
      <c r="AW49" s="274">
        <v>31023</v>
      </c>
    </row>
    <row r="50" spans="1:49" s="13" customFormat="1" ht="33.75" x14ac:dyDescent="0.2">
      <c r="A50" s="14">
        <v>34</v>
      </c>
      <c r="B50" s="8">
        <v>400041201</v>
      </c>
      <c r="C50" s="8" t="s">
        <v>8138</v>
      </c>
      <c r="D50" s="4" t="str">
        <f t="shared" si="5"/>
        <v>400041201UA</v>
      </c>
      <c r="E50" s="309" t="str">
        <f>VLOOKUP($B50,'D7 - NDB Impacted SPRF''s'!$E$6:$O$9929,2,FALSE)</f>
        <v>Addition of NPI to NDB and COSMOS Provider Pick</v>
      </c>
      <c r="F50" s="8"/>
      <c r="G50" s="8" t="s">
        <v>7980</v>
      </c>
      <c r="H50" s="8" t="s">
        <v>1606</v>
      </c>
      <c r="I50" s="20">
        <v>1.43</v>
      </c>
      <c r="J50" s="8" t="s">
        <v>4862</v>
      </c>
      <c r="K50" s="182">
        <v>41412</v>
      </c>
      <c r="L50" s="8" t="s">
        <v>4156</v>
      </c>
      <c r="M50" s="8" t="s">
        <v>2814</v>
      </c>
      <c r="N50" s="38" t="s">
        <v>3918</v>
      </c>
      <c r="O50" s="8"/>
      <c r="P50" s="4" t="str">
        <f>VLOOKUP($B50,'D7 - NDB Impacted SPRF''s'!$E$16:$O$9929,9,FALSE)</f>
        <v>Y</v>
      </c>
      <c r="Q50" s="4" t="str">
        <f>VLOOKUP($B50,'D7 - NDB Impacted SPRF''s'!$E$16:$O$9929,10,FALSE)</f>
        <v>N</v>
      </c>
      <c r="R50" s="4" t="str">
        <f>VLOOKUP($B50,'D7 - NDB Impacted SPRF''s'!$E$16:$O$9929,11,FALSE)</f>
        <v>N</v>
      </c>
      <c r="S50" s="8"/>
      <c r="T50" s="310"/>
      <c r="U50" s="310"/>
      <c r="V50" s="4"/>
      <c r="W50" s="4"/>
      <c r="X50" s="4"/>
      <c r="Y50" s="4"/>
      <c r="Z50" s="4"/>
      <c r="AA50" s="4"/>
      <c r="AB50" s="380" t="str">
        <f>VLOOKUP($B50,'D7 - NDB Impacted SPRF''s'!$E$6:$O$9929,4,FALSE)</f>
        <v>Scheduled</v>
      </c>
      <c r="AC50" s="380" t="str">
        <f>VLOOKUP($B50,'D7 - NDB Impacted SPRF''s'!$E$6:$O$9929,3,FALSE)</f>
        <v>UnitedHealthcare Employer &amp; Individual</v>
      </c>
      <c r="AD50" s="380" t="str">
        <f>VLOOKUP($B50,'D7 - NDB Impacted SPRF''s'!$E$6:$O$9929,5,FALSE)</f>
        <v>Regulatory / Other</v>
      </c>
      <c r="AE50" s="380" t="str">
        <f>VLOOKUP($B50,'D7 - NDB Impacted SPRF''s'!$E$6:$O$9929,7,FALSE)</f>
        <v>Tim Kaja</v>
      </c>
      <c r="AF50" s="380" t="str">
        <f>VLOOKUP($B50,'D7 - NDB Impacted SPRF''s'!$E$6:$O$9929,6,FALSE)</f>
        <v>LUND ROSS</v>
      </c>
      <c r="AG50" s="282"/>
      <c r="AH50" s="311" t="str">
        <f>INDEX('D5 - Gatekeeper - Projects'!$A$4:$AF$1010,$AM50, 17)</f>
        <v>C. Chen</v>
      </c>
      <c r="AI50" s="8"/>
      <c r="AJ50" s="57"/>
      <c r="AK50" s="105"/>
      <c r="AM50" s="6">
        <f>MATCH(D50,'D5 - Gatekeeper - Projects'!$C$4:$C$1010,0)</f>
        <v>41</v>
      </c>
      <c r="AN50" s="6" t="b">
        <f t="shared" si="1"/>
        <v>0</v>
      </c>
      <c r="AO50" s="6" t="str">
        <f t="shared" si="6"/>
        <v>OK</v>
      </c>
      <c r="AQ50" s="6" t="e">
        <f>MATCH($D50,'D4 - Provider Council Unsched'!$C$11:$C$234,0)</f>
        <v>#N/A</v>
      </c>
      <c r="AR50" s="6" t="b">
        <f t="shared" si="3"/>
        <v>1</v>
      </c>
      <c r="AS50" s="6" t="str">
        <f t="shared" si="7"/>
        <v>OK</v>
      </c>
      <c r="AU50" s="202">
        <v>41298</v>
      </c>
      <c r="AV50" s="6" t="s">
        <v>465</v>
      </c>
      <c r="AW50" s="274">
        <v>31023</v>
      </c>
    </row>
    <row r="51" spans="1:49" s="13" customFormat="1" ht="22.5" x14ac:dyDescent="0.2">
      <c r="A51" s="14">
        <v>35</v>
      </c>
      <c r="B51" s="8">
        <v>400041452</v>
      </c>
      <c r="C51" s="8" t="s">
        <v>2331</v>
      </c>
      <c r="D51" s="4" t="str">
        <f t="shared" si="5"/>
        <v>400041452I</v>
      </c>
      <c r="E51" s="309" t="str">
        <f>VLOOKUP($B51,'D7 - NDB Impacted SPRF''s'!$E$6:$O$9929,2,FALSE)</f>
        <v>Cont CDB Core Processing: Inc View Cutovers</v>
      </c>
      <c r="F51" s="8"/>
      <c r="G51" s="8" t="s">
        <v>7980</v>
      </c>
      <c r="H51" s="8" t="s">
        <v>1606</v>
      </c>
      <c r="I51" s="20">
        <v>0.21</v>
      </c>
      <c r="J51" s="8" t="s">
        <v>4862</v>
      </c>
      <c r="K51" s="182">
        <v>41412</v>
      </c>
      <c r="L51" s="8" t="s">
        <v>4156</v>
      </c>
      <c r="M51" s="8" t="s">
        <v>5626</v>
      </c>
      <c r="N51" s="38" t="s">
        <v>842</v>
      </c>
      <c r="O51" s="8"/>
      <c r="P51" s="4" t="str">
        <f>VLOOKUP($B51,'D7 - NDB Impacted SPRF''s'!$E$16:$O$9929,9,FALSE)</f>
        <v>Y</v>
      </c>
      <c r="Q51" s="4" t="str">
        <f>VLOOKUP($B51,'D7 - NDB Impacted SPRF''s'!$E$16:$O$9929,10,FALSE)</f>
        <v>N</v>
      </c>
      <c r="R51" s="4" t="str">
        <f>VLOOKUP($B51,'D7 - NDB Impacted SPRF''s'!$E$16:$O$9929,11,FALSE)</f>
        <v>N</v>
      </c>
      <c r="S51" s="8"/>
      <c r="T51" s="310"/>
      <c r="U51" s="310"/>
      <c r="V51" s="4"/>
      <c r="W51" s="4"/>
      <c r="X51" s="4"/>
      <c r="Y51" s="4"/>
      <c r="Z51" s="4"/>
      <c r="AA51" s="4"/>
      <c r="AB51" s="380" t="str">
        <f>VLOOKUP($B51,'D7 - NDB Impacted SPRF''s'!$E$6:$O$9929,4,FALSE)</f>
        <v>Scheduled</v>
      </c>
      <c r="AC51" s="380" t="str">
        <f>VLOOKUP($B51,'D7 - NDB Impacted SPRF''s'!$E$6:$O$9929,3,FALSE)</f>
        <v>UHG IT - Shared Services</v>
      </c>
      <c r="AD51" s="380" t="str">
        <f>VLOOKUP($B51,'D7 - NDB Impacted SPRF''s'!$E$6:$O$9929,5,FALSE)</f>
        <v>Strategic Initiatives</v>
      </c>
      <c r="AE51" s="380" t="str">
        <f>VLOOKUP($B51,'D7 - NDB Impacted SPRF''s'!$E$6:$O$9929,7,FALSE)</f>
        <v>Patrick Casey</v>
      </c>
      <c r="AF51" s="380" t="str">
        <f>VLOOKUP($B51,'D7 - NDB Impacted SPRF''s'!$E$6:$O$9929,6,FALSE)</f>
        <v>DIANE KOWAL</v>
      </c>
      <c r="AG51" s="282"/>
      <c r="AH51" s="311" t="str">
        <f>INDEX('D5 - Gatekeeper - Projects'!$A$4:$AF$1010,$AM51, 17)</f>
        <v>T. Kester</v>
      </c>
      <c r="AI51" s="8"/>
      <c r="AJ51" s="57"/>
      <c r="AK51" s="105"/>
      <c r="AM51" s="6">
        <f>MATCH(D51,'D5 - Gatekeeper - Projects'!$C$4:$C$1010,0)</f>
        <v>42</v>
      </c>
      <c r="AN51" s="6" t="b">
        <f t="shared" si="1"/>
        <v>0</v>
      </c>
      <c r="AO51" s="6" t="str">
        <f t="shared" si="6"/>
        <v>OK</v>
      </c>
      <c r="AQ51" s="6" t="e">
        <f>MATCH($D51,'D4 - Provider Council Unsched'!$C$11:$C$234,0)</f>
        <v>#N/A</v>
      </c>
      <c r="AR51" s="6" t="b">
        <f t="shared" si="3"/>
        <v>1</v>
      </c>
      <c r="AS51" s="6" t="str">
        <f t="shared" si="7"/>
        <v>OK</v>
      </c>
      <c r="AU51" s="202">
        <v>41587</v>
      </c>
      <c r="AV51" s="6" t="s">
        <v>2309</v>
      </c>
      <c r="AW51" s="274">
        <v>48936</v>
      </c>
    </row>
    <row r="52" spans="1:49" s="13" customFormat="1" ht="45" x14ac:dyDescent="0.2">
      <c r="A52" s="14">
        <v>36</v>
      </c>
      <c r="B52" s="8">
        <v>400041737</v>
      </c>
      <c r="C52" s="8" t="s">
        <v>9139</v>
      </c>
      <c r="D52" s="4" t="str">
        <f t="shared" si="5"/>
        <v>400041737M</v>
      </c>
      <c r="E52" s="309" t="str">
        <f>VLOOKUP($B52,'D7 - NDB Impacted SPRF''s'!$E$6:$O$9929,2,FALSE)</f>
        <v>ICD10- Field Expansion- UHC EI</v>
      </c>
      <c r="F52" s="8"/>
      <c r="G52" s="8" t="s">
        <v>7980</v>
      </c>
      <c r="H52" s="8" t="s">
        <v>1606</v>
      </c>
      <c r="I52" s="20">
        <v>7.0000000000000007E-2</v>
      </c>
      <c r="J52" s="8" t="s">
        <v>4862</v>
      </c>
      <c r="K52" s="182">
        <v>41412</v>
      </c>
      <c r="L52" s="8" t="s">
        <v>4156</v>
      </c>
      <c r="M52" s="8" t="s">
        <v>5626</v>
      </c>
      <c r="N52" s="38" t="s">
        <v>9520</v>
      </c>
      <c r="O52" s="8"/>
      <c r="P52" s="4" t="str">
        <f>VLOOKUP($B52,'D7 - NDB Impacted SPRF''s'!$E$16:$O$9929,9,FALSE)</f>
        <v>Y</v>
      </c>
      <c r="Q52" s="4" t="str">
        <f>VLOOKUP($B52,'D7 - NDB Impacted SPRF''s'!$E$16:$O$9929,10,FALSE)</f>
        <v>N</v>
      </c>
      <c r="R52" s="4" t="str">
        <f>VLOOKUP($B52,'D7 - NDB Impacted SPRF''s'!$E$16:$O$9929,11,FALSE)</f>
        <v>Y</v>
      </c>
      <c r="S52" s="8"/>
      <c r="T52" s="310"/>
      <c r="U52" s="310"/>
      <c r="V52" s="4"/>
      <c r="W52" s="4"/>
      <c r="X52" s="4"/>
      <c r="Y52" s="4"/>
      <c r="Z52" s="4"/>
      <c r="AA52" s="4"/>
      <c r="AB52" s="380" t="str">
        <f>VLOOKUP($B52,'D7 - NDB Impacted SPRF''s'!$E$6:$O$9929,4,FALSE)</f>
        <v>Scheduled</v>
      </c>
      <c r="AC52" s="380" t="str">
        <f>VLOOKUP($B52,'D7 - NDB Impacted SPRF''s'!$E$6:$O$9929,3,FALSE)</f>
        <v>UnitedHealthcare Employer &amp; Individual</v>
      </c>
      <c r="AD52" s="380" t="str">
        <f>VLOOKUP($B52,'D7 - NDB Impacted SPRF''s'!$E$6:$O$9929,5,FALSE)</f>
        <v>Regulatory / Other</v>
      </c>
      <c r="AE52" s="380" t="str">
        <f>VLOOKUP($B52,'D7 - NDB Impacted SPRF''s'!$E$6:$O$9929,7,FALSE)</f>
        <v>Tim Kaja</v>
      </c>
      <c r="AF52" s="380" t="str">
        <f>VLOOKUP($B52,'D7 - NDB Impacted SPRF''s'!$E$6:$O$9929,6,FALSE)</f>
        <v>Delvis Schilling</v>
      </c>
      <c r="AG52" s="282"/>
      <c r="AH52" s="311" t="str">
        <f>INDEX('D5 - Gatekeeper - Projects'!$A$4:$AF$1010,$AM52, 17)</f>
        <v>T. Kester</v>
      </c>
      <c r="AI52" s="8"/>
      <c r="AJ52" s="57"/>
      <c r="AK52" s="105"/>
      <c r="AM52" s="6">
        <f>MATCH(D52,'D5 - Gatekeeper - Projects'!$C$4:$C$1010,0)</f>
        <v>43</v>
      </c>
      <c r="AN52" s="6" t="b">
        <f t="shared" si="1"/>
        <v>0</v>
      </c>
      <c r="AO52" s="6" t="str">
        <f t="shared" si="6"/>
        <v>OK</v>
      </c>
      <c r="AQ52" s="6" t="e">
        <f>MATCH($D52,'D4 - Provider Council Unsched'!$C$11:$C$234,0)</f>
        <v>#N/A</v>
      </c>
      <c r="AR52" s="6" t="b">
        <f t="shared" si="3"/>
        <v>1</v>
      </c>
      <c r="AS52" s="6" t="str">
        <f t="shared" si="7"/>
        <v>OK</v>
      </c>
      <c r="AU52" s="202">
        <v>41354</v>
      </c>
      <c r="AV52" s="6" t="s">
        <v>2299</v>
      </c>
      <c r="AW52" s="274">
        <v>50696</v>
      </c>
    </row>
    <row r="53" spans="1:49" s="13" customFormat="1" ht="33.75" x14ac:dyDescent="0.2">
      <c r="A53" s="14">
        <v>37</v>
      </c>
      <c r="B53" s="14">
        <v>400046041</v>
      </c>
      <c r="C53" s="8" t="s">
        <v>1447</v>
      </c>
      <c r="D53" s="4" t="str">
        <f t="shared" si="5"/>
        <v>400046041A</v>
      </c>
      <c r="E53" s="309" t="str">
        <f>VLOOKUP($B53,'D7 - NDB Impacted SPRF''s'!$E$6:$O$9929,2,FALSE)</f>
        <v>Change NICE denial logic to store @the line level</v>
      </c>
      <c r="F53" s="8"/>
      <c r="G53" s="8" t="s">
        <v>7980</v>
      </c>
      <c r="H53" s="8" t="s">
        <v>1606</v>
      </c>
      <c r="I53" s="20">
        <v>7.0000000000000007E-2</v>
      </c>
      <c r="J53" s="8" t="s">
        <v>4862</v>
      </c>
      <c r="K53" s="182">
        <v>41412</v>
      </c>
      <c r="L53" s="8" t="s">
        <v>4156</v>
      </c>
      <c r="M53" s="8" t="s">
        <v>5626</v>
      </c>
      <c r="N53" s="38" t="s">
        <v>847</v>
      </c>
      <c r="O53" s="8"/>
      <c r="P53" s="4" t="str">
        <f>VLOOKUP($B53,'D7 - NDB Impacted SPRF''s'!$E$16:$O$9929,9,FALSE)</f>
        <v>N</v>
      </c>
      <c r="Q53" s="4" t="str">
        <f>VLOOKUP($B53,'D7 - NDB Impacted SPRF''s'!$E$16:$O$9929,10,FALSE)</f>
        <v>N</v>
      </c>
      <c r="R53" s="4" t="str">
        <f>VLOOKUP($B53,'D7 - NDB Impacted SPRF''s'!$E$16:$O$9929,11,FALSE)</f>
        <v>Y</v>
      </c>
      <c r="S53" s="8"/>
      <c r="T53" s="310"/>
      <c r="U53" s="310"/>
      <c r="V53" s="4"/>
      <c r="W53" s="4"/>
      <c r="X53" s="4"/>
      <c r="Y53" s="4"/>
      <c r="Z53" s="4"/>
      <c r="AA53" s="4"/>
      <c r="AB53" s="380" t="str">
        <f>VLOOKUP($B53,'D7 - NDB Impacted SPRF''s'!$E$6:$O$9929,4,FALSE)</f>
        <v>In Strategy Council</v>
      </c>
      <c r="AC53" s="380" t="str">
        <f>VLOOKUP($B53,'D7 - NDB Impacted SPRF''s'!$E$6:$O$9929,3,FALSE)</f>
        <v>UnitedHealthcare Employer &amp; Individual</v>
      </c>
      <c r="AD53" s="380" t="str">
        <f>VLOOKUP($B53,'D7 - NDB Impacted SPRF''s'!$E$6:$O$9929,5,FALSE)</f>
        <v>Process Improvement</v>
      </c>
      <c r="AE53" s="380" t="str">
        <f>VLOOKUP($B53,'D7 - NDB Impacted SPRF''s'!$E$6:$O$9929,7,FALSE)</f>
        <v>Padraig Monghan</v>
      </c>
      <c r="AF53" s="380" t="str">
        <f>VLOOKUP($B53,'D7 - NDB Impacted SPRF''s'!$E$6:$O$9929,6,FALSE)</f>
        <v>Janet Thullen</v>
      </c>
      <c r="AG53" s="282"/>
      <c r="AH53" s="311" t="str">
        <f>INDEX('D5 - Gatekeeper - Projects'!$A$4:$AF$1010,$AM53, 17)</f>
        <v>T. Kester</v>
      </c>
      <c r="AI53" s="8"/>
      <c r="AJ53" s="57"/>
      <c r="AK53" s="105"/>
      <c r="AM53" s="6">
        <f>MATCH(D53,'D5 - Gatekeeper - Projects'!$C$4:$C$1010,0)</f>
        <v>44</v>
      </c>
      <c r="AN53" s="6" t="b">
        <f t="shared" si="1"/>
        <v>0</v>
      </c>
      <c r="AO53" s="6" t="str">
        <f t="shared" si="6"/>
        <v>OK</v>
      </c>
      <c r="AQ53" s="6" t="e">
        <f>MATCH($D53,'D4 - Provider Council Unsched'!$C$11:$C$234,0)</f>
        <v>#N/A</v>
      </c>
      <c r="AR53" s="6" t="b">
        <f t="shared" si="3"/>
        <v>1</v>
      </c>
      <c r="AS53" s="6" t="str">
        <f t="shared" si="7"/>
        <v>OK</v>
      </c>
      <c r="AU53" s="202">
        <v>41278</v>
      </c>
      <c r="AV53" s="6" t="s">
        <v>848</v>
      </c>
      <c r="AW53" s="274"/>
    </row>
    <row r="54" spans="1:49" s="13" customFormat="1" ht="45" x14ac:dyDescent="0.2">
      <c r="A54" s="14">
        <v>38</v>
      </c>
      <c r="B54" s="8">
        <v>400046131</v>
      </c>
      <c r="C54" s="8" t="s">
        <v>7290</v>
      </c>
      <c r="D54" s="4" t="str">
        <f t="shared" si="5"/>
        <v>400046131B</v>
      </c>
      <c r="E54" s="309" t="str">
        <f>VLOOKUP($B54,'D7 - NDB Impacted SPRF''s'!$E$6:$O$9929,2,FALSE)</f>
        <v>DME – Competitive Bidding Process</v>
      </c>
      <c r="F54" s="8"/>
      <c r="G54" s="8" t="s">
        <v>7980</v>
      </c>
      <c r="H54" s="8" t="s">
        <v>1606</v>
      </c>
      <c r="I54" s="20">
        <v>2.62</v>
      </c>
      <c r="J54" s="8" t="s">
        <v>4862</v>
      </c>
      <c r="K54" s="182">
        <v>41412</v>
      </c>
      <c r="L54" s="8" t="s">
        <v>4156</v>
      </c>
      <c r="M54" s="8" t="s">
        <v>5626</v>
      </c>
      <c r="N54" s="38" t="s">
        <v>9203</v>
      </c>
      <c r="O54" s="8"/>
      <c r="P54" s="4" t="str">
        <f>VLOOKUP($B54,'D7 - NDB Impacted SPRF''s'!$E$16:$O$9929,9,FALSE)</f>
        <v>Y</v>
      </c>
      <c r="Q54" s="4" t="str">
        <f>VLOOKUP($B54,'D7 - NDB Impacted SPRF''s'!$E$16:$O$9929,10,FALSE)</f>
        <v>N</v>
      </c>
      <c r="R54" s="4" t="str">
        <f>VLOOKUP($B54,'D7 - NDB Impacted SPRF''s'!$E$16:$O$9929,11,FALSE)</f>
        <v>N</v>
      </c>
      <c r="S54" s="8"/>
      <c r="T54" s="310"/>
      <c r="U54" s="310"/>
      <c r="V54" s="4"/>
      <c r="W54" s="4"/>
      <c r="X54" s="4"/>
      <c r="Y54" s="4"/>
      <c r="Z54" s="4"/>
      <c r="AA54" s="4"/>
      <c r="AB54" s="380" t="str">
        <f>VLOOKUP($B54,'D7 - NDB Impacted SPRF''s'!$E$6:$O$9929,4,FALSE)</f>
        <v>Scheduled</v>
      </c>
      <c r="AC54" s="380" t="str">
        <f>VLOOKUP($B54,'D7 - NDB Impacted SPRF''s'!$E$6:$O$9929,3,FALSE)</f>
        <v>UnitedHealthcare Medicare &amp; Retirement</v>
      </c>
      <c r="AD54" s="380" t="str">
        <f>VLOOKUP($B54,'D7 - NDB Impacted SPRF''s'!$E$6:$O$9929,5,FALSE)</f>
        <v>Medical Cost Savings Programs</v>
      </c>
      <c r="AE54" s="380" t="str">
        <f>VLOOKUP($B54,'D7 - NDB Impacted SPRF''s'!$E$6:$O$9929,7,FALSE)</f>
        <v>Susan Gamache</v>
      </c>
      <c r="AF54" s="380" t="str">
        <f>VLOOKUP($B54,'D7 - NDB Impacted SPRF''s'!$E$6:$O$9929,6,FALSE)</f>
        <v>Brian Schimke</v>
      </c>
      <c r="AG54" s="282"/>
      <c r="AH54" s="311" t="str">
        <f>INDEX('D5 - Gatekeeper - Projects'!$A$4:$AF$1010,$AM54, 17)</f>
        <v>T. Kester</v>
      </c>
      <c r="AI54" s="8"/>
      <c r="AJ54" s="57"/>
      <c r="AK54" s="105"/>
      <c r="AM54" s="6">
        <f>MATCH(D54,'D5 - Gatekeeper - Projects'!$C$4:$C$1010,0)</f>
        <v>45</v>
      </c>
      <c r="AN54" s="6" t="b">
        <f t="shared" si="1"/>
        <v>0</v>
      </c>
      <c r="AO54" s="6" t="str">
        <f t="shared" si="6"/>
        <v>OK</v>
      </c>
      <c r="AQ54" s="6" t="e">
        <f>MATCH($D54,'D4 - Provider Council Unsched'!$C$11:$C$234,0)</f>
        <v>#N/A</v>
      </c>
      <c r="AR54" s="6" t="b">
        <f t="shared" si="3"/>
        <v>1</v>
      </c>
      <c r="AS54" s="6" t="str">
        <f t="shared" si="7"/>
        <v>OK</v>
      </c>
      <c r="AU54" s="202">
        <v>41354</v>
      </c>
      <c r="AV54" s="6" t="s">
        <v>935</v>
      </c>
      <c r="AW54" s="274">
        <v>45684</v>
      </c>
    </row>
    <row r="55" spans="1:49" s="13" customFormat="1" ht="67.5" x14ac:dyDescent="0.2">
      <c r="A55" s="14">
        <v>39</v>
      </c>
      <c r="B55" s="8">
        <v>400046616</v>
      </c>
      <c r="C55" s="8" t="s">
        <v>7290</v>
      </c>
      <c r="D55" s="4" t="str">
        <f t="shared" si="5"/>
        <v>400046616B</v>
      </c>
      <c r="E55" s="309" t="str">
        <f>VLOOKUP($B55,'D7 - NDB Impacted SPRF''s'!$E$6:$O$9929,2,FALSE)</f>
        <v>New Jersey CSP Facets Migration</v>
      </c>
      <c r="F55" s="8"/>
      <c r="G55" s="8" t="s">
        <v>7980</v>
      </c>
      <c r="H55" s="8" t="s">
        <v>1606</v>
      </c>
      <c r="I55" s="20">
        <v>5.71</v>
      </c>
      <c r="J55" s="8" t="s">
        <v>4862</v>
      </c>
      <c r="K55" s="182">
        <v>41412</v>
      </c>
      <c r="L55" s="8" t="s">
        <v>4156</v>
      </c>
      <c r="M55" s="8" t="s">
        <v>2814</v>
      </c>
      <c r="N55" s="38" t="s">
        <v>8246</v>
      </c>
      <c r="O55" s="8"/>
      <c r="P55" s="4" t="str">
        <f>VLOOKUP($B55,'D7 - NDB Impacted SPRF''s'!$E$16:$O$9929,9,FALSE)</f>
        <v>N</v>
      </c>
      <c r="Q55" s="4" t="str">
        <f>VLOOKUP($B55,'D7 - NDB Impacted SPRF''s'!$E$16:$O$9929,10,FALSE)</f>
        <v>N</v>
      </c>
      <c r="R55" s="4" t="str">
        <f>VLOOKUP($B55,'D7 - NDB Impacted SPRF''s'!$E$16:$O$9929,11,FALSE)</f>
        <v>Y</v>
      </c>
      <c r="S55" s="8"/>
      <c r="T55" s="310"/>
      <c r="U55" s="310"/>
      <c r="V55" s="4"/>
      <c r="W55" s="4"/>
      <c r="X55" s="4"/>
      <c r="Y55" s="4"/>
      <c r="Z55" s="4"/>
      <c r="AA55" s="4"/>
      <c r="AB55" s="380" t="str">
        <f>VLOOKUP($B55,'D7 - NDB Impacted SPRF''s'!$E$6:$O$9929,4,FALSE)</f>
        <v>Scheduled</v>
      </c>
      <c r="AC55" s="380" t="str">
        <f>VLOOKUP($B55,'D7 - NDB Impacted SPRF''s'!$E$6:$O$9929,3,FALSE)</f>
        <v>UnitedHealthcare Community &amp; State</v>
      </c>
      <c r="AD55" s="380" t="str">
        <f>VLOOKUP($B55,'D7 - NDB Impacted SPRF''s'!$E$6:$O$9929,5,FALSE)</f>
        <v>Integration Requirements</v>
      </c>
      <c r="AE55" s="380" t="str">
        <f>VLOOKUP($B55,'D7 - NDB Impacted SPRF''s'!$E$6:$O$9929,7,FALSE)</f>
        <v>Chris Scherer</v>
      </c>
      <c r="AF55" s="380" t="str">
        <f>VLOOKUP($B55,'D7 - NDB Impacted SPRF''s'!$E$6:$O$9929,6,FALSE)</f>
        <v>Dawn Ramos</v>
      </c>
      <c r="AG55" s="282"/>
      <c r="AH55" s="311" t="str">
        <f>INDEX('D5 - Gatekeeper - Projects'!$A$4:$AF$1010,$AM55, 17)</f>
        <v>D. Bajpai</v>
      </c>
      <c r="AI55" s="8"/>
      <c r="AJ55" s="57"/>
      <c r="AK55" s="105"/>
      <c r="AM55" s="6">
        <f>MATCH(D55,'D5 - Gatekeeper - Projects'!$C$4:$C$1010,0)</f>
        <v>46</v>
      </c>
      <c r="AN55" s="6" t="b">
        <f t="shared" si="1"/>
        <v>0</v>
      </c>
      <c r="AO55" s="6" t="str">
        <f t="shared" si="6"/>
        <v>OK</v>
      </c>
      <c r="AQ55" s="6" t="e">
        <f>MATCH($D55,'D4 - Provider Council Unsched'!$C$11:$C$234,0)</f>
        <v>#N/A</v>
      </c>
      <c r="AR55" s="6" t="b">
        <f t="shared" si="3"/>
        <v>1</v>
      </c>
      <c r="AS55" s="6" t="str">
        <f t="shared" si="7"/>
        <v>OK</v>
      </c>
      <c r="AU55" s="202"/>
      <c r="AV55" s="6" t="s">
        <v>1089</v>
      </c>
      <c r="AW55" s="274">
        <v>46552</v>
      </c>
    </row>
    <row r="56" spans="1:49" s="13" customFormat="1" ht="33.75" x14ac:dyDescent="0.2">
      <c r="A56" s="14">
        <v>40</v>
      </c>
      <c r="B56" s="8">
        <v>400046616</v>
      </c>
      <c r="C56" s="8" t="s">
        <v>7289</v>
      </c>
      <c r="D56" s="4" t="str">
        <f t="shared" si="5"/>
        <v>400046616D</v>
      </c>
      <c r="E56" s="309" t="str">
        <f>VLOOKUP($B56,'D7 - NDB Impacted SPRF''s'!$E$6:$O$9929,2,FALSE)</f>
        <v>New Jersey CSP Facets Migration</v>
      </c>
      <c r="F56" s="8"/>
      <c r="G56" s="8" t="s">
        <v>7980</v>
      </c>
      <c r="H56" s="8" t="s">
        <v>1606</v>
      </c>
      <c r="I56" s="20">
        <v>0.93</v>
      </c>
      <c r="J56" s="8" t="s">
        <v>4862</v>
      </c>
      <c r="K56" s="182">
        <v>41412</v>
      </c>
      <c r="L56" s="8" t="s">
        <v>4156</v>
      </c>
      <c r="M56" s="8" t="s">
        <v>3598</v>
      </c>
      <c r="N56" s="38" t="s">
        <v>9452</v>
      </c>
      <c r="O56" s="8"/>
      <c r="P56" s="4" t="str">
        <f>VLOOKUP($B56,'D7 - NDB Impacted SPRF''s'!$E$16:$O$9929,9,FALSE)</f>
        <v>N</v>
      </c>
      <c r="Q56" s="4" t="str">
        <f>VLOOKUP($B56,'D7 - NDB Impacted SPRF''s'!$E$16:$O$9929,10,FALSE)</f>
        <v>N</v>
      </c>
      <c r="R56" s="4" t="str">
        <f>VLOOKUP($B56,'D7 - NDB Impacted SPRF''s'!$E$16:$O$9929,11,FALSE)</f>
        <v>Y</v>
      </c>
      <c r="S56" s="8"/>
      <c r="T56" s="310"/>
      <c r="U56" s="310"/>
      <c r="V56" s="4"/>
      <c r="W56" s="4"/>
      <c r="X56" s="4"/>
      <c r="Y56" s="4"/>
      <c r="Z56" s="4"/>
      <c r="AA56" s="4"/>
      <c r="AB56" s="380" t="str">
        <f>VLOOKUP($B56,'D7 - NDB Impacted SPRF''s'!$E$6:$O$9929,4,FALSE)</f>
        <v>Scheduled</v>
      </c>
      <c r="AC56" s="380" t="str">
        <f>VLOOKUP($B56,'D7 - NDB Impacted SPRF''s'!$E$6:$O$9929,3,FALSE)</f>
        <v>UnitedHealthcare Community &amp; State</v>
      </c>
      <c r="AD56" s="380" t="str">
        <f>VLOOKUP($B56,'D7 - NDB Impacted SPRF''s'!$E$6:$O$9929,5,FALSE)</f>
        <v>Integration Requirements</v>
      </c>
      <c r="AE56" s="380" t="str">
        <f>VLOOKUP($B56,'D7 - NDB Impacted SPRF''s'!$E$6:$O$9929,7,FALSE)</f>
        <v>Chris Scherer</v>
      </c>
      <c r="AF56" s="380" t="str">
        <f>VLOOKUP($B56,'D7 - NDB Impacted SPRF''s'!$E$6:$O$9929,6,FALSE)</f>
        <v>Dawn Ramos</v>
      </c>
      <c r="AG56" s="282"/>
      <c r="AH56" s="311" t="str">
        <f>INDEX('D5 - Gatekeeper - Projects'!$A$4:$AF$1010,$AM56, 17)</f>
        <v>D. Bajpai</v>
      </c>
      <c r="AI56" s="8"/>
      <c r="AJ56" s="57"/>
      <c r="AK56" s="105"/>
      <c r="AM56" s="6">
        <f>MATCH(D56,'D5 - Gatekeeper - Projects'!$C$4:$C$1010,0)</f>
        <v>47</v>
      </c>
      <c r="AN56" s="6" t="b">
        <f t="shared" si="1"/>
        <v>0</v>
      </c>
      <c r="AO56" s="6" t="str">
        <f t="shared" si="6"/>
        <v>OK</v>
      </c>
      <c r="AQ56" s="6" t="e">
        <f>MATCH($D56,'D4 - Provider Council Unsched'!$C$11:$C$234,0)</f>
        <v>#N/A</v>
      </c>
      <c r="AR56" s="6" t="b">
        <f t="shared" si="3"/>
        <v>1</v>
      </c>
      <c r="AS56" s="6" t="str">
        <f t="shared" si="7"/>
        <v>OK</v>
      </c>
      <c r="AU56" s="202">
        <v>41397</v>
      </c>
      <c r="AV56" s="6" t="s">
        <v>1089</v>
      </c>
      <c r="AW56" s="274">
        <v>46552</v>
      </c>
    </row>
    <row r="57" spans="1:49" s="13" customFormat="1" ht="157.5" x14ac:dyDescent="0.2">
      <c r="A57" s="14">
        <v>41</v>
      </c>
      <c r="B57" s="8">
        <v>400047477</v>
      </c>
      <c r="C57" s="8" t="s">
        <v>7290</v>
      </c>
      <c r="D57" s="4" t="str">
        <f t="shared" si="5"/>
        <v>400047477B</v>
      </c>
      <c r="E57" s="309" t="str">
        <f>VLOOKUP($B57,'D7 - NDB Impacted SPRF''s'!$E$6:$O$9929,2,FALSE)</f>
        <v xml:space="preserve">ICD10 E &amp; I Compliance Release </v>
      </c>
      <c r="F57" s="8"/>
      <c r="G57" s="8" t="s">
        <v>7980</v>
      </c>
      <c r="H57" s="8" t="s">
        <v>1606</v>
      </c>
      <c r="I57" s="20">
        <v>21.2</v>
      </c>
      <c r="J57" s="8" t="s">
        <v>4862</v>
      </c>
      <c r="K57" s="182">
        <v>41412</v>
      </c>
      <c r="L57" s="8" t="s">
        <v>4156</v>
      </c>
      <c r="M57" s="8" t="s">
        <v>2814</v>
      </c>
      <c r="N57" s="38" t="s">
        <v>365</v>
      </c>
      <c r="O57" s="8"/>
      <c r="P57" s="4" t="str">
        <f>VLOOKUP($B57,'D7 - NDB Impacted SPRF''s'!$E$16:$O$9929,9,FALSE)</f>
        <v>Y</v>
      </c>
      <c r="Q57" s="4" t="str">
        <f>VLOOKUP($B57,'D7 - NDB Impacted SPRF''s'!$E$16:$O$9929,10,FALSE)</f>
        <v>N</v>
      </c>
      <c r="R57" s="4" t="str">
        <f>VLOOKUP($B57,'D7 - NDB Impacted SPRF''s'!$E$16:$O$9929,11,FALSE)</f>
        <v>Y</v>
      </c>
      <c r="S57" s="8"/>
      <c r="T57" s="310"/>
      <c r="U57" s="310"/>
      <c r="V57" s="4"/>
      <c r="W57" s="4"/>
      <c r="X57" s="4"/>
      <c r="Y57" s="4"/>
      <c r="Z57" s="4"/>
      <c r="AA57" s="4"/>
      <c r="AB57" s="380" t="str">
        <f>VLOOKUP($B57,'D7 - NDB Impacted SPRF''s'!$E$6:$O$9929,4,FALSE)</f>
        <v>Scheduled</v>
      </c>
      <c r="AC57" s="380" t="str">
        <f>VLOOKUP($B57,'D7 - NDB Impacted SPRF''s'!$E$6:$O$9929,3,FALSE)</f>
        <v>UnitedHealthcare Employer &amp; Individual</v>
      </c>
      <c r="AD57" s="380" t="str">
        <f>VLOOKUP($B57,'D7 - NDB Impacted SPRF''s'!$E$6:$O$9929,5,FALSE)</f>
        <v>Regulatory / Other</v>
      </c>
      <c r="AE57" s="380" t="str">
        <f>VLOOKUP($B57,'D7 - NDB Impacted SPRF''s'!$E$6:$O$9929,7,FALSE)</f>
        <v>Tim Kaja</v>
      </c>
      <c r="AF57" s="380" t="str">
        <f>VLOOKUP($B57,'D7 - NDB Impacted SPRF''s'!$E$6:$O$9929,6,FALSE)</f>
        <v>Delvis Schilling</v>
      </c>
      <c r="AG57" s="282"/>
      <c r="AH57" s="311" t="str">
        <f>INDEX('D5 - Gatekeeper - Projects'!$A$4:$AF$1010,$AM57, 17)</f>
        <v>J. Melendez</v>
      </c>
      <c r="AI57" s="8"/>
      <c r="AJ57" s="57"/>
      <c r="AK57" s="105"/>
      <c r="AM57" s="6">
        <f>MATCH(D57,'D5 - Gatekeeper - Projects'!$C$4:$C$1010,0)</f>
        <v>48</v>
      </c>
      <c r="AN57" s="6" t="b">
        <f t="shared" si="1"/>
        <v>0</v>
      </c>
      <c r="AO57" s="6" t="str">
        <f t="shared" si="6"/>
        <v>OK</v>
      </c>
      <c r="AQ57" s="6" t="e">
        <f>MATCH($D57,'D4 - Provider Council Unsched'!$C$11:$C$234,0)</f>
        <v>#N/A</v>
      </c>
      <c r="AR57" s="6" t="b">
        <f t="shared" si="3"/>
        <v>1</v>
      </c>
      <c r="AS57" s="6" t="str">
        <f t="shared" si="7"/>
        <v>OK</v>
      </c>
      <c r="AU57" s="202">
        <v>41033</v>
      </c>
      <c r="AV57" s="6" t="s">
        <v>2299</v>
      </c>
      <c r="AW57" s="274">
        <v>58699</v>
      </c>
    </row>
    <row r="58" spans="1:49" s="13" customFormat="1" ht="33.75" x14ac:dyDescent="0.2">
      <c r="A58" s="14">
        <v>42</v>
      </c>
      <c r="B58" s="8">
        <v>400047969</v>
      </c>
      <c r="C58" s="8" t="s">
        <v>1447</v>
      </c>
      <c r="D58" s="4" t="str">
        <f t="shared" si="5"/>
        <v>400047969A</v>
      </c>
      <c r="E58" s="309" t="str">
        <f>VLOOKUP($B58,'D7 - NDB Impacted SPRF''s'!$E$6:$O$9929,2,FALSE)</f>
        <v>ICD10 Compliance Oxford - External Exchanges</v>
      </c>
      <c r="F58" s="8"/>
      <c r="G58" s="8" t="s">
        <v>7980</v>
      </c>
      <c r="H58" s="8" t="s">
        <v>1606</v>
      </c>
      <c r="I58" s="20">
        <v>0.34</v>
      </c>
      <c r="J58" s="8" t="s">
        <v>4862</v>
      </c>
      <c r="K58" s="182">
        <v>41412</v>
      </c>
      <c r="L58" s="8" t="s">
        <v>4156</v>
      </c>
      <c r="M58" s="8" t="s">
        <v>5626</v>
      </c>
      <c r="N58" s="38"/>
      <c r="O58" s="8"/>
      <c r="P58" s="4" t="str">
        <f>VLOOKUP($B58,'D7 - NDB Impacted SPRF''s'!$E$16:$O$9929,9,FALSE)</f>
        <v>N</v>
      </c>
      <c r="Q58" s="4" t="str">
        <f>VLOOKUP($B58,'D7 - NDB Impacted SPRF''s'!$E$16:$O$9929,10,FALSE)</f>
        <v>N</v>
      </c>
      <c r="R58" s="4" t="str">
        <f>VLOOKUP($B58,'D7 - NDB Impacted SPRF''s'!$E$16:$O$9929,11,FALSE)</f>
        <v>Y</v>
      </c>
      <c r="S58" s="8"/>
      <c r="T58" s="310"/>
      <c r="U58" s="310"/>
      <c r="V58" s="4"/>
      <c r="W58" s="4"/>
      <c r="X58" s="4"/>
      <c r="Y58" s="4"/>
      <c r="Z58" s="4"/>
      <c r="AA58" s="4"/>
      <c r="AB58" s="380" t="str">
        <f>VLOOKUP($B58,'D7 - NDB Impacted SPRF''s'!$E$6:$O$9929,4,FALSE)</f>
        <v>Scheduled</v>
      </c>
      <c r="AC58" s="380" t="str">
        <f>VLOOKUP($B58,'D7 - NDB Impacted SPRF''s'!$E$6:$O$9929,3,FALSE)</f>
        <v>UnitedHealthcare Employer &amp; Individual</v>
      </c>
      <c r="AD58" s="380" t="str">
        <f>VLOOKUP($B58,'D7 - NDB Impacted SPRF''s'!$E$6:$O$9929,5,FALSE)</f>
        <v>Regulatory / Other</v>
      </c>
      <c r="AE58" s="380" t="str">
        <f>VLOOKUP($B58,'D7 - NDB Impacted SPRF''s'!$E$6:$O$9929,7,FALSE)</f>
        <v>Tim Kaja</v>
      </c>
      <c r="AF58" s="380" t="str">
        <f>VLOOKUP($B58,'D7 - NDB Impacted SPRF''s'!$E$6:$O$9929,6,FALSE)</f>
        <v>Robert Kelly</v>
      </c>
      <c r="AG58" s="282"/>
      <c r="AH58" s="311" t="str">
        <f>INDEX('D5 - Gatekeeper - Projects'!$A$4:$AF$1010,$AM58, 17)</f>
        <v>T. Kester</v>
      </c>
      <c r="AI58" s="8"/>
      <c r="AJ58" s="57"/>
      <c r="AK58" s="105"/>
      <c r="AM58" s="6">
        <f>MATCH(D58,'D5 - Gatekeeper - Projects'!$C$4:$C$1010,0)</f>
        <v>49</v>
      </c>
      <c r="AN58" s="6" t="b">
        <f t="shared" si="1"/>
        <v>0</v>
      </c>
      <c r="AO58" s="6" t="str">
        <f t="shared" si="6"/>
        <v>OK</v>
      </c>
      <c r="AQ58" s="6" t="e">
        <f>MATCH($D58,'D4 - Provider Council Unsched'!$C$11:$C$234,0)</f>
        <v>#N/A</v>
      </c>
      <c r="AR58" s="6" t="b">
        <f t="shared" si="3"/>
        <v>1</v>
      </c>
      <c r="AS58" s="6" t="str">
        <f t="shared" si="7"/>
        <v>OK</v>
      </c>
      <c r="AU58" s="202">
        <v>41033</v>
      </c>
      <c r="AV58" s="6" t="s">
        <v>496</v>
      </c>
      <c r="AW58" s="274">
        <v>55251</v>
      </c>
    </row>
    <row r="59" spans="1:49" s="13" customFormat="1" ht="33.75" x14ac:dyDescent="0.2">
      <c r="A59" s="14">
        <v>43</v>
      </c>
      <c r="B59" s="8">
        <v>400048111</v>
      </c>
      <c r="C59" s="8" t="s">
        <v>1447</v>
      </c>
      <c r="D59" s="4" t="str">
        <f t="shared" si="5"/>
        <v>400048111A</v>
      </c>
      <c r="E59" s="309" t="str">
        <f>VLOOKUP($B59,'D7 - NDB Impacted SPRF''s'!$E$6:$O$9929,2,FALSE)</f>
        <v>ICD-10 E &amp; I Commercial Paper Claims Release</v>
      </c>
      <c r="F59" s="8"/>
      <c r="G59" s="8" t="s">
        <v>7980</v>
      </c>
      <c r="H59" s="8" t="s">
        <v>1606</v>
      </c>
      <c r="I59" s="20">
        <v>5.68</v>
      </c>
      <c r="J59" s="8" t="s">
        <v>4862</v>
      </c>
      <c r="K59" s="182">
        <v>41412</v>
      </c>
      <c r="L59" s="8" t="s">
        <v>4156</v>
      </c>
      <c r="M59" s="8" t="s">
        <v>2814</v>
      </c>
      <c r="N59" s="38" t="s">
        <v>9051</v>
      </c>
      <c r="O59" s="8"/>
      <c r="P59" s="4" t="str">
        <f>VLOOKUP($B59,'D7 - NDB Impacted SPRF''s'!$E$16:$O$9929,9,FALSE)</f>
        <v>Y</v>
      </c>
      <c r="Q59" s="4" t="str">
        <f>VLOOKUP($B59,'D7 - NDB Impacted SPRF''s'!$E$16:$O$9929,10,FALSE)</f>
        <v>N</v>
      </c>
      <c r="R59" s="4" t="str">
        <f>VLOOKUP($B59,'D7 - NDB Impacted SPRF''s'!$E$16:$O$9929,11,FALSE)</f>
        <v>Y</v>
      </c>
      <c r="S59" s="8"/>
      <c r="T59" s="310"/>
      <c r="U59" s="310"/>
      <c r="V59" s="4"/>
      <c r="W59" s="4"/>
      <c r="X59" s="4"/>
      <c r="Y59" s="4"/>
      <c r="Z59" s="4"/>
      <c r="AA59" s="4"/>
      <c r="AB59" s="380" t="str">
        <f>VLOOKUP($B59,'D7 - NDB Impacted SPRF''s'!$E$6:$O$9929,4,FALSE)</f>
        <v>Scheduled</v>
      </c>
      <c r="AC59" s="380" t="str">
        <f>VLOOKUP($B59,'D7 - NDB Impacted SPRF''s'!$E$6:$O$9929,3,FALSE)</f>
        <v>UnitedHealthcare Employer &amp; Individual</v>
      </c>
      <c r="AD59" s="380" t="str">
        <f>VLOOKUP($B59,'D7 - NDB Impacted SPRF''s'!$E$6:$O$9929,5,FALSE)</f>
        <v>Regulatory / Other</v>
      </c>
      <c r="AE59" s="380" t="str">
        <f>VLOOKUP($B59,'D7 - NDB Impacted SPRF''s'!$E$6:$O$9929,7,FALSE)</f>
        <v>Tim Kaja</v>
      </c>
      <c r="AF59" s="380" t="str">
        <f>VLOOKUP($B59,'D7 - NDB Impacted SPRF''s'!$E$6:$O$9929,6,FALSE)</f>
        <v>Delvis Schilling</v>
      </c>
      <c r="AG59" s="282"/>
      <c r="AH59" s="311" t="str">
        <f>INDEX('D5 - Gatekeeper - Projects'!$A$4:$AF$1010,$AM59, 17)</f>
        <v>J. Melendez</v>
      </c>
      <c r="AI59" s="8"/>
      <c r="AJ59" s="57"/>
      <c r="AK59" s="105"/>
      <c r="AM59" s="6">
        <f>MATCH(D59,'D5 - Gatekeeper - Projects'!$C$4:$C$1010,0)</f>
        <v>50</v>
      </c>
      <c r="AN59" s="6" t="b">
        <f t="shared" si="1"/>
        <v>0</v>
      </c>
      <c r="AO59" s="6" t="str">
        <f t="shared" si="6"/>
        <v>OK</v>
      </c>
      <c r="AQ59" s="6" t="e">
        <f>MATCH($D59,'D4 - Provider Council Unsched'!$C$11:$C$234,0)</f>
        <v>#N/A</v>
      </c>
      <c r="AR59" s="6" t="b">
        <f t="shared" si="3"/>
        <v>1</v>
      </c>
      <c r="AS59" s="6" t="str">
        <f t="shared" si="7"/>
        <v>OK</v>
      </c>
      <c r="AU59" s="202">
        <v>41005</v>
      </c>
      <c r="AV59" s="6" t="s">
        <v>2299</v>
      </c>
      <c r="AW59" s="274">
        <v>55243</v>
      </c>
    </row>
    <row r="60" spans="1:49" s="13" customFormat="1" ht="33.75" x14ac:dyDescent="0.2">
      <c r="A60" s="14">
        <v>44</v>
      </c>
      <c r="B60" s="8">
        <v>400048226</v>
      </c>
      <c r="C60" s="8" t="s">
        <v>7292</v>
      </c>
      <c r="D60" s="4" t="str">
        <f t="shared" si="5"/>
        <v>400048226C</v>
      </c>
      <c r="E60" s="309" t="str">
        <f>VLOOKUP($B60,'D7 - NDB Impacted SPRF''s'!$E$6:$O$9929,2,FALSE)</f>
        <v>HCR Preventative Care Additional Services</v>
      </c>
      <c r="F60" s="8"/>
      <c r="G60" s="8" t="s">
        <v>7980</v>
      </c>
      <c r="H60" s="8" t="s">
        <v>1606</v>
      </c>
      <c r="I60" s="20">
        <v>0.27</v>
      </c>
      <c r="J60" s="8" t="s">
        <v>4862</v>
      </c>
      <c r="K60" s="182">
        <v>41412</v>
      </c>
      <c r="L60" s="8" t="s">
        <v>4156</v>
      </c>
      <c r="M60" s="8" t="s">
        <v>5626</v>
      </c>
      <c r="N60" s="38" t="s">
        <v>51</v>
      </c>
      <c r="O60" s="8"/>
      <c r="P60" s="4" t="str">
        <f>VLOOKUP($B60,'D7 - NDB Impacted SPRF''s'!$E$16:$O$9929,9,FALSE)</f>
        <v>Y</v>
      </c>
      <c r="Q60" s="4" t="str">
        <f>VLOOKUP($B60,'D7 - NDB Impacted SPRF''s'!$E$16:$O$9929,10,FALSE)</f>
        <v>N</v>
      </c>
      <c r="R60" s="4" t="str">
        <f>VLOOKUP($B60,'D7 - NDB Impacted SPRF''s'!$E$16:$O$9929,11,FALSE)</f>
        <v>N</v>
      </c>
      <c r="S60" s="8"/>
      <c r="T60" s="310"/>
      <c r="U60" s="310"/>
      <c r="V60" s="4"/>
      <c r="W60" s="4"/>
      <c r="X60" s="4"/>
      <c r="Y60" s="4"/>
      <c r="Z60" s="4"/>
      <c r="AA60" s="4"/>
      <c r="AB60" s="380" t="str">
        <f>VLOOKUP($B60,'D7 - NDB Impacted SPRF''s'!$E$6:$O$9929,4,FALSE)</f>
        <v>Scheduled</v>
      </c>
      <c r="AC60" s="380" t="str">
        <f>VLOOKUP($B60,'D7 - NDB Impacted SPRF''s'!$E$6:$O$9929,3,FALSE)</f>
        <v>UnitedHealthcare Employer &amp; Individual</v>
      </c>
      <c r="AD60" s="380" t="str">
        <f>VLOOKUP($B60,'D7 - NDB Impacted SPRF''s'!$E$6:$O$9929,5,FALSE)</f>
        <v>Regulatory / Other</v>
      </c>
      <c r="AE60" s="380" t="str">
        <f>VLOOKUP($B60,'D7 - NDB Impacted SPRF''s'!$E$6:$O$9929,7,FALSE)</f>
        <v>Regis O'Neill</v>
      </c>
      <c r="AF60" s="380" t="str">
        <f>VLOOKUP($B60,'D7 - NDB Impacted SPRF''s'!$E$6:$O$9929,6,FALSE)</f>
        <v>Susan Smith</v>
      </c>
      <c r="AG60" s="282"/>
      <c r="AH60" s="311" t="str">
        <f>INDEX('D5 - Gatekeeper - Projects'!$A$4:$AF$1010,$AM60, 17)</f>
        <v>T. Kester</v>
      </c>
      <c r="AI60" s="8"/>
      <c r="AJ60" s="57"/>
      <c r="AK60" s="105"/>
      <c r="AM60" s="6">
        <f>MATCH(D60,'D5 - Gatekeeper - Projects'!$C$4:$C$1010,0)</f>
        <v>51</v>
      </c>
      <c r="AN60" s="6" t="b">
        <f t="shared" si="1"/>
        <v>0</v>
      </c>
      <c r="AO60" s="6" t="str">
        <f t="shared" si="6"/>
        <v>OK</v>
      </c>
      <c r="AQ60" s="6" t="e">
        <f>MATCH($D60,'D4 - Provider Council Unsched'!$C$11:$C$234,0)</f>
        <v>#N/A</v>
      </c>
      <c r="AR60" s="6" t="b">
        <f t="shared" si="3"/>
        <v>1</v>
      </c>
      <c r="AS60" s="6" t="str">
        <f t="shared" si="7"/>
        <v>OK</v>
      </c>
      <c r="AU60" s="202">
        <v>41298</v>
      </c>
      <c r="AV60" s="6" t="s">
        <v>933</v>
      </c>
      <c r="AW60" s="274">
        <v>54793</v>
      </c>
    </row>
    <row r="61" spans="1:49" s="13" customFormat="1" ht="22.5" x14ac:dyDescent="0.2">
      <c r="A61" s="14">
        <v>45</v>
      </c>
      <c r="B61" s="8">
        <v>400049159</v>
      </c>
      <c r="C61" s="8" t="s">
        <v>1447</v>
      </c>
      <c r="D61" s="4" t="str">
        <f t="shared" si="5"/>
        <v>400049159A</v>
      </c>
      <c r="E61" s="309" t="str">
        <f>VLOOKUP($B61,'D7 - NDB Impacted SPRF''s'!$E$6:$O$9929,2,FALSE)</f>
        <v>Integrated Testing Environment Buildout</v>
      </c>
      <c r="F61" s="8"/>
      <c r="G61" s="8" t="s">
        <v>7980</v>
      </c>
      <c r="H61" s="8" t="s">
        <v>1606</v>
      </c>
      <c r="I61" s="20">
        <v>0.41</v>
      </c>
      <c r="J61" s="8" t="s">
        <v>4862</v>
      </c>
      <c r="K61" s="182">
        <v>41412</v>
      </c>
      <c r="L61" s="8" t="s">
        <v>4156</v>
      </c>
      <c r="M61" s="8" t="s">
        <v>6688</v>
      </c>
      <c r="N61" s="38" t="s">
        <v>923</v>
      </c>
      <c r="O61" s="8"/>
      <c r="P61" s="4" t="str">
        <f>VLOOKUP($B61,'D7 - NDB Impacted SPRF''s'!$E$16:$O$9929,9,FALSE)</f>
        <v>Y</v>
      </c>
      <c r="Q61" s="4" t="str">
        <f>VLOOKUP($B61,'D7 - NDB Impacted SPRF''s'!$E$16:$O$9929,10,FALSE)</f>
        <v>N</v>
      </c>
      <c r="R61" s="4" t="str">
        <f>VLOOKUP($B61,'D7 - NDB Impacted SPRF''s'!$E$16:$O$9929,11,FALSE)</f>
        <v>Y</v>
      </c>
      <c r="S61" s="8"/>
      <c r="T61" s="310"/>
      <c r="U61" s="310"/>
      <c r="V61" s="4"/>
      <c r="W61" s="4"/>
      <c r="X61" s="4"/>
      <c r="Y61" s="4"/>
      <c r="Z61" s="4"/>
      <c r="AA61" s="4"/>
      <c r="AB61" s="380" t="str">
        <f>VLOOKUP($B61,'D7 - NDB Impacted SPRF''s'!$E$6:$O$9929,4,FALSE)</f>
        <v>Cancelled</v>
      </c>
      <c r="AC61" s="380" t="str">
        <f>VLOOKUP($B61,'D7 - NDB Impacted SPRF''s'!$E$6:$O$9929,3,FALSE)</f>
        <v>UHG IT - Shared Services</v>
      </c>
      <c r="AD61" s="380" t="str">
        <f>VLOOKUP($B61,'D7 - NDB Impacted SPRF''s'!$E$6:$O$9929,5,FALSE)</f>
        <v>ASG</v>
      </c>
      <c r="AE61" s="380" t="str">
        <f>VLOOKUP($B61,'D7 - NDB Impacted SPRF''s'!$E$6:$O$9929,7,FALSE)</f>
        <v>Duhaime</v>
      </c>
      <c r="AF61" s="380" t="str">
        <f>VLOOKUP($B61,'D7 - NDB Impacted SPRF''s'!$E$6:$O$9929,6,FALSE)</f>
        <v>MARK VanATTA</v>
      </c>
      <c r="AG61" s="282"/>
      <c r="AH61" s="311" t="str">
        <f>INDEX('D5 - Gatekeeper - Projects'!$A$4:$AF$1010,$AM61, 17)</f>
        <v>T. Benton</v>
      </c>
      <c r="AI61" s="8"/>
      <c r="AJ61" s="57"/>
      <c r="AK61" s="105"/>
      <c r="AM61" s="6">
        <f>MATCH(D61,'D5 - Gatekeeper - Projects'!$C$4:$C$1010,0)</f>
        <v>52</v>
      </c>
      <c r="AN61" s="6" t="b">
        <f t="shared" si="1"/>
        <v>0</v>
      </c>
      <c r="AO61" s="6" t="str">
        <f t="shared" si="6"/>
        <v>OK</v>
      </c>
      <c r="AQ61" s="6" t="e">
        <f>MATCH($D61,'D4 - Provider Council Unsched'!$C$11:$C$234,0)</f>
        <v>#N/A</v>
      </c>
      <c r="AR61" s="6" t="b">
        <f t="shared" si="3"/>
        <v>1</v>
      </c>
      <c r="AS61" s="6" t="str">
        <f t="shared" si="7"/>
        <v>OK</v>
      </c>
      <c r="AU61" s="202">
        <v>40987</v>
      </c>
      <c r="AV61" s="6" t="s">
        <v>1135</v>
      </c>
      <c r="AW61" s="274">
        <v>54287</v>
      </c>
    </row>
    <row r="62" spans="1:49" s="13" customFormat="1" ht="33.75" x14ac:dyDescent="0.2">
      <c r="A62" s="14">
        <v>46</v>
      </c>
      <c r="B62" s="8">
        <v>400049434</v>
      </c>
      <c r="C62" s="8" t="s">
        <v>1447</v>
      </c>
      <c r="D62" s="4" t="str">
        <f t="shared" si="5"/>
        <v>400049434A</v>
      </c>
      <c r="E62" s="309" t="str">
        <f>VLOOKUP($B62,'D7 - NDB Impacted SPRF''s'!$E$6:$O$9929,2,FALSE)</f>
        <v>Essential Health Benefits</v>
      </c>
      <c r="F62" s="8"/>
      <c r="G62" s="8" t="s">
        <v>7980</v>
      </c>
      <c r="H62" s="8" t="s">
        <v>1606</v>
      </c>
      <c r="I62" s="20">
        <v>1.34</v>
      </c>
      <c r="J62" s="8" t="s">
        <v>4862</v>
      </c>
      <c r="K62" s="182">
        <v>41412</v>
      </c>
      <c r="L62" s="8" t="s">
        <v>4156</v>
      </c>
      <c r="M62" s="8" t="s">
        <v>6688</v>
      </c>
      <c r="N62" s="38" t="s">
        <v>234</v>
      </c>
      <c r="O62" s="8"/>
      <c r="P62" s="4" t="str">
        <f>VLOOKUP($B62,'D7 - NDB Impacted SPRF''s'!$E$16:$O$9929,9,FALSE)</f>
        <v>Y</v>
      </c>
      <c r="Q62" s="4" t="str">
        <f>VLOOKUP($B62,'D7 - NDB Impacted SPRF''s'!$E$16:$O$9929,10,FALSE)</f>
        <v>N</v>
      </c>
      <c r="R62" s="4" t="str">
        <f>VLOOKUP($B62,'D7 - NDB Impacted SPRF''s'!$E$16:$O$9929,11,FALSE)</f>
        <v>N</v>
      </c>
      <c r="S62" s="8"/>
      <c r="T62" s="310"/>
      <c r="U62" s="310"/>
      <c r="V62" s="4"/>
      <c r="W62" s="4"/>
      <c r="X62" s="4"/>
      <c r="Y62" s="4"/>
      <c r="Z62" s="4"/>
      <c r="AA62" s="4"/>
      <c r="AB62" s="380" t="str">
        <f>VLOOKUP($B62,'D7 - NDB Impacted SPRF''s'!$E$6:$O$9929,4,FALSE)</f>
        <v>Scheduled</v>
      </c>
      <c r="AC62" s="380" t="str">
        <f>VLOOKUP($B62,'D7 - NDB Impacted SPRF''s'!$E$6:$O$9929,3,FALSE)</f>
        <v>UnitedHealthcare Employer &amp; Individual</v>
      </c>
      <c r="AD62" s="380" t="str">
        <f>VLOOKUP($B62,'D7 - NDB Impacted SPRF''s'!$E$6:$O$9929,5,FALSE)</f>
        <v>Regulatory / Other</v>
      </c>
      <c r="AE62" s="380" t="str">
        <f>VLOOKUP($B62,'D7 - NDB Impacted SPRF''s'!$E$6:$O$9929,7,FALSE)</f>
        <v>Regis O'neill</v>
      </c>
      <c r="AF62" s="380" t="str">
        <f>VLOOKUP($B62,'D7 - NDB Impacted SPRF''s'!$E$6:$O$9929,6,FALSE)</f>
        <v>Peter Nichol</v>
      </c>
      <c r="AG62" s="282"/>
      <c r="AH62" s="311" t="str">
        <f>INDEX('D5 - Gatekeeper - Projects'!$A$4:$AF$1010,$AM62, 17)</f>
        <v>L. Bravoco</v>
      </c>
      <c r="AI62" s="8"/>
      <c r="AJ62" s="57"/>
      <c r="AK62" s="105"/>
      <c r="AM62" s="6">
        <f>MATCH(D62,'D5 - Gatekeeper - Projects'!$C$4:$C$1010,0)</f>
        <v>53</v>
      </c>
      <c r="AN62" s="6" t="b">
        <f t="shared" si="1"/>
        <v>0</v>
      </c>
      <c r="AO62" s="6" t="str">
        <f t="shared" si="6"/>
        <v>OK</v>
      </c>
      <c r="AQ62" s="6" t="e">
        <f>MATCH($D62,'D4 - Provider Council Unsched'!$C$11:$C$234,0)</f>
        <v>#N/A</v>
      </c>
      <c r="AR62" s="6" t="b">
        <f t="shared" si="3"/>
        <v>1</v>
      </c>
      <c r="AS62" s="6" t="str">
        <f t="shared" si="7"/>
        <v>OK</v>
      </c>
      <c r="AU62" s="202">
        <v>41092</v>
      </c>
      <c r="AV62" s="6" t="s">
        <v>7167</v>
      </c>
      <c r="AW62" s="274">
        <v>54910</v>
      </c>
    </row>
    <row r="63" spans="1:49" s="13" customFormat="1" ht="67.5" x14ac:dyDescent="0.2">
      <c r="A63" s="14">
        <v>48</v>
      </c>
      <c r="B63" s="8">
        <v>400050715</v>
      </c>
      <c r="C63" s="8" t="s">
        <v>1447</v>
      </c>
      <c r="D63" s="4" t="str">
        <f t="shared" si="5"/>
        <v>400050715A</v>
      </c>
      <c r="E63" s="309" t="str">
        <f>VLOOKUP($B63,'D7 - NDB Impacted SPRF''s'!$E$6:$O$9929,2,FALSE)</f>
        <v>eSync Clin Ops Q2 2013</v>
      </c>
      <c r="F63" s="8"/>
      <c r="G63" s="8" t="s">
        <v>7980</v>
      </c>
      <c r="H63" s="8" t="s">
        <v>1606</v>
      </c>
      <c r="I63" s="20">
        <v>0.39</v>
      </c>
      <c r="J63" s="8" t="s">
        <v>4862</v>
      </c>
      <c r="K63" s="182">
        <v>41412</v>
      </c>
      <c r="L63" s="8" t="s">
        <v>4156</v>
      </c>
      <c r="M63" s="8" t="s">
        <v>5626</v>
      </c>
      <c r="N63" s="38" t="s">
        <v>9162</v>
      </c>
      <c r="O63" s="8"/>
      <c r="P63" s="4" t="str">
        <f>VLOOKUP($B63,'D7 - NDB Impacted SPRF''s'!$E$16:$O$9929,9,FALSE)</f>
        <v>Y</v>
      </c>
      <c r="Q63" s="4" t="str">
        <f>VLOOKUP($B63,'D7 - NDB Impacted SPRF''s'!$E$16:$O$9929,10,FALSE)</f>
        <v>N</v>
      </c>
      <c r="R63" s="4" t="str">
        <f>VLOOKUP($B63,'D7 - NDB Impacted SPRF''s'!$E$16:$O$9929,11,FALSE)</f>
        <v>N</v>
      </c>
      <c r="S63" s="8"/>
      <c r="T63" s="310"/>
      <c r="U63" s="310"/>
      <c r="V63" s="4"/>
      <c r="W63" s="4"/>
      <c r="X63" s="4"/>
      <c r="Y63" s="4"/>
      <c r="Z63" s="4"/>
      <c r="AA63" s="4"/>
      <c r="AB63" s="380" t="str">
        <f>VLOOKUP($B63,'D7 - NDB Impacted SPRF''s'!$E$6:$O$9929,4,FALSE)</f>
        <v>Scheduled</v>
      </c>
      <c r="AC63" s="380" t="str">
        <f>VLOOKUP($B63,'D7 - NDB Impacted SPRF''s'!$E$6:$O$9929,3,FALSE)</f>
        <v>OptumHealth</v>
      </c>
      <c r="AD63" s="380" t="str">
        <f>VLOOKUP($B63,'D7 - NDB Impacted SPRF''s'!$E$6:$O$9929,5,FALSE)</f>
        <v>OptumHealth Care Solutions</v>
      </c>
      <c r="AE63" s="380" t="str">
        <f>VLOOKUP($B63,'D7 - NDB Impacted SPRF''s'!$E$6:$O$9929,7,FALSE)</f>
        <v>Ben Line</v>
      </c>
      <c r="AF63" s="380" t="str">
        <f>VLOOKUP($B63,'D7 - NDB Impacted SPRF''s'!$E$6:$O$9929,6,FALSE)</f>
        <v>Monica Thompson</v>
      </c>
      <c r="AG63" s="282"/>
      <c r="AH63" s="311" t="str">
        <f>INDEX('D5 - Gatekeeper - Projects'!$A$4:$AF$1010,$AM63, 17)</f>
        <v>T. Kester</v>
      </c>
      <c r="AI63" s="8"/>
      <c r="AJ63" s="57"/>
      <c r="AK63" s="105"/>
      <c r="AM63" s="6">
        <f>MATCH(D63,'D5 - Gatekeeper - Projects'!$C$4:$C$1010,0)</f>
        <v>54</v>
      </c>
      <c r="AN63" s="6" t="b">
        <f t="shared" si="1"/>
        <v>0</v>
      </c>
      <c r="AO63" s="6" t="str">
        <f t="shared" si="6"/>
        <v>OK</v>
      </c>
      <c r="AQ63" s="6" t="e">
        <f>MATCH($D63,'D4 - Provider Council Unsched'!$C$11:$C$234,0)</f>
        <v>#N/A</v>
      </c>
      <c r="AR63" s="6" t="b">
        <f t="shared" si="3"/>
        <v>1</v>
      </c>
      <c r="AS63" s="6" t="str">
        <f t="shared" si="7"/>
        <v>OK</v>
      </c>
      <c r="AU63" s="202">
        <v>41222</v>
      </c>
      <c r="AV63" s="312" t="s">
        <v>1044</v>
      </c>
      <c r="AW63" s="274">
        <v>64883</v>
      </c>
    </row>
    <row r="64" spans="1:49" s="13" customFormat="1" ht="33.75" x14ac:dyDescent="0.2">
      <c r="A64" s="14">
        <v>49</v>
      </c>
      <c r="B64" s="8">
        <v>400050744</v>
      </c>
      <c r="C64" s="8" t="s">
        <v>1447</v>
      </c>
      <c r="D64" s="4" t="str">
        <f t="shared" si="5"/>
        <v>400050744A</v>
      </c>
      <c r="E64" s="309" t="str">
        <f>VLOOKUP($B64,'D7 - NDB Impacted SPRF''s'!$E$6:$O$9929,2,FALSE)</f>
        <v>ICD-10 E&amp;I Commercial End to End Testing</v>
      </c>
      <c r="F64" s="8"/>
      <c r="G64" s="8" t="s">
        <v>7980</v>
      </c>
      <c r="H64" s="8" t="s">
        <v>1606</v>
      </c>
      <c r="I64" s="20">
        <v>2</v>
      </c>
      <c r="J64" s="8" t="s">
        <v>4862</v>
      </c>
      <c r="K64" s="182">
        <v>41412</v>
      </c>
      <c r="L64" s="8" t="s">
        <v>4156</v>
      </c>
      <c r="M64" s="8" t="s">
        <v>5626</v>
      </c>
      <c r="N64" s="38"/>
      <c r="O64" s="8"/>
      <c r="P64" s="4" t="str">
        <f>VLOOKUP($B64,'D7 - NDB Impacted SPRF''s'!$E$16:$O$9929,9,FALSE)</f>
        <v>Y</v>
      </c>
      <c r="Q64" s="4" t="str">
        <f>VLOOKUP($B64,'D7 - NDB Impacted SPRF''s'!$E$16:$O$9929,10,FALSE)</f>
        <v>N</v>
      </c>
      <c r="R64" s="4" t="str">
        <f>VLOOKUP($B64,'D7 - NDB Impacted SPRF''s'!$E$16:$O$9929,11,FALSE)</f>
        <v>Y</v>
      </c>
      <c r="S64" s="8"/>
      <c r="T64" s="310"/>
      <c r="U64" s="310"/>
      <c r="V64" s="4"/>
      <c r="W64" s="4"/>
      <c r="X64" s="4"/>
      <c r="Y64" s="4"/>
      <c r="Z64" s="4"/>
      <c r="AA64" s="4"/>
      <c r="AB64" s="380" t="str">
        <f>VLOOKUP($B64,'D7 - NDB Impacted SPRF''s'!$E$6:$O$9929,4,FALSE)</f>
        <v>Scheduled</v>
      </c>
      <c r="AC64" s="380" t="str">
        <f>VLOOKUP($B64,'D7 - NDB Impacted SPRF''s'!$E$6:$O$9929,3,FALSE)</f>
        <v>UnitedHealthcare Employer &amp; Individual</v>
      </c>
      <c r="AD64" s="380" t="str">
        <f>VLOOKUP($B64,'D7 - NDB Impacted SPRF''s'!$E$6:$O$9929,5,FALSE)</f>
        <v>Regulatory / Other</v>
      </c>
      <c r="AE64" s="380" t="str">
        <f>VLOOKUP($B64,'D7 - NDB Impacted SPRF''s'!$E$6:$O$9929,7,FALSE)</f>
        <v>Tim Kaja</v>
      </c>
      <c r="AF64" s="380" t="str">
        <f>VLOOKUP($B64,'D7 - NDB Impacted SPRF''s'!$E$6:$O$9929,6,FALSE)</f>
        <v>William Porri</v>
      </c>
      <c r="AG64" s="282"/>
      <c r="AH64" s="311" t="str">
        <f>INDEX('D5 - Gatekeeper - Projects'!$A$4:$AF$1010,$AM64, 17)</f>
        <v>T. Kester</v>
      </c>
      <c r="AI64" s="8"/>
      <c r="AJ64" s="57"/>
      <c r="AK64" s="105"/>
      <c r="AM64" s="6">
        <f>MATCH(D64,'D5 - Gatekeeper - Projects'!$C$4:$C$1010,0)</f>
        <v>55</v>
      </c>
      <c r="AN64" s="6" t="b">
        <f t="shared" si="1"/>
        <v>0</v>
      </c>
      <c r="AO64" s="6" t="str">
        <f t="shared" si="6"/>
        <v>OK</v>
      </c>
      <c r="AQ64" s="6" t="e">
        <f>MATCH($D64,'D4 - Provider Council Unsched'!$C$11:$C$234,0)</f>
        <v>#N/A</v>
      </c>
      <c r="AR64" s="6" t="b">
        <f t="shared" si="3"/>
        <v>1</v>
      </c>
      <c r="AS64" s="6" t="str">
        <f t="shared" si="7"/>
        <v>OK</v>
      </c>
      <c r="AU64" s="202">
        <v>41047</v>
      </c>
      <c r="AV64" s="6" t="s">
        <v>2299</v>
      </c>
      <c r="AW64" s="274">
        <v>69221</v>
      </c>
    </row>
    <row r="65" spans="1:49" s="13" customFormat="1" ht="11.25" customHeight="1" x14ac:dyDescent="0.2">
      <c r="A65" s="14">
        <v>50</v>
      </c>
      <c r="B65" s="8">
        <v>400051823</v>
      </c>
      <c r="C65" s="8" t="s">
        <v>1447</v>
      </c>
      <c r="D65" s="4" t="str">
        <f t="shared" si="5"/>
        <v>400051823A</v>
      </c>
      <c r="E65" s="309" t="str">
        <f>VLOOKUP($B65,'D7 - NDB Impacted SPRF''s'!$E$6:$O$9929,2,FALSE)</f>
        <v>HCR-Exchanges(Prd/Ntw/Bill/Enrl/Prducr)</v>
      </c>
      <c r="F65" s="8"/>
      <c r="G65" s="8" t="s">
        <v>7980</v>
      </c>
      <c r="H65" s="8" t="s">
        <v>1606</v>
      </c>
      <c r="I65" s="20">
        <v>0.21</v>
      </c>
      <c r="J65" s="8" t="s">
        <v>4862</v>
      </c>
      <c r="K65" s="182">
        <v>41412</v>
      </c>
      <c r="L65" s="8" t="s">
        <v>4156</v>
      </c>
      <c r="M65" s="8" t="s">
        <v>5626</v>
      </c>
      <c r="N65" s="38"/>
      <c r="O65" s="8"/>
      <c r="P65" s="4" t="e">
        <f>VLOOKUP($B65,'D7 - NDB Impacted SPRF''s'!$E$16:$O$9929,9,FALSE)</f>
        <v>#N/A</v>
      </c>
      <c r="Q65" s="4" t="e">
        <f>VLOOKUP($B65,'D7 - NDB Impacted SPRF''s'!$E$16:$O$9929,10,FALSE)</f>
        <v>#N/A</v>
      </c>
      <c r="R65" s="4" t="e">
        <f>VLOOKUP($B65,'D7 - NDB Impacted SPRF''s'!$E$16:$O$9929,11,FALSE)</f>
        <v>#N/A</v>
      </c>
      <c r="S65" s="8"/>
      <c r="T65" s="310"/>
      <c r="U65" s="310"/>
      <c r="V65" s="4"/>
      <c r="W65" s="4"/>
      <c r="X65" s="4"/>
      <c r="Y65" s="4"/>
      <c r="Z65" s="4"/>
      <c r="AA65" s="4"/>
      <c r="AB65" s="380" t="str">
        <f>VLOOKUP($B65,'D7 - NDB Impacted SPRF''s'!$E$6:$O$9929,4,FALSE)</f>
        <v>Scheduled</v>
      </c>
      <c r="AC65" s="380" t="str">
        <f>VLOOKUP($B65,'D7 - NDB Impacted SPRF''s'!$E$6:$O$9929,3,FALSE)</f>
        <v>UnitedHealthcare Employer &amp; Individual</v>
      </c>
      <c r="AD65" s="380" t="str">
        <f>VLOOKUP($B65,'D7 - NDB Impacted SPRF''s'!$E$6:$O$9929,5,FALSE)</f>
        <v>Regulatory / Other</v>
      </c>
      <c r="AE65" s="380" t="str">
        <f>VLOOKUP($B65,'D7 - NDB Impacted SPRF''s'!$E$6:$O$9929,7,FALSE)</f>
        <v>Elizabeth Canis</v>
      </c>
      <c r="AF65" s="380" t="str">
        <f>VLOOKUP($B65,'D7 - NDB Impacted SPRF''s'!$E$6:$O$9929,6,FALSE)</f>
        <v>JEFFREY KINNEMANN</v>
      </c>
      <c r="AG65" s="282"/>
      <c r="AH65" s="311" t="str">
        <f>INDEX('D5 - Gatekeeper - Projects'!$A$4:$AF$1010,$AM65, 17)</f>
        <v>T. Kester</v>
      </c>
      <c r="AI65" s="8"/>
      <c r="AJ65" s="57"/>
      <c r="AK65" s="105"/>
      <c r="AM65" s="6">
        <f>MATCH(D65,'D5 - Gatekeeper - Projects'!$C$4:$C$1010,0)</f>
        <v>56</v>
      </c>
      <c r="AN65" s="6" t="b">
        <f t="shared" si="1"/>
        <v>0</v>
      </c>
      <c r="AO65" s="6" t="str">
        <f t="shared" si="6"/>
        <v>OK</v>
      </c>
      <c r="AQ65" s="6" t="e">
        <f>MATCH($D65,'D4 - Provider Council Unsched'!$C$11:$C$234,0)</f>
        <v>#N/A</v>
      </c>
      <c r="AR65" s="6" t="b">
        <f t="shared" si="3"/>
        <v>1</v>
      </c>
      <c r="AS65" s="6" t="str">
        <f t="shared" si="7"/>
        <v>OK</v>
      </c>
      <c r="AU65" s="202">
        <v>41587</v>
      </c>
      <c r="AV65" s="6" t="s">
        <v>1086</v>
      </c>
      <c r="AW65" s="274">
        <v>60732</v>
      </c>
    </row>
    <row r="66" spans="1:49" s="13" customFormat="1" ht="45" x14ac:dyDescent="0.2">
      <c r="A66" s="14">
        <v>51</v>
      </c>
      <c r="B66" s="8">
        <v>400052518</v>
      </c>
      <c r="C66" s="8" t="s">
        <v>1447</v>
      </c>
      <c r="D66" s="4" t="str">
        <f t="shared" si="5"/>
        <v>400052518A</v>
      </c>
      <c r="E66" s="309" t="str">
        <f>VLOOKUP($B66,'D7 - NDB Impacted SPRF''s'!$E$6:$O$9929,2,FALSE)</f>
        <v>Q1 2013 Risk Carve Out</v>
      </c>
      <c r="F66" s="8"/>
      <c r="G66" s="8" t="s">
        <v>7980</v>
      </c>
      <c r="H66" s="8" t="s">
        <v>1606</v>
      </c>
      <c r="I66" s="20">
        <v>20.93</v>
      </c>
      <c r="J66" s="8" t="s">
        <v>4862</v>
      </c>
      <c r="K66" s="182">
        <v>41412</v>
      </c>
      <c r="L66" s="8" t="s">
        <v>4156</v>
      </c>
      <c r="M66" s="8" t="s">
        <v>2814</v>
      </c>
      <c r="N66" s="38" t="s">
        <v>235</v>
      </c>
      <c r="O66" s="8"/>
      <c r="P66" s="4" t="str">
        <f>VLOOKUP($B66,'D7 - NDB Impacted SPRF''s'!$E$16:$O$9929,9,FALSE)</f>
        <v>N</v>
      </c>
      <c r="Q66" s="4" t="str">
        <f>VLOOKUP($B66,'D7 - NDB Impacted SPRF''s'!$E$16:$O$9929,10,FALSE)</f>
        <v>N</v>
      </c>
      <c r="R66" s="4" t="str">
        <f>VLOOKUP($B66,'D7 - NDB Impacted SPRF''s'!$E$16:$O$9929,11,FALSE)</f>
        <v>N</v>
      </c>
      <c r="S66" s="8"/>
      <c r="T66" s="310"/>
      <c r="U66" s="310"/>
      <c r="V66" s="4"/>
      <c r="W66" s="4"/>
      <c r="X66" s="4"/>
      <c r="Y66" s="4"/>
      <c r="Z66" s="4"/>
      <c r="AA66" s="4"/>
      <c r="AB66" s="380" t="str">
        <f>VLOOKUP($B66,'D7 - NDB Impacted SPRF''s'!$E$6:$O$9929,4,FALSE)</f>
        <v>Scheduled</v>
      </c>
      <c r="AC66" s="380" t="str">
        <f>VLOOKUP($B66,'D7 - NDB Impacted SPRF''s'!$E$6:$O$9929,3,FALSE)</f>
        <v>OptumHealth</v>
      </c>
      <c r="AD66" s="380" t="str">
        <f>VLOOKUP($B66,'D7 - NDB Impacted SPRF''s'!$E$6:$O$9929,5,FALSE)</f>
        <v>OptumHealth Care Solutions</v>
      </c>
      <c r="AE66" s="380" t="str">
        <f>VLOOKUP($B66,'D7 - NDB Impacted SPRF''s'!$E$6:$O$9929,7,FALSE)</f>
        <v>Jason Vanden Akker</v>
      </c>
      <c r="AF66" s="380" t="str">
        <f>VLOOKUP($B66,'D7 - NDB Impacted SPRF''s'!$E$6:$O$9929,6,FALSE)</f>
        <v>Lindsay Olson</v>
      </c>
      <c r="AG66" s="282"/>
      <c r="AH66" s="311" t="str">
        <f>INDEX('D5 - Gatekeeper - Projects'!$A$4:$AF$1010,$AM66, 17)</f>
        <v>B. Williams</v>
      </c>
      <c r="AI66" s="8"/>
      <c r="AJ66" s="57"/>
      <c r="AK66" s="105"/>
      <c r="AM66" s="6">
        <f>MATCH(D66,'D5 - Gatekeeper - Projects'!$C$4:$C$1010,0)</f>
        <v>57</v>
      </c>
      <c r="AN66" s="6" t="b">
        <f t="shared" si="1"/>
        <v>0</v>
      </c>
      <c r="AO66" s="6" t="str">
        <f t="shared" si="6"/>
        <v>OK</v>
      </c>
      <c r="AQ66" s="6" t="e">
        <f>MATCH($D66,'D4 - Provider Council Unsched'!$C$11:$C$234,0)</f>
        <v>#N/A</v>
      </c>
      <c r="AR66" s="6" t="b">
        <f t="shared" si="3"/>
        <v>1</v>
      </c>
      <c r="AS66" s="6" t="str">
        <f t="shared" si="7"/>
        <v>OK</v>
      </c>
      <c r="AU66" s="202">
        <v>41082</v>
      </c>
      <c r="AV66" s="6" t="s">
        <v>2233</v>
      </c>
      <c r="AW66" s="274">
        <v>62687</v>
      </c>
    </row>
    <row r="67" spans="1:49" s="13" customFormat="1" ht="33.75" x14ac:dyDescent="0.2">
      <c r="A67" s="14">
        <v>52</v>
      </c>
      <c r="B67" s="14">
        <v>400052619</v>
      </c>
      <c r="C67" s="8" t="s">
        <v>7290</v>
      </c>
      <c r="D67" s="4" t="str">
        <f t="shared" si="5"/>
        <v>400052619B</v>
      </c>
      <c r="E67" s="309" t="str">
        <f>VLOOKUP($B67,'D7 - NDB Impacted SPRF''s'!$E$6:$O$9929,2,FALSE)</f>
        <v>Ohio Migration</v>
      </c>
      <c r="F67" s="8"/>
      <c r="G67" s="8" t="s">
        <v>7980</v>
      </c>
      <c r="H67" s="8" t="s">
        <v>1606</v>
      </c>
      <c r="I67" s="20">
        <v>0.93</v>
      </c>
      <c r="J67" s="8" t="s">
        <v>4862</v>
      </c>
      <c r="K67" s="182">
        <v>41412</v>
      </c>
      <c r="L67" s="8" t="s">
        <v>4156</v>
      </c>
      <c r="M67" s="8" t="s">
        <v>3598</v>
      </c>
      <c r="N67" s="38" t="s">
        <v>9453</v>
      </c>
      <c r="O67" s="8"/>
      <c r="P67" s="4" t="str">
        <f>VLOOKUP($B67,'D7 - NDB Impacted SPRF''s'!$E$16:$O$9929,9,FALSE)</f>
        <v>N</v>
      </c>
      <c r="Q67" s="4" t="str">
        <f>VLOOKUP($B67,'D7 - NDB Impacted SPRF''s'!$E$16:$O$9929,10,FALSE)</f>
        <v>N</v>
      </c>
      <c r="R67" s="4" t="str">
        <f>VLOOKUP($B67,'D7 - NDB Impacted SPRF''s'!$E$16:$O$9929,11,FALSE)</f>
        <v>Y</v>
      </c>
      <c r="S67" s="8"/>
      <c r="T67" s="310"/>
      <c r="U67" s="310"/>
      <c r="V67" s="4"/>
      <c r="W67" s="4"/>
      <c r="X67" s="4"/>
      <c r="Y67" s="4"/>
      <c r="Z67" s="4"/>
      <c r="AA67" s="4"/>
      <c r="AB67" s="380" t="str">
        <f>VLOOKUP($B67,'D7 - NDB Impacted SPRF''s'!$E$6:$O$9929,4,FALSE)</f>
        <v>Scheduled</v>
      </c>
      <c r="AC67" s="380" t="str">
        <f>VLOOKUP($B67,'D7 - NDB Impacted SPRF''s'!$E$6:$O$9929,3,FALSE)</f>
        <v>UnitedHealthcare Community &amp; State</v>
      </c>
      <c r="AD67" s="380" t="str">
        <f>VLOOKUP($B67,'D7 - NDB Impacted SPRF''s'!$E$6:$O$9929,5,FALSE)</f>
        <v>Integration Requirements</v>
      </c>
      <c r="AE67" s="380" t="str">
        <f>VLOOKUP($B67,'D7 - NDB Impacted SPRF''s'!$E$6:$O$9929,7,FALSE)</f>
        <v>Tracy Davidson</v>
      </c>
      <c r="AF67" s="380" t="str">
        <f>VLOOKUP($B67,'D7 - NDB Impacted SPRF''s'!$E$6:$O$9929,6,FALSE)</f>
        <v>Robert Bena</v>
      </c>
      <c r="AG67" s="282"/>
      <c r="AH67" s="311">
        <f>INDEX('D5 - Gatekeeper - Projects'!$A$4:$AF$1010,$AM67, 17)</f>
        <v>0</v>
      </c>
      <c r="AI67" s="8"/>
      <c r="AJ67" s="57"/>
      <c r="AK67" s="105"/>
      <c r="AM67" s="6">
        <f>MATCH(D67,'D5 - Gatekeeper - Projects'!$C$4:$C$1010,0)</f>
        <v>58</v>
      </c>
      <c r="AN67" s="6" t="b">
        <f t="shared" si="1"/>
        <v>0</v>
      </c>
      <c r="AO67" s="6" t="str">
        <f t="shared" si="6"/>
        <v>OK</v>
      </c>
      <c r="AQ67" s="6" t="e">
        <f>MATCH($D67,'D4 - Provider Council Unsched'!$C$11:$C$234,0)</f>
        <v>#N/A</v>
      </c>
      <c r="AR67" s="6" t="b">
        <f t="shared" si="3"/>
        <v>1</v>
      </c>
      <c r="AS67" s="6" t="str">
        <f t="shared" si="7"/>
        <v>OK</v>
      </c>
      <c r="AU67" s="202">
        <v>41397</v>
      </c>
      <c r="AV67" s="6" t="s">
        <v>915</v>
      </c>
      <c r="AW67" s="274">
        <v>62980</v>
      </c>
    </row>
    <row r="68" spans="1:49" s="13" customFormat="1" ht="45" x14ac:dyDescent="0.2">
      <c r="A68" s="14">
        <v>53</v>
      </c>
      <c r="B68" s="8">
        <v>400052635</v>
      </c>
      <c r="C68" s="8" t="s">
        <v>1447</v>
      </c>
      <c r="D68" s="4" t="str">
        <f t="shared" si="5"/>
        <v>400052635A</v>
      </c>
      <c r="E68" s="309" t="str">
        <f>VLOOKUP($B68,'D7 - NDB Impacted SPRF''s'!$E$6:$O$9929,2,FALSE)</f>
        <v>ICD 10 Inventory Management and Code Review Tool</v>
      </c>
      <c r="F68" s="8"/>
      <c r="G68" s="8" t="s">
        <v>7980</v>
      </c>
      <c r="H68" s="8" t="s">
        <v>1606</v>
      </c>
      <c r="I68" s="20">
        <v>0.55000000000000004</v>
      </c>
      <c r="J68" s="8" t="s">
        <v>4862</v>
      </c>
      <c r="K68" s="182">
        <v>41412</v>
      </c>
      <c r="L68" s="8" t="s">
        <v>4156</v>
      </c>
      <c r="M68" s="8" t="s">
        <v>5626</v>
      </c>
      <c r="N68" s="38" t="s">
        <v>9605</v>
      </c>
      <c r="O68" s="8"/>
      <c r="P68" s="4" t="str">
        <f>VLOOKUP($B68,'D7 - NDB Impacted SPRF''s'!$E$16:$O$9929,9,FALSE)</f>
        <v>Y</v>
      </c>
      <c r="Q68" s="4" t="str">
        <f>VLOOKUP($B68,'D7 - NDB Impacted SPRF''s'!$E$16:$O$9929,10,FALSE)</f>
        <v>N</v>
      </c>
      <c r="R68" s="4" t="str">
        <f>VLOOKUP($B68,'D7 - NDB Impacted SPRF''s'!$E$16:$O$9929,11,FALSE)</f>
        <v>Y</v>
      </c>
      <c r="S68" s="8"/>
      <c r="T68" s="310"/>
      <c r="U68" s="310"/>
      <c r="V68" s="4"/>
      <c r="W68" s="4"/>
      <c r="X68" s="4"/>
      <c r="Y68" s="4"/>
      <c r="Z68" s="4"/>
      <c r="AA68" s="4"/>
      <c r="AB68" s="380" t="str">
        <f>VLOOKUP($B68,'D7 - NDB Impacted SPRF''s'!$E$6:$O$9929,4,FALSE)</f>
        <v>Scheduled</v>
      </c>
      <c r="AC68" s="380" t="str">
        <f>VLOOKUP($B68,'D7 - NDB Impacted SPRF''s'!$E$6:$O$9929,3,FALSE)</f>
        <v>UnitedHealthcare Employer &amp; Individual</v>
      </c>
      <c r="AD68" s="380" t="str">
        <f>VLOOKUP($B68,'D7 - NDB Impacted SPRF''s'!$E$6:$O$9929,5,FALSE)</f>
        <v>Regulatory / Other</v>
      </c>
      <c r="AE68" s="380" t="str">
        <f>VLOOKUP($B68,'D7 - NDB Impacted SPRF''s'!$E$6:$O$9929,7,FALSE)</f>
        <v xml:space="preserve">Tim Kaja </v>
      </c>
      <c r="AF68" s="380" t="str">
        <f>VLOOKUP($B68,'D7 - NDB Impacted SPRF''s'!$E$6:$O$9929,6,FALSE)</f>
        <v>Charles Cockayne</v>
      </c>
      <c r="AG68" s="282"/>
      <c r="AH68" s="311" t="str">
        <f>INDEX('D5 - Gatekeeper - Projects'!$A$4:$AF$1010,$AM68, 17)</f>
        <v>T. Kester</v>
      </c>
      <c r="AI68" s="8"/>
      <c r="AJ68" s="57"/>
      <c r="AK68" s="105"/>
      <c r="AM68" s="6">
        <f>MATCH(D68,'D5 - Gatekeeper - Projects'!$C$4:$C$1010,0)</f>
        <v>59</v>
      </c>
      <c r="AN68" s="6" t="b">
        <f t="shared" si="1"/>
        <v>0</v>
      </c>
      <c r="AO68" s="6" t="str">
        <f t="shared" si="6"/>
        <v>OK</v>
      </c>
      <c r="AQ68" s="6" t="e">
        <f>MATCH($D68,'D4 - Provider Council Unsched'!$C$11:$C$234,0)</f>
        <v>#N/A</v>
      </c>
      <c r="AR68" s="6" t="b">
        <f t="shared" si="3"/>
        <v>1</v>
      </c>
      <c r="AS68" s="6" t="str">
        <f t="shared" si="7"/>
        <v>OK</v>
      </c>
      <c r="AU68" s="202">
        <v>41354</v>
      </c>
      <c r="AV68" s="316" t="s">
        <v>2299</v>
      </c>
      <c r="AW68" s="274"/>
    </row>
    <row r="69" spans="1:49" s="13" customFormat="1" ht="33.75" x14ac:dyDescent="0.2">
      <c r="A69" s="14">
        <v>54</v>
      </c>
      <c r="B69" s="8">
        <v>400053058</v>
      </c>
      <c r="C69" s="8" t="s">
        <v>7290</v>
      </c>
      <c r="D69" s="4" t="str">
        <f t="shared" si="5"/>
        <v>400053058B</v>
      </c>
      <c r="E69" s="309" t="str">
        <f>VLOOKUP($B69,'D7 - NDB Impacted SPRF''s'!$E$6:$O$9929,2,FALSE)</f>
        <v>Medica Commercial Business - COSMOS New DIV</v>
      </c>
      <c r="F69" s="8"/>
      <c r="G69" s="8" t="s">
        <v>7980</v>
      </c>
      <c r="H69" s="8" t="s">
        <v>1606</v>
      </c>
      <c r="I69" s="20">
        <v>7.69</v>
      </c>
      <c r="J69" s="8" t="s">
        <v>4862</v>
      </c>
      <c r="K69" s="182">
        <v>41412</v>
      </c>
      <c r="L69" s="8" t="s">
        <v>4156</v>
      </c>
      <c r="M69" s="8" t="s">
        <v>2814</v>
      </c>
      <c r="N69" s="38" t="s">
        <v>326</v>
      </c>
      <c r="O69" s="8"/>
      <c r="P69" s="4" t="str">
        <f>VLOOKUP($B69,'D7 - NDB Impacted SPRF''s'!$E$16:$O$9929,9,FALSE)</f>
        <v>Y</v>
      </c>
      <c r="Q69" s="4" t="str">
        <f>VLOOKUP($B69,'D7 - NDB Impacted SPRF''s'!$E$16:$O$9929,10,FALSE)</f>
        <v>N</v>
      </c>
      <c r="R69" s="4" t="str">
        <f>VLOOKUP($B69,'D7 - NDB Impacted SPRF''s'!$E$16:$O$9929,11,FALSE)</f>
        <v>Y</v>
      </c>
      <c r="S69" s="8"/>
      <c r="T69" s="310"/>
      <c r="U69" s="310"/>
      <c r="V69" s="4"/>
      <c r="W69" s="4"/>
      <c r="X69" s="4"/>
      <c r="Y69" s="4"/>
      <c r="Z69" s="4"/>
      <c r="AA69" s="4"/>
      <c r="AB69" s="380" t="str">
        <f>VLOOKUP($B69,'D7 - NDB Impacted SPRF''s'!$E$6:$O$9929,4,FALSE)</f>
        <v>Scheduled</v>
      </c>
      <c r="AC69" s="380" t="str">
        <f>VLOOKUP($B69,'D7 - NDB Impacted SPRF''s'!$E$6:$O$9929,3,FALSE)</f>
        <v>UHG IT - Shared Services</v>
      </c>
      <c r="AD69" s="380" t="str">
        <f>VLOOKUP($B69,'D7 - NDB Impacted SPRF''s'!$E$6:$O$9929,5,FALSE)</f>
        <v>Medica Funded</v>
      </c>
      <c r="AE69" s="380" t="str">
        <f>VLOOKUP($B69,'D7 - NDB Impacted SPRF''s'!$E$6:$O$9929,7,FALSE)</f>
        <v>Mimi Taylor</v>
      </c>
      <c r="AF69" s="380" t="str">
        <f>VLOOKUP($B69,'D7 - NDB Impacted SPRF''s'!$E$6:$O$9929,6,FALSE)</f>
        <v>JOY EBANKS</v>
      </c>
      <c r="AG69" s="282"/>
      <c r="AH69" s="311" t="str">
        <f>INDEX('D5 - Gatekeeper - Projects'!$A$4:$AF$1010,$AM69, 17)</f>
        <v>J. Melendez</v>
      </c>
      <c r="AI69" s="8"/>
      <c r="AJ69" s="57"/>
      <c r="AK69" s="105"/>
      <c r="AM69" s="6">
        <f>MATCH(D69,'D5 - Gatekeeper - Projects'!$C$4:$C$1010,0)</f>
        <v>60</v>
      </c>
      <c r="AN69" s="6" t="b">
        <f t="shared" si="1"/>
        <v>0</v>
      </c>
      <c r="AO69" s="6" t="str">
        <f t="shared" si="6"/>
        <v>OK</v>
      </c>
      <c r="AQ69" s="6" t="e">
        <f>MATCH($D69,'D4 - Provider Council Unsched'!$C$11:$C$234,0)</f>
        <v>#N/A</v>
      </c>
      <c r="AR69" s="6" t="b">
        <f t="shared" si="3"/>
        <v>1</v>
      </c>
      <c r="AS69" s="6" t="str">
        <f t="shared" si="7"/>
        <v>OK</v>
      </c>
      <c r="AU69" s="202">
        <v>41186</v>
      </c>
      <c r="AV69" s="6" t="s">
        <v>9190</v>
      </c>
      <c r="AW69" s="274">
        <v>64970</v>
      </c>
    </row>
    <row r="70" spans="1:49" s="13" customFormat="1" ht="45" x14ac:dyDescent="0.2">
      <c r="A70" s="14">
        <v>55</v>
      </c>
      <c r="B70" s="8">
        <v>400053176</v>
      </c>
      <c r="C70" s="8" t="s">
        <v>1447</v>
      </c>
      <c r="D70" s="4" t="str">
        <f t="shared" si="5"/>
        <v>400053176A</v>
      </c>
      <c r="E70" s="309" t="str">
        <f>VLOOKUP($B70,'D7 - NDB Impacted SPRF''s'!$E$6:$O$9929,2,FALSE)</f>
        <v>ICUE Medica Passport Capability Build</v>
      </c>
      <c r="F70" s="8"/>
      <c r="G70" s="8" t="s">
        <v>7980</v>
      </c>
      <c r="H70" s="8" t="s">
        <v>1606</v>
      </c>
      <c r="I70" s="20">
        <v>1.4</v>
      </c>
      <c r="J70" s="8" t="s">
        <v>4862</v>
      </c>
      <c r="K70" s="182">
        <v>41412</v>
      </c>
      <c r="L70" s="8" t="s">
        <v>4156</v>
      </c>
      <c r="M70" s="8" t="s">
        <v>5626</v>
      </c>
      <c r="N70" s="38" t="s">
        <v>8229</v>
      </c>
      <c r="O70" s="8"/>
      <c r="P70" s="4" t="str">
        <f>VLOOKUP($B70,'D7 - NDB Impacted SPRF''s'!$E$16:$O$9929,9,FALSE)</f>
        <v>Y</v>
      </c>
      <c r="Q70" s="4" t="str">
        <f>VLOOKUP($B70,'D7 - NDB Impacted SPRF''s'!$E$16:$O$9929,10,FALSE)</f>
        <v>N</v>
      </c>
      <c r="R70" s="4" t="str">
        <f>VLOOKUP($B70,'D7 - NDB Impacted SPRF''s'!$E$16:$O$9929,11,FALSE)</f>
        <v>N</v>
      </c>
      <c r="S70" s="8"/>
      <c r="T70" s="310"/>
      <c r="U70" s="310"/>
      <c r="V70" s="4"/>
      <c r="W70" s="4"/>
      <c r="X70" s="4"/>
      <c r="Y70" s="4"/>
      <c r="Z70" s="4"/>
      <c r="AA70" s="4"/>
      <c r="AB70" s="380" t="str">
        <f>VLOOKUP($B70,'D7 - NDB Impacted SPRF''s'!$E$6:$O$9929,4,FALSE)</f>
        <v>Scheduled</v>
      </c>
      <c r="AC70" s="380" t="str">
        <f>VLOOKUP($B70,'D7 - NDB Impacted SPRF''s'!$E$6:$O$9929,3,FALSE)</f>
        <v>UnitedHealthcare Employer &amp; Individual</v>
      </c>
      <c r="AD70" s="380" t="str">
        <f>VLOOKUP($B70,'D7 - NDB Impacted SPRF''s'!$E$6:$O$9929,5,FALSE)</f>
        <v>Regulatory / Other</v>
      </c>
      <c r="AE70" s="380" t="str">
        <f>VLOOKUP($B70,'D7 - NDB Impacted SPRF''s'!$E$6:$O$9929,7,FALSE)</f>
        <v>Ellen Koch</v>
      </c>
      <c r="AF70" s="380" t="str">
        <f>VLOOKUP($B70,'D7 - NDB Impacted SPRF''s'!$E$6:$O$9929,6,FALSE)</f>
        <v>Carol Buske</v>
      </c>
      <c r="AG70" s="282"/>
      <c r="AH70" s="311" t="str">
        <f>INDEX('D5 - Gatekeeper - Projects'!$A$4:$AF$1010,$AM70, 17)</f>
        <v>T. Kester</v>
      </c>
      <c r="AI70" s="8"/>
      <c r="AJ70" s="57"/>
      <c r="AK70" s="105"/>
      <c r="AM70" s="6">
        <f>MATCH(D70,'D5 - Gatekeeper - Projects'!$C$4:$C$1010,0)</f>
        <v>61</v>
      </c>
      <c r="AN70" s="6" t="b">
        <f t="shared" si="1"/>
        <v>0</v>
      </c>
      <c r="AO70" s="6" t="str">
        <f t="shared" si="6"/>
        <v>OK</v>
      </c>
      <c r="AQ70" s="6" t="e">
        <f>MATCH($D70,'D4 - Provider Council Unsched'!$C$11:$C$234,0)</f>
        <v>#N/A</v>
      </c>
      <c r="AR70" s="6" t="b">
        <f t="shared" si="3"/>
        <v>1</v>
      </c>
      <c r="AS70" s="6" t="str">
        <f t="shared" si="7"/>
        <v>OK</v>
      </c>
      <c r="AU70" s="202">
        <v>41292</v>
      </c>
      <c r="AV70" s="312" t="s">
        <v>2299</v>
      </c>
      <c r="AW70" s="274"/>
    </row>
    <row r="71" spans="1:49" s="13" customFormat="1" ht="90" x14ac:dyDescent="0.2">
      <c r="A71" s="14">
        <v>56</v>
      </c>
      <c r="B71" s="8">
        <v>400053883</v>
      </c>
      <c r="C71" s="8" t="s">
        <v>1447</v>
      </c>
      <c r="D71" s="4" t="str">
        <f t="shared" si="5"/>
        <v>400053883A</v>
      </c>
      <c r="E71" s="309" t="str">
        <f>VLOOKUP($B71,'D7 - NDB Impacted SPRF''s'!$E$6:$O$9929,2,FALSE)</f>
        <v>ICD-10 Load Codes for Enterprise Test</v>
      </c>
      <c r="F71" s="8"/>
      <c r="G71" s="8" t="s">
        <v>7980</v>
      </c>
      <c r="H71" s="8" t="s">
        <v>1606</v>
      </c>
      <c r="I71" s="20">
        <v>54.67</v>
      </c>
      <c r="J71" s="8" t="s">
        <v>4862</v>
      </c>
      <c r="K71" s="182">
        <v>41412</v>
      </c>
      <c r="L71" s="8" t="s">
        <v>4156</v>
      </c>
      <c r="M71" s="8" t="s">
        <v>2814</v>
      </c>
      <c r="N71" s="38" t="s">
        <v>8249</v>
      </c>
      <c r="O71" s="8"/>
      <c r="P71" s="4" t="str">
        <f>VLOOKUP($B71,'D7 - NDB Impacted SPRF''s'!$E$16:$O$9929,9,FALSE)</f>
        <v>Y</v>
      </c>
      <c r="Q71" s="4" t="str">
        <f>VLOOKUP($B71,'D7 - NDB Impacted SPRF''s'!$E$16:$O$9929,10,FALSE)</f>
        <v>N</v>
      </c>
      <c r="R71" s="4" t="str">
        <f>VLOOKUP($B71,'D7 - NDB Impacted SPRF''s'!$E$16:$O$9929,11,FALSE)</f>
        <v>Y</v>
      </c>
      <c r="S71" s="8"/>
      <c r="T71" s="310"/>
      <c r="U71" s="310"/>
      <c r="V71" s="4"/>
      <c r="W71" s="4"/>
      <c r="X71" s="4"/>
      <c r="Y71" s="4"/>
      <c r="Z71" s="4"/>
      <c r="AA71" s="4"/>
      <c r="AB71" s="380" t="str">
        <f>VLOOKUP($B71,'D7 - NDB Impacted SPRF''s'!$E$6:$O$9929,4,FALSE)</f>
        <v>Scheduled</v>
      </c>
      <c r="AC71" s="380" t="str">
        <f>VLOOKUP($B71,'D7 - NDB Impacted SPRF''s'!$E$6:$O$9929,3,FALSE)</f>
        <v>UnitedHealthcare Employer &amp; Individual</v>
      </c>
      <c r="AD71" s="380" t="str">
        <f>VLOOKUP($B71,'D7 - NDB Impacted SPRF''s'!$E$6:$O$9929,5,FALSE)</f>
        <v>Regulatory / Other</v>
      </c>
      <c r="AE71" s="380" t="str">
        <f>VLOOKUP($B71,'D7 - NDB Impacted SPRF''s'!$E$6:$O$9929,7,FALSE)</f>
        <v>Tim Kaja</v>
      </c>
      <c r="AF71" s="380" t="str">
        <f>VLOOKUP($B71,'D7 - NDB Impacted SPRF''s'!$E$6:$O$9929,6,FALSE)</f>
        <v>Delvis Schilling</v>
      </c>
      <c r="AG71" s="282"/>
      <c r="AH71" s="311" t="str">
        <f>INDEX('D5 - Gatekeeper - Projects'!$A$4:$AF$1010,$AM71, 17)</f>
        <v>C. Chen</v>
      </c>
      <c r="AI71" s="8"/>
      <c r="AJ71" s="57"/>
      <c r="AK71" s="105"/>
      <c r="AM71" s="6">
        <f>MATCH(D71,'D5 - Gatekeeper - Projects'!$C$4:$C$1010,0)</f>
        <v>62</v>
      </c>
      <c r="AN71" s="6" t="b">
        <f t="shared" si="1"/>
        <v>0</v>
      </c>
      <c r="AO71" s="6" t="str">
        <f t="shared" si="6"/>
        <v>OK</v>
      </c>
      <c r="AQ71" s="6" t="e">
        <f>MATCH($D71,'D4 - Provider Council Unsched'!$C$11:$C$234,0)</f>
        <v>#N/A</v>
      </c>
      <c r="AR71" s="6" t="b">
        <f t="shared" si="3"/>
        <v>1</v>
      </c>
      <c r="AS71" s="6" t="str">
        <f t="shared" si="7"/>
        <v>OK</v>
      </c>
      <c r="AU71" s="202">
        <v>41162</v>
      </c>
      <c r="AV71" s="6" t="s">
        <v>2299</v>
      </c>
      <c r="AW71" s="274">
        <v>66286</v>
      </c>
    </row>
    <row r="72" spans="1:49" s="13" customFormat="1" ht="33.75" x14ac:dyDescent="0.2">
      <c r="A72" s="14">
        <v>57</v>
      </c>
      <c r="B72" s="8">
        <v>400054009</v>
      </c>
      <c r="C72" s="8" t="s">
        <v>1447</v>
      </c>
      <c r="D72" s="4" t="str">
        <f t="shared" si="5"/>
        <v>400054009A</v>
      </c>
      <c r="E72" s="309" t="str">
        <f>VLOOKUP($B72,'D7 - NDB Impacted SPRF''s'!$E$6:$O$9929,2,FALSE)</f>
        <v>HCR - Cause Code at detail level for UB format</v>
      </c>
      <c r="F72" s="8"/>
      <c r="G72" s="8" t="s">
        <v>7980</v>
      </c>
      <c r="H72" s="8" t="s">
        <v>1606</v>
      </c>
      <c r="I72" s="20">
        <v>0.53</v>
      </c>
      <c r="J72" s="8" t="s">
        <v>4862</v>
      </c>
      <c r="K72" s="182">
        <v>41412</v>
      </c>
      <c r="L72" s="8" t="s">
        <v>4156</v>
      </c>
      <c r="M72" s="8" t="s">
        <v>6688</v>
      </c>
      <c r="N72" s="38" t="s">
        <v>9369</v>
      </c>
      <c r="O72" s="8"/>
      <c r="P72" s="4" t="str">
        <f>VLOOKUP($B72,'D7 - NDB Impacted SPRF''s'!$E$16:$O$9929,9,FALSE)</f>
        <v>Y</v>
      </c>
      <c r="Q72" s="4" t="str">
        <f>VLOOKUP($B72,'D7 - NDB Impacted SPRF''s'!$E$16:$O$9929,10,FALSE)</f>
        <v>N</v>
      </c>
      <c r="R72" s="4" t="str">
        <f>VLOOKUP($B72,'D7 - NDB Impacted SPRF''s'!$E$16:$O$9929,11,FALSE)</f>
        <v>N</v>
      </c>
      <c r="S72" s="8"/>
      <c r="T72" s="310"/>
      <c r="U72" s="310"/>
      <c r="V72" s="4"/>
      <c r="W72" s="4"/>
      <c r="X72" s="4"/>
      <c r="Y72" s="4"/>
      <c r="Z72" s="4"/>
      <c r="AA72" s="4"/>
      <c r="AB72" s="380" t="str">
        <f>VLOOKUP($B72,'D7 - NDB Impacted SPRF''s'!$E$6:$O$9929,4,FALSE)</f>
        <v>In Estimating</v>
      </c>
      <c r="AC72" s="380" t="str">
        <f>VLOOKUP($B72,'D7 - NDB Impacted SPRF''s'!$E$6:$O$9929,3,FALSE)</f>
        <v>UnitedHealthcare Employer &amp; Individual</v>
      </c>
      <c r="AD72" s="380" t="str">
        <f>VLOOKUP($B72,'D7 - NDB Impacted SPRF''s'!$E$6:$O$9929,5,FALSE)</f>
        <v>Regulatory / Other</v>
      </c>
      <c r="AE72" s="380" t="str">
        <f>VLOOKUP($B72,'D7 - NDB Impacted SPRF''s'!$E$6:$O$9929,7,FALSE)</f>
        <v>Regis O'neil</v>
      </c>
      <c r="AF72" s="380" t="str">
        <f>VLOOKUP($B72,'D7 - NDB Impacted SPRF''s'!$E$6:$O$9929,6,FALSE)</f>
        <v>CHERYL STAUFFER</v>
      </c>
      <c r="AG72" s="282"/>
      <c r="AH72" s="311" t="str">
        <f>INDEX('D5 - Gatekeeper - Projects'!$A$4:$AF$1010,$AM72, 17)</f>
        <v>L. Bravoco</v>
      </c>
      <c r="AI72" s="8"/>
      <c r="AJ72" s="57"/>
      <c r="AK72" s="105"/>
      <c r="AM72" s="6">
        <f>MATCH(D72,'D5 - Gatekeeper - Projects'!$C$4:$C$1010,0)</f>
        <v>63</v>
      </c>
      <c r="AN72" s="6" t="b">
        <f t="shared" si="1"/>
        <v>0</v>
      </c>
      <c r="AO72" s="6" t="str">
        <f t="shared" si="6"/>
        <v>OK</v>
      </c>
      <c r="AQ72" s="6" t="e">
        <f>MATCH($D72,'D4 - Provider Council Unsched'!$C$11:$C$234,0)</f>
        <v>#N/A</v>
      </c>
      <c r="AR72" s="6" t="b">
        <f t="shared" si="3"/>
        <v>1</v>
      </c>
      <c r="AS72" s="6" t="str">
        <f t="shared" si="7"/>
        <v>OK</v>
      </c>
      <c r="AU72" s="202">
        <v>41390</v>
      </c>
      <c r="AV72" s="404" t="s">
        <v>9280</v>
      </c>
      <c r="AW72" s="274"/>
    </row>
    <row r="73" spans="1:49" s="13" customFormat="1" ht="56.25" x14ac:dyDescent="0.2">
      <c r="A73" s="14">
        <v>58</v>
      </c>
      <c r="B73" s="8">
        <v>400054074</v>
      </c>
      <c r="C73" s="8" t="s">
        <v>1447</v>
      </c>
      <c r="D73" s="4" t="str">
        <f t="shared" si="5"/>
        <v>400054074A</v>
      </c>
      <c r="E73" s="309" t="str">
        <f>VLOOKUP($B73,'D7 - NDB Impacted SPRF''s'!$E$6:$O$9929,2,FALSE)</f>
        <v>iCES Clearinghouse May 2013 Maintenance Release</v>
      </c>
      <c r="F73" s="8"/>
      <c r="G73" s="8" t="s">
        <v>7980</v>
      </c>
      <c r="H73" s="8" t="s">
        <v>1606</v>
      </c>
      <c r="I73" s="20">
        <v>0.34</v>
      </c>
      <c r="J73" s="8" t="s">
        <v>4862</v>
      </c>
      <c r="K73" s="182">
        <v>41412</v>
      </c>
      <c r="L73" s="8" t="s">
        <v>4156</v>
      </c>
      <c r="M73" s="8" t="s">
        <v>5626</v>
      </c>
      <c r="N73" s="38" t="s">
        <v>8965</v>
      </c>
      <c r="O73" s="8"/>
      <c r="P73" s="4" t="str">
        <f>VLOOKUP($B73,'D7 - NDB Impacted SPRF''s'!$E$16:$O$9929,9,FALSE)</f>
        <v>Y</v>
      </c>
      <c r="Q73" s="4" t="str">
        <f>VLOOKUP($B73,'D7 - NDB Impacted SPRF''s'!$E$16:$O$9929,10,FALSE)</f>
        <v>N</v>
      </c>
      <c r="R73" s="4" t="str">
        <f>VLOOKUP($B73,'D7 - NDB Impacted SPRF''s'!$E$16:$O$9929,11,FALSE)</f>
        <v>Y</v>
      </c>
      <c r="S73" s="8"/>
      <c r="T73" s="310"/>
      <c r="U73" s="310"/>
      <c r="V73" s="4"/>
      <c r="W73" s="4"/>
      <c r="X73" s="4"/>
      <c r="Y73" s="4"/>
      <c r="Z73" s="4"/>
      <c r="AA73" s="4"/>
      <c r="AB73" s="380" t="str">
        <f>VLOOKUP($B73,'D7 - NDB Impacted SPRF''s'!$E$6:$O$9929,4,FALSE)</f>
        <v>Scheduled</v>
      </c>
      <c r="AC73" s="380" t="str">
        <f>VLOOKUP($B73,'D7 - NDB Impacted SPRF''s'!$E$6:$O$9929,3,FALSE)</f>
        <v>UnitedHealthcare Employer &amp; Individual</v>
      </c>
      <c r="AD73" s="380" t="str">
        <f>VLOOKUP($B73,'D7 - NDB Impacted SPRF''s'!$E$6:$O$9929,5,FALSE)</f>
        <v>Operational Requirements</v>
      </c>
      <c r="AE73" s="380" t="str">
        <f>VLOOKUP($B73,'D7 - NDB Impacted SPRF''s'!$E$6:$O$9929,7,FALSE)</f>
        <v>Kathy Learst</v>
      </c>
      <c r="AF73" s="380" t="str">
        <f>VLOOKUP($B73,'D7 - NDB Impacted SPRF''s'!$E$6:$O$9929,6,FALSE)</f>
        <v>Rebecca Reynolds</v>
      </c>
      <c r="AG73" s="282"/>
      <c r="AH73" s="311" t="str">
        <f>INDEX('D5 - Gatekeeper - Projects'!$A$4:$AF$1010,$AM73, 17)</f>
        <v>T. Kester</v>
      </c>
      <c r="AI73" s="8"/>
      <c r="AJ73" s="57"/>
      <c r="AK73" s="105"/>
      <c r="AM73" s="6">
        <f>MATCH(D73,'D5 - Gatekeeper - Projects'!$C$4:$C$1010,0)</f>
        <v>64</v>
      </c>
      <c r="AN73" s="6" t="b">
        <f t="shared" si="1"/>
        <v>0</v>
      </c>
      <c r="AO73" s="6" t="str">
        <f t="shared" si="6"/>
        <v>OK</v>
      </c>
      <c r="AQ73" s="6" t="e">
        <f>MATCH($D73,'D4 - Provider Council Unsched'!$C$11:$C$234,0)</f>
        <v>#N/A</v>
      </c>
      <c r="AR73" s="6" t="b">
        <f t="shared" si="3"/>
        <v>1</v>
      </c>
      <c r="AS73" s="6" t="str">
        <f t="shared" si="7"/>
        <v>OK</v>
      </c>
      <c r="AU73" s="202">
        <v>41278</v>
      </c>
      <c r="AV73" s="312" t="s">
        <v>2303</v>
      </c>
      <c r="AW73" s="274"/>
    </row>
    <row r="74" spans="1:49" s="13" customFormat="1" ht="33.75" x14ac:dyDescent="0.2">
      <c r="A74" s="14">
        <v>59</v>
      </c>
      <c r="B74" s="8">
        <v>400054151</v>
      </c>
      <c r="C74" s="8" t="s">
        <v>1447</v>
      </c>
      <c r="D74" s="4" t="str">
        <f t="shared" si="5"/>
        <v>400054151A</v>
      </c>
      <c r="E74" s="309" t="str">
        <f>VLOOKUP($B74,'D7 - NDB Impacted SPRF''s'!$E$6:$O$9929,2,FALSE)</f>
        <v>I-CUE Release Q2 2013 - PHS</v>
      </c>
      <c r="F74" s="8"/>
      <c r="G74" s="8" t="s">
        <v>7980</v>
      </c>
      <c r="H74" s="8" t="s">
        <v>1606</v>
      </c>
      <c r="I74" s="20">
        <v>0.1</v>
      </c>
      <c r="J74" s="8" t="s">
        <v>4862</v>
      </c>
      <c r="K74" s="182">
        <v>41412</v>
      </c>
      <c r="L74" s="8" t="s">
        <v>4156</v>
      </c>
      <c r="M74" s="8" t="s">
        <v>5626</v>
      </c>
      <c r="N74" s="38"/>
      <c r="O74" s="8"/>
      <c r="P74" s="4" t="str">
        <f>VLOOKUP($B74,'D7 - NDB Impacted SPRF''s'!$E$16:$O$9929,9,FALSE)</f>
        <v>Y</v>
      </c>
      <c r="Q74" s="4" t="str">
        <f>VLOOKUP($B74,'D7 - NDB Impacted SPRF''s'!$E$16:$O$9929,10,FALSE)</f>
        <v>N</v>
      </c>
      <c r="R74" s="4" t="str">
        <f>VLOOKUP($B74,'D7 - NDB Impacted SPRF''s'!$E$16:$O$9929,11,FALSE)</f>
        <v>N</v>
      </c>
      <c r="S74" s="8"/>
      <c r="T74" s="310"/>
      <c r="U74" s="310"/>
      <c r="V74" s="4"/>
      <c r="W74" s="4"/>
      <c r="X74" s="4"/>
      <c r="Y74" s="4"/>
      <c r="Z74" s="4"/>
      <c r="AA74" s="4"/>
      <c r="AB74" s="380" t="str">
        <f>VLOOKUP($B74,'D7 - NDB Impacted SPRF''s'!$E$6:$O$9929,4,FALSE)</f>
        <v>Scheduled</v>
      </c>
      <c r="AC74" s="380" t="str">
        <f>VLOOKUP($B74,'D7 - NDB Impacted SPRF''s'!$E$6:$O$9929,3,FALSE)</f>
        <v>UnitedHealthcare Employer &amp; Individual</v>
      </c>
      <c r="AD74" s="380" t="str">
        <f>VLOOKUP($B74,'D7 - NDB Impacted SPRF''s'!$E$6:$O$9929,5,FALSE)</f>
        <v>Medical Cost Savings Programs</v>
      </c>
      <c r="AE74" s="380" t="str">
        <f>VLOOKUP($B74,'D7 - NDB Impacted SPRF''s'!$E$6:$O$9929,7,FALSE)</f>
        <v>Ellen Koch</v>
      </c>
      <c r="AF74" s="380" t="str">
        <f>VLOOKUP($B74,'D7 - NDB Impacted SPRF''s'!$E$6:$O$9929,6,FALSE)</f>
        <v>Carol Buske</v>
      </c>
      <c r="AG74" s="282"/>
      <c r="AH74" s="311" t="str">
        <f>INDEX('D5 - Gatekeeper - Projects'!$A$4:$AF$1010,$AM74, 17)</f>
        <v>T. Kester</v>
      </c>
      <c r="AI74" s="8"/>
      <c r="AJ74" s="57"/>
      <c r="AK74" s="105"/>
      <c r="AM74" s="6">
        <f>MATCH(D74,'D5 - Gatekeeper - Projects'!$C$4:$C$1010,0)</f>
        <v>65</v>
      </c>
      <c r="AN74" s="6" t="b">
        <f t="shared" si="1"/>
        <v>0</v>
      </c>
      <c r="AO74" s="6" t="str">
        <f t="shared" si="6"/>
        <v>OK</v>
      </c>
      <c r="AQ74" s="6" t="e">
        <f>MATCH($D74,'D4 - Provider Council Unsched'!$C$11:$C$234,0)</f>
        <v>#N/A</v>
      </c>
      <c r="AR74" s="6" t="b">
        <f t="shared" si="3"/>
        <v>1</v>
      </c>
      <c r="AS74" s="6" t="str">
        <f t="shared" si="7"/>
        <v>OK</v>
      </c>
      <c r="AU74" s="202">
        <v>41186</v>
      </c>
      <c r="AV74" s="312" t="s">
        <v>436</v>
      </c>
      <c r="AW74" s="274" t="s">
        <v>3572</v>
      </c>
    </row>
    <row r="75" spans="1:49" s="13" customFormat="1" ht="33.75" x14ac:dyDescent="0.2">
      <c r="A75" s="14">
        <v>60</v>
      </c>
      <c r="B75" s="14">
        <v>400054352</v>
      </c>
      <c r="C75" s="8" t="s">
        <v>1447</v>
      </c>
      <c r="D75" s="4" t="str">
        <f t="shared" si="5"/>
        <v>400054352A</v>
      </c>
      <c r="E75" s="309" t="str">
        <f>VLOOKUP($B75,'D7 - NDB Impacted SPRF''s'!$E$6:$O$9929,2,FALSE)</f>
        <v xml:space="preserve">Integrated Administration - Structure Matching </v>
      </c>
      <c r="F75" s="8"/>
      <c r="G75" s="8" t="s">
        <v>7980</v>
      </c>
      <c r="H75" s="8" t="s">
        <v>1606</v>
      </c>
      <c r="I75" s="20">
        <v>0.1</v>
      </c>
      <c r="J75" s="8" t="s">
        <v>4862</v>
      </c>
      <c r="K75" s="182">
        <v>41412</v>
      </c>
      <c r="L75" s="8" t="s">
        <v>4156</v>
      </c>
      <c r="M75" s="8" t="s">
        <v>5626</v>
      </c>
      <c r="N75" s="38" t="s">
        <v>3067</v>
      </c>
      <c r="O75" s="8"/>
      <c r="P75" s="4" t="str">
        <f>VLOOKUP($B75,'D7 - NDB Impacted SPRF''s'!$E$16:$O$9929,9,FALSE)</f>
        <v>N</v>
      </c>
      <c r="Q75" s="4" t="str">
        <f>VLOOKUP($B75,'D7 - NDB Impacted SPRF''s'!$E$16:$O$9929,10,FALSE)</f>
        <v>N</v>
      </c>
      <c r="R75" s="4" t="str">
        <f>VLOOKUP($B75,'D7 - NDB Impacted SPRF''s'!$E$16:$O$9929,11,FALSE)</f>
        <v>N</v>
      </c>
      <c r="S75" s="8"/>
      <c r="T75" s="310"/>
      <c r="U75" s="310"/>
      <c r="V75" s="4"/>
      <c r="W75" s="4"/>
      <c r="X75" s="4"/>
      <c r="Y75" s="4"/>
      <c r="Z75" s="4"/>
      <c r="AA75" s="4"/>
      <c r="AB75" s="380" t="str">
        <f>VLOOKUP($B75,'D7 - NDB Impacted SPRF''s'!$E$6:$O$9929,4,FALSE)</f>
        <v>Scheduled</v>
      </c>
      <c r="AC75" s="380" t="str">
        <f>VLOOKUP($B75,'D7 - NDB Impacted SPRF''s'!$E$6:$O$9929,3,FALSE)</f>
        <v>UnitedHealthcare Employer &amp; Individual</v>
      </c>
      <c r="AD75" s="380" t="str">
        <f>VLOOKUP($B75,'D7 - NDB Impacted SPRF''s'!$E$6:$O$9929,5,FALSE)</f>
        <v>Integration Requirements</v>
      </c>
      <c r="AE75" s="380" t="str">
        <f>VLOOKUP($B75,'D7 - NDB Impacted SPRF''s'!$E$6:$O$9929,7,FALSE)</f>
        <v>Lisa Panopio-Hill</v>
      </c>
      <c r="AF75" s="380" t="str">
        <f>VLOOKUP($B75,'D7 - NDB Impacted SPRF''s'!$E$6:$O$9929,6,FALSE)</f>
        <v>Belza Mayorquin</v>
      </c>
      <c r="AG75" s="282"/>
      <c r="AH75" s="311" t="str">
        <f>INDEX('D5 - Gatekeeper - Projects'!$A$4:$AF$1010,$AM75, 17)</f>
        <v>T. Kester</v>
      </c>
      <c r="AI75" s="8"/>
      <c r="AJ75" s="57"/>
      <c r="AK75" s="105"/>
      <c r="AM75" s="6">
        <f>MATCH(D75,'D5 - Gatekeeper - Projects'!$C$4:$C$1010,0)</f>
        <v>66</v>
      </c>
      <c r="AN75" s="6" t="b">
        <f t="shared" si="1"/>
        <v>0</v>
      </c>
      <c r="AO75" s="6" t="str">
        <f t="shared" si="6"/>
        <v>OK</v>
      </c>
      <c r="AQ75" s="6" t="e">
        <f>MATCH($D75,'D4 - Provider Council Unsched'!$C$11:$C$234,0)</f>
        <v>#N/A</v>
      </c>
      <c r="AR75" s="6" t="b">
        <f t="shared" si="3"/>
        <v>1</v>
      </c>
      <c r="AS75" s="6" t="str">
        <f t="shared" si="7"/>
        <v>OK</v>
      </c>
      <c r="AU75" s="202">
        <v>41326</v>
      </c>
      <c r="AV75" s="6" t="s">
        <v>474</v>
      </c>
      <c r="AW75" s="274"/>
    </row>
    <row r="76" spans="1:49" s="13" customFormat="1" ht="33.75" x14ac:dyDescent="0.2">
      <c r="A76" s="14">
        <v>61</v>
      </c>
      <c r="B76" s="8">
        <v>400054585</v>
      </c>
      <c r="C76" s="8" t="s">
        <v>1447</v>
      </c>
      <c r="D76" s="4" t="str">
        <f t="shared" si="5"/>
        <v>400054585A</v>
      </c>
      <c r="E76" s="309" t="str">
        <f>VLOOKUP($B76,'D7 - NDB Impacted SPRF''s'!$E$6:$O$9929,2,FALSE)</f>
        <v>CSS-B2X 2013B Release (PHS Migration)</v>
      </c>
      <c r="F76" s="8"/>
      <c r="G76" s="8" t="s">
        <v>7980</v>
      </c>
      <c r="H76" s="8" t="s">
        <v>1606</v>
      </c>
      <c r="I76" s="20">
        <v>0.49</v>
      </c>
      <c r="J76" s="8" t="s">
        <v>4862</v>
      </c>
      <c r="K76" s="182">
        <v>41412</v>
      </c>
      <c r="L76" s="8" t="s">
        <v>4156</v>
      </c>
      <c r="M76" s="8" t="s">
        <v>5626</v>
      </c>
      <c r="N76" s="38"/>
      <c r="O76" s="8"/>
      <c r="P76" s="4" t="str">
        <f>VLOOKUP($B76,'D7 - NDB Impacted SPRF''s'!$E$16:$O$9929,9,FALSE)</f>
        <v>N</v>
      </c>
      <c r="Q76" s="4" t="str">
        <f>VLOOKUP($B76,'D7 - NDB Impacted SPRF''s'!$E$16:$O$9929,10,FALSE)</f>
        <v>N</v>
      </c>
      <c r="R76" s="4" t="str">
        <f>VLOOKUP($B76,'D7 - NDB Impacted SPRF''s'!$E$16:$O$9929,11,FALSE)</f>
        <v>N</v>
      </c>
      <c r="S76" s="8"/>
      <c r="T76" s="310"/>
      <c r="U76" s="310"/>
      <c r="V76" s="4"/>
      <c r="W76" s="4"/>
      <c r="X76" s="4"/>
      <c r="Y76" s="4"/>
      <c r="Z76" s="4"/>
      <c r="AA76" s="4"/>
      <c r="AB76" s="380" t="str">
        <f>VLOOKUP($B76,'D7 - NDB Impacted SPRF''s'!$E$6:$O$9929,4,FALSE)</f>
        <v>Scheduled</v>
      </c>
      <c r="AC76" s="380" t="str">
        <f>VLOOKUP($B76,'D7 - NDB Impacted SPRF''s'!$E$6:$O$9929,3,FALSE)</f>
        <v>UnitedHealthcare Employer &amp; Individual</v>
      </c>
      <c r="AD76" s="380" t="str">
        <f>VLOOKUP($B76,'D7 - NDB Impacted SPRF''s'!$E$6:$O$9929,5,FALSE)</f>
        <v>Medical Cost Savings Programs</v>
      </c>
      <c r="AE76" s="380" t="str">
        <f>VLOOKUP($B76,'D7 - NDB Impacted SPRF''s'!$E$6:$O$9929,7,FALSE)</f>
        <v>Cynthia Middaugh</v>
      </c>
      <c r="AF76" s="380" t="str">
        <f>VLOOKUP($B76,'D7 - NDB Impacted SPRF''s'!$E$6:$O$9929,6,FALSE)</f>
        <v>CHRISTINA MOSHER</v>
      </c>
      <c r="AG76" s="282"/>
      <c r="AH76" s="311" t="str">
        <f>INDEX('D5 - Gatekeeper - Projects'!$A$4:$AF$1010,$AM76, 17)</f>
        <v>T. Kester</v>
      </c>
      <c r="AI76" s="8"/>
      <c r="AJ76" s="57"/>
      <c r="AK76" s="105"/>
      <c r="AM76" s="6">
        <f>MATCH(D76,'D5 - Gatekeeper - Projects'!$C$4:$C$1010,0)</f>
        <v>67</v>
      </c>
      <c r="AN76" s="6" t="b">
        <f t="shared" si="1"/>
        <v>0</v>
      </c>
      <c r="AO76" s="6" t="str">
        <f t="shared" si="6"/>
        <v>OK</v>
      </c>
      <c r="AQ76" s="6" t="e">
        <f>MATCH($D76,'D4 - Provider Council Unsched'!$C$11:$C$234,0)</f>
        <v>#N/A</v>
      </c>
      <c r="AR76" s="6" t="b">
        <f t="shared" si="3"/>
        <v>1</v>
      </c>
      <c r="AS76" s="6" t="str">
        <f t="shared" si="7"/>
        <v>OK</v>
      </c>
      <c r="AU76" s="202">
        <v>41278</v>
      </c>
      <c r="AV76" s="312" t="s">
        <v>2232</v>
      </c>
      <c r="AW76" s="274"/>
    </row>
    <row r="77" spans="1:49" s="13" customFormat="1" ht="33.75" x14ac:dyDescent="0.2">
      <c r="A77" s="14">
        <v>62</v>
      </c>
      <c r="B77" s="8">
        <v>400054674</v>
      </c>
      <c r="C77" s="8" t="s">
        <v>1447</v>
      </c>
      <c r="D77" s="4" t="str">
        <f t="shared" si="5"/>
        <v>400054674A</v>
      </c>
      <c r="E77" s="309" t="str">
        <f>VLOOKUP($B77,'D7 - NDB Impacted SPRF''s'!$E$6:$O$9929,2,FALSE)</f>
        <v>C&amp;S COSMOS Full Radiology Implementation</v>
      </c>
      <c r="F77" s="8"/>
      <c r="G77" s="8" t="s">
        <v>7980</v>
      </c>
      <c r="H77" s="8" t="s">
        <v>1606</v>
      </c>
      <c r="I77" s="20">
        <v>9.32</v>
      </c>
      <c r="J77" s="8" t="s">
        <v>4862</v>
      </c>
      <c r="K77" s="182">
        <v>41412</v>
      </c>
      <c r="L77" s="8" t="s">
        <v>4156</v>
      </c>
      <c r="M77" s="8" t="s">
        <v>2814</v>
      </c>
      <c r="N77" s="38"/>
      <c r="O77" s="8"/>
      <c r="P77" s="4" t="str">
        <f>VLOOKUP($B77,'D7 - NDB Impacted SPRF''s'!$E$16:$O$9929,9,FALSE)</f>
        <v>N</v>
      </c>
      <c r="Q77" s="4" t="str">
        <f>VLOOKUP($B77,'D7 - NDB Impacted SPRF''s'!$E$16:$O$9929,10,FALSE)</f>
        <v>N</v>
      </c>
      <c r="R77" s="4" t="str">
        <f>VLOOKUP($B77,'D7 - NDB Impacted SPRF''s'!$E$16:$O$9929,11,FALSE)</f>
        <v>N</v>
      </c>
      <c r="S77" s="8"/>
      <c r="T77" s="310"/>
      <c r="U77" s="310"/>
      <c r="V77" s="4"/>
      <c r="W77" s="4"/>
      <c r="X77" s="4"/>
      <c r="Y77" s="4"/>
      <c r="Z77" s="4"/>
      <c r="AA77" s="4"/>
      <c r="AB77" s="380" t="str">
        <f>VLOOKUP($B77,'D7 - NDB Impacted SPRF''s'!$E$6:$O$9929,4,FALSE)</f>
        <v>Scheduled</v>
      </c>
      <c r="AC77" s="380" t="str">
        <f>VLOOKUP($B77,'D7 - NDB Impacted SPRF''s'!$E$6:$O$9929,3,FALSE)</f>
        <v>UnitedHealthcare Community &amp; State</v>
      </c>
      <c r="AD77" s="380" t="str">
        <f>VLOOKUP($B77,'D7 - NDB Impacted SPRF''s'!$E$6:$O$9929,5,FALSE)</f>
        <v>Medical Cost Saving Programs</v>
      </c>
      <c r="AE77" s="380" t="str">
        <f>VLOOKUP($B77,'D7 - NDB Impacted SPRF''s'!$E$6:$O$9929,7,FALSE)</f>
        <v>Rikki Goldenberg</v>
      </c>
      <c r="AF77" s="380" t="str">
        <f>VLOOKUP($B77,'D7 - NDB Impacted SPRF''s'!$E$6:$O$9929,6,FALSE)</f>
        <v>Rebecca Stelter</v>
      </c>
      <c r="AG77" s="282"/>
      <c r="AH77" s="311" t="str">
        <f>INDEX('D5 - Gatekeeper - Projects'!$A$4:$AF$1010,$AM77, 17)</f>
        <v>D. Bajpai</v>
      </c>
      <c r="AI77" s="8"/>
      <c r="AJ77" s="57"/>
      <c r="AK77" s="105"/>
      <c r="AM77" s="6">
        <f>MATCH(D77,'D5 - Gatekeeper - Projects'!$C$4:$C$1010,0)</f>
        <v>68</v>
      </c>
      <c r="AN77" s="6" t="b">
        <f t="shared" si="1"/>
        <v>0</v>
      </c>
      <c r="AO77" s="6" t="str">
        <f t="shared" si="6"/>
        <v>OK</v>
      </c>
      <c r="AQ77" s="6" t="e">
        <f>MATCH($D77,'D4 - Provider Council Unsched'!$C$11:$C$234,0)</f>
        <v>#N/A</v>
      </c>
      <c r="AR77" s="6" t="b">
        <f t="shared" si="3"/>
        <v>1</v>
      </c>
      <c r="AS77" s="6" t="str">
        <f t="shared" si="7"/>
        <v>OK</v>
      </c>
      <c r="AU77" s="202">
        <v>41186</v>
      </c>
      <c r="AV77" s="312" t="s">
        <v>2240</v>
      </c>
      <c r="AW77" s="274">
        <v>68961</v>
      </c>
    </row>
    <row r="78" spans="1:49" s="13" customFormat="1" ht="33.75" x14ac:dyDescent="0.2">
      <c r="A78" s="14">
        <v>63</v>
      </c>
      <c r="B78" s="8">
        <v>400054681</v>
      </c>
      <c r="C78" s="8" t="s">
        <v>1447</v>
      </c>
      <c r="D78" s="4" t="str">
        <f t="shared" si="5"/>
        <v>400054681A</v>
      </c>
      <c r="E78" s="309" t="str">
        <f>VLOOKUP($B78,'D7 - NDB Impacted SPRF''s'!$E$6:$O$9929,2,FALSE)</f>
        <v>C&amp;S CSP FACETS Full Radiology Implementation</v>
      </c>
      <c r="F78" s="8"/>
      <c r="G78" s="8" t="s">
        <v>7980</v>
      </c>
      <c r="H78" s="8" t="s">
        <v>1606</v>
      </c>
      <c r="I78" s="20">
        <v>9.32</v>
      </c>
      <c r="J78" s="8" t="s">
        <v>4862</v>
      </c>
      <c r="K78" s="182">
        <v>41412</v>
      </c>
      <c r="L78" s="8" t="s">
        <v>4156</v>
      </c>
      <c r="M78" s="8" t="s">
        <v>2814</v>
      </c>
      <c r="N78" s="38"/>
      <c r="O78" s="8"/>
      <c r="P78" s="4" t="str">
        <f>VLOOKUP($B78,'D7 - NDB Impacted SPRF''s'!$E$16:$O$9929,9,FALSE)</f>
        <v>N</v>
      </c>
      <c r="Q78" s="4" t="str">
        <f>VLOOKUP($B78,'D7 - NDB Impacted SPRF''s'!$E$16:$O$9929,10,FALSE)</f>
        <v>N</v>
      </c>
      <c r="R78" s="4" t="str">
        <f>VLOOKUP($B78,'D7 - NDB Impacted SPRF''s'!$E$16:$O$9929,11,FALSE)</f>
        <v>N</v>
      </c>
      <c r="S78" s="8"/>
      <c r="T78" s="310"/>
      <c r="U78" s="310"/>
      <c r="V78" s="4"/>
      <c r="W78" s="4"/>
      <c r="X78" s="4"/>
      <c r="Y78" s="4"/>
      <c r="Z78" s="4"/>
      <c r="AA78" s="4"/>
      <c r="AB78" s="380" t="str">
        <f>VLOOKUP($B78,'D7 - NDB Impacted SPRF''s'!$E$6:$O$9929,4,FALSE)</f>
        <v>Scheduled</v>
      </c>
      <c r="AC78" s="380" t="str">
        <f>VLOOKUP($B78,'D7 - NDB Impacted SPRF''s'!$E$6:$O$9929,3,FALSE)</f>
        <v>UnitedHealthcare Community &amp; State</v>
      </c>
      <c r="AD78" s="380" t="str">
        <f>VLOOKUP($B78,'D7 - NDB Impacted SPRF''s'!$E$6:$O$9929,5,FALSE)</f>
        <v>Medical Cost Saving Programs</v>
      </c>
      <c r="AE78" s="380" t="str">
        <f>VLOOKUP($B78,'D7 - NDB Impacted SPRF''s'!$E$6:$O$9929,7,FALSE)</f>
        <v>Rikki Goldenberg</v>
      </c>
      <c r="AF78" s="380" t="str">
        <f>VLOOKUP($B78,'D7 - NDB Impacted SPRF''s'!$E$6:$O$9929,6,FALSE)</f>
        <v>Rebecca Stelter</v>
      </c>
      <c r="AG78" s="282"/>
      <c r="AH78" s="311" t="str">
        <f>INDEX('D5 - Gatekeeper - Projects'!$A$4:$AF$1010,$AM78, 17)</f>
        <v>D. Bajpai</v>
      </c>
      <c r="AI78" s="8"/>
      <c r="AJ78" s="57"/>
      <c r="AK78" s="105"/>
      <c r="AM78" s="6">
        <f>MATCH(D78,'D5 - Gatekeeper - Projects'!$C$4:$C$1010,0)</f>
        <v>69</v>
      </c>
      <c r="AN78" s="6" t="b">
        <f t="shared" si="1"/>
        <v>0</v>
      </c>
      <c r="AO78" s="6" t="str">
        <f t="shared" si="6"/>
        <v>OK</v>
      </c>
      <c r="AQ78" s="6" t="e">
        <f>MATCH($D78,'D4 - Provider Council Unsched'!$C$11:$C$234,0)</f>
        <v>#N/A</v>
      </c>
      <c r="AR78" s="6" t="b">
        <f t="shared" si="3"/>
        <v>1</v>
      </c>
      <c r="AS78" s="6" t="str">
        <f t="shared" si="7"/>
        <v>OK</v>
      </c>
      <c r="AU78" s="202">
        <v>41186</v>
      </c>
      <c r="AV78" s="312" t="s">
        <v>2240</v>
      </c>
      <c r="AW78" s="274">
        <v>68963</v>
      </c>
    </row>
    <row r="79" spans="1:49" s="13" customFormat="1" ht="33.75" x14ac:dyDescent="0.2">
      <c r="A79" s="14">
        <v>64</v>
      </c>
      <c r="B79" s="14">
        <v>400054730</v>
      </c>
      <c r="C79" s="8" t="s">
        <v>1447</v>
      </c>
      <c r="D79" s="4" t="str">
        <f t="shared" si="5"/>
        <v>400054730A</v>
      </c>
      <c r="E79" s="309" t="str">
        <f>VLOOKUP($B79,'D7 - NDB Impacted SPRF''s'!$E$6:$O$9929,2,FALSE)</f>
        <v>Common Medicaid Platform Analysis</v>
      </c>
      <c r="F79" s="8"/>
      <c r="G79" s="8" t="s">
        <v>7980</v>
      </c>
      <c r="H79" s="8" t="s">
        <v>1606</v>
      </c>
      <c r="I79" s="20">
        <v>0.55000000000000004</v>
      </c>
      <c r="J79" s="8" t="s">
        <v>4862</v>
      </c>
      <c r="K79" s="182">
        <v>41412</v>
      </c>
      <c r="L79" s="8" t="s">
        <v>4156</v>
      </c>
      <c r="M79" s="8" t="s">
        <v>6688</v>
      </c>
      <c r="N79" s="38" t="s">
        <v>238</v>
      </c>
      <c r="O79" s="8"/>
      <c r="P79" s="4" t="str">
        <f>VLOOKUP($B79,'D7 - NDB Impacted SPRF''s'!$E$16:$O$9929,9,FALSE)</f>
        <v>N</v>
      </c>
      <c r="Q79" s="4" t="str">
        <f>VLOOKUP($B79,'D7 - NDB Impacted SPRF''s'!$E$16:$O$9929,10,FALSE)</f>
        <v>N</v>
      </c>
      <c r="R79" s="4" t="str">
        <f>VLOOKUP($B79,'D7 - NDB Impacted SPRF''s'!$E$16:$O$9929,11,FALSE)</f>
        <v>N</v>
      </c>
      <c r="S79" s="8"/>
      <c r="T79" s="310"/>
      <c r="U79" s="310"/>
      <c r="V79" s="4"/>
      <c r="W79" s="4"/>
      <c r="X79" s="4"/>
      <c r="Y79" s="4"/>
      <c r="Z79" s="4"/>
      <c r="AA79" s="4"/>
      <c r="AB79" s="380" t="str">
        <f>VLOOKUP($B79,'D7 - NDB Impacted SPRF''s'!$E$6:$O$9929,4,FALSE)</f>
        <v>Completed</v>
      </c>
      <c r="AC79" s="380" t="str">
        <f>VLOOKUP($B79,'D7 - NDB Impacted SPRF''s'!$E$6:$O$9929,3,FALSE)</f>
        <v>OptumHealth</v>
      </c>
      <c r="AD79" s="380" t="str">
        <f>VLOOKUP($B79,'D7 - NDB Impacted SPRF''s'!$E$6:$O$9929,5,FALSE)</f>
        <v>Behavioral Solutions</v>
      </c>
      <c r="AE79" s="380" t="str">
        <f>VLOOKUP($B79,'D7 - NDB Impacted SPRF''s'!$E$6:$O$9929,7,FALSE)</f>
        <v>Optum Health</v>
      </c>
      <c r="AF79" s="380" t="str">
        <f>VLOOKUP($B79,'D7 - NDB Impacted SPRF''s'!$E$6:$O$9929,6,FALSE)</f>
        <v>Amy Joy</v>
      </c>
      <c r="AG79" s="282"/>
      <c r="AH79" s="311" t="str">
        <f>INDEX('D5 - Gatekeeper - Projects'!$A$4:$AF$1010,$AM79, 17)</f>
        <v>D. Keith</v>
      </c>
      <c r="AI79" s="8"/>
      <c r="AJ79" s="57"/>
      <c r="AK79" s="105"/>
      <c r="AM79" s="6">
        <f>MATCH(D79,'D5 - Gatekeeper - Projects'!$C$4:$C$1010,0)</f>
        <v>70</v>
      </c>
      <c r="AN79" s="6" t="b">
        <f t="shared" si="1"/>
        <v>0</v>
      </c>
      <c r="AO79" s="6" t="str">
        <f t="shared" si="6"/>
        <v>OK</v>
      </c>
      <c r="AQ79" s="6" t="e">
        <f>MATCH($D79,'D4 - Provider Council Unsched'!$C$11:$C$234,0)</f>
        <v>#N/A</v>
      </c>
      <c r="AR79" s="6" t="b">
        <f t="shared" si="3"/>
        <v>1</v>
      </c>
      <c r="AS79" s="6" t="str">
        <f t="shared" si="7"/>
        <v>OK</v>
      </c>
      <c r="AU79" s="202">
        <v>41173</v>
      </c>
      <c r="AV79" s="6" t="s">
        <v>492</v>
      </c>
      <c r="AW79" s="274">
        <v>69244</v>
      </c>
    </row>
    <row r="80" spans="1:49" s="13" customFormat="1" ht="123.75" x14ac:dyDescent="0.2">
      <c r="A80" s="14">
        <v>65</v>
      </c>
      <c r="B80" s="8">
        <v>400054912</v>
      </c>
      <c r="C80" s="8" t="s">
        <v>1447</v>
      </c>
      <c r="D80" s="4" t="str">
        <f t="shared" si="5"/>
        <v>400054912A</v>
      </c>
      <c r="E80" s="309" t="str">
        <f>VLOOKUP($B80,'D7 - NDB Impacted SPRF''s'!$E$6:$O$9929,2,FALSE)</f>
        <v>Q2 2013 eSync Advocacy</v>
      </c>
      <c r="F80" s="8"/>
      <c r="G80" s="8" t="s">
        <v>7980</v>
      </c>
      <c r="H80" s="8" t="s">
        <v>1606</v>
      </c>
      <c r="I80" s="20">
        <v>0.21</v>
      </c>
      <c r="J80" s="8" t="s">
        <v>4862</v>
      </c>
      <c r="K80" s="182">
        <v>41412</v>
      </c>
      <c r="L80" s="8" t="s">
        <v>4156</v>
      </c>
      <c r="M80" s="8" t="s">
        <v>5626</v>
      </c>
      <c r="N80" s="38" t="s">
        <v>9382</v>
      </c>
      <c r="O80" s="8"/>
      <c r="P80" s="4" t="str">
        <f>VLOOKUP($B80,'D7 - NDB Impacted SPRF''s'!$E$16:$O$9929,9,FALSE)</f>
        <v>Y</v>
      </c>
      <c r="Q80" s="4" t="str">
        <f>VLOOKUP($B80,'D7 - NDB Impacted SPRF''s'!$E$16:$O$9929,10,FALSE)</f>
        <v>N</v>
      </c>
      <c r="R80" s="4" t="str">
        <f>VLOOKUP($B80,'D7 - NDB Impacted SPRF''s'!$E$16:$O$9929,11,FALSE)</f>
        <v>N</v>
      </c>
      <c r="S80" s="8"/>
      <c r="T80" s="310"/>
      <c r="U80" s="310"/>
      <c r="V80" s="4"/>
      <c r="W80" s="4"/>
      <c r="X80" s="4"/>
      <c r="Y80" s="4"/>
      <c r="Z80" s="4"/>
      <c r="AA80" s="4"/>
      <c r="AB80" s="380" t="str">
        <f>VLOOKUP($B80,'D7 - NDB Impacted SPRF''s'!$E$6:$O$9929,4,FALSE)</f>
        <v>Scheduled</v>
      </c>
      <c r="AC80" s="380" t="str">
        <f>VLOOKUP($B80,'D7 - NDB Impacted SPRF''s'!$E$6:$O$9929,3,FALSE)</f>
        <v>OptumHealth</v>
      </c>
      <c r="AD80" s="380" t="str">
        <f>VLOOKUP($B80,'D7 - NDB Impacted SPRF''s'!$E$6:$O$9929,5,FALSE)</f>
        <v>OptumHealth Care Solutions</v>
      </c>
      <c r="AE80" s="380" t="str">
        <f>VLOOKUP($B80,'D7 - NDB Impacted SPRF''s'!$E$6:$O$9929,7,FALSE)</f>
        <v>Ben Line</v>
      </c>
      <c r="AF80" s="380" t="str">
        <f>VLOOKUP($B80,'D7 - NDB Impacted SPRF''s'!$E$6:$O$9929,6,FALSE)</f>
        <v>Monica Thompson</v>
      </c>
      <c r="AG80" s="282"/>
      <c r="AH80" s="311" t="str">
        <f>INDEX('D5 - Gatekeeper - Projects'!$A$4:$AF$1010,$AM80, 17)</f>
        <v>T. Kester</v>
      </c>
      <c r="AI80" s="8"/>
      <c r="AJ80" s="57"/>
      <c r="AK80" s="105"/>
      <c r="AM80" s="6">
        <f>MATCH(D80,'D5 - Gatekeeper - Projects'!$C$4:$C$1010,0)</f>
        <v>71</v>
      </c>
      <c r="AN80" s="6" t="b">
        <f t="shared" si="1"/>
        <v>0</v>
      </c>
      <c r="AO80" s="6" t="str">
        <f t="shared" si="6"/>
        <v>OK</v>
      </c>
      <c r="AQ80" s="6" t="e">
        <f>MATCH($D80,'D4 - Provider Council Unsched'!$C$11:$C$234,0)</f>
        <v>#N/A</v>
      </c>
      <c r="AR80" s="6" t="b">
        <f t="shared" si="3"/>
        <v>1</v>
      </c>
      <c r="AS80" s="6" t="str">
        <f t="shared" si="7"/>
        <v>OK</v>
      </c>
      <c r="AU80" s="202">
        <v>41249</v>
      </c>
      <c r="AV80" s="318" t="s">
        <v>1044</v>
      </c>
      <c r="AW80" s="319"/>
    </row>
    <row r="81" spans="1:49" s="13" customFormat="1" ht="30.75" customHeight="1" x14ac:dyDescent="0.2">
      <c r="A81" s="14">
        <v>66</v>
      </c>
      <c r="B81" s="8">
        <v>400054948</v>
      </c>
      <c r="C81" s="8" t="s">
        <v>1447</v>
      </c>
      <c r="D81" s="4" t="str">
        <f t="shared" ref="D81:D112" si="8">CONCATENATE(B81,C81)</f>
        <v>400054948A</v>
      </c>
      <c r="E81" s="309" t="str">
        <f>VLOOKUP($B81,'D7 - NDB Impacted SPRF''s'!$E$6:$O$9929,2,FALSE)</f>
        <v xml:space="preserve">Clia Project for CSP </v>
      </c>
      <c r="F81" s="8"/>
      <c r="G81" s="8" t="s">
        <v>7980</v>
      </c>
      <c r="H81" s="8" t="s">
        <v>1606</v>
      </c>
      <c r="I81" s="20">
        <v>8.48</v>
      </c>
      <c r="J81" s="8" t="s">
        <v>4862</v>
      </c>
      <c r="K81" s="182">
        <v>41412</v>
      </c>
      <c r="L81" s="8" t="s">
        <v>4156</v>
      </c>
      <c r="M81" s="8" t="s">
        <v>2814</v>
      </c>
      <c r="N81" s="38" t="s">
        <v>9567</v>
      </c>
      <c r="O81" s="8"/>
      <c r="P81" s="4" t="str">
        <f>VLOOKUP($B81,'D7 - NDB Impacted SPRF''s'!$E$16:$O$9929,9,FALSE)</f>
        <v>N</v>
      </c>
      <c r="Q81" s="4" t="str">
        <f>VLOOKUP($B81,'D7 - NDB Impacted SPRF''s'!$E$16:$O$9929,10,FALSE)</f>
        <v>N</v>
      </c>
      <c r="R81" s="4" t="str">
        <f>VLOOKUP($B81,'D7 - NDB Impacted SPRF''s'!$E$16:$O$9929,11,FALSE)</f>
        <v>N</v>
      </c>
      <c r="S81" s="8"/>
      <c r="T81" s="310"/>
      <c r="U81" s="310"/>
      <c r="V81" s="4"/>
      <c r="W81" s="4"/>
      <c r="X81" s="4"/>
      <c r="Y81" s="4"/>
      <c r="Z81" s="4"/>
      <c r="AA81" s="4"/>
      <c r="AB81" s="380" t="str">
        <f>VLOOKUP($B81,'D7 - NDB Impacted SPRF''s'!$E$6:$O$9929,4,FALSE)</f>
        <v>Scheduled</v>
      </c>
      <c r="AC81" s="380" t="str">
        <f>VLOOKUP($B81,'D7 - NDB Impacted SPRF''s'!$E$6:$O$9929,3,FALSE)</f>
        <v>UnitedHealthcare Community &amp; State</v>
      </c>
      <c r="AD81" s="380" t="str">
        <f>VLOOKUP($B81,'D7 - NDB Impacted SPRF''s'!$E$6:$O$9929,5,FALSE)</f>
        <v>Operational Requirements</v>
      </c>
      <c r="AE81" s="380" t="str">
        <f>VLOOKUP($B81,'D7 - NDB Impacted SPRF''s'!$E$6:$O$9929,7,FALSE)</f>
        <v xml:space="preserve">Kurt Johnson </v>
      </c>
      <c r="AF81" s="380" t="str">
        <f>VLOOKUP($B81,'D7 - NDB Impacted SPRF''s'!$E$6:$O$9929,6,FALSE)</f>
        <v>Christine Vall</v>
      </c>
      <c r="AG81" s="282"/>
      <c r="AH81" s="311" t="str">
        <f>INDEX('D5 - Gatekeeper - Projects'!$A$4:$AF$1010,$AM81, 17)</f>
        <v>D. Bajpai</v>
      </c>
      <c r="AI81" s="8"/>
      <c r="AJ81" s="57"/>
      <c r="AK81" s="105"/>
      <c r="AM81" s="6">
        <f>MATCH(D81,'D5 - Gatekeeper - Projects'!$C$4:$C$1010,0)</f>
        <v>72</v>
      </c>
      <c r="AN81" s="6" t="b">
        <f t="shared" ref="AN81:AN144" si="9">ISERROR(AM81)</f>
        <v>0</v>
      </c>
      <c r="AO81" s="6" t="str">
        <f t="shared" ref="AO81:AO112" si="10">IF(AND(H81="1 - Scheduled",AN81=TRUE),"Add","OK")</f>
        <v>OK</v>
      </c>
      <c r="AQ81" s="6" t="e">
        <f>MATCH($D81,'D4 - Provider Council Unsched'!$C$11:$C$234,0)</f>
        <v>#N/A</v>
      </c>
      <c r="AR81" s="6" t="b">
        <f t="shared" ref="AR81:AR144" si="11">ISERROR(AQ81)</f>
        <v>1</v>
      </c>
      <c r="AS81" s="6" t="str">
        <f t="shared" ref="AS81:AS112" si="12">IF(AND(H81="2 - Not Scheduled",AR81=TRUE,C81="R1"),"Add","OK")</f>
        <v>OK</v>
      </c>
      <c r="AU81" s="202">
        <v>41222</v>
      </c>
      <c r="AV81" s="312" t="s">
        <v>1132</v>
      </c>
      <c r="AW81" s="274">
        <v>69718</v>
      </c>
    </row>
    <row r="82" spans="1:49" s="13" customFormat="1" ht="33.75" x14ac:dyDescent="0.2">
      <c r="A82" s="14">
        <v>67</v>
      </c>
      <c r="B82" s="8">
        <v>400055296</v>
      </c>
      <c r="C82" s="8" t="s">
        <v>1447</v>
      </c>
      <c r="D82" s="4" t="str">
        <f t="shared" si="8"/>
        <v>400055296A</v>
      </c>
      <c r="E82" s="309" t="str">
        <f>VLOOKUP($B82,'D7 - NDB Impacted SPRF''s'!$E$6:$O$9929,2,FALSE)</f>
        <v>PhyCon NDB Integration Analysis</v>
      </c>
      <c r="F82" s="8"/>
      <c r="G82" s="8" t="s">
        <v>7980</v>
      </c>
      <c r="H82" s="8" t="s">
        <v>1606</v>
      </c>
      <c r="I82" s="20">
        <v>0.53</v>
      </c>
      <c r="J82" s="8" t="s">
        <v>4862</v>
      </c>
      <c r="K82" s="182">
        <v>41412</v>
      </c>
      <c r="L82" s="8" t="s">
        <v>4156</v>
      </c>
      <c r="M82" s="8" t="s">
        <v>6688</v>
      </c>
      <c r="N82" s="38"/>
      <c r="O82" s="8"/>
      <c r="P82" s="4" t="str">
        <f>VLOOKUP($B82,'D7 - NDB Impacted SPRF''s'!$E$16:$O$9929,9,FALSE)</f>
        <v>N</v>
      </c>
      <c r="Q82" s="4" t="str">
        <f>VLOOKUP($B82,'D7 - NDB Impacted SPRF''s'!$E$16:$O$9929,10,FALSE)</f>
        <v>N</v>
      </c>
      <c r="R82" s="4" t="str">
        <f>VLOOKUP($B82,'D7 - NDB Impacted SPRF''s'!$E$16:$O$9929,11,FALSE)</f>
        <v>N</v>
      </c>
      <c r="S82" s="8"/>
      <c r="T82" s="310"/>
      <c r="U82" s="310"/>
      <c r="V82" s="4"/>
      <c r="W82" s="4"/>
      <c r="X82" s="4"/>
      <c r="Y82" s="4"/>
      <c r="Z82" s="4"/>
      <c r="AA82" s="4"/>
      <c r="AB82" s="380" t="str">
        <f>VLOOKUP($B82,'D7 - NDB Impacted SPRF''s'!$E$6:$O$9929,4,FALSE)</f>
        <v>Scheduled</v>
      </c>
      <c r="AC82" s="380" t="str">
        <f>VLOOKUP($B82,'D7 - NDB Impacted SPRF''s'!$E$6:$O$9929,3,FALSE)</f>
        <v>UnitedHealthcare Employer &amp; Individual</v>
      </c>
      <c r="AD82" s="380" t="str">
        <f>VLOOKUP($B82,'D7 - NDB Impacted SPRF''s'!$E$6:$O$9929,5,FALSE)</f>
        <v>Process Improvement</v>
      </c>
      <c r="AE82" s="380" t="str">
        <f>VLOOKUP($B82,'D7 - NDB Impacted SPRF''s'!$E$6:$O$9929,7,FALSE)</f>
        <v>Regan Ristich</v>
      </c>
      <c r="AF82" s="380" t="str">
        <f>VLOOKUP($B82,'D7 - NDB Impacted SPRF''s'!$E$6:$O$9929,6,FALSE)</f>
        <v>LAURA GUY</v>
      </c>
      <c r="AG82" s="282"/>
      <c r="AH82" s="311" t="str">
        <f>INDEX('D5 - Gatekeeper - Projects'!$A$4:$AF$1010,$AM82, 17)</f>
        <v>M. Stoy</v>
      </c>
      <c r="AI82" s="8"/>
      <c r="AJ82" s="57"/>
      <c r="AK82" s="105"/>
      <c r="AM82" s="6">
        <f>MATCH(D82,'D5 - Gatekeeper - Projects'!$C$4:$C$1010,0)</f>
        <v>73</v>
      </c>
      <c r="AN82" s="6" t="b">
        <f t="shared" si="9"/>
        <v>0</v>
      </c>
      <c r="AO82" s="6" t="str">
        <f t="shared" si="10"/>
        <v>OK</v>
      </c>
      <c r="AQ82" s="6" t="e">
        <f>MATCH($D82,'D4 - Provider Council Unsched'!$C$11:$C$234,0)</f>
        <v>#N/A</v>
      </c>
      <c r="AR82" s="6" t="b">
        <f t="shared" si="11"/>
        <v>1</v>
      </c>
      <c r="AS82" s="6" t="str">
        <f t="shared" si="12"/>
        <v>OK</v>
      </c>
      <c r="AU82" s="202">
        <v>41284</v>
      </c>
      <c r="AV82" s="312" t="s">
        <v>318</v>
      </c>
      <c r="AW82" s="274"/>
    </row>
    <row r="83" spans="1:49" s="13" customFormat="1" ht="11.25" customHeight="1" x14ac:dyDescent="0.2">
      <c r="A83" s="14">
        <v>68</v>
      </c>
      <c r="B83" s="8">
        <v>400055941</v>
      </c>
      <c r="C83" s="8" t="s">
        <v>1447</v>
      </c>
      <c r="D83" s="4" t="str">
        <f t="shared" si="8"/>
        <v>400055941A</v>
      </c>
      <c r="E83" s="309" t="str">
        <f>VLOOKUP($B83,'D7 - NDB Impacted SPRF''s'!$E$6:$O$9929,2,FALSE)</f>
        <v>MyUHC - Member Payment Capability</v>
      </c>
      <c r="F83" s="8"/>
      <c r="G83" s="8" t="s">
        <v>7980</v>
      </c>
      <c r="H83" s="8" t="s">
        <v>1606</v>
      </c>
      <c r="I83" s="20">
        <v>0.54</v>
      </c>
      <c r="J83" s="8" t="s">
        <v>4862</v>
      </c>
      <c r="K83" s="182">
        <v>41412</v>
      </c>
      <c r="L83" s="8" t="s">
        <v>4156</v>
      </c>
      <c r="M83" s="8" t="s">
        <v>5626</v>
      </c>
      <c r="N83" s="38" t="s">
        <v>9053</v>
      </c>
      <c r="O83" s="8"/>
      <c r="P83" s="4" t="str">
        <f>VLOOKUP($B83,'D7 - NDB Impacted SPRF''s'!$E$16:$O$9929,9,FALSE)</f>
        <v>Y</v>
      </c>
      <c r="Q83" s="4" t="str">
        <f>VLOOKUP($B83,'D7 - NDB Impacted SPRF''s'!$E$16:$O$9929,10,FALSE)</f>
        <v>N</v>
      </c>
      <c r="R83" s="4" t="str">
        <f>VLOOKUP($B83,'D7 - NDB Impacted SPRF''s'!$E$16:$O$9929,11,FALSE)</f>
        <v>N</v>
      </c>
      <c r="S83" s="8"/>
      <c r="T83" s="310"/>
      <c r="U83" s="310"/>
      <c r="V83" s="4"/>
      <c r="W83" s="4"/>
      <c r="X83" s="4"/>
      <c r="Y83" s="4"/>
      <c r="Z83" s="4"/>
      <c r="AA83" s="4"/>
      <c r="AB83" s="380" t="str">
        <f>VLOOKUP($B83,'D7 - NDB Impacted SPRF''s'!$E$6:$O$9929,4,FALSE)</f>
        <v>In Strategy Council</v>
      </c>
      <c r="AC83" s="380" t="str">
        <f>VLOOKUP($B83,'D7 - NDB Impacted SPRF''s'!$E$6:$O$9929,3,FALSE)</f>
        <v>UnitedHealthcare Employer &amp; Individual</v>
      </c>
      <c r="AD83" s="380" t="str">
        <f>VLOOKUP($B83,'D7 - NDB Impacted SPRF''s'!$E$6:$O$9929,5,FALSE)</f>
        <v>Membership Growth / Revenue Programs</v>
      </c>
      <c r="AE83" s="380" t="str">
        <f>VLOOKUP($B83,'D7 - NDB Impacted SPRF''s'!$E$6:$O$9929,7,FALSE)</f>
        <v>Margaret Palmer</v>
      </c>
      <c r="AF83" s="380" t="str">
        <f>VLOOKUP($B83,'D7 - NDB Impacted SPRF''s'!$E$6:$O$9929,6,FALSE)</f>
        <v>ROOP SONPAR</v>
      </c>
      <c r="AG83" s="282"/>
      <c r="AH83" s="311" t="str">
        <f>INDEX('D5 - Gatekeeper - Projects'!$A$4:$AF$1010,$AM83, 17)</f>
        <v>T. Kester</v>
      </c>
      <c r="AI83" s="8"/>
      <c r="AJ83" s="57"/>
      <c r="AK83" s="105"/>
      <c r="AM83" s="6">
        <f>MATCH(D83,'D5 - Gatekeeper - Projects'!$C$4:$C$1010,0)</f>
        <v>74</v>
      </c>
      <c r="AN83" s="6" t="b">
        <f t="shared" si="9"/>
        <v>0</v>
      </c>
      <c r="AO83" s="6" t="str">
        <f t="shared" si="10"/>
        <v>OK</v>
      </c>
      <c r="AQ83" s="6" t="e">
        <f>MATCH($D83,'D4 - Provider Council Unsched'!$C$11:$C$234,0)</f>
        <v>#N/A</v>
      </c>
      <c r="AR83" s="6" t="b">
        <f t="shared" si="11"/>
        <v>1</v>
      </c>
      <c r="AS83" s="6" t="str">
        <f t="shared" si="12"/>
        <v>OK</v>
      </c>
      <c r="AU83" s="202">
        <v>41306</v>
      </c>
      <c r="AV83" s="320" t="s">
        <v>3512</v>
      </c>
      <c r="AW83" s="274"/>
    </row>
    <row r="84" spans="1:49" s="13" customFormat="1" ht="33.75" x14ac:dyDescent="0.2">
      <c r="A84" s="14">
        <v>69</v>
      </c>
      <c r="B84" s="8">
        <v>400056389</v>
      </c>
      <c r="C84" s="8" t="s">
        <v>1447</v>
      </c>
      <c r="D84" s="4" t="str">
        <f t="shared" si="8"/>
        <v>400056389A</v>
      </c>
      <c r="E84" s="309" t="str">
        <f>VLOOKUP($B84,'D7 - NDB Impacted SPRF''s'!$E$6:$O$9929,2,FALSE)</f>
        <v>WOQ NDB One Shot to update LOS Contract Clauses</v>
      </c>
      <c r="F84" s="8"/>
      <c r="G84" s="8" t="s">
        <v>7980</v>
      </c>
      <c r="H84" s="8" t="s">
        <v>1606</v>
      </c>
      <c r="I84" s="20">
        <v>6.65</v>
      </c>
      <c r="J84" s="8" t="s">
        <v>4862</v>
      </c>
      <c r="K84" s="182">
        <v>41412</v>
      </c>
      <c r="L84" s="8" t="s">
        <v>4156</v>
      </c>
      <c r="M84" s="8" t="s">
        <v>6007</v>
      </c>
      <c r="N84" s="38" t="s">
        <v>839</v>
      </c>
      <c r="O84" s="8"/>
      <c r="P84" s="4" t="str">
        <f>VLOOKUP($B84,'D7 - NDB Impacted SPRF''s'!$E$16:$O$9929,9,FALSE)</f>
        <v>N</v>
      </c>
      <c r="Q84" s="4" t="str">
        <f>VLOOKUP($B84,'D7 - NDB Impacted SPRF''s'!$E$16:$O$9929,10,FALSE)</f>
        <v>N</v>
      </c>
      <c r="R84" s="4" t="str">
        <f>VLOOKUP($B84,'D7 - NDB Impacted SPRF''s'!$E$16:$O$9929,11,FALSE)</f>
        <v>N</v>
      </c>
      <c r="S84" s="8"/>
      <c r="T84" s="310"/>
      <c r="U84" s="310"/>
      <c r="V84" s="4"/>
      <c r="W84" s="4"/>
      <c r="X84" s="4"/>
      <c r="Y84" s="4"/>
      <c r="Z84" s="4"/>
      <c r="AA84" s="4"/>
      <c r="AB84" s="380" t="str">
        <f>VLOOKUP($B84,'D7 - NDB Impacted SPRF''s'!$E$6:$O$9929,4,FALSE)</f>
        <v>Scheduled</v>
      </c>
      <c r="AC84" s="380" t="str">
        <f>VLOOKUP($B84,'D7 - NDB Impacted SPRF''s'!$E$6:$O$9929,3,FALSE)</f>
        <v>UnitedHealthcare Employer &amp; Individual</v>
      </c>
      <c r="AD84" s="380" t="str">
        <f>VLOOKUP($B84,'D7 - NDB Impacted SPRF''s'!$E$6:$O$9929,5,FALSE)</f>
        <v>Medical Cost Savings Programs</v>
      </c>
      <c r="AE84" s="380" t="str">
        <f>VLOOKUP($B84,'D7 - NDB Impacted SPRF''s'!$E$6:$O$9929,7,FALSE)</f>
        <v>Adam Cohen</v>
      </c>
      <c r="AF84" s="380" t="str">
        <f>VLOOKUP($B84,'D7 - NDB Impacted SPRF''s'!$E$6:$O$9929,6,FALSE)</f>
        <v>CANDRA TAYLOR</v>
      </c>
      <c r="AG84" s="282"/>
      <c r="AH84" s="311" t="str">
        <f>INDEX('D5 - Gatekeeper - Projects'!$A$4:$AF$1010,$AM84, 17)</f>
        <v>Jose Melendez</v>
      </c>
      <c r="AI84" s="8"/>
      <c r="AJ84" s="57"/>
      <c r="AK84" s="105"/>
      <c r="AM84" s="6">
        <f>MATCH(D84,'D5 - Gatekeeper - Projects'!$C$4:$C$1010,0)</f>
        <v>75</v>
      </c>
      <c r="AN84" s="6" t="b">
        <f t="shared" si="9"/>
        <v>0</v>
      </c>
      <c r="AO84" s="6" t="str">
        <f t="shared" si="10"/>
        <v>OK</v>
      </c>
      <c r="AQ84" s="6" t="e">
        <f>MATCH($D84,'D4 - Provider Council Unsched'!$C$11:$C$234,0)</f>
        <v>#N/A</v>
      </c>
      <c r="AR84" s="6" t="b">
        <f t="shared" si="11"/>
        <v>1</v>
      </c>
      <c r="AS84" s="6" t="str">
        <f t="shared" si="12"/>
        <v>OK</v>
      </c>
      <c r="AU84" s="202">
        <v>41271</v>
      </c>
      <c r="AV84" s="314" t="s">
        <v>1042</v>
      </c>
      <c r="AW84" s="274"/>
    </row>
    <row r="85" spans="1:49" s="13" customFormat="1" ht="67.5" x14ac:dyDescent="0.2">
      <c r="A85" s="14">
        <v>70</v>
      </c>
      <c r="B85" s="8">
        <v>400056628</v>
      </c>
      <c r="C85" s="8" t="s">
        <v>1447</v>
      </c>
      <c r="D85" s="4" t="str">
        <f t="shared" si="8"/>
        <v>400056628A</v>
      </c>
      <c r="E85" s="309" t="str">
        <f>VLOOKUP($B85,'D7 - NDB Impacted SPRF''s'!$E$6:$O$9929,2,FALSE)</f>
        <v>UMR EPS Reroute Corrected Claims 2259</v>
      </c>
      <c r="F85" s="8"/>
      <c r="G85" s="8" t="s">
        <v>7980</v>
      </c>
      <c r="H85" s="8" t="s">
        <v>1606</v>
      </c>
      <c r="I85" s="20">
        <v>0.11</v>
      </c>
      <c r="J85" s="8" t="s">
        <v>4862</v>
      </c>
      <c r="K85" s="182">
        <v>41412</v>
      </c>
      <c r="L85" s="8" t="s">
        <v>4156</v>
      </c>
      <c r="M85" s="8" t="s">
        <v>5626</v>
      </c>
      <c r="N85" s="364" t="s">
        <v>9562</v>
      </c>
      <c r="O85" s="8"/>
      <c r="P85" s="4" t="str">
        <f>VLOOKUP($B85,'D7 - NDB Impacted SPRF''s'!$E$16:$O$9929,9,FALSE)</f>
        <v>N</v>
      </c>
      <c r="Q85" s="4" t="str">
        <f>VLOOKUP($B85,'D7 - NDB Impacted SPRF''s'!$E$16:$O$9929,10,FALSE)</f>
        <v>N</v>
      </c>
      <c r="R85" s="4" t="str">
        <f>VLOOKUP($B85,'D7 - NDB Impacted SPRF''s'!$E$16:$O$9929,11,FALSE)</f>
        <v>Y</v>
      </c>
      <c r="S85" s="8"/>
      <c r="T85" s="310"/>
      <c r="U85" s="310"/>
      <c r="V85" s="4"/>
      <c r="W85" s="4"/>
      <c r="X85" s="4"/>
      <c r="Y85" s="4"/>
      <c r="Z85" s="4"/>
      <c r="AA85" s="4"/>
      <c r="AB85" s="380" t="str">
        <f>VLOOKUP($B85,'D7 - NDB Impacted SPRF''s'!$E$6:$O$9929,4,FALSE)</f>
        <v>Scheduled</v>
      </c>
      <c r="AC85" s="380" t="str">
        <f>VLOOKUP($B85,'D7 - NDB Impacted SPRF''s'!$E$6:$O$9929,3,FALSE)</f>
        <v>UHG IT - Shared Services</v>
      </c>
      <c r="AD85" s="380" t="str">
        <f>VLOOKUP($B85,'D7 - NDB Impacted SPRF''s'!$E$6:$O$9929,5,FALSE)</f>
        <v>Strategic Initiatives</v>
      </c>
      <c r="AE85" s="380" t="str">
        <f>VLOOKUP($B85,'D7 - NDB Impacted SPRF''s'!$E$6:$O$9929,7,FALSE)</f>
        <v>Rob Wulf</v>
      </c>
      <c r="AF85" s="380" t="str">
        <f>VLOOKUP($B85,'D7 - NDB Impacted SPRF''s'!$E$6:$O$9929,6,FALSE)</f>
        <v>Angela Bleibaum</v>
      </c>
      <c r="AG85" s="282"/>
      <c r="AH85" s="311" t="str">
        <f>INDEX('D5 - Gatekeeper - Projects'!$A$4:$AF$1010,$AM85, 17)</f>
        <v>T. Kester</v>
      </c>
      <c r="AI85" s="8"/>
      <c r="AJ85" s="57"/>
      <c r="AK85" s="105"/>
      <c r="AM85" s="6">
        <f>MATCH(D85,'D5 - Gatekeeper - Projects'!$C$4:$C$1010,0)</f>
        <v>76</v>
      </c>
      <c r="AN85" s="6" t="b">
        <f t="shared" si="9"/>
        <v>0</v>
      </c>
      <c r="AO85" s="6" t="str">
        <f t="shared" si="10"/>
        <v>OK</v>
      </c>
      <c r="AQ85" s="6" t="e">
        <f>MATCH($D85,'D4 - Provider Council Unsched'!$C$11:$C$234,0)</f>
        <v>#N/A</v>
      </c>
      <c r="AR85" s="6" t="b">
        <f t="shared" si="11"/>
        <v>1</v>
      </c>
      <c r="AS85" s="6" t="str">
        <f t="shared" si="12"/>
        <v>OK</v>
      </c>
      <c r="AU85" s="202">
        <v>41341</v>
      </c>
      <c r="AV85" s="406" t="s">
        <v>916</v>
      </c>
      <c r="AW85" s="6"/>
    </row>
    <row r="86" spans="1:49" s="13" customFormat="1" ht="11.25" customHeight="1" x14ac:dyDescent="0.2">
      <c r="A86" s="14">
        <v>71</v>
      </c>
      <c r="B86" s="14">
        <v>400057678</v>
      </c>
      <c r="C86" s="8" t="s">
        <v>1447</v>
      </c>
      <c r="D86" s="4" t="str">
        <f t="shared" si="8"/>
        <v>400057678A</v>
      </c>
      <c r="E86" s="309" t="str">
        <f>VLOOKUP($B86,'D7 - NDB Impacted SPRF''s'!$E$6:$O$9929,2,FALSE)</f>
        <v>NDB Provider Data Quality – A/O</v>
      </c>
      <c r="F86" s="8"/>
      <c r="G86" s="8" t="s">
        <v>7980</v>
      </c>
      <c r="H86" s="8" t="s">
        <v>1606</v>
      </c>
      <c r="I86" s="20">
        <v>6.07</v>
      </c>
      <c r="J86" s="8" t="s">
        <v>4862</v>
      </c>
      <c r="K86" s="182">
        <v>41412</v>
      </c>
      <c r="L86" s="8" t="s">
        <v>4156</v>
      </c>
      <c r="M86" s="8" t="s">
        <v>6688</v>
      </c>
      <c r="N86" s="38"/>
      <c r="O86" s="8"/>
      <c r="P86" s="4" t="str">
        <f>VLOOKUP($B86,'D7 - NDB Impacted SPRF''s'!$E$16:$O$9929,9,FALSE)</f>
        <v>N</v>
      </c>
      <c r="Q86" s="4" t="str">
        <f>VLOOKUP($B86,'D7 - NDB Impacted SPRF''s'!$E$16:$O$9929,10,FALSE)</f>
        <v>N</v>
      </c>
      <c r="R86" s="4" t="str">
        <f>VLOOKUP($B86,'D7 - NDB Impacted SPRF''s'!$E$16:$O$9929,11,FALSE)</f>
        <v>N</v>
      </c>
      <c r="S86" s="8"/>
      <c r="T86" s="310"/>
      <c r="U86" s="310"/>
      <c r="V86" s="4"/>
      <c r="W86" s="4"/>
      <c r="X86" s="4"/>
      <c r="Y86" s="4"/>
      <c r="Z86" s="4"/>
      <c r="AA86" s="4"/>
      <c r="AB86" s="380" t="str">
        <f>VLOOKUP($B86,'D7 - NDB Impacted SPRF''s'!$E$6:$O$9929,4,FALSE)</f>
        <v>Scheduled</v>
      </c>
      <c r="AC86" s="380" t="str">
        <f>VLOOKUP($B86,'D7 - NDB Impacted SPRF''s'!$E$6:$O$9929,3,FALSE)</f>
        <v>UHG IT - Shared Services</v>
      </c>
      <c r="AD86" s="380" t="str">
        <f>VLOOKUP($B86,'D7 - NDB Impacted SPRF''s'!$E$6:$O$9929,5,FALSE)</f>
        <v>Strategic Initiatives</v>
      </c>
      <c r="AE86" s="380" t="str">
        <f>VLOOKUP($B86,'D7 - NDB Impacted SPRF''s'!$E$6:$O$9929,7,FALSE)</f>
        <v>Mary Middleton</v>
      </c>
      <c r="AF86" s="380" t="str">
        <f>VLOOKUP($B86,'D7 - NDB Impacted SPRF''s'!$E$6:$O$9929,6,FALSE)</f>
        <v>Jennifer Cowling</v>
      </c>
      <c r="AG86" s="282"/>
      <c r="AH86" s="311" t="str">
        <f>INDEX('D5 - Gatekeeper - Projects'!$A$4:$AF$1010,$AM86, 17)</f>
        <v>A. Colombo</v>
      </c>
      <c r="AI86" s="8"/>
      <c r="AJ86" s="57"/>
      <c r="AK86" s="105"/>
      <c r="AM86" s="6">
        <f>MATCH(D86,'D5 - Gatekeeper - Projects'!$C$4:$C$1010,0)</f>
        <v>77</v>
      </c>
      <c r="AN86" s="6" t="b">
        <f t="shared" si="9"/>
        <v>0</v>
      </c>
      <c r="AO86" s="6" t="str">
        <f t="shared" si="10"/>
        <v>OK</v>
      </c>
      <c r="AQ86" s="6" t="e">
        <f>MATCH($D86,'D4 - Provider Council Unsched'!$C$11:$C$234,0)</f>
        <v>#N/A</v>
      </c>
      <c r="AR86" s="6" t="b">
        <f t="shared" si="11"/>
        <v>1</v>
      </c>
      <c r="AS86" s="6" t="str">
        <f t="shared" si="12"/>
        <v>OK</v>
      </c>
      <c r="AU86" s="202">
        <v>41326</v>
      </c>
      <c r="AV86" s="6" t="s">
        <v>1081</v>
      </c>
      <c r="AW86" s="274"/>
    </row>
    <row r="87" spans="1:49" s="13" customFormat="1" ht="33.75" x14ac:dyDescent="0.2">
      <c r="A87" s="14">
        <v>72</v>
      </c>
      <c r="B87" s="8">
        <v>400057751</v>
      </c>
      <c r="C87" s="8" t="s">
        <v>1447</v>
      </c>
      <c r="D87" s="4" t="str">
        <f t="shared" si="8"/>
        <v>400057751A</v>
      </c>
      <c r="E87" s="309" t="str">
        <f>VLOOKUP($B87,'D7 - NDB Impacted SPRF''s'!$E$6:$O$9929,2,FALSE)</f>
        <v>NDB Fee Schedule ID Tactical Solution</v>
      </c>
      <c r="F87" s="8"/>
      <c r="G87" s="8" t="s">
        <v>7980</v>
      </c>
      <c r="H87" s="8" t="s">
        <v>1606</v>
      </c>
      <c r="I87" s="20">
        <v>0.99</v>
      </c>
      <c r="J87" s="8" t="s">
        <v>4862</v>
      </c>
      <c r="K87" s="182">
        <v>41412</v>
      </c>
      <c r="L87" s="8" t="s">
        <v>4156</v>
      </c>
      <c r="M87" s="8" t="s">
        <v>6688</v>
      </c>
      <c r="N87" s="38" t="s">
        <v>8243</v>
      </c>
      <c r="O87" s="8"/>
      <c r="P87" s="4" t="str">
        <f>VLOOKUP($B87,'D7 - NDB Impacted SPRF''s'!$E$16:$O$9929,9,FALSE)</f>
        <v>N</v>
      </c>
      <c r="Q87" s="4" t="str">
        <f>VLOOKUP($B87,'D7 - NDB Impacted SPRF''s'!$E$16:$O$9929,10,FALSE)</f>
        <v>N</v>
      </c>
      <c r="R87" s="4" t="str">
        <f>VLOOKUP($B87,'D7 - NDB Impacted SPRF''s'!$E$16:$O$9929,11,FALSE)</f>
        <v>N</v>
      </c>
      <c r="S87" s="8"/>
      <c r="T87" s="310"/>
      <c r="U87" s="310"/>
      <c r="V87" s="4"/>
      <c r="W87" s="4"/>
      <c r="X87" s="4"/>
      <c r="Y87" s="4"/>
      <c r="Z87" s="4"/>
      <c r="AA87" s="4"/>
      <c r="AB87" s="380" t="str">
        <f>VLOOKUP($B87,'D7 - NDB Impacted SPRF''s'!$E$6:$O$9929,4,FALSE)</f>
        <v>Scheduled</v>
      </c>
      <c r="AC87" s="380" t="str">
        <f>VLOOKUP($B87,'D7 - NDB Impacted SPRF''s'!$E$6:$O$9929,3,FALSE)</f>
        <v>UnitedHealthcare Medicare &amp; Retirement</v>
      </c>
      <c r="AD87" s="380" t="str">
        <f>VLOOKUP($B87,'D7 - NDB Impacted SPRF''s'!$E$6:$O$9929,5,FALSE)</f>
        <v>Regulatory / Other</v>
      </c>
      <c r="AE87" s="380" t="str">
        <f>VLOOKUP($B87,'D7 - NDB Impacted SPRF''s'!$E$6:$O$9929,7,FALSE)</f>
        <v>Tim Kaja</v>
      </c>
      <c r="AF87" s="380" t="str">
        <f>VLOOKUP($B87,'D7 - NDB Impacted SPRF''s'!$E$6:$O$9929,6,FALSE)</f>
        <v>Julie Severson</v>
      </c>
      <c r="AG87" s="282"/>
      <c r="AH87" s="311">
        <f>INDEX('D5 - Gatekeeper - Projects'!$A$4:$AF$1010,$AM87, 17)</f>
        <v>0</v>
      </c>
      <c r="AI87" s="8"/>
      <c r="AJ87" s="57"/>
      <c r="AK87" s="105"/>
      <c r="AM87" s="6">
        <f>MATCH(D87,'D5 - Gatekeeper - Projects'!$C$4:$C$1010,0)</f>
        <v>78</v>
      </c>
      <c r="AN87" s="6" t="b">
        <f t="shared" si="9"/>
        <v>0</v>
      </c>
      <c r="AO87" s="6" t="str">
        <f t="shared" si="10"/>
        <v>OK</v>
      </c>
      <c r="AQ87" s="6" t="e">
        <f>MATCH($D87,'D4 - Provider Council Unsched'!$C$11:$C$234,0)</f>
        <v>#N/A</v>
      </c>
      <c r="AR87" s="6" t="b">
        <f t="shared" si="11"/>
        <v>1</v>
      </c>
      <c r="AS87" s="6" t="str">
        <f t="shared" si="12"/>
        <v>OK</v>
      </c>
      <c r="AU87" s="202">
        <v>41321</v>
      </c>
      <c r="AV87" s="407" t="s">
        <v>1133</v>
      </c>
      <c r="AW87" s="274"/>
    </row>
    <row r="88" spans="1:49" s="13" customFormat="1" ht="11.25" customHeight="1" x14ac:dyDescent="0.2">
      <c r="A88" s="14">
        <v>273</v>
      </c>
      <c r="B88" s="8">
        <v>400059765</v>
      </c>
      <c r="C88" s="8" t="s">
        <v>1447</v>
      </c>
      <c r="D88" s="4" t="str">
        <f t="shared" si="8"/>
        <v>400059765A</v>
      </c>
      <c r="E88" s="309" t="str">
        <f>VLOOKUP($B88,'D7 - NDB Impacted SPRF''s'!$E$6:$O$9929,2,FALSE)</f>
        <v>Referral / Auth intake on Portal</v>
      </c>
      <c r="F88" s="8"/>
      <c r="G88" s="8" t="s">
        <v>7980</v>
      </c>
      <c r="H88" s="8" t="s">
        <v>1606</v>
      </c>
      <c r="I88" s="20">
        <v>1.48</v>
      </c>
      <c r="J88" s="8" t="s">
        <v>4862</v>
      </c>
      <c r="K88" s="182">
        <v>41412</v>
      </c>
      <c r="L88" s="8" t="s">
        <v>4156</v>
      </c>
      <c r="M88" s="8" t="s">
        <v>5626</v>
      </c>
      <c r="N88" s="38"/>
      <c r="O88" s="8"/>
      <c r="P88" s="4" t="str">
        <f>VLOOKUP($B88,'D7 - NDB Impacted SPRF''s'!$E$16:$O$9929,9,FALSE)</f>
        <v>N</v>
      </c>
      <c r="Q88" s="4" t="str">
        <f>VLOOKUP($B88,'D7 - NDB Impacted SPRF''s'!$E$16:$O$9929,10,FALSE)</f>
        <v>N</v>
      </c>
      <c r="R88" s="4" t="str">
        <f>VLOOKUP($B88,'D7 - NDB Impacted SPRF''s'!$E$16:$O$9929,11,FALSE)</f>
        <v>N</v>
      </c>
      <c r="S88" s="8"/>
      <c r="T88" s="310"/>
      <c r="U88" s="310"/>
      <c r="V88" s="4"/>
      <c r="W88" s="4"/>
      <c r="X88" s="4"/>
      <c r="Y88" s="4"/>
      <c r="Z88" s="4"/>
      <c r="AA88" s="4"/>
      <c r="AB88" s="380" t="str">
        <f>VLOOKUP($B88,'D7 - NDB Impacted SPRF''s'!$E$6:$O$9929,4,FALSE)</f>
        <v>In Estimating</v>
      </c>
      <c r="AC88" s="380" t="str">
        <f>VLOOKUP($B88,'D7 - NDB Impacted SPRF''s'!$E$6:$O$9929,3,FALSE)</f>
        <v>UnitedHealthcare Military &amp; Veterans</v>
      </c>
      <c r="AD88" s="380" t="str">
        <f>VLOOKUP($B88,'D7 - NDB Impacted SPRF''s'!$E$6:$O$9929,5,FALSE)</f>
        <v>Operational Requirements</v>
      </c>
      <c r="AE88" s="380" t="str">
        <f>VLOOKUP($B88,'D7 - NDB Impacted SPRF''s'!$E$6:$O$9929,7,FALSE)</f>
        <v>Eileen Peterson</v>
      </c>
      <c r="AF88" s="380" t="str">
        <f>VLOOKUP($B88,'D7 - NDB Impacted SPRF''s'!$E$6:$O$9929,6,FALSE)</f>
        <v>Yvonne Tavis</v>
      </c>
      <c r="AG88" s="282"/>
      <c r="AH88" s="311" t="str">
        <f>INDEX('D5 - Gatekeeper - Projects'!$A$4:$AF$1010,$AM88, 17)</f>
        <v>T. Kester</v>
      </c>
      <c r="AI88" s="8"/>
      <c r="AJ88" s="57"/>
      <c r="AK88" s="105"/>
      <c r="AM88" s="6">
        <f>MATCH(D88,'D5 - Gatekeeper - Projects'!$C$4:$C$1010,0)</f>
        <v>79</v>
      </c>
      <c r="AN88" s="6" t="b">
        <f t="shared" si="9"/>
        <v>0</v>
      </c>
      <c r="AO88" s="6" t="str">
        <f t="shared" si="10"/>
        <v>OK</v>
      </c>
      <c r="AQ88" s="6" t="e">
        <f>MATCH($D88,'D4 - Provider Council Unsched'!$C$11:$C$234,0)</f>
        <v>#N/A</v>
      </c>
      <c r="AR88" s="6" t="b">
        <f t="shared" si="11"/>
        <v>1</v>
      </c>
      <c r="AS88" s="6" t="str">
        <f t="shared" si="12"/>
        <v>OK</v>
      </c>
      <c r="AU88" s="202">
        <v>41404</v>
      </c>
      <c r="AV88" s="404" t="s">
        <v>317</v>
      </c>
      <c r="AW88" s="274"/>
    </row>
    <row r="89" spans="1:49" s="13" customFormat="1" ht="40.5" customHeight="1" x14ac:dyDescent="0.2">
      <c r="A89" s="14">
        <v>73</v>
      </c>
      <c r="B89" s="14">
        <v>400052614</v>
      </c>
      <c r="C89" s="8" t="s">
        <v>1447</v>
      </c>
      <c r="D89" s="4" t="str">
        <f t="shared" si="8"/>
        <v>400052614A</v>
      </c>
      <c r="E89" s="309" t="str">
        <f>VLOOKUP($B89,'D7 - NDB Impacted SPRF''s'!$E$6:$O$9929,2,FALSE)</f>
        <v>OH MME</v>
      </c>
      <c r="F89" s="8"/>
      <c r="G89" s="8" t="s">
        <v>5565</v>
      </c>
      <c r="H89" s="8" t="s">
        <v>1606</v>
      </c>
      <c r="I89" s="20">
        <v>3.21</v>
      </c>
      <c r="J89" s="8" t="s">
        <v>4862</v>
      </c>
      <c r="K89" s="182">
        <v>41440</v>
      </c>
      <c r="L89" s="8" t="s">
        <v>4156</v>
      </c>
      <c r="M89" s="8" t="s">
        <v>6007</v>
      </c>
      <c r="N89" s="38" t="s">
        <v>361</v>
      </c>
      <c r="O89" s="8"/>
      <c r="P89" s="4" t="str">
        <f>VLOOKUP($B89,'D7 - NDB Impacted SPRF''s'!$E$16:$O$9929,9,FALSE)</f>
        <v>N</v>
      </c>
      <c r="Q89" s="4" t="str">
        <f>VLOOKUP($B89,'D7 - NDB Impacted SPRF''s'!$E$16:$O$9929,10,FALSE)</f>
        <v>N</v>
      </c>
      <c r="R89" s="4" t="str">
        <f>VLOOKUP($B89,'D7 - NDB Impacted SPRF''s'!$E$16:$O$9929,11,FALSE)</f>
        <v>Y</v>
      </c>
      <c r="S89" s="8"/>
      <c r="T89" s="310"/>
      <c r="U89" s="310"/>
      <c r="V89" s="4"/>
      <c r="W89" s="4"/>
      <c r="X89" s="4"/>
      <c r="Y89" s="4"/>
      <c r="Z89" s="4"/>
      <c r="AA89" s="4"/>
      <c r="AB89" s="380" t="str">
        <f>VLOOKUP($B89,'D7 - NDB Impacted SPRF''s'!$E$6:$O$9929,4,FALSE)</f>
        <v>Scheduled</v>
      </c>
      <c r="AC89" s="380" t="str">
        <f>VLOOKUP($B89,'D7 - NDB Impacted SPRF''s'!$E$6:$O$9929,3,FALSE)</f>
        <v>UnitedHealthcare Community &amp; State</v>
      </c>
      <c r="AD89" s="380" t="str">
        <f>VLOOKUP($B89,'D7 - NDB Impacted SPRF''s'!$E$6:$O$9929,5,FALSE)</f>
        <v>Membership Growth / Revenue Programs</v>
      </c>
      <c r="AE89" s="380" t="str">
        <f>VLOOKUP($B89,'D7 - NDB Impacted SPRF''s'!$E$6:$O$9929,7,FALSE)</f>
        <v xml:space="preserve">Tracy Davidson </v>
      </c>
      <c r="AF89" s="380" t="str">
        <f>VLOOKUP($B89,'D7 - NDB Impacted SPRF''s'!$E$6:$O$9929,6,FALSE)</f>
        <v>KELLY LEONARD</v>
      </c>
      <c r="AG89" s="282"/>
      <c r="AH89" s="311" t="str">
        <f>INDEX('D5 - Gatekeeper - Projects'!$A$4:$AF$1010,$AM89, 17)</f>
        <v>B.Brown</v>
      </c>
      <c r="AI89" s="8"/>
      <c r="AJ89" s="57"/>
      <c r="AK89" s="105"/>
      <c r="AM89" s="6">
        <f>MATCH(D89,'D5 - Gatekeeper - Projects'!$C$4:$C$1010,0)</f>
        <v>80</v>
      </c>
      <c r="AN89" s="6" t="b">
        <f t="shared" si="9"/>
        <v>0</v>
      </c>
      <c r="AO89" s="6" t="str">
        <f t="shared" si="10"/>
        <v>OK</v>
      </c>
      <c r="AQ89" s="6" t="e">
        <f>MATCH($D89,'D4 - Provider Council Unsched'!$C$11:$C$234,0)</f>
        <v>#N/A</v>
      </c>
      <c r="AR89" s="6" t="b">
        <f t="shared" si="11"/>
        <v>1</v>
      </c>
      <c r="AS89" s="6" t="str">
        <f t="shared" si="12"/>
        <v>OK</v>
      </c>
      <c r="AU89" s="202"/>
      <c r="AV89" s="6" t="s">
        <v>9189</v>
      </c>
      <c r="AW89" s="274">
        <v>62887</v>
      </c>
    </row>
    <row r="90" spans="1:49" s="13" customFormat="1" ht="22.5" x14ac:dyDescent="0.2">
      <c r="A90" s="14">
        <v>30</v>
      </c>
      <c r="B90" s="14">
        <v>2222222222</v>
      </c>
      <c r="C90" s="8" t="s">
        <v>1447</v>
      </c>
      <c r="D90" s="4" t="str">
        <f t="shared" si="8"/>
        <v>2222222222A</v>
      </c>
      <c r="E90" s="309" t="str">
        <f>VLOOKUP($B90,'D7 - NDB Impacted SPRF''s'!$E$6:$O$9929,2,FALSE)</f>
        <v>WINDOWS 7 Upgrade Testing</v>
      </c>
      <c r="F90" s="8"/>
      <c r="G90" s="8" t="s">
        <v>7980</v>
      </c>
      <c r="H90" s="8" t="s">
        <v>1606</v>
      </c>
      <c r="I90" s="20">
        <v>8</v>
      </c>
      <c r="J90" s="8" t="s">
        <v>4862</v>
      </c>
      <c r="K90" s="182">
        <v>41447</v>
      </c>
      <c r="L90" s="8" t="s">
        <v>4156</v>
      </c>
      <c r="M90" s="8" t="s">
        <v>4450</v>
      </c>
      <c r="N90" s="38" t="s">
        <v>964</v>
      </c>
      <c r="O90" s="8"/>
      <c r="P90" s="4" t="str">
        <f>VLOOKUP($B90,'D7 - NDB Impacted SPRF''s'!$E$16:$O$9929,9,FALSE)</f>
        <v>N</v>
      </c>
      <c r="Q90" s="4" t="str">
        <f>VLOOKUP($B90,'D7 - NDB Impacted SPRF''s'!$E$16:$O$9929,10,FALSE)</f>
        <v>N</v>
      </c>
      <c r="R90" s="4" t="str">
        <f>VLOOKUP($B90,'D7 - NDB Impacted SPRF''s'!$E$16:$O$9929,11,FALSE)</f>
        <v>N</v>
      </c>
      <c r="S90" s="8"/>
      <c r="T90" s="310"/>
      <c r="U90" s="310"/>
      <c r="V90" s="4"/>
      <c r="W90" s="4"/>
      <c r="X90" s="4"/>
      <c r="Y90" s="4"/>
      <c r="Z90" s="4"/>
      <c r="AA90" s="4"/>
      <c r="AB90" s="380" t="str">
        <f>VLOOKUP($B90,'D7 - NDB Impacted SPRF''s'!$E$6:$O$9929,4,FALSE)</f>
        <v>N/A</v>
      </c>
      <c r="AC90" s="380" t="str">
        <f>VLOOKUP($B90,'D7 - NDB Impacted SPRF''s'!$E$6:$O$9929,3,FALSE)</f>
        <v>N/A</v>
      </c>
      <c r="AD90" s="380" t="str">
        <f>VLOOKUP($B90,'D7 - NDB Impacted SPRF''s'!$E$6:$O$9929,5,FALSE)</f>
        <v>N/A</v>
      </c>
      <c r="AE90" s="380" t="str">
        <f>VLOOKUP($B90,'D7 - NDB Impacted SPRF''s'!$E$6:$O$9929,7,FALSE)</f>
        <v>N/A</v>
      </c>
      <c r="AF90" s="380" t="str">
        <f>VLOOKUP($B90,'D7 - NDB Impacted SPRF''s'!$E$6:$O$9929,6,FALSE)</f>
        <v>N/A</v>
      </c>
      <c r="AG90" s="282"/>
      <c r="AH90" s="311" t="str">
        <f>INDEX('D5 - Gatekeeper - Projects'!$A$4:$AF$1010,$AM90, 17)</f>
        <v>J. Melendez</v>
      </c>
      <c r="AI90" s="8"/>
      <c r="AJ90" s="57"/>
      <c r="AK90" s="105"/>
      <c r="AM90" s="6">
        <f>MATCH(D90,'D5 - Gatekeeper - Projects'!$C$4:$C$1010,0)</f>
        <v>82</v>
      </c>
      <c r="AN90" s="6" t="b">
        <f t="shared" si="9"/>
        <v>0</v>
      </c>
      <c r="AO90" s="6" t="str">
        <f t="shared" si="10"/>
        <v>OK</v>
      </c>
      <c r="AQ90" s="6" t="e">
        <f>MATCH($D90,'D4 - Provider Council Unsched'!$C$11:$C$234,0)</f>
        <v>#N/A</v>
      </c>
      <c r="AR90" s="6" t="b">
        <f t="shared" si="11"/>
        <v>1</v>
      </c>
      <c r="AS90" s="6" t="str">
        <f t="shared" si="12"/>
        <v>OK</v>
      </c>
      <c r="AU90" s="202"/>
      <c r="AV90" s="6" t="e">
        <v>#N/A</v>
      </c>
      <c r="AW90" s="274" t="s">
        <v>3572</v>
      </c>
    </row>
    <row r="91" spans="1:49" s="13" customFormat="1" ht="33.75" x14ac:dyDescent="0.2">
      <c r="A91" s="14">
        <v>74</v>
      </c>
      <c r="B91" s="8">
        <v>400039538</v>
      </c>
      <c r="C91" s="8" t="s">
        <v>7290</v>
      </c>
      <c r="D91" s="4" t="str">
        <f t="shared" si="8"/>
        <v>400039538B</v>
      </c>
      <c r="E91" s="309" t="str">
        <f>VLOOKUP($B91,'D7 - NDB Impacted SPRF''s'!$E$6:$O$9929,2,FALSE)</f>
        <v>UNET ELIG SYS LOGIC FOR CDB Decision Logic Gap ENH</v>
      </c>
      <c r="F91" s="8"/>
      <c r="G91" s="8" t="s">
        <v>7980</v>
      </c>
      <c r="H91" s="8" t="s">
        <v>1606</v>
      </c>
      <c r="I91" s="20">
        <v>7.0000000000000007E-2</v>
      </c>
      <c r="J91" s="8" t="s">
        <v>4862</v>
      </c>
      <c r="K91" s="182">
        <v>41447</v>
      </c>
      <c r="L91" s="8" t="s">
        <v>4156</v>
      </c>
      <c r="M91" s="8" t="s">
        <v>5626</v>
      </c>
      <c r="N91" s="38" t="s">
        <v>843</v>
      </c>
      <c r="O91" s="8"/>
      <c r="P91" s="4" t="str">
        <f>VLOOKUP($B91,'D7 - NDB Impacted SPRF''s'!$E$16:$O$9929,9,FALSE)</f>
        <v>Y</v>
      </c>
      <c r="Q91" s="4" t="str">
        <f>VLOOKUP($B91,'D7 - NDB Impacted SPRF''s'!$E$16:$O$9929,10,FALSE)</f>
        <v>N</v>
      </c>
      <c r="R91" s="4" t="str">
        <f>VLOOKUP($B91,'D7 - NDB Impacted SPRF''s'!$E$16:$O$9929,11,FALSE)</f>
        <v>N</v>
      </c>
      <c r="S91" s="8"/>
      <c r="T91" s="310"/>
      <c r="U91" s="310"/>
      <c r="V91" s="4"/>
      <c r="W91" s="4"/>
      <c r="X91" s="4"/>
      <c r="Y91" s="4"/>
      <c r="Z91" s="4"/>
      <c r="AA91" s="4"/>
      <c r="AB91" s="380" t="str">
        <f>VLOOKUP($B91,'D7 - NDB Impacted SPRF''s'!$E$6:$O$9929,4,FALSE)</f>
        <v>Scheduled</v>
      </c>
      <c r="AC91" s="380" t="str">
        <f>VLOOKUP($B91,'D7 - NDB Impacted SPRF''s'!$E$6:$O$9929,3,FALSE)</f>
        <v>UnitedHealthcare Employer &amp; Individual</v>
      </c>
      <c r="AD91" s="380" t="str">
        <f>VLOOKUP($B91,'D7 - NDB Impacted SPRF''s'!$E$6:$O$9929,5,FALSE)</f>
        <v>Regulatory / Other</v>
      </c>
      <c r="AE91" s="380" t="str">
        <f>VLOOKUP($B91,'D7 - NDB Impacted SPRF''s'!$E$6:$O$9929,7,FALSE)</f>
        <v>Garcia, Stevan</v>
      </c>
      <c r="AF91" s="380" t="str">
        <f>VLOOKUP($B91,'D7 - NDB Impacted SPRF''s'!$E$6:$O$9929,6,FALSE)</f>
        <v>Sharon Katz</v>
      </c>
      <c r="AG91" s="282"/>
      <c r="AH91" s="311" t="str">
        <f>INDEX('D5 - Gatekeeper - Projects'!$A$4:$AF$1010,$AM91, 17)</f>
        <v>T. Kester</v>
      </c>
      <c r="AI91" s="8"/>
      <c r="AJ91" s="57"/>
      <c r="AK91" s="105"/>
      <c r="AM91" s="6">
        <f>MATCH(D91,'D5 - Gatekeeper - Projects'!$C$4:$C$1010,0)</f>
        <v>83</v>
      </c>
      <c r="AN91" s="6" t="b">
        <f t="shared" si="9"/>
        <v>0</v>
      </c>
      <c r="AO91" s="6" t="str">
        <f t="shared" si="10"/>
        <v>OK</v>
      </c>
      <c r="AQ91" s="6" t="e">
        <f>MATCH($D91,'D4 - Provider Council Unsched'!$C$11:$C$234,0)</f>
        <v>#N/A</v>
      </c>
      <c r="AR91" s="6" t="b">
        <f t="shared" si="11"/>
        <v>1</v>
      </c>
      <c r="AS91" s="6" t="str">
        <f t="shared" si="12"/>
        <v>OK</v>
      </c>
      <c r="AU91" s="202">
        <v>40665</v>
      </c>
      <c r="AV91" s="6" t="s">
        <v>446</v>
      </c>
      <c r="AW91" s="274">
        <v>37429</v>
      </c>
    </row>
    <row r="92" spans="1:49" s="13" customFormat="1" ht="67.5" x14ac:dyDescent="0.2">
      <c r="A92" s="14">
        <v>75</v>
      </c>
      <c r="B92" s="8">
        <v>400046616</v>
      </c>
      <c r="C92" s="8" t="s">
        <v>7292</v>
      </c>
      <c r="D92" s="4" t="str">
        <f t="shared" si="8"/>
        <v>400046616C</v>
      </c>
      <c r="E92" s="309" t="str">
        <f>VLOOKUP($B92,'D7 - NDB Impacted SPRF''s'!$E$6:$O$9929,2,FALSE)</f>
        <v>New Jersey CSP Facets Migration</v>
      </c>
      <c r="F92" s="8"/>
      <c r="G92" s="8" t="s">
        <v>2980</v>
      </c>
      <c r="H92" s="8" t="s">
        <v>1606</v>
      </c>
      <c r="I92" s="20">
        <v>4.76</v>
      </c>
      <c r="J92" s="8" t="s">
        <v>4862</v>
      </c>
      <c r="K92" s="182">
        <v>41447</v>
      </c>
      <c r="L92" s="8" t="s">
        <v>4156</v>
      </c>
      <c r="M92" s="8" t="s">
        <v>2814</v>
      </c>
      <c r="N92" s="38" t="s">
        <v>8247</v>
      </c>
      <c r="O92" s="8"/>
      <c r="P92" s="4" t="str">
        <f>VLOOKUP($B92,'D7 - NDB Impacted SPRF''s'!$E$16:$O$9929,9,FALSE)</f>
        <v>N</v>
      </c>
      <c r="Q92" s="4" t="str">
        <f>VLOOKUP($B92,'D7 - NDB Impacted SPRF''s'!$E$16:$O$9929,10,FALSE)</f>
        <v>N</v>
      </c>
      <c r="R92" s="4" t="str">
        <f>VLOOKUP($B92,'D7 - NDB Impacted SPRF''s'!$E$16:$O$9929,11,FALSE)</f>
        <v>Y</v>
      </c>
      <c r="S92" s="8"/>
      <c r="T92" s="310"/>
      <c r="U92" s="310"/>
      <c r="V92" s="4"/>
      <c r="W92" s="4"/>
      <c r="X92" s="4"/>
      <c r="Y92" s="4"/>
      <c r="Z92" s="4"/>
      <c r="AA92" s="4"/>
      <c r="AB92" s="380" t="str">
        <f>VLOOKUP($B92,'D7 - NDB Impacted SPRF''s'!$E$6:$O$9929,4,FALSE)</f>
        <v>Scheduled</v>
      </c>
      <c r="AC92" s="380" t="str">
        <f>VLOOKUP($B92,'D7 - NDB Impacted SPRF''s'!$E$6:$O$9929,3,FALSE)</f>
        <v>UnitedHealthcare Community &amp; State</v>
      </c>
      <c r="AD92" s="380" t="str">
        <f>VLOOKUP($B92,'D7 - NDB Impacted SPRF''s'!$E$6:$O$9929,5,FALSE)</f>
        <v>Integration Requirements</v>
      </c>
      <c r="AE92" s="380" t="str">
        <f>VLOOKUP($B92,'D7 - NDB Impacted SPRF''s'!$E$6:$O$9929,7,FALSE)</f>
        <v>Chris Scherer</v>
      </c>
      <c r="AF92" s="380" t="str">
        <f>VLOOKUP($B92,'D7 - NDB Impacted SPRF''s'!$E$6:$O$9929,6,FALSE)</f>
        <v>Dawn Ramos</v>
      </c>
      <c r="AG92" s="282"/>
      <c r="AH92" s="311" t="str">
        <f>INDEX('D5 - Gatekeeper - Projects'!$A$4:$AF$1010,$AM92, 17)</f>
        <v>D. Bajpai</v>
      </c>
      <c r="AI92" s="8"/>
      <c r="AJ92" s="57"/>
      <c r="AK92" s="105"/>
      <c r="AM92" s="6">
        <f>MATCH(D92,'D5 - Gatekeeper - Projects'!$C$4:$C$1010,0)</f>
        <v>84</v>
      </c>
      <c r="AN92" s="6" t="b">
        <f t="shared" si="9"/>
        <v>0</v>
      </c>
      <c r="AO92" s="6" t="str">
        <f t="shared" si="10"/>
        <v>OK</v>
      </c>
      <c r="AQ92" s="6" t="e">
        <f>MATCH($D92,'D4 - Provider Council Unsched'!$C$11:$C$234,0)</f>
        <v>#N/A</v>
      </c>
      <c r="AR92" s="6" t="b">
        <f t="shared" si="11"/>
        <v>1</v>
      </c>
      <c r="AS92" s="6" t="str">
        <f t="shared" si="12"/>
        <v>OK</v>
      </c>
      <c r="AU92" s="202"/>
      <c r="AV92" s="6" t="s">
        <v>1089</v>
      </c>
      <c r="AW92" s="274">
        <v>46552</v>
      </c>
    </row>
    <row r="93" spans="1:49" s="13" customFormat="1" ht="101.25" x14ac:dyDescent="0.2">
      <c r="A93" s="14">
        <v>77</v>
      </c>
      <c r="B93" s="8">
        <v>400047192</v>
      </c>
      <c r="C93" s="8" t="s">
        <v>7290</v>
      </c>
      <c r="D93" s="4" t="str">
        <f t="shared" si="8"/>
        <v>400047192B</v>
      </c>
      <c r="E93" s="309" t="str">
        <f>VLOOKUP($B93,'D7 - NDB Impacted SPRF''s'!$E$6:$O$9929,2,FALSE)</f>
        <v>NY CSP Facets Migration</v>
      </c>
      <c r="F93" s="8"/>
      <c r="G93" s="8" t="s">
        <v>7980</v>
      </c>
      <c r="H93" s="8" t="s">
        <v>1606</v>
      </c>
      <c r="I93" s="20">
        <v>16.059999999999999</v>
      </c>
      <c r="J93" s="8" t="s">
        <v>4862</v>
      </c>
      <c r="K93" s="182">
        <v>41447</v>
      </c>
      <c r="L93" s="8" t="s">
        <v>4156</v>
      </c>
      <c r="M93" s="8" t="s">
        <v>2814</v>
      </c>
      <c r="N93" s="38" t="s">
        <v>9383</v>
      </c>
      <c r="O93" s="8"/>
      <c r="P93" s="4" t="str">
        <f>VLOOKUP($B93,'D7 - NDB Impacted SPRF''s'!$E$16:$O$9929,9,FALSE)</f>
        <v>N</v>
      </c>
      <c r="Q93" s="4" t="str">
        <f>VLOOKUP($B93,'D7 - NDB Impacted SPRF''s'!$E$16:$O$9929,10,FALSE)</f>
        <v>N</v>
      </c>
      <c r="R93" s="4" t="str">
        <f>VLOOKUP($B93,'D7 - NDB Impacted SPRF''s'!$E$16:$O$9929,11,FALSE)</f>
        <v>Y</v>
      </c>
      <c r="S93" s="8"/>
      <c r="T93" s="310"/>
      <c r="U93" s="310"/>
      <c r="V93" s="4"/>
      <c r="W93" s="4"/>
      <c r="X93" s="4"/>
      <c r="Y93" s="4"/>
      <c r="Z93" s="4"/>
      <c r="AA93" s="4"/>
      <c r="AB93" s="380" t="str">
        <f>VLOOKUP($B93,'D7 - NDB Impacted SPRF''s'!$E$6:$O$9929,4,FALSE)</f>
        <v>Scheduled</v>
      </c>
      <c r="AC93" s="380" t="str">
        <f>VLOOKUP($B93,'D7 - NDB Impacted SPRF''s'!$E$6:$O$9929,3,FALSE)</f>
        <v>UnitedHealthcare Community &amp; State</v>
      </c>
      <c r="AD93" s="380" t="str">
        <f>VLOOKUP($B93,'D7 - NDB Impacted SPRF''s'!$E$6:$O$9929,5,FALSE)</f>
        <v>Integration Requirements</v>
      </c>
      <c r="AE93" s="380" t="str">
        <f>VLOOKUP($B93,'D7 - NDB Impacted SPRF''s'!$E$6:$O$9929,7,FALSE)</f>
        <v>Chris Scherer</v>
      </c>
      <c r="AF93" s="380" t="str">
        <f>VLOOKUP($B93,'D7 - NDB Impacted SPRF''s'!$E$6:$O$9929,6,FALSE)</f>
        <v>Jackie Stadterman</v>
      </c>
      <c r="AG93" s="282"/>
      <c r="AH93" s="311" t="str">
        <f>INDEX('D5 - Gatekeeper - Projects'!$A$4:$AF$1010,$AM93, 17)</f>
        <v xml:space="preserve">D. Bajpai </v>
      </c>
      <c r="AI93" s="8"/>
      <c r="AJ93" s="57"/>
      <c r="AK93" s="105"/>
      <c r="AM93" s="6">
        <f>MATCH(D93,'D5 - Gatekeeper - Projects'!$C$4:$C$1010,0)</f>
        <v>85</v>
      </c>
      <c r="AN93" s="6" t="b">
        <f t="shared" si="9"/>
        <v>0</v>
      </c>
      <c r="AO93" s="6" t="str">
        <f t="shared" si="10"/>
        <v>OK</v>
      </c>
      <c r="AQ93" s="6" t="e">
        <f>MATCH($D93,'D4 - Provider Council Unsched'!$C$11:$C$234,0)</f>
        <v>#N/A</v>
      </c>
      <c r="AR93" s="6" t="b">
        <f t="shared" si="11"/>
        <v>1</v>
      </c>
      <c r="AS93" s="6" t="str">
        <f t="shared" si="12"/>
        <v>OK</v>
      </c>
      <c r="AU93" s="202">
        <v>41334</v>
      </c>
      <c r="AV93" s="6" t="s">
        <v>463</v>
      </c>
      <c r="AW93" s="274">
        <v>48080</v>
      </c>
    </row>
    <row r="94" spans="1:49" s="13" customFormat="1" ht="67.5" x14ac:dyDescent="0.2">
      <c r="A94" s="14">
        <v>79</v>
      </c>
      <c r="B94" s="8">
        <v>400050282</v>
      </c>
      <c r="C94" s="8" t="s">
        <v>1447</v>
      </c>
      <c r="D94" s="4" t="str">
        <f t="shared" si="8"/>
        <v>400050282A</v>
      </c>
      <c r="E94" s="309" t="str">
        <f>VLOOKUP($B94,'D7 - NDB Impacted SPRF''s'!$E$6:$O$9929,2,FALSE)</f>
        <v xml:space="preserve">Capitation Feed for CSP from NDB </v>
      </c>
      <c r="F94" s="8"/>
      <c r="G94" s="8" t="s">
        <v>2980</v>
      </c>
      <c r="H94" s="8" t="s">
        <v>1606</v>
      </c>
      <c r="I94" s="20">
        <v>17.82</v>
      </c>
      <c r="J94" s="8" t="s">
        <v>4862</v>
      </c>
      <c r="K94" s="182">
        <v>41447</v>
      </c>
      <c r="L94" s="8" t="s">
        <v>4156</v>
      </c>
      <c r="M94" s="8" t="s">
        <v>2814</v>
      </c>
      <c r="N94" s="38" t="s">
        <v>9378</v>
      </c>
      <c r="O94" s="8"/>
      <c r="P94" s="4" t="str">
        <f>VLOOKUP($B94,'D7 - NDB Impacted SPRF''s'!$E$16:$O$9929,9,FALSE)</f>
        <v>N</v>
      </c>
      <c r="Q94" s="4" t="str">
        <f>VLOOKUP($B94,'D7 - NDB Impacted SPRF''s'!$E$16:$O$9929,10,FALSE)</f>
        <v>N</v>
      </c>
      <c r="R94" s="4" t="str">
        <f>VLOOKUP($B94,'D7 - NDB Impacted SPRF''s'!$E$16:$O$9929,11,FALSE)</f>
        <v>N</v>
      </c>
      <c r="S94" s="8"/>
      <c r="T94" s="310"/>
      <c r="U94" s="310"/>
      <c r="V94" s="4"/>
      <c r="W94" s="4"/>
      <c r="X94" s="4"/>
      <c r="Y94" s="4"/>
      <c r="Z94" s="4"/>
      <c r="AA94" s="4"/>
      <c r="AB94" s="380" t="str">
        <f>VLOOKUP($B94,'D7 - NDB Impacted SPRF''s'!$E$6:$O$9929,4,FALSE)</f>
        <v>Scheduled</v>
      </c>
      <c r="AC94" s="380" t="str">
        <f>VLOOKUP($B94,'D7 - NDB Impacted SPRF''s'!$E$6:$O$9929,3,FALSE)</f>
        <v>UnitedHealthcare Community &amp; State</v>
      </c>
      <c r="AD94" s="380" t="str">
        <f>VLOOKUP($B94,'D7 - NDB Impacted SPRF''s'!$E$6:$O$9929,5,FALSE)</f>
        <v>Integration Requirements</v>
      </c>
      <c r="AE94" s="380" t="str">
        <f>VLOOKUP($B94,'D7 - NDB Impacted SPRF''s'!$E$6:$O$9929,7,FALSE)</f>
        <v>Kurt Johnson</v>
      </c>
      <c r="AF94" s="380" t="str">
        <f>VLOOKUP($B94,'D7 - NDB Impacted SPRF''s'!$E$6:$O$9929,6,FALSE)</f>
        <v>Christine Vall</v>
      </c>
      <c r="AG94" s="282"/>
      <c r="AH94" s="311" t="str">
        <f>INDEX('D5 - Gatekeeper - Projects'!$A$4:$AF$1010,$AM94, 17)</f>
        <v>D. Bajpai</v>
      </c>
      <c r="AI94" s="8"/>
      <c r="AJ94" s="57"/>
      <c r="AK94" s="105"/>
      <c r="AM94" s="6">
        <f>MATCH(D94,'D5 - Gatekeeper - Projects'!$C$4:$C$1010,0)</f>
        <v>86</v>
      </c>
      <c r="AN94" s="6" t="b">
        <f t="shared" si="9"/>
        <v>0</v>
      </c>
      <c r="AO94" s="6" t="str">
        <f t="shared" si="10"/>
        <v>OK</v>
      </c>
      <c r="AQ94" s="6" t="e">
        <f>MATCH($D94,'D4 - Provider Council Unsched'!$C$11:$C$234,0)</f>
        <v>#N/A</v>
      </c>
      <c r="AR94" s="6" t="b">
        <f t="shared" si="11"/>
        <v>1</v>
      </c>
      <c r="AS94" s="6" t="str">
        <f t="shared" si="12"/>
        <v>OK</v>
      </c>
      <c r="AU94" s="202">
        <v>41082</v>
      </c>
      <c r="AV94" s="6" t="s">
        <v>936</v>
      </c>
      <c r="AW94" s="274">
        <v>56731</v>
      </c>
    </row>
    <row r="95" spans="1:49" s="13" customFormat="1" ht="33.75" x14ac:dyDescent="0.2">
      <c r="A95" s="14">
        <v>80</v>
      </c>
      <c r="B95" s="8">
        <v>400050282</v>
      </c>
      <c r="C95" s="8" t="s">
        <v>8138</v>
      </c>
      <c r="D95" s="4" t="str">
        <f t="shared" si="8"/>
        <v>400050282UA</v>
      </c>
      <c r="E95" s="309" t="str">
        <f>VLOOKUP($B95,'D7 - NDB Impacted SPRF''s'!$E$6:$O$9929,2,FALSE)</f>
        <v xml:space="preserve">Capitation Feed for CSP from NDB </v>
      </c>
      <c r="F95" s="8"/>
      <c r="G95" s="8" t="s">
        <v>2980</v>
      </c>
      <c r="H95" s="8" t="s">
        <v>1606</v>
      </c>
      <c r="I95" s="20">
        <v>1.43</v>
      </c>
      <c r="J95" s="8" t="s">
        <v>4862</v>
      </c>
      <c r="K95" s="182">
        <v>41447</v>
      </c>
      <c r="L95" s="8" t="s">
        <v>4156</v>
      </c>
      <c r="M95" s="8" t="s">
        <v>2814</v>
      </c>
      <c r="N95" s="38" t="s">
        <v>9565</v>
      </c>
      <c r="O95" s="8"/>
      <c r="P95" s="4" t="str">
        <f>VLOOKUP($B95,'D7 - NDB Impacted SPRF''s'!$E$16:$O$9929,9,FALSE)</f>
        <v>N</v>
      </c>
      <c r="Q95" s="4" t="str">
        <f>VLOOKUP($B95,'D7 - NDB Impacted SPRF''s'!$E$16:$O$9929,10,FALSE)</f>
        <v>N</v>
      </c>
      <c r="R95" s="4" t="str">
        <f>VLOOKUP($B95,'D7 - NDB Impacted SPRF''s'!$E$16:$O$9929,11,FALSE)</f>
        <v>N</v>
      </c>
      <c r="S95" s="8"/>
      <c r="T95" s="310"/>
      <c r="U95" s="310"/>
      <c r="V95" s="4"/>
      <c r="W95" s="4"/>
      <c r="X95" s="4"/>
      <c r="Y95" s="4"/>
      <c r="Z95" s="4"/>
      <c r="AA95" s="4"/>
      <c r="AB95" s="380" t="str">
        <f>VLOOKUP($B95,'D7 - NDB Impacted SPRF''s'!$E$6:$O$9929,4,FALSE)</f>
        <v>Scheduled</v>
      </c>
      <c r="AC95" s="380" t="str">
        <f>VLOOKUP($B95,'D7 - NDB Impacted SPRF''s'!$E$6:$O$9929,3,FALSE)</f>
        <v>UnitedHealthcare Community &amp; State</v>
      </c>
      <c r="AD95" s="380" t="str">
        <f>VLOOKUP($B95,'D7 - NDB Impacted SPRF''s'!$E$6:$O$9929,5,FALSE)</f>
        <v>Integration Requirements</v>
      </c>
      <c r="AE95" s="380" t="str">
        <f>VLOOKUP($B95,'D7 - NDB Impacted SPRF''s'!$E$6:$O$9929,7,FALSE)</f>
        <v>Kurt Johnson</v>
      </c>
      <c r="AF95" s="380" t="str">
        <f>VLOOKUP($B95,'D7 - NDB Impacted SPRF''s'!$E$6:$O$9929,6,FALSE)</f>
        <v>Christine Vall</v>
      </c>
      <c r="AG95" s="282"/>
      <c r="AH95" s="311" t="str">
        <f>INDEX('D5 - Gatekeeper - Projects'!$A$4:$AF$1010,$AM95, 17)</f>
        <v>D. Bajpai</v>
      </c>
      <c r="AI95" s="8"/>
      <c r="AJ95" s="57"/>
      <c r="AK95" s="105"/>
      <c r="AM95" s="6">
        <f>MATCH(D95,'D5 - Gatekeeper - Projects'!$C$4:$C$1010,0)</f>
        <v>87</v>
      </c>
      <c r="AN95" s="6" t="b">
        <f t="shared" si="9"/>
        <v>0</v>
      </c>
      <c r="AO95" s="6" t="str">
        <f t="shared" si="10"/>
        <v>OK</v>
      </c>
      <c r="AQ95" s="6" t="e">
        <f>MATCH($D95,'D4 - Provider Council Unsched'!$C$11:$C$234,0)</f>
        <v>#N/A</v>
      </c>
      <c r="AR95" s="6" t="b">
        <f t="shared" si="11"/>
        <v>1</v>
      </c>
      <c r="AS95" s="6" t="str">
        <f t="shared" si="12"/>
        <v>OK</v>
      </c>
      <c r="AU95" s="202">
        <v>41321</v>
      </c>
      <c r="AV95" s="6" t="s">
        <v>936</v>
      </c>
      <c r="AW95" s="274">
        <v>56731</v>
      </c>
    </row>
    <row r="96" spans="1:49" s="13" customFormat="1" ht="146.25" x14ac:dyDescent="0.2">
      <c r="A96" s="14">
        <v>47</v>
      </c>
      <c r="B96" s="8">
        <v>400050350</v>
      </c>
      <c r="C96" s="8" t="s">
        <v>1447</v>
      </c>
      <c r="D96" s="4" t="str">
        <f t="shared" si="8"/>
        <v>400050350A</v>
      </c>
      <c r="E96" s="309" t="str">
        <f>VLOOKUP($B96,'D7 - NDB Impacted SPRF''s'!$E$6:$O$9929,2,FALSE)</f>
        <v>Provider Reimbursement Modernization – Phase I</v>
      </c>
      <c r="F96" s="8"/>
      <c r="G96" s="8" t="s">
        <v>5565</v>
      </c>
      <c r="H96" s="8" t="s">
        <v>1606</v>
      </c>
      <c r="I96" s="20">
        <v>7.36</v>
      </c>
      <c r="J96" s="8" t="s">
        <v>4862</v>
      </c>
      <c r="K96" s="182">
        <v>41447</v>
      </c>
      <c r="L96" s="8" t="s">
        <v>4156</v>
      </c>
      <c r="M96" s="8" t="s">
        <v>2814</v>
      </c>
      <c r="N96" s="38" t="s">
        <v>6590</v>
      </c>
      <c r="O96" s="8"/>
      <c r="P96" s="4" t="str">
        <f>VLOOKUP($B96,'D7 - NDB Impacted SPRF''s'!$E$16:$O$9929,9,FALSE)</f>
        <v>Y</v>
      </c>
      <c r="Q96" s="4" t="str">
        <f>VLOOKUP($B96,'D7 - NDB Impacted SPRF''s'!$E$16:$O$9929,10,FALSE)</f>
        <v>N</v>
      </c>
      <c r="R96" s="4" t="str">
        <f>VLOOKUP($B96,'D7 - NDB Impacted SPRF''s'!$E$16:$O$9929,11,FALSE)</f>
        <v>N</v>
      </c>
      <c r="S96" s="8"/>
      <c r="T96" s="310"/>
      <c r="U96" s="310"/>
      <c r="V96" s="4"/>
      <c r="W96" s="4"/>
      <c r="X96" s="4"/>
      <c r="Y96" s="4"/>
      <c r="Z96" s="4"/>
      <c r="AA96" s="4"/>
      <c r="AB96" s="380" t="str">
        <f>VLOOKUP($B96,'D7 - NDB Impacted SPRF''s'!$E$6:$O$9929,4,FALSE)</f>
        <v>In Strategy Council</v>
      </c>
      <c r="AC96" s="380" t="str">
        <f>VLOOKUP($B96,'D7 - NDB Impacted SPRF''s'!$E$6:$O$9929,3,FALSE)</f>
        <v>UnitedHealthcare Medicare &amp; Retirement</v>
      </c>
      <c r="AD96" s="380" t="str">
        <f>VLOOKUP($B96,'D7 - NDB Impacted SPRF''s'!$E$6:$O$9929,5,FALSE)</f>
        <v>Medical Cost Savings Programs</v>
      </c>
      <c r="AE96" s="380" t="str">
        <f>VLOOKUP($B96,'D7 - NDB Impacted SPRF''s'!$E$6:$O$9929,7,FALSE)</f>
        <v>Cindy Polich</v>
      </c>
      <c r="AF96" s="380" t="str">
        <f>VLOOKUP($B96,'D7 - NDB Impacted SPRF''s'!$E$6:$O$9929,6,FALSE)</f>
        <v>Debi Streb</v>
      </c>
      <c r="AG96" s="282"/>
      <c r="AH96" s="311" t="str">
        <f>INDEX('D5 - Gatekeeper - Projects'!$A$4:$AF$1010,$AM96, 17)</f>
        <v>B. Williams</v>
      </c>
      <c r="AI96" s="8"/>
      <c r="AJ96" s="57"/>
      <c r="AK96" s="105"/>
      <c r="AM96" s="6">
        <f>MATCH(D96,'D5 - Gatekeeper - Projects'!$C$4:$C$1010,0)</f>
        <v>88</v>
      </c>
      <c r="AN96" s="6" t="b">
        <f t="shared" si="9"/>
        <v>0</v>
      </c>
      <c r="AO96" s="6" t="str">
        <f t="shared" si="10"/>
        <v>OK</v>
      </c>
      <c r="AQ96" s="6" t="e">
        <f>MATCH($D96,'D4 - Provider Council Unsched'!$C$11:$C$234,0)</f>
        <v>#N/A</v>
      </c>
      <c r="AR96" s="6" t="b">
        <f t="shared" si="11"/>
        <v>1</v>
      </c>
      <c r="AS96" s="6" t="str">
        <f t="shared" si="12"/>
        <v>OK</v>
      </c>
      <c r="AU96" s="202">
        <v>41054</v>
      </c>
      <c r="AV96" s="6" t="s">
        <v>2239</v>
      </c>
      <c r="AW96" s="274">
        <v>57842</v>
      </c>
    </row>
    <row r="97" spans="1:49" s="13" customFormat="1" ht="22.5" x14ac:dyDescent="0.2">
      <c r="A97" s="14">
        <v>82</v>
      </c>
      <c r="B97" s="8">
        <v>400050630</v>
      </c>
      <c r="C97" s="8" t="s">
        <v>1196</v>
      </c>
      <c r="D97" s="4" t="str">
        <f t="shared" si="8"/>
        <v>400050630F</v>
      </c>
      <c r="E97" s="309" t="str">
        <f>VLOOKUP($B97,'D7 - NDB Impacted SPRF''s'!$E$6:$O$9929,2,FALSE)</f>
        <v>NDB SoT - C&amp;S Strategic NDB SoT Enhancements A/D</v>
      </c>
      <c r="F97" s="8"/>
      <c r="G97" s="8" t="s">
        <v>7980</v>
      </c>
      <c r="H97" s="8" t="s">
        <v>1606</v>
      </c>
      <c r="I97" s="20">
        <v>2.7</v>
      </c>
      <c r="J97" s="8" t="s">
        <v>4862</v>
      </c>
      <c r="K97" s="182">
        <v>41447</v>
      </c>
      <c r="L97" s="8" t="s">
        <v>8230</v>
      </c>
      <c r="M97" s="8" t="s">
        <v>3598</v>
      </c>
      <c r="N97" s="38" t="s">
        <v>8231</v>
      </c>
      <c r="O97" s="8"/>
      <c r="P97" s="4" t="str">
        <f>VLOOKUP($B97,'D7 - NDB Impacted SPRF''s'!$E$16:$O$9929,9,FALSE)</f>
        <v>N</v>
      </c>
      <c r="Q97" s="4" t="str">
        <f>VLOOKUP($B97,'D7 - NDB Impacted SPRF''s'!$E$16:$O$9929,10,FALSE)</f>
        <v>N</v>
      </c>
      <c r="R97" s="4" t="str">
        <f>VLOOKUP($B97,'D7 - NDB Impacted SPRF''s'!$E$16:$O$9929,11,FALSE)</f>
        <v>N</v>
      </c>
      <c r="S97" s="8"/>
      <c r="T97" s="310"/>
      <c r="U97" s="310"/>
      <c r="V97" s="4"/>
      <c r="W97" s="4"/>
      <c r="X97" s="4"/>
      <c r="Y97" s="4"/>
      <c r="Z97" s="4"/>
      <c r="AA97" s="4"/>
      <c r="AB97" s="380" t="str">
        <f>VLOOKUP($B97,'D7 - NDB Impacted SPRF''s'!$E$6:$O$9929,4,FALSE)</f>
        <v>Scheduled</v>
      </c>
      <c r="AC97" s="380" t="str">
        <f>VLOOKUP($B97,'D7 - NDB Impacted SPRF''s'!$E$6:$O$9929,3,FALSE)</f>
        <v>UHG IT - Shared Services</v>
      </c>
      <c r="AD97" s="380" t="str">
        <f>VLOOKUP($B97,'D7 - NDB Impacted SPRF''s'!$E$6:$O$9929,5,FALSE)</f>
        <v>Strategic Initiatives</v>
      </c>
      <c r="AE97" s="380" t="str">
        <f>VLOOKUP($B97,'D7 - NDB Impacted SPRF''s'!$E$6:$O$9929,7,FALSE)</f>
        <v>Kaja, Tim</v>
      </c>
      <c r="AF97" s="380" t="str">
        <f>VLOOKUP($B97,'D7 - NDB Impacted SPRF''s'!$E$6:$O$9929,6,FALSE)</f>
        <v>Shelly Heit</v>
      </c>
      <c r="AG97" s="282"/>
      <c r="AH97" s="311" t="str">
        <f>INDEX('D5 - Gatekeeper - Projects'!$A$4:$AF$1010,$AM97, 17)</f>
        <v>B. Brown</v>
      </c>
      <c r="AI97" s="8"/>
      <c r="AJ97" s="57"/>
      <c r="AK97" s="105"/>
      <c r="AM97" s="6">
        <f>MATCH(D97,'D5 - Gatekeeper - Projects'!$C$4:$C$1010,0)</f>
        <v>89</v>
      </c>
      <c r="AN97" s="6" t="b">
        <f t="shared" si="9"/>
        <v>0</v>
      </c>
      <c r="AO97" s="6" t="str">
        <f t="shared" si="10"/>
        <v>OK</v>
      </c>
      <c r="AQ97" s="6" t="e">
        <f>MATCH($D97,'D4 - Provider Council Unsched'!$C$11:$C$234,0)</f>
        <v>#N/A</v>
      </c>
      <c r="AR97" s="6" t="b">
        <f t="shared" si="11"/>
        <v>1</v>
      </c>
      <c r="AS97" s="6" t="str">
        <f t="shared" si="12"/>
        <v>OK</v>
      </c>
      <c r="AU97" s="202">
        <v>41321</v>
      </c>
      <c r="AV97" s="6" t="s">
        <v>1081</v>
      </c>
      <c r="AW97" s="274">
        <v>57882</v>
      </c>
    </row>
    <row r="98" spans="1:49" s="13" customFormat="1" ht="22.5" x14ac:dyDescent="0.2">
      <c r="A98" s="14">
        <v>82</v>
      </c>
      <c r="B98" s="8">
        <v>400050630</v>
      </c>
      <c r="C98" s="8" t="s">
        <v>2207</v>
      </c>
      <c r="D98" s="4" t="str">
        <f t="shared" si="8"/>
        <v>400050630G</v>
      </c>
      <c r="E98" s="309" t="str">
        <f>VLOOKUP($B98,'D7 - NDB Impacted SPRF''s'!$E$6:$O$9929,2,FALSE)</f>
        <v>NDB SoT - C&amp;S Strategic NDB SoT Enhancements A/D</v>
      </c>
      <c r="F98" s="8"/>
      <c r="G98" s="8" t="s">
        <v>7980</v>
      </c>
      <c r="H98" s="8" t="s">
        <v>1606</v>
      </c>
      <c r="I98" s="20">
        <v>3.04</v>
      </c>
      <c r="J98" s="8" t="s">
        <v>4862</v>
      </c>
      <c r="K98" s="182">
        <v>41447</v>
      </c>
      <c r="L98" s="8" t="s">
        <v>8230</v>
      </c>
      <c r="M98" s="8" t="s">
        <v>2814</v>
      </c>
      <c r="N98" s="38" t="s">
        <v>2748</v>
      </c>
      <c r="O98" s="8"/>
      <c r="P98" s="4" t="str">
        <f>VLOOKUP($B98,'D7 - NDB Impacted SPRF''s'!$E$16:$O$9929,9,FALSE)</f>
        <v>N</v>
      </c>
      <c r="Q98" s="4" t="str">
        <f>VLOOKUP($B98,'D7 - NDB Impacted SPRF''s'!$E$16:$O$9929,10,FALSE)</f>
        <v>N</v>
      </c>
      <c r="R98" s="4" t="str">
        <f>VLOOKUP($B98,'D7 - NDB Impacted SPRF''s'!$E$16:$O$9929,11,FALSE)</f>
        <v>N</v>
      </c>
      <c r="S98" s="8"/>
      <c r="T98" s="310"/>
      <c r="U98" s="310"/>
      <c r="V98" s="4"/>
      <c r="W98" s="4"/>
      <c r="X98" s="4"/>
      <c r="Y98" s="4"/>
      <c r="Z98" s="4"/>
      <c r="AA98" s="4"/>
      <c r="AB98" s="380" t="str">
        <f>VLOOKUP($B98,'D7 - NDB Impacted SPRF''s'!$E$6:$O$9929,4,FALSE)</f>
        <v>Scheduled</v>
      </c>
      <c r="AC98" s="380" t="str">
        <f>VLOOKUP($B98,'D7 - NDB Impacted SPRF''s'!$E$6:$O$9929,3,FALSE)</f>
        <v>UHG IT - Shared Services</v>
      </c>
      <c r="AD98" s="380" t="str">
        <f>VLOOKUP($B98,'D7 - NDB Impacted SPRF''s'!$E$6:$O$9929,5,FALSE)</f>
        <v>Strategic Initiatives</v>
      </c>
      <c r="AE98" s="380" t="str">
        <f>VLOOKUP($B98,'D7 - NDB Impacted SPRF''s'!$E$6:$O$9929,7,FALSE)</f>
        <v>Kaja, Tim</v>
      </c>
      <c r="AF98" s="380" t="str">
        <f>VLOOKUP($B98,'D7 - NDB Impacted SPRF''s'!$E$6:$O$9929,6,FALSE)</f>
        <v>Shelly Heit</v>
      </c>
      <c r="AG98" s="282"/>
      <c r="AH98" s="311" t="str">
        <f>INDEX('D5 - Gatekeeper - Projects'!$A$4:$AF$1010,$AM98, 17)</f>
        <v>B. Brown</v>
      </c>
      <c r="AI98" s="8"/>
      <c r="AJ98" s="57"/>
      <c r="AK98" s="105"/>
      <c r="AM98" s="6">
        <f>MATCH(D98,'D5 - Gatekeeper - Projects'!$C$4:$C$1010,0)</f>
        <v>90</v>
      </c>
      <c r="AN98" s="6" t="b">
        <f t="shared" si="9"/>
        <v>0</v>
      </c>
      <c r="AO98" s="6" t="str">
        <f t="shared" si="10"/>
        <v>OK</v>
      </c>
      <c r="AQ98" s="6" t="e">
        <f>MATCH($D98,'D4 - Provider Council Unsched'!$C$11:$C$234,0)</f>
        <v>#N/A</v>
      </c>
      <c r="AR98" s="6" t="b">
        <f t="shared" si="11"/>
        <v>1</v>
      </c>
      <c r="AS98" s="6" t="str">
        <f t="shared" si="12"/>
        <v>OK</v>
      </c>
      <c r="AU98" s="202">
        <v>41411</v>
      </c>
      <c r="AV98" s="6" t="s">
        <v>1081</v>
      </c>
      <c r="AW98" s="274">
        <v>57882</v>
      </c>
    </row>
    <row r="99" spans="1:49" s="13" customFormat="1" ht="33.75" x14ac:dyDescent="0.2">
      <c r="A99" s="14">
        <v>83</v>
      </c>
      <c r="B99" s="8">
        <v>400050744</v>
      </c>
      <c r="C99" s="8" t="s">
        <v>7292</v>
      </c>
      <c r="D99" s="4" t="str">
        <f t="shared" si="8"/>
        <v>400050744C</v>
      </c>
      <c r="E99" s="309" t="str">
        <f>VLOOKUP($B99,'D7 - NDB Impacted SPRF''s'!$E$6:$O$9929,2,FALSE)</f>
        <v>ICD-10 E&amp;I Commercial End to End Testing</v>
      </c>
      <c r="F99" s="8"/>
      <c r="G99" s="8" t="s">
        <v>7980</v>
      </c>
      <c r="H99" s="8" t="s">
        <v>1606</v>
      </c>
      <c r="I99" s="20">
        <v>2</v>
      </c>
      <c r="J99" s="8" t="s">
        <v>4862</v>
      </c>
      <c r="K99" s="182">
        <v>41447</v>
      </c>
      <c r="L99" s="8" t="s">
        <v>4156</v>
      </c>
      <c r="M99" s="8" t="s">
        <v>5626</v>
      </c>
      <c r="N99" s="38" t="s">
        <v>4536</v>
      </c>
      <c r="O99" s="8"/>
      <c r="P99" s="4" t="str">
        <f>VLOOKUP($B99,'D7 - NDB Impacted SPRF''s'!$E$16:$O$9929,9,FALSE)</f>
        <v>Y</v>
      </c>
      <c r="Q99" s="4" t="str">
        <f>VLOOKUP($B99,'D7 - NDB Impacted SPRF''s'!$E$16:$O$9929,10,FALSE)</f>
        <v>N</v>
      </c>
      <c r="R99" s="4" t="str">
        <f>VLOOKUP($B99,'D7 - NDB Impacted SPRF''s'!$E$16:$O$9929,11,FALSE)</f>
        <v>Y</v>
      </c>
      <c r="S99" s="8"/>
      <c r="T99" s="310"/>
      <c r="U99" s="310"/>
      <c r="V99" s="4"/>
      <c r="W99" s="4"/>
      <c r="X99" s="4"/>
      <c r="Y99" s="4"/>
      <c r="Z99" s="4"/>
      <c r="AA99" s="4"/>
      <c r="AB99" s="380" t="str">
        <f>VLOOKUP($B99,'D7 - NDB Impacted SPRF''s'!$E$6:$O$9929,4,FALSE)</f>
        <v>Scheduled</v>
      </c>
      <c r="AC99" s="380" t="str">
        <f>VLOOKUP($B99,'D7 - NDB Impacted SPRF''s'!$E$6:$O$9929,3,FALSE)</f>
        <v>UnitedHealthcare Employer &amp; Individual</v>
      </c>
      <c r="AD99" s="380" t="str">
        <f>VLOOKUP($B99,'D7 - NDB Impacted SPRF''s'!$E$6:$O$9929,5,FALSE)</f>
        <v>Regulatory / Other</v>
      </c>
      <c r="AE99" s="380" t="str">
        <f>VLOOKUP($B99,'D7 - NDB Impacted SPRF''s'!$E$6:$O$9929,7,FALSE)</f>
        <v>Tim Kaja</v>
      </c>
      <c r="AF99" s="380" t="str">
        <f>VLOOKUP($B99,'D7 - NDB Impacted SPRF''s'!$E$6:$O$9929,6,FALSE)</f>
        <v>William Porri</v>
      </c>
      <c r="AG99" s="282"/>
      <c r="AH99" s="311">
        <f>INDEX('D5 - Gatekeeper - Projects'!$A$4:$AF$1010,$AM99, 17)</f>
        <v>0</v>
      </c>
      <c r="AI99" s="8"/>
      <c r="AJ99" s="57"/>
      <c r="AK99" s="105"/>
      <c r="AM99" s="6">
        <f>MATCH(D99,'D5 - Gatekeeper - Projects'!$C$4:$C$1010,0)</f>
        <v>91</v>
      </c>
      <c r="AN99" s="6" t="b">
        <f t="shared" si="9"/>
        <v>0</v>
      </c>
      <c r="AO99" s="6" t="str">
        <f t="shared" si="10"/>
        <v>OK</v>
      </c>
      <c r="AQ99" s="6" t="e">
        <f>MATCH($D99,'D4 - Provider Council Unsched'!$C$11:$C$234,0)</f>
        <v>#N/A</v>
      </c>
      <c r="AR99" s="6" t="b">
        <f t="shared" si="11"/>
        <v>1</v>
      </c>
      <c r="AS99" s="6" t="str">
        <f t="shared" si="12"/>
        <v>OK</v>
      </c>
      <c r="AU99" s="202">
        <v>41369</v>
      </c>
      <c r="AV99" s="6" t="s">
        <v>2299</v>
      </c>
      <c r="AW99" s="274">
        <v>69221</v>
      </c>
    </row>
    <row r="100" spans="1:49" s="13" customFormat="1" ht="33.75" x14ac:dyDescent="0.2">
      <c r="A100" s="14">
        <v>84</v>
      </c>
      <c r="B100" s="8">
        <v>400051116</v>
      </c>
      <c r="C100" s="8" t="s">
        <v>1447</v>
      </c>
      <c r="D100" s="4" t="str">
        <f t="shared" si="8"/>
        <v>400051116A</v>
      </c>
      <c r="E100" s="309" t="str">
        <f>VLOOKUP($B100,'D7 - NDB Impacted SPRF''s'!$E$6:$O$9929,2,FALSE)</f>
        <v xml:space="preserve">OneNet EDI Trading Partner Setup </v>
      </c>
      <c r="F100" s="8"/>
      <c r="G100" s="8" t="s">
        <v>7980</v>
      </c>
      <c r="H100" s="8" t="s">
        <v>1606</v>
      </c>
      <c r="I100" s="20">
        <v>0.23</v>
      </c>
      <c r="J100" s="8" t="s">
        <v>4862</v>
      </c>
      <c r="K100" s="182">
        <v>41447</v>
      </c>
      <c r="L100" s="8" t="s">
        <v>4156</v>
      </c>
      <c r="M100" s="8" t="s">
        <v>5626</v>
      </c>
      <c r="N100" s="38"/>
      <c r="O100" s="8"/>
      <c r="P100" s="4" t="str">
        <f>VLOOKUP($B100,'D7 - NDB Impacted SPRF''s'!$E$16:$O$9929,9,FALSE)</f>
        <v>N</v>
      </c>
      <c r="Q100" s="4" t="str">
        <f>VLOOKUP($B100,'D7 - NDB Impacted SPRF''s'!$E$16:$O$9929,10,FALSE)</f>
        <v>N</v>
      </c>
      <c r="R100" s="4" t="str">
        <f>VLOOKUP($B100,'D7 - NDB Impacted SPRF''s'!$E$16:$O$9929,11,FALSE)</f>
        <v>Y</v>
      </c>
      <c r="S100" s="8"/>
      <c r="T100" s="310"/>
      <c r="U100" s="310"/>
      <c r="V100" s="4"/>
      <c r="W100" s="4"/>
      <c r="X100" s="4"/>
      <c r="Y100" s="4"/>
      <c r="Z100" s="4"/>
      <c r="AA100" s="4"/>
      <c r="AB100" s="380" t="str">
        <f>VLOOKUP($B100,'D7 - NDB Impacted SPRF''s'!$E$6:$O$9929,4,FALSE)</f>
        <v>Scheduled</v>
      </c>
      <c r="AC100" s="380" t="str">
        <f>VLOOKUP($B100,'D7 - NDB Impacted SPRF''s'!$E$6:$O$9929,3,FALSE)</f>
        <v>UnitedHealthcare Employer &amp; Individual</v>
      </c>
      <c r="AD100" s="380" t="str">
        <f>VLOOKUP($B100,'D7 - NDB Impacted SPRF''s'!$E$6:$O$9929,5,FALSE)</f>
        <v>Operational Requirements</v>
      </c>
      <c r="AE100" s="380" t="str">
        <f>VLOOKUP($B100,'D7 - NDB Impacted SPRF''s'!$E$6:$O$9929,7,FALSE)</f>
        <v>Janice Dade</v>
      </c>
      <c r="AF100" s="380" t="str">
        <f>VLOOKUP($B100,'D7 - NDB Impacted SPRF''s'!$E$6:$O$9929,6,FALSE)</f>
        <v>Janet Butler</v>
      </c>
      <c r="AG100" s="282"/>
      <c r="AH100" s="311" t="str">
        <f>INDEX('D5 - Gatekeeper - Projects'!$A$4:$AF$1010,$AM100, 17)</f>
        <v>T. Kester</v>
      </c>
      <c r="AI100" s="8"/>
      <c r="AJ100" s="57"/>
      <c r="AK100" s="105"/>
      <c r="AM100" s="6">
        <f>MATCH(D100,'D5 - Gatekeeper - Projects'!$C$4:$C$1010,0)</f>
        <v>92</v>
      </c>
      <c r="AN100" s="6" t="b">
        <f t="shared" si="9"/>
        <v>0</v>
      </c>
      <c r="AO100" s="6" t="str">
        <f t="shared" si="10"/>
        <v>OK</v>
      </c>
      <c r="AQ100" s="6" t="e">
        <f>MATCH($D100,'D4 - Provider Council Unsched'!$C$11:$C$234,0)</f>
        <v>#N/A</v>
      </c>
      <c r="AR100" s="6" t="b">
        <f t="shared" si="11"/>
        <v>1</v>
      </c>
      <c r="AS100" s="6" t="str">
        <f t="shared" si="12"/>
        <v>OK</v>
      </c>
      <c r="AU100" s="202">
        <v>41390</v>
      </c>
      <c r="AV100" s="6" t="s">
        <v>3975</v>
      </c>
      <c r="AW100" s="274"/>
    </row>
    <row r="101" spans="1:49" s="13" customFormat="1" ht="33.75" x14ac:dyDescent="0.2">
      <c r="A101" s="14">
        <v>85</v>
      </c>
      <c r="B101" s="8">
        <v>400052232</v>
      </c>
      <c r="C101" s="8" t="s">
        <v>1447</v>
      </c>
      <c r="D101" s="4" t="str">
        <f t="shared" si="8"/>
        <v>400052232A</v>
      </c>
      <c r="E101" s="309" t="str">
        <f>VLOOKUP($B101,'D7 - NDB Impacted SPRF''s'!$E$6:$O$9929,2,FALSE)</f>
        <v>myMedica Find A Doc integration</v>
      </c>
      <c r="F101" s="8"/>
      <c r="G101" s="8" t="s">
        <v>7980</v>
      </c>
      <c r="H101" s="8" t="s">
        <v>1606</v>
      </c>
      <c r="I101" s="20">
        <v>0.26</v>
      </c>
      <c r="J101" s="8" t="s">
        <v>4862</v>
      </c>
      <c r="K101" s="182">
        <v>41447</v>
      </c>
      <c r="L101" s="8" t="s">
        <v>4156</v>
      </c>
      <c r="M101" s="8" t="s">
        <v>5626</v>
      </c>
      <c r="N101" s="364" t="s">
        <v>9134</v>
      </c>
      <c r="O101" s="8"/>
      <c r="P101" s="4" t="str">
        <f>VLOOKUP($B101,'D7 - NDB Impacted SPRF''s'!$E$16:$O$9929,9,FALSE)</f>
        <v>N</v>
      </c>
      <c r="Q101" s="4" t="str">
        <f>VLOOKUP($B101,'D7 - NDB Impacted SPRF''s'!$E$16:$O$9929,10,FALSE)</f>
        <v>N</v>
      </c>
      <c r="R101" s="4" t="str">
        <f>VLOOKUP($B101,'D7 - NDB Impacted SPRF''s'!$E$16:$O$9929,11,FALSE)</f>
        <v>N</v>
      </c>
      <c r="S101" s="8"/>
      <c r="T101" s="310"/>
      <c r="U101" s="310"/>
      <c r="V101" s="4"/>
      <c r="W101" s="4"/>
      <c r="X101" s="4"/>
      <c r="Y101" s="4"/>
      <c r="Z101" s="4"/>
      <c r="AA101" s="4"/>
      <c r="AB101" s="380" t="str">
        <f>VLOOKUP($B101,'D7 - NDB Impacted SPRF''s'!$E$6:$O$9929,4,FALSE)</f>
        <v>Scheduled</v>
      </c>
      <c r="AC101" s="380" t="str">
        <f>VLOOKUP($B101,'D7 - NDB Impacted SPRF''s'!$E$6:$O$9929,3,FALSE)</f>
        <v>UHG IT - Shared Services</v>
      </c>
      <c r="AD101" s="380" t="str">
        <f>VLOOKUP($B101,'D7 - NDB Impacted SPRF''s'!$E$6:$O$9929,5,FALSE)</f>
        <v>Medica Funded</v>
      </c>
      <c r="AE101" s="380" t="str">
        <f>VLOOKUP($B101,'D7 - NDB Impacted SPRF''s'!$E$6:$O$9929,7,FALSE)</f>
        <v>Robyn Athmann</v>
      </c>
      <c r="AF101" s="380" t="str">
        <f>VLOOKUP($B101,'D7 - NDB Impacted SPRF''s'!$E$6:$O$9929,6,FALSE)</f>
        <v>Linda Dooley</v>
      </c>
      <c r="AG101" s="282"/>
      <c r="AH101" s="311" t="str">
        <f>INDEX('D5 - Gatekeeper - Projects'!$A$4:$AF$1010,$AM101, 17)</f>
        <v>T. Kester</v>
      </c>
      <c r="AI101" s="8"/>
      <c r="AJ101" s="57"/>
      <c r="AK101" s="105"/>
      <c r="AM101" s="6">
        <f>MATCH(D101,'D5 - Gatekeeper - Projects'!$C$4:$C$1010,0)</f>
        <v>93</v>
      </c>
      <c r="AN101" s="6" t="b">
        <f t="shared" si="9"/>
        <v>0</v>
      </c>
      <c r="AO101" s="6" t="str">
        <f t="shared" si="10"/>
        <v>OK</v>
      </c>
      <c r="AQ101" s="6" t="e">
        <f>MATCH($D101,'D4 - Provider Council Unsched'!$C$11:$C$234,0)</f>
        <v>#N/A</v>
      </c>
      <c r="AR101" s="6" t="b">
        <f t="shared" si="11"/>
        <v>1</v>
      </c>
      <c r="AS101" s="6" t="str">
        <f t="shared" si="12"/>
        <v>OK</v>
      </c>
      <c r="AU101" s="202">
        <v>41186</v>
      </c>
      <c r="AV101" s="6" t="s">
        <v>9191</v>
      </c>
      <c r="AW101" s="274" t="s">
        <v>3572</v>
      </c>
    </row>
    <row r="102" spans="1:49" s="13" customFormat="1" ht="33.75" x14ac:dyDescent="0.2">
      <c r="A102" s="14">
        <v>86</v>
      </c>
      <c r="B102" s="8">
        <v>400053883</v>
      </c>
      <c r="C102" s="8" t="s">
        <v>7290</v>
      </c>
      <c r="D102" s="4" t="str">
        <f t="shared" si="8"/>
        <v>400053883B</v>
      </c>
      <c r="E102" s="309" t="str">
        <f>VLOOKUP($B102,'D7 - NDB Impacted SPRF''s'!$E$6:$O$9929,2,FALSE)</f>
        <v>ICD-10 Load Codes for Enterprise Test</v>
      </c>
      <c r="F102" s="8"/>
      <c r="G102" s="8" t="s">
        <v>5565</v>
      </c>
      <c r="H102" s="8" t="s">
        <v>1606</v>
      </c>
      <c r="I102" s="20">
        <v>8.57</v>
      </c>
      <c r="J102" s="8" t="s">
        <v>4862</v>
      </c>
      <c r="K102" s="182">
        <v>41447</v>
      </c>
      <c r="L102" s="8" t="s">
        <v>4156</v>
      </c>
      <c r="M102" s="8" t="s">
        <v>2814</v>
      </c>
      <c r="N102" s="38" t="s">
        <v>9514</v>
      </c>
      <c r="O102" s="8"/>
      <c r="P102" s="4" t="str">
        <f>VLOOKUP($B102,'D7 - NDB Impacted SPRF''s'!$E$16:$O$9929,9,FALSE)</f>
        <v>Y</v>
      </c>
      <c r="Q102" s="4" t="str">
        <f>VLOOKUP($B102,'D7 - NDB Impacted SPRF''s'!$E$16:$O$9929,10,FALSE)</f>
        <v>N</v>
      </c>
      <c r="R102" s="4" t="str">
        <f>VLOOKUP($B102,'D7 - NDB Impacted SPRF''s'!$E$16:$O$9929,11,FALSE)</f>
        <v>Y</v>
      </c>
      <c r="S102" s="8"/>
      <c r="T102" s="310"/>
      <c r="U102" s="310"/>
      <c r="V102" s="4"/>
      <c r="W102" s="4"/>
      <c r="X102" s="4"/>
      <c r="Y102" s="4"/>
      <c r="Z102" s="4"/>
      <c r="AA102" s="4"/>
      <c r="AB102" s="380" t="str">
        <f>VLOOKUP($B102,'D7 - NDB Impacted SPRF''s'!$E$6:$O$9929,4,FALSE)</f>
        <v>Scheduled</v>
      </c>
      <c r="AC102" s="380" t="str">
        <f>VLOOKUP($B102,'D7 - NDB Impacted SPRF''s'!$E$6:$O$9929,3,FALSE)</f>
        <v>UnitedHealthcare Employer &amp; Individual</v>
      </c>
      <c r="AD102" s="380" t="str">
        <f>VLOOKUP($B102,'D7 - NDB Impacted SPRF''s'!$E$6:$O$9929,5,FALSE)</f>
        <v>Regulatory / Other</v>
      </c>
      <c r="AE102" s="380" t="str">
        <f>VLOOKUP($B102,'D7 - NDB Impacted SPRF''s'!$E$6:$O$9929,7,FALSE)</f>
        <v>Tim Kaja</v>
      </c>
      <c r="AF102" s="380" t="str">
        <f>VLOOKUP($B102,'D7 - NDB Impacted SPRF''s'!$E$6:$O$9929,6,FALSE)</f>
        <v>Delvis Schilling</v>
      </c>
      <c r="AG102" s="282"/>
      <c r="AH102" s="311" t="str">
        <f>INDEX('D5 - Gatekeeper - Projects'!$A$4:$AF$1010,$AM102, 17)</f>
        <v>C. Chen</v>
      </c>
      <c r="AI102" s="8"/>
      <c r="AJ102" s="57"/>
      <c r="AK102" s="105"/>
      <c r="AM102" s="6">
        <f>MATCH(D102,'D5 - Gatekeeper - Projects'!$C$4:$C$1010,0)</f>
        <v>94</v>
      </c>
      <c r="AN102" s="6" t="b">
        <f t="shared" si="9"/>
        <v>0</v>
      </c>
      <c r="AO102" s="6" t="str">
        <f t="shared" si="10"/>
        <v>OK</v>
      </c>
      <c r="AQ102" s="6" t="e">
        <f>MATCH($D102,'D4 - Provider Council Unsched'!$C$11:$C$234,0)</f>
        <v>#N/A</v>
      </c>
      <c r="AR102" s="6" t="b">
        <f t="shared" si="11"/>
        <v>1</v>
      </c>
      <c r="AS102" s="6" t="str">
        <f t="shared" si="12"/>
        <v>OK</v>
      </c>
      <c r="AU102" s="202">
        <v>41298</v>
      </c>
      <c r="AV102" s="6" t="s">
        <v>2299</v>
      </c>
      <c r="AW102" s="274">
        <v>66286</v>
      </c>
    </row>
    <row r="103" spans="1:49" s="13" customFormat="1" ht="33.75" x14ac:dyDescent="0.2">
      <c r="A103" s="14">
        <v>87</v>
      </c>
      <c r="B103" s="14">
        <v>400054944</v>
      </c>
      <c r="C103" s="8" t="s">
        <v>7289</v>
      </c>
      <c r="D103" s="4" t="str">
        <f t="shared" si="8"/>
        <v>400054944D</v>
      </c>
      <c r="E103" s="309" t="str">
        <f>VLOOKUP($B103,'D7 - NDB Impacted SPRF''s'!$E$6:$O$9929,2,FALSE)</f>
        <v xml:space="preserve">Kansas BH Claims Processing on CSP &amp; Careone </v>
      </c>
      <c r="F103" s="8"/>
      <c r="G103" s="8" t="s">
        <v>7980</v>
      </c>
      <c r="H103" s="8" t="s">
        <v>1606</v>
      </c>
      <c r="I103" s="20">
        <v>7.8</v>
      </c>
      <c r="J103" s="8" t="s">
        <v>4862</v>
      </c>
      <c r="K103" s="182">
        <v>41447</v>
      </c>
      <c r="L103" s="8" t="s">
        <v>4156</v>
      </c>
      <c r="M103" s="8" t="s">
        <v>2814</v>
      </c>
      <c r="N103" s="38" t="s">
        <v>1189</v>
      </c>
      <c r="O103" s="8"/>
      <c r="P103" s="4" t="str">
        <f>VLOOKUP($B103,'D7 - NDB Impacted SPRF''s'!$E$16:$O$9929,9,FALSE)</f>
        <v>N</v>
      </c>
      <c r="Q103" s="4" t="str">
        <f>VLOOKUP($B103,'D7 - NDB Impacted SPRF''s'!$E$16:$O$9929,10,FALSE)</f>
        <v>N</v>
      </c>
      <c r="R103" s="4" t="str">
        <f>VLOOKUP($B103,'D7 - NDB Impacted SPRF''s'!$E$16:$O$9929,11,FALSE)</f>
        <v>N</v>
      </c>
      <c r="S103" s="8"/>
      <c r="T103" s="310"/>
      <c r="U103" s="310"/>
      <c r="V103" s="4"/>
      <c r="W103" s="4"/>
      <c r="X103" s="4"/>
      <c r="Y103" s="4"/>
      <c r="Z103" s="4"/>
      <c r="AA103" s="4"/>
      <c r="AB103" s="380" t="str">
        <f>VLOOKUP($B103,'D7 - NDB Impacted SPRF''s'!$E$6:$O$9929,4,FALSE)</f>
        <v>Scheduled</v>
      </c>
      <c r="AC103" s="380" t="str">
        <f>VLOOKUP($B103,'D7 - NDB Impacted SPRF''s'!$E$6:$O$9929,3,FALSE)</f>
        <v>UnitedHealthcare Community &amp; State</v>
      </c>
      <c r="AD103" s="380" t="str">
        <f>VLOOKUP($B103,'D7 - NDB Impacted SPRF''s'!$E$6:$O$9929,5,FALSE)</f>
        <v>Membership Growth / Revenue Programs</v>
      </c>
      <c r="AE103" s="380" t="str">
        <f>VLOOKUP($B103,'D7 - NDB Impacted SPRF''s'!$E$6:$O$9929,7,FALSE)</f>
        <v xml:space="preserve">Bror Hultgren </v>
      </c>
      <c r="AF103" s="380" t="str">
        <f>VLOOKUP($B103,'D7 - NDB Impacted SPRF''s'!$E$6:$O$9929,6,FALSE)</f>
        <v>Sudheer Ponnala</v>
      </c>
      <c r="AG103" s="282"/>
      <c r="AH103" s="311" t="str">
        <f>INDEX('D5 - Gatekeeper - Projects'!$A$4:$AF$1010,$AM103, 17)</f>
        <v>D. Bajpai</v>
      </c>
      <c r="AI103" s="8"/>
      <c r="AJ103" s="57"/>
      <c r="AK103" s="105"/>
      <c r="AM103" s="6">
        <f>MATCH(D103,'D5 - Gatekeeper - Projects'!$C$4:$C$1010,0)</f>
        <v>95</v>
      </c>
      <c r="AN103" s="6" t="b">
        <f t="shared" si="9"/>
        <v>0</v>
      </c>
      <c r="AO103" s="6" t="str">
        <f t="shared" si="10"/>
        <v>OK</v>
      </c>
      <c r="AQ103" s="6" t="e">
        <f>MATCH($D103,'D4 - Provider Council Unsched'!$C$11:$C$234,0)</f>
        <v>#N/A</v>
      </c>
      <c r="AR103" s="6" t="b">
        <f t="shared" si="11"/>
        <v>1</v>
      </c>
      <c r="AS103" s="6" t="str">
        <f t="shared" si="12"/>
        <v>OK</v>
      </c>
      <c r="AU103" s="202">
        <v>41278</v>
      </c>
      <c r="AV103" s="6" t="s">
        <v>34</v>
      </c>
      <c r="AW103" s="274">
        <v>69688</v>
      </c>
    </row>
    <row r="104" spans="1:49" s="13" customFormat="1" ht="45" x14ac:dyDescent="0.2">
      <c r="A104" s="14">
        <v>88</v>
      </c>
      <c r="B104" s="14">
        <v>400054944</v>
      </c>
      <c r="C104" s="8" t="s">
        <v>8138</v>
      </c>
      <c r="D104" s="4" t="str">
        <f t="shared" si="8"/>
        <v>400054944UA</v>
      </c>
      <c r="E104" s="309" t="str">
        <f>VLOOKUP($B104,'D7 - NDB Impacted SPRF''s'!$E$6:$O$9929,2,FALSE)</f>
        <v xml:space="preserve">Kansas BH Claims Processing on CSP &amp; Careone </v>
      </c>
      <c r="F104" s="8"/>
      <c r="G104" s="8" t="s">
        <v>7980</v>
      </c>
      <c r="H104" s="8" t="s">
        <v>1606</v>
      </c>
      <c r="I104" s="20">
        <v>0</v>
      </c>
      <c r="J104" s="8" t="s">
        <v>4862</v>
      </c>
      <c r="K104" s="182">
        <v>41447</v>
      </c>
      <c r="L104" s="8" t="s">
        <v>4156</v>
      </c>
      <c r="M104" s="8" t="s">
        <v>2814</v>
      </c>
      <c r="N104" s="38" t="s">
        <v>9201</v>
      </c>
      <c r="O104" s="8"/>
      <c r="P104" s="4" t="str">
        <f>VLOOKUP($B104,'D7 - NDB Impacted SPRF''s'!$E$16:$O$9929,9,FALSE)</f>
        <v>N</v>
      </c>
      <c r="Q104" s="4" t="str">
        <f>VLOOKUP($B104,'D7 - NDB Impacted SPRF''s'!$E$16:$O$9929,10,FALSE)</f>
        <v>N</v>
      </c>
      <c r="R104" s="4" t="str">
        <f>VLOOKUP($B104,'D7 - NDB Impacted SPRF''s'!$E$16:$O$9929,11,FALSE)</f>
        <v>N</v>
      </c>
      <c r="S104" s="8"/>
      <c r="T104" s="310"/>
      <c r="U104" s="310"/>
      <c r="V104" s="4"/>
      <c r="W104" s="4"/>
      <c r="X104" s="4"/>
      <c r="Y104" s="4"/>
      <c r="Z104" s="4"/>
      <c r="AA104" s="4"/>
      <c r="AB104" s="380" t="str">
        <f>VLOOKUP($B104,'D7 - NDB Impacted SPRF''s'!$E$6:$O$9929,4,FALSE)</f>
        <v>Scheduled</v>
      </c>
      <c r="AC104" s="380" t="str">
        <f>VLOOKUP($B104,'D7 - NDB Impacted SPRF''s'!$E$6:$O$9929,3,FALSE)</f>
        <v>UnitedHealthcare Community &amp; State</v>
      </c>
      <c r="AD104" s="380" t="str">
        <f>VLOOKUP($B104,'D7 - NDB Impacted SPRF''s'!$E$6:$O$9929,5,FALSE)</f>
        <v>Membership Growth / Revenue Programs</v>
      </c>
      <c r="AE104" s="380" t="str">
        <f>VLOOKUP($B104,'D7 - NDB Impacted SPRF''s'!$E$6:$O$9929,7,FALSE)</f>
        <v xml:space="preserve">Bror Hultgren </v>
      </c>
      <c r="AF104" s="380" t="str">
        <f>VLOOKUP($B104,'D7 - NDB Impacted SPRF''s'!$E$6:$O$9929,6,FALSE)</f>
        <v>Sudheer Ponnala</v>
      </c>
      <c r="AG104" s="282"/>
      <c r="AH104" s="311" t="str">
        <f>INDEX('D5 - Gatekeeper - Projects'!$A$4:$AF$1010,$AM104, 17)</f>
        <v>D. Bajpai</v>
      </c>
      <c r="AI104" s="8"/>
      <c r="AJ104" s="57"/>
      <c r="AK104" s="105"/>
      <c r="AM104" s="6">
        <f>MATCH(D104,'D5 - Gatekeeper - Projects'!$C$4:$C$1010,0)</f>
        <v>96</v>
      </c>
      <c r="AN104" s="6" t="b">
        <f t="shared" si="9"/>
        <v>0</v>
      </c>
      <c r="AO104" s="6" t="str">
        <f t="shared" si="10"/>
        <v>OK</v>
      </c>
      <c r="AQ104" s="6" t="e">
        <f>MATCH($D104,'D4 - Provider Council Unsched'!$C$11:$C$234,0)</f>
        <v>#N/A</v>
      </c>
      <c r="AR104" s="6" t="b">
        <f t="shared" si="11"/>
        <v>1</v>
      </c>
      <c r="AS104" s="6" t="str">
        <f t="shared" si="12"/>
        <v>OK</v>
      </c>
      <c r="AU104" s="202">
        <v>41278</v>
      </c>
      <c r="AV104" s="6" t="s">
        <v>34</v>
      </c>
      <c r="AW104" s="274">
        <v>69688</v>
      </c>
    </row>
    <row r="105" spans="1:49" s="13" customFormat="1" ht="33.75" x14ac:dyDescent="0.2">
      <c r="A105" s="14">
        <v>102</v>
      </c>
      <c r="B105" s="8">
        <v>400055976</v>
      </c>
      <c r="C105" s="8" t="s">
        <v>7292</v>
      </c>
      <c r="D105" s="4" t="str">
        <f t="shared" si="8"/>
        <v>400055976C</v>
      </c>
      <c r="E105" s="309" t="str">
        <f>VLOOKUP($B105,'D7 - NDB Impacted SPRF''s'!$E$6:$O$9929,2,FALSE)</f>
        <v>Navigate2 Product Network Clone</v>
      </c>
      <c r="F105" s="8"/>
      <c r="G105" s="8" t="s">
        <v>7980</v>
      </c>
      <c r="H105" s="8" t="s">
        <v>1606</v>
      </c>
      <c r="I105" s="20">
        <v>2.82</v>
      </c>
      <c r="J105" s="8" t="s">
        <v>4862</v>
      </c>
      <c r="K105" s="182">
        <v>41447</v>
      </c>
      <c r="L105" s="8" t="s">
        <v>4156</v>
      </c>
      <c r="M105" s="8" t="s">
        <v>2814</v>
      </c>
      <c r="N105" s="38" t="s">
        <v>9508</v>
      </c>
      <c r="O105" s="8"/>
      <c r="P105" s="4" t="str">
        <f>VLOOKUP($B105,'D7 - NDB Impacted SPRF''s'!$E$16:$O$9929,9,FALSE)</f>
        <v>Y</v>
      </c>
      <c r="Q105" s="4" t="str">
        <f>VLOOKUP($B105,'D7 - NDB Impacted SPRF''s'!$E$16:$O$9929,10,FALSE)</f>
        <v>N</v>
      </c>
      <c r="R105" s="4" t="str">
        <f>VLOOKUP($B105,'D7 - NDB Impacted SPRF''s'!$E$16:$O$9929,11,FALSE)</f>
        <v>Y</v>
      </c>
      <c r="S105" s="8"/>
      <c r="T105" s="310"/>
      <c r="U105" s="310"/>
      <c r="V105" s="4"/>
      <c r="W105" s="4"/>
      <c r="X105" s="4"/>
      <c r="Y105" s="4"/>
      <c r="Z105" s="4"/>
      <c r="AA105" s="4"/>
      <c r="AB105" s="380" t="str">
        <f>VLOOKUP($B105,'D7 - NDB Impacted SPRF''s'!$E$6:$O$9929,4,FALSE)</f>
        <v>In Strategy Council</v>
      </c>
      <c r="AC105" s="380" t="str">
        <f>VLOOKUP($B105,'D7 - NDB Impacted SPRF''s'!$E$6:$O$9929,3,FALSE)</f>
        <v>UnitedHealthcare Employer &amp; Individual</v>
      </c>
      <c r="AD105" s="380" t="str">
        <f>VLOOKUP($B105,'D7 - NDB Impacted SPRF''s'!$E$6:$O$9929,5,FALSE)</f>
        <v>Membership Growth / Revenue Programs</v>
      </c>
      <c r="AE105" s="380" t="str">
        <f>VLOOKUP($B105,'D7 - NDB Impacted SPRF''s'!$E$6:$O$9929,7,FALSE)</f>
        <v>Denise Mount</v>
      </c>
      <c r="AF105" s="380" t="str">
        <f>VLOOKUP($B105,'D7 - NDB Impacted SPRF''s'!$E$6:$O$9929,6,FALSE)</f>
        <v>Cynthia Kollars</v>
      </c>
      <c r="AG105" s="282"/>
      <c r="AH105" s="311" t="str">
        <f>INDEX('D5 - Gatekeeper - Projects'!$A$4:$AF$1010,$AM105, 17)</f>
        <v>B. Williams</v>
      </c>
      <c r="AI105" s="8"/>
      <c r="AJ105" s="57"/>
      <c r="AK105" s="105"/>
      <c r="AM105" s="6">
        <f>MATCH(D105,'D5 - Gatekeeper - Projects'!$C$4:$C$1010,0)</f>
        <v>97</v>
      </c>
      <c r="AN105" s="6" t="b">
        <f t="shared" si="9"/>
        <v>0</v>
      </c>
      <c r="AO105" s="6" t="str">
        <f t="shared" si="10"/>
        <v>OK</v>
      </c>
      <c r="AQ105" s="6" t="e">
        <f>MATCH($D105,'D4 - Provider Council Unsched'!$C$11:$C$234,0)</f>
        <v>#N/A</v>
      </c>
      <c r="AR105" s="6" t="b">
        <f t="shared" si="11"/>
        <v>1</v>
      </c>
      <c r="AS105" s="6" t="str">
        <f t="shared" si="12"/>
        <v>OK</v>
      </c>
      <c r="AU105" s="202">
        <v>41404</v>
      </c>
      <c r="AV105" s="314" t="s">
        <v>7710</v>
      </c>
      <c r="AW105" s="274"/>
    </row>
    <row r="106" spans="1:49" s="13" customFormat="1" ht="33.75" x14ac:dyDescent="0.2">
      <c r="A106" s="14">
        <v>89</v>
      </c>
      <c r="B106" s="8">
        <v>400056269</v>
      </c>
      <c r="C106" s="8" t="s">
        <v>1447</v>
      </c>
      <c r="D106" s="4" t="str">
        <f t="shared" si="8"/>
        <v>400056269A</v>
      </c>
      <c r="E106" s="309" t="str">
        <f>VLOOKUP($B106,'D7 - NDB Impacted SPRF''s'!$E$6:$O$9929,2,FALSE)</f>
        <v>5010: RI Provider File - Proprietary to HIPAA</v>
      </c>
      <c r="F106" s="8"/>
      <c r="G106" s="8" t="s">
        <v>7980</v>
      </c>
      <c r="H106" s="8" t="s">
        <v>1606</v>
      </c>
      <c r="I106" s="20">
        <v>6.09</v>
      </c>
      <c r="J106" s="8" t="s">
        <v>4862</v>
      </c>
      <c r="K106" s="182">
        <v>41447</v>
      </c>
      <c r="L106" s="8" t="s">
        <v>4156</v>
      </c>
      <c r="M106" s="8" t="s">
        <v>2814</v>
      </c>
      <c r="N106" s="38" t="s">
        <v>9384</v>
      </c>
      <c r="O106" s="8"/>
      <c r="P106" s="4" t="str">
        <f>VLOOKUP($B106,'D7 - NDB Impacted SPRF''s'!$E$16:$O$9929,9,FALSE)</f>
        <v>N</v>
      </c>
      <c r="Q106" s="4" t="str">
        <f>VLOOKUP($B106,'D7 - NDB Impacted SPRF''s'!$E$16:$O$9929,10,FALSE)</f>
        <v>N</v>
      </c>
      <c r="R106" s="4" t="str">
        <f>VLOOKUP($B106,'D7 - NDB Impacted SPRF''s'!$E$16:$O$9929,11,FALSE)</f>
        <v>N</v>
      </c>
      <c r="S106" s="8"/>
      <c r="T106" s="310"/>
      <c r="U106" s="310"/>
      <c r="V106" s="4"/>
      <c r="W106" s="4"/>
      <c r="X106" s="4"/>
      <c r="Y106" s="4"/>
      <c r="Z106" s="4"/>
      <c r="AA106" s="4"/>
      <c r="AB106" s="380" t="str">
        <f>VLOOKUP($B106,'D7 - NDB Impacted SPRF''s'!$E$6:$O$9929,4,FALSE)</f>
        <v>Scheduled</v>
      </c>
      <c r="AC106" s="380" t="str">
        <f>VLOOKUP($B106,'D7 - NDB Impacted SPRF''s'!$E$6:$O$9929,3,FALSE)</f>
        <v>UnitedHealthcare Community &amp; State</v>
      </c>
      <c r="AD106" s="380" t="str">
        <f>VLOOKUP($B106,'D7 - NDB Impacted SPRF''s'!$E$6:$O$9929,5,FALSE)</f>
        <v>Regulatory / Other</v>
      </c>
      <c r="AE106" s="380" t="str">
        <f>VLOOKUP($B106,'D7 - NDB Impacted SPRF''s'!$E$6:$O$9929,7,FALSE)</f>
        <v>Chris Scherer</v>
      </c>
      <c r="AF106" s="380" t="str">
        <f>VLOOKUP($B106,'D7 - NDB Impacted SPRF''s'!$E$6:$O$9929,6,FALSE)</f>
        <v>Barbara Petrauschke</v>
      </c>
      <c r="AG106" s="282"/>
      <c r="AH106" s="311" t="str">
        <f>INDEX('D5 - Gatekeeper - Projects'!$A$4:$AF$1010,$AM106, 17)</f>
        <v>J. Melendez</v>
      </c>
      <c r="AI106" s="8"/>
      <c r="AJ106" s="57"/>
      <c r="AK106" s="105"/>
      <c r="AM106" s="6">
        <f>MATCH(D106,'D5 - Gatekeeper - Projects'!$C$4:$C$1010,0)</f>
        <v>98</v>
      </c>
      <c r="AN106" s="6" t="b">
        <f t="shared" si="9"/>
        <v>0</v>
      </c>
      <c r="AO106" s="6" t="str">
        <f t="shared" si="10"/>
        <v>OK</v>
      </c>
      <c r="AQ106" s="6" t="e">
        <f>MATCH($D106,'D4 - Provider Council Unsched'!$C$11:$C$234,0)</f>
        <v>#N/A</v>
      </c>
      <c r="AR106" s="6" t="b">
        <f t="shared" si="11"/>
        <v>1</v>
      </c>
      <c r="AS106" s="6" t="str">
        <f t="shared" si="12"/>
        <v>OK</v>
      </c>
      <c r="AU106" s="202">
        <v>41298</v>
      </c>
      <c r="AV106" s="313" t="s">
        <v>969</v>
      </c>
      <c r="AW106" s="274"/>
    </row>
    <row r="107" spans="1:49" s="13" customFormat="1" ht="11.25" customHeight="1" x14ac:dyDescent="0.2">
      <c r="A107" s="14">
        <v>90</v>
      </c>
      <c r="B107" s="8">
        <v>400056402</v>
      </c>
      <c r="C107" s="8" t="s">
        <v>1447</v>
      </c>
      <c r="D107" s="4" t="str">
        <f t="shared" si="8"/>
        <v>400056402A</v>
      </c>
      <c r="E107" s="309" t="str">
        <f>VLOOKUP($B107,'D7 - NDB Impacted SPRF''s'!$E$6:$O$9929,2,FALSE)</f>
        <v>UHCOnline Updates - MIPA/OCI Compliance of MD E-PA</v>
      </c>
      <c r="F107" s="8"/>
      <c r="G107" s="8" t="s">
        <v>7980</v>
      </c>
      <c r="H107" s="8" t="s">
        <v>1606</v>
      </c>
      <c r="I107" s="20">
        <v>0.49</v>
      </c>
      <c r="J107" s="8" t="s">
        <v>4862</v>
      </c>
      <c r="K107" s="182">
        <v>41447</v>
      </c>
      <c r="L107" s="8" t="s">
        <v>4156</v>
      </c>
      <c r="M107" s="8" t="s">
        <v>5626</v>
      </c>
      <c r="N107" s="38"/>
      <c r="O107" s="8"/>
      <c r="P107" s="4" t="str">
        <f>VLOOKUP($B107,'D7 - NDB Impacted SPRF''s'!$E$16:$O$9929,9,FALSE)</f>
        <v>N</v>
      </c>
      <c r="Q107" s="4" t="str">
        <f>VLOOKUP($B107,'D7 - NDB Impacted SPRF''s'!$E$16:$O$9929,10,FALSE)</f>
        <v>N</v>
      </c>
      <c r="R107" s="4" t="str">
        <f>VLOOKUP($B107,'D7 - NDB Impacted SPRF''s'!$E$16:$O$9929,11,FALSE)</f>
        <v>N</v>
      </c>
      <c r="S107" s="8"/>
      <c r="T107" s="310"/>
      <c r="U107" s="310"/>
      <c r="V107" s="4"/>
      <c r="W107" s="4"/>
      <c r="X107" s="4"/>
      <c r="Y107" s="4"/>
      <c r="Z107" s="4"/>
      <c r="AA107" s="4"/>
      <c r="AB107" s="380" t="str">
        <f>VLOOKUP($B107,'D7 - NDB Impacted SPRF''s'!$E$6:$O$9929,4,FALSE)</f>
        <v>Scheduled</v>
      </c>
      <c r="AC107" s="380" t="str">
        <f>VLOOKUP($B107,'D7 - NDB Impacted SPRF''s'!$E$6:$O$9929,3,FALSE)</f>
        <v>UnitedHealthcare Employer &amp; Individual</v>
      </c>
      <c r="AD107" s="380" t="str">
        <f>VLOOKUP($B107,'D7 - NDB Impacted SPRF''s'!$E$6:$O$9929,5,FALSE)</f>
        <v>Regulatory / Other</v>
      </c>
      <c r="AE107" s="380" t="str">
        <f>VLOOKUP($B107,'D7 - NDB Impacted SPRF''s'!$E$6:$O$9929,7,FALSE)</f>
        <v>John Fleig</v>
      </c>
      <c r="AF107" s="380" t="str">
        <f>VLOOKUP($B107,'D7 - NDB Impacted SPRF''s'!$E$6:$O$9929,6,FALSE)</f>
        <v>William Talamantes</v>
      </c>
      <c r="AG107" s="282"/>
      <c r="AH107" s="311" t="str">
        <f>INDEX('D5 - Gatekeeper - Projects'!$A$4:$AF$1010,$AM107, 17)</f>
        <v>T. Kester</v>
      </c>
      <c r="AI107" s="8"/>
      <c r="AJ107" s="57"/>
      <c r="AK107" s="105"/>
      <c r="AM107" s="6">
        <f>MATCH(D107,'D5 - Gatekeeper - Projects'!$C$4:$C$1010,0)</f>
        <v>99</v>
      </c>
      <c r="AN107" s="6" t="b">
        <f t="shared" si="9"/>
        <v>0</v>
      </c>
      <c r="AO107" s="6" t="str">
        <f t="shared" si="10"/>
        <v>OK</v>
      </c>
      <c r="AQ107" s="6" t="e">
        <f>MATCH($D107,'D4 - Provider Council Unsched'!$C$11:$C$234,0)</f>
        <v>#N/A</v>
      </c>
      <c r="AR107" s="6" t="b">
        <f t="shared" si="11"/>
        <v>1</v>
      </c>
      <c r="AS107" s="6" t="str">
        <f t="shared" si="12"/>
        <v>OK</v>
      </c>
      <c r="AU107" s="202">
        <v>41341</v>
      </c>
      <c r="AV107" s="314" t="s">
        <v>9193</v>
      </c>
      <c r="AW107" s="274"/>
    </row>
    <row r="108" spans="1:49" s="13" customFormat="1" ht="56.25" x14ac:dyDescent="0.2">
      <c r="A108" s="14">
        <v>91</v>
      </c>
      <c r="B108" s="14">
        <v>400056887</v>
      </c>
      <c r="C108" s="8" t="s">
        <v>1447</v>
      </c>
      <c r="D108" s="4" t="str">
        <f t="shared" si="8"/>
        <v>400056887A</v>
      </c>
      <c r="E108" s="309" t="str">
        <f>VLOOKUP($B108,'D7 - NDB Impacted SPRF''s'!$E$6:$O$9929,2,FALSE)</f>
        <v>Data Classification &amp; Retention Survey</v>
      </c>
      <c r="F108" s="8"/>
      <c r="G108" s="8" t="s">
        <v>7980</v>
      </c>
      <c r="H108" s="8" t="s">
        <v>1606</v>
      </c>
      <c r="I108" s="20">
        <v>0.03</v>
      </c>
      <c r="J108" s="8" t="s">
        <v>4862</v>
      </c>
      <c r="K108" s="182">
        <v>41447</v>
      </c>
      <c r="L108" s="8" t="s">
        <v>4156</v>
      </c>
      <c r="M108" s="8" t="s">
        <v>4450</v>
      </c>
      <c r="N108" s="38" t="s">
        <v>9563</v>
      </c>
      <c r="O108" s="8"/>
      <c r="P108" s="4" t="str">
        <f>VLOOKUP($B108,'D7 - NDB Impacted SPRF''s'!$E$16:$O$9929,9,FALSE)</f>
        <v>N</v>
      </c>
      <c r="Q108" s="4" t="str">
        <f>VLOOKUP($B108,'D7 - NDB Impacted SPRF''s'!$E$16:$O$9929,10,FALSE)</f>
        <v>N</v>
      </c>
      <c r="R108" s="4" t="str">
        <f>VLOOKUP($B108,'D7 - NDB Impacted SPRF''s'!$E$16:$O$9929,11,FALSE)</f>
        <v>Y</v>
      </c>
      <c r="S108" s="8"/>
      <c r="T108" s="310"/>
      <c r="U108" s="310"/>
      <c r="V108" s="4"/>
      <c r="W108" s="4"/>
      <c r="X108" s="4"/>
      <c r="Y108" s="4"/>
      <c r="Z108" s="4"/>
      <c r="AA108" s="4"/>
      <c r="AB108" s="380" t="str">
        <f>VLOOKUP($B108,'D7 - NDB Impacted SPRF''s'!$E$6:$O$9929,4,FALSE)</f>
        <v>In Estimating</v>
      </c>
      <c r="AC108" s="380" t="str">
        <f>VLOOKUP($B108,'D7 - NDB Impacted SPRF''s'!$E$6:$O$9929,3,FALSE)</f>
        <v>UHG IT - Enterprise Technology Services</v>
      </c>
      <c r="AD108" s="380" t="str">
        <f>VLOOKUP($B108,'D7 - NDB Impacted SPRF''s'!$E$6:$O$9929,5,FALSE)</f>
        <v>Continuous Improvement</v>
      </c>
      <c r="AE108" s="380" t="str">
        <f>VLOOKUP($B108,'D7 - NDB Impacted SPRF''s'!$E$6:$O$9929,7,FALSE)</f>
        <v>Milla Hautman</v>
      </c>
      <c r="AF108" s="380" t="str">
        <f>VLOOKUP($B108,'D7 - NDB Impacted SPRF''s'!$E$6:$O$9929,6,FALSE)</f>
        <v>Linda Maghan</v>
      </c>
      <c r="AG108" s="282"/>
      <c r="AH108" s="311">
        <f>INDEX('D5 - Gatekeeper - Projects'!$A$4:$AF$1010,$AM108, 17)</f>
        <v>0</v>
      </c>
      <c r="AI108" s="8"/>
      <c r="AJ108" s="57"/>
      <c r="AK108" s="105"/>
      <c r="AM108" s="6">
        <f>MATCH(D108,'D5 - Gatekeeper - Projects'!$C$4:$C$1010,0)</f>
        <v>100</v>
      </c>
      <c r="AN108" s="6" t="b">
        <f t="shared" si="9"/>
        <v>0</v>
      </c>
      <c r="AO108" s="6" t="str">
        <f t="shared" si="10"/>
        <v>OK</v>
      </c>
      <c r="AQ108" s="6" t="e">
        <f>MATCH($D108,'D4 - Provider Council Unsched'!$C$11:$C$234,0)</f>
        <v>#N/A</v>
      </c>
      <c r="AR108" s="6" t="b">
        <f t="shared" si="11"/>
        <v>1</v>
      </c>
      <c r="AS108" s="6" t="str">
        <f t="shared" si="12"/>
        <v>OK</v>
      </c>
      <c r="AU108" s="202">
        <v>41390</v>
      </c>
      <c r="AV108" s="6" t="s">
        <v>9371</v>
      </c>
      <c r="AW108" s="274"/>
    </row>
    <row r="109" spans="1:49" s="13" customFormat="1" ht="45" x14ac:dyDescent="0.2">
      <c r="A109" s="14">
        <v>92</v>
      </c>
      <c r="B109" s="14">
        <v>400056887</v>
      </c>
      <c r="C109" s="8" t="s">
        <v>8138</v>
      </c>
      <c r="D109" s="4" t="str">
        <f t="shared" si="8"/>
        <v>400056887UA</v>
      </c>
      <c r="E109" s="309" t="str">
        <f>VLOOKUP($B109,'D7 - NDB Impacted SPRF''s'!$E$6:$O$9929,2,FALSE)</f>
        <v>Data Classification &amp; Retention Survey</v>
      </c>
      <c r="F109" s="8"/>
      <c r="G109" s="8" t="s">
        <v>7980</v>
      </c>
      <c r="H109" s="8" t="s">
        <v>1606</v>
      </c>
      <c r="I109" s="20">
        <v>0.03</v>
      </c>
      <c r="J109" s="8" t="s">
        <v>4862</v>
      </c>
      <c r="K109" s="182">
        <v>41447</v>
      </c>
      <c r="L109" s="8" t="s">
        <v>4156</v>
      </c>
      <c r="M109" s="8" t="s">
        <v>4450</v>
      </c>
      <c r="N109" s="38" t="s">
        <v>9370</v>
      </c>
      <c r="O109" s="8"/>
      <c r="P109" s="4" t="str">
        <f>VLOOKUP($B109,'D7 - NDB Impacted SPRF''s'!$E$16:$O$9929,9,FALSE)</f>
        <v>N</v>
      </c>
      <c r="Q109" s="4" t="str">
        <f>VLOOKUP($B109,'D7 - NDB Impacted SPRF''s'!$E$16:$O$9929,10,FALSE)</f>
        <v>N</v>
      </c>
      <c r="R109" s="4" t="str">
        <f>VLOOKUP($B109,'D7 - NDB Impacted SPRF''s'!$E$16:$O$9929,11,FALSE)</f>
        <v>Y</v>
      </c>
      <c r="S109" s="8"/>
      <c r="T109" s="310"/>
      <c r="U109" s="310"/>
      <c r="V109" s="4"/>
      <c r="W109" s="4"/>
      <c r="X109" s="4"/>
      <c r="Y109" s="4"/>
      <c r="Z109" s="4"/>
      <c r="AA109" s="4"/>
      <c r="AB109" s="380" t="str">
        <f>VLOOKUP($B109,'D7 - NDB Impacted SPRF''s'!$E$6:$O$9929,4,FALSE)</f>
        <v>In Estimating</v>
      </c>
      <c r="AC109" s="380" t="str">
        <f>VLOOKUP($B109,'D7 - NDB Impacted SPRF''s'!$E$6:$O$9929,3,FALSE)</f>
        <v>UHG IT - Enterprise Technology Services</v>
      </c>
      <c r="AD109" s="380" t="str">
        <f>VLOOKUP($B109,'D7 - NDB Impacted SPRF''s'!$E$6:$O$9929,5,FALSE)</f>
        <v>Continuous Improvement</v>
      </c>
      <c r="AE109" s="380" t="str">
        <f>VLOOKUP($B109,'D7 - NDB Impacted SPRF''s'!$E$6:$O$9929,7,FALSE)</f>
        <v>Milla Hautman</v>
      </c>
      <c r="AF109" s="380" t="str">
        <f>VLOOKUP($B109,'D7 - NDB Impacted SPRF''s'!$E$6:$O$9929,6,FALSE)</f>
        <v>Linda Maghan</v>
      </c>
      <c r="AG109" s="282"/>
      <c r="AH109" s="311">
        <f>INDEX('D5 - Gatekeeper - Projects'!$A$4:$AF$1010,$AM109, 17)</f>
        <v>0</v>
      </c>
      <c r="AI109" s="8"/>
      <c r="AJ109" s="57"/>
      <c r="AK109" s="105"/>
      <c r="AM109" s="6">
        <f>MATCH(D109,'D5 - Gatekeeper - Projects'!$C$4:$C$1010,0)</f>
        <v>101</v>
      </c>
      <c r="AN109" s="6" t="b">
        <f t="shared" si="9"/>
        <v>0</v>
      </c>
      <c r="AO109" s="6" t="str">
        <f t="shared" si="10"/>
        <v>OK</v>
      </c>
      <c r="AQ109" s="6" t="e">
        <f>MATCH($D109,'D4 - Provider Council Unsched'!$C$11:$C$234,0)</f>
        <v>#N/A</v>
      </c>
      <c r="AR109" s="6" t="b">
        <f t="shared" si="11"/>
        <v>1</v>
      </c>
      <c r="AS109" s="6" t="str">
        <f t="shared" si="12"/>
        <v>OK</v>
      </c>
      <c r="AU109" s="202">
        <v>41390</v>
      </c>
      <c r="AV109" s="6" t="s">
        <v>9371</v>
      </c>
      <c r="AW109" s="274"/>
    </row>
    <row r="110" spans="1:49" s="13" customFormat="1" ht="33.75" x14ac:dyDescent="0.2">
      <c r="A110" s="14">
        <v>93</v>
      </c>
      <c r="B110" s="8">
        <v>400057022</v>
      </c>
      <c r="C110" s="8" t="s">
        <v>1447</v>
      </c>
      <c r="D110" s="4" t="str">
        <f t="shared" si="8"/>
        <v>400057022A</v>
      </c>
      <c r="E110" s="309" t="str">
        <f>VLOOKUP($B110,'D7 - NDB Impacted SPRF''s'!$E$6:$O$9929,2,FALSE)</f>
        <v>UHCOnline Update-Golden Rule Compliance MD E-PA</v>
      </c>
      <c r="F110" s="8"/>
      <c r="G110" s="8" t="s">
        <v>7980</v>
      </c>
      <c r="H110" s="8" t="s">
        <v>1606</v>
      </c>
      <c r="I110" s="20">
        <v>0.46</v>
      </c>
      <c r="J110" s="8" t="s">
        <v>4862</v>
      </c>
      <c r="K110" s="182">
        <v>41447</v>
      </c>
      <c r="L110" s="8" t="s">
        <v>4156</v>
      </c>
      <c r="M110" s="8" t="s">
        <v>5626</v>
      </c>
      <c r="N110" s="38"/>
      <c r="O110" s="8"/>
      <c r="P110" s="4" t="str">
        <f>VLOOKUP($B110,'D7 - NDB Impacted SPRF''s'!$E$16:$O$9929,9,FALSE)</f>
        <v>N</v>
      </c>
      <c r="Q110" s="4" t="str">
        <f>VLOOKUP($B110,'D7 - NDB Impacted SPRF''s'!$E$16:$O$9929,10,FALSE)</f>
        <v>N</v>
      </c>
      <c r="R110" s="4" t="str">
        <f>VLOOKUP($B110,'D7 - NDB Impacted SPRF''s'!$E$16:$O$9929,11,FALSE)</f>
        <v>N</v>
      </c>
      <c r="S110" s="8"/>
      <c r="T110" s="310"/>
      <c r="U110" s="310"/>
      <c r="V110" s="4"/>
      <c r="W110" s="4"/>
      <c r="X110" s="4"/>
      <c r="Y110" s="4"/>
      <c r="Z110" s="4"/>
      <c r="AA110" s="4"/>
      <c r="AB110" s="380" t="str">
        <f>VLOOKUP($B110,'D7 - NDB Impacted SPRF''s'!$E$6:$O$9929,4,FALSE)</f>
        <v>Scheduled</v>
      </c>
      <c r="AC110" s="380" t="str">
        <f>VLOOKUP($B110,'D7 - NDB Impacted SPRF''s'!$E$6:$O$9929,3,FALSE)</f>
        <v>UnitedHealthcare Employer &amp; Individual</v>
      </c>
      <c r="AD110" s="380" t="str">
        <f>VLOOKUP($B110,'D7 - NDB Impacted SPRF''s'!$E$6:$O$9929,5,FALSE)</f>
        <v>Regulatory / Other</v>
      </c>
      <c r="AE110" s="380" t="str">
        <f>VLOOKUP($B110,'D7 - NDB Impacted SPRF''s'!$E$6:$O$9929,7,FALSE)</f>
        <v>Karen DiPalmo</v>
      </c>
      <c r="AF110" s="380" t="str">
        <f>VLOOKUP($B110,'D7 - NDB Impacted SPRF''s'!$E$6:$O$9929,6,FALSE)</f>
        <v>William Talamantes</v>
      </c>
      <c r="AG110" s="282"/>
      <c r="AH110" s="311" t="str">
        <f>INDEX('D5 - Gatekeeper - Projects'!$A$4:$AF$1010,$AM110, 17)</f>
        <v>T. Kester</v>
      </c>
      <c r="AI110" s="8"/>
      <c r="AJ110" s="57"/>
      <c r="AK110" s="105"/>
      <c r="AM110" s="6">
        <f>MATCH(D110,'D5 - Gatekeeper - Projects'!$C$4:$C$1010,0)</f>
        <v>102</v>
      </c>
      <c r="AN110" s="6" t="b">
        <f t="shared" si="9"/>
        <v>0</v>
      </c>
      <c r="AO110" s="6" t="str">
        <f t="shared" si="10"/>
        <v>OK</v>
      </c>
      <c r="AQ110" s="6" t="e">
        <f>MATCH($D110,'D4 - Provider Council Unsched'!$C$11:$C$234,0)</f>
        <v>#N/A</v>
      </c>
      <c r="AR110" s="6" t="b">
        <f t="shared" si="11"/>
        <v>1</v>
      </c>
      <c r="AS110" s="6" t="str">
        <f t="shared" si="12"/>
        <v>OK</v>
      </c>
      <c r="AU110" s="202">
        <v>41341</v>
      </c>
      <c r="AV110" s="315" t="s">
        <v>9193</v>
      </c>
      <c r="AW110" s="274"/>
    </row>
    <row r="111" spans="1:49" s="13" customFormat="1" ht="33.75" x14ac:dyDescent="0.2">
      <c r="A111" s="14">
        <v>94</v>
      </c>
      <c r="B111" s="8">
        <v>400057364</v>
      </c>
      <c r="C111" s="8" t="s">
        <v>1447</v>
      </c>
      <c r="D111" s="4" t="str">
        <f t="shared" si="8"/>
        <v>400057364A</v>
      </c>
      <c r="E111" s="309" t="str">
        <f>VLOOKUP($B111,'D7 - NDB Impacted SPRF''s'!$E$6:$O$9929,2,FALSE)</f>
        <v>Arizona Acute &amp; CRS RFP</v>
      </c>
      <c r="F111" s="8"/>
      <c r="G111" s="8" t="s">
        <v>7980</v>
      </c>
      <c r="H111" s="8" t="s">
        <v>1606</v>
      </c>
      <c r="I111" s="20">
        <v>0.18</v>
      </c>
      <c r="J111" s="8" t="s">
        <v>4862</v>
      </c>
      <c r="K111" s="182">
        <v>41447</v>
      </c>
      <c r="L111" s="8" t="s">
        <v>4156</v>
      </c>
      <c r="M111" s="8" t="s">
        <v>5626</v>
      </c>
      <c r="N111" s="38"/>
      <c r="O111" s="8"/>
      <c r="P111" s="4" t="str">
        <f>VLOOKUP($B111,'D7 - NDB Impacted SPRF''s'!$E$16:$O$9929,9,FALSE)</f>
        <v>N</v>
      </c>
      <c r="Q111" s="4" t="str">
        <f>VLOOKUP($B111,'D7 - NDB Impacted SPRF''s'!$E$16:$O$9929,10,FALSE)</f>
        <v>N</v>
      </c>
      <c r="R111" s="4" t="str">
        <f>VLOOKUP($B111,'D7 - NDB Impacted SPRF''s'!$E$16:$O$9929,11,FALSE)</f>
        <v>Y</v>
      </c>
      <c r="S111" s="8"/>
      <c r="T111" s="310"/>
      <c r="U111" s="310"/>
      <c r="V111" s="4"/>
      <c r="W111" s="4"/>
      <c r="X111" s="4"/>
      <c r="Y111" s="4"/>
      <c r="Z111" s="4"/>
      <c r="AA111" s="4"/>
      <c r="AB111" s="380" t="str">
        <f>VLOOKUP($B111,'D7 - NDB Impacted SPRF''s'!$E$6:$O$9929,4,FALSE)</f>
        <v>Scheduled</v>
      </c>
      <c r="AC111" s="380" t="str">
        <f>VLOOKUP($B111,'D7 - NDB Impacted SPRF''s'!$E$6:$O$9929,3,FALSE)</f>
        <v>UnitedHealthcare Community &amp; State</v>
      </c>
      <c r="AD111" s="380" t="str">
        <f>VLOOKUP($B111,'D7 - NDB Impacted SPRF''s'!$E$6:$O$9929,5,FALSE)</f>
        <v>Growth and Innovation</v>
      </c>
      <c r="AE111" s="380" t="str">
        <f>VLOOKUP($B111,'D7 - NDB Impacted SPRF''s'!$E$6:$O$9929,7,FALSE)</f>
        <v>Kent Monical</v>
      </c>
      <c r="AF111" s="380" t="str">
        <f>VLOOKUP($B111,'D7 - NDB Impacted SPRF''s'!$E$6:$O$9929,6,FALSE)</f>
        <v>Amy Robare</v>
      </c>
      <c r="AG111" s="282"/>
      <c r="AH111" s="311" t="str">
        <f>INDEX('D5 - Gatekeeper - Projects'!$A$4:$AF$1010,$AM111, 17)</f>
        <v>T. Kester</v>
      </c>
      <c r="AI111" s="8"/>
      <c r="AJ111" s="57"/>
      <c r="AK111" s="105"/>
      <c r="AM111" s="6">
        <f>MATCH(D111,'D5 - Gatekeeper - Projects'!$C$4:$C$1010,0)</f>
        <v>103</v>
      </c>
      <c r="AN111" s="6" t="b">
        <f t="shared" si="9"/>
        <v>0</v>
      </c>
      <c r="AO111" s="6" t="str">
        <f t="shared" si="10"/>
        <v>OK</v>
      </c>
      <c r="AQ111" s="6" t="e">
        <f>MATCH($D111,'D4 - Provider Council Unsched'!$C$11:$C$234,0)</f>
        <v>#N/A</v>
      </c>
      <c r="AR111" s="6" t="b">
        <f t="shared" si="11"/>
        <v>1</v>
      </c>
      <c r="AS111" s="6" t="str">
        <f t="shared" si="12"/>
        <v>OK</v>
      </c>
      <c r="AU111" s="202">
        <v>41376</v>
      </c>
      <c r="AV111" s="408" t="s">
        <v>3206</v>
      </c>
      <c r="AW111" s="274"/>
    </row>
    <row r="112" spans="1:49" s="13" customFormat="1" ht="33.75" x14ac:dyDescent="0.2">
      <c r="A112" s="14"/>
      <c r="B112" s="14">
        <v>400057380</v>
      </c>
      <c r="C112" s="8" t="s">
        <v>1447</v>
      </c>
      <c r="D112" s="4" t="str">
        <f t="shared" si="8"/>
        <v>400057380A</v>
      </c>
      <c r="E112" s="309" t="str">
        <f>VLOOKUP($B112,'D7 - NDB Impacted SPRF''s'!$E$6:$O$9929,2,FALSE)</f>
        <v>UHOne Med Nec PA/IPCM for New &amp; Existing Products</v>
      </c>
      <c r="F112" s="8"/>
      <c r="G112" s="8" t="s">
        <v>7980</v>
      </c>
      <c r="H112" s="8" t="s">
        <v>1606</v>
      </c>
      <c r="I112" s="20">
        <v>0.35</v>
      </c>
      <c r="J112" s="8" t="s">
        <v>4862</v>
      </c>
      <c r="K112" s="182">
        <v>41447</v>
      </c>
      <c r="L112" s="8" t="s">
        <v>4156</v>
      </c>
      <c r="M112" s="8" t="s">
        <v>6688</v>
      </c>
      <c r="N112" s="38" t="s">
        <v>9620</v>
      </c>
      <c r="O112" s="8"/>
      <c r="P112" s="4" t="str">
        <f>VLOOKUP($B112,'D7 - NDB Impacted SPRF''s'!$E$16:$O$9929,9,FALSE)</f>
        <v>Y</v>
      </c>
      <c r="Q112" s="4" t="str">
        <f>VLOOKUP($B112,'D7 - NDB Impacted SPRF''s'!$E$16:$O$9929,10,FALSE)</f>
        <v>N</v>
      </c>
      <c r="R112" s="4" t="str">
        <f>VLOOKUP($B112,'D7 - NDB Impacted SPRF''s'!$E$16:$O$9929,11,FALSE)</f>
        <v>Y</v>
      </c>
      <c r="S112" s="8"/>
      <c r="T112" s="310"/>
      <c r="U112" s="310"/>
      <c r="V112" s="4"/>
      <c r="W112" s="4"/>
      <c r="X112" s="4"/>
      <c r="Y112" s="4"/>
      <c r="Z112" s="4"/>
      <c r="AA112" s="4"/>
      <c r="AB112" s="380" t="str">
        <f>VLOOKUP($B112,'D7 - NDB Impacted SPRF''s'!$E$6:$O$9929,4,FALSE)</f>
        <v>estimating</v>
      </c>
      <c r="AC112" s="380" t="str">
        <f>VLOOKUP($B112,'D7 - NDB Impacted SPRF''s'!$E$6:$O$9929,3,FALSE)</f>
        <v>UnitedHealthcare Employer &amp; Individual</v>
      </c>
      <c r="AD112" s="380" t="str">
        <f>VLOOKUP($B112,'D7 - NDB Impacted SPRF''s'!$E$6:$O$9929,5,FALSE)</f>
        <v>Process Improvement</v>
      </c>
      <c r="AE112" s="380" t="str">
        <f>VLOOKUP($B112,'D7 - NDB Impacted SPRF''s'!$E$6:$O$9929,7,FALSE)</f>
        <v>Sam Ho</v>
      </c>
      <c r="AF112" s="380" t="str">
        <f>VLOOKUP($B112,'D7 - NDB Impacted SPRF''s'!$E$6:$O$9929,6,FALSE)</f>
        <v>Janet Breidigam</v>
      </c>
      <c r="AG112" s="282"/>
      <c r="AH112" s="311" t="str">
        <f>INDEX('D5 - Gatekeeper - Projects'!$A$4:$AF$1010,$AM112, 17)</f>
        <v>M. Johnston</v>
      </c>
      <c r="AI112" s="8"/>
      <c r="AJ112" s="57"/>
      <c r="AK112" s="105"/>
      <c r="AM112" s="6">
        <f>MATCH(D112,'D5 - Gatekeeper - Projects'!$C$4:$C$1010,0)</f>
        <v>104</v>
      </c>
      <c r="AN112" s="6" t="b">
        <f t="shared" si="9"/>
        <v>0</v>
      </c>
      <c r="AO112" s="6" t="str">
        <f t="shared" si="10"/>
        <v>OK</v>
      </c>
      <c r="AQ112" s="6" t="e">
        <f>MATCH($D112,'D4 - Provider Council Unsched'!$C$11:$C$234,0)</f>
        <v>#N/A</v>
      </c>
      <c r="AR112" s="6" t="b">
        <f t="shared" si="11"/>
        <v>1</v>
      </c>
      <c r="AS112" s="6" t="str">
        <f t="shared" si="12"/>
        <v>OK</v>
      </c>
      <c r="AU112" s="202">
        <v>41417</v>
      </c>
      <c r="AV112" s="6" t="s">
        <v>6669</v>
      </c>
      <c r="AW112" s="274"/>
    </row>
    <row r="113" spans="1:49" s="13" customFormat="1" ht="33.75" x14ac:dyDescent="0.2">
      <c r="A113" s="14">
        <v>233</v>
      </c>
      <c r="B113" s="8">
        <v>400057490</v>
      </c>
      <c r="C113" s="8" t="s">
        <v>1447</v>
      </c>
      <c r="D113" s="4" t="str">
        <f t="shared" ref="D113:D144" si="13">CONCATENATE(B113,C113)</f>
        <v>400057490A</v>
      </c>
      <c r="E113" s="309" t="str">
        <f>VLOOKUP($B113,'D7 - NDB Impacted SPRF''s'!$E$6:$O$9929,2,FALSE)</f>
        <v>NowClinic 2.0</v>
      </c>
      <c r="F113" s="8"/>
      <c r="G113" s="8" t="s">
        <v>7980</v>
      </c>
      <c r="H113" s="8" t="s">
        <v>1606</v>
      </c>
      <c r="I113" s="20">
        <v>0.9</v>
      </c>
      <c r="J113" s="8" t="s">
        <v>4862</v>
      </c>
      <c r="K113" s="182">
        <v>41447</v>
      </c>
      <c r="L113" s="8" t="s">
        <v>4156</v>
      </c>
      <c r="M113" s="8" t="s">
        <v>6688</v>
      </c>
      <c r="N113" s="38"/>
      <c r="O113" s="8"/>
      <c r="P113" s="4" t="str">
        <f>VLOOKUP($B113,'D7 - NDB Impacted SPRF''s'!$E$16:$O$9929,9,FALSE)</f>
        <v>Y</v>
      </c>
      <c r="Q113" s="4" t="str">
        <f>VLOOKUP($B113,'D7 - NDB Impacted SPRF''s'!$E$16:$O$9929,10,FALSE)</f>
        <v>N</v>
      </c>
      <c r="R113" s="4" t="str">
        <f>VLOOKUP($B113,'D7 - NDB Impacted SPRF''s'!$E$16:$O$9929,11,FALSE)</f>
        <v>N</v>
      </c>
      <c r="S113" s="8"/>
      <c r="T113" s="310"/>
      <c r="U113" s="310"/>
      <c r="V113" s="4"/>
      <c r="W113" s="4"/>
      <c r="X113" s="4"/>
      <c r="Y113" s="4"/>
      <c r="Z113" s="4"/>
      <c r="AA113" s="4"/>
      <c r="AB113" s="380" t="str">
        <f>VLOOKUP($B113,'D7 - NDB Impacted SPRF''s'!$E$6:$O$9929,4,FALSE)</f>
        <v>In Estimating</v>
      </c>
      <c r="AC113" s="380" t="str">
        <f>VLOOKUP($B113,'D7 - NDB Impacted SPRF''s'!$E$6:$O$9929,3,FALSE)</f>
        <v>UnitedHealthcare Employer &amp; Individual</v>
      </c>
      <c r="AD113" s="380" t="str">
        <f>VLOOKUP($B113,'D7 - NDB Impacted SPRF''s'!$E$6:$O$9929,5,FALSE)</f>
        <v>Membership Growth / Revenue Programs</v>
      </c>
      <c r="AE113" s="380" t="str">
        <f>VLOOKUP($B113,'D7 - NDB Impacted SPRF''s'!$E$6:$O$9929,7,FALSE)</f>
        <v>Kelley Nolan-Maccione</v>
      </c>
      <c r="AF113" s="380" t="str">
        <f>VLOOKUP($B113,'D7 - NDB Impacted SPRF''s'!$E$6:$O$9929,6,FALSE)</f>
        <v>Dion Keane-Dawes</v>
      </c>
      <c r="AG113" s="282"/>
      <c r="AH113" s="311" t="str">
        <f>INDEX('D5 - Gatekeeper - Projects'!$A$4:$AF$1010,$AM113, 17)</f>
        <v>A. Colonna</v>
      </c>
      <c r="AI113" s="8"/>
      <c r="AJ113" s="57"/>
      <c r="AK113" s="105"/>
      <c r="AM113" s="6">
        <f>MATCH(D113,'D5 - Gatekeeper - Projects'!$C$4:$C$1010,0)</f>
        <v>105</v>
      </c>
      <c r="AN113" s="6" t="b">
        <f t="shared" si="9"/>
        <v>0</v>
      </c>
      <c r="AO113" s="6" t="str">
        <f t="shared" ref="AO113:AO144" si="14">IF(AND(H113="1 - Scheduled",AN113=TRUE),"Add","OK")</f>
        <v>OK</v>
      </c>
      <c r="AQ113" s="6" t="e">
        <f>MATCH($D113,'D4 - Provider Council Unsched'!$C$11:$C$234,0)</f>
        <v>#N/A</v>
      </c>
      <c r="AR113" s="6" t="b">
        <f t="shared" si="11"/>
        <v>1</v>
      </c>
      <c r="AS113" s="6" t="str">
        <f t="shared" ref="AS113:AS144" si="15">IF(AND(H113="2 - Not Scheduled",AR113=TRUE,C113="R1"),"Add","OK")</f>
        <v>OK</v>
      </c>
      <c r="AU113" s="202">
        <v>41411</v>
      </c>
      <c r="AV113" s="404" t="s">
        <v>1130</v>
      </c>
      <c r="AW113" s="274"/>
    </row>
    <row r="114" spans="1:49" s="13" customFormat="1" ht="11.25" customHeight="1" x14ac:dyDescent="0.2">
      <c r="A114" s="14">
        <v>97</v>
      </c>
      <c r="B114" s="8">
        <v>400058528</v>
      </c>
      <c r="C114" s="8" t="s">
        <v>1447</v>
      </c>
      <c r="D114" s="4" t="str">
        <f t="shared" si="13"/>
        <v>400058528A</v>
      </c>
      <c r="E114" s="309" t="str">
        <f>VLOOKUP($B114,'D7 - NDB Impacted SPRF''s'!$E$6:$O$9929,2,FALSE)</f>
        <v>Monthly Batch Feed of NPI and Zip</v>
      </c>
      <c r="F114" s="8"/>
      <c r="G114" s="8" t="s">
        <v>7980</v>
      </c>
      <c r="H114" s="8" t="s">
        <v>1606</v>
      </c>
      <c r="I114" s="20">
        <v>3.8</v>
      </c>
      <c r="J114" s="8" t="s">
        <v>4862</v>
      </c>
      <c r="K114" s="182">
        <v>41447</v>
      </c>
      <c r="L114" s="8" t="s">
        <v>4156</v>
      </c>
      <c r="M114" s="8" t="s">
        <v>2814</v>
      </c>
      <c r="N114" s="38"/>
      <c r="O114" s="8"/>
      <c r="P114" s="4" t="str">
        <f>VLOOKUP($B114,'D7 - NDB Impacted SPRF''s'!$E$16:$O$9929,9,FALSE)</f>
        <v>N</v>
      </c>
      <c r="Q114" s="4" t="str">
        <f>VLOOKUP($B114,'D7 - NDB Impacted SPRF''s'!$E$16:$O$9929,10,FALSE)</f>
        <v>N</v>
      </c>
      <c r="R114" s="4" t="str">
        <f>VLOOKUP($B114,'D7 - NDB Impacted SPRF''s'!$E$16:$O$9929,11,FALSE)</f>
        <v>N</v>
      </c>
      <c r="S114" s="8"/>
      <c r="T114" s="310"/>
      <c r="U114" s="310"/>
      <c r="V114" s="4"/>
      <c r="W114" s="4"/>
      <c r="X114" s="4"/>
      <c r="Y114" s="4"/>
      <c r="Z114" s="4"/>
      <c r="AA114" s="4"/>
      <c r="AB114" s="380" t="str">
        <f>VLOOKUP($B114,'D7 - NDB Impacted SPRF''s'!$E$6:$O$9929,4,FALSE)</f>
        <v>Scheduled</v>
      </c>
      <c r="AC114" s="380" t="str">
        <f>VLOOKUP($B114,'D7 - NDB Impacted SPRF''s'!$E$6:$O$9929,3,FALSE)</f>
        <v>UnitedHealthcare Employer &amp; Individual</v>
      </c>
      <c r="AD114" s="380" t="str">
        <f>VLOOKUP($B114,'D7 - NDB Impacted SPRF''s'!$E$6:$O$9929,5,FALSE)</f>
        <v>Customer Requirements</v>
      </c>
      <c r="AE114" s="380" t="str">
        <f>VLOOKUP($B114,'D7 - NDB Impacted SPRF''s'!$E$6:$O$9929,7,FALSE)</f>
        <v>Mark Gale</v>
      </c>
      <c r="AF114" s="380" t="str">
        <f>VLOOKUP($B114,'D7 - NDB Impacted SPRF''s'!$E$6:$O$9929,6,FALSE)</f>
        <v>Kimberly Mcleod</v>
      </c>
      <c r="AG114" s="282"/>
      <c r="AH114" s="311" t="str">
        <f>INDEX('D5 - Gatekeeper - Projects'!$A$4:$AF$1010,$AM114, 17)</f>
        <v>B. Williams</v>
      </c>
      <c r="AI114" s="8"/>
      <c r="AJ114" s="57"/>
      <c r="AK114" s="105"/>
      <c r="AM114" s="6">
        <f>MATCH(D114,'D5 - Gatekeeper - Projects'!$C$4:$C$1010,0)</f>
        <v>106</v>
      </c>
      <c r="AN114" s="6" t="b">
        <f t="shared" si="9"/>
        <v>0</v>
      </c>
      <c r="AO114" s="6" t="str">
        <f t="shared" si="14"/>
        <v>OK</v>
      </c>
      <c r="AQ114" s="6" t="e">
        <f>MATCH($D114,'D4 - Provider Council Unsched'!$C$11:$C$234,0)</f>
        <v>#N/A</v>
      </c>
      <c r="AR114" s="6" t="b">
        <f t="shared" si="11"/>
        <v>1</v>
      </c>
      <c r="AS114" s="6" t="str">
        <f t="shared" si="15"/>
        <v>OK</v>
      </c>
      <c r="AU114" s="202">
        <v>41376</v>
      </c>
      <c r="AV114" s="404" t="s">
        <v>1700</v>
      </c>
      <c r="AW114" s="274"/>
    </row>
    <row r="115" spans="1:49" s="13" customFormat="1" ht="33.75" x14ac:dyDescent="0.2">
      <c r="A115" s="14">
        <v>98</v>
      </c>
      <c r="B115" s="8">
        <v>400058909</v>
      </c>
      <c r="C115" s="8" t="s">
        <v>1447</v>
      </c>
      <c r="D115" s="4" t="str">
        <f t="shared" si="13"/>
        <v>400058909A</v>
      </c>
      <c r="E115" s="309" t="str">
        <f>VLOOKUP($B115,'D7 - NDB Impacted SPRF''s'!$E$6:$O$9929,2,FALSE)</f>
        <v>UBCS Prototype:  End to End Scenarios</v>
      </c>
      <c r="F115" s="8"/>
      <c r="G115" s="8" t="s">
        <v>7980</v>
      </c>
      <c r="H115" s="8" t="s">
        <v>1606</v>
      </c>
      <c r="I115" s="20">
        <v>3.99</v>
      </c>
      <c r="J115" s="8" t="s">
        <v>4862</v>
      </c>
      <c r="K115" s="182">
        <v>41447</v>
      </c>
      <c r="L115" s="8" t="s">
        <v>4156</v>
      </c>
      <c r="M115" s="8" t="s">
        <v>9364</v>
      </c>
      <c r="N115" s="38" t="s">
        <v>9372</v>
      </c>
      <c r="O115" s="8"/>
      <c r="P115" s="4" t="str">
        <f>VLOOKUP($B115,'D7 - NDB Impacted SPRF''s'!$E$16:$O$9929,9,FALSE)</f>
        <v>N</v>
      </c>
      <c r="Q115" s="4" t="str">
        <f>VLOOKUP($B115,'D7 - NDB Impacted SPRF''s'!$E$16:$O$9929,10,FALSE)</f>
        <v>N</v>
      </c>
      <c r="R115" s="4" t="str">
        <f>VLOOKUP($B115,'D7 - NDB Impacted SPRF''s'!$E$16:$O$9929,11,FALSE)</f>
        <v>N</v>
      </c>
      <c r="S115" s="8"/>
      <c r="T115" s="310"/>
      <c r="U115" s="310"/>
      <c r="V115" s="4"/>
      <c r="W115" s="4"/>
      <c r="X115" s="4"/>
      <c r="Y115" s="4"/>
      <c r="Z115" s="4"/>
      <c r="AA115" s="4"/>
      <c r="AB115" s="380" t="str">
        <f>VLOOKUP($B115,'D7 - NDB Impacted SPRF''s'!$E$6:$O$9929,4,FALSE)</f>
        <v>In Estimating</v>
      </c>
      <c r="AC115" s="380" t="str">
        <f>VLOOKUP($B115,'D7 - NDB Impacted SPRF''s'!$E$6:$O$9929,3,FALSE)</f>
        <v>UnitedHealthcare Employer &amp; Individual</v>
      </c>
      <c r="AD115" s="380" t="str">
        <f>VLOOKUP($B115,'D7 - NDB Impacted SPRF''s'!$E$6:$O$9929,5,FALSE)</f>
        <v>Process Improvement</v>
      </c>
      <c r="AE115" s="380" t="str">
        <f>VLOOKUP($B115,'D7 - NDB Impacted SPRF''s'!$E$6:$O$9929,7,FALSE)</f>
        <v>Adam Cohen</v>
      </c>
      <c r="AF115" s="380" t="str">
        <f>VLOOKUP($B115,'D7 - NDB Impacted SPRF''s'!$E$6:$O$9929,6,FALSE)</f>
        <v>Caesar Eileen</v>
      </c>
      <c r="AG115" s="282"/>
      <c r="AH115" s="311" t="str">
        <f>INDEX('D5 - Gatekeeper - Projects'!$A$4:$AF$1010,$AM115, 17)</f>
        <v>R. King</v>
      </c>
      <c r="AI115" s="8"/>
      <c r="AJ115" s="57"/>
      <c r="AK115" s="105"/>
      <c r="AM115" s="6">
        <f>MATCH(D115,'D5 - Gatekeeper - Projects'!$C$4:$C$1010,0)</f>
        <v>107</v>
      </c>
      <c r="AN115" s="6" t="b">
        <f t="shared" si="9"/>
        <v>0</v>
      </c>
      <c r="AO115" s="6" t="str">
        <f t="shared" si="14"/>
        <v>OK</v>
      </c>
      <c r="AQ115" s="6" t="e">
        <f>MATCH($D115,'D4 - Provider Council Unsched'!$C$11:$C$234,0)</f>
        <v>#N/A</v>
      </c>
      <c r="AR115" s="6" t="b">
        <f t="shared" si="11"/>
        <v>1</v>
      </c>
      <c r="AS115" s="6" t="str">
        <f t="shared" si="15"/>
        <v>OK</v>
      </c>
      <c r="AU115" s="202">
        <v>41390</v>
      </c>
      <c r="AV115" s="404" t="s">
        <v>2612</v>
      </c>
      <c r="AW115" s="274"/>
    </row>
    <row r="116" spans="1:49" s="13" customFormat="1" ht="33.75" x14ac:dyDescent="0.2">
      <c r="A116" s="14">
        <v>99</v>
      </c>
      <c r="B116" s="8">
        <v>400058913</v>
      </c>
      <c r="C116" s="8" t="s">
        <v>1447</v>
      </c>
      <c r="D116" s="4" t="str">
        <f t="shared" si="13"/>
        <v>400058913A</v>
      </c>
      <c r="E116" s="309" t="str">
        <f>VLOOKUP($B116,'D7 - NDB Impacted SPRF''s'!$E$6:$O$9929,2,FALSE)</f>
        <v>UBCS Prototype: Provider Demographics &amp; Credential</v>
      </c>
      <c r="F116" s="8"/>
      <c r="G116" s="8" t="s">
        <v>7980</v>
      </c>
      <c r="H116" s="8" t="s">
        <v>1606</v>
      </c>
      <c r="I116" s="20">
        <v>11.97</v>
      </c>
      <c r="J116" s="8" t="s">
        <v>4862</v>
      </c>
      <c r="K116" s="182">
        <v>41447</v>
      </c>
      <c r="L116" s="8" t="s">
        <v>4156</v>
      </c>
      <c r="M116" s="8" t="s">
        <v>9364</v>
      </c>
      <c r="N116" s="38" t="s">
        <v>9372</v>
      </c>
      <c r="O116" s="8"/>
      <c r="P116" s="4" t="str">
        <f>VLOOKUP($B116,'D7 - NDB Impacted SPRF''s'!$E$16:$O$9929,9,FALSE)</f>
        <v>N</v>
      </c>
      <c r="Q116" s="4" t="str">
        <f>VLOOKUP($B116,'D7 - NDB Impacted SPRF''s'!$E$16:$O$9929,10,FALSE)</f>
        <v>N</v>
      </c>
      <c r="R116" s="4" t="str">
        <f>VLOOKUP($B116,'D7 - NDB Impacted SPRF''s'!$E$16:$O$9929,11,FALSE)</f>
        <v>N</v>
      </c>
      <c r="S116" s="8"/>
      <c r="T116" s="310"/>
      <c r="U116" s="310"/>
      <c r="V116" s="4"/>
      <c r="W116" s="4"/>
      <c r="X116" s="4"/>
      <c r="Y116" s="4"/>
      <c r="Z116" s="4"/>
      <c r="AA116" s="4"/>
      <c r="AB116" s="380" t="str">
        <f>VLOOKUP($B116,'D7 - NDB Impacted SPRF''s'!$E$6:$O$9929,4,FALSE)</f>
        <v>In Estimating</v>
      </c>
      <c r="AC116" s="380" t="str">
        <f>VLOOKUP($B116,'D7 - NDB Impacted SPRF''s'!$E$6:$O$9929,3,FALSE)</f>
        <v>UnitedHealthcare Employer &amp; Individual</v>
      </c>
      <c r="AD116" s="380" t="str">
        <f>VLOOKUP($B116,'D7 - NDB Impacted SPRF''s'!$E$6:$O$9929,5,FALSE)</f>
        <v>Process Improvement</v>
      </c>
      <c r="AE116" s="380" t="str">
        <f>VLOOKUP($B116,'D7 - NDB Impacted SPRF''s'!$E$6:$O$9929,7,FALSE)</f>
        <v>Adam Cohen</v>
      </c>
      <c r="AF116" s="380" t="str">
        <f>VLOOKUP($B116,'D7 - NDB Impacted SPRF''s'!$E$6:$O$9929,6,FALSE)</f>
        <v>Caesar Eileen</v>
      </c>
      <c r="AG116" s="282"/>
      <c r="AH116" s="311" t="str">
        <f>INDEX('D5 - Gatekeeper - Projects'!$A$4:$AF$1010,$AM116, 17)</f>
        <v>R. King</v>
      </c>
      <c r="AI116" s="8"/>
      <c r="AJ116" s="57"/>
      <c r="AK116" s="105"/>
      <c r="AM116" s="6">
        <f>MATCH(D116,'D5 - Gatekeeper - Projects'!$C$4:$C$1010,0)</f>
        <v>108</v>
      </c>
      <c r="AN116" s="6" t="b">
        <f t="shared" si="9"/>
        <v>0</v>
      </c>
      <c r="AO116" s="6" t="str">
        <f t="shared" si="14"/>
        <v>OK</v>
      </c>
      <c r="AQ116" s="6" t="e">
        <f>MATCH($D116,'D4 - Provider Council Unsched'!$C$11:$C$234,0)</f>
        <v>#N/A</v>
      </c>
      <c r="AR116" s="6" t="b">
        <f t="shared" si="11"/>
        <v>1</v>
      </c>
      <c r="AS116" s="6" t="str">
        <f t="shared" si="15"/>
        <v>OK</v>
      </c>
      <c r="AU116" s="202">
        <v>41390</v>
      </c>
      <c r="AV116" s="404" t="s">
        <v>2612</v>
      </c>
      <c r="AW116" s="274"/>
    </row>
    <row r="117" spans="1:49" s="13" customFormat="1" ht="33.75" x14ac:dyDescent="0.2">
      <c r="A117" s="14">
        <v>100</v>
      </c>
      <c r="B117" s="8">
        <v>400058921</v>
      </c>
      <c r="C117" s="8" t="s">
        <v>1447</v>
      </c>
      <c r="D117" s="4" t="str">
        <f t="shared" si="13"/>
        <v>400058921A</v>
      </c>
      <c r="E117" s="309" t="str">
        <f>VLOOKUP($B117,'D7 - NDB Impacted SPRF''s'!$E$6:$O$9929,2,FALSE)</f>
        <v>UBCS Prototype: Design/Develop (deep dive)Provider</v>
      </c>
      <c r="F117" s="8"/>
      <c r="G117" s="8" t="s">
        <v>7980</v>
      </c>
      <c r="H117" s="8" t="s">
        <v>1606</v>
      </c>
      <c r="I117" s="20">
        <v>15.95</v>
      </c>
      <c r="J117" s="8" t="s">
        <v>4862</v>
      </c>
      <c r="K117" s="182">
        <v>41447</v>
      </c>
      <c r="L117" s="8" t="s">
        <v>4156</v>
      </c>
      <c r="M117" s="8" t="s">
        <v>9364</v>
      </c>
      <c r="N117" s="38" t="s">
        <v>9372</v>
      </c>
      <c r="O117" s="8"/>
      <c r="P117" s="4" t="str">
        <f>VLOOKUP($B117,'D7 - NDB Impacted SPRF''s'!$E$16:$O$9929,9,FALSE)</f>
        <v>N</v>
      </c>
      <c r="Q117" s="4" t="str">
        <f>VLOOKUP($B117,'D7 - NDB Impacted SPRF''s'!$E$16:$O$9929,10,FALSE)</f>
        <v>N</v>
      </c>
      <c r="R117" s="4" t="str">
        <f>VLOOKUP($B117,'D7 - NDB Impacted SPRF''s'!$E$16:$O$9929,11,FALSE)</f>
        <v>N</v>
      </c>
      <c r="S117" s="8"/>
      <c r="T117" s="310"/>
      <c r="U117" s="310"/>
      <c r="V117" s="4"/>
      <c r="W117" s="4"/>
      <c r="X117" s="4"/>
      <c r="Y117" s="4"/>
      <c r="Z117" s="4"/>
      <c r="AA117" s="4"/>
      <c r="AB117" s="380" t="str">
        <f>VLOOKUP($B117,'D7 - NDB Impacted SPRF''s'!$E$6:$O$9929,4,FALSE)</f>
        <v>In Estimating</v>
      </c>
      <c r="AC117" s="380" t="str">
        <f>VLOOKUP($B117,'D7 - NDB Impacted SPRF''s'!$E$6:$O$9929,3,FALSE)</f>
        <v>UnitedHealthcare Employer &amp; Individual</v>
      </c>
      <c r="AD117" s="380" t="str">
        <f>VLOOKUP($B117,'D7 - NDB Impacted SPRF''s'!$E$6:$O$9929,5,FALSE)</f>
        <v>Process Improvement</v>
      </c>
      <c r="AE117" s="380" t="str">
        <f>VLOOKUP($B117,'D7 - NDB Impacted SPRF''s'!$E$6:$O$9929,7,FALSE)</f>
        <v>Adam Cohen</v>
      </c>
      <c r="AF117" s="380" t="str">
        <f>VLOOKUP($B117,'D7 - NDB Impacted SPRF''s'!$E$6:$O$9929,6,FALSE)</f>
        <v>Caesar Eileen</v>
      </c>
      <c r="AG117" s="282"/>
      <c r="AH117" s="311" t="str">
        <f>INDEX('D5 - Gatekeeper - Projects'!$A$4:$AF$1010,$AM117, 17)</f>
        <v>R. King</v>
      </c>
      <c r="AI117" s="8"/>
      <c r="AJ117" s="57"/>
      <c r="AK117" s="105"/>
      <c r="AM117" s="6">
        <f>MATCH(D117,'D5 - Gatekeeper - Projects'!$C$4:$C$1010,0)</f>
        <v>109</v>
      </c>
      <c r="AN117" s="6" t="b">
        <f t="shared" si="9"/>
        <v>0</v>
      </c>
      <c r="AO117" s="6" t="str">
        <f t="shared" si="14"/>
        <v>OK</v>
      </c>
      <c r="AQ117" s="6" t="e">
        <f>MATCH($D117,'D4 - Provider Council Unsched'!$C$11:$C$234,0)</f>
        <v>#N/A</v>
      </c>
      <c r="AR117" s="6" t="b">
        <f t="shared" si="11"/>
        <v>1</v>
      </c>
      <c r="AS117" s="6" t="str">
        <f t="shared" si="15"/>
        <v>OK</v>
      </c>
      <c r="AU117" s="202">
        <v>41390</v>
      </c>
      <c r="AV117" s="404" t="s">
        <v>2612</v>
      </c>
      <c r="AW117" s="274"/>
    </row>
    <row r="118" spans="1:49" s="13" customFormat="1" ht="123.75" x14ac:dyDescent="0.2">
      <c r="A118" s="14">
        <v>101</v>
      </c>
      <c r="B118" s="8">
        <v>400054152</v>
      </c>
      <c r="C118" s="8" t="s">
        <v>1447</v>
      </c>
      <c r="D118" s="4" t="str">
        <f t="shared" si="13"/>
        <v>400054152A</v>
      </c>
      <c r="E118" s="309" t="str">
        <f>VLOOKUP($B118,'D7 - NDB Impacted SPRF''s'!$E$6:$O$9929,2,FALSE)</f>
        <v>Medica HCCE EPDL Enhancements</v>
      </c>
      <c r="F118" s="8"/>
      <c r="G118" s="8" t="s">
        <v>7980</v>
      </c>
      <c r="H118" s="8" t="s">
        <v>1606</v>
      </c>
      <c r="I118" s="20">
        <v>1.05</v>
      </c>
      <c r="J118" s="8" t="s">
        <v>4862</v>
      </c>
      <c r="K118" s="182">
        <v>41455</v>
      </c>
      <c r="L118" s="8" t="s">
        <v>4156</v>
      </c>
      <c r="M118" s="8" t="s">
        <v>5626</v>
      </c>
      <c r="N118" s="365" t="s">
        <v>8027</v>
      </c>
      <c r="O118" s="8"/>
      <c r="P118" s="4" t="str">
        <f>VLOOKUP($B118,'D7 - NDB Impacted SPRF''s'!$E$16:$O$9929,9,FALSE)</f>
        <v>N</v>
      </c>
      <c r="Q118" s="4" t="str">
        <f>VLOOKUP($B118,'D7 - NDB Impacted SPRF''s'!$E$16:$O$9929,10,FALSE)</f>
        <v>N</v>
      </c>
      <c r="R118" s="4" t="str">
        <f>VLOOKUP($B118,'D7 - NDB Impacted SPRF''s'!$E$16:$O$9929,11,FALSE)</f>
        <v>N</v>
      </c>
      <c r="S118" s="8"/>
      <c r="T118" s="310"/>
      <c r="U118" s="310"/>
      <c r="V118" s="4"/>
      <c r="W118" s="4"/>
      <c r="X118" s="4"/>
      <c r="Y118" s="4"/>
      <c r="Z118" s="4"/>
      <c r="AA118" s="4"/>
      <c r="AB118" s="380" t="str">
        <f>VLOOKUP($B118,'D7 - NDB Impacted SPRF''s'!$E$6:$O$9929,4,FALSE)</f>
        <v>Scheduled</v>
      </c>
      <c r="AC118" s="380" t="str">
        <f>VLOOKUP($B118,'D7 - NDB Impacted SPRF''s'!$E$6:$O$9929,3,FALSE)</f>
        <v>UHG IT - Shared Services</v>
      </c>
      <c r="AD118" s="380" t="str">
        <f>VLOOKUP($B118,'D7 - NDB Impacted SPRF''s'!$E$6:$O$9929,5,FALSE)</f>
        <v>Medica-UHS Funded</v>
      </c>
      <c r="AE118" s="380" t="str">
        <f>VLOOKUP($B118,'D7 - NDB Impacted SPRF''s'!$E$6:$O$9929,7,FALSE)</f>
        <v>Pam Stegora-Axberg</v>
      </c>
      <c r="AF118" s="380" t="str">
        <f>VLOOKUP($B118,'D7 - NDB Impacted SPRF''s'!$E$6:$O$9929,6,FALSE)</f>
        <v>Ryan Anderson</v>
      </c>
      <c r="AG118" s="282"/>
      <c r="AH118" s="311" t="str">
        <f>INDEX('D5 - Gatekeeper - Projects'!$A$4:$AF$1010,$AM118, 17)</f>
        <v>T. Kester</v>
      </c>
      <c r="AI118" s="8"/>
      <c r="AJ118" s="57"/>
      <c r="AK118" s="105"/>
      <c r="AM118" s="6">
        <f>MATCH(D118,'D5 - Gatekeeper - Projects'!$C$4:$C$1010,0)</f>
        <v>110</v>
      </c>
      <c r="AN118" s="6" t="b">
        <f t="shared" si="9"/>
        <v>0</v>
      </c>
      <c r="AO118" s="6" t="str">
        <f t="shared" si="14"/>
        <v>OK</v>
      </c>
      <c r="AQ118" s="6" t="e">
        <f>MATCH($D118,'D4 - Provider Council Unsched'!$C$11:$C$234,0)</f>
        <v>#N/A</v>
      </c>
      <c r="AR118" s="6" t="b">
        <f t="shared" si="11"/>
        <v>1</v>
      </c>
      <c r="AS118" s="6" t="str">
        <f t="shared" si="15"/>
        <v>OK</v>
      </c>
      <c r="AU118" s="202">
        <v>41292</v>
      </c>
      <c r="AV118" s="312" t="s">
        <v>9194</v>
      </c>
      <c r="AW118" s="274"/>
    </row>
    <row r="119" spans="1:49" s="13" customFormat="1" ht="123.75" x14ac:dyDescent="0.2">
      <c r="A119" s="14">
        <v>102</v>
      </c>
      <c r="B119" s="8">
        <v>400055976</v>
      </c>
      <c r="C119" s="8" t="s">
        <v>1447</v>
      </c>
      <c r="D119" s="4" t="str">
        <f t="shared" si="13"/>
        <v>400055976A</v>
      </c>
      <c r="E119" s="309" t="str">
        <f>VLOOKUP($B119,'D7 - NDB Impacted SPRF''s'!$E$6:$O$9929,2,FALSE)</f>
        <v>Navigate2 Product Network Clone</v>
      </c>
      <c r="F119" s="8"/>
      <c r="G119" s="8" t="s">
        <v>7980</v>
      </c>
      <c r="H119" s="8" t="s">
        <v>1606</v>
      </c>
      <c r="I119" s="20">
        <v>17.010000000000002</v>
      </c>
      <c r="J119" s="8" t="s">
        <v>4862</v>
      </c>
      <c r="K119" s="182">
        <v>41467</v>
      </c>
      <c r="L119" s="8" t="s">
        <v>4156</v>
      </c>
      <c r="M119" s="8" t="s">
        <v>2814</v>
      </c>
      <c r="N119" s="38" t="s">
        <v>9509</v>
      </c>
      <c r="O119" s="8"/>
      <c r="P119" s="4" t="str">
        <f>VLOOKUP($B119,'D7 - NDB Impacted SPRF''s'!$E$16:$O$9929,9,FALSE)</f>
        <v>Y</v>
      </c>
      <c r="Q119" s="4" t="str">
        <f>VLOOKUP($B119,'D7 - NDB Impacted SPRF''s'!$E$16:$O$9929,10,FALSE)</f>
        <v>N</v>
      </c>
      <c r="R119" s="4" t="str">
        <f>VLOOKUP($B119,'D7 - NDB Impacted SPRF''s'!$E$16:$O$9929,11,FALSE)</f>
        <v>Y</v>
      </c>
      <c r="S119" s="8"/>
      <c r="T119" s="310"/>
      <c r="U119" s="310"/>
      <c r="V119" s="4"/>
      <c r="W119" s="4"/>
      <c r="X119" s="4"/>
      <c r="Y119" s="4"/>
      <c r="Z119" s="4"/>
      <c r="AA119" s="4"/>
      <c r="AB119" s="380" t="str">
        <f>VLOOKUP($B119,'D7 - NDB Impacted SPRF''s'!$E$6:$O$9929,4,FALSE)</f>
        <v>In Strategy Council</v>
      </c>
      <c r="AC119" s="380" t="str">
        <f>VLOOKUP($B119,'D7 - NDB Impacted SPRF''s'!$E$6:$O$9929,3,FALSE)</f>
        <v>UnitedHealthcare Employer &amp; Individual</v>
      </c>
      <c r="AD119" s="380" t="str">
        <f>VLOOKUP($B119,'D7 - NDB Impacted SPRF''s'!$E$6:$O$9929,5,FALSE)</f>
        <v>Membership Growth / Revenue Programs</v>
      </c>
      <c r="AE119" s="380" t="str">
        <f>VLOOKUP($B119,'D7 - NDB Impacted SPRF''s'!$E$6:$O$9929,7,FALSE)</f>
        <v>Denise Mount</v>
      </c>
      <c r="AF119" s="380" t="str">
        <f>VLOOKUP($B119,'D7 - NDB Impacted SPRF''s'!$E$6:$O$9929,6,FALSE)</f>
        <v>Cynthia Kollars</v>
      </c>
      <c r="AG119" s="282"/>
      <c r="AH119" s="311" t="str">
        <f>INDEX('D5 - Gatekeeper - Projects'!$A$4:$AF$1010,$AM119, 17)</f>
        <v>B. Williams</v>
      </c>
      <c r="AI119" s="8"/>
      <c r="AJ119" s="57"/>
      <c r="AK119" s="105"/>
      <c r="AM119" s="6">
        <f>MATCH(D119,'D5 - Gatekeeper - Projects'!$C$4:$C$1010,0)</f>
        <v>111</v>
      </c>
      <c r="AN119" s="6" t="b">
        <f t="shared" si="9"/>
        <v>0</v>
      </c>
      <c r="AO119" s="6" t="str">
        <f t="shared" si="14"/>
        <v>OK</v>
      </c>
      <c r="AQ119" s="6" t="e">
        <f>MATCH($D119,'D4 - Provider Council Unsched'!$C$11:$C$234,0)</f>
        <v>#N/A</v>
      </c>
      <c r="AR119" s="6" t="b">
        <f t="shared" si="11"/>
        <v>1</v>
      </c>
      <c r="AS119" s="6" t="str">
        <f t="shared" si="15"/>
        <v>OK</v>
      </c>
      <c r="AU119" s="202">
        <v>41256</v>
      </c>
      <c r="AV119" s="314" t="s">
        <v>7710</v>
      </c>
      <c r="AW119" s="274"/>
    </row>
    <row r="120" spans="1:49" s="13" customFormat="1" ht="90" x14ac:dyDescent="0.2">
      <c r="A120" s="14">
        <v>76</v>
      </c>
      <c r="B120" s="8">
        <v>400047192</v>
      </c>
      <c r="C120" s="8" t="s">
        <v>1447</v>
      </c>
      <c r="D120" s="4" t="str">
        <f t="shared" si="13"/>
        <v>400047192A</v>
      </c>
      <c r="E120" s="309" t="str">
        <f>VLOOKUP($B120,'D7 - NDB Impacted SPRF''s'!$E$6:$O$9929,2,FALSE)</f>
        <v>NY CSP Facets Migration</v>
      </c>
      <c r="F120" s="8"/>
      <c r="G120" s="8" t="s">
        <v>7980</v>
      </c>
      <c r="H120" s="8" t="s">
        <v>1606</v>
      </c>
      <c r="I120" s="20">
        <v>4.0599999999999996</v>
      </c>
      <c r="J120" s="8" t="s">
        <v>4862</v>
      </c>
      <c r="K120" s="182">
        <v>41474</v>
      </c>
      <c r="L120" s="8" t="s">
        <v>4156</v>
      </c>
      <c r="M120" s="8" t="s">
        <v>3598</v>
      </c>
      <c r="N120" s="38" t="s">
        <v>1305</v>
      </c>
      <c r="O120" s="8"/>
      <c r="P120" s="4" t="str">
        <f>VLOOKUP($B120,'D7 - NDB Impacted SPRF''s'!$E$16:$O$9929,9,FALSE)</f>
        <v>N</v>
      </c>
      <c r="Q120" s="4" t="str">
        <f>VLOOKUP($B120,'D7 - NDB Impacted SPRF''s'!$E$16:$O$9929,10,FALSE)</f>
        <v>N</v>
      </c>
      <c r="R120" s="4" t="str">
        <f>VLOOKUP($B120,'D7 - NDB Impacted SPRF''s'!$E$16:$O$9929,11,FALSE)</f>
        <v>Y</v>
      </c>
      <c r="S120" s="8"/>
      <c r="T120" s="310"/>
      <c r="U120" s="310"/>
      <c r="V120" s="4"/>
      <c r="W120" s="4"/>
      <c r="X120" s="4"/>
      <c r="Y120" s="4"/>
      <c r="Z120" s="4"/>
      <c r="AA120" s="4"/>
      <c r="AB120" s="380" t="str">
        <f>VLOOKUP($B120,'D7 - NDB Impacted SPRF''s'!$E$6:$O$9929,4,FALSE)</f>
        <v>Scheduled</v>
      </c>
      <c r="AC120" s="380" t="str">
        <f>VLOOKUP($B120,'D7 - NDB Impacted SPRF''s'!$E$6:$O$9929,3,FALSE)</f>
        <v>UnitedHealthcare Community &amp; State</v>
      </c>
      <c r="AD120" s="380" t="str">
        <f>VLOOKUP($B120,'D7 - NDB Impacted SPRF''s'!$E$6:$O$9929,5,FALSE)</f>
        <v>Integration Requirements</v>
      </c>
      <c r="AE120" s="380" t="str">
        <f>VLOOKUP($B120,'D7 - NDB Impacted SPRF''s'!$E$6:$O$9929,7,FALSE)</f>
        <v>Chris Scherer</v>
      </c>
      <c r="AF120" s="380" t="str">
        <f>VLOOKUP($B120,'D7 - NDB Impacted SPRF''s'!$E$6:$O$9929,6,FALSE)</f>
        <v>Jackie Stadterman</v>
      </c>
      <c r="AG120" s="282"/>
      <c r="AH120" s="311" t="str">
        <f>INDEX('D5 - Gatekeeper - Projects'!$A$4:$AF$1010,$AM120, 17)</f>
        <v xml:space="preserve">D. Bajpai </v>
      </c>
      <c r="AI120" s="8"/>
      <c r="AJ120" s="57"/>
      <c r="AK120" s="105"/>
      <c r="AM120" s="6">
        <f>MATCH(D120,'D5 - Gatekeeper - Projects'!$C$4:$C$1010,0)</f>
        <v>112</v>
      </c>
      <c r="AN120" s="6" t="b">
        <f t="shared" si="9"/>
        <v>0</v>
      </c>
      <c r="AO120" s="6" t="str">
        <f t="shared" si="14"/>
        <v>OK</v>
      </c>
      <c r="AQ120" s="6" t="e">
        <f>MATCH($D120,'D4 - Provider Council Unsched'!$C$11:$C$234,0)</f>
        <v>#N/A</v>
      </c>
      <c r="AR120" s="6" t="b">
        <f t="shared" si="11"/>
        <v>1</v>
      </c>
      <c r="AS120" s="6" t="str">
        <f t="shared" si="15"/>
        <v>OK</v>
      </c>
      <c r="AU120" s="202"/>
      <c r="AV120" s="6" t="s">
        <v>463</v>
      </c>
      <c r="AW120" s="274">
        <v>48080</v>
      </c>
    </row>
    <row r="121" spans="1:49" s="13" customFormat="1" ht="33.75" x14ac:dyDescent="0.2">
      <c r="A121" s="14">
        <v>103</v>
      </c>
      <c r="B121" s="8">
        <v>400055843</v>
      </c>
      <c r="C121" s="8" t="s">
        <v>1447</v>
      </c>
      <c r="D121" s="4" t="str">
        <f t="shared" si="13"/>
        <v>400055843A</v>
      </c>
      <c r="E121" s="309" t="str">
        <f>VLOOKUP($B121,'D7 - NDB Impacted SPRF''s'!$E$6:$O$9929,2,FALSE)</f>
        <v>AZ LTC Phase IV - ASC Claims</v>
      </c>
      <c r="F121" s="8"/>
      <c r="G121" s="8" t="s">
        <v>7980</v>
      </c>
      <c r="H121" s="8" t="s">
        <v>1606</v>
      </c>
      <c r="I121" s="20">
        <v>0.55000000000000004</v>
      </c>
      <c r="J121" s="8" t="s">
        <v>4862</v>
      </c>
      <c r="K121" s="182">
        <v>41500</v>
      </c>
      <c r="L121" s="8" t="s">
        <v>4156</v>
      </c>
      <c r="M121" s="8" t="s">
        <v>5626</v>
      </c>
      <c r="N121" s="38" t="s">
        <v>2256</v>
      </c>
      <c r="O121" s="8"/>
      <c r="P121" s="4" t="str">
        <f>VLOOKUP($B121,'D7 - NDB Impacted SPRF''s'!$E$16:$O$9929,9,FALSE)</f>
        <v>N</v>
      </c>
      <c r="Q121" s="4" t="str">
        <f>VLOOKUP($B121,'D7 - NDB Impacted SPRF''s'!$E$16:$O$9929,10,FALSE)</f>
        <v>N</v>
      </c>
      <c r="R121" s="4" t="str">
        <f>VLOOKUP($B121,'D7 - NDB Impacted SPRF''s'!$E$16:$O$9929,11,FALSE)</f>
        <v>N</v>
      </c>
      <c r="S121" s="8"/>
      <c r="T121" s="310"/>
      <c r="U121" s="310"/>
      <c r="V121" s="4"/>
      <c r="W121" s="4"/>
      <c r="X121" s="4"/>
      <c r="Y121" s="4"/>
      <c r="Z121" s="4"/>
      <c r="AA121" s="4"/>
      <c r="AB121" s="380" t="str">
        <f>VLOOKUP($B121,'D7 - NDB Impacted SPRF''s'!$E$6:$O$9929,4,FALSE)</f>
        <v>Scheduled</v>
      </c>
      <c r="AC121" s="380" t="str">
        <f>VLOOKUP($B121,'D7 - NDB Impacted SPRF''s'!$E$6:$O$9929,3,FALSE)</f>
        <v>UnitedHealthcare Community &amp; State</v>
      </c>
      <c r="AD121" s="380" t="str">
        <f>VLOOKUP($B121,'D7 - NDB Impacted SPRF''s'!$E$6:$O$9929,5,FALSE)</f>
        <v>Regulatory / Other</v>
      </c>
      <c r="AE121" s="380" t="str">
        <f>VLOOKUP($B121,'D7 - NDB Impacted SPRF''s'!$E$6:$O$9929,7,FALSE)</f>
        <v>Karen Saelens</v>
      </c>
      <c r="AF121" s="380" t="str">
        <f>VLOOKUP($B121,'D7 - NDB Impacted SPRF''s'!$E$6:$O$9929,6,FALSE)</f>
        <v>Jeffrey Greenspan</v>
      </c>
      <c r="AG121" s="282"/>
      <c r="AH121" s="311" t="str">
        <f>INDEX('D5 - Gatekeeper - Projects'!$A$4:$AF$1010,$AM121, 17)</f>
        <v>T. Kester</v>
      </c>
      <c r="AI121" s="8"/>
      <c r="AJ121" s="57"/>
      <c r="AK121" s="105"/>
      <c r="AM121" s="6">
        <f>MATCH(D121,'D5 - Gatekeeper - Projects'!$C$4:$C$1010,0)</f>
        <v>113</v>
      </c>
      <c r="AN121" s="6" t="b">
        <f t="shared" si="9"/>
        <v>0</v>
      </c>
      <c r="AO121" s="6" t="str">
        <f t="shared" si="14"/>
        <v>OK</v>
      </c>
      <c r="AQ121" s="6" t="e">
        <f>MATCH($D121,'D4 - Provider Council Unsched'!$C$11:$C$234,0)</f>
        <v>#N/A</v>
      </c>
      <c r="AR121" s="6" t="b">
        <f t="shared" si="11"/>
        <v>1</v>
      </c>
      <c r="AS121" s="6" t="str">
        <f t="shared" si="15"/>
        <v>OK</v>
      </c>
      <c r="AU121" s="202">
        <v>41321</v>
      </c>
      <c r="AV121" s="317" t="s">
        <v>473</v>
      </c>
      <c r="AW121" s="274"/>
    </row>
    <row r="122" spans="1:49" s="13" customFormat="1" ht="67.5" x14ac:dyDescent="0.2">
      <c r="A122" s="14">
        <v>104</v>
      </c>
      <c r="B122" s="8">
        <v>400046739</v>
      </c>
      <c r="C122" s="8" t="s">
        <v>1447</v>
      </c>
      <c r="D122" s="4" t="str">
        <f t="shared" si="13"/>
        <v>400046739A</v>
      </c>
      <c r="E122" s="309" t="str">
        <f>VLOOKUP($B122,'D7 - NDB Impacted SPRF''s'!$E$6:$O$9929,2,FALSE)</f>
        <v>Wisconsin CSP Facets Migration</v>
      </c>
      <c r="F122" s="8"/>
      <c r="G122" s="8" t="s">
        <v>7980</v>
      </c>
      <c r="H122" s="8" t="s">
        <v>1606</v>
      </c>
      <c r="I122" s="20">
        <v>3.12</v>
      </c>
      <c r="J122" s="8" t="s">
        <v>4862</v>
      </c>
      <c r="K122" s="182">
        <v>41503</v>
      </c>
      <c r="L122" s="8" t="s">
        <v>4156</v>
      </c>
      <c r="M122" s="8" t="s">
        <v>3598</v>
      </c>
      <c r="N122" s="38" t="s">
        <v>322</v>
      </c>
      <c r="O122" s="8"/>
      <c r="P122" s="4" t="str">
        <f>VLOOKUP($B122,'D7 - NDB Impacted SPRF''s'!$E$16:$O$9929,9,FALSE)</f>
        <v>N</v>
      </c>
      <c r="Q122" s="4" t="str">
        <f>VLOOKUP($B122,'D7 - NDB Impacted SPRF''s'!$E$16:$O$9929,10,FALSE)</f>
        <v>N</v>
      </c>
      <c r="R122" s="4" t="str">
        <f>VLOOKUP($B122,'D7 - NDB Impacted SPRF''s'!$E$16:$O$9929,11,FALSE)</f>
        <v>Y</v>
      </c>
      <c r="S122" s="8"/>
      <c r="T122" s="310"/>
      <c r="U122" s="310"/>
      <c r="V122" s="4"/>
      <c r="W122" s="4"/>
      <c r="X122" s="4"/>
      <c r="Y122" s="4"/>
      <c r="Z122" s="4"/>
      <c r="AA122" s="4"/>
      <c r="AB122" s="380" t="str">
        <f>VLOOKUP($B122,'D7 - NDB Impacted SPRF''s'!$E$6:$O$9929,4,FALSE)</f>
        <v>Scheduled</v>
      </c>
      <c r="AC122" s="380" t="str">
        <f>VLOOKUP($B122,'D7 - NDB Impacted SPRF''s'!$E$6:$O$9929,3,FALSE)</f>
        <v>UnitedHealthcare Community &amp; State</v>
      </c>
      <c r="AD122" s="380" t="str">
        <f>VLOOKUP($B122,'D7 - NDB Impacted SPRF''s'!$E$6:$O$9929,5,FALSE)</f>
        <v>Integration Requirements</v>
      </c>
      <c r="AE122" s="380" t="str">
        <f>VLOOKUP($B122,'D7 - NDB Impacted SPRF''s'!$E$6:$O$9929,7,FALSE)</f>
        <v>Chris Scherer</v>
      </c>
      <c r="AF122" s="380" t="str">
        <f>VLOOKUP($B122,'D7 - NDB Impacted SPRF''s'!$E$6:$O$9929,6,FALSE)</f>
        <v>JENNIFER MAFFEI</v>
      </c>
      <c r="AG122" s="282"/>
      <c r="AH122" s="311" t="str">
        <f>INDEX('D5 - Gatekeeper - Projects'!$A$4:$AF$1010,$AM122, 17)</f>
        <v>B. Brown</v>
      </c>
      <c r="AI122" s="8"/>
      <c r="AJ122" s="57"/>
      <c r="AK122" s="105"/>
      <c r="AM122" s="6">
        <f>MATCH(D122,'D5 - Gatekeeper - Projects'!$C$4:$C$1010,0)</f>
        <v>114</v>
      </c>
      <c r="AN122" s="6" t="b">
        <f t="shared" si="9"/>
        <v>0</v>
      </c>
      <c r="AO122" s="6" t="str">
        <f t="shared" si="14"/>
        <v>OK</v>
      </c>
      <c r="AQ122" s="6" t="e">
        <f>MATCH($D122,'D4 - Provider Council Unsched'!$C$11:$C$234,0)</f>
        <v>#N/A</v>
      </c>
      <c r="AR122" s="6" t="b">
        <f t="shared" si="11"/>
        <v>1</v>
      </c>
      <c r="AS122" s="6" t="str">
        <f t="shared" si="15"/>
        <v>OK</v>
      </c>
      <c r="AU122" s="202"/>
      <c r="AV122" s="6" t="s">
        <v>464</v>
      </c>
      <c r="AW122" s="274">
        <v>47359</v>
      </c>
    </row>
    <row r="123" spans="1:49" s="13" customFormat="1" ht="78.75" x14ac:dyDescent="0.2">
      <c r="A123" s="14">
        <v>105</v>
      </c>
      <c r="B123" s="8">
        <v>400039622</v>
      </c>
      <c r="C123" s="8" t="s">
        <v>7290</v>
      </c>
      <c r="D123" s="4" t="str">
        <f t="shared" si="13"/>
        <v>400039622B</v>
      </c>
      <c r="E123" s="309" t="str">
        <f>VLOOKUP($B123,'D7 - NDB Impacted SPRF''s'!$E$6:$O$9929,2,FALSE)</f>
        <v>Medical Necessity - Rad/Card Prior Auth</v>
      </c>
      <c r="F123" s="8"/>
      <c r="G123" s="8" t="s">
        <v>7980</v>
      </c>
      <c r="H123" s="8" t="s">
        <v>1606</v>
      </c>
      <c r="I123" s="20">
        <v>11.47</v>
      </c>
      <c r="J123" s="8" t="s">
        <v>4862</v>
      </c>
      <c r="K123" s="182">
        <v>41510</v>
      </c>
      <c r="L123" s="8" t="s">
        <v>4156</v>
      </c>
      <c r="M123" s="8" t="s">
        <v>2814</v>
      </c>
      <c r="N123" s="38" t="s">
        <v>9557</v>
      </c>
      <c r="O123" s="8"/>
      <c r="P123" s="4" t="str">
        <f>VLOOKUP($B123,'D7 - NDB Impacted SPRF''s'!$E$16:$O$9929,9,FALSE)</f>
        <v>Y</v>
      </c>
      <c r="Q123" s="4" t="str">
        <f>VLOOKUP($B123,'D7 - NDB Impacted SPRF''s'!$E$16:$O$9929,10,FALSE)</f>
        <v>N</v>
      </c>
      <c r="R123" s="4" t="str">
        <f>VLOOKUP($B123,'D7 - NDB Impacted SPRF''s'!$E$16:$O$9929,11,FALSE)</f>
        <v>Y</v>
      </c>
      <c r="S123" s="8"/>
      <c r="T123" s="310"/>
      <c r="U123" s="310"/>
      <c r="V123" s="4"/>
      <c r="W123" s="4"/>
      <c r="X123" s="4"/>
      <c r="Y123" s="4"/>
      <c r="Z123" s="4"/>
      <c r="AA123" s="4"/>
      <c r="AB123" s="380" t="str">
        <f>VLOOKUP($B123,'D7 - NDB Impacted SPRF''s'!$E$6:$O$9929,4,FALSE)</f>
        <v>Scheduled</v>
      </c>
      <c r="AC123" s="380" t="str">
        <f>VLOOKUP($B123,'D7 - NDB Impacted SPRF''s'!$E$6:$O$9929,3,FALSE)</f>
        <v>UnitedHealthcare Employer &amp; Individual</v>
      </c>
      <c r="AD123" s="380" t="str">
        <f>VLOOKUP($B123,'D7 - NDB Impacted SPRF''s'!$E$6:$O$9929,5,FALSE)</f>
        <v>Medical Cost Savings Programs</v>
      </c>
      <c r="AE123" s="380" t="str">
        <f>VLOOKUP($B123,'D7 - NDB Impacted SPRF''s'!$E$6:$O$9929,7,FALSE)</f>
        <v>Dr. Sam Ho / Kevin Ruth</v>
      </c>
      <c r="AF123" s="380" t="str">
        <f>VLOOKUP($B123,'D7 - NDB Impacted SPRF''s'!$E$6:$O$9929,6,FALSE)</f>
        <v>ROSS OGDEN</v>
      </c>
      <c r="AG123" s="282"/>
      <c r="AH123" s="311" t="str">
        <f>INDEX('D5 - Gatekeeper - Projects'!$A$4:$AF$1010,$AM123, 17)</f>
        <v>J. Melendez</v>
      </c>
      <c r="AI123" s="8"/>
      <c r="AJ123" s="57"/>
      <c r="AK123" s="105"/>
      <c r="AM123" s="6">
        <f>MATCH(D123,'D5 - Gatekeeper - Projects'!$C$4:$C$1010,0)</f>
        <v>116</v>
      </c>
      <c r="AN123" s="6" t="b">
        <f t="shared" si="9"/>
        <v>0</v>
      </c>
      <c r="AO123" s="6" t="str">
        <f t="shared" si="14"/>
        <v>OK</v>
      </c>
      <c r="AQ123" s="6" t="e">
        <f>MATCH($D123,'D4 - Provider Council Unsched'!$C$11:$C$234,0)</f>
        <v>#N/A</v>
      </c>
      <c r="AR123" s="6" t="b">
        <f t="shared" si="11"/>
        <v>1</v>
      </c>
      <c r="AS123" s="6" t="str">
        <f t="shared" si="15"/>
        <v>OK</v>
      </c>
      <c r="AU123" s="202">
        <v>41298</v>
      </c>
      <c r="AV123" s="6" t="s">
        <v>468</v>
      </c>
      <c r="AW123" s="274">
        <v>55804</v>
      </c>
    </row>
    <row r="124" spans="1:49" s="13" customFormat="1" ht="45" x14ac:dyDescent="0.2">
      <c r="A124" s="14">
        <v>106</v>
      </c>
      <c r="B124" s="8">
        <v>400041201</v>
      </c>
      <c r="C124" s="8" t="s">
        <v>7290</v>
      </c>
      <c r="D124" s="4" t="str">
        <f t="shared" si="13"/>
        <v>400041201B</v>
      </c>
      <c r="E124" s="309" t="str">
        <f>VLOOKUP($B124,'D7 - NDB Impacted SPRF''s'!$E$6:$O$9929,2,FALSE)</f>
        <v>Addition of NPI to NDB and COSMOS Provider Pick</v>
      </c>
      <c r="F124" s="8"/>
      <c r="G124" s="8" t="s">
        <v>7980</v>
      </c>
      <c r="H124" s="8" t="s">
        <v>1606</v>
      </c>
      <c r="I124" s="20">
        <v>16</v>
      </c>
      <c r="J124" s="8" t="s">
        <v>4862</v>
      </c>
      <c r="K124" s="182">
        <v>41510</v>
      </c>
      <c r="L124" s="8" t="s">
        <v>4156</v>
      </c>
      <c r="M124" s="8" t="s">
        <v>2814</v>
      </c>
      <c r="N124" s="38" t="s">
        <v>9062</v>
      </c>
      <c r="O124" s="8"/>
      <c r="P124" s="4" t="str">
        <f>VLOOKUP($B124,'D7 - NDB Impacted SPRF''s'!$E$16:$O$9929,9,FALSE)</f>
        <v>Y</v>
      </c>
      <c r="Q124" s="4" t="str">
        <f>VLOOKUP($B124,'D7 - NDB Impacted SPRF''s'!$E$16:$O$9929,10,FALSE)</f>
        <v>N</v>
      </c>
      <c r="R124" s="4" t="str">
        <f>VLOOKUP($B124,'D7 - NDB Impacted SPRF''s'!$E$16:$O$9929,11,FALSE)</f>
        <v>N</v>
      </c>
      <c r="S124" s="8"/>
      <c r="T124" s="310"/>
      <c r="U124" s="310"/>
      <c r="V124" s="4"/>
      <c r="W124" s="4"/>
      <c r="X124" s="4"/>
      <c r="Y124" s="4"/>
      <c r="Z124" s="4"/>
      <c r="AA124" s="4"/>
      <c r="AB124" s="380" t="str">
        <f>VLOOKUP($B124,'D7 - NDB Impacted SPRF''s'!$E$6:$O$9929,4,FALSE)</f>
        <v>Scheduled</v>
      </c>
      <c r="AC124" s="380" t="str">
        <f>VLOOKUP($B124,'D7 - NDB Impacted SPRF''s'!$E$6:$O$9929,3,FALSE)</f>
        <v>UnitedHealthcare Employer &amp; Individual</v>
      </c>
      <c r="AD124" s="380" t="str">
        <f>VLOOKUP($B124,'D7 - NDB Impacted SPRF''s'!$E$6:$O$9929,5,FALSE)</f>
        <v>Regulatory / Other</v>
      </c>
      <c r="AE124" s="380" t="str">
        <f>VLOOKUP($B124,'D7 - NDB Impacted SPRF''s'!$E$6:$O$9929,7,FALSE)</f>
        <v>Tim Kaja</v>
      </c>
      <c r="AF124" s="380" t="str">
        <f>VLOOKUP($B124,'D7 - NDB Impacted SPRF''s'!$E$6:$O$9929,6,FALSE)</f>
        <v>LUND ROSS</v>
      </c>
      <c r="AG124" s="282"/>
      <c r="AH124" s="311" t="str">
        <f>INDEX('D5 - Gatekeeper - Projects'!$A$4:$AF$1010,$AM124, 17)</f>
        <v>C. Chen</v>
      </c>
      <c r="AI124" s="8"/>
      <c r="AJ124" s="57"/>
      <c r="AK124" s="105"/>
      <c r="AM124" s="6">
        <f>MATCH(D124,'D5 - Gatekeeper - Projects'!$C$4:$C$1010,0)</f>
        <v>117</v>
      </c>
      <c r="AN124" s="6" t="b">
        <f t="shared" si="9"/>
        <v>0</v>
      </c>
      <c r="AO124" s="6" t="str">
        <f t="shared" si="14"/>
        <v>OK</v>
      </c>
      <c r="AQ124" s="6" t="e">
        <f>MATCH($D124,'D4 - Provider Council Unsched'!$C$11:$C$234,0)</f>
        <v>#N/A</v>
      </c>
      <c r="AR124" s="6" t="b">
        <f t="shared" si="11"/>
        <v>1</v>
      </c>
      <c r="AS124" s="6" t="str">
        <f t="shared" si="15"/>
        <v>OK</v>
      </c>
      <c r="AU124" s="202">
        <v>40735</v>
      </c>
      <c r="AV124" s="6" t="s">
        <v>465</v>
      </c>
      <c r="AW124" s="274">
        <v>31023</v>
      </c>
    </row>
    <row r="125" spans="1:49" s="13" customFormat="1" ht="45" x14ac:dyDescent="0.2">
      <c r="A125" s="14">
        <v>107</v>
      </c>
      <c r="B125" s="8">
        <v>400041448</v>
      </c>
      <c r="C125" s="8" t="s">
        <v>1447</v>
      </c>
      <c r="D125" s="4" t="str">
        <f t="shared" si="13"/>
        <v>400041448A</v>
      </c>
      <c r="E125" s="309" t="str">
        <f>VLOOKUP($B125,'D7 - NDB Impacted SPRF''s'!$E$6:$O$9929,2,FALSE)</f>
        <v>CDB TOPS: Hot Key</v>
      </c>
      <c r="F125" s="8"/>
      <c r="G125" s="8" t="s">
        <v>7980</v>
      </c>
      <c r="H125" s="8" t="s">
        <v>1606</v>
      </c>
      <c r="I125" s="20">
        <v>0.35</v>
      </c>
      <c r="J125" s="8" t="s">
        <v>4862</v>
      </c>
      <c r="K125" s="182">
        <v>41510</v>
      </c>
      <c r="L125" s="8" t="s">
        <v>4156</v>
      </c>
      <c r="M125" s="8" t="s">
        <v>5626</v>
      </c>
      <c r="N125" s="38" t="s">
        <v>232</v>
      </c>
      <c r="O125" s="8"/>
      <c r="P125" s="4" t="str">
        <f>VLOOKUP($B125,'D7 - NDB Impacted SPRF''s'!$E$16:$O$9929,9,FALSE)</f>
        <v>Y</v>
      </c>
      <c r="Q125" s="4" t="str">
        <f>VLOOKUP($B125,'D7 - NDB Impacted SPRF''s'!$E$16:$O$9929,10,FALSE)</f>
        <v>N</v>
      </c>
      <c r="R125" s="4" t="str">
        <f>VLOOKUP($B125,'D7 - NDB Impacted SPRF''s'!$E$16:$O$9929,11,FALSE)</f>
        <v>N</v>
      </c>
      <c r="S125" s="8"/>
      <c r="T125" s="310"/>
      <c r="U125" s="310"/>
      <c r="V125" s="4"/>
      <c r="W125" s="4"/>
      <c r="X125" s="4"/>
      <c r="Y125" s="4"/>
      <c r="Z125" s="4"/>
      <c r="AA125" s="4"/>
      <c r="AB125" s="380" t="str">
        <f>VLOOKUP($B125,'D7 - NDB Impacted SPRF''s'!$E$6:$O$9929,4,FALSE)</f>
        <v>Scheduled</v>
      </c>
      <c r="AC125" s="380" t="str">
        <f>VLOOKUP($B125,'D7 - NDB Impacted SPRF''s'!$E$6:$O$9929,3,FALSE)</f>
        <v>UHG IT - Shared Services</v>
      </c>
      <c r="AD125" s="380" t="str">
        <f>VLOOKUP($B125,'D7 - NDB Impacted SPRF''s'!$E$6:$O$9929,5,FALSE)</f>
        <v>Strategic Initiatives</v>
      </c>
      <c r="AE125" s="380" t="str">
        <f>VLOOKUP($B125,'D7 - NDB Impacted SPRF''s'!$E$6:$O$9929,7,FALSE)</f>
        <v>Patrick Casey</v>
      </c>
      <c r="AF125" s="380" t="str">
        <f>VLOOKUP($B125,'D7 - NDB Impacted SPRF''s'!$E$6:$O$9929,6,FALSE)</f>
        <v>DIANE KOWAL</v>
      </c>
      <c r="AG125" s="282"/>
      <c r="AH125" s="311" t="str">
        <f>INDEX('D5 - Gatekeeper - Projects'!$A$4:$AF$1010,$AM125, 17)</f>
        <v>T. Kester</v>
      </c>
      <c r="AI125" s="8"/>
      <c r="AJ125" s="57"/>
      <c r="AK125" s="105"/>
      <c r="AM125" s="6">
        <f>MATCH(D125,'D5 - Gatekeeper - Projects'!$C$4:$C$1010,0)</f>
        <v>118</v>
      </c>
      <c r="AN125" s="6" t="b">
        <f t="shared" si="9"/>
        <v>0</v>
      </c>
      <c r="AO125" s="6" t="str">
        <f t="shared" si="14"/>
        <v>OK</v>
      </c>
      <c r="AQ125" s="6" t="e">
        <f>MATCH($D125,'D4 - Provider Council Unsched'!$C$11:$C$234,0)</f>
        <v>#N/A</v>
      </c>
      <c r="AR125" s="6" t="b">
        <f t="shared" si="11"/>
        <v>1</v>
      </c>
      <c r="AS125" s="6" t="str">
        <f t="shared" si="15"/>
        <v>OK</v>
      </c>
      <c r="AU125" s="202">
        <v>41082</v>
      </c>
      <c r="AV125" s="6" t="s">
        <v>2309</v>
      </c>
      <c r="AW125" s="274">
        <v>46996</v>
      </c>
    </row>
    <row r="126" spans="1:49" s="13" customFormat="1" ht="45" x14ac:dyDescent="0.2">
      <c r="A126" s="14">
        <v>108</v>
      </c>
      <c r="B126" s="8">
        <v>400041457</v>
      </c>
      <c r="C126" s="8" t="s">
        <v>1447</v>
      </c>
      <c r="D126" s="4" t="str">
        <f t="shared" si="13"/>
        <v>400041457A</v>
      </c>
      <c r="E126" s="309" t="str">
        <f>VLOOKUP($B126,'D7 - NDB Impacted SPRF''s'!$E$6:$O$9929,2,FALSE)</f>
        <v>CDB Core Processing: PCP Processing</v>
      </c>
      <c r="F126" s="8"/>
      <c r="G126" s="8" t="s">
        <v>7980</v>
      </c>
      <c r="H126" s="8" t="s">
        <v>1606</v>
      </c>
      <c r="I126" s="20">
        <v>0.67</v>
      </c>
      <c r="J126" s="8" t="s">
        <v>4862</v>
      </c>
      <c r="K126" s="182">
        <v>41510</v>
      </c>
      <c r="L126" s="8" t="s">
        <v>4156</v>
      </c>
      <c r="M126" s="8" t="s">
        <v>5626</v>
      </c>
      <c r="N126" s="38" t="s">
        <v>268</v>
      </c>
      <c r="O126" s="8"/>
      <c r="P126" s="4" t="str">
        <f>VLOOKUP($B126,'D7 - NDB Impacted SPRF''s'!$E$16:$O$9929,9,FALSE)</f>
        <v>N</v>
      </c>
      <c r="Q126" s="4" t="str">
        <f>VLOOKUP($B126,'D7 - NDB Impacted SPRF''s'!$E$16:$O$9929,10,FALSE)</f>
        <v>N</v>
      </c>
      <c r="R126" s="4" t="str">
        <f>VLOOKUP($B126,'D7 - NDB Impacted SPRF''s'!$E$16:$O$9929,11,FALSE)</f>
        <v>N</v>
      </c>
      <c r="S126" s="8"/>
      <c r="T126" s="310"/>
      <c r="U126" s="310"/>
      <c r="V126" s="4"/>
      <c r="W126" s="4"/>
      <c r="X126" s="4"/>
      <c r="Y126" s="4"/>
      <c r="Z126" s="4"/>
      <c r="AA126" s="4"/>
      <c r="AB126" s="380" t="str">
        <f>VLOOKUP($B126,'D7 - NDB Impacted SPRF''s'!$E$6:$O$9929,4,FALSE)</f>
        <v>Scheduled</v>
      </c>
      <c r="AC126" s="380" t="str">
        <f>VLOOKUP($B126,'D7 - NDB Impacted SPRF''s'!$E$6:$O$9929,3,FALSE)</f>
        <v>UHG IT - Shared Services</v>
      </c>
      <c r="AD126" s="380" t="str">
        <f>VLOOKUP($B126,'D7 - NDB Impacted SPRF''s'!$E$6:$O$9929,5,FALSE)</f>
        <v>Strategic Initiatives</v>
      </c>
      <c r="AE126" s="380" t="str">
        <f>VLOOKUP($B126,'D7 - NDB Impacted SPRF''s'!$E$6:$O$9929,7,FALSE)</f>
        <v>Patrick Casey</v>
      </c>
      <c r="AF126" s="380" t="str">
        <f>VLOOKUP($B126,'D7 - NDB Impacted SPRF''s'!$E$6:$O$9929,6,FALSE)</f>
        <v>DIANE KOWAL</v>
      </c>
      <c r="AG126" s="282"/>
      <c r="AH126" s="311" t="str">
        <f>INDEX('D5 - Gatekeeper - Projects'!$A$4:$AF$1010,$AM126, 17)</f>
        <v>T. Kester</v>
      </c>
      <c r="AI126" s="8"/>
      <c r="AJ126" s="57"/>
      <c r="AK126" s="105"/>
      <c r="AM126" s="6">
        <f>MATCH(D126,'D5 - Gatekeeper - Projects'!$C$4:$C$1010,0)</f>
        <v>119</v>
      </c>
      <c r="AN126" s="6" t="b">
        <f t="shared" si="9"/>
        <v>0</v>
      </c>
      <c r="AO126" s="6" t="str">
        <f t="shared" si="14"/>
        <v>OK</v>
      </c>
      <c r="AQ126" s="6" t="e">
        <f>MATCH($D126,'D4 - Provider Council Unsched'!$C$11:$C$234,0)</f>
        <v>#N/A</v>
      </c>
      <c r="AR126" s="6" t="b">
        <f t="shared" si="11"/>
        <v>1</v>
      </c>
      <c r="AS126" s="6" t="str">
        <f t="shared" si="15"/>
        <v>OK</v>
      </c>
      <c r="AU126" s="202">
        <v>40641</v>
      </c>
      <c r="AV126" s="6" t="s">
        <v>2309</v>
      </c>
      <c r="AW126" s="274">
        <v>29714</v>
      </c>
    </row>
    <row r="127" spans="1:49" s="13" customFormat="1" ht="33.75" x14ac:dyDescent="0.2">
      <c r="A127" s="14">
        <v>109</v>
      </c>
      <c r="B127" s="8">
        <v>400041737</v>
      </c>
      <c r="C127" s="8" t="s">
        <v>9</v>
      </c>
      <c r="D127" s="4" t="str">
        <f t="shared" si="13"/>
        <v>400041737K</v>
      </c>
      <c r="E127" s="309" t="str">
        <f>VLOOKUP($B127,'D7 - NDB Impacted SPRF''s'!$E$6:$O$9929,2,FALSE)</f>
        <v>ICD10- Field Expansion- UHC EI</v>
      </c>
      <c r="F127" s="8"/>
      <c r="G127" s="8" t="s">
        <v>7980</v>
      </c>
      <c r="H127" s="8" t="s">
        <v>1606</v>
      </c>
      <c r="I127" s="20">
        <v>13.46</v>
      </c>
      <c r="J127" s="8" t="s">
        <v>4862</v>
      </c>
      <c r="K127" s="182">
        <v>41510</v>
      </c>
      <c r="L127" s="8" t="s">
        <v>4156</v>
      </c>
      <c r="M127" s="8" t="s">
        <v>2814</v>
      </c>
      <c r="N127" s="38" t="s">
        <v>9568</v>
      </c>
      <c r="O127" s="8"/>
      <c r="P127" s="4" t="str">
        <f>VLOOKUP($B127,'D7 - NDB Impacted SPRF''s'!$E$16:$O$9929,9,FALSE)</f>
        <v>Y</v>
      </c>
      <c r="Q127" s="4" t="str">
        <f>VLOOKUP($B127,'D7 - NDB Impacted SPRF''s'!$E$16:$O$9929,10,FALSE)</f>
        <v>N</v>
      </c>
      <c r="R127" s="4" t="str">
        <f>VLOOKUP($B127,'D7 - NDB Impacted SPRF''s'!$E$16:$O$9929,11,FALSE)</f>
        <v>Y</v>
      </c>
      <c r="S127" s="8"/>
      <c r="T127" s="310"/>
      <c r="U127" s="310"/>
      <c r="V127" s="4"/>
      <c r="W127" s="4"/>
      <c r="X127" s="4"/>
      <c r="Y127" s="4"/>
      <c r="Z127" s="4"/>
      <c r="AA127" s="4"/>
      <c r="AB127" s="380" t="str">
        <f>VLOOKUP($B127,'D7 - NDB Impacted SPRF''s'!$E$6:$O$9929,4,FALSE)</f>
        <v>Scheduled</v>
      </c>
      <c r="AC127" s="380" t="str">
        <f>VLOOKUP($B127,'D7 - NDB Impacted SPRF''s'!$E$6:$O$9929,3,FALSE)</f>
        <v>UnitedHealthcare Employer &amp; Individual</v>
      </c>
      <c r="AD127" s="380" t="str">
        <f>VLOOKUP($B127,'D7 - NDB Impacted SPRF''s'!$E$6:$O$9929,5,FALSE)</f>
        <v>Regulatory / Other</v>
      </c>
      <c r="AE127" s="380" t="str">
        <f>VLOOKUP($B127,'D7 - NDB Impacted SPRF''s'!$E$6:$O$9929,7,FALSE)</f>
        <v>Tim Kaja</v>
      </c>
      <c r="AF127" s="380" t="str">
        <f>VLOOKUP($B127,'D7 - NDB Impacted SPRF''s'!$E$6:$O$9929,6,FALSE)</f>
        <v>Delvis Schilling</v>
      </c>
      <c r="AG127" s="282"/>
      <c r="AH127" s="311" t="str">
        <f>INDEX('D5 - Gatekeeper - Projects'!$A$4:$AF$1010,$AM127, 17)</f>
        <v>C. Chen</v>
      </c>
      <c r="AI127" s="8"/>
      <c r="AJ127" s="57"/>
      <c r="AK127" s="105"/>
      <c r="AM127" s="6">
        <f>MATCH(D127,'D5 - Gatekeeper - Projects'!$C$4:$C$1010,0)</f>
        <v>120</v>
      </c>
      <c r="AN127" s="6" t="b">
        <f t="shared" si="9"/>
        <v>0</v>
      </c>
      <c r="AO127" s="6" t="str">
        <f t="shared" si="14"/>
        <v>OK</v>
      </c>
      <c r="AQ127" s="6" t="e">
        <f>MATCH($D127,'D4 - Provider Council Unsched'!$C$11:$C$234,0)</f>
        <v>#N/A</v>
      </c>
      <c r="AR127" s="6" t="b">
        <f t="shared" si="11"/>
        <v>1</v>
      </c>
      <c r="AS127" s="6" t="str">
        <f t="shared" si="15"/>
        <v>OK</v>
      </c>
      <c r="AU127" s="202">
        <v>41298</v>
      </c>
      <c r="AV127" s="6" t="s">
        <v>2299</v>
      </c>
      <c r="AW127" s="274">
        <v>50696</v>
      </c>
    </row>
    <row r="128" spans="1:49" s="13" customFormat="1" ht="33.75" x14ac:dyDescent="0.2">
      <c r="A128" s="14">
        <v>110</v>
      </c>
      <c r="B128" s="8">
        <v>400041737</v>
      </c>
      <c r="C128" s="8" t="s">
        <v>9054</v>
      </c>
      <c r="D128" s="4" t="str">
        <f t="shared" si="13"/>
        <v>400041737L</v>
      </c>
      <c r="E128" s="309" t="str">
        <f>VLOOKUP($B128,'D7 - NDB Impacted SPRF''s'!$E$6:$O$9929,2,FALSE)</f>
        <v>ICD10- Field Expansion- UHC EI</v>
      </c>
      <c r="F128" s="8"/>
      <c r="G128" s="8" t="s">
        <v>7980</v>
      </c>
      <c r="H128" s="8" t="s">
        <v>1606</v>
      </c>
      <c r="I128" s="20">
        <v>0.34</v>
      </c>
      <c r="J128" s="8" t="s">
        <v>4862</v>
      </c>
      <c r="K128" s="182">
        <v>41510</v>
      </c>
      <c r="L128" s="8" t="s">
        <v>4156</v>
      </c>
      <c r="M128" s="8" t="s">
        <v>5626</v>
      </c>
      <c r="N128" s="38" t="s">
        <v>9055</v>
      </c>
      <c r="O128" s="8"/>
      <c r="P128" s="4" t="str">
        <f>VLOOKUP($B128,'D7 - NDB Impacted SPRF''s'!$E$16:$O$9929,9,FALSE)</f>
        <v>Y</v>
      </c>
      <c r="Q128" s="4" t="str">
        <f>VLOOKUP($B128,'D7 - NDB Impacted SPRF''s'!$E$16:$O$9929,10,FALSE)</f>
        <v>N</v>
      </c>
      <c r="R128" s="4" t="str">
        <f>VLOOKUP($B128,'D7 - NDB Impacted SPRF''s'!$E$16:$O$9929,11,FALSE)</f>
        <v>Y</v>
      </c>
      <c r="S128" s="8"/>
      <c r="T128" s="310"/>
      <c r="U128" s="310"/>
      <c r="V128" s="4"/>
      <c r="W128" s="4"/>
      <c r="X128" s="4"/>
      <c r="Y128" s="4"/>
      <c r="Z128" s="4"/>
      <c r="AA128" s="4"/>
      <c r="AB128" s="380" t="str">
        <f>VLOOKUP($B128,'D7 - NDB Impacted SPRF''s'!$E$6:$O$9929,4,FALSE)</f>
        <v>Scheduled</v>
      </c>
      <c r="AC128" s="380" t="str">
        <f>VLOOKUP($B128,'D7 - NDB Impacted SPRF''s'!$E$6:$O$9929,3,FALSE)</f>
        <v>UnitedHealthcare Employer &amp; Individual</v>
      </c>
      <c r="AD128" s="380" t="str">
        <f>VLOOKUP($B128,'D7 - NDB Impacted SPRF''s'!$E$6:$O$9929,5,FALSE)</f>
        <v>Regulatory / Other</v>
      </c>
      <c r="AE128" s="380" t="str">
        <f>VLOOKUP($B128,'D7 - NDB Impacted SPRF''s'!$E$6:$O$9929,7,FALSE)</f>
        <v>Tim Kaja</v>
      </c>
      <c r="AF128" s="380" t="str">
        <f>VLOOKUP($B128,'D7 - NDB Impacted SPRF''s'!$E$6:$O$9929,6,FALSE)</f>
        <v>Delvis Schilling</v>
      </c>
      <c r="AG128" s="282"/>
      <c r="AH128" s="311" t="str">
        <f>INDEX('D5 - Gatekeeper - Projects'!$A$4:$AF$1010,$AM128, 17)</f>
        <v>T. Kester</v>
      </c>
      <c r="AI128" s="8"/>
      <c r="AJ128" s="57"/>
      <c r="AK128" s="105"/>
      <c r="AM128" s="6">
        <f>MATCH(D128,'D5 - Gatekeeper - Projects'!$C$4:$C$1010,0)</f>
        <v>121</v>
      </c>
      <c r="AN128" s="6" t="b">
        <f t="shared" si="9"/>
        <v>0</v>
      </c>
      <c r="AO128" s="6" t="str">
        <f t="shared" si="14"/>
        <v>OK</v>
      </c>
      <c r="AQ128" s="6" t="e">
        <f>MATCH($D128,'D4 - Provider Council Unsched'!$C$11:$C$234,0)</f>
        <v>#N/A</v>
      </c>
      <c r="AR128" s="6" t="b">
        <f t="shared" si="11"/>
        <v>1</v>
      </c>
      <c r="AS128" s="6" t="str">
        <f t="shared" si="15"/>
        <v>OK</v>
      </c>
      <c r="AU128" s="202">
        <v>41347</v>
      </c>
      <c r="AV128" s="6" t="s">
        <v>2299</v>
      </c>
      <c r="AW128" s="274">
        <v>50696</v>
      </c>
    </row>
    <row r="129" spans="1:49" s="13" customFormat="1" ht="33.75" x14ac:dyDescent="0.2">
      <c r="A129" s="14">
        <v>111</v>
      </c>
      <c r="B129" s="8">
        <v>400043077</v>
      </c>
      <c r="C129" s="8" t="s">
        <v>1447</v>
      </c>
      <c r="D129" s="4" t="str">
        <f t="shared" si="13"/>
        <v>400043077A</v>
      </c>
      <c r="E129" s="309" t="str">
        <f>VLOOKUP($B129,'D7 - NDB Impacted SPRF''s'!$E$6:$O$9929,2,FALSE)</f>
        <v>ICD10 Field Expansion UHC EI UMR</v>
      </c>
      <c r="F129" s="8"/>
      <c r="G129" s="8" t="s">
        <v>7980</v>
      </c>
      <c r="H129" s="8" t="s">
        <v>1606</v>
      </c>
      <c r="I129" s="20">
        <v>0.14000000000000001</v>
      </c>
      <c r="J129" s="8" t="s">
        <v>4862</v>
      </c>
      <c r="K129" s="182">
        <v>41510</v>
      </c>
      <c r="L129" s="8" t="s">
        <v>4156</v>
      </c>
      <c r="M129" s="8" t="s">
        <v>5626</v>
      </c>
      <c r="N129" s="38" t="s">
        <v>9373</v>
      </c>
      <c r="O129" s="8"/>
      <c r="P129" s="4" t="str">
        <f>VLOOKUP($B129,'D7 - NDB Impacted SPRF''s'!$E$16:$O$9929,9,FALSE)</f>
        <v>N</v>
      </c>
      <c r="Q129" s="4" t="str">
        <f>VLOOKUP($B129,'D7 - NDB Impacted SPRF''s'!$E$16:$O$9929,10,FALSE)</f>
        <v>N</v>
      </c>
      <c r="R129" s="4" t="str">
        <f>VLOOKUP($B129,'D7 - NDB Impacted SPRF''s'!$E$16:$O$9929,11,FALSE)</f>
        <v>Y</v>
      </c>
      <c r="S129" s="8"/>
      <c r="T129" s="310"/>
      <c r="U129" s="310"/>
      <c r="V129" s="4"/>
      <c r="W129" s="4"/>
      <c r="X129" s="4"/>
      <c r="Y129" s="4"/>
      <c r="Z129" s="4"/>
      <c r="AA129" s="4"/>
      <c r="AB129" s="380" t="str">
        <f>VLOOKUP($B129,'D7 - NDB Impacted SPRF''s'!$E$6:$O$9929,4,FALSE)</f>
        <v>Scheduled</v>
      </c>
      <c r="AC129" s="380" t="str">
        <f>VLOOKUP($B129,'D7 - NDB Impacted SPRF''s'!$E$6:$O$9929,3,FALSE)</f>
        <v>UnitedHealthcare Employer &amp; Individual</v>
      </c>
      <c r="AD129" s="380" t="str">
        <f>VLOOKUP($B129,'D7 - NDB Impacted SPRF''s'!$E$6:$O$9929,5,FALSE)</f>
        <v>Regulatory / Other</v>
      </c>
      <c r="AE129" s="380" t="str">
        <f>VLOOKUP($B129,'D7 - NDB Impacted SPRF''s'!$E$6:$O$9929,7,FALSE)</f>
        <v>Tim Kaja</v>
      </c>
      <c r="AF129" s="380" t="str">
        <f>VLOOKUP($B129,'D7 - NDB Impacted SPRF''s'!$E$6:$O$9929,6,FALSE)</f>
        <v>SUSAN HINES</v>
      </c>
      <c r="AG129" s="282"/>
      <c r="AH129" s="311" t="str">
        <f>INDEX('D5 - Gatekeeper - Projects'!$A$4:$AF$1010,$AM129, 17)</f>
        <v>T. Kester</v>
      </c>
      <c r="AI129" s="8"/>
      <c r="AJ129" s="57"/>
      <c r="AK129" s="105"/>
      <c r="AM129" s="6">
        <f>MATCH(D129,'D5 - Gatekeeper - Projects'!$C$4:$C$1010,0)</f>
        <v>122</v>
      </c>
      <c r="AN129" s="6" t="b">
        <f t="shared" si="9"/>
        <v>0</v>
      </c>
      <c r="AO129" s="6" t="str">
        <f t="shared" si="14"/>
        <v>OK</v>
      </c>
      <c r="AQ129" s="6" t="e">
        <f>MATCH($D129,'D4 - Provider Council Unsched'!$C$11:$C$234,0)</f>
        <v>#N/A</v>
      </c>
      <c r="AR129" s="6" t="b">
        <f t="shared" si="11"/>
        <v>1</v>
      </c>
      <c r="AS129" s="6" t="str">
        <f t="shared" si="15"/>
        <v>OK</v>
      </c>
      <c r="AU129" s="202">
        <v>41390</v>
      </c>
      <c r="AV129" s="404" t="s">
        <v>494</v>
      </c>
      <c r="AW129" s="274"/>
    </row>
    <row r="130" spans="1:49" s="13" customFormat="1" ht="33.75" x14ac:dyDescent="0.2">
      <c r="A130" s="14">
        <v>112</v>
      </c>
      <c r="B130" s="14">
        <v>400044833</v>
      </c>
      <c r="C130" s="8" t="s">
        <v>1447</v>
      </c>
      <c r="D130" s="4" t="str">
        <f t="shared" si="13"/>
        <v>400044833A</v>
      </c>
      <c r="E130" s="309" t="str">
        <f>VLOOKUP($B130,'D7 - NDB Impacted SPRF''s'!$E$6:$O$9929,2,FALSE)</f>
        <v>HP JV Member Portal Model Project</v>
      </c>
      <c r="F130" s="8"/>
      <c r="G130" s="8" t="s">
        <v>7980</v>
      </c>
      <c r="H130" s="8" t="s">
        <v>1606</v>
      </c>
      <c r="I130" s="20">
        <v>0.2</v>
      </c>
      <c r="J130" s="8" t="s">
        <v>4862</v>
      </c>
      <c r="K130" s="182">
        <v>41510</v>
      </c>
      <c r="L130" s="8" t="s">
        <v>4156</v>
      </c>
      <c r="M130" s="8" t="s">
        <v>5626</v>
      </c>
      <c r="N130" s="38" t="s">
        <v>9606</v>
      </c>
      <c r="O130" s="8"/>
      <c r="P130" s="4" t="str">
        <f>VLOOKUP($B130,'D7 - NDB Impacted SPRF''s'!$E$16:$O$9929,9,FALSE)</f>
        <v>Y</v>
      </c>
      <c r="Q130" s="4" t="str">
        <f>VLOOKUP($B130,'D7 - NDB Impacted SPRF''s'!$E$16:$O$9929,10,FALSE)</f>
        <v>N</v>
      </c>
      <c r="R130" s="4" t="str">
        <f>VLOOKUP($B130,'D7 - NDB Impacted SPRF''s'!$E$16:$O$9929,11,FALSE)</f>
        <v>N</v>
      </c>
      <c r="S130" s="8"/>
      <c r="T130" s="310"/>
      <c r="U130" s="310"/>
      <c r="V130" s="4"/>
      <c r="W130" s="4"/>
      <c r="X130" s="4"/>
      <c r="Y130" s="4"/>
      <c r="Z130" s="4"/>
      <c r="AA130" s="4"/>
      <c r="AB130" s="380" t="str">
        <f>VLOOKUP($B130,'D7 - NDB Impacted SPRF''s'!$E$6:$O$9929,4,FALSE)</f>
        <v>Scheduled</v>
      </c>
      <c r="AC130" s="380" t="str">
        <f>VLOOKUP($B130,'D7 - NDB Impacted SPRF''s'!$E$6:$O$9929,3,FALSE)</f>
        <v>UnitedHealthcare Employer &amp; Individual</v>
      </c>
      <c r="AD130" s="380" t="str">
        <f>VLOOKUP($B130,'D7 - NDB Impacted SPRF''s'!$E$6:$O$9929,5,FALSE)</f>
        <v>Membership Growth / Revenue Programs</v>
      </c>
      <c r="AE130" s="380" t="str">
        <f>VLOOKUP($B130,'D7 - NDB Impacted SPRF''s'!$E$6:$O$9929,7,FALSE)</f>
        <v>David Withee</v>
      </c>
      <c r="AF130" s="380" t="str">
        <f>VLOOKUP($B130,'D7 - NDB Impacted SPRF''s'!$E$6:$O$9929,6,FALSE)</f>
        <v>Linda Dooley</v>
      </c>
      <c r="AG130" s="282"/>
      <c r="AH130" s="311" t="str">
        <f>INDEX('D5 - Gatekeeper - Projects'!$A$4:$AF$1010,$AM130, 17)</f>
        <v>T. Kester</v>
      </c>
      <c r="AI130" s="8"/>
      <c r="AJ130" s="57"/>
      <c r="AK130" s="105"/>
      <c r="AM130" s="6">
        <f>MATCH(D130,'D5 - Gatekeeper - Projects'!$C$4:$C$1010,0)</f>
        <v>123</v>
      </c>
      <c r="AN130" s="6" t="b">
        <f t="shared" si="9"/>
        <v>0</v>
      </c>
      <c r="AO130" s="6" t="str">
        <f t="shared" si="14"/>
        <v>OK</v>
      </c>
      <c r="AQ130" s="6" t="e">
        <f>MATCH($D130,'D4 - Provider Council Unsched'!$C$11:$C$234,0)</f>
        <v>#N/A</v>
      </c>
      <c r="AR130" s="6" t="b">
        <f t="shared" si="11"/>
        <v>1</v>
      </c>
      <c r="AS130" s="6" t="str">
        <f t="shared" si="15"/>
        <v>OK</v>
      </c>
      <c r="AU130" s="202">
        <v>41321</v>
      </c>
      <c r="AV130" s="6" t="s">
        <v>930</v>
      </c>
      <c r="AW130" s="274"/>
    </row>
    <row r="131" spans="1:49" s="13" customFormat="1" ht="33.75" x14ac:dyDescent="0.2">
      <c r="A131" s="14">
        <v>75</v>
      </c>
      <c r="B131" s="8">
        <v>400046616</v>
      </c>
      <c r="C131" s="8" t="s">
        <v>7291</v>
      </c>
      <c r="D131" s="4" t="str">
        <f t="shared" si="13"/>
        <v>400046616E</v>
      </c>
      <c r="E131" s="309" t="str">
        <f>VLOOKUP($B131,'D7 - NDB Impacted SPRF''s'!$E$6:$O$9929,2,FALSE)</f>
        <v>New Jersey CSP Facets Migration</v>
      </c>
      <c r="F131" s="8"/>
      <c r="G131" s="8" t="s">
        <v>7980</v>
      </c>
      <c r="H131" s="8" t="s">
        <v>1606</v>
      </c>
      <c r="I131" s="20">
        <v>8.3699999999999992</v>
      </c>
      <c r="J131" s="8" t="s">
        <v>4862</v>
      </c>
      <c r="K131" s="182">
        <v>41510</v>
      </c>
      <c r="L131" s="8" t="s">
        <v>4156</v>
      </c>
      <c r="M131" s="8" t="s">
        <v>2814</v>
      </c>
      <c r="N131" s="38" t="s">
        <v>9602</v>
      </c>
      <c r="O131" s="8"/>
      <c r="P131" s="4" t="str">
        <f>VLOOKUP($B131,'D7 - NDB Impacted SPRF''s'!$E$16:$O$9929,9,FALSE)</f>
        <v>N</v>
      </c>
      <c r="Q131" s="4" t="str">
        <f>VLOOKUP($B131,'D7 - NDB Impacted SPRF''s'!$E$16:$O$9929,10,FALSE)</f>
        <v>N</v>
      </c>
      <c r="R131" s="4" t="str">
        <f>VLOOKUP($B131,'D7 - NDB Impacted SPRF''s'!$E$16:$O$9929,11,FALSE)</f>
        <v>Y</v>
      </c>
      <c r="S131" s="8"/>
      <c r="T131" s="310"/>
      <c r="U131" s="310"/>
      <c r="V131" s="4"/>
      <c r="W131" s="4"/>
      <c r="X131" s="4"/>
      <c r="Y131" s="4"/>
      <c r="Z131" s="4"/>
      <c r="AA131" s="4"/>
      <c r="AB131" s="380" t="str">
        <f>VLOOKUP($B131,'D7 - NDB Impacted SPRF''s'!$E$6:$O$9929,4,FALSE)</f>
        <v>Scheduled</v>
      </c>
      <c r="AC131" s="380" t="str">
        <f>VLOOKUP($B131,'D7 - NDB Impacted SPRF''s'!$E$6:$O$9929,3,FALSE)</f>
        <v>UnitedHealthcare Community &amp; State</v>
      </c>
      <c r="AD131" s="380" t="str">
        <f>VLOOKUP($B131,'D7 - NDB Impacted SPRF''s'!$E$6:$O$9929,5,FALSE)</f>
        <v>Integration Requirements</v>
      </c>
      <c r="AE131" s="380" t="str">
        <f>VLOOKUP($B131,'D7 - NDB Impacted SPRF''s'!$E$6:$O$9929,7,FALSE)</f>
        <v>Chris Scherer</v>
      </c>
      <c r="AF131" s="380" t="str">
        <f>VLOOKUP($B131,'D7 - NDB Impacted SPRF''s'!$E$6:$O$9929,6,FALSE)</f>
        <v>Dawn Ramos</v>
      </c>
      <c r="AG131" s="282"/>
      <c r="AH131" s="311" t="str">
        <f>INDEX('D5 - Gatekeeper - Projects'!$A$4:$AF$1010,$AM131, 17)</f>
        <v xml:space="preserve">D. Bajpai </v>
      </c>
      <c r="AI131" s="8"/>
      <c r="AJ131" s="57"/>
      <c r="AK131" s="105"/>
      <c r="AM131" s="6">
        <f>MATCH(D131,'D5 - Gatekeeper - Projects'!$C$4:$C$1010,0)</f>
        <v>124</v>
      </c>
      <c r="AN131" s="6" t="b">
        <f t="shared" si="9"/>
        <v>0</v>
      </c>
      <c r="AO131" s="6" t="str">
        <f t="shared" si="14"/>
        <v>OK</v>
      </c>
      <c r="AQ131" s="6" t="e">
        <f>MATCH($D131,'D4 - Provider Council Unsched'!$C$11:$C$234,0)</f>
        <v>#N/A</v>
      </c>
      <c r="AR131" s="6" t="b">
        <f t="shared" si="11"/>
        <v>1</v>
      </c>
      <c r="AS131" s="6" t="str">
        <f t="shared" si="15"/>
        <v>OK</v>
      </c>
      <c r="AU131" s="202">
        <v>41411</v>
      </c>
      <c r="AV131" s="6" t="s">
        <v>1089</v>
      </c>
      <c r="AW131" s="274">
        <v>46552</v>
      </c>
    </row>
    <row r="132" spans="1:49" s="13" customFormat="1" ht="33.75" x14ac:dyDescent="0.2">
      <c r="A132" s="14">
        <v>167</v>
      </c>
      <c r="B132" s="8">
        <v>400047477</v>
      </c>
      <c r="C132" s="8" t="s">
        <v>1196</v>
      </c>
      <c r="D132" s="4" t="str">
        <f t="shared" si="13"/>
        <v>400047477F</v>
      </c>
      <c r="E132" s="309" t="str">
        <f>VLOOKUP($B132,'D7 - NDB Impacted SPRF''s'!$E$6:$O$9929,2,FALSE)</f>
        <v xml:space="preserve">ICD10 E &amp; I Compliance Release </v>
      </c>
      <c r="F132" s="8"/>
      <c r="G132" s="8" t="s">
        <v>7980</v>
      </c>
      <c r="H132" s="8" t="s">
        <v>1606</v>
      </c>
      <c r="I132" s="20">
        <v>2.52</v>
      </c>
      <c r="J132" s="8" t="s">
        <v>4862</v>
      </c>
      <c r="K132" s="182">
        <v>41510</v>
      </c>
      <c r="L132" s="8" t="s">
        <v>4156</v>
      </c>
      <c r="M132" s="8" t="s">
        <v>5626</v>
      </c>
      <c r="N132" s="38" t="s">
        <v>9610</v>
      </c>
      <c r="O132" s="8"/>
      <c r="P132" s="4" t="str">
        <f>VLOOKUP($B132,'D7 - NDB Impacted SPRF''s'!$E$16:$O$9929,9,FALSE)</f>
        <v>Y</v>
      </c>
      <c r="Q132" s="4" t="str">
        <f>VLOOKUP($B132,'D7 - NDB Impacted SPRF''s'!$E$16:$O$9929,10,FALSE)</f>
        <v>N</v>
      </c>
      <c r="R132" s="4" t="str">
        <f>VLOOKUP($B132,'D7 - NDB Impacted SPRF''s'!$E$16:$O$9929,11,FALSE)</f>
        <v>Y</v>
      </c>
      <c r="S132" s="8"/>
      <c r="T132" s="310"/>
      <c r="U132" s="310"/>
      <c r="V132" s="4"/>
      <c r="W132" s="4"/>
      <c r="X132" s="4"/>
      <c r="Y132" s="4"/>
      <c r="Z132" s="4"/>
      <c r="AA132" s="4"/>
      <c r="AB132" s="380" t="str">
        <f>VLOOKUP($B132,'D7 - NDB Impacted SPRF''s'!$E$6:$O$9929,4,FALSE)</f>
        <v>Scheduled</v>
      </c>
      <c r="AC132" s="380" t="str">
        <f>VLOOKUP($B132,'D7 - NDB Impacted SPRF''s'!$E$6:$O$9929,3,FALSE)</f>
        <v>UnitedHealthcare Employer &amp; Individual</v>
      </c>
      <c r="AD132" s="380" t="str">
        <f>VLOOKUP($B132,'D7 - NDB Impacted SPRF''s'!$E$6:$O$9929,5,FALSE)</f>
        <v>Regulatory / Other</v>
      </c>
      <c r="AE132" s="380" t="str">
        <f>VLOOKUP($B132,'D7 - NDB Impacted SPRF''s'!$E$6:$O$9929,7,FALSE)</f>
        <v>Tim Kaja</v>
      </c>
      <c r="AF132" s="380" t="str">
        <f>VLOOKUP($B132,'D7 - NDB Impacted SPRF''s'!$E$6:$O$9929,6,FALSE)</f>
        <v>Delvis Schilling</v>
      </c>
      <c r="AG132" s="282"/>
      <c r="AH132" s="311" t="str">
        <f>INDEX('D5 - Gatekeeper - Projects'!$A$4:$AF$1010,$AM132, 17)</f>
        <v>T. Kester</v>
      </c>
      <c r="AI132" s="8"/>
      <c r="AJ132" s="57"/>
      <c r="AK132" s="105"/>
      <c r="AM132" s="6">
        <f>MATCH(D132,'D5 - Gatekeeper - Projects'!$C$4:$C$1010,0)</f>
        <v>125</v>
      </c>
      <c r="AN132" s="6" t="b">
        <f t="shared" si="9"/>
        <v>0</v>
      </c>
      <c r="AO132" s="6" t="str">
        <f t="shared" si="14"/>
        <v>OK</v>
      </c>
      <c r="AQ132" s="6" t="e">
        <f>MATCH($D132,'D4 - Provider Council Unsched'!$C$11:$C$234,0)</f>
        <v>#N/A</v>
      </c>
      <c r="AR132" s="6" t="b">
        <f t="shared" si="11"/>
        <v>1</v>
      </c>
      <c r="AS132" s="6" t="str">
        <f t="shared" si="15"/>
        <v>OK</v>
      </c>
      <c r="AU132" s="202">
        <v>41417</v>
      </c>
      <c r="AV132" s="6" t="s">
        <v>2299</v>
      </c>
      <c r="AW132" s="274">
        <v>58699</v>
      </c>
    </row>
    <row r="133" spans="1:49" s="13" customFormat="1" ht="146.25" x14ac:dyDescent="0.2">
      <c r="A133" s="14">
        <v>113</v>
      </c>
      <c r="B133" s="8">
        <v>400048340</v>
      </c>
      <c r="C133" s="8" t="s">
        <v>1447</v>
      </c>
      <c r="D133" s="4" t="str">
        <f t="shared" si="13"/>
        <v>400048340A</v>
      </c>
      <c r="E133" s="309" t="str">
        <f>VLOOKUP($B133,'D7 - NDB Impacted SPRF''s'!$E$6:$O$9929,2,FALSE)</f>
        <v xml:space="preserve">NDB Cosmos Demo SoT OHBS </v>
      </c>
      <c r="F133" s="8"/>
      <c r="G133" s="8" t="s">
        <v>7980</v>
      </c>
      <c r="H133" s="8" t="s">
        <v>1606</v>
      </c>
      <c r="I133" s="20">
        <v>51.75</v>
      </c>
      <c r="J133" s="8" t="s">
        <v>4862</v>
      </c>
      <c r="K133" s="182">
        <v>41510</v>
      </c>
      <c r="L133" s="8" t="s">
        <v>4156</v>
      </c>
      <c r="M133" s="8" t="s">
        <v>2814</v>
      </c>
      <c r="N133" s="38" t="s">
        <v>9515</v>
      </c>
      <c r="O133" s="8"/>
      <c r="P133" s="4" t="str">
        <f>VLOOKUP($B133,'D7 - NDB Impacted SPRF''s'!$E$16:$O$9929,9,FALSE)</f>
        <v>N</v>
      </c>
      <c r="Q133" s="4" t="str">
        <f>VLOOKUP($B133,'D7 - NDB Impacted SPRF''s'!$E$16:$O$9929,10,FALSE)</f>
        <v>N</v>
      </c>
      <c r="R133" s="4" t="str">
        <f>VLOOKUP($B133,'D7 - NDB Impacted SPRF''s'!$E$16:$O$9929,11,FALSE)</f>
        <v>N</v>
      </c>
      <c r="S133" s="8"/>
      <c r="T133" s="310"/>
      <c r="U133" s="310"/>
      <c r="V133" s="4"/>
      <c r="W133" s="4"/>
      <c r="X133" s="4"/>
      <c r="Y133" s="4"/>
      <c r="Z133" s="4"/>
      <c r="AA133" s="4"/>
      <c r="AB133" s="380" t="str">
        <f>VLOOKUP($B133,'D7 - NDB Impacted SPRF''s'!$E$6:$O$9929,4,FALSE)</f>
        <v>Scheduled</v>
      </c>
      <c r="AC133" s="380" t="str">
        <f>VLOOKUP($B133,'D7 - NDB Impacted SPRF''s'!$E$6:$O$9929,3,FALSE)</f>
        <v>UHG IT - Shared Services</v>
      </c>
      <c r="AD133" s="380" t="str">
        <f>VLOOKUP($B133,'D7 - NDB Impacted SPRF''s'!$E$6:$O$9929,5,FALSE)</f>
        <v>Strategic Initiatives</v>
      </c>
      <c r="AE133" s="380" t="str">
        <f>VLOOKUP($B133,'D7 - NDB Impacted SPRF''s'!$E$6:$O$9929,7,FALSE)</f>
        <v>Kaja, Tim</v>
      </c>
      <c r="AF133" s="380" t="str">
        <f>VLOOKUP($B133,'D7 - NDB Impacted SPRF''s'!$E$6:$O$9929,6,FALSE)</f>
        <v>SUSAN HINES</v>
      </c>
      <c r="AG133" s="282"/>
      <c r="AH133" s="311" t="str">
        <f>INDEX('D5 - Gatekeeper - Projects'!$A$4:$AF$1010,$AM133, 17)</f>
        <v>Bob Ziemann</v>
      </c>
      <c r="AI133" s="8"/>
      <c r="AJ133" s="57"/>
      <c r="AK133" s="105"/>
      <c r="AM133" s="6">
        <f>MATCH(D133,'D5 - Gatekeeper - Projects'!$C$4:$C$1010,0)</f>
        <v>126</v>
      </c>
      <c r="AN133" s="6" t="b">
        <f t="shared" si="9"/>
        <v>0</v>
      </c>
      <c r="AO133" s="6" t="str">
        <f t="shared" si="14"/>
        <v>OK</v>
      </c>
      <c r="AQ133" s="6" t="e">
        <f>MATCH($D133,'D4 - Provider Council Unsched'!$C$11:$C$234,0)</f>
        <v>#N/A</v>
      </c>
      <c r="AR133" s="6" t="b">
        <f t="shared" si="11"/>
        <v>1</v>
      </c>
      <c r="AS133" s="6" t="str">
        <f t="shared" si="15"/>
        <v>OK</v>
      </c>
      <c r="AU133" s="202">
        <v>41018</v>
      </c>
      <c r="AV133" s="6" t="s">
        <v>2754</v>
      </c>
      <c r="AW133" s="274">
        <v>52529</v>
      </c>
    </row>
    <row r="134" spans="1:49" s="13" customFormat="1" ht="22.5" x14ac:dyDescent="0.2">
      <c r="A134" s="14">
        <v>114</v>
      </c>
      <c r="B134" s="8">
        <v>400048340</v>
      </c>
      <c r="C134" s="8" t="s">
        <v>8138</v>
      </c>
      <c r="D134" s="4" t="str">
        <f t="shared" si="13"/>
        <v>400048340UA</v>
      </c>
      <c r="E134" s="309" t="str">
        <f>VLOOKUP($B134,'D7 - NDB Impacted SPRF''s'!$E$6:$O$9929,2,FALSE)</f>
        <v xml:space="preserve">NDB Cosmos Demo SoT OHBS </v>
      </c>
      <c r="F134" s="8"/>
      <c r="G134" s="8" t="s">
        <v>7980</v>
      </c>
      <c r="H134" s="8" t="s">
        <v>1606</v>
      </c>
      <c r="I134" s="20">
        <v>1.42</v>
      </c>
      <c r="J134" s="8" t="s">
        <v>4862</v>
      </c>
      <c r="K134" s="182">
        <v>41510</v>
      </c>
      <c r="L134" s="8" t="s">
        <v>4156</v>
      </c>
      <c r="M134" s="8" t="s">
        <v>2814</v>
      </c>
      <c r="N134" s="38"/>
      <c r="O134" s="8"/>
      <c r="P134" s="4" t="str">
        <f>VLOOKUP($B134,'D7 - NDB Impacted SPRF''s'!$E$16:$O$9929,9,FALSE)</f>
        <v>N</v>
      </c>
      <c r="Q134" s="4" t="str">
        <f>VLOOKUP($B134,'D7 - NDB Impacted SPRF''s'!$E$16:$O$9929,10,FALSE)</f>
        <v>N</v>
      </c>
      <c r="R134" s="4" t="str">
        <f>VLOOKUP($B134,'D7 - NDB Impacted SPRF''s'!$E$16:$O$9929,11,FALSE)</f>
        <v>N</v>
      </c>
      <c r="S134" s="8"/>
      <c r="T134" s="310"/>
      <c r="U134" s="310"/>
      <c r="V134" s="4"/>
      <c r="W134" s="4"/>
      <c r="X134" s="4"/>
      <c r="Y134" s="4"/>
      <c r="Z134" s="4"/>
      <c r="AA134" s="4"/>
      <c r="AB134" s="380" t="str">
        <f>VLOOKUP($B134,'D7 - NDB Impacted SPRF''s'!$E$6:$O$9929,4,FALSE)</f>
        <v>Scheduled</v>
      </c>
      <c r="AC134" s="380" t="str">
        <f>VLOOKUP($B134,'D7 - NDB Impacted SPRF''s'!$E$6:$O$9929,3,FALSE)</f>
        <v>UHG IT - Shared Services</v>
      </c>
      <c r="AD134" s="380" t="str">
        <f>VLOOKUP($B134,'D7 - NDB Impacted SPRF''s'!$E$6:$O$9929,5,FALSE)</f>
        <v>Strategic Initiatives</v>
      </c>
      <c r="AE134" s="380" t="str">
        <f>VLOOKUP($B134,'D7 - NDB Impacted SPRF''s'!$E$6:$O$9929,7,FALSE)</f>
        <v>Kaja, Tim</v>
      </c>
      <c r="AF134" s="380" t="str">
        <f>VLOOKUP($B134,'D7 - NDB Impacted SPRF''s'!$E$6:$O$9929,6,FALSE)</f>
        <v>SUSAN HINES</v>
      </c>
      <c r="AG134" s="282"/>
      <c r="AH134" s="311" t="str">
        <f>INDEX('D5 - Gatekeeper - Projects'!$A$4:$AF$1010,$AM134, 17)</f>
        <v>Bob Ziemann</v>
      </c>
      <c r="AI134" s="8"/>
      <c r="AJ134" s="57"/>
      <c r="AK134" s="105"/>
      <c r="AM134" s="6">
        <f>MATCH(D134,'D5 - Gatekeeper - Projects'!$C$4:$C$1010,0)</f>
        <v>127</v>
      </c>
      <c r="AN134" s="6" t="b">
        <f t="shared" si="9"/>
        <v>0</v>
      </c>
      <c r="AO134" s="6" t="str">
        <f t="shared" si="14"/>
        <v>OK</v>
      </c>
      <c r="AQ134" s="6" t="e">
        <f>MATCH($D134,'D4 - Provider Council Unsched'!$C$11:$C$234,0)</f>
        <v>#N/A</v>
      </c>
      <c r="AR134" s="6" t="b">
        <f t="shared" si="11"/>
        <v>1</v>
      </c>
      <c r="AS134" s="6" t="str">
        <f t="shared" si="15"/>
        <v>OK</v>
      </c>
      <c r="AU134" s="202">
        <v>41354</v>
      </c>
      <c r="AV134" s="6" t="s">
        <v>2754</v>
      </c>
      <c r="AW134" s="274">
        <v>52529</v>
      </c>
    </row>
    <row r="135" spans="1:49" s="13" customFormat="1" ht="33.75" x14ac:dyDescent="0.2">
      <c r="A135" s="14">
        <v>1753</v>
      </c>
      <c r="B135" s="14">
        <v>400049798</v>
      </c>
      <c r="C135" s="8" t="s">
        <v>7292</v>
      </c>
      <c r="D135" s="4" t="str">
        <f t="shared" si="13"/>
        <v>400049798C</v>
      </c>
      <c r="E135" s="309" t="str">
        <f>VLOOKUP($B135,'D7 - NDB Impacted SPRF''s'!$E$6:$O$9929,2,FALSE)</f>
        <v>Kansas Medicaid - KanCare Implementation</v>
      </c>
      <c r="F135" s="8"/>
      <c r="G135" s="8" t="s">
        <v>7980</v>
      </c>
      <c r="H135" s="8" t="s">
        <v>1606</v>
      </c>
      <c r="I135" s="20">
        <v>0.37</v>
      </c>
      <c r="J135" s="8" t="s">
        <v>4862</v>
      </c>
      <c r="K135" s="182">
        <v>41510</v>
      </c>
      <c r="L135" s="8" t="s">
        <v>4156</v>
      </c>
      <c r="M135" s="8" t="s">
        <v>5626</v>
      </c>
      <c r="N135" s="38" t="s">
        <v>9569</v>
      </c>
      <c r="O135" s="8"/>
      <c r="P135" s="4" t="str">
        <f>VLOOKUP($B135,'D7 - NDB Impacted SPRF''s'!$E$16:$O$9929,9,FALSE)</f>
        <v>N</v>
      </c>
      <c r="Q135" s="4" t="str">
        <f>VLOOKUP($B135,'D7 - NDB Impacted SPRF''s'!$E$16:$O$9929,10,FALSE)</f>
        <v>N</v>
      </c>
      <c r="R135" s="4" t="str">
        <f>VLOOKUP($B135,'D7 - NDB Impacted SPRF''s'!$E$16:$O$9929,11,FALSE)</f>
        <v>Y</v>
      </c>
      <c r="S135" s="8"/>
      <c r="T135" s="310"/>
      <c r="U135" s="310"/>
      <c r="V135" s="4"/>
      <c r="W135" s="4"/>
      <c r="X135" s="4"/>
      <c r="Y135" s="4"/>
      <c r="Z135" s="4"/>
      <c r="AA135" s="4"/>
      <c r="AB135" s="380" t="str">
        <f>VLOOKUP($B135,'D7 - NDB Impacted SPRF''s'!$E$6:$O$9929,4,FALSE)</f>
        <v>Scheduled</v>
      </c>
      <c r="AC135" s="380" t="str">
        <f>VLOOKUP($B135,'D7 - NDB Impacted SPRF''s'!$E$6:$O$9929,3,FALSE)</f>
        <v>UnitedHealthcare Community &amp; State</v>
      </c>
      <c r="AD135" s="380" t="str">
        <f>VLOOKUP($B135,'D7 - NDB Impacted SPRF''s'!$E$6:$O$9929,5,FALSE)</f>
        <v>Membership Growth / Revenue Programs</v>
      </c>
      <c r="AE135" s="380" t="str">
        <f>VLOOKUP($B135,'D7 - NDB Impacted SPRF''s'!$E$6:$O$9929,7,FALSE)</f>
        <v>Bror Hultgren</v>
      </c>
      <c r="AF135" s="380" t="str">
        <f>VLOOKUP($B135,'D7 - NDB Impacted SPRF''s'!$E$6:$O$9929,6,FALSE)</f>
        <v>LAN HOANG</v>
      </c>
      <c r="AG135" s="282"/>
      <c r="AH135" s="311" t="str">
        <f>INDEX('D5 - Gatekeeper - Projects'!$A$4:$AF$1010,$AM135, 17)</f>
        <v>T. Kester</v>
      </c>
      <c r="AI135" s="8"/>
      <c r="AJ135" s="57"/>
      <c r="AK135" s="105"/>
      <c r="AM135" s="6">
        <f>MATCH(D135,'D5 - Gatekeeper - Projects'!$C$4:$C$1010,0)</f>
        <v>128</v>
      </c>
      <c r="AN135" s="6" t="b">
        <f t="shared" si="9"/>
        <v>0</v>
      </c>
      <c r="AO135" s="6" t="str">
        <f t="shared" si="14"/>
        <v>OK</v>
      </c>
      <c r="AQ135" s="6" t="e">
        <f>MATCH($D135,'D4 - Provider Council Unsched'!$C$11:$C$234,0)</f>
        <v>#N/A</v>
      </c>
      <c r="AR135" s="6" t="b">
        <f t="shared" si="11"/>
        <v>1</v>
      </c>
      <c r="AS135" s="6" t="str">
        <f t="shared" si="15"/>
        <v>OK</v>
      </c>
      <c r="AU135" s="202">
        <v>41411</v>
      </c>
      <c r="AV135" s="6" t="s">
        <v>2238</v>
      </c>
      <c r="AW135" s="274">
        <v>55689</v>
      </c>
    </row>
    <row r="136" spans="1:49" s="13" customFormat="1" ht="146.25" x14ac:dyDescent="0.2">
      <c r="A136" s="14">
        <v>81</v>
      </c>
      <c r="B136" s="8">
        <v>400050350</v>
      </c>
      <c r="C136" s="8" t="s">
        <v>7290</v>
      </c>
      <c r="D136" s="4" t="str">
        <f t="shared" si="13"/>
        <v>400050350B</v>
      </c>
      <c r="E136" s="309" t="str">
        <f>VLOOKUP($B136,'D7 - NDB Impacted SPRF''s'!$E$6:$O$9929,2,FALSE)</f>
        <v>Provider Reimbursement Modernization – Phase I</v>
      </c>
      <c r="F136" s="8"/>
      <c r="G136" s="8" t="s">
        <v>7980</v>
      </c>
      <c r="H136" s="8" t="s">
        <v>1606</v>
      </c>
      <c r="I136" s="20">
        <v>8.11</v>
      </c>
      <c r="J136" s="8" t="s">
        <v>4862</v>
      </c>
      <c r="K136" s="182">
        <v>41510</v>
      </c>
      <c r="L136" s="8" t="s">
        <v>4156</v>
      </c>
      <c r="M136" s="8" t="s">
        <v>2814</v>
      </c>
      <c r="N136" s="38" t="s">
        <v>6591</v>
      </c>
      <c r="O136" s="8"/>
      <c r="P136" s="4" t="str">
        <f>VLOOKUP($B136,'D7 - NDB Impacted SPRF''s'!$E$16:$O$9929,9,FALSE)</f>
        <v>Y</v>
      </c>
      <c r="Q136" s="4" t="str">
        <f>VLOOKUP($B136,'D7 - NDB Impacted SPRF''s'!$E$16:$O$9929,10,FALSE)</f>
        <v>N</v>
      </c>
      <c r="R136" s="4" t="str">
        <f>VLOOKUP($B136,'D7 - NDB Impacted SPRF''s'!$E$16:$O$9929,11,FALSE)</f>
        <v>N</v>
      </c>
      <c r="S136" s="8"/>
      <c r="T136" s="310"/>
      <c r="U136" s="310"/>
      <c r="V136" s="4"/>
      <c r="W136" s="4"/>
      <c r="X136" s="4"/>
      <c r="Y136" s="4"/>
      <c r="Z136" s="4"/>
      <c r="AA136" s="4"/>
      <c r="AB136" s="380" t="str">
        <f>VLOOKUP($B136,'D7 - NDB Impacted SPRF''s'!$E$6:$O$9929,4,FALSE)</f>
        <v>In Strategy Council</v>
      </c>
      <c r="AC136" s="380" t="str">
        <f>VLOOKUP($B136,'D7 - NDB Impacted SPRF''s'!$E$6:$O$9929,3,FALSE)</f>
        <v>UnitedHealthcare Medicare &amp; Retirement</v>
      </c>
      <c r="AD136" s="380" t="str">
        <f>VLOOKUP($B136,'D7 - NDB Impacted SPRF''s'!$E$6:$O$9929,5,FALSE)</f>
        <v>Medical Cost Savings Programs</v>
      </c>
      <c r="AE136" s="380" t="str">
        <f>VLOOKUP($B136,'D7 - NDB Impacted SPRF''s'!$E$6:$O$9929,7,FALSE)</f>
        <v>Cindy Polich</v>
      </c>
      <c r="AF136" s="380" t="str">
        <f>VLOOKUP($B136,'D7 - NDB Impacted SPRF''s'!$E$6:$O$9929,6,FALSE)</f>
        <v>Debi Streb</v>
      </c>
      <c r="AG136" s="282"/>
      <c r="AH136" s="311" t="str">
        <f>INDEX('D5 - Gatekeeper - Projects'!$A$4:$AF$1010,$AM136, 17)</f>
        <v>B. Williams</v>
      </c>
      <c r="AI136" s="8"/>
      <c r="AJ136" s="57"/>
      <c r="AK136" s="105"/>
      <c r="AM136" s="6">
        <f>MATCH(D136,'D5 - Gatekeeper - Projects'!$C$4:$C$1010,0)</f>
        <v>129</v>
      </c>
      <c r="AN136" s="6" t="b">
        <f t="shared" si="9"/>
        <v>0</v>
      </c>
      <c r="AO136" s="6" t="str">
        <f t="shared" si="14"/>
        <v>OK</v>
      </c>
      <c r="AQ136" s="6" t="e">
        <f>MATCH($D136,'D4 - Provider Council Unsched'!$C$11:$C$234,0)</f>
        <v>#N/A</v>
      </c>
      <c r="AR136" s="6" t="b">
        <f t="shared" si="11"/>
        <v>1</v>
      </c>
      <c r="AS136" s="6" t="str">
        <f t="shared" si="15"/>
        <v>OK</v>
      </c>
      <c r="AU136" s="202">
        <v>41075</v>
      </c>
      <c r="AV136" s="6" t="s">
        <v>2239</v>
      </c>
      <c r="AW136" s="274">
        <v>57842</v>
      </c>
    </row>
    <row r="137" spans="1:49" s="13" customFormat="1" ht="22.5" x14ac:dyDescent="0.2">
      <c r="A137" s="14">
        <v>115</v>
      </c>
      <c r="B137" s="8">
        <v>400050588</v>
      </c>
      <c r="C137" s="8" t="s">
        <v>1447</v>
      </c>
      <c r="D137" s="4" t="str">
        <f t="shared" si="13"/>
        <v>400050588A</v>
      </c>
      <c r="E137" s="309" t="str">
        <f>VLOOKUP($B137,'D7 - NDB Impacted SPRF''s'!$E$6:$O$9929,2,FALSE)</f>
        <v>Adding ICM and RR Codes to Benefits/Systems</v>
      </c>
      <c r="F137" s="8"/>
      <c r="G137" s="8" t="s">
        <v>7980</v>
      </c>
      <c r="H137" s="8" t="s">
        <v>1606</v>
      </c>
      <c r="I137" s="20">
        <v>7.0000000000000007E-2</v>
      </c>
      <c r="J137" s="8" t="s">
        <v>4862</v>
      </c>
      <c r="K137" s="182">
        <v>41510</v>
      </c>
      <c r="L137" s="8" t="s">
        <v>4156</v>
      </c>
      <c r="M137" s="8" t="s">
        <v>5626</v>
      </c>
      <c r="N137" s="38"/>
      <c r="O137" s="8"/>
      <c r="P137" s="4" t="str">
        <f>VLOOKUP($B137,'D7 - NDB Impacted SPRF''s'!$E$16:$O$9929,9,FALSE)</f>
        <v>Y</v>
      </c>
      <c r="Q137" s="4" t="str">
        <f>VLOOKUP($B137,'D7 - NDB Impacted SPRF''s'!$E$16:$O$9929,10,FALSE)</f>
        <v>N</v>
      </c>
      <c r="R137" s="4" t="str">
        <f>VLOOKUP($B137,'D7 - NDB Impacted SPRF''s'!$E$16:$O$9929,11,FALSE)</f>
        <v>N</v>
      </c>
      <c r="S137" s="8"/>
      <c r="T137" s="310"/>
      <c r="U137" s="310"/>
      <c r="V137" s="4"/>
      <c r="W137" s="4"/>
      <c r="X137" s="4"/>
      <c r="Y137" s="4"/>
      <c r="Z137" s="4"/>
      <c r="AA137" s="4"/>
      <c r="AB137" s="380" t="str">
        <f>VLOOKUP($B137,'D7 - NDB Impacted SPRF''s'!$E$6:$O$9929,4,FALSE)</f>
        <v>Scheduled</v>
      </c>
      <c r="AC137" s="380" t="str">
        <f>VLOOKUP($B137,'D7 - NDB Impacted SPRF''s'!$E$6:$O$9929,3,FALSE)</f>
        <v>OptumHealth</v>
      </c>
      <c r="AD137" s="380" t="str">
        <f>VLOOKUP($B137,'D7 - NDB Impacted SPRF''s'!$E$6:$O$9929,5,FALSE)</f>
        <v>Behavioral Solutions</v>
      </c>
      <c r="AE137" s="380" t="str">
        <f>VLOOKUP($B137,'D7 - NDB Impacted SPRF''s'!$E$6:$O$9929,7,FALSE)</f>
        <v>Deb Adler</v>
      </c>
      <c r="AF137" s="380" t="str">
        <f>VLOOKUP($B137,'D7 - NDB Impacted SPRF''s'!$E$6:$O$9929,6,FALSE)</f>
        <v>Yanick Hazlewood</v>
      </c>
      <c r="AG137" s="282"/>
      <c r="AH137" s="311" t="str">
        <f>INDEX('D5 - Gatekeeper - Projects'!$A$4:$AF$1010,$AM137, 17)</f>
        <v>T. Kester</v>
      </c>
      <c r="AI137" s="8"/>
      <c r="AJ137" s="57"/>
      <c r="AK137" s="105"/>
      <c r="AM137" s="6">
        <f>MATCH(D137,'D5 - Gatekeeper - Projects'!$C$4:$C$1010,0)</f>
        <v>130</v>
      </c>
      <c r="AN137" s="6" t="b">
        <f t="shared" si="9"/>
        <v>0</v>
      </c>
      <c r="AO137" s="6" t="str">
        <f t="shared" si="14"/>
        <v>OK</v>
      </c>
      <c r="AQ137" s="6" t="e">
        <f>MATCH($D137,'D4 - Provider Council Unsched'!$C$11:$C$234,0)</f>
        <v>#N/A</v>
      </c>
      <c r="AR137" s="6" t="b">
        <f t="shared" si="11"/>
        <v>1</v>
      </c>
      <c r="AS137" s="6" t="str">
        <f t="shared" si="15"/>
        <v>OK</v>
      </c>
      <c r="AU137" s="202">
        <v>41029</v>
      </c>
      <c r="AV137" s="6" t="s">
        <v>9195</v>
      </c>
      <c r="AW137" s="274" t="s">
        <v>4027</v>
      </c>
    </row>
    <row r="138" spans="1:49" s="13" customFormat="1" ht="78.75" x14ac:dyDescent="0.2">
      <c r="A138" s="14">
        <v>116</v>
      </c>
      <c r="B138" s="8">
        <v>400051510</v>
      </c>
      <c r="C138" s="8" t="s">
        <v>1447</v>
      </c>
      <c r="D138" s="4" t="str">
        <f t="shared" si="13"/>
        <v>400051510A</v>
      </c>
      <c r="E138" s="309" t="str">
        <f>VLOOKUP($B138,'D7 - NDB Impacted SPRF''s'!$E$6:$O$9929,2,FALSE)</f>
        <v>PHC Eligibility Migration to GPS</v>
      </c>
      <c r="F138" s="8"/>
      <c r="G138" s="8" t="s">
        <v>7980</v>
      </c>
      <c r="H138" s="8" t="s">
        <v>1606</v>
      </c>
      <c r="I138" s="20">
        <v>0.47</v>
      </c>
      <c r="J138" s="8" t="s">
        <v>4862</v>
      </c>
      <c r="K138" s="182">
        <v>41510</v>
      </c>
      <c r="L138" s="8" t="s">
        <v>4156</v>
      </c>
      <c r="M138" s="8" t="s">
        <v>5626</v>
      </c>
      <c r="N138" s="38" t="s">
        <v>7219</v>
      </c>
      <c r="O138" s="8"/>
      <c r="P138" s="4" t="str">
        <f>VLOOKUP($B138,'D7 - NDB Impacted SPRF''s'!$E$16:$O$9929,9,FALSE)</f>
        <v>N</v>
      </c>
      <c r="Q138" s="4" t="str">
        <f>VLOOKUP($B138,'D7 - NDB Impacted SPRF''s'!$E$16:$O$9929,10,FALSE)</f>
        <v>N</v>
      </c>
      <c r="R138" s="4" t="str">
        <f>VLOOKUP($B138,'D7 - NDB Impacted SPRF''s'!$E$16:$O$9929,11,FALSE)</f>
        <v>N</v>
      </c>
      <c r="S138" s="8"/>
      <c r="T138" s="310"/>
      <c r="U138" s="310"/>
      <c r="V138" s="4"/>
      <c r="W138" s="4"/>
      <c r="X138" s="4"/>
      <c r="Y138" s="4"/>
      <c r="Z138" s="4"/>
      <c r="AA138" s="4"/>
      <c r="AB138" s="380" t="str">
        <f>VLOOKUP($B138,'D7 - NDB Impacted SPRF''s'!$E$6:$O$9929,4,FALSE)</f>
        <v>Scheduled</v>
      </c>
      <c r="AC138" s="380" t="str">
        <f>VLOOKUP($B138,'D7 - NDB Impacted SPRF''s'!$E$6:$O$9929,3,FALSE)</f>
        <v>UnitedHealthcare Medicare &amp; Retirement</v>
      </c>
      <c r="AD138" s="380" t="str">
        <f>VLOOKUP($B138,'D7 - NDB Impacted SPRF''s'!$E$6:$O$9929,5,FALSE)</f>
        <v>Integration Requirements</v>
      </c>
      <c r="AE138" s="380" t="str">
        <f>VLOOKUP($B138,'D7 - NDB Impacted SPRF''s'!$E$6:$O$9929,7,FALSE)</f>
        <v>Heather Selseth</v>
      </c>
      <c r="AF138" s="380" t="str">
        <f>VLOOKUP($B138,'D7 - NDB Impacted SPRF''s'!$E$6:$O$9929,6,FALSE)</f>
        <v>Lisa Kellner</v>
      </c>
      <c r="AG138" s="282"/>
      <c r="AH138" s="311" t="str">
        <f>INDEX('D5 - Gatekeeper - Projects'!$A$4:$AF$1010,$AM138, 17)</f>
        <v>T. Kester</v>
      </c>
      <c r="AI138" s="8"/>
      <c r="AJ138" s="57"/>
      <c r="AK138" s="105"/>
      <c r="AM138" s="6">
        <f>MATCH(D138,'D5 - Gatekeeper - Projects'!$C$4:$C$1010,0)</f>
        <v>131</v>
      </c>
      <c r="AN138" s="6" t="b">
        <f t="shared" si="9"/>
        <v>0</v>
      </c>
      <c r="AO138" s="6" t="str">
        <f t="shared" si="14"/>
        <v>OK</v>
      </c>
      <c r="AQ138" s="6" t="e">
        <f>MATCH($D138,'D4 - Provider Council Unsched'!$C$11:$C$234,0)</f>
        <v>#N/A</v>
      </c>
      <c r="AR138" s="6" t="b">
        <f t="shared" si="11"/>
        <v>1</v>
      </c>
      <c r="AS138" s="6" t="str">
        <f t="shared" si="15"/>
        <v>OK</v>
      </c>
      <c r="AU138" s="202">
        <v>41222</v>
      </c>
      <c r="AV138" s="6" t="s">
        <v>438</v>
      </c>
      <c r="AW138" s="274">
        <v>61122</v>
      </c>
    </row>
    <row r="139" spans="1:49" s="13" customFormat="1" ht="60" customHeight="1" x14ac:dyDescent="0.2">
      <c r="A139" s="14">
        <v>117</v>
      </c>
      <c r="B139" s="8">
        <v>400052510</v>
      </c>
      <c r="C139" s="8" t="s">
        <v>1447</v>
      </c>
      <c r="D139" s="4" t="str">
        <f t="shared" si="13"/>
        <v>400052510A</v>
      </c>
      <c r="E139" s="309" t="str">
        <f>VLOOKUP($B139,'D7 - NDB Impacted SPRF''s'!$E$6:$O$9929,2,FALSE)</f>
        <v>HCR-Exchanges Connect Platforms to DI Layer</v>
      </c>
      <c r="F139" s="8"/>
      <c r="G139" s="8" t="s">
        <v>2980</v>
      </c>
      <c r="H139" s="8" t="s">
        <v>1606</v>
      </c>
      <c r="I139" s="20">
        <v>9.1300000000000008</v>
      </c>
      <c r="J139" s="8" t="s">
        <v>4862</v>
      </c>
      <c r="K139" s="182">
        <v>41538</v>
      </c>
      <c r="L139" s="8" t="s">
        <v>4156</v>
      </c>
      <c r="M139" s="8" t="s">
        <v>2814</v>
      </c>
      <c r="N139" s="38" t="s">
        <v>7218</v>
      </c>
      <c r="O139" s="8"/>
      <c r="P139" s="4" t="str">
        <f>VLOOKUP($B139,'D7 - NDB Impacted SPRF''s'!$E$16:$O$9929,9,FALSE)</f>
        <v>N</v>
      </c>
      <c r="Q139" s="4" t="str">
        <f>VLOOKUP($B139,'D7 - NDB Impacted SPRF''s'!$E$16:$O$9929,10,FALSE)</f>
        <v>N</v>
      </c>
      <c r="R139" s="4" t="str">
        <f>VLOOKUP($B139,'D7 - NDB Impacted SPRF''s'!$E$16:$O$9929,11,FALSE)</f>
        <v>N</v>
      </c>
      <c r="S139" s="8"/>
      <c r="T139" s="310"/>
      <c r="U139" s="310"/>
      <c r="V139" s="4"/>
      <c r="W139" s="4"/>
      <c r="X139" s="4"/>
      <c r="Y139" s="4"/>
      <c r="Z139" s="4"/>
      <c r="AA139" s="4"/>
      <c r="AB139" s="380" t="str">
        <f>VLOOKUP($B139,'D7 - NDB Impacted SPRF''s'!$E$6:$O$9929,4,FALSE)</f>
        <v>Scheduled</v>
      </c>
      <c r="AC139" s="380" t="str">
        <f>VLOOKUP($B139,'D7 - NDB Impacted SPRF''s'!$E$6:$O$9929,3,FALSE)</f>
        <v>UnitedHealthcare Employer &amp; Individual</v>
      </c>
      <c r="AD139" s="380" t="str">
        <f>VLOOKUP($B139,'D7 - NDB Impacted SPRF''s'!$E$6:$O$9929,5,FALSE)</f>
        <v>Regulatory / Other</v>
      </c>
      <c r="AE139" s="380" t="str">
        <f>VLOOKUP($B139,'D7 - NDB Impacted SPRF''s'!$E$6:$O$9929,7,FALSE)</f>
        <v>Elizabeth Canis</v>
      </c>
      <c r="AF139" s="380" t="str">
        <f>VLOOKUP($B139,'D7 - NDB Impacted SPRF''s'!$E$6:$O$9929,6,FALSE)</f>
        <v>JEFFREY KINNEMANN</v>
      </c>
      <c r="AG139" s="282"/>
      <c r="AH139" s="311" t="str">
        <f>INDEX('D5 - Gatekeeper - Projects'!$A$4:$AF$1010,$AM139, 17)</f>
        <v>B. Williams</v>
      </c>
      <c r="AI139" s="8"/>
      <c r="AJ139" s="57"/>
      <c r="AK139" s="105"/>
      <c r="AM139" s="6">
        <f>MATCH(D139,'D5 - Gatekeeper - Projects'!$C$4:$C$1010,0)</f>
        <v>157</v>
      </c>
      <c r="AN139" s="6" t="b">
        <f t="shared" si="9"/>
        <v>0</v>
      </c>
      <c r="AO139" s="6" t="str">
        <f t="shared" si="14"/>
        <v>OK</v>
      </c>
      <c r="AQ139" s="6" t="e">
        <f>MATCH($D139,'D4 - Provider Council Unsched'!$C$11:$C$234,0)</f>
        <v>#N/A</v>
      </c>
      <c r="AR139" s="6" t="b">
        <f t="shared" si="11"/>
        <v>1</v>
      </c>
      <c r="AS139" s="6" t="str">
        <f t="shared" si="15"/>
        <v>OK</v>
      </c>
      <c r="AU139" s="202">
        <v>41131</v>
      </c>
      <c r="AV139" s="6" t="s">
        <v>1086</v>
      </c>
      <c r="AW139" s="274">
        <v>62751</v>
      </c>
    </row>
    <row r="140" spans="1:49" s="13" customFormat="1" ht="33.75" x14ac:dyDescent="0.2">
      <c r="A140" s="14">
        <v>118</v>
      </c>
      <c r="B140" s="8">
        <v>400052595</v>
      </c>
      <c r="C140" s="8" t="s">
        <v>1447</v>
      </c>
      <c r="D140" s="4" t="str">
        <f t="shared" si="13"/>
        <v>400052595A</v>
      </c>
      <c r="E140" s="309" t="str">
        <f>VLOOKUP($B140,'D7 - NDB Impacted SPRF''s'!$E$6:$O$9929,2,FALSE)</f>
        <v>Texas Health Steps</v>
      </c>
      <c r="F140" s="8"/>
      <c r="G140" s="8" t="s">
        <v>7980</v>
      </c>
      <c r="H140" s="8" t="s">
        <v>1606</v>
      </c>
      <c r="I140" s="20">
        <v>1.1399999999999999</v>
      </c>
      <c r="J140" s="8" t="s">
        <v>4862</v>
      </c>
      <c r="K140" s="182">
        <v>41510</v>
      </c>
      <c r="L140" s="8" t="s">
        <v>4156</v>
      </c>
      <c r="M140" s="8" t="s">
        <v>2814</v>
      </c>
      <c r="N140" s="38" t="s">
        <v>3918</v>
      </c>
      <c r="O140" s="8"/>
      <c r="P140" s="4" t="str">
        <f>VLOOKUP($B140,'D7 - NDB Impacted SPRF''s'!$E$16:$O$9929,9,FALSE)</f>
        <v>N</v>
      </c>
      <c r="Q140" s="4" t="str">
        <f>VLOOKUP($B140,'D7 - NDB Impacted SPRF''s'!$E$16:$O$9929,10,FALSE)</f>
        <v>N</v>
      </c>
      <c r="R140" s="4" t="str">
        <f>VLOOKUP($B140,'D7 - NDB Impacted SPRF''s'!$E$16:$O$9929,11,FALSE)</f>
        <v>N</v>
      </c>
      <c r="S140" s="8"/>
      <c r="T140" s="310"/>
      <c r="U140" s="310"/>
      <c r="V140" s="4"/>
      <c r="W140" s="4"/>
      <c r="X140" s="4"/>
      <c r="Y140" s="4"/>
      <c r="Z140" s="4"/>
      <c r="AA140" s="4"/>
      <c r="AB140" s="380" t="str">
        <f>VLOOKUP($B140,'D7 - NDB Impacted SPRF''s'!$E$6:$O$9929,4,FALSE)</f>
        <v>Scheduled</v>
      </c>
      <c r="AC140" s="380" t="str">
        <f>VLOOKUP($B140,'D7 - NDB Impacted SPRF''s'!$E$6:$O$9929,3,FALSE)</f>
        <v>UnitedHealthcare Community &amp; State</v>
      </c>
      <c r="AD140" s="380" t="str">
        <f>VLOOKUP($B140,'D7 - NDB Impacted SPRF''s'!$E$6:$O$9929,5,FALSE)</f>
        <v>Operational Requirements</v>
      </c>
      <c r="AE140" s="380" t="str">
        <f>VLOOKUP($B140,'D7 - NDB Impacted SPRF''s'!$E$6:$O$9929,7,FALSE)</f>
        <v>Bobby Hilliard</v>
      </c>
      <c r="AF140" s="380" t="str">
        <f>VLOOKUP($B140,'D7 - NDB Impacted SPRF''s'!$E$6:$O$9929,6,FALSE)</f>
        <v>David Solyom</v>
      </c>
      <c r="AG140" s="282"/>
      <c r="AH140" s="311" t="str">
        <f>INDEX('D5 - Gatekeeper - Projects'!$A$4:$AF$1010,$AM140, 17)</f>
        <v>B. Brown</v>
      </c>
      <c r="AI140" s="8"/>
      <c r="AJ140" s="57"/>
      <c r="AK140" s="105"/>
      <c r="AM140" s="6">
        <f>MATCH(D140,'D5 - Gatekeeper - Projects'!$C$4:$C$1010,0)</f>
        <v>132</v>
      </c>
      <c r="AN140" s="6" t="b">
        <f t="shared" si="9"/>
        <v>0</v>
      </c>
      <c r="AO140" s="6" t="str">
        <f t="shared" si="14"/>
        <v>OK</v>
      </c>
      <c r="AQ140" s="6" t="e">
        <f>MATCH($D140,'D4 - Provider Council Unsched'!$C$11:$C$234,0)</f>
        <v>#N/A</v>
      </c>
      <c r="AR140" s="6" t="b">
        <f t="shared" si="11"/>
        <v>1</v>
      </c>
      <c r="AS140" s="6" t="str">
        <f t="shared" si="15"/>
        <v>OK</v>
      </c>
      <c r="AU140" s="202">
        <v>41397</v>
      </c>
      <c r="AV140" s="404" t="s">
        <v>317</v>
      </c>
      <c r="AW140" s="274"/>
    </row>
    <row r="141" spans="1:49" s="13" customFormat="1" ht="33.75" x14ac:dyDescent="0.2">
      <c r="A141" s="14">
        <v>119</v>
      </c>
      <c r="B141" s="8">
        <v>400053723</v>
      </c>
      <c r="C141" s="8" t="s">
        <v>2331</v>
      </c>
      <c r="D141" s="4" t="str">
        <f t="shared" si="13"/>
        <v>400053723I</v>
      </c>
      <c r="E141" s="309" t="str">
        <f>VLOOKUP($B141,'D7 - NDB Impacted SPRF''s'!$E$6:$O$9929,2,FALSE)</f>
        <v>TRICARE West Implementation FD: Provider/Network</v>
      </c>
      <c r="F141" s="8"/>
      <c r="G141" s="8" t="s">
        <v>7980</v>
      </c>
      <c r="H141" s="8" t="s">
        <v>1606</v>
      </c>
      <c r="I141" s="20">
        <v>0.35</v>
      </c>
      <c r="J141" s="8" t="s">
        <v>4862</v>
      </c>
      <c r="K141" s="182">
        <v>41510</v>
      </c>
      <c r="L141" s="8" t="s">
        <v>4156</v>
      </c>
      <c r="M141" s="8" t="s">
        <v>5626</v>
      </c>
      <c r="N141" s="38" t="s">
        <v>4276</v>
      </c>
      <c r="O141" s="8"/>
      <c r="P141" s="4" t="str">
        <f>VLOOKUP($B141,'D7 - NDB Impacted SPRF''s'!$E$16:$O$9929,9,FALSE)</f>
        <v>N</v>
      </c>
      <c r="Q141" s="4" t="str">
        <f>VLOOKUP($B141,'D7 - NDB Impacted SPRF''s'!$E$16:$O$9929,10,FALSE)</f>
        <v>N</v>
      </c>
      <c r="R141" s="4" t="str">
        <f>VLOOKUP($B141,'D7 - NDB Impacted SPRF''s'!$E$16:$O$9929,11,FALSE)</f>
        <v>Y</v>
      </c>
      <c r="S141" s="8"/>
      <c r="T141" s="310"/>
      <c r="U141" s="310"/>
      <c r="V141" s="4"/>
      <c r="W141" s="4"/>
      <c r="X141" s="4"/>
      <c r="Y141" s="4"/>
      <c r="Z141" s="4"/>
      <c r="AA141" s="4"/>
      <c r="AB141" s="380" t="str">
        <f>VLOOKUP($B141,'D7 - NDB Impacted SPRF''s'!$E$6:$O$9929,4,FALSE)</f>
        <v>Scheduled</v>
      </c>
      <c r="AC141" s="380" t="str">
        <f>VLOOKUP($B141,'D7 - NDB Impacted SPRF''s'!$E$6:$O$9929,3,FALSE)</f>
        <v>UnitedHealthcare Military &amp; Veterans</v>
      </c>
      <c r="AD141" s="380" t="str">
        <f>VLOOKUP($B141,'D7 - NDB Impacted SPRF''s'!$E$6:$O$9929,5,FALSE)</f>
        <v>Integration Requirements</v>
      </c>
      <c r="AE141" s="380" t="str">
        <f>VLOOKUP($B141,'D7 - NDB Impacted SPRF''s'!$E$6:$O$9929,7,FALSE)</f>
        <v>Mike Schwarz</v>
      </c>
      <c r="AF141" s="380" t="str">
        <f>VLOOKUP($B141,'D7 - NDB Impacted SPRF''s'!$E$6:$O$9929,6,FALSE)</f>
        <v>Michael Schwarz</v>
      </c>
      <c r="AG141" s="282"/>
      <c r="AH141" s="311" t="str">
        <f>INDEX('D5 - Gatekeeper - Projects'!$A$4:$AF$1010,$AM141, 17)</f>
        <v>T. Kester</v>
      </c>
      <c r="AI141" s="8"/>
      <c r="AJ141" s="57"/>
      <c r="AK141" s="105"/>
      <c r="AM141" s="6">
        <f>MATCH(D141,'D5 - Gatekeeper - Projects'!$C$4:$C$1010,0)</f>
        <v>133</v>
      </c>
      <c r="AN141" s="6" t="b">
        <f t="shared" si="9"/>
        <v>0</v>
      </c>
      <c r="AO141" s="6" t="str">
        <f t="shared" si="14"/>
        <v>OK</v>
      </c>
      <c r="AQ141" s="6" t="e">
        <f>MATCH($D141,'D4 - Provider Council Unsched'!$C$11:$C$234,0)</f>
        <v>#N/A</v>
      </c>
      <c r="AR141" s="6" t="b">
        <f t="shared" si="11"/>
        <v>1</v>
      </c>
      <c r="AS141" s="6" t="str">
        <f t="shared" si="15"/>
        <v>OK</v>
      </c>
      <c r="AU141" s="202">
        <v>41376</v>
      </c>
      <c r="AV141" s="6" t="s">
        <v>3204</v>
      </c>
      <c r="AW141" s="274">
        <v>66807</v>
      </c>
    </row>
    <row r="142" spans="1:49" s="13" customFormat="1" ht="33.75" x14ac:dyDescent="0.2">
      <c r="A142" s="14">
        <v>86</v>
      </c>
      <c r="B142" s="8">
        <v>400053883</v>
      </c>
      <c r="C142" s="8" t="s">
        <v>7292</v>
      </c>
      <c r="D142" s="4" t="str">
        <f t="shared" si="13"/>
        <v>400053883C</v>
      </c>
      <c r="E142" s="309" t="str">
        <f>VLOOKUP($B142,'D7 - NDB Impacted SPRF''s'!$E$6:$O$9929,2,FALSE)</f>
        <v>ICD-10 Load Codes for Enterprise Test</v>
      </c>
      <c r="F142" s="8"/>
      <c r="G142" s="8" t="s">
        <v>7980</v>
      </c>
      <c r="H142" s="8" t="s">
        <v>1606</v>
      </c>
      <c r="I142" s="20">
        <v>39.340000000000003</v>
      </c>
      <c r="J142" s="8" t="s">
        <v>4862</v>
      </c>
      <c r="K142" s="182">
        <v>41510</v>
      </c>
      <c r="L142" s="8" t="s">
        <v>4156</v>
      </c>
      <c r="M142" s="8" t="s">
        <v>2814</v>
      </c>
      <c r="N142" s="38" t="s">
        <v>9514</v>
      </c>
      <c r="O142" s="8"/>
      <c r="P142" s="4" t="str">
        <f>VLOOKUP($B142,'D7 - NDB Impacted SPRF''s'!$E$16:$O$9929,9,FALSE)</f>
        <v>Y</v>
      </c>
      <c r="Q142" s="4" t="str">
        <f>VLOOKUP($B142,'D7 - NDB Impacted SPRF''s'!$E$16:$O$9929,10,FALSE)</f>
        <v>N</v>
      </c>
      <c r="R142" s="4" t="str">
        <f>VLOOKUP($B142,'D7 - NDB Impacted SPRF''s'!$E$16:$O$9929,11,FALSE)</f>
        <v>Y</v>
      </c>
      <c r="S142" s="8"/>
      <c r="T142" s="310"/>
      <c r="U142" s="310"/>
      <c r="V142" s="4"/>
      <c r="W142" s="4"/>
      <c r="X142" s="4"/>
      <c r="Y142" s="4"/>
      <c r="Z142" s="4"/>
      <c r="AA142" s="4"/>
      <c r="AB142" s="380" t="str">
        <f>VLOOKUP($B142,'D7 - NDB Impacted SPRF''s'!$E$6:$O$9929,4,FALSE)</f>
        <v>Scheduled</v>
      </c>
      <c r="AC142" s="380" t="str">
        <f>VLOOKUP($B142,'D7 - NDB Impacted SPRF''s'!$E$6:$O$9929,3,FALSE)</f>
        <v>UnitedHealthcare Employer &amp; Individual</v>
      </c>
      <c r="AD142" s="380" t="str">
        <f>VLOOKUP($B142,'D7 - NDB Impacted SPRF''s'!$E$6:$O$9929,5,FALSE)</f>
        <v>Regulatory / Other</v>
      </c>
      <c r="AE142" s="380" t="str">
        <f>VLOOKUP($B142,'D7 - NDB Impacted SPRF''s'!$E$6:$O$9929,7,FALSE)</f>
        <v>Tim Kaja</v>
      </c>
      <c r="AF142" s="380" t="str">
        <f>VLOOKUP($B142,'D7 - NDB Impacted SPRF''s'!$E$6:$O$9929,6,FALSE)</f>
        <v>Delvis Schilling</v>
      </c>
      <c r="AG142" s="282"/>
      <c r="AH142" s="311" t="str">
        <f>INDEX('D5 - Gatekeeper - Projects'!$A$4:$AF$1010,$AM142, 17)</f>
        <v>C. Chen</v>
      </c>
      <c r="AI142" s="8"/>
      <c r="AJ142" s="57"/>
      <c r="AK142" s="105"/>
      <c r="AM142" s="6">
        <f>MATCH(D142,'D5 - Gatekeeper - Projects'!$C$4:$C$1010,0)</f>
        <v>134</v>
      </c>
      <c r="AN142" s="6" t="b">
        <f t="shared" si="9"/>
        <v>0</v>
      </c>
      <c r="AO142" s="6" t="str">
        <f t="shared" si="14"/>
        <v>OK</v>
      </c>
      <c r="AQ142" s="6" t="e">
        <f>MATCH($D142,'D4 - Provider Council Unsched'!$C$11:$C$234,0)</f>
        <v>#N/A</v>
      </c>
      <c r="AR142" s="6" t="b">
        <f t="shared" si="11"/>
        <v>1</v>
      </c>
      <c r="AS142" s="6" t="str">
        <f t="shared" si="15"/>
        <v>OK</v>
      </c>
      <c r="AU142" s="202">
        <v>41298</v>
      </c>
      <c r="AV142" s="6" t="s">
        <v>2299</v>
      </c>
      <c r="AW142" s="274">
        <v>66286</v>
      </c>
    </row>
    <row r="143" spans="1:49" s="13" customFormat="1" ht="26.25" customHeight="1" x14ac:dyDescent="0.2">
      <c r="A143" s="14">
        <v>120</v>
      </c>
      <c r="B143" s="8">
        <v>400053904</v>
      </c>
      <c r="C143" s="8" t="s">
        <v>1447</v>
      </c>
      <c r="D143" s="4" t="str">
        <f t="shared" si="13"/>
        <v>400053904A</v>
      </c>
      <c r="E143" s="309" t="str">
        <f>VLOOKUP($B143,'D7 - NDB Impacted SPRF''s'!$E$6:$O$9929,2,FALSE)</f>
        <v>iCES Clearinghouse August 2013 Maintenance Release</v>
      </c>
      <c r="F143" s="8"/>
      <c r="G143" s="8" t="s">
        <v>7980</v>
      </c>
      <c r="H143" s="8" t="s">
        <v>1606</v>
      </c>
      <c r="I143" s="20">
        <v>0.17</v>
      </c>
      <c r="J143" s="8" t="s">
        <v>4862</v>
      </c>
      <c r="K143" s="182">
        <v>41510</v>
      </c>
      <c r="L143" s="8" t="s">
        <v>4156</v>
      </c>
      <c r="M143" s="8" t="s">
        <v>5626</v>
      </c>
      <c r="N143" s="38" t="s">
        <v>8029</v>
      </c>
      <c r="O143" s="8"/>
      <c r="P143" s="4" t="str">
        <f>VLOOKUP($B143,'D7 - NDB Impacted SPRF''s'!$E$16:$O$9929,9,FALSE)</f>
        <v>Y</v>
      </c>
      <c r="Q143" s="4" t="str">
        <f>VLOOKUP($B143,'D7 - NDB Impacted SPRF''s'!$E$16:$O$9929,10,FALSE)</f>
        <v>N</v>
      </c>
      <c r="R143" s="4" t="str">
        <f>VLOOKUP($B143,'D7 - NDB Impacted SPRF''s'!$E$16:$O$9929,11,FALSE)</f>
        <v>N</v>
      </c>
      <c r="S143" s="8"/>
      <c r="T143" s="310"/>
      <c r="U143" s="310"/>
      <c r="V143" s="4"/>
      <c r="W143" s="4"/>
      <c r="X143" s="4"/>
      <c r="Y143" s="4"/>
      <c r="Z143" s="4"/>
      <c r="AA143" s="4"/>
      <c r="AB143" s="380" t="str">
        <f>VLOOKUP($B143,'D7 - NDB Impacted SPRF''s'!$E$6:$O$9929,4,FALSE)</f>
        <v>Scheduled</v>
      </c>
      <c r="AC143" s="380" t="str">
        <f>VLOOKUP($B143,'D7 - NDB Impacted SPRF''s'!$E$6:$O$9929,3,FALSE)</f>
        <v>UnitedHealthcare Employer &amp; Individual</v>
      </c>
      <c r="AD143" s="380" t="str">
        <f>VLOOKUP($B143,'D7 - NDB Impacted SPRF''s'!$E$6:$O$9929,5,FALSE)</f>
        <v>Operational Requirements</v>
      </c>
      <c r="AE143" s="380" t="str">
        <f>VLOOKUP($B143,'D7 - NDB Impacted SPRF''s'!$E$6:$O$9929,7,FALSE)</f>
        <v>Kathy Learst</v>
      </c>
      <c r="AF143" s="380" t="str">
        <f>VLOOKUP($B143,'D7 - NDB Impacted SPRF''s'!$E$6:$O$9929,6,FALSE)</f>
        <v>Denise Daubney</v>
      </c>
      <c r="AG143" s="282"/>
      <c r="AH143" s="311" t="str">
        <f>INDEX('D5 - Gatekeeper - Projects'!$A$4:$AF$1010,$AM143, 17)</f>
        <v>T. Kester</v>
      </c>
      <c r="AI143" s="8"/>
      <c r="AJ143" s="57"/>
      <c r="AK143" s="105"/>
      <c r="AM143" s="6">
        <f>MATCH(D143,'D5 - Gatekeeper - Projects'!$C$4:$C$1010,0)</f>
        <v>135</v>
      </c>
      <c r="AN143" s="6" t="b">
        <f t="shared" si="9"/>
        <v>0</v>
      </c>
      <c r="AO143" s="6" t="str">
        <f t="shared" si="14"/>
        <v>OK</v>
      </c>
      <c r="AQ143" s="6" t="e">
        <f>MATCH($D143,'D4 - Provider Council Unsched'!$C$11:$C$234,0)</f>
        <v>#N/A</v>
      </c>
      <c r="AR143" s="6" t="b">
        <f t="shared" si="11"/>
        <v>1</v>
      </c>
      <c r="AS143" s="6" t="str">
        <f t="shared" si="15"/>
        <v>OK</v>
      </c>
      <c r="AU143" s="202">
        <v>41278</v>
      </c>
      <c r="AV143" s="312" t="s">
        <v>2303</v>
      </c>
      <c r="AW143" s="274"/>
    </row>
    <row r="144" spans="1:49" s="13" customFormat="1" ht="135" x14ac:dyDescent="0.2">
      <c r="A144" s="14">
        <v>121</v>
      </c>
      <c r="B144" s="8">
        <v>400054607</v>
      </c>
      <c r="C144" s="8" t="s">
        <v>7290</v>
      </c>
      <c r="D144" s="4" t="str">
        <f t="shared" si="13"/>
        <v>400054607B</v>
      </c>
      <c r="E144" s="309" t="str">
        <f>VLOOKUP($B144,'D7 - NDB Impacted SPRF''s'!$E$6:$O$9929,2,FALSE)</f>
        <v>C&amp;S Q1 MME Interface Enhancements</v>
      </c>
      <c r="F144" s="8"/>
      <c r="G144" s="8" t="s">
        <v>7980</v>
      </c>
      <c r="H144" s="8" t="s">
        <v>1606</v>
      </c>
      <c r="I144" s="20">
        <v>18.12</v>
      </c>
      <c r="J144" s="8" t="s">
        <v>4862</v>
      </c>
      <c r="K144" s="182">
        <v>41510</v>
      </c>
      <c r="L144" s="8" t="s">
        <v>4156</v>
      </c>
      <c r="M144" s="8" t="s">
        <v>2814</v>
      </c>
      <c r="N144" s="38" t="s">
        <v>9377</v>
      </c>
      <c r="O144" s="8"/>
      <c r="P144" s="4" t="str">
        <f>VLOOKUP($B144,'D7 - NDB Impacted SPRF''s'!$E$16:$O$9929,9,FALSE)</f>
        <v>N</v>
      </c>
      <c r="Q144" s="4" t="str">
        <f>VLOOKUP($B144,'D7 - NDB Impacted SPRF''s'!$E$16:$O$9929,10,FALSE)</f>
        <v>N</v>
      </c>
      <c r="R144" s="4" t="str">
        <f>VLOOKUP($B144,'D7 - NDB Impacted SPRF''s'!$E$16:$O$9929,11,FALSE)</f>
        <v>N</v>
      </c>
      <c r="S144" s="8"/>
      <c r="T144" s="310"/>
      <c r="U144" s="310"/>
      <c r="V144" s="4"/>
      <c r="W144" s="4"/>
      <c r="X144" s="4"/>
      <c r="Y144" s="4"/>
      <c r="Z144" s="4"/>
      <c r="AA144" s="4"/>
      <c r="AB144" s="380" t="str">
        <f>VLOOKUP($B144,'D7 - NDB Impacted SPRF''s'!$E$6:$O$9929,4,FALSE)</f>
        <v>Scheduled</v>
      </c>
      <c r="AC144" s="380" t="str">
        <f>VLOOKUP($B144,'D7 - NDB Impacted SPRF''s'!$E$6:$O$9929,3,FALSE)</f>
        <v>UnitedHealthcare Community &amp; State</v>
      </c>
      <c r="AD144" s="380" t="str">
        <f>VLOOKUP($B144,'D7 - NDB Impacted SPRF''s'!$E$6:$O$9929,5,FALSE)</f>
        <v>Membership Growth / Revenue Programs</v>
      </c>
      <c r="AE144" s="380" t="str">
        <f>VLOOKUP($B144,'D7 - NDB Impacted SPRF''s'!$E$6:$O$9929,7,FALSE)</f>
        <v>Barb Walker</v>
      </c>
      <c r="AF144" s="380" t="str">
        <f>VLOOKUP($B144,'D7 - NDB Impacted SPRF''s'!$E$6:$O$9929,6,FALSE)</f>
        <v>Rebecca Stelter</v>
      </c>
      <c r="AG144" s="282"/>
      <c r="AH144" s="311" t="str">
        <f>INDEX('D5 - Gatekeeper - Projects'!$A$4:$AF$1010,$AM144, 17)</f>
        <v>B. Brown</v>
      </c>
      <c r="AI144" s="8"/>
      <c r="AJ144" s="57"/>
      <c r="AK144" s="105"/>
      <c r="AM144" s="6">
        <f>MATCH(D144,'D5 - Gatekeeper - Projects'!$C$4:$C$1010,0)</f>
        <v>136</v>
      </c>
      <c r="AN144" s="6" t="b">
        <f t="shared" si="9"/>
        <v>0</v>
      </c>
      <c r="AO144" s="6" t="str">
        <f t="shared" si="14"/>
        <v>OK</v>
      </c>
      <c r="AQ144" s="6" t="e">
        <f>MATCH($D144,'D4 - Provider Council Unsched'!$C$11:$C$234,0)</f>
        <v>#N/A</v>
      </c>
      <c r="AR144" s="6" t="b">
        <f t="shared" si="11"/>
        <v>1</v>
      </c>
      <c r="AS144" s="6" t="str">
        <f t="shared" si="15"/>
        <v>OK</v>
      </c>
      <c r="AU144" s="202">
        <v>41321</v>
      </c>
      <c r="AV144" s="312" t="s">
        <v>34</v>
      </c>
      <c r="AW144" s="274"/>
    </row>
    <row r="145" spans="1:49" s="13" customFormat="1" ht="33.75" x14ac:dyDescent="0.2">
      <c r="A145" s="14">
        <v>122</v>
      </c>
      <c r="B145" s="8">
        <v>400054607</v>
      </c>
      <c r="C145" s="8" t="s">
        <v>8138</v>
      </c>
      <c r="D145" s="4" t="str">
        <f t="shared" ref="D145:D176" si="16">CONCATENATE(B145,C145)</f>
        <v>400054607UA</v>
      </c>
      <c r="E145" s="309" t="str">
        <f>VLOOKUP($B145,'D7 - NDB Impacted SPRF''s'!$E$6:$O$9929,2,FALSE)</f>
        <v>C&amp;S Q1 MME Interface Enhancements</v>
      </c>
      <c r="F145" s="8"/>
      <c r="G145" s="8" t="s">
        <v>7980</v>
      </c>
      <c r="H145" s="8" t="s">
        <v>1606</v>
      </c>
      <c r="I145" s="20">
        <v>1.72</v>
      </c>
      <c r="J145" s="8" t="s">
        <v>4862</v>
      </c>
      <c r="K145" s="182">
        <v>41510</v>
      </c>
      <c r="L145" s="8" t="s">
        <v>4156</v>
      </c>
      <c r="M145" s="8" t="s">
        <v>2814</v>
      </c>
      <c r="N145" s="38" t="s">
        <v>9376</v>
      </c>
      <c r="O145" s="8"/>
      <c r="P145" s="4" t="str">
        <f>VLOOKUP($B145,'D7 - NDB Impacted SPRF''s'!$E$16:$O$9929,9,FALSE)</f>
        <v>N</v>
      </c>
      <c r="Q145" s="4" t="str">
        <f>VLOOKUP($B145,'D7 - NDB Impacted SPRF''s'!$E$16:$O$9929,10,FALSE)</f>
        <v>N</v>
      </c>
      <c r="R145" s="4" t="str">
        <f>VLOOKUP($B145,'D7 - NDB Impacted SPRF''s'!$E$16:$O$9929,11,FALSE)</f>
        <v>N</v>
      </c>
      <c r="S145" s="8"/>
      <c r="T145" s="310"/>
      <c r="U145" s="310"/>
      <c r="V145" s="4"/>
      <c r="W145" s="4"/>
      <c r="X145" s="4"/>
      <c r="Y145" s="4"/>
      <c r="Z145" s="4"/>
      <c r="AA145" s="4"/>
      <c r="AB145" s="380" t="str">
        <f>VLOOKUP($B145,'D7 - NDB Impacted SPRF''s'!$E$6:$O$9929,4,FALSE)</f>
        <v>Scheduled</v>
      </c>
      <c r="AC145" s="380" t="str">
        <f>VLOOKUP($B145,'D7 - NDB Impacted SPRF''s'!$E$6:$O$9929,3,FALSE)</f>
        <v>UnitedHealthcare Community &amp; State</v>
      </c>
      <c r="AD145" s="380" t="str">
        <f>VLOOKUP($B145,'D7 - NDB Impacted SPRF''s'!$E$6:$O$9929,5,FALSE)</f>
        <v>Membership Growth / Revenue Programs</v>
      </c>
      <c r="AE145" s="380" t="str">
        <f>VLOOKUP($B145,'D7 - NDB Impacted SPRF''s'!$E$6:$O$9929,7,FALSE)</f>
        <v>Barb Walker</v>
      </c>
      <c r="AF145" s="380" t="str">
        <f>VLOOKUP($B145,'D7 - NDB Impacted SPRF''s'!$E$6:$O$9929,6,FALSE)</f>
        <v>Rebecca Stelter</v>
      </c>
      <c r="AG145" s="282"/>
      <c r="AH145" s="311" t="str">
        <f>INDEX('D5 - Gatekeeper - Projects'!$A$4:$AF$1010,$AM145, 17)</f>
        <v>B. Brown</v>
      </c>
      <c r="AI145" s="8"/>
      <c r="AJ145" s="57"/>
      <c r="AK145" s="105"/>
      <c r="AM145" s="6">
        <f>MATCH(D145,'D5 - Gatekeeper - Projects'!$C$4:$C$1010,0)</f>
        <v>137</v>
      </c>
      <c r="AN145" s="6" t="b">
        <f t="shared" ref="AN145:AN208" si="17">ISERROR(AM145)</f>
        <v>0</v>
      </c>
      <c r="AO145" s="6" t="str">
        <f t="shared" ref="AO145:AO176" si="18">IF(AND(H145="1 - Scheduled",AN145=TRUE),"Add","OK")</f>
        <v>OK</v>
      </c>
      <c r="AQ145" s="6" t="e">
        <f>MATCH($D145,'D4 - Provider Council Unsched'!$C$11:$C$234,0)</f>
        <v>#N/A</v>
      </c>
      <c r="AR145" s="6" t="b">
        <f t="shared" ref="AR145:AR208" si="19">ISERROR(AQ145)</f>
        <v>1</v>
      </c>
      <c r="AS145" s="6" t="str">
        <f t="shared" ref="AS145:AS176" si="20">IF(AND(H145="2 - Not Scheduled",AR145=TRUE,C145="R1"),"Add","OK")</f>
        <v>OK</v>
      </c>
      <c r="AU145" s="202">
        <v>41390</v>
      </c>
      <c r="AV145" s="312" t="s">
        <v>34</v>
      </c>
      <c r="AW145" s="274"/>
    </row>
    <row r="146" spans="1:49" s="13" customFormat="1" ht="22.5" x14ac:dyDescent="0.2">
      <c r="A146" s="14">
        <v>123</v>
      </c>
      <c r="B146" s="8">
        <v>400054916</v>
      </c>
      <c r="C146" s="8" t="s">
        <v>1447</v>
      </c>
      <c r="D146" s="4" t="str">
        <f t="shared" si="16"/>
        <v>400054916A</v>
      </c>
      <c r="E146" s="309" t="str">
        <f>VLOOKUP($B146,'D7 - NDB Impacted SPRF''s'!$E$6:$O$9929,2,FALSE)</f>
        <v>Q3 2013 eSync Supplemental Features</v>
      </c>
      <c r="F146" s="8"/>
      <c r="G146" s="8" t="s">
        <v>7980</v>
      </c>
      <c r="H146" s="8" t="s">
        <v>1606</v>
      </c>
      <c r="I146" s="20">
        <v>0.17</v>
      </c>
      <c r="J146" s="8" t="s">
        <v>4862</v>
      </c>
      <c r="K146" s="182">
        <v>41510</v>
      </c>
      <c r="L146" s="8" t="s">
        <v>4156</v>
      </c>
      <c r="M146" s="8" t="s">
        <v>5626</v>
      </c>
      <c r="N146" s="38"/>
      <c r="O146" s="8"/>
      <c r="P146" s="4" t="str">
        <f>VLOOKUP($B146,'D7 - NDB Impacted SPRF''s'!$E$16:$O$9929,9,FALSE)</f>
        <v>Y</v>
      </c>
      <c r="Q146" s="4" t="str">
        <f>VLOOKUP($B146,'D7 - NDB Impacted SPRF''s'!$E$16:$O$9929,10,FALSE)</f>
        <v>N</v>
      </c>
      <c r="R146" s="4" t="str">
        <f>VLOOKUP($B146,'D7 - NDB Impacted SPRF''s'!$E$16:$O$9929,11,FALSE)</f>
        <v>N</v>
      </c>
      <c r="S146" s="8"/>
      <c r="T146" s="310"/>
      <c r="U146" s="310"/>
      <c r="V146" s="4"/>
      <c r="W146" s="4"/>
      <c r="X146" s="4"/>
      <c r="Y146" s="4"/>
      <c r="Z146" s="4"/>
      <c r="AA146" s="4"/>
      <c r="AB146" s="380" t="str">
        <f>VLOOKUP($B146,'D7 - NDB Impacted SPRF''s'!$E$6:$O$9929,4,FALSE)</f>
        <v>Scheduled</v>
      </c>
      <c r="AC146" s="380" t="str">
        <f>VLOOKUP($B146,'D7 - NDB Impacted SPRF''s'!$E$6:$O$9929,3,FALSE)</f>
        <v>OptumHealth</v>
      </c>
      <c r="AD146" s="380" t="str">
        <f>VLOOKUP($B146,'D7 - NDB Impacted SPRF''s'!$E$6:$O$9929,5,FALSE)</f>
        <v>OptumHealth Care Solutions</v>
      </c>
      <c r="AE146" s="380" t="str">
        <f>VLOOKUP($B146,'D7 - NDB Impacted SPRF''s'!$E$6:$O$9929,7,FALSE)</f>
        <v>Ben Line</v>
      </c>
      <c r="AF146" s="380" t="str">
        <f>VLOOKUP($B146,'D7 - NDB Impacted SPRF''s'!$E$6:$O$9929,6,FALSE)</f>
        <v>Monica Thompson</v>
      </c>
      <c r="AG146" s="282"/>
      <c r="AH146" s="311" t="str">
        <f>INDEX('D5 - Gatekeeper - Projects'!$A$4:$AF$1010,$AM146, 17)</f>
        <v>T. Kester</v>
      </c>
      <c r="AI146" s="8"/>
      <c r="AJ146" s="57"/>
      <c r="AK146" s="105"/>
      <c r="AM146" s="6">
        <f>MATCH(D146,'D5 - Gatekeeper - Projects'!$C$4:$C$1010,0)</f>
        <v>138</v>
      </c>
      <c r="AN146" s="6" t="b">
        <f t="shared" si="17"/>
        <v>0</v>
      </c>
      <c r="AO146" s="6" t="str">
        <f t="shared" si="18"/>
        <v>OK</v>
      </c>
      <c r="AQ146" s="6" t="e">
        <f>MATCH($D146,'D4 - Provider Council Unsched'!$C$11:$C$234,0)</f>
        <v>#N/A</v>
      </c>
      <c r="AR146" s="6" t="b">
        <f t="shared" si="19"/>
        <v>1</v>
      </c>
      <c r="AS146" s="6" t="str">
        <f t="shared" si="20"/>
        <v>OK</v>
      </c>
      <c r="AU146" s="202">
        <v>41347</v>
      </c>
      <c r="AV146" s="316" t="s">
        <v>1044</v>
      </c>
      <c r="AW146" s="274"/>
    </row>
    <row r="147" spans="1:49" s="13" customFormat="1" ht="33.75" x14ac:dyDescent="0.2">
      <c r="A147" s="14">
        <v>124</v>
      </c>
      <c r="B147" s="8">
        <v>400055050</v>
      </c>
      <c r="C147" s="8" t="s">
        <v>1447</v>
      </c>
      <c r="D147" s="4" t="str">
        <f t="shared" si="16"/>
        <v>400055050A</v>
      </c>
      <c r="E147" s="309" t="str">
        <f>VLOOKUP($B147,'D7 - NDB Impacted SPRF''s'!$E$6:$O$9929,2,FALSE)</f>
        <v>Provider Data for Massachusetts SCO Encounter Repo</v>
      </c>
      <c r="F147" s="8"/>
      <c r="G147" s="8" t="s">
        <v>7980</v>
      </c>
      <c r="H147" s="8" t="s">
        <v>1606</v>
      </c>
      <c r="I147" s="20">
        <v>6.09</v>
      </c>
      <c r="J147" s="8" t="s">
        <v>4862</v>
      </c>
      <c r="K147" s="182">
        <v>41510</v>
      </c>
      <c r="L147" s="8" t="s">
        <v>4156</v>
      </c>
      <c r="M147" s="8" t="s">
        <v>2814</v>
      </c>
      <c r="N147" s="38" t="s">
        <v>2256</v>
      </c>
      <c r="O147" s="8"/>
      <c r="P147" s="4" t="str">
        <f>VLOOKUP($B147,'D7 - NDB Impacted SPRF''s'!$E$16:$O$9929,9,FALSE)</f>
        <v>N</v>
      </c>
      <c r="Q147" s="4" t="str">
        <f>VLOOKUP($B147,'D7 - NDB Impacted SPRF''s'!$E$16:$O$9929,10,FALSE)</f>
        <v>N</v>
      </c>
      <c r="R147" s="4" t="str">
        <f>VLOOKUP($B147,'D7 - NDB Impacted SPRF''s'!$E$16:$O$9929,11,FALSE)</f>
        <v>N</v>
      </c>
      <c r="S147" s="8"/>
      <c r="T147" s="310"/>
      <c r="U147" s="310"/>
      <c r="V147" s="4"/>
      <c r="W147" s="4"/>
      <c r="X147" s="4"/>
      <c r="Y147" s="4"/>
      <c r="Z147" s="4"/>
      <c r="AA147" s="4"/>
      <c r="AB147" s="380" t="str">
        <f>VLOOKUP($B147,'D7 - NDB Impacted SPRF''s'!$E$6:$O$9929,4,FALSE)</f>
        <v>Scheduled</v>
      </c>
      <c r="AC147" s="380" t="str">
        <f>VLOOKUP($B147,'D7 - NDB Impacted SPRF''s'!$E$6:$O$9929,3,FALSE)</f>
        <v>UnitedHealthcare Community &amp; State</v>
      </c>
      <c r="AD147" s="380" t="str">
        <f>VLOOKUP($B147,'D7 - NDB Impacted SPRF''s'!$E$6:$O$9929,5,FALSE)</f>
        <v>Regulatory / Other</v>
      </c>
      <c r="AE147" s="380" t="str">
        <f>VLOOKUP($B147,'D7 - NDB Impacted SPRF''s'!$E$6:$O$9929,7,FALSE)</f>
        <v>Community &amp; State</v>
      </c>
      <c r="AF147" s="380" t="str">
        <f>VLOOKUP($B147,'D7 - NDB Impacted SPRF''s'!$E$6:$O$9929,6,FALSE)</f>
        <v>Susan Dzialo</v>
      </c>
      <c r="AG147" s="282"/>
      <c r="AH147" s="311" t="str">
        <f>INDEX('D5 - Gatekeeper - Projects'!$A$4:$AF$1010,$AM147, 17)</f>
        <v>B. Williams</v>
      </c>
      <c r="AI147" s="8"/>
      <c r="AJ147" s="57"/>
      <c r="AK147" s="105"/>
      <c r="AM147" s="6">
        <f>MATCH(D147,'D5 - Gatekeeper - Projects'!$C$4:$C$1010,0)</f>
        <v>139</v>
      </c>
      <c r="AN147" s="6" t="b">
        <f t="shared" si="17"/>
        <v>0</v>
      </c>
      <c r="AO147" s="6" t="str">
        <f t="shared" si="18"/>
        <v>OK</v>
      </c>
      <c r="AQ147" s="6" t="e">
        <f>MATCH($D147,'D4 - Provider Council Unsched'!$C$11:$C$234,0)</f>
        <v>#N/A</v>
      </c>
      <c r="AR147" s="6" t="b">
        <f t="shared" si="19"/>
        <v>1</v>
      </c>
      <c r="AS147" s="6" t="str">
        <f t="shared" si="20"/>
        <v>OK</v>
      </c>
      <c r="AU147" s="202">
        <v>41369</v>
      </c>
      <c r="AV147" s="384" t="s">
        <v>2312</v>
      </c>
      <c r="AW147" s="274"/>
    </row>
    <row r="148" spans="1:49" s="13" customFormat="1" ht="45" x14ac:dyDescent="0.2">
      <c r="A148" s="14">
        <v>125</v>
      </c>
      <c r="B148" s="8">
        <v>400055634</v>
      </c>
      <c r="C148" s="8" t="s">
        <v>1447</v>
      </c>
      <c r="D148" s="4" t="str">
        <f t="shared" si="16"/>
        <v>400055634A</v>
      </c>
      <c r="E148" s="309" t="str">
        <f>VLOOKUP($B148,'D7 - NDB Impacted SPRF''s'!$E$6:$O$9929,2,FALSE)</f>
        <v>ICUE Release Q3 2013 - PHS</v>
      </c>
      <c r="F148" s="8"/>
      <c r="G148" s="8" t="s">
        <v>7980</v>
      </c>
      <c r="H148" s="8" t="s">
        <v>1606</v>
      </c>
      <c r="I148" s="20">
        <v>0.53</v>
      </c>
      <c r="J148" s="8" t="s">
        <v>4862</v>
      </c>
      <c r="K148" s="182">
        <v>41510</v>
      </c>
      <c r="L148" s="8" t="s">
        <v>4156</v>
      </c>
      <c r="M148" s="8" t="s">
        <v>5626</v>
      </c>
      <c r="N148" s="38" t="s">
        <v>9516</v>
      </c>
      <c r="O148" s="8"/>
      <c r="P148" s="4" t="str">
        <f>VLOOKUP($B148,'D7 - NDB Impacted SPRF''s'!$E$16:$O$9929,9,FALSE)</f>
        <v>Y</v>
      </c>
      <c r="Q148" s="4" t="str">
        <f>VLOOKUP($B148,'D7 - NDB Impacted SPRF''s'!$E$16:$O$9929,10,FALSE)</f>
        <v>N</v>
      </c>
      <c r="R148" s="4" t="str">
        <f>VLOOKUP($B148,'D7 - NDB Impacted SPRF''s'!$E$16:$O$9929,11,FALSE)</f>
        <v>N</v>
      </c>
      <c r="S148" s="8"/>
      <c r="T148" s="310"/>
      <c r="U148" s="310"/>
      <c r="V148" s="4"/>
      <c r="W148" s="4"/>
      <c r="X148" s="4"/>
      <c r="Y148" s="4"/>
      <c r="Z148" s="4"/>
      <c r="AA148" s="4"/>
      <c r="AB148" s="380" t="str">
        <f>VLOOKUP($B148,'D7 - NDB Impacted SPRF''s'!$E$6:$O$9929,4,FALSE)</f>
        <v>Scheduled</v>
      </c>
      <c r="AC148" s="380" t="str">
        <f>VLOOKUP($B148,'D7 - NDB Impacted SPRF''s'!$E$6:$O$9929,3,FALSE)</f>
        <v>UnitedHealthcare Employer &amp; Individual</v>
      </c>
      <c r="AD148" s="380" t="str">
        <f>VLOOKUP($B148,'D7 - NDB Impacted SPRF''s'!$E$6:$O$9929,5,FALSE)</f>
        <v>Medical Cost Savings Programs</v>
      </c>
      <c r="AE148" s="380" t="str">
        <f>VLOOKUP($B148,'D7 - NDB Impacted SPRF''s'!$E$6:$O$9929,7,FALSE)</f>
        <v>Ellen Koch</v>
      </c>
      <c r="AF148" s="380" t="str">
        <f>VLOOKUP($B148,'D7 - NDB Impacted SPRF''s'!$E$6:$O$9929,6,FALSE)</f>
        <v>Carol Buske</v>
      </c>
      <c r="AG148" s="282"/>
      <c r="AH148" s="311" t="str">
        <f>INDEX('D5 - Gatekeeper - Projects'!$A$4:$AF$1010,$AM148, 17)</f>
        <v>T. Kester</v>
      </c>
      <c r="AI148" s="8"/>
      <c r="AJ148" s="57"/>
      <c r="AK148" s="105"/>
      <c r="AM148" s="6">
        <f>MATCH(D148,'D5 - Gatekeeper - Projects'!$C$4:$C$1010,0)</f>
        <v>140</v>
      </c>
      <c r="AN148" s="6" t="b">
        <f t="shared" si="17"/>
        <v>0</v>
      </c>
      <c r="AO148" s="6" t="str">
        <f t="shared" si="18"/>
        <v>OK</v>
      </c>
      <c r="AQ148" s="6" t="e">
        <f>MATCH($D148,'D4 - Provider Council Unsched'!$C$11:$C$234,0)</f>
        <v>#N/A</v>
      </c>
      <c r="AR148" s="6" t="b">
        <f t="shared" si="19"/>
        <v>1</v>
      </c>
      <c r="AS148" s="6" t="str">
        <f t="shared" si="20"/>
        <v>OK</v>
      </c>
      <c r="AU148" s="202">
        <v>41298</v>
      </c>
      <c r="AV148" s="320" t="s">
        <v>436</v>
      </c>
      <c r="AW148" s="274"/>
    </row>
    <row r="149" spans="1:49" s="13" customFormat="1" ht="90" x14ac:dyDescent="0.2">
      <c r="A149" s="14">
        <v>126</v>
      </c>
      <c r="B149" s="8">
        <v>400055699</v>
      </c>
      <c r="C149" s="8" t="s">
        <v>1447</v>
      </c>
      <c r="D149" s="4" t="str">
        <f t="shared" si="16"/>
        <v>400055699A</v>
      </c>
      <c r="E149" s="309" t="str">
        <f>VLOOKUP($B149,'D7 - NDB Impacted SPRF''s'!$E$6:$O$9929,2,FALSE)</f>
        <v>Prior Auth/Notification POS Translation</v>
      </c>
      <c r="F149" s="8"/>
      <c r="G149" s="8" t="s">
        <v>7980</v>
      </c>
      <c r="H149" s="8" t="s">
        <v>1606</v>
      </c>
      <c r="I149" s="20">
        <v>10.11</v>
      </c>
      <c r="J149" s="8" t="s">
        <v>4862</v>
      </c>
      <c r="K149" s="182">
        <v>41510</v>
      </c>
      <c r="L149" s="8" t="s">
        <v>4156</v>
      </c>
      <c r="M149" s="8" t="s">
        <v>2814</v>
      </c>
      <c r="N149" s="38" t="s">
        <v>9607</v>
      </c>
      <c r="O149" s="8"/>
      <c r="P149" s="4" t="str">
        <f>VLOOKUP($B149,'D7 - NDB Impacted SPRF''s'!$E$16:$O$9929,9,FALSE)</f>
        <v>Y</v>
      </c>
      <c r="Q149" s="4" t="str">
        <f>VLOOKUP($B149,'D7 - NDB Impacted SPRF''s'!$E$16:$O$9929,10,FALSE)</f>
        <v>N</v>
      </c>
      <c r="R149" s="4" t="str">
        <f>VLOOKUP($B149,'D7 - NDB Impacted SPRF''s'!$E$16:$O$9929,11,FALSE)</f>
        <v>N</v>
      </c>
      <c r="S149" s="8"/>
      <c r="T149" s="310"/>
      <c r="U149" s="310"/>
      <c r="V149" s="4"/>
      <c r="W149" s="4"/>
      <c r="X149" s="4"/>
      <c r="Y149" s="4"/>
      <c r="Z149" s="4"/>
      <c r="AA149" s="4"/>
      <c r="AB149" s="380" t="str">
        <f>VLOOKUP($B149,'D7 - NDB Impacted SPRF''s'!$E$6:$O$9929,4,FALSE)</f>
        <v>Scheduled</v>
      </c>
      <c r="AC149" s="380" t="str">
        <f>VLOOKUP($B149,'D7 - NDB Impacted SPRF''s'!$E$6:$O$9929,3,FALSE)</f>
        <v>UnitedHealthcare Employer &amp; Individual</v>
      </c>
      <c r="AD149" s="380" t="str">
        <f>VLOOKUP($B149,'D7 - NDB Impacted SPRF''s'!$E$6:$O$9929,5,FALSE)</f>
        <v>Medical Cost Savings Programs</v>
      </c>
      <c r="AE149" s="380" t="str">
        <f>VLOOKUP($B149,'D7 - NDB Impacted SPRF''s'!$E$6:$O$9929,7,FALSE)</f>
        <v>Sam Ho/Kevin Ruth</v>
      </c>
      <c r="AF149" s="380" t="str">
        <f>VLOOKUP($B149,'D7 - NDB Impacted SPRF''s'!$E$6:$O$9929,6,FALSE)</f>
        <v>CANDRA TAYLOR</v>
      </c>
      <c r="AG149" s="282"/>
      <c r="AH149" s="311" t="str">
        <f>INDEX('D5 - Gatekeeper - Projects'!$A$4:$AF$1010,$AM149, 17)</f>
        <v>J. Melendez</v>
      </c>
      <c r="AI149" s="8"/>
      <c r="AJ149" s="57"/>
      <c r="AK149" s="105"/>
      <c r="AM149" s="6">
        <f>MATCH(D149,'D5 - Gatekeeper - Projects'!$C$4:$C$1010,0)</f>
        <v>141</v>
      </c>
      <c r="AN149" s="6" t="b">
        <f t="shared" si="17"/>
        <v>0</v>
      </c>
      <c r="AO149" s="6" t="str">
        <f t="shared" si="18"/>
        <v>OK</v>
      </c>
      <c r="AQ149" s="6" t="e">
        <f>MATCH($D149,'D4 - Provider Council Unsched'!$C$11:$C$234,0)</f>
        <v>#N/A</v>
      </c>
      <c r="AR149" s="6" t="b">
        <f t="shared" si="19"/>
        <v>1</v>
      </c>
      <c r="AS149" s="6" t="str">
        <f t="shared" si="20"/>
        <v>OK</v>
      </c>
      <c r="AU149" s="202">
        <v>41306</v>
      </c>
      <c r="AV149" s="314" t="s">
        <v>8016</v>
      </c>
      <c r="AW149" s="274"/>
    </row>
    <row r="150" spans="1:49" s="13" customFormat="1" ht="33.75" x14ac:dyDescent="0.2">
      <c r="A150" s="14">
        <v>127</v>
      </c>
      <c r="B150" s="8">
        <v>400055699</v>
      </c>
      <c r="C150" s="8" t="s">
        <v>8138</v>
      </c>
      <c r="D150" s="4" t="str">
        <f t="shared" si="16"/>
        <v>400055699UA</v>
      </c>
      <c r="E150" s="309" t="str">
        <f>VLOOKUP($B150,'D7 - NDB Impacted SPRF''s'!$E$6:$O$9929,2,FALSE)</f>
        <v>Prior Auth/Notification POS Translation</v>
      </c>
      <c r="F150" s="8"/>
      <c r="G150" s="8" t="s">
        <v>7980</v>
      </c>
      <c r="H150" s="8" t="s">
        <v>1606</v>
      </c>
      <c r="I150" s="20">
        <v>1.43</v>
      </c>
      <c r="J150" s="8" t="s">
        <v>4862</v>
      </c>
      <c r="K150" s="182">
        <v>41510</v>
      </c>
      <c r="L150" s="8" t="s">
        <v>4156</v>
      </c>
      <c r="M150" s="8" t="s">
        <v>2814</v>
      </c>
      <c r="N150" s="38" t="s">
        <v>8220</v>
      </c>
      <c r="O150" s="8"/>
      <c r="P150" s="4" t="str">
        <f>VLOOKUP($B150,'D7 - NDB Impacted SPRF''s'!$E$16:$O$9929,9,FALSE)</f>
        <v>Y</v>
      </c>
      <c r="Q150" s="4" t="str">
        <f>VLOOKUP($B150,'D7 - NDB Impacted SPRF''s'!$E$16:$O$9929,10,FALSE)</f>
        <v>N</v>
      </c>
      <c r="R150" s="4" t="str">
        <f>VLOOKUP($B150,'D7 - NDB Impacted SPRF''s'!$E$16:$O$9929,11,FALSE)</f>
        <v>N</v>
      </c>
      <c r="S150" s="8"/>
      <c r="T150" s="310"/>
      <c r="U150" s="310"/>
      <c r="V150" s="4"/>
      <c r="W150" s="4"/>
      <c r="X150" s="4"/>
      <c r="Y150" s="4"/>
      <c r="Z150" s="4"/>
      <c r="AA150" s="4"/>
      <c r="AB150" s="380" t="str">
        <f>VLOOKUP($B150,'D7 - NDB Impacted SPRF''s'!$E$6:$O$9929,4,FALSE)</f>
        <v>Scheduled</v>
      </c>
      <c r="AC150" s="380" t="str">
        <f>VLOOKUP($B150,'D7 - NDB Impacted SPRF''s'!$E$6:$O$9929,3,FALSE)</f>
        <v>UnitedHealthcare Employer &amp; Individual</v>
      </c>
      <c r="AD150" s="380" t="str">
        <f>VLOOKUP($B150,'D7 - NDB Impacted SPRF''s'!$E$6:$O$9929,5,FALSE)</f>
        <v>Medical Cost Savings Programs</v>
      </c>
      <c r="AE150" s="380" t="str">
        <f>VLOOKUP($B150,'D7 - NDB Impacted SPRF''s'!$E$6:$O$9929,7,FALSE)</f>
        <v>Sam Ho/Kevin Ruth</v>
      </c>
      <c r="AF150" s="380" t="str">
        <f>VLOOKUP($B150,'D7 - NDB Impacted SPRF''s'!$E$6:$O$9929,6,FALSE)</f>
        <v>CANDRA TAYLOR</v>
      </c>
      <c r="AG150" s="282"/>
      <c r="AH150" s="311" t="str">
        <f>INDEX('D5 - Gatekeeper - Projects'!$A$4:$AF$1010,$AM150, 17)</f>
        <v>J. Melendez</v>
      </c>
      <c r="AI150" s="8"/>
      <c r="AJ150" s="57"/>
      <c r="AK150" s="105"/>
      <c r="AM150" s="6">
        <f>MATCH(D150,'D5 - Gatekeeper - Projects'!$C$4:$C$1010,0)</f>
        <v>142</v>
      </c>
      <c r="AN150" s="6" t="b">
        <f t="shared" si="17"/>
        <v>0</v>
      </c>
      <c r="AO150" s="6" t="str">
        <f t="shared" si="18"/>
        <v>OK</v>
      </c>
      <c r="AQ150" s="6" t="e">
        <f>MATCH($D150,'D4 - Provider Council Unsched'!$C$11:$C$234,0)</f>
        <v>#N/A</v>
      </c>
      <c r="AR150" s="6" t="b">
        <f t="shared" si="19"/>
        <v>1</v>
      </c>
      <c r="AS150" s="6" t="str">
        <f t="shared" si="20"/>
        <v>OK</v>
      </c>
      <c r="AU150" s="202">
        <v>41321</v>
      </c>
      <c r="AV150" s="314" t="s">
        <v>8016</v>
      </c>
      <c r="AW150" s="274"/>
    </row>
    <row r="151" spans="1:49" s="13" customFormat="1" ht="11.25" customHeight="1" x14ac:dyDescent="0.2">
      <c r="A151" s="14">
        <v>128</v>
      </c>
      <c r="B151" s="8">
        <v>400055779</v>
      </c>
      <c r="C151" s="8" t="s">
        <v>1447</v>
      </c>
      <c r="D151" s="4" t="str">
        <f t="shared" si="16"/>
        <v>400055779A</v>
      </c>
      <c r="E151" s="309" t="str">
        <f>VLOOKUP($B151,'D7 - NDB Impacted SPRF''s'!$E$6:$O$9929,2,FALSE)</f>
        <v>CSS-B2X 2013C Release (PHS Migration)</v>
      </c>
      <c r="F151" s="8"/>
      <c r="G151" s="8" t="s">
        <v>7980</v>
      </c>
      <c r="H151" s="8" t="s">
        <v>1606</v>
      </c>
      <c r="I151" s="20">
        <v>0.16</v>
      </c>
      <c r="J151" s="8" t="s">
        <v>4862</v>
      </c>
      <c r="K151" s="182">
        <v>41510</v>
      </c>
      <c r="L151" s="8" t="s">
        <v>4156</v>
      </c>
      <c r="M151" s="8" t="s">
        <v>5626</v>
      </c>
      <c r="N151" s="38" t="s">
        <v>9558</v>
      </c>
      <c r="O151" s="8"/>
      <c r="P151" s="4" t="str">
        <f>VLOOKUP($B151,'D7 - NDB Impacted SPRF''s'!$E$16:$O$9929,9,FALSE)</f>
        <v>Y</v>
      </c>
      <c r="Q151" s="4" t="str">
        <f>VLOOKUP($B151,'D7 - NDB Impacted SPRF''s'!$E$16:$O$9929,10,FALSE)</f>
        <v>N</v>
      </c>
      <c r="R151" s="4" t="str">
        <f>VLOOKUP($B151,'D7 - NDB Impacted SPRF''s'!$E$16:$O$9929,11,FALSE)</f>
        <v>N</v>
      </c>
      <c r="S151" s="8"/>
      <c r="T151" s="310"/>
      <c r="U151" s="310"/>
      <c r="V151" s="4"/>
      <c r="W151" s="4"/>
      <c r="X151" s="4"/>
      <c r="Y151" s="4"/>
      <c r="Z151" s="4"/>
      <c r="AA151" s="4"/>
      <c r="AB151" s="380" t="str">
        <f>VLOOKUP($B151,'D7 - NDB Impacted SPRF''s'!$E$6:$O$9929,4,FALSE)</f>
        <v>Scheduled</v>
      </c>
      <c r="AC151" s="380" t="str">
        <f>VLOOKUP($B151,'D7 - NDB Impacted SPRF''s'!$E$6:$O$9929,3,FALSE)</f>
        <v>UnitedHealthcare Employer &amp; Individual</v>
      </c>
      <c r="AD151" s="380" t="str">
        <f>VLOOKUP($B151,'D7 - NDB Impacted SPRF''s'!$E$6:$O$9929,5,FALSE)</f>
        <v>Medical Cost Savings Programs</v>
      </c>
      <c r="AE151" s="380" t="str">
        <f>VLOOKUP($B151,'D7 - NDB Impacted SPRF''s'!$E$6:$O$9929,7,FALSE)</f>
        <v>Cynthia Middaugh</v>
      </c>
      <c r="AF151" s="380" t="str">
        <f>VLOOKUP($B151,'D7 - NDB Impacted SPRF''s'!$E$6:$O$9929,6,FALSE)</f>
        <v>CHRISTINA MOSHER</v>
      </c>
      <c r="AG151" s="282"/>
      <c r="AH151" s="311" t="str">
        <f>INDEX('D5 - Gatekeeper - Projects'!$A$4:$AF$1010,$AM151, 17)</f>
        <v>T. Kester</v>
      </c>
      <c r="AI151" s="8"/>
      <c r="AJ151" s="57"/>
      <c r="AK151" s="105"/>
      <c r="AM151" s="6">
        <f>MATCH(D151,'D5 - Gatekeeper - Projects'!$C$4:$C$1010,0)</f>
        <v>143</v>
      </c>
      <c r="AN151" s="6" t="b">
        <f t="shared" si="17"/>
        <v>0</v>
      </c>
      <c r="AO151" s="6" t="str">
        <f t="shared" si="18"/>
        <v>OK</v>
      </c>
      <c r="AQ151" s="6" t="e">
        <f>MATCH($D151,'D4 - Provider Council Unsched'!$C$11:$C$234,0)</f>
        <v>#N/A</v>
      </c>
      <c r="AR151" s="6" t="b">
        <f t="shared" si="19"/>
        <v>1</v>
      </c>
      <c r="AS151" s="6" t="str">
        <f t="shared" si="20"/>
        <v>OK</v>
      </c>
      <c r="AU151" s="202">
        <v>41347</v>
      </c>
      <c r="AV151" s="312" t="s">
        <v>2232</v>
      </c>
      <c r="AW151" s="274"/>
    </row>
    <row r="152" spans="1:49" s="13" customFormat="1" ht="11.25" customHeight="1" x14ac:dyDescent="0.2">
      <c r="A152" s="14">
        <v>129</v>
      </c>
      <c r="B152" s="8">
        <v>400055987</v>
      </c>
      <c r="C152" s="8" t="s">
        <v>1447</v>
      </c>
      <c r="D152" s="4" t="str">
        <f t="shared" si="16"/>
        <v>400055987A</v>
      </c>
      <c r="E152" s="309" t="str">
        <f>VLOOKUP($B152,'D7 - NDB Impacted SPRF''s'!$E$6:$O$9929,2,FALSE)</f>
        <v>Navigate2 Quote Ready</v>
      </c>
      <c r="F152" s="8"/>
      <c r="G152" s="8" t="s">
        <v>7980</v>
      </c>
      <c r="H152" s="8" t="s">
        <v>1606</v>
      </c>
      <c r="I152" s="20">
        <v>9.2899999999999991</v>
      </c>
      <c r="J152" s="8" t="s">
        <v>4862</v>
      </c>
      <c r="K152" s="182">
        <v>41510</v>
      </c>
      <c r="L152" s="8" t="s">
        <v>4156</v>
      </c>
      <c r="M152" s="8" t="s">
        <v>2814</v>
      </c>
      <c r="N152" s="38" t="s">
        <v>9137</v>
      </c>
      <c r="O152" s="8"/>
      <c r="P152" s="4" t="str">
        <f>VLOOKUP($B152,'D7 - NDB Impacted SPRF''s'!$E$16:$O$9929,9,FALSE)</f>
        <v>Y</v>
      </c>
      <c r="Q152" s="4" t="str">
        <f>VLOOKUP($B152,'D7 - NDB Impacted SPRF''s'!$E$16:$O$9929,10,FALSE)</f>
        <v>N</v>
      </c>
      <c r="R152" s="4" t="str">
        <f>VLOOKUP($B152,'D7 - NDB Impacted SPRF''s'!$E$16:$O$9929,11,FALSE)</f>
        <v>N</v>
      </c>
      <c r="S152" s="8"/>
      <c r="T152" s="310"/>
      <c r="U152" s="310"/>
      <c r="V152" s="4"/>
      <c r="W152" s="4"/>
      <c r="X152" s="4"/>
      <c r="Y152" s="4"/>
      <c r="Z152" s="4"/>
      <c r="AA152" s="4"/>
      <c r="AB152" s="380" t="str">
        <f>VLOOKUP($B152,'D7 - NDB Impacted SPRF''s'!$E$6:$O$9929,4,FALSE)</f>
        <v>Scheduled</v>
      </c>
      <c r="AC152" s="380" t="str">
        <f>VLOOKUP($B152,'D7 - NDB Impacted SPRF''s'!$E$6:$O$9929,3,FALSE)</f>
        <v>UnitedHealthcare Employer &amp; Individual</v>
      </c>
      <c r="AD152" s="380" t="str">
        <f>VLOOKUP($B152,'D7 - NDB Impacted SPRF''s'!$E$6:$O$9929,5,FALSE)</f>
        <v>Membership Growth / Revenue Programs</v>
      </c>
      <c r="AE152" s="380" t="str">
        <f>VLOOKUP($B152,'D7 - NDB Impacted SPRF''s'!$E$6:$O$9929,7,FALSE)</f>
        <v>Denise Mount</v>
      </c>
      <c r="AF152" s="380" t="str">
        <f>VLOOKUP($B152,'D7 - NDB Impacted SPRF''s'!$E$6:$O$9929,6,FALSE)</f>
        <v>Cynthia Kollars</v>
      </c>
      <c r="AG152" s="282"/>
      <c r="AH152" s="311" t="str">
        <f>INDEX('D5 - Gatekeeper - Projects'!$A$4:$AF$1010,$AM152, 17)</f>
        <v>B. Williams</v>
      </c>
      <c r="AI152" s="8"/>
      <c r="AJ152" s="57"/>
      <c r="AK152" s="105"/>
      <c r="AM152" s="6">
        <f>MATCH(D152,'D5 - Gatekeeper - Projects'!$C$4:$C$1010,0)</f>
        <v>144</v>
      </c>
      <c r="AN152" s="6" t="b">
        <f t="shared" si="17"/>
        <v>0</v>
      </c>
      <c r="AO152" s="6" t="str">
        <f t="shared" si="18"/>
        <v>OK</v>
      </c>
      <c r="AQ152" s="6" t="e">
        <f>MATCH($D152,'D4 - Provider Council Unsched'!$C$11:$C$234,0)</f>
        <v>#N/A</v>
      </c>
      <c r="AR152" s="6" t="b">
        <f t="shared" si="19"/>
        <v>1</v>
      </c>
      <c r="AS152" s="6" t="str">
        <f t="shared" si="20"/>
        <v>OK</v>
      </c>
      <c r="AU152" s="202">
        <v>41284</v>
      </c>
      <c r="AV152" s="321" t="s">
        <v>7710</v>
      </c>
      <c r="AW152" s="6"/>
    </row>
    <row r="153" spans="1:49" s="13" customFormat="1" ht="33.75" x14ac:dyDescent="0.2">
      <c r="A153" s="14">
        <v>130</v>
      </c>
      <c r="B153" s="8">
        <v>400056297</v>
      </c>
      <c r="C153" s="8" t="s">
        <v>1447</v>
      </c>
      <c r="D153" s="4" t="str">
        <f t="shared" si="16"/>
        <v>400056297A</v>
      </c>
      <c r="E153" s="309" t="str">
        <f>VLOOKUP($B153,'D7 - NDB Impacted SPRF''s'!$E$6:$O$9929,2,FALSE)</f>
        <v>EFT ERA Op Rules - AD- E&amp;I</v>
      </c>
      <c r="F153" s="8"/>
      <c r="G153" s="8" t="s">
        <v>7980</v>
      </c>
      <c r="H153" s="8" t="s">
        <v>1606</v>
      </c>
      <c r="I153" s="20">
        <v>1.98</v>
      </c>
      <c r="J153" s="8" t="s">
        <v>4862</v>
      </c>
      <c r="K153" s="182">
        <v>41510</v>
      </c>
      <c r="L153" s="8" t="s">
        <v>4156</v>
      </c>
      <c r="M153" s="8" t="s">
        <v>5626</v>
      </c>
      <c r="N153" s="38"/>
      <c r="O153" s="8"/>
      <c r="P153" s="4" t="str">
        <f>VLOOKUP($B153,'D7 - NDB Impacted SPRF''s'!$E$16:$O$9929,9,FALSE)</f>
        <v>Y</v>
      </c>
      <c r="Q153" s="4" t="str">
        <f>VLOOKUP($B153,'D7 - NDB Impacted SPRF''s'!$E$16:$O$9929,10,FALSE)</f>
        <v>N</v>
      </c>
      <c r="R153" s="4" t="str">
        <f>VLOOKUP($B153,'D7 - NDB Impacted SPRF''s'!$E$16:$O$9929,11,FALSE)</f>
        <v>Y</v>
      </c>
      <c r="S153" s="8"/>
      <c r="T153" s="310"/>
      <c r="U153" s="310"/>
      <c r="V153" s="4"/>
      <c r="W153" s="4"/>
      <c r="X153" s="4"/>
      <c r="Y153" s="4"/>
      <c r="Z153" s="4"/>
      <c r="AA153" s="4"/>
      <c r="AB153" s="380" t="str">
        <f>VLOOKUP($B153,'D7 - NDB Impacted SPRF''s'!$E$6:$O$9929,4,FALSE)</f>
        <v>Scheduled</v>
      </c>
      <c r="AC153" s="380" t="str">
        <f>VLOOKUP($B153,'D7 - NDB Impacted SPRF''s'!$E$6:$O$9929,3,FALSE)</f>
        <v>UnitedHealthcare Employer &amp; Individual</v>
      </c>
      <c r="AD153" s="380" t="str">
        <f>VLOOKUP($B153,'D7 - NDB Impacted SPRF''s'!$E$6:$O$9929,5,FALSE)</f>
        <v>Regulatory / Other</v>
      </c>
      <c r="AE153" s="380" t="str">
        <f>VLOOKUP($B153,'D7 - NDB Impacted SPRF''s'!$E$6:$O$9929,7,FALSE)</f>
        <v>Ross Lippincott</v>
      </c>
      <c r="AF153" s="380" t="str">
        <f>VLOOKUP($B153,'D7 - NDB Impacted SPRF''s'!$E$6:$O$9929,6,FALSE)</f>
        <v>Erin Kroll</v>
      </c>
      <c r="AG153" s="282"/>
      <c r="AH153" s="311" t="str">
        <f>INDEX('D5 - Gatekeeper - Projects'!$A$4:$AF$1010,$AM153, 17)</f>
        <v>T. Kester</v>
      </c>
      <c r="AI153" s="8"/>
      <c r="AJ153" s="57"/>
      <c r="AK153" s="105"/>
      <c r="AM153" s="6">
        <f>MATCH(D153,'D5 - Gatekeeper - Projects'!$C$4:$C$1010,0)</f>
        <v>145</v>
      </c>
      <c r="AN153" s="6" t="b">
        <f t="shared" si="17"/>
        <v>0</v>
      </c>
      <c r="AO153" s="6" t="str">
        <f t="shared" si="18"/>
        <v>OK</v>
      </c>
      <c r="AQ153" s="6" t="e">
        <f>MATCH($D153,'D4 - Provider Council Unsched'!$C$11:$C$234,0)</f>
        <v>#N/A</v>
      </c>
      <c r="AR153" s="6" t="b">
        <f t="shared" si="19"/>
        <v>1</v>
      </c>
      <c r="AS153" s="6" t="str">
        <f t="shared" si="20"/>
        <v>OK</v>
      </c>
      <c r="AU153" s="202">
        <v>41321</v>
      </c>
      <c r="AV153" s="315" t="s">
        <v>2615</v>
      </c>
      <c r="AW153" s="274"/>
    </row>
    <row r="154" spans="1:49" s="13" customFormat="1" ht="11.25" customHeight="1" x14ac:dyDescent="0.2">
      <c r="A154" s="14">
        <v>131</v>
      </c>
      <c r="B154" s="8">
        <v>400056873</v>
      </c>
      <c r="C154" s="8" t="s">
        <v>1447</v>
      </c>
      <c r="D154" s="4" t="str">
        <f t="shared" si="16"/>
        <v>400056873A</v>
      </c>
      <c r="E154" s="309" t="str">
        <f>VLOOKUP($B154,'D7 - NDB Impacted SPRF''s'!$E$6:$O$9929,2,FALSE)</f>
        <v>Store Adjusments (Copays/Ded) at the Detail Line</v>
      </c>
      <c r="F154" s="8"/>
      <c r="G154" s="8" t="s">
        <v>7980</v>
      </c>
      <c r="H154" s="8" t="s">
        <v>1606</v>
      </c>
      <c r="I154" s="20">
        <v>0.17</v>
      </c>
      <c r="J154" s="8" t="s">
        <v>4862</v>
      </c>
      <c r="K154" s="182">
        <v>41510</v>
      </c>
      <c r="L154" s="8" t="s">
        <v>4156</v>
      </c>
      <c r="M154" s="8" t="s">
        <v>5626</v>
      </c>
      <c r="N154" s="38"/>
      <c r="O154" s="8"/>
      <c r="P154" s="4" t="str">
        <f>VLOOKUP($B154,'D7 - NDB Impacted SPRF''s'!$E$16:$O$9929,9,FALSE)</f>
        <v>N</v>
      </c>
      <c r="Q154" s="4" t="str">
        <f>VLOOKUP($B154,'D7 - NDB Impacted SPRF''s'!$E$16:$O$9929,10,FALSE)</f>
        <v>N</v>
      </c>
      <c r="R154" s="4" t="str">
        <f>VLOOKUP($B154,'D7 - NDB Impacted SPRF''s'!$E$16:$O$9929,11,FALSE)</f>
        <v>Y</v>
      </c>
      <c r="S154" s="8"/>
      <c r="T154" s="310"/>
      <c r="U154" s="310"/>
      <c r="V154" s="4"/>
      <c r="W154" s="4"/>
      <c r="X154" s="4"/>
      <c r="Y154" s="4"/>
      <c r="Z154" s="4"/>
      <c r="AA154" s="4"/>
      <c r="AB154" s="380" t="str">
        <f>VLOOKUP($B154,'D7 - NDB Impacted SPRF''s'!$E$6:$O$9929,4,FALSE)</f>
        <v>Scheduled</v>
      </c>
      <c r="AC154" s="380" t="str">
        <f>VLOOKUP($B154,'D7 - NDB Impacted SPRF''s'!$E$6:$O$9929,3,FALSE)</f>
        <v>UnitedHealthcare Employer &amp; Individual</v>
      </c>
      <c r="AD154" s="380" t="str">
        <f>VLOOKUP($B154,'D7 - NDB Impacted SPRF''s'!$E$6:$O$9929,5,FALSE)</f>
        <v>Regulatory / Other</v>
      </c>
      <c r="AE154" s="380" t="str">
        <f>VLOOKUP($B154,'D7 - NDB Impacted SPRF''s'!$E$6:$O$9929,7,FALSE)</f>
        <v>Jane Knous</v>
      </c>
      <c r="AF154" s="380" t="str">
        <f>VLOOKUP($B154,'D7 - NDB Impacted SPRF''s'!$E$6:$O$9929,6,FALSE)</f>
        <v>Janet Thullen</v>
      </c>
      <c r="AG154" s="282"/>
      <c r="AH154" s="311" t="str">
        <f>INDEX('D5 - Gatekeeper - Projects'!$A$4:$AF$1010,$AM154, 17)</f>
        <v>T. Kester</v>
      </c>
      <c r="AI154" s="8"/>
      <c r="AJ154" s="57"/>
      <c r="AK154" s="105"/>
      <c r="AM154" s="6">
        <f>MATCH(D154,'D5 - Gatekeeper - Projects'!$C$4:$C$1010,0)</f>
        <v>146</v>
      </c>
      <c r="AN154" s="6" t="b">
        <f t="shared" si="17"/>
        <v>0</v>
      </c>
      <c r="AO154" s="6" t="str">
        <f t="shared" si="18"/>
        <v>OK</v>
      </c>
      <c r="AQ154" s="6" t="e">
        <f>MATCH($D154,'D4 - Provider Council Unsched'!$C$11:$C$234,0)</f>
        <v>#N/A</v>
      </c>
      <c r="AR154" s="6" t="b">
        <f t="shared" si="19"/>
        <v>1</v>
      </c>
      <c r="AS154" s="6" t="str">
        <f t="shared" si="20"/>
        <v>OK</v>
      </c>
      <c r="AU154" s="202">
        <v>41390</v>
      </c>
      <c r="AV154" s="315" t="s">
        <v>611</v>
      </c>
      <c r="AW154" s="274"/>
    </row>
    <row r="155" spans="1:49" s="13" customFormat="1" ht="33.75" x14ac:dyDescent="0.2">
      <c r="A155" s="14">
        <v>132</v>
      </c>
      <c r="B155" s="8">
        <v>400056886</v>
      </c>
      <c r="C155" s="8" t="s">
        <v>1447</v>
      </c>
      <c r="D155" s="4" t="str">
        <f t="shared" si="16"/>
        <v>400056886A</v>
      </c>
      <c r="E155" s="309" t="str">
        <f>VLOOKUP($B155,'D7 - NDB Impacted SPRF''s'!$E$6:$O$9929,2,FALSE)</f>
        <v>HCR EHB Plus Case Installation &amp; Eligibility Ready</v>
      </c>
      <c r="F155" s="8"/>
      <c r="G155" s="8" t="s">
        <v>7980</v>
      </c>
      <c r="H155" s="8" t="s">
        <v>1606</v>
      </c>
      <c r="I155" s="20">
        <v>0.46</v>
      </c>
      <c r="J155" s="8" t="s">
        <v>4862</v>
      </c>
      <c r="K155" s="182">
        <v>41510</v>
      </c>
      <c r="L155" s="8" t="s">
        <v>4156</v>
      </c>
      <c r="M155" s="8" t="s">
        <v>5626</v>
      </c>
      <c r="N155" s="38" t="s">
        <v>9135</v>
      </c>
      <c r="O155" s="8"/>
      <c r="P155" s="4" t="str">
        <f>VLOOKUP($B155,'D7 - NDB Impacted SPRF''s'!$E$16:$O$9929,9,FALSE)</f>
        <v>Y</v>
      </c>
      <c r="Q155" s="4" t="str">
        <f>VLOOKUP($B155,'D7 - NDB Impacted SPRF''s'!$E$16:$O$9929,10,FALSE)</f>
        <v>N</v>
      </c>
      <c r="R155" s="4" t="str">
        <f>VLOOKUP($B155,'D7 - NDB Impacted SPRF''s'!$E$16:$O$9929,11,FALSE)</f>
        <v>N</v>
      </c>
      <c r="S155" s="8"/>
      <c r="T155" s="310"/>
      <c r="U155" s="310"/>
      <c r="V155" s="4"/>
      <c r="W155" s="4"/>
      <c r="X155" s="4"/>
      <c r="Y155" s="4"/>
      <c r="Z155" s="4"/>
      <c r="AA155" s="4"/>
      <c r="AB155" s="380" t="str">
        <f>VLOOKUP($B155,'D7 - NDB Impacted SPRF''s'!$E$6:$O$9929,4,FALSE)</f>
        <v>In Strategy Council</v>
      </c>
      <c r="AC155" s="380" t="str">
        <f>VLOOKUP($B155,'D7 - NDB Impacted SPRF''s'!$E$6:$O$9929,3,FALSE)</f>
        <v>UnitedHealthcare Employer &amp; Individual</v>
      </c>
      <c r="AD155" s="380" t="str">
        <f>VLOOKUP($B155,'D7 - NDB Impacted SPRF''s'!$E$6:$O$9929,5,FALSE)</f>
        <v>Regulatory / Other</v>
      </c>
      <c r="AE155" s="380" t="str">
        <f>VLOOKUP($B155,'D7 - NDB Impacted SPRF''s'!$E$6:$O$9929,7,FALSE)</f>
        <v>Regis O'Neill</v>
      </c>
      <c r="AF155" s="380" t="str">
        <f>VLOOKUP($B155,'D7 - NDB Impacted SPRF''s'!$E$6:$O$9929,6,FALSE)</f>
        <v>JAIME LILJEGREN</v>
      </c>
      <c r="AG155" s="282"/>
      <c r="AH155" s="311" t="str">
        <f>INDEX('D5 - Gatekeeper - Projects'!$A$4:$AF$1010,$AM155, 17)</f>
        <v>T. Kester</v>
      </c>
      <c r="AI155" s="8"/>
      <c r="AJ155" s="57"/>
      <c r="AK155" s="105"/>
      <c r="AM155" s="6">
        <f>MATCH(D155,'D5 - Gatekeeper - Projects'!$C$4:$C$1010,0)</f>
        <v>147</v>
      </c>
      <c r="AN155" s="6" t="b">
        <f t="shared" si="17"/>
        <v>0</v>
      </c>
      <c r="AO155" s="6" t="str">
        <f t="shared" si="18"/>
        <v>OK</v>
      </c>
      <c r="AQ155" s="6" t="e">
        <f>MATCH($D155,'D4 - Provider Council Unsched'!$C$11:$C$234,0)</f>
        <v>#N/A</v>
      </c>
      <c r="AR155" s="6" t="b">
        <f t="shared" si="19"/>
        <v>1</v>
      </c>
      <c r="AS155" s="6" t="str">
        <f t="shared" si="20"/>
        <v>OK</v>
      </c>
      <c r="AU155" s="202">
        <v>41306</v>
      </c>
      <c r="AV155" s="315" t="s">
        <v>7167</v>
      </c>
      <c r="AW155" s="274"/>
    </row>
    <row r="156" spans="1:49" s="13" customFormat="1" ht="11.25" customHeight="1" x14ac:dyDescent="0.2">
      <c r="A156" s="14">
        <v>231</v>
      </c>
      <c r="B156" s="8">
        <v>400057023</v>
      </c>
      <c r="C156" s="8" t="s">
        <v>1447</v>
      </c>
      <c r="D156" s="4" t="str">
        <f t="shared" si="16"/>
        <v>400057023A</v>
      </c>
      <c r="E156" s="309" t="str">
        <f>VLOOKUP($B156,'D7 - NDB Impacted SPRF''s'!$E$6:$O$9929,2,FALSE)</f>
        <v>Market Type Solution</v>
      </c>
      <c r="F156" s="8"/>
      <c r="G156" s="8" t="s">
        <v>7980</v>
      </c>
      <c r="H156" s="8" t="s">
        <v>1606</v>
      </c>
      <c r="I156" s="20">
        <v>2.0499999999999998</v>
      </c>
      <c r="J156" s="8" t="s">
        <v>4862</v>
      </c>
      <c r="K156" s="182">
        <v>41510</v>
      </c>
      <c r="L156" s="8" t="s">
        <v>4156</v>
      </c>
      <c r="M156" s="8" t="s">
        <v>6688</v>
      </c>
      <c r="N156" s="38"/>
      <c r="O156" s="8"/>
      <c r="P156" s="4" t="str">
        <f>VLOOKUP($B156,'D7 - NDB Impacted SPRF''s'!$E$16:$O$9929,9,FALSE)</f>
        <v>Y</v>
      </c>
      <c r="Q156" s="4" t="str">
        <f>VLOOKUP($B156,'D7 - NDB Impacted SPRF''s'!$E$16:$O$9929,10,FALSE)</f>
        <v>N</v>
      </c>
      <c r="R156" s="4" t="str">
        <f>VLOOKUP($B156,'D7 - NDB Impacted SPRF''s'!$E$16:$O$9929,11,FALSE)</f>
        <v>Y</v>
      </c>
      <c r="S156" s="8"/>
      <c r="T156" s="310"/>
      <c r="U156" s="310"/>
      <c r="V156" s="4"/>
      <c r="W156" s="4"/>
      <c r="X156" s="4"/>
      <c r="Y156" s="4"/>
      <c r="Z156" s="4"/>
      <c r="AA156" s="4"/>
      <c r="AB156" s="380" t="str">
        <f>VLOOKUP($B156,'D7 - NDB Impacted SPRF''s'!$E$6:$O$9929,4,FALSE)</f>
        <v>In Estimating</v>
      </c>
      <c r="AC156" s="380" t="str">
        <f>VLOOKUP($B156,'D7 - NDB Impacted SPRF''s'!$E$6:$O$9929,3,FALSE)</f>
        <v>UnitedHealthcare Employer &amp; Individual</v>
      </c>
      <c r="AD156" s="380" t="str">
        <f>VLOOKUP($B156,'D7 - NDB Impacted SPRF''s'!$E$6:$O$9929,5,FALSE)</f>
        <v>Process Improvement</v>
      </c>
      <c r="AE156" s="380" t="str">
        <f>VLOOKUP($B156,'D7 - NDB Impacted SPRF''s'!$E$6:$O$9929,7,FALSE)</f>
        <v>NEP</v>
      </c>
      <c r="AF156" s="380" t="str">
        <f>VLOOKUP($B156,'D7 - NDB Impacted SPRF''s'!$E$6:$O$9929,6,FALSE)</f>
        <v>Dawn Willemssen</v>
      </c>
      <c r="AG156" s="282"/>
      <c r="AH156" s="311" t="str">
        <f>INDEX('D5 - Gatekeeper - Projects'!$A$4:$AF$1010,$AM156, 17)</f>
        <v>M. Johnston</v>
      </c>
      <c r="AI156" s="8"/>
      <c r="AJ156" s="57"/>
      <c r="AK156" s="105"/>
      <c r="AM156" s="6">
        <f>MATCH(D156,'D5 - Gatekeeper - Projects'!$C$4:$C$1010,0)</f>
        <v>148</v>
      </c>
      <c r="AN156" s="6" t="b">
        <f t="shared" si="17"/>
        <v>0</v>
      </c>
      <c r="AO156" s="6" t="str">
        <f t="shared" si="18"/>
        <v>OK</v>
      </c>
      <c r="AQ156" s="6" t="e">
        <f>MATCH($D156,'D4 - Provider Council Unsched'!$C$11:$C$234,0)</f>
        <v>#N/A</v>
      </c>
      <c r="AR156" s="6" t="b">
        <f t="shared" si="19"/>
        <v>1</v>
      </c>
      <c r="AS156" s="6" t="str">
        <f t="shared" si="20"/>
        <v>OK</v>
      </c>
      <c r="AU156" s="202">
        <v>41417</v>
      </c>
      <c r="AV156" s="407" t="s">
        <v>2311</v>
      </c>
      <c r="AW156" s="274"/>
    </row>
    <row r="157" spans="1:49" s="13" customFormat="1" ht="33.75" x14ac:dyDescent="0.2">
      <c r="A157" s="14">
        <v>133</v>
      </c>
      <c r="B157" s="8">
        <v>400057929</v>
      </c>
      <c r="C157" s="8" t="s">
        <v>1447</v>
      </c>
      <c r="D157" s="4" t="str">
        <f t="shared" si="16"/>
        <v>400057929A</v>
      </c>
      <c r="E157" s="309" t="str">
        <f>VLOOKUP($B157,'D7 - NDB Impacted SPRF''s'!$E$6:$O$9929,2,FALSE)</f>
        <v xml:space="preserve">NDB Test Enviroment </v>
      </c>
      <c r="F157" s="8"/>
      <c r="G157" s="8" t="s">
        <v>7980</v>
      </c>
      <c r="H157" s="8" t="s">
        <v>1606</v>
      </c>
      <c r="I157" s="20">
        <v>7.18</v>
      </c>
      <c r="J157" s="8" t="s">
        <v>4862</v>
      </c>
      <c r="K157" s="182">
        <v>41510</v>
      </c>
      <c r="L157" s="8" t="s">
        <v>4156</v>
      </c>
      <c r="M157" s="8" t="s">
        <v>4450</v>
      </c>
      <c r="N157" s="38"/>
      <c r="O157" s="8"/>
      <c r="P157" s="4" t="str">
        <f>VLOOKUP($B157,'D7 - NDB Impacted SPRF''s'!$E$16:$O$9929,9,FALSE)</f>
        <v>N</v>
      </c>
      <c r="Q157" s="4" t="str">
        <f>VLOOKUP($B157,'D7 - NDB Impacted SPRF''s'!$E$16:$O$9929,10,FALSE)</f>
        <v>N</v>
      </c>
      <c r="R157" s="4" t="str">
        <f>VLOOKUP($B157,'D7 - NDB Impacted SPRF''s'!$E$16:$O$9929,11,FALSE)</f>
        <v>N</v>
      </c>
      <c r="S157" s="8"/>
      <c r="T157" s="310"/>
      <c r="U157" s="310"/>
      <c r="V157" s="4"/>
      <c r="W157" s="4"/>
      <c r="X157" s="4"/>
      <c r="Y157" s="4"/>
      <c r="Z157" s="4"/>
      <c r="AA157" s="4"/>
      <c r="AB157" s="380" t="str">
        <f>VLOOKUP($B157,'D7 - NDB Impacted SPRF''s'!$E$6:$O$9929,4,FALSE)</f>
        <v>Scheduled</v>
      </c>
      <c r="AC157" s="380" t="str">
        <f>VLOOKUP($B157,'D7 - NDB Impacted SPRF''s'!$E$6:$O$9929,3,FALSE)</f>
        <v>UnitedHealthcare Community &amp; State</v>
      </c>
      <c r="AD157" s="380" t="str">
        <f>VLOOKUP($B157,'D7 - NDB Impacted SPRF''s'!$E$6:$O$9929,5,FALSE)</f>
        <v>Integration Requirements</v>
      </c>
      <c r="AE157" s="380" t="str">
        <f>VLOOKUP($B157,'D7 - NDB Impacted SPRF''s'!$E$6:$O$9929,7,FALSE)</f>
        <v xml:space="preserve">Kurt Johnson </v>
      </c>
      <c r="AF157" s="380" t="str">
        <f>VLOOKUP($B157,'D7 - NDB Impacted SPRF''s'!$E$6:$O$9929,6,FALSE)</f>
        <v>Christine Vall</v>
      </c>
      <c r="AG157" s="282"/>
      <c r="AH157" s="311" t="str">
        <f>INDEX('D5 - Gatekeeper - Projects'!$A$4:$AF$1010,$AM157, 17)</f>
        <v>Bob Ziemann</v>
      </c>
      <c r="AI157" s="8"/>
      <c r="AJ157" s="57"/>
      <c r="AK157" s="105"/>
      <c r="AM157" s="6">
        <f>MATCH(D157,'D5 - Gatekeeper - Projects'!$C$4:$C$1010,0)</f>
        <v>149</v>
      </c>
      <c r="AN157" s="6" t="b">
        <f t="shared" si="17"/>
        <v>0</v>
      </c>
      <c r="AO157" s="6" t="str">
        <f t="shared" si="18"/>
        <v>OK</v>
      </c>
      <c r="AQ157" s="6" t="e">
        <f>MATCH($D157,'D4 - Provider Council Unsched'!$C$11:$C$234,0)</f>
        <v>#N/A</v>
      </c>
      <c r="AR157" s="6" t="b">
        <f t="shared" si="19"/>
        <v>1</v>
      </c>
      <c r="AS157" s="6" t="str">
        <f t="shared" si="20"/>
        <v>OK</v>
      </c>
      <c r="AU157" s="202">
        <v>41362</v>
      </c>
      <c r="AV157" s="384" t="s">
        <v>936</v>
      </c>
      <c r="AW157" s="274"/>
    </row>
    <row r="158" spans="1:49" s="13" customFormat="1" ht="11.25" customHeight="1" x14ac:dyDescent="0.2">
      <c r="A158" s="14">
        <v>134</v>
      </c>
      <c r="B158" s="8">
        <v>400058052</v>
      </c>
      <c r="C158" s="8" t="s">
        <v>1447</v>
      </c>
      <c r="D158" s="4" t="str">
        <f t="shared" si="16"/>
        <v>400058052A</v>
      </c>
      <c r="E158" s="309" t="str">
        <f>VLOOKUP($B158,'D7 - NDB Impacted SPRF''s'!$E$6:$O$9929,2,FALSE)</f>
        <v>NHP Facets System Enhancements and OOA Wrap</v>
      </c>
      <c r="F158" s="8"/>
      <c r="G158" s="8" t="s">
        <v>7980</v>
      </c>
      <c r="H158" s="8" t="s">
        <v>1606</v>
      </c>
      <c r="I158" s="20">
        <v>0.9</v>
      </c>
      <c r="J158" s="8" t="s">
        <v>4862</v>
      </c>
      <c r="K158" s="182">
        <v>41510</v>
      </c>
      <c r="L158" s="8" t="s">
        <v>4156</v>
      </c>
      <c r="M158" s="8" t="s">
        <v>5626</v>
      </c>
      <c r="N158" s="38"/>
      <c r="O158" s="8"/>
      <c r="P158" s="4" t="str">
        <f>VLOOKUP($B158,'D7 - NDB Impacted SPRF''s'!$E$16:$O$9929,9,FALSE)</f>
        <v>N</v>
      </c>
      <c r="Q158" s="4" t="str">
        <f>VLOOKUP($B158,'D7 - NDB Impacted SPRF''s'!$E$16:$O$9929,10,FALSE)</f>
        <v>N</v>
      </c>
      <c r="R158" s="4" t="str">
        <f>VLOOKUP($B158,'D7 - NDB Impacted SPRF''s'!$E$16:$O$9929,11,FALSE)</f>
        <v>Y</v>
      </c>
      <c r="S158" s="8"/>
      <c r="T158" s="310"/>
      <c r="U158" s="310"/>
      <c r="V158" s="4"/>
      <c r="W158" s="4"/>
      <c r="X158" s="4"/>
      <c r="Y158" s="4"/>
      <c r="Z158" s="4"/>
      <c r="AA158" s="4"/>
      <c r="AB158" s="380" t="str">
        <f>VLOOKUP($B158,'D7 - NDB Impacted SPRF''s'!$E$6:$O$9929,4,FALSE)</f>
        <v>Scheduled</v>
      </c>
      <c r="AC158" s="380" t="str">
        <f>VLOOKUP($B158,'D7 - NDB Impacted SPRF''s'!$E$6:$O$9929,3,FALSE)</f>
        <v>UnitedHealthcare Employer &amp; Individual</v>
      </c>
      <c r="AD158" s="380" t="str">
        <f>VLOOKUP($B158,'D7 - NDB Impacted SPRF''s'!$E$6:$O$9929,5,FALSE)</f>
        <v>Membership Growth / Revenue Programs</v>
      </c>
      <c r="AE158" s="380" t="str">
        <f>VLOOKUP($B158,'D7 - NDB Impacted SPRF''s'!$E$6:$O$9929,7,FALSE)</f>
        <v>Ray Coto</v>
      </c>
      <c r="AF158" s="380" t="str">
        <f>VLOOKUP($B158,'D7 - NDB Impacted SPRF''s'!$E$6:$O$9929,6,FALSE)</f>
        <v>Tamara Falish</v>
      </c>
      <c r="AG158" s="282"/>
      <c r="AH158" s="311" t="str">
        <f>INDEX('D5 - Gatekeeper - Projects'!$A$4:$AF$1010,$AM158, 17)</f>
        <v>T. Kester</v>
      </c>
      <c r="AI158" s="8"/>
      <c r="AJ158" s="57"/>
      <c r="AK158" s="105"/>
      <c r="AM158" s="6">
        <f>MATCH(D158,'D5 - Gatekeeper - Projects'!$C$4:$C$1010,0)</f>
        <v>150</v>
      </c>
      <c r="AN158" s="6" t="b">
        <f t="shared" si="17"/>
        <v>0</v>
      </c>
      <c r="AO158" s="6" t="str">
        <f t="shared" si="18"/>
        <v>OK</v>
      </c>
      <c r="AQ158" s="6" t="e">
        <f>MATCH($D158,'D4 - Provider Council Unsched'!$C$11:$C$234,0)</f>
        <v>#N/A</v>
      </c>
      <c r="AR158" s="6" t="b">
        <f t="shared" si="19"/>
        <v>1</v>
      </c>
      <c r="AS158" s="6" t="str">
        <f t="shared" si="20"/>
        <v>OK</v>
      </c>
      <c r="AU158" s="202">
        <v>41397</v>
      </c>
      <c r="AV158" s="404" t="s">
        <v>1139</v>
      </c>
      <c r="AW158" s="274"/>
    </row>
    <row r="159" spans="1:49" s="13" customFormat="1" ht="45" x14ac:dyDescent="0.2">
      <c r="A159" s="14">
        <v>135</v>
      </c>
      <c r="B159" s="8">
        <v>400058175</v>
      </c>
      <c r="C159" s="8" t="s">
        <v>1447</v>
      </c>
      <c r="D159" s="4" t="str">
        <f t="shared" si="16"/>
        <v>400058175A</v>
      </c>
      <c r="E159" s="309" t="str">
        <f>VLOOKUP($B159,'D7 - NDB Impacted SPRF''s'!$E$6:$O$9929,2,FALSE)</f>
        <v>OHBS Reciprocity Development 2013</v>
      </c>
      <c r="F159" s="8"/>
      <c r="G159" s="8" t="s">
        <v>7980</v>
      </c>
      <c r="H159" s="8" t="s">
        <v>1606</v>
      </c>
      <c r="I159" s="20" t="s">
        <v>4027</v>
      </c>
      <c r="J159" s="8" t="s">
        <v>4862</v>
      </c>
      <c r="K159" s="182">
        <v>41510</v>
      </c>
      <c r="L159" s="8" t="s">
        <v>4156</v>
      </c>
      <c r="M159" s="8" t="s">
        <v>5626</v>
      </c>
      <c r="N159" s="38" t="s">
        <v>9517</v>
      </c>
      <c r="O159" s="8"/>
      <c r="P159" s="4" t="str">
        <f>VLOOKUP($B159,'D7 - NDB Impacted SPRF''s'!$E$16:$O$9929,9,FALSE)</f>
        <v>Y</v>
      </c>
      <c r="Q159" s="4" t="str">
        <f>VLOOKUP($B159,'D7 - NDB Impacted SPRF''s'!$E$16:$O$9929,10,FALSE)</f>
        <v>N</v>
      </c>
      <c r="R159" s="4" t="str">
        <f>VLOOKUP($B159,'D7 - NDB Impacted SPRF''s'!$E$16:$O$9929,11,FALSE)</f>
        <v>N</v>
      </c>
      <c r="S159" s="8"/>
      <c r="T159" s="310"/>
      <c r="U159" s="310"/>
      <c r="V159" s="4"/>
      <c r="W159" s="4"/>
      <c r="X159" s="4"/>
      <c r="Y159" s="4"/>
      <c r="Z159" s="4"/>
      <c r="AA159" s="4"/>
      <c r="AB159" s="380" t="str">
        <f>VLOOKUP($B159,'D7 - NDB Impacted SPRF''s'!$E$6:$O$9929,4,FALSE)</f>
        <v>Scheduled</v>
      </c>
      <c r="AC159" s="380" t="str">
        <f>VLOOKUP($B159,'D7 - NDB Impacted SPRF''s'!$E$6:$O$9929,3,FALSE)</f>
        <v>OptumHealth</v>
      </c>
      <c r="AD159" s="380" t="str">
        <f>VLOOKUP($B159,'D7 - NDB Impacted SPRF''s'!$E$6:$O$9929,5,FALSE)</f>
        <v>Behavioral Solutions</v>
      </c>
      <c r="AE159" s="380" t="str">
        <f>VLOOKUP($B159,'D7 - NDB Impacted SPRF''s'!$E$6:$O$9929,7,FALSE)</f>
        <v>robert preston</v>
      </c>
      <c r="AF159" s="380" t="str">
        <f>VLOOKUP($B159,'D7 - NDB Impacted SPRF''s'!$E$6:$O$9929,6,FALSE)</f>
        <v>Stephanie Moore</v>
      </c>
      <c r="AG159" s="282"/>
      <c r="AH159" s="311" t="str">
        <f>INDEX('D5 - Gatekeeper - Projects'!$A$4:$AF$1010,$AM159, 17)</f>
        <v>C. Chen</v>
      </c>
      <c r="AI159" s="8"/>
      <c r="AJ159" s="57"/>
      <c r="AK159" s="105"/>
      <c r="AM159" s="6">
        <f>MATCH(D159,'D5 - Gatekeeper - Projects'!$C$4:$C$1010,0)</f>
        <v>151</v>
      </c>
      <c r="AN159" s="6" t="b">
        <f t="shared" si="17"/>
        <v>0</v>
      </c>
      <c r="AO159" s="6" t="str">
        <f t="shared" si="18"/>
        <v>OK</v>
      </c>
      <c r="AQ159" s="6" t="e">
        <f>MATCH($D159,'D4 - Provider Council Unsched'!$C$11:$C$234,0)</f>
        <v>#N/A</v>
      </c>
      <c r="AR159" s="6" t="b">
        <f t="shared" si="19"/>
        <v>1</v>
      </c>
      <c r="AS159" s="6" t="str">
        <f t="shared" si="20"/>
        <v>OK</v>
      </c>
      <c r="AU159" s="202">
        <v>41369</v>
      </c>
      <c r="AV159" s="404" t="s">
        <v>8957</v>
      </c>
      <c r="AW159" s="274"/>
    </row>
    <row r="160" spans="1:49" s="13" customFormat="1" ht="45" x14ac:dyDescent="0.2">
      <c r="A160" s="14">
        <v>136</v>
      </c>
      <c r="B160" s="8">
        <v>400058463</v>
      </c>
      <c r="C160" s="8" t="s">
        <v>1447</v>
      </c>
      <c r="D160" s="4" t="str">
        <f t="shared" si="16"/>
        <v>400058463A</v>
      </c>
      <c r="E160" s="309" t="str">
        <f>VLOOKUP($B160,'D7 - NDB Impacted SPRF''s'!$E$6:$O$9929,2,FALSE)</f>
        <v>OPTIM: Test Data Mgmt and Data Masking in Zulu</v>
      </c>
      <c r="F160" s="8"/>
      <c r="G160" s="8" t="s">
        <v>7980</v>
      </c>
      <c r="H160" s="8" t="s">
        <v>1606</v>
      </c>
      <c r="I160" s="20">
        <v>1.31</v>
      </c>
      <c r="J160" s="8" t="s">
        <v>4862</v>
      </c>
      <c r="K160" s="182">
        <v>41510</v>
      </c>
      <c r="L160" s="8" t="s">
        <v>4156</v>
      </c>
      <c r="M160" s="8" t="s">
        <v>9364</v>
      </c>
      <c r="N160" s="38" t="s">
        <v>9513</v>
      </c>
      <c r="O160" s="8"/>
      <c r="P160" s="4" t="str">
        <f>VLOOKUP($B160,'D7 - NDB Impacted SPRF''s'!$E$16:$O$9929,9,FALSE)</f>
        <v>Y</v>
      </c>
      <c r="Q160" s="4" t="str">
        <f>VLOOKUP($B160,'D7 - NDB Impacted SPRF''s'!$E$16:$O$9929,10,FALSE)</f>
        <v>N</v>
      </c>
      <c r="R160" s="4" t="str">
        <f>VLOOKUP($B160,'D7 - NDB Impacted SPRF''s'!$E$16:$O$9929,11,FALSE)</f>
        <v>Y</v>
      </c>
      <c r="S160" s="8"/>
      <c r="T160" s="310"/>
      <c r="U160" s="310"/>
      <c r="V160" s="4"/>
      <c r="W160" s="4"/>
      <c r="X160" s="4"/>
      <c r="Y160" s="4"/>
      <c r="Z160" s="4"/>
      <c r="AA160" s="4"/>
      <c r="AB160" s="380" t="str">
        <f>VLOOKUP($B160,'D7 - NDB Impacted SPRF''s'!$E$6:$O$9929,4,FALSE)</f>
        <v>Scheduled</v>
      </c>
      <c r="AC160" s="380" t="str">
        <f>VLOOKUP($B160,'D7 - NDB Impacted SPRF''s'!$E$6:$O$9929,3,FALSE)</f>
        <v>UHG IT - Enterprise Technology Services</v>
      </c>
      <c r="AD160" s="380" t="str">
        <f>VLOOKUP($B160,'D7 - NDB Impacted SPRF''s'!$E$6:$O$9929,5,FALSE)</f>
        <v>Computer Services</v>
      </c>
      <c r="AE160" s="380" t="str">
        <f>VLOOKUP($B160,'D7 - NDB Impacted SPRF''s'!$E$6:$O$9929,7,FALSE)</f>
        <v>Milla Hautman</v>
      </c>
      <c r="AF160" s="380" t="str">
        <f>VLOOKUP($B160,'D7 - NDB Impacted SPRF''s'!$E$6:$O$9929,6,FALSE)</f>
        <v>JACQUELYN LOTTER</v>
      </c>
      <c r="AG160" s="282"/>
      <c r="AH160" s="311" t="str">
        <f>INDEX('D5 - Gatekeeper - Projects'!$A$4:$AF$1010,$AM160, 17)</f>
        <v>R. King</v>
      </c>
      <c r="AI160" s="8"/>
      <c r="AJ160" s="57"/>
      <c r="AK160" s="105"/>
      <c r="AM160" s="6">
        <f>MATCH(D160,'D5 - Gatekeeper - Projects'!$C$4:$C$1010,0)</f>
        <v>152</v>
      </c>
      <c r="AN160" s="6" t="b">
        <f t="shared" si="17"/>
        <v>0</v>
      </c>
      <c r="AO160" s="6" t="str">
        <f t="shared" si="18"/>
        <v>OK</v>
      </c>
      <c r="AQ160" s="6" t="e">
        <f>MATCH($D160,'D4 - Provider Council Unsched'!$C$11:$C$234,0)</f>
        <v>#N/A</v>
      </c>
      <c r="AR160" s="6" t="b">
        <f t="shared" si="19"/>
        <v>1</v>
      </c>
      <c r="AS160" s="6" t="str">
        <f t="shared" si="20"/>
        <v>OK</v>
      </c>
      <c r="AU160" s="202">
        <v>41390</v>
      </c>
      <c r="AV160" s="404" t="s">
        <v>9002</v>
      </c>
      <c r="AW160" s="274"/>
    </row>
    <row r="161" spans="1:49" s="13" customFormat="1" ht="11.25" customHeight="1" x14ac:dyDescent="0.2">
      <c r="A161" s="14">
        <v>251</v>
      </c>
      <c r="B161" s="8">
        <v>400058484</v>
      </c>
      <c r="C161" s="8" t="s">
        <v>1447</v>
      </c>
      <c r="D161" s="4" t="str">
        <f t="shared" si="16"/>
        <v>400058484A</v>
      </c>
      <c r="E161" s="309" t="str">
        <f>VLOOKUP($B161,'D7 - NDB Impacted SPRF''s'!$E$6:$O$9929,2,FALSE)</f>
        <v>Provider Withhold</v>
      </c>
      <c r="F161" s="8"/>
      <c r="G161" s="8" t="s">
        <v>7980</v>
      </c>
      <c r="H161" s="8" t="s">
        <v>1606</v>
      </c>
      <c r="I161" s="20">
        <v>0.55000000000000004</v>
      </c>
      <c r="J161" s="8" t="s">
        <v>4862</v>
      </c>
      <c r="K161" s="182">
        <v>41510</v>
      </c>
      <c r="L161" s="8" t="s">
        <v>4156</v>
      </c>
      <c r="M161" s="8" t="s">
        <v>6688</v>
      </c>
      <c r="N161" s="38" t="s">
        <v>9603</v>
      </c>
      <c r="O161" s="8"/>
      <c r="P161" s="4" t="str">
        <f>VLOOKUP($B161,'D7 - NDB Impacted SPRF''s'!$E$16:$O$9929,9,FALSE)</f>
        <v>Y</v>
      </c>
      <c r="Q161" s="4" t="str">
        <f>VLOOKUP($B161,'D7 - NDB Impacted SPRF''s'!$E$16:$O$9929,10,FALSE)</f>
        <v>N</v>
      </c>
      <c r="R161" s="4" t="str">
        <f>VLOOKUP($B161,'D7 - NDB Impacted SPRF''s'!$E$16:$O$9929,11,FALSE)</f>
        <v>N</v>
      </c>
      <c r="S161" s="8"/>
      <c r="T161" s="310"/>
      <c r="U161" s="310"/>
      <c r="V161" s="4"/>
      <c r="W161" s="4"/>
      <c r="X161" s="4"/>
      <c r="Y161" s="4"/>
      <c r="Z161" s="4"/>
      <c r="AA161" s="4"/>
      <c r="AB161" s="380" t="str">
        <f>VLOOKUP($B161,'D7 - NDB Impacted SPRF''s'!$E$6:$O$9929,4,FALSE)</f>
        <v>In Estimating</v>
      </c>
      <c r="AC161" s="380" t="str">
        <f>VLOOKUP($B161,'D7 - NDB Impacted SPRF''s'!$E$6:$O$9929,3,FALSE)</f>
        <v>UnitedHealthcare Employer &amp; Individual</v>
      </c>
      <c r="AD161" s="380" t="str">
        <f>VLOOKUP($B161,'D7 - NDB Impacted SPRF''s'!$E$6:$O$9929,5,FALSE)</f>
        <v>Medical Cost Savings Programs</v>
      </c>
      <c r="AE161" s="380" t="str">
        <f>VLOOKUP($B161,'D7 - NDB Impacted SPRF''s'!$E$6:$O$9929,7,FALSE)</f>
        <v>Tim Kaja</v>
      </c>
      <c r="AF161" s="380" t="str">
        <f>VLOOKUP($B161,'D7 - NDB Impacted SPRF''s'!$E$6:$O$9929,6,FALSE)</f>
        <v>Pia Rowland-Jones</v>
      </c>
      <c r="AG161" s="282"/>
      <c r="AH161" s="311" t="str">
        <f>INDEX('D5 - Gatekeeper - Projects'!$A$4:$AF$1010,$AM161, 17)</f>
        <v>M. Stoy</v>
      </c>
      <c r="AI161" s="8"/>
      <c r="AJ161" s="57"/>
      <c r="AK161" s="105"/>
      <c r="AM161" s="6">
        <f>MATCH(D161,'D5 - Gatekeeper - Projects'!$C$4:$C$1010,0)</f>
        <v>153</v>
      </c>
      <c r="AN161" s="6" t="b">
        <f t="shared" si="17"/>
        <v>0</v>
      </c>
      <c r="AO161" s="6" t="str">
        <f t="shared" si="18"/>
        <v>OK</v>
      </c>
      <c r="AQ161" s="6" t="e">
        <f>MATCH($D161,'D4 - Provider Council Unsched'!$C$11:$C$234,0)</f>
        <v>#N/A</v>
      </c>
      <c r="AR161" s="6" t="b">
        <f t="shared" si="19"/>
        <v>1</v>
      </c>
      <c r="AS161" s="6" t="str">
        <f t="shared" si="20"/>
        <v>OK</v>
      </c>
      <c r="AU161" s="202">
        <v>41404</v>
      </c>
      <c r="AV161" s="404" t="s">
        <v>439</v>
      </c>
      <c r="AW161" s="274"/>
    </row>
    <row r="162" spans="1:49" s="13" customFormat="1" ht="33.75" x14ac:dyDescent="0.2">
      <c r="A162" s="14">
        <v>137</v>
      </c>
      <c r="B162" s="8">
        <v>400046739</v>
      </c>
      <c r="C162" s="8" t="s">
        <v>7290</v>
      </c>
      <c r="D162" s="4" t="str">
        <f t="shared" si="16"/>
        <v>400046739B</v>
      </c>
      <c r="E162" s="309" t="str">
        <f>VLOOKUP($B162,'D7 - NDB Impacted SPRF''s'!$E$6:$O$9929,2,FALSE)</f>
        <v>Wisconsin CSP Facets Migration</v>
      </c>
      <c r="F162" s="8"/>
      <c r="G162" s="8" t="s">
        <v>7980</v>
      </c>
      <c r="H162" s="8" t="s">
        <v>1606</v>
      </c>
      <c r="I162" s="20">
        <v>21.17</v>
      </c>
      <c r="J162" s="8" t="s">
        <v>4862</v>
      </c>
      <c r="K162" s="182">
        <v>41538</v>
      </c>
      <c r="L162" s="8" t="s">
        <v>4156</v>
      </c>
      <c r="M162" s="8" t="s">
        <v>2814</v>
      </c>
      <c r="N162" s="38" t="s">
        <v>4536</v>
      </c>
      <c r="O162" s="8"/>
      <c r="P162" s="4" t="str">
        <f>VLOOKUP($B162,'D7 - NDB Impacted SPRF''s'!$E$16:$O$9929,9,FALSE)</f>
        <v>N</v>
      </c>
      <c r="Q162" s="4" t="str">
        <f>VLOOKUP($B162,'D7 - NDB Impacted SPRF''s'!$E$16:$O$9929,10,FALSE)</f>
        <v>N</v>
      </c>
      <c r="R162" s="4" t="str">
        <f>VLOOKUP($B162,'D7 - NDB Impacted SPRF''s'!$E$16:$O$9929,11,FALSE)</f>
        <v>Y</v>
      </c>
      <c r="S162" s="8"/>
      <c r="T162" s="310"/>
      <c r="U162" s="310"/>
      <c r="V162" s="4"/>
      <c r="W162" s="4"/>
      <c r="X162" s="4"/>
      <c r="Y162" s="4"/>
      <c r="Z162" s="4"/>
      <c r="AA162" s="4"/>
      <c r="AB162" s="380" t="str">
        <f>VLOOKUP($B162,'D7 - NDB Impacted SPRF''s'!$E$6:$O$9929,4,FALSE)</f>
        <v>Scheduled</v>
      </c>
      <c r="AC162" s="380" t="str">
        <f>VLOOKUP($B162,'D7 - NDB Impacted SPRF''s'!$E$6:$O$9929,3,FALSE)</f>
        <v>UnitedHealthcare Community &amp; State</v>
      </c>
      <c r="AD162" s="380" t="str">
        <f>VLOOKUP($B162,'D7 - NDB Impacted SPRF''s'!$E$6:$O$9929,5,FALSE)</f>
        <v>Integration Requirements</v>
      </c>
      <c r="AE162" s="380" t="str">
        <f>VLOOKUP($B162,'D7 - NDB Impacted SPRF''s'!$E$6:$O$9929,7,FALSE)</f>
        <v>Chris Scherer</v>
      </c>
      <c r="AF162" s="380" t="str">
        <f>VLOOKUP($B162,'D7 - NDB Impacted SPRF''s'!$E$6:$O$9929,6,FALSE)</f>
        <v>JENNIFER MAFFEI</v>
      </c>
      <c r="AG162" s="282"/>
      <c r="AH162" s="311" t="str">
        <f>INDEX('D5 - Gatekeeper - Projects'!$A$4:$AF$1010,$AM162, 17)</f>
        <v>B. Brown</v>
      </c>
      <c r="AI162" s="8"/>
      <c r="AJ162" s="57"/>
      <c r="AK162" s="105"/>
      <c r="AM162" s="6">
        <f>MATCH(D162,'D5 - Gatekeeper - Projects'!$C$4:$C$1010,0)</f>
        <v>155</v>
      </c>
      <c r="AN162" s="6" t="b">
        <f t="shared" si="17"/>
        <v>0</v>
      </c>
      <c r="AO162" s="6" t="str">
        <f t="shared" si="18"/>
        <v>OK</v>
      </c>
      <c r="AQ162" s="6" t="e">
        <f>MATCH($D162,'D4 - Provider Council Unsched'!$C$11:$C$234,0)</f>
        <v>#N/A</v>
      </c>
      <c r="AR162" s="6" t="b">
        <f t="shared" si="19"/>
        <v>1</v>
      </c>
      <c r="AS162" s="6" t="str">
        <f t="shared" si="20"/>
        <v>OK</v>
      </c>
      <c r="AU162" s="202">
        <v>41362</v>
      </c>
      <c r="AV162" s="6" t="s">
        <v>464</v>
      </c>
      <c r="AW162" s="274">
        <v>47359</v>
      </c>
    </row>
    <row r="163" spans="1:49" s="13" customFormat="1" ht="123.75" x14ac:dyDescent="0.2">
      <c r="A163" s="14">
        <v>78</v>
      </c>
      <c r="B163" s="8">
        <v>400050155</v>
      </c>
      <c r="C163" s="8" t="s">
        <v>7290</v>
      </c>
      <c r="D163" s="4" t="str">
        <f t="shared" si="16"/>
        <v>400050155B</v>
      </c>
      <c r="E163" s="309" t="str">
        <f>VLOOKUP($B163,'D7 - NDB Impacted SPRF''s'!$E$6:$O$9929,2,FALSE)</f>
        <v>Health Care Cost Estimator  Release 2.2</v>
      </c>
      <c r="F163" s="8"/>
      <c r="G163" s="8" t="s">
        <v>7980</v>
      </c>
      <c r="H163" s="8" t="s">
        <v>1606</v>
      </c>
      <c r="I163" s="20">
        <v>63.6</v>
      </c>
      <c r="J163" s="8" t="s">
        <v>4862</v>
      </c>
      <c r="K163" s="182">
        <v>41538</v>
      </c>
      <c r="L163" s="8" t="s">
        <v>4156</v>
      </c>
      <c r="M163" s="8" t="s">
        <v>2814</v>
      </c>
      <c r="N163" s="38" t="s">
        <v>9048</v>
      </c>
      <c r="O163" s="8"/>
      <c r="P163" s="4" t="str">
        <f>VLOOKUP($B163,'D7 - NDB Impacted SPRF''s'!$E$16:$O$9929,9,FALSE)</f>
        <v>Y</v>
      </c>
      <c r="Q163" s="4" t="str">
        <f>VLOOKUP($B163,'D7 - NDB Impacted SPRF''s'!$E$16:$O$9929,10,FALSE)</f>
        <v>N</v>
      </c>
      <c r="R163" s="4" t="str">
        <f>VLOOKUP($B163,'D7 - NDB Impacted SPRF''s'!$E$16:$O$9929,11,FALSE)</f>
        <v>N</v>
      </c>
      <c r="S163" s="8"/>
      <c r="T163" s="310"/>
      <c r="U163" s="310"/>
      <c r="V163" s="4"/>
      <c r="W163" s="4"/>
      <c r="X163" s="4"/>
      <c r="Y163" s="4"/>
      <c r="Z163" s="4"/>
      <c r="AA163" s="4"/>
      <c r="AB163" s="380" t="str">
        <f>VLOOKUP($B163,'D7 - NDB Impacted SPRF''s'!$E$6:$O$9929,4,FALSE)</f>
        <v>Scheduled</v>
      </c>
      <c r="AC163" s="380" t="str">
        <f>VLOOKUP($B163,'D7 - NDB Impacted SPRF''s'!$E$6:$O$9929,3,FALSE)</f>
        <v>UnitedHealthcare Employer &amp; Individual</v>
      </c>
      <c r="AD163" s="380" t="str">
        <f>VLOOKUP($B163,'D7 - NDB Impacted SPRF''s'!$E$6:$O$9929,5,FALSE)</f>
        <v>Membership Growth / Revenue Programs</v>
      </c>
      <c r="AE163" s="380" t="str">
        <f>VLOOKUP($B163,'D7 - NDB Impacted SPRF''s'!$E$6:$O$9929,7,FALSE)</f>
        <v>Victoria Bogatyrenko</v>
      </c>
      <c r="AF163" s="380" t="str">
        <f>VLOOKUP($B163,'D7 - NDB Impacted SPRF''s'!$E$6:$O$9929,6,FALSE)</f>
        <v>Kari Mclarty</v>
      </c>
      <c r="AG163" s="282"/>
      <c r="AH163" s="311" t="str">
        <f>INDEX('D5 - Gatekeeper - Projects'!$A$4:$AF$1010,$AM163, 17)</f>
        <v>C. Chen</v>
      </c>
      <c r="AI163" s="8"/>
      <c r="AJ163" s="57"/>
      <c r="AK163" s="105"/>
      <c r="AM163" s="6">
        <f>MATCH(D163,'D5 - Gatekeeper - Projects'!$C$4:$C$1010,0)</f>
        <v>156</v>
      </c>
      <c r="AN163" s="6" t="b">
        <f t="shared" si="17"/>
        <v>0</v>
      </c>
      <c r="AO163" s="6" t="str">
        <f t="shared" si="18"/>
        <v>OK</v>
      </c>
      <c r="AQ163" s="6" t="e">
        <f>MATCH($D163,'D4 - Provider Council Unsched'!$C$11:$C$234,0)</f>
        <v>#N/A</v>
      </c>
      <c r="AR163" s="6" t="b">
        <f t="shared" si="19"/>
        <v>1</v>
      </c>
      <c r="AS163" s="6" t="str">
        <f t="shared" si="20"/>
        <v>OK</v>
      </c>
      <c r="AU163" s="202">
        <v>41145</v>
      </c>
      <c r="AV163" s="6" t="s">
        <v>932</v>
      </c>
      <c r="AW163" s="274">
        <v>56214</v>
      </c>
    </row>
    <row r="164" spans="1:49" s="13" customFormat="1" ht="33.75" x14ac:dyDescent="0.2">
      <c r="A164" s="14">
        <v>138</v>
      </c>
      <c r="B164" s="8">
        <v>400055737</v>
      </c>
      <c r="C164" s="8" t="s">
        <v>1447</v>
      </c>
      <c r="D164" s="4" t="str">
        <f t="shared" si="16"/>
        <v>400055737A</v>
      </c>
      <c r="E164" s="309" t="str">
        <f>VLOOKUP($B164,'D7 - NDB Impacted SPRF''s'!$E$6:$O$9929,2,FALSE)</f>
        <v>Emptoris v9.X Upgrade</v>
      </c>
      <c r="F164" s="8"/>
      <c r="G164" s="8" t="s">
        <v>7980</v>
      </c>
      <c r="H164" s="8" t="s">
        <v>1606</v>
      </c>
      <c r="I164" s="20">
        <v>1.52</v>
      </c>
      <c r="J164" s="8" t="s">
        <v>4862</v>
      </c>
      <c r="K164" s="182">
        <v>41538</v>
      </c>
      <c r="L164" s="8" t="s">
        <v>4156</v>
      </c>
      <c r="M164" s="8" t="s">
        <v>2814</v>
      </c>
      <c r="N164" s="38" t="s">
        <v>7678</v>
      </c>
      <c r="O164" s="8"/>
      <c r="P164" s="4" t="str">
        <f>VLOOKUP($B164,'D7 - NDB Impacted SPRF''s'!$E$16:$O$9929,9,FALSE)</f>
        <v>N</v>
      </c>
      <c r="Q164" s="4" t="str">
        <f>VLOOKUP($B164,'D7 - NDB Impacted SPRF''s'!$E$16:$O$9929,10,FALSE)</f>
        <v>N</v>
      </c>
      <c r="R164" s="4" t="str">
        <f>VLOOKUP($B164,'D7 - NDB Impacted SPRF''s'!$E$16:$O$9929,11,FALSE)</f>
        <v>N</v>
      </c>
      <c r="S164" s="8"/>
      <c r="T164" s="310"/>
      <c r="U164" s="310"/>
      <c r="V164" s="4"/>
      <c r="W164" s="4"/>
      <c r="X164" s="4"/>
      <c r="Y164" s="4"/>
      <c r="Z164" s="4"/>
      <c r="AA164" s="4"/>
      <c r="AB164" s="380" t="str">
        <f>VLOOKUP($B164,'D7 - NDB Impacted SPRF''s'!$E$6:$O$9929,4,FALSE)</f>
        <v>Scheduled</v>
      </c>
      <c r="AC164" s="380" t="str">
        <f>VLOOKUP($B164,'D7 - NDB Impacted SPRF''s'!$E$6:$O$9929,3,FALSE)</f>
        <v>UnitedHealthcare Employer &amp; Individual</v>
      </c>
      <c r="AD164" s="380" t="str">
        <f>VLOOKUP($B164,'D7 - NDB Impacted SPRF''s'!$E$6:$O$9929,5,FALSE)</f>
        <v>Infrastructure Requirements</v>
      </c>
      <c r="AE164" s="380" t="str">
        <f>VLOOKUP($B164,'D7 - NDB Impacted SPRF''s'!$E$6:$O$9929,7,FALSE)</f>
        <v>Matthew Adam</v>
      </c>
      <c r="AF164" s="380" t="str">
        <f>VLOOKUP($B164,'D7 - NDB Impacted SPRF''s'!$E$6:$O$9929,6,FALSE)</f>
        <v>Traci Gilbert</v>
      </c>
      <c r="AG164" s="282"/>
      <c r="AH164" s="311" t="str">
        <f>INDEX('D5 - Gatekeeper - Projects'!$A$4:$AF$1010,$AM164, 17)</f>
        <v>T. Kester</v>
      </c>
      <c r="AI164" s="8"/>
      <c r="AJ164" s="57"/>
      <c r="AK164" s="105"/>
      <c r="AM164" s="6">
        <f>MATCH(D164,'D5 - Gatekeeper - Projects'!$C$4:$C$1010,0)</f>
        <v>158</v>
      </c>
      <c r="AN164" s="6" t="b">
        <f t="shared" si="17"/>
        <v>0</v>
      </c>
      <c r="AO164" s="6" t="str">
        <f t="shared" si="18"/>
        <v>OK</v>
      </c>
      <c r="AQ164" s="6" t="e">
        <f>MATCH($D164,'D4 - Provider Council Unsched'!$C$11:$C$234,0)</f>
        <v>#N/A</v>
      </c>
      <c r="AR164" s="6" t="b">
        <f t="shared" si="19"/>
        <v>1</v>
      </c>
      <c r="AS164" s="6" t="str">
        <f t="shared" si="20"/>
        <v>OK</v>
      </c>
      <c r="AU164" s="202">
        <v>41284</v>
      </c>
      <c r="AV164" s="312" t="s">
        <v>9196</v>
      </c>
      <c r="AW164" s="274"/>
    </row>
    <row r="165" spans="1:49" s="13" customFormat="1" ht="33.75" x14ac:dyDescent="0.2">
      <c r="A165" s="14">
        <v>139</v>
      </c>
      <c r="B165" s="8">
        <v>400055879</v>
      </c>
      <c r="C165" s="8" t="s">
        <v>1447</v>
      </c>
      <c r="D165" s="4" t="str">
        <f t="shared" si="16"/>
        <v>400055879A</v>
      </c>
      <c r="E165" s="309" t="str">
        <f>VLOOKUP($B165,'D7 - NDB Impacted SPRF''s'!$E$6:$O$9929,2,FALSE)</f>
        <v>Provider Touchpoint- Claims Reconsideration 1.5</v>
      </c>
      <c r="F165" s="8"/>
      <c r="G165" s="8" t="s">
        <v>7980</v>
      </c>
      <c r="H165" s="8" t="s">
        <v>1606</v>
      </c>
      <c r="I165" s="20">
        <v>0.35</v>
      </c>
      <c r="J165" s="8" t="s">
        <v>4862</v>
      </c>
      <c r="K165" s="182">
        <v>41538</v>
      </c>
      <c r="L165" s="8" t="s">
        <v>4156</v>
      </c>
      <c r="M165" s="8" t="s">
        <v>5626</v>
      </c>
      <c r="N165" s="38"/>
      <c r="O165" s="8"/>
      <c r="P165" s="4" t="str">
        <f>VLOOKUP($B165,'D7 - NDB Impacted SPRF''s'!$E$16:$O$9929,9,FALSE)</f>
        <v>N</v>
      </c>
      <c r="Q165" s="4" t="str">
        <f>VLOOKUP($B165,'D7 - NDB Impacted SPRF''s'!$E$16:$O$9929,10,FALSE)</f>
        <v>N</v>
      </c>
      <c r="R165" s="4" t="str">
        <f>VLOOKUP($B165,'D7 - NDB Impacted SPRF''s'!$E$16:$O$9929,11,FALSE)</f>
        <v>N</v>
      </c>
      <c r="S165" s="8"/>
      <c r="T165" s="310"/>
      <c r="U165" s="310"/>
      <c r="V165" s="4"/>
      <c r="W165" s="4"/>
      <c r="X165" s="4"/>
      <c r="Y165" s="4"/>
      <c r="Z165" s="4"/>
      <c r="AA165" s="4"/>
      <c r="AB165" s="380" t="str">
        <f>VLOOKUP($B165,'D7 - NDB Impacted SPRF''s'!$E$6:$O$9929,4,FALSE)</f>
        <v>Scheduled</v>
      </c>
      <c r="AC165" s="380" t="str">
        <f>VLOOKUP($B165,'D7 - NDB Impacted SPRF''s'!$E$6:$O$9929,3,FALSE)</f>
        <v>UnitedHealthcare Employer &amp; Individual</v>
      </c>
      <c r="AD165" s="380" t="str">
        <f>VLOOKUP($B165,'D7 - NDB Impacted SPRF''s'!$E$6:$O$9929,5,FALSE)</f>
        <v>Process Improvement</v>
      </c>
      <c r="AE165" s="380" t="str">
        <f>VLOOKUP($B165,'D7 - NDB Impacted SPRF''s'!$E$6:$O$9929,7,FALSE)</f>
        <v>Tim Kaja</v>
      </c>
      <c r="AF165" s="380" t="str">
        <f>VLOOKUP($B165,'D7 - NDB Impacted SPRF''s'!$E$6:$O$9929,6,FALSE)</f>
        <v>LESLIE WORLEY</v>
      </c>
      <c r="AG165" s="282"/>
      <c r="AH165" s="311" t="str">
        <f>INDEX('D5 - Gatekeeper - Projects'!$A$4:$AF$1010,$AM165, 17)</f>
        <v>T. Kester</v>
      </c>
      <c r="AI165" s="8"/>
      <c r="AJ165" s="57"/>
      <c r="AK165" s="105"/>
      <c r="AM165" s="6">
        <f>MATCH(D165,'D5 - Gatekeeper - Projects'!$C$4:$C$1010,0)</f>
        <v>159</v>
      </c>
      <c r="AN165" s="6" t="b">
        <f t="shared" si="17"/>
        <v>0</v>
      </c>
      <c r="AO165" s="6" t="str">
        <f t="shared" si="18"/>
        <v>OK</v>
      </c>
      <c r="AQ165" s="6" t="e">
        <f>MATCH($D165,'D4 - Provider Council Unsched'!$C$11:$C$234,0)</f>
        <v>#N/A</v>
      </c>
      <c r="AR165" s="6" t="b">
        <f t="shared" si="19"/>
        <v>1</v>
      </c>
      <c r="AS165" s="6" t="str">
        <f t="shared" si="20"/>
        <v>OK</v>
      </c>
      <c r="AU165" s="202">
        <v>41321</v>
      </c>
      <c r="AV165" s="315" t="s">
        <v>7711</v>
      </c>
      <c r="AW165" s="274"/>
    </row>
    <row r="166" spans="1:49" s="13" customFormat="1" ht="101.25" x14ac:dyDescent="0.2">
      <c r="A166" s="14">
        <v>140</v>
      </c>
      <c r="B166" s="8">
        <v>400055895</v>
      </c>
      <c r="C166" s="8" t="s">
        <v>1447</v>
      </c>
      <c r="D166" s="4" t="str">
        <f t="shared" si="16"/>
        <v>400055895A</v>
      </c>
      <c r="E166" s="309" t="str">
        <f>VLOOKUP($B166,'D7 - NDB Impacted SPRF''s'!$E$6:$O$9929,2,FALSE)</f>
        <v>Provider Touchpoint - Claims Management</v>
      </c>
      <c r="F166" s="8"/>
      <c r="G166" s="8" t="s">
        <v>7980</v>
      </c>
      <c r="H166" s="8" t="s">
        <v>1606</v>
      </c>
      <c r="I166" s="20">
        <v>1.61</v>
      </c>
      <c r="J166" s="8" t="s">
        <v>4862</v>
      </c>
      <c r="K166" s="182">
        <v>41538</v>
      </c>
      <c r="L166" s="8" t="s">
        <v>4156</v>
      </c>
      <c r="M166" s="8" t="s">
        <v>5626</v>
      </c>
      <c r="N166" s="38" t="s">
        <v>9600</v>
      </c>
      <c r="O166" s="8"/>
      <c r="P166" s="4" t="str">
        <f>VLOOKUP($B166,'D7 - NDB Impacted SPRF''s'!$E$16:$O$9929,9,FALSE)</f>
        <v>N</v>
      </c>
      <c r="Q166" s="4" t="str">
        <f>VLOOKUP($B166,'D7 - NDB Impacted SPRF''s'!$E$16:$O$9929,10,FALSE)</f>
        <v>N</v>
      </c>
      <c r="R166" s="4" t="str">
        <f>VLOOKUP($B166,'D7 - NDB Impacted SPRF''s'!$E$16:$O$9929,11,FALSE)</f>
        <v>N</v>
      </c>
      <c r="S166" s="8"/>
      <c r="T166" s="310"/>
      <c r="U166" s="310"/>
      <c r="V166" s="4"/>
      <c r="W166" s="4"/>
      <c r="X166" s="4"/>
      <c r="Y166" s="4"/>
      <c r="Z166" s="4"/>
      <c r="AA166" s="4"/>
      <c r="AB166" s="380" t="str">
        <f>VLOOKUP($B166,'D7 - NDB Impacted SPRF''s'!$E$6:$O$9929,4,FALSE)</f>
        <v>Scheduled</v>
      </c>
      <c r="AC166" s="380" t="str">
        <f>VLOOKUP($B166,'D7 - NDB Impacted SPRF''s'!$E$6:$O$9929,3,FALSE)</f>
        <v>UnitedHealthcare Employer &amp; Individual</v>
      </c>
      <c r="AD166" s="380" t="str">
        <f>VLOOKUP($B166,'D7 - NDB Impacted SPRF''s'!$E$6:$O$9929,5,FALSE)</f>
        <v>Process Improvement</v>
      </c>
      <c r="AE166" s="380" t="str">
        <f>VLOOKUP($B166,'D7 - NDB Impacted SPRF''s'!$E$6:$O$9929,7,FALSE)</f>
        <v>Tim Kaja</v>
      </c>
      <c r="AF166" s="380" t="str">
        <f>VLOOKUP($B166,'D7 - NDB Impacted SPRF''s'!$E$6:$O$9929,6,FALSE)</f>
        <v>LESLIE WORLEY</v>
      </c>
      <c r="AG166" s="282"/>
      <c r="AH166" s="311" t="str">
        <f>INDEX('D5 - Gatekeeper - Projects'!$A$4:$AF$1010,$AM166, 17)</f>
        <v>B. Williams</v>
      </c>
      <c r="AI166" s="8"/>
      <c r="AJ166" s="57"/>
      <c r="AK166" s="105"/>
      <c r="AM166" s="6">
        <f>MATCH(D166,'D5 - Gatekeeper - Projects'!$C$4:$C$1010,0)</f>
        <v>160</v>
      </c>
      <c r="AN166" s="6" t="b">
        <f t="shared" si="17"/>
        <v>0</v>
      </c>
      <c r="AO166" s="6" t="str">
        <f t="shared" si="18"/>
        <v>OK</v>
      </c>
      <c r="AQ166" s="6" t="e">
        <f>MATCH($D166,'D4 - Provider Council Unsched'!$C$11:$C$234,0)</f>
        <v>#N/A</v>
      </c>
      <c r="AR166" s="6" t="b">
        <f t="shared" si="19"/>
        <v>1</v>
      </c>
      <c r="AS166" s="6" t="str">
        <f t="shared" si="20"/>
        <v>OK</v>
      </c>
      <c r="AU166" s="202">
        <v>41284</v>
      </c>
      <c r="AV166" s="315" t="s">
        <v>7711</v>
      </c>
      <c r="AW166" s="274"/>
    </row>
    <row r="167" spans="1:49" s="13" customFormat="1" ht="33.75" x14ac:dyDescent="0.2">
      <c r="A167" s="14">
        <v>219</v>
      </c>
      <c r="B167" s="8">
        <v>400055897</v>
      </c>
      <c r="C167" s="8" t="s">
        <v>1447</v>
      </c>
      <c r="D167" s="4" t="str">
        <f t="shared" si="16"/>
        <v>400055897A</v>
      </c>
      <c r="E167" s="309" t="str">
        <f>VLOOKUP($B167,'D7 - NDB Impacted SPRF''s'!$E$6:$O$9929,2,FALSE)</f>
        <v>Provider Touchpoint - Scheduling and Registration</v>
      </c>
      <c r="F167" s="8"/>
      <c r="G167" s="8" t="s">
        <v>7980</v>
      </c>
      <c r="H167" s="8" t="s">
        <v>1606</v>
      </c>
      <c r="I167" s="20">
        <v>40.1</v>
      </c>
      <c r="J167" s="8" t="s">
        <v>4862</v>
      </c>
      <c r="K167" s="182">
        <v>41538</v>
      </c>
      <c r="L167" s="8" t="s">
        <v>4156</v>
      </c>
      <c r="M167" s="8" t="s">
        <v>2814</v>
      </c>
      <c r="N167" s="38" t="s">
        <v>9511</v>
      </c>
      <c r="O167" s="8"/>
      <c r="P167" s="4" t="str">
        <f>VLOOKUP($B167,'D7 - NDB Impacted SPRF''s'!$E$16:$O$9929,9,FALSE)</f>
        <v>N</v>
      </c>
      <c r="Q167" s="4" t="str">
        <f>VLOOKUP($B167,'D7 - NDB Impacted SPRF''s'!$E$16:$O$9929,10,FALSE)</f>
        <v>N</v>
      </c>
      <c r="R167" s="4" t="str">
        <f>VLOOKUP($B167,'D7 - NDB Impacted SPRF''s'!$E$16:$O$9929,11,FALSE)</f>
        <v>N</v>
      </c>
      <c r="S167" s="8"/>
      <c r="T167" s="310"/>
      <c r="U167" s="310"/>
      <c r="V167" s="4"/>
      <c r="W167" s="4"/>
      <c r="X167" s="4"/>
      <c r="Y167" s="4"/>
      <c r="Z167" s="4"/>
      <c r="AA167" s="4"/>
      <c r="AB167" s="380" t="str">
        <f>VLOOKUP($B167,'D7 - NDB Impacted SPRF''s'!$E$6:$O$9929,4,FALSE)</f>
        <v>Scheduled</v>
      </c>
      <c r="AC167" s="380" t="str">
        <f>VLOOKUP($B167,'D7 - NDB Impacted SPRF''s'!$E$6:$O$9929,3,FALSE)</f>
        <v>UnitedHealthcare Employer &amp; Individual</v>
      </c>
      <c r="AD167" s="380" t="str">
        <f>VLOOKUP($B167,'D7 - NDB Impacted SPRF''s'!$E$6:$O$9929,5,FALSE)</f>
        <v>Process Improvement</v>
      </c>
      <c r="AE167" s="380" t="str">
        <f>VLOOKUP($B167,'D7 - NDB Impacted SPRF''s'!$E$6:$O$9929,7,FALSE)</f>
        <v>Tim Kaja</v>
      </c>
      <c r="AF167" s="380" t="str">
        <f>VLOOKUP($B167,'D7 - NDB Impacted SPRF''s'!$E$6:$O$9929,6,FALSE)</f>
        <v>LESLIE WORLEY</v>
      </c>
      <c r="AG167" s="282"/>
      <c r="AH167" s="311" t="str">
        <f>INDEX('D5 - Gatekeeper - Projects'!$A$4:$AF$1010,$AM167, 17)</f>
        <v>J. Melendez</v>
      </c>
      <c r="AI167" s="8"/>
      <c r="AJ167" s="57"/>
      <c r="AK167" s="105"/>
      <c r="AM167" s="6">
        <f>MATCH(D167,'D5 - Gatekeeper - Projects'!$C$4:$C$1010,0)</f>
        <v>161</v>
      </c>
      <c r="AN167" s="6" t="b">
        <f t="shared" si="17"/>
        <v>0</v>
      </c>
      <c r="AO167" s="6" t="str">
        <f t="shared" si="18"/>
        <v>OK</v>
      </c>
      <c r="AQ167" s="6" t="e">
        <f>MATCH($D167,'D4 - Provider Council Unsched'!$C$11:$C$234,0)</f>
        <v>#N/A</v>
      </c>
      <c r="AR167" s="6" t="b">
        <f t="shared" si="19"/>
        <v>1</v>
      </c>
      <c r="AS167" s="6" t="str">
        <f t="shared" si="20"/>
        <v>OK</v>
      </c>
      <c r="AU167" s="202">
        <v>41404</v>
      </c>
      <c r="AV167" s="404" t="s">
        <v>7711</v>
      </c>
      <c r="AW167" s="274"/>
    </row>
    <row r="168" spans="1:49" s="13" customFormat="1" ht="11.25" customHeight="1" x14ac:dyDescent="0.2">
      <c r="A168" s="14">
        <v>141</v>
      </c>
      <c r="B168" s="8">
        <v>400057349</v>
      </c>
      <c r="C168" s="8" t="s">
        <v>1447</v>
      </c>
      <c r="D168" s="4" t="str">
        <f t="shared" si="16"/>
        <v>400057349A</v>
      </c>
      <c r="E168" s="309" t="str">
        <f>VLOOKUP($B168,'D7 - NDB Impacted SPRF''s'!$E$6:$O$9929,2,FALSE)</f>
        <v xml:space="preserve">2013 Transparency: OHBS Members CS-UHC Consumer </v>
      </c>
      <c r="F168" s="8"/>
      <c r="G168" s="8" t="s">
        <v>7980</v>
      </c>
      <c r="H168" s="8" t="s">
        <v>1606</v>
      </c>
      <c r="I168" s="20">
        <v>34.979999999999997</v>
      </c>
      <c r="J168" s="8" t="s">
        <v>4862</v>
      </c>
      <c r="K168" s="182">
        <v>41538</v>
      </c>
      <c r="L168" s="8" t="s">
        <v>4156</v>
      </c>
      <c r="M168" s="8" t="s">
        <v>2814</v>
      </c>
      <c r="N168" s="38"/>
      <c r="O168" s="8"/>
      <c r="P168" s="4" t="str">
        <f>VLOOKUP($B168,'D7 - NDB Impacted SPRF''s'!$E$16:$O$9929,9,FALSE)</f>
        <v>N</v>
      </c>
      <c r="Q168" s="4" t="str">
        <f>VLOOKUP($B168,'D7 - NDB Impacted SPRF''s'!$E$16:$O$9929,10,FALSE)</f>
        <v>N</v>
      </c>
      <c r="R168" s="4" t="str">
        <f>VLOOKUP($B168,'D7 - NDB Impacted SPRF''s'!$E$16:$O$9929,11,FALSE)</f>
        <v>N</v>
      </c>
      <c r="S168" s="8"/>
      <c r="T168" s="310"/>
      <c r="U168" s="310"/>
      <c r="V168" s="4"/>
      <c r="W168" s="4"/>
      <c r="X168" s="4"/>
      <c r="Y168" s="4"/>
      <c r="Z168" s="4"/>
      <c r="AA168" s="4"/>
      <c r="AB168" s="380" t="str">
        <f>VLOOKUP($B168,'D7 - NDB Impacted SPRF''s'!$E$6:$O$9929,4,FALSE)</f>
        <v>Scheduled</v>
      </c>
      <c r="AC168" s="380" t="str">
        <f>VLOOKUP($B168,'D7 - NDB Impacted SPRF''s'!$E$6:$O$9929,3,FALSE)</f>
        <v>OptumHealth</v>
      </c>
      <c r="AD168" s="380" t="str">
        <f>VLOOKUP($B168,'D7 - NDB Impacted SPRF''s'!$E$6:$O$9929,5,FALSE)</f>
        <v>Behavioral Solutions</v>
      </c>
      <c r="AE168" s="380" t="str">
        <f>VLOOKUP($B168,'D7 - NDB Impacted SPRF''s'!$E$6:$O$9929,7,FALSE)</f>
        <v>Jann Dodd and Deb Adler</v>
      </c>
      <c r="AF168" s="380" t="str">
        <f>VLOOKUP($B168,'D7 - NDB Impacted SPRF''s'!$E$6:$O$9929,6,FALSE)</f>
        <v>Debra Dee</v>
      </c>
      <c r="AG168" s="282"/>
      <c r="AH168" s="311" t="str">
        <f>INDEX('D5 - Gatekeeper - Projects'!$A$4:$AF$1010,$AM168, 17)</f>
        <v>C. Chen</v>
      </c>
      <c r="AI168" s="8"/>
      <c r="AJ168" s="57"/>
      <c r="AK168" s="105"/>
      <c r="AM168" s="6">
        <f>MATCH(D168,'D5 - Gatekeeper - Projects'!$C$4:$C$1010,0)</f>
        <v>162</v>
      </c>
      <c r="AN168" s="6" t="b">
        <f t="shared" si="17"/>
        <v>0</v>
      </c>
      <c r="AO168" s="6" t="str">
        <f t="shared" si="18"/>
        <v>OK</v>
      </c>
      <c r="AQ168" s="6" t="e">
        <f>MATCH($D168,'D4 - Provider Council Unsched'!$C$11:$C$234,0)</f>
        <v>#N/A</v>
      </c>
      <c r="AR168" s="6" t="b">
        <f t="shared" si="19"/>
        <v>1</v>
      </c>
      <c r="AS168" s="6" t="str">
        <f t="shared" si="20"/>
        <v>OK</v>
      </c>
      <c r="AU168" s="202">
        <v>41321</v>
      </c>
      <c r="AV168" s="316" t="s">
        <v>462</v>
      </c>
      <c r="AW168" s="274"/>
    </row>
    <row r="169" spans="1:49" s="13" customFormat="1" ht="78.75" x14ac:dyDescent="0.2">
      <c r="A169" s="14">
        <v>142</v>
      </c>
      <c r="B169" s="14">
        <v>400057571</v>
      </c>
      <c r="C169" s="8" t="s">
        <v>1447</v>
      </c>
      <c r="D169" s="4" t="str">
        <f t="shared" si="16"/>
        <v>400057571A</v>
      </c>
      <c r="E169" s="309" t="str">
        <f>VLOOKUP($B169,'D7 - NDB Impacted SPRF''s'!$E$6:$O$9929,2,FALSE)</f>
        <v>CAQH - EPDI Feed</v>
      </c>
      <c r="F169" s="8"/>
      <c r="G169" s="8" t="s">
        <v>5565</v>
      </c>
      <c r="H169" s="8" t="s">
        <v>1606</v>
      </c>
      <c r="I169" s="20">
        <v>23.01</v>
      </c>
      <c r="J169" s="8" t="s">
        <v>4862</v>
      </c>
      <c r="K169" s="182">
        <v>41538</v>
      </c>
      <c r="L169" s="8" t="s">
        <v>4156</v>
      </c>
      <c r="M169" s="8" t="s">
        <v>2814</v>
      </c>
      <c r="N169" s="38" t="s">
        <v>9450</v>
      </c>
      <c r="O169" s="8"/>
      <c r="P169" s="4" t="str">
        <f>VLOOKUP($B169,'D7 - NDB Impacted SPRF''s'!$E$16:$O$9929,9,FALSE)</f>
        <v>N</v>
      </c>
      <c r="Q169" s="4" t="str">
        <f>VLOOKUP($B169,'D7 - NDB Impacted SPRF''s'!$E$16:$O$9929,10,FALSE)</f>
        <v>N</v>
      </c>
      <c r="R169" s="4" t="str">
        <f>VLOOKUP($B169,'D7 - NDB Impacted SPRF''s'!$E$16:$O$9929,11,FALSE)</f>
        <v>N</v>
      </c>
      <c r="S169" s="8"/>
      <c r="T169" s="310"/>
      <c r="U169" s="310"/>
      <c r="V169" s="4"/>
      <c r="W169" s="4"/>
      <c r="X169" s="4"/>
      <c r="Y169" s="4"/>
      <c r="Z169" s="4"/>
      <c r="AA169" s="4"/>
      <c r="AB169" s="380" t="str">
        <f>VLOOKUP($B169,'D7 - NDB Impacted SPRF''s'!$E$6:$O$9929,4,FALSE)</f>
        <v>Scheduled</v>
      </c>
      <c r="AC169" s="380" t="str">
        <f>VLOOKUP($B169,'D7 - NDB Impacted SPRF''s'!$E$6:$O$9929,3,FALSE)</f>
        <v>UnitedHealthcare Employer &amp; Individual</v>
      </c>
      <c r="AD169" s="380" t="str">
        <f>VLOOKUP($B169,'D7 - NDB Impacted SPRF''s'!$E$6:$O$9929,5,FALSE)</f>
        <v>Process Improvement</v>
      </c>
      <c r="AE169" s="380" t="str">
        <f>VLOOKUP($B169,'D7 - NDB Impacted SPRF''s'!$E$6:$O$9929,7,FALSE)</f>
        <v>Kaja, Tim</v>
      </c>
      <c r="AF169" s="380" t="str">
        <f>VLOOKUP($B169,'D7 - NDB Impacted SPRF''s'!$E$6:$O$9929,6,FALSE)</f>
        <v>JESSICA BROWER</v>
      </c>
      <c r="AG169" s="282"/>
      <c r="AH169" s="311" t="str">
        <f>INDEX('D5 - Gatekeeper - Projects'!$A$4:$AF$1010,$AM169, 17)</f>
        <v>J. Boulus</v>
      </c>
      <c r="AI169" s="8"/>
      <c r="AJ169" s="57"/>
      <c r="AK169" s="105"/>
      <c r="AM169" s="6">
        <f>MATCH(D169,'D5 - Gatekeeper - Projects'!$C$4:$C$1010,0)</f>
        <v>163</v>
      </c>
      <c r="AN169" s="6" t="b">
        <f t="shared" si="17"/>
        <v>0</v>
      </c>
      <c r="AO169" s="6" t="str">
        <f t="shared" si="18"/>
        <v>OK</v>
      </c>
      <c r="AQ169" s="6" t="e">
        <f>MATCH($D169,'D4 - Provider Council Unsched'!$C$11:$C$234,0)</f>
        <v>#N/A</v>
      </c>
      <c r="AR169" s="6" t="b">
        <f t="shared" si="19"/>
        <v>1</v>
      </c>
      <c r="AS169" s="6" t="str">
        <f t="shared" si="20"/>
        <v>OK</v>
      </c>
      <c r="AU169" s="202">
        <v>41334</v>
      </c>
      <c r="AV169" s="6" t="s">
        <v>8853</v>
      </c>
      <c r="AW169" s="274"/>
    </row>
    <row r="170" spans="1:49" s="13" customFormat="1" ht="33.75" x14ac:dyDescent="0.2">
      <c r="A170" s="14">
        <v>143</v>
      </c>
      <c r="B170" s="14">
        <v>400057571</v>
      </c>
      <c r="C170" s="8" t="s">
        <v>8138</v>
      </c>
      <c r="D170" s="4" t="str">
        <f t="shared" si="16"/>
        <v>400057571UA</v>
      </c>
      <c r="E170" s="309" t="str">
        <f>VLOOKUP($B170,'D7 - NDB Impacted SPRF''s'!$E$6:$O$9929,2,FALSE)</f>
        <v>CAQH - EPDI Feed</v>
      </c>
      <c r="F170" s="8"/>
      <c r="G170" s="8" t="s">
        <v>5565</v>
      </c>
      <c r="H170" s="8" t="s">
        <v>1606</v>
      </c>
      <c r="I170" s="20">
        <v>1.43</v>
      </c>
      <c r="J170" s="8" t="s">
        <v>4862</v>
      </c>
      <c r="K170" s="182">
        <v>41538</v>
      </c>
      <c r="L170" s="8" t="s">
        <v>4156</v>
      </c>
      <c r="M170" s="8" t="s">
        <v>2814</v>
      </c>
      <c r="N170" s="38" t="s">
        <v>9451</v>
      </c>
      <c r="O170" s="8"/>
      <c r="P170" s="4" t="str">
        <f>VLOOKUP($B170,'D7 - NDB Impacted SPRF''s'!$E$16:$O$9929,9,FALSE)</f>
        <v>N</v>
      </c>
      <c r="Q170" s="4" t="str">
        <f>VLOOKUP($B170,'D7 - NDB Impacted SPRF''s'!$E$16:$O$9929,10,FALSE)</f>
        <v>N</v>
      </c>
      <c r="R170" s="4" t="str">
        <f>VLOOKUP($B170,'D7 - NDB Impacted SPRF''s'!$E$16:$O$9929,11,FALSE)</f>
        <v>N</v>
      </c>
      <c r="S170" s="8"/>
      <c r="T170" s="310"/>
      <c r="U170" s="310"/>
      <c r="V170" s="4"/>
      <c r="W170" s="4"/>
      <c r="X170" s="4"/>
      <c r="Y170" s="4"/>
      <c r="Z170" s="4"/>
      <c r="AA170" s="4"/>
      <c r="AB170" s="380" t="str">
        <f>VLOOKUP($B170,'D7 - NDB Impacted SPRF''s'!$E$6:$O$9929,4,FALSE)</f>
        <v>Scheduled</v>
      </c>
      <c r="AC170" s="380" t="str">
        <f>VLOOKUP($B170,'D7 - NDB Impacted SPRF''s'!$E$6:$O$9929,3,FALSE)</f>
        <v>UnitedHealthcare Employer &amp; Individual</v>
      </c>
      <c r="AD170" s="380" t="str">
        <f>VLOOKUP($B170,'D7 - NDB Impacted SPRF''s'!$E$6:$O$9929,5,FALSE)</f>
        <v>Process Improvement</v>
      </c>
      <c r="AE170" s="380" t="str">
        <f>VLOOKUP($B170,'D7 - NDB Impacted SPRF''s'!$E$6:$O$9929,7,FALSE)</f>
        <v>Kaja, Tim</v>
      </c>
      <c r="AF170" s="380" t="str">
        <f>VLOOKUP($B170,'D7 - NDB Impacted SPRF''s'!$E$6:$O$9929,6,FALSE)</f>
        <v>JESSICA BROWER</v>
      </c>
      <c r="AG170" s="282"/>
      <c r="AH170" s="311" t="str">
        <f>INDEX('D5 - Gatekeeper - Projects'!$A$4:$AF$1010,$AM170, 17)</f>
        <v>J. Boulus</v>
      </c>
      <c r="AI170" s="8"/>
      <c r="AJ170" s="57"/>
      <c r="AK170" s="105"/>
      <c r="AM170" s="6">
        <f>MATCH(D170,'D5 - Gatekeeper - Projects'!$C$4:$C$1010,0)</f>
        <v>164</v>
      </c>
      <c r="AN170" s="6" t="b">
        <f t="shared" si="17"/>
        <v>0</v>
      </c>
      <c r="AO170" s="6" t="str">
        <f t="shared" si="18"/>
        <v>OK</v>
      </c>
      <c r="AQ170" s="6" t="e">
        <f>MATCH($D170,'D4 - Provider Council Unsched'!$C$11:$C$234,0)</f>
        <v>#N/A</v>
      </c>
      <c r="AR170" s="6" t="b">
        <f t="shared" si="19"/>
        <v>1</v>
      </c>
      <c r="AS170" s="6" t="str">
        <f t="shared" si="20"/>
        <v>OK</v>
      </c>
      <c r="AU170" s="202">
        <v>41390</v>
      </c>
      <c r="AV170" s="6" t="s">
        <v>8853</v>
      </c>
      <c r="AW170" s="274"/>
    </row>
    <row r="171" spans="1:49" s="13" customFormat="1" ht="56.25" x14ac:dyDescent="0.2">
      <c r="A171" s="14">
        <v>144</v>
      </c>
      <c r="B171" s="8">
        <v>400057743</v>
      </c>
      <c r="C171" s="8" t="s">
        <v>1447</v>
      </c>
      <c r="D171" s="4" t="str">
        <f t="shared" si="16"/>
        <v>400057743A</v>
      </c>
      <c r="E171" s="309" t="str">
        <f>VLOOKUP($B171,'D7 - NDB Impacted SPRF''s'!$E$6:$O$9929,2,FALSE)</f>
        <v>Medicare Advantage Part C EOB Day 1 Project (A/D)</v>
      </c>
      <c r="F171" s="8"/>
      <c r="G171" s="8" t="s">
        <v>5565</v>
      </c>
      <c r="H171" s="8" t="s">
        <v>1606</v>
      </c>
      <c r="I171" s="20">
        <v>33.58</v>
      </c>
      <c r="J171" s="8" t="s">
        <v>4862</v>
      </c>
      <c r="K171" s="182">
        <v>41538</v>
      </c>
      <c r="L171" s="8" t="s">
        <v>4156</v>
      </c>
      <c r="M171" s="8" t="s">
        <v>2814</v>
      </c>
      <c r="N171" s="38" t="s">
        <v>9608</v>
      </c>
      <c r="O171" s="8"/>
      <c r="P171" s="4" t="str">
        <f>VLOOKUP($B171,'D7 - NDB Impacted SPRF''s'!$E$16:$O$9929,9,FALSE)</f>
        <v>N</v>
      </c>
      <c r="Q171" s="4" t="str">
        <f>VLOOKUP($B171,'D7 - NDB Impacted SPRF''s'!$E$16:$O$9929,10,FALSE)</f>
        <v>N</v>
      </c>
      <c r="R171" s="4" t="str">
        <f>VLOOKUP($B171,'D7 - NDB Impacted SPRF''s'!$E$16:$O$9929,11,FALSE)</f>
        <v>N</v>
      </c>
      <c r="S171" s="8"/>
      <c r="T171" s="310"/>
      <c r="U171" s="310"/>
      <c r="V171" s="4"/>
      <c r="W171" s="4"/>
      <c r="X171" s="4"/>
      <c r="Y171" s="4"/>
      <c r="Z171" s="4"/>
      <c r="AA171" s="4"/>
      <c r="AB171" s="380" t="str">
        <f>VLOOKUP($B171,'D7 - NDB Impacted SPRF''s'!$E$6:$O$9929,4,FALSE)</f>
        <v>In Strategy Council</v>
      </c>
      <c r="AC171" s="380" t="str">
        <f>VLOOKUP($B171,'D7 - NDB Impacted SPRF''s'!$E$6:$O$9929,3,FALSE)</f>
        <v>UnitedHealthcare Medicare &amp; Retirement</v>
      </c>
      <c r="AD171" s="380" t="str">
        <f>VLOOKUP($B171,'D7 - NDB Impacted SPRF''s'!$E$6:$O$9929,5,FALSE)</f>
        <v>Operational Requirements</v>
      </c>
      <c r="AE171" s="380" t="str">
        <f>VLOOKUP($B171,'D7 - NDB Impacted SPRF''s'!$E$6:$O$9929,7,FALSE)</f>
        <v>Karen Piacentini</v>
      </c>
      <c r="AF171" s="380" t="str">
        <f>VLOOKUP($B171,'D7 - NDB Impacted SPRF''s'!$E$6:$O$9929,6,FALSE)</f>
        <v>DEBORAH LAXSON</v>
      </c>
      <c r="AG171" s="282"/>
      <c r="AH171" s="311" t="str">
        <f>INDEX('D5 - Gatekeeper - Projects'!$A$4:$AF$1010,$AM171, 17)</f>
        <v xml:space="preserve">D. Bajpai </v>
      </c>
      <c r="AI171" s="8"/>
      <c r="AJ171" s="57"/>
      <c r="AK171" s="105"/>
      <c r="AM171" s="6">
        <f>MATCH(D171,'D5 - Gatekeeper - Projects'!$C$4:$C$1010,0)</f>
        <v>165</v>
      </c>
      <c r="AN171" s="6" t="b">
        <f t="shared" si="17"/>
        <v>0</v>
      </c>
      <c r="AO171" s="6" t="str">
        <f t="shared" si="18"/>
        <v>OK</v>
      </c>
      <c r="AQ171" s="6" t="e">
        <f>MATCH($D171,'D4 - Provider Council Unsched'!$C$11:$C$234,0)</f>
        <v>#N/A</v>
      </c>
      <c r="AR171" s="6" t="b">
        <f t="shared" si="19"/>
        <v>1</v>
      </c>
      <c r="AS171" s="6" t="str">
        <f t="shared" si="20"/>
        <v>OK</v>
      </c>
      <c r="AU171" s="202">
        <v>41341</v>
      </c>
      <c r="AV171" s="404" t="s">
        <v>8956</v>
      </c>
      <c r="AW171" s="274"/>
    </row>
    <row r="172" spans="1:49" s="13" customFormat="1" ht="67.5" x14ac:dyDescent="0.2">
      <c r="A172" s="14">
        <v>95</v>
      </c>
      <c r="B172" s="8">
        <v>400058144</v>
      </c>
      <c r="C172" s="8" t="s">
        <v>1447</v>
      </c>
      <c r="D172" s="4" t="str">
        <f t="shared" si="16"/>
        <v>400058144A</v>
      </c>
      <c r="E172" s="309" t="str">
        <f>VLOOKUP($B172,'D7 - NDB Impacted SPRF''s'!$E$6:$O$9929,2,FALSE)</f>
        <v>myHCE: TCI Tables (Core functionality) 2013</v>
      </c>
      <c r="F172" s="8"/>
      <c r="G172" s="8" t="s">
        <v>7980</v>
      </c>
      <c r="H172" s="8" t="s">
        <v>1606</v>
      </c>
      <c r="I172" s="20">
        <v>50.72</v>
      </c>
      <c r="J172" s="8" t="s">
        <v>4862</v>
      </c>
      <c r="K172" s="182">
        <v>41538</v>
      </c>
      <c r="L172" s="8" t="s">
        <v>4156</v>
      </c>
      <c r="M172" s="8" t="s">
        <v>2814</v>
      </c>
      <c r="N172" s="38" t="s">
        <v>9031</v>
      </c>
      <c r="O172" s="8"/>
      <c r="P172" s="4" t="str">
        <f>VLOOKUP($B172,'D7 - NDB Impacted SPRF''s'!$E$16:$O$9929,9,FALSE)</f>
        <v>Y</v>
      </c>
      <c r="Q172" s="4" t="str">
        <f>VLOOKUP($B172,'D7 - NDB Impacted SPRF''s'!$E$16:$O$9929,10,FALSE)</f>
        <v>N</v>
      </c>
      <c r="R172" s="4" t="str">
        <f>VLOOKUP($B172,'D7 - NDB Impacted SPRF''s'!$E$16:$O$9929,11,FALSE)</f>
        <v>N</v>
      </c>
      <c r="S172" s="8"/>
      <c r="T172" s="310"/>
      <c r="U172" s="310"/>
      <c r="V172" s="4"/>
      <c r="W172" s="4"/>
      <c r="X172" s="4"/>
      <c r="Y172" s="4"/>
      <c r="Z172" s="4"/>
      <c r="AA172" s="4"/>
      <c r="AB172" s="380" t="str">
        <f>VLOOKUP($B172,'D7 - NDB Impacted SPRF''s'!$E$6:$O$9929,4,FALSE)</f>
        <v>Scheduled</v>
      </c>
      <c r="AC172" s="380" t="str">
        <f>VLOOKUP($B172,'D7 - NDB Impacted SPRF''s'!$E$6:$O$9929,3,FALSE)</f>
        <v>UnitedHealthcare Employer &amp; Individual</v>
      </c>
      <c r="AD172" s="380" t="str">
        <f>VLOOKUP($B172,'D7 - NDB Impacted SPRF''s'!$E$6:$O$9929,5,FALSE)</f>
        <v>Membership Growth / Revenue Programs</v>
      </c>
      <c r="AE172" s="380" t="str">
        <f>VLOOKUP($B172,'D7 - NDB Impacted SPRF''s'!$E$6:$O$9929,7,FALSE)</f>
        <v>Victoria Bogatyrenko</v>
      </c>
      <c r="AF172" s="380" t="str">
        <f>VLOOKUP($B172,'D7 - NDB Impacted SPRF''s'!$E$6:$O$9929,6,FALSE)</f>
        <v>Kari Mclarty</v>
      </c>
      <c r="AG172" s="282"/>
      <c r="AH172" s="311" t="str">
        <f>INDEX('D5 - Gatekeeper - Projects'!$A$4:$AF$1010,$AM172, 17)</f>
        <v>C. Chen</v>
      </c>
      <c r="AI172" s="8"/>
      <c r="AJ172" s="57"/>
      <c r="AK172" s="105"/>
      <c r="AM172" s="6">
        <f>MATCH(D172,'D5 - Gatekeeper - Projects'!$C$4:$C$1010,0)</f>
        <v>166</v>
      </c>
      <c r="AN172" s="6" t="b">
        <f t="shared" si="17"/>
        <v>0</v>
      </c>
      <c r="AO172" s="6" t="str">
        <f t="shared" si="18"/>
        <v>OK</v>
      </c>
      <c r="AQ172" s="6" t="e">
        <f>MATCH($D172,'D4 - Provider Council Unsched'!$C$11:$C$234,0)</f>
        <v>#N/A</v>
      </c>
      <c r="AR172" s="6" t="b">
        <f t="shared" si="19"/>
        <v>1</v>
      </c>
      <c r="AS172" s="6" t="str">
        <f t="shared" si="20"/>
        <v>OK</v>
      </c>
      <c r="AU172" s="202">
        <v>41341</v>
      </c>
      <c r="AV172" s="404" t="s">
        <v>932</v>
      </c>
      <c r="AW172" s="274"/>
    </row>
    <row r="173" spans="1:49" s="13" customFormat="1" ht="45" x14ac:dyDescent="0.2">
      <c r="A173" s="14">
        <v>96</v>
      </c>
      <c r="B173" s="8">
        <v>400058144</v>
      </c>
      <c r="C173" s="8" t="s">
        <v>8138</v>
      </c>
      <c r="D173" s="4" t="str">
        <f t="shared" si="16"/>
        <v>400058144UA</v>
      </c>
      <c r="E173" s="309" t="str">
        <f>VLOOKUP($B173,'D7 - NDB Impacted SPRF''s'!$E$6:$O$9929,2,FALSE)</f>
        <v>myHCE: TCI Tables (Core functionality) 2013</v>
      </c>
      <c r="F173" s="8"/>
      <c r="G173" s="8" t="s">
        <v>7980</v>
      </c>
      <c r="H173" s="8" t="s">
        <v>1606</v>
      </c>
      <c r="I173" s="20">
        <v>1.43</v>
      </c>
      <c r="J173" s="8" t="s">
        <v>4862</v>
      </c>
      <c r="K173" s="182">
        <v>41538</v>
      </c>
      <c r="L173" s="8" t="s">
        <v>4156</v>
      </c>
      <c r="M173" s="8" t="s">
        <v>2814</v>
      </c>
      <c r="N173" s="38" t="s">
        <v>9032</v>
      </c>
      <c r="O173" s="8"/>
      <c r="P173" s="4" t="str">
        <f>VLOOKUP($B173,'D7 - NDB Impacted SPRF''s'!$E$16:$O$9929,9,FALSE)</f>
        <v>Y</v>
      </c>
      <c r="Q173" s="4" t="str">
        <f>VLOOKUP($B173,'D7 - NDB Impacted SPRF''s'!$E$16:$O$9929,10,FALSE)</f>
        <v>N</v>
      </c>
      <c r="R173" s="4" t="str">
        <f>VLOOKUP($B173,'D7 - NDB Impacted SPRF''s'!$E$16:$O$9929,11,FALSE)</f>
        <v>N</v>
      </c>
      <c r="S173" s="8"/>
      <c r="T173" s="310"/>
      <c r="U173" s="310"/>
      <c r="V173" s="4"/>
      <c r="W173" s="4"/>
      <c r="X173" s="4"/>
      <c r="Y173" s="4"/>
      <c r="Z173" s="4"/>
      <c r="AA173" s="4"/>
      <c r="AB173" s="380" t="str">
        <f>VLOOKUP($B173,'D7 - NDB Impacted SPRF''s'!$E$6:$O$9929,4,FALSE)</f>
        <v>Scheduled</v>
      </c>
      <c r="AC173" s="380" t="str">
        <f>VLOOKUP($B173,'D7 - NDB Impacted SPRF''s'!$E$6:$O$9929,3,FALSE)</f>
        <v>UnitedHealthcare Employer &amp; Individual</v>
      </c>
      <c r="AD173" s="380" t="str">
        <f>VLOOKUP($B173,'D7 - NDB Impacted SPRF''s'!$E$6:$O$9929,5,FALSE)</f>
        <v>Membership Growth / Revenue Programs</v>
      </c>
      <c r="AE173" s="380" t="str">
        <f>VLOOKUP($B173,'D7 - NDB Impacted SPRF''s'!$E$6:$O$9929,7,FALSE)</f>
        <v>Victoria Bogatyrenko</v>
      </c>
      <c r="AF173" s="380" t="str">
        <f>VLOOKUP($B173,'D7 - NDB Impacted SPRF''s'!$E$6:$O$9929,6,FALSE)</f>
        <v>Kari Mclarty</v>
      </c>
      <c r="AG173" s="282"/>
      <c r="AH173" s="311" t="str">
        <f>INDEX('D5 - Gatekeeper - Projects'!$A$4:$AF$1010,$AM173, 17)</f>
        <v>C. Chen</v>
      </c>
      <c r="AI173" s="8"/>
      <c r="AJ173" s="57"/>
      <c r="AK173" s="105"/>
      <c r="AM173" s="6">
        <f>MATCH(D173,'D5 - Gatekeeper - Projects'!$C$4:$C$1010,0)</f>
        <v>167</v>
      </c>
      <c r="AN173" s="6" t="b">
        <f t="shared" si="17"/>
        <v>0</v>
      </c>
      <c r="AO173" s="6" t="str">
        <f t="shared" si="18"/>
        <v>OK</v>
      </c>
      <c r="AQ173" s="6" t="e">
        <f>MATCH($D173,'D4 - Provider Council Unsched'!$C$11:$C$234,0)</f>
        <v>#N/A</v>
      </c>
      <c r="AR173" s="6" t="b">
        <f t="shared" si="19"/>
        <v>1</v>
      </c>
      <c r="AS173" s="6" t="str">
        <f t="shared" si="20"/>
        <v>OK</v>
      </c>
      <c r="AU173" s="202">
        <v>41341</v>
      </c>
      <c r="AV173" s="404" t="s">
        <v>932</v>
      </c>
      <c r="AW173" s="274"/>
    </row>
    <row r="174" spans="1:49" s="13" customFormat="1" ht="45" x14ac:dyDescent="0.2">
      <c r="A174" s="14">
        <v>145</v>
      </c>
      <c r="B174" s="8">
        <v>400047877</v>
      </c>
      <c r="C174" s="8" t="s">
        <v>1447</v>
      </c>
      <c r="D174" s="4" t="str">
        <f t="shared" si="16"/>
        <v>400047877A</v>
      </c>
      <c r="E174" s="309" t="str">
        <f>VLOOKUP($B174,'D7 - NDB Impacted SPRF''s'!$E$6:$O$9929,2,FALSE)</f>
        <v>Arizona CSP Facets Migration</v>
      </c>
      <c r="F174" s="8"/>
      <c r="G174" s="8" t="s">
        <v>7980</v>
      </c>
      <c r="H174" s="8" t="s">
        <v>1606</v>
      </c>
      <c r="I174" s="20">
        <v>4.0599999999999996</v>
      </c>
      <c r="J174" s="8" t="s">
        <v>4862</v>
      </c>
      <c r="K174" s="182">
        <v>41558</v>
      </c>
      <c r="L174" s="8" t="s">
        <v>4156</v>
      </c>
      <c r="M174" s="8" t="s">
        <v>3598</v>
      </c>
      <c r="N174" s="38" t="s">
        <v>1306</v>
      </c>
      <c r="O174" s="8"/>
      <c r="P174" s="4" t="str">
        <f>VLOOKUP($B174,'D7 - NDB Impacted SPRF''s'!$E$16:$O$9929,9,FALSE)</f>
        <v>N</v>
      </c>
      <c r="Q174" s="4" t="str">
        <f>VLOOKUP($B174,'D7 - NDB Impacted SPRF''s'!$E$16:$O$9929,10,FALSE)</f>
        <v>N</v>
      </c>
      <c r="R174" s="4" t="str">
        <f>VLOOKUP($B174,'D7 - NDB Impacted SPRF''s'!$E$16:$O$9929,11,FALSE)</f>
        <v>Y</v>
      </c>
      <c r="S174" s="8"/>
      <c r="T174" s="310"/>
      <c r="U174" s="310"/>
      <c r="V174" s="4"/>
      <c r="W174" s="4"/>
      <c r="X174" s="4"/>
      <c r="Y174" s="4"/>
      <c r="Z174" s="4"/>
      <c r="AA174" s="4"/>
      <c r="AB174" s="380" t="str">
        <f>VLOOKUP($B174,'D7 - NDB Impacted SPRF''s'!$E$6:$O$9929,4,FALSE)</f>
        <v>Scheduled</v>
      </c>
      <c r="AC174" s="380" t="str">
        <f>VLOOKUP($B174,'D7 - NDB Impacted SPRF''s'!$E$6:$O$9929,3,FALSE)</f>
        <v>UnitedHealthcare Community &amp; State</v>
      </c>
      <c r="AD174" s="380" t="str">
        <f>VLOOKUP($B174,'D7 - NDB Impacted SPRF''s'!$E$6:$O$9929,5,FALSE)</f>
        <v>Integration Requirements</v>
      </c>
      <c r="AE174" s="380" t="str">
        <f>VLOOKUP($B174,'D7 - NDB Impacted SPRF''s'!$E$6:$O$9929,7,FALSE)</f>
        <v>Chris Scherer</v>
      </c>
      <c r="AF174" s="380" t="str">
        <f>VLOOKUP($B174,'D7 - NDB Impacted SPRF''s'!$E$6:$O$9929,6,FALSE)</f>
        <v>ROSSANA SALVADORI</v>
      </c>
      <c r="AG174" s="282"/>
      <c r="AH174" s="311" t="str">
        <f>INDEX('D5 - Gatekeeper - Projects'!$A$4:$AF$1010,$AM174, 17)</f>
        <v>B. Brown</v>
      </c>
      <c r="AI174" s="8"/>
      <c r="AJ174" s="57"/>
      <c r="AK174" s="105"/>
      <c r="AM174" s="6">
        <f>MATCH(D174,'D5 - Gatekeeper - Projects'!$C$4:$C$1010,0)</f>
        <v>168</v>
      </c>
      <c r="AN174" s="6" t="b">
        <f t="shared" si="17"/>
        <v>0</v>
      </c>
      <c r="AO174" s="6" t="str">
        <f t="shared" si="18"/>
        <v>OK</v>
      </c>
      <c r="AQ174" s="6" t="e">
        <f>MATCH($D174,'D4 - Provider Council Unsched'!$C$11:$C$234,0)</f>
        <v>#N/A</v>
      </c>
      <c r="AR174" s="6" t="b">
        <f t="shared" si="19"/>
        <v>1</v>
      </c>
      <c r="AS174" s="6" t="str">
        <f t="shared" si="20"/>
        <v>OK</v>
      </c>
      <c r="AU174" s="202">
        <v>40897</v>
      </c>
      <c r="AV174" s="6" t="s">
        <v>466</v>
      </c>
      <c r="AW174" s="274">
        <v>50513</v>
      </c>
    </row>
    <row r="175" spans="1:49" s="13" customFormat="1" ht="33.75" x14ac:dyDescent="0.2">
      <c r="A175" s="14">
        <v>146</v>
      </c>
      <c r="B175" s="8">
        <v>400047877</v>
      </c>
      <c r="C175" s="8" t="s">
        <v>7290</v>
      </c>
      <c r="D175" s="4" t="str">
        <f t="shared" si="16"/>
        <v>400047877B</v>
      </c>
      <c r="E175" s="309" t="str">
        <f>VLOOKUP($B175,'D7 - NDB Impacted SPRF''s'!$E$6:$O$9929,2,FALSE)</f>
        <v>Arizona CSP Facets Migration</v>
      </c>
      <c r="F175" s="8"/>
      <c r="G175" s="8" t="s">
        <v>7980</v>
      </c>
      <c r="H175" s="8" t="s">
        <v>1606</v>
      </c>
      <c r="I175" s="20">
        <v>12.71</v>
      </c>
      <c r="J175" s="8" t="s">
        <v>4862</v>
      </c>
      <c r="K175" s="182">
        <v>41558</v>
      </c>
      <c r="L175" s="8" t="s">
        <v>4156</v>
      </c>
      <c r="M175" s="8" t="s">
        <v>2814</v>
      </c>
      <c r="N175" s="38" t="s">
        <v>2748</v>
      </c>
      <c r="O175" s="8"/>
      <c r="P175" s="4" t="str">
        <f>VLOOKUP($B175,'D7 - NDB Impacted SPRF''s'!$E$16:$O$9929,9,FALSE)</f>
        <v>N</v>
      </c>
      <c r="Q175" s="4" t="str">
        <f>VLOOKUP($B175,'D7 - NDB Impacted SPRF''s'!$E$16:$O$9929,10,FALSE)</f>
        <v>N</v>
      </c>
      <c r="R175" s="4" t="str">
        <f>VLOOKUP($B175,'D7 - NDB Impacted SPRF''s'!$E$16:$O$9929,11,FALSE)</f>
        <v>Y</v>
      </c>
      <c r="S175" s="8"/>
      <c r="T175" s="310"/>
      <c r="U175" s="310"/>
      <c r="V175" s="4"/>
      <c r="W175" s="4"/>
      <c r="X175" s="4"/>
      <c r="Y175" s="4"/>
      <c r="Z175" s="4"/>
      <c r="AA175" s="4"/>
      <c r="AB175" s="380" t="str">
        <f>VLOOKUP($B175,'D7 - NDB Impacted SPRF''s'!$E$6:$O$9929,4,FALSE)</f>
        <v>Scheduled</v>
      </c>
      <c r="AC175" s="380" t="str">
        <f>VLOOKUP($B175,'D7 - NDB Impacted SPRF''s'!$E$6:$O$9929,3,FALSE)</f>
        <v>UnitedHealthcare Community &amp; State</v>
      </c>
      <c r="AD175" s="380" t="str">
        <f>VLOOKUP($B175,'D7 - NDB Impacted SPRF''s'!$E$6:$O$9929,5,FALSE)</f>
        <v>Integration Requirements</v>
      </c>
      <c r="AE175" s="380" t="str">
        <f>VLOOKUP($B175,'D7 - NDB Impacted SPRF''s'!$E$6:$O$9929,7,FALSE)</f>
        <v>Chris Scherer</v>
      </c>
      <c r="AF175" s="380" t="str">
        <f>VLOOKUP($B175,'D7 - NDB Impacted SPRF''s'!$E$6:$O$9929,6,FALSE)</f>
        <v>ROSSANA SALVADORI</v>
      </c>
      <c r="AG175" s="282"/>
      <c r="AH175" s="311" t="str">
        <f>INDEX('D5 - Gatekeeper - Projects'!$A$4:$AF$1010,$AM175, 17)</f>
        <v>B. Brown</v>
      </c>
      <c r="AI175" s="8"/>
      <c r="AJ175" s="57"/>
      <c r="AK175" s="105"/>
      <c r="AM175" s="6">
        <f>MATCH(D175,'D5 - Gatekeeper - Projects'!$C$4:$C$1010,0)</f>
        <v>169</v>
      </c>
      <c r="AN175" s="6" t="b">
        <f t="shared" si="17"/>
        <v>0</v>
      </c>
      <c r="AO175" s="6" t="str">
        <f t="shared" si="18"/>
        <v>OK</v>
      </c>
      <c r="AQ175" s="6" t="e">
        <f>MATCH($D175,'D4 - Provider Council Unsched'!$C$11:$C$234,0)</f>
        <v>#N/A</v>
      </c>
      <c r="AR175" s="6" t="b">
        <f t="shared" si="19"/>
        <v>1</v>
      </c>
      <c r="AS175" s="6" t="str">
        <f t="shared" si="20"/>
        <v>OK</v>
      </c>
      <c r="AU175" s="202">
        <v>41376</v>
      </c>
      <c r="AV175" s="6" t="s">
        <v>466</v>
      </c>
      <c r="AW175" s="274">
        <v>50513</v>
      </c>
    </row>
    <row r="176" spans="1:49" s="13" customFormat="1" ht="33.75" x14ac:dyDescent="0.2">
      <c r="A176" s="14">
        <v>147</v>
      </c>
      <c r="B176" s="8">
        <v>400050282</v>
      </c>
      <c r="C176" s="8" t="s">
        <v>7290</v>
      </c>
      <c r="D176" s="4" t="str">
        <f t="shared" si="16"/>
        <v>400050282B</v>
      </c>
      <c r="E176" s="309" t="str">
        <f>VLOOKUP($B176,'D7 - NDB Impacted SPRF''s'!$E$6:$O$9929,2,FALSE)</f>
        <v xml:space="preserve">Capitation Feed for CSP from NDB </v>
      </c>
      <c r="F176" s="8"/>
      <c r="G176" s="8" t="s">
        <v>7980</v>
      </c>
      <c r="H176" s="8" t="s">
        <v>1606</v>
      </c>
      <c r="I176" s="20">
        <v>28.3</v>
      </c>
      <c r="J176" s="8" t="s">
        <v>4862</v>
      </c>
      <c r="K176" s="182">
        <v>41594</v>
      </c>
      <c r="L176" s="8" t="s">
        <v>4156</v>
      </c>
      <c r="M176" s="8" t="s">
        <v>2814</v>
      </c>
      <c r="N176" s="364" t="s">
        <v>9024</v>
      </c>
      <c r="O176" s="8"/>
      <c r="P176" s="4" t="str">
        <f>VLOOKUP($B176,'D7 - NDB Impacted SPRF''s'!$E$16:$O$9929,9,FALSE)</f>
        <v>N</v>
      </c>
      <c r="Q176" s="4" t="str">
        <f>VLOOKUP($B176,'D7 - NDB Impacted SPRF''s'!$E$16:$O$9929,10,FALSE)</f>
        <v>N</v>
      </c>
      <c r="R176" s="4" t="str">
        <f>VLOOKUP($B176,'D7 - NDB Impacted SPRF''s'!$E$16:$O$9929,11,FALSE)</f>
        <v>N</v>
      </c>
      <c r="S176" s="8"/>
      <c r="T176" s="310"/>
      <c r="U176" s="310"/>
      <c r="V176" s="4"/>
      <c r="W176" s="4"/>
      <c r="X176" s="4"/>
      <c r="Y176" s="4"/>
      <c r="Z176" s="4"/>
      <c r="AA176" s="4"/>
      <c r="AB176" s="380" t="str">
        <f>VLOOKUP($B176,'D7 - NDB Impacted SPRF''s'!$E$6:$O$9929,4,FALSE)</f>
        <v>Scheduled</v>
      </c>
      <c r="AC176" s="380" t="str">
        <f>VLOOKUP($B176,'D7 - NDB Impacted SPRF''s'!$E$6:$O$9929,3,FALSE)</f>
        <v>UnitedHealthcare Community &amp; State</v>
      </c>
      <c r="AD176" s="380" t="str">
        <f>VLOOKUP($B176,'D7 - NDB Impacted SPRF''s'!$E$6:$O$9929,5,FALSE)</f>
        <v>Integration Requirements</v>
      </c>
      <c r="AE176" s="380" t="str">
        <f>VLOOKUP($B176,'D7 - NDB Impacted SPRF''s'!$E$6:$O$9929,7,FALSE)</f>
        <v>Kurt Johnson</v>
      </c>
      <c r="AF176" s="380" t="str">
        <f>VLOOKUP($B176,'D7 - NDB Impacted SPRF''s'!$E$6:$O$9929,6,FALSE)</f>
        <v>Christine Vall</v>
      </c>
      <c r="AG176" s="282"/>
      <c r="AH176" s="311" t="str">
        <f>INDEX('D5 - Gatekeeper - Projects'!$A$4:$AF$1010,$AM176, 17)</f>
        <v xml:space="preserve">D. Bajpai </v>
      </c>
      <c r="AI176" s="8"/>
      <c r="AJ176" s="57"/>
      <c r="AK176" s="105"/>
      <c r="AM176" s="6">
        <f>MATCH(D176,'D5 - Gatekeeper - Projects'!$C$4:$C$1010,0)</f>
        <v>171</v>
      </c>
      <c r="AN176" s="6" t="b">
        <f t="shared" si="17"/>
        <v>0</v>
      </c>
      <c r="AO176" s="6" t="str">
        <f t="shared" si="18"/>
        <v>OK</v>
      </c>
      <c r="AQ176" s="6" t="e">
        <f>MATCH($D176,'D4 - Provider Council Unsched'!$C$11:$C$234,0)</f>
        <v>#N/A</v>
      </c>
      <c r="AR176" s="6" t="b">
        <f t="shared" si="19"/>
        <v>1</v>
      </c>
      <c r="AS176" s="6" t="str">
        <f t="shared" si="20"/>
        <v>OK</v>
      </c>
      <c r="AU176" s="202">
        <v>41341</v>
      </c>
      <c r="AV176" s="6" t="s">
        <v>936</v>
      </c>
      <c r="AW176" s="274">
        <v>56731</v>
      </c>
    </row>
    <row r="177" spans="1:49" s="13" customFormat="1" ht="33.75" x14ac:dyDescent="0.2">
      <c r="A177" s="14">
        <v>148</v>
      </c>
      <c r="B177" s="8">
        <v>400050350</v>
      </c>
      <c r="C177" s="8" t="s">
        <v>7292</v>
      </c>
      <c r="D177" s="4" t="str">
        <f t="shared" ref="D177:D208" si="21">CONCATENATE(B177,C177)</f>
        <v>400050350C</v>
      </c>
      <c r="E177" s="309" t="str">
        <f>VLOOKUP($B177,'D7 - NDB Impacted SPRF''s'!$E$6:$O$9929,2,FALSE)</f>
        <v>Provider Reimbursement Modernization – Phase I</v>
      </c>
      <c r="F177" s="8"/>
      <c r="G177" s="8" t="s">
        <v>7980</v>
      </c>
      <c r="H177" s="8" t="s">
        <v>1606</v>
      </c>
      <c r="I177" s="20">
        <v>0.73</v>
      </c>
      <c r="J177" s="8" t="s">
        <v>4862</v>
      </c>
      <c r="K177" s="182">
        <v>41594</v>
      </c>
      <c r="L177" s="8" t="s">
        <v>4156</v>
      </c>
      <c r="M177" s="8" t="s">
        <v>5626</v>
      </c>
      <c r="N177" s="38" t="s">
        <v>1982</v>
      </c>
      <c r="O177" s="8"/>
      <c r="P177" s="4" t="str">
        <f>VLOOKUP($B177,'D7 - NDB Impacted SPRF''s'!$E$16:$O$9929,9,FALSE)</f>
        <v>Y</v>
      </c>
      <c r="Q177" s="4" t="str">
        <f>VLOOKUP($B177,'D7 - NDB Impacted SPRF''s'!$E$16:$O$9929,10,FALSE)</f>
        <v>N</v>
      </c>
      <c r="R177" s="4" t="str">
        <f>VLOOKUP($B177,'D7 - NDB Impacted SPRF''s'!$E$16:$O$9929,11,FALSE)</f>
        <v>N</v>
      </c>
      <c r="S177" s="8"/>
      <c r="T177" s="310"/>
      <c r="U177" s="310"/>
      <c r="V177" s="4"/>
      <c r="W177" s="4"/>
      <c r="X177" s="4"/>
      <c r="Y177" s="4"/>
      <c r="Z177" s="4"/>
      <c r="AA177" s="4"/>
      <c r="AB177" s="380" t="str">
        <f>VLOOKUP($B177,'D7 - NDB Impacted SPRF''s'!$E$6:$O$9929,4,FALSE)</f>
        <v>In Strategy Council</v>
      </c>
      <c r="AC177" s="380" t="str">
        <f>VLOOKUP($B177,'D7 - NDB Impacted SPRF''s'!$E$6:$O$9929,3,FALSE)</f>
        <v>UnitedHealthcare Medicare &amp; Retirement</v>
      </c>
      <c r="AD177" s="380" t="str">
        <f>VLOOKUP($B177,'D7 - NDB Impacted SPRF''s'!$E$6:$O$9929,5,FALSE)</f>
        <v>Medical Cost Savings Programs</v>
      </c>
      <c r="AE177" s="380" t="str">
        <f>VLOOKUP($B177,'D7 - NDB Impacted SPRF''s'!$E$6:$O$9929,7,FALSE)</f>
        <v>Cindy Polich</v>
      </c>
      <c r="AF177" s="380" t="str">
        <f>VLOOKUP($B177,'D7 - NDB Impacted SPRF''s'!$E$6:$O$9929,6,FALSE)</f>
        <v>Debi Streb</v>
      </c>
      <c r="AG177" s="282"/>
      <c r="AH177" s="311" t="str">
        <f>INDEX('D5 - Gatekeeper - Projects'!$A$4:$AF$1010,$AM177, 17)</f>
        <v>T. Kester/B. Williams</v>
      </c>
      <c r="AI177" s="8"/>
      <c r="AJ177" s="57"/>
      <c r="AK177" s="105"/>
      <c r="AM177" s="6">
        <f>MATCH(D177,'D5 - Gatekeeper - Projects'!$C$4:$C$1010,0)</f>
        <v>172</v>
      </c>
      <c r="AN177" s="6" t="b">
        <f t="shared" si="17"/>
        <v>0</v>
      </c>
      <c r="AO177" s="6" t="str">
        <f t="shared" ref="AO177:AO208" si="22">IF(AND(H177="1 - Scheduled",AN177=TRUE),"Add","OK")</f>
        <v>OK</v>
      </c>
      <c r="AQ177" s="6" t="e">
        <f>MATCH($D177,'D4 - Provider Council Unsched'!$C$11:$C$234,0)</f>
        <v>#N/A</v>
      </c>
      <c r="AR177" s="6" t="b">
        <f t="shared" si="19"/>
        <v>1</v>
      </c>
      <c r="AS177" s="6" t="str">
        <f t="shared" ref="AS177:AS208" si="23">IF(AND(H177="2 - Not Scheduled",AR177=TRUE,C177="R1"),"Add","OK")</f>
        <v>OK</v>
      </c>
      <c r="AU177" s="202">
        <v>41354</v>
      </c>
      <c r="AV177" s="6" t="s">
        <v>2239</v>
      </c>
      <c r="AW177" s="274">
        <v>57842</v>
      </c>
    </row>
    <row r="178" spans="1:49" s="13" customFormat="1" ht="78.75" x14ac:dyDescent="0.2">
      <c r="A178" s="14">
        <v>149</v>
      </c>
      <c r="B178" s="8">
        <v>400051510</v>
      </c>
      <c r="C178" s="8" t="s">
        <v>7290</v>
      </c>
      <c r="D178" s="4" t="str">
        <f t="shared" si="21"/>
        <v>400051510B</v>
      </c>
      <c r="E178" s="309" t="str">
        <f>VLOOKUP($B178,'D7 - NDB Impacted SPRF''s'!$E$6:$O$9929,2,FALSE)</f>
        <v>PHC Eligibility Migration to GPS</v>
      </c>
      <c r="F178" s="8"/>
      <c r="G178" s="8" t="s">
        <v>7980</v>
      </c>
      <c r="H178" s="8" t="s">
        <v>1606</v>
      </c>
      <c r="I178" s="20">
        <v>0.48</v>
      </c>
      <c r="J178" s="8" t="s">
        <v>4862</v>
      </c>
      <c r="K178" s="182">
        <v>41594</v>
      </c>
      <c r="L178" s="8" t="s">
        <v>4156</v>
      </c>
      <c r="M178" s="8" t="s">
        <v>5626</v>
      </c>
      <c r="N178" s="38" t="s">
        <v>7219</v>
      </c>
      <c r="O178" s="8"/>
      <c r="P178" s="4" t="str">
        <f>VLOOKUP($B178,'D7 - NDB Impacted SPRF''s'!$E$16:$O$9929,9,FALSE)</f>
        <v>N</v>
      </c>
      <c r="Q178" s="4" t="str">
        <f>VLOOKUP($B178,'D7 - NDB Impacted SPRF''s'!$E$16:$O$9929,10,FALSE)</f>
        <v>N</v>
      </c>
      <c r="R178" s="4" t="str">
        <f>VLOOKUP($B178,'D7 - NDB Impacted SPRF''s'!$E$16:$O$9929,11,FALSE)</f>
        <v>N</v>
      </c>
      <c r="S178" s="8"/>
      <c r="T178" s="310"/>
      <c r="U178" s="310"/>
      <c r="V178" s="4"/>
      <c r="W178" s="4"/>
      <c r="X178" s="4"/>
      <c r="Y178" s="4"/>
      <c r="Z178" s="4"/>
      <c r="AA178" s="4"/>
      <c r="AB178" s="380" t="str">
        <f>VLOOKUP($B178,'D7 - NDB Impacted SPRF''s'!$E$6:$O$9929,4,FALSE)</f>
        <v>Scheduled</v>
      </c>
      <c r="AC178" s="380" t="str">
        <f>VLOOKUP($B178,'D7 - NDB Impacted SPRF''s'!$E$6:$O$9929,3,FALSE)</f>
        <v>UnitedHealthcare Medicare &amp; Retirement</v>
      </c>
      <c r="AD178" s="380" t="str">
        <f>VLOOKUP($B178,'D7 - NDB Impacted SPRF''s'!$E$6:$O$9929,5,FALSE)</f>
        <v>Integration Requirements</v>
      </c>
      <c r="AE178" s="380" t="str">
        <f>VLOOKUP($B178,'D7 - NDB Impacted SPRF''s'!$E$6:$O$9929,7,FALSE)</f>
        <v>Heather Selseth</v>
      </c>
      <c r="AF178" s="380" t="str">
        <f>VLOOKUP($B178,'D7 - NDB Impacted SPRF''s'!$E$6:$O$9929,6,FALSE)</f>
        <v>Lisa Kellner</v>
      </c>
      <c r="AG178" s="282"/>
      <c r="AH178" s="311" t="str">
        <f>INDEX('D5 - Gatekeeper - Projects'!$A$4:$AF$1010,$AM178, 17)</f>
        <v>T. Kester</v>
      </c>
      <c r="AI178" s="8"/>
      <c r="AJ178" s="57"/>
      <c r="AK178" s="105"/>
      <c r="AM178" s="6">
        <f>MATCH(D178,'D5 - Gatekeeper - Projects'!$C$4:$C$1010,0)</f>
        <v>173</v>
      </c>
      <c r="AN178" s="6" t="b">
        <f t="shared" si="17"/>
        <v>0</v>
      </c>
      <c r="AO178" s="6" t="str">
        <f t="shared" si="22"/>
        <v>OK</v>
      </c>
      <c r="AQ178" s="6" t="e">
        <f>MATCH($D178,'D4 - Provider Council Unsched'!$C$11:$C$234,0)</f>
        <v>#N/A</v>
      </c>
      <c r="AR178" s="6" t="b">
        <f t="shared" si="19"/>
        <v>1</v>
      </c>
      <c r="AS178" s="6" t="str">
        <f t="shared" si="23"/>
        <v>OK</v>
      </c>
      <c r="AU178" s="202">
        <v>41284</v>
      </c>
      <c r="AV178" s="6" t="s">
        <v>438</v>
      </c>
      <c r="AW178" s="274">
        <v>61122</v>
      </c>
    </row>
    <row r="179" spans="1:49" s="13" customFormat="1" ht="11.25" customHeight="1" x14ac:dyDescent="0.2">
      <c r="A179" s="14">
        <v>150</v>
      </c>
      <c r="B179" s="8">
        <v>400052214</v>
      </c>
      <c r="C179" s="8" t="s">
        <v>1447</v>
      </c>
      <c r="D179" s="4" t="str">
        <f t="shared" si="21"/>
        <v>400052214A</v>
      </c>
      <c r="E179" s="309" t="str">
        <f>VLOOKUP($B179,'D7 - NDB Impacted SPRF''s'!$E$6:$O$9929,2,FALSE)</f>
        <v>Clinical Adoption - Legacy PHS Migration Support</v>
      </c>
      <c r="F179" s="8"/>
      <c r="G179" s="8" t="s">
        <v>7980</v>
      </c>
      <c r="H179" s="8" t="s">
        <v>1606</v>
      </c>
      <c r="I179" s="20">
        <v>0.2</v>
      </c>
      <c r="J179" s="8" t="s">
        <v>4862</v>
      </c>
      <c r="K179" s="182">
        <v>41594</v>
      </c>
      <c r="L179" s="8" t="s">
        <v>4156</v>
      </c>
      <c r="M179" s="8" t="s">
        <v>5626</v>
      </c>
      <c r="N179" s="38"/>
      <c r="O179" s="8"/>
      <c r="P179" s="4" t="str">
        <f>VLOOKUP($B179,'D7 - NDB Impacted SPRF''s'!$E$16:$O$9929,9,FALSE)</f>
        <v>N</v>
      </c>
      <c r="Q179" s="4" t="str">
        <f>VLOOKUP($B179,'D7 - NDB Impacted SPRF''s'!$E$16:$O$9929,10,FALSE)</f>
        <v>N</v>
      </c>
      <c r="R179" s="4" t="str">
        <f>VLOOKUP($B179,'D7 - NDB Impacted SPRF''s'!$E$16:$O$9929,11,FALSE)</f>
        <v>N</v>
      </c>
      <c r="S179" s="8"/>
      <c r="T179" s="310"/>
      <c r="U179" s="310"/>
      <c r="V179" s="4"/>
      <c r="W179" s="4"/>
      <c r="X179" s="4"/>
      <c r="Y179" s="4"/>
      <c r="Z179" s="4"/>
      <c r="AA179" s="4"/>
      <c r="AB179" s="380" t="str">
        <f>VLOOKUP($B179,'D7 - NDB Impacted SPRF''s'!$E$6:$O$9929,4,FALSE)</f>
        <v>Scheduled</v>
      </c>
      <c r="AC179" s="380" t="str">
        <f>VLOOKUP($B179,'D7 - NDB Impacted SPRF''s'!$E$6:$O$9929,3,FALSE)</f>
        <v>UnitedHealthcare Employer &amp; Individual</v>
      </c>
      <c r="AD179" s="380" t="str">
        <f>VLOOKUP($B179,'D7 - NDB Impacted SPRF''s'!$E$6:$O$9929,5,FALSE)</f>
        <v>Medical Cost Savings Programs</v>
      </c>
      <c r="AE179" s="380" t="str">
        <f>VLOOKUP($B179,'D7 - NDB Impacted SPRF''s'!$E$6:$O$9929,7,FALSE)</f>
        <v>Sheila Nelson</v>
      </c>
      <c r="AF179" s="380" t="str">
        <f>VLOOKUP($B179,'D7 - NDB Impacted SPRF''s'!$E$6:$O$9929,6,FALSE)</f>
        <v>Tonya Maurer</v>
      </c>
      <c r="AG179" s="282"/>
      <c r="AH179" s="311" t="str">
        <f>INDEX('D5 - Gatekeeper - Projects'!$A$4:$AF$1010,$AM179, 17)</f>
        <v>T. Kester</v>
      </c>
      <c r="AI179" s="8"/>
      <c r="AJ179" s="57"/>
      <c r="AK179" s="105"/>
      <c r="AM179" s="6">
        <f>MATCH(D179,'D5 - Gatekeeper - Projects'!$C$4:$C$1010,0)</f>
        <v>174</v>
      </c>
      <c r="AN179" s="6" t="b">
        <f t="shared" si="17"/>
        <v>0</v>
      </c>
      <c r="AO179" s="6" t="str">
        <f t="shared" si="22"/>
        <v>OK</v>
      </c>
      <c r="AQ179" s="6" t="e">
        <f>MATCH($D179,'D4 - Provider Council Unsched'!$C$11:$C$234,0)</f>
        <v>#N/A</v>
      </c>
      <c r="AR179" s="6" t="b">
        <f t="shared" si="19"/>
        <v>1</v>
      </c>
      <c r="AS179" s="6" t="str">
        <f t="shared" si="23"/>
        <v>OK</v>
      </c>
      <c r="AU179" s="202">
        <v>41397</v>
      </c>
      <c r="AV179" s="404" t="s">
        <v>2241</v>
      </c>
      <c r="AW179" s="274"/>
    </row>
    <row r="180" spans="1:49" s="13" customFormat="1" ht="11.25" customHeight="1" x14ac:dyDescent="0.2">
      <c r="A180" s="14">
        <v>151</v>
      </c>
      <c r="B180" s="8">
        <v>400053451</v>
      </c>
      <c r="C180" s="8" t="s">
        <v>1447</v>
      </c>
      <c r="D180" s="4" t="str">
        <f t="shared" si="21"/>
        <v>400053451A</v>
      </c>
      <c r="E180" s="309" t="str">
        <f>VLOOKUP($B180,'D7 - NDB Impacted SPRF''s'!$E$6:$O$9929,2,FALSE)</f>
        <v>New Mexico Implementation</v>
      </c>
      <c r="F180" s="8"/>
      <c r="G180" s="8" t="s">
        <v>7980</v>
      </c>
      <c r="H180" s="8" t="s">
        <v>1606</v>
      </c>
      <c r="I180" s="20">
        <v>5.12</v>
      </c>
      <c r="J180" s="8" t="s">
        <v>4862</v>
      </c>
      <c r="K180" s="182">
        <v>41594</v>
      </c>
      <c r="L180" s="8" t="s">
        <v>4156</v>
      </c>
      <c r="M180" s="8" t="s">
        <v>2814</v>
      </c>
      <c r="N180" s="38"/>
      <c r="O180" s="8"/>
      <c r="P180" s="4" t="str">
        <f>VLOOKUP($B180,'D7 - NDB Impacted SPRF''s'!$E$16:$O$9929,9,FALSE)</f>
        <v>N</v>
      </c>
      <c r="Q180" s="4" t="str">
        <f>VLOOKUP($B180,'D7 - NDB Impacted SPRF''s'!$E$16:$O$9929,10,FALSE)</f>
        <v>N</v>
      </c>
      <c r="R180" s="4" t="str">
        <f>VLOOKUP($B180,'D7 - NDB Impacted SPRF''s'!$E$16:$O$9929,11,FALSE)</f>
        <v>Y</v>
      </c>
      <c r="S180" s="8"/>
      <c r="T180" s="310"/>
      <c r="U180" s="310"/>
      <c r="V180" s="4"/>
      <c r="W180" s="4"/>
      <c r="X180" s="4"/>
      <c r="Y180" s="4"/>
      <c r="Z180" s="4"/>
      <c r="AA180" s="4"/>
      <c r="AB180" s="380" t="str">
        <f>VLOOKUP($B180,'D7 - NDB Impacted SPRF''s'!$E$6:$O$9929,4,FALSE)</f>
        <v>Scheduled</v>
      </c>
      <c r="AC180" s="380" t="str">
        <f>VLOOKUP($B180,'D7 - NDB Impacted SPRF''s'!$E$6:$O$9929,3,FALSE)</f>
        <v>UnitedHealthcare Community &amp; State</v>
      </c>
      <c r="AD180" s="380" t="str">
        <f>VLOOKUP($B180,'D7 - NDB Impacted SPRF''s'!$E$6:$O$9929,5,FALSE)</f>
        <v>Membership Growth / Revenue Programs</v>
      </c>
      <c r="AE180" s="380" t="str">
        <f>VLOOKUP($B180,'D7 - NDB Impacted SPRF''s'!$E$6:$O$9929,7,FALSE)</f>
        <v>Kevin Kandalaft</v>
      </c>
      <c r="AF180" s="380" t="str">
        <f>VLOOKUP($B180,'D7 - NDB Impacted SPRF''s'!$E$6:$O$9929,6,FALSE)</f>
        <v>Anthony Carmignani</v>
      </c>
      <c r="AG180" s="282"/>
      <c r="AH180" s="311" t="str">
        <f>INDEX('D5 - Gatekeeper - Projects'!$A$4:$AF$1010,$AM180, 17)</f>
        <v>Bob Ziemann</v>
      </c>
      <c r="AI180" s="8"/>
      <c r="AJ180" s="57"/>
      <c r="AK180" s="105"/>
      <c r="AM180" s="6">
        <f>MATCH(D180,'D5 - Gatekeeper - Projects'!$C$4:$C$1010,0)</f>
        <v>175</v>
      </c>
      <c r="AN180" s="6" t="b">
        <f t="shared" si="17"/>
        <v>0</v>
      </c>
      <c r="AO180" s="6" t="str">
        <f t="shared" si="22"/>
        <v>OK</v>
      </c>
      <c r="AQ180" s="6" t="e">
        <f>MATCH($D180,'D4 - Provider Council Unsched'!$C$11:$C$234,0)</f>
        <v>#N/A</v>
      </c>
      <c r="AR180" s="6" t="b">
        <f t="shared" si="19"/>
        <v>1</v>
      </c>
      <c r="AS180" s="6" t="str">
        <f t="shared" si="23"/>
        <v>OK</v>
      </c>
      <c r="AU180" s="202">
        <v>41306</v>
      </c>
      <c r="AV180" s="313" t="s">
        <v>968</v>
      </c>
      <c r="AW180" s="274"/>
    </row>
    <row r="181" spans="1:49" s="13" customFormat="1" ht="30.75" customHeight="1" x14ac:dyDescent="0.2">
      <c r="A181" s="14">
        <v>152</v>
      </c>
      <c r="B181" s="8">
        <v>400053506</v>
      </c>
      <c r="C181" s="8" t="s">
        <v>1447</v>
      </c>
      <c r="D181" s="4" t="str">
        <f t="shared" si="21"/>
        <v>400053506A</v>
      </c>
      <c r="E181" s="309" t="str">
        <f>VLOOKUP($B181,'D7 - NDB Impacted SPRF''s'!$E$6:$O$9929,2,FALSE)</f>
        <v>2012 NDB Provider Pick Research Analysis Only</v>
      </c>
      <c r="F181" s="8"/>
      <c r="G181" s="8" t="s">
        <v>7980</v>
      </c>
      <c r="H181" s="8" t="s">
        <v>1606</v>
      </c>
      <c r="I181" s="20">
        <v>1.07</v>
      </c>
      <c r="J181" s="8" t="s">
        <v>4862</v>
      </c>
      <c r="K181" s="182">
        <v>41594</v>
      </c>
      <c r="L181" s="8" t="s">
        <v>4156</v>
      </c>
      <c r="M181" s="8" t="s">
        <v>6688</v>
      </c>
      <c r="N181" s="38" t="s">
        <v>360</v>
      </c>
      <c r="O181" s="8"/>
      <c r="P181" s="4" t="str">
        <f>VLOOKUP($B181,'D7 - NDB Impacted SPRF''s'!$E$16:$O$9929,9,FALSE)</f>
        <v>N</v>
      </c>
      <c r="Q181" s="4" t="str">
        <f>VLOOKUP($B181,'D7 - NDB Impacted SPRF''s'!$E$16:$O$9929,10,FALSE)</f>
        <v>N</v>
      </c>
      <c r="R181" s="4" t="str">
        <f>VLOOKUP($B181,'D7 - NDB Impacted SPRF''s'!$E$16:$O$9929,11,FALSE)</f>
        <v>N</v>
      </c>
      <c r="S181" s="8"/>
      <c r="T181" s="310"/>
      <c r="U181" s="310"/>
      <c r="V181" s="4"/>
      <c r="W181" s="4"/>
      <c r="X181" s="4"/>
      <c r="Y181" s="4"/>
      <c r="Z181" s="4"/>
      <c r="AA181" s="4"/>
      <c r="AB181" s="380" t="str">
        <f>VLOOKUP($B181,'D7 - NDB Impacted SPRF''s'!$E$6:$O$9929,4,FALSE)</f>
        <v>Scheduled</v>
      </c>
      <c r="AC181" s="380" t="str">
        <f>VLOOKUP($B181,'D7 - NDB Impacted SPRF''s'!$E$6:$O$9929,3,FALSE)</f>
        <v>UnitedHealthcare Employer &amp; Individual</v>
      </c>
      <c r="AD181" s="380" t="str">
        <f>VLOOKUP($B181,'D7 - NDB Impacted SPRF''s'!$E$6:$O$9929,5,FALSE)</f>
        <v>Operational Requirements</v>
      </c>
      <c r="AE181" s="380" t="str">
        <f>VLOOKUP($B181,'D7 - NDB Impacted SPRF''s'!$E$6:$O$9929,7,FALSE)</f>
        <v>Eileen Dock</v>
      </c>
      <c r="AF181" s="380" t="str">
        <f>VLOOKUP($B181,'D7 - NDB Impacted SPRF''s'!$E$6:$O$9929,6,FALSE)</f>
        <v>Chlease Brown</v>
      </c>
      <c r="AG181" s="282"/>
      <c r="AH181" s="311" t="str">
        <f>INDEX('D5 - Gatekeeper - Projects'!$A$4:$AF$1010,$AM181, 17)</f>
        <v>C.Chen</v>
      </c>
      <c r="AI181" s="8"/>
      <c r="AJ181" s="57"/>
      <c r="AK181" s="105"/>
      <c r="AM181" s="6">
        <f>MATCH(D181,'D5 - Gatekeeper - Projects'!$C$4:$C$1010,0)</f>
        <v>176</v>
      </c>
      <c r="AN181" s="6" t="b">
        <f t="shared" si="17"/>
        <v>0</v>
      </c>
      <c r="AO181" s="6" t="str">
        <f t="shared" si="22"/>
        <v>OK</v>
      </c>
      <c r="AQ181" s="6" t="e">
        <f>MATCH($D181,'D4 - Provider Council Unsched'!$C$11:$C$234,0)</f>
        <v>#N/A</v>
      </c>
      <c r="AR181" s="6" t="b">
        <f t="shared" si="19"/>
        <v>1</v>
      </c>
      <c r="AS181" s="6" t="str">
        <f t="shared" si="23"/>
        <v>OK</v>
      </c>
      <c r="AU181" s="202">
        <v>41636</v>
      </c>
      <c r="AV181" s="6" t="s">
        <v>2303</v>
      </c>
      <c r="AW181" s="274"/>
    </row>
    <row r="182" spans="1:49" s="13" customFormat="1" ht="11.25" customHeight="1" x14ac:dyDescent="0.2">
      <c r="A182" s="14">
        <v>203</v>
      </c>
      <c r="B182" s="8">
        <v>400053636</v>
      </c>
      <c r="C182" s="8" t="s">
        <v>1447</v>
      </c>
      <c r="D182" s="4" t="str">
        <f t="shared" si="21"/>
        <v>400053636A</v>
      </c>
      <c r="E182" s="309" t="str">
        <f>VLOOKUP($B182,'D7 - NDB Impacted SPRF''s'!$E$6:$O$9929,2,FALSE)</f>
        <v>HCR OHCS - Release B - EDI 270/271, 276/277</v>
      </c>
      <c r="F182" s="8"/>
      <c r="G182" s="8" t="s">
        <v>7980</v>
      </c>
      <c r="H182" s="8" t="s">
        <v>1606</v>
      </c>
      <c r="I182" s="20">
        <v>1.48</v>
      </c>
      <c r="J182" s="8" t="s">
        <v>4862</v>
      </c>
      <c r="K182" s="182">
        <v>41594</v>
      </c>
      <c r="L182" s="8" t="s">
        <v>4156</v>
      </c>
      <c r="M182" s="8" t="s">
        <v>5626</v>
      </c>
      <c r="N182" s="38" t="s">
        <v>2256</v>
      </c>
      <c r="O182" s="8"/>
      <c r="P182" s="4" t="str">
        <f>VLOOKUP($B182,'D7 - NDB Impacted SPRF''s'!$E$16:$O$9929,9,FALSE)</f>
        <v>N</v>
      </c>
      <c r="Q182" s="4" t="str">
        <f>VLOOKUP($B182,'D7 - NDB Impacted SPRF''s'!$E$16:$O$9929,10,FALSE)</f>
        <v>N</v>
      </c>
      <c r="R182" s="4" t="str">
        <f>VLOOKUP($B182,'D7 - NDB Impacted SPRF''s'!$E$16:$O$9929,11,FALSE)</f>
        <v>N</v>
      </c>
      <c r="S182" s="8"/>
      <c r="T182" s="310"/>
      <c r="U182" s="310"/>
      <c r="V182" s="4"/>
      <c r="W182" s="4"/>
      <c r="X182" s="4"/>
      <c r="Y182" s="4"/>
      <c r="Z182" s="4"/>
      <c r="AA182" s="4"/>
      <c r="AB182" s="380" t="str">
        <f>VLOOKUP($B182,'D7 - NDB Impacted SPRF''s'!$E$6:$O$9929,4,FALSE)</f>
        <v>Scheduled</v>
      </c>
      <c r="AC182" s="380" t="str">
        <f>VLOOKUP($B182,'D7 - NDB Impacted SPRF''s'!$E$6:$O$9929,3,FALSE)</f>
        <v>Optum</v>
      </c>
      <c r="AD182" s="380" t="str">
        <f>VLOOKUP($B182,'D7 - NDB Impacted SPRF''s'!$E$6:$O$9929,5,FALSE)</f>
        <v>Optum</v>
      </c>
      <c r="AE182" s="380" t="str">
        <f>VLOOKUP($B182,'D7 - NDB Impacted SPRF''s'!$E$6:$O$9929,7,FALSE)</f>
        <v>Chris Stidman</v>
      </c>
      <c r="AF182" s="380" t="str">
        <f>VLOOKUP($B182,'D7 - NDB Impacted SPRF''s'!$E$6:$O$9929,6,FALSE)</f>
        <v>Lori Austin</v>
      </c>
      <c r="AG182" s="282"/>
      <c r="AH182" s="311" t="str">
        <f>INDEX('D5 - Gatekeeper - Projects'!$A$4:$AF$1010,$AM182, 17)</f>
        <v>T. Kester</v>
      </c>
      <c r="AI182" s="8"/>
      <c r="AJ182" s="57"/>
      <c r="AK182" s="105"/>
      <c r="AM182" s="6">
        <f>MATCH(D182,'D5 - Gatekeeper - Projects'!$C$4:$C$1010,0)</f>
        <v>177</v>
      </c>
      <c r="AN182" s="6" t="b">
        <f t="shared" si="17"/>
        <v>0</v>
      </c>
      <c r="AO182" s="6" t="str">
        <f t="shared" si="22"/>
        <v>OK</v>
      </c>
      <c r="AQ182" s="6" t="e">
        <f>MATCH($D182,'D4 - Provider Council Unsched'!$C$11:$C$234,0)</f>
        <v>#N/A</v>
      </c>
      <c r="AR182" s="6" t="b">
        <f t="shared" si="19"/>
        <v>1</v>
      </c>
      <c r="AS182" s="6" t="str">
        <f t="shared" si="23"/>
        <v>OK</v>
      </c>
      <c r="AU182" s="202">
        <v>41417</v>
      </c>
      <c r="AV182" s="404" t="s">
        <v>9446</v>
      </c>
      <c r="AW182" s="274"/>
    </row>
    <row r="183" spans="1:49" s="13" customFormat="1" ht="33.75" x14ac:dyDescent="0.2">
      <c r="A183" s="14">
        <v>153</v>
      </c>
      <c r="B183" s="8">
        <v>400054137</v>
      </c>
      <c r="C183" s="8" t="s">
        <v>1447</v>
      </c>
      <c r="D183" s="4" t="str">
        <f t="shared" si="21"/>
        <v>400054137A</v>
      </c>
      <c r="E183" s="309" t="str">
        <f>VLOOKUP($B183,'D7 - NDB Impacted SPRF''s'!$E$6:$O$9929,2,FALSE)</f>
        <v>iCES Clearinghouse Nov 2013 Maintenance Release</v>
      </c>
      <c r="F183" s="8"/>
      <c r="G183" s="8" t="s">
        <v>7980</v>
      </c>
      <c r="H183" s="8" t="s">
        <v>1606</v>
      </c>
      <c r="I183" s="20">
        <v>0.17</v>
      </c>
      <c r="J183" s="8" t="s">
        <v>4862</v>
      </c>
      <c r="K183" s="182">
        <v>41594</v>
      </c>
      <c r="L183" s="8" t="s">
        <v>4156</v>
      </c>
      <c r="M183" s="8" t="s">
        <v>5626</v>
      </c>
      <c r="N183" s="38" t="s">
        <v>8028</v>
      </c>
      <c r="O183" s="8"/>
      <c r="P183" s="4" t="str">
        <f>VLOOKUP($B183,'D7 - NDB Impacted SPRF''s'!$E$16:$O$9929,9,FALSE)</f>
        <v>Y</v>
      </c>
      <c r="Q183" s="4" t="str">
        <f>VLOOKUP($B183,'D7 - NDB Impacted SPRF''s'!$E$16:$O$9929,10,FALSE)</f>
        <v>N</v>
      </c>
      <c r="R183" s="4" t="str">
        <f>VLOOKUP($B183,'D7 - NDB Impacted SPRF''s'!$E$16:$O$9929,11,FALSE)</f>
        <v>N</v>
      </c>
      <c r="S183" s="8"/>
      <c r="T183" s="310"/>
      <c r="U183" s="310"/>
      <c r="V183" s="4"/>
      <c r="W183" s="4"/>
      <c r="X183" s="4"/>
      <c r="Y183" s="4"/>
      <c r="Z183" s="4"/>
      <c r="AA183" s="4"/>
      <c r="AB183" s="380" t="str">
        <f>VLOOKUP($B183,'D7 - NDB Impacted SPRF''s'!$E$6:$O$9929,4,FALSE)</f>
        <v>Scheduled</v>
      </c>
      <c r="AC183" s="380" t="str">
        <f>VLOOKUP($B183,'D7 - NDB Impacted SPRF''s'!$E$6:$O$9929,3,FALSE)</f>
        <v>UnitedHealthcare Employer &amp; Individual</v>
      </c>
      <c r="AD183" s="380" t="str">
        <f>VLOOKUP($B183,'D7 - NDB Impacted SPRF''s'!$E$6:$O$9929,5,FALSE)</f>
        <v>Operational Requirements</v>
      </c>
      <c r="AE183" s="380" t="str">
        <f>VLOOKUP($B183,'D7 - NDB Impacted SPRF''s'!$E$6:$O$9929,7,FALSE)</f>
        <v>Kathy Learst</v>
      </c>
      <c r="AF183" s="380" t="str">
        <f>VLOOKUP($B183,'D7 - NDB Impacted SPRF''s'!$E$6:$O$9929,6,FALSE)</f>
        <v>Nancy Spaulding</v>
      </c>
      <c r="AG183" s="282"/>
      <c r="AH183" s="311" t="str">
        <f>INDEX('D5 - Gatekeeper - Projects'!$A$4:$AF$1010,$AM183, 17)</f>
        <v>T. Kester</v>
      </c>
      <c r="AI183" s="8"/>
      <c r="AJ183" s="57"/>
      <c r="AK183" s="105"/>
      <c r="AM183" s="6">
        <f>MATCH(D183,'D5 - Gatekeeper - Projects'!$C$4:$C$1010,0)</f>
        <v>178</v>
      </c>
      <c r="AN183" s="6" t="b">
        <f t="shared" si="17"/>
        <v>0</v>
      </c>
      <c r="AO183" s="6" t="str">
        <f t="shared" si="22"/>
        <v>OK</v>
      </c>
      <c r="AQ183" s="6" t="e">
        <f>MATCH($D183,'D4 - Provider Council Unsched'!$C$11:$C$234,0)</f>
        <v>#N/A</v>
      </c>
      <c r="AR183" s="6" t="b">
        <f t="shared" si="19"/>
        <v>1</v>
      </c>
      <c r="AS183" s="6" t="str">
        <f t="shared" si="23"/>
        <v>OK</v>
      </c>
      <c r="AU183" s="202">
        <v>41278</v>
      </c>
      <c r="AV183" s="312" t="s">
        <v>2303</v>
      </c>
      <c r="AW183" s="274"/>
    </row>
    <row r="184" spans="1:49" s="13" customFormat="1" ht="45" x14ac:dyDescent="0.2">
      <c r="A184" s="14">
        <v>154</v>
      </c>
      <c r="B184" s="8">
        <v>400054322</v>
      </c>
      <c r="C184" s="8" t="s">
        <v>1447</v>
      </c>
      <c r="D184" s="4" t="str">
        <f t="shared" si="21"/>
        <v>400054322A</v>
      </c>
      <c r="E184" s="309" t="str">
        <f>VLOOKUP($B184,'D7 - NDB Impacted SPRF''s'!$E$6:$O$9929,2,FALSE)</f>
        <v>F2F Michigan Migration</v>
      </c>
      <c r="F184" s="8"/>
      <c r="G184" s="8" t="s">
        <v>7980</v>
      </c>
      <c r="H184" s="8" t="s">
        <v>1606</v>
      </c>
      <c r="I184" s="20">
        <v>17.04</v>
      </c>
      <c r="J184" s="8" t="s">
        <v>4862</v>
      </c>
      <c r="K184" s="182">
        <v>41594</v>
      </c>
      <c r="L184" s="8" t="s">
        <v>4156</v>
      </c>
      <c r="M184" s="8" t="s">
        <v>2814</v>
      </c>
      <c r="N184" s="38" t="s">
        <v>7220</v>
      </c>
      <c r="O184" s="8"/>
      <c r="P184" s="4" t="str">
        <f>VLOOKUP($B184,'D7 - NDB Impacted SPRF''s'!$E$16:$O$9929,9,FALSE)</f>
        <v>N</v>
      </c>
      <c r="Q184" s="4" t="str">
        <f>VLOOKUP($B184,'D7 - NDB Impacted SPRF''s'!$E$16:$O$9929,10,FALSE)</f>
        <v>N</v>
      </c>
      <c r="R184" s="4" t="str">
        <f>VLOOKUP($B184,'D7 - NDB Impacted SPRF''s'!$E$16:$O$9929,11,FALSE)</f>
        <v>N</v>
      </c>
      <c r="S184" s="8"/>
      <c r="T184" s="310"/>
      <c r="U184" s="310"/>
      <c r="V184" s="4"/>
      <c r="W184" s="4"/>
      <c r="X184" s="4"/>
      <c r="Y184" s="4"/>
      <c r="Z184" s="4"/>
      <c r="AA184" s="4"/>
      <c r="AB184" s="380" t="str">
        <f>VLOOKUP($B184,'D7 - NDB Impacted SPRF''s'!$E$6:$O$9929,4,FALSE)</f>
        <v>Scheduled</v>
      </c>
      <c r="AC184" s="380" t="str">
        <f>VLOOKUP($B184,'D7 - NDB Impacted SPRF''s'!$E$6:$O$9929,3,FALSE)</f>
        <v>UnitedHealthcare Community &amp; State</v>
      </c>
      <c r="AD184" s="380" t="str">
        <f>VLOOKUP($B184,'D7 - NDB Impacted SPRF''s'!$E$6:$O$9929,5,FALSE)</f>
        <v>Integration Requirements</v>
      </c>
      <c r="AE184" s="380" t="str">
        <f>VLOOKUP($B184,'D7 - NDB Impacted SPRF''s'!$E$6:$O$9929,7,FALSE)</f>
        <v>Tracy Davidson</v>
      </c>
      <c r="AF184" s="380" t="str">
        <f>VLOOKUP($B184,'D7 - NDB Impacted SPRF''s'!$E$6:$O$9929,6,FALSE)</f>
        <v>Nikki Sidney</v>
      </c>
      <c r="AG184" s="282"/>
      <c r="AH184" s="311" t="str">
        <f>INDEX('D5 - Gatekeeper - Projects'!$A$4:$AF$1010,$AM184, 17)</f>
        <v>B. Brown</v>
      </c>
      <c r="AI184" s="8"/>
      <c r="AJ184" s="57"/>
      <c r="AK184" s="105"/>
      <c r="AM184" s="6">
        <f>MATCH(D184,'D5 - Gatekeeper - Projects'!$C$4:$C$1010,0)</f>
        <v>179</v>
      </c>
      <c r="AN184" s="6" t="b">
        <f t="shared" si="17"/>
        <v>0</v>
      </c>
      <c r="AO184" s="6" t="str">
        <f t="shared" si="22"/>
        <v>OK</v>
      </c>
      <c r="AQ184" s="6" t="e">
        <f>MATCH($D184,'D4 - Provider Council Unsched'!$C$11:$C$234,0)</f>
        <v>#N/A</v>
      </c>
      <c r="AR184" s="6" t="b">
        <f t="shared" si="19"/>
        <v>1</v>
      </c>
      <c r="AS184" s="6" t="str">
        <f t="shared" si="23"/>
        <v>OK</v>
      </c>
      <c r="AU184" s="202">
        <v>41284</v>
      </c>
      <c r="AV184" s="312" t="s">
        <v>915</v>
      </c>
      <c r="AW184" s="274">
        <v>67712</v>
      </c>
    </row>
    <row r="185" spans="1:49" s="13" customFormat="1" ht="33.75" x14ac:dyDescent="0.2">
      <c r="A185" s="14">
        <v>155</v>
      </c>
      <c r="B185" s="8">
        <v>400055865</v>
      </c>
      <c r="C185" s="8" t="s">
        <v>1447</v>
      </c>
      <c r="D185" s="4" t="str">
        <f t="shared" si="21"/>
        <v>400055865A</v>
      </c>
      <c r="E185" s="309" t="str">
        <f>VLOOKUP($B185,'D7 - NDB Impacted SPRF''s'!$E$6:$O$9929,2,FALSE)</f>
        <v>2013 PRIME Product and Rate</v>
      </c>
      <c r="F185" s="8"/>
      <c r="G185" s="8" t="s">
        <v>7980</v>
      </c>
      <c r="H185" s="8" t="s">
        <v>1606</v>
      </c>
      <c r="I185" s="20">
        <v>0.17</v>
      </c>
      <c r="J185" s="8" t="s">
        <v>4862</v>
      </c>
      <c r="K185" s="182">
        <v>41594</v>
      </c>
      <c r="L185" s="8" t="s">
        <v>4156</v>
      </c>
      <c r="M185" s="8" t="s">
        <v>5626</v>
      </c>
      <c r="N185" s="38"/>
      <c r="O185" s="8"/>
      <c r="P185" s="4" t="str">
        <f>VLOOKUP($B185,'D7 - NDB Impacted SPRF''s'!$E$16:$O$9929,9,FALSE)</f>
        <v>N</v>
      </c>
      <c r="Q185" s="4" t="str">
        <f>VLOOKUP($B185,'D7 - NDB Impacted SPRF''s'!$E$16:$O$9929,10,FALSE)</f>
        <v>N</v>
      </c>
      <c r="R185" s="4" t="str">
        <f>VLOOKUP($B185,'D7 - NDB Impacted SPRF''s'!$E$16:$O$9929,11,FALSE)</f>
        <v>N</v>
      </c>
      <c r="S185" s="8"/>
      <c r="T185" s="310"/>
      <c r="U185" s="310"/>
      <c r="V185" s="4"/>
      <c r="W185" s="4"/>
      <c r="X185" s="4"/>
      <c r="Y185" s="4"/>
      <c r="Z185" s="4"/>
      <c r="AA185" s="4"/>
      <c r="AB185" s="380" t="str">
        <f>VLOOKUP($B185,'D7 - NDB Impacted SPRF''s'!$E$6:$O$9929,4,FALSE)</f>
        <v>Scheduled</v>
      </c>
      <c r="AC185" s="380" t="str">
        <f>VLOOKUP($B185,'D7 - NDB Impacted SPRF''s'!$E$6:$O$9929,3,FALSE)</f>
        <v>UnitedHealthcare Employer &amp; Individual</v>
      </c>
      <c r="AD185" s="380" t="str">
        <f>VLOOKUP($B185,'D7 - NDB Impacted SPRF''s'!$E$6:$O$9929,5,FALSE)</f>
        <v>Operational Requirements</v>
      </c>
      <c r="AE185" s="380" t="str">
        <f>VLOOKUP($B185,'D7 - NDB Impacted SPRF''s'!$E$6:$O$9929,7,FALSE)</f>
        <v>Joe Chalastra</v>
      </c>
      <c r="AF185" s="380" t="str">
        <f>VLOOKUP($B185,'D7 - NDB Impacted SPRF''s'!$E$6:$O$9929,6,FALSE)</f>
        <v>JEAN CLARK</v>
      </c>
      <c r="AG185" s="282"/>
      <c r="AH185" s="311" t="str">
        <f>INDEX('D5 - Gatekeeper - Projects'!$A$4:$AF$1010,$AM185, 17)</f>
        <v>T. Kester</v>
      </c>
      <c r="AI185" s="8"/>
      <c r="AJ185" s="57"/>
      <c r="AK185" s="105"/>
      <c r="AM185" s="6">
        <f>MATCH(D185,'D5 - Gatekeeper - Projects'!$C$4:$C$1010,0)</f>
        <v>180</v>
      </c>
      <c r="AN185" s="6" t="b">
        <f t="shared" si="17"/>
        <v>0</v>
      </c>
      <c r="AO185" s="6" t="str">
        <f t="shared" si="22"/>
        <v>OK</v>
      </c>
      <c r="AQ185" s="6" t="e">
        <f>MATCH($D185,'D4 - Provider Council Unsched'!$C$11:$C$234,0)</f>
        <v>#N/A</v>
      </c>
      <c r="AR185" s="6" t="b">
        <f t="shared" si="19"/>
        <v>1</v>
      </c>
      <c r="AS185" s="6" t="str">
        <f t="shared" si="23"/>
        <v>OK</v>
      </c>
      <c r="AU185" s="202">
        <v>41284</v>
      </c>
      <c r="AV185" s="312" t="s">
        <v>1092</v>
      </c>
      <c r="AW185" s="274"/>
    </row>
    <row r="186" spans="1:49" s="13" customFormat="1" ht="33.75" x14ac:dyDescent="0.2">
      <c r="A186" s="14">
        <v>156</v>
      </c>
      <c r="B186" s="8">
        <v>400055999</v>
      </c>
      <c r="C186" s="8" t="s">
        <v>1447</v>
      </c>
      <c r="D186" s="4" t="str">
        <f t="shared" si="21"/>
        <v>400055999A</v>
      </c>
      <c r="E186" s="309" t="str">
        <f>VLOOKUP($B186,'D7 - NDB Impacted SPRF''s'!$E$6:$O$9929,2,FALSE)</f>
        <v>Navigate2 Case Effective</v>
      </c>
      <c r="F186" s="8"/>
      <c r="G186" s="8" t="s">
        <v>7980</v>
      </c>
      <c r="H186" s="8" t="s">
        <v>1606</v>
      </c>
      <c r="I186" s="20">
        <v>1.2</v>
      </c>
      <c r="J186" s="8" t="s">
        <v>4862</v>
      </c>
      <c r="K186" s="182">
        <v>41594</v>
      </c>
      <c r="L186" s="8" t="s">
        <v>4156</v>
      </c>
      <c r="M186" s="8" t="s">
        <v>5626</v>
      </c>
      <c r="N186" s="38"/>
      <c r="O186" s="8"/>
      <c r="P186" s="4" t="str">
        <f>VLOOKUP($B186,'D7 - NDB Impacted SPRF''s'!$E$16:$O$9929,9,FALSE)</f>
        <v>Y</v>
      </c>
      <c r="Q186" s="4" t="str">
        <f>VLOOKUP($B186,'D7 - NDB Impacted SPRF''s'!$E$16:$O$9929,10,FALSE)</f>
        <v>N</v>
      </c>
      <c r="R186" s="4" t="str">
        <f>VLOOKUP($B186,'D7 - NDB Impacted SPRF''s'!$E$16:$O$9929,11,FALSE)</f>
        <v>N</v>
      </c>
      <c r="S186" s="8"/>
      <c r="T186" s="310"/>
      <c r="U186" s="310"/>
      <c r="V186" s="4"/>
      <c r="W186" s="4"/>
      <c r="X186" s="4"/>
      <c r="Y186" s="4"/>
      <c r="Z186" s="4"/>
      <c r="AA186" s="4"/>
      <c r="AB186" s="380" t="str">
        <f>VLOOKUP($B186,'D7 - NDB Impacted SPRF''s'!$E$6:$O$9929,4,FALSE)</f>
        <v>Scheduled</v>
      </c>
      <c r="AC186" s="380" t="str">
        <f>VLOOKUP($B186,'D7 - NDB Impacted SPRF''s'!$E$6:$O$9929,3,FALSE)</f>
        <v>UnitedHealthcare Employer &amp; Individual</v>
      </c>
      <c r="AD186" s="380" t="str">
        <f>VLOOKUP($B186,'D7 - NDB Impacted SPRF''s'!$E$6:$O$9929,5,FALSE)</f>
        <v>Membership Growth / Revenue Programs</v>
      </c>
      <c r="AE186" s="380" t="str">
        <f>VLOOKUP($B186,'D7 - NDB Impacted SPRF''s'!$E$6:$O$9929,7,FALSE)</f>
        <v>Denise Mount</v>
      </c>
      <c r="AF186" s="380" t="str">
        <f>VLOOKUP($B186,'D7 - NDB Impacted SPRF''s'!$E$6:$O$9929,6,FALSE)</f>
        <v>Cynthia Kollars</v>
      </c>
      <c r="AG186" s="282"/>
      <c r="AH186" s="311" t="str">
        <f>INDEX('D5 - Gatekeeper - Projects'!$A$4:$AF$1010,$AM186, 17)</f>
        <v>T. Kester/B. Williams</v>
      </c>
      <c r="AI186" s="8"/>
      <c r="AJ186" s="57"/>
      <c r="AK186" s="105"/>
      <c r="AM186" s="6">
        <f>MATCH(D186,'D5 - Gatekeeper - Projects'!$C$4:$C$1010,0)</f>
        <v>181</v>
      </c>
      <c r="AN186" s="6" t="b">
        <f t="shared" si="17"/>
        <v>0</v>
      </c>
      <c r="AO186" s="6" t="str">
        <f t="shared" si="22"/>
        <v>OK</v>
      </c>
      <c r="AQ186" s="6" t="e">
        <f>MATCH($D186,'D4 - Provider Council Unsched'!$C$11:$C$234,0)</f>
        <v>#N/A</v>
      </c>
      <c r="AR186" s="6" t="b">
        <f t="shared" si="19"/>
        <v>1</v>
      </c>
      <c r="AS186" s="6" t="str">
        <f t="shared" si="23"/>
        <v>OK</v>
      </c>
      <c r="AU186" s="202">
        <v>41284</v>
      </c>
      <c r="AV186" s="315" t="s">
        <v>7710</v>
      </c>
      <c r="AW186" s="274"/>
    </row>
    <row r="187" spans="1:49" s="13" customFormat="1" ht="33.75" x14ac:dyDescent="0.2">
      <c r="A187" s="14">
        <v>130</v>
      </c>
      <c r="B187" s="8">
        <v>400056297</v>
      </c>
      <c r="C187" s="8" t="s">
        <v>7290</v>
      </c>
      <c r="D187" s="4" t="str">
        <f t="shared" si="21"/>
        <v>400056297B</v>
      </c>
      <c r="E187" s="309" t="str">
        <f>VLOOKUP($B187,'D7 - NDB Impacted SPRF''s'!$E$6:$O$9929,2,FALSE)</f>
        <v>EFT ERA Op Rules - AD- E&amp;I</v>
      </c>
      <c r="F187" s="8"/>
      <c r="G187" s="8" t="s">
        <v>7980</v>
      </c>
      <c r="H187" s="8" t="s">
        <v>1606</v>
      </c>
      <c r="I187" s="20">
        <v>2.95</v>
      </c>
      <c r="J187" s="8" t="s">
        <v>4862</v>
      </c>
      <c r="K187" s="182">
        <v>41594</v>
      </c>
      <c r="L187" s="8" t="s">
        <v>4156</v>
      </c>
      <c r="M187" s="8" t="s">
        <v>2814</v>
      </c>
      <c r="N187" s="38"/>
      <c r="O187" s="8"/>
      <c r="P187" s="4" t="str">
        <f>VLOOKUP($B187,'D7 - NDB Impacted SPRF''s'!$E$16:$O$9929,9,FALSE)</f>
        <v>Y</v>
      </c>
      <c r="Q187" s="4" t="str">
        <f>VLOOKUP($B187,'D7 - NDB Impacted SPRF''s'!$E$16:$O$9929,10,FALSE)</f>
        <v>N</v>
      </c>
      <c r="R187" s="4" t="str">
        <f>VLOOKUP($B187,'D7 - NDB Impacted SPRF''s'!$E$16:$O$9929,11,FALSE)</f>
        <v>Y</v>
      </c>
      <c r="S187" s="8"/>
      <c r="T187" s="310"/>
      <c r="U187" s="310"/>
      <c r="V187" s="4"/>
      <c r="W187" s="4"/>
      <c r="X187" s="4"/>
      <c r="Y187" s="4"/>
      <c r="Z187" s="4"/>
      <c r="AA187" s="4"/>
      <c r="AB187" s="380" t="str">
        <f>VLOOKUP($B187,'D7 - NDB Impacted SPRF''s'!$E$6:$O$9929,4,FALSE)</f>
        <v>Scheduled</v>
      </c>
      <c r="AC187" s="380" t="str">
        <f>VLOOKUP($B187,'D7 - NDB Impacted SPRF''s'!$E$6:$O$9929,3,FALSE)</f>
        <v>UnitedHealthcare Employer &amp; Individual</v>
      </c>
      <c r="AD187" s="380" t="str">
        <f>VLOOKUP($B187,'D7 - NDB Impacted SPRF''s'!$E$6:$O$9929,5,FALSE)</f>
        <v>Regulatory / Other</v>
      </c>
      <c r="AE187" s="380" t="str">
        <f>VLOOKUP($B187,'D7 - NDB Impacted SPRF''s'!$E$6:$O$9929,7,FALSE)</f>
        <v>Ross Lippincott</v>
      </c>
      <c r="AF187" s="380" t="str">
        <f>VLOOKUP($B187,'D7 - NDB Impacted SPRF''s'!$E$6:$O$9929,6,FALSE)</f>
        <v>Erin Kroll</v>
      </c>
      <c r="AG187" s="282"/>
      <c r="AH187" s="311" t="str">
        <f>INDEX('D5 - Gatekeeper - Projects'!$A$4:$AF$1010,$AM187, 17)</f>
        <v>R. Datta</v>
      </c>
      <c r="AI187" s="8"/>
      <c r="AJ187" s="57"/>
      <c r="AK187" s="105"/>
      <c r="AM187" s="6">
        <f>MATCH(D187,'D5 - Gatekeeper - Projects'!$C$4:$C$1010,0)</f>
        <v>182</v>
      </c>
      <c r="AN187" s="6" t="b">
        <f t="shared" si="17"/>
        <v>0</v>
      </c>
      <c r="AO187" s="6" t="str">
        <f t="shared" si="22"/>
        <v>OK</v>
      </c>
      <c r="AQ187" s="6" t="e">
        <f>MATCH($D187,'D4 - Provider Council Unsched'!$C$11:$C$234,0)</f>
        <v>#N/A</v>
      </c>
      <c r="AR187" s="6" t="b">
        <f t="shared" si="19"/>
        <v>1</v>
      </c>
      <c r="AS187" s="6" t="str">
        <f t="shared" si="23"/>
        <v>OK</v>
      </c>
      <c r="AU187" s="202">
        <v>41417</v>
      </c>
      <c r="AV187" s="315" t="s">
        <v>2615</v>
      </c>
      <c r="AW187" s="274"/>
    </row>
    <row r="188" spans="1:49" s="13" customFormat="1" ht="33.75" x14ac:dyDescent="0.2">
      <c r="A188" s="14">
        <v>159</v>
      </c>
      <c r="B188" s="8">
        <v>400057123</v>
      </c>
      <c r="C188" s="8" t="s">
        <v>1447</v>
      </c>
      <c r="D188" s="4" t="str">
        <f t="shared" si="21"/>
        <v>400057123A</v>
      </c>
      <c r="E188" s="309" t="str">
        <f>VLOOKUP($B188,'D7 - NDB Impacted SPRF''s'!$E$6:$O$9929,2,FALSE)</f>
        <v>CIA – ICUE HSR Core Build</v>
      </c>
      <c r="F188" s="8"/>
      <c r="G188" s="8" t="s">
        <v>7980</v>
      </c>
      <c r="H188" s="8" t="s">
        <v>1606</v>
      </c>
      <c r="I188" s="20">
        <v>26.78</v>
      </c>
      <c r="J188" s="8" t="s">
        <v>4862</v>
      </c>
      <c r="K188" s="182">
        <v>41594</v>
      </c>
      <c r="L188" s="8" t="s">
        <v>4156</v>
      </c>
      <c r="M188" s="8" t="s">
        <v>2814</v>
      </c>
      <c r="N188" s="38"/>
      <c r="O188" s="8"/>
      <c r="P188" s="4" t="str">
        <f>VLOOKUP($B188,'D7 - NDB Impacted SPRF''s'!$E$16:$O$9929,9,FALSE)</f>
        <v>Y</v>
      </c>
      <c r="Q188" s="4" t="str">
        <f>VLOOKUP($B188,'D7 - NDB Impacted SPRF''s'!$E$16:$O$9929,10,FALSE)</f>
        <v>N</v>
      </c>
      <c r="R188" s="4" t="str">
        <f>VLOOKUP($B188,'D7 - NDB Impacted SPRF''s'!$E$16:$O$9929,11,FALSE)</f>
        <v>N</v>
      </c>
      <c r="S188" s="8"/>
      <c r="T188" s="310"/>
      <c r="U188" s="310"/>
      <c r="V188" s="4"/>
      <c r="W188" s="4"/>
      <c r="X188" s="4"/>
      <c r="Y188" s="4"/>
      <c r="Z188" s="4"/>
      <c r="AA188" s="4"/>
      <c r="AB188" s="380" t="str">
        <f>VLOOKUP($B188,'D7 - NDB Impacted SPRF''s'!$E$6:$O$9929,4,FALSE)</f>
        <v>Scheduled</v>
      </c>
      <c r="AC188" s="380" t="str">
        <f>VLOOKUP($B188,'D7 - NDB Impacted SPRF''s'!$E$6:$O$9929,3,FALSE)</f>
        <v>UnitedHealthcare Employer &amp; Individual</v>
      </c>
      <c r="AD188" s="380" t="str">
        <f>VLOOKUP($B188,'D7 - NDB Impacted SPRF''s'!$E$6:$O$9929,5,FALSE)</f>
        <v>Process Improvement</v>
      </c>
      <c r="AE188" s="380" t="str">
        <f>VLOOKUP($B188,'D7 - NDB Impacted SPRF''s'!$E$6:$O$9929,7,FALSE)</f>
        <v>Darcie Corbin</v>
      </c>
      <c r="AF188" s="380" t="str">
        <f>VLOOKUP($B188,'D7 - NDB Impacted SPRF''s'!$E$6:$O$9929,6,FALSE)</f>
        <v>Colleen Valenti</v>
      </c>
      <c r="AG188" s="282"/>
      <c r="AH188" s="311" t="str">
        <f>INDEX('D5 - Gatekeeper - Projects'!$A$4:$AF$1010,$AM188, 17)</f>
        <v>J. Boulus</v>
      </c>
      <c r="AI188" s="8"/>
      <c r="AJ188" s="57"/>
      <c r="AK188" s="105"/>
      <c r="AM188" s="6">
        <f>MATCH(D188,'D5 - Gatekeeper - Projects'!$C$4:$C$1010,0)</f>
        <v>183</v>
      </c>
      <c r="AN188" s="6" t="b">
        <f t="shared" si="17"/>
        <v>0</v>
      </c>
      <c r="AO188" s="6" t="str">
        <f t="shared" si="22"/>
        <v>OK</v>
      </c>
      <c r="AQ188" s="6" t="e">
        <f>MATCH($D188,'D4 - Provider Council Unsched'!$C$11:$C$234,0)</f>
        <v>#N/A</v>
      </c>
      <c r="AR188" s="6" t="b">
        <f t="shared" si="19"/>
        <v>1</v>
      </c>
      <c r="AS188" s="6" t="str">
        <f t="shared" si="23"/>
        <v>OK</v>
      </c>
      <c r="AU188" s="202">
        <v>41397</v>
      </c>
      <c r="AV188" s="315" t="s">
        <v>7712</v>
      </c>
      <c r="AW188" s="274"/>
    </row>
    <row r="189" spans="1:49" s="13" customFormat="1" ht="11.25" customHeight="1" x14ac:dyDescent="0.2">
      <c r="A189" s="14">
        <v>160</v>
      </c>
      <c r="B189" s="8">
        <v>400057151</v>
      </c>
      <c r="C189" s="8" t="s">
        <v>1447</v>
      </c>
      <c r="D189" s="4" t="str">
        <f t="shared" si="21"/>
        <v>400057151A</v>
      </c>
      <c r="E189" s="309" t="str">
        <f>VLOOKUP($B189,'D7 - NDB Impacted SPRF''s'!$E$6:$O$9929,2,FALSE)</f>
        <v>NDB 2013 One Shot Requests</v>
      </c>
      <c r="F189" s="8"/>
      <c r="G189" s="8" t="s">
        <v>7980</v>
      </c>
      <c r="H189" s="8" t="s">
        <v>1606</v>
      </c>
      <c r="I189" s="20">
        <v>10.27</v>
      </c>
      <c r="J189" s="8" t="s">
        <v>4862</v>
      </c>
      <c r="K189" s="182">
        <v>41594</v>
      </c>
      <c r="L189" s="8" t="s">
        <v>4156</v>
      </c>
      <c r="M189" s="8" t="s">
        <v>2814</v>
      </c>
      <c r="N189" s="38"/>
      <c r="O189" s="8"/>
      <c r="P189" s="4" t="str">
        <f>VLOOKUP($B189,'D7 - NDB Impacted SPRF''s'!$E$16:$O$9929,9,FALSE)</f>
        <v>N</v>
      </c>
      <c r="Q189" s="4" t="str">
        <f>VLOOKUP($B189,'D7 - NDB Impacted SPRF''s'!$E$16:$O$9929,10,FALSE)</f>
        <v>N</v>
      </c>
      <c r="R189" s="4" t="str">
        <f>VLOOKUP($B189,'D7 - NDB Impacted SPRF''s'!$E$16:$O$9929,11,FALSE)</f>
        <v>N</v>
      </c>
      <c r="S189" s="8"/>
      <c r="T189" s="310"/>
      <c r="U189" s="310"/>
      <c r="V189" s="4"/>
      <c r="W189" s="4"/>
      <c r="X189" s="4"/>
      <c r="Y189" s="4"/>
      <c r="Z189" s="4"/>
      <c r="AA189" s="4"/>
      <c r="AB189" s="380" t="str">
        <f>VLOOKUP($B189,'D7 - NDB Impacted SPRF''s'!$E$6:$O$9929,4,FALSE)</f>
        <v>Scheduled</v>
      </c>
      <c r="AC189" s="380" t="str">
        <f>VLOOKUP($B189,'D7 - NDB Impacted SPRF''s'!$E$6:$O$9929,3,FALSE)</f>
        <v>UnitedHealthcare Employer &amp; Individual</v>
      </c>
      <c r="AD189" s="380" t="str">
        <f>VLOOKUP($B189,'D7 - NDB Impacted SPRF''s'!$E$6:$O$9929,5,FALSE)</f>
        <v>Operational Requirements</v>
      </c>
      <c r="AE189" s="380" t="str">
        <f>VLOOKUP($B189,'D7 - NDB Impacted SPRF''s'!$E$6:$O$9929,7,FALSE)</f>
        <v>Tim Kaja</v>
      </c>
      <c r="AF189" s="380" t="str">
        <f>VLOOKUP($B189,'D7 - NDB Impacted SPRF''s'!$E$6:$O$9929,6,FALSE)</f>
        <v>Marianne Augello</v>
      </c>
      <c r="AG189" s="282"/>
      <c r="AH189" s="311">
        <f>INDEX('D5 - Gatekeeper - Projects'!$A$4:$AF$1010,$AM189, 17)</f>
        <v>0</v>
      </c>
      <c r="AI189" s="8"/>
      <c r="AJ189" s="57"/>
      <c r="AK189" s="105"/>
      <c r="AM189" s="6">
        <f>MATCH(D189,'D5 - Gatekeeper - Projects'!$C$4:$C$1010,0)</f>
        <v>184</v>
      </c>
      <c r="AN189" s="6" t="b">
        <f t="shared" si="17"/>
        <v>0</v>
      </c>
      <c r="AO189" s="6" t="str">
        <f t="shared" si="22"/>
        <v>OK</v>
      </c>
      <c r="AQ189" s="6" t="e">
        <f>MATCH($D189,'D4 - Provider Council Unsched'!$C$11:$C$234,0)</f>
        <v>#N/A</v>
      </c>
      <c r="AR189" s="6" t="b">
        <f t="shared" si="19"/>
        <v>1</v>
      </c>
      <c r="AS189" s="6" t="str">
        <f t="shared" si="23"/>
        <v>OK</v>
      </c>
      <c r="AU189" s="202">
        <v>41334</v>
      </c>
      <c r="AV189" s="408" t="s">
        <v>444</v>
      </c>
      <c r="AW189" s="274"/>
    </row>
    <row r="190" spans="1:49" s="13" customFormat="1" ht="11.25" customHeight="1" x14ac:dyDescent="0.2">
      <c r="A190" s="14">
        <v>174</v>
      </c>
      <c r="B190" s="8">
        <v>400057529</v>
      </c>
      <c r="C190" s="8" t="s">
        <v>1447</v>
      </c>
      <c r="D190" s="4" t="str">
        <f t="shared" si="21"/>
        <v>400057529A</v>
      </c>
      <c r="E190" s="309" t="str">
        <f>VLOOKUP($B190,'D7 - NDB Impacted SPRF''s'!$E$6:$O$9929,2,FALSE)</f>
        <v>HCA, Inc. GSP Custom Network Delsys Value to PO</v>
      </c>
      <c r="F190" s="8"/>
      <c r="G190" s="8" t="s">
        <v>7980</v>
      </c>
      <c r="H190" s="8" t="s">
        <v>1606</v>
      </c>
      <c r="I190" s="20">
        <v>7.42</v>
      </c>
      <c r="J190" s="8" t="s">
        <v>4862</v>
      </c>
      <c r="K190" s="182">
        <v>41594</v>
      </c>
      <c r="L190" s="8" t="s">
        <v>4156</v>
      </c>
      <c r="M190" s="8" t="s">
        <v>2814</v>
      </c>
      <c r="N190" s="38" t="s">
        <v>9510</v>
      </c>
      <c r="O190" s="8"/>
      <c r="P190" s="4" t="str">
        <f>VLOOKUP($B190,'D7 - NDB Impacted SPRF''s'!$E$16:$O$9929,9,FALSE)</f>
        <v>N</v>
      </c>
      <c r="Q190" s="4" t="str">
        <f>VLOOKUP($B190,'D7 - NDB Impacted SPRF''s'!$E$16:$O$9929,10,FALSE)</f>
        <v>N</v>
      </c>
      <c r="R190" s="4" t="str">
        <f>VLOOKUP($B190,'D7 - NDB Impacted SPRF''s'!$E$16:$O$9929,11,FALSE)</f>
        <v>N</v>
      </c>
      <c r="S190" s="8"/>
      <c r="T190" s="310"/>
      <c r="U190" s="310"/>
      <c r="V190" s="4"/>
      <c r="W190" s="4"/>
      <c r="X190" s="4"/>
      <c r="Y190" s="4"/>
      <c r="Z190" s="4"/>
      <c r="AA190" s="4"/>
      <c r="AB190" s="380" t="str">
        <f>VLOOKUP($B190,'D7 - NDB Impacted SPRF''s'!$E$6:$O$9929,4,FALSE)</f>
        <v>Scheduled</v>
      </c>
      <c r="AC190" s="380" t="str">
        <f>VLOOKUP($B190,'D7 - NDB Impacted SPRF''s'!$E$6:$O$9929,3,FALSE)</f>
        <v>UnitedHealthcare Employer &amp; Individual</v>
      </c>
      <c r="AD190" s="380" t="str">
        <f>VLOOKUP($B190,'D7 - NDB Impacted SPRF''s'!$E$6:$O$9929,5,FALSE)</f>
        <v>Customer Requirements</v>
      </c>
      <c r="AE190" s="380" t="str">
        <f>VLOOKUP($B190,'D7 - NDB Impacted SPRF''s'!$E$6:$O$9929,7,FALSE)</f>
        <v>John Cravero</v>
      </c>
      <c r="AF190" s="380" t="str">
        <f>VLOOKUP($B190,'D7 - NDB Impacted SPRF''s'!$E$6:$O$9929,6,FALSE)</f>
        <v>Loretta Kraus</v>
      </c>
      <c r="AG190" s="282"/>
      <c r="AH190" s="311" t="str">
        <f>INDEX('D5 - Gatekeeper - Projects'!$A$4:$AF$1010,$AM190, 17)</f>
        <v>J. Boulus</v>
      </c>
      <c r="AI190" s="8"/>
      <c r="AJ190" s="57"/>
      <c r="AK190" s="105"/>
      <c r="AM190" s="6">
        <f>MATCH(D190,'D5 - Gatekeeper - Projects'!$C$4:$C$1010,0)</f>
        <v>185</v>
      </c>
      <c r="AN190" s="6" t="b">
        <f t="shared" si="17"/>
        <v>0</v>
      </c>
      <c r="AO190" s="6" t="str">
        <f t="shared" si="22"/>
        <v>OK</v>
      </c>
      <c r="AQ190" s="6" t="e">
        <f>MATCH($D190,'D4 - Provider Council Unsched'!$C$11:$C$234,0)</f>
        <v>#N/A</v>
      </c>
      <c r="AR190" s="6" t="b">
        <f t="shared" si="19"/>
        <v>1</v>
      </c>
      <c r="AS190" s="6" t="str">
        <f t="shared" si="23"/>
        <v>OK</v>
      </c>
      <c r="AU190" s="202">
        <v>41404</v>
      </c>
      <c r="AV190" s="384" t="s">
        <v>484</v>
      </c>
      <c r="AW190" s="274"/>
    </row>
    <row r="191" spans="1:49" s="13" customFormat="1" ht="33.75" x14ac:dyDescent="0.2">
      <c r="A191" s="14">
        <v>161</v>
      </c>
      <c r="B191" s="8">
        <v>400057546</v>
      </c>
      <c r="C191" s="8" t="s">
        <v>1447</v>
      </c>
      <c r="D191" s="4" t="str">
        <f t="shared" si="21"/>
        <v>400057546A</v>
      </c>
      <c r="E191" s="309" t="str">
        <f>VLOOKUP($B191,'D7 - NDB Impacted SPRF''s'!$E$6:$O$9929,2,FALSE)</f>
        <v>New Basics Directory Changes</v>
      </c>
      <c r="F191" s="8"/>
      <c r="G191" s="8" t="s">
        <v>7980</v>
      </c>
      <c r="H191" s="8" t="s">
        <v>1606</v>
      </c>
      <c r="I191" s="20">
        <v>108.59</v>
      </c>
      <c r="J191" s="8" t="s">
        <v>4862</v>
      </c>
      <c r="K191" s="182">
        <v>41594</v>
      </c>
      <c r="L191" s="8" t="s">
        <v>4156</v>
      </c>
      <c r="M191" s="8" t="s">
        <v>2814</v>
      </c>
      <c r="N191" s="38" t="s">
        <v>9564</v>
      </c>
      <c r="O191" s="8"/>
      <c r="P191" s="4" t="str">
        <f>VLOOKUP($B191,'D7 - NDB Impacted SPRF''s'!$E$16:$O$9929,9,FALSE)</f>
        <v>N</v>
      </c>
      <c r="Q191" s="4" t="str">
        <f>VLOOKUP($B191,'D7 - NDB Impacted SPRF''s'!$E$16:$O$9929,10,FALSE)</f>
        <v>N</v>
      </c>
      <c r="R191" s="4" t="str">
        <f>VLOOKUP($B191,'D7 - NDB Impacted SPRF''s'!$E$16:$O$9929,11,FALSE)</f>
        <v>N</v>
      </c>
      <c r="S191" s="8"/>
      <c r="T191" s="310"/>
      <c r="U191" s="310"/>
      <c r="V191" s="4"/>
      <c r="W191" s="4"/>
      <c r="X191" s="4"/>
      <c r="Y191" s="4"/>
      <c r="Z191" s="4"/>
      <c r="AA191" s="4"/>
      <c r="AB191" s="380" t="str">
        <f>VLOOKUP($B191,'D7 - NDB Impacted SPRF''s'!$E$6:$O$9929,4,FALSE)</f>
        <v>In IT Leadership Estimate Review</v>
      </c>
      <c r="AC191" s="380" t="str">
        <f>VLOOKUP($B191,'D7 - NDB Impacted SPRF''s'!$E$6:$O$9929,3,FALSE)</f>
        <v>UnitedHealthcare Employer &amp; Individual</v>
      </c>
      <c r="AD191" s="380" t="str">
        <f>VLOOKUP($B191,'D7 - NDB Impacted SPRF''s'!$E$6:$O$9929,5,FALSE)</f>
        <v>Process Improvement</v>
      </c>
      <c r="AE191" s="380" t="str">
        <f>VLOOKUP($B191,'D7 - NDB Impacted SPRF''s'!$E$6:$O$9929,7,FALSE)</f>
        <v>Kaja, Tim</v>
      </c>
      <c r="AF191" s="380" t="str">
        <f>VLOOKUP($B191,'D7 - NDB Impacted SPRF''s'!$E$6:$O$9929,6,FALSE)</f>
        <v>JESSICA BROWER</v>
      </c>
      <c r="AG191" s="282"/>
      <c r="AH191" s="311" t="str">
        <f>INDEX('D5 - Gatekeeper - Projects'!$A$4:$AF$1010,$AM191, 17)</f>
        <v>J. Boulus</v>
      </c>
      <c r="AI191" s="8"/>
      <c r="AJ191" s="57"/>
      <c r="AK191" s="105"/>
      <c r="AM191" s="6">
        <f>MATCH(D191,'D5 - Gatekeeper - Projects'!$C$4:$C$1010,0)</f>
        <v>186</v>
      </c>
      <c r="AN191" s="6" t="b">
        <f t="shared" si="17"/>
        <v>0</v>
      </c>
      <c r="AO191" s="6" t="str">
        <f t="shared" si="22"/>
        <v>OK</v>
      </c>
      <c r="AQ191" s="6" t="e">
        <f>MATCH($D191,'D4 - Provider Council Unsched'!$C$11:$C$234,0)</f>
        <v>#N/A</v>
      </c>
      <c r="AR191" s="6" t="b">
        <f t="shared" si="19"/>
        <v>1</v>
      </c>
      <c r="AS191" s="6" t="str">
        <f t="shared" si="23"/>
        <v>OK</v>
      </c>
      <c r="AU191" s="202">
        <v>41334</v>
      </c>
      <c r="AV191" s="404" t="s">
        <v>8853</v>
      </c>
      <c r="AW191" s="274"/>
    </row>
    <row r="192" spans="1:49" s="13" customFormat="1" ht="33.75" x14ac:dyDescent="0.2">
      <c r="A192" s="14">
        <v>162</v>
      </c>
      <c r="B192" s="8">
        <v>400057589</v>
      </c>
      <c r="C192" s="8" t="s">
        <v>1447</v>
      </c>
      <c r="D192" s="4" t="str">
        <f t="shared" si="21"/>
        <v>400057589A</v>
      </c>
      <c r="E192" s="309" t="str">
        <f>VLOOKUP($B192,'D7 - NDB Impacted SPRF''s'!$E$6:$O$9929,2,FALSE)</f>
        <v>Tiered Benefit Plan Enhancements</v>
      </c>
      <c r="F192" s="8"/>
      <c r="G192" s="8" t="s">
        <v>7980</v>
      </c>
      <c r="H192" s="8" t="s">
        <v>1606</v>
      </c>
      <c r="I192" s="20">
        <v>14.59</v>
      </c>
      <c r="J192" s="8" t="s">
        <v>4862</v>
      </c>
      <c r="K192" s="182">
        <v>41594</v>
      </c>
      <c r="L192" s="8" t="s">
        <v>4156</v>
      </c>
      <c r="M192" s="8" t="s">
        <v>2814</v>
      </c>
      <c r="N192" s="38" t="s">
        <v>9379</v>
      </c>
      <c r="O192" s="8"/>
      <c r="P192" s="4" t="str">
        <f>VLOOKUP($B192,'D7 - NDB Impacted SPRF''s'!$E$16:$O$9929,9,FALSE)</f>
        <v>Y</v>
      </c>
      <c r="Q192" s="4" t="str">
        <f>VLOOKUP($B192,'D7 - NDB Impacted SPRF''s'!$E$16:$O$9929,10,FALSE)</f>
        <v>N</v>
      </c>
      <c r="R192" s="4" t="str">
        <f>VLOOKUP($B192,'D7 - NDB Impacted SPRF''s'!$E$16:$O$9929,11,FALSE)</f>
        <v>N</v>
      </c>
      <c r="S192" s="8"/>
      <c r="T192" s="310"/>
      <c r="U192" s="310"/>
      <c r="V192" s="4"/>
      <c r="W192" s="4"/>
      <c r="X192" s="4"/>
      <c r="Y192" s="4"/>
      <c r="Z192" s="4"/>
      <c r="AA192" s="4"/>
      <c r="AB192" s="380" t="str">
        <f>VLOOKUP($B192,'D7 - NDB Impacted SPRF''s'!$E$6:$O$9929,4,FALSE)</f>
        <v>Scheduled</v>
      </c>
      <c r="AC192" s="380" t="str">
        <f>VLOOKUP($B192,'D7 - NDB Impacted SPRF''s'!$E$6:$O$9929,3,FALSE)</f>
        <v>UnitedHealthcare Employer &amp; Individual</v>
      </c>
      <c r="AD192" s="380" t="str">
        <f>VLOOKUP($B192,'D7 - NDB Impacted SPRF''s'!$E$6:$O$9929,5,FALSE)</f>
        <v>Medical Cost Savings Programs</v>
      </c>
      <c r="AE192" s="380" t="str">
        <f>VLOOKUP($B192,'D7 - NDB Impacted SPRF''s'!$E$6:$O$9929,7,FALSE)</f>
        <v>Denise Mount</v>
      </c>
      <c r="AF192" s="380" t="str">
        <f>VLOOKUP($B192,'D7 - NDB Impacted SPRF''s'!$E$6:$O$9929,6,FALSE)</f>
        <v>Jane Boston</v>
      </c>
      <c r="AG192" s="282"/>
      <c r="AH192" s="311" t="str">
        <f>INDEX('D5 - Gatekeeper - Projects'!$A$4:$AF$1010,$AM192, 17)</f>
        <v>B. Williams</v>
      </c>
      <c r="AI192" s="8"/>
      <c r="AJ192" s="57"/>
      <c r="AK192" s="105"/>
      <c r="AM192" s="6">
        <f>MATCH(D192,'D5 - Gatekeeper - Projects'!$C$4:$C$1010,0)</f>
        <v>187</v>
      </c>
      <c r="AN192" s="6" t="b">
        <f t="shared" si="17"/>
        <v>0</v>
      </c>
      <c r="AO192" s="6" t="str">
        <f t="shared" si="22"/>
        <v>OK</v>
      </c>
      <c r="AQ192" s="6" t="e">
        <f>MATCH($D192,'D4 - Provider Council Unsched'!$C$11:$C$234,0)</f>
        <v>#N/A</v>
      </c>
      <c r="AR192" s="6" t="b">
        <f t="shared" si="19"/>
        <v>1</v>
      </c>
      <c r="AS192" s="6" t="str">
        <f t="shared" si="23"/>
        <v>OK</v>
      </c>
      <c r="AU192" s="202">
        <v>41369</v>
      </c>
      <c r="AV192" s="404" t="s">
        <v>1130</v>
      </c>
      <c r="AW192" s="274"/>
    </row>
    <row r="193" spans="1:49" s="13" customFormat="1" ht="33.75" x14ac:dyDescent="0.2">
      <c r="A193" s="14">
        <v>163</v>
      </c>
      <c r="B193" s="8">
        <v>400057589</v>
      </c>
      <c r="C193" s="8" t="s">
        <v>8138</v>
      </c>
      <c r="D193" s="4" t="str">
        <f t="shared" si="21"/>
        <v>400057589UA</v>
      </c>
      <c r="E193" s="309" t="str">
        <f>VLOOKUP($B193,'D7 - NDB Impacted SPRF''s'!$E$6:$O$9929,2,FALSE)</f>
        <v>Tiered Benefit Plan Enhancements</v>
      </c>
      <c r="F193" s="8"/>
      <c r="G193" s="8" t="s">
        <v>7980</v>
      </c>
      <c r="H193" s="8" t="s">
        <v>1606</v>
      </c>
      <c r="I193" s="20">
        <v>1.9</v>
      </c>
      <c r="J193" s="8" t="s">
        <v>4862</v>
      </c>
      <c r="K193" s="182">
        <v>41594</v>
      </c>
      <c r="L193" s="8" t="s">
        <v>4156</v>
      </c>
      <c r="M193" s="8" t="s">
        <v>2814</v>
      </c>
      <c r="N193" s="38" t="s">
        <v>9379</v>
      </c>
      <c r="O193" s="8"/>
      <c r="P193" s="4" t="str">
        <f>VLOOKUP($B193,'D7 - NDB Impacted SPRF''s'!$E$16:$O$9929,9,FALSE)</f>
        <v>Y</v>
      </c>
      <c r="Q193" s="4" t="str">
        <f>VLOOKUP($B193,'D7 - NDB Impacted SPRF''s'!$E$16:$O$9929,10,FALSE)</f>
        <v>N</v>
      </c>
      <c r="R193" s="4" t="str">
        <f>VLOOKUP($B193,'D7 - NDB Impacted SPRF''s'!$E$16:$O$9929,11,FALSE)</f>
        <v>N</v>
      </c>
      <c r="S193" s="8"/>
      <c r="T193" s="310"/>
      <c r="U193" s="310"/>
      <c r="V193" s="4"/>
      <c r="W193" s="4"/>
      <c r="X193" s="4"/>
      <c r="Y193" s="4"/>
      <c r="Z193" s="4"/>
      <c r="AA193" s="4"/>
      <c r="AB193" s="380" t="str">
        <f>VLOOKUP($B193,'D7 - NDB Impacted SPRF''s'!$E$6:$O$9929,4,FALSE)</f>
        <v>Scheduled</v>
      </c>
      <c r="AC193" s="380" t="str">
        <f>VLOOKUP($B193,'D7 - NDB Impacted SPRF''s'!$E$6:$O$9929,3,FALSE)</f>
        <v>UnitedHealthcare Employer &amp; Individual</v>
      </c>
      <c r="AD193" s="380" t="str">
        <f>VLOOKUP($B193,'D7 - NDB Impacted SPRF''s'!$E$6:$O$9929,5,FALSE)</f>
        <v>Medical Cost Savings Programs</v>
      </c>
      <c r="AE193" s="380" t="str">
        <f>VLOOKUP($B193,'D7 - NDB Impacted SPRF''s'!$E$6:$O$9929,7,FALSE)</f>
        <v>Denise Mount</v>
      </c>
      <c r="AF193" s="380" t="str">
        <f>VLOOKUP($B193,'D7 - NDB Impacted SPRF''s'!$E$6:$O$9929,6,FALSE)</f>
        <v>Jane Boston</v>
      </c>
      <c r="AG193" s="282"/>
      <c r="AH193" s="311" t="str">
        <f>INDEX('D5 - Gatekeeper - Projects'!$A$4:$AF$1010,$AM193, 17)</f>
        <v>B. Williams</v>
      </c>
      <c r="AI193" s="8"/>
      <c r="AJ193" s="57"/>
      <c r="AK193" s="105"/>
      <c r="AM193" s="6">
        <f>MATCH(D193,'D5 - Gatekeeper - Projects'!$C$4:$C$1010,0)</f>
        <v>188</v>
      </c>
      <c r="AN193" s="6" t="b">
        <f t="shared" si="17"/>
        <v>0</v>
      </c>
      <c r="AO193" s="6" t="str">
        <f t="shared" si="22"/>
        <v>OK</v>
      </c>
      <c r="AQ193" s="6" t="e">
        <f>MATCH($D193,'D4 - Provider Council Unsched'!$C$11:$C$234,0)</f>
        <v>#N/A</v>
      </c>
      <c r="AR193" s="6" t="b">
        <f t="shared" si="19"/>
        <v>1</v>
      </c>
      <c r="AS193" s="6" t="str">
        <f t="shared" si="23"/>
        <v>OK</v>
      </c>
      <c r="AU193" s="202">
        <v>41369</v>
      </c>
      <c r="AV193" s="404" t="s">
        <v>1130</v>
      </c>
      <c r="AW193" s="274"/>
    </row>
    <row r="194" spans="1:49" s="13" customFormat="1" ht="33.75" x14ac:dyDescent="0.2">
      <c r="A194" s="14">
        <v>164</v>
      </c>
      <c r="B194" s="8">
        <v>400057661</v>
      </c>
      <c r="C194" s="8" t="s">
        <v>1447</v>
      </c>
      <c r="D194" s="4" t="str">
        <f t="shared" si="21"/>
        <v>400057661A</v>
      </c>
      <c r="E194" s="309" t="str">
        <f>VLOOKUP($B194,'D7 - NDB Impacted SPRF''s'!$E$6:$O$9929,2,FALSE)</f>
        <v>PD Designation Display Change</v>
      </c>
      <c r="F194" s="8"/>
      <c r="G194" s="8" t="s">
        <v>7980</v>
      </c>
      <c r="H194" s="8" t="s">
        <v>1606</v>
      </c>
      <c r="I194" s="20">
        <v>5.04</v>
      </c>
      <c r="J194" s="8" t="s">
        <v>4862</v>
      </c>
      <c r="K194" s="182">
        <v>41594</v>
      </c>
      <c r="L194" s="8" t="s">
        <v>4156</v>
      </c>
      <c r="M194" s="8" t="s">
        <v>2814</v>
      </c>
      <c r="N194" s="38"/>
      <c r="O194" s="8"/>
      <c r="P194" s="4" t="str">
        <f>VLOOKUP($B194,'D7 - NDB Impacted SPRF''s'!$E$16:$O$9929,9,FALSE)</f>
        <v>N</v>
      </c>
      <c r="Q194" s="4" t="str">
        <f>VLOOKUP($B194,'D7 - NDB Impacted SPRF''s'!$E$16:$O$9929,10,FALSE)</f>
        <v>N</v>
      </c>
      <c r="R194" s="4" t="str">
        <f>VLOOKUP($B194,'D7 - NDB Impacted SPRF''s'!$E$16:$O$9929,11,FALSE)</f>
        <v>N</v>
      </c>
      <c r="S194" s="8"/>
      <c r="T194" s="310"/>
      <c r="U194" s="310"/>
      <c r="V194" s="4"/>
      <c r="W194" s="4"/>
      <c r="X194" s="4"/>
      <c r="Y194" s="4"/>
      <c r="Z194" s="4"/>
      <c r="AA194" s="4"/>
      <c r="AB194" s="380" t="str">
        <f>VLOOKUP($B194,'D7 - NDB Impacted SPRF''s'!$E$6:$O$9929,4,FALSE)</f>
        <v>Scheduled</v>
      </c>
      <c r="AC194" s="380" t="str">
        <f>VLOOKUP($B194,'D7 - NDB Impacted SPRF''s'!$E$6:$O$9929,3,FALSE)</f>
        <v>UnitedHealthcare Employer &amp; Individual</v>
      </c>
      <c r="AD194" s="380" t="str">
        <f>VLOOKUP($B194,'D7 - NDB Impacted SPRF''s'!$E$6:$O$9929,5,FALSE)</f>
        <v>Medical Cost Savings Programs</v>
      </c>
      <c r="AE194" s="380" t="str">
        <f>VLOOKUP($B194,'D7 - NDB Impacted SPRF''s'!$E$6:$O$9929,7,FALSE)</f>
        <v>Carol Carlson</v>
      </c>
      <c r="AF194" s="380" t="str">
        <f>VLOOKUP($B194,'D7 - NDB Impacted SPRF''s'!$E$6:$O$9929,6,FALSE)</f>
        <v>James Rouse</v>
      </c>
      <c r="AG194" s="282"/>
      <c r="AH194" s="311" t="str">
        <f>INDEX('D5 - Gatekeeper - Projects'!$A$4:$AF$1010,$AM194, 17)</f>
        <v>B. Williams</v>
      </c>
      <c r="AI194" s="8"/>
      <c r="AJ194" s="57"/>
      <c r="AK194" s="105"/>
      <c r="AM194" s="6">
        <f>MATCH(D194,'D5 - Gatekeeper - Projects'!$C$4:$C$1010,0)</f>
        <v>189</v>
      </c>
      <c r="AN194" s="6" t="b">
        <f t="shared" si="17"/>
        <v>0</v>
      </c>
      <c r="AO194" s="6" t="str">
        <f t="shared" si="22"/>
        <v>OK</v>
      </c>
      <c r="AQ194" s="6" t="e">
        <f>MATCH($D194,'D4 - Provider Council Unsched'!$C$11:$C$234,0)</f>
        <v>#N/A</v>
      </c>
      <c r="AR194" s="6" t="b">
        <f t="shared" si="19"/>
        <v>1</v>
      </c>
      <c r="AS194" s="6" t="str">
        <f t="shared" si="23"/>
        <v>OK</v>
      </c>
      <c r="AU194" s="202">
        <v>41376</v>
      </c>
      <c r="AV194" s="407" t="s">
        <v>439</v>
      </c>
      <c r="AW194" s="274"/>
    </row>
    <row r="195" spans="1:49" s="13" customFormat="1" ht="33.75" x14ac:dyDescent="0.2">
      <c r="A195" s="14">
        <v>144</v>
      </c>
      <c r="B195" s="8">
        <v>400057743</v>
      </c>
      <c r="C195" s="8" t="s">
        <v>7290</v>
      </c>
      <c r="D195" s="4" t="str">
        <f t="shared" si="21"/>
        <v>400057743B</v>
      </c>
      <c r="E195" s="309" t="str">
        <f>VLOOKUP($B195,'D7 - NDB Impacted SPRF''s'!$E$6:$O$9929,2,FALSE)</f>
        <v>Medicare Advantage Part C EOB Day 1 Project (A/D)</v>
      </c>
      <c r="F195" s="8"/>
      <c r="G195" s="8" t="s">
        <v>7980</v>
      </c>
      <c r="H195" s="8" t="s">
        <v>1606</v>
      </c>
      <c r="I195" s="20" t="s">
        <v>4027</v>
      </c>
      <c r="J195" s="8" t="s">
        <v>4862</v>
      </c>
      <c r="K195" s="182">
        <v>41594</v>
      </c>
      <c r="L195" s="8" t="s">
        <v>4156</v>
      </c>
      <c r="M195" s="8" t="s">
        <v>2814</v>
      </c>
      <c r="N195" s="38" t="s">
        <v>9609</v>
      </c>
      <c r="O195" s="8"/>
      <c r="P195" s="4" t="str">
        <f>VLOOKUP($B195,'D7 - NDB Impacted SPRF''s'!$E$16:$O$9929,9,FALSE)</f>
        <v>N</v>
      </c>
      <c r="Q195" s="4" t="str">
        <f>VLOOKUP($B195,'D7 - NDB Impacted SPRF''s'!$E$16:$O$9929,10,FALSE)</f>
        <v>N</v>
      </c>
      <c r="R195" s="4" t="str">
        <f>VLOOKUP($B195,'D7 - NDB Impacted SPRF''s'!$E$16:$O$9929,11,FALSE)</f>
        <v>N</v>
      </c>
      <c r="S195" s="8"/>
      <c r="T195" s="310"/>
      <c r="U195" s="310"/>
      <c r="V195" s="4"/>
      <c r="W195" s="4"/>
      <c r="X195" s="4"/>
      <c r="Y195" s="4"/>
      <c r="Z195" s="4"/>
      <c r="AA195" s="4"/>
      <c r="AB195" s="380" t="str">
        <f>VLOOKUP($B195,'D7 - NDB Impacted SPRF''s'!$E$6:$O$9929,4,FALSE)</f>
        <v>In Strategy Council</v>
      </c>
      <c r="AC195" s="380" t="str">
        <f>VLOOKUP($B195,'D7 - NDB Impacted SPRF''s'!$E$6:$O$9929,3,FALSE)</f>
        <v>UnitedHealthcare Medicare &amp; Retirement</v>
      </c>
      <c r="AD195" s="380" t="str">
        <f>VLOOKUP($B195,'D7 - NDB Impacted SPRF''s'!$E$6:$O$9929,5,FALSE)</f>
        <v>Operational Requirements</v>
      </c>
      <c r="AE195" s="380" t="str">
        <f>VLOOKUP($B195,'D7 - NDB Impacted SPRF''s'!$E$6:$O$9929,7,FALSE)</f>
        <v>Karen Piacentini</v>
      </c>
      <c r="AF195" s="380" t="str">
        <f>VLOOKUP($B195,'D7 - NDB Impacted SPRF''s'!$E$6:$O$9929,6,FALSE)</f>
        <v>DEBORAH LAXSON</v>
      </c>
      <c r="AG195" s="282"/>
      <c r="AH195" s="311">
        <f>INDEX('D5 - Gatekeeper - Projects'!$A$4:$AF$1010,$AM195, 17)</f>
        <v>0</v>
      </c>
      <c r="AI195" s="8"/>
      <c r="AJ195" s="57"/>
      <c r="AK195" s="105"/>
      <c r="AM195" s="6">
        <f>MATCH(D195,'D5 - Gatekeeper - Projects'!$C$4:$C$1010,0)</f>
        <v>190</v>
      </c>
      <c r="AN195" s="6" t="b">
        <f t="shared" si="17"/>
        <v>0</v>
      </c>
      <c r="AO195" s="6" t="str">
        <f t="shared" si="22"/>
        <v>OK</v>
      </c>
      <c r="AQ195" s="6" t="e">
        <f>MATCH($D195,'D4 - Provider Council Unsched'!$C$11:$C$234,0)</f>
        <v>#N/A</v>
      </c>
      <c r="AR195" s="6" t="b">
        <f t="shared" si="19"/>
        <v>1</v>
      </c>
      <c r="AS195" s="6" t="str">
        <f t="shared" si="23"/>
        <v>OK</v>
      </c>
      <c r="AU195" s="202">
        <v>41417</v>
      </c>
      <c r="AV195" s="404" t="s">
        <v>8956</v>
      </c>
      <c r="AW195" s="274"/>
    </row>
    <row r="196" spans="1:49" s="13" customFormat="1" ht="11.25" customHeight="1" x14ac:dyDescent="0.2">
      <c r="A196" s="14">
        <v>165</v>
      </c>
      <c r="B196" s="8">
        <v>400057918</v>
      </c>
      <c r="C196" s="8" t="s">
        <v>1447</v>
      </c>
      <c r="D196" s="4" t="str">
        <f t="shared" si="21"/>
        <v>400057918A</v>
      </c>
      <c r="E196" s="309" t="str">
        <f>VLOOKUP($B196,'D7 - NDB Impacted SPRF''s'!$E$6:$O$9929,2,FALSE)</f>
        <v>myHCE M&amp;R Implementation</v>
      </c>
      <c r="F196" s="8"/>
      <c r="G196" s="8" t="s">
        <v>7980</v>
      </c>
      <c r="H196" s="8" t="s">
        <v>1606</v>
      </c>
      <c r="I196" s="20">
        <v>49.19</v>
      </c>
      <c r="J196" s="8" t="s">
        <v>4862</v>
      </c>
      <c r="K196" s="182">
        <v>41594</v>
      </c>
      <c r="L196" s="8" t="s">
        <v>4156</v>
      </c>
      <c r="M196" s="8" t="s">
        <v>2814</v>
      </c>
      <c r="N196" s="38"/>
      <c r="O196" s="8"/>
      <c r="P196" s="4" t="str">
        <f>VLOOKUP($B196,'D7 - NDB Impacted SPRF''s'!$E$16:$O$9929,9,FALSE)</f>
        <v>N</v>
      </c>
      <c r="Q196" s="4" t="str">
        <f>VLOOKUP($B196,'D7 - NDB Impacted SPRF''s'!$E$16:$O$9929,10,FALSE)</f>
        <v>N</v>
      </c>
      <c r="R196" s="4" t="str">
        <f>VLOOKUP($B196,'D7 - NDB Impacted SPRF''s'!$E$16:$O$9929,11,FALSE)</f>
        <v>N</v>
      </c>
      <c r="S196" s="8"/>
      <c r="T196" s="310"/>
      <c r="U196" s="310"/>
      <c r="V196" s="4"/>
      <c r="W196" s="4"/>
      <c r="X196" s="4"/>
      <c r="Y196" s="4"/>
      <c r="Z196" s="4"/>
      <c r="AA196" s="4"/>
      <c r="AB196" s="380" t="str">
        <f>VLOOKUP($B196,'D7 - NDB Impacted SPRF''s'!$E$6:$O$9929,4,FALSE)</f>
        <v>In Strategy Council</v>
      </c>
      <c r="AC196" s="380" t="str">
        <f>VLOOKUP($B196,'D7 - NDB Impacted SPRF''s'!$E$6:$O$9929,3,FALSE)</f>
        <v>UnitedHealthcare Medicare &amp; Retirement</v>
      </c>
      <c r="AD196" s="380" t="str">
        <f>VLOOKUP($B196,'D7 - NDB Impacted SPRF''s'!$E$6:$O$9929,5,FALSE)</f>
        <v>Growth &amp; Innovation</v>
      </c>
      <c r="AE196" s="380" t="str">
        <f>VLOOKUP($B196,'D7 - NDB Impacted SPRF''s'!$E$6:$O$9929,7,FALSE)</f>
        <v>Cecilia Harbison</v>
      </c>
      <c r="AF196" s="380" t="str">
        <f>VLOOKUP($B196,'D7 - NDB Impacted SPRF''s'!$E$6:$O$9929,6,FALSE)</f>
        <v>Andrew Eggimann</v>
      </c>
      <c r="AG196" s="282"/>
      <c r="AH196" s="311" t="str">
        <f>INDEX('D5 - Gatekeeper - Projects'!$A$4:$AF$1010,$AM196, 17)</f>
        <v>C. Chen</v>
      </c>
      <c r="AI196" s="8"/>
      <c r="AJ196" s="57"/>
      <c r="AK196" s="105"/>
      <c r="AM196" s="6">
        <f>MATCH(D196,'D5 - Gatekeeper - Projects'!$C$4:$C$1010,0)</f>
        <v>192</v>
      </c>
      <c r="AN196" s="6" t="b">
        <f t="shared" si="17"/>
        <v>0</v>
      </c>
      <c r="AO196" s="6" t="str">
        <f t="shared" si="22"/>
        <v>OK</v>
      </c>
      <c r="AQ196" s="6" t="e">
        <f>MATCH($D196,'D4 - Provider Council Unsched'!$C$11:$C$234,0)</f>
        <v>#N/A</v>
      </c>
      <c r="AR196" s="6" t="b">
        <f t="shared" si="19"/>
        <v>1</v>
      </c>
      <c r="AS196" s="6" t="str">
        <f t="shared" si="23"/>
        <v>OK</v>
      </c>
      <c r="AU196" s="202">
        <v>41352</v>
      </c>
      <c r="AV196" s="384" t="s">
        <v>7187</v>
      </c>
      <c r="AW196" s="274"/>
    </row>
    <row r="197" spans="1:49" s="13" customFormat="1" ht="11.25" customHeight="1" x14ac:dyDescent="0.2">
      <c r="A197" s="14">
        <v>247</v>
      </c>
      <c r="B197" s="8">
        <v>400058409</v>
      </c>
      <c r="C197" s="8" t="s">
        <v>1447</v>
      </c>
      <c r="D197" s="4" t="str">
        <f t="shared" si="21"/>
        <v>400058409A</v>
      </c>
      <c r="E197" s="309" t="str">
        <f>VLOOKUP($B197,'D7 - NDB Impacted SPRF''s'!$E$6:$O$9929,2,FALSE)</f>
        <v xml:space="preserve">Villages &amp; Preferred Care Partners </v>
      </c>
      <c r="F197" s="8"/>
      <c r="G197" s="8" t="s">
        <v>7980</v>
      </c>
      <c r="H197" s="8" t="s">
        <v>1606</v>
      </c>
      <c r="I197" s="20">
        <v>0.96</v>
      </c>
      <c r="J197" s="8" t="s">
        <v>4862</v>
      </c>
      <c r="K197" s="182">
        <v>41594</v>
      </c>
      <c r="L197" s="8" t="s">
        <v>4156</v>
      </c>
      <c r="M197" s="8" t="s">
        <v>5626</v>
      </c>
      <c r="N197" s="38"/>
      <c r="O197" s="8"/>
      <c r="P197" s="4" t="str">
        <f>VLOOKUP($B197,'D7 - NDB Impacted SPRF''s'!$E$16:$O$9929,9,FALSE)</f>
        <v>N</v>
      </c>
      <c r="Q197" s="4" t="str">
        <f>VLOOKUP($B197,'D7 - NDB Impacted SPRF''s'!$E$16:$O$9929,10,FALSE)</f>
        <v>N</v>
      </c>
      <c r="R197" s="4" t="str">
        <f>VLOOKUP($B197,'D7 - NDB Impacted SPRF''s'!$E$16:$O$9929,11,FALSE)</f>
        <v>N</v>
      </c>
      <c r="S197" s="8"/>
      <c r="T197" s="310"/>
      <c r="U197" s="310"/>
      <c r="V197" s="4"/>
      <c r="W197" s="4"/>
      <c r="X197" s="4"/>
      <c r="Y197" s="4"/>
      <c r="Z197" s="4"/>
      <c r="AA197" s="4"/>
      <c r="AB197" s="380" t="str">
        <f>VLOOKUP($B197,'D7 - NDB Impacted SPRF''s'!$E$6:$O$9929,4,FALSE)</f>
        <v>In IT Leadership Estimate Review</v>
      </c>
      <c r="AC197" s="380" t="str">
        <f>VLOOKUP($B197,'D7 - NDB Impacted SPRF''s'!$E$6:$O$9929,3,FALSE)</f>
        <v>UnitedHealthcare Medicare &amp; Retirement</v>
      </c>
      <c r="AD197" s="380" t="str">
        <f>VLOOKUP($B197,'D7 - NDB Impacted SPRF''s'!$E$6:$O$9929,5,FALSE)</f>
        <v>Membership Growth / Revenue Programs</v>
      </c>
      <c r="AE197" s="380" t="str">
        <f>VLOOKUP($B197,'D7 - NDB Impacted SPRF''s'!$E$6:$O$9929,7,FALSE)</f>
        <v>Heather Selseth</v>
      </c>
      <c r="AF197" s="380" t="str">
        <f>VLOOKUP($B197,'D7 - NDB Impacted SPRF''s'!$E$6:$O$9929,6,FALSE)</f>
        <v>Jessica Ayers</v>
      </c>
      <c r="AG197" s="282"/>
      <c r="AH197" s="311" t="str">
        <f>INDEX('D5 - Gatekeeper - Projects'!$A$4:$AF$1010,$AM197, 17)</f>
        <v>T. Kester</v>
      </c>
      <c r="AI197" s="8"/>
      <c r="AJ197" s="57"/>
      <c r="AK197" s="105"/>
      <c r="AM197" s="6">
        <f>MATCH(D197,'D5 - Gatekeeper - Projects'!$C$4:$C$1010,0)</f>
        <v>193</v>
      </c>
      <c r="AN197" s="6" t="b">
        <f t="shared" si="17"/>
        <v>0</v>
      </c>
      <c r="AO197" s="6" t="str">
        <f t="shared" si="22"/>
        <v>OK</v>
      </c>
      <c r="AQ197" s="6" t="e">
        <f>MATCH($D197,'D4 - Provider Council Unsched'!$C$11:$C$234,0)</f>
        <v>#N/A</v>
      </c>
      <c r="AR197" s="6" t="b">
        <f t="shared" si="19"/>
        <v>1</v>
      </c>
      <c r="AS197" s="6" t="str">
        <f t="shared" si="23"/>
        <v>OK</v>
      </c>
      <c r="AU197" s="202">
        <v>41404</v>
      </c>
      <c r="AV197" s="404" t="s">
        <v>8238</v>
      </c>
      <c r="AW197" s="274"/>
    </row>
    <row r="198" spans="1:49" s="13" customFormat="1" ht="22.5" x14ac:dyDescent="0.2">
      <c r="A198" s="14">
        <v>166</v>
      </c>
      <c r="B198" s="8">
        <v>400058776</v>
      </c>
      <c r="C198" s="8" t="s">
        <v>1447</v>
      </c>
      <c r="D198" s="4" t="str">
        <f t="shared" si="21"/>
        <v>400058776A</v>
      </c>
      <c r="E198" s="309" t="str">
        <f>VLOOKUP($B198,'D7 - NDB Impacted SPRF''s'!$E$6:$O$9929,2,FALSE)</f>
        <v>OISP Release 1</v>
      </c>
      <c r="F198" s="8"/>
      <c r="G198" s="8" t="s">
        <v>7980</v>
      </c>
      <c r="H198" s="8" t="s">
        <v>1606</v>
      </c>
      <c r="I198" s="20">
        <v>46.41</v>
      </c>
      <c r="J198" s="8" t="s">
        <v>4862</v>
      </c>
      <c r="K198" s="182">
        <v>41594</v>
      </c>
      <c r="L198" s="8" t="s">
        <v>4156</v>
      </c>
      <c r="M198" s="8" t="s">
        <v>2814</v>
      </c>
      <c r="N198" s="38"/>
      <c r="O198" s="8"/>
      <c r="P198" s="4" t="str">
        <f>VLOOKUP($B198,'D7 - NDB Impacted SPRF''s'!$E$16:$O$9929,9,FALSE)</f>
        <v>N</v>
      </c>
      <c r="Q198" s="4" t="str">
        <f>VLOOKUP($B198,'D7 - NDB Impacted SPRF''s'!$E$16:$O$9929,10,FALSE)</f>
        <v>N</v>
      </c>
      <c r="R198" s="4" t="str">
        <f>VLOOKUP($B198,'D7 - NDB Impacted SPRF''s'!$E$16:$O$9929,11,FALSE)</f>
        <v>N</v>
      </c>
      <c r="S198" s="8"/>
      <c r="T198" s="310"/>
      <c r="U198" s="310"/>
      <c r="V198" s="4"/>
      <c r="W198" s="4"/>
      <c r="X198" s="4"/>
      <c r="Y198" s="4"/>
      <c r="Z198" s="4"/>
      <c r="AA198" s="4"/>
      <c r="AB198" s="380" t="str">
        <f>VLOOKUP($B198,'D7 - NDB Impacted SPRF''s'!$E$6:$O$9929,4,FALSE)</f>
        <v>Scheduled</v>
      </c>
      <c r="AC198" s="380" t="str">
        <f>VLOOKUP($B198,'D7 - NDB Impacted SPRF''s'!$E$6:$O$9929,3,FALSE)</f>
        <v>Optum</v>
      </c>
      <c r="AD198" s="380" t="str">
        <f>VLOOKUP($B198,'D7 - NDB Impacted SPRF''s'!$E$6:$O$9929,5,FALSE)</f>
        <v>Optum</v>
      </c>
      <c r="AE198" s="380" t="str">
        <f>VLOOKUP($B198,'D7 - NDB Impacted SPRF''s'!$E$6:$O$9929,7,FALSE)</f>
        <v>Tyler Moore</v>
      </c>
      <c r="AF198" s="380" t="str">
        <f>VLOOKUP($B198,'D7 - NDB Impacted SPRF''s'!$E$6:$O$9929,6,FALSE)</f>
        <v>Douglas Arnstein</v>
      </c>
      <c r="AG198" s="282"/>
      <c r="AH198" s="311" t="str">
        <f>INDEX('D5 - Gatekeeper - Projects'!$A$4:$AF$1010,$AM198, 17)</f>
        <v>C. Chen</v>
      </c>
      <c r="AI198" s="8"/>
      <c r="AJ198" s="57"/>
      <c r="AK198" s="105"/>
      <c r="AM198" s="6">
        <f>MATCH(D198,'D5 - Gatekeeper - Projects'!$C$4:$C$1010,0)</f>
        <v>194</v>
      </c>
      <c r="AN198" s="6" t="b">
        <f t="shared" si="17"/>
        <v>0</v>
      </c>
      <c r="AO198" s="6" t="str">
        <f t="shared" si="22"/>
        <v>OK</v>
      </c>
      <c r="AQ198" s="6" t="e">
        <f>MATCH($D198,'D4 - Provider Council Unsched'!$C$11:$C$234,0)</f>
        <v>#N/A</v>
      </c>
      <c r="AR198" s="6" t="b">
        <f t="shared" si="19"/>
        <v>1</v>
      </c>
      <c r="AS198" s="6" t="str">
        <f t="shared" si="23"/>
        <v>OK</v>
      </c>
      <c r="AU198" s="202">
        <v>41390</v>
      </c>
      <c r="AV198" s="404" t="s">
        <v>9114</v>
      </c>
      <c r="AW198" s="274"/>
    </row>
    <row r="199" spans="1:49" s="13" customFormat="1" ht="33.75" x14ac:dyDescent="0.2">
      <c r="A199" s="14">
        <v>260</v>
      </c>
      <c r="B199" s="8">
        <v>400058912</v>
      </c>
      <c r="C199" s="8" t="s">
        <v>1447</v>
      </c>
      <c r="D199" s="4" t="str">
        <f t="shared" si="21"/>
        <v>400058912A</v>
      </c>
      <c r="E199" s="309" t="str">
        <f>VLOOKUP($B199,'D7 - NDB Impacted SPRF''s'!$E$6:$O$9929,2,FALSE)</f>
        <v>Navigate Required Enhancements</v>
      </c>
      <c r="F199" s="8"/>
      <c r="G199" s="8" t="s">
        <v>7980</v>
      </c>
      <c r="H199" s="8" t="s">
        <v>1606</v>
      </c>
      <c r="I199" s="20">
        <v>106.26</v>
      </c>
      <c r="J199" s="8" t="s">
        <v>4862</v>
      </c>
      <c r="K199" s="182">
        <v>41594</v>
      </c>
      <c r="L199" s="8" t="s">
        <v>4156</v>
      </c>
      <c r="M199" s="8" t="s">
        <v>2814</v>
      </c>
      <c r="N199" s="38" t="s">
        <v>9622</v>
      </c>
      <c r="O199" s="8"/>
      <c r="P199" s="4" t="str">
        <f>VLOOKUP($B199,'D7 - NDB Impacted SPRF''s'!$E$16:$O$9929,9,FALSE)</f>
        <v>Y</v>
      </c>
      <c r="Q199" s="4" t="str">
        <f>VLOOKUP($B199,'D7 - NDB Impacted SPRF''s'!$E$16:$O$9929,10,FALSE)</f>
        <v>N</v>
      </c>
      <c r="R199" s="4" t="str">
        <f>VLOOKUP($B199,'D7 - NDB Impacted SPRF''s'!$E$16:$O$9929,11,FALSE)</f>
        <v>N</v>
      </c>
      <c r="S199" s="8"/>
      <c r="T199" s="310"/>
      <c r="U199" s="310"/>
      <c r="V199" s="4"/>
      <c r="W199" s="4"/>
      <c r="X199" s="4"/>
      <c r="Y199" s="4"/>
      <c r="Z199" s="4"/>
      <c r="AA199" s="4"/>
      <c r="AB199" s="380" t="str">
        <f>VLOOKUP($B199,'D7 - NDB Impacted SPRF''s'!$E$6:$O$9929,4,FALSE)</f>
        <v>In Estimating</v>
      </c>
      <c r="AC199" s="380" t="str">
        <f>VLOOKUP($B199,'D7 - NDB Impacted SPRF''s'!$E$6:$O$9929,3,FALSE)</f>
        <v>UnitedHealthcare Employer &amp; Individual</v>
      </c>
      <c r="AD199" s="380" t="str">
        <f>VLOOKUP($B199,'D7 - NDB Impacted SPRF''s'!$E$6:$O$9929,5,FALSE)</f>
        <v>Membership Growth / Revenue Programs</v>
      </c>
      <c r="AE199" s="380" t="str">
        <f>VLOOKUP($B199,'D7 - NDB Impacted SPRF''s'!$E$6:$O$9929,7,FALSE)</f>
        <v>Denise Mount</v>
      </c>
      <c r="AF199" s="380" t="str">
        <f>VLOOKUP($B199,'D7 - NDB Impacted SPRF''s'!$E$6:$O$9929,6,FALSE)</f>
        <v>Cynthia Kollars</v>
      </c>
      <c r="AG199" s="282"/>
      <c r="AH199" s="311" t="str">
        <f>INDEX('D5 - Gatekeeper - Projects'!$A$4:$AF$1010,$AM199, 17)</f>
        <v>B. Williams</v>
      </c>
      <c r="AI199" s="8"/>
      <c r="AJ199" s="57"/>
      <c r="AK199" s="105"/>
      <c r="AM199" s="6">
        <f>MATCH(D199,'D5 - Gatekeeper - Projects'!$C$4:$C$1010,0)</f>
        <v>195</v>
      </c>
      <c r="AN199" s="6" t="b">
        <f t="shared" si="17"/>
        <v>0</v>
      </c>
      <c r="AO199" s="6" t="str">
        <f t="shared" si="22"/>
        <v>OK</v>
      </c>
      <c r="AQ199" s="6" t="e">
        <f>MATCH($D199,'D4 - Provider Council Unsched'!$C$11:$C$234,0)</f>
        <v>#N/A</v>
      </c>
      <c r="AR199" s="6" t="b">
        <f t="shared" si="19"/>
        <v>1</v>
      </c>
      <c r="AS199" s="6" t="str">
        <f t="shared" si="23"/>
        <v>OK</v>
      </c>
      <c r="AU199" s="202"/>
      <c r="AV199" s="404" t="s">
        <v>7710</v>
      </c>
      <c r="AW199" s="274"/>
    </row>
    <row r="200" spans="1:49" s="13" customFormat="1" ht="11.25" customHeight="1" x14ac:dyDescent="0.2">
      <c r="A200" s="14">
        <v>232</v>
      </c>
      <c r="B200" s="8">
        <v>400057121</v>
      </c>
      <c r="C200" s="8" t="s">
        <v>1447</v>
      </c>
      <c r="D200" s="4" t="str">
        <f t="shared" si="21"/>
        <v>400057121A</v>
      </c>
      <c r="E200" s="309" t="str">
        <f>VLOOKUP($B200,'D7 - NDB Impacted SPRF''s'!$E$6:$O$9929,2,FALSE)</f>
        <v>Pennsylvania Facets to Facets Migration</v>
      </c>
      <c r="F200" s="8"/>
      <c r="G200" s="8" t="s">
        <v>7980</v>
      </c>
      <c r="H200" s="8" t="s">
        <v>1606</v>
      </c>
      <c r="I200" s="20">
        <v>13.06</v>
      </c>
      <c r="J200" s="8" t="s">
        <v>4862</v>
      </c>
      <c r="K200" s="182">
        <v>41656</v>
      </c>
      <c r="L200" s="8" t="s">
        <v>4156</v>
      </c>
      <c r="M200" s="8" t="s">
        <v>2814</v>
      </c>
      <c r="N200" s="38"/>
      <c r="O200" s="8"/>
      <c r="P200" s="4" t="str">
        <f>VLOOKUP($B200,'D7 - NDB Impacted SPRF''s'!$E$16:$O$9929,9,FALSE)</f>
        <v>N</v>
      </c>
      <c r="Q200" s="4" t="str">
        <f>VLOOKUP($B200,'D7 - NDB Impacted SPRF''s'!$E$16:$O$9929,10,FALSE)</f>
        <v>N</v>
      </c>
      <c r="R200" s="4" t="str">
        <f>VLOOKUP($B200,'D7 - NDB Impacted SPRF''s'!$E$16:$O$9929,11,FALSE)</f>
        <v>Y</v>
      </c>
      <c r="S200" s="8"/>
      <c r="T200" s="310"/>
      <c r="U200" s="310"/>
      <c r="V200" s="4"/>
      <c r="W200" s="4"/>
      <c r="X200" s="4"/>
      <c r="Y200" s="4"/>
      <c r="Z200" s="4"/>
      <c r="AA200" s="4"/>
      <c r="AB200" s="380" t="str">
        <f>VLOOKUP($B200,'D7 - NDB Impacted SPRF''s'!$E$6:$O$9929,4,FALSE)</f>
        <v>Scheduled</v>
      </c>
      <c r="AC200" s="380" t="str">
        <f>VLOOKUP($B200,'D7 - NDB Impacted SPRF''s'!$E$6:$O$9929,3,FALSE)</f>
        <v>UnitedHealthcare Community &amp; State</v>
      </c>
      <c r="AD200" s="380" t="str">
        <f>VLOOKUP($B200,'D7 - NDB Impacted SPRF''s'!$E$6:$O$9929,5,FALSE)</f>
        <v>Integration Requirements</v>
      </c>
      <c r="AE200" s="380" t="str">
        <f>VLOOKUP($B200,'D7 - NDB Impacted SPRF''s'!$E$6:$O$9929,7,FALSE)</f>
        <v>Denise Puskaric</v>
      </c>
      <c r="AF200" s="380" t="str">
        <f>VLOOKUP($B200,'D7 - NDB Impacted SPRF''s'!$E$6:$O$9929,6,FALSE)</f>
        <v>AMBER WONG</v>
      </c>
      <c r="AG200" s="282"/>
      <c r="AH200" s="311" t="str">
        <f>INDEX('D5 - Gatekeeper - Projects'!$A$4:$AF$1010,$AM200, 17)</f>
        <v>J. Melendez</v>
      </c>
      <c r="AI200" s="8"/>
      <c r="AJ200" s="57"/>
      <c r="AK200" s="105"/>
      <c r="AM200" s="6">
        <f>MATCH(D200,'D5 - Gatekeeper - Projects'!$C$4:$C$1010,0)</f>
        <v>196</v>
      </c>
      <c r="AN200" s="6" t="b">
        <f t="shared" si="17"/>
        <v>0</v>
      </c>
      <c r="AO200" s="6" t="str">
        <f t="shared" si="22"/>
        <v>OK</v>
      </c>
      <c r="AQ200" s="6" t="e">
        <f>MATCH($D200,'D4 - Provider Council Unsched'!$C$11:$C$234,0)</f>
        <v>#N/A</v>
      </c>
      <c r="AR200" s="6" t="b">
        <f t="shared" si="19"/>
        <v>1</v>
      </c>
      <c r="AS200" s="6" t="str">
        <f t="shared" si="23"/>
        <v>OK</v>
      </c>
      <c r="AU200" s="202">
        <v>41404</v>
      </c>
      <c r="AV200" s="404" t="s">
        <v>915</v>
      </c>
      <c r="AW200" s="274"/>
    </row>
    <row r="201" spans="1:49" s="13" customFormat="1" ht="33.75" x14ac:dyDescent="0.2">
      <c r="A201" s="14">
        <v>168</v>
      </c>
      <c r="B201" s="8">
        <v>400054326</v>
      </c>
      <c r="C201" s="8" t="s">
        <v>1447</v>
      </c>
      <c r="D201" s="4" t="str">
        <f t="shared" si="21"/>
        <v>400054326A</v>
      </c>
      <c r="E201" s="309" t="str">
        <f>VLOOKUP($B201,'D7 - NDB Impacted SPRF''s'!$E$6:$O$9929,2,FALSE)</f>
        <v>F2F - Delaware Migration</v>
      </c>
      <c r="F201" s="8"/>
      <c r="G201" s="8" t="s">
        <v>7980</v>
      </c>
      <c r="H201" s="8" t="s">
        <v>1606</v>
      </c>
      <c r="I201" s="20">
        <v>22.17</v>
      </c>
      <c r="J201" s="8" t="s">
        <v>4862</v>
      </c>
      <c r="K201" s="182">
        <v>41685</v>
      </c>
      <c r="L201" s="8" t="s">
        <v>4156</v>
      </c>
      <c r="M201" s="8" t="s">
        <v>2814</v>
      </c>
      <c r="N201" s="38"/>
      <c r="O201" s="8"/>
      <c r="P201" s="4" t="str">
        <f>VLOOKUP($B201,'D7 - NDB Impacted SPRF''s'!$E$16:$O$9929,9,FALSE)</f>
        <v>N</v>
      </c>
      <c r="Q201" s="4" t="str">
        <f>VLOOKUP($B201,'D7 - NDB Impacted SPRF''s'!$E$16:$O$9929,10,FALSE)</f>
        <v>N</v>
      </c>
      <c r="R201" s="4" t="str">
        <f>VLOOKUP($B201,'D7 - NDB Impacted SPRF''s'!$E$16:$O$9929,11,FALSE)</f>
        <v>N</v>
      </c>
      <c r="S201" s="8"/>
      <c r="T201" s="310"/>
      <c r="U201" s="310"/>
      <c r="V201" s="4"/>
      <c r="W201" s="4"/>
      <c r="X201" s="4"/>
      <c r="Y201" s="4"/>
      <c r="Z201" s="4"/>
      <c r="AA201" s="4"/>
      <c r="AB201" s="380" t="str">
        <f>VLOOKUP($B201,'D7 - NDB Impacted SPRF''s'!$E$6:$O$9929,4,FALSE)</f>
        <v>Scheduled</v>
      </c>
      <c r="AC201" s="380" t="str">
        <f>VLOOKUP($B201,'D7 - NDB Impacted SPRF''s'!$E$6:$O$9929,3,FALSE)</f>
        <v>UnitedHealthcare Community &amp; State</v>
      </c>
      <c r="AD201" s="380" t="str">
        <f>VLOOKUP($B201,'D7 - NDB Impacted SPRF''s'!$E$6:$O$9929,5,FALSE)</f>
        <v>Integration Requirements</v>
      </c>
      <c r="AE201" s="380" t="str">
        <f>VLOOKUP($B201,'D7 - NDB Impacted SPRF''s'!$E$6:$O$9929,7,FALSE)</f>
        <v>Tracy Davidson</v>
      </c>
      <c r="AF201" s="380" t="str">
        <f>VLOOKUP($B201,'D7 - NDB Impacted SPRF''s'!$E$6:$O$9929,6,FALSE)</f>
        <v>NICOLE GEDATUS</v>
      </c>
      <c r="AG201" s="282"/>
      <c r="AH201" s="311" t="str">
        <f>INDEX('D5 - Gatekeeper - Projects'!$A$4:$AF$1010,$AM201, 17)</f>
        <v>B. Brown</v>
      </c>
      <c r="AI201" s="8"/>
      <c r="AJ201" s="57"/>
      <c r="AK201" s="105"/>
      <c r="AM201" s="6">
        <f>MATCH(D201,'D5 - Gatekeeper - Projects'!$C$4:$C$1010,0)</f>
        <v>197</v>
      </c>
      <c r="AN201" s="6" t="b">
        <f t="shared" si="17"/>
        <v>0</v>
      </c>
      <c r="AO201" s="6" t="str">
        <f t="shared" si="22"/>
        <v>OK</v>
      </c>
      <c r="AQ201" s="6" t="e">
        <f>MATCH($D201,'D4 - Provider Council Unsched'!$C$11:$C$234,0)</f>
        <v>#N/A</v>
      </c>
      <c r="AR201" s="6" t="b">
        <f t="shared" si="19"/>
        <v>1</v>
      </c>
      <c r="AS201" s="6" t="str">
        <f t="shared" si="23"/>
        <v>OK</v>
      </c>
      <c r="AU201" s="202">
        <v>41292</v>
      </c>
      <c r="AV201" s="312" t="s">
        <v>915</v>
      </c>
      <c r="AW201" s="274">
        <v>67710</v>
      </c>
    </row>
    <row r="202" spans="1:49" s="13" customFormat="1" ht="33.75" x14ac:dyDescent="0.2">
      <c r="A202" s="14">
        <v>221</v>
      </c>
      <c r="B202" s="8">
        <v>400056000</v>
      </c>
      <c r="C202" s="8" t="s">
        <v>1447</v>
      </c>
      <c r="D202" s="4" t="str">
        <f t="shared" si="21"/>
        <v>400056000A</v>
      </c>
      <c r="E202" s="309" t="str">
        <f>VLOOKUP($B202,'D7 - NDB Impacted SPRF''s'!$E$6:$O$9929,2,FALSE)</f>
        <v>Harvard Pilgrim Network Systems Migration Support</v>
      </c>
      <c r="F202" s="8"/>
      <c r="G202" s="8" t="s">
        <v>7980</v>
      </c>
      <c r="H202" s="8" t="s">
        <v>1606</v>
      </c>
      <c r="I202" s="20">
        <v>0.55000000000000004</v>
      </c>
      <c r="J202" s="8" t="s">
        <v>4862</v>
      </c>
      <c r="K202" s="182">
        <v>41685</v>
      </c>
      <c r="L202" s="8" t="s">
        <v>4156</v>
      </c>
      <c r="M202" s="8" t="s">
        <v>5626</v>
      </c>
      <c r="N202" s="38"/>
      <c r="O202" s="8"/>
      <c r="P202" s="4" t="str">
        <f>VLOOKUP($B202,'D7 - NDB Impacted SPRF''s'!$E$16:$O$9929,9,FALSE)</f>
        <v>Y</v>
      </c>
      <c r="Q202" s="4" t="str">
        <f>VLOOKUP($B202,'D7 - NDB Impacted SPRF''s'!$E$16:$O$9929,10,FALSE)</f>
        <v>N</v>
      </c>
      <c r="R202" s="4" t="str">
        <f>VLOOKUP($B202,'D7 - NDB Impacted SPRF''s'!$E$16:$O$9929,11,FALSE)</f>
        <v>N</v>
      </c>
      <c r="S202" s="8"/>
      <c r="T202" s="310"/>
      <c r="U202" s="310"/>
      <c r="V202" s="4"/>
      <c r="W202" s="4"/>
      <c r="X202" s="4"/>
      <c r="Y202" s="4"/>
      <c r="Z202" s="4"/>
      <c r="AA202" s="4"/>
      <c r="AB202" s="380" t="str">
        <f>VLOOKUP($B202,'D7 - NDB Impacted SPRF''s'!$E$6:$O$9929,4,FALSE)</f>
        <v>In Estimating</v>
      </c>
      <c r="AC202" s="380" t="str">
        <f>VLOOKUP($B202,'D7 - NDB Impacted SPRF''s'!$E$6:$O$9929,3,FALSE)</f>
        <v>UnitedHealthcare Employer &amp; Individual</v>
      </c>
      <c r="AD202" s="380" t="str">
        <f>VLOOKUP($B202,'D7 - NDB Impacted SPRF''s'!$E$6:$O$9929,5,FALSE)</f>
        <v>Customer Requirements</v>
      </c>
      <c r="AE202" s="380" t="str">
        <f>VLOOKUP($B202,'D7 - NDB Impacted SPRF''s'!$E$6:$O$9929,7,FALSE)</f>
        <v>Dave Withee</v>
      </c>
      <c r="AF202" s="380" t="str">
        <f>VLOOKUP($B202,'D7 - NDB Impacted SPRF''s'!$E$6:$O$9929,6,FALSE)</f>
        <v>Ryan Anderson</v>
      </c>
      <c r="AG202" s="282"/>
      <c r="AH202" s="311" t="str">
        <f>INDEX('D5 - Gatekeeper - Projects'!$A$4:$AF$1010,$AM202, 17)</f>
        <v>T. Kester</v>
      </c>
      <c r="AI202" s="8"/>
      <c r="AJ202" s="57"/>
      <c r="AK202" s="105"/>
      <c r="AM202" s="6">
        <f>MATCH(D202,'D5 - Gatekeeper - Projects'!$C$4:$C$1010,0)</f>
        <v>198</v>
      </c>
      <c r="AN202" s="6" t="b">
        <f t="shared" si="17"/>
        <v>0</v>
      </c>
      <c r="AO202" s="6" t="str">
        <f t="shared" si="22"/>
        <v>OK</v>
      </c>
      <c r="AQ202" s="6" t="e">
        <f>MATCH($D202,'D4 - Provider Council Unsched'!$C$11:$C$234,0)</f>
        <v>#N/A</v>
      </c>
      <c r="AR202" s="6" t="b">
        <f t="shared" si="19"/>
        <v>1</v>
      </c>
      <c r="AS202" s="6" t="str">
        <f t="shared" si="23"/>
        <v>OK</v>
      </c>
      <c r="AU202" s="202">
        <v>41417</v>
      </c>
      <c r="AV202" s="314" t="s">
        <v>6998</v>
      </c>
      <c r="AW202" s="274"/>
    </row>
    <row r="203" spans="1:49" s="13" customFormat="1" ht="22.5" x14ac:dyDescent="0.2">
      <c r="A203" s="14">
        <v>157</v>
      </c>
      <c r="B203" s="8">
        <v>400056814</v>
      </c>
      <c r="C203" s="8" t="s">
        <v>1447</v>
      </c>
      <c r="D203" s="4" t="str">
        <f t="shared" si="21"/>
        <v>400056814A</v>
      </c>
      <c r="E203" s="309" t="str">
        <f>VLOOKUP($B203,'D7 - NDB Impacted SPRF''s'!$E$6:$O$9929,2,FALSE)</f>
        <v xml:space="preserve">System support of Capitation and Case Rates </v>
      </c>
      <c r="F203" s="8"/>
      <c r="G203" s="8" t="s">
        <v>7980</v>
      </c>
      <c r="H203" s="8" t="s">
        <v>1606</v>
      </c>
      <c r="I203" s="20">
        <v>1.01</v>
      </c>
      <c r="J203" s="8" t="s">
        <v>4862</v>
      </c>
      <c r="K203" s="182">
        <v>41685</v>
      </c>
      <c r="L203" s="8" t="s">
        <v>4156</v>
      </c>
      <c r="M203" s="8" t="s">
        <v>6688</v>
      </c>
      <c r="N203" s="38" t="s">
        <v>9521</v>
      </c>
      <c r="O203" s="8"/>
      <c r="P203" s="4" t="str">
        <f>VLOOKUP($B203,'D7 - NDB Impacted SPRF''s'!$E$16:$O$9929,9,FALSE)</f>
        <v>Y</v>
      </c>
      <c r="Q203" s="4" t="str">
        <f>VLOOKUP($B203,'D7 - NDB Impacted SPRF''s'!$E$16:$O$9929,10,FALSE)</f>
        <v>N</v>
      </c>
      <c r="R203" s="4" t="str">
        <f>VLOOKUP($B203,'D7 - NDB Impacted SPRF''s'!$E$16:$O$9929,11,FALSE)</f>
        <v>N</v>
      </c>
      <c r="S203" s="8"/>
      <c r="T203" s="310"/>
      <c r="U203" s="310"/>
      <c r="V203" s="4"/>
      <c r="W203" s="4"/>
      <c r="X203" s="4"/>
      <c r="Y203" s="4"/>
      <c r="Z203" s="4"/>
      <c r="AA203" s="4"/>
      <c r="AB203" s="380" t="str">
        <f>VLOOKUP($B203,'D7 - NDB Impacted SPRF''s'!$E$6:$O$9929,4,FALSE)</f>
        <v>Scheduled</v>
      </c>
      <c r="AC203" s="380" t="str">
        <f>VLOOKUP($B203,'D7 - NDB Impacted SPRF''s'!$E$6:$O$9929,3,FALSE)</f>
        <v>OptumHealth</v>
      </c>
      <c r="AD203" s="380" t="str">
        <f>VLOOKUP($B203,'D7 - NDB Impacted SPRF''s'!$E$6:$O$9929,5,FALSE)</f>
        <v>Behavioral Solutions</v>
      </c>
      <c r="AE203" s="380" t="str">
        <f>VLOOKUP($B203,'D7 - NDB Impacted SPRF''s'!$E$6:$O$9929,7,FALSE)</f>
        <v>Deborah J. Adler</v>
      </c>
      <c r="AF203" s="380" t="str">
        <f>VLOOKUP($B203,'D7 - NDB Impacted SPRF''s'!$E$6:$O$9929,6,FALSE)</f>
        <v>Dani Hochleutner</v>
      </c>
      <c r="AG203" s="282"/>
      <c r="AH203" s="311" t="str">
        <f>INDEX('D5 - Gatekeeper - Projects'!$A$4:$AF$1010,$AM203, 17)</f>
        <v>L. Bravoco</v>
      </c>
      <c r="AI203" s="8"/>
      <c r="AJ203" s="57"/>
      <c r="AK203" s="105"/>
      <c r="AM203" s="6">
        <f>MATCH(D203,'D5 - Gatekeeper - Projects'!$C$4:$C$1010,0)</f>
        <v>199</v>
      </c>
      <c r="AN203" s="6" t="b">
        <f t="shared" si="17"/>
        <v>0</v>
      </c>
      <c r="AO203" s="6" t="str">
        <f t="shared" si="22"/>
        <v>OK</v>
      </c>
      <c r="AQ203" s="6" t="e">
        <f>MATCH($D203,'D4 - Provider Council Unsched'!$C$11:$C$234,0)</f>
        <v>#N/A</v>
      </c>
      <c r="AR203" s="6" t="b">
        <f t="shared" si="19"/>
        <v>1</v>
      </c>
      <c r="AS203" s="6" t="str">
        <f t="shared" si="23"/>
        <v>OK</v>
      </c>
      <c r="AU203" s="202">
        <v>41321</v>
      </c>
      <c r="AV203" s="328" t="s">
        <v>7503</v>
      </c>
      <c r="AW203" s="274"/>
    </row>
    <row r="204" spans="1:49" s="13" customFormat="1" ht="22.5" x14ac:dyDescent="0.2">
      <c r="A204" s="14">
        <v>169</v>
      </c>
      <c r="B204" s="8">
        <v>400057746</v>
      </c>
      <c r="C204" s="8" t="s">
        <v>1447</v>
      </c>
      <c r="D204" s="4" t="str">
        <f t="shared" si="21"/>
        <v>400057746A</v>
      </c>
      <c r="E204" s="309" t="str">
        <f>VLOOKUP($B204,'D7 - NDB Impacted SPRF''s'!$E$6:$O$9929,2,FALSE)</f>
        <v>OON FACILITY PAYMENT METHODOLOGY</v>
      </c>
      <c r="F204" s="8"/>
      <c r="G204" s="8" t="s">
        <v>7980</v>
      </c>
      <c r="H204" s="8" t="s">
        <v>1606</v>
      </c>
      <c r="I204" s="20">
        <v>26.33</v>
      </c>
      <c r="J204" s="8" t="s">
        <v>4862</v>
      </c>
      <c r="K204" s="182">
        <v>41685</v>
      </c>
      <c r="L204" s="8" t="s">
        <v>4156</v>
      </c>
      <c r="M204" s="8" t="s">
        <v>2814</v>
      </c>
      <c r="N204" s="38" t="s">
        <v>9180</v>
      </c>
      <c r="O204" s="8"/>
      <c r="P204" s="4" t="str">
        <f>VLOOKUP($B204,'D7 - NDB Impacted SPRF''s'!$E$16:$O$9929,9,FALSE)</f>
        <v>Y</v>
      </c>
      <c r="Q204" s="4" t="str">
        <f>VLOOKUP($B204,'D7 - NDB Impacted SPRF''s'!$E$16:$O$9929,10,FALSE)</f>
        <v>N</v>
      </c>
      <c r="R204" s="4" t="str">
        <f>VLOOKUP($B204,'D7 - NDB Impacted SPRF''s'!$E$16:$O$9929,11,FALSE)</f>
        <v>N</v>
      </c>
      <c r="S204" s="8"/>
      <c r="T204" s="310"/>
      <c r="U204" s="310"/>
      <c r="V204" s="4"/>
      <c r="W204" s="4"/>
      <c r="X204" s="4"/>
      <c r="Y204" s="4"/>
      <c r="Z204" s="4"/>
      <c r="AA204" s="4"/>
      <c r="AB204" s="380" t="str">
        <f>VLOOKUP($B204,'D7 - NDB Impacted SPRF''s'!$E$6:$O$9929,4,FALSE)</f>
        <v>Scheduled</v>
      </c>
      <c r="AC204" s="380" t="str">
        <f>VLOOKUP($B204,'D7 - NDB Impacted SPRF''s'!$E$6:$O$9929,3,FALSE)</f>
        <v>OptumHealth</v>
      </c>
      <c r="AD204" s="380" t="str">
        <f>VLOOKUP($B204,'D7 - NDB Impacted SPRF''s'!$E$6:$O$9929,5,FALSE)</f>
        <v>Behavioral Solutions</v>
      </c>
      <c r="AE204" s="380" t="str">
        <f>VLOOKUP($B204,'D7 - NDB Impacted SPRF''s'!$E$6:$O$9929,7,FALSE)</f>
        <v>Deborah J. Adler</v>
      </c>
      <c r="AF204" s="380" t="str">
        <f>VLOOKUP($B204,'D7 - NDB Impacted SPRF''s'!$E$6:$O$9929,6,FALSE)</f>
        <v>Dani Hochleutner</v>
      </c>
      <c r="AG204" s="282"/>
      <c r="AH204" s="311" t="str">
        <f>INDEX('D5 - Gatekeeper - Projects'!$A$4:$AF$1010,$AM204, 17)</f>
        <v>B. Williams</v>
      </c>
      <c r="AI204" s="8"/>
      <c r="AJ204" s="57"/>
      <c r="AK204" s="105"/>
      <c r="AM204" s="6">
        <f>MATCH(D204,'D5 - Gatekeeper - Projects'!$C$4:$C$1010,0)</f>
        <v>200</v>
      </c>
      <c r="AN204" s="6" t="b">
        <f t="shared" si="17"/>
        <v>0</v>
      </c>
      <c r="AO204" s="6" t="str">
        <f t="shared" si="22"/>
        <v>OK</v>
      </c>
      <c r="AQ204" s="6" t="e">
        <f>MATCH($D204,'D4 - Provider Council Unsched'!$C$11:$C$234,0)</f>
        <v>#N/A</v>
      </c>
      <c r="AR204" s="6" t="b">
        <f t="shared" si="19"/>
        <v>1</v>
      </c>
      <c r="AS204" s="6" t="str">
        <f t="shared" si="23"/>
        <v>OK</v>
      </c>
      <c r="AU204" s="202">
        <v>41362</v>
      </c>
      <c r="AV204" s="335" t="s">
        <v>7503</v>
      </c>
      <c r="AW204" s="274"/>
    </row>
    <row r="205" spans="1:49" s="13" customFormat="1" ht="45" x14ac:dyDescent="0.2">
      <c r="A205" s="14">
        <v>136</v>
      </c>
      <c r="B205" s="8">
        <v>400058463</v>
      </c>
      <c r="C205" s="8" t="s">
        <v>7290</v>
      </c>
      <c r="D205" s="4" t="str">
        <f t="shared" si="21"/>
        <v>400058463B</v>
      </c>
      <c r="E205" s="309" t="str">
        <f>VLOOKUP($B205,'D7 - NDB Impacted SPRF''s'!$E$6:$O$9929,2,FALSE)</f>
        <v>OPTIM: Test Data Mgmt and Data Masking in Zulu</v>
      </c>
      <c r="F205" s="8"/>
      <c r="G205" s="8" t="s">
        <v>7980</v>
      </c>
      <c r="H205" s="8" t="s">
        <v>1606</v>
      </c>
      <c r="I205" s="20">
        <v>1.31</v>
      </c>
      <c r="J205" s="8" t="s">
        <v>4862</v>
      </c>
      <c r="K205" s="182">
        <v>41685</v>
      </c>
      <c r="L205" s="8" t="s">
        <v>4156</v>
      </c>
      <c r="M205" s="8" t="s">
        <v>9364</v>
      </c>
      <c r="N205" s="38" t="s">
        <v>9512</v>
      </c>
      <c r="O205" s="8"/>
      <c r="P205" s="4" t="str">
        <f>VLOOKUP($B205,'D7 - NDB Impacted SPRF''s'!$E$16:$O$9929,9,FALSE)</f>
        <v>Y</v>
      </c>
      <c r="Q205" s="4" t="str">
        <f>VLOOKUP($B205,'D7 - NDB Impacted SPRF''s'!$E$16:$O$9929,10,FALSE)</f>
        <v>N</v>
      </c>
      <c r="R205" s="4" t="str">
        <f>VLOOKUP($B205,'D7 - NDB Impacted SPRF''s'!$E$16:$O$9929,11,FALSE)</f>
        <v>Y</v>
      </c>
      <c r="S205" s="8"/>
      <c r="T205" s="310"/>
      <c r="U205" s="310"/>
      <c r="V205" s="4"/>
      <c r="W205" s="4"/>
      <c r="X205" s="4"/>
      <c r="Y205" s="4"/>
      <c r="Z205" s="4"/>
      <c r="AA205" s="4"/>
      <c r="AB205" s="380" t="str">
        <f>VLOOKUP($B205,'D7 - NDB Impacted SPRF''s'!$E$6:$O$9929,4,FALSE)</f>
        <v>Scheduled</v>
      </c>
      <c r="AC205" s="380" t="str">
        <f>VLOOKUP($B205,'D7 - NDB Impacted SPRF''s'!$E$6:$O$9929,3,FALSE)</f>
        <v>UHG IT - Enterprise Technology Services</v>
      </c>
      <c r="AD205" s="380" t="str">
        <f>VLOOKUP($B205,'D7 - NDB Impacted SPRF''s'!$E$6:$O$9929,5,FALSE)</f>
        <v>Computer Services</v>
      </c>
      <c r="AE205" s="380" t="str">
        <f>VLOOKUP($B205,'D7 - NDB Impacted SPRF''s'!$E$6:$O$9929,7,FALSE)</f>
        <v>Milla Hautman</v>
      </c>
      <c r="AF205" s="380" t="str">
        <f>VLOOKUP($B205,'D7 - NDB Impacted SPRF''s'!$E$6:$O$9929,6,FALSE)</f>
        <v>JACQUELYN LOTTER</v>
      </c>
      <c r="AG205" s="282"/>
      <c r="AH205" s="311" t="str">
        <f>INDEX('D5 - Gatekeeper - Projects'!$A$4:$AF$1010,$AM205, 17)</f>
        <v>T. Kester/R. King</v>
      </c>
      <c r="AI205" s="8"/>
      <c r="AJ205" s="57"/>
      <c r="AK205" s="105"/>
      <c r="AM205" s="6">
        <f>MATCH(D205,'D5 - Gatekeeper - Projects'!$C$4:$C$1010,0)</f>
        <v>201</v>
      </c>
      <c r="AN205" s="6" t="b">
        <f t="shared" si="17"/>
        <v>0</v>
      </c>
      <c r="AO205" s="6" t="str">
        <f t="shared" si="22"/>
        <v>OK</v>
      </c>
      <c r="AQ205" s="6" t="e">
        <f>MATCH($D205,'D4 - Provider Council Unsched'!$C$11:$C$234,0)</f>
        <v>#N/A</v>
      </c>
      <c r="AR205" s="6" t="b">
        <f t="shared" si="19"/>
        <v>1</v>
      </c>
      <c r="AS205" s="6" t="str">
        <f t="shared" si="23"/>
        <v>OK</v>
      </c>
      <c r="AU205" s="202">
        <v>41404</v>
      </c>
      <c r="AV205" s="394" t="s">
        <v>9002</v>
      </c>
      <c r="AW205" s="274"/>
    </row>
    <row r="206" spans="1:49" s="13" customFormat="1" ht="22.5" x14ac:dyDescent="0.2">
      <c r="A206" s="14">
        <v>170</v>
      </c>
      <c r="B206" s="8">
        <v>400058857</v>
      </c>
      <c r="C206" s="8" t="s">
        <v>1447</v>
      </c>
      <c r="D206" s="4" t="str">
        <f t="shared" si="21"/>
        <v>400058857A</v>
      </c>
      <c r="E206" s="309" t="str">
        <f>VLOOKUP($B206,'D7 - NDB Impacted SPRF''s'!$E$6:$O$9929,2,FALSE)</f>
        <v>NDB Provider Pick Enh/COSMOS Pick Shutdown A&amp;D</v>
      </c>
      <c r="F206" s="8"/>
      <c r="G206" s="8" t="s">
        <v>7980</v>
      </c>
      <c r="H206" s="8" t="s">
        <v>1606</v>
      </c>
      <c r="I206" s="20">
        <v>34.700000000000003</v>
      </c>
      <c r="J206" s="8" t="s">
        <v>4862</v>
      </c>
      <c r="K206" s="182">
        <v>41685</v>
      </c>
      <c r="L206" s="8" t="s">
        <v>4156</v>
      </c>
      <c r="M206" s="8" t="s">
        <v>2814</v>
      </c>
      <c r="N206" s="38"/>
      <c r="O206" s="8"/>
      <c r="P206" s="4" t="str">
        <f>VLOOKUP($B206,'D7 - NDB Impacted SPRF''s'!$E$16:$O$9929,9,FALSE)</f>
        <v>N</v>
      </c>
      <c r="Q206" s="4" t="str">
        <f>VLOOKUP($B206,'D7 - NDB Impacted SPRF''s'!$E$16:$O$9929,10,FALSE)</f>
        <v>N</v>
      </c>
      <c r="R206" s="4" t="str">
        <f>VLOOKUP($B206,'D7 - NDB Impacted SPRF''s'!$E$16:$O$9929,11,FALSE)</f>
        <v>N</v>
      </c>
      <c r="S206" s="8"/>
      <c r="T206" s="310"/>
      <c r="U206" s="310"/>
      <c r="V206" s="4"/>
      <c r="W206" s="4"/>
      <c r="X206" s="4"/>
      <c r="Y206" s="4"/>
      <c r="Z206" s="4"/>
      <c r="AA206" s="4"/>
      <c r="AB206" s="380" t="str">
        <f>VLOOKUP($B206,'D7 - NDB Impacted SPRF''s'!$E$6:$O$9929,4,FALSE)</f>
        <v>Scheduled</v>
      </c>
      <c r="AC206" s="380" t="str">
        <f>VLOOKUP($B206,'D7 - NDB Impacted SPRF''s'!$E$6:$O$9929,3,FALSE)</f>
        <v>UHG IT - Shared Services</v>
      </c>
      <c r="AD206" s="380" t="str">
        <f>VLOOKUP($B206,'D7 - NDB Impacted SPRF''s'!$E$6:$O$9929,5,FALSE)</f>
        <v>Strategic Initiatives</v>
      </c>
      <c r="AE206" s="380" t="str">
        <f>VLOOKUP($B206,'D7 - NDB Impacted SPRF''s'!$E$6:$O$9929,7,FALSE)</f>
        <v>Eileen Dock</v>
      </c>
      <c r="AF206" s="380" t="str">
        <f>VLOOKUP($B206,'D7 - NDB Impacted SPRF''s'!$E$6:$O$9929,6,FALSE)</f>
        <v>Michele Mougey</v>
      </c>
      <c r="AG206" s="282"/>
      <c r="AH206" s="311" t="str">
        <f>INDEX('D5 - Gatekeeper - Projects'!$A$4:$AF$1010,$AM206, 17)</f>
        <v>C. Chen</v>
      </c>
      <c r="AI206" s="8"/>
      <c r="AJ206" s="57"/>
      <c r="AK206" s="105"/>
      <c r="AM206" s="6">
        <f>MATCH(D206,'D5 - Gatekeeper - Projects'!$C$4:$C$1010,0)</f>
        <v>202</v>
      </c>
      <c r="AN206" s="6" t="b">
        <f t="shared" si="17"/>
        <v>0</v>
      </c>
      <c r="AO206" s="6" t="str">
        <f t="shared" si="22"/>
        <v>OK</v>
      </c>
      <c r="AQ206" s="6" t="e">
        <f>MATCH($D206,'D4 - Provider Council Unsched'!$C$11:$C$234,0)</f>
        <v>#N/A</v>
      </c>
      <c r="AR206" s="6" t="b">
        <f t="shared" si="19"/>
        <v>1</v>
      </c>
      <c r="AS206" s="6" t="str">
        <f t="shared" si="23"/>
        <v>OK</v>
      </c>
      <c r="AU206" s="202">
        <v>41390</v>
      </c>
      <c r="AV206" s="394" t="s">
        <v>2754</v>
      </c>
      <c r="AW206" s="274"/>
    </row>
    <row r="207" spans="1:49" s="13" customFormat="1" ht="45" x14ac:dyDescent="0.2">
      <c r="A207" s="14">
        <v>167</v>
      </c>
      <c r="B207" s="8">
        <v>400047477</v>
      </c>
      <c r="C207" s="8" t="s">
        <v>7291</v>
      </c>
      <c r="D207" s="4" t="str">
        <f t="shared" si="21"/>
        <v>400047477E</v>
      </c>
      <c r="E207" s="309" t="str">
        <f>VLOOKUP($B207,'D7 - NDB Impacted SPRF''s'!$E$6:$O$9929,2,FALSE)</f>
        <v xml:space="preserve">ICD10 E &amp; I Compliance Release </v>
      </c>
      <c r="F207" s="8"/>
      <c r="G207" s="8" t="s">
        <v>7980</v>
      </c>
      <c r="H207" s="8" t="s">
        <v>1606</v>
      </c>
      <c r="I207" s="20">
        <v>2.2799999999999998</v>
      </c>
      <c r="J207" s="8" t="s">
        <v>4862</v>
      </c>
      <c r="K207" s="182">
        <v>41692</v>
      </c>
      <c r="L207" s="8" t="s">
        <v>4156</v>
      </c>
      <c r="M207" s="8" t="s">
        <v>3598</v>
      </c>
      <c r="N207" s="38" t="s">
        <v>7682</v>
      </c>
      <c r="O207" s="8"/>
      <c r="P207" s="4" t="str">
        <f>VLOOKUP($B207,'D7 - NDB Impacted SPRF''s'!$E$16:$O$9929,9,FALSE)</f>
        <v>Y</v>
      </c>
      <c r="Q207" s="4" t="str">
        <f>VLOOKUP($B207,'D7 - NDB Impacted SPRF''s'!$E$16:$O$9929,10,FALSE)</f>
        <v>N</v>
      </c>
      <c r="R207" s="4" t="str">
        <f>VLOOKUP($B207,'D7 - NDB Impacted SPRF''s'!$E$16:$O$9929,11,FALSE)</f>
        <v>Y</v>
      </c>
      <c r="S207" s="8"/>
      <c r="T207" s="310"/>
      <c r="U207" s="310"/>
      <c r="V207" s="4"/>
      <c r="W207" s="4"/>
      <c r="X207" s="4"/>
      <c r="Y207" s="4"/>
      <c r="Z207" s="4"/>
      <c r="AA207" s="4"/>
      <c r="AB207" s="380" t="str">
        <f>VLOOKUP($B207,'D7 - NDB Impacted SPRF''s'!$E$6:$O$9929,4,FALSE)</f>
        <v>Scheduled</v>
      </c>
      <c r="AC207" s="380" t="str">
        <f>VLOOKUP($B207,'D7 - NDB Impacted SPRF''s'!$E$6:$O$9929,3,FALSE)</f>
        <v>UnitedHealthcare Employer &amp; Individual</v>
      </c>
      <c r="AD207" s="380" t="str">
        <f>VLOOKUP($B207,'D7 - NDB Impacted SPRF''s'!$E$6:$O$9929,5,FALSE)</f>
        <v>Regulatory / Other</v>
      </c>
      <c r="AE207" s="380" t="str">
        <f>VLOOKUP($B207,'D7 - NDB Impacted SPRF''s'!$E$6:$O$9929,7,FALSE)</f>
        <v>Tim Kaja</v>
      </c>
      <c r="AF207" s="380" t="str">
        <f>VLOOKUP($B207,'D7 - NDB Impacted SPRF''s'!$E$6:$O$9929,6,FALSE)</f>
        <v>Delvis Schilling</v>
      </c>
      <c r="AG207" s="282"/>
      <c r="AH207" s="311" t="str">
        <f>INDEX('D5 - Gatekeeper - Projects'!$A$4:$AF$1010,$AM207, 17)</f>
        <v>L. Bravoco</v>
      </c>
      <c r="AI207" s="8"/>
      <c r="AJ207" s="57"/>
      <c r="AK207" s="105"/>
      <c r="AM207" s="6">
        <f>MATCH(D207,'D5 - Gatekeeper - Projects'!$C$4:$C$1010,0)</f>
        <v>203</v>
      </c>
      <c r="AN207" s="6" t="b">
        <f t="shared" si="17"/>
        <v>0</v>
      </c>
      <c r="AO207" s="6" t="str">
        <f t="shared" si="22"/>
        <v>OK</v>
      </c>
      <c r="AQ207" s="6" t="e">
        <f>MATCH($D207,'D4 - Provider Council Unsched'!$C$11:$C$234,0)</f>
        <v>#N/A</v>
      </c>
      <c r="AR207" s="6" t="b">
        <f t="shared" si="19"/>
        <v>1</v>
      </c>
      <c r="AS207" s="6" t="str">
        <f t="shared" si="23"/>
        <v>OK</v>
      </c>
      <c r="AU207" s="202">
        <v>41298</v>
      </c>
      <c r="AV207" s="262" t="s">
        <v>2299</v>
      </c>
      <c r="AW207" s="274">
        <v>58699</v>
      </c>
    </row>
    <row r="208" spans="1:49" s="13" customFormat="1" ht="90" x14ac:dyDescent="0.2">
      <c r="A208" s="14">
        <v>158</v>
      </c>
      <c r="B208" s="8">
        <v>400057085</v>
      </c>
      <c r="C208" s="8" t="s">
        <v>1447</v>
      </c>
      <c r="D208" s="4" t="str">
        <f t="shared" si="21"/>
        <v>400057085A</v>
      </c>
      <c r="E208" s="309" t="str">
        <f>VLOOKUP($B208,'D7 - NDB Impacted SPRF''s'!$E$6:$O$9929,2,FALSE)</f>
        <v>CSS Portal &amp; EDI Clinical Integration Acceleration</v>
      </c>
      <c r="F208" s="8"/>
      <c r="G208" s="8" t="s">
        <v>7980</v>
      </c>
      <c r="H208" s="8" t="s">
        <v>1606</v>
      </c>
      <c r="I208" s="20">
        <v>0.41</v>
      </c>
      <c r="J208" s="8" t="s">
        <v>4862</v>
      </c>
      <c r="K208" s="182">
        <v>41874</v>
      </c>
      <c r="L208" s="8" t="s">
        <v>4156</v>
      </c>
      <c r="M208" s="8" t="s">
        <v>5626</v>
      </c>
      <c r="N208" s="38" t="s">
        <v>9604</v>
      </c>
      <c r="O208" s="8"/>
      <c r="P208" s="4" t="str">
        <f>VLOOKUP($B208,'D7 - NDB Impacted SPRF''s'!$E$16:$O$9929,9,FALSE)</f>
        <v>Y</v>
      </c>
      <c r="Q208" s="4" t="str">
        <f>VLOOKUP($B208,'D7 - NDB Impacted SPRF''s'!$E$16:$O$9929,10,FALSE)</f>
        <v>N</v>
      </c>
      <c r="R208" s="4" t="str">
        <f>VLOOKUP($B208,'D7 - NDB Impacted SPRF''s'!$E$16:$O$9929,11,FALSE)</f>
        <v>N</v>
      </c>
      <c r="S208" s="8"/>
      <c r="T208" s="310"/>
      <c r="U208" s="310"/>
      <c r="V208" s="4"/>
      <c r="W208" s="4"/>
      <c r="X208" s="4"/>
      <c r="Y208" s="4"/>
      <c r="Z208" s="4"/>
      <c r="AA208" s="4"/>
      <c r="AB208" s="380" t="str">
        <f>VLOOKUP($B208,'D7 - NDB Impacted SPRF''s'!$E$6:$O$9929,4,FALSE)</f>
        <v>Scheduled</v>
      </c>
      <c r="AC208" s="380" t="str">
        <f>VLOOKUP($B208,'D7 - NDB Impacted SPRF''s'!$E$6:$O$9929,3,FALSE)</f>
        <v>UnitedHealthcare Employer &amp; Individual</v>
      </c>
      <c r="AD208" s="380" t="str">
        <f>VLOOKUP($B208,'D7 - NDB Impacted SPRF''s'!$E$6:$O$9929,5,FALSE)</f>
        <v>Process Improvement</v>
      </c>
      <c r="AE208" s="380" t="str">
        <f>VLOOKUP($B208,'D7 - NDB Impacted SPRF''s'!$E$6:$O$9929,7,FALSE)</f>
        <v>Sheila Nelson</v>
      </c>
      <c r="AF208" s="380" t="str">
        <f>VLOOKUP($B208,'D7 - NDB Impacted SPRF''s'!$E$6:$O$9929,6,FALSE)</f>
        <v>CHRISTINA MOSHER</v>
      </c>
      <c r="AG208" s="282"/>
      <c r="AH208" s="311" t="str">
        <f>INDEX('D5 - Gatekeeper - Projects'!$A$4:$AF$1010,$AM208, 17)</f>
        <v>B. Williams</v>
      </c>
      <c r="AI208" s="8"/>
      <c r="AJ208" s="57"/>
      <c r="AK208" s="105"/>
      <c r="AM208" s="6">
        <f>MATCH(D208,'D5 - Gatekeeper - Projects'!$C$4:$C$1010,0)</f>
        <v>204</v>
      </c>
      <c r="AN208" s="6" t="b">
        <f t="shared" si="17"/>
        <v>0</v>
      </c>
      <c r="AO208" s="6" t="str">
        <f t="shared" si="22"/>
        <v>OK</v>
      </c>
      <c r="AQ208" s="6" t="e">
        <f>MATCH($D208,'D4 - Provider Council Unsched'!$C$11:$C$234,0)</f>
        <v>#N/A</v>
      </c>
      <c r="AR208" s="6" t="b">
        <f t="shared" si="19"/>
        <v>1</v>
      </c>
      <c r="AS208" s="6" t="str">
        <f t="shared" si="23"/>
        <v>OK</v>
      </c>
      <c r="AU208" s="202">
        <v>41376</v>
      </c>
      <c r="AV208" s="322" t="s">
        <v>7712</v>
      </c>
      <c r="AW208" s="274"/>
    </row>
    <row r="209" spans="1:49" s="13" customFormat="1" x14ac:dyDescent="0.2">
      <c r="A209" s="14">
        <v>171</v>
      </c>
      <c r="B209" s="133">
        <v>0</v>
      </c>
      <c r="C209" s="47"/>
      <c r="D209" s="46"/>
      <c r="E209" s="47"/>
      <c r="F209" s="47"/>
      <c r="G209" s="47"/>
      <c r="H209" s="47" t="s">
        <v>6266</v>
      </c>
      <c r="I209" s="48"/>
      <c r="J209" s="47"/>
      <c r="K209" s="183">
        <v>36892</v>
      </c>
      <c r="L209" s="46"/>
      <c r="M209" s="47"/>
      <c r="N209" s="366"/>
      <c r="O209" s="47"/>
      <c r="P209" s="46" t="e">
        <f>VLOOKUP($B209,'D7 - NDB Impacted SPRF''s'!$E$16:$O$9929,9,FALSE)</f>
        <v>#N/A</v>
      </c>
      <c r="Q209" s="46" t="e">
        <f>VLOOKUP($B209,'D7 - NDB Impacted SPRF''s'!$E$16:$O$9929,10,FALSE)</f>
        <v>#N/A</v>
      </c>
      <c r="R209" s="46" t="e">
        <f>VLOOKUP($B209,'D7 - NDB Impacted SPRF''s'!$E$16:$O$9929,11,FALSE)</f>
        <v>#N/A</v>
      </c>
      <c r="S209" s="47"/>
      <c r="T209" s="325" t="str">
        <f>IF($H209=$H$1,INDEX('D5 - Gatekeeper - Projects'!$A$4:$AF$1010,$AM209,27),"NA")</f>
        <v>NA</v>
      </c>
      <c r="U209" s="325" t="str">
        <f>IF($H209=$H$1,INDEX('D5 - Gatekeeper - Projects'!$A$4:$AF$1010,$AM209,28),"NA")</f>
        <v>NA</v>
      </c>
      <c r="V209" s="325" t="str">
        <f>IF($H209=$H$1,INDEX('D5 - Gatekeeper - Projects'!$A$4:$AF$1010,$AM209,28),"NA")</f>
        <v>NA</v>
      </c>
      <c r="W209" s="325" t="str">
        <f>IF($H209=$H$1,INDEX('D5 - Gatekeeper - Projects'!$A$4:$AF$1010,$AM209,28),"NA")</f>
        <v>NA</v>
      </c>
      <c r="X209" s="325" t="str">
        <f>IF($H209=$H$1,INDEX('D5 - Gatekeeper - Projects'!$A$4:$AF$1010,$AM209,28),"NA")</f>
        <v>NA</v>
      </c>
      <c r="Y209" s="325" t="str">
        <f>IF($H209=$H$1,INDEX('D5 - Gatekeeper - Projects'!$A$4:$AF$1010,$AM209,28),"NA")</f>
        <v>NA</v>
      </c>
      <c r="Z209" s="325" t="str">
        <f>IF($H209=$H$1,INDEX('D5 - Gatekeeper - Projects'!$A$4:$AF$1010,$AM209,28),"NA")</f>
        <v>NA</v>
      </c>
      <c r="AA209" s="325" t="str">
        <f>IF($H209=$H$1,INDEX('D5 - Gatekeeper - Projects'!$A$4:$AF$1010,$AM209,28),"NA")</f>
        <v>NA</v>
      </c>
      <c r="AB209" s="381" t="e">
        <f>VLOOKUP($B209,'D7 - NDB Impacted SPRF''s'!$E$16:$O$9929,4,FALSE)</f>
        <v>#N/A</v>
      </c>
      <c r="AC209" s="381" t="e">
        <f>VLOOKUP($B209,'D7 - NDB Impacted SPRF''s'!$E$16:$O$9929,3,FALSE)</f>
        <v>#N/A</v>
      </c>
      <c r="AD209" s="381" t="e">
        <f>VLOOKUP($B209,'D7 - NDB Impacted SPRF''s'!$E$16:$O$9929,5,FALSE)</f>
        <v>#N/A</v>
      </c>
      <c r="AE209" s="381" t="e">
        <f>VLOOKUP($B209,'D7 - NDB Impacted SPRF''s'!$E$16:$O$9929,7,FALSE)</f>
        <v>#N/A</v>
      </c>
      <c r="AF209" s="381" t="e">
        <f>VLOOKUP($B209,'D7 - NDB Impacted SPRF''s'!$E$16:$O$9929,6,FALSE)</f>
        <v>#N/A</v>
      </c>
      <c r="AG209" s="324"/>
      <c r="AH209" s="326" t="e">
        <f>INDEX('D5 - Gatekeeper - Projects'!$A$4:$AF$1010,$AM209, 17)</f>
        <v>#N/A</v>
      </c>
      <c r="AI209" s="47"/>
      <c r="AJ209" s="58"/>
      <c r="AK209" s="106"/>
      <c r="AL209" s="154"/>
      <c r="AM209" s="46" t="e">
        <f>MATCH(D209,'D5 - Gatekeeper - Projects'!$C$4:$C$1010,0)</f>
        <v>#N/A</v>
      </c>
      <c r="AN209" s="46" t="b">
        <f t="shared" ref="AN209:AN272" si="24">ISERROR(AM209)</f>
        <v>1</v>
      </c>
      <c r="AO209" s="46"/>
      <c r="AP209" s="154"/>
      <c r="AQ209" s="46" t="e">
        <f>MATCH($D209,'D4 - Provider Council Unsched'!$C$11:$C$234,0)</f>
        <v>#N/A</v>
      </c>
      <c r="AR209" s="46" t="b">
        <f t="shared" ref="AR209:AR272" si="25">ISERROR(AQ209)</f>
        <v>1</v>
      </c>
      <c r="AS209" s="46"/>
      <c r="AU209" s="202"/>
      <c r="AV209" s="262"/>
      <c r="AW209" s="274"/>
    </row>
    <row r="210" spans="1:49" s="13" customFormat="1" ht="33.75" x14ac:dyDescent="0.2">
      <c r="A210" s="14">
        <v>172</v>
      </c>
      <c r="B210" s="8">
        <v>400039622</v>
      </c>
      <c r="C210" s="8" t="s">
        <v>8138</v>
      </c>
      <c r="D210" s="4" t="str">
        <f t="shared" ref="D210:D273" si="26">CONCATENATE(B210,C210)</f>
        <v>400039622UA</v>
      </c>
      <c r="E210" s="309" t="str">
        <f>VLOOKUP($B210,'D7 - NDB Impacted SPRF''s'!$E$6:$O$9929,2,FALSE)</f>
        <v>Medical Necessity - Rad/Card Prior Auth</v>
      </c>
      <c r="F210" s="8"/>
      <c r="G210" s="8" t="s">
        <v>7980</v>
      </c>
      <c r="H210" s="8" t="s">
        <v>6266</v>
      </c>
      <c r="I210" s="20">
        <v>1.45</v>
      </c>
      <c r="J210" s="8" t="s">
        <v>4862</v>
      </c>
      <c r="K210" s="182">
        <v>40768</v>
      </c>
      <c r="L210" s="8" t="s">
        <v>4156</v>
      </c>
      <c r="M210" s="8" t="s">
        <v>2814</v>
      </c>
      <c r="N210" s="38" t="s">
        <v>1565</v>
      </c>
      <c r="O210" s="8"/>
      <c r="P210" s="4" t="str">
        <f>VLOOKUP($B210,'D7 - NDB Impacted SPRF''s'!$E$16:$O$9929,9,FALSE)</f>
        <v>Y</v>
      </c>
      <c r="Q210" s="4" t="str">
        <f>VLOOKUP($B210,'D7 - NDB Impacted SPRF''s'!$E$16:$O$9929,10,FALSE)</f>
        <v>N</v>
      </c>
      <c r="R210" s="4" t="str">
        <f>VLOOKUP($B210,'D7 - NDB Impacted SPRF''s'!$E$16:$O$9929,11,FALSE)</f>
        <v>Y</v>
      </c>
      <c r="S210" s="8"/>
      <c r="T210" s="310"/>
      <c r="U210" s="310"/>
      <c r="V210" s="4"/>
      <c r="W210" s="4"/>
      <c r="X210" s="4"/>
      <c r="Y210" s="4"/>
      <c r="Z210" s="4"/>
      <c r="AA210" s="4"/>
      <c r="AB210" s="380" t="str">
        <f>VLOOKUP($B210,'D7 - NDB Impacted SPRF''s'!$E$6:$O$9929,4,FALSE)</f>
        <v>Scheduled</v>
      </c>
      <c r="AC210" s="380" t="str">
        <f>VLOOKUP($B210,'D7 - NDB Impacted SPRF''s'!$E$6:$O$9929,3,FALSE)</f>
        <v>UnitedHealthcare Employer &amp; Individual</v>
      </c>
      <c r="AD210" s="380" t="str">
        <f>VLOOKUP($B210,'D7 - NDB Impacted SPRF''s'!$E$6:$O$9929,5,FALSE)</f>
        <v>Medical Cost Savings Programs</v>
      </c>
      <c r="AE210" s="380" t="str">
        <f>VLOOKUP($B210,'D7 - NDB Impacted SPRF''s'!$E$6:$O$9929,7,FALSE)</f>
        <v>Dr. Sam Ho / Kevin Ruth</v>
      </c>
      <c r="AF210" s="380" t="str">
        <f>VLOOKUP($B210,'D7 - NDB Impacted SPRF''s'!$E$6:$O$9929,6,FALSE)</f>
        <v>ROSS OGDEN</v>
      </c>
      <c r="AG210" s="282"/>
      <c r="AH210" s="311" t="e">
        <f>INDEX('D5 - Gatekeeper - Projects'!$A$4:$AF$1010,$AM210, 17)</f>
        <v>#N/A</v>
      </c>
      <c r="AI210" s="8"/>
      <c r="AJ210" s="57"/>
      <c r="AK210" s="105"/>
      <c r="AM210" s="6" t="e">
        <f>MATCH(D210,'D5 - Gatekeeper - Projects'!$C$4:$C$1010,0)</f>
        <v>#N/A</v>
      </c>
      <c r="AN210" s="6" t="b">
        <f t="shared" si="24"/>
        <v>1</v>
      </c>
      <c r="AO210" s="6" t="str">
        <f t="shared" ref="AO210:AO273" si="27">IF(AND(H210="1 - Scheduled",AN210=TRUE),"Add","OK")</f>
        <v>OK</v>
      </c>
      <c r="AQ210" s="6" t="e">
        <f>MATCH($D210,'D4 - Provider Council Unsched'!$C$11:$C$234,0)</f>
        <v>#N/A</v>
      </c>
      <c r="AR210" s="6" t="b">
        <f t="shared" si="25"/>
        <v>1</v>
      </c>
      <c r="AS210" s="6" t="str">
        <f t="shared" ref="AS210:AS241" si="28">IF(AND(H210="2 - Not Scheduled",AR210=TRUE,C210="R1"),"Add","OK")</f>
        <v>OK</v>
      </c>
      <c r="AU210" s="202"/>
      <c r="AV210" s="262" t="s">
        <v>468</v>
      </c>
      <c r="AW210" s="274"/>
    </row>
    <row r="211" spans="1:49" s="13" customFormat="1" ht="45" x14ac:dyDescent="0.2">
      <c r="A211" s="14">
        <v>173</v>
      </c>
      <c r="B211" s="8">
        <v>400050633</v>
      </c>
      <c r="C211" s="8" t="s">
        <v>1447</v>
      </c>
      <c r="D211" s="4" t="str">
        <f t="shared" si="26"/>
        <v>400050633A</v>
      </c>
      <c r="E211" s="309" t="str">
        <f>VLOOKUP($B211,'D7 - NDB Impacted SPRF''s'!$E$6:$O$9929,2,FALSE)</f>
        <v>NDB SoT - NDB Directory SoT &amp; Enhancements A/D</v>
      </c>
      <c r="F211" s="8"/>
      <c r="G211" s="8" t="s">
        <v>7980</v>
      </c>
      <c r="H211" s="8" t="s">
        <v>6266</v>
      </c>
      <c r="I211" s="20" t="s">
        <v>7420</v>
      </c>
      <c r="J211" s="8" t="s">
        <v>4862</v>
      </c>
      <c r="K211" s="182">
        <v>41314</v>
      </c>
      <c r="L211" s="8" t="s">
        <v>4156</v>
      </c>
      <c r="M211" s="8" t="s">
        <v>2814</v>
      </c>
      <c r="N211" s="38"/>
      <c r="O211" s="8"/>
      <c r="P211" s="4" t="str">
        <f>VLOOKUP($B211,'D7 - NDB Impacted SPRF''s'!$E$16:$O$9929,9,FALSE)</f>
        <v>N</v>
      </c>
      <c r="Q211" s="4" t="str">
        <f>VLOOKUP($B211,'D7 - NDB Impacted SPRF''s'!$E$16:$O$9929,10,FALSE)</f>
        <v>N</v>
      </c>
      <c r="R211" s="4" t="str">
        <f>VLOOKUP($B211,'D7 - NDB Impacted SPRF''s'!$E$16:$O$9929,11,FALSE)</f>
        <v>N</v>
      </c>
      <c r="S211" s="8"/>
      <c r="T211" s="310"/>
      <c r="U211" s="310"/>
      <c r="V211" s="4"/>
      <c r="W211" s="4"/>
      <c r="X211" s="4"/>
      <c r="Y211" s="4"/>
      <c r="Z211" s="4"/>
      <c r="AA211" s="4"/>
      <c r="AB211" s="380" t="str">
        <f>VLOOKUP($B211,'D7 - NDB Impacted SPRF''s'!$E$6:$O$9929,4,FALSE)</f>
        <v>Cancelled</v>
      </c>
      <c r="AC211" s="380" t="str">
        <f>VLOOKUP($B211,'D7 - NDB Impacted SPRF''s'!$E$6:$O$9929,3,FALSE)</f>
        <v>UHG IT - Enterprise Technology Services</v>
      </c>
      <c r="AD211" s="380" t="str">
        <f>VLOOKUP($B211,'D7 - NDB Impacted SPRF''s'!$E$6:$O$9929,5,FALSE)</f>
        <v>Strategic Initiatives</v>
      </c>
      <c r="AE211" s="380" t="str">
        <f>VLOOKUP($B211,'D7 - NDB Impacted SPRF''s'!$E$6:$O$9929,7,FALSE)</f>
        <v>Kaja, Tim</v>
      </c>
      <c r="AF211" s="380" t="str">
        <f>VLOOKUP($B211,'D7 - NDB Impacted SPRF''s'!$E$6:$O$9929,6,FALSE)</f>
        <v>Shelly Heit</v>
      </c>
      <c r="AG211" s="282"/>
      <c r="AH211" s="311" t="e">
        <f>INDEX('D5 - Gatekeeper - Projects'!$A$4:$AF$1010,$AM211, 17)</f>
        <v>#N/A</v>
      </c>
      <c r="AI211" s="8"/>
      <c r="AJ211" s="57"/>
      <c r="AK211" s="105"/>
      <c r="AM211" s="6" t="e">
        <f>MATCH(D211,'D5 - Gatekeeper - Projects'!$C$4:$C$1010,0)</f>
        <v>#N/A</v>
      </c>
      <c r="AN211" s="6" t="b">
        <f t="shared" si="24"/>
        <v>1</v>
      </c>
      <c r="AO211" s="6" t="str">
        <f t="shared" si="27"/>
        <v>OK</v>
      </c>
      <c r="AQ211" s="6" t="e">
        <f>MATCH($D211,'D4 - Provider Council Unsched'!$C$11:$C$234,0)</f>
        <v>#N/A</v>
      </c>
      <c r="AR211" s="6" t="b">
        <f t="shared" si="25"/>
        <v>1</v>
      </c>
      <c r="AS211" s="6" t="str">
        <f t="shared" si="28"/>
        <v>OK</v>
      </c>
      <c r="AU211" s="202">
        <v>41015</v>
      </c>
      <c r="AV211" s="262" t="s">
        <v>1081</v>
      </c>
      <c r="AW211" s="274" t="s">
        <v>3572</v>
      </c>
    </row>
    <row r="212" spans="1:49" s="13" customFormat="1" ht="33.75" x14ac:dyDescent="0.2">
      <c r="A212" s="14">
        <v>175</v>
      </c>
      <c r="B212" s="8">
        <v>400019504</v>
      </c>
      <c r="C212" s="8" t="s">
        <v>1447</v>
      </c>
      <c r="D212" s="4" t="str">
        <f t="shared" si="26"/>
        <v>400019504A</v>
      </c>
      <c r="E212" s="309" t="str">
        <f>VLOOKUP($B212,'D7 - NDB Impacted SPRF''s'!$E$6:$O$9929,2,FALSE)</f>
        <v xml:space="preserve">WO NPI add to Unet ORBIT Frd &amp; Abus Non Par Prvdr </v>
      </c>
      <c r="F212" s="8"/>
      <c r="G212" s="8" t="s">
        <v>7980</v>
      </c>
      <c r="H212" s="8" t="s">
        <v>6266</v>
      </c>
      <c r="I212" s="20"/>
      <c r="J212" s="8"/>
      <c r="K212" s="182"/>
      <c r="L212" s="8" t="s">
        <v>4156</v>
      </c>
      <c r="M212" s="8" t="s">
        <v>2814</v>
      </c>
      <c r="N212" s="38" t="s">
        <v>6512</v>
      </c>
      <c r="O212" s="8"/>
      <c r="P212" s="4" t="str">
        <f>VLOOKUP($B212,'D7 - NDB Impacted SPRF''s'!$E$16:$O$9929,9,FALSE)</f>
        <v>N</v>
      </c>
      <c r="Q212" s="4" t="str">
        <f>VLOOKUP($B212,'D7 - NDB Impacted SPRF''s'!$E$16:$O$9929,10,FALSE)</f>
        <v>N</v>
      </c>
      <c r="R212" s="4" t="str">
        <f>VLOOKUP($B212,'D7 - NDB Impacted SPRF''s'!$E$16:$O$9929,11,FALSE)</f>
        <v>N</v>
      </c>
      <c r="S212" s="8"/>
      <c r="T212" s="310"/>
      <c r="U212" s="310"/>
      <c r="V212" s="4"/>
      <c r="W212" s="4"/>
      <c r="X212" s="4"/>
      <c r="Y212" s="4"/>
      <c r="Z212" s="4"/>
      <c r="AA212" s="4"/>
      <c r="AB212" s="380" t="str">
        <f>VLOOKUP($B212,'D7 - NDB Impacted SPRF''s'!$E$6:$O$9929,4,FALSE)</f>
        <v>In Program Manager Request Review</v>
      </c>
      <c r="AC212" s="380" t="str">
        <f>VLOOKUP($B212,'D7 - NDB Impacted SPRF''s'!$E$6:$O$9929,3,FALSE)</f>
        <v>OptumInsight</v>
      </c>
      <c r="AD212" s="380" t="str">
        <f>VLOOKUP($B212,'D7 - NDB Impacted SPRF''s'!$E$6:$O$9929,5,FALSE)</f>
        <v>HIPAA 5010</v>
      </c>
      <c r="AE212" s="380" t="str">
        <f>VLOOKUP($B212,'D7 - NDB Impacted SPRF''s'!$E$6:$O$9929,7,FALSE)</f>
        <v>DINO G KASDAGLY</v>
      </c>
      <c r="AF212" s="380" t="str">
        <f>VLOOKUP($B212,'D7 - NDB Impacted SPRF''s'!$E$6:$O$9929,6,FALSE)</f>
        <v>Patricia Hanson</v>
      </c>
      <c r="AG212" s="282"/>
      <c r="AH212" s="311" t="e">
        <f>INDEX('D5 - Gatekeeper - Projects'!$A$4:$AF$1010,$AM212, 17)</f>
        <v>#N/A</v>
      </c>
      <c r="AI212" s="8"/>
      <c r="AJ212" s="57"/>
      <c r="AK212" s="105"/>
      <c r="AM212" s="6" t="e">
        <f>MATCH(D212,'D5 - Gatekeeper - Projects'!$C$4:$C$1010,0)</f>
        <v>#N/A</v>
      </c>
      <c r="AN212" s="6" t="b">
        <f t="shared" si="24"/>
        <v>1</v>
      </c>
      <c r="AO212" s="6" t="str">
        <f t="shared" si="27"/>
        <v>OK</v>
      </c>
      <c r="AQ212" s="6">
        <f>MATCH($D212,'D4 - Provider Council Unsched'!$C$11:$C$234,0)</f>
        <v>9</v>
      </c>
      <c r="AR212" s="6" t="b">
        <f t="shared" si="25"/>
        <v>0</v>
      </c>
      <c r="AS212" s="6" t="str">
        <f t="shared" si="28"/>
        <v>OK</v>
      </c>
      <c r="AU212" s="202"/>
      <c r="AV212" s="262" t="s">
        <v>469</v>
      </c>
      <c r="AW212" s="274" t="s">
        <v>3572</v>
      </c>
    </row>
    <row r="213" spans="1:49" s="13" customFormat="1" ht="45" x14ac:dyDescent="0.2">
      <c r="A213" s="14">
        <v>176</v>
      </c>
      <c r="B213" s="14">
        <v>400033231</v>
      </c>
      <c r="C213" s="8" t="s">
        <v>5197</v>
      </c>
      <c r="D213" s="4" t="str">
        <f t="shared" si="26"/>
        <v>400033231R1</v>
      </c>
      <c r="E213" s="309" t="str">
        <f>VLOOKUP($B213,'D7 - NDB Impacted SPRF''s'!$E$6:$O$9929,2,FALSE)</f>
        <v>HIPAA 5010-UHC-835 RA</v>
      </c>
      <c r="F213" s="8" t="s">
        <v>1595</v>
      </c>
      <c r="G213" s="8" t="s">
        <v>7980</v>
      </c>
      <c r="H213" s="8" t="s">
        <v>6266</v>
      </c>
      <c r="I213" s="20">
        <v>0.4</v>
      </c>
      <c r="J213" s="8" t="s">
        <v>4862</v>
      </c>
      <c r="K213" s="182"/>
      <c r="L213" s="8" t="s">
        <v>4156</v>
      </c>
      <c r="M213" s="8" t="s">
        <v>4450</v>
      </c>
      <c r="N213" s="38" t="s">
        <v>5404</v>
      </c>
      <c r="O213" s="8"/>
      <c r="P213" s="4" t="str">
        <f>VLOOKUP($B213,'D7 - NDB Impacted SPRF''s'!$E$16:$O$9929,9,FALSE)</f>
        <v>Y</v>
      </c>
      <c r="Q213" s="4" t="str">
        <f>VLOOKUP($B213,'D7 - NDB Impacted SPRF''s'!$E$16:$O$9929,10,FALSE)</f>
        <v>N</v>
      </c>
      <c r="R213" s="4" t="str">
        <f>VLOOKUP($B213,'D7 - NDB Impacted SPRF''s'!$E$16:$O$9929,11,FALSE)</f>
        <v>Y</v>
      </c>
      <c r="S213" s="8"/>
      <c r="T213" s="310"/>
      <c r="U213" s="310"/>
      <c r="V213" s="4"/>
      <c r="W213" s="4"/>
      <c r="X213" s="4"/>
      <c r="Y213" s="4"/>
      <c r="Z213" s="4"/>
      <c r="AA213" s="4"/>
      <c r="AB213" s="380" t="str">
        <f>VLOOKUP($B213,'D7 - NDB Impacted SPRF''s'!$E$6:$O$9929,4,FALSE)</f>
        <v>Completed</v>
      </c>
      <c r="AC213" s="380" t="str">
        <f>VLOOKUP($B213,'D7 - NDB Impacted SPRF''s'!$E$6:$O$9929,3,FALSE)</f>
        <v>UnitedHealthcare Employer &amp; Individual</v>
      </c>
      <c r="AD213" s="380" t="str">
        <f>VLOOKUP($B213,'D7 - NDB Impacted SPRF''s'!$E$6:$O$9929,5,FALSE)</f>
        <v>HIPAA 5010</v>
      </c>
      <c r="AE213" s="380" t="str">
        <f>VLOOKUP($B213,'D7 - NDB Impacted SPRF''s'!$E$6:$O$9929,7,FALSE)</f>
        <v>Tim Kaja</v>
      </c>
      <c r="AF213" s="380" t="str">
        <f>VLOOKUP($B213,'D7 - NDB Impacted SPRF''s'!$E$6:$O$9929,6,FALSE)</f>
        <v>MARGARET CONNIFF</v>
      </c>
      <c r="AG213" s="282"/>
      <c r="AH213" s="311" t="e">
        <f>INDEX('D5 - Gatekeeper - Projects'!$A$4:$AF$1010,$AM213, 17)</f>
        <v>#N/A</v>
      </c>
      <c r="AI213" s="8"/>
      <c r="AJ213" s="57"/>
      <c r="AK213" s="105"/>
      <c r="AM213" s="6" t="e">
        <f>MATCH(D213,'D5 - Gatekeeper - Projects'!$C$4:$C$1010,0)</f>
        <v>#N/A</v>
      </c>
      <c r="AN213" s="6" t="b">
        <f t="shared" si="24"/>
        <v>1</v>
      </c>
      <c r="AO213" s="6" t="str">
        <f t="shared" si="27"/>
        <v>OK</v>
      </c>
      <c r="AQ213" s="6" t="e">
        <f>MATCH($D213,'D4 - Provider Council Unsched'!$C$11:$C$234,0)</f>
        <v>#N/A</v>
      </c>
      <c r="AR213" s="6" t="b">
        <f t="shared" si="25"/>
        <v>1</v>
      </c>
      <c r="AS213" s="6" t="str">
        <f t="shared" si="28"/>
        <v>Add</v>
      </c>
      <c r="AU213" s="202">
        <v>40602</v>
      </c>
      <c r="AV213" s="262" t="s">
        <v>2308</v>
      </c>
      <c r="AW213" s="274" t="s">
        <v>3572</v>
      </c>
    </row>
    <row r="214" spans="1:49" s="13" customFormat="1" ht="33.75" x14ac:dyDescent="0.2">
      <c r="A214" s="14">
        <v>177</v>
      </c>
      <c r="B214" s="14">
        <v>400033451</v>
      </c>
      <c r="C214" s="8" t="s">
        <v>5197</v>
      </c>
      <c r="D214" s="4" t="str">
        <f t="shared" si="26"/>
        <v>400033451R1</v>
      </c>
      <c r="E214" s="309" t="str">
        <f>VLOOKUP($B214,'D7 - NDB Impacted SPRF''s'!$E$6:$O$9929,2,FALSE)</f>
        <v>TRICARE Program:  Provider</v>
      </c>
      <c r="F214" s="8" t="s">
        <v>3715</v>
      </c>
      <c r="G214" s="8" t="s">
        <v>7980</v>
      </c>
      <c r="H214" s="8" t="s">
        <v>6266</v>
      </c>
      <c r="I214" s="20">
        <v>39</v>
      </c>
      <c r="J214" s="8" t="s">
        <v>4862</v>
      </c>
      <c r="K214" s="182"/>
      <c r="L214" s="8" t="s">
        <v>4156</v>
      </c>
      <c r="M214" s="8" t="s">
        <v>2814</v>
      </c>
      <c r="N214" s="38" t="s">
        <v>3993</v>
      </c>
      <c r="O214" s="8"/>
      <c r="P214" s="4" t="str">
        <f>VLOOKUP($B214,'D7 - NDB Impacted SPRF''s'!$E$16:$O$9929,9,FALSE)</f>
        <v>N</v>
      </c>
      <c r="Q214" s="4" t="str">
        <f>VLOOKUP($B214,'D7 - NDB Impacted SPRF''s'!$E$16:$O$9929,10,FALSE)</f>
        <v>N</v>
      </c>
      <c r="R214" s="4" t="str">
        <f>VLOOKUP($B214,'D7 - NDB Impacted SPRF''s'!$E$16:$O$9929,11,FALSE)</f>
        <v>Y</v>
      </c>
      <c r="S214" s="8"/>
      <c r="T214" s="310"/>
      <c r="U214" s="310"/>
      <c r="V214" s="4"/>
      <c r="W214" s="4"/>
      <c r="X214" s="4"/>
      <c r="Y214" s="4"/>
      <c r="Z214" s="4"/>
      <c r="AA214" s="4"/>
      <c r="AB214" s="380" t="str">
        <f>VLOOKUP($B214,'D7 - NDB Impacted SPRF''s'!$E$6:$O$9929,4,FALSE)</f>
        <v>Cancelled</v>
      </c>
      <c r="AC214" s="380" t="str">
        <f>VLOOKUP($B214,'D7 - NDB Impacted SPRF''s'!$E$6:$O$9929,3,FALSE)</f>
        <v>UnitedHealthcare Military &amp; Veterans</v>
      </c>
      <c r="AD214" s="380" t="str">
        <f>VLOOKUP($B214,'D7 - NDB Impacted SPRF''s'!$E$6:$O$9929,5,FALSE)</f>
        <v>TRICARE</v>
      </c>
      <c r="AE214" s="380" t="str">
        <f>VLOOKUP($B214,'D7 - NDB Impacted SPRF''s'!$E$6:$O$9929,7,FALSE)</f>
        <v>Randall Smith</v>
      </c>
      <c r="AF214" s="380" t="str">
        <f>VLOOKUP($B214,'D7 - NDB Impacted SPRF''s'!$E$6:$O$9929,6,FALSE)</f>
        <v>Brian Lindell</v>
      </c>
      <c r="AG214" s="282"/>
      <c r="AH214" s="311" t="e">
        <f>INDEX('D5 - Gatekeeper - Projects'!$A$4:$AF$1010,$AM214, 17)</f>
        <v>#N/A</v>
      </c>
      <c r="AI214" s="8"/>
      <c r="AJ214" s="57"/>
      <c r="AK214" s="105"/>
      <c r="AM214" s="6" t="e">
        <f>MATCH(D214,'D5 - Gatekeeper - Projects'!$C$4:$C$1010,0)</f>
        <v>#N/A</v>
      </c>
      <c r="AN214" s="6" t="b">
        <f t="shared" si="24"/>
        <v>1</v>
      </c>
      <c r="AO214" s="6" t="str">
        <f t="shared" si="27"/>
        <v>OK</v>
      </c>
      <c r="AQ214" s="6" t="e">
        <f>MATCH($D214,'D4 - Provider Council Unsched'!$C$11:$C$234,0)</f>
        <v>#N/A</v>
      </c>
      <c r="AR214" s="6" t="b">
        <f t="shared" si="25"/>
        <v>1</v>
      </c>
      <c r="AS214" s="6" t="str">
        <f t="shared" si="28"/>
        <v>Add</v>
      </c>
      <c r="AU214" s="202"/>
      <c r="AV214" s="262" t="e">
        <v>#N/A</v>
      </c>
      <c r="AW214" s="274" t="s">
        <v>3572</v>
      </c>
    </row>
    <row r="215" spans="1:49" s="13" customFormat="1" ht="22.5" x14ac:dyDescent="0.2">
      <c r="A215" s="14">
        <v>178</v>
      </c>
      <c r="B215" s="14">
        <v>400036383</v>
      </c>
      <c r="C215" s="8" t="s">
        <v>5197</v>
      </c>
      <c r="D215" s="4" t="str">
        <f t="shared" si="26"/>
        <v>400036383R1</v>
      </c>
      <c r="E215" s="309" t="str">
        <f>VLOOKUP($B215,'D7 - NDB Impacted SPRF''s'!$E$6:$O$9929,2,FALSE)</f>
        <v>UHG Transparency Program - Phase 1</v>
      </c>
      <c r="F215" s="8"/>
      <c r="G215" s="8" t="s">
        <v>7980</v>
      </c>
      <c r="H215" s="8" t="s">
        <v>6266</v>
      </c>
      <c r="I215" s="20"/>
      <c r="J215" s="8"/>
      <c r="K215" s="182"/>
      <c r="L215" s="8" t="s">
        <v>4156</v>
      </c>
      <c r="M215" s="8" t="s">
        <v>2814</v>
      </c>
      <c r="N215" s="38"/>
      <c r="O215" s="8"/>
      <c r="P215" s="4" t="str">
        <f>VLOOKUP($B215,'D7 - NDB Impacted SPRF''s'!$E$16:$O$9929,9,FALSE)</f>
        <v>Y</v>
      </c>
      <c r="Q215" s="4" t="str">
        <f>VLOOKUP($B215,'D7 - NDB Impacted SPRF''s'!$E$16:$O$9929,10,FALSE)</f>
        <v>N</v>
      </c>
      <c r="R215" s="4" t="str">
        <f>VLOOKUP($B215,'D7 - NDB Impacted SPRF''s'!$E$16:$O$9929,11,FALSE)</f>
        <v>Y</v>
      </c>
      <c r="S215" s="8"/>
      <c r="T215" s="310"/>
      <c r="U215" s="310"/>
      <c r="V215" s="4"/>
      <c r="W215" s="4"/>
      <c r="X215" s="4"/>
      <c r="Y215" s="4"/>
      <c r="Z215" s="4"/>
      <c r="AA215" s="4"/>
      <c r="AB215" s="380" t="str">
        <f>VLOOKUP($B215,'D7 - NDB Impacted SPRF''s'!$E$6:$O$9929,4,FALSE)</f>
        <v>In Funding</v>
      </c>
      <c r="AC215" s="380" t="str">
        <f>VLOOKUP($B215,'D7 - NDB Impacted SPRF''s'!$E$6:$O$9929,3,FALSE)</f>
        <v>OptumHealth</v>
      </c>
      <c r="AD215" s="380" t="str">
        <f>VLOOKUP($B215,'D7 - NDB Impacted SPRF''s'!$E$6:$O$9929,5,FALSE)</f>
        <v xml:space="preserve">CS - eSync Portal (TPM)05-41000-000  </v>
      </c>
      <c r="AE215" s="380" t="str">
        <f>VLOOKUP($B215,'D7 - NDB Impacted SPRF''s'!$E$6:$O$9929,7,FALSE)</f>
        <v>Karl Ulfers</v>
      </c>
      <c r="AF215" s="380" t="str">
        <f>VLOOKUP($B215,'D7 - NDB Impacted SPRF''s'!$E$6:$O$9929,6,FALSE)</f>
        <v>FRED CAMACHO</v>
      </c>
      <c r="AG215" s="282"/>
      <c r="AH215" s="311" t="e">
        <f>INDEX('D5 - Gatekeeper - Projects'!$A$4:$AF$1010,$AM215, 17)</f>
        <v>#N/A</v>
      </c>
      <c r="AI215" s="8"/>
      <c r="AJ215" s="57"/>
      <c r="AK215" s="105"/>
      <c r="AM215" s="6" t="e">
        <f>MATCH(D215,'D5 - Gatekeeper - Projects'!$C$4:$C$1010,0)</f>
        <v>#N/A</v>
      </c>
      <c r="AN215" s="6" t="b">
        <f t="shared" si="24"/>
        <v>1</v>
      </c>
      <c r="AO215" s="6" t="str">
        <f t="shared" si="27"/>
        <v>OK</v>
      </c>
      <c r="AQ215" s="6" t="e">
        <f>MATCH($D215,'D4 - Provider Council Unsched'!$C$11:$C$234,0)</f>
        <v>#N/A</v>
      </c>
      <c r="AR215" s="6" t="b">
        <f t="shared" si="25"/>
        <v>1</v>
      </c>
      <c r="AS215" s="6" t="str">
        <f t="shared" si="28"/>
        <v>Add</v>
      </c>
      <c r="AU215" s="202"/>
      <c r="AV215" s="262" t="e">
        <v>#N/A</v>
      </c>
      <c r="AW215" s="274" t="s">
        <v>3572</v>
      </c>
    </row>
    <row r="216" spans="1:49" s="13" customFormat="1" ht="33.75" x14ac:dyDescent="0.2">
      <c r="A216" s="14">
        <v>179</v>
      </c>
      <c r="B216" s="8">
        <v>400038307</v>
      </c>
      <c r="C216" s="8" t="s">
        <v>1447</v>
      </c>
      <c r="D216" s="4" t="str">
        <f t="shared" si="26"/>
        <v>400038307A</v>
      </c>
      <c r="E216" s="309" t="str">
        <f>VLOOKUP($B216,'D7 - NDB Impacted SPRF''s'!$E$6:$O$9929,2,FALSE)</f>
        <v>COSMOS Membership on HSR Application</v>
      </c>
      <c r="F216" s="8"/>
      <c r="G216" s="8" t="s">
        <v>7980</v>
      </c>
      <c r="H216" s="8" t="s">
        <v>6266</v>
      </c>
      <c r="I216" s="20">
        <v>15.49</v>
      </c>
      <c r="J216" s="8" t="s">
        <v>4862</v>
      </c>
      <c r="K216" s="182"/>
      <c r="L216" s="8" t="s">
        <v>4156</v>
      </c>
      <c r="M216" s="8" t="s">
        <v>2814</v>
      </c>
      <c r="N216" s="38" t="s">
        <v>5277</v>
      </c>
      <c r="O216" s="8"/>
      <c r="P216" s="4" t="str">
        <f>VLOOKUP($B216,'D7 - NDB Impacted SPRF''s'!$E$16:$O$9929,9,FALSE)</f>
        <v>N</v>
      </c>
      <c r="Q216" s="4" t="str">
        <f>VLOOKUP($B216,'D7 - NDB Impacted SPRF''s'!$E$16:$O$9929,10,FALSE)</f>
        <v>N</v>
      </c>
      <c r="R216" s="4" t="str">
        <f>VLOOKUP($B216,'D7 - NDB Impacted SPRF''s'!$E$16:$O$9929,11,FALSE)</f>
        <v>N</v>
      </c>
      <c r="S216" s="8"/>
      <c r="T216" s="310"/>
      <c r="U216" s="310"/>
      <c r="V216" s="4"/>
      <c r="W216" s="4"/>
      <c r="X216" s="4"/>
      <c r="Y216" s="4"/>
      <c r="Z216" s="4"/>
      <c r="AA216" s="4"/>
      <c r="AB216" s="380" t="str">
        <f>VLOOKUP($B216,'D7 - NDB Impacted SPRF''s'!$E$6:$O$9929,4,FALSE)</f>
        <v>Completed</v>
      </c>
      <c r="AC216" s="380" t="str">
        <f>VLOOKUP($B216,'D7 - NDB Impacted SPRF''s'!$E$6:$O$9929,3,FALSE)</f>
        <v>UnitedHealthcare Medicare &amp; Retirement</v>
      </c>
      <c r="AD216" s="380" t="str">
        <f>VLOOKUP($B216,'D7 - NDB Impacted SPRF''s'!$E$6:$O$9929,5,FALSE)</f>
        <v>Enterprise Clinical</v>
      </c>
      <c r="AE216" s="380" t="str">
        <f>VLOOKUP($B216,'D7 - NDB Impacted SPRF''s'!$E$6:$O$9929,7,FALSE)</f>
        <v>Ellen Koch</v>
      </c>
      <c r="AF216" s="380" t="str">
        <f>VLOOKUP($B216,'D7 - NDB Impacted SPRF''s'!$E$6:$O$9929,6,FALSE)</f>
        <v>Carol Buske</v>
      </c>
      <c r="AG216" s="282"/>
      <c r="AH216" s="311" t="e">
        <f>INDEX('D5 - Gatekeeper - Projects'!$A$4:$AF$1010,$AM216, 17)</f>
        <v>#N/A</v>
      </c>
      <c r="AI216" s="8"/>
      <c r="AJ216" s="57"/>
      <c r="AK216" s="105"/>
      <c r="AM216" s="6" t="e">
        <f>MATCH(D216,'D5 - Gatekeeper - Projects'!$C$4:$C$1010,0)</f>
        <v>#N/A</v>
      </c>
      <c r="AN216" s="6" t="b">
        <f t="shared" si="24"/>
        <v>1</v>
      </c>
      <c r="AO216" s="6" t="str">
        <f t="shared" si="27"/>
        <v>OK</v>
      </c>
      <c r="AQ216" s="6" t="e">
        <f>MATCH($D216,'D4 - Provider Council Unsched'!$C$11:$C$234,0)</f>
        <v>#N/A</v>
      </c>
      <c r="AR216" s="6" t="b">
        <f t="shared" si="25"/>
        <v>1</v>
      </c>
      <c r="AS216" s="6" t="str">
        <f t="shared" si="28"/>
        <v>OK</v>
      </c>
      <c r="AU216" s="202">
        <v>40476</v>
      </c>
      <c r="AV216" s="262" t="e">
        <v>#N/A</v>
      </c>
      <c r="AW216" s="274" t="s">
        <v>3572</v>
      </c>
    </row>
    <row r="217" spans="1:49" s="13" customFormat="1" ht="33.75" x14ac:dyDescent="0.2">
      <c r="A217" s="14">
        <v>180</v>
      </c>
      <c r="B217" s="8">
        <v>400039395</v>
      </c>
      <c r="C217" s="8" t="s">
        <v>1447</v>
      </c>
      <c r="D217" s="4" t="str">
        <f t="shared" si="26"/>
        <v>400039395A</v>
      </c>
      <c r="E217" s="309" t="str">
        <f>VLOOKUP($B217,'D7 - NDB Impacted SPRF''s'!$E$6:$O$9929,2,FALSE)</f>
        <v>Op ID extract</v>
      </c>
      <c r="F217" s="8"/>
      <c r="G217" s="8" t="s">
        <v>7980</v>
      </c>
      <c r="H217" s="8" t="s">
        <v>6266</v>
      </c>
      <c r="I217" s="20"/>
      <c r="J217" s="8"/>
      <c r="K217" s="182"/>
      <c r="L217" s="8" t="s">
        <v>4156</v>
      </c>
      <c r="M217" s="8" t="s">
        <v>2814</v>
      </c>
      <c r="N217" s="38"/>
      <c r="O217" s="8"/>
      <c r="P217" s="4" t="str">
        <f>VLOOKUP($B217,'D7 - NDB Impacted SPRF''s'!$E$16:$O$9929,9,FALSE)</f>
        <v>N</v>
      </c>
      <c r="Q217" s="4" t="str">
        <f>VLOOKUP($B217,'D7 - NDB Impacted SPRF''s'!$E$16:$O$9929,10,FALSE)</f>
        <v>N</v>
      </c>
      <c r="R217" s="4" t="str">
        <f>VLOOKUP($B217,'D7 - NDB Impacted SPRF''s'!$E$16:$O$9929,11,FALSE)</f>
        <v>N</v>
      </c>
      <c r="S217" s="8"/>
      <c r="T217" s="310"/>
      <c r="U217" s="310"/>
      <c r="V217" s="4"/>
      <c r="W217" s="4"/>
      <c r="X217" s="4"/>
      <c r="Y217" s="4"/>
      <c r="Z217" s="4"/>
      <c r="AA217" s="4"/>
      <c r="AB217" s="380" t="str">
        <f>VLOOKUP($B217,'D7 - NDB Impacted SPRF''s'!$E$6:$O$9929,4,FALSE)</f>
        <v>In Funding</v>
      </c>
      <c r="AC217" s="380" t="str">
        <f>VLOOKUP($B217,'D7 - NDB Impacted SPRF''s'!$E$6:$O$9929,3,FALSE)</f>
        <v>UHG IT - Application Services Group</v>
      </c>
      <c r="AD217" s="380" t="str">
        <f>VLOOKUP($B217,'D7 - NDB Impacted SPRF''s'!$E$6:$O$9929,5,FALSE)</f>
        <v>Non-Discretionary</v>
      </c>
      <c r="AE217" s="380" t="str">
        <f>VLOOKUP($B217,'D7 - NDB Impacted SPRF''s'!$E$6:$O$9929,7,FALSE)</f>
        <v>Keith Koszuta</v>
      </c>
      <c r="AF217" s="380" t="str">
        <f>VLOOKUP($B217,'D7 - NDB Impacted SPRF''s'!$E$6:$O$9929,6,FALSE)</f>
        <v>Chanita Sumar</v>
      </c>
      <c r="AG217" s="282"/>
      <c r="AH217" s="311" t="e">
        <f>INDEX('D5 - Gatekeeper - Projects'!$A$4:$AF$1010,$AM217, 17)</f>
        <v>#N/A</v>
      </c>
      <c r="AI217" s="8"/>
      <c r="AJ217" s="57"/>
      <c r="AK217" s="105"/>
      <c r="AM217" s="6" t="e">
        <f>MATCH(D217,'D5 - Gatekeeper - Projects'!$C$4:$C$1010,0)</f>
        <v>#N/A</v>
      </c>
      <c r="AN217" s="6" t="b">
        <f t="shared" si="24"/>
        <v>1</v>
      </c>
      <c r="AO217" s="6" t="str">
        <f t="shared" si="27"/>
        <v>OK</v>
      </c>
      <c r="AQ217" s="6" t="e">
        <f>MATCH($D217,'D4 - Provider Council Unsched'!$C$11:$C$234,0)</f>
        <v>#N/A</v>
      </c>
      <c r="AR217" s="6" t="b">
        <f t="shared" si="25"/>
        <v>1</v>
      </c>
      <c r="AS217" s="6" t="str">
        <f t="shared" si="28"/>
        <v>OK</v>
      </c>
      <c r="AU217" s="202"/>
      <c r="AV217" s="262" t="s">
        <v>2303</v>
      </c>
      <c r="AW217" s="274" t="s">
        <v>3572</v>
      </c>
    </row>
    <row r="218" spans="1:49" s="13" customFormat="1" ht="45" x14ac:dyDescent="0.2">
      <c r="A218" s="14">
        <v>181</v>
      </c>
      <c r="B218" s="8">
        <v>400039580</v>
      </c>
      <c r="C218" s="8" t="s">
        <v>1447</v>
      </c>
      <c r="D218" s="4" t="str">
        <f t="shared" si="26"/>
        <v>400039580A</v>
      </c>
      <c r="E218" s="309" t="str">
        <f>VLOOKUP($B218,'D7 - NDB Impacted SPRF''s'!$E$6:$O$9929,2,FALSE)</f>
        <v>Cisco Alliance TaaS</v>
      </c>
      <c r="F218" s="8"/>
      <c r="G218" s="8" t="s">
        <v>7980</v>
      </c>
      <c r="H218" s="8" t="s">
        <v>6266</v>
      </c>
      <c r="I218" s="20"/>
      <c r="J218" s="8"/>
      <c r="K218" s="182"/>
      <c r="L218" s="8" t="s">
        <v>4156</v>
      </c>
      <c r="M218" s="8" t="s">
        <v>2814</v>
      </c>
      <c r="N218" s="38"/>
      <c r="O218" s="8"/>
      <c r="P218" s="4" t="str">
        <f>VLOOKUP($B218,'D7 - NDB Impacted SPRF''s'!$E$16:$O$9929,9,FALSE)</f>
        <v>N</v>
      </c>
      <c r="Q218" s="4" t="str">
        <f>VLOOKUP($B218,'D7 - NDB Impacted SPRF''s'!$E$16:$O$9929,10,FALSE)</f>
        <v>N</v>
      </c>
      <c r="R218" s="4" t="str">
        <f>VLOOKUP($B218,'D7 - NDB Impacted SPRF''s'!$E$16:$O$9929,11,FALSE)</f>
        <v>N</v>
      </c>
      <c r="S218" s="8"/>
      <c r="T218" s="310"/>
      <c r="U218" s="310"/>
      <c r="V218" s="4"/>
      <c r="W218" s="4"/>
      <c r="X218" s="4"/>
      <c r="Y218" s="4"/>
      <c r="Z218" s="4"/>
      <c r="AA218" s="4"/>
      <c r="AB218" s="380" t="str">
        <f>VLOOKUP($B218,'D7 - NDB Impacted SPRF''s'!$E$6:$O$9929,4,FALSE)</f>
        <v>In Estimating</v>
      </c>
      <c r="AC218" s="380" t="str">
        <f>VLOOKUP($B218,'D7 - NDB Impacted SPRF''s'!$E$6:$O$9929,3,FALSE)</f>
        <v>UHG IT - Enterprise Technology Services</v>
      </c>
      <c r="AD218" s="380" t="str">
        <f>VLOOKUP($B218,'D7 - NDB Impacted SPRF''s'!$E$6:$O$9929,5,FALSE)</f>
        <v>Cisco Alliance - TaaS</v>
      </c>
      <c r="AE218" s="380" t="str">
        <f>VLOOKUP($B218,'D7 - NDB Impacted SPRF''s'!$E$6:$O$9929,7,FALSE)</f>
        <v>Mark Duhaime</v>
      </c>
      <c r="AF218" s="380" t="str">
        <f>VLOOKUP($B218,'D7 - NDB Impacted SPRF''s'!$E$6:$O$9929,6,FALSE)</f>
        <v>John Hodgson</v>
      </c>
      <c r="AG218" s="282"/>
      <c r="AH218" s="311" t="e">
        <f>INDEX('D5 - Gatekeeper - Projects'!$A$4:$AF$1010,$AM218, 17)</f>
        <v>#N/A</v>
      </c>
      <c r="AI218" s="8"/>
      <c r="AJ218" s="57"/>
      <c r="AK218" s="105"/>
      <c r="AM218" s="6" t="e">
        <f>MATCH(D218,'D5 - Gatekeeper - Projects'!$C$4:$C$1010,0)</f>
        <v>#N/A</v>
      </c>
      <c r="AN218" s="6" t="b">
        <f t="shared" si="24"/>
        <v>1</v>
      </c>
      <c r="AO218" s="6" t="str">
        <f t="shared" si="27"/>
        <v>OK</v>
      </c>
      <c r="AQ218" s="6" t="e">
        <f>MATCH($D218,'D4 - Provider Council Unsched'!$C$11:$C$234,0)</f>
        <v>#N/A</v>
      </c>
      <c r="AR218" s="6" t="b">
        <f t="shared" si="25"/>
        <v>1</v>
      </c>
      <c r="AS218" s="6" t="str">
        <f t="shared" si="28"/>
        <v>OK</v>
      </c>
      <c r="AU218" s="202"/>
      <c r="AV218" s="262" t="e">
        <v>#N/A</v>
      </c>
      <c r="AW218" s="274" t="s">
        <v>3572</v>
      </c>
    </row>
    <row r="219" spans="1:49" s="13" customFormat="1" ht="56.25" x14ac:dyDescent="0.2">
      <c r="A219" s="14">
        <v>182</v>
      </c>
      <c r="B219" s="8">
        <v>400040360</v>
      </c>
      <c r="C219" s="8" t="s">
        <v>7291</v>
      </c>
      <c r="D219" s="4" t="str">
        <f t="shared" si="26"/>
        <v>400040360E</v>
      </c>
      <c r="E219" s="309" t="str">
        <f>VLOOKUP($B219,'D7 - NDB Impacted SPRF''s'!$E$6:$O$9929,2,FALSE)</f>
        <v>Medical Necessity ICM</v>
      </c>
      <c r="F219" s="8"/>
      <c r="G219" s="8" t="s">
        <v>7980</v>
      </c>
      <c r="H219" s="8" t="s">
        <v>6266</v>
      </c>
      <c r="I219" s="20">
        <v>13.2</v>
      </c>
      <c r="J219" s="8" t="s">
        <v>4862</v>
      </c>
      <c r="K219" s="182"/>
      <c r="L219" s="8" t="s">
        <v>4156</v>
      </c>
      <c r="M219" s="8" t="s">
        <v>2814</v>
      </c>
      <c r="N219" s="38" t="s">
        <v>1723</v>
      </c>
      <c r="O219" s="8"/>
      <c r="P219" s="4" t="str">
        <f>VLOOKUP($B219,'D7 - NDB Impacted SPRF''s'!$E$16:$O$9929,9,FALSE)</f>
        <v>Y</v>
      </c>
      <c r="Q219" s="4" t="str">
        <f>VLOOKUP($B219,'D7 - NDB Impacted SPRF''s'!$E$16:$O$9929,10,FALSE)</f>
        <v>N</v>
      </c>
      <c r="R219" s="4" t="str">
        <f>VLOOKUP($B219,'D7 - NDB Impacted SPRF''s'!$E$16:$O$9929,11,FALSE)</f>
        <v>Y</v>
      </c>
      <c r="S219" s="8"/>
      <c r="T219" s="310"/>
      <c r="U219" s="310"/>
      <c r="V219" s="4"/>
      <c r="W219" s="4"/>
      <c r="X219" s="4"/>
      <c r="Y219" s="4"/>
      <c r="Z219" s="4"/>
      <c r="AA219" s="4"/>
      <c r="AB219" s="380" t="str">
        <f>VLOOKUP($B219,'D7 - NDB Impacted SPRF''s'!$E$6:$O$9929,4,FALSE)</f>
        <v>Scheduled</v>
      </c>
      <c r="AC219" s="380" t="str">
        <f>VLOOKUP($B219,'D7 - NDB Impacted SPRF''s'!$E$6:$O$9929,3,FALSE)</f>
        <v>UnitedHealthcare Employer &amp; Individual</v>
      </c>
      <c r="AD219" s="380" t="str">
        <f>VLOOKUP($B219,'D7 - NDB Impacted SPRF''s'!$E$6:$O$9929,5,FALSE)</f>
        <v>Medical Cost Savings Programs</v>
      </c>
      <c r="AE219" s="380" t="str">
        <f>VLOOKUP($B219,'D7 - NDB Impacted SPRF''s'!$E$6:$O$9929,7,FALSE)</f>
        <v>Dr. Sam Ho / Kevin Ruth</v>
      </c>
      <c r="AF219" s="380" t="str">
        <f>VLOOKUP($B219,'D7 - NDB Impacted SPRF''s'!$E$6:$O$9929,6,FALSE)</f>
        <v>ROSS OGDEN</v>
      </c>
      <c r="AG219" s="282"/>
      <c r="AH219" s="311" t="e">
        <f>INDEX('D5 - Gatekeeper - Projects'!$A$4:$AF$1010,$AM219, 17)</f>
        <v>#N/A</v>
      </c>
      <c r="AI219" s="8"/>
      <c r="AJ219" s="57"/>
      <c r="AK219" s="105"/>
      <c r="AM219" s="6" t="e">
        <f>MATCH(D219,'D5 - Gatekeeper - Projects'!$C$4:$C$1010,0)</f>
        <v>#N/A</v>
      </c>
      <c r="AN219" s="6" t="b">
        <f t="shared" si="24"/>
        <v>1</v>
      </c>
      <c r="AO219" s="6" t="str">
        <f t="shared" si="27"/>
        <v>OK</v>
      </c>
      <c r="AQ219" s="6" t="e">
        <f>MATCH($D219,'D4 - Provider Council Unsched'!$C$11:$C$234,0)</f>
        <v>#N/A</v>
      </c>
      <c r="AR219" s="6" t="b">
        <f t="shared" si="25"/>
        <v>1</v>
      </c>
      <c r="AS219" s="6" t="str">
        <f t="shared" si="28"/>
        <v>OK</v>
      </c>
      <c r="AU219" s="202">
        <v>41068</v>
      </c>
      <c r="AV219" s="262" t="s">
        <v>1042</v>
      </c>
      <c r="AW219" s="274">
        <v>57328</v>
      </c>
    </row>
    <row r="220" spans="1:49" s="13" customFormat="1" ht="11.25" customHeight="1" x14ac:dyDescent="0.2">
      <c r="A220" s="14">
        <v>183</v>
      </c>
      <c r="B220" s="8">
        <v>400040360</v>
      </c>
      <c r="C220" s="8" t="s">
        <v>1196</v>
      </c>
      <c r="D220" s="4" t="str">
        <f t="shared" si="26"/>
        <v>400040360F</v>
      </c>
      <c r="E220" s="309" t="str">
        <f>VLOOKUP($B220,'D7 - NDB Impacted SPRF''s'!$E$6:$O$9929,2,FALSE)</f>
        <v>Medical Necessity ICM</v>
      </c>
      <c r="F220" s="8"/>
      <c r="G220" s="8" t="s">
        <v>7980</v>
      </c>
      <c r="H220" s="8" t="s">
        <v>6266</v>
      </c>
      <c r="I220" s="20">
        <v>47.04</v>
      </c>
      <c r="J220" s="8" t="s">
        <v>4862</v>
      </c>
      <c r="K220" s="182"/>
      <c r="L220" s="8" t="s">
        <v>4156</v>
      </c>
      <c r="M220" s="8" t="s">
        <v>2814</v>
      </c>
      <c r="N220" s="38" t="s">
        <v>1724</v>
      </c>
      <c r="O220" s="8"/>
      <c r="P220" s="4" t="str">
        <f>VLOOKUP($B220,'D7 - NDB Impacted SPRF''s'!$E$16:$O$9929,9,FALSE)</f>
        <v>Y</v>
      </c>
      <c r="Q220" s="4" t="str">
        <f>VLOOKUP($B220,'D7 - NDB Impacted SPRF''s'!$E$16:$O$9929,10,FALSE)</f>
        <v>N</v>
      </c>
      <c r="R220" s="4" t="str">
        <f>VLOOKUP($B220,'D7 - NDB Impacted SPRF''s'!$E$16:$O$9929,11,FALSE)</f>
        <v>Y</v>
      </c>
      <c r="S220" s="8"/>
      <c r="T220" s="310"/>
      <c r="U220" s="310"/>
      <c r="V220" s="4"/>
      <c r="W220" s="4"/>
      <c r="X220" s="4"/>
      <c r="Y220" s="4"/>
      <c r="Z220" s="4"/>
      <c r="AA220" s="4"/>
      <c r="AB220" s="380" t="str">
        <f>VLOOKUP($B220,'D7 - NDB Impacted SPRF''s'!$E$6:$O$9929,4,FALSE)</f>
        <v>Scheduled</v>
      </c>
      <c r="AC220" s="380" t="str">
        <f>VLOOKUP($B220,'D7 - NDB Impacted SPRF''s'!$E$6:$O$9929,3,FALSE)</f>
        <v>UnitedHealthcare Employer &amp; Individual</v>
      </c>
      <c r="AD220" s="380" t="str">
        <f>VLOOKUP($B220,'D7 - NDB Impacted SPRF''s'!$E$6:$O$9929,5,FALSE)</f>
        <v>Medical Cost Savings Programs</v>
      </c>
      <c r="AE220" s="380" t="str">
        <f>VLOOKUP($B220,'D7 - NDB Impacted SPRF''s'!$E$6:$O$9929,7,FALSE)</f>
        <v>Dr. Sam Ho / Kevin Ruth</v>
      </c>
      <c r="AF220" s="380" t="str">
        <f>VLOOKUP($B220,'D7 - NDB Impacted SPRF''s'!$E$6:$O$9929,6,FALSE)</f>
        <v>ROSS OGDEN</v>
      </c>
      <c r="AG220" s="282"/>
      <c r="AH220" s="311" t="e">
        <f>INDEX('D5 - Gatekeeper - Projects'!$A$4:$AF$1010,$AM220, 17)</f>
        <v>#N/A</v>
      </c>
      <c r="AI220" s="8"/>
      <c r="AJ220" s="57"/>
      <c r="AK220" s="105"/>
      <c r="AM220" s="6" t="e">
        <f>MATCH(D220,'D5 - Gatekeeper - Projects'!$C$4:$C$1010,0)</f>
        <v>#N/A</v>
      </c>
      <c r="AN220" s="6" t="b">
        <f t="shared" si="24"/>
        <v>1</v>
      </c>
      <c r="AO220" s="6" t="str">
        <f t="shared" si="27"/>
        <v>OK</v>
      </c>
      <c r="AQ220" s="6" t="e">
        <f>MATCH($D220,'D4 - Provider Council Unsched'!$C$11:$C$234,0)</f>
        <v>#N/A</v>
      </c>
      <c r="AR220" s="6" t="b">
        <f t="shared" si="25"/>
        <v>1</v>
      </c>
      <c r="AS220" s="6" t="str">
        <f t="shared" si="28"/>
        <v>OK</v>
      </c>
      <c r="AU220" s="202">
        <v>41068</v>
      </c>
      <c r="AV220" s="262" t="s">
        <v>1042</v>
      </c>
      <c r="AW220" s="274">
        <v>57328</v>
      </c>
    </row>
    <row r="221" spans="1:49" s="13" customFormat="1" ht="33.75" x14ac:dyDescent="0.2">
      <c r="A221" s="14">
        <v>184</v>
      </c>
      <c r="B221" s="8">
        <v>400040896</v>
      </c>
      <c r="C221" s="8" t="s">
        <v>1447</v>
      </c>
      <c r="D221" s="4" t="str">
        <f t="shared" si="26"/>
        <v>400040896A</v>
      </c>
      <c r="E221" s="309" t="str">
        <f>VLOOKUP($B221,'D7 - NDB Impacted SPRF''s'!$E$6:$O$9929,2,FALSE)</f>
        <v>Medical Necessity - Core Med Prior Auth</v>
      </c>
      <c r="F221" s="8"/>
      <c r="G221" s="8" t="s">
        <v>7980</v>
      </c>
      <c r="H221" s="8" t="s">
        <v>6266</v>
      </c>
      <c r="I221" s="20"/>
      <c r="J221" s="8"/>
      <c r="K221" s="182"/>
      <c r="L221" s="8" t="s">
        <v>4156</v>
      </c>
      <c r="M221" s="8" t="s">
        <v>2814</v>
      </c>
      <c r="N221" s="38" t="s">
        <v>1106</v>
      </c>
      <c r="O221" s="8"/>
      <c r="P221" s="4" t="str">
        <f>VLOOKUP($B221,'D7 - NDB Impacted SPRF''s'!$E$16:$O$9929,9,FALSE)</f>
        <v>Y</v>
      </c>
      <c r="Q221" s="4" t="str">
        <f>VLOOKUP($B221,'D7 - NDB Impacted SPRF''s'!$E$16:$O$9929,10,FALSE)</f>
        <v>N</v>
      </c>
      <c r="R221" s="4" t="str">
        <f>VLOOKUP($B221,'D7 - NDB Impacted SPRF''s'!$E$16:$O$9929,11,FALSE)</f>
        <v>Y</v>
      </c>
      <c r="S221" s="8"/>
      <c r="T221" s="310"/>
      <c r="U221" s="310"/>
      <c r="V221" s="4"/>
      <c r="W221" s="4"/>
      <c r="X221" s="4"/>
      <c r="Y221" s="4"/>
      <c r="Z221" s="4"/>
      <c r="AA221" s="4"/>
      <c r="AB221" s="380" t="str">
        <f>VLOOKUP($B221,'D7 - NDB Impacted SPRF''s'!$E$6:$O$9929,4,FALSE)</f>
        <v>Cancelled</v>
      </c>
      <c r="AC221" s="380" t="str">
        <f>VLOOKUP($B221,'D7 - NDB Impacted SPRF''s'!$E$6:$O$9929,3,FALSE)</f>
        <v>UnitedHealthcare Employer &amp; Individual</v>
      </c>
      <c r="AD221" s="380" t="str">
        <f>VLOOKUP($B221,'D7 - NDB Impacted SPRF''s'!$E$6:$O$9929,5,FALSE)</f>
        <v>Medical Cost Savings Programs</v>
      </c>
      <c r="AE221" s="380" t="str">
        <f>VLOOKUP($B221,'D7 - NDB Impacted SPRF''s'!$E$6:$O$9929,7,FALSE)</f>
        <v>Dr Sam Ho/Kevin Ruth</v>
      </c>
      <c r="AF221" s="380" t="str">
        <f>VLOOKUP($B221,'D7 - NDB Impacted SPRF''s'!$E$6:$O$9929,6,FALSE)</f>
        <v>ROSS OGDEN</v>
      </c>
      <c r="AG221" s="282"/>
      <c r="AH221" s="311" t="e">
        <f>INDEX('D5 - Gatekeeper - Projects'!$A$4:$AF$1010,$AM221, 17)</f>
        <v>#N/A</v>
      </c>
      <c r="AI221" s="8"/>
      <c r="AJ221" s="57"/>
      <c r="AK221" s="105"/>
      <c r="AM221" s="6" t="e">
        <f>MATCH(D221,'D5 - Gatekeeper - Projects'!$C$4:$C$1010,0)</f>
        <v>#N/A</v>
      </c>
      <c r="AN221" s="6" t="b">
        <f t="shared" si="24"/>
        <v>1</v>
      </c>
      <c r="AO221" s="6" t="str">
        <f t="shared" si="27"/>
        <v>OK</v>
      </c>
      <c r="AQ221" s="6" t="e">
        <f>MATCH($D221,'D4 - Provider Council Unsched'!$C$11:$C$234,0)</f>
        <v>#N/A</v>
      </c>
      <c r="AR221" s="6" t="b">
        <f t="shared" si="25"/>
        <v>1</v>
      </c>
      <c r="AS221" s="6" t="str">
        <f t="shared" si="28"/>
        <v>OK</v>
      </c>
      <c r="AU221" s="202"/>
      <c r="AV221" s="262" t="e">
        <v>#N/A</v>
      </c>
      <c r="AW221" s="274" t="s">
        <v>3572</v>
      </c>
    </row>
    <row r="222" spans="1:49" s="13" customFormat="1" ht="45" x14ac:dyDescent="0.2">
      <c r="A222" s="14">
        <v>185</v>
      </c>
      <c r="B222" s="8">
        <v>400041432</v>
      </c>
      <c r="C222" s="8" t="s">
        <v>1447</v>
      </c>
      <c r="D222" s="4" t="str">
        <f t="shared" si="26"/>
        <v>400041432A</v>
      </c>
      <c r="E222" s="309" t="str">
        <f>VLOOKUP($B222,'D7 - NDB Impacted SPRF''s'!$E$6:$O$9929,2,FALSE)</f>
        <v>CDB Online: CPCS Replacement</v>
      </c>
      <c r="F222" s="8"/>
      <c r="G222" s="8" t="s">
        <v>7980</v>
      </c>
      <c r="H222" s="8" t="s">
        <v>6266</v>
      </c>
      <c r="I222" s="20"/>
      <c r="J222" s="8"/>
      <c r="K222" s="182"/>
      <c r="L222" s="8" t="s">
        <v>4156</v>
      </c>
      <c r="M222" s="8" t="s">
        <v>2814</v>
      </c>
      <c r="N222" s="38"/>
      <c r="O222" s="8"/>
      <c r="P222" s="4" t="str">
        <f>VLOOKUP($B222,'D7 - NDB Impacted SPRF''s'!$E$16:$O$9929,9,FALSE)</f>
        <v>N</v>
      </c>
      <c r="Q222" s="4" t="str">
        <f>VLOOKUP($B222,'D7 - NDB Impacted SPRF''s'!$E$16:$O$9929,10,FALSE)</f>
        <v>N</v>
      </c>
      <c r="R222" s="4" t="str">
        <f>VLOOKUP($B222,'D7 - NDB Impacted SPRF''s'!$E$16:$O$9929,11,FALSE)</f>
        <v>N</v>
      </c>
      <c r="S222" s="8"/>
      <c r="T222" s="310"/>
      <c r="U222" s="310"/>
      <c r="V222" s="4"/>
      <c r="W222" s="4"/>
      <c r="X222" s="4"/>
      <c r="Y222" s="4"/>
      <c r="Z222" s="4"/>
      <c r="AA222" s="4"/>
      <c r="AB222" s="380" t="str">
        <f>VLOOKUP($B222,'D7 - NDB Impacted SPRF''s'!$E$6:$O$9929,4,FALSE)</f>
        <v>Completed</v>
      </c>
      <c r="AC222" s="380" t="str">
        <f>VLOOKUP($B222,'D7 - NDB Impacted SPRF''s'!$E$6:$O$9929,3,FALSE)</f>
        <v>UHG IT - Enterprise Technology Services</v>
      </c>
      <c r="AD222" s="380" t="str">
        <f>VLOOKUP($B222,'D7 - NDB Impacted SPRF''s'!$E$6:$O$9929,5,FALSE)</f>
        <v>Strategic Initiatives</v>
      </c>
      <c r="AE222" s="380" t="str">
        <f>VLOOKUP($B222,'D7 - NDB Impacted SPRF''s'!$E$6:$O$9929,7,FALSE)</f>
        <v>Patrick Casey</v>
      </c>
      <c r="AF222" s="380" t="str">
        <f>VLOOKUP($B222,'D7 - NDB Impacted SPRF''s'!$E$6:$O$9929,6,FALSE)</f>
        <v>DIANE KOWAL</v>
      </c>
      <c r="AG222" s="282"/>
      <c r="AH222" s="311" t="e">
        <f>INDEX('D5 - Gatekeeper - Projects'!$A$4:$AF$1010,$AM222, 17)</f>
        <v>#N/A</v>
      </c>
      <c r="AI222" s="8"/>
      <c r="AJ222" s="57"/>
      <c r="AK222" s="105"/>
      <c r="AM222" s="6" t="e">
        <f>MATCH(D222,'D5 - Gatekeeper - Projects'!$C$4:$C$1010,0)</f>
        <v>#N/A</v>
      </c>
      <c r="AN222" s="6" t="b">
        <f t="shared" si="24"/>
        <v>1</v>
      </c>
      <c r="AO222" s="6" t="str">
        <f t="shared" si="27"/>
        <v>OK</v>
      </c>
      <c r="AQ222" s="6" t="e">
        <f>MATCH($D222,'D4 - Provider Council Unsched'!$C$11:$C$234,0)</f>
        <v>#N/A</v>
      </c>
      <c r="AR222" s="6" t="b">
        <f t="shared" si="25"/>
        <v>1</v>
      </c>
      <c r="AS222" s="6" t="str">
        <f t="shared" si="28"/>
        <v>OK</v>
      </c>
      <c r="AU222" s="202"/>
      <c r="AV222" s="262" t="e">
        <v>#N/A</v>
      </c>
      <c r="AW222" s="274"/>
    </row>
    <row r="223" spans="1:49" s="13" customFormat="1" ht="22.5" x14ac:dyDescent="0.2">
      <c r="A223" s="14">
        <v>186</v>
      </c>
      <c r="B223" s="8">
        <v>400041436</v>
      </c>
      <c r="C223" s="8" t="s">
        <v>1447</v>
      </c>
      <c r="D223" s="4" t="str">
        <f t="shared" si="26"/>
        <v>400041436A</v>
      </c>
      <c r="E223" s="309" t="str">
        <f>VLOOKUP($B223,'D7 - NDB Impacted SPRF''s'!$E$6:$O$9929,2,FALSE)</f>
        <v>CDB Online: Convert Update Foundation Views</v>
      </c>
      <c r="F223" s="8"/>
      <c r="G223" s="8" t="s">
        <v>7980</v>
      </c>
      <c r="H223" s="8" t="s">
        <v>6266</v>
      </c>
      <c r="I223" s="20"/>
      <c r="J223" s="8"/>
      <c r="K223" s="182"/>
      <c r="L223" s="8" t="s">
        <v>4156</v>
      </c>
      <c r="M223" s="8" t="s">
        <v>2814</v>
      </c>
      <c r="N223" s="38"/>
      <c r="O223" s="8"/>
      <c r="P223" s="4" t="str">
        <f>VLOOKUP($B223,'D7 - NDB Impacted SPRF''s'!$E$16:$O$9929,9,FALSE)</f>
        <v>Y</v>
      </c>
      <c r="Q223" s="4" t="str">
        <f>VLOOKUP($B223,'D7 - NDB Impacted SPRF''s'!$E$16:$O$9929,10,FALSE)</f>
        <v>N</v>
      </c>
      <c r="R223" s="4" t="str">
        <f>VLOOKUP($B223,'D7 - NDB Impacted SPRF''s'!$E$16:$O$9929,11,FALSE)</f>
        <v>N</v>
      </c>
      <c r="S223" s="8"/>
      <c r="T223" s="310"/>
      <c r="U223" s="310"/>
      <c r="V223" s="4"/>
      <c r="W223" s="4"/>
      <c r="X223" s="4"/>
      <c r="Y223" s="4"/>
      <c r="Z223" s="4"/>
      <c r="AA223" s="4"/>
      <c r="AB223" s="380" t="str">
        <f>VLOOKUP($B223,'D7 - NDB Impacted SPRF''s'!$E$6:$O$9929,4,FALSE)</f>
        <v>Scheduled</v>
      </c>
      <c r="AC223" s="380" t="str">
        <f>VLOOKUP($B223,'D7 - NDB Impacted SPRF''s'!$E$6:$O$9929,3,FALSE)</f>
        <v>UHG IT - Shared Services</v>
      </c>
      <c r="AD223" s="380" t="str">
        <f>VLOOKUP($B223,'D7 - NDB Impacted SPRF''s'!$E$6:$O$9929,5,FALSE)</f>
        <v>Strategic Initiatives</v>
      </c>
      <c r="AE223" s="380" t="str">
        <f>VLOOKUP($B223,'D7 - NDB Impacted SPRF''s'!$E$6:$O$9929,7,FALSE)</f>
        <v>Patrick Casey</v>
      </c>
      <c r="AF223" s="380" t="str">
        <f>VLOOKUP($B223,'D7 - NDB Impacted SPRF''s'!$E$6:$O$9929,6,FALSE)</f>
        <v>DIANE KOWAL</v>
      </c>
      <c r="AG223" s="282"/>
      <c r="AH223" s="311" t="str">
        <f>INDEX('D5 - Gatekeeper - Projects'!$A$4:$AF$1010,$AM223, 17)</f>
        <v>T. Kester</v>
      </c>
      <c r="AI223" s="8"/>
      <c r="AJ223" s="57"/>
      <c r="AK223" s="105"/>
      <c r="AM223" s="6">
        <f>MATCH(D223,'D5 - Gatekeeper - Projects'!$C$4:$C$1010,0)</f>
        <v>7</v>
      </c>
      <c r="AN223" s="6" t="b">
        <f t="shared" si="24"/>
        <v>0</v>
      </c>
      <c r="AO223" s="6" t="str">
        <f t="shared" si="27"/>
        <v>OK</v>
      </c>
      <c r="AQ223" s="6" t="e">
        <f>MATCH($D223,'D4 - Provider Council Unsched'!$C$11:$C$234,0)</f>
        <v>#N/A</v>
      </c>
      <c r="AR223" s="6" t="b">
        <f t="shared" si="25"/>
        <v>1</v>
      </c>
      <c r="AS223" s="6" t="str">
        <f t="shared" si="28"/>
        <v>OK</v>
      </c>
      <c r="AU223" s="202"/>
      <c r="AV223" s="394" t="s">
        <v>2309</v>
      </c>
      <c r="AW223" s="274"/>
    </row>
    <row r="224" spans="1:49" s="13" customFormat="1" ht="33.75" x14ac:dyDescent="0.2">
      <c r="A224" s="14">
        <v>187</v>
      </c>
      <c r="B224" s="8">
        <v>400041936</v>
      </c>
      <c r="C224" s="8" t="s">
        <v>1447</v>
      </c>
      <c r="D224" s="4" t="str">
        <f t="shared" si="26"/>
        <v>400041936A</v>
      </c>
      <c r="E224" s="309" t="str">
        <f>VLOOKUP($B224,'D7 - NDB Impacted SPRF''s'!$E$6:$O$9929,2,FALSE)</f>
        <v>ED - Lotus Notes NDB (NDM/NCST) RSA Only</v>
      </c>
      <c r="F224" s="8"/>
      <c r="G224" s="8" t="s">
        <v>7980</v>
      </c>
      <c r="H224" s="8" t="s">
        <v>6266</v>
      </c>
      <c r="I224" s="20"/>
      <c r="J224" s="8"/>
      <c r="K224" s="182"/>
      <c r="L224" s="8" t="s">
        <v>4156</v>
      </c>
      <c r="M224" s="8" t="s">
        <v>2814</v>
      </c>
      <c r="N224" s="38" t="s">
        <v>1026</v>
      </c>
      <c r="O224" s="8"/>
      <c r="P224" s="4" t="str">
        <f>VLOOKUP($B224,'D7 - NDB Impacted SPRF''s'!$E$16:$O$9929,9,FALSE)</f>
        <v>N</v>
      </c>
      <c r="Q224" s="4" t="str">
        <f>VLOOKUP($B224,'D7 - NDB Impacted SPRF''s'!$E$16:$O$9929,10,FALSE)</f>
        <v>N</v>
      </c>
      <c r="R224" s="4" t="str">
        <f>VLOOKUP($B224,'D7 - NDB Impacted SPRF''s'!$E$16:$O$9929,11,FALSE)</f>
        <v>N</v>
      </c>
      <c r="S224" s="8"/>
      <c r="T224" s="310"/>
      <c r="U224" s="310"/>
      <c r="V224" s="4"/>
      <c r="W224" s="4"/>
      <c r="X224" s="4"/>
      <c r="Y224" s="4"/>
      <c r="Z224" s="4"/>
      <c r="AA224" s="4"/>
      <c r="AB224" s="380" t="str">
        <f>VLOOKUP($B224,'D7 - NDB Impacted SPRF''s'!$E$6:$O$9929,4,FALSE)</f>
        <v>Cancelled</v>
      </c>
      <c r="AC224" s="380" t="s">
        <v>5324</v>
      </c>
      <c r="AD224" s="380" t="str">
        <f>VLOOKUP($B224,'D7 - NDB Impacted SPRF''s'!$E$6:$O$9929,5,FALSE)</f>
        <v>Strategic Initiatives</v>
      </c>
      <c r="AE224" s="380" t="str">
        <f>VLOOKUP($B224,'D7 - NDB Impacted SPRF''s'!$E$6:$O$9929,7,FALSE)</f>
        <v>Kevin Cogle</v>
      </c>
      <c r="AF224" s="380" t="str">
        <f>VLOOKUP($B224,'D7 - NDB Impacted SPRF''s'!$E$6:$O$9929,6,FALSE)</f>
        <v>Renee Overton-Palma</v>
      </c>
      <c r="AG224" s="282"/>
      <c r="AH224" s="311" t="e">
        <f>INDEX('D5 - Gatekeeper - Projects'!$A$4:$AF$1010,$AM224, 17)</f>
        <v>#N/A</v>
      </c>
      <c r="AI224" s="8"/>
      <c r="AJ224" s="57"/>
      <c r="AK224" s="105"/>
      <c r="AM224" s="6" t="e">
        <f>MATCH(D224,'D5 - Gatekeeper - Projects'!$C$4:$C$1010,0)</f>
        <v>#N/A</v>
      </c>
      <c r="AN224" s="6" t="b">
        <f t="shared" si="24"/>
        <v>1</v>
      </c>
      <c r="AO224" s="6" t="str">
        <f t="shared" si="27"/>
        <v>OK</v>
      </c>
      <c r="AQ224" s="6" t="e">
        <f>MATCH($D224,'D4 - Provider Council Unsched'!$C$11:$C$234,0)</f>
        <v>#N/A</v>
      </c>
      <c r="AR224" s="6" t="b">
        <f t="shared" si="25"/>
        <v>1</v>
      </c>
      <c r="AS224" s="6" t="str">
        <f t="shared" si="28"/>
        <v>OK</v>
      </c>
      <c r="AU224" s="202"/>
      <c r="AV224" s="262" t="e">
        <v>#N/A</v>
      </c>
      <c r="AW224" s="274"/>
    </row>
    <row r="225" spans="1:49" s="13" customFormat="1" ht="33.75" x14ac:dyDescent="0.2">
      <c r="A225" s="14">
        <v>188</v>
      </c>
      <c r="B225" s="8">
        <v>400042216</v>
      </c>
      <c r="C225" s="8" t="s">
        <v>1447</v>
      </c>
      <c r="D225" s="4" t="str">
        <f t="shared" si="26"/>
        <v>400042216A</v>
      </c>
      <c r="E225" s="309" t="str">
        <f>VLOOKUP($B225,'D7 - NDB Impacted SPRF''s'!$E$6:$O$9929,2,FALSE)</f>
        <v>2011 One Shot Requests</v>
      </c>
      <c r="F225" s="8"/>
      <c r="G225" s="8" t="s">
        <v>7980</v>
      </c>
      <c r="H225" s="8" t="s">
        <v>6266</v>
      </c>
      <c r="I225" s="20"/>
      <c r="J225" s="8"/>
      <c r="K225" s="182"/>
      <c r="L225" s="8" t="s">
        <v>4156</v>
      </c>
      <c r="M225" s="8" t="s">
        <v>2814</v>
      </c>
      <c r="N225" s="38"/>
      <c r="O225" s="8"/>
      <c r="P225" s="4" t="str">
        <f>VLOOKUP($B225,'D7 - NDB Impacted SPRF''s'!$E$16:$O$9929,9,FALSE)</f>
        <v>N</v>
      </c>
      <c r="Q225" s="4" t="str">
        <f>VLOOKUP($B225,'D7 - NDB Impacted SPRF''s'!$E$16:$O$9929,10,FALSE)</f>
        <v>N</v>
      </c>
      <c r="R225" s="4" t="str">
        <f>VLOOKUP($B225,'D7 - NDB Impacted SPRF''s'!$E$16:$O$9929,11,FALSE)</f>
        <v>N</v>
      </c>
      <c r="S225" s="8"/>
      <c r="T225" s="310"/>
      <c r="U225" s="310"/>
      <c r="V225" s="4"/>
      <c r="W225" s="4"/>
      <c r="X225" s="4"/>
      <c r="Y225" s="4"/>
      <c r="Z225" s="4"/>
      <c r="AA225" s="4"/>
      <c r="AB225" s="380" t="str">
        <f>VLOOKUP($B225,'D7 - NDB Impacted SPRF''s'!$E$6:$O$9929,4,FALSE)</f>
        <v>Completed</v>
      </c>
      <c r="AC225" s="380" t="str">
        <f>VLOOKUP($B225,'D7 - NDB Impacted SPRF''s'!$E$6:$O$9929,3,FALSE)</f>
        <v>UnitedHealthcare Employer &amp; Individual</v>
      </c>
      <c r="AD225" s="380" t="str">
        <f>VLOOKUP($B225,'D7 - NDB Impacted SPRF''s'!$E$6:$O$9929,5,FALSE)</f>
        <v>Operational Requirements</v>
      </c>
      <c r="AE225" s="380" t="str">
        <f>VLOOKUP($B225,'D7 - NDB Impacted SPRF''s'!$E$6:$O$9929,7,FALSE)</f>
        <v>Tim Kaja</v>
      </c>
      <c r="AF225" s="380" t="str">
        <f>VLOOKUP($B225,'D7 - NDB Impacted SPRF''s'!$E$6:$O$9929,6,FALSE)</f>
        <v>Shelly Heit</v>
      </c>
      <c r="AG225" s="282"/>
      <c r="AH225" s="311" t="e">
        <f>INDEX('D5 - Gatekeeper - Projects'!$A$4:$AF$1010,$AM225, 17)</f>
        <v>#N/A</v>
      </c>
      <c r="AI225" s="8"/>
      <c r="AJ225" s="57"/>
      <c r="AK225" s="105"/>
      <c r="AM225" s="6" t="e">
        <f>MATCH(D225,'D5 - Gatekeeper - Projects'!$C$4:$C$1010,0)</f>
        <v>#N/A</v>
      </c>
      <c r="AN225" s="6" t="b">
        <f t="shared" si="24"/>
        <v>1</v>
      </c>
      <c r="AO225" s="6" t="str">
        <f t="shared" si="27"/>
        <v>OK</v>
      </c>
      <c r="AQ225" s="6" t="e">
        <f>MATCH($D225,'D4 - Provider Council Unsched'!$C$11:$C$234,0)</f>
        <v>#N/A</v>
      </c>
      <c r="AR225" s="6" t="b">
        <f t="shared" si="25"/>
        <v>1</v>
      </c>
      <c r="AS225" s="6" t="str">
        <f t="shared" si="28"/>
        <v>OK</v>
      </c>
      <c r="AU225" s="202"/>
      <c r="AV225" s="262" t="s">
        <v>2303</v>
      </c>
      <c r="AW225" s="274"/>
    </row>
    <row r="226" spans="1:49" s="13" customFormat="1" ht="56.25" x14ac:dyDescent="0.2">
      <c r="A226" s="14">
        <v>189</v>
      </c>
      <c r="B226" s="8">
        <v>400042851</v>
      </c>
      <c r="C226" s="8" t="s">
        <v>1447</v>
      </c>
      <c r="D226" s="4" t="str">
        <f t="shared" si="26"/>
        <v>400042851A</v>
      </c>
      <c r="E226" s="309" t="str">
        <f>VLOOKUP($B226,'D7 - NDB Impacted SPRF''s'!$E$6:$O$9929,2,FALSE)</f>
        <v>TBS Provider Workflow - PEGA Analysis</v>
      </c>
      <c r="F226" s="8"/>
      <c r="G226" s="8" t="s">
        <v>7980</v>
      </c>
      <c r="H226" s="8" t="s">
        <v>6266</v>
      </c>
      <c r="I226" s="20"/>
      <c r="J226" s="8" t="s">
        <v>4862</v>
      </c>
      <c r="K226" s="182"/>
      <c r="L226" s="8" t="s">
        <v>4156</v>
      </c>
      <c r="M226" s="8" t="s">
        <v>6688</v>
      </c>
      <c r="N226" s="38" t="s">
        <v>3597</v>
      </c>
      <c r="O226" s="8"/>
      <c r="P226" s="4" t="str">
        <f>VLOOKUP($B226,'D7 - NDB Impacted SPRF''s'!$E$16:$O$9929,9,FALSE)</f>
        <v>N</v>
      </c>
      <c r="Q226" s="4" t="str">
        <f>VLOOKUP($B226,'D7 - NDB Impacted SPRF''s'!$E$16:$O$9929,10,FALSE)</f>
        <v>N</v>
      </c>
      <c r="R226" s="4" t="str">
        <f>VLOOKUP($B226,'D7 - NDB Impacted SPRF''s'!$E$16:$O$9929,11,FALSE)</f>
        <v>N</v>
      </c>
      <c r="S226" s="8"/>
      <c r="T226" s="310"/>
      <c r="U226" s="310"/>
      <c r="V226" s="4"/>
      <c r="W226" s="4"/>
      <c r="X226" s="4"/>
      <c r="Y226" s="4"/>
      <c r="Z226" s="4"/>
      <c r="AA226" s="4"/>
      <c r="AB226" s="380" t="str">
        <f>VLOOKUP($B226,'D7 - NDB Impacted SPRF''s'!$E$6:$O$9929,4,FALSE)</f>
        <v>Completed</v>
      </c>
      <c r="AC226" s="380" t="s">
        <v>5324</v>
      </c>
      <c r="AD226" s="380" t="str">
        <f>VLOOKUP($B226,'D7 - NDB Impacted SPRF''s'!$E$6:$O$9929,5,FALSE)</f>
        <v>Behavioral Solutions</v>
      </c>
      <c r="AE226" s="380" t="str">
        <f>VLOOKUP($B226,'D7 - NDB Impacted SPRF''s'!$E$6:$O$9929,7,FALSE)</f>
        <v>Deb Adler</v>
      </c>
      <c r="AF226" s="380" t="str">
        <f>VLOOKUP($B226,'D7 - NDB Impacted SPRF''s'!$E$6:$O$9929,6,FALSE)</f>
        <v>Karen Riley</v>
      </c>
      <c r="AG226" s="282"/>
      <c r="AH226" s="311" t="e">
        <f>INDEX('D5 - Gatekeeper - Projects'!$A$4:$AF$1010,$AM226, 17)</f>
        <v>#N/A</v>
      </c>
      <c r="AI226" s="8"/>
      <c r="AJ226" s="57"/>
      <c r="AK226" s="105"/>
      <c r="AM226" s="6" t="e">
        <f>MATCH(D226,'D5 - Gatekeeper - Projects'!$C$4:$C$1010,0)</f>
        <v>#N/A</v>
      </c>
      <c r="AN226" s="6" t="b">
        <f t="shared" si="24"/>
        <v>1</v>
      </c>
      <c r="AO226" s="6" t="str">
        <f t="shared" si="27"/>
        <v>OK</v>
      </c>
      <c r="AQ226" s="6" t="e">
        <f>MATCH($D226,'D4 - Provider Council Unsched'!$C$11:$C$234,0)</f>
        <v>#N/A</v>
      </c>
      <c r="AR226" s="6" t="b">
        <f t="shared" si="25"/>
        <v>1</v>
      </c>
      <c r="AS226" s="6" t="str">
        <f t="shared" si="28"/>
        <v>OK</v>
      </c>
      <c r="AU226" s="202">
        <v>40665</v>
      </c>
      <c r="AV226" s="262" t="e">
        <v>#N/A</v>
      </c>
      <c r="AW226" s="274"/>
    </row>
    <row r="227" spans="1:49" s="13" customFormat="1" ht="22.5" x14ac:dyDescent="0.2">
      <c r="A227" s="14">
        <v>190</v>
      </c>
      <c r="B227" s="8">
        <v>400044152</v>
      </c>
      <c r="C227" s="8" t="s">
        <v>1447</v>
      </c>
      <c r="D227" s="4" t="str">
        <f t="shared" si="26"/>
        <v>400044152A</v>
      </c>
      <c r="E227" s="309" t="str">
        <f>VLOOKUP($B227,'D7 - NDB Impacted SPRF''s'!$E$6:$O$9929,2,FALSE)</f>
        <v>9.1 Upgrade (HRMS 9.1 Upgrade) Imp.</v>
      </c>
      <c r="F227" s="8"/>
      <c r="G227" s="8" t="s">
        <v>7980</v>
      </c>
      <c r="H227" s="8" t="s">
        <v>6266</v>
      </c>
      <c r="I227" s="20"/>
      <c r="J227" s="8"/>
      <c r="K227" s="182"/>
      <c r="L227" s="8" t="s">
        <v>4156</v>
      </c>
      <c r="M227" s="8" t="s">
        <v>2814</v>
      </c>
      <c r="N227" s="38"/>
      <c r="O227" s="8"/>
      <c r="P227" s="4" t="str">
        <f>VLOOKUP($B227,'D7 - NDB Impacted SPRF''s'!$E$16:$O$9929,9,FALSE)</f>
        <v>Y</v>
      </c>
      <c r="Q227" s="4" t="str">
        <f>VLOOKUP($B227,'D7 - NDB Impacted SPRF''s'!$E$16:$O$9929,10,FALSE)</f>
        <v>N</v>
      </c>
      <c r="R227" s="4" t="str">
        <f>VLOOKUP($B227,'D7 - NDB Impacted SPRF''s'!$E$16:$O$9929,11,FALSE)</f>
        <v>N</v>
      </c>
      <c r="S227" s="8"/>
      <c r="T227" s="310"/>
      <c r="U227" s="310"/>
      <c r="V227" s="4"/>
      <c r="W227" s="4"/>
      <c r="X227" s="4"/>
      <c r="Y227" s="4"/>
      <c r="Z227" s="4"/>
      <c r="AA227" s="4"/>
      <c r="AB227" s="380" t="str">
        <f>VLOOKUP($B227,'D7 - NDB Impacted SPRF''s'!$E$6:$O$9929,4,FALSE)</f>
        <v>Completed</v>
      </c>
      <c r="AC227" s="380" t="str">
        <f>VLOOKUP($B227,'D7 - NDB Impacted SPRF''s'!$E$6:$O$9929,3,FALSE)</f>
        <v>UHG Corporate</v>
      </c>
      <c r="AD227" s="380" t="str">
        <f>VLOOKUP($B227,'D7 - NDB Impacted SPRF''s'!$E$6:$O$9929,5,FALSE)</f>
        <v>Corporate</v>
      </c>
      <c r="AE227" s="380" t="str">
        <f>VLOOKUP($B227,'D7 - NDB Impacted SPRF''s'!$E$6:$O$9929,7,FALSE)</f>
        <v>Christine Anderson</v>
      </c>
      <c r="AF227" s="380" t="str">
        <f>VLOOKUP($B227,'D7 - NDB Impacted SPRF''s'!$E$6:$O$9929,6,FALSE)</f>
        <v>Andrew Robertson</v>
      </c>
      <c r="AG227" s="282"/>
      <c r="AH227" s="311" t="e">
        <f>INDEX('D5 - Gatekeeper - Projects'!$A$4:$AF$1010,$AM227, 17)</f>
        <v>#N/A</v>
      </c>
      <c r="AI227" s="8"/>
      <c r="AJ227" s="57"/>
      <c r="AK227" s="105"/>
      <c r="AM227" s="6" t="e">
        <f>MATCH(D227,'D5 - Gatekeeper - Projects'!$C$4:$C$1010,0)</f>
        <v>#N/A</v>
      </c>
      <c r="AN227" s="6" t="b">
        <f t="shared" si="24"/>
        <v>1</v>
      </c>
      <c r="AO227" s="6" t="str">
        <f t="shared" si="27"/>
        <v>OK</v>
      </c>
      <c r="AQ227" s="6" t="e">
        <f>MATCH($D227,'D4 - Provider Council Unsched'!$C$11:$C$234,0)</f>
        <v>#N/A</v>
      </c>
      <c r="AR227" s="6" t="b">
        <f t="shared" si="25"/>
        <v>1</v>
      </c>
      <c r="AS227" s="6" t="str">
        <f t="shared" si="28"/>
        <v>OK</v>
      </c>
      <c r="AU227" s="202"/>
      <c r="AV227" s="322" t="s">
        <v>1289</v>
      </c>
      <c r="AW227" s="274"/>
    </row>
    <row r="228" spans="1:49" s="13" customFormat="1" ht="33.75" x14ac:dyDescent="0.2">
      <c r="A228" s="14">
        <v>191</v>
      </c>
      <c r="B228" s="8">
        <v>400044570</v>
      </c>
      <c r="C228" s="8" t="s">
        <v>1447</v>
      </c>
      <c r="D228" s="4" t="str">
        <f t="shared" si="26"/>
        <v>400044570A</v>
      </c>
      <c r="E228" s="309" t="str">
        <f>VLOOKUP($B228,'D7 - NDB Impacted SPRF''s'!$E$6:$O$9929,2,FALSE)</f>
        <v>iCES Clearinghouse May 2012 Maintenance Release</v>
      </c>
      <c r="F228" s="8"/>
      <c r="G228" s="8" t="s">
        <v>7980</v>
      </c>
      <c r="H228" s="8" t="s">
        <v>6266</v>
      </c>
      <c r="I228" s="20"/>
      <c r="J228" s="8"/>
      <c r="K228" s="182"/>
      <c r="L228" s="8" t="s">
        <v>4156</v>
      </c>
      <c r="M228" s="8" t="s">
        <v>2814</v>
      </c>
      <c r="N228" s="38"/>
      <c r="O228" s="8"/>
      <c r="P228" s="4" t="str">
        <f>VLOOKUP($B228,'D7 - NDB Impacted SPRF''s'!$E$16:$O$9929,9,FALSE)</f>
        <v>Y</v>
      </c>
      <c r="Q228" s="4" t="str">
        <f>VLOOKUP($B228,'D7 - NDB Impacted SPRF''s'!$E$16:$O$9929,10,FALSE)</f>
        <v>N</v>
      </c>
      <c r="R228" s="4" t="str">
        <f>VLOOKUP($B228,'D7 - NDB Impacted SPRF''s'!$E$16:$O$9929,11,FALSE)</f>
        <v>N</v>
      </c>
      <c r="S228" s="8"/>
      <c r="T228" s="310"/>
      <c r="U228" s="310"/>
      <c r="V228" s="4"/>
      <c r="W228" s="4"/>
      <c r="X228" s="4"/>
      <c r="Y228" s="4"/>
      <c r="Z228" s="4"/>
      <c r="AA228" s="4"/>
      <c r="AB228" s="380" t="str">
        <f>VLOOKUP($B228,'D7 - NDB Impacted SPRF''s'!$E$6:$O$9929,4,FALSE)</f>
        <v>Completed</v>
      </c>
      <c r="AC228" s="380" t="str">
        <f>VLOOKUP($B228,'D7 - NDB Impacted SPRF''s'!$E$6:$O$9929,3,FALSE)</f>
        <v>UnitedHealthcare Employer &amp; Individual</v>
      </c>
      <c r="AD228" s="380" t="str">
        <f>VLOOKUP($B228,'D7 - NDB Impacted SPRF''s'!$E$6:$O$9929,5,FALSE)</f>
        <v>Operational Requirements</v>
      </c>
      <c r="AE228" s="380" t="str">
        <f>VLOOKUP($B228,'D7 - NDB Impacted SPRF''s'!$E$6:$O$9929,7,FALSE)</f>
        <v>Kathy Learst</v>
      </c>
      <c r="AF228" s="380" t="str">
        <f>VLOOKUP($B228,'D7 - NDB Impacted SPRF''s'!$E$6:$O$9929,6,FALSE)</f>
        <v>DAWN BOLLER</v>
      </c>
      <c r="AG228" s="282"/>
      <c r="AH228" s="311" t="e">
        <f>INDEX('D5 - Gatekeeper - Projects'!$A$4:$AF$1010,$AM228, 17)</f>
        <v>#N/A</v>
      </c>
      <c r="AI228" s="8"/>
      <c r="AJ228" s="57"/>
      <c r="AK228" s="105"/>
      <c r="AM228" s="6" t="e">
        <f>MATCH(D228,'D5 - Gatekeeper - Projects'!$C$4:$C$1010,0)</f>
        <v>#N/A</v>
      </c>
      <c r="AN228" s="6" t="b">
        <f t="shared" si="24"/>
        <v>1</v>
      </c>
      <c r="AO228" s="6" t="str">
        <f t="shared" si="27"/>
        <v>OK</v>
      </c>
      <c r="AQ228" s="6" t="e">
        <f>MATCH($D228,'D4 - Provider Council Unsched'!$C$11:$C$234,0)</f>
        <v>#N/A</v>
      </c>
      <c r="AR228" s="6" t="b">
        <f t="shared" si="25"/>
        <v>1</v>
      </c>
      <c r="AS228" s="6" t="str">
        <f t="shared" si="28"/>
        <v>OK</v>
      </c>
      <c r="AU228" s="202"/>
      <c r="AV228" s="323" t="s">
        <v>2303</v>
      </c>
      <c r="AW228" s="274"/>
    </row>
    <row r="229" spans="1:49" s="13" customFormat="1" ht="22.5" x14ac:dyDescent="0.2">
      <c r="A229" s="14">
        <v>192</v>
      </c>
      <c r="B229" s="8">
        <v>400044785</v>
      </c>
      <c r="C229" s="8" t="s">
        <v>1447</v>
      </c>
      <c r="D229" s="4" t="str">
        <f t="shared" si="26"/>
        <v>400044785A</v>
      </c>
      <c r="E229" s="309" t="str">
        <f>VLOOKUP($B229,'D7 - NDB Impacted SPRF''s'!$E$6:$O$9929,2,FALSE)</f>
        <v>TBS Provider Data Quality - EPDL &amp; P&amp;P</v>
      </c>
      <c r="F229" s="8"/>
      <c r="G229" s="8" t="s">
        <v>7980</v>
      </c>
      <c r="H229" s="8" t="s">
        <v>6266</v>
      </c>
      <c r="I229" s="20"/>
      <c r="J229" s="8"/>
      <c r="K229" s="182"/>
      <c r="L229" s="8" t="s">
        <v>4156</v>
      </c>
      <c r="M229" s="8" t="s">
        <v>2814</v>
      </c>
      <c r="N229" s="38"/>
      <c r="O229" s="8"/>
      <c r="P229" s="4" t="str">
        <f>VLOOKUP($B229,'D7 - NDB Impacted SPRF''s'!$E$16:$O$9929,9,FALSE)</f>
        <v>N</v>
      </c>
      <c r="Q229" s="4" t="str">
        <f>VLOOKUP($B229,'D7 - NDB Impacted SPRF''s'!$E$16:$O$9929,10,FALSE)</f>
        <v>N</v>
      </c>
      <c r="R229" s="4" t="str">
        <f>VLOOKUP($B229,'D7 - NDB Impacted SPRF''s'!$E$16:$O$9929,11,FALSE)</f>
        <v>N</v>
      </c>
      <c r="S229" s="8"/>
      <c r="T229" s="310"/>
      <c r="U229" s="310"/>
      <c r="V229" s="4"/>
      <c r="W229" s="4"/>
      <c r="X229" s="4"/>
      <c r="Y229" s="4"/>
      <c r="Z229" s="4"/>
      <c r="AA229" s="4"/>
      <c r="AB229" s="380" t="str">
        <f>VLOOKUP($B229,'D7 - NDB Impacted SPRF''s'!$E$6:$O$9929,4,FALSE)</f>
        <v>Return to Requestor</v>
      </c>
      <c r="AC229" s="380" t="str">
        <f>VLOOKUP($B229,'D7 - NDB Impacted SPRF''s'!$E$6:$O$9929,3,FALSE)</f>
        <v>OptumHealth</v>
      </c>
      <c r="AD229" s="380" t="str">
        <f>VLOOKUP($B229,'D7 - NDB Impacted SPRF''s'!$E$6:$O$9929,5,FALSE)</f>
        <v>Behavioral Solutions</v>
      </c>
      <c r="AE229" s="380" t="str">
        <f>VLOOKUP($B229,'D7 - NDB Impacted SPRF''s'!$E$6:$O$9929,7,FALSE)</f>
        <v>Deb Adler</v>
      </c>
      <c r="AF229" s="380" t="str">
        <f>VLOOKUP($B229,'D7 - NDB Impacted SPRF''s'!$E$6:$O$9929,6,FALSE)</f>
        <v>Jane Narup</v>
      </c>
      <c r="AG229" s="282"/>
      <c r="AH229" s="311" t="e">
        <f>INDEX('D5 - Gatekeeper - Projects'!$A$4:$AF$1010,$AM229, 17)</f>
        <v>#N/A</v>
      </c>
      <c r="AI229" s="8"/>
      <c r="AJ229" s="57"/>
      <c r="AK229" s="105"/>
      <c r="AM229" s="6" t="e">
        <f>MATCH(D229,'D5 - Gatekeeper - Projects'!$C$4:$C$1010,0)</f>
        <v>#N/A</v>
      </c>
      <c r="AN229" s="6" t="b">
        <f t="shared" si="24"/>
        <v>1</v>
      </c>
      <c r="AO229" s="6" t="str">
        <f t="shared" si="27"/>
        <v>OK</v>
      </c>
      <c r="AQ229" s="6">
        <f>MATCH($D229,'D4 - Provider Council Unsched'!$C$11:$C$234,0)</f>
        <v>2</v>
      </c>
      <c r="AR229" s="6" t="b">
        <f t="shared" si="25"/>
        <v>0</v>
      </c>
      <c r="AS229" s="6" t="str">
        <f t="shared" si="28"/>
        <v>OK</v>
      </c>
      <c r="AU229" s="202"/>
      <c r="AV229" s="262" t="s">
        <v>2300</v>
      </c>
      <c r="AW229" s="274">
        <v>39832</v>
      </c>
    </row>
    <row r="230" spans="1:49" s="13" customFormat="1" ht="33.75" x14ac:dyDescent="0.2">
      <c r="A230" s="14">
        <v>193</v>
      </c>
      <c r="B230" s="8">
        <v>400045000</v>
      </c>
      <c r="C230" s="8" t="s">
        <v>1447</v>
      </c>
      <c r="D230" s="4" t="str">
        <f t="shared" si="26"/>
        <v>400045000A</v>
      </c>
      <c r="E230" s="309" t="str">
        <f>VLOOKUP($B230,'D7 - NDB Impacted SPRF''s'!$E$6:$O$9929,2,FALSE)</f>
        <v>Emptoris Single step Provider Reassign 51.64</v>
      </c>
      <c r="F230" s="8"/>
      <c r="G230" s="8" t="s">
        <v>7980</v>
      </c>
      <c r="H230" s="8" t="s">
        <v>6266</v>
      </c>
      <c r="I230" s="20"/>
      <c r="J230" s="8"/>
      <c r="K230" s="182"/>
      <c r="L230" s="8" t="s">
        <v>4156</v>
      </c>
      <c r="M230" s="8" t="s">
        <v>2814</v>
      </c>
      <c r="N230" s="38" t="s">
        <v>6503</v>
      </c>
      <c r="O230" s="8"/>
      <c r="P230" s="4" t="str">
        <f>VLOOKUP($B230,'D7 - NDB Impacted SPRF''s'!$E$16:$O$9929,9,FALSE)</f>
        <v>N</v>
      </c>
      <c r="Q230" s="4" t="str">
        <f>VLOOKUP($B230,'D7 - NDB Impacted SPRF''s'!$E$16:$O$9929,10,FALSE)</f>
        <v>Y</v>
      </c>
      <c r="R230" s="4" t="str">
        <f>VLOOKUP($B230,'D7 - NDB Impacted SPRF''s'!$E$16:$O$9929,11,FALSE)</f>
        <v>N</v>
      </c>
      <c r="S230" s="8"/>
      <c r="T230" s="310"/>
      <c r="U230" s="310"/>
      <c r="V230" s="4"/>
      <c r="W230" s="4"/>
      <c r="X230" s="4"/>
      <c r="Y230" s="4"/>
      <c r="Z230" s="4"/>
      <c r="AA230" s="4"/>
      <c r="AB230" s="380" t="str">
        <f>VLOOKUP($B230,'D7 - NDB Impacted SPRF''s'!$E$6:$O$9929,4,FALSE)</f>
        <v>Return to Requestor</v>
      </c>
      <c r="AC230" s="380" t="str">
        <f>VLOOKUP($B230,'D7 - NDB Impacted SPRF''s'!$E$6:$O$9929,3,FALSE)</f>
        <v>UnitedHealthcare Employer &amp; Individual</v>
      </c>
      <c r="AD230" s="380" t="str">
        <f>VLOOKUP($B230,'D7 - NDB Impacted SPRF''s'!$E$6:$O$9929,5,FALSE)</f>
        <v>Process Improvement - General Fund</v>
      </c>
      <c r="AE230" s="380" t="str">
        <f>VLOOKUP($B230,'D7 - NDB Impacted SPRF''s'!$E$6:$O$9929,7,FALSE)</f>
        <v>Deb Coolege</v>
      </c>
      <c r="AF230" s="380" t="str">
        <f>VLOOKUP($B230,'D7 - NDB Impacted SPRF''s'!$E$6:$O$9929,6,FALSE)</f>
        <v>Robert Wright</v>
      </c>
      <c r="AG230" s="282"/>
      <c r="AH230" s="311" t="e">
        <f>INDEX('D5 - Gatekeeper - Projects'!$A$4:$AF$1010,$AM230, 17)</f>
        <v>#N/A</v>
      </c>
      <c r="AI230" s="8"/>
      <c r="AJ230" s="57"/>
      <c r="AK230" s="105"/>
      <c r="AM230" s="6" t="e">
        <f>MATCH(D230,'D5 - Gatekeeper - Projects'!$C$4:$C$1010,0)</f>
        <v>#N/A</v>
      </c>
      <c r="AN230" s="6" t="b">
        <f t="shared" si="24"/>
        <v>1</v>
      </c>
      <c r="AO230" s="6" t="str">
        <f t="shared" si="27"/>
        <v>OK</v>
      </c>
      <c r="AQ230" s="6">
        <f>MATCH($D230,'D4 - Provider Council Unsched'!$C$11:$C$234,0)</f>
        <v>3</v>
      </c>
      <c r="AR230" s="6" t="b">
        <f t="shared" si="25"/>
        <v>0</v>
      </c>
      <c r="AS230" s="6" t="str">
        <f t="shared" si="28"/>
        <v>OK</v>
      </c>
      <c r="AU230" s="202"/>
      <c r="AV230" s="262" t="s">
        <v>2311</v>
      </c>
      <c r="AW230" s="274"/>
    </row>
    <row r="231" spans="1:49" s="13" customFormat="1" ht="33.75" x14ac:dyDescent="0.2">
      <c r="A231" s="14">
        <v>194</v>
      </c>
      <c r="B231" s="8">
        <v>400045257</v>
      </c>
      <c r="C231" s="8" t="s">
        <v>1447</v>
      </c>
      <c r="D231" s="4" t="str">
        <f t="shared" si="26"/>
        <v>400045257A</v>
      </c>
      <c r="E231" s="309" t="str">
        <f>VLOOKUP($B231,'D7 - NDB Impacted SPRF''s'!$E$6:$O$9929,2,FALSE)</f>
        <v>Centralization of HSD tool</v>
      </c>
      <c r="F231" s="8"/>
      <c r="G231" s="8" t="s">
        <v>7980</v>
      </c>
      <c r="H231" s="8" t="s">
        <v>6266</v>
      </c>
      <c r="I231" s="20"/>
      <c r="J231" s="8"/>
      <c r="K231" s="182"/>
      <c r="L231" s="8" t="s">
        <v>4156</v>
      </c>
      <c r="M231" s="8" t="s">
        <v>2814</v>
      </c>
      <c r="N231" s="38" t="s">
        <v>6502</v>
      </c>
      <c r="O231" s="8"/>
      <c r="P231" s="4" t="str">
        <f>VLOOKUP($B231,'D7 - NDB Impacted SPRF''s'!$E$16:$O$9929,9,FALSE)</f>
        <v>N</v>
      </c>
      <c r="Q231" s="4" t="str">
        <f>VLOOKUP($B231,'D7 - NDB Impacted SPRF''s'!$E$16:$O$9929,10,FALSE)</f>
        <v>N</v>
      </c>
      <c r="R231" s="4" t="str">
        <f>VLOOKUP($B231,'D7 - NDB Impacted SPRF''s'!$E$16:$O$9929,11,FALSE)</f>
        <v>N</v>
      </c>
      <c r="S231" s="8"/>
      <c r="T231" s="310"/>
      <c r="U231" s="310"/>
      <c r="V231" s="4"/>
      <c r="W231" s="4"/>
      <c r="X231" s="4"/>
      <c r="Y231" s="4"/>
      <c r="Z231" s="4"/>
      <c r="AA231" s="4"/>
      <c r="AB231" s="380" t="str">
        <f>VLOOKUP($B231,'D7 - NDB Impacted SPRF''s'!$E$6:$O$9929,4,FALSE)</f>
        <v>In Funding</v>
      </c>
      <c r="AC231" s="380" t="str">
        <f>VLOOKUP($B231,'D7 - NDB Impacted SPRF''s'!$E$6:$O$9929,3,FALSE)</f>
        <v>UnitedHealthcare Employer &amp; Individual</v>
      </c>
      <c r="AD231" s="380" t="str">
        <f>VLOOKUP($B231,'D7 - NDB Impacted SPRF''s'!$E$6:$O$9929,5,FALSE)</f>
        <v>Regulatory - General Fund</v>
      </c>
      <c r="AE231" s="380" t="str">
        <f>VLOOKUP($B231,'D7 - NDB Impacted SPRF''s'!$E$6:$O$9929,7,FALSE)</f>
        <v>Tobey Klaus</v>
      </c>
      <c r="AF231" s="380" t="str">
        <f>VLOOKUP($B231,'D7 - NDB Impacted SPRF''s'!$E$6:$O$9929,6,FALSE)</f>
        <v>Robert Wright</v>
      </c>
      <c r="AG231" s="282"/>
      <c r="AH231" s="311" t="e">
        <f>INDEX('D5 - Gatekeeper - Projects'!$A$4:$AF$1010,$AM231, 17)</f>
        <v>#N/A</v>
      </c>
      <c r="AI231" s="8"/>
      <c r="AJ231" s="57"/>
      <c r="AK231" s="105"/>
      <c r="AM231" s="6" t="e">
        <f>MATCH(D231,'D5 - Gatekeeper - Projects'!$C$4:$C$1010,0)</f>
        <v>#N/A</v>
      </c>
      <c r="AN231" s="6" t="b">
        <f t="shared" si="24"/>
        <v>1</v>
      </c>
      <c r="AO231" s="6" t="str">
        <f t="shared" si="27"/>
        <v>OK</v>
      </c>
      <c r="AQ231" s="6">
        <f>MATCH($D231,'D4 - Provider Council Unsched'!$C$11:$C$234,0)</f>
        <v>4</v>
      </c>
      <c r="AR231" s="6" t="b">
        <f t="shared" si="25"/>
        <v>0</v>
      </c>
      <c r="AS231" s="6" t="str">
        <f t="shared" si="28"/>
        <v>OK</v>
      </c>
      <c r="AU231" s="202"/>
      <c r="AV231" s="262" t="s">
        <v>2311</v>
      </c>
      <c r="AW231" s="274"/>
    </row>
    <row r="232" spans="1:49" s="13" customFormat="1" ht="22.5" x14ac:dyDescent="0.2">
      <c r="A232" s="14">
        <v>195</v>
      </c>
      <c r="B232" s="8">
        <v>400046533</v>
      </c>
      <c r="C232" s="8" t="s">
        <v>1447</v>
      </c>
      <c r="D232" s="4" t="str">
        <f t="shared" si="26"/>
        <v>400046533A</v>
      </c>
      <c r="E232" s="309" t="str">
        <f>VLOOKUP($B232,'D7 - NDB Impacted SPRF''s'!$E$6:$O$9929,2,FALSE)</f>
        <v>Transparency: OHBS Providers CS-UHC Consumer Trans</v>
      </c>
      <c r="F232" s="8"/>
      <c r="G232" s="8" t="s">
        <v>7980</v>
      </c>
      <c r="H232" s="8" t="s">
        <v>6266</v>
      </c>
      <c r="I232" s="20"/>
      <c r="J232" s="8"/>
      <c r="K232" s="182"/>
      <c r="L232" s="8" t="s">
        <v>4156</v>
      </c>
      <c r="M232" s="8" t="s">
        <v>2814</v>
      </c>
      <c r="N232" s="38" t="s">
        <v>6501</v>
      </c>
      <c r="O232" s="8"/>
      <c r="P232" s="4" t="str">
        <f>VLOOKUP($B232,'D7 - NDB Impacted SPRF''s'!$E$16:$O$9929,9,FALSE)</f>
        <v>Y</v>
      </c>
      <c r="Q232" s="4" t="str">
        <f>VLOOKUP($B232,'D7 - NDB Impacted SPRF''s'!$E$16:$O$9929,10,FALSE)</f>
        <v>N</v>
      </c>
      <c r="R232" s="4" t="str">
        <f>VLOOKUP($B232,'D7 - NDB Impacted SPRF''s'!$E$16:$O$9929,11,FALSE)</f>
        <v>Y</v>
      </c>
      <c r="S232" s="8"/>
      <c r="T232" s="310"/>
      <c r="U232" s="310"/>
      <c r="V232" s="4"/>
      <c r="W232" s="4"/>
      <c r="X232" s="4"/>
      <c r="Y232" s="4"/>
      <c r="Z232" s="4"/>
      <c r="AA232" s="4"/>
      <c r="AB232" s="380" t="str">
        <f>VLOOKUP($B232,'D7 - NDB Impacted SPRF''s'!$E$6:$O$9929,4,FALSE)</f>
        <v>In Estimating</v>
      </c>
      <c r="AC232" s="380" t="str">
        <f>VLOOKUP($B232,'D7 - NDB Impacted SPRF''s'!$E$6:$O$9929,3,FALSE)</f>
        <v>OptumHealth</v>
      </c>
      <c r="AD232" s="380" t="str">
        <f>VLOOKUP($B232,'D7 - NDB Impacted SPRF''s'!$E$6:$O$9929,5,FALSE)</f>
        <v>BS-Netwk Reg.Online Claims Pre-Service Adjud.</v>
      </c>
      <c r="AE232" s="380" t="str">
        <f>VLOOKUP($B232,'D7 - NDB Impacted SPRF''s'!$E$6:$O$9929,7,FALSE)</f>
        <v>Jann Dodd</v>
      </c>
      <c r="AF232" s="380" t="str">
        <f>VLOOKUP($B232,'D7 - NDB Impacted SPRF''s'!$E$6:$O$9929,6,FALSE)</f>
        <v>STACY BURDEAU</v>
      </c>
      <c r="AG232" s="282"/>
      <c r="AH232" s="311" t="e">
        <f>INDEX('D5 - Gatekeeper - Projects'!$A$4:$AF$1010,$AM232, 17)</f>
        <v>#N/A</v>
      </c>
      <c r="AI232" s="8"/>
      <c r="AJ232" s="57"/>
      <c r="AK232" s="105"/>
      <c r="AM232" s="6" t="e">
        <f>MATCH(D232,'D5 - Gatekeeper - Projects'!$C$4:$C$1010,0)</f>
        <v>#N/A</v>
      </c>
      <c r="AN232" s="6" t="b">
        <f t="shared" si="24"/>
        <v>1</v>
      </c>
      <c r="AO232" s="6" t="str">
        <f t="shared" si="27"/>
        <v>OK</v>
      </c>
      <c r="AQ232" s="6">
        <f>MATCH($D232,'D4 - Provider Council Unsched'!$C$11:$C$234,0)</f>
        <v>5</v>
      </c>
      <c r="AR232" s="6" t="b">
        <f t="shared" si="25"/>
        <v>0</v>
      </c>
      <c r="AS232" s="6" t="str">
        <f t="shared" si="28"/>
        <v>OK</v>
      </c>
      <c r="AU232" s="202"/>
      <c r="AV232" s="262" t="s">
        <v>462</v>
      </c>
      <c r="AW232" s="274"/>
    </row>
    <row r="233" spans="1:49" s="13" customFormat="1" ht="11.25" customHeight="1" x14ac:dyDescent="0.2">
      <c r="A233" s="14">
        <v>196</v>
      </c>
      <c r="B233" s="8">
        <v>400046650</v>
      </c>
      <c r="C233" s="8" t="s">
        <v>1447</v>
      </c>
      <c r="D233" s="4" t="str">
        <f t="shared" si="26"/>
        <v>400046650A</v>
      </c>
      <c r="E233" s="309" t="str">
        <f>VLOOKUP($B233,'D7 - NDB Impacted SPRF''s'!$E$6:$O$9929,2,FALSE)</f>
        <v>ORS ISSUES TO BE ASSIGNED SCREEN</v>
      </c>
      <c r="F233" s="8"/>
      <c r="G233" s="8" t="s">
        <v>7980</v>
      </c>
      <c r="H233" s="8" t="s">
        <v>6266</v>
      </c>
      <c r="I233" s="20"/>
      <c r="J233" s="8"/>
      <c r="K233" s="182"/>
      <c r="L233" s="8" t="s">
        <v>4156</v>
      </c>
      <c r="M233" s="8" t="s">
        <v>2814</v>
      </c>
      <c r="N233" s="38" t="s">
        <v>6500</v>
      </c>
      <c r="O233" s="8"/>
      <c r="P233" s="4" t="str">
        <f>VLOOKUP($B233,'D7 - NDB Impacted SPRF''s'!$E$16:$O$9929,9,FALSE)</f>
        <v>N</v>
      </c>
      <c r="Q233" s="4" t="str">
        <f>VLOOKUP($B233,'D7 - NDB Impacted SPRF''s'!$E$16:$O$9929,10,FALSE)</f>
        <v>N</v>
      </c>
      <c r="R233" s="4" t="str">
        <f>VLOOKUP($B233,'D7 - NDB Impacted SPRF''s'!$E$16:$O$9929,11,FALSE)</f>
        <v>N</v>
      </c>
      <c r="S233" s="8"/>
      <c r="T233" s="310"/>
      <c r="U233" s="310"/>
      <c r="V233" s="4"/>
      <c r="W233" s="4"/>
      <c r="X233" s="4"/>
      <c r="Y233" s="4"/>
      <c r="Z233" s="4"/>
      <c r="AA233" s="4"/>
      <c r="AB233" s="380" t="str">
        <f>VLOOKUP($B233,'D7 - NDB Impacted SPRF''s'!$E$6:$O$9929,4,FALSE)</f>
        <v>In Funding</v>
      </c>
      <c r="AC233" s="380" t="str">
        <f>VLOOKUP($B233,'D7 - NDB Impacted SPRF''s'!$E$6:$O$9929,3,FALSE)</f>
        <v>UHG IT - Application Services Group</v>
      </c>
      <c r="AD233" s="380" t="str">
        <f>VLOOKUP($B233,'D7 - NDB Impacted SPRF''s'!$E$6:$O$9929,5,FALSE)</f>
        <v>Non-Discretionary</v>
      </c>
      <c r="AE233" s="380" t="str">
        <f>VLOOKUP($B233,'D7 - NDB Impacted SPRF''s'!$E$6:$O$9929,7,FALSE)</f>
        <v>Karen DaveZac</v>
      </c>
      <c r="AF233" s="380" t="str">
        <f>VLOOKUP($B233,'D7 - NDB Impacted SPRF''s'!$E$6:$O$9929,6,FALSE)</f>
        <v>Sharon Childs</v>
      </c>
      <c r="AG233" s="282"/>
      <c r="AH233" s="311" t="e">
        <f>INDEX('D5 - Gatekeeper - Projects'!$A$4:$AF$1010,$AM233, 17)</f>
        <v>#N/A</v>
      </c>
      <c r="AI233" s="8"/>
      <c r="AJ233" s="57"/>
      <c r="AK233" s="105"/>
      <c r="AM233" s="6" t="e">
        <f>MATCH(D233,'D5 - Gatekeeper - Projects'!$C$4:$C$1010,0)</f>
        <v>#N/A</v>
      </c>
      <c r="AN233" s="6" t="b">
        <f t="shared" si="24"/>
        <v>1</v>
      </c>
      <c r="AO233" s="6" t="str">
        <f t="shared" si="27"/>
        <v>OK</v>
      </c>
      <c r="AQ233" s="6">
        <f>MATCH($D233,'D4 - Provider Council Unsched'!$C$11:$C$234,0)</f>
        <v>6</v>
      </c>
      <c r="AR233" s="6" t="b">
        <f t="shared" si="25"/>
        <v>0</v>
      </c>
      <c r="AS233" s="6" t="str">
        <f t="shared" si="28"/>
        <v>OK</v>
      </c>
      <c r="AU233" s="202"/>
      <c r="AV233" s="262" t="s">
        <v>2311</v>
      </c>
      <c r="AW233" s="274"/>
    </row>
    <row r="234" spans="1:49" s="13" customFormat="1" ht="33.75" x14ac:dyDescent="0.2">
      <c r="A234" s="14">
        <v>197</v>
      </c>
      <c r="B234" s="8">
        <v>400049472</v>
      </c>
      <c r="C234" s="8" t="s">
        <v>1447</v>
      </c>
      <c r="D234" s="4" t="str">
        <f t="shared" si="26"/>
        <v>400049472A</v>
      </c>
      <c r="E234" s="309" t="str">
        <f>VLOOKUP($B234,'D7 - NDB Impacted SPRF''s'!$E$6:$O$9929,2,FALSE)</f>
        <v>Feed all C&amp;S Demographic data to CSP</v>
      </c>
      <c r="F234" s="8"/>
      <c r="G234" s="8" t="s">
        <v>7980</v>
      </c>
      <c r="H234" s="8" t="s">
        <v>6266</v>
      </c>
      <c r="I234" s="20"/>
      <c r="J234" s="8"/>
      <c r="K234" s="182"/>
      <c r="L234" s="8" t="s">
        <v>4156</v>
      </c>
      <c r="M234" s="8" t="s">
        <v>2814</v>
      </c>
      <c r="N234" s="38"/>
      <c r="O234" s="8"/>
      <c r="P234" s="4" t="str">
        <f>VLOOKUP($B234,'D7 - NDB Impacted SPRF''s'!$E$16:$O$9929,9,FALSE)</f>
        <v>N</v>
      </c>
      <c r="Q234" s="4" t="str">
        <f>VLOOKUP($B234,'D7 - NDB Impacted SPRF''s'!$E$16:$O$9929,10,FALSE)</f>
        <v>N</v>
      </c>
      <c r="R234" s="4" t="str">
        <f>VLOOKUP($B234,'D7 - NDB Impacted SPRF''s'!$E$16:$O$9929,11,FALSE)</f>
        <v>N</v>
      </c>
      <c r="S234" s="8"/>
      <c r="T234" s="310"/>
      <c r="U234" s="310"/>
      <c r="V234" s="4"/>
      <c r="W234" s="4"/>
      <c r="X234" s="4"/>
      <c r="Y234" s="4"/>
      <c r="Z234" s="4"/>
      <c r="AA234" s="4"/>
      <c r="AB234" s="380" t="str">
        <f>VLOOKUP($B234,'D7 - NDB Impacted SPRF''s'!$E$6:$O$9929,4,FALSE)</f>
        <v>In Funding</v>
      </c>
      <c r="AC234" s="380" t="str">
        <f>VLOOKUP($B234,'D7 - NDB Impacted SPRF''s'!$E$6:$O$9929,3,FALSE)</f>
        <v>UnitedHealthcare Community &amp; State</v>
      </c>
      <c r="AD234" s="380" t="str">
        <f>VLOOKUP($B234,'D7 - NDB Impacted SPRF''s'!$E$6:$O$9929,5,FALSE)</f>
        <v>AmeriChoice</v>
      </c>
      <c r="AE234" s="380" t="str">
        <f>VLOOKUP($B234,'D7 - NDB Impacted SPRF''s'!$E$6:$O$9929,7,FALSE)</f>
        <v xml:space="preserve">SCHERER, CHRIS A </v>
      </c>
      <c r="AF234" s="380" t="str">
        <f>VLOOKUP($B234,'D7 - NDB Impacted SPRF''s'!$E$6:$O$9929,6,FALSE)</f>
        <v>GREGORY MILLS</v>
      </c>
      <c r="AG234" s="282"/>
      <c r="AH234" s="311" t="e">
        <f>INDEX('D5 - Gatekeeper - Projects'!$A$4:$AF$1010,$AM234, 17)</f>
        <v>#N/A</v>
      </c>
      <c r="AI234" s="8"/>
      <c r="AJ234" s="57"/>
      <c r="AK234" s="105"/>
      <c r="AM234" s="6" t="e">
        <f>MATCH(D234,'D5 - Gatekeeper - Projects'!$C$4:$C$1010,0)</f>
        <v>#N/A</v>
      </c>
      <c r="AN234" s="6" t="b">
        <f t="shared" si="24"/>
        <v>1</v>
      </c>
      <c r="AO234" s="6" t="str">
        <f t="shared" si="27"/>
        <v>OK</v>
      </c>
      <c r="AQ234" s="6">
        <f>MATCH($D234,'D4 - Provider Council Unsched'!$C$11:$C$234,0)</f>
        <v>7</v>
      </c>
      <c r="AR234" s="6" t="b">
        <f t="shared" si="25"/>
        <v>0</v>
      </c>
      <c r="AS234" s="6" t="str">
        <f t="shared" si="28"/>
        <v>OK</v>
      </c>
      <c r="AU234" s="202"/>
      <c r="AV234" s="262" t="s">
        <v>1137</v>
      </c>
      <c r="AW234" s="274"/>
    </row>
    <row r="235" spans="1:49" s="13" customFormat="1" ht="33.75" x14ac:dyDescent="0.2">
      <c r="A235" s="14">
        <v>198</v>
      </c>
      <c r="B235" s="8">
        <v>400049907</v>
      </c>
      <c r="C235" s="8" t="s">
        <v>1447</v>
      </c>
      <c r="D235" s="4" t="str">
        <f t="shared" si="26"/>
        <v>400049907A</v>
      </c>
      <c r="E235" s="309" t="str">
        <f>VLOOKUP($B235,'D7 - NDB Impacted SPRF''s'!$E$6:$O$9929,2,FALSE)</f>
        <v>WO Add Divs to Lockout Code Report - Modify Prompt</v>
      </c>
      <c r="F235" s="8"/>
      <c r="G235" s="8" t="s">
        <v>7980</v>
      </c>
      <c r="H235" s="8" t="s">
        <v>6266</v>
      </c>
      <c r="I235" s="20"/>
      <c r="J235" s="8"/>
      <c r="K235" s="182"/>
      <c r="L235" s="8" t="s">
        <v>4156</v>
      </c>
      <c r="M235" s="8" t="s">
        <v>2814</v>
      </c>
      <c r="N235" s="38" t="s">
        <v>6511</v>
      </c>
      <c r="O235" s="8"/>
      <c r="P235" s="4" t="str">
        <f>VLOOKUP($B235,'D7 - NDB Impacted SPRF''s'!$E$16:$O$9929,9,FALSE)</f>
        <v>N</v>
      </c>
      <c r="Q235" s="4" t="str">
        <f>VLOOKUP($B235,'D7 - NDB Impacted SPRF''s'!$E$16:$O$9929,10,FALSE)</f>
        <v>N</v>
      </c>
      <c r="R235" s="4" t="str">
        <f>VLOOKUP($B235,'D7 - NDB Impacted SPRF''s'!$E$16:$O$9929,11,FALSE)</f>
        <v>N</v>
      </c>
      <c r="S235" s="8"/>
      <c r="T235" s="310"/>
      <c r="U235" s="310"/>
      <c r="V235" s="4"/>
      <c r="W235" s="4"/>
      <c r="X235" s="4"/>
      <c r="Y235" s="4"/>
      <c r="Z235" s="4"/>
      <c r="AA235" s="4"/>
      <c r="AB235" s="380" t="str">
        <f>VLOOKUP($B235,'D7 - NDB Impacted SPRF''s'!$E$6:$O$9929,4,FALSE)</f>
        <v>In Program Manager Request Review</v>
      </c>
      <c r="AC235" s="380" t="str">
        <f>VLOOKUP($B235,'D7 - NDB Impacted SPRF''s'!$E$6:$O$9929,3,FALSE)</f>
        <v>OptumInsight</v>
      </c>
      <c r="AD235" s="380" t="str">
        <f>VLOOKUP($B235,'D7 - NDB Impacted SPRF''s'!$E$6:$O$9929,5,FALSE)</f>
        <v>HIPAA 5010</v>
      </c>
      <c r="AE235" s="380" t="str">
        <f>VLOOKUP($B235,'D7 - NDB Impacted SPRF''s'!$E$6:$O$9929,7,FALSE)</f>
        <v>DINO G KASDAGLY</v>
      </c>
      <c r="AF235" s="380" t="str">
        <f>VLOOKUP($B235,'D7 - NDB Impacted SPRF''s'!$E$6:$O$9929,6,FALSE)</f>
        <v>Patricia Hanson</v>
      </c>
      <c r="AG235" s="282"/>
      <c r="AH235" s="311" t="e">
        <f>INDEX('D5 - Gatekeeper - Projects'!$A$4:$AF$1010,$AM235, 17)</f>
        <v>#N/A</v>
      </c>
      <c r="AI235" s="8"/>
      <c r="AJ235" s="57"/>
      <c r="AK235" s="105"/>
      <c r="AM235" s="6" t="e">
        <f>MATCH(D235,'D5 - Gatekeeper - Projects'!$C$4:$C$1010,0)</f>
        <v>#N/A</v>
      </c>
      <c r="AN235" s="6" t="b">
        <f t="shared" si="24"/>
        <v>1</v>
      </c>
      <c r="AO235" s="6" t="str">
        <f t="shared" si="27"/>
        <v>OK</v>
      </c>
      <c r="AQ235" s="6">
        <f>MATCH($D235,'D4 - Provider Council Unsched'!$C$11:$C$234,0)</f>
        <v>8</v>
      </c>
      <c r="AR235" s="6" t="b">
        <f t="shared" si="25"/>
        <v>0</v>
      </c>
      <c r="AS235" s="6" t="str">
        <f t="shared" si="28"/>
        <v>OK</v>
      </c>
      <c r="AU235" s="202"/>
      <c r="AV235" s="262" t="s">
        <v>469</v>
      </c>
      <c r="AW235" s="274"/>
    </row>
    <row r="236" spans="1:49" s="13" customFormat="1" ht="45" x14ac:dyDescent="0.2">
      <c r="A236" s="14">
        <v>199</v>
      </c>
      <c r="B236" s="8">
        <v>400051740</v>
      </c>
      <c r="C236" s="8" t="s">
        <v>1447</v>
      </c>
      <c r="D236" s="4" t="str">
        <f t="shared" si="26"/>
        <v>400051740A</v>
      </c>
      <c r="E236" s="309" t="str">
        <f>VLOOKUP($B236,'D7 - NDB Impacted SPRF''s'!$E$6:$O$9929,2,FALSE)</f>
        <v>Integrated Test Environment Build Out - Charlie</v>
      </c>
      <c r="F236" s="8"/>
      <c r="G236" s="8" t="s">
        <v>7980</v>
      </c>
      <c r="H236" s="8" t="s">
        <v>6266</v>
      </c>
      <c r="I236" s="20"/>
      <c r="J236" s="8"/>
      <c r="K236" s="182"/>
      <c r="L236" s="8" t="s">
        <v>4156</v>
      </c>
      <c r="M236" s="8" t="s">
        <v>2814</v>
      </c>
      <c r="N236" s="38" t="s">
        <v>6515</v>
      </c>
      <c r="O236" s="8"/>
      <c r="P236" s="4" t="str">
        <f>VLOOKUP($B236,'D7 - NDB Impacted SPRF''s'!$E$16:$O$9929,9,FALSE)</f>
        <v>Y</v>
      </c>
      <c r="Q236" s="4" t="str">
        <f>VLOOKUP($B236,'D7 - NDB Impacted SPRF''s'!$E$16:$O$9929,10,FALSE)</f>
        <v>N</v>
      </c>
      <c r="R236" s="4" t="str">
        <f>VLOOKUP($B236,'D7 - NDB Impacted SPRF''s'!$E$16:$O$9929,11,FALSE)</f>
        <v>Y</v>
      </c>
      <c r="S236" s="8"/>
      <c r="T236" s="310"/>
      <c r="U236" s="310"/>
      <c r="V236" s="4"/>
      <c r="W236" s="4"/>
      <c r="X236" s="4"/>
      <c r="Y236" s="4"/>
      <c r="Z236" s="4"/>
      <c r="AA236" s="4"/>
      <c r="AB236" s="380" t="str">
        <f>VLOOKUP($B236,'D7 - NDB Impacted SPRF''s'!$E$6:$O$9929,4,FALSE)</f>
        <v>In Estimating</v>
      </c>
      <c r="AC236" s="380" t="str">
        <f>VLOOKUP($B236,'D7 - NDB Impacted SPRF''s'!$E$6:$O$9929,3,FALSE)</f>
        <v>UHG IT - Enterprise Technology Services</v>
      </c>
      <c r="AD236" s="380" t="str">
        <f>VLOOKUP($B236,'D7 - NDB Impacted SPRF''s'!$E$6:$O$9929,5,FALSE)</f>
        <v>ASG</v>
      </c>
      <c r="AE236" s="380" t="str">
        <f>VLOOKUP($B236,'D7 - NDB Impacted SPRF''s'!$E$6:$O$9929,7,FALSE)</f>
        <v>M. Duhaime</v>
      </c>
      <c r="AF236" s="380" t="str">
        <f>VLOOKUP($B236,'D7 - NDB Impacted SPRF''s'!$E$6:$O$9929,6,FALSE)</f>
        <v>Larry Lacombe</v>
      </c>
      <c r="AG236" s="282"/>
      <c r="AH236" s="311" t="e">
        <f>INDEX('D5 - Gatekeeper - Projects'!$A$4:$AF$1010,$AM236, 17)</f>
        <v>#N/A</v>
      </c>
      <c r="AI236" s="8"/>
      <c r="AJ236" s="57"/>
      <c r="AK236" s="105"/>
      <c r="AM236" s="6" t="e">
        <f>MATCH(D236,'D5 - Gatekeeper - Projects'!$C$4:$C$1010,0)</f>
        <v>#N/A</v>
      </c>
      <c r="AN236" s="6" t="b">
        <f t="shared" si="24"/>
        <v>1</v>
      </c>
      <c r="AO236" s="6" t="str">
        <f t="shared" si="27"/>
        <v>OK</v>
      </c>
      <c r="AQ236" s="6">
        <f>MATCH($D236,'D4 - Provider Council Unsched'!$C$11:$C$234,0)</f>
        <v>10</v>
      </c>
      <c r="AR236" s="6" t="b">
        <f t="shared" si="25"/>
        <v>0</v>
      </c>
      <c r="AS236" s="6" t="str">
        <f t="shared" si="28"/>
        <v>OK</v>
      </c>
      <c r="AU236" s="202"/>
      <c r="AV236" s="262" t="s">
        <v>1135</v>
      </c>
      <c r="AW236" s="274"/>
    </row>
    <row r="237" spans="1:49" s="13" customFormat="1" ht="33.75" x14ac:dyDescent="0.2">
      <c r="A237" s="14">
        <v>200</v>
      </c>
      <c r="B237" s="8">
        <v>400051999</v>
      </c>
      <c r="C237" s="8" t="s">
        <v>1447</v>
      </c>
      <c r="D237" s="4" t="str">
        <f t="shared" si="26"/>
        <v>400051999A</v>
      </c>
      <c r="E237" s="309" t="str">
        <f>VLOOKUP($B237,'D7 - NDB Impacted SPRF''s'!$E$6:$O$9929,2,FALSE)</f>
        <v>Initiate Upgraded</v>
      </c>
      <c r="F237" s="8"/>
      <c r="G237" s="8" t="s">
        <v>7980</v>
      </c>
      <c r="H237" s="8" t="s">
        <v>6266</v>
      </c>
      <c r="I237" s="20"/>
      <c r="J237" s="8"/>
      <c r="K237" s="182"/>
      <c r="L237" s="8" t="s">
        <v>4156</v>
      </c>
      <c r="M237" s="8" t="s">
        <v>2814</v>
      </c>
      <c r="N237" s="38"/>
      <c r="O237" s="8"/>
      <c r="P237" s="4" t="str">
        <f>VLOOKUP($B237,'D7 - NDB Impacted SPRF''s'!$E$16:$O$9929,9,FALSE)</f>
        <v>N</v>
      </c>
      <c r="Q237" s="4" t="str">
        <f>VLOOKUP($B237,'D7 - NDB Impacted SPRF''s'!$E$16:$O$9929,10,FALSE)</f>
        <v>N</v>
      </c>
      <c r="R237" s="4" t="str">
        <f>VLOOKUP($B237,'D7 - NDB Impacted SPRF''s'!$E$16:$O$9929,11,FALSE)</f>
        <v>N</v>
      </c>
      <c r="S237" s="8"/>
      <c r="T237" s="310"/>
      <c r="U237" s="310"/>
      <c r="V237" s="4"/>
      <c r="W237" s="4"/>
      <c r="X237" s="4"/>
      <c r="Y237" s="4"/>
      <c r="Z237" s="4"/>
      <c r="AA237" s="4"/>
      <c r="AB237" s="380" t="str">
        <f>VLOOKUP($B237,'D7 - NDB Impacted SPRF''s'!$E$6:$O$9929,4,FALSE)</f>
        <v>In Program Manager Request Review</v>
      </c>
      <c r="AC237" s="380" t="str">
        <f>VLOOKUP($B237,'D7 - NDB Impacted SPRF''s'!$E$6:$O$9929,3,FALSE)</f>
        <v>UHG IT - Shared Services</v>
      </c>
      <c r="AD237" s="380" t="str">
        <f>VLOOKUP($B237,'D7 - NDB Impacted SPRF''s'!$E$6:$O$9929,5,FALSE)</f>
        <v>Strategic Initiatives</v>
      </c>
      <c r="AE237" s="380" t="str">
        <f>VLOOKUP($B237,'D7 - NDB Impacted SPRF''s'!$E$6:$O$9929,7,FALSE)</f>
        <v>Patrick Casey</v>
      </c>
      <c r="AF237" s="380" t="str">
        <f>VLOOKUP($B237,'D7 - NDB Impacted SPRF''s'!$E$6:$O$9929,6,FALSE)</f>
        <v>Traci Mollenkopf</v>
      </c>
      <c r="AG237" s="282"/>
      <c r="AH237" s="311" t="e">
        <f>INDEX('D5 - Gatekeeper - Projects'!$A$4:$AF$1010,$AM237, 17)</f>
        <v>#N/A</v>
      </c>
      <c r="AI237" s="8"/>
      <c r="AJ237" s="57"/>
      <c r="AK237" s="105"/>
      <c r="AM237" s="6" t="e">
        <f>MATCH(D237,'D5 - Gatekeeper - Projects'!$C$4:$C$1010,0)</f>
        <v>#N/A</v>
      </c>
      <c r="AN237" s="6" t="b">
        <f t="shared" si="24"/>
        <v>1</v>
      </c>
      <c r="AO237" s="6" t="str">
        <f t="shared" si="27"/>
        <v>OK</v>
      </c>
      <c r="AQ237" s="6">
        <f>MATCH($D237,'D4 - Provider Council Unsched'!$C$11:$C$234,0)</f>
        <v>11</v>
      </c>
      <c r="AR237" s="6" t="b">
        <f t="shared" si="25"/>
        <v>0</v>
      </c>
      <c r="AS237" s="6" t="str">
        <f t="shared" si="28"/>
        <v>OK</v>
      </c>
      <c r="AU237" s="202"/>
      <c r="AV237" s="262" t="s">
        <v>737</v>
      </c>
      <c r="AW237" s="274"/>
    </row>
    <row r="238" spans="1:49" s="13" customFormat="1" ht="33.75" x14ac:dyDescent="0.2">
      <c r="A238" s="14">
        <v>201</v>
      </c>
      <c r="B238" s="8">
        <v>400052022</v>
      </c>
      <c r="C238" s="8" t="s">
        <v>1447</v>
      </c>
      <c r="D238" s="4" t="str">
        <f t="shared" si="26"/>
        <v>400052022A</v>
      </c>
      <c r="E238" s="309" t="str">
        <f>VLOOKUP($B238,'D7 - NDB Impacted SPRF''s'!$E$6:$O$9929,2,FALSE)</f>
        <v>Moving XPF claims into MPQ process</v>
      </c>
      <c r="F238" s="8"/>
      <c r="G238" s="8" t="s">
        <v>7980</v>
      </c>
      <c r="H238" s="8" t="s">
        <v>6266</v>
      </c>
      <c r="I238" s="20"/>
      <c r="J238" s="8"/>
      <c r="K238" s="182"/>
      <c r="L238" s="8" t="s">
        <v>4156</v>
      </c>
      <c r="M238" s="8" t="s">
        <v>2814</v>
      </c>
      <c r="N238" s="38" t="s">
        <v>8021</v>
      </c>
      <c r="O238" s="8"/>
      <c r="P238" s="4" t="str">
        <f>VLOOKUP($B238,'D7 - NDB Impacted SPRF''s'!$E$16:$O$9929,9,FALSE)</f>
        <v>N</v>
      </c>
      <c r="Q238" s="4" t="str">
        <f>VLOOKUP($B238,'D7 - NDB Impacted SPRF''s'!$E$16:$O$9929,10,FALSE)</f>
        <v>N</v>
      </c>
      <c r="R238" s="4" t="str">
        <f>VLOOKUP($B238,'D7 - NDB Impacted SPRF''s'!$E$16:$O$9929,11,FALSE)</f>
        <v>N</v>
      </c>
      <c r="S238" s="8"/>
      <c r="T238" s="310"/>
      <c r="U238" s="310"/>
      <c r="V238" s="4"/>
      <c r="W238" s="4"/>
      <c r="X238" s="4"/>
      <c r="Y238" s="4"/>
      <c r="Z238" s="4"/>
      <c r="AA238" s="4"/>
      <c r="AB238" s="380" t="str">
        <f>VLOOKUP($B238,'D7 - NDB Impacted SPRF''s'!$E$6:$O$9929,4,FALSE)</f>
        <v>In Funding</v>
      </c>
      <c r="AC238" s="380" t="str">
        <f>VLOOKUP($B238,'D7 - NDB Impacted SPRF''s'!$E$6:$O$9929,3,FALSE)</f>
        <v>UnitedHealthcare Community &amp; State</v>
      </c>
      <c r="AD238" s="380" t="str">
        <f>VLOOKUP($B238,'D7 - NDB Impacted SPRF''s'!$E$6:$O$9929,5,FALSE)</f>
        <v>Integration Requirements</v>
      </c>
      <c r="AE238" s="380" t="str">
        <f>VLOOKUP($B238,'D7 - NDB Impacted SPRF''s'!$E$6:$O$9929,7,FALSE)</f>
        <v>1</v>
      </c>
      <c r="AF238" s="380" t="str">
        <f>VLOOKUP($B238,'D7 - NDB Impacted SPRF''s'!$E$6:$O$9929,6,FALSE)</f>
        <v>GREGORY MILLS</v>
      </c>
      <c r="AG238" s="282"/>
      <c r="AH238" s="311" t="e">
        <f>INDEX('D5 - Gatekeeper - Projects'!$A$4:$AF$1010,$AM238, 17)</f>
        <v>#N/A</v>
      </c>
      <c r="AI238" s="8"/>
      <c r="AJ238" s="57"/>
      <c r="AK238" s="105"/>
      <c r="AM238" s="6" t="e">
        <f>MATCH(D238,'D5 - Gatekeeper - Projects'!$C$4:$C$1010,0)</f>
        <v>#N/A</v>
      </c>
      <c r="AN238" s="6" t="b">
        <f t="shared" si="24"/>
        <v>1</v>
      </c>
      <c r="AO238" s="6" t="str">
        <f t="shared" si="27"/>
        <v>OK</v>
      </c>
      <c r="AQ238" s="6">
        <f>MATCH($D238,'D4 - Provider Council Unsched'!$C$11:$C$234,0)</f>
        <v>12</v>
      </c>
      <c r="AR238" s="6" t="b">
        <f t="shared" si="25"/>
        <v>0</v>
      </c>
      <c r="AS238" s="6" t="str">
        <f t="shared" si="28"/>
        <v>OK</v>
      </c>
      <c r="AU238" s="202"/>
      <c r="AV238" s="262" t="s">
        <v>1137</v>
      </c>
      <c r="AW238" s="274"/>
    </row>
    <row r="239" spans="1:49" s="13" customFormat="1" ht="22.5" x14ac:dyDescent="0.2">
      <c r="A239" s="14">
        <v>202</v>
      </c>
      <c r="B239" s="8">
        <v>400052216</v>
      </c>
      <c r="C239" s="8" t="s">
        <v>1447</v>
      </c>
      <c r="D239" s="4" t="str">
        <f t="shared" si="26"/>
        <v>400052216A</v>
      </c>
      <c r="E239" s="309" t="str">
        <f>VLOOKUP($B239,'D7 - NDB Impacted SPRF''s'!$E$6:$O$9929,2,FALSE)</f>
        <v>Update Initiate from test to production</v>
      </c>
      <c r="F239" s="8"/>
      <c r="G239" s="8" t="s">
        <v>7980</v>
      </c>
      <c r="H239" s="8" t="s">
        <v>6266</v>
      </c>
      <c r="I239" s="20"/>
      <c r="J239" s="8"/>
      <c r="K239" s="182"/>
      <c r="L239" s="8" t="s">
        <v>4156</v>
      </c>
      <c r="M239" s="8" t="s">
        <v>2814</v>
      </c>
      <c r="N239" s="38" t="s">
        <v>8022</v>
      </c>
      <c r="O239" s="8"/>
      <c r="P239" s="4" t="str">
        <f>VLOOKUP($B239,'D7 - NDB Impacted SPRF''s'!$E$16:$O$9929,9,FALSE)</f>
        <v>N</v>
      </c>
      <c r="Q239" s="4" t="str">
        <f>VLOOKUP($B239,'D7 - NDB Impacted SPRF''s'!$E$16:$O$9929,10,FALSE)</f>
        <v>N</v>
      </c>
      <c r="R239" s="4" t="str">
        <f>VLOOKUP($B239,'D7 - NDB Impacted SPRF''s'!$E$16:$O$9929,11,FALSE)</f>
        <v>N</v>
      </c>
      <c r="S239" s="8"/>
      <c r="T239" s="310"/>
      <c r="U239" s="310"/>
      <c r="V239" s="4"/>
      <c r="W239" s="4"/>
      <c r="X239" s="4"/>
      <c r="Y239" s="4"/>
      <c r="Z239" s="4"/>
      <c r="AA239" s="4"/>
      <c r="AB239" s="380" t="str">
        <f>VLOOKUP($B239,'D7 - NDB Impacted SPRF''s'!$E$6:$O$9929,4,FALSE)</f>
        <v>In Funding</v>
      </c>
      <c r="AC239" s="380" t="str">
        <f>VLOOKUP($B239,'D7 - NDB Impacted SPRF''s'!$E$6:$O$9929,3,FALSE)</f>
        <v>UHG IT - Shared Services</v>
      </c>
      <c r="AD239" s="380" t="str">
        <f>VLOOKUP($B239,'D7 - NDB Impacted SPRF''s'!$E$6:$O$9929,5,FALSE)</f>
        <v>Strategic Initiatives</v>
      </c>
      <c r="AE239" s="380" t="str">
        <f>VLOOKUP($B239,'D7 - NDB Impacted SPRF''s'!$E$6:$O$9929,7,FALSE)</f>
        <v>Patrick Casey</v>
      </c>
      <c r="AF239" s="380" t="str">
        <f>VLOOKUP($B239,'D7 - NDB Impacted SPRF''s'!$E$6:$O$9929,6,FALSE)</f>
        <v>Traci Mollenkopf</v>
      </c>
      <c r="AG239" s="282"/>
      <c r="AH239" s="311" t="e">
        <f>INDEX('D5 - Gatekeeper - Projects'!$A$4:$AF$1010,$AM239, 17)</f>
        <v>#N/A</v>
      </c>
      <c r="AI239" s="8"/>
      <c r="AJ239" s="57"/>
      <c r="AK239" s="105"/>
      <c r="AM239" s="6" t="e">
        <f>MATCH(D239,'D5 - Gatekeeper - Projects'!$C$4:$C$1010,0)</f>
        <v>#N/A</v>
      </c>
      <c r="AN239" s="6" t="b">
        <f t="shared" si="24"/>
        <v>1</v>
      </c>
      <c r="AO239" s="6" t="str">
        <f t="shared" si="27"/>
        <v>OK</v>
      </c>
      <c r="AQ239" s="6">
        <f>MATCH($D239,'D4 - Provider Council Unsched'!$C$11:$C$234,0)</f>
        <v>13</v>
      </c>
      <c r="AR239" s="6" t="b">
        <f t="shared" si="25"/>
        <v>0</v>
      </c>
      <c r="AS239" s="6" t="str">
        <f t="shared" si="28"/>
        <v>OK</v>
      </c>
      <c r="AU239" s="202"/>
      <c r="AV239" s="262" t="s">
        <v>1463</v>
      </c>
      <c r="AW239" s="274"/>
    </row>
    <row r="240" spans="1:49" s="13" customFormat="1" ht="33.75" x14ac:dyDescent="0.2">
      <c r="A240" s="14">
        <v>205</v>
      </c>
      <c r="B240" s="8">
        <v>400053878</v>
      </c>
      <c r="C240" s="8" t="s">
        <v>1447</v>
      </c>
      <c r="D240" s="4" t="str">
        <f t="shared" si="26"/>
        <v>400053878A</v>
      </c>
      <c r="E240" s="309" t="str">
        <f>VLOOKUP($B240,'D7 - NDB Impacted SPRF''s'!$E$6:$O$9929,2,FALSE)</f>
        <v>RV FACETS Standard APC to ppoONE</v>
      </c>
      <c r="F240" s="8"/>
      <c r="G240" s="8" t="s">
        <v>7980</v>
      </c>
      <c r="H240" s="8" t="s">
        <v>6266</v>
      </c>
      <c r="I240" s="20"/>
      <c r="J240" s="8"/>
      <c r="K240" s="182"/>
      <c r="L240" s="8" t="s">
        <v>4156</v>
      </c>
      <c r="M240" s="8" t="s">
        <v>2814</v>
      </c>
      <c r="N240" s="38"/>
      <c r="O240" s="8"/>
      <c r="P240" s="4" t="str">
        <f>VLOOKUP($B240,'D7 - NDB Impacted SPRF''s'!$E$16:$O$9929,9,FALSE)</f>
        <v>N</v>
      </c>
      <c r="Q240" s="4" t="str">
        <f>VLOOKUP($B240,'D7 - NDB Impacted SPRF''s'!$E$16:$O$9929,10,FALSE)</f>
        <v>N</v>
      </c>
      <c r="R240" s="4" t="str">
        <f>VLOOKUP($B240,'D7 - NDB Impacted SPRF''s'!$E$16:$O$9929,11,FALSE)</f>
        <v>Y</v>
      </c>
      <c r="S240" s="8"/>
      <c r="T240" s="310"/>
      <c r="U240" s="310"/>
      <c r="V240" s="4"/>
      <c r="W240" s="4"/>
      <c r="X240" s="4"/>
      <c r="Y240" s="4"/>
      <c r="Z240" s="4"/>
      <c r="AA240" s="4"/>
      <c r="AB240" s="380" t="str">
        <f>VLOOKUP($B240,'D7 - NDB Impacted SPRF''s'!$E$6:$O$9929,4,FALSE)</f>
        <v>Scheduled</v>
      </c>
      <c r="AC240" s="380" t="str">
        <f>VLOOKUP($B240,'D7 - NDB Impacted SPRF''s'!$E$6:$O$9929,3,FALSE)</f>
        <v>UnitedHealthcare Community &amp; State</v>
      </c>
      <c r="AD240" s="380" t="str">
        <f>VLOOKUP($B240,'D7 - NDB Impacted SPRF''s'!$E$6:$O$9929,5,FALSE)</f>
        <v>Regulatory / Other</v>
      </c>
      <c r="AE240" s="380" t="str">
        <f>VLOOKUP($B240,'D7 - NDB Impacted SPRF''s'!$E$6:$O$9929,7,FALSE)</f>
        <v>Heidi Kemmer</v>
      </c>
      <c r="AF240" s="380" t="str">
        <f>VLOOKUP($B240,'D7 - NDB Impacted SPRF''s'!$E$6:$O$9929,6,FALSE)</f>
        <v>Mark Ferris</v>
      </c>
      <c r="AG240" s="282"/>
      <c r="AH240" s="311" t="e">
        <f>INDEX('D5 - Gatekeeper - Projects'!$A$4:$AF$1010,$AM240, 17)</f>
        <v>#N/A</v>
      </c>
      <c r="AI240" s="8"/>
      <c r="AJ240" s="57"/>
      <c r="AK240" s="105"/>
      <c r="AM240" s="6" t="e">
        <f>MATCH(D240,'D5 - Gatekeeper - Projects'!$C$4:$C$1010,0)</f>
        <v>#N/A</v>
      </c>
      <c r="AN240" s="6" t="b">
        <f t="shared" si="24"/>
        <v>1</v>
      </c>
      <c r="AO240" s="6" t="str">
        <f t="shared" si="27"/>
        <v>OK</v>
      </c>
      <c r="AQ240" s="6" t="e">
        <f>MATCH($D240,'D4 - Provider Council Unsched'!$C$11:$C$234,0)</f>
        <v>#N/A</v>
      </c>
      <c r="AR240" s="6" t="b">
        <f t="shared" si="25"/>
        <v>1</v>
      </c>
      <c r="AS240" s="6" t="str">
        <f t="shared" si="28"/>
        <v>OK</v>
      </c>
      <c r="AU240" s="202"/>
      <c r="AV240" s="394" t="s">
        <v>470</v>
      </c>
      <c r="AW240" s="274"/>
    </row>
    <row r="241" spans="1:49" s="13" customFormat="1" ht="11.25" customHeight="1" x14ac:dyDescent="0.2">
      <c r="A241" s="14">
        <v>206</v>
      </c>
      <c r="B241" s="8">
        <v>400053933</v>
      </c>
      <c r="C241" s="8" t="s">
        <v>1447</v>
      </c>
      <c r="D241" s="4" t="str">
        <f t="shared" si="26"/>
        <v>400053933A</v>
      </c>
      <c r="E241" s="309" t="str">
        <f>VLOOKUP($B241,'D7 - NDB Impacted SPRF''s'!$E$6:$O$9929,2,FALSE)</f>
        <v>HCR-Connect Exchanges</v>
      </c>
      <c r="F241" s="8"/>
      <c r="G241" s="8" t="s">
        <v>7980</v>
      </c>
      <c r="H241" s="8" t="s">
        <v>6266</v>
      </c>
      <c r="I241" s="20"/>
      <c r="J241" s="8"/>
      <c r="K241" s="182"/>
      <c r="L241" s="8" t="s">
        <v>4156</v>
      </c>
      <c r="M241" s="8" t="s">
        <v>2814</v>
      </c>
      <c r="N241" s="38"/>
      <c r="O241" s="8"/>
      <c r="P241" s="4" t="str">
        <f>VLOOKUP($B241,'D7 - NDB Impacted SPRF''s'!$E$16:$O$9929,9,FALSE)</f>
        <v>Y</v>
      </c>
      <c r="Q241" s="4" t="str">
        <f>VLOOKUP($B241,'D7 - NDB Impacted SPRF''s'!$E$16:$O$9929,10,FALSE)</f>
        <v>N</v>
      </c>
      <c r="R241" s="4" t="str">
        <f>VLOOKUP($B241,'D7 - NDB Impacted SPRF''s'!$E$16:$O$9929,11,FALSE)</f>
        <v>N</v>
      </c>
      <c r="S241" s="8"/>
      <c r="T241" s="310"/>
      <c r="U241" s="310"/>
      <c r="V241" s="4"/>
      <c r="W241" s="4"/>
      <c r="X241" s="4"/>
      <c r="Y241" s="4"/>
      <c r="Z241" s="4"/>
      <c r="AA241" s="4"/>
      <c r="AB241" s="380" t="str">
        <f>VLOOKUP($B241,'D7 - NDB Impacted SPRF''s'!$E$6:$O$9929,4,FALSE)</f>
        <v>In Estimating</v>
      </c>
      <c r="AC241" s="380" t="str">
        <f>VLOOKUP($B241,'D7 - NDB Impacted SPRF''s'!$E$6:$O$9929,3,FALSE)</f>
        <v>UnitedHealthcare Employer &amp; Individual</v>
      </c>
      <c r="AD241" s="380" t="str">
        <f>VLOOKUP($B241,'D7 - NDB Impacted SPRF''s'!$E$6:$O$9929,5,FALSE)</f>
        <v>Regulatory / Other</v>
      </c>
      <c r="AE241" s="380" t="str">
        <f>VLOOKUP($B241,'D7 - NDB Impacted SPRF''s'!$E$6:$O$9929,7,FALSE)</f>
        <v>Liz Canis</v>
      </c>
      <c r="AF241" s="380" t="str">
        <f>VLOOKUP($B241,'D7 - NDB Impacted SPRF''s'!$E$6:$O$9929,6,FALSE)</f>
        <v>JEFFREY KINNEMANN</v>
      </c>
      <c r="AG241" s="282"/>
      <c r="AH241" s="311" t="e">
        <f>INDEX('D5 - Gatekeeper - Projects'!$A$4:$AF$1010,$AM241, 17)</f>
        <v>#N/A</v>
      </c>
      <c r="AI241" s="8"/>
      <c r="AJ241" s="57"/>
      <c r="AK241" s="105"/>
      <c r="AM241" s="6" t="e">
        <f>MATCH(D241,'D5 - Gatekeeper - Projects'!$C$4:$C$1010,0)</f>
        <v>#N/A</v>
      </c>
      <c r="AN241" s="6" t="b">
        <f t="shared" si="24"/>
        <v>1</v>
      </c>
      <c r="AO241" s="6" t="str">
        <f t="shared" si="27"/>
        <v>OK</v>
      </c>
      <c r="AQ241" s="6">
        <f>MATCH($D241,'D4 - Provider Council Unsched'!$C$11:$C$234,0)</f>
        <v>24</v>
      </c>
      <c r="AR241" s="6" t="b">
        <f t="shared" si="25"/>
        <v>0</v>
      </c>
      <c r="AS241" s="6" t="str">
        <f t="shared" si="28"/>
        <v>OK</v>
      </c>
      <c r="AU241" s="202"/>
      <c r="AV241" s="322" t="s">
        <v>1086</v>
      </c>
      <c r="AW241" s="274"/>
    </row>
    <row r="242" spans="1:49" s="13" customFormat="1" ht="33.75" x14ac:dyDescent="0.2">
      <c r="A242" s="14">
        <v>207</v>
      </c>
      <c r="B242" s="8">
        <v>400054091</v>
      </c>
      <c r="C242" s="8" t="s">
        <v>1447</v>
      </c>
      <c r="D242" s="4" t="str">
        <f t="shared" si="26"/>
        <v>400054091A</v>
      </c>
      <c r="E242" s="309" t="str">
        <f>VLOOKUP($B242,'D7 - NDB Impacted SPRF''s'!$E$6:$O$9929,2,FALSE)</f>
        <v>Oxford Commercial Migration - Pulse to UNET (AO)</v>
      </c>
      <c r="F242" s="8"/>
      <c r="G242" s="8" t="s">
        <v>7980</v>
      </c>
      <c r="H242" s="8" t="s">
        <v>6266</v>
      </c>
      <c r="I242" s="20"/>
      <c r="J242" s="8"/>
      <c r="K242" s="182"/>
      <c r="L242" s="8" t="s">
        <v>4156</v>
      </c>
      <c r="M242" s="8" t="s">
        <v>2814</v>
      </c>
      <c r="N242" s="38"/>
      <c r="O242" s="8"/>
      <c r="P242" s="4" t="str">
        <f>VLOOKUP($B242,'D7 - NDB Impacted SPRF''s'!$E$16:$O$9929,9,FALSE)</f>
        <v>Y</v>
      </c>
      <c r="Q242" s="4" t="str">
        <f>VLOOKUP($B242,'D7 - NDB Impacted SPRF''s'!$E$16:$O$9929,10,FALSE)</f>
        <v>N</v>
      </c>
      <c r="R242" s="4" t="str">
        <f>VLOOKUP($B242,'D7 - NDB Impacted SPRF''s'!$E$16:$O$9929,11,FALSE)</f>
        <v>N</v>
      </c>
      <c r="S242" s="8"/>
      <c r="T242" s="310"/>
      <c r="U242" s="310"/>
      <c r="V242" s="4"/>
      <c r="W242" s="4"/>
      <c r="X242" s="4"/>
      <c r="Y242" s="4"/>
      <c r="Z242" s="4"/>
      <c r="AA242" s="4"/>
      <c r="AB242" s="380" t="str">
        <f>VLOOKUP($B242,'D7 - NDB Impacted SPRF''s'!$E$6:$O$9929,4,FALSE)</f>
        <v>In Strategy Council</v>
      </c>
      <c r="AC242" s="380" t="str">
        <f>VLOOKUP($B242,'D7 - NDB Impacted SPRF''s'!$E$6:$O$9929,3,FALSE)</f>
        <v>UnitedHealthcare Employer &amp; Individual</v>
      </c>
      <c r="AD242" s="380" t="str">
        <f>VLOOKUP($B242,'D7 - NDB Impacted SPRF''s'!$E$6:$O$9929,5,FALSE)</f>
        <v>Operational Requirements</v>
      </c>
      <c r="AE242" s="380" t="str">
        <f>VLOOKUP($B242,'D7 - NDB Impacted SPRF''s'!$E$6:$O$9929,7,FALSE)</f>
        <v>Craig Anderson</v>
      </c>
      <c r="AF242" s="380" t="str">
        <f>VLOOKUP($B242,'D7 - NDB Impacted SPRF''s'!$E$6:$O$9929,6,FALSE)</f>
        <v>Frederick Wendte</v>
      </c>
      <c r="AG242" s="282"/>
      <c r="AH242" s="311" t="e">
        <f>INDEX('D5 - Gatekeeper - Projects'!$A$4:$AF$1010,$AM242, 17)</f>
        <v>#N/A</v>
      </c>
      <c r="AI242" s="8"/>
      <c r="AJ242" s="57"/>
      <c r="AK242" s="105"/>
      <c r="AM242" s="6" t="e">
        <f>MATCH(D242,'D5 - Gatekeeper - Projects'!$C$4:$C$1010,0)</f>
        <v>#N/A</v>
      </c>
      <c r="AN242" s="6" t="b">
        <f t="shared" si="24"/>
        <v>1</v>
      </c>
      <c r="AO242" s="6" t="str">
        <f t="shared" si="27"/>
        <v>OK</v>
      </c>
      <c r="AQ242" s="6">
        <f>MATCH($D242,'D4 - Provider Council Unsched'!$C$11:$C$234,0)</f>
        <v>14</v>
      </c>
      <c r="AR242" s="6" t="b">
        <f t="shared" si="25"/>
        <v>0</v>
      </c>
      <c r="AS242" s="6" t="str">
        <f t="shared" ref="AS242:AS273" si="29">IF(AND(H242="2 - Not Scheduled",AR242=TRUE,C242="R1"),"Add","OK")</f>
        <v>OK</v>
      </c>
      <c r="AU242" s="202"/>
      <c r="AV242" s="323" t="s">
        <v>953</v>
      </c>
      <c r="AW242" s="274"/>
    </row>
    <row r="243" spans="1:49" s="13" customFormat="1" ht="11.25" customHeight="1" x14ac:dyDescent="0.2">
      <c r="A243" s="14">
        <v>208</v>
      </c>
      <c r="B243" s="8">
        <v>400054251</v>
      </c>
      <c r="C243" s="8" t="s">
        <v>1447</v>
      </c>
      <c r="D243" s="4" t="str">
        <f t="shared" si="26"/>
        <v>400054251A</v>
      </c>
      <c r="E243" s="309" t="str">
        <f>VLOOKUP($B243,'D7 - NDB Impacted SPRF''s'!$E$6:$O$9929,2,FALSE)</f>
        <v>New CAID ID</v>
      </c>
      <c r="F243" s="8"/>
      <c r="G243" s="8" t="s">
        <v>7980</v>
      </c>
      <c r="H243" s="8" t="s">
        <v>6266</v>
      </c>
      <c r="I243" s="20"/>
      <c r="J243" s="8"/>
      <c r="K243" s="182"/>
      <c r="L243" s="8" t="s">
        <v>4156</v>
      </c>
      <c r="M243" s="8" t="s">
        <v>2814</v>
      </c>
      <c r="N243" s="38"/>
      <c r="O243" s="8"/>
      <c r="P243" s="4" t="str">
        <f>VLOOKUP($B243,'D7 - NDB Impacted SPRF''s'!$E$16:$O$9929,9,FALSE)</f>
        <v>N</v>
      </c>
      <c r="Q243" s="4" t="str">
        <f>VLOOKUP($B243,'D7 - NDB Impacted SPRF''s'!$E$16:$O$9929,10,FALSE)</f>
        <v>N</v>
      </c>
      <c r="R243" s="4" t="str">
        <f>VLOOKUP($B243,'D7 - NDB Impacted SPRF''s'!$E$16:$O$9929,11,FALSE)</f>
        <v>Y</v>
      </c>
      <c r="S243" s="8"/>
      <c r="T243" s="310"/>
      <c r="U243" s="310"/>
      <c r="V243" s="4"/>
      <c r="W243" s="4"/>
      <c r="X243" s="4"/>
      <c r="Y243" s="4"/>
      <c r="Z243" s="4"/>
      <c r="AA243" s="4"/>
      <c r="AB243" s="380" t="str">
        <f>VLOOKUP($B243,'D7 - NDB Impacted SPRF''s'!$E$6:$O$9929,4,FALSE)</f>
        <v>In IT Leadership Estimate Review</v>
      </c>
      <c r="AC243" s="380" t="str">
        <f>VLOOKUP($B243,'D7 - NDB Impacted SPRF''s'!$E$6:$O$9929,3,FALSE)</f>
        <v>UnitedHealthcare Community &amp; State</v>
      </c>
      <c r="AD243" s="380" t="str">
        <f>VLOOKUP($B243,'D7 - NDB Impacted SPRF''s'!$E$6:$O$9929,5,FALSE)</f>
        <v>Regulatory / Other</v>
      </c>
      <c r="AE243" s="380" t="str">
        <f>VLOOKUP($B243,'D7 - NDB Impacted SPRF''s'!$E$6:$O$9929,7,FALSE)</f>
        <v>Danna Mezin</v>
      </c>
      <c r="AF243" s="380" t="str">
        <f>VLOOKUP($B243,'D7 - NDB Impacted SPRF''s'!$E$6:$O$9929,6,FALSE)</f>
        <v>Mary Kelleher</v>
      </c>
      <c r="AG243" s="282"/>
      <c r="AH243" s="311" t="e">
        <f>INDEX('D5 - Gatekeeper - Projects'!$A$4:$AF$1010,$AM243, 17)</f>
        <v>#N/A</v>
      </c>
      <c r="AI243" s="8"/>
      <c r="AJ243" s="57"/>
      <c r="AK243" s="105"/>
      <c r="AM243" s="6" t="e">
        <f>MATCH(D243,'D5 - Gatekeeper - Projects'!$C$4:$C$1010,0)</f>
        <v>#N/A</v>
      </c>
      <c r="AN243" s="6" t="b">
        <f t="shared" si="24"/>
        <v>1</v>
      </c>
      <c r="AO243" s="6" t="str">
        <f t="shared" si="27"/>
        <v>OK</v>
      </c>
      <c r="AQ243" s="6">
        <f>MATCH($D243,'D4 - Provider Council Unsched'!$C$11:$C$234,0)</f>
        <v>51</v>
      </c>
      <c r="AR243" s="6" t="b">
        <f t="shared" si="25"/>
        <v>0</v>
      </c>
      <c r="AS243" s="6" t="str">
        <f t="shared" si="29"/>
        <v>OK</v>
      </c>
      <c r="AU243" s="202"/>
      <c r="AV243" s="394" t="s">
        <v>2312</v>
      </c>
      <c r="AW243" s="274"/>
    </row>
    <row r="244" spans="1:49" s="13" customFormat="1" ht="33.75" x14ac:dyDescent="0.2">
      <c r="A244" s="14">
        <v>209</v>
      </c>
      <c r="B244" s="8">
        <v>400054394</v>
      </c>
      <c r="C244" s="8" t="s">
        <v>1447</v>
      </c>
      <c r="D244" s="4" t="str">
        <f t="shared" si="26"/>
        <v>400054394A</v>
      </c>
      <c r="E244" s="309" t="str">
        <f>VLOOKUP($B244,'D7 - NDB Impacted SPRF''s'!$E$6:$O$9929,2,FALSE)</f>
        <v>myHCE UnitedhealthOne integration</v>
      </c>
      <c r="F244" s="8"/>
      <c r="G244" s="8" t="s">
        <v>7980</v>
      </c>
      <c r="H244" s="8" t="s">
        <v>6266</v>
      </c>
      <c r="I244" s="20"/>
      <c r="J244" s="8"/>
      <c r="K244" s="182"/>
      <c r="L244" s="8" t="s">
        <v>4156</v>
      </c>
      <c r="M244" s="8" t="s">
        <v>2814</v>
      </c>
      <c r="N244" s="38"/>
      <c r="O244" s="8"/>
      <c r="P244" s="4" t="str">
        <f>VLOOKUP($B244,'D7 - NDB Impacted SPRF''s'!$E$16:$O$9929,9,FALSE)</f>
        <v>N</v>
      </c>
      <c r="Q244" s="4" t="str">
        <f>VLOOKUP($B244,'D7 - NDB Impacted SPRF''s'!$E$16:$O$9929,10,FALSE)</f>
        <v>N</v>
      </c>
      <c r="R244" s="4" t="str">
        <f>VLOOKUP($B244,'D7 - NDB Impacted SPRF''s'!$E$16:$O$9929,11,FALSE)</f>
        <v>N</v>
      </c>
      <c r="S244" s="8"/>
      <c r="T244" s="310"/>
      <c r="U244" s="310"/>
      <c r="V244" s="4"/>
      <c r="W244" s="4"/>
      <c r="X244" s="4"/>
      <c r="Y244" s="4"/>
      <c r="Z244" s="4"/>
      <c r="AA244" s="4"/>
      <c r="AB244" s="380" t="str">
        <f>VLOOKUP($B244,'D7 - NDB Impacted SPRF''s'!$E$6:$O$9929,4,FALSE)</f>
        <v>In Estimating</v>
      </c>
      <c r="AC244" s="380" t="str">
        <f>VLOOKUP($B244,'D7 - NDB Impacted SPRF''s'!$E$6:$O$9929,3,FALSE)</f>
        <v>UnitedHealthcare Employer &amp; Individual</v>
      </c>
      <c r="AD244" s="380" t="str">
        <f>VLOOKUP($B244,'D7 - NDB Impacted SPRF''s'!$E$6:$O$9929,5,FALSE)</f>
        <v>Process Improvement</v>
      </c>
      <c r="AE244" s="380" t="str">
        <f>VLOOKUP($B244,'D7 - NDB Impacted SPRF''s'!$E$6:$O$9929,7,FALSE)</f>
        <v>Kelley, Jamie</v>
      </c>
      <c r="AF244" s="380" t="str">
        <f>VLOOKUP($B244,'D7 - NDB Impacted SPRF''s'!$E$6:$O$9929,6,FALSE)</f>
        <v>Kari Mclarty</v>
      </c>
      <c r="AG244" s="282"/>
      <c r="AH244" s="311" t="e">
        <f>INDEX('D5 - Gatekeeper - Projects'!$A$4:$AF$1010,$AM244, 17)</f>
        <v>#N/A</v>
      </c>
      <c r="AI244" s="8"/>
      <c r="AJ244" s="57"/>
      <c r="AK244" s="105"/>
      <c r="AM244" s="6" t="e">
        <f>MATCH(D244,'D5 - Gatekeeper - Projects'!$C$4:$C$1010,0)</f>
        <v>#N/A</v>
      </c>
      <c r="AN244" s="6" t="b">
        <f t="shared" si="24"/>
        <v>1</v>
      </c>
      <c r="AO244" s="6" t="str">
        <f t="shared" si="27"/>
        <v>OK</v>
      </c>
      <c r="AQ244" s="6">
        <f>MATCH($D244,'D4 - Provider Council Unsched'!$C$11:$C$234,0)</f>
        <v>19</v>
      </c>
      <c r="AR244" s="6" t="b">
        <f t="shared" si="25"/>
        <v>0</v>
      </c>
      <c r="AS244" s="6" t="str">
        <f t="shared" si="29"/>
        <v>OK</v>
      </c>
      <c r="AU244" s="202"/>
      <c r="AV244" s="329" t="s">
        <v>6669</v>
      </c>
      <c r="AW244" s="274"/>
    </row>
    <row r="245" spans="1:49" s="13" customFormat="1" ht="11.25" customHeight="1" x14ac:dyDescent="0.2">
      <c r="A245" s="14">
        <v>210</v>
      </c>
      <c r="B245" s="8">
        <v>400054593</v>
      </c>
      <c r="C245" s="8" t="s">
        <v>1447</v>
      </c>
      <c r="D245" s="4" t="str">
        <f t="shared" si="26"/>
        <v>400054593A</v>
      </c>
      <c r="E245" s="309" t="str">
        <f>VLOOKUP($B245,'D7 - NDB Impacted SPRF''s'!$E$6:$O$9929,2,FALSE)</f>
        <v>Unified Provider Search</v>
      </c>
      <c r="F245" s="8"/>
      <c r="G245" s="8" t="s">
        <v>7980</v>
      </c>
      <c r="H245" s="8" t="s">
        <v>6266</v>
      </c>
      <c r="I245" s="20"/>
      <c r="J245" s="8"/>
      <c r="K245" s="182"/>
      <c r="L245" s="8" t="s">
        <v>4156</v>
      </c>
      <c r="M245" s="8" t="s">
        <v>2814</v>
      </c>
      <c r="N245" s="38"/>
      <c r="O245" s="8"/>
      <c r="P245" s="4" t="str">
        <f>VLOOKUP($B245,'D7 - NDB Impacted SPRF''s'!$E$16:$O$9929,9,FALSE)</f>
        <v>N</v>
      </c>
      <c r="Q245" s="4" t="str">
        <f>VLOOKUP($B245,'D7 - NDB Impacted SPRF''s'!$E$16:$O$9929,10,FALSE)</f>
        <v>N</v>
      </c>
      <c r="R245" s="4" t="str">
        <f>VLOOKUP($B245,'D7 - NDB Impacted SPRF''s'!$E$16:$O$9929,11,FALSE)</f>
        <v>N</v>
      </c>
      <c r="S245" s="8"/>
      <c r="T245" s="310"/>
      <c r="U245" s="310"/>
      <c r="V245" s="4"/>
      <c r="W245" s="4"/>
      <c r="X245" s="4"/>
      <c r="Y245" s="4"/>
      <c r="Z245" s="4"/>
      <c r="AA245" s="4"/>
      <c r="AB245" s="380" t="str">
        <f>VLOOKUP($B245,'D7 - NDB Impacted SPRF''s'!$E$6:$O$9929,4,FALSE)</f>
        <v>In Estimating</v>
      </c>
      <c r="AC245" s="380" t="str">
        <f>VLOOKUP($B245,'D7 - NDB Impacted SPRF''s'!$E$6:$O$9929,3,FALSE)</f>
        <v>UnitedHealthcare Employer &amp; Individual</v>
      </c>
      <c r="AD245" s="380" t="str">
        <f>VLOOKUP($B245,'D7 - NDB Impacted SPRF''s'!$E$6:$O$9929,5,FALSE)</f>
        <v>Membership Growth / Revenue Programs</v>
      </c>
      <c r="AE245" s="380" t="str">
        <f>VLOOKUP($B245,'D7 - NDB Impacted SPRF''s'!$E$6:$O$9929,7,FALSE)</f>
        <v>Victoria Bogatyrenko</v>
      </c>
      <c r="AF245" s="380" t="str">
        <f>VLOOKUP($B245,'D7 - NDB Impacted SPRF''s'!$E$6:$O$9929,6,FALSE)</f>
        <v>Melissa Ives</v>
      </c>
      <c r="AG245" s="282"/>
      <c r="AH245" s="311" t="e">
        <f>INDEX('D5 - Gatekeeper - Projects'!$A$4:$AF$1010,$AM245, 17)</f>
        <v>#N/A</v>
      </c>
      <c r="AI245" s="8"/>
      <c r="AJ245" s="57"/>
      <c r="AK245" s="105"/>
      <c r="AM245" s="6" t="e">
        <f>MATCH(D245,'D5 - Gatekeeper - Projects'!$C$4:$C$1010,0)</f>
        <v>#N/A</v>
      </c>
      <c r="AN245" s="6" t="b">
        <f t="shared" si="24"/>
        <v>1</v>
      </c>
      <c r="AO245" s="6" t="str">
        <f t="shared" si="27"/>
        <v>OK</v>
      </c>
      <c r="AQ245" s="6">
        <f>MATCH($D245,'D4 - Provider Council Unsched'!$C$11:$C$234,0)</f>
        <v>38</v>
      </c>
      <c r="AR245" s="6" t="b">
        <f t="shared" si="25"/>
        <v>0</v>
      </c>
      <c r="AS245" s="6" t="str">
        <f t="shared" si="29"/>
        <v>OK</v>
      </c>
      <c r="AU245" s="202"/>
      <c r="AV245" s="394" t="s">
        <v>932</v>
      </c>
      <c r="AW245" s="274"/>
    </row>
    <row r="246" spans="1:49" s="13" customFormat="1" ht="33.75" x14ac:dyDescent="0.2">
      <c r="A246" s="14">
        <v>211</v>
      </c>
      <c r="B246" s="8">
        <v>400054884</v>
      </c>
      <c r="C246" s="8" t="s">
        <v>1447</v>
      </c>
      <c r="D246" s="4" t="str">
        <f t="shared" si="26"/>
        <v>400054884A</v>
      </c>
      <c r="E246" s="309" t="str">
        <f>VLOOKUP($B246,'D7 - NDB Impacted SPRF''s'!$E$6:$O$9929,2,FALSE)</f>
        <v>myHCE - Support for Reverse Tiered Networks (Edge)</v>
      </c>
      <c r="F246" s="8"/>
      <c r="G246" s="8" t="s">
        <v>7980</v>
      </c>
      <c r="H246" s="8" t="s">
        <v>6266</v>
      </c>
      <c r="I246" s="20"/>
      <c r="J246" s="8"/>
      <c r="K246" s="182"/>
      <c r="L246" s="8" t="s">
        <v>4156</v>
      </c>
      <c r="M246" s="8" t="s">
        <v>2814</v>
      </c>
      <c r="N246" s="38"/>
      <c r="O246" s="8"/>
      <c r="P246" s="4" t="str">
        <f>VLOOKUP($B246,'D7 - NDB Impacted SPRF''s'!$E$16:$O$9929,9,FALSE)</f>
        <v>N</v>
      </c>
      <c r="Q246" s="4" t="str">
        <f>VLOOKUP($B246,'D7 - NDB Impacted SPRF''s'!$E$16:$O$9929,10,FALSE)</f>
        <v>N</v>
      </c>
      <c r="R246" s="4" t="str">
        <f>VLOOKUP($B246,'D7 - NDB Impacted SPRF''s'!$E$16:$O$9929,11,FALSE)</f>
        <v>N</v>
      </c>
      <c r="S246" s="8"/>
      <c r="T246" s="310"/>
      <c r="U246" s="310"/>
      <c r="V246" s="4"/>
      <c r="W246" s="4"/>
      <c r="X246" s="4"/>
      <c r="Y246" s="4"/>
      <c r="Z246" s="4"/>
      <c r="AA246" s="4"/>
      <c r="AB246" s="380" t="str">
        <f>VLOOKUP($B246,'D7 - NDB Impacted SPRF''s'!$E$6:$O$9929,4,FALSE)</f>
        <v>In Estimating</v>
      </c>
      <c r="AC246" s="380" t="str">
        <f>VLOOKUP($B246,'D7 - NDB Impacted SPRF''s'!$E$6:$O$9929,3,FALSE)</f>
        <v>UnitedHealthcare Employer &amp; Individual</v>
      </c>
      <c r="AD246" s="380" t="str">
        <f>VLOOKUP($B246,'D7 - NDB Impacted SPRF''s'!$E$6:$O$9929,5,FALSE)</f>
        <v>Membership Growth / Revenue Programs</v>
      </c>
      <c r="AE246" s="380" t="str">
        <f>VLOOKUP($B246,'D7 - NDB Impacted SPRF''s'!$E$6:$O$9929,7,FALSE)</f>
        <v>Victoria Bogatyrenko</v>
      </c>
      <c r="AF246" s="380" t="str">
        <f>VLOOKUP($B246,'D7 - NDB Impacted SPRF''s'!$E$6:$O$9929,6,FALSE)</f>
        <v>Kari Mclarty</v>
      </c>
      <c r="AG246" s="282"/>
      <c r="AH246" s="311" t="e">
        <f>INDEX('D5 - Gatekeeper - Projects'!$A$4:$AF$1010,$AM246, 17)</f>
        <v>#N/A</v>
      </c>
      <c r="AI246" s="8"/>
      <c r="AJ246" s="57"/>
      <c r="AK246" s="105"/>
      <c r="AM246" s="6" t="e">
        <f>MATCH(D246,'D5 - Gatekeeper - Projects'!$C$4:$C$1010,0)</f>
        <v>#N/A</v>
      </c>
      <c r="AN246" s="6" t="b">
        <f t="shared" si="24"/>
        <v>1</v>
      </c>
      <c r="AO246" s="6" t="str">
        <f t="shared" si="27"/>
        <v>OK</v>
      </c>
      <c r="AQ246" s="6">
        <f>MATCH($D246,'D4 - Provider Council Unsched'!$C$11:$C$234,0)</f>
        <v>26</v>
      </c>
      <c r="AR246" s="6" t="b">
        <f t="shared" si="25"/>
        <v>0</v>
      </c>
      <c r="AS246" s="6" t="str">
        <f t="shared" si="29"/>
        <v>OK</v>
      </c>
      <c r="AU246" s="202"/>
      <c r="AV246" s="327" t="s">
        <v>1139</v>
      </c>
      <c r="AW246" s="274"/>
    </row>
    <row r="247" spans="1:49" s="13" customFormat="1" ht="11.25" customHeight="1" x14ac:dyDescent="0.2">
      <c r="A247" s="14">
        <v>213</v>
      </c>
      <c r="B247" s="8">
        <v>400055586</v>
      </c>
      <c r="C247" s="8" t="s">
        <v>1447</v>
      </c>
      <c r="D247" s="4" t="str">
        <f t="shared" si="26"/>
        <v>400055586A</v>
      </c>
      <c r="E247" s="309" t="str">
        <f>VLOOKUP($B247,'D7 - NDB Impacted SPRF''s'!$E$6:$O$9929,2,FALSE)</f>
        <v>ICD-10 Partnership UHG Par Provider Verification</v>
      </c>
      <c r="F247" s="8"/>
      <c r="G247" s="8" t="s">
        <v>7980</v>
      </c>
      <c r="H247" s="8" t="s">
        <v>6266</v>
      </c>
      <c r="I247" s="20"/>
      <c r="J247" s="8"/>
      <c r="K247" s="182"/>
      <c r="L247" s="8" t="s">
        <v>4156</v>
      </c>
      <c r="M247" s="8" t="s">
        <v>2814</v>
      </c>
      <c r="N247" s="38"/>
      <c r="O247" s="8"/>
      <c r="P247" s="4" t="str">
        <f>VLOOKUP($B247,'D7 - NDB Impacted SPRF''s'!$E$16:$O$9929,9,FALSE)</f>
        <v>N</v>
      </c>
      <c r="Q247" s="4" t="str">
        <f>VLOOKUP($B247,'D7 - NDB Impacted SPRF''s'!$E$16:$O$9929,10,FALSE)</f>
        <v>N</v>
      </c>
      <c r="R247" s="4" t="str">
        <f>VLOOKUP($B247,'D7 - NDB Impacted SPRF''s'!$E$16:$O$9929,11,FALSE)</f>
        <v>N</v>
      </c>
      <c r="S247" s="8"/>
      <c r="T247" s="310"/>
      <c r="U247" s="310"/>
      <c r="V247" s="4"/>
      <c r="W247" s="4"/>
      <c r="X247" s="4"/>
      <c r="Y247" s="4"/>
      <c r="Z247" s="4"/>
      <c r="AA247" s="4"/>
      <c r="AB247" s="380" t="str">
        <f>VLOOKUP($B247,'D7 - NDB Impacted SPRF''s'!$E$6:$O$9929,4,FALSE)</f>
        <v>In Program Manager Request Review</v>
      </c>
      <c r="AC247" s="380" t="str">
        <f>VLOOKUP($B247,'D7 - NDB Impacted SPRF''s'!$E$6:$O$9929,3,FALSE)</f>
        <v>UnitedHealthcare Employer &amp; Individual</v>
      </c>
      <c r="AD247" s="380" t="str">
        <f>VLOOKUP($B247,'D7 - NDB Impacted SPRF''s'!$E$6:$O$9929,5,FALSE)</f>
        <v>Regulatory / Other</v>
      </c>
      <c r="AE247" s="380" t="str">
        <f>VLOOKUP($B247,'D7 - NDB Impacted SPRF''s'!$E$6:$O$9929,7,FALSE)</f>
        <v>Angela Boynton</v>
      </c>
      <c r="AF247" s="380" t="str">
        <f>VLOOKUP($B247,'D7 - NDB Impacted SPRF''s'!$E$6:$O$9929,6,FALSE)</f>
        <v>AARON SAPP</v>
      </c>
      <c r="AG247" s="282"/>
      <c r="AH247" s="311" t="e">
        <f>INDEX('D5 - Gatekeeper - Projects'!$A$4:$AF$1010,$AM247, 17)</f>
        <v>#N/A</v>
      </c>
      <c r="AI247" s="8"/>
      <c r="AJ247" s="57"/>
      <c r="AK247" s="105"/>
      <c r="AM247" s="6" t="e">
        <f>MATCH(D247,'D5 - Gatekeeper - Projects'!$C$4:$C$1010,0)</f>
        <v>#N/A</v>
      </c>
      <c r="AN247" s="6" t="b">
        <f t="shared" si="24"/>
        <v>1</v>
      </c>
      <c r="AO247" s="6" t="str">
        <f t="shared" si="27"/>
        <v>OK</v>
      </c>
      <c r="AQ247" s="6">
        <f>MATCH($D247,'D4 - Provider Council Unsched'!$C$11:$C$234,0)</f>
        <v>20</v>
      </c>
      <c r="AR247" s="6" t="b">
        <f t="shared" si="25"/>
        <v>0</v>
      </c>
      <c r="AS247" s="6" t="str">
        <f t="shared" si="29"/>
        <v>OK</v>
      </c>
      <c r="AU247" s="202"/>
      <c r="AV247" s="329" t="s">
        <v>6670</v>
      </c>
      <c r="AW247" s="274"/>
    </row>
    <row r="248" spans="1:49" s="13" customFormat="1" ht="11.25" customHeight="1" x14ac:dyDescent="0.2">
      <c r="A248" s="14">
        <v>214</v>
      </c>
      <c r="B248" s="8">
        <v>400055633</v>
      </c>
      <c r="C248" s="8" t="s">
        <v>1447</v>
      </c>
      <c r="D248" s="4" t="str">
        <f t="shared" si="26"/>
        <v>400055633A</v>
      </c>
      <c r="E248" s="309" t="str">
        <f>VLOOKUP($B248,'D7 - NDB Impacted SPRF''s'!$E$6:$O$9929,2,FALSE)</f>
        <v>RI LTSS/ MME -New Products</v>
      </c>
      <c r="F248" s="8"/>
      <c r="G248" s="8" t="s">
        <v>7980</v>
      </c>
      <c r="H248" s="8" t="s">
        <v>6266</v>
      </c>
      <c r="I248" s="20"/>
      <c r="J248" s="8"/>
      <c r="K248" s="182"/>
      <c r="L248" s="8" t="s">
        <v>4156</v>
      </c>
      <c r="M248" s="8" t="s">
        <v>2814</v>
      </c>
      <c r="N248" s="38"/>
      <c r="O248" s="8"/>
      <c r="P248" s="4" t="str">
        <f>VLOOKUP($B248,'D7 - NDB Impacted SPRF''s'!$E$16:$O$9929,9,FALSE)</f>
        <v>N</v>
      </c>
      <c r="Q248" s="4" t="str">
        <f>VLOOKUP($B248,'D7 - NDB Impacted SPRF''s'!$E$16:$O$9929,10,FALSE)</f>
        <v>N</v>
      </c>
      <c r="R248" s="4" t="str">
        <f>VLOOKUP($B248,'D7 - NDB Impacted SPRF''s'!$E$16:$O$9929,11,FALSE)</f>
        <v>N</v>
      </c>
      <c r="S248" s="8"/>
      <c r="T248" s="310"/>
      <c r="U248" s="310"/>
      <c r="V248" s="4"/>
      <c r="W248" s="4"/>
      <c r="X248" s="4"/>
      <c r="Y248" s="4"/>
      <c r="Z248" s="4"/>
      <c r="AA248" s="4"/>
      <c r="AB248" s="380" t="str">
        <f>VLOOKUP($B248,'D7 - NDB Impacted SPRF''s'!$E$6:$O$9929,4,FALSE)</f>
        <v>In Estimating</v>
      </c>
      <c r="AC248" s="380" t="str">
        <f>VLOOKUP($B248,'D7 - NDB Impacted SPRF''s'!$E$6:$O$9929,3,FALSE)</f>
        <v>UnitedHealthcare Community &amp; State</v>
      </c>
      <c r="AD248" s="380" t="str">
        <f>VLOOKUP($B248,'D7 - NDB Impacted SPRF''s'!$E$6:$O$9929,5,FALSE)</f>
        <v>Membership Growth / Revenue Programs</v>
      </c>
      <c r="AE248" s="380" t="str">
        <f>VLOOKUP($B248,'D7 - NDB Impacted SPRF''s'!$E$6:$O$9929,7,FALSE)</f>
        <v>Patrice Cooper</v>
      </c>
      <c r="AF248" s="380" t="str">
        <f>VLOOKUP($B248,'D7 - NDB Impacted SPRF''s'!$E$6:$O$9929,6,FALSE)</f>
        <v>Diane Perry</v>
      </c>
      <c r="AG248" s="282"/>
      <c r="AH248" s="311" t="e">
        <f>INDEX('D5 - Gatekeeper - Projects'!$A$4:$AF$1010,$AM248, 17)</f>
        <v>#N/A</v>
      </c>
      <c r="AI248" s="8"/>
      <c r="AJ248" s="57"/>
      <c r="AK248" s="105"/>
      <c r="AM248" s="6" t="e">
        <f>MATCH(D248,'D5 - Gatekeeper - Projects'!$C$4:$C$1010,0)</f>
        <v>#N/A</v>
      </c>
      <c r="AN248" s="6" t="b">
        <f t="shared" si="24"/>
        <v>1</v>
      </c>
      <c r="AO248" s="6" t="str">
        <f t="shared" si="27"/>
        <v>OK</v>
      </c>
      <c r="AQ248" s="6">
        <f>MATCH($D248,'D4 - Provider Council Unsched'!$C$11:$C$234,0)</f>
        <v>42</v>
      </c>
      <c r="AR248" s="6" t="b">
        <f t="shared" si="25"/>
        <v>0</v>
      </c>
      <c r="AS248" s="6" t="str">
        <f t="shared" si="29"/>
        <v>OK</v>
      </c>
      <c r="AU248" s="202"/>
      <c r="AV248" s="394" t="s">
        <v>938</v>
      </c>
      <c r="AW248" s="274"/>
    </row>
    <row r="249" spans="1:49" s="13" customFormat="1" ht="12.75" x14ac:dyDescent="0.2">
      <c r="A249" s="14">
        <v>215</v>
      </c>
      <c r="B249" s="8">
        <v>400055849</v>
      </c>
      <c r="C249" s="8" t="s">
        <v>1447</v>
      </c>
      <c r="D249" s="4" t="str">
        <f t="shared" si="26"/>
        <v>400055849A</v>
      </c>
      <c r="E249" s="309" t="str">
        <f>VLOOKUP($B249,'D7 - NDB Impacted SPRF''s'!$E$6:$O$9929,2,FALSE)</f>
        <v>Provider Decision Support Q1</v>
      </c>
      <c r="F249" s="8"/>
      <c r="G249" s="8" t="s">
        <v>7980</v>
      </c>
      <c r="H249" s="8" t="s">
        <v>6266</v>
      </c>
      <c r="I249" s="20"/>
      <c r="J249" s="8"/>
      <c r="K249" s="182"/>
      <c r="L249" s="8" t="s">
        <v>4156</v>
      </c>
      <c r="M249" s="8" t="s">
        <v>2814</v>
      </c>
      <c r="N249" s="38"/>
      <c r="O249" s="8"/>
      <c r="P249" s="4" t="str">
        <f>VLOOKUP($B249,'D7 - NDB Impacted SPRF''s'!$E$16:$O$9929,9,FALSE)</f>
        <v>N</v>
      </c>
      <c r="Q249" s="4" t="str">
        <f>VLOOKUP($B249,'D7 - NDB Impacted SPRF''s'!$E$16:$O$9929,10,FALSE)</f>
        <v>N</v>
      </c>
      <c r="R249" s="4" t="str">
        <f>VLOOKUP($B249,'D7 - NDB Impacted SPRF''s'!$E$16:$O$9929,11,FALSE)</f>
        <v>N</v>
      </c>
      <c r="S249" s="8"/>
      <c r="T249" s="310"/>
      <c r="U249" s="310"/>
      <c r="V249" s="4"/>
      <c r="W249" s="4"/>
      <c r="X249" s="4"/>
      <c r="Y249" s="4"/>
      <c r="Z249" s="4"/>
      <c r="AA249" s="4"/>
      <c r="AB249" s="380" t="str">
        <f>VLOOKUP($B249,'D7 - NDB Impacted SPRF''s'!$E$6:$O$9929,4,FALSE)</f>
        <v>In Estimating</v>
      </c>
      <c r="AC249" s="380" t="str">
        <f>VLOOKUP($B249,'D7 - NDB Impacted SPRF''s'!$E$6:$O$9929,3,FALSE)</f>
        <v>OptumHealth</v>
      </c>
      <c r="AD249" s="380" t="str">
        <f>VLOOKUP($B249,'D7 - NDB Impacted SPRF''s'!$E$6:$O$9929,5,FALSE)</f>
        <v>OptumHealth Care Solutions</v>
      </c>
      <c r="AE249" s="380" t="str">
        <f>VLOOKUP($B249,'D7 - NDB Impacted SPRF''s'!$E$6:$O$9929,7,FALSE)</f>
        <v>Lindsay Dittberner</v>
      </c>
      <c r="AF249" s="380" t="str">
        <f>VLOOKUP($B249,'D7 - NDB Impacted SPRF''s'!$E$6:$O$9929,6,FALSE)</f>
        <v>Darin Bergeson</v>
      </c>
      <c r="AG249" s="282"/>
      <c r="AH249" s="311" t="e">
        <f>INDEX('D5 - Gatekeeper - Projects'!$A$4:$AF$1010,$AM249, 17)</f>
        <v>#N/A</v>
      </c>
      <c r="AI249" s="8"/>
      <c r="AJ249" s="57"/>
      <c r="AK249" s="105"/>
      <c r="AM249" s="6" t="e">
        <f>MATCH(D249,'D5 - Gatekeeper - Projects'!$C$4:$C$1010,0)</f>
        <v>#N/A</v>
      </c>
      <c r="AN249" s="6" t="b">
        <f t="shared" si="24"/>
        <v>1</v>
      </c>
      <c r="AO249" s="6" t="str">
        <f t="shared" si="27"/>
        <v>OK</v>
      </c>
      <c r="AQ249" s="6">
        <f>MATCH($D249,'D4 - Provider Council Unsched'!$C$11:$C$234,0)</f>
        <v>15</v>
      </c>
      <c r="AR249" s="6" t="b">
        <f t="shared" si="25"/>
        <v>0</v>
      </c>
      <c r="AS249" s="6" t="str">
        <f t="shared" si="29"/>
        <v>OK</v>
      </c>
      <c r="AU249" s="202"/>
      <c r="AV249" s="323" t="s">
        <v>340</v>
      </c>
      <c r="AW249" s="274"/>
    </row>
    <row r="250" spans="1:49" s="13" customFormat="1" ht="11.25" customHeight="1" x14ac:dyDescent="0.2">
      <c r="A250" s="14">
        <v>216</v>
      </c>
      <c r="B250" s="8">
        <v>400055852</v>
      </c>
      <c r="C250" s="8" t="s">
        <v>1447</v>
      </c>
      <c r="D250" s="4" t="str">
        <f t="shared" si="26"/>
        <v>400055852A</v>
      </c>
      <c r="E250" s="309" t="str">
        <f>VLOOKUP($B250,'D7 - NDB Impacted SPRF''s'!$E$6:$O$9929,2,FALSE)</f>
        <v>Provider Decision Support Q2</v>
      </c>
      <c r="F250" s="8"/>
      <c r="G250" s="8" t="s">
        <v>7980</v>
      </c>
      <c r="H250" s="8" t="s">
        <v>6266</v>
      </c>
      <c r="I250" s="20"/>
      <c r="J250" s="8"/>
      <c r="K250" s="182"/>
      <c r="L250" s="8" t="s">
        <v>4156</v>
      </c>
      <c r="M250" s="8" t="s">
        <v>2814</v>
      </c>
      <c r="N250" s="38"/>
      <c r="O250" s="8"/>
      <c r="P250" s="4" t="str">
        <f>VLOOKUP($B250,'D7 - NDB Impacted SPRF''s'!$E$16:$O$9929,9,FALSE)</f>
        <v>N</v>
      </c>
      <c r="Q250" s="4" t="str">
        <f>VLOOKUP($B250,'D7 - NDB Impacted SPRF''s'!$E$16:$O$9929,10,FALSE)</f>
        <v>N</v>
      </c>
      <c r="R250" s="4" t="str">
        <f>VLOOKUP($B250,'D7 - NDB Impacted SPRF''s'!$E$16:$O$9929,11,FALSE)</f>
        <v>N</v>
      </c>
      <c r="S250" s="8"/>
      <c r="T250" s="310"/>
      <c r="U250" s="310"/>
      <c r="V250" s="4"/>
      <c r="W250" s="4"/>
      <c r="X250" s="4"/>
      <c r="Y250" s="4"/>
      <c r="Z250" s="4"/>
      <c r="AA250" s="4"/>
      <c r="AB250" s="380" t="str">
        <f>VLOOKUP($B250,'D7 - NDB Impacted SPRF''s'!$E$6:$O$9929,4,FALSE)</f>
        <v>In Program Manager Request Review</v>
      </c>
      <c r="AC250" s="380" t="str">
        <f>VLOOKUP($B250,'D7 - NDB Impacted SPRF''s'!$E$6:$O$9929,3,FALSE)</f>
        <v>OptumHealth</v>
      </c>
      <c r="AD250" s="380" t="str">
        <f>VLOOKUP($B250,'D7 - NDB Impacted SPRF''s'!$E$6:$O$9929,5,FALSE)</f>
        <v>OptumHealth Care Solutions</v>
      </c>
      <c r="AE250" s="380" t="str">
        <f>VLOOKUP($B250,'D7 - NDB Impacted SPRF''s'!$E$6:$O$9929,7,FALSE)</f>
        <v>Lindsay Dittberner</v>
      </c>
      <c r="AF250" s="380" t="str">
        <f>VLOOKUP($B250,'D7 - NDB Impacted SPRF''s'!$E$6:$O$9929,6,FALSE)</f>
        <v>Darin Bergeson</v>
      </c>
      <c r="AG250" s="282"/>
      <c r="AH250" s="311" t="e">
        <f>INDEX('D5 - Gatekeeper - Projects'!$A$4:$AF$1010,$AM250, 17)</f>
        <v>#N/A</v>
      </c>
      <c r="AI250" s="8"/>
      <c r="AJ250" s="57"/>
      <c r="AK250" s="105"/>
      <c r="AM250" s="6" t="e">
        <f>MATCH(D250,'D5 - Gatekeeper - Projects'!$C$4:$C$1010,0)</f>
        <v>#N/A</v>
      </c>
      <c r="AN250" s="6" t="b">
        <f t="shared" si="24"/>
        <v>1</v>
      </c>
      <c r="AO250" s="6" t="str">
        <f t="shared" si="27"/>
        <v>OK</v>
      </c>
      <c r="AQ250" s="6">
        <f>MATCH($D250,'D4 - Provider Council Unsched'!$C$11:$C$234,0)</f>
        <v>16</v>
      </c>
      <c r="AR250" s="6" t="b">
        <f t="shared" si="25"/>
        <v>0</v>
      </c>
      <c r="AS250" s="6" t="str">
        <f t="shared" si="29"/>
        <v>OK</v>
      </c>
      <c r="AU250" s="202"/>
      <c r="AV250" s="323" t="s">
        <v>340</v>
      </c>
      <c r="AW250" s="274"/>
    </row>
    <row r="251" spans="1:49" s="13" customFormat="1" ht="33.75" x14ac:dyDescent="0.2">
      <c r="A251" s="14">
        <v>217</v>
      </c>
      <c r="B251" s="8">
        <v>400055854</v>
      </c>
      <c r="C251" s="8" t="s">
        <v>1447</v>
      </c>
      <c r="D251" s="4" t="str">
        <f t="shared" si="26"/>
        <v>400055854A</v>
      </c>
      <c r="E251" s="309" t="str">
        <f>VLOOKUP($B251,'D7 - NDB Impacted SPRF''s'!$E$6:$O$9929,2,FALSE)</f>
        <v>Provider Decision Support Q3</v>
      </c>
      <c r="F251" s="8"/>
      <c r="G251" s="8" t="s">
        <v>7980</v>
      </c>
      <c r="H251" s="8" t="s">
        <v>6266</v>
      </c>
      <c r="I251" s="20"/>
      <c r="J251" s="8"/>
      <c r="K251" s="182"/>
      <c r="L251" s="8" t="s">
        <v>4156</v>
      </c>
      <c r="M251" s="8" t="s">
        <v>2814</v>
      </c>
      <c r="N251" s="38"/>
      <c r="O251" s="8"/>
      <c r="P251" s="4" t="str">
        <f>VLOOKUP($B251,'D7 - NDB Impacted SPRF''s'!$E$16:$O$9929,9,FALSE)</f>
        <v>N</v>
      </c>
      <c r="Q251" s="4" t="str">
        <f>VLOOKUP($B251,'D7 - NDB Impacted SPRF''s'!$E$16:$O$9929,10,FALSE)</f>
        <v>N</v>
      </c>
      <c r="R251" s="4" t="str">
        <f>VLOOKUP($B251,'D7 - NDB Impacted SPRF''s'!$E$16:$O$9929,11,FALSE)</f>
        <v>N</v>
      </c>
      <c r="S251" s="8"/>
      <c r="T251" s="310"/>
      <c r="U251" s="310"/>
      <c r="V251" s="4"/>
      <c r="W251" s="4"/>
      <c r="X251" s="4"/>
      <c r="Y251" s="4"/>
      <c r="Z251" s="4"/>
      <c r="AA251" s="4"/>
      <c r="AB251" s="380" t="str">
        <f>VLOOKUP($B251,'D7 - NDB Impacted SPRF''s'!$E$6:$O$9929,4,FALSE)</f>
        <v>In Program Manager Request Review</v>
      </c>
      <c r="AC251" s="380" t="str">
        <f>VLOOKUP($B251,'D7 - NDB Impacted SPRF''s'!$E$6:$O$9929,3,FALSE)</f>
        <v>OptumHealth</v>
      </c>
      <c r="AD251" s="380" t="str">
        <f>VLOOKUP($B251,'D7 - NDB Impacted SPRF''s'!$E$6:$O$9929,5,FALSE)</f>
        <v>OptumHealth Care Solutions</v>
      </c>
      <c r="AE251" s="380" t="str">
        <f>VLOOKUP($B251,'D7 - NDB Impacted SPRF''s'!$E$6:$O$9929,7,FALSE)</f>
        <v>Lindsay Dittberner</v>
      </c>
      <c r="AF251" s="380" t="str">
        <f>VLOOKUP($B251,'D7 - NDB Impacted SPRF''s'!$E$6:$O$9929,6,FALSE)</f>
        <v>Darin Bergeson</v>
      </c>
      <c r="AG251" s="282"/>
      <c r="AH251" s="311" t="e">
        <f>INDEX('D5 - Gatekeeper - Projects'!$A$4:$AF$1010,$AM251, 17)</f>
        <v>#N/A</v>
      </c>
      <c r="AI251" s="8"/>
      <c r="AJ251" s="57"/>
      <c r="AK251" s="105"/>
      <c r="AM251" s="6" t="e">
        <f>MATCH(D251,'D5 - Gatekeeper - Projects'!$C$4:$C$1010,0)</f>
        <v>#N/A</v>
      </c>
      <c r="AN251" s="6" t="b">
        <f t="shared" si="24"/>
        <v>1</v>
      </c>
      <c r="AO251" s="6" t="str">
        <f t="shared" si="27"/>
        <v>OK</v>
      </c>
      <c r="AQ251" s="6">
        <f>MATCH($D251,'D4 - Provider Council Unsched'!$C$11:$C$234,0)</f>
        <v>17</v>
      </c>
      <c r="AR251" s="6" t="b">
        <f t="shared" si="25"/>
        <v>0</v>
      </c>
      <c r="AS251" s="6" t="str">
        <f t="shared" si="29"/>
        <v>OK</v>
      </c>
      <c r="AU251" s="202"/>
      <c r="AV251" s="323" t="s">
        <v>340</v>
      </c>
      <c r="AW251" s="274"/>
    </row>
    <row r="252" spans="1:49" s="13" customFormat="1" ht="12.75" x14ac:dyDescent="0.2">
      <c r="A252" s="14">
        <v>218</v>
      </c>
      <c r="B252" s="8">
        <v>400055855</v>
      </c>
      <c r="C252" s="8" t="s">
        <v>1447</v>
      </c>
      <c r="D252" s="4" t="str">
        <f t="shared" si="26"/>
        <v>400055855A</v>
      </c>
      <c r="E252" s="309" t="str">
        <f>VLOOKUP($B252,'D7 - NDB Impacted SPRF''s'!$E$6:$O$9929,2,FALSE)</f>
        <v>Provider Decision Support Q4</v>
      </c>
      <c r="F252" s="8"/>
      <c r="G252" s="8" t="s">
        <v>7980</v>
      </c>
      <c r="H252" s="8" t="s">
        <v>6266</v>
      </c>
      <c r="I252" s="20"/>
      <c r="J252" s="8"/>
      <c r="K252" s="182"/>
      <c r="L252" s="8" t="s">
        <v>4156</v>
      </c>
      <c r="M252" s="8" t="s">
        <v>2814</v>
      </c>
      <c r="N252" s="38"/>
      <c r="O252" s="8"/>
      <c r="P252" s="4" t="str">
        <f>VLOOKUP($B252,'D7 - NDB Impacted SPRF''s'!$E$16:$O$9929,9,FALSE)</f>
        <v>N</v>
      </c>
      <c r="Q252" s="4" t="str">
        <f>VLOOKUP($B252,'D7 - NDB Impacted SPRF''s'!$E$16:$O$9929,10,FALSE)</f>
        <v>N</v>
      </c>
      <c r="R252" s="4" t="str">
        <f>VLOOKUP($B252,'D7 - NDB Impacted SPRF''s'!$E$16:$O$9929,11,FALSE)</f>
        <v>N</v>
      </c>
      <c r="S252" s="8"/>
      <c r="T252" s="310"/>
      <c r="U252" s="310"/>
      <c r="V252" s="4"/>
      <c r="W252" s="4"/>
      <c r="X252" s="4"/>
      <c r="Y252" s="4"/>
      <c r="Z252" s="4"/>
      <c r="AA252" s="4"/>
      <c r="AB252" s="380" t="str">
        <f>VLOOKUP($B252,'D7 - NDB Impacted SPRF''s'!$E$6:$O$9929,4,FALSE)</f>
        <v>In Estimating</v>
      </c>
      <c r="AC252" s="380" t="str">
        <f>VLOOKUP($B252,'D7 - NDB Impacted SPRF''s'!$E$6:$O$9929,3,FALSE)</f>
        <v>OptumHealth</v>
      </c>
      <c r="AD252" s="380" t="str">
        <f>VLOOKUP($B252,'D7 - NDB Impacted SPRF''s'!$E$6:$O$9929,5,FALSE)</f>
        <v>OptumHealth Care Solutions</v>
      </c>
      <c r="AE252" s="380" t="str">
        <f>VLOOKUP($B252,'D7 - NDB Impacted SPRF''s'!$E$6:$O$9929,7,FALSE)</f>
        <v>Lindsay Dittberner</v>
      </c>
      <c r="AF252" s="380" t="str">
        <f>VLOOKUP($B252,'D7 - NDB Impacted SPRF''s'!$E$6:$O$9929,6,FALSE)</f>
        <v>Darin Bergeson</v>
      </c>
      <c r="AG252" s="282"/>
      <c r="AH252" s="311" t="e">
        <f>INDEX('D5 - Gatekeeper - Projects'!$A$4:$AF$1010,$AM252, 17)</f>
        <v>#N/A</v>
      </c>
      <c r="AI252" s="8"/>
      <c r="AJ252" s="57"/>
      <c r="AK252" s="105"/>
      <c r="AM252" s="6" t="e">
        <f>MATCH(D252,'D5 - Gatekeeper - Projects'!$C$4:$C$1010,0)</f>
        <v>#N/A</v>
      </c>
      <c r="AN252" s="6" t="b">
        <f t="shared" si="24"/>
        <v>1</v>
      </c>
      <c r="AO252" s="6" t="str">
        <f t="shared" si="27"/>
        <v>OK</v>
      </c>
      <c r="AQ252" s="6">
        <f>MATCH($D252,'D4 - Provider Council Unsched'!$C$11:$C$234,0)</f>
        <v>18</v>
      </c>
      <c r="AR252" s="6" t="b">
        <f t="shared" si="25"/>
        <v>0</v>
      </c>
      <c r="AS252" s="6" t="str">
        <f t="shared" si="29"/>
        <v>OK</v>
      </c>
      <c r="AU252" s="202"/>
      <c r="AV252" s="323" t="s">
        <v>340</v>
      </c>
      <c r="AW252" s="274"/>
    </row>
    <row r="253" spans="1:49" s="13" customFormat="1" ht="33.75" x14ac:dyDescent="0.2">
      <c r="A253" s="14">
        <v>220</v>
      </c>
      <c r="B253" s="8">
        <v>400055989</v>
      </c>
      <c r="C253" s="8" t="s">
        <v>1447</v>
      </c>
      <c r="D253" s="4" t="str">
        <f t="shared" si="26"/>
        <v>400055989A</v>
      </c>
      <c r="E253" s="309" t="str">
        <f>VLOOKUP($B253,'D7 - NDB Impacted SPRF''s'!$E$6:$O$9929,2,FALSE)</f>
        <v>Heritage Select Advantage Tiered Network Expansion</v>
      </c>
      <c r="F253" s="8"/>
      <c r="G253" s="8" t="s">
        <v>7980</v>
      </c>
      <c r="H253" s="8" t="s">
        <v>6266</v>
      </c>
      <c r="I253" s="20"/>
      <c r="J253" s="8"/>
      <c r="K253" s="182"/>
      <c r="L253" s="8" t="s">
        <v>4156</v>
      </c>
      <c r="M253" s="8" t="s">
        <v>2814</v>
      </c>
      <c r="N253" s="38"/>
      <c r="O253" s="8"/>
      <c r="P253" s="4" t="str">
        <f>VLOOKUP($B253,'D7 - NDB Impacted SPRF''s'!$E$16:$O$9929,9,FALSE)</f>
        <v>N</v>
      </c>
      <c r="Q253" s="4" t="str">
        <f>VLOOKUP($B253,'D7 - NDB Impacted SPRF''s'!$E$16:$O$9929,10,FALSE)</f>
        <v>N</v>
      </c>
      <c r="R253" s="4" t="str">
        <f>VLOOKUP($B253,'D7 - NDB Impacted SPRF''s'!$E$16:$O$9929,11,FALSE)</f>
        <v>Y</v>
      </c>
      <c r="S253" s="8"/>
      <c r="T253" s="310"/>
      <c r="U253" s="310"/>
      <c r="V253" s="4"/>
      <c r="W253" s="4"/>
      <c r="X253" s="4"/>
      <c r="Y253" s="4"/>
      <c r="Z253" s="4"/>
      <c r="AA253" s="4"/>
      <c r="AB253" s="380" t="str">
        <f>VLOOKUP($B253,'D7 - NDB Impacted SPRF''s'!$E$6:$O$9929,4,FALSE)</f>
        <v>In Estimating</v>
      </c>
      <c r="AC253" s="380" t="str">
        <f>VLOOKUP($B253,'D7 - NDB Impacted SPRF''s'!$E$6:$O$9929,3,FALSE)</f>
        <v>UnitedHealthcare Employer &amp; Individual</v>
      </c>
      <c r="AD253" s="380" t="str">
        <f>VLOOKUP($B253,'D7 - NDB Impacted SPRF''s'!$E$6:$O$9929,5,FALSE)</f>
        <v>Membership Growth / Revenue Programs</v>
      </c>
      <c r="AE253" s="380" t="str">
        <f>VLOOKUP($B253,'D7 - NDB Impacted SPRF''s'!$E$6:$O$9929,7,FALSE)</f>
        <v>Kent Adkisson</v>
      </c>
      <c r="AF253" s="380" t="str">
        <f>VLOOKUP($B253,'D7 - NDB Impacted SPRF''s'!$E$6:$O$9929,6,FALSE)</f>
        <v>LISA MARENGO</v>
      </c>
      <c r="AG253" s="282"/>
      <c r="AH253" s="311" t="e">
        <f>INDEX('D5 - Gatekeeper - Projects'!$A$4:$AF$1010,$AM253, 17)</f>
        <v>#N/A</v>
      </c>
      <c r="AI253" s="8"/>
      <c r="AJ253" s="57"/>
      <c r="AK253" s="105"/>
      <c r="AM253" s="6" t="e">
        <f>MATCH(D253,'D5 - Gatekeeper - Projects'!$C$4:$C$1010,0)</f>
        <v>#N/A</v>
      </c>
      <c r="AN253" s="6" t="b">
        <f t="shared" si="24"/>
        <v>1</v>
      </c>
      <c r="AO253" s="6" t="str">
        <f t="shared" si="27"/>
        <v>OK</v>
      </c>
      <c r="AQ253" s="6">
        <f>MATCH($D253,'D4 - Provider Council Unsched'!$C$11:$C$234,0)</f>
        <v>32</v>
      </c>
      <c r="AR253" s="6" t="b">
        <f t="shared" si="25"/>
        <v>0</v>
      </c>
      <c r="AS253" s="6" t="str">
        <f t="shared" si="29"/>
        <v>OK</v>
      </c>
      <c r="AU253" s="202"/>
      <c r="AV253" s="394" t="s">
        <v>1139</v>
      </c>
      <c r="AW253" s="274"/>
    </row>
    <row r="254" spans="1:49" s="13" customFormat="1" ht="11.25" customHeight="1" x14ac:dyDescent="0.2">
      <c r="A254" s="14">
        <v>222</v>
      </c>
      <c r="B254" s="8">
        <v>400056003</v>
      </c>
      <c r="C254" s="8" t="s">
        <v>1447</v>
      </c>
      <c r="D254" s="4" t="str">
        <f t="shared" si="26"/>
        <v>400056003A</v>
      </c>
      <c r="E254" s="309" t="str">
        <f>VLOOKUP($B254,'D7 - NDB Impacted SPRF''s'!$E$6:$O$9929,2,FALSE)</f>
        <v>Clinical Integration Acceleration</v>
      </c>
      <c r="F254" s="8"/>
      <c r="G254" s="8" t="s">
        <v>7980</v>
      </c>
      <c r="H254" s="8" t="s">
        <v>6266</v>
      </c>
      <c r="I254" s="20"/>
      <c r="J254" s="8"/>
      <c r="K254" s="182"/>
      <c r="L254" s="8" t="s">
        <v>4156</v>
      </c>
      <c r="M254" s="8" t="s">
        <v>2814</v>
      </c>
      <c r="N254" s="38"/>
      <c r="O254" s="8"/>
      <c r="P254" s="4" t="str">
        <f>VLOOKUP($B254,'D7 - NDB Impacted SPRF''s'!$E$16:$O$9929,9,FALSE)</f>
        <v>N</v>
      </c>
      <c r="Q254" s="4" t="str">
        <f>VLOOKUP($B254,'D7 - NDB Impacted SPRF''s'!$E$16:$O$9929,10,FALSE)</f>
        <v>N</v>
      </c>
      <c r="R254" s="4" t="str">
        <f>VLOOKUP($B254,'D7 - NDB Impacted SPRF''s'!$E$16:$O$9929,11,FALSE)</f>
        <v>N</v>
      </c>
      <c r="S254" s="8"/>
      <c r="T254" s="310"/>
      <c r="U254" s="310"/>
      <c r="V254" s="4"/>
      <c r="W254" s="4"/>
      <c r="X254" s="4"/>
      <c r="Y254" s="4"/>
      <c r="Z254" s="4"/>
      <c r="AA254" s="4"/>
      <c r="AB254" s="380" t="str">
        <f>VLOOKUP($B254,'D7 - NDB Impacted SPRF''s'!$E$6:$O$9929,4,FALSE)</f>
        <v>Scheduled</v>
      </c>
      <c r="AC254" s="380" t="str">
        <f>VLOOKUP($B254,'D7 - NDB Impacted SPRF''s'!$E$6:$O$9929,3,FALSE)</f>
        <v>UnitedHealthcare Employer &amp; Individual</v>
      </c>
      <c r="AD254" s="380" t="str">
        <f>VLOOKUP($B254,'D7 - NDB Impacted SPRF''s'!$E$6:$O$9929,5,FALSE)</f>
        <v>Process Improvement</v>
      </c>
      <c r="AE254" s="380" t="str">
        <f>VLOOKUP($B254,'D7 - NDB Impacted SPRF''s'!$E$6:$O$9929,7,FALSE)</f>
        <v>Consumer Database (CDB), Enterprise Application Architecture, Enterprise Systems Planning Business Architecture, EPMO, ICUE Core, NDB, OHCS - Data Management, OHCS - eVisor, OHCS - NextGen and CRM, UHC C and S Business Requirements</v>
      </c>
      <c r="AF254" s="380" t="str">
        <f>VLOOKUP($B254,'D7 - NDB Impacted SPRF''s'!$E$6:$O$9929,6,FALSE)</f>
        <v>Sheila Nelson</v>
      </c>
      <c r="AG254" s="282"/>
      <c r="AH254" s="311" t="e">
        <f>INDEX('D5 - Gatekeeper - Projects'!$A$4:$AF$1010,$AM254, 17)</f>
        <v>#N/A</v>
      </c>
      <c r="AI254" s="8"/>
      <c r="AJ254" s="57"/>
      <c r="AK254" s="105"/>
      <c r="AM254" s="6" t="e">
        <f>MATCH(D254,'D5 - Gatekeeper - Projects'!$C$4:$C$1010,0)</f>
        <v>#N/A</v>
      </c>
      <c r="AN254" s="6" t="b">
        <f t="shared" si="24"/>
        <v>1</v>
      </c>
      <c r="AO254" s="6" t="str">
        <f t="shared" si="27"/>
        <v>OK</v>
      </c>
      <c r="AQ254" s="6">
        <f>MATCH($D254,'D4 - Provider Council Unsched'!$C$11:$C$234,0)</f>
        <v>28</v>
      </c>
      <c r="AR254" s="6" t="b">
        <f t="shared" si="25"/>
        <v>0</v>
      </c>
      <c r="AS254" s="6" t="str">
        <f t="shared" si="29"/>
        <v>OK</v>
      </c>
      <c r="AU254" s="202"/>
      <c r="AV254" s="334" t="s">
        <v>7712</v>
      </c>
      <c r="AW254" s="274"/>
    </row>
    <row r="255" spans="1:49" s="13" customFormat="1" ht="11.25" customHeight="1" x14ac:dyDescent="0.2">
      <c r="A255" s="14">
        <v>223</v>
      </c>
      <c r="B255" s="8">
        <v>400056048</v>
      </c>
      <c r="C255" s="8" t="s">
        <v>1447</v>
      </c>
      <c r="D255" s="4" t="str">
        <f t="shared" si="26"/>
        <v>400056048A</v>
      </c>
      <c r="E255" s="309" t="str">
        <f>VLOOKUP($B255,'D7 - NDB Impacted SPRF''s'!$E$6:$O$9929,2,FALSE)</f>
        <v>eSync Integration Consumer Dashboard 2013 Q4</v>
      </c>
      <c r="F255" s="8"/>
      <c r="G255" s="8" t="s">
        <v>7980</v>
      </c>
      <c r="H255" s="8" t="s">
        <v>6266</v>
      </c>
      <c r="I255" s="20"/>
      <c r="J255" s="8"/>
      <c r="K255" s="182"/>
      <c r="L255" s="8" t="s">
        <v>4156</v>
      </c>
      <c r="M255" s="8" t="s">
        <v>2814</v>
      </c>
      <c r="N255" s="38"/>
      <c r="O255" s="8"/>
      <c r="P255" s="4" t="str">
        <f>VLOOKUP($B255,'D7 - NDB Impacted SPRF''s'!$E$16:$O$9929,9,FALSE)</f>
        <v>Y</v>
      </c>
      <c r="Q255" s="4" t="str">
        <f>VLOOKUP($B255,'D7 - NDB Impacted SPRF''s'!$E$16:$O$9929,10,FALSE)</f>
        <v>N</v>
      </c>
      <c r="R255" s="4" t="str">
        <f>VLOOKUP($B255,'D7 - NDB Impacted SPRF''s'!$E$16:$O$9929,11,FALSE)</f>
        <v>N</v>
      </c>
      <c r="S255" s="8"/>
      <c r="T255" s="310"/>
      <c r="U255" s="310"/>
      <c r="V255" s="4"/>
      <c r="W255" s="4"/>
      <c r="X255" s="4"/>
      <c r="Y255" s="4"/>
      <c r="Z255" s="4"/>
      <c r="AA255" s="4"/>
      <c r="AB255" s="380" t="str">
        <f>VLOOKUP($B255,'D7 - NDB Impacted SPRF''s'!$E$6:$O$9929,4,FALSE)</f>
        <v>In Estimating</v>
      </c>
      <c r="AC255" s="380" t="str">
        <f>VLOOKUP($B255,'D7 - NDB Impacted SPRF''s'!$E$6:$O$9929,3,FALSE)</f>
        <v>OptumHealth</v>
      </c>
      <c r="AD255" s="380" t="str">
        <f>VLOOKUP($B255,'D7 - NDB Impacted SPRF''s'!$E$6:$O$9929,5,FALSE)</f>
        <v>OptumHealth Care Solutions</v>
      </c>
      <c r="AE255" s="380" t="str">
        <f>VLOOKUP($B255,'D7 - NDB Impacted SPRF''s'!$E$6:$O$9929,7,FALSE)</f>
        <v>Ben Line</v>
      </c>
      <c r="AF255" s="380" t="str">
        <f>VLOOKUP($B255,'D7 - NDB Impacted SPRF''s'!$E$6:$O$9929,6,FALSE)</f>
        <v>Jeffrey Thompson</v>
      </c>
      <c r="AG255" s="282"/>
      <c r="AH255" s="311" t="e">
        <f>INDEX('D5 - Gatekeeper - Projects'!$A$4:$AF$1010,$AM255, 17)</f>
        <v>#N/A</v>
      </c>
      <c r="AI255" s="8"/>
      <c r="AJ255" s="57"/>
      <c r="AK255" s="105"/>
      <c r="AM255" s="6" t="e">
        <f>MATCH(D255,'D5 - Gatekeeper - Projects'!$C$4:$C$1010,0)</f>
        <v>#N/A</v>
      </c>
      <c r="AN255" s="6" t="b">
        <f t="shared" si="24"/>
        <v>1</v>
      </c>
      <c r="AO255" s="6" t="str">
        <f t="shared" si="27"/>
        <v>OK</v>
      </c>
      <c r="AQ255" s="6">
        <f>MATCH($D255,'D4 - Provider Council Unsched'!$C$11:$C$234,0)</f>
        <v>64</v>
      </c>
      <c r="AR255" s="6" t="b">
        <f t="shared" si="25"/>
        <v>0</v>
      </c>
      <c r="AS255" s="6" t="str">
        <f t="shared" si="29"/>
        <v>OK</v>
      </c>
      <c r="AU255" s="202"/>
      <c r="AV255" s="394" t="s">
        <v>9417</v>
      </c>
      <c r="AW255" s="274"/>
    </row>
    <row r="256" spans="1:49" s="13" customFormat="1" ht="11.25" customHeight="1" x14ac:dyDescent="0.2">
      <c r="A256" s="14">
        <v>224</v>
      </c>
      <c r="B256" s="8">
        <v>400056052</v>
      </c>
      <c r="C256" s="8" t="s">
        <v>1447</v>
      </c>
      <c r="D256" s="4" t="str">
        <f t="shared" si="26"/>
        <v>400056052A</v>
      </c>
      <c r="E256" s="309" t="str">
        <f>VLOOKUP($B256,'D7 - NDB Impacted SPRF''s'!$E$6:$O$9929,2,FALSE)</f>
        <v>Limited Rx Network ASO and FI</v>
      </c>
      <c r="F256" s="8"/>
      <c r="G256" s="8" t="s">
        <v>7980</v>
      </c>
      <c r="H256" s="8" t="s">
        <v>6266</v>
      </c>
      <c r="I256" s="20"/>
      <c r="J256" s="8"/>
      <c r="K256" s="182"/>
      <c r="L256" s="8" t="s">
        <v>4156</v>
      </c>
      <c r="M256" s="8" t="s">
        <v>2814</v>
      </c>
      <c r="N256" s="38"/>
      <c r="O256" s="8"/>
      <c r="P256" s="4" t="str">
        <f>VLOOKUP($B256,'D7 - NDB Impacted SPRF''s'!$E$16:$O$9929,9,FALSE)</f>
        <v>Y</v>
      </c>
      <c r="Q256" s="4" t="str">
        <f>VLOOKUP($B256,'D7 - NDB Impacted SPRF''s'!$E$16:$O$9929,10,FALSE)</f>
        <v>N</v>
      </c>
      <c r="R256" s="4" t="str">
        <f>VLOOKUP($B256,'D7 - NDB Impacted SPRF''s'!$E$16:$O$9929,11,FALSE)</f>
        <v>N</v>
      </c>
      <c r="S256" s="8"/>
      <c r="T256" s="310"/>
      <c r="U256" s="310"/>
      <c r="V256" s="4"/>
      <c r="W256" s="4"/>
      <c r="X256" s="4"/>
      <c r="Y256" s="4"/>
      <c r="Z256" s="4"/>
      <c r="AA256" s="4"/>
      <c r="AB256" s="380" t="str">
        <f>VLOOKUP($B256,'D7 - NDB Impacted SPRF''s'!$E$6:$O$9929,4,FALSE)</f>
        <v>In IT Leadership Estimate Review</v>
      </c>
      <c r="AC256" s="380" t="str">
        <f>VLOOKUP($B256,'D7 - NDB Impacted SPRF''s'!$E$6:$O$9929,3,FALSE)</f>
        <v>UnitedHealthcare Employer &amp; Individual</v>
      </c>
      <c r="AD256" s="380" t="str">
        <f>VLOOKUP($B256,'D7 - NDB Impacted SPRF''s'!$E$6:$O$9929,5,FALSE)</f>
        <v>Operational Requirements</v>
      </c>
      <c r="AE256" s="380" t="str">
        <f>VLOOKUP($B256,'D7 - NDB Impacted SPRF''s'!$E$6:$O$9929,7,FALSE)</f>
        <v>Kelley Nolan Maccione</v>
      </c>
      <c r="AF256" s="380" t="str">
        <f>VLOOKUP($B256,'D7 - NDB Impacted SPRF''s'!$E$6:$O$9929,6,FALSE)</f>
        <v>Erin Beyer</v>
      </c>
      <c r="AG256" s="282"/>
      <c r="AH256" s="311" t="e">
        <f>INDEX('D5 - Gatekeeper - Projects'!$A$4:$AF$1010,$AM256, 17)</f>
        <v>#N/A</v>
      </c>
      <c r="AI256" s="8"/>
      <c r="AJ256" s="57"/>
      <c r="AK256" s="105"/>
      <c r="AM256" s="6" t="e">
        <f>MATCH(D256,'D5 - Gatekeeper - Projects'!$C$4:$C$1010,0)</f>
        <v>#N/A</v>
      </c>
      <c r="AN256" s="6" t="b">
        <f t="shared" si="24"/>
        <v>1</v>
      </c>
      <c r="AO256" s="6" t="str">
        <f t="shared" si="27"/>
        <v>OK</v>
      </c>
      <c r="AQ256" s="6">
        <f>MATCH($D256,'D4 - Provider Council Unsched'!$C$11:$C$234,0)</f>
        <v>25</v>
      </c>
      <c r="AR256" s="6" t="b">
        <f t="shared" si="25"/>
        <v>0</v>
      </c>
      <c r="AS256" s="6" t="str">
        <f t="shared" si="29"/>
        <v>OK</v>
      </c>
      <c r="AU256" s="202"/>
      <c r="AV256" s="322" t="s">
        <v>7713</v>
      </c>
      <c r="AW256" s="274"/>
    </row>
    <row r="257" spans="1:49" s="13" customFormat="1" ht="11.25" customHeight="1" x14ac:dyDescent="0.2">
      <c r="A257" s="14">
        <v>225</v>
      </c>
      <c r="B257" s="8">
        <v>400056056</v>
      </c>
      <c r="C257" s="8" t="s">
        <v>1447</v>
      </c>
      <c r="D257" s="4" t="str">
        <f t="shared" si="26"/>
        <v>400056056A</v>
      </c>
      <c r="E257" s="309" t="str">
        <f>VLOOKUP($B257,'D7 - NDB Impacted SPRF''s'!$E$6:$O$9929,2,FALSE)</f>
        <v xml:space="preserve">Nebraska Medicaid ID Storage </v>
      </c>
      <c r="F257" s="8"/>
      <c r="G257" s="8" t="s">
        <v>7980</v>
      </c>
      <c r="H257" s="8" t="s">
        <v>6266</v>
      </c>
      <c r="I257" s="20"/>
      <c r="J257" s="8"/>
      <c r="K257" s="182"/>
      <c r="L257" s="8" t="s">
        <v>4156</v>
      </c>
      <c r="M257" s="8" t="s">
        <v>2814</v>
      </c>
      <c r="N257" s="38"/>
      <c r="O257" s="8"/>
      <c r="P257" s="4" t="str">
        <f>VLOOKUP($B257,'D7 - NDB Impacted SPRF''s'!$E$16:$O$9929,9,FALSE)</f>
        <v>N</v>
      </c>
      <c r="Q257" s="4" t="str">
        <f>VLOOKUP($B257,'D7 - NDB Impacted SPRF''s'!$E$16:$O$9929,10,FALSE)</f>
        <v>N</v>
      </c>
      <c r="R257" s="4" t="str">
        <f>VLOOKUP($B257,'D7 - NDB Impacted SPRF''s'!$E$16:$O$9929,11,FALSE)</f>
        <v>N</v>
      </c>
      <c r="S257" s="8"/>
      <c r="T257" s="310"/>
      <c r="U257" s="310"/>
      <c r="V257" s="4"/>
      <c r="W257" s="4"/>
      <c r="X257" s="4"/>
      <c r="Y257" s="4"/>
      <c r="Z257" s="4"/>
      <c r="AA257" s="4"/>
      <c r="AB257" s="380" t="str">
        <f>VLOOKUP($B257,'D7 - NDB Impacted SPRF''s'!$E$6:$O$9929,4,FALSE)</f>
        <v>Scheduled</v>
      </c>
      <c r="AC257" s="380" t="str">
        <f>VLOOKUP($B257,'D7 - NDB Impacted SPRF''s'!$E$6:$O$9929,3,FALSE)</f>
        <v>UnitedHealthcare Community &amp; State</v>
      </c>
      <c r="AD257" s="380" t="str">
        <f>VLOOKUP($B257,'D7 - NDB Impacted SPRF''s'!$E$6:$O$9929,5,FALSE)</f>
        <v>Operational Requirements</v>
      </c>
      <c r="AE257" s="380" t="str">
        <f>VLOOKUP($B257,'D7 - NDB Impacted SPRF''s'!$E$6:$O$9929,7,FALSE)</f>
        <v>Kurt Johnson</v>
      </c>
      <c r="AF257" s="380" t="str">
        <f>VLOOKUP($B257,'D7 - NDB Impacted SPRF''s'!$E$6:$O$9929,6,FALSE)</f>
        <v>Christine Vall</v>
      </c>
      <c r="AG257" s="282"/>
      <c r="AH257" s="311" t="e">
        <f>INDEX('D5 - Gatekeeper - Projects'!$A$4:$AF$1010,$AM257, 17)</f>
        <v>#N/A</v>
      </c>
      <c r="AI257" s="8"/>
      <c r="AJ257" s="57"/>
      <c r="AK257" s="105"/>
      <c r="AM257" s="6" t="e">
        <f>MATCH(D257,'D5 - Gatekeeper - Projects'!$C$4:$C$1010,0)</f>
        <v>#N/A</v>
      </c>
      <c r="AN257" s="6" t="b">
        <f t="shared" si="24"/>
        <v>1</v>
      </c>
      <c r="AO257" s="6" t="str">
        <f t="shared" si="27"/>
        <v>OK</v>
      </c>
      <c r="AQ257" s="6">
        <f>MATCH($D257,'D4 - Provider Council Unsched'!$C$11:$C$234,0)</f>
        <v>21</v>
      </c>
      <c r="AR257" s="6" t="b">
        <f t="shared" si="25"/>
        <v>0</v>
      </c>
      <c r="AS257" s="6" t="str">
        <f t="shared" si="29"/>
        <v>OK</v>
      </c>
      <c r="AU257" s="202"/>
      <c r="AV257" s="333" t="s">
        <v>1132</v>
      </c>
      <c r="AW257" s="274"/>
    </row>
    <row r="258" spans="1:49" s="13" customFormat="1" ht="33.75" x14ac:dyDescent="0.2">
      <c r="A258" s="14">
        <v>226</v>
      </c>
      <c r="B258" s="8">
        <v>400056306</v>
      </c>
      <c r="C258" s="8" t="s">
        <v>1447</v>
      </c>
      <c r="D258" s="4" t="str">
        <f t="shared" si="26"/>
        <v>400056306A</v>
      </c>
      <c r="E258" s="309" t="str">
        <f>VLOOKUP($B258,'D7 - NDB Impacted SPRF''s'!$E$6:$O$9929,2,FALSE)</f>
        <v>2013 ROBOTs for COSMOS</v>
      </c>
      <c r="F258" s="8"/>
      <c r="G258" s="8" t="s">
        <v>7980</v>
      </c>
      <c r="H258" s="8" t="s">
        <v>6266</v>
      </c>
      <c r="I258" s="20"/>
      <c r="J258" s="8"/>
      <c r="K258" s="182"/>
      <c r="L258" s="8" t="s">
        <v>4156</v>
      </c>
      <c r="M258" s="8" t="s">
        <v>2814</v>
      </c>
      <c r="N258" s="38"/>
      <c r="O258" s="8"/>
      <c r="P258" s="4" t="str">
        <f>VLOOKUP($B258,'D7 - NDB Impacted SPRF''s'!$E$16:$O$9929,9,FALSE)</f>
        <v>N</v>
      </c>
      <c r="Q258" s="4" t="str">
        <f>VLOOKUP($B258,'D7 - NDB Impacted SPRF''s'!$E$16:$O$9929,10,FALSE)</f>
        <v>N</v>
      </c>
      <c r="R258" s="4" t="str">
        <f>VLOOKUP($B258,'D7 - NDB Impacted SPRF''s'!$E$16:$O$9929,11,FALSE)</f>
        <v>N</v>
      </c>
      <c r="S258" s="8"/>
      <c r="T258" s="310"/>
      <c r="U258" s="310"/>
      <c r="V258" s="4"/>
      <c r="W258" s="4"/>
      <c r="X258" s="4"/>
      <c r="Y258" s="4"/>
      <c r="Z258" s="4"/>
      <c r="AA258" s="4"/>
      <c r="AB258" s="380" t="str">
        <f>VLOOKUP($B258,'D7 - NDB Impacted SPRF''s'!$E$6:$O$9929,4,FALSE)</f>
        <v>Scheduled</v>
      </c>
      <c r="AC258" s="380" t="str">
        <f>VLOOKUP($B258,'D7 - NDB Impacted SPRF''s'!$E$6:$O$9929,3,FALSE)</f>
        <v>UnitedHealthcare Medicare &amp; Retirement</v>
      </c>
      <c r="AD258" s="380" t="str">
        <f>VLOOKUP($B258,'D7 - NDB Impacted SPRF''s'!$E$6:$O$9929,5,FALSE)</f>
        <v>Medical Cost Savings Programs</v>
      </c>
      <c r="AE258" s="380" t="str">
        <f>VLOOKUP($B258,'D7 - NDB Impacted SPRF''s'!$E$6:$O$9929,7,FALSE)</f>
        <v>Kelly Gilbertson</v>
      </c>
      <c r="AF258" s="380" t="str">
        <f>VLOOKUP($B258,'D7 - NDB Impacted SPRF''s'!$E$6:$O$9929,6,FALSE)</f>
        <v>Brian Schimke</v>
      </c>
      <c r="AG258" s="282"/>
      <c r="AH258" s="311" t="e">
        <f>INDEX('D5 - Gatekeeper - Projects'!$A$4:$AF$1010,$AM258, 17)</f>
        <v>#N/A</v>
      </c>
      <c r="AI258" s="8"/>
      <c r="AJ258" s="57"/>
      <c r="AK258" s="105"/>
      <c r="AM258" s="6" t="e">
        <f>MATCH(D258,'D5 - Gatekeeper - Projects'!$C$4:$C$1010,0)</f>
        <v>#N/A</v>
      </c>
      <c r="AN258" s="6" t="b">
        <f t="shared" si="24"/>
        <v>1</v>
      </c>
      <c r="AO258" s="6" t="str">
        <f t="shared" si="27"/>
        <v>OK</v>
      </c>
      <c r="AQ258" s="6">
        <f>MATCH($D258,'D4 - Provider Council Unsched'!$C$11:$C$234,0)</f>
        <v>58</v>
      </c>
      <c r="AR258" s="6" t="b">
        <f t="shared" si="25"/>
        <v>0</v>
      </c>
      <c r="AS258" s="6" t="str">
        <f t="shared" si="29"/>
        <v>OK</v>
      </c>
      <c r="AU258" s="202"/>
      <c r="AV258" s="394" t="s">
        <v>9301</v>
      </c>
      <c r="AW258" s="274"/>
    </row>
    <row r="259" spans="1:49" s="13" customFormat="1" ht="12.75" x14ac:dyDescent="0.2">
      <c r="A259" s="14">
        <v>227</v>
      </c>
      <c r="B259" s="8">
        <v>400056462</v>
      </c>
      <c r="C259" s="8" t="s">
        <v>1447</v>
      </c>
      <c r="D259" s="4" t="str">
        <f t="shared" si="26"/>
        <v>400056462A</v>
      </c>
      <c r="E259" s="309" t="str">
        <f>VLOOKUP($B259,'D7 - NDB Impacted SPRF''s'!$E$6:$O$9929,2,FALSE)</f>
        <v>Q2 2013 Risk Carve Out</v>
      </c>
      <c r="F259" s="8"/>
      <c r="G259" s="8" t="s">
        <v>7980</v>
      </c>
      <c r="H259" s="8" t="s">
        <v>6266</v>
      </c>
      <c r="I259" s="20"/>
      <c r="J259" s="8"/>
      <c r="K259" s="182"/>
      <c r="L259" s="8" t="s">
        <v>4156</v>
      </c>
      <c r="M259" s="8" t="s">
        <v>2814</v>
      </c>
      <c r="N259" s="38"/>
      <c r="O259" s="8"/>
      <c r="P259" s="4" t="str">
        <f>VLOOKUP($B259,'D7 - NDB Impacted SPRF''s'!$E$16:$O$9929,9,FALSE)</f>
        <v>N</v>
      </c>
      <c r="Q259" s="4" t="str">
        <f>VLOOKUP($B259,'D7 - NDB Impacted SPRF''s'!$E$16:$O$9929,10,FALSE)</f>
        <v>N</v>
      </c>
      <c r="R259" s="4" t="str">
        <f>VLOOKUP($B259,'D7 - NDB Impacted SPRF''s'!$E$16:$O$9929,11,FALSE)</f>
        <v>N</v>
      </c>
      <c r="S259" s="8"/>
      <c r="T259" s="310"/>
      <c r="U259" s="310"/>
      <c r="V259" s="4"/>
      <c r="W259" s="4"/>
      <c r="X259" s="4"/>
      <c r="Y259" s="4"/>
      <c r="Z259" s="4"/>
      <c r="AA259" s="4"/>
      <c r="AB259" s="380" t="str">
        <f>VLOOKUP($B259,'D7 - NDB Impacted SPRF''s'!$E$6:$O$9929,4,FALSE)</f>
        <v>Scheduled</v>
      </c>
      <c r="AC259" s="380" t="str">
        <f>VLOOKUP($B259,'D7 - NDB Impacted SPRF''s'!$E$6:$O$9929,3,FALSE)</f>
        <v>OptumHealth</v>
      </c>
      <c r="AD259" s="380" t="str">
        <f>VLOOKUP($B259,'D7 - NDB Impacted SPRF''s'!$E$6:$O$9929,5,FALSE)</f>
        <v>OptumHealth Care Solutions</v>
      </c>
      <c r="AE259" s="380" t="str">
        <f>VLOOKUP($B259,'D7 - NDB Impacted SPRF''s'!$E$6:$O$9929,7,FALSE)</f>
        <v>Jason Vanden Akker</v>
      </c>
      <c r="AF259" s="380" t="str">
        <f>VLOOKUP($B259,'D7 - NDB Impacted SPRF''s'!$E$6:$O$9929,6,FALSE)</f>
        <v>Lindsay Olson</v>
      </c>
      <c r="AG259" s="282"/>
      <c r="AH259" s="311" t="e">
        <f>INDEX('D5 - Gatekeeper - Projects'!$A$4:$AF$1010,$AM259, 17)</f>
        <v>#N/A</v>
      </c>
      <c r="AI259" s="8"/>
      <c r="AJ259" s="57"/>
      <c r="AK259" s="105"/>
      <c r="AM259" s="6" t="e">
        <f>MATCH(D259,'D5 - Gatekeeper - Projects'!$C$4:$C$1010,0)</f>
        <v>#N/A</v>
      </c>
      <c r="AN259" s="6" t="b">
        <f t="shared" si="24"/>
        <v>1</v>
      </c>
      <c r="AO259" s="6" t="str">
        <f t="shared" si="27"/>
        <v>OK</v>
      </c>
      <c r="AQ259" s="6">
        <f>MATCH($D259,'D4 - Provider Council Unsched'!$C$11:$C$234,0)</f>
        <v>65</v>
      </c>
      <c r="AR259" s="6" t="b">
        <f t="shared" si="25"/>
        <v>0</v>
      </c>
      <c r="AS259" s="6" t="str">
        <f t="shared" si="29"/>
        <v>OK</v>
      </c>
      <c r="AU259" s="202"/>
      <c r="AV259" s="394" t="s">
        <v>2233</v>
      </c>
      <c r="AW259" s="274"/>
    </row>
    <row r="260" spans="1:49" s="13" customFormat="1" ht="33.75" x14ac:dyDescent="0.2">
      <c r="A260" s="14">
        <v>228</v>
      </c>
      <c r="B260" s="8">
        <v>400056783</v>
      </c>
      <c r="C260" s="8" t="s">
        <v>1447</v>
      </c>
      <c r="D260" s="4" t="str">
        <f t="shared" si="26"/>
        <v>400056783A</v>
      </c>
      <c r="E260" s="332" t="str">
        <f>VLOOKUP($B260,'D7 - NDB Impacted SPRF''s'!$E$6:$O$9929,2,FALSE)</f>
        <v>NDC Provider Additions to EDI Submission Process</v>
      </c>
      <c r="F260" s="8"/>
      <c r="G260" s="8" t="s">
        <v>7980</v>
      </c>
      <c r="H260" s="8" t="s">
        <v>6266</v>
      </c>
      <c r="I260" s="20"/>
      <c r="J260" s="8"/>
      <c r="K260" s="182"/>
      <c r="L260" s="8" t="s">
        <v>4156</v>
      </c>
      <c r="M260" s="8" t="s">
        <v>2814</v>
      </c>
      <c r="N260" s="38"/>
      <c r="O260" s="8"/>
      <c r="P260" s="4" t="str">
        <f>VLOOKUP($B260,'D7 - NDB Impacted SPRF''s'!$E$16:$O$9929,9,FALSE)</f>
        <v>N</v>
      </c>
      <c r="Q260" s="4" t="str">
        <f>VLOOKUP($B260,'D7 - NDB Impacted SPRF''s'!$E$16:$O$9929,10,FALSE)</f>
        <v>N</v>
      </c>
      <c r="R260" s="4" t="str">
        <f>VLOOKUP($B260,'D7 - NDB Impacted SPRF''s'!$E$16:$O$9929,11,FALSE)</f>
        <v>Y</v>
      </c>
      <c r="S260" s="8"/>
      <c r="T260" s="310"/>
      <c r="U260" s="310"/>
      <c r="V260" s="4"/>
      <c r="W260" s="4"/>
      <c r="X260" s="4"/>
      <c r="Y260" s="4"/>
      <c r="Z260" s="4"/>
      <c r="AA260" s="4"/>
      <c r="AB260" s="380" t="str">
        <f>VLOOKUP($B260,'D7 - NDB Impacted SPRF''s'!$E$6:$O$9929,4,FALSE)</f>
        <v>In Estimating</v>
      </c>
      <c r="AC260" s="380" t="str">
        <f>VLOOKUP($B260,'D7 - NDB Impacted SPRF''s'!$E$6:$O$9929,3,FALSE)</f>
        <v>UnitedHealthcare Employer &amp; Individual</v>
      </c>
      <c r="AD260" s="380" t="str">
        <f>VLOOKUP($B260,'D7 - NDB Impacted SPRF''s'!$E$6:$O$9929,5,FALSE)</f>
        <v>Operational Requirements</v>
      </c>
      <c r="AE260" s="380" t="str">
        <f>VLOOKUP($B260,'D7 - NDB Impacted SPRF''s'!$E$6:$O$9929,7,FALSE)</f>
        <v>Greg Dosedel</v>
      </c>
      <c r="AF260" s="380" t="str">
        <f>VLOOKUP($B260,'D7 - NDB Impacted SPRF''s'!$E$6:$O$9929,6,FALSE)</f>
        <v>Nicholas D'ambrose</v>
      </c>
      <c r="AG260" s="282"/>
      <c r="AH260" s="311" t="e">
        <f>INDEX('D5 - Gatekeeper - Projects'!$A$4:$AF$1010,$AM260, 17)</f>
        <v>#N/A</v>
      </c>
      <c r="AI260" s="8"/>
      <c r="AJ260" s="57"/>
      <c r="AK260" s="105"/>
      <c r="AM260" s="6" t="e">
        <f>MATCH(D260,'D5 - Gatekeeper - Projects'!$C$4:$C$1010,0)</f>
        <v>#N/A</v>
      </c>
      <c r="AN260" s="6" t="b">
        <f t="shared" si="24"/>
        <v>1</v>
      </c>
      <c r="AO260" s="6" t="str">
        <f t="shared" si="27"/>
        <v>OK</v>
      </c>
      <c r="AQ260" s="6">
        <f>MATCH($D260,'D4 - Provider Council Unsched'!$C$11:$C$234,0)</f>
        <v>23</v>
      </c>
      <c r="AR260" s="6" t="b">
        <f t="shared" si="25"/>
        <v>0</v>
      </c>
      <c r="AS260" s="6" t="str">
        <f t="shared" si="29"/>
        <v>OK</v>
      </c>
      <c r="AU260" s="202"/>
      <c r="AV260" s="328" t="s">
        <v>7502</v>
      </c>
      <c r="AW260" s="274"/>
    </row>
    <row r="261" spans="1:49" s="13" customFormat="1" ht="33.75" x14ac:dyDescent="0.2">
      <c r="A261" s="14">
        <v>229</v>
      </c>
      <c r="B261" s="8">
        <v>400056790</v>
      </c>
      <c r="C261" s="8" t="s">
        <v>1447</v>
      </c>
      <c r="D261" s="4" t="str">
        <f t="shared" si="26"/>
        <v>400056790A</v>
      </c>
      <c r="E261" s="309" t="str">
        <f>VLOOKUP($B261,'D7 - NDB Impacted SPRF''s'!$E$6:$O$9929,2,FALSE)</f>
        <v xml:space="preserve">HCR- NICE: Plan Effective Date &amp; Field Length </v>
      </c>
      <c r="F261" s="8"/>
      <c r="G261" s="8" t="s">
        <v>7980</v>
      </c>
      <c r="H261" s="8" t="s">
        <v>6266</v>
      </c>
      <c r="I261" s="20"/>
      <c r="J261" s="8"/>
      <c r="K261" s="182"/>
      <c r="L261" s="8" t="s">
        <v>4156</v>
      </c>
      <c r="M261" s="8" t="s">
        <v>2814</v>
      </c>
      <c r="N261" s="38"/>
      <c r="O261" s="8"/>
      <c r="P261" s="4" t="str">
        <f>VLOOKUP($B261,'D7 - NDB Impacted SPRF''s'!$E$16:$O$9929,9,FALSE)</f>
        <v>N</v>
      </c>
      <c r="Q261" s="4" t="str">
        <f>VLOOKUP($B261,'D7 - NDB Impacted SPRF''s'!$E$16:$O$9929,10,FALSE)</f>
        <v>N</v>
      </c>
      <c r="R261" s="4" t="str">
        <f>VLOOKUP($B261,'D7 - NDB Impacted SPRF''s'!$E$16:$O$9929,11,FALSE)</f>
        <v>N</v>
      </c>
      <c r="S261" s="8"/>
      <c r="T261" s="310"/>
      <c r="U261" s="310"/>
      <c r="V261" s="4"/>
      <c r="W261" s="4"/>
      <c r="X261" s="4"/>
      <c r="Y261" s="4"/>
      <c r="Z261" s="4"/>
      <c r="AA261" s="4"/>
      <c r="AB261" s="380" t="str">
        <f>VLOOKUP($B261,'D7 - NDB Impacted SPRF''s'!$E$6:$O$9929,4,FALSE)</f>
        <v>In Estimating</v>
      </c>
      <c r="AC261" s="380" t="str">
        <f>VLOOKUP($B261,'D7 - NDB Impacted SPRF''s'!$E$6:$O$9929,3,FALSE)</f>
        <v>UnitedHealthcare Employer &amp; Individual</v>
      </c>
      <c r="AD261" s="380" t="str">
        <f>VLOOKUP($B261,'D7 - NDB Impacted SPRF''s'!$E$6:$O$9929,5,FALSE)</f>
        <v>Operational Requirements</v>
      </c>
      <c r="AE261" s="380" t="str">
        <f>VLOOKUP($B261,'D7 - NDB Impacted SPRF''s'!$E$6:$O$9929,7,FALSE)</f>
        <v>Claire Hannan</v>
      </c>
      <c r="AF261" s="380" t="str">
        <f>VLOOKUP($B261,'D7 - NDB Impacted SPRF''s'!$E$6:$O$9929,6,FALSE)</f>
        <v>Anna Flynn</v>
      </c>
      <c r="AG261" s="282"/>
      <c r="AH261" s="311" t="e">
        <f>INDEX('D5 - Gatekeeper - Projects'!$A$4:$AF$1010,$AM261, 17)</f>
        <v>#N/A</v>
      </c>
      <c r="AI261" s="8"/>
      <c r="AJ261" s="57"/>
      <c r="AK261" s="105"/>
      <c r="AM261" s="6" t="e">
        <f>MATCH(D261,'D5 - Gatekeeper - Projects'!$C$4:$C$1010,0)</f>
        <v>#N/A</v>
      </c>
      <c r="AN261" s="6" t="b">
        <f t="shared" si="24"/>
        <v>1</v>
      </c>
      <c r="AO261" s="6" t="str">
        <f t="shared" si="27"/>
        <v>OK</v>
      </c>
      <c r="AQ261" s="6">
        <f>MATCH($D261,'D4 - Provider Council Unsched'!$C$11:$C$234,0)</f>
        <v>22</v>
      </c>
      <c r="AR261" s="6" t="b">
        <f t="shared" si="25"/>
        <v>0</v>
      </c>
      <c r="AS261" s="6" t="str">
        <f t="shared" si="29"/>
        <v>OK</v>
      </c>
      <c r="AU261" s="202"/>
      <c r="AV261" s="328" t="s">
        <v>611</v>
      </c>
      <c r="AW261" s="274"/>
    </row>
    <row r="262" spans="1:49" s="13" customFormat="1" ht="11.25" customHeight="1" x14ac:dyDescent="0.2">
      <c r="A262" s="14">
        <v>230</v>
      </c>
      <c r="B262" s="8">
        <v>400056838</v>
      </c>
      <c r="C262" s="8" t="s">
        <v>1447</v>
      </c>
      <c r="D262" s="4" t="str">
        <f t="shared" si="26"/>
        <v>400056838A</v>
      </c>
      <c r="E262" s="309" t="str">
        <f>VLOOKUP($B262,'D7 - NDB Impacted SPRF''s'!$E$6:$O$9929,2,FALSE)</f>
        <v>Medica - UHG HCR - Exchange - SHOP - C266 - 1</v>
      </c>
      <c r="F262" s="8"/>
      <c r="G262" s="8" t="s">
        <v>7980</v>
      </c>
      <c r="H262" s="8" t="s">
        <v>6266</v>
      </c>
      <c r="I262" s="20"/>
      <c r="J262" s="8"/>
      <c r="K262" s="182"/>
      <c r="L262" s="8" t="s">
        <v>4156</v>
      </c>
      <c r="M262" s="8" t="s">
        <v>2814</v>
      </c>
      <c r="N262" s="38"/>
      <c r="O262" s="8"/>
      <c r="P262" s="4" t="str">
        <f>VLOOKUP($B262,'D7 - NDB Impacted SPRF''s'!$E$16:$O$9929,9,FALSE)</f>
        <v>N</v>
      </c>
      <c r="Q262" s="4" t="str">
        <f>VLOOKUP($B262,'D7 - NDB Impacted SPRF''s'!$E$16:$O$9929,10,FALSE)</f>
        <v>N</v>
      </c>
      <c r="R262" s="4" t="str">
        <f>VLOOKUP($B262,'D7 - NDB Impacted SPRF''s'!$E$16:$O$9929,11,FALSE)</f>
        <v>N</v>
      </c>
      <c r="S262" s="8"/>
      <c r="T262" s="310"/>
      <c r="U262" s="310"/>
      <c r="V262" s="4"/>
      <c r="W262" s="4"/>
      <c r="X262" s="4"/>
      <c r="Y262" s="4"/>
      <c r="Z262" s="4"/>
      <c r="AA262" s="4"/>
      <c r="AB262" s="380" t="str">
        <f>VLOOKUP($B262,'D7 - NDB Impacted SPRF''s'!$E$6:$O$9929,4,FALSE)</f>
        <v>Scheduled</v>
      </c>
      <c r="AC262" s="380" t="str">
        <f>VLOOKUP($B262,'D7 - NDB Impacted SPRF''s'!$E$6:$O$9929,3,FALSE)</f>
        <v>UHG IT - Shared Services</v>
      </c>
      <c r="AD262" s="380" t="str">
        <f>VLOOKUP($B262,'D7 - NDB Impacted SPRF''s'!$E$6:$O$9929,5,FALSE)</f>
        <v>Medica Funded</v>
      </c>
      <c r="AE262" s="380" t="str">
        <f>VLOOKUP($B262,'D7 - NDB Impacted SPRF''s'!$E$6:$O$9929,7,FALSE)</f>
        <v>Pam Stegora-Axberg</v>
      </c>
      <c r="AF262" s="380" t="str">
        <f>VLOOKUP($B262,'D7 - NDB Impacted SPRF''s'!$E$6:$O$9929,6,FALSE)</f>
        <v>Linda Dooley</v>
      </c>
      <c r="AG262" s="282"/>
      <c r="AH262" s="311" t="e">
        <f>INDEX('D5 - Gatekeeper - Projects'!$A$4:$AF$1010,$AM262, 17)</f>
        <v>#N/A</v>
      </c>
      <c r="AI262" s="8"/>
      <c r="AJ262" s="57"/>
      <c r="AK262" s="105"/>
      <c r="AM262" s="6" t="e">
        <f>MATCH(D262,'D5 - Gatekeeper - Projects'!$C$4:$C$1010,0)</f>
        <v>#N/A</v>
      </c>
      <c r="AN262" s="6" t="b">
        <f t="shared" si="24"/>
        <v>1</v>
      </c>
      <c r="AO262" s="6" t="str">
        <f t="shared" si="27"/>
        <v>OK</v>
      </c>
      <c r="AQ262" s="6">
        <f>MATCH($D262,'D4 - Provider Council Unsched'!$C$11:$C$234,0)</f>
        <v>27</v>
      </c>
      <c r="AR262" s="6" t="b">
        <f t="shared" si="25"/>
        <v>0</v>
      </c>
      <c r="AS262" s="6" t="str">
        <f t="shared" si="29"/>
        <v>OK</v>
      </c>
      <c r="AU262" s="202"/>
      <c r="AV262" s="327" t="s">
        <v>2236</v>
      </c>
      <c r="AW262" s="274"/>
    </row>
    <row r="263" spans="1:49" s="13" customFormat="1" ht="11.25" customHeight="1" x14ac:dyDescent="0.2">
      <c r="A263" s="14">
        <v>234</v>
      </c>
      <c r="B263" s="8">
        <v>400057607</v>
      </c>
      <c r="C263" s="8" t="s">
        <v>1447</v>
      </c>
      <c r="D263" s="4" t="str">
        <f t="shared" si="26"/>
        <v>400057607A</v>
      </c>
      <c r="E263" s="309" t="str">
        <f>VLOOKUP($B263,'D7 - NDB Impacted SPRF''s'!$E$6:$O$9929,2,FALSE)</f>
        <v>TOPS Password Strength Remediation</v>
      </c>
      <c r="F263" s="8"/>
      <c r="G263" s="8" t="s">
        <v>7980</v>
      </c>
      <c r="H263" s="8" t="s">
        <v>6266</v>
      </c>
      <c r="I263" s="20"/>
      <c r="J263" s="8"/>
      <c r="K263" s="182"/>
      <c r="L263" s="8" t="s">
        <v>4156</v>
      </c>
      <c r="M263" s="8" t="s">
        <v>2814</v>
      </c>
      <c r="N263" s="38"/>
      <c r="O263" s="8"/>
      <c r="P263" s="4" t="str">
        <f>VLOOKUP($B263,'D7 - NDB Impacted SPRF''s'!$E$16:$O$9929,9,FALSE)</f>
        <v>Y</v>
      </c>
      <c r="Q263" s="4" t="str">
        <f>VLOOKUP($B263,'D7 - NDB Impacted SPRF''s'!$E$16:$O$9929,10,FALSE)</f>
        <v>N</v>
      </c>
      <c r="R263" s="4" t="str">
        <f>VLOOKUP($B263,'D7 - NDB Impacted SPRF''s'!$E$16:$O$9929,11,FALSE)</f>
        <v>N</v>
      </c>
      <c r="S263" s="8"/>
      <c r="T263" s="310"/>
      <c r="U263" s="310"/>
      <c r="V263" s="4"/>
      <c r="W263" s="4"/>
      <c r="X263" s="4"/>
      <c r="Y263" s="4"/>
      <c r="Z263" s="4"/>
      <c r="AA263" s="4"/>
      <c r="AB263" s="380" t="str">
        <f>VLOOKUP($B263,'D7 - NDB Impacted SPRF''s'!$E$6:$O$9929,4,FALSE)</f>
        <v>In Strategy Council</v>
      </c>
      <c r="AC263" s="380" t="str">
        <f>VLOOKUP($B263,'D7 - NDB Impacted SPRF''s'!$E$6:$O$9929,3,FALSE)</f>
        <v>UnitedHealthcare Employer &amp; Individual</v>
      </c>
      <c r="AD263" s="380" t="str">
        <f>VLOOKUP($B263,'D7 - NDB Impacted SPRF''s'!$E$6:$O$9929,5,FALSE)</f>
        <v>Regulatory / Other</v>
      </c>
      <c r="AE263" s="380" t="str">
        <f>VLOOKUP($B263,'D7 - NDB Impacted SPRF''s'!$E$6:$O$9929,7,FALSE)</f>
        <v>John O'Neill</v>
      </c>
      <c r="AF263" s="380" t="str">
        <f>VLOOKUP($B263,'D7 - NDB Impacted SPRF''s'!$E$6:$O$9929,6,FALSE)</f>
        <v>Powers A</v>
      </c>
      <c r="AG263" s="282"/>
      <c r="AH263" s="311" t="e">
        <f>INDEX('D5 - Gatekeeper - Projects'!$A$4:$AF$1010,$AM263, 17)</f>
        <v>#N/A</v>
      </c>
      <c r="AI263" s="8"/>
      <c r="AJ263" s="57"/>
      <c r="AK263" s="105"/>
      <c r="AM263" s="6" t="e">
        <f>MATCH(D263,'D5 - Gatekeeper - Projects'!$C$4:$C$1010,0)</f>
        <v>#N/A</v>
      </c>
      <c r="AN263" s="6" t="b">
        <f t="shared" si="24"/>
        <v>1</v>
      </c>
      <c r="AO263" s="6" t="str">
        <f t="shared" si="27"/>
        <v>OK</v>
      </c>
      <c r="AQ263" s="6">
        <f>MATCH($D263,'D4 - Provider Council Unsched'!$C$11:$C$234,0)</f>
        <v>36</v>
      </c>
      <c r="AR263" s="6" t="b">
        <f t="shared" si="25"/>
        <v>0</v>
      </c>
      <c r="AS263" s="6" t="str">
        <f t="shared" si="29"/>
        <v>OK</v>
      </c>
      <c r="AU263" s="202"/>
      <c r="AV263" s="394" t="s">
        <v>476</v>
      </c>
      <c r="AW263" s="274"/>
    </row>
    <row r="264" spans="1:49" s="13" customFormat="1" ht="11.25" customHeight="1" x14ac:dyDescent="0.2">
      <c r="A264" s="14">
        <v>235</v>
      </c>
      <c r="B264" s="8">
        <v>400057740</v>
      </c>
      <c r="C264" s="8" t="s">
        <v>1447</v>
      </c>
      <c r="D264" s="4" t="str">
        <f t="shared" si="26"/>
        <v>400057740A</v>
      </c>
      <c r="E264" s="309" t="str">
        <f>VLOOKUP($B264,'D7 - NDB Impacted SPRF''s'!$E$6:$O$9929,2,FALSE)</f>
        <v>PLM EEMS 2013 - Full AD effort</v>
      </c>
      <c r="F264" s="8"/>
      <c r="G264" s="8" t="s">
        <v>7980</v>
      </c>
      <c r="H264" s="8" t="s">
        <v>6266</v>
      </c>
      <c r="I264" s="20"/>
      <c r="J264" s="8"/>
      <c r="K264" s="182"/>
      <c r="L264" s="8" t="s">
        <v>4156</v>
      </c>
      <c r="M264" s="8" t="s">
        <v>2814</v>
      </c>
      <c r="N264" s="38"/>
      <c r="O264" s="8"/>
      <c r="P264" s="4" t="str">
        <f>VLOOKUP($B264,'D7 - NDB Impacted SPRF''s'!$E$16:$O$9929,9,FALSE)</f>
        <v>N</v>
      </c>
      <c r="Q264" s="4" t="str">
        <f>VLOOKUP($B264,'D7 - NDB Impacted SPRF''s'!$E$16:$O$9929,10,FALSE)</f>
        <v>N</v>
      </c>
      <c r="R264" s="4" t="str">
        <f>VLOOKUP($B264,'D7 - NDB Impacted SPRF''s'!$E$16:$O$9929,11,FALSE)</f>
        <v>N</v>
      </c>
      <c r="S264" s="8"/>
      <c r="T264" s="310"/>
      <c r="U264" s="310"/>
      <c r="V264" s="4"/>
      <c r="W264" s="4"/>
      <c r="X264" s="4"/>
      <c r="Y264" s="4"/>
      <c r="Z264" s="4"/>
      <c r="AA264" s="4"/>
      <c r="AB264" s="380" t="str">
        <f>VLOOKUP($B264,'D7 - NDB Impacted SPRF''s'!$E$6:$O$9929,4,FALSE)</f>
        <v>In IT Leadership Estimate Review</v>
      </c>
      <c r="AC264" s="380" t="str">
        <f>VLOOKUP($B264,'D7 - NDB Impacted SPRF''s'!$E$6:$O$9929,3,FALSE)</f>
        <v>UnitedHealthcare Employer &amp; Individual</v>
      </c>
      <c r="AD264" s="380" t="str">
        <f>VLOOKUP($B264,'D7 - NDB Impacted SPRF''s'!$E$6:$O$9929,5,FALSE)</f>
        <v>Infrastructure Requirements</v>
      </c>
      <c r="AE264" s="380" t="str">
        <f>VLOOKUP($B264,'D7 - NDB Impacted SPRF''s'!$E$6:$O$9929,7,FALSE)</f>
        <v>Dominic Buonocore</v>
      </c>
      <c r="AF264" s="380" t="str">
        <f>VLOOKUP($B264,'D7 - NDB Impacted SPRF''s'!$E$6:$O$9929,6,FALSE)</f>
        <v>Joanne Hepp</v>
      </c>
      <c r="AG264" s="282"/>
      <c r="AH264" s="311" t="e">
        <f>INDEX('D5 - Gatekeeper - Projects'!$A$4:$AF$1010,$AM264, 17)</f>
        <v>#N/A</v>
      </c>
      <c r="AI264" s="8"/>
      <c r="AJ264" s="57"/>
      <c r="AK264" s="105"/>
      <c r="AM264" s="6" t="e">
        <f>MATCH(D264,'D5 - Gatekeeper - Projects'!$C$4:$C$1010,0)</f>
        <v>#N/A</v>
      </c>
      <c r="AN264" s="6" t="b">
        <f t="shared" si="24"/>
        <v>1</v>
      </c>
      <c r="AO264" s="6" t="str">
        <f t="shared" si="27"/>
        <v>OK</v>
      </c>
      <c r="AQ264" s="6">
        <f>MATCH($D264,'D4 - Provider Council Unsched'!$C$11:$C$234,0)</f>
        <v>30</v>
      </c>
      <c r="AR264" s="6" t="b">
        <f t="shared" si="25"/>
        <v>0</v>
      </c>
      <c r="AS264" s="6" t="str">
        <f t="shared" si="29"/>
        <v>OK</v>
      </c>
      <c r="AU264" s="202"/>
      <c r="AV264" s="330" t="s">
        <v>736</v>
      </c>
      <c r="AW264" s="274"/>
    </row>
    <row r="265" spans="1:49" s="13" customFormat="1" ht="11.25" customHeight="1" x14ac:dyDescent="0.2">
      <c r="A265" s="14">
        <v>236</v>
      </c>
      <c r="B265" s="8">
        <v>400057748</v>
      </c>
      <c r="C265" s="8" t="s">
        <v>1447</v>
      </c>
      <c r="D265" s="4" t="str">
        <f t="shared" si="26"/>
        <v>400057748A</v>
      </c>
      <c r="E265" s="309" t="str">
        <f>VLOOKUP($B265,'D7 - NDB Impacted SPRF''s'!$E$6:$O$9929,2,FALSE)</f>
        <v>PLM CDB 2013 - AD</v>
      </c>
      <c r="F265" s="8"/>
      <c r="G265" s="8" t="s">
        <v>7980</v>
      </c>
      <c r="H265" s="8" t="s">
        <v>6266</v>
      </c>
      <c r="I265" s="20"/>
      <c r="J265" s="8"/>
      <c r="K265" s="182"/>
      <c r="L265" s="8" t="s">
        <v>4156</v>
      </c>
      <c r="M265" s="8" t="s">
        <v>2814</v>
      </c>
      <c r="N265" s="38"/>
      <c r="O265" s="8"/>
      <c r="P265" s="4" t="str">
        <f>VLOOKUP($B265,'D7 - NDB Impacted SPRF''s'!$E$16:$O$9929,9,FALSE)</f>
        <v>N</v>
      </c>
      <c r="Q265" s="4" t="str">
        <f>VLOOKUP($B265,'D7 - NDB Impacted SPRF''s'!$E$16:$O$9929,10,FALSE)</f>
        <v>N</v>
      </c>
      <c r="R265" s="4" t="str">
        <f>VLOOKUP($B265,'D7 - NDB Impacted SPRF''s'!$E$16:$O$9929,11,FALSE)</f>
        <v>N</v>
      </c>
      <c r="S265" s="8"/>
      <c r="T265" s="310"/>
      <c r="U265" s="310"/>
      <c r="V265" s="4"/>
      <c r="W265" s="4"/>
      <c r="X265" s="4"/>
      <c r="Y265" s="4"/>
      <c r="Z265" s="4"/>
      <c r="AA265" s="4"/>
      <c r="AB265" s="380" t="str">
        <f>VLOOKUP($B265,'D7 - NDB Impacted SPRF''s'!$E$6:$O$9929,4,FALSE)</f>
        <v>In IT Leadership Estimate Review</v>
      </c>
      <c r="AC265" s="380" t="str">
        <f>VLOOKUP($B265,'D7 - NDB Impacted SPRF''s'!$E$6:$O$9929,3,FALSE)</f>
        <v>UnitedHealthcare Employer &amp; Individual</v>
      </c>
      <c r="AD265" s="380" t="str">
        <f>VLOOKUP($B265,'D7 - NDB Impacted SPRF''s'!$E$6:$O$9929,5,FALSE)</f>
        <v>Infrastructure Requirements</v>
      </c>
      <c r="AE265" s="380" t="str">
        <f>VLOOKUP($B265,'D7 - NDB Impacted SPRF''s'!$E$6:$O$9929,7,FALSE)</f>
        <v>Dominic Buonocore</v>
      </c>
      <c r="AF265" s="380" t="str">
        <f>VLOOKUP($B265,'D7 - NDB Impacted SPRF''s'!$E$6:$O$9929,6,FALSE)</f>
        <v>Joanne Hepp</v>
      </c>
      <c r="AG265" s="282"/>
      <c r="AH265" s="311" t="e">
        <f>INDEX('D5 - Gatekeeper - Projects'!$A$4:$AF$1010,$AM265, 17)</f>
        <v>#N/A</v>
      </c>
      <c r="AI265" s="8"/>
      <c r="AJ265" s="57"/>
      <c r="AK265" s="105"/>
      <c r="AM265" s="6" t="e">
        <f>MATCH(D265,'D5 - Gatekeeper - Projects'!$C$4:$C$1010,0)</f>
        <v>#N/A</v>
      </c>
      <c r="AN265" s="6" t="b">
        <f t="shared" si="24"/>
        <v>1</v>
      </c>
      <c r="AO265" s="6" t="str">
        <f t="shared" si="27"/>
        <v>OK</v>
      </c>
      <c r="AQ265" s="6">
        <f>MATCH($D265,'D4 - Provider Council Unsched'!$C$11:$C$234,0)</f>
        <v>29</v>
      </c>
      <c r="AR265" s="6" t="b">
        <f t="shared" si="25"/>
        <v>0</v>
      </c>
      <c r="AS265" s="6" t="str">
        <f t="shared" si="29"/>
        <v>OK</v>
      </c>
      <c r="AU265" s="202"/>
      <c r="AV265" s="335" t="s">
        <v>736</v>
      </c>
      <c r="AW265" s="274"/>
    </row>
    <row r="266" spans="1:49" s="13" customFormat="1" ht="33.75" x14ac:dyDescent="0.2">
      <c r="A266" s="14">
        <v>237</v>
      </c>
      <c r="B266" s="8">
        <v>400058005</v>
      </c>
      <c r="C266" s="8" t="s">
        <v>1447</v>
      </c>
      <c r="D266" s="4" t="str">
        <f t="shared" si="26"/>
        <v>400058005A</v>
      </c>
      <c r="E266" s="309" t="str">
        <f>VLOOKUP($B266,'D7 - NDB Impacted SPRF''s'!$E$6:$O$9929,2,FALSE)</f>
        <v>Walmart Co-branding on Member Collateral</v>
      </c>
      <c r="F266" s="8"/>
      <c r="G266" s="8" t="s">
        <v>7980</v>
      </c>
      <c r="H266" s="8" t="s">
        <v>6266</v>
      </c>
      <c r="I266" s="20"/>
      <c r="J266" s="8"/>
      <c r="K266" s="182"/>
      <c r="L266" s="8" t="s">
        <v>4156</v>
      </c>
      <c r="M266" s="8" t="s">
        <v>2814</v>
      </c>
      <c r="N266" s="38"/>
      <c r="O266" s="8"/>
      <c r="P266" s="4" t="str">
        <f>VLOOKUP($B266,'D7 - NDB Impacted SPRF''s'!$E$16:$O$9929,9,FALSE)</f>
        <v>Y</v>
      </c>
      <c r="Q266" s="4" t="str">
        <f>VLOOKUP($B266,'D7 - NDB Impacted SPRF''s'!$E$16:$O$9929,10,FALSE)</f>
        <v>N</v>
      </c>
      <c r="R266" s="4" t="str">
        <f>VLOOKUP($B266,'D7 - NDB Impacted SPRF''s'!$E$16:$O$9929,11,FALSE)</f>
        <v>N</v>
      </c>
      <c r="S266" s="8"/>
      <c r="T266" s="310"/>
      <c r="U266" s="310"/>
      <c r="V266" s="4"/>
      <c r="W266" s="4"/>
      <c r="X266" s="4"/>
      <c r="Y266" s="4"/>
      <c r="Z266" s="4"/>
      <c r="AA266" s="4"/>
      <c r="AB266" s="380" t="str">
        <f>VLOOKUP($B266,'D7 - NDB Impacted SPRF''s'!$E$6:$O$9929,4,FALSE)</f>
        <v>In Estimating</v>
      </c>
      <c r="AC266" s="380" t="str">
        <f>VLOOKUP($B266,'D7 - NDB Impacted SPRF''s'!$E$6:$O$9929,3,FALSE)</f>
        <v>UnitedHealthcare Employer &amp; Individual</v>
      </c>
      <c r="AD266" s="380" t="str">
        <f>VLOOKUP($B266,'D7 - NDB Impacted SPRF''s'!$E$6:$O$9929,5,FALSE)</f>
        <v>Customer Requirements</v>
      </c>
      <c r="AE266" s="380" t="str">
        <f>VLOOKUP($B266,'D7 - NDB Impacted SPRF''s'!$E$6:$O$9929,7,FALSE)</f>
        <v>John Cravero</v>
      </c>
      <c r="AF266" s="380" t="str">
        <f>VLOOKUP($B266,'D7 - NDB Impacted SPRF''s'!$E$6:$O$9929,6,FALSE)</f>
        <v>DAWN ROMERO</v>
      </c>
      <c r="AG266" s="282"/>
      <c r="AH266" s="311" t="e">
        <f>INDEX('D5 - Gatekeeper - Projects'!$A$4:$AF$1010,$AM266, 17)</f>
        <v>#N/A</v>
      </c>
      <c r="AI266" s="8"/>
      <c r="AJ266" s="57"/>
      <c r="AK266" s="105"/>
      <c r="AM266" s="6" t="e">
        <f>MATCH(D266,'D5 - Gatekeeper - Projects'!$C$4:$C$1010,0)</f>
        <v>#N/A</v>
      </c>
      <c r="AN266" s="6" t="b">
        <f t="shared" si="24"/>
        <v>1</v>
      </c>
      <c r="AO266" s="6" t="str">
        <f t="shared" si="27"/>
        <v>OK</v>
      </c>
      <c r="AQ266" s="6">
        <f>MATCH($D266,'D4 - Provider Council Unsched'!$C$11:$C$234,0)</f>
        <v>31</v>
      </c>
      <c r="AR266" s="6" t="b">
        <f t="shared" si="25"/>
        <v>0</v>
      </c>
      <c r="AS266" s="6" t="str">
        <f t="shared" si="29"/>
        <v>OK</v>
      </c>
      <c r="AU266" s="202"/>
      <c r="AV266" s="394" t="s">
        <v>3511</v>
      </c>
      <c r="AW266" s="274"/>
    </row>
    <row r="267" spans="1:49" s="13" customFormat="1" ht="11.25" customHeight="1" x14ac:dyDescent="0.2">
      <c r="A267" s="14">
        <v>238</v>
      </c>
      <c r="B267" s="8">
        <v>400058033</v>
      </c>
      <c r="C267" s="8" t="s">
        <v>1447</v>
      </c>
      <c r="D267" s="4" t="str">
        <f t="shared" si="26"/>
        <v>400058033A</v>
      </c>
      <c r="E267" s="309" t="str">
        <f>VLOOKUP($B267,'D7 - NDB Impacted SPRF''s'!$E$6:$O$9929,2,FALSE)</f>
        <v>Gated and Non-Gatefd Networks &amp; Product Fixes</v>
      </c>
      <c r="F267" s="8"/>
      <c r="G267" s="8" t="s">
        <v>7980</v>
      </c>
      <c r="H267" s="8" t="s">
        <v>6266</v>
      </c>
      <c r="I267" s="20"/>
      <c r="J267" s="8"/>
      <c r="K267" s="182"/>
      <c r="L267" s="8" t="s">
        <v>4156</v>
      </c>
      <c r="M267" s="8" t="s">
        <v>2814</v>
      </c>
      <c r="N267" s="38"/>
      <c r="O267" s="8"/>
      <c r="P267" s="4" t="str">
        <f>VLOOKUP($B267,'D7 - NDB Impacted SPRF''s'!$E$16:$O$9929,9,FALSE)</f>
        <v>N</v>
      </c>
      <c r="Q267" s="4" t="str">
        <f>VLOOKUP($B267,'D7 - NDB Impacted SPRF''s'!$E$16:$O$9929,10,FALSE)</f>
        <v>N</v>
      </c>
      <c r="R267" s="4" t="str">
        <f>VLOOKUP($B267,'D7 - NDB Impacted SPRF''s'!$E$16:$O$9929,11,FALSE)</f>
        <v>N</v>
      </c>
      <c r="S267" s="8"/>
      <c r="T267" s="310"/>
      <c r="U267" s="310"/>
      <c r="V267" s="4"/>
      <c r="W267" s="4"/>
      <c r="X267" s="4"/>
      <c r="Y267" s="4"/>
      <c r="Z267" s="4"/>
      <c r="AA267" s="4"/>
      <c r="AB267" s="380" t="str">
        <f>VLOOKUP($B267,'D7 - NDB Impacted SPRF''s'!$E$6:$O$9929,4,FALSE)</f>
        <v>In Program Manager Request Review</v>
      </c>
      <c r="AC267" s="380" t="str">
        <f>VLOOKUP($B267,'D7 - NDB Impacted SPRF''s'!$E$6:$O$9929,3,FALSE)</f>
        <v>UnitedHealthcare Employer &amp; Individual</v>
      </c>
      <c r="AD267" s="380" t="str">
        <f>VLOOKUP($B267,'D7 - NDB Impacted SPRF''s'!$E$6:$O$9929,5,FALSE)</f>
        <v>Infrastructure Requirements</v>
      </c>
      <c r="AE267" s="380" t="str">
        <f>VLOOKUP($B267,'D7 - NDB Impacted SPRF''s'!$E$6:$O$9929,7,FALSE)</f>
        <v>Eileen Dock</v>
      </c>
      <c r="AF267" s="380" t="str">
        <f>VLOOKUP($B267,'D7 - NDB Impacted SPRF''s'!$E$6:$O$9929,6,FALSE)</f>
        <v>Melissa Bynon</v>
      </c>
      <c r="AG267" s="282"/>
      <c r="AH267" s="311" t="e">
        <f>INDEX('D5 - Gatekeeper - Projects'!$A$4:$AF$1010,$AM267, 17)</f>
        <v>#N/A</v>
      </c>
      <c r="AI267" s="8"/>
      <c r="AJ267" s="57"/>
      <c r="AK267" s="105"/>
      <c r="AM267" s="6" t="e">
        <f>MATCH(D267,'D5 - Gatekeeper - Projects'!$C$4:$C$1010,0)</f>
        <v>#N/A</v>
      </c>
      <c r="AN267" s="6" t="b">
        <f t="shared" si="24"/>
        <v>1</v>
      </c>
      <c r="AO267" s="6" t="str">
        <f t="shared" si="27"/>
        <v>OK</v>
      </c>
      <c r="AQ267" s="6">
        <f>MATCH($D267,'D4 - Provider Council Unsched'!$C$11:$C$234,0)</f>
        <v>33</v>
      </c>
      <c r="AR267" s="6" t="b">
        <f t="shared" si="25"/>
        <v>0</v>
      </c>
      <c r="AS267" s="6" t="str">
        <f t="shared" si="29"/>
        <v>OK</v>
      </c>
      <c r="AU267" s="202"/>
      <c r="AV267" s="394" t="s">
        <v>736</v>
      </c>
      <c r="AW267" s="274"/>
    </row>
    <row r="268" spans="1:49" s="13" customFormat="1" ht="11.25" customHeight="1" x14ac:dyDescent="0.2">
      <c r="A268" s="14">
        <v>239</v>
      </c>
      <c r="B268" s="8">
        <v>400058053</v>
      </c>
      <c r="C268" s="8" t="s">
        <v>1447</v>
      </c>
      <c r="D268" s="4" t="str">
        <f t="shared" si="26"/>
        <v>400058053A</v>
      </c>
      <c r="E268" s="309" t="str">
        <f>VLOOKUP($B268,'D7 - NDB Impacted SPRF''s'!$E$6:$O$9929,2,FALSE)</f>
        <v>Florida Statewide Medicaid Managed Care Acute ITN</v>
      </c>
      <c r="F268" s="8"/>
      <c r="G268" s="8" t="s">
        <v>7980</v>
      </c>
      <c r="H268" s="8" t="s">
        <v>6266</v>
      </c>
      <c r="I268" s="20"/>
      <c r="J268" s="8"/>
      <c r="K268" s="182"/>
      <c r="L268" s="8" t="s">
        <v>4156</v>
      </c>
      <c r="M268" s="8" t="s">
        <v>2814</v>
      </c>
      <c r="N268" s="38"/>
      <c r="O268" s="8"/>
      <c r="P268" s="4" t="str">
        <f>VLOOKUP($B268,'D7 - NDB Impacted SPRF''s'!$E$16:$O$9929,9,FALSE)</f>
        <v>N</v>
      </c>
      <c r="Q268" s="4" t="str">
        <f>VLOOKUP($B268,'D7 - NDB Impacted SPRF''s'!$E$16:$O$9929,10,FALSE)</f>
        <v>N</v>
      </c>
      <c r="R268" s="4" t="str">
        <f>VLOOKUP($B268,'D7 - NDB Impacted SPRF''s'!$E$16:$O$9929,11,FALSE)</f>
        <v>Y</v>
      </c>
      <c r="S268" s="8"/>
      <c r="T268" s="310"/>
      <c r="U268" s="310"/>
      <c r="V268" s="4"/>
      <c r="W268" s="4"/>
      <c r="X268" s="4"/>
      <c r="Y268" s="4"/>
      <c r="Z268" s="4"/>
      <c r="AA268" s="4"/>
      <c r="AB268" s="380" t="str">
        <f>VLOOKUP($B268,'D7 - NDB Impacted SPRF''s'!$E$6:$O$9929,4,FALSE)</f>
        <v>In Estimating</v>
      </c>
      <c r="AC268" s="380" t="str">
        <f>VLOOKUP($B268,'D7 - NDB Impacted SPRF''s'!$E$6:$O$9929,3,FALSE)</f>
        <v>UnitedHealthcare Community &amp; State</v>
      </c>
      <c r="AD268" s="380" t="str">
        <f>VLOOKUP($B268,'D7 - NDB Impacted SPRF''s'!$E$6:$O$9929,5,FALSE)</f>
        <v>Membership Growth / Revenue Programs</v>
      </c>
      <c r="AE268" s="380" t="str">
        <f>VLOOKUP($B268,'D7 - NDB Impacted SPRF''s'!$E$6:$O$9929,7,FALSE)</f>
        <v>Kathleen Crampton</v>
      </c>
      <c r="AF268" s="380" t="str">
        <f>VLOOKUP($B268,'D7 - NDB Impacted SPRF''s'!$E$6:$O$9929,6,FALSE)</f>
        <v>Carole Curry</v>
      </c>
      <c r="AG268" s="282"/>
      <c r="AH268" s="311" t="e">
        <f>INDEX('D5 - Gatekeeper - Projects'!$A$4:$AF$1010,$AM268, 17)</f>
        <v>#N/A</v>
      </c>
      <c r="AI268" s="8"/>
      <c r="AJ268" s="57"/>
      <c r="AK268" s="105"/>
      <c r="AM268" s="6" t="e">
        <f>MATCH(D268,'D5 - Gatekeeper - Projects'!$C$4:$C$1010,0)</f>
        <v>#N/A</v>
      </c>
      <c r="AN268" s="6" t="b">
        <f t="shared" si="24"/>
        <v>1</v>
      </c>
      <c r="AO268" s="6" t="str">
        <f t="shared" si="27"/>
        <v>OK</v>
      </c>
      <c r="AQ268" s="6">
        <f>MATCH($D268,'D4 - Provider Council Unsched'!$C$11:$C$234,0)</f>
        <v>34</v>
      </c>
      <c r="AR268" s="6" t="b">
        <f t="shared" si="25"/>
        <v>0</v>
      </c>
      <c r="AS268" s="6" t="str">
        <f t="shared" si="29"/>
        <v>OK</v>
      </c>
      <c r="AU268" s="202"/>
      <c r="AV268" s="394" t="s">
        <v>3206</v>
      </c>
      <c r="AW268" s="274"/>
    </row>
    <row r="269" spans="1:49" s="13" customFormat="1" ht="22.5" x14ac:dyDescent="0.2">
      <c r="A269" s="14">
        <v>240</v>
      </c>
      <c r="B269" s="8">
        <v>400058170</v>
      </c>
      <c r="C269" s="8" t="s">
        <v>1447</v>
      </c>
      <c r="D269" s="4" t="str">
        <f t="shared" si="26"/>
        <v>400058170A</v>
      </c>
      <c r="E269" s="309" t="str">
        <f>VLOOKUP($B269,'D7 - NDB Impacted SPRF''s'!$E$6:$O$9929,2,FALSE)</f>
        <v>Enhance Acct Implementation capabilities in Master</v>
      </c>
      <c r="F269" s="8"/>
      <c r="G269" s="8" t="s">
        <v>7980</v>
      </c>
      <c r="H269" s="8" t="s">
        <v>6266</v>
      </c>
      <c r="I269" s="20"/>
      <c r="J269" s="8"/>
      <c r="K269" s="182"/>
      <c r="L269" s="8" t="s">
        <v>4156</v>
      </c>
      <c r="M269" s="8" t="s">
        <v>2814</v>
      </c>
      <c r="N269" s="38"/>
      <c r="O269" s="8"/>
      <c r="P269" s="4" t="str">
        <f>VLOOKUP($B269,'D7 - NDB Impacted SPRF''s'!$E$16:$O$9929,9,FALSE)</f>
        <v>Y</v>
      </c>
      <c r="Q269" s="4" t="str">
        <f>VLOOKUP($B269,'D7 - NDB Impacted SPRF''s'!$E$16:$O$9929,10,FALSE)</f>
        <v>N</v>
      </c>
      <c r="R269" s="4" t="str">
        <f>VLOOKUP($B269,'D7 - NDB Impacted SPRF''s'!$E$16:$O$9929,11,FALSE)</f>
        <v>N</v>
      </c>
      <c r="S269" s="8"/>
      <c r="T269" s="310"/>
      <c r="U269" s="310"/>
      <c r="V269" s="4"/>
      <c r="W269" s="4"/>
      <c r="X269" s="4"/>
      <c r="Y269" s="4"/>
      <c r="Z269" s="4"/>
      <c r="AA269" s="4"/>
      <c r="AB269" s="380" t="str">
        <f>VLOOKUP($B269,'D7 - NDB Impacted SPRF''s'!$E$6:$O$9929,4,FALSE)</f>
        <v>In Estimating</v>
      </c>
      <c r="AC269" s="380" t="str">
        <f>VLOOKUP($B269,'D7 - NDB Impacted SPRF''s'!$E$6:$O$9929,3,FALSE)</f>
        <v>UHG IT - Shared Services</v>
      </c>
      <c r="AD269" s="380" t="str">
        <f>VLOOKUP($B269,'D7 - NDB Impacted SPRF''s'!$E$6:$O$9929,5,FALSE)</f>
        <v>ASG</v>
      </c>
      <c r="AE269" s="380" t="str">
        <f>VLOOKUP($B269,'D7 - NDB Impacted SPRF''s'!$E$6:$O$9929,7,FALSE)</f>
        <v>Mark Duhaime</v>
      </c>
      <c r="AF269" s="380" t="str">
        <f>VLOOKUP($B269,'D7 - NDB Impacted SPRF''s'!$E$6:$O$9929,6,FALSE)</f>
        <v>PETER ERNEST</v>
      </c>
      <c r="AG269" s="282"/>
      <c r="AH269" s="311" t="e">
        <f>INDEX('D5 - Gatekeeper - Projects'!$A$4:$AF$1010,$AM269, 17)</f>
        <v>#N/A</v>
      </c>
      <c r="AI269" s="8"/>
      <c r="AJ269" s="57"/>
      <c r="AK269" s="105"/>
      <c r="AM269" s="6" t="e">
        <f>MATCH(D269,'D5 - Gatekeeper - Projects'!$C$4:$C$1010,0)</f>
        <v>#N/A</v>
      </c>
      <c r="AN269" s="6" t="b">
        <f t="shared" si="24"/>
        <v>1</v>
      </c>
      <c r="AO269" s="6" t="str">
        <f t="shared" si="27"/>
        <v>OK</v>
      </c>
      <c r="AQ269" s="6">
        <f>MATCH($D269,'D4 - Provider Council Unsched'!$C$11:$C$234,0)</f>
        <v>43</v>
      </c>
      <c r="AR269" s="6" t="b">
        <f t="shared" si="25"/>
        <v>0</v>
      </c>
      <c r="AS269" s="6" t="str">
        <f t="shared" si="29"/>
        <v>OK</v>
      </c>
      <c r="AU269" s="202"/>
      <c r="AV269" s="394" t="s">
        <v>691</v>
      </c>
      <c r="AW269" s="274"/>
    </row>
    <row r="270" spans="1:49" s="13" customFormat="1" ht="11.25" customHeight="1" x14ac:dyDescent="0.2">
      <c r="A270" s="14">
        <v>241</v>
      </c>
      <c r="B270" s="8">
        <v>400058173</v>
      </c>
      <c r="C270" s="8" t="s">
        <v>1447</v>
      </c>
      <c r="D270" s="4" t="str">
        <f t="shared" si="26"/>
        <v>400058173A</v>
      </c>
      <c r="E270" s="309" t="str">
        <f>VLOOKUP($B270,'D7 - NDB Impacted SPRF''s'!$E$6:$O$9929,2,FALSE)</f>
        <v>Enhance Broker &amp; Employer capabilities in Master</v>
      </c>
      <c r="F270" s="8"/>
      <c r="G270" s="8" t="s">
        <v>7980</v>
      </c>
      <c r="H270" s="8" t="s">
        <v>6266</v>
      </c>
      <c r="I270" s="20"/>
      <c r="J270" s="8"/>
      <c r="K270" s="182"/>
      <c r="L270" s="8" t="s">
        <v>4156</v>
      </c>
      <c r="M270" s="8" t="s">
        <v>2814</v>
      </c>
      <c r="N270" s="38"/>
      <c r="O270" s="8"/>
      <c r="P270" s="4" t="str">
        <f>VLOOKUP($B270,'D7 - NDB Impacted SPRF''s'!$E$16:$O$9929,9,FALSE)</f>
        <v>Y</v>
      </c>
      <c r="Q270" s="4" t="str">
        <f>VLOOKUP($B270,'D7 - NDB Impacted SPRF''s'!$E$16:$O$9929,10,FALSE)</f>
        <v>N</v>
      </c>
      <c r="R270" s="4" t="str">
        <f>VLOOKUP($B270,'D7 - NDB Impacted SPRF''s'!$E$16:$O$9929,11,FALSE)</f>
        <v>N</v>
      </c>
      <c r="S270" s="8"/>
      <c r="T270" s="310"/>
      <c r="U270" s="310"/>
      <c r="V270" s="4"/>
      <c r="W270" s="4"/>
      <c r="X270" s="4"/>
      <c r="Y270" s="4"/>
      <c r="Z270" s="4"/>
      <c r="AA270" s="4"/>
      <c r="AB270" s="380" t="str">
        <f>VLOOKUP($B270,'D7 - NDB Impacted SPRF''s'!$E$6:$O$9929,4,FALSE)</f>
        <v>In Estimating</v>
      </c>
      <c r="AC270" s="380" t="str">
        <f>VLOOKUP($B270,'D7 - NDB Impacted SPRF''s'!$E$6:$O$9929,3,FALSE)</f>
        <v>UHG IT - Shared Services</v>
      </c>
      <c r="AD270" s="380" t="str">
        <f>VLOOKUP($B270,'D7 - NDB Impacted SPRF''s'!$E$6:$O$9929,5,FALSE)</f>
        <v>ASG</v>
      </c>
      <c r="AE270" s="380" t="str">
        <f>VLOOKUP($B270,'D7 - NDB Impacted SPRF''s'!$E$6:$O$9929,7,FALSE)</f>
        <v>Mark Duhaime</v>
      </c>
      <c r="AF270" s="380" t="str">
        <f>VLOOKUP($B270,'D7 - NDB Impacted SPRF''s'!$E$6:$O$9929,6,FALSE)</f>
        <v>PETER ERNEST</v>
      </c>
      <c r="AG270" s="282"/>
      <c r="AH270" s="311" t="e">
        <f>INDEX('D5 - Gatekeeper - Projects'!$A$4:$AF$1010,$AM270, 17)</f>
        <v>#N/A</v>
      </c>
      <c r="AI270" s="8"/>
      <c r="AJ270" s="57"/>
      <c r="AK270" s="105"/>
      <c r="AM270" s="6" t="e">
        <f>MATCH(D270,'D5 - Gatekeeper - Projects'!$C$4:$C$1010,0)</f>
        <v>#N/A</v>
      </c>
      <c r="AN270" s="6" t="b">
        <f t="shared" si="24"/>
        <v>1</v>
      </c>
      <c r="AO270" s="6" t="str">
        <f t="shared" si="27"/>
        <v>OK</v>
      </c>
      <c r="AQ270" s="6">
        <f>MATCH($D270,'D4 - Provider Council Unsched'!$C$11:$C$234,0)</f>
        <v>45</v>
      </c>
      <c r="AR270" s="6" t="b">
        <f t="shared" si="25"/>
        <v>0</v>
      </c>
      <c r="AS270" s="6" t="str">
        <f t="shared" si="29"/>
        <v>OK</v>
      </c>
      <c r="AU270" s="202"/>
      <c r="AV270" s="394" t="s">
        <v>691</v>
      </c>
      <c r="AW270" s="274"/>
    </row>
    <row r="271" spans="1:49" s="13" customFormat="1" ht="11.25" customHeight="1" x14ac:dyDescent="0.2">
      <c r="A271" s="14">
        <v>242</v>
      </c>
      <c r="B271" s="8">
        <v>400058190</v>
      </c>
      <c r="C271" s="8" t="s">
        <v>1447</v>
      </c>
      <c r="D271" s="4" t="str">
        <f t="shared" si="26"/>
        <v>400058190A</v>
      </c>
      <c r="E271" s="309" t="str">
        <f>VLOOKUP($B271,'D7 - NDB Impacted SPRF''s'!$E$6:$O$9929,2,FALSE)</f>
        <v>ESOC Gap Remediation from Phase 1b,3,pilot</v>
      </c>
      <c r="F271" s="8"/>
      <c r="G271" s="8" t="s">
        <v>7980</v>
      </c>
      <c r="H271" s="8" t="s">
        <v>6266</v>
      </c>
      <c r="I271" s="20"/>
      <c r="J271" s="8"/>
      <c r="K271" s="182"/>
      <c r="L271" s="8" t="s">
        <v>4156</v>
      </c>
      <c r="M271" s="8" t="s">
        <v>2814</v>
      </c>
      <c r="N271" s="38"/>
      <c r="O271" s="8"/>
      <c r="P271" s="4" t="str">
        <f>VLOOKUP($B271,'D7 - NDB Impacted SPRF''s'!$E$16:$O$9929,9,FALSE)</f>
        <v>Y</v>
      </c>
      <c r="Q271" s="4" t="str">
        <f>VLOOKUP($B271,'D7 - NDB Impacted SPRF''s'!$E$16:$O$9929,10,FALSE)</f>
        <v>N</v>
      </c>
      <c r="R271" s="4" t="str">
        <f>VLOOKUP($B271,'D7 - NDB Impacted SPRF''s'!$E$16:$O$9929,11,FALSE)</f>
        <v>N</v>
      </c>
      <c r="S271" s="8"/>
      <c r="T271" s="310"/>
      <c r="U271" s="310"/>
      <c r="V271" s="4"/>
      <c r="W271" s="4"/>
      <c r="X271" s="4"/>
      <c r="Y271" s="4"/>
      <c r="Z271" s="4"/>
      <c r="AA271" s="4"/>
      <c r="AB271" s="380" t="str">
        <f>VLOOKUP($B271,'D7 - NDB Impacted SPRF''s'!$E$6:$O$9929,4,FALSE)</f>
        <v>Scheduled</v>
      </c>
      <c r="AC271" s="380" t="str">
        <f>VLOOKUP($B271,'D7 - NDB Impacted SPRF''s'!$E$6:$O$9929,3,FALSE)</f>
        <v>UHG IT - Shared Services</v>
      </c>
      <c r="AD271" s="380" t="str">
        <f>VLOOKUP($B271,'D7 - NDB Impacted SPRF''s'!$E$6:$O$9929,5,FALSE)</f>
        <v>Strategic Initiatives</v>
      </c>
      <c r="AE271" s="380" t="str">
        <f>VLOOKUP($B271,'D7 - NDB Impacted SPRF''s'!$E$6:$O$9929,7,FALSE)</f>
        <v>Judy Perlman</v>
      </c>
      <c r="AF271" s="380" t="str">
        <f>VLOOKUP($B271,'D7 - NDB Impacted SPRF''s'!$E$6:$O$9929,6,FALSE)</f>
        <v>Jennifer Clarke</v>
      </c>
      <c r="AG271" s="282"/>
      <c r="AH271" s="311" t="e">
        <f>INDEX('D5 - Gatekeeper - Projects'!$A$4:$AF$1010,$AM271, 17)</f>
        <v>#N/A</v>
      </c>
      <c r="AI271" s="8"/>
      <c r="AJ271" s="57"/>
      <c r="AK271" s="105"/>
      <c r="AM271" s="6" t="e">
        <f>MATCH(D271,'D5 - Gatekeeper - Projects'!$C$4:$C$1010,0)</f>
        <v>#N/A</v>
      </c>
      <c r="AN271" s="6" t="b">
        <f t="shared" si="24"/>
        <v>1</v>
      </c>
      <c r="AO271" s="6" t="str">
        <f t="shared" si="27"/>
        <v>OK</v>
      </c>
      <c r="AQ271" s="6">
        <f>MATCH($D271,'D4 - Provider Council Unsched'!$C$11:$C$234,0)</f>
        <v>35</v>
      </c>
      <c r="AR271" s="6" t="b">
        <f t="shared" si="25"/>
        <v>0</v>
      </c>
      <c r="AS271" s="6" t="str">
        <f t="shared" si="29"/>
        <v>OK</v>
      </c>
      <c r="AU271" s="202"/>
      <c r="AV271" s="394" t="s">
        <v>48</v>
      </c>
      <c r="AW271" s="274"/>
    </row>
    <row r="272" spans="1:49" s="13" customFormat="1" ht="33.75" x14ac:dyDescent="0.2">
      <c r="A272" s="14">
        <v>243</v>
      </c>
      <c r="B272" s="8">
        <v>400058206</v>
      </c>
      <c r="C272" s="8" t="s">
        <v>1447</v>
      </c>
      <c r="D272" s="4" t="str">
        <f t="shared" si="26"/>
        <v>400058206A</v>
      </c>
      <c r="E272" s="309" t="str">
        <f>VLOOKUP($B272,'D7 - NDB Impacted SPRF''s'!$E$6:$O$9929,2,FALSE)</f>
        <v>Golden Rule MNRP Pricing</v>
      </c>
      <c r="F272" s="8"/>
      <c r="G272" s="8" t="s">
        <v>7980</v>
      </c>
      <c r="H272" s="8" t="s">
        <v>6266</v>
      </c>
      <c r="I272" s="20"/>
      <c r="J272" s="8"/>
      <c r="K272" s="182"/>
      <c r="L272" s="8" t="s">
        <v>4156</v>
      </c>
      <c r="M272" s="8" t="s">
        <v>2814</v>
      </c>
      <c r="N272" s="38"/>
      <c r="O272" s="8"/>
      <c r="P272" s="4" t="str">
        <f>VLOOKUP($B272,'D7 - NDB Impacted SPRF''s'!$E$16:$O$9929,9,FALSE)</f>
        <v>N</v>
      </c>
      <c r="Q272" s="4" t="str">
        <f>VLOOKUP($B272,'D7 - NDB Impacted SPRF''s'!$E$16:$O$9929,10,FALSE)</f>
        <v>N</v>
      </c>
      <c r="R272" s="4" t="str">
        <f>VLOOKUP($B272,'D7 - NDB Impacted SPRF''s'!$E$16:$O$9929,11,FALSE)</f>
        <v>Y</v>
      </c>
      <c r="S272" s="8"/>
      <c r="T272" s="310"/>
      <c r="U272" s="310"/>
      <c r="V272" s="4"/>
      <c r="W272" s="4"/>
      <c r="X272" s="4"/>
      <c r="Y272" s="4"/>
      <c r="Z272" s="4"/>
      <c r="AA272" s="4"/>
      <c r="AB272" s="380" t="str">
        <f>VLOOKUP($B272,'D7 - NDB Impacted SPRF''s'!$E$6:$O$9929,4,FALSE)</f>
        <v>In Estimating</v>
      </c>
      <c r="AC272" s="380" t="str">
        <f>VLOOKUP($B272,'D7 - NDB Impacted SPRF''s'!$E$6:$O$9929,3,FALSE)</f>
        <v>UnitedHealthcare Employer &amp; Individual</v>
      </c>
      <c r="AD272" s="380" t="str">
        <f>VLOOKUP($B272,'D7 - NDB Impacted SPRF''s'!$E$6:$O$9929,5,FALSE)</f>
        <v>Process Improvement</v>
      </c>
      <c r="AE272" s="380" t="str">
        <f>VLOOKUP($B272,'D7 - NDB Impacted SPRF''s'!$E$6:$O$9929,7,FALSE)</f>
        <v>Margaret Hays</v>
      </c>
      <c r="AF272" s="380" t="str">
        <f>VLOOKUP($B272,'D7 - NDB Impacted SPRF''s'!$E$6:$O$9929,6,FALSE)</f>
        <v>Amy Barker</v>
      </c>
      <c r="AG272" s="282"/>
      <c r="AH272" s="311" t="e">
        <f>INDEX('D5 - Gatekeeper - Projects'!$A$4:$AF$1010,$AM272, 17)</f>
        <v>#N/A</v>
      </c>
      <c r="AI272" s="8"/>
      <c r="AJ272" s="57"/>
      <c r="AK272" s="105"/>
      <c r="AM272" s="6" t="e">
        <f>MATCH(D272,'D5 - Gatekeeper - Projects'!$C$4:$C$1010,0)</f>
        <v>#N/A</v>
      </c>
      <c r="AN272" s="6" t="b">
        <f t="shared" si="24"/>
        <v>1</v>
      </c>
      <c r="AO272" s="6" t="str">
        <f t="shared" si="27"/>
        <v>OK</v>
      </c>
      <c r="AQ272" s="6">
        <f>MATCH($D272,'D4 - Provider Council Unsched'!$C$11:$C$234,0)</f>
        <v>69</v>
      </c>
      <c r="AR272" s="6" t="b">
        <f t="shared" si="25"/>
        <v>0</v>
      </c>
      <c r="AS272" s="6" t="str">
        <f t="shared" si="29"/>
        <v>OK</v>
      </c>
      <c r="AU272" s="202"/>
      <c r="AV272" s="394" t="s">
        <v>6669</v>
      </c>
      <c r="AW272" s="274"/>
    </row>
    <row r="273" spans="1:49" s="13" customFormat="1" ht="11.25" customHeight="1" x14ac:dyDescent="0.2">
      <c r="A273" s="14">
        <v>245</v>
      </c>
      <c r="B273" s="8">
        <v>400058269</v>
      </c>
      <c r="C273" s="8" t="s">
        <v>1447</v>
      </c>
      <c r="D273" s="4" t="str">
        <f t="shared" si="26"/>
        <v>400058269A</v>
      </c>
      <c r="E273" s="309" t="str">
        <f>VLOOKUP($B273,'D7 - NDB Impacted SPRF''s'!$E$6:$O$9929,2,FALSE)</f>
        <v>RMIR PC imaging/Card TC/Optht TC</v>
      </c>
      <c r="F273" s="8"/>
      <c r="G273" s="8" t="s">
        <v>7980</v>
      </c>
      <c r="H273" s="8" t="s">
        <v>6266</v>
      </c>
      <c r="I273" s="20"/>
      <c r="J273" s="8"/>
      <c r="K273" s="182"/>
      <c r="L273" s="8" t="s">
        <v>4156</v>
      </c>
      <c r="M273" s="8" t="s">
        <v>2814</v>
      </c>
      <c r="N273" s="38"/>
      <c r="O273" s="8"/>
      <c r="P273" s="4" t="str">
        <f>VLOOKUP($B273,'D7 - NDB Impacted SPRF''s'!$E$16:$O$9929,9,FALSE)</f>
        <v>Y</v>
      </c>
      <c r="Q273" s="4" t="str">
        <f>VLOOKUP($B273,'D7 - NDB Impacted SPRF''s'!$E$16:$O$9929,10,FALSE)</f>
        <v>N</v>
      </c>
      <c r="R273" s="4" t="str">
        <f>VLOOKUP($B273,'D7 - NDB Impacted SPRF''s'!$E$16:$O$9929,11,FALSE)</f>
        <v>Y</v>
      </c>
      <c r="S273" s="8"/>
      <c r="T273" s="310"/>
      <c r="U273" s="310"/>
      <c r="V273" s="4"/>
      <c r="W273" s="4"/>
      <c r="X273" s="4"/>
      <c r="Y273" s="4"/>
      <c r="Z273" s="4"/>
      <c r="AA273" s="4"/>
      <c r="AB273" s="380" t="str">
        <f>VLOOKUP($B273,'D7 - NDB Impacted SPRF''s'!$E$6:$O$9929,4,FALSE)</f>
        <v>In Program Manager Request Review</v>
      </c>
      <c r="AC273" s="380" t="str">
        <f>VLOOKUP($B273,'D7 - NDB Impacted SPRF''s'!$E$6:$O$9929,3,FALSE)</f>
        <v>UnitedHealthcare Employer &amp; Individual</v>
      </c>
      <c r="AD273" s="380" t="str">
        <f>VLOOKUP($B273,'D7 - NDB Impacted SPRF''s'!$E$6:$O$9929,5,FALSE)</f>
        <v>Medical Cost Savings Programs</v>
      </c>
      <c r="AE273" s="380" t="str">
        <f>VLOOKUP($B273,'D7 - NDB Impacted SPRF''s'!$E$6:$O$9929,7,FALSE)</f>
        <v>Molly Knorr</v>
      </c>
      <c r="AF273" s="380" t="str">
        <f>VLOOKUP($B273,'D7 - NDB Impacted SPRF''s'!$E$6:$O$9929,6,FALSE)</f>
        <v>Lisa Ridgley</v>
      </c>
      <c r="AG273" s="282"/>
      <c r="AH273" s="311" t="e">
        <f>INDEX('D5 - Gatekeeper - Projects'!$A$4:$AF$1010,$AM273, 17)</f>
        <v>#N/A</v>
      </c>
      <c r="AI273" s="8"/>
      <c r="AJ273" s="57"/>
      <c r="AK273" s="105"/>
      <c r="AM273" s="6" t="e">
        <f>MATCH(D273,'D5 - Gatekeeper - Projects'!$C$4:$C$1010,0)</f>
        <v>#N/A</v>
      </c>
      <c r="AN273" s="6" t="b">
        <f t="shared" ref="AN273:AN336" si="30">ISERROR(AM273)</f>
        <v>1</v>
      </c>
      <c r="AO273" s="6" t="str">
        <f t="shared" si="27"/>
        <v>OK</v>
      </c>
      <c r="AQ273" s="6">
        <f>MATCH($D273,'D4 - Provider Council Unsched'!$C$11:$C$234,0)</f>
        <v>57</v>
      </c>
      <c r="AR273" s="6" t="b">
        <f t="shared" ref="AR273:AR336" si="31">ISERROR(AQ273)</f>
        <v>0</v>
      </c>
      <c r="AS273" s="6" t="str">
        <f t="shared" si="29"/>
        <v>OK</v>
      </c>
      <c r="AU273" s="202"/>
      <c r="AV273" s="394" t="s">
        <v>439</v>
      </c>
      <c r="AW273" s="274"/>
    </row>
    <row r="274" spans="1:49" s="13" customFormat="1" ht="33.75" x14ac:dyDescent="0.2">
      <c r="A274" s="14">
        <v>246</v>
      </c>
      <c r="B274" s="8">
        <v>400058318</v>
      </c>
      <c r="C274" s="8" t="s">
        <v>1447</v>
      </c>
      <c r="D274" s="4" t="str">
        <f t="shared" ref="D274:D337" si="32">CONCATENATE(B274,C274)</f>
        <v>400058318A</v>
      </c>
      <c r="E274" s="309" t="str">
        <f>VLOOKUP($B274,'D7 - NDB Impacted SPRF''s'!$E$6:$O$9929,2,FALSE)</f>
        <v>NDB Contract Clause Display in ICUE</v>
      </c>
      <c r="F274" s="8"/>
      <c r="G274" s="8" t="s">
        <v>7980</v>
      </c>
      <c r="H274" s="8" t="s">
        <v>6266</v>
      </c>
      <c r="I274" s="20"/>
      <c r="J274" s="8"/>
      <c r="K274" s="182"/>
      <c r="L274" s="8" t="s">
        <v>4156</v>
      </c>
      <c r="M274" s="8" t="s">
        <v>2814</v>
      </c>
      <c r="N274" s="38"/>
      <c r="O274" s="8"/>
      <c r="P274" s="4" t="str">
        <f>VLOOKUP($B274,'D7 - NDB Impacted SPRF''s'!$E$16:$O$9929,9,FALSE)</f>
        <v>N</v>
      </c>
      <c r="Q274" s="4" t="str">
        <f>VLOOKUP($B274,'D7 - NDB Impacted SPRF''s'!$E$16:$O$9929,10,FALSE)</f>
        <v>N</v>
      </c>
      <c r="R274" s="4" t="str">
        <f>VLOOKUP($B274,'D7 - NDB Impacted SPRF''s'!$E$16:$O$9929,11,FALSE)</f>
        <v>N</v>
      </c>
      <c r="S274" s="8"/>
      <c r="T274" s="310"/>
      <c r="U274" s="310"/>
      <c r="V274" s="4"/>
      <c r="W274" s="4"/>
      <c r="X274" s="4"/>
      <c r="Y274" s="4"/>
      <c r="Z274" s="4"/>
      <c r="AA274" s="4"/>
      <c r="AB274" s="380" t="str">
        <f>VLOOKUP($B274,'D7 - NDB Impacted SPRF''s'!$E$6:$O$9929,4,FALSE)</f>
        <v>In Estimating</v>
      </c>
      <c r="AC274" s="380" t="str">
        <f>VLOOKUP($B274,'D7 - NDB Impacted SPRF''s'!$E$6:$O$9929,3,FALSE)</f>
        <v>UnitedHealthcare Employer &amp; Individual</v>
      </c>
      <c r="AD274" s="380" t="str">
        <f>VLOOKUP($B274,'D7 - NDB Impacted SPRF''s'!$E$6:$O$9929,5,FALSE)</f>
        <v>Medical Cost Savings Programs</v>
      </c>
      <c r="AE274" s="380" t="str">
        <f>VLOOKUP($B274,'D7 - NDB Impacted SPRF''s'!$E$6:$O$9929,7,FALSE)</f>
        <v>Janet Bridigam</v>
      </c>
      <c r="AF274" s="380" t="str">
        <f>VLOOKUP($B274,'D7 - NDB Impacted SPRF''s'!$E$6:$O$9929,6,FALSE)</f>
        <v>CANDRA TAYLOR</v>
      </c>
      <c r="AG274" s="282"/>
      <c r="AH274" s="311" t="e">
        <f>INDEX('D5 - Gatekeeper - Projects'!$A$4:$AF$1010,$AM274, 17)</f>
        <v>#N/A</v>
      </c>
      <c r="AI274" s="8"/>
      <c r="AJ274" s="57"/>
      <c r="AK274" s="105"/>
      <c r="AM274" s="6" t="e">
        <f>MATCH(D274,'D5 - Gatekeeper - Projects'!$C$4:$C$1010,0)</f>
        <v>#N/A</v>
      </c>
      <c r="AN274" s="6" t="b">
        <f t="shared" si="30"/>
        <v>1</v>
      </c>
      <c r="AO274" s="6" t="str">
        <f t="shared" ref="AO274:AO337" si="33">IF(AND(H274="1 - Scheduled",AN274=TRUE),"Add","OK")</f>
        <v>OK</v>
      </c>
      <c r="AQ274" s="6">
        <f>MATCH($D274,'D4 - Provider Council Unsched'!$C$11:$C$234,0)</f>
        <v>37</v>
      </c>
      <c r="AR274" s="6" t="b">
        <f t="shared" si="31"/>
        <v>0</v>
      </c>
      <c r="AS274" s="6" t="str">
        <f t="shared" ref="AS274:AS299" si="34">IF(AND(H274="2 - Not Scheduled",AR274=TRUE,C274="R1"),"Add","OK")</f>
        <v>OK</v>
      </c>
      <c r="AU274" s="202"/>
      <c r="AV274" s="394" t="s">
        <v>1042</v>
      </c>
      <c r="AW274" s="274"/>
    </row>
    <row r="275" spans="1:49" s="13" customFormat="1" ht="11.25" customHeight="1" x14ac:dyDescent="0.2">
      <c r="A275" s="14">
        <v>248</v>
      </c>
      <c r="B275" s="8">
        <v>400058419</v>
      </c>
      <c r="C275" s="8" t="s">
        <v>1447</v>
      </c>
      <c r="D275" s="4" t="str">
        <f t="shared" si="32"/>
        <v>400058419A</v>
      </c>
      <c r="E275" s="309" t="str">
        <f>VLOOKUP($B275,'D7 - NDB Impacted SPRF''s'!$E$6:$O$9929,2,FALSE)</f>
        <v xml:space="preserve">Texas Star+PLUS MRSA Expansion </v>
      </c>
      <c r="F275" s="8"/>
      <c r="G275" s="8" t="s">
        <v>7980</v>
      </c>
      <c r="H275" s="8" t="s">
        <v>6266</v>
      </c>
      <c r="I275" s="20"/>
      <c r="J275" s="8"/>
      <c r="K275" s="182"/>
      <c r="L275" s="8" t="s">
        <v>4156</v>
      </c>
      <c r="M275" s="8" t="s">
        <v>2814</v>
      </c>
      <c r="N275" s="38"/>
      <c r="O275" s="8"/>
      <c r="P275" s="4" t="str">
        <f>VLOOKUP($B275,'D7 - NDB Impacted SPRF''s'!$E$16:$O$9929,9,FALSE)</f>
        <v>N</v>
      </c>
      <c r="Q275" s="4" t="str">
        <f>VLOOKUP($B275,'D7 - NDB Impacted SPRF''s'!$E$16:$O$9929,10,FALSE)</f>
        <v>N</v>
      </c>
      <c r="R275" s="4" t="str">
        <f>VLOOKUP($B275,'D7 - NDB Impacted SPRF''s'!$E$16:$O$9929,11,FALSE)</f>
        <v>N</v>
      </c>
      <c r="S275" s="8"/>
      <c r="T275" s="310"/>
      <c r="U275" s="310"/>
      <c r="V275" s="4"/>
      <c r="W275" s="4"/>
      <c r="X275" s="4"/>
      <c r="Y275" s="4"/>
      <c r="Z275" s="4"/>
      <c r="AA275" s="4"/>
      <c r="AB275" s="380" t="str">
        <f>VLOOKUP($B275,'D7 - NDB Impacted SPRF''s'!$E$6:$O$9929,4,FALSE)</f>
        <v>In Estimating</v>
      </c>
      <c r="AC275" s="380" t="str">
        <f>VLOOKUP($B275,'D7 - NDB Impacted SPRF''s'!$E$6:$O$9929,3,FALSE)</f>
        <v>UnitedHealthcare Community &amp; State</v>
      </c>
      <c r="AD275" s="380" t="str">
        <f>VLOOKUP($B275,'D7 - NDB Impacted SPRF''s'!$E$6:$O$9929,5,FALSE)</f>
        <v>Membership Growth / Revenue Programs</v>
      </c>
      <c r="AE275" s="380" t="str">
        <f>VLOOKUP($B275,'D7 - NDB Impacted SPRF''s'!$E$6:$O$9929,7,FALSE)</f>
        <v>Norine Yukon</v>
      </c>
      <c r="AF275" s="380" t="str">
        <f>VLOOKUP($B275,'D7 - NDB Impacted SPRF''s'!$E$6:$O$9929,6,FALSE)</f>
        <v>Diane Perry</v>
      </c>
      <c r="AG275" s="282"/>
      <c r="AH275" s="311" t="e">
        <f>INDEX('D5 - Gatekeeper - Projects'!$A$4:$AF$1010,$AM275, 17)</f>
        <v>#N/A</v>
      </c>
      <c r="AI275" s="8"/>
      <c r="AJ275" s="57"/>
      <c r="AK275" s="105"/>
      <c r="AM275" s="6" t="e">
        <f>MATCH(D275,'D5 - Gatekeeper - Projects'!$C$4:$C$1010,0)</f>
        <v>#N/A</v>
      </c>
      <c r="AN275" s="6" t="b">
        <f t="shared" si="30"/>
        <v>1</v>
      </c>
      <c r="AO275" s="6" t="str">
        <f t="shared" si="33"/>
        <v>OK</v>
      </c>
      <c r="AQ275" s="6">
        <f>MATCH($D275,'D4 - Provider Council Unsched'!$C$11:$C$234,0)</f>
        <v>47</v>
      </c>
      <c r="AR275" s="6" t="b">
        <f t="shared" si="31"/>
        <v>0</v>
      </c>
      <c r="AS275" s="6" t="str">
        <f t="shared" si="34"/>
        <v>OK</v>
      </c>
      <c r="AU275" s="202"/>
      <c r="AV275" s="394" t="s">
        <v>3206</v>
      </c>
      <c r="AW275" s="274"/>
    </row>
    <row r="276" spans="1:49" s="13" customFormat="1" ht="33.75" x14ac:dyDescent="0.2">
      <c r="A276" s="14">
        <v>249</v>
      </c>
      <c r="B276" s="8">
        <v>400058424</v>
      </c>
      <c r="C276" s="8" t="s">
        <v>1447</v>
      </c>
      <c r="D276" s="4" t="str">
        <f t="shared" si="32"/>
        <v>400058424A</v>
      </c>
      <c r="E276" s="309" t="str">
        <f>VLOOKUP($B276,'D7 - NDB Impacted SPRF''s'!$E$6:$O$9929,2,FALSE)</f>
        <v>Replace Function/Partial Bill Replace</v>
      </c>
      <c r="F276" s="8"/>
      <c r="G276" s="8" t="s">
        <v>7980</v>
      </c>
      <c r="H276" s="8" t="s">
        <v>6266</v>
      </c>
      <c r="I276" s="20"/>
      <c r="J276" s="8"/>
      <c r="K276" s="182"/>
      <c r="L276" s="8" t="s">
        <v>4156</v>
      </c>
      <c r="M276" s="8" t="s">
        <v>2814</v>
      </c>
      <c r="N276" s="38"/>
      <c r="O276" s="8"/>
      <c r="P276" s="4" t="str">
        <f>VLOOKUP($B276,'D7 - NDB Impacted SPRF''s'!$E$16:$O$9929,9,FALSE)</f>
        <v>N</v>
      </c>
      <c r="Q276" s="4" t="str">
        <f>VLOOKUP($B276,'D7 - NDB Impacted SPRF''s'!$E$16:$O$9929,10,FALSE)</f>
        <v>N</v>
      </c>
      <c r="R276" s="4" t="str">
        <f>VLOOKUP($B276,'D7 - NDB Impacted SPRF''s'!$E$16:$O$9929,11,FALSE)</f>
        <v>N</v>
      </c>
      <c r="S276" s="8"/>
      <c r="T276" s="310"/>
      <c r="U276" s="310"/>
      <c r="V276" s="4"/>
      <c r="W276" s="4"/>
      <c r="X276" s="4"/>
      <c r="Y276" s="4"/>
      <c r="Z276" s="4"/>
      <c r="AA276" s="4"/>
      <c r="AB276" s="380" t="str">
        <f>VLOOKUP($B276,'D7 - NDB Impacted SPRF''s'!$E$6:$O$9929,4,FALSE)</f>
        <v>In Strategy Council</v>
      </c>
      <c r="AC276" s="380" t="str">
        <f>VLOOKUP($B276,'D7 - NDB Impacted SPRF''s'!$E$6:$O$9929,3,FALSE)</f>
        <v>UnitedHealthcare Community &amp; State</v>
      </c>
      <c r="AD276" s="380" t="str">
        <f>VLOOKUP($B276,'D7 - NDB Impacted SPRF''s'!$E$6:$O$9929,5,FALSE)</f>
        <v>Regulatory / Other</v>
      </c>
      <c r="AE276" s="380" t="str">
        <f>VLOOKUP($B276,'D7 - NDB Impacted SPRF''s'!$E$6:$O$9929,7,FALSE)</f>
        <v>Shane Hochradel</v>
      </c>
      <c r="AF276" s="380" t="str">
        <f>VLOOKUP($B276,'D7 - NDB Impacted SPRF''s'!$E$6:$O$9929,6,FALSE)</f>
        <v>SHANE HOCHRADEL</v>
      </c>
      <c r="AG276" s="282"/>
      <c r="AH276" s="311" t="e">
        <f>INDEX('D5 - Gatekeeper - Projects'!$A$4:$AF$1010,$AM276, 17)</f>
        <v>#N/A</v>
      </c>
      <c r="AI276" s="8"/>
      <c r="AJ276" s="57"/>
      <c r="AK276" s="105"/>
      <c r="AM276" s="6" t="e">
        <f>MATCH(D276,'D5 - Gatekeeper - Projects'!$C$4:$C$1010,0)</f>
        <v>#N/A</v>
      </c>
      <c r="AN276" s="6" t="b">
        <f t="shared" si="30"/>
        <v>1</v>
      </c>
      <c r="AO276" s="6" t="str">
        <f t="shared" si="33"/>
        <v>OK</v>
      </c>
      <c r="AQ276" s="6">
        <f>MATCH($D276,'D4 - Provider Council Unsched'!$C$11:$C$234,0)</f>
        <v>53</v>
      </c>
      <c r="AR276" s="6" t="b">
        <f t="shared" si="31"/>
        <v>0</v>
      </c>
      <c r="AS276" s="6" t="str">
        <f t="shared" si="34"/>
        <v>OK</v>
      </c>
      <c r="AU276" s="202"/>
      <c r="AV276" s="394" t="s">
        <v>9281</v>
      </c>
      <c r="AW276" s="274"/>
    </row>
    <row r="277" spans="1:49" s="13" customFormat="1" ht="33.75" x14ac:dyDescent="0.2">
      <c r="A277" s="14">
        <v>250</v>
      </c>
      <c r="B277" s="8">
        <v>400058425</v>
      </c>
      <c r="C277" s="8" t="s">
        <v>1447</v>
      </c>
      <c r="D277" s="4" t="str">
        <f t="shared" si="32"/>
        <v>400058425A</v>
      </c>
      <c r="E277" s="309" t="str">
        <f>VLOOKUP($B277,'D7 - NDB Impacted SPRF''s'!$E$6:$O$9929,2,FALSE)</f>
        <v>Retro Change to Effective Date &amp; Group Date</v>
      </c>
      <c r="F277" s="8"/>
      <c r="G277" s="8" t="s">
        <v>7980</v>
      </c>
      <c r="H277" s="8" t="s">
        <v>6266</v>
      </c>
      <c r="I277" s="20"/>
      <c r="J277" s="8"/>
      <c r="K277" s="182"/>
      <c r="L277" s="8" t="s">
        <v>4156</v>
      </c>
      <c r="M277" s="8" t="s">
        <v>2814</v>
      </c>
      <c r="N277" s="38"/>
      <c r="O277" s="8"/>
      <c r="P277" s="4" t="str">
        <f>VLOOKUP($B277,'D7 - NDB Impacted SPRF''s'!$E$16:$O$9929,9,FALSE)</f>
        <v>N</v>
      </c>
      <c r="Q277" s="4" t="str">
        <f>VLOOKUP($B277,'D7 - NDB Impacted SPRF''s'!$E$16:$O$9929,10,FALSE)</f>
        <v>N</v>
      </c>
      <c r="R277" s="4" t="str">
        <f>VLOOKUP($B277,'D7 - NDB Impacted SPRF''s'!$E$16:$O$9929,11,FALSE)</f>
        <v>N</v>
      </c>
      <c r="S277" s="8"/>
      <c r="T277" s="310"/>
      <c r="U277" s="310"/>
      <c r="V277" s="4"/>
      <c r="W277" s="4"/>
      <c r="X277" s="4"/>
      <c r="Y277" s="4"/>
      <c r="Z277" s="4"/>
      <c r="AA277" s="4"/>
      <c r="AB277" s="380" t="str">
        <f>VLOOKUP($B277,'D7 - NDB Impacted SPRF''s'!$E$6:$O$9929,4,FALSE)</f>
        <v>In Estimating</v>
      </c>
      <c r="AC277" s="380" t="str">
        <f>VLOOKUP($B277,'D7 - NDB Impacted SPRF''s'!$E$6:$O$9929,3,FALSE)</f>
        <v>UnitedHealthcare Community &amp; State</v>
      </c>
      <c r="AD277" s="380" t="str">
        <f>VLOOKUP($B277,'D7 - NDB Impacted SPRF''s'!$E$6:$O$9929,5,FALSE)</f>
        <v>Regulatory / Other</v>
      </c>
      <c r="AE277" s="380" t="str">
        <f>VLOOKUP($B277,'D7 - NDB Impacted SPRF''s'!$E$6:$O$9929,7,FALSE)</f>
        <v>Shane Hochradel</v>
      </c>
      <c r="AF277" s="380" t="str">
        <f>VLOOKUP($B277,'D7 - NDB Impacted SPRF''s'!$E$6:$O$9929,6,FALSE)</f>
        <v>SHANE HOCHRADEL</v>
      </c>
      <c r="AG277" s="282"/>
      <c r="AH277" s="311" t="e">
        <f>INDEX('D5 - Gatekeeper - Projects'!$A$4:$AF$1010,$AM277, 17)</f>
        <v>#N/A</v>
      </c>
      <c r="AI277" s="8"/>
      <c r="AJ277" s="57"/>
      <c r="AK277" s="105"/>
      <c r="AM277" s="6" t="e">
        <f>MATCH(D277,'D5 - Gatekeeper - Projects'!$C$4:$C$1010,0)</f>
        <v>#N/A</v>
      </c>
      <c r="AN277" s="6" t="b">
        <f t="shared" si="30"/>
        <v>1</v>
      </c>
      <c r="AO277" s="6" t="str">
        <f t="shared" si="33"/>
        <v>OK</v>
      </c>
      <c r="AQ277" s="6">
        <f>MATCH($D277,'D4 - Provider Council Unsched'!$C$11:$C$234,0)</f>
        <v>54</v>
      </c>
      <c r="AR277" s="6" t="b">
        <f t="shared" si="31"/>
        <v>0</v>
      </c>
      <c r="AS277" s="6" t="str">
        <f t="shared" si="34"/>
        <v>OK</v>
      </c>
      <c r="AU277" s="202"/>
      <c r="AV277" s="394" t="s">
        <v>9281</v>
      </c>
      <c r="AW277" s="274"/>
    </row>
    <row r="278" spans="1:49" s="13" customFormat="1" ht="33.75" x14ac:dyDescent="0.2">
      <c r="A278" s="14">
        <v>252</v>
      </c>
      <c r="B278" s="8">
        <v>400058487</v>
      </c>
      <c r="C278" s="8" t="s">
        <v>1447</v>
      </c>
      <c r="D278" s="4" t="str">
        <f t="shared" si="32"/>
        <v>400058487A</v>
      </c>
      <c r="E278" s="309" t="str">
        <f>VLOOKUP($B278,'D7 - NDB Impacted SPRF''s'!$E$6:$O$9929,2,FALSE)</f>
        <v>Heritage Gulf States Expansion</v>
      </c>
      <c r="F278" s="8"/>
      <c r="G278" s="8" t="s">
        <v>7980</v>
      </c>
      <c r="H278" s="8" t="s">
        <v>6266</v>
      </c>
      <c r="I278" s="20"/>
      <c r="J278" s="8"/>
      <c r="K278" s="182"/>
      <c r="L278" s="8" t="s">
        <v>4156</v>
      </c>
      <c r="M278" s="8" t="s">
        <v>2814</v>
      </c>
      <c r="N278" s="38"/>
      <c r="O278" s="8"/>
      <c r="P278" s="4" t="str">
        <f>VLOOKUP($B278,'D7 - NDB Impacted SPRF''s'!$E$16:$O$9929,9,FALSE)</f>
        <v>N</v>
      </c>
      <c r="Q278" s="4" t="str">
        <f>VLOOKUP($B278,'D7 - NDB Impacted SPRF''s'!$E$16:$O$9929,10,FALSE)</f>
        <v>N</v>
      </c>
      <c r="R278" s="4" t="str">
        <f>VLOOKUP($B278,'D7 - NDB Impacted SPRF''s'!$E$16:$O$9929,11,FALSE)</f>
        <v>Y</v>
      </c>
      <c r="S278" s="8"/>
      <c r="T278" s="310"/>
      <c r="U278" s="310"/>
      <c r="V278" s="4"/>
      <c r="W278" s="4"/>
      <c r="X278" s="4"/>
      <c r="Y278" s="4"/>
      <c r="Z278" s="4"/>
      <c r="AA278" s="4"/>
      <c r="AB278" s="380" t="str">
        <f>VLOOKUP($B278,'D7 - NDB Impacted SPRF''s'!$E$6:$O$9929,4,FALSE)</f>
        <v>In Estimating</v>
      </c>
      <c r="AC278" s="380" t="str">
        <f>VLOOKUP($B278,'D7 - NDB Impacted SPRF''s'!$E$6:$O$9929,3,FALSE)</f>
        <v>UnitedHealthcare Employer &amp; Individual</v>
      </c>
      <c r="AD278" s="380" t="str">
        <f>VLOOKUP($B278,'D7 - NDB Impacted SPRF''s'!$E$6:$O$9929,5,FALSE)</f>
        <v>Membership Growth / Revenue Programs</v>
      </c>
      <c r="AE278" s="380" t="str">
        <f>VLOOKUP($B278,'D7 - NDB Impacted SPRF''s'!$E$6:$O$9929,7,FALSE)</f>
        <v>Kent Adkisson</v>
      </c>
      <c r="AF278" s="380" t="str">
        <f>VLOOKUP($B278,'D7 - NDB Impacted SPRF''s'!$E$6:$O$9929,6,FALSE)</f>
        <v>Shannon Horgan</v>
      </c>
      <c r="AG278" s="282"/>
      <c r="AH278" s="311" t="e">
        <f>INDEX('D5 - Gatekeeper - Projects'!$A$4:$AF$1010,$AM278, 17)</f>
        <v>#N/A</v>
      </c>
      <c r="AI278" s="8"/>
      <c r="AJ278" s="57"/>
      <c r="AK278" s="105"/>
      <c r="AM278" s="6" t="e">
        <f>MATCH(D278,'D5 - Gatekeeper - Projects'!$C$4:$C$1010,0)</f>
        <v>#N/A</v>
      </c>
      <c r="AN278" s="6" t="b">
        <f t="shared" si="30"/>
        <v>1</v>
      </c>
      <c r="AO278" s="6" t="str">
        <f t="shared" si="33"/>
        <v>OK</v>
      </c>
      <c r="AQ278" s="6">
        <f>MATCH($D278,'D4 - Provider Council Unsched'!$C$11:$C$234,0)</f>
        <v>40</v>
      </c>
      <c r="AR278" s="6" t="b">
        <f t="shared" si="31"/>
        <v>0</v>
      </c>
      <c r="AS278" s="6" t="str">
        <f t="shared" si="34"/>
        <v>OK</v>
      </c>
      <c r="AU278" s="202"/>
      <c r="AV278" s="394" t="s">
        <v>1130</v>
      </c>
      <c r="AW278" s="274"/>
    </row>
    <row r="279" spans="1:49" s="13" customFormat="1" ht="33.75" x14ac:dyDescent="0.2">
      <c r="A279" s="14">
        <v>253</v>
      </c>
      <c r="B279" s="8">
        <v>400058600</v>
      </c>
      <c r="C279" s="8" t="s">
        <v>1447</v>
      </c>
      <c r="D279" s="4" t="str">
        <f t="shared" si="32"/>
        <v>400058600A</v>
      </c>
      <c r="E279" s="309" t="str">
        <f>VLOOKUP($B279,'D7 - NDB Impacted SPRF''s'!$E$6:$O$9929,2,FALSE)</f>
        <v xml:space="preserve">IPA Functionality in CSP </v>
      </c>
      <c r="F279" s="8"/>
      <c r="G279" s="8" t="s">
        <v>7980</v>
      </c>
      <c r="H279" s="8" t="s">
        <v>6266</v>
      </c>
      <c r="I279" s="20"/>
      <c r="J279" s="8"/>
      <c r="K279" s="182"/>
      <c r="L279" s="8" t="s">
        <v>4156</v>
      </c>
      <c r="M279" s="8" t="s">
        <v>2814</v>
      </c>
      <c r="N279" s="38"/>
      <c r="O279" s="8"/>
      <c r="P279" s="4" t="str">
        <f>VLOOKUP($B279,'D7 - NDB Impacted SPRF''s'!$E$16:$O$9929,9,FALSE)</f>
        <v>N</v>
      </c>
      <c r="Q279" s="4" t="str">
        <f>VLOOKUP($B279,'D7 - NDB Impacted SPRF''s'!$E$16:$O$9929,10,FALSE)</f>
        <v>N</v>
      </c>
      <c r="R279" s="4" t="str">
        <f>VLOOKUP($B279,'D7 - NDB Impacted SPRF''s'!$E$16:$O$9929,11,FALSE)</f>
        <v>N</v>
      </c>
      <c r="S279" s="8"/>
      <c r="T279" s="310"/>
      <c r="U279" s="310"/>
      <c r="V279" s="4"/>
      <c r="W279" s="4"/>
      <c r="X279" s="4"/>
      <c r="Y279" s="4"/>
      <c r="Z279" s="4"/>
      <c r="AA279" s="4"/>
      <c r="AB279" s="380" t="str">
        <f>VLOOKUP($B279,'D7 - NDB Impacted SPRF''s'!$E$6:$O$9929,4,FALSE)</f>
        <v>In Estimating</v>
      </c>
      <c r="AC279" s="380" t="str">
        <f>VLOOKUP($B279,'D7 - NDB Impacted SPRF''s'!$E$6:$O$9929,3,FALSE)</f>
        <v>UnitedHealthcare Community &amp; State</v>
      </c>
      <c r="AD279" s="380" t="str">
        <f>VLOOKUP($B279,'D7 - NDB Impacted SPRF''s'!$E$6:$O$9929,5,FALSE)</f>
        <v>Integration Requirements</v>
      </c>
      <c r="AE279" s="380" t="str">
        <f>VLOOKUP($B279,'D7 - NDB Impacted SPRF''s'!$E$6:$O$9929,7,FALSE)</f>
        <v xml:space="preserve">Kurt Johnson </v>
      </c>
      <c r="AF279" s="380" t="str">
        <f>VLOOKUP($B279,'D7 - NDB Impacted SPRF''s'!$E$6:$O$9929,6,FALSE)</f>
        <v>Christine Vall</v>
      </c>
      <c r="AG279" s="282"/>
      <c r="AH279" s="311" t="e">
        <f>INDEX('D5 - Gatekeeper - Projects'!$A$4:$AF$1010,$AM279, 17)</f>
        <v>#N/A</v>
      </c>
      <c r="AI279" s="8"/>
      <c r="AJ279" s="57"/>
      <c r="AK279" s="105"/>
      <c r="AM279" s="6" t="e">
        <f>MATCH(D279,'D5 - Gatekeeper - Projects'!$C$4:$C$1010,0)</f>
        <v>#N/A</v>
      </c>
      <c r="AN279" s="6" t="b">
        <f t="shared" si="30"/>
        <v>1</v>
      </c>
      <c r="AO279" s="6" t="str">
        <f t="shared" si="33"/>
        <v>OK</v>
      </c>
      <c r="AQ279" s="6">
        <f>MATCH($D279,'D4 - Provider Council Unsched'!$C$11:$C$234,0)</f>
        <v>39</v>
      </c>
      <c r="AR279" s="6" t="b">
        <f t="shared" si="31"/>
        <v>0</v>
      </c>
      <c r="AS279" s="6" t="str">
        <f t="shared" si="34"/>
        <v>OK</v>
      </c>
      <c r="AU279" s="202"/>
      <c r="AV279" s="394" t="s">
        <v>936</v>
      </c>
      <c r="AW279" s="274"/>
    </row>
    <row r="280" spans="1:49" s="13" customFormat="1" ht="33.75" x14ac:dyDescent="0.2">
      <c r="A280" s="14">
        <v>254</v>
      </c>
      <c r="B280" s="8">
        <v>400058609</v>
      </c>
      <c r="C280" s="8" t="s">
        <v>1447</v>
      </c>
      <c r="D280" s="4" t="str">
        <f t="shared" si="32"/>
        <v>400058609A</v>
      </c>
      <c r="E280" s="309" t="str">
        <f>VLOOKUP($B280,'D7 - NDB Impacted SPRF''s'!$E$6:$O$9929,2,FALSE)</f>
        <v>RI Integrated Care Initiative - Phase I, LTSS</v>
      </c>
      <c r="F280" s="8"/>
      <c r="G280" s="8" t="s">
        <v>7980</v>
      </c>
      <c r="H280" s="8" t="s">
        <v>6266</v>
      </c>
      <c r="I280" s="20"/>
      <c r="J280" s="8"/>
      <c r="K280" s="182"/>
      <c r="L280" s="8" t="s">
        <v>4156</v>
      </c>
      <c r="M280" s="8" t="s">
        <v>2814</v>
      </c>
      <c r="N280" s="38"/>
      <c r="O280" s="8"/>
      <c r="P280" s="4" t="str">
        <f>VLOOKUP($B280,'D7 - NDB Impacted SPRF''s'!$E$16:$O$9929,9,FALSE)</f>
        <v>N</v>
      </c>
      <c r="Q280" s="4" t="str">
        <f>VLOOKUP($B280,'D7 - NDB Impacted SPRF''s'!$E$16:$O$9929,10,FALSE)</f>
        <v>N</v>
      </c>
      <c r="R280" s="4" t="str">
        <f>VLOOKUP($B280,'D7 - NDB Impacted SPRF''s'!$E$16:$O$9929,11,FALSE)</f>
        <v>N</v>
      </c>
      <c r="S280" s="8"/>
      <c r="T280" s="310"/>
      <c r="U280" s="310"/>
      <c r="V280" s="4"/>
      <c r="W280" s="4"/>
      <c r="X280" s="4"/>
      <c r="Y280" s="4"/>
      <c r="Z280" s="4"/>
      <c r="AA280" s="4"/>
      <c r="AB280" s="380" t="str">
        <f>VLOOKUP($B280,'D7 - NDB Impacted SPRF''s'!$E$6:$O$9929,4,FALSE)</f>
        <v>In Estimating</v>
      </c>
      <c r="AC280" s="380" t="str">
        <f>VLOOKUP($B280,'D7 - NDB Impacted SPRF''s'!$E$6:$O$9929,3,FALSE)</f>
        <v>UnitedHealthcare Community &amp; State</v>
      </c>
      <c r="AD280" s="380" t="str">
        <f>VLOOKUP($B280,'D7 - NDB Impacted SPRF''s'!$E$6:$O$9929,5,FALSE)</f>
        <v>Membership Growth / Revenue Programs</v>
      </c>
      <c r="AE280" s="380" t="str">
        <f>VLOOKUP($B280,'D7 - NDB Impacted SPRF''s'!$E$6:$O$9929,7,FALSE)</f>
        <v>Patrice Cooper</v>
      </c>
      <c r="AF280" s="380" t="str">
        <f>VLOOKUP($B280,'D7 - NDB Impacted SPRF''s'!$E$6:$O$9929,6,FALSE)</f>
        <v>Diane Perry</v>
      </c>
      <c r="AG280" s="282"/>
      <c r="AH280" s="311" t="e">
        <f>INDEX('D5 - Gatekeeper - Projects'!$A$4:$AF$1010,$AM280, 17)</f>
        <v>#N/A</v>
      </c>
      <c r="AI280" s="8"/>
      <c r="AJ280" s="57"/>
      <c r="AK280" s="105"/>
      <c r="AM280" s="6" t="e">
        <f>MATCH(D280,'D5 - Gatekeeper - Projects'!$C$4:$C$1010,0)</f>
        <v>#N/A</v>
      </c>
      <c r="AN280" s="6" t="b">
        <f t="shared" si="30"/>
        <v>1</v>
      </c>
      <c r="AO280" s="6" t="str">
        <f t="shared" si="33"/>
        <v>OK</v>
      </c>
      <c r="AQ280" s="6">
        <f>MATCH($D280,'D4 - Provider Council Unsched'!$C$11:$C$234,0)</f>
        <v>44</v>
      </c>
      <c r="AR280" s="6" t="b">
        <f t="shared" si="31"/>
        <v>0</v>
      </c>
      <c r="AS280" s="6" t="str">
        <f t="shared" si="34"/>
        <v>OK</v>
      </c>
      <c r="AU280" s="202"/>
      <c r="AV280" s="394" t="s">
        <v>9115</v>
      </c>
      <c r="AW280" s="274"/>
    </row>
    <row r="281" spans="1:49" s="13" customFormat="1" ht="12.75" x14ac:dyDescent="0.2">
      <c r="A281" s="14">
        <v>255</v>
      </c>
      <c r="B281" s="8">
        <v>400058658</v>
      </c>
      <c r="C281" s="8" t="s">
        <v>1447</v>
      </c>
      <c r="D281" s="4" t="str">
        <f t="shared" si="32"/>
        <v>400058658A</v>
      </c>
      <c r="E281" s="309" t="str">
        <f>VLOOKUP($B281,'D7 - NDB Impacted SPRF''s'!$E$6:$O$9929,2,FALSE)</f>
        <v>CMC KRS Wrap Network A/O</v>
      </c>
      <c r="F281" s="8"/>
      <c r="G281" s="8" t="s">
        <v>7980</v>
      </c>
      <c r="H281" s="8" t="s">
        <v>6266</v>
      </c>
      <c r="I281" s="20"/>
      <c r="J281" s="8"/>
      <c r="K281" s="182"/>
      <c r="L281" s="8" t="s">
        <v>4156</v>
      </c>
      <c r="M281" s="8" t="s">
        <v>2814</v>
      </c>
      <c r="N281" s="38"/>
      <c r="O281" s="8"/>
      <c r="P281" s="4" t="str">
        <f>VLOOKUP($B281,'D7 - NDB Impacted SPRF''s'!$E$16:$O$9929,9,FALSE)</f>
        <v>Y</v>
      </c>
      <c r="Q281" s="4" t="str">
        <f>VLOOKUP($B281,'D7 - NDB Impacted SPRF''s'!$E$16:$O$9929,10,FALSE)</f>
        <v>N</v>
      </c>
      <c r="R281" s="4" t="str">
        <f>VLOOKUP($B281,'D7 - NDB Impacted SPRF''s'!$E$16:$O$9929,11,FALSE)</f>
        <v>N</v>
      </c>
      <c r="S281" s="8"/>
      <c r="T281" s="310"/>
      <c r="U281" s="310"/>
      <c r="V281" s="4"/>
      <c r="W281" s="4"/>
      <c r="X281" s="4"/>
      <c r="Y281" s="4"/>
      <c r="Z281" s="4"/>
      <c r="AA281" s="4"/>
      <c r="AB281" s="380" t="str">
        <f>VLOOKUP($B281,'D7 - NDB Impacted SPRF''s'!$E$6:$O$9929,4,FALSE)</f>
        <v>In Estimating</v>
      </c>
      <c r="AC281" s="380" t="str">
        <f>VLOOKUP($B281,'D7 - NDB Impacted SPRF''s'!$E$6:$O$9929,3,FALSE)</f>
        <v>OptumHealth</v>
      </c>
      <c r="AD281" s="380" t="str">
        <f>VLOOKUP($B281,'D7 - NDB Impacted SPRF''s'!$E$6:$O$9929,5,FALSE)</f>
        <v>OptumHealth Care Solutions</v>
      </c>
      <c r="AE281" s="380" t="str">
        <f>VLOOKUP($B281,'D7 - NDB Impacted SPRF''s'!$E$6:$O$9929,7,FALSE)</f>
        <v>Jason Vanden Akker</v>
      </c>
      <c r="AF281" s="380" t="str">
        <f>VLOOKUP($B281,'D7 - NDB Impacted SPRF''s'!$E$6:$O$9929,6,FALSE)</f>
        <v>Lindsay Olson</v>
      </c>
      <c r="AG281" s="282"/>
      <c r="AH281" s="311" t="e">
        <f>INDEX('D5 - Gatekeeper - Projects'!$A$4:$AF$1010,$AM281, 17)</f>
        <v>#N/A</v>
      </c>
      <c r="AI281" s="8"/>
      <c r="AJ281" s="57"/>
      <c r="AK281" s="105"/>
      <c r="AM281" s="6" t="e">
        <f>MATCH(D281,'D5 - Gatekeeper - Projects'!$C$4:$C$1010,0)</f>
        <v>#N/A</v>
      </c>
      <c r="AN281" s="6" t="b">
        <f t="shared" si="30"/>
        <v>1</v>
      </c>
      <c r="AO281" s="6" t="str">
        <f t="shared" si="33"/>
        <v>OK</v>
      </c>
      <c r="AQ281" s="6">
        <f>MATCH($D281,'D4 - Provider Council Unsched'!$C$11:$C$234,0)</f>
        <v>41</v>
      </c>
      <c r="AR281" s="6" t="b">
        <f t="shared" si="31"/>
        <v>0</v>
      </c>
      <c r="AS281" s="6" t="str">
        <f t="shared" si="34"/>
        <v>OK</v>
      </c>
      <c r="AU281" s="202"/>
      <c r="AV281" s="394" t="s">
        <v>9082</v>
      </c>
      <c r="AW281" s="274"/>
    </row>
    <row r="282" spans="1:49" s="13" customFormat="1" ht="45" x14ac:dyDescent="0.2">
      <c r="A282" s="14">
        <v>256</v>
      </c>
      <c r="B282" s="8">
        <v>400058720</v>
      </c>
      <c r="C282" s="8" t="s">
        <v>1447</v>
      </c>
      <c r="D282" s="4" t="str">
        <f t="shared" si="32"/>
        <v>400058720A</v>
      </c>
      <c r="E282" s="309" t="str">
        <f>VLOOKUP($B282,'D7 - NDB Impacted SPRF''s'!$E$6:$O$9929,2,FALSE)</f>
        <v>Provider Touchpoint Redirect</v>
      </c>
      <c r="F282" s="8"/>
      <c r="G282" s="8" t="s">
        <v>7980</v>
      </c>
      <c r="H282" s="8" t="s">
        <v>6266</v>
      </c>
      <c r="I282" s="20"/>
      <c r="J282" s="8"/>
      <c r="K282" s="182"/>
      <c r="L282" s="8" t="s">
        <v>4156</v>
      </c>
      <c r="M282" s="8" t="s">
        <v>2814</v>
      </c>
      <c r="N282" s="38"/>
      <c r="O282" s="8"/>
      <c r="P282" s="4" t="str">
        <f>VLOOKUP($B282,'D7 - NDB Impacted SPRF''s'!$E$16:$O$9929,9,FALSE)</f>
        <v>N</v>
      </c>
      <c r="Q282" s="4" t="str">
        <f>VLOOKUP($B282,'D7 - NDB Impacted SPRF''s'!$E$16:$O$9929,10,FALSE)</f>
        <v>N</v>
      </c>
      <c r="R282" s="4" t="str">
        <f>VLOOKUP($B282,'D7 - NDB Impacted SPRF''s'!$E$16:$O$9929,11,FALSE)</f>
        <v>N</v>
      </c>
      <c r="S282" s="8"/>
      <c r="T282" s="310"/>
      <c r="U282" s="310"/>
      <c r="V282" s="4"/>
      <c r="W282" s="4"/>
      <c r="X282" s="4"/>
      <c r="Y282" s="4"/>
      <c r="Z282" s="4"/>
      <c r="AA282" s="4"/>
      <c r="AB282" s="380" t="str">
        <f>VLOOKUP($B282,'D7 - NDB Impacted SPRF''s'!$E$6:$O$9929,4,FALSE)</f>
        <v>In Estimating</v>
      </c>
      <c r="AC282" s="380" t="str">
        <f>VLOOKUP($B282,'D7 - NDB Impacted SPRF''s'!$E$6:$O$9929,3,FALSE)</f>
        <v>UHG IT - Enterprise Technology Services</v>
      </c>
      <c r="AD282" s="380" t="str">
        <f>VLOOKUP($B282,'D7 - NDB Impacted SPRF''s'!$E$6:$O$9929,5,FALSE)</f>
        <v>Strategic Initiatives</v>
      </c>
      <c r="AE282" s="380" t="str">
        <f>VLOOKUP($B282,'D7 - NDB Impacted SPRF''s'!$E$6:$O$9929,7,FALSE)</f>
        <v>Tim Kaja</v>
      </c>
      <c r="AF282" s="380" t="str">
        <f>VLOOKUP($B282,'D7 - NDB Impacted SPRF''s'!$E$6:$O$9929,6,FALSE)</f>
        <v>LESLIE WORLEY</v>
      </c>
      <c r="AG282" s="282"/>
      <c r="AH282" s="311" t="e">
        <f>INDEX('D5 - Gatekeeper - Projects'!$A$4:$AF$1010,$AM282, 17)</f>
        <v>#N/A</v>
      </c>
      <c r="AI282" s="8"/>
      <c r="AJ282" s="57"/>
      <c r="AK282" s="105"/>
      <c r="AM282" s="6" t="e">
        <f>MATCH(D282,'D5 - Gatekeeper - Projects'!$C$4:$C$1010,0)</f>
        <v>#N/A</v>
      </c>
      <c r="AN282" s="6" t="b">
        <f t="shared" si="30"/>
        <v>1</v>
      </c>
      <c r="AO282" s="6" t="str">
        <f t="shared" si="33"/>
        <v>OK</v>
      </c>
      <c r="AQ282" s="6">
        <f>MATCH($D282,'D4 - Provider Council Unsched'!$C$11:$C$234,0)</f>
        <v>48</v>
      </c>
      <c r="AR282" s="6" t="b">
        <f t="shared" si="31"/>
        <v>0</v>
      </c>
      <c r="AS282" s="6" t="str">
        <f t="shared" si="34"/>
        <v>OK</v>
      </c>
      <c r="AU282" s="202"/>
      <c r="AV282" s="394" t="s">
        <v>435</v>
      </c>
      <c r="AW282" s="274"/>
    </row>
    <row r="283" spans="1:49" s="13" customFormat="1" ht="12.75" x14ac:dyDescent="0.2">
      <c r="A283" s="14">
        <v>257</v>
      </c>
      <c r="B283" s="8">
        <v>400058742</v>
      </c>
      <c r="C283" s="8" t="s">
        <v>1447</v>
      </c>
      <c r="D283" s="4" t="str">
        <f t="shared" si="32"/>
        <v>400058742A</v>
      </c>
      <c r="E283" s="309" t="str">
        <f>VLOOKUP($B283,'D7 - NDB Impacted SPRF''s'!$E$6:$O$9929,2,FALSE)</f>
        <v>Workflow Mgmt - Scaling Advocacy traditional Reqs</v>
      </c>
      <c r="F283" s="8"/>
      <c r="G283" s="8" t="s">
        <v>7980</v>
      </c>
      <c r="H283" s="8" t="s">
        <v>6266</v>
      </c>
      <c r="I283" s="20"/>
      <c r="J283" s="8"/>
      <c r="K283" s="182"/>
      <c r="L283" s="8" t="s">
        <v>4156</v>
      </c>
      <c r="M283" s="8" t="s">
        <v>2814</v>
      </c>
      <c r="N283" s="38"/>
      <c r="O283" s="8"/>
      <c r="P283" s="4" t="str">
        <f>VLOOKUP($B283,'D7 - NDB Impacted SPRF''s'!$E$16:$O$9929,9,FALSE)</f>
        <v>Y</v>
      </c>
      <c r="Q283" s="4" t="str">
        <f>VLOOKUP($B283,'D7 - NDB Impacted SPRF''s'!$E$16:$O$9929,10,FALSE)</f>
        <v>N</v>
      </c>
      <c r="R283" s="4" t="str">
        <f>VLOOKUP($B283,'D7 - NDB Impacted SPRF''s'!$E$16:$O$9929,11,FALSE)</f>
        <v>N</v>
      </c>
      <c r="S283" s="8"/>
      <c r="T283" s="310"/>
      <c r="U283" s="310"/>
      <c r="V283" s="4"/>
      <c r="W283" s="4"/>
      <c r="X283" s="4"/>
      <c r="Y283" s="4"/>
      <c r="Z283" s="4"/>
      <c r="AA283" s="4"/>
      <c r="AB283" s="380" t="str">
        <f>VLOOKUP($B283,'D7 - NDB Impacted SPRF''s'!$E$6:$O$9929,4,FALSE)</f>
        <v>In Estimating</v>
      </c>
      <c r="AC283" s="380" t="str">
        <f>VLOOKUP($B283,'D7 - NDB Impacted SPRF''s'!$E$6:$O$9929,3,FALSE)</f>
        <v>OptumHealth</v>
      </c>
      <c r="AD283" s="380" t="str">
        <f>VLOOKUP($B283,'D7 - NDB Impacted SPRF''s'!$E$6:$O$9929,5,FALSE)</f>
        <v>OptumHealth Care Solutions</v>
      </c>
      <c r="AE283" s="380" t="str">
        <f>VLOOKUP($B283,'D7 - NDB Impacted SPRF''s'!$E$6:$O$9929,7,FALSE)</f>
        <v>Ben Line</v>
      </c>
      <c r="AF283" s="380" t="str">
        <f>VLOOKUP($B283,'D7 - NDB Impacted SPRF''s'!$E$6:$O$9929,6,FALSE)</f>
        <v>Deborah Morris</v>
      </c>
      <c r="AG283" s="282"/>
      <c r="AH283" s="311" t="e">
        <f>INDEX('D5 - Gatekeeper - Projects'!$A$4:$AF$1010,$AM283, 17)</f>
        <v>#N/A</v>
      </c>
      <c r="AI283" s="8"/>
      <c r="AJ283" s="57"/>
      <c r="AK283" s="105"/>
      <c r="AM283" s="6" t="e">
        <f>MATCH(D283,'D5 - Gatekeeper - Projects'!$C$4:$C$1010,0)</f>
        <v>#N/A</v>
      </c>
      <c r="AN283" s="6" t="b">
        <f t="shared" si="30"/>
        <v>1</v>
      </c>
      <c r="AO283" s="6" t="str">
        <f t="shared" si="33"/>
        <v>OK</v>
      </c>
      <c r="AQ283" s="6">
        <f>MATCH($D283,'D4 - Provider Council Unsched'!$C$11:$C$234,0)</f>
        <v>46</v>
      </c>
      <c r="AR283" s="6" t="b">
        <f t="shared" si="31"/>
        <v>0</v>
      </c>
      <c r="AS283" s="6" t="str">
        <f t="shared" si="34"/>
        <v>OK</v>
      </c>
      <c r="AU283" s="202"/>
      <c r="AV283" s="394" t="s">
        <v>7813</v>
      </c>
      <c r="AW283" s="274"/>
    </row>
    <row r="284" spans="1:49" s="13" customFormat="1" ht="33.75" x14ac:dyDescent="0.2">
      <c r="A284" s="14">
        <v>258</v>
      </c>
      <c r="B284" s="8">
        <v>400058803</v>
      </c>
      <c r="C284" s="8" t="s">
        <v>1447</v>
      </c>
      <c r="D284" s="4" t="str">
        <f t="shared" si="32"/>
        <v>400058803A</v>
      </c>
      <c r="E284" s="309" t="str">
        <f>VLOOKUP($B284,'D7 - NDB Impacted SPRF''s'!$E$6:$O$9929,2,FALSE)</f>
        <v>DocGPS Implementation</v>
      </c>
      <c r="F284" s="8"/>
      <c r="G284" s="8" t="s">
        <v>7980</v>
      </c>
      <c r="H284" s="8" t="s">
        <v>6266</v>
      </c>
      <c r="I284" s="20"/>
      <c r="J284" s="8"/>
      <c r="K284" s="182"/>
      <c r="L284" s="8" t="s">
        <v>4156</v>
      </c>
      <c r="M284" s="8" t="s">
        <v>2814</v>
      </c>
      <c r="N284" s="38"/>
      <c r="O284" s="8"/>
      <c r="P284" s="4" t="str">
        <f>VLOOKUP($B284,'D7 - NDB Impacted SPRF''s'!$E$16:$O$9929,9,FALSE)</f>
        <v>N</v>
      </c>
      <c r="Q284" s="4" t="str">
        <f>VLOOKUP($B284,'D7 - NDB Impacted SPRF''s'!$E$16:$O$9929,10,FALSE)</f>
        <v>N</v>
      </c>
      <c r="R284" s="4" t="str">
        <f>VLOOKUP($B284,'D7 - NDB Impacted SPRF''s'!$E$16:$O$9929,11,FALSE)</f>
        <v>N</v>
      </c>
      <c r="S284" s="8"/>
      <c r="T284" s="310"/>
      <c r="U284" s="310"/>
      <c r="V284" s="4"/>
      <c r="W284" s="4"/>
      <c r="X284" s="4"/>
      <c r="Y284" s="4"/>
      <c r="Z284" s="4"/>
      <c r="AA284" s="4"/>
      <c r="AB284" s="380" t="str">
        <f>VLOOKUP($B284,'D7 - NDB Impacted SPRF''s'!$E$6:$O$9929,4,FALSE)</f>
        <v>In Estimating</v>
      </c>
      <c r="AC284" s="380" t="str">
        <f>VLOOKUP($B284,'D7 - NDB Impacted SPRF''s'!$E$6:$O$9929,3,FALSE)</f>
        <v>UnitedHealthcare Military &amp; Veterans</v>
      </c>
      <c r="AD284" s="380" t="str">
        <f>VLOOKUP($B284,'D7 - NDB Impacted SPRF''s'!$E$6:$O$9929,5,FALSE)</f>
        <v>Operational Requirements</v>
      </c>
      <c r="AE284" s="380" t="str">
        <f>VLOOKUP($B284,'D7 - NDB Impacted SPRF''s'!$E$6:$O$9929,7,FALSE)</f>
        <v>Mike Schwarz</v>
      </c>
      <c r="AF284" s="380" t="str">
        <f>VLOOKUP($B284,'D7 - NDB Impacted SPRF''s'!$E$6:$O$9929,6,FALSE)</f>
        <v>Alison Ross</v>
      </c>
      <c r="AG284" s="282"/>
      <c r="AH284" s="311" t="e">
        <f>INDEX('D5 - Gatekeeper - Projects'!$A$4:$AF$1010,$AM284, 17)</f>
        <v>#N/A</v>
      </c>
      <c r="AI284" s="8"/>
      <c r="AJ284" s="57"/>
      <c r="AK284" s="105"/>
      <c r="AM284" s="6" t="e">
        <f>MATCH(D284,'D5 - Gatekeeper - Projects'!$C$4:$C$1010,0)</f>
        <v>#N/A</v>
      </c>
      <c r="AN284" s="6" t="b">
        <f t="shared" si="30"/>
        <v>1</v>
      </c>
      <c r="AO284" s="6" t="str">
        <f t="shared" si="33"/>
        <v>OK</v>
      </c>
      <c r="AQ284" s="6">
        <f>MATCH($D284,'D4 - Provider Council Unsched'!$C$11:$C$234,0)</f>
        <v>62</v>
      </c>
      <c r="AR284" s="6" t="b">
        <f t="shared" si="31"/>
        <v>0</v>
      </c>
      <c r="AS284" s="6" t="str">
        <f t="shared" si="34"/>
        <v>OK</v>
      </c>
      <c r="AU284" s="202"/>
      <c r="AV284" s="394" t="s">
        <v>317</v>
      </c>
      <c r="AW284" s="274"/>
    </row>
    <row r="285" spans="1:49" s="13" customFormat="1" ht="33.75" x14ac:dyDescent="0.2">
      <c r="A285" s="14">
        <v>259</v>
      </c>
      <c r="B285" s="8">
        <v>400058809</v>
      </c>
      <c r="C285" s="8" t="s">
        <v>1447</v>
      </c>
      <c r="D285" s="4" t="str">
        <f t="shared" si="32"/>
        <v>400058809A</v>
      </c>
      <c r="E285" s="309" t="str">
        <f>VLOOKUP($B285,'D7 - NDB Impacted SPRF''s'!$E$6:$O$9929,2,FALSE)</f>
        <v>UHCMW Defect release</v>
      </c>
      <c r="F285" s="8"/>
      <c r="G285" s="8" t="s">
        <v>7980</v>
      </c>
      <c r="H285" s="8" t="s">
        <v>6266</v>
      </c>
      <c r="I285" s="20"/>
      <c r="J285" s="8"/>
      <c r="K285" s="182"/>
      <c r="L285" s="8" t="s">
        <v>4156</v>
      </c>
      <c r="M285" s="8" t="s">
        <v>2814</v>
      </c>
      <c r="N285" s="38"/>
      <c r="O285" s="8"/>
      <c r="P285" s="4" t="str">
        <f>VLOOKUP($B285,'D7 - NDB Impacted SPRF''s'!$E$16:$O$9929,9,FALSE)</f>
        <v>N</v>
      </c>
      <c r="Q285" s="4" t="str">
        <f>VLOOKUP($B285,'D7 - NDB Impacted SPRF''s'!$E$16:$O$9929,10,FALSE)</f>
        <v>N</v>
      </c>
      <c r="R285" s="4" t="str">
        <f>VLOOKUP($B285,'D7 - NDB Impacted SPRF''s'!$E$16:$O$9929,11,FALSE)</f>
        <v>N</v>
      </c>
      <c r="S285" s="8"/>
      <c r="T285" s="310"/>
      <c r="U285" s="310"/>
      <c r="V285" s="4"/>
      <c r="W285" s="4"/>
      <c r="X285" s="4"/>
      <c r="Y285" s="4"/>
      <c r="Z285" s="4"/>
      <c r="AA285" s="4"/>
      <c r="AB285" s="380" t="str">
        <f>VLOOKUP($B285,'D7 - NDB Impacted SPRF''s'!$E$6:$O$9929,4,FALSE)</f>
        <v>In Program Manager Request Review</v>
      </c>
      <c r="AC285" s="380" t="str">
        <f>VLOOKUP($B285,'D7 - NDB Impacted SPRF''s'!$E$6:$O$9929,3,FALSE)</f>
        <v>UnitedHealthcare Military &amp; Veterans</v>
      </c>
      <c r="AD285" s="380" t="str">
        <f>VLOOKUP($B285,'D7 - NDB Impacted SPRF''s'!$E$6:$O$9929,5,FALSE)</f>
        <v>Operational Requirements</v>
      </c>
      <c r="AE285" s="380" t="str">
        <f>VLOOKUP($B285,'D7 - NDB Impacted SPRF''s'!$E$6:$O$9929,7,FALSE)</f>
        <v>Mike Schwarz</v>
      </c>
      <c r="AF285" s="380" t="str">
        <f>VLOOKUP($B285,'D7 - NDB Impacted SPRF''s'!$E$6:$O$9929,6,FALSE)</f>
        <v>Alison Ross</v>
      </c>
      <c r="AG285" s="282"/>
      <c r="AH285" s="311" t="e">
        <f>INDEX('D5 - Gatekeeper - Projects'!$A$4:$AF$1010,$AM285, 17)</f>
        <v>#N/A</v>
      </c>
      <c r="AI285" s="8"/>
      <c r="AJ285" s="57"/>
      <c r="AK285" s="105"/>
      <c r="AM285" s="6" t="e">
        <f>MATCH(D285,'D5 - Gatekeeper - Projects'!$C$4:$C$1010,0)</f>
        <v>#N/A</v>
      </c>
      <c r="AN285" s="6" t="b">
        <f t="shared" si="30"/>
        <v>1</v>
      </c>
      <c r="AO285" s="6" t="str">
        <f t="shared" si="33"/>
        <v>OK</v>
      </c>
      <c r="AQ285" s="6">
        <f>MATCH($D285,'D4 - Provider Council Unsched'!$C$11:$C$234,0)</f>
        <v>50</v>
      </c>
      <c r="AR285" s="6" t="b">
        <f t="shared" si="31"/>
        <v>0</v>
      </c>
      <c r="AS285" s="6" t="str">
        <f t="shared" si="34"/>
        <v>OK</v>
      </c>
      <c r="AU285" s="202"/>
      <c r="AV285" s="394" t="s">
        <v>317</v>
      </c>
      <c r="AW285" s="274"/>
    </row>
    <row r="286" spans="1:49" s="13" customFormat="1" ht="11.25" customHeight="1" x14ac:dyDescent="0.2">
      <c r="A286" s="14">
        <v>261</v>
      </c>
      <c r="B286" s="8">
        <v>400059062</v>
      </c>
      <c r="C286" s="8" t="s">
        <v>1447</v>
      </c>
      <c r="D286" s="4" t="str">
        <f t="shared" si="32"/>
        <v>400059062A</v>
      </c>
      <c r="E286" s="309" t="str">
        <f>VLOOKUP($B286,'D7 - NDB Impacted SPRF''s'!$E$6:$O$9929,2,FALSE)</f>
        <v>OnLine M&amp;R Gatekeeper Referrals - Therapy Support</v>
      </c>
      <c r="F286" s="8"/>
      <c r="G286" s="8" t="s">
        <v>7980</v>
      </c>
      <c r="H286" s="8" t="s">
        <v>6266</v>
      </c>
      <c r="I286" s="20"/>
      <c r="J286" s="8"/>
      <c r="K286" s="182"/>
      <c r="L286" s="8" t="s">
        <v>4156</v>
      </c>
      <c r="M286" s="8" t="s">
        <v>2814</v>
      </c>
      <c r="N286" s="38"/>
      <c r="O286" s="8"/>
      <c r="P286" s="4" t="str">
        <f>VLOOKUP($B286,'D7 - NDB Impacted SPRF''s'!$E$16:$O$9929,9,FALSE)</f>
        <v>N</v>
      </c>
      <c r="Q286" s="4" t="str">
        <f>VLOOKUP($B286,'D7 - NDB Impacted SPRF''s'!$E$16:$O$9929,10,FALSE)</f>
        <v>N</v>
      </c>
      <c r="R286" s="4" t="str">
        <f>VLOOKUP($B286,'D7 - NDB Impacted SPRF''s'!$E$16:$O$9929,11,FALSE)</f>
        <v>N</v>
      </c>
      <c r="S286" s="8"/>
      <c r="T286" s="310"/>
      <c r="U286" s="310"/>
      <c r="V286" s="4"/>
      <c r="W286" s="4"/>
      <c r="X286" s="4"/>
      <c r="Y286" s="4"/>
      <c r="Z286" s="4"/>
      <c r="AA286" s="4"/>
      <c r="AB286" s="380" t="str">
        <f>VLOOKUP($B286,'D7 - NDB Impacted SPRF''s'!$E$6:$O$9929,4,FALSE)</f>
        <v>In IT Leadership Estimate Review</v>
      </c>
      <c r="AC286" s="380" t="str">
        <f>VLOOKUP($B286,'D7 - NDB Impacted SPRF''s'!$E$6:$O$9929,3,FALSE)</f>
        <v>UnitedHealthcare Medicare &amp; Retirement</v>
      </c>
      <c r="AD286" s="380" t="str">
        <f>VLOOKUP($B286,'D7 - NDB Impacted SPRF''s'!$E$6:$O$9929,5,FALSE)</f>
        <v>Customer Requirements</v>
      </c>
      <c r="AE286" s="380" t="str">
        <f>VLOOKUP($B286,'D7 - NDB Impacted SPRF''s'!$E$6:$O$9929,7,FALSE)</f>
        <v>Mike Donovan</v>
      </c>
      <c r="AF286" s="380" t="str">
        <f>VLOOKUP($B286,'D7 - NDB Impacted SPRF''s'!$E$6:$O$9929,6,FALSE)</f>
        <v>Brendan Dolan</v>
      </c>
      <c r="AG286" s="282"/>
      <c r="AH286" s="311" t="e">
        <f>INDEX('D5 - Gatekeeper - Projects'!$A$4:$AF$1010,$AM286, 17)</f>
        <v>#N/A</v>
      </c>
      <c r="AI286" s="8"/>
      <c r="AJ286" s="57"/>
      <c r="AK286" s="105"/>
      <c r="AM286" s="6" t="e">
        <f>MATCH(D286,'D5 - Gatekeeper - Projects'!$C$4:$C$1010,0)</f>
        <v>#N/A</v>
      </c>
      <c r="AN286" s="6" t="b">
        <f t="shared" si="30"/>
        <v>1</v>
      </c>
      <c r="AO286" s="6" t="str">
        <f t="shared" si="33"/>
        <v>OK</v>
      </c>
      <c r="AQ286" s="6">
        <f>MATCH($D286,'D4 - Provider Council Unsched'!$C$11:$C$234,0)</f>
        <v>49</v>
      </c>
      <c r="AR286" s="6" t="b">
        <f t="shared" si="31"/>
        <v>0</v>
      </c>
      <c r="AS286" s="6" t="str">
        <f t="shared" si="34"/>
        <v>OK</v>
      </c>
      <c r="AU286" s="202"/>
      <c r="AV286" s="394" t="s">
        <v>1131</v>
      </c>
      <c r="AW286" s="274"/>
    </row>
    <row r="287" spans="1:49" s="13" customFormat="1" ht="11.25" customHeight="1" x14ac:dyDescent="0.2">
      <c r="A287" s="14">
        <v>262</v>
      </c>
      <c r="B287" s="8">
        <v>400059118</v>
      </c>
      <c r="C287" s="8" t="s">
        <v>1447</v>
      </c>
      <c r="D287" s="4" t="str">
        <f t="shared" si="32"/>
        <v>400059118A</v>
      </c>
      <c r="E287" s="309" t="str">
        <f>VLOOKUP($B287,'D7 - NDB Impacted SPRF''s'!$E$6:$O$9929,2,FALSE)</f>
        <v>Increase existing Master connectivity for ICD10</v>
      </c>
      <c r="F287" s="8"/>
      <c r="G287" s="8" t="s">
        <v>7980</v>
      </c>
      <c r="H287" s="8" t="s">
        <v>6266</v>
      </c>
      <c r="I287" s="20"/>
      <c r="J287" s="8"/>
      <c r="K287" s="182"/>
      <c r="L287" s="8" t="s">
        <v>4156</v>
      </c>
      <c r="M287" s="8" t="s">
        <v>2814</v>
      </c>
      <c r="N287" s="38"/>
      <c r="O287" s="8"/>
      <c r="P287" s="4" t="str">
        <f>VLOOKUP($B287,'D7 - NDB Impacted SPRF''s'!$E$16:$O$9929,9,FALSE)</f>
        <v>Y</v>
      </c>
      <c r="Q287" s="4" t="str">
        <f>VLOOKUP($B287,'D7 - NDB Impacted SPRF''s'!$E$16:$O$9929,10,FALSE)</f>
        <v>N</v>
      </c>
      <c r="R287" s="4" t="str">
        <f>VLOOKUP($B287,'D7 - NDB Impacted SPRF''s'!$E$16:$O$9929,11,FALSE)</f>
        <v>Y</v>
      </c>
      <c r="S287" s="8"/>
      <c r="T287" s="310"/>
      <c r="U287" s="310"/>
      <c r="V287" s="4"/>
      <c r="W287" s="4"/>
      <c r="X287" s="4"/>
      <c r="Y287" s="4"/>
      <c r="Z287" s="4"/>
      <c r="AA287" s="4"/>
      <c r="AB287" s="380" t="str">
        <f>VLOOKUP($B287,'D7 - NDB Impacted SPRF''s'!$E$6:$O$9929,4,FALSE)</f>
        <v>In Estimating</v>
      </c>
      <c r="AC287" s="380" t="str">
        <f>VLOOKUP($B287,'D7 - NDB Impacted SPRF''s'!$E$6:$O$9929,3,FALSE)</f>
        <v>UHG IT - Shared Services</v>
      </c>
      <c r="AD287" s="380" t="str">
        <f>VLOOKUP($B287,'D7 - NDB Impacted SPRF''s'!$E$6:$O$9929,5,FALSE)</f>
        <v>ASG</v>
      </c>
      <c r="AE287" s="380" t="str">
        <f>VLOOKUP($B287,'D7 - NDB Impacted SPRF''s'!$E$6:$O$9929,7,FALSE)</f>
        <v>Duhaime</v>
      </c>
      <c r="AF287" s="380" t="str">
        <f>VLOOKUP($B287,'D7 - NDB Impacted SPRF''s'!$E$6:$O$9929,6,FALSE)</f>
        <v>PETER ERNEST</v>
      </c>
      <c r="AG287" s="282"/>
      <c r="AH287" s="311" t="e">
        <f>INDEX('D5 - Gatekeeper - Projects'!$A$4:$AF$1010,$AM287, 17)</f>
        <v>#N/A</v>
      </c>
      <c r="AI287" s="8"/>
      <c r="AJ287" s="57"/>
      <c r="AK287" s="105"/>
      <c r="AM287" s="6" t="e">
        <f>MATCH(D287,'D5 - Gatekeeper - Projects'!$C$4:$C$1010,0)</f>
        <v>#N/A</v>
      </c>
      <c r="AN287" s="6" t="b">
        <f t="shared" si="30"/>
        <v>1</v>
      </c>
      <c r="AO287" s="6" t="str">
        <f t="shared" si="33"/>
        <v>OK</v>
      </c>
      <c r="AQ287" s="6">
        <f>MATCH($D287,'D4 - Provider Council Unsched'!$C$11:$C$234,0)</f>
        <v>52</v>
      </c>
      <c r="AR287" s="6" t="b">
        <f t="shared" si="31"/>
        <v>0</v>
      </c>
      <c r="AS287" s="6" t="str">
        <f t="shared" si="34"/>
        <v>OK</v>
      </c>
      <c r="AU287" s="202"/>
      <c r="AV287" s="394" t="s">
        <v>691</v>
      </c>
      <c r="AW287" s="274"/>
    </row>
    <row r="288" spans="1:49" s="13" customFormat="1" ht="33.75" x14ac:dyDescent="0.2">
      <c r="A288" s="14">
        <v>263</v>
      </c>
      <c r="B288" s="8">
        <v>400059184</v>
      </c>
      <c r="C288" s="8" t="s">
        <v>1447</v>
      </c>
      <c r="D288" s="4" t="str">
        <f t="shared" si="32"/>
        <v>400059184A</v>
      </c>
      <c r="E288" s="309" t="str">
        <f>VLOOKUP($B288,'D7 - NDB Impacted SPRF''s'!$E$6:$O$9929,2,FALSE)</f>
        <v>Soft $ Calculations in NDB 4000 Enhancement</v>
      </c>
      <c r="F288" s="8"/>
      <c r="G288" s="8" t="s">
        <v>7980</v>
      </c>
      <c r="H288" s="8" t="s">
        <v>6266</v>
      </c>
      <c r="I288" s="20"/>
      <c r="J288" s="8"/>
      <c r="K288" s="182"/>
      <c r="L288" s="8" t="s">
        <v>4156</v>
      </c>
      <c r="M288" s="8" t="s">
        <v>2814</v>
      </c>
      <c r="N288" s="38"/>
      <c r="O288" s="8"/>
      <c r="P288" s="4" t="str">
        <f>VLOOKUP($B288,'D7 - NDB Impacted SPRF''s'!$E$16:$O$9929,9,FALSE)</f>
        <v>N</v>
      </c>
      <c r="Q288" s="4" t="str">
        <f>VLOOKUP($B288,'D7 - NDB Impacted SPRF''s'!$E$16:$O$9929,10,FALSE)</f>
        <v>N</v>
      </c>
      <c r="R288" s="4" t="str">
        <f>VLOOKUP($B288,'D7 - NDB Impacted SPRF''s'!$E$16:$O$9929,11,FALSE)</f>
        <v>N</v>
      </c>
      <c r="S288" s="8"/>
      <c r="T288" s="310"/>
      <c r="U288" s="310"/>
      <c r="V288" s="4"/>
      <c r="W288" s="4"/>
      <c r="X288" s="4"/>
      <c r="Y288" s="4"/>
      <c r="Z288" s="4"/>
      <c r="AA288" s="4"/>
      <c r="AB288" s="380" t="str">
        <f>VLOOKUP($B288,'D7 - NDB Impacted SPRF''s'!$E$6:$O$9929,4,FALSE)</f>
        <v>In Estimating</v>
      </c>
      <c r="AC288" s="380" t="str">
        <f>VLOOKUP($B288,'D7 - NDB Impacted SPRF''s'!$E$6:$O$9929,3,FALSE)</f>
        <v>UnitedHealthcare Employer &amp; Individual</v>
      </c>
      <c r="AD288" s="380" t="str">
        <f>VLOOKUP($B288,'D7 - NDB Impacted SPRF''s'!$E$6:$O$9929,5,FALSE)</f>
        <v>Operational Requirements</v>
      </c>
      <c r="AE288" s="380" t="str">
        <f>VLOOKUP($B288,'D7 - NDB Impacted SPRF''s'!$E$6:$O$9929,7,FALSE)</f>
        <v xml:space="preserve">Eileen Dock </v>
      </c>
      <c r="AF288" s="380" t="str">
        <f>VLOOKUP($B288,'D7 - NDB Impacted SPRF''s'!$E$6:$O$9929,6,FALSE)</f>
        <v>Pia Rowland-Jones</v>
      </c>
      <c r="AG288" s="282"/>
      <c r="AH288" s="311" t="e">
        <f>INDEX('D5 - Gatekeeper - Projects'!$A$4:$AF$1010,$AM288, 17)</f>
        <v>#N/A</v>
      </c>
      <c r="AI288" s="8"/>
      <c r="AJ288" s="57"/>
      <c r="AK288" s="105"/>
      <c r="AM288" s="6" t="e">
        <f>MATCH(D288,'D5 - Gatekeeper - Projects'!$C$4:$C$1010,0)</f>
        <v>#N/A</v>
      </c>
      <c r="AN288" s="6" t="b">
        <f t="shared" si="30"/>
        <v>1</v>
      </c>
      <c r="AO288" s="6" t="str">
        <f t="shared" si="33"/>
        <v>OK</v>
      </c>
      <c r="AQ288" s="6">
        <f>MATCH($D288,'D4 - Provider Council Unsched'!$C$11:$C$234,0)</f>
        <v>55</v>
      </c>
      <c r="AR288" s="6" t="b">
        <f t="shared" si="31"/>
        <v>0</v>
      </c>
      <c r="AS288" s="6" t="str">
        <f t="shared" si="34"/>
        <v>OK</v>
      </c>
      <c r="AU288" s="202"/>
      <c r="AV288" s="394" t="s">
        <v>444</v>
      </c>
      <c r="AW288" s="274"/>
    </row>
    <row r="289" spans="1:49" s="13" customFormat="1" ht="11.25" customHeight="1" x14ac:dyDescent="0.2">
      <c r="A289" s="14">
        <v>264</v>
      </c>
      <c r="B289" s="8">
        <v>400059234</v>
      </c>
      <c r="C289" s="8" t="s">
        <v>1447</v>
      </c>
      <c r="D289" s="4" t="str">
        <f t="shared" si="32"/>
        <v>400059234A</v>
      </c>
      <c r="E289" s="309" t="str">
        <f>VLOOKUP($B289,'D7 - NDB Impacted SPRF''s'!$E$6:$O$9929,2,FALSE)</f>
        <v>HCR EHB Plus Constituent Services</v>
      </c>
      <c r="F289" s="8"/>
      <c r="G289" s="8" t="s">
        <v>7980</v>
      </c>
      <c r="H289" s="8" t="s">
        <v>6266</v>
      </c>
      <c r="I289" s="20"/>
      <c r="J289" s="8"/>
      <c r="K289" s="182"/>
      <c r="L289" s="8" t="s">
        <v>4156</v>
      </c>
      <c r="M289" s="8" t="s">
        <v>2814</v>
      </c>
      <c r="N289" s="38"/>
      <c r="O289" s="8"/>
      <c r="P289" s="4" t="str">
        <f>VLOOKUP($B289,'D7 - NDB Impacted SPRF''s'!$E$16:$O$9929,9,FALSE)</f>
        <v>Y</v>
      </c>
      <c r="Q289" s="4" t="str">
        <f>VLOOKUP($B289,'D7 - NDB Impacted SPRF''s'!$E$16:$O$9929,10,FALSE)</f>
        <v>N</v>
      </c>
      <c r="R289" s="4" t="str">
        <f>VLOOKUP($B289,'D7 - NDB Impacted SPRF''s'!$E$16:$O$9929,11,FALSE)</f>
        <v>N</v>
      </c>
      <c r="S289" s="8"/>
      <c r="T289" s="310"/>
      <c r="U289" s="310"/>
      <c r="V289" s="4"/>
      <c r="W289" s="4"/>
      <c r="X289" s="4"/>
      <c r="Y289" s="4"/>
      <c r="Z289" s="4"/>
      <c r="AA289" s="4"/>
      <c r="AB289" s="380" t="str">
        <f>VLOOKUP($B289,'D7 - NDB Impacted SPRF''s'!$E$6:$O$9929,4,FALSE)</f>
        <v>In Estimating</v>
      </c>
      <c r="AC289" s="380" t="str">
        <f>VLOOKUP($B289,'D7 - NDB Impacted SPRF''s'!$E$6:$O$9929,3,FALSE)</f>
        <v>UnitedHealthcare Employer &amp; Individual</v>
      </c>
      <c r="AD289" s="380" t="str">
        <f>VLOOKUP($B289,'D7 - NDB Impacted SPRF''s'!$E$6:$O$9929,5,FALSE)</f>
        <v>Regulatory / Other</v>
      </c>
      <c r="AE289" s="380" t="str">
        <f>VLOOKUP($B289,'D7 - NDB Impacted SPRF''s'!$E$6:$O$9929,7,FALSE)</f>
        <v>Mary Stringer</v>
      </c>
      <c r="AF289" s="380" t="str">
        <f>VLOOKUP($B289,'D7 - NDB Impacted SPRF''s'!$E$6:$O$9929,6,FALSE)</f>
        <v>JAIME LILJEGREN</v>
      </c>
      <c r="AG289" s="282"/>
      <c r="AH289" s="311" t="e">
        <f>INDEX('D5 - Gatekeeper - Projects'!$A$4:$AF$1010,$AM289, 17)</f>
        <v>#N/A</v>
      </c>
      <c r="AI289" s="8"/>
      <c r="AJ289" s="57"/>
      <c r="AK289" s="105"/>
      <c r="AM289" s="6" t="e">
        <f>MATCH(D289,'D5 - Gatekeeper - Projects'!$C$4:$C$1010,0)</f>
        <v>#N/A</v>
      </c>
      <c r="AN289" s="6" t="b">
        <f t="shared" si="30"/>
        <v>1</v>
      </c>
      <c r="AO289" s="6" t="str">
        <f t="shared" si="33"/>
        <v>OK</v>
      </c>
      <c r="AQ289" s="6">
        <f>MATCH($D289,'D4 - Provider Council Unsched'!$C$11:$C$234,0)</f>
        <v>56</v>
      </c>
      <c r="AR289" s="6" t="b">
        <f t="shared" si="31"/>
        <v>0</v>
      </c>
      <c r="AS289" s="6" t="str">
        <f t="shared" si="34"/>
        <v>OK</v>
      </c>
      <c r="AU289" s="202"/>
      <c r="AV289" s="394" t="s">
        <v>7167</v>
      </c>
      <c r="AW289" s="274"/>
    </row>
    <row r="290" spans="1:49" s="13" customFormat="1" ht="11.25" customHeight="1" x14ac:dyDescent="0.2">
      <c r="A290" s="14">
        <v>265</v>
      </c>
      <c r="B290" s="8">
        <v>400059236</v>
      </c>
      <c r="C290" s="8" t="s">
        <v>1447</v>
      </c>
      <c r="D290" s="4" t="str">
        <f t="shared" si="32"/>
        <v>400059236A</v>
      </c>
      <c r="E290" s="309" t="str">
        <f>VLOOKUP($B290,'D7 - NDB Impacted SPRF''s'!$E$6:$O$9929,2,FALSE)</f>
        <v>HCR EHB Plus Claim Processing and Claim Accounting</v>
      </c>
      <c r="F290" s="8"/>
      <c r="G290" s="8" t="s">
        <v>7980</v>
      </c>
      <c r="H290" s="8" t="s">
        <v>6266</v>
      </c>
      <c r="I290" s="20"/>
      <c r="J290" s="8"/>
      <c r="K290" s="182"/>
      <c r="L290" s="8" t="s">
        <v>4156</v>
      </c>
      <c r="M290" s="8" t="s">
        <v>2814</v>
      </c>
      <c r="N290" s="38"/>
      <c r="O290" s="8"/>
      <c r="P290" s="4" t="str">
        <f>VLOOKUP($B290,'D7 - NDB Impacted SPRF''s'!$E$16:$O$9929,9,FALSE)</f>
        <v>Y</v>
      </c>
      <c r="Q290" s="4" t="str">
        <f>VLOOKUP($B290,'D7 - NDB Impacted SPRF''s'!$E$16:$O$9929,10,FALSE)</f>
        <v>N</v>
      </c>
      <c r="R290" s="4" t="str">
        <f>VLOOKUP($B290,'D7 - NDB Impacted SPRF''s'!$E$16:$O$9929,11,FALSE)</f>
        <v>N</v>
      </c>
      <c r="S290" s="8"/>
      <c r="T290" s="310"/>
      <c r="U290" s="310"/>
      <c r="V290" s="4"/>
      <c r="W290" s="4"/>
      <c r="X290" s="4"/>
      <c r="Y290" s="4"/>
      <c r="Z290" s="4"/>
      <c r="AA290" s="4"/>
      <c r="AB290" s="380" t="str">
        <f>VLOOKUP($B290,'D7 - NDB Impacted SPRF''s'!$E$6:$O$9929,4,FALSE)</f>
        <v>In Estimating</v>
      </c>
      <c r="AC290" s="380" t="str">
        <f>VLOOKUP($B290,'D7 - NDB Impacted SPRF''s'!$E$6:$O$9929,3,FALSE)</f>
        <v>UnitedHealthcare Employer &amp; Individual</v>
      </c>
      <c r="AD290" s="380" t="str">
        <f>VLOOKUP($B290,'D7 - NDB Impacted SPRF''s'!$E$6:$O$9929,5,FALSE)</f>
        <v>Regulatory / Other</v>
      </c>
      <c r="AE290" s="380" t="str">
        <f>VLOOKUP($B290,'D7 - NDB Impacted SPRF''s'!$E$6:$O$9929,7,FALSE)</f>
        <v>Mary Stringer</v>
      </c>
      <c r="AF290" s="380" t="str">
        <f>VLOOKUP($B290,'D7 - NDB Impacted SPRF''s'!$E$6:$O$9929,6,FALSE)</f>
        <v>JAIME LILJEGREN</v>
      </c>
      <c r="AG290" s="282"/>
      <c r="AH290" s="311" t="e">
        <f>INDEX('D5 - Gatekeeper - Projects'!$A$4:$AF$1010,$AM290, 17)</f>
        <v>#N/A</v>
      </c>
      <c r="AI290" s="8"/>
      <c r="AJ290" s="57"/>
      <c r="AK290" s="105"/>
      <c r="AM290" s="6" t="e">
        <f>MATCH(D290,'D5 - Gatekeeper - Projects'!$C$4:$C$1010,0)</f>
        <v>#N/A</v>
      </c>
      <c r="AN290" s="6" t="b">
        <f t="shared" si="30"/>
        <v>1</v>
      </c>
      <c r="AO290" s="6" t="str">
        <f t="shared" si="33"/>
        <v>OK</v>
      </c>
      <c r="AQ290" s="6">
        <f>MATCH($D290,'D4 - Provider Council Unsched'!$C$11:$C$234,0)</f>
        <v>59</v>
      </c>
      <c r="AR290" s="6" t="b">
        <f t="shared" si="31"/>
        <v>0</v>
      </c>
      <c r="AS290" s="6" t="str">
        <f t="shared" si="34"/>
        <v>OK</v>
      </c>
      <c r="AU290" s="202"/>
      <c r="AV290" s="394" t="s">
        <v>7167</v>
      </c>
      <c r="AW290" s="274"/>
    </row>
    <row r="291" spans="1:49" s="13" customFormat="1" ht="33.75" x14ac:dyDescent="0.2">
      <c r="A291" s="14">
        <v>266</v>
      </c>
      <c r="B291" s="8">
        <v>400059246</v>
      </c>
      <c r="C291" s="8" t="s">
        <v>1447</v>
      </c>
      <c r="D291" s="4" t="str">
        <f t="shared" si="32"/>
        <v>400059246A</v>
      </c>
      <c r="E291" s="309" t="str">
        <f>VLOOKUP($B291,'D7 - NDB Impacted SPRF''s'!$E$6:$O$9929,2,FALSE)</f>
        <v>M&amp;V ICD-10 Remediation P00036</v>
      </c>
      <c r="F291" s="8"/>
      <c r="G291" s="8" t="s">
        <v>7980</v>
      </c>
      <c r="H291" s="8" t="s">
        <v>6266</v>
      </c>
      <c r="I291" s="20"/>
      <c r="J291" s="8"/>
      <c r="K291" s="182"/>
      <c r="L291" s="8" t="s">
        <v>4156</v>
      </c>
      <c r="M291" s="8" t="s">
        <v>2814</v>
      </c>
      <c r="N291" s="38"/>
      <c r="O291" s="8"/>
      <c r="P291" s="4" t="str">
        <f>VLOOKUP($B291,'D7 - NDB Impacted SPRF''s'!$E$16:$O$9929,9,FALSE)</f>
        <v>N</v>
      </c>
      <c r="Q291" s="4" t="str">
        <f>VLOOKUP($B291,'D7 - NDB Impacted SPRF''s'!$E$16:$O$9929,10,FALSE)</f>
        <v>N</v>
      </c>
      <c r="R291" s="4" t="str">
        <f>VLOOKUP($B291,'D7 - NDB Impacted SPRF''s'!$E$16:$O$9929,11,FALSE)</f>
        <v>N</v>
      </c>
      <c r="S291" s="8"/>
      <c r="T291" s="310"/>
      <c r="U291" s="310"/>
      <c r="V291" s="4"/>
      <c r="W291" s="4"/>
      <c r="X291" s="4"/>
      <c r="Y291" s="4"/>
      <c r="Z291" s="4"/>
      <c r="AA291" s="4"/>
      <c r="AB291" s="380" t="str">
        <f>VLOOKUP($B291,'D7 - NDB Impacted SPRF''s'!$E$6:$O$9929,4,FALSE)</f>
        <v>In IT Leadership Estimate Review</v>
      </c>
      <c r="AC291" s="380" t="str">
        <f>VLOOKUP($B291,'D7 - NDB Impacted SPRF''s'!$E$6:$O$9929,3,FALSE)</f>
        <v>UnitedHealthcare Military &amp; Veterans</v>
      </c>
      <c r="AD291" s="380" t="str">
        <f>VLOOKUP($B291,'D7 - NDB Impacted SPRF''s'!$E$6:$O$9929,5,FALSE)</f>
        <v>Customer Requirements</v>
      </c>
      <c r="AE291" s="380" t="str">
        <f>VLOOKUP($B291,'D7 - NDB Impacted SPRF''s'!$E$6:$O$9929,7,FALSE)</f>
        <v>Mike Schwarz</v>
      </c>
      <c r="AF291" s="380" t="str">
        <f>VLOOKUP($B291,'D7 - NDB Impacted SPRF''s'!$E$6:$O$9929,6,FALSE)</f>
        <v>LOVE JUDY</v>
      </c>
      <c r="AG291" s="282"/>
      <c r="AH291" s="311" t="e">
        <f>INDEX('D5 - Gatekeeper - Projects'!$A$4:$AF$1010,$AM291, 17)</f>
        <v>#N/A</v>
      </c>
      <c r="AI291" s="8"/>
      <c r="AJ291" s="57"/>
      <c r="AK291" s="105"/>
      <c r="AM291" s="6" t="e">
        <f>MATCH(D291,'D5 - Gatekeeper - Projects'!$C$4:$C$1010,0)</f>
        <v>#N/A</v>
      </c>
      <c r="AN291" s="6" t="b">
        <f t="shared" si="30"/>
        <v>1</v>
      </c>
      <c r="AO291" s="6" t="str">
        <f t="shared" si="33"/>
        <v>OK</v>
      </c>
      <c r="AQ291" s="6">
        <f>MATCH($D291,'D4 - Provider Council Unsched'!$C$11:$C$234,0)</f>
        <v>60</v>
      </c>
      <c r="AR291" s="6" t="b">
        <f t="shared" si="31"/>
        <v>0</v>
      </c>
      <c r="AS291" s="6" t="str">
        <f t="shared" si="34"/>
        <v>OK</v>
      </c>
      <c r="AU291" s="202"/>
      <c r="AV291" s="394" t="s">
        <v>9329</v>
      </c>
      <c r="AW291" s="274"/>
    </row>
    <row r="292" spans="1:49" s="13" customFormat="1" ht="33.75" x14ac:dyDescent="0.2">
      <c r="A292" s="14">
        <v>267</v>
      </c>
      <c r="B292" s="8">
        <v>400059248</v>
      </c>
      <c r="C292" s="8" t="s">
        <v>1447</v>
      </c>
      <c r="D292" s="4" t="str">
        <f t="shared" si="32"/>
        <v>400059248A</v>
      </c>
      <c r="E292" s="309" t="str">
        <f>VLOOKUP($B292,'D7 - NDB Impacted SPRF''s'!$E$6:$O$9929,2,FALSE)</f>
        <v>M&amp;V ICD-10 Testing P00036</v>
      </c>
      <c r="F292" s="8"/>
      <c r="G292" s="8" t="s">
        <v>7980</v>
      </c>
      <c r="H292" s="8" t="s">
        <v>6266</v>
      </c>
      <c r="I292" s="20"/>
      <c r="J292" s="8"/>
      <c r="K292" s="182"/>
      <c r="L292" s="8" t="s">
        <v>4156</v>
      </c>
      <c r="M292" s="8" t="s">
        <v>2814</v>
      </c>
      <c r="N292" s="38"/>
      <c r="O292" s="8"/>
      <c r="P292" s="4" t="str">
        <f>VLOOKUP($B292,'D7 - NDB Impacted SPRF''s'!$E$16:$O$9929,9,FALSE)</f>
        <v>N</v>
      </c>
      <c r="Q292" s="4" t="str">
        <f>VLOOKUP($B292,'D7 - NDB Impacted SPRF''s'!$E$16:$O$9929,10,FALSE)</f>
        <v>N</v>
      </c>
      <c r="R292" s="4" t="str">
        <f>VLOOKUP($B292,'D7 - NDB Impacted SPRF''s'!$E$16:$O$9929,11,FALSE)</f>
        <v>N</v>
      </c>
      <c r="S292" s="8"/>
      <c r="T292" s="310"/>
      <c r="U292" s="310"/>
      <c r="V292" s="4"/>
      <c r="W292" s="4"/>
      <c r="X292" s="4"/>
      <c r="Y292" s="4"/>
      <c r="Z292" s="4"/>
      <c r="AA292" s="4"/>
      <c r="AB292" s="380" t="str">
        <f>VLOOKUP($B292,'D7 - NDB Impacted SPRF''s'!$E$6:$O$9929,4,FALSE)</f>
        <v>In IT Leadership Estimate Review</v>
      </c>
      <c r="AC292" s="380" t="str">
        <f>VLOOKUP($B292,'D7 - NDB Impacted SPRF''s'!$E$6:$O$9929,3,FALSE)</f>
        <v>UnitedHealthcare Military &amp; Veterans</v>
      </c>
      <c r="AD292" s="380" t="str">
        <f>VLOOKUP($B292,'D7 - NDB Impacted SPRF''s'!$E$6:$O$9929,5,FALSE)</f>
        <v>Customer Requirements</v>
      </c>
      <c r="AE292" s="380" t="str">
        <f>VLOOKUP($B292,'D7 - NDB Impacted SPRF''s'!$E$6:$O$9929,7,FALSE)</f>
        <v>Mike Schwarz</v>
      </c>
      <c r="AF292" s="380" t="str">
        <f>VLOOKUP($B292,'D7 - NDB Impacted SPRF''s'!$E$6:$O$9929,6,FALSE)</f>
        <v>LOVE JUDY</v>
      </c>
      <c r="AG292" s="282"/>
      <c r="AH292" s="311" t="e">
        <f>INDEX('D5 - Gatekeeper - Projects'!$A$4:$AF$1010,$AM292, 17)</f>
        <v>#N/A</v>
      </c>
      <c r="AI292" s="8"/>
      <c r="AJ292" s="57"/>
      <c r="AK292" s="105"/>
      <c r="AM292" s="6" t="e">
        <f>MATCH(D292,'D5 - Gatekeeper - Projects'!$C$4:$C$1010,0)</f>
        <v>#N/A</v>
      </c>
      <c r="AN292" s="6" t="b">
        <f t="shared" si="30"/>
        <v>1</v>
      </c>
      <c r="AO292" s="6" t="str">
        <f t="shared" si="33"/>
        <v>OK</v>
      </c>
      <c r="AQ292" s="6">
        <f>MATCH($D292,'D4 - Provider Council Unsched'!$C$11:$C$234,0)</f>
        <v>61</v>
      </c>
      <c r="AR292" s="6" t="b">
        <f t="shared" si="31"/>
        <v>0</v>
      </c>
      <c r="AS292" s="6" t="str">
        <f t="shared" si="34"/>
        <v>OK</v>
      </c>
      <c r="AU292" s="202"/>
      <c r="AV292" s="394" t="s">
        <v>9329</v>
      </c>
      <c r="AW292" s="274"/>
    </row>
    <row r="293" spans="1:49" s="13" customFormat="1" ht="33.75" x14ac:dyDescent="0.2">
      <c r="A293" s="14">
        <v>268</v>
      </c>
      <c r="B293" s="8">
        <v>400059415</v>
      </c>
      <c r="C293" s="8" t="s">
        <v>1447</v>
      </c>
      <c r="D293" s="4" t="str">
        <f t="shared" si="32"/>
        <v>400059415A</v>
      </c>
      <c r="E293" s="309" t="str">
        <f>VLOOKUP($B293,'D7 - NDB Impacted SPRF''s'!$E$6:$O$9929,2,FALSE)</f>
        <v>Facility Registration</v>
      </c>
      <c r="F293" s="8"/>
      <c r="G293" s="8" t="s">
        <v>7980</v>
      </c>
      <c r="H293" s="8" t="s">
        <v>6266</v>
      </c>
      <c r="I293" s="20"/>
      <c r="J293" s="8"/>
      <c r="K293" s="182"/>
      <c r="L293" s="8" t="s">
        <v>4156</v>
      </c>
      <c r="M293" s="8" t="s">
        <v>2814</v>
      </c>
      <c r="N293" s="38"/>
      <c r="O293" s="8"/>
      <c r="P293" s="4" t="str">
        <f>VLOOKUP($B293,'D7 - NDB Impacted SPRF''s'!$E$16:$O$9929,9,FALSE)</f>
        <v>N</v>
      </c>
      <c r="Q293" s="4" t="str">
        <f>VLOOKUP($B293,'D7 - NDB Impacted SPRF''s'!$E$16:$O$9929,10,FALSE)</f>
        <v>N</v>
      </c>
      <c r="R293" s="4" t="str">
        <f>VLOOKUP($B293,'D7 - NDB Impacted SPRF''s'!$E$16:$O$9929,11,FALSE)</f>
        <v>N</v>
      </c>
      <c r="S293" s="8"/>
      <c r="T293" s="310"/>
      <c r="U293" s="310"/>
      <c r="V293" s="4"/>
      <c r="W293" s="4"/>
      <c r="X293" s="4"/>
      <c r="Y293" s="4"/>
      <c r="Z293" s="4"/>
      <c r="AA293" s="4"/>
      <c r="AB293" s="380" t="str">
        <f>VLOOKUP($B293,'D7 - NDB Impacted SPRF''s'!$E$6:$O$9929,4,FALSE)</f>
        <v>In Program Manager Request Review</v>
      </c>
      <c r="AC293" s="380" t="str">
        <f>VLOOKUP($B293,'D7 - NDB Impacted SPRF''s'!$E$6:$O$9929,3,FALSE)</f>
        <v>UnitedHealthcare Military &amp; Veterans</v>
      </c>
      <c r="AD293" s="380" t="str">
        <f>VLOOKUP($B293,'D7 - NDB Impacted SPRF''s'!$E$6:$O$9929,5,FALSE)</f>
        <v>Operational Requirements</v>
      </c>
      <c r="AE293" s="380" t="str">
        <f>VLOOKUP($B293,'D7 - NDB Impacted SPRF''s'!$E$6:$O$9929,7,FALSE)</f>
        <v>Mike Schwarz</v>
      </c>
      <c r="AF293" s="380" t="str">
        <f>VLOOKUP($B293,'D7 - NDB Impacted SPRF''s'!$E$6:$O$9929,6,FALSE)</f>
        <v>Alison Ross</v>
      </c>
      <c r="AG293" s="282"/>
      <c r="AH293" s="311" t="e">
        <f>INDEX('D5 - Gatekeeper - Projects'!$A$4:$AF$1010,$AM293, 17)</f>
        <v>#N/A</v>
      </c>
      <c r="AI293" s="8"/>
      <c r="AJ293" s="57"/>
      <c r="AK293" s="105"/>
      <c r="AM293" s="6" t="e">
        <f>MATCH(D293,'D5 - Gatekeeper - Projects'!$C$4:$C$1010,0)</f>
        <v>#N/A</v>
      </c>
      <c r="AN293" s="6" t="b">
        <f t="shared" si="30"/>
        <v>1</v>
      </c>
      <c r="AO293" s="6" t="str">
        <f t="shared" si="33"/>
        <v>OK</v>
      </c>
      <c r="AQ293" s="6">
        <f>MATCH($D293,'D4 - Provider Council Unsched'!$C$11:$C$234,0)</f>
        <v>63</v>
      </c>
      <c r="AR293" s="6" t="b">
        <f t="shared" si="31"/>
        <v>0</v>
      </c>
      <c r="AS293" s="6" t="str">
        <f t="shared" si="34"/>
        <v>OK</v>
      </c>
      <c r="AU293" s="202"/>
      <c r="AV293" s="394" t="s">
        <v>317</v>
      </c>
      <c r="AW293" s="274"/>
    </row>
    <row r="294" spans="1:49" s="13" customFormat="1" ht="33.75" x14ac:dyDescent="0.2">
      <c r="A294" s="14">
        <v>269</v>
      </c>
      <c r="B294" s="8">
        <v>400059529</v>
      </c>
      <c r="C294" s="8" t="s">
        <v>1447</v>
      </c>
      <c r="D294" s="4" t="str">
        <f t="shared" si="32"/>
        <v>400059529A</v>
      </c>
      <c r="E294" s="309" t="str">
        <f>VLOOKUP($B294,'D7 - NDB Impacted SPRF''s'!$E$6:$O$9929,2,FALSE)</f>
        <v>Facility Amdmt - Display of non-standard clauses</v>
      </c>
      <c r="F294" s="8"/>
      <c r="G294" s="8" t="s">
        <v>7980</v>
      </c>
      <c r="H294" s="8" t="s">
        <v>6266</v>
      </c>
      <c r="I294" s="20"/>
      <c r="J294" s="8"/>
      <c r="K294" s="182"/>
      <c r="L294" s="8" t="s">
        <v>4156</v>
      </c>
      <c r="M294" s="8" t="s">
        <v>2814</v>
      </c>
      <c r="N294" s="38"/>
      <c r="O294" s="8"/>
      <c r="P294" s="4" t="str">
        <f>VLOOKUP($B294,'D7 - NDB Impacted SPRF''s'!$E$16:$O$9929,9,FALSE)</f>
        <v>N</v>
      </c>
      <c r="Q294" s="4" t="str">
        <f>VLOOKUP($B294,'D7 - NDB Impacted SPRF''s'!$E$16:$O$9929,10,FALSE)</f>
        <v>N</v>
      </c>
      <c r="R294" s="4" t="str">
        <f>VLOOKUP($B294,'D7 - NDB Impacted SPRF''s'!$E$16:$O$9929,11,FALSE)</f>
        <v>N</v>
      </c>
      <c r="S294" s="8"/>
      <c r="T294" s="310"/>
      <c r="U294" s="310"/>
      <c r="V294" s="4"/>
      <c r="W294" s="4"/>
      <c r="X294" s="4"/>
      <c r="Y294" s="4"/>
      <c r="Z294" s="4"/>
      <c r="AA294" s="4"/>
      <c r="AB294" s="380" t="str">
        <f>VLOOKUP($B294,'D7 - NDB Impacted SPRF''s'!$E$6:$O$9929,4,FALSE)</f>
        <v>In Estimating</v>
      </c>
      <c r="AC294" s="380" t="str">
        <f>VLOOKUP($B294,'D7 - NDB Impacted SPRF''s'!$E$6:$O$9929,3,FALSE)</f>
        <v>UnitedHealthcare Employer &amp; Individual</v>
      </c>
      <c r="AD294" s="380" t="str">
        <f>VLOOKUP($B294,'D7 - NDB Impacted SPRF''s'!$E$6:$O$9929,5,FALSE)</f>
        <v>Medical Cost Savings Programs</v>
      </c>
      <c r="AE294" s="380" t="str">
        <f>VLOOKUP($B294,'D7 - NDB Impacted SPRF''s'!$E$6:$O$9929,7,FALSE)</f>
        <v>Sam Ho</v>
      </c>
      <c r="AF294" s="380" t="str">
        <f>VLOOKUP($B294,'D7 - NDB Impacted SPRF''s'!$E$6:$O$9929,6,FALSE)</f>
        <v>CANDRA TAYLOR</v>
      </c>
      <c r="AG294" s="282"/>
      <c r="AH294" s="311" t="e">
        <f>INDEX('D5 - Gatekeeper - Projects'!$A$4:$AF$1010,$AM294, 17)</f>
        <v>#N/A</v>
      </c>
      <c r="AI294" s="8"/>
      <c r="AJ294" s="57"/>
      <c r="AK294" s="105"/>
      <c r="AM294" s="6" t="e">
        <f>MATCH(D294,'D5 - Gatekeeper - Projects'!$C$4:$C$1010,0)</f>
        <v>#N/A</v>
      </c>
      <c r="AN294" s="6" t="b">
        <f t="shared" si="30"/>
        <v>1</v>
      </c>
      <c r="AO294" s="6" t="str">
        <f t="shared" si="33"/>
        <v>OK</v>
      </c>
      <c r="AQ294" s="6">
        <f>MATCH($D294,'D4 - Provider Council Unsched'!$C$11:$C$234,0)</f>
        <v>67</v>
      </c>
      <c r="AR294" s="6" t="b">
        <f t="shared" si="31"/>
        <v>0</v>
      </c>
      <c r="AS294" s="6" t="str">
        <f t="shared" si="34"/>
        <v>OK</v>
      </c>
      <c r="AU294" s="202"/>
      <c r="AV294" s="394" t="s">
        <v>1042</v>
      </c>
      <c r="AW294" s="274"/>
    </row>
    <row r="295" spans="1:49" s="13" customFormat="1" ht="11.25" customHeight="1" x14ac:dyDescent="0.2">
      <c r="A295" s="14">
        <v>270</v>
      </c>
      <c r="B295" s="8">
        <v>400059537</v>
      </c>
      <c r="C295" s="8" t="s">
        <v>1447</v>
      </c>
      <c r="D295" s="4" t="str">
        <f t="shared" si="32"/>
        <v>400059537A</v>
      </c>
      <c r="E295" s="309" t="str">
        <f>VLOOKUP($B295,'D7 - NDB Impacted SPRF''s'!$E$6:$O$9929,2,FALSE)</f>
        <v>UHC E&amp;I ICD10 Business Partner Testing</v>
      </c>
      <c r="F295" s="8"/>
      <c r="G295" s="8" t="s">
        <v>7980</v>
      </c>
      <c r="H295" s="8" t="s">
        <v>6266</v>
      </c>
      <c r="I295" s="20"/>
      <c r="J295" s="8"/>
      <c r="K295" s="182"/>
      <c r="L295" s="8" t="s">
        <v>4156</v>
      </c>
      <c r="M295" s="8" t="s">
        <v>2814</v>
      </c>
      <c r="N295" s="38"/>
      <c r="O295" s="8"/>
      <c r="P295" s="4" t="str">
        <f>VLOOKUP($B295,'D7 - NDB Impacted SPRF''s'!$E$16:$O$9929,9,FALSE)</f>
        <v>Y</v>
      </c>
      <c r="Q295" s="4" t="str">
        <f>VLOOKUP($B295,'D7 - NDB Impacted SPRF''s'!$E$16:$O$9929,10,FALSE)</f>
        <v>N</v>
      </c>
      <c r="R295" s="4" t="str">
        <f>VLOOKUP($B295,'D7 - NDB Impacted SPRF''s'!$E$16:$O$9929,11,FALSE)</f>
        <v>Y</v>
      </c>
      <c r="S295" s="8"/>
      <c r="T295" s="310"/>
      <c r="U295" s="310"/>
      <c r="V295" s="4"/>
      <c r="W295" s="4"/>
      <c r="X295" s="4"/>
      <c r="Y295" s="4"/>
      <c r="Z295" s="4"/>
      <c r="AA295" s="4"/>
      <c r="AB295" s="380" t="str">
        <f>VLOOKUP($B295,'D7 - NDB Impacted SPRF''s'!$E$6:$O$9929,4,FALSE)</f>
        <v>In Estimating</v>
      </c>
      <c r="AC295" s="380" t="str">
        <f>VLOOKUP($B295,'D7 - NDB Impacted SPRF''s'!$E$6:$O$9929,3,FALSE)</f>
        <v>UnitedHealthcare Employer &amp; Individual</v>
      </c>
      <c r="AD295" s="380" t="str">
        <f>VLOOKUP($B295,'D7 - NDB Impacted SPRF''s'!$E$6:$O$9929,5,FALSE)</f>
        <v>Regulatory / Other</v>
      </c>
      <c r="AE295" s="380" t="str">
        <f>VLOOKUP($B295,'D7 - NDB Impacted SPRF''s'!$E$6:$O$9929,7,FALSE)</f>
        <v>Tim Kaja</v>
      </c>
      <c r="AF295" s="380" t="str">
        <f>VLOOKUP($B295,'D7 - NDB Impacted SPRF''s'!$E$6:$O$9929,6,FALSE)</f>
        <v>Delvis Schilling</v>
      </c>
      <c r="AG295" s="282"/>
      <c r="AH295" s="311" t="e">
        <f>INDEX('D5 - Gatekeeper - Projects'!$A$4:$AF$1010,$AM295, 17)</f>
        <v>#N/A</v>
      </c>
      <c r="AI295" s="8"/>
      <c r="AJ295" s="57"/>
      <c r="AK295" s="105"/>
      <c r="AM295" s="6" t="e">
        <f>MATCH(D295,'D5 - Gatekeeper - Projects'!$C$4:$C$1010,0)</f>
        <v>#N/A</v>
      </c>
      <c r="AN295" s="6" t="b">
        <f t="shared" si="30"/>
        <v>1</v>
      </c>
      <c r="AO295" s="6" t="str">
        <f t="shared" si="33"/>
        <v>OK</v>
      </c>
      <c r="AQ295" s="6">
        <f>MATCH($D295,'D4 - Provider Council Unsched'!$C$11:$C$234,0)</f>
        <v>68</v>
      </c>
      <c r="AR295" s="6" t="b">
        <f t="shared" si="31"/>
        <v>0</v>
      </c>
      <c r="AS295" s="6" t="str">
        <f t="shared" si="34"/>
        <v>OK</v>
      </c>
      <c r="AU295" s="202"/>
      <c r="AV295" s="394" t="s">
        <v>2299</v>
      </c>
      <c r="AW295" s="274"/>
    </row>
    <row r="296" spans="1:49" s="13" customFormat="1" ht="33.75" x14ac:dyDescent="0.2">
      <c r="A296" s="14">
        <v>271</v>
      </c>
      <c r="B296" s="8">
        <v>400059545</v>
      </c>
      <c r="C296" s="8" t="s">
        <v>1447</v>
      </c>
      <c r="D296" s="4" t="str">
        <f t="shared" si="32"/>
        <v>400059545A</v>
      </c>
      <c r="E296" s="309" t="str">
        <f>VLOOKUP($B296,'D7 - NDB Impacted SPRF''s'!$E$6:$O$9929,2,FALSE)</f>
        <v>myHCE: NDB Search Performance (Pagination)</v>
      </c>
      <c r="F296" s="8"/>
      <c r="G296" s="8" t="s">
        <v>7980</v>
      </c>
      <c r="H296" s="8" t="s">
        <v>6266</v>
      </c>
      <c r="I296" s="20"/>
      <c r="J296" s="8"/>
      <c r="K296" s="182"/>
      <c r="L296" s="8" t="s">
        <v>4156</v>
      </c>
      <c r="M296" s="8" t="s">
        <v>2814</v>
      </c>
      <c r="N296" s="38"/>
      <c r="O296" s="8"/>
      <c r="P296" s="4" t="str">
        <f>VLOOKUP($B296,'D7 - NDB Impacted SPRF''s'!$E$16:$O$9929,9,FALSE)</f>
        <v>N</v>
      </c>
      <c r="Q296" s="4" t="str">
        <f>VLOOKUP($B296,'D7 - NDB Impacted SPRF''s'!$E$16:$O$9929,10,FALSE)</f>
        <v>N</v>
      </c>
      <c r="R296" s="4" t="str">
        <f>VLOOKUP($B296,'D7 - NDB Impacted SPRF''s'!$E$16:$O$9929,11,FALSE)</f>
        <v>N</v>
      </c>
      <c r="S296" s="8"/>
      <c r="T296" s="310"/>
      <c r="U296" s="310"/>
      <c r="V296" s="4"/>
      <c r="W296" s="4"/>
      <c r="X296" s="4"/>
      <c r="Y296" s="4"/>
      <c r="Z296" s="4"/>
      <c r="AA296" s="4"/>
      <c r="AB296" s="380" t="str">
        <f>VLOOKUP($B296,'D7 - NDB Impacted SPRF''s'!$E$6:$O$9929,4,FALSE)</f>
        <v>In Estimating</v>
      </c>
      <c r="AC296" s="380" t="str">
        <f>VLOOKUP($B296,'D7 - NDB Impacted SPRF''s'!$E$6:$O$9929,3,FALSE)</f>
        <v>UnitedHealthcare Employer &amp; Individual</v>
      </c>
      <c r="AD296" s="380" t="str">
        <f>VLOOKUP($B296,'D7 - NDB Impacted SPRF''s'!$E$6:$O$9929,5,FALSE)</f>
        <v>Membership Growth / Revenue Programs</v>
      </c>
      <c r="AE296" s="380" t="str">
        <f>VLOOKUP($B296,'D7 - NDB Impacted SPRF''s'!$E$6:$O$9929,7,FALSE)</f>
        <v>Kelley, Jamie</v>
      </c>
      <c r="AF296" s="380" t="str">
        <f>VLOOKUP($B296,'D7 - NDB Impacted SPRF''s'!$E$6:$O$9929,6,FALSE)</f>
        <v>Kari Mclarty</v>
      </c>
      <c r="AG296" s="282"/>
      <c r="AH296" s="311" t="e">
        <f>INDEX('D5 - Gatekeeper - Projects'!$A$4:$AF$1010,$AM296, 17)</f>
        <v>#N/A</v>
      </c>
      <c r="AI296" s="8"/>
      <c r="AJ296" s="57"/>
      <c r="AK296" s="105"/>
      <c r="AM296" s="6" t="e">
        <f>MATCH(D296,'D5 - Gatekeeper - Projects'!$C$4:$C$1010,0)</f>
        <v>#N/A</v>
      </c>
      <c r="AN296" s="6" t="b">
        <f t="shared" si="30"/>
        <v>1</v>
      </c>
      <c r="AO296" s="6" t="str">
        <f t="shared" si="33"/>
        <v>OK</v>
      </c>
      <c r="AQ296" s="6">
        <f>MATCH($D296,'D4 - Provider Council Unsched'!$C$11:$C$234,0)</f>
        <v>66</v>
      </c>
      <c r="AR296" s="6" t="b">
        <f t="shared" si="31"/>
        <v>0</v>
      </c>
      <c r="AS296" s="6" t="str">
        <f t="shared" si="34"/>
        <v>OK</v>
      </c>
      <c r="AU296" s="202"/>
      <c r="AV296" s="394" t="s">
        <v>9418</v>
      </c>
      <c r="AW296" s="274"/>
    </row>
    <row r="297" spans="1:49" s="13" customFormat="1" ht="11.25" customHeight="1" x14ac:dyDescent="0.2">
      <c r="A297" s="14">
        <v>272</v>
      </c>
      <c r="B297" s="8">
        <v>400059714</v>
      </c>
      <c r="C297" s="8" t="s">
        <v>1447</v>
      </c>
      <c r="D297" s="4" t="str">
        <f t="shared" si="32"/>
        <v>400059714A</v>
      </c>
      <c r="E297" s="309" t="str">
        <f>VLOOKUP($B297,'D7 - NDB Impacted SPRF''s'!$E$6:$O$9929,2,FALSE)</f>
        <v>WA MME</v>
      </c>
      <c r="F297" s="8"/>
      <c r="G297" s="8" t="s">
        <v>7980</v>
      </c>
      <c r="H297" s="8" t="s">
        <v>6266</v>
      </c>
      <c r="I297" s="20"/>
      <c r="J297" s="8"/>
      <c r="K297" s="182"/>
      <c r="L297" s="8" t="s">
        <v>4156</v>
      </c>
      <c r="M297" s="8" t="s">
        <v>2814</v>
      </c>
      <c r="N297" s="38"/>
      <c r="O297" s="8"/>
      <c r="P297" s="4" t="str">
        <f>VLOOKUP($B297,'D7 - NDB Impacted SPRF''s'!$E$16:$O$9929,9,FALSE)</f>
        <v>N</v>
      </c>
      <c r="Q297" s="4" t="str">
        <f>VLOOKUP($B297,'D7 - NDB Impacted SPRF''s'!$E$16:$O$9929,10,FALSE)</f>
        <v>N</v>
      </c>
      <c r="R297" s="4" t="str">
        <f>VLOOKUP($B297,'D7 - NDB Impacted SPRF''s'!$E$16:$O$9929,11,FALSE)</f>
        <v>Y</v>
      </c>
      <c r="S297" s="8"/>
      <c r="T297" s="310"/>
      <c r="U297" s="310"/>
      <c r="V297" s="4"/>
      <c r="W297" s="4"/>
      <c r="X297" s="4"/>
      <c r="Y297" s="4"/>
      <c r="Z297" s="4"/>
      <c r="AA297" s="4"/>
      <c r="AB297" s="380" t="str">
        <f>VLOOKUP($B297,'D7 - NDB Impacted SPRF''s'!$E$6:$O$9929,4,FALSE)</f>
        <v>In Estimating</v>
      </c>
      <c r="AC297" s="380" t="str">
        <f>VLOOKUP($B297,'D7 - NDB Impacted SPRF''s'!$E$6:$O$9929,3,FALSE)</f>
        <v>UnitedHealthcare Community &amp; State</v>
      </c>
      <c r="AD297" s="380" t="str">
        <f>VLOOKUP($B297,'D7 - NDB Impacted SPRF''s'!$E$6:$O$9929,5,FALSE)</f>
        <v>Membership Growth / Revenue Programs</v>
      </c>
      <c r="AE297" s="380" t="str">
        <f>VLOOKUP($B297,'D7 - NDB Impacted SPRF''s'!$E$6:$O$9929,7,FALSE)</f>
        <v>Bill Hagan</v>
      </c>
      <c r="AF297" s="380" t="str">
        <f>VLOOKUP($B297,'D7 - NDB Impacted SPRF''s'!$E$6:$O$9929,6,FALSE)</f>
        <v>Katie Selman</v>
      </c>
      <c r="AG297" s="282"/>
      <c r="AH297" s="311" t="e">
        <f>INDEX('D5 - Gatekeeper - Projects'!$A$4:$AF$1010,$AM297, 17)</f>
        <v>#N/A</v>
      </c>
      <c r="AI297" s="8"/>
      <c r="AJ297" s="57"/>
      <c r="AK297" s="105"/>
      <c r="AM297" s="6" t="e">
        <f>MATCH(D297,'D5 - Gatekeeper - Projects'!$C$4:$C$1010,0)</f>
        <v>#N/A</v>
      </c>
      <c r="AN297" s="6" t="b">
        <f t="shared" si="30"/>
        <v>1</v>
      </c>
      <c r="AO297" s="6" t="str">
        <f t="shared" si="33"/>
        <v>OK</v>
      </c>
      <c r="AQ297" s="6">
        <f>MATCH($D297,'D4 - Provider Council Unsched'!$C$11:$C$234,0)</f>
        <v>70</v>
      </c>
      <c r="AR297" s="6" t="b">
        <f t="shared" si="31"/>
        <v>0</v>
      </c>
      <c r="AS297" s="6" t="str">
        <f t="shared" si="34"/>
        <v>OK</v>
      </c>
      <c r="AU297" s="202"/>
      <c r="AV297" s="394" t="s">
        <v>938</v>
      </c>
      <c r="AW297" s="274"/>
    </row>
    <row r="298" spans="1:49" s="13" customFormat="1" ht="12.75" x14ac:dyDescent="0.2">
      <c r="A298" s="14">
        <v>274</v>
      </c>
      <c r="B298" s="8">
        <v>400059802</v>
      </c>
      <c r="C298" s="8" t="s">
        <v>1447</v>
      </c>
      <c r="D298" s="4" t="str">
        <f t="shared" si="32"/>
        <v>400059802A</v>
      </c>
      <c r="E298" s="309" t="str">
        <f>VLOOKUP($B298,'D7 - NDB Impacted SPRF''s'!$E$6:$O$9929,2,FALSE)</f>
        <v>OHBS DSM-5</v>
      </c>
      <c r="F298" s="8"/>
      <c r="G298" s="8" t="s">
        <v>7980</v>
      </c>
      <c r="H298" s="8" t="s">
        <v>6266</v>
      </c>
      <c r="I298" s="20"/>
      <c r="J298" s="8"/>
      <c r="K298" s="182"/>
      <c r="L298" s="8" t="s">
        <v>4156</v>
      </c>
      <c r="M298" s="8" t="s">
        <v>2814</v>
      </c>
      <c r="N298" s="38"/>
      <c r="O298" s="8"/>
      <c r="P298" s="4" t="str">
        <f>VLOOKUP($B298,'D7 - NDB Impacted SPRF''s'!$E$16:$O$9929,9,FALSE)</f>
        <v>Y</v>
      </c>
      <c r="Q298" s="4" t="str">
        <f>VLOOKUP($B298,'D7 - NDB Impacted SPRF''s'!$E$16:$O$9929,10,FALSE)</f>
        <v>N</v>
      </c>
      <c r="R298" s="4" t="str">
        <f>VLOOKUP($B298,'D7 - NDB Impacted SPRF''s'!$E$16:$O$9929,11,FALSE)</f>
        <v>Y</v>
      </c>
      <c r="S298" s="8"/>
      <c r="T298" s="310"/>
      <c r="U298" s="310"/>
      <c r="V298" s="4"/>
      <c r="W298" s="4"/>
      <c r="X298" s="4"/>
      <c r="Y298" s="4"/>
      <c r="Z298" s="4"/>
      <c r="AA298" s="4"/>
      <c r="AB298" s="380" t="str">
        <f>VLOOKUP($B298,'D7 - NDB Impacted SPRF''s'!$E$6:$O$9929,4,FALSE)</f>
        <v>In Estimating</v>
      </c>
      <c r="AC298" s="380" t="str">
        <f>VLOOKUP($B298,'D7 - NDB Impacted SPRF''s'!$E$6:$O$9929,3,FALSE)</f>
        <v>OptumHealth</v>
      </c>
      <c r="AD298" s="380" t="str">
        <f>VLOOKUP($B298,'D7 - NDB Impacted SPRF''s'!$E$6:$O$9929,5,FALSE)</f>
        <v>Behavioral Solutions</v>
      </c>
      <c r="AE298" s="380" t="str">
        <f>VLOOKUP($B298,'D7 - NDB Impacted SPRF''s'!$E$6:$O$9929,7,FALSE)</f>
        <v>Noreen Callahan-Langbehn</v>
      </c>
      <c r="AF298" s="380" t="str">
        <f>VLOOKUP($B298,'D7 - NDB Impacted SPRF''s'!$E$6:$O$9929,6,FALSE)</f>
        <v>Jean Voxland</v>
      </c>
      <c r="AG298" s="282"/>
      <c r="AH298" s="311" t="e">
        <f>INDEX('D5 - Gatekeeper - Projects'!$A$4:$AF$1010,$AM298, 17)</f>
        <v>#N/A</v>
      </c>
      <c r="AI298" s="8"/>
      <c r="AJ298" s="57"/>
      <c r="AK298" s="105"/>
      <c r="AM298" s="6" t="e">
        <f>MATCH(D298,'D5 - Gatekeeper - Projects'!$C$4:$C$1010,0)</f>
        <v>#N/A</v>
      </c>
      <c r="AN298" s="6" t="b">
        <f t="shared" si="30"/>
        <v>1</v>
      </c>
      <c r="AO298" s="6" t="str">
        <f t="shared" si="33"/>
        <v>OK</v>
      </c>
      <c r="AQ298" s="6">
        <f>MATCH($D298,'D4 - Provider Council Unsched'!$C$11:$C$234,0)</f>
        <v>71</v>
      </c>
      <c r="AR298" s="6" t="b">
        <f t="shared" si="31"/>
        <v>0</v>
      </c>
      <c r="AS298" s="6" t="str">
        <f t="shared" si="34"/>
        <v>OK</v>
      </c>
      <c r="AU298" s="202"/>
      <c r="AV298" s="394" t="s">
        <v>492</v>
      </c>
      <c r="AW298" s="274"/>
    </row>
    <row r="299" spans="1:49" s="13" customFormat="1" ht="33.75" x14ac:dyDescent="0.2">
      <c r="A299" s="14">
        <v>275</v>
      </c>
      <c r="B299" s="8">
        <v>400059824</v>
      </c>
      <c r="C299" s="8" t="s">
        <v>1447</v>
      </c>
      <c r="D299" s="4" t="str">
        <f t="shared" si="32"/>
        <v>400059824A</v>
      </c>
      <c r="E299" s="309" t="str">
        <f>VLOOKUP($B299,'D7 - NDB Impacted SPRF''s'!$E$6:$O$9929,2,FALSE)</f>
        <v>NDB Fee Schedule Auto Load</v>
      </c>
      <c r="F299" s="8"/>
      <c r="G299" s="8" t="s">
        <v>7980</v>
      </c>
      <c r="H299" s="8" t="s">
        <v>6266</v>
      </c>
      <c r="I299" s="20"/>
      <c r="J299" s="8"/>
      <c r="K299" s="182"/>
      <c r="L299" s="8" t="s">
        <v>4156</v>
      </c>
      <c r="M299" s="8" t="s">
        <v>2814</v>
      </c>
      <c r="N299" s="38"/>
      <c r="O299" s="8"/>
      <c r="P299" s="4" t="str">
        <f>VLOOKUP($B299,'D7 - NDB Impacted SPRF''s'!$E$16:$O$9929,9,FALSE)</f>
        <v>N</v>
      </c>
      <c r="Q299" s="4" t="str">
        <f>VLOOKUP($B299,'D7 - NDB Impacted SPRF''s'!$E$16:$O$9929,10,FALSE)</f>
        <v>N</v>
      </c>
      <c r="R299" s="4" t="str">
        <f>VLOOKUP($B299,'D7 - NDB Impacted SPRF''s'!$E$16:$O$9929,11,FALSE)</f>
        <v>N</v>
      </c>
      <c r="S299" s="8"/>
      <c r="T299" s="310"/>
      <c r="U299" s="310"/>
      <c r="V299" s="4"/>
      <c r="W299" s="4"/>
      <c r="X299" s="4"/>
      <c r="Y299" s="4"/>
      <c r="Z299" s="4"/>
      <c r="AA299" s="4"/>
      <c r="AB299" s="380" t="str">
        <f>VLOOKUP($B299,'D7 - NDB Impacted SPRF''s'!$E$6:$O$9929,4,FALSE)</f>
        <v>In Funding</v>
      </c>
      <c r="AC299" s="380" t="str">
        <f>VLOOKUP($B299,'D7 - NDB Impacted SPRF''s'!$E$6:$O$9929,3,FALSE)</f>
        <v>UHG IT - Application Services Group</v>
      </c>
      <c r="AD299" s="380" t="str">
        <f>VLOOKUP($B299,'D7 - NDB Impacted SPRF''s'!$E$6:$O$9929,5,FALSE)</f>
        <v>Non-Discretionary</v>
      </c>
      <c r="AE299" s="380" t="str">
        <f>VLOOKUP($B299,'D7 - NDB Impacted SPRF''s'!$E$6:$O$9929,7,FALSE)</f>
        <v>Eileen Dock</v>
      </c>
      <c r="AF299" s="380" t="str">
        <f>VLOOKUP($B299,'D7 - NDB Impacted SPRF''s'!$E$6:$O$9929,6,FALSE)</f>
        <v>Marianne Augello</v>
      </c>
      <c r="AG299" s="282"/>
      <c r="AH299" s="311" t="e">
        <f>INDEX('D5 - Gatekeeper - Projects'!$A$4:$AF$1010,$AM299, 17)</f>
        <v>#N/A</v>
      </c>
      <c r="AI299" s="8"/>
      <c r="AJ299" s="57"/>
      <c r="AK299" s="105"/>
      <c r="AM299" s="6" t="e">
        <f>MATCH(D299,'D5 - Gatekeeper - Projects'!$C$4:$C$1010,0)</f>
        <v>#N/A</v>
      </c>
      <c r="AN299" s="6" t="b">
        <f t="shared" si="30"/>
        <v>1</v>
      </c>
      <c r="AO299" s="6" t="str">
        <f t="shared" si="33"/>
        <v>OK</v>
      </c>
      <c r="AQ299" s="6">
        <f>MATCH($D299,'D4 - Provider Council Unsched'!$C$11:$C$234,0)</f>
        <v>72</v>
      </c>
      <c r="AR299" s="6" t="b">
        <f t="shared" si="31"/>
        <v>0</v>
      </c>
      <c r="AS299" s="6" t="str">
        <f t="shared" si="34"/>
        <v>OK</v>
      </c>
      <c r="AU299" s="202"/>
      <c r="AV299" s="394" t="s">
        <v>444</v>
      </c>
      <c r="AW299" s="274"/>
    </row>
    <row r="300" spans="1:49" s="13" customFormat="1" x14ac:dyDescent="0.2">
      <c r="A300" s="14">
        <v>276</v>
      </c>
      <c r="B300" s="133">
        <v>0</v>
      </c>
      <c r="C300" s="47"/>
      <c r="D300" s="46" t="str">
        <f t="shared" si="32"/>
        <v>0</v>
      </c>
      <c r="E300" s="47"/>
      <c r="F300" s="47"/>
      <c r="G300" s="47"/>
      <c r="H300" s="47" t="s">
        <v>4246</v>
      </c>
      <c r="I300" s="47"/>
      <c r="J300" s="47"/>
      <c r="K300" s="184">
        <v>36892</v>
      </c>
      <c r="L300" s="47"/>
      <c r="M300" s="47"/>
      <c r="N300" s="137"/>
      <c r="O300" s="47"/>
      <c r="P300" s="47"/>
      <c r="Q300" s="47"/>
      <c r="R300" s="47"/>
      <c r="S300" s="47"/>
      <c r="T300" s="47"/>
      <c r="U300" s="47"/>
      <c r="V300" s="47"/>
      <c r="W300" s="47"/>
      <c r="X300" s="47"/>
      <c r="Y300" s="47"/>
      <c r="Z300" s="47"/>
      <c r="AA300" s="47"/>
      <c r="AB300" s="137"/>
      <c r="AC300" s="137"/>
      <c r="AD300" s="137"/>
      <c r="AE300" s="137"/>
      <c r="AF300" s="137"/>
      <c r="AG300" s="47"/>
      <c r="AH300" s="326"/>
      <c r="AI300" s="47"/>
      <c r="AJ300" s="47"/>
      <c r="AK300" s="47"/>
      <c r="AM300" s="6" t="e">
        <f>MATCH(D300,'D5 - Gatekeeper - Projects'!$C$4:$C$1010,0)</f>
        <v>#N/A</v>
      </c>
      <c r="AN300" s="6" t="b">
        <f t="shared" si="30"/>
        <v>1</v>
      </c>
      <c r="AO300" s="6" t="str">
        <f t="shared" si="33"/>
        <v>OK</v>
      </c>
      <c r="AQ300" s="6" t="e">
        <f>MATCH($D300,'D4 - Provider Council Unsched'!$C$11:$C$234,0)</f>
        <v>#N/A</v>
      </c>
      <c r="AR300" s="6" t="b">
        <f t="shared" si="31"/>
        <v>1</v>
      </c>
      <c r="AS300" s="6" t="str">
        <f t="shared" ref="AS300:AS363" si="35">IF(AND(H300="2 - Not Scheduled",AR300=TRUE),"Add","OK")</f>
        <v>OK</v>
      </c>
      <c r="AU300" s="202"/>
      <c r="AV300" s="262"/>
      <c r="AW300" s="274"/>
    </row>
    <row r="301" spans="1:49" s="13" customFormat="1" ht="33.75" x14ac:dyDescent="0.2">
      <c r="A301" s="14">
        <v>277</v>
      </c>
      <c r="B301" s="14">
        <v>400010048</v>
      </c>
      <c r="C301" s="8" t="s">
        <v>5197</v>
      </c>
      <c r="D301" s="4" t="str">
        <f t="shared" si="32"/>
        <v>400010048R1</v>
      </c>
      <c r="E301" s="309" t="str">
        <f>VLOOKUP($B301,'D7 - NDB Impacted SPRF''s'!$E$6:$O$9929,2,FALSE)</f>
        <v>One Shot Requests</v>
      </c>
      <c r="F301" s="8" t="s">
        <v>6007</v>
      </c>
      <c r="G301" s="8" t="s">
        <v>4758</v>
      </c>
      <c r="H301" s="8" t="s">
        <v>4246</v>
      </c>
      <c r="I301" s="20">
        <v>12</v>
      </c>
      <c r="J301" s="8" t="s">
        <v>7114</v>
      </c>
      <c r="K301" s="182">
        <v>36892</v>
      </c>
      <c r="L301" s="8" t="s">
        <v>6919</v>
      </c>
      <c r="M301" s="8" t="s">
        <v>2814</v>
      </c>
      <c r="N301" s="367"/>
      <c r="O301" s="8"/>
      <c r="P301" s="4" t="str">
        <f>VLOOKUP($B301,'D7 - NDB Impacted SPRF''s'!$E$16:$O$9929,9,FALSE)</f>
        <v>N</v>
      </c>
      <c r="Q301" s="4" t="str">
        <f>VLOOKUP($B301,'D7 - NDB Impacted SPRF''s'!$E$16:$O$9929,10,FALSE)</f>
        <v>N</v>
      </c>
      <c r="R301" s="4" t="str">
        <f>VLOOKUP($B301,'D7 - NDB Impacted SPRF''s'!$E$16:$O$9929,11,FALSE)</f>
        <v>N</v>
      </c>
      <c r="S301" s="8"/>
      <c r="T301" s="310"/>
      <c r="U301" s="310"/>
      <c r="V301" s="4"/>
      <c r="W301" s="4"/>
      <c r="X301" s="4"/>
      <c r="Y301" s="4"/>
      <c r="Z301" s="4"/>
      <c r="AA301" s="4"/>
      <c r="AB301" s="380" t="str">
        <f>VLOOKUP($B301,'D7 - NDB Impacted SPRF''s'!$E$16:$O$9929,4,FALSE)</f>
        <v>Completed</v>
      </c>
      <c r="AC301" s="380" t="str">
        <f>VLOOKUP($B301,'D7 - NDB Impacted SPRF''s'!$E$16:$O$9929,3,FALSE)</f>
        <v>UnitedHealthcare Employer &amp; Individual</v>
      </c>
      <c r="AD301" s="380" t="str">
        <f>VLOOKUP($B301,'D7 - NDB Impacted SPRF''s'!$E$16:$O$9929,5,FALSE)</f>
        <v>Network Growth / Enhancements</v>
      </c>
      <c r="AE301" s="380" t="str">
        <f>VLOOKUP($B301,'D7 - NDB Impacted SPRF''s'!$E$16:$O$9929,7,FALSE)</f>
        <v>Peter Bompane</v>
      </c>
      <c r="AF301" s="380" t="str">
        <f>VLOOKUP($B301,'D7 - NDB Impacted SPRF''s'!$E$16:$O$9929,6,FALSE)</f>
        <v>GREGORY MILLS</v>
      </c>
      <c r="AG301" s="282" t="s">
        <v>7755</v>
      </c>
      <c r="AH301" s="311" t="e">
        <f>INDEX('D5 - Gatekeeper - Projects'!$A$4:$AF$1010,$AM301, 17)</f>
        <v>#N/A</v>
      </c>
      <c r="AI301" s="8"/>
      <c r="AJ301" s="57"/>
      <c r="AK301" s="105"/>
      <c r="AM301" s="6" t="e">
        <f>MATCH(D301,'D5 - Gatekeeper - Projects'!$C$4:$C$1010,0)</f>
        <v>#N/A</v>
      </c>
      <c r="AN301" s="6" t="b">
        <f t="shared" si="30"/>
        <v>1</v>
      </c>
      <c r="AO301" s="6" t="str">
        <f t="shared" si="33"/>
        <v>OK</v>
      </c>
      <c r="AQ301" s="6" t="e">
        <f>MATCH($D301,'D4 - Provider Council Unsched'!$C$11:$C$234,0)</f>
        <v>#N/A</v>
      </c>
      <c r="AR301" s="6" t="b">
        <f t="shared" si="31"/>
        <v>1</v>
      </c>
      <c r="AS301" s="6" t="str">
        <f t="shared" si="35"/>
        <v>OK</v>
      </c>
      <c r="AU301" s="202"/>
      <c r="AV301" s="262"/>
      <c r="AW301" s="274"/>
    </row>
    <row r="302" spans="1:49" s="13" customFormat="1" ht="33.75" x14ac:dyDescent="0.2">
      <c r="A302" s="14">
        <v>278</v>
      </c>
      <c r="B302" s="14">
        <v>400016092</v>
      </c>
      <c r="C302" s="8" t="s">
        <v>5197</v>
      </c>
      <c r="D302" s="4" t="str">
        <f t="shared" si="32"/>
        <v>400016092R1</v>
      </c>
      <c r="E302" s="309" t="str">
        <f>VLOOKUP($B302,'D7 - NDB Impacted SPRF''s'!$E$6:$O$9929,2,FALSE)</f>
        <v>2007 One Shot Requests</v>
      </c>
      <c r="F302" s="8" t="s">
        <v>2114</v>
      </c>
      <c r="G302" s="8" t="s">
        <v>4758</v>
      </c>
      <c r="H302" s="8" t="s">
        <v>4246</v>
      </c>
      <c r="I302" s="20">
        <v>18</v>
      </c>
      <c r="J302" s="8" t="s">
        <v>4862</v>
      </c>
      <c r="K302" s="182">
        <v>36892</v>
      </c>
      <c r="L302" s="8" t="s">
        <v>6919</v>
      </c>
      <c r="M302" s="8" t="s">
        <v>2814</v>
      </c>
      <c r="N302" s="38"/>
      <c r="O302" s="8"/>
      <c r="P302" s="4" t="str">
        <f>VLOOKUP($B302,'D7 - NDB Impacted SPRF''s'!$E$16:$O$9929,9,FALSE)</f>
        <v>N</v>
      </c>
      <c r="Q302" s="4" t="str">
        <f>VLOOKUP($B302,'D7 - NDB Impacted SPRF''s'!$E$16:$O$9929,10,FALSE)</f>
        <v>N</v>
      </c>
      <c r="R302" s="4" t="str">
        <f>VLOOKUP($B302,'D7 - NDB Impacted SPRF''s'!$E$16:$O$9929,11,FALSE)</f>
        <v>N</v>
      </c>
      <c r="S302" s="8"/>
      <c r="T302" s="310"/>
      <c r="U302" s="310"/>
      <c r="V302" s="4"/>
      <c r="W302" s="4"/>
      <c r="X302" s="4"/>
      <c r="Y302" s="4"/>
      <c r="Z302" s="4"/>
      <c r="AA302" s="4"/>
      <c r="AB302" s="380" t="str">
        <f>VLOOKUP($B302,'D7 - NDB Impacted SPRF''s'!$E$16:$O$9929,4,FALSE)</f>
        <v>Completed</v>
      </c>
      <c r="AC302" s="380" t="str">
        <f>VLOOKUP($B302,'D7 - NDB Impacted SPRF''s'!$E$16:$O$9929,3,FALSE)</f>
        <v>UnitedHealthcare Employer &amp; Individual</v>
      </c>
      <c r="AD302" s="380" t="str">
        <f>VLOOKUP($B302,'D7 - NDB Impacted SPRF''s'!$E$16:$O$9929,5,FALSE)</f>
        <v>Network Growth / Enhancements</v>
      </c>
      <c r="AE302" s="380" t="str">
        <f>VLOOKUP($B302,'D7 - NDB Impacted SPRF''s'!$E$16:$O$9929,7,FALSE)</f>
        <v>Tim Kaja</v>
      </c>
      <c r="AF302" s="380" t="str">
        <f>VLOOKUP($B302,'D7 - NDB Impacted SPRF''s'!$E$16:$O$9929,6,FALSE)</f>
        <v>Lisa Murphy</v>
      </c>
      <c r="AG302" s="282"/>
      <c r="AH302" s="311" t="e">
        <f>INDEX('D5 - Gatekeeper - Projects'!$A$4:$AF$1010,$AM302, 17)</f>
        <v>#N/A</v>
      </c>
      <c r="AI302" s="8"/>
      <c r="AJ302" s="57"/>
      <c r="AK302" s="105"/>
      <c r="AM302" s="6" t="e">
        <f>MATCH(D302,'D5 - Gatekeeper - Projects'!$C$4:$C$1010,0)</f>
        <v>#N/A</v>
      </c>
      <c r="AN302" s="6" t="b">
        <f t="shared" si="30"/>
        <v>1</v>
      </c>
      <c r="AO302" s="6" t="str">
        <f t="shared" si="33"/>
        <v>OK</v>
      </c>
      <c r="AQ302" s="6" t="e">
        <f>MATCH($D302,'D4 - Provider Council Unsched'!$C$11:$C$234,0)</f>
        <v>#N/A</v>
      </c>
      <c r="AR302" s="6" t="b">
        <f t="shared" si="31"/>
        <v>1</v>
      </c>
      <c r="AS302" s="6" t="str">
        <f t="shared" si="35"/>
        <v>OK</v>
      </c>
      <c r="AU302" s="202"/>
      <c r="AV302" s="262"/>
      <c r="AW302" s="274"/>
    </row>
    <row r="303" spans="1:49" s="13" customFormat="1" ht="33.75" x14ac:dyDescent="0.2">
      <c r="A303" s="14">
        <v>279</v>
      </c>
      <c r="B303" s="14">
        <v>400000759</v>
      </c>
      <c r="C303" s="8" t="s">
        <v>5197</v>
      </c>
      <c r="D303" s="4" t="str">
        <f t="shared" si="32"/>
        <v>400000759R1</v>
      </c>
      <c r="E303" s="309" t="str">
        <f>VLOOKUP($B303,'D7 - NDB Impacted SPRF''s'!$E$6:$O$9929,2,FALSE)</f>
        <v>Allow UHC to pay the enrollee for OON providers</v>
      </c>
      <c r="F303" s="8" t="s">
        <v>1933</v>
      </c>
      <c r="G303" s="8" t="s">
        <v>4758</v>
      </c>
      <c r="H303" s="8" t="s">
        <v>4246</v>
      </c>
      <c r="I303" s="20">
        <v>0.5</v>
      </c>
      <c r="J303" s="8" t="s">
        <v>4862</v>
      </c>
      <c r="K303" s="182">
        <v>38336</v>
      </c>
      <c r="L303" s="8" t="s">
        <v>4964</v>
      </c>
      <c r="M303" s="8" t="s">
        <v>2814</v>
      </c>
      <c r="N303" s="367"/>
      <c r="O303" s="8"/>
      <c r="P303" s="4" t="str">
        <f>VLOOKUP($B303,'D7 - NDB Impacted SPRF''s'!$E$16:$O$9929,9,FALSE)</f>
        <v>Y</v>
      </c>
      <c r="Q303" s="4" t="str">
        <f>VLOOKUP($B303,'D7 - NDB Impacted SPRF''s'!$E$16:$O$9929,10,FALSE)</f>
        <v>N</v>
      </c>
      <c r="R303" s="4" t="str">
        <f>VLOOKUP($B303,'D7 - NDB Impacted SPRF''s'!$E$16:$O$9929,11,FALSE)</f>
        <v>N</v>
      </c>
      <c r="S303" s="8"/>
      <c r="T303" s="310"/>
      <c r="U303" s="310"/>
      <c r="V303" s="4"/>
      <c r="W303" s="4"/>
      <c r="X303" s="4"/>
      <c r="Y303" s="4"/>
      <c r="Z303" s="4"/>
      <c r="AA303" s="4"/>
      <c r="AB303" s="380" t="str">
        <f>VLOOKUP($B303,'D7 - NDB Impacted SPRF''s'!$E$16:$O$9929,4,FALSE)</f>
        <v>Completed</v>
      </c>
      <c r="AC303" s="380" t="str">
        <f>VLOOKUP($B303,'D7 - NDB Impacted SPRF''s'!$E$16:$O$9929,3,FALSE)</f>
        <v>UnitedHealthcare Employer &amp; Individual</v>
      </c>
      <c r="AD303" s="380" t="str">
        <f>VLOOKUP($B303,'D7 - NDB Impacted SPRF''s'!$E$16:$O$9929,5,FALSE)</f>
        <v>Key Initiatives Group</v>
      </c>
      <c r="AE303" s="380" t="str">
        <f>VLOOKUP($B303,'D7 - NDB Impacted SPRF''s'!$E$16:$O$9929,7,FALSE)</f>
        <v>Ed Novinski</v>
      </c>
      <c r="AF303" s="380" t="str">
        <f>VLOOKUP($B303,'D7 - NDB Impacted SPRF''s'!$E$16:$O$9929,6,FALSE)</f>
        <v>SHIRLEY REYNOLDS</v>
      </c>
      <c r="AG303" s="282"/>
      <c r="AH303" s="311" t="e">
        <f>INDEX('D5 - Gatekeeper - Projects'!$A$4:$AF$1010,$AM303, 17)</f>
        <v>#N/A</v>
      </c>
      <c r="AI303" s="8"/>
      <c r="AJ303" s="57"/>
      <c r="AK303" s="105"/>
      <c r="AL303" s="216"/>
      <c r="AM303" s="6" t="e">
        <f>MATCH(D303,'D5 - Gatekeeper - Projects'!$C$4:$C$1010,0)</f>
        <v>#N/A</v>
      </c>
      <c r="AN303" s="6" t="b">
        <f t="shared" si="30"/>
        <v>1</v>
      </c>
      <c r="AO303" s="6" t="str">
        <f t="shared" si="33"/>
        <v>OK</v>
      </c>
      <c r="AQ303" s="6" t="e">
        <f>MATCH($D303,'D4 - Provider Council Unsched'!$C$11:$C$234,0)</f>
        <v>#N/A</v>
      </c>
      <c r="AR303" s="6" t="b">
        <f t="shared" si="31"/>
        <v>1</v>
      </c>
      <c r="AS303" s="6" t="str">
        <f t="shared" si="35"/>
        <v>OK</v>
      </c>
      <c r="AU303" s="202"/>
      <c r="AV303" s="262"/>
      <c r="AW303" s="274"/>
    </row>
    <row r="304" spans="1:49" s="13" customFormat="1" x14ac:dyDescent="0.2">
      <c r="A304" s="14">
        <v>280</v>
      </c>
      <c r="B304" s="14">
        <v>400002320</v>
      </c>
      <c r="C304" s="8" t="s">
        <v>5197</v>
      </c>
      <c r="D304" s="4" t="str">
        <f t="shared" si="32"/>
        <v>400002320R1</v>
      </c>
      <c r="E304" s="309" t="str">
        <f>VLOOKUP($B304,'D7 - NDB Impacted SPRF''s'!$E$6:$O$9929,2,FALSE)</f>
        <v>Passport V2</v>
      </c>
      <c r="F304" s="8" t="s">
        <v>2450</v>
      </c>
      <c r="G304" s="8" t="s">
        <v>4758</v>
      </c>
      <c r="H304" s="8" t="s">
        <v>4246</v>
      </c>
      <c r="I304" s="20">
        <v>2</v>
      </c>
      <c r="J304" s="8" t="s">
        <v>4862</v>
      </c>
      <c r="K304" s="182">
        <v>38336</v>
      </c>
      <c r="L304" s="8" t="s">
        <v>4964</v>
      </c>
      <c r="M304" s="8" t="s">
        <v>2814</v>
      </c>
      <c r="N304" s="367"/>
      <c r="O304" s="8"/>
      <c r="P304" s="4" t="str">
        <f>VLOOKUP($B304,'D7 - NDB Impacted SPRF''s'!$E$16:$O$9929,9,FALSE)</f>
        <v>Y</v>
      </c>
      <c r="Q304" s="4" t="str">
        <f>VLOOKUP($B304,'D7 - NDB Impacted SPRF''s'!$E$16:$O$9929,10,FALSE)</f>
        <v>N</v>
      </c>
      <c r="R304" s="4" t="str">
        <f>VLOOKUP($B304,'D7 - NDB Impacted SPRF''s'!$E$16:$O$9929,11,FALSE)</f>
        <v>N</v>
      </c>
      <c r="S304" s="8"/>
      <c r="T304" s="310"/>
      <c r="U304" s="310"/>
      <c r="V304" s="4"/>
      <c r="W304" s="4"/>
      <c r="X304" s="4"/>
      <c r="Y304" s="4"/>
      <c r="Z304" s="4"/>
      <c r="AA304" s="4"/>
      <c r="AB304" s="380" t="str">
        <f>VLOOKUP($B304,'D7 - NDB Impacted SPRF''s'!$E$16:$O$9929,4,FALSE)</f>
        <v>Completed</v>
      </c>
      <c r="AC304" s="380" t="str">
        <f>VLOOKUP($B304,'D7 - NDB Impacted SPRF''s'!$E$16:$O$9929,3,FALSE)</f>
        <v>Uniprise</v>
      </c>
      <c r="AD304" s="380" t="str">
        <f>VLOOKUP($B304,'D7 - NDB Impacted SPRF''s'!$E$16:$O$9929,5,FALSE)</f>
        <v>UOS - Capital Projects</v>
      </c>
      <c r="AE304" s="380" t="str">
        <f>VLOOKUP($B304,'D7 - NDB Impacted SPRF''s'!$E$16:$O$9929,7,FALSE)</f>
        <v>Joanne Houck</v>
      </c>
      <c r="AF304" s="380" t="str">
        <f>VLOOKUP($B304,'D7 - NDB Impacted SPRF''s'!$E$16:$O$9929,6,FALSE)</f>
        <v>KURT SHERA</v>
      </c>
      <c r="AG304" s="282"/>
      <c r="AH304" s="311" t="e">
        <f>INDEX('D5 - Gatekeeper - Projects'!$A$4:$AF$1010,$AM304, 17)</f>
        <v>#N/A</v>
      </c>
      <c r="AI304" s="8"/>
      <c r="AJ304" s="57"/>
      <c r="AK304" s="105"/>
      <c r="AL304" s="216"/>
      <c r="AM304" s="6" t="e">
        <f>MATCH(D304,'D5 - Gatekeeper - Projects'!$C$4:$C$1010,0)</f>
        <v>#N/A</v>
      </c>
      <c r="AN304" s="6" t="b">
        <f t="shared" si="30"/>
        <v>1</v>
      </c>
      <c r="AO304" s="6" t="str">
        <f t="shared" si="33"/>
        <v>OK</v>
      </c>
      <c r="AQ304" s="6" t="e">
        <f>MATCH($D304,'D4 - Provider Council Unsched'!$C$11:$C$234,0)</f>
        <v>#N/A</v>
      </c>
      <c r="AR304" s="6" t="b">
        <f t="shared" si="31"/>
        <v>1</v>
      </c>
      <c r="AS304" s="6" t="str">
        <f t="shared" si="35"/>
        <v>OK</v>
      </c>
      <c r="AU304" s="202"/>
      <c r="AV304" s="262"/>
      <c r="AW304" s="274"/>
    </row>
    <row r="305" spans="1:49" s="13" customFormat="1" ht="11.25" customHeight="1" x14ac:dyDescent="0.2">
      <c r="A305" s="14">
        <v>281</v>
      </c>
      <c r="B305" s="14">
        <v>400004893</v>
      </c>
      <c r="C305" s="8" t="s">
        <v>5197</v>
      </c>
      <c r="D305" s="4" t="str">
        <f t="shared" si="32"/>
        <v>400004893R1</v>
      </c>
      <c r="E305" s="309" t="str">
        <f>VLOOKUP($B305,'D7 - NDB Impacted SPRF''s'!$E$6:$O$9929,2,FALSE)</f>
        <v>Harvard Pilgrim Automated Fee Schedule Load</v>
      </c>
      <c r="F305" s="8" t="s">
        <v>7132</v>
      </c>
      <c r="G305" s="8" t="s">
        <v>4758</v>
      </c>
      <c r="H305" s="8" t="s">
        <v>4246</v>
      </c>
      <c r="I305" s="20">
        <v>2</v>
      </c>
      <c r="J305" s="8" t="s">
        <v>4862</v>
      </c>
      <c r="K305" s="182">
        <v>38336</v>
      </c>
      <c r="L305" s="8" t="s">
        <v>4964</v>
      </c>
      <c r="M305" s="8" t="s">
        <v>2814</v>
      </c>
      <c r="N305" s="367"/>
      <c r="O305" s="8"/>
      <c r="P305" s="4" t="str">
        <f>VLOOKUP($B305,'D7 - NDB Impacted SPRF''s'!$E$16:$O$9929,9,FALSE)</f>
        <v>Y</v>
      </c>
      <c r="Q305" s="4" t="str">
        <f>VLOOKUP($B305,'D7 - NDB Impacted SPRF''s'!$E$16:$O$9929,10,FALSE)</f>
        <v>N</v>
      </c>
      <c r="R305" s="4" t="str">
        <f>VLOOKUP($B305,'D7 - NDB Impacted SPRF''s'!$E$16:$O$9929,11,FALSE)</f>
        <v>N</v>
      </c>
      <c r="S305" s="8"/>
      <c r="T305" s="310"/>
      <c r="U305" s="310"/>
      <c r="V305" s="4"/>
      <c r="W305" s="4"/>
      <c r="X305" s="4"/>
      <c r="Y305" s="4"/>
      <c r="Z305" s="4"/>
      <c r="AA305" s="4"/>
      <c r="AB305" s="380" t="str">
        <f>VLOOKUP($B305,'D7 - NDB Impacted SPRF''s'!$E$16:$O$9929,4,FALSE)</f>
        <v>Completed</v>
      </c>
      <c r="AC305" s="380" t="str">
        <f>VLOOKUP($B305,'D7 - NDB Impacted SPRF''s'!$E$16:$O$9929,3,FALSE)</f>
        <v>UHG Corporate</v>
      </c>
      <c r="AD305" s="380" t="str">
        <f>VLOOKUP($B305,'D7 - NDB Impacted SPRF''s'!$E$16:$O$9929,5,FALSE)</f>
        <v>General Alliance Development</v>
      </c>
      <c r="AE305" s="380" t="str">
        <f>VLOOKUP($B305,'D7 - NDB Impacted SPRF''s'!$E$16:$O$9929,7,FALSE)</f>
        <v>Peter Bompane</v>
      </c>
      <c r="AF305" s="380" t="str">
        <f>VLOOKUP($B305,'D7 - NDB Impacted SPRF''s'!$E$16:$O$9929,6,FALSE)</f>
        <v>Matthew E Johnson</v>
      </c>
      <c r="AG305" s="282"/>
      <c r="AH305" s="311" t="e">
        <f>INDEX('D5 - Gatekeeper - Projects'!$A$4:$AF$1010,$AM305, 17)</f>
        <v>#N/A</v>
      </c>
      <c r="AI305" s="8"/>
      <c r="AJ305" s="57"/>
      <c r="AK305" s="105"/>
      <c r="AM305" s="6" t="e">
        <f>MATCH(D305,'D5 - Gatekeeper - Projects'!$C$4:$C$1010,0)</f>
        <v>#N/A</v>
      </c>
      <c r="AN305" s="6" t="b">
        <f t="shared" si="30"/>
        <v>1</v>
      </c>
      <c r="AO305" s="6" t="str">
        <f t="shared" si="33"/>
        <v>OK</v>
      </c>
      <c r="AQ305" s="6" t="e">
        <f>MATCH($D305,'D4 - Provider Council Unsched'!$C$11:$C$234,0)</f>
        <v>#N/A</v>
      </c>
      <c r="AR305" s="6" t="b">
        <f t="shared" si="31"/>
        <v>1</v>
      </c>
      <c r="AS305" s="6" t="str">
        <f t="shared" si="35"/>
        <v>OK</v>
      </c>
      <c r="AU305" s="202"/>
      <c r="AV305" s="262"/>
      <c r="AW305" s="274"/>
    </row>
    <row r="306" spans="1:49" s="13" customFormat="1" ht="11.25" customHeight="1" x14ac:dyDescent="0.2">
      <c r="A306" s="14">
        <v>282</v>
      </c>
      <c r="B306" s="14">
        <v>210021349</v>
      </c>
      <c r="C306" s="8" t="s">
        <v>5197</v>
      </c>
      <c r="D306" s="4" t="str">
        <f t="shared" si="32"/>
        <v>210021349R1</v>
      </c>
      <c r="E306" s="309" t="str">
        <f>VLOOKUP($B306,'D7 - NDB Impacted SPRF''s'!$E$6:$O$9929,2,FALSE)</f>
        <v>Hospital PPI feed and allow one set of rates for products</v>
      </c>
      <c r="F306" s="8" t="s">
        <v>5096</v>
      </c>
      <c r="G306" s="8" t="s">
        <v>4758</v>
      </c>
      <c r="H306" s="8" t="s">
        <v>4246</v>
      </c>
      <c r="I306" s="20">
        <v>1</v>
      </c>
      <c r="J306" s="8" t="s">
        <v>4862</v>
      </c>
      <c r="K306" s="182">
        <v>38381</v>
      </c>
      <c r="L306" s="8" t="s">
        <v>4964</v>
      </c>
      <c r="M306" s="8" t="s">
        <v>2814</v>
      </c>
      <c r="N306" s="367"/>
      <c r="O306" s="8"/>
      <c r="P306" s="4" t="str">
        <f>VLOOKUP($B306,'D7 - NDB Impacted SPRF''s'!$E$16:$O$9929,9,FALSE)</f>
        <v>Y</v>
      </c>
      <c r="Q306" s="4" t="str">
        <f>VLOOKUP($B306,'D7 - NDB Impacted SPRF''s'!$E$16:$O$9929,10,FALSE)</f>
        <v>N</v>
      </c>
      <c r="R306" s="4" t="str">
        <f>VLOOKUP($B306,'D7 - NDB Impacted SPRF''s'!$E$16:$O$9929,11,FALSE)</f>
        <v>N</v>
      </c>
      <c r="S306" s="8"/>
      <c r="T306" s="310"/>
      <c r="U306" s="310"/>
      <c r="V306" s="4"/>
      <c r="W306" s="4"/>
      <c r="X306" s="4"/>
      <c r="Y306" s="4"/>
      <c r="Z306" s="4"/>
      <c r="AA306" s="4"/>
      <c r="AB306" s="380" t="str">
        <f>VLOOKUP($B306,'D7 - NDB Impacted SPRF''s'!$E$16:$O$9929,4,FALSE)</f>
        <v>Completed</v>
      </c>
      <c r="AC306" s="380" t="str">
        <f>VLOOKUP($B306,'D7 - NDB Impacted SPRF''s'!$E$16:$O$9929,3,FALSE)</f>
        <v>UnitedHealthcare Employer &amp; Individual</v>
      </c>
      <c r="AD306" s="380" t="str">
        <f>VLOOKUP($B306,'D7 - NDB Impacted SPRF''s'!$E$16:$O$9929,5,FALSE)</f>
        <v>Operations Group</v>
      </c>
      <c r="AE306" s="380" t="str">
        <f>VLOOKUP($B306,'D7 - NDB Impacted SPRF''s'!$E$16:$O$9929,7,FALSE)</f>
        <v>Tim Kaja</v>
      </c>
      <c r="AF306" s="380" t="str">
        <f>VLOOKUP($B306,'D7 - NDB Impacted SPRF''s'!$E$16:$O$9929,6,FALSE)</f>
        <v>Debi Streb</v>
      </c>
      <c r="AG306" s="282"/>
      <c r="AH306" s="311" t="e">
        <f>INDEX('D5 - Gatekeeper - Projects'!$A$4:$AF$1010,$AM306, 17)</f>
        <v>#N/A</v>
      </c>
      <c r="AI306" s="8"/>
      <c r="AJ306" s="57"/>
      <c r="AK306" s="105"/>
      <c r="AM306" s="6" t="e">
        <f>MATCH(D306,'D5 - Gatekeeper - Projects'!$C$4:$C$1010,0)</f>
        <v>#N/A</v>
      </c>
      <c r="AN306" s="6" t="b">
        <f t="shared" si="30"/>
        <v>1</v>
      </c>
      <c r="AO306" s="6" t="str">
        <f t="shared" si="33"/>
        <v>OK</v>
      </c>
      <c r="AQ306" s="6" t="e">
        <f>MATCH($D306,'D4 - Provider Council Unsched'!$C$11:$C$234,0)</f>
        <v>#N/A</v>
      </c>
      <c r="AR306" s="6" t="b">
        <f t="shared" si="31"/>
        <v>1</v>
      </c>
      <c r="AS306" s="6" t="str">
        <f t="shared" si="35"/>
        <v>OK</v>
      </c>
      <c r="AU306" s="202"/>
      <c r="AV306" s="262"/>
      <c r="AW306" s="274"/>
    </row>
    <row r="307" spans="1:49" s="13" customFormat="1" x14ac:dyDescent="0.2">
      <c r="A307" s="14">
        <v>283</v>
      </c>
      <c r="B307" s="14">
        <v>400000337</v>
      </c>
      <c r="C307" s="8" t="s">
        <v>5197</v>
      </c>
      <c r="D307" s="4" t="str">
        <f t="shared" si="32"/>
        <v>400000337R1</v>
      </c>
      <c r="E307" s="309" t="str">
        <f>VLOOKUP($B307,'D7 - NDB Impacted SPRF''s'!$E$6:$O$9929,2,FALSE)</f>
        <v xml:space="preserve">835 Migration for HIPAA Compliant Transaction </v>
      </c>
      <c r="F307" s="8"/>
      <c r="G307" s="8" t="s">
        <v>4758</v>
      </c>
      <c r="H307" s="8" t="s">
        <v>4246</v>
      </c>
      <c r="I307" s="20">
        <v>0.88</v>
      </c>
      <c r="J307" s="8" t="s">
        <v>4862</v>
      </c>
      <c r="K307" s="182">
        <v>38381</v>
      </c>
      <c r="L307" s="8" t="s">
        <v>4964</v>
      </c>
      <c r="M307" s="8" t="s">
        <v>2814</v>
      </c>
      <c r="N307" s="367"/>
      <c r="O307" s="8"/>
      <c r="P307" s="4" t="str">
        <f>VLOOKUP($B307,'D7 - NDB Impacted SPRF''s'!$E$16:$O$9929,9,FALSE)</f>
        <v>N</v>
      </c>
      <c r="Q307" s="4" t="str">
        <f>VLOOKUP($B307,'D7 - NDB Impacted SPRF''s'!$E$16:$O$9929,10,FALSE)</f>
        <v>N</v>
      </c>
      <c r="R307" s="4" t="str">
        <f>VLOOKUP($B307,'D7 - NDB Impacted SPRF''s'!$E$16:$O$9929,11,FALSE)</f>
        <v>N</v>
      </c>
      <c r="S307" s="8"/>
      <c r="T307" s="310"/>
      <c r="U307" s="310"/>
      <c r="V307" s="4"/>
      <c r="W307" s="4"/>
      <c r="X307" s="4"/>
      <c r="Y307" s="4"/>
      <c r="Z307" s="4"/>
      <c r="AA307" s="4"/>
      <c r="AB307" s="380" t="str">
        <f>VLOOKUP($B307,'D7 - NDB Impacted SPRF''s'!$E$16:$O$9929,4,FALSE)</f>
        <v>Completed</v>
      </c>
      <c r="AC307" s="380" t="str">
        <f>VLOOKUP($B307,'D7 - NDB Impacted SPRF''s'!$E$16:$O$9929,3,FALSE)</f>
        <v>Uniprise</v>
      </c>
      <c r="AD307" s="380" t="str">
        <f>VLOOKUP($B307,'D7 - NDB Impacted SPRF''s'!$E$16:$O$9929,5,FALSE)</f>
        <v>Legal/Compliance - DDC</v>
      </c>
      <c r="AE307" s="380" t="str">
        <f>VLOOKUP($B307,'D7 - NDB Impacted SPRF''s'!$E$16:$O$9929,7,FALSE)</f>
        <v>Dick Lanpher</v>
      </c>
      <c r="AF307" s="380" t="str">
        <f>VLOOKUP($B307,'D7 - NDB Impacted SPRF''s'!$E$16:$O$9929,6,FALSE)</f>
        <v>Carolyn Besch</v>
      </c>
      <c r="AG307" s="282"/>
      <c r="AH307" s="311" t="e">
        <f>INDEX('D5 - Gatekeeper - Projects'!$A$4:$AF$1010,$AM307, 17)</f>
        <v>#N/A</v>
      </c>
      <c r="AI307" s="8"/>
      <c r="AJ307" s="57"/>
      <c r="AK307" s="105"/>
      <c r="AM307" s="6" t="e">
        <f>MATCH(D307,'D5 - Gatekeeper - Projects'!$C$4:$C$1010,0)</f>
        <v>#N/A</v>
      </c>
      <c r="AN307" s="6" t="b">
        <f t="shared" si="30"/>
        <v>1</v>
      </c>
      <c r="AO307" s="6" t="str">
        <f t="shared" si="33"/>
        <v>OK</v>
      </c>
      <c r="AQ307" s="6" t="e">
        <f>MATCH($D307,'D4 - Provider Council Unsched'!$C$11:$C$234,0)</f>
        <v>#N/A</v>
      </c>
      <c r="AR307" s="6" t="b">
        <f t="shared" si="31"/>
        <v>1</v>
      </c>
      <c r="AS307" s="6" t="str">
        <f t="shared" si="35"/>
        <v>OK</v>
      </c>
      <c r="AU307" s="202"/>
      <c r="AV307" s="262"/>
      <c r="AW307" s="274"/>
    </row>
    <row r="308" spans="1:49" s="13" customFormat="1" x14ac:dyDescent="0.2">
      <c r="A308" s="14">
        <v>284</v>
      </c>
      <c r="B308" s="14">
        <v>400004549</v>
      </c>
      <c r="C308" s="8" t="s">
        <v>5197</v>
      </c>
      <c r="D308" s="4" t="str">
        <f t="shared" si="32"/>
        <v>400004549R1</v>
      </c>
      <c r="E308" s="309" t="str">
        <f>VLOOKUP($B308,'D7 - NDB Impacted SPRF''s'!$E$6:$O$9929,2,FALSE)</f>
        <v xml:space="preserve">Gated HMO on UNET </v>
      </c>
      <c r="F308" s="8" t="s">
        <v>4168</v>
      </c>
      <c r="G308" s="8" t="s">
        <v>4758</v>
      </c>
      <c r="H308" s="8" t="s">
        <v>4246</v>
      </c>
      <c r="I308" s="20">
        <v>0.2</v>
      </c>
      <c r="J308" s="8" t="s">
        <v>4862</v>
      </c>
      <c r="K308" s="182">
        <v>38381</v>
      </c>
      <c r="L308" s="8" t="s">
        <v>4964</v>
      </c>
      <c r="M308" s="8" t="s">
        <v>2814</v>
      </c>
      <c r="N308" s="367"/>
      <c r="O308" s="8"/>
      <c r="P308" s="4" t="str">
        <f>VLOOKUP($B308,'D7 - NDB Impacted SPRF''s'!$E$16:$O$9929,9,FALSE)</f>
        <v>Y</v>
      </c>
      <c r="Q308" s="4" t="str">
        <f>VLOOKUP($B308,'D7 - NDB Impacted SPRF''s'!$E$16:$O$9929,10,FALSE)</f>
        <v>N</v>
      </c>
      <c r="R308" s="4" t="str">
        <f>VLOOKUP($B308,'D7 - NDB Impacted SPRF''s'!$E$16:$O$9929,11,FALSE)</f>
        <v>N</v>
      </c>
      <c r="S308" s="8"/>
      <c r="T308" s="310"/>
      <c r="U308" s="310"/>
      <c r="V308" s="4"/>
      <c r="W308" s="4"/>
      <c r="X308" s="4"/>
      <c r="Y308" s="4"/>
      <c r="Z308" s="4"/>
      <c r="AA308" s="4"/>
      <c r="AB308" s="380" t="str">
        <f>VLOOKUP($B308,'D7 - NDB Impacted SPRF''s'!$E$16:$O$9929,4,FALSE)</f>
        <v>Completed</v>
      </c>
      <c r="AC308" s="380" t="str">
        <f>VLOOKUP($B308,'D7 - NDB Impacted SPRF''s'!$E$16:$O$9929,3,FALSE)</f>
        <v>UHG Corporate</v>
      </c>
      <c r="AD308" s="380" t="str">
        <f>VLOOKUP($B308,'D7 - NDB Impacted SPRF''s'!$E$16:$O$9929,5,FALSE)</f>
        <v>Gated HMO</v>
      </c>
      <c r="AE308" s="380" t="str">
        <f>VLOOKUP($B308,'D7 - NDB Impacted SPRF''s'!$E$16:$O$9929,7,FALSE)</f>
        <v>Bev Nyce</v>
      </c>
      <c r="AF308" s="380" t="str">
        <f>VLOOKUP($B308,'D7 - NDB Impacted SPRF''s'!$E$16:$O$9929,6,FALSE)</f>
        <v>BRIAN COOPER</v>
      </c>
      <c r="AG308" s="282"/>
      <c r="AH308" s="311" t="e">
        <f>INDEX('D5 - Gatekeeper - Projects'!$A$4:$AF$1010,$AM308, 17)</f>
        <v>#N/A</v>
      </c>
      <c r="AI308" s="8"/>
      <c r="AJ308" s="57"/>
      <c r="AK308" s="105"/>
      <c r="AL308" s="216"/>
      <c r="AM308" s="6" t="e">
        <f>MATCH(D308,'D5 - Gatekeeper - Projects'!$C$4:$C$1010,0)</f>
        <v>#N/A</v>
      </c>
      <c r="AN308" s="6" t="b">
        <f t="shared" si="30"/>
        <v>1</v>
      </c>
      <c r="AO308" s="6" t="str">
        <f t="shared" si="33"/>
        <v>OK</v>
      </c>
      <c r="AQ308" s="6" t="e">
        <f>MATCH($D308,'D4 - Provider Council Unsched'!$C$11:$C$234,0)</f>
        <v>#N/A</v>
      </c>
      <c r="AR308" s="6" t="b">
        <f t="shared" si="31"/>
        <v>1</v>
      </c>
      <c r="AS308" s="6" t="str">
        <f t="shared" si="35"/>
        <v>OK</v>
      </c>
      <c r="AU308" s="202"/>
      <c r="AV308" s="262"/>
      <c r="AW308" s="274"/>
    </row>
    <row r="309" spans="1:49" s="13" customFormat="1" ht="11.25" customHeight="1" x14ac:dyDescent="0.2">
      <c r="A309" s="14">
        <v>285</v>
      </c>
      <c r="B309" s="14">
        <v>400005348</v>
      </c>
      <c r="C309" s="8" t="s">
        <v>5197</v>
      </c>
      <c r="D309" s="4" t="str">
        <f t="shared" si="32"/>
        <v>400005348R1</v>
      </c>
      <c r="E309" s="309" t="str">
        <f>VLOOKUP($B309,'D7 - NDB Impacted SPRF''s'!$E$6:$O$9929,2,FALSE)</f>
        <v>Capitation Strategy - Admin Analysis Options</v>
      </c>
      <c r="F309" s="8" t="s">
        <v>7593</v>
      </c>
      <c r="G309" s="8" t="s">
        <v>4758</v>
      </c>
      <c r="H309" s="8" t="s">
        <v>4246</v>
      </c>
      <c r="I309" s="20">
        <v>0</v>
      </c>
      <c r="J309" s="8" t="s">
        <v>4862</v>
      </c>
      <c r="K309" s="182">
        <v>38381</v>
      </c>
      <c r="L309" s="8" t="s">
        <v>4964</v>
      </c>
      <c r="M309" s="8" t="s">
        <v>2814</v>
      </c>
      <c r="N309" s="367"/>
      <c r="O309" s="8"/>
      <c r="P309" s="4" t="str">
        <f>VLOOKUP($B309,'D7 - NDB Impacted SPRF''s'!$E$16:$O$9929,9,FALSE)</f>
        <v>N</v>
      </c>
      <c r="Q309" s="4" t="str">
        <f>VLOOKUP($B309,'D7 - NDB Impacted SPRF''s'!$E$16:$O$9929,10,FALSE)</f>
        <v>N</v>
      </c>
      <c r="R309" s="4" t="str">
        <f>VLOOKUP($B309,'D7 - NDB Impacted SPRF''s'!$E$16:$O$9929,11,FALSE)</f>
        <v>N</v>
      </c>
      <c r="S309" s="8"/>
      <c r="T309" s="310"/>
      <c r="U309" s="310"/>
      <c r="V309" s="4"/>
      <c r="W309" s="4"/>
      <c r="X309" s="4"/>
      <c r="Y309" s="4"/>
      <c r="Z309" s="4"/>
      <c r="AA309" s="4"/>
      <c r="AB309" s="380" t="str">
        <f>VLOOKUP($B309,'D7 - NDB Impacted SPRF''s'!$E$16:$O$9929,4,FALSE)</f>
        <v>Completed</v>
      </c>
      <c r="AC309" s="380" t="str">
        <f>VLOOKUP($B309,'D7 - NDB Impacted SPRF''s'!$E$16:$O$9929,3,FALSE)</f>
        <v>UnitedHealthcare Employer &amp; Individual</v>
      </c>
      <c r="AD309" s="380" t="str">
        <f>VLOOKUP($B309,'D7 - NDB Impacted SPRF''s'!$E$16:$O$9929,5,FALSE)</f>
        <v>Operations Group</v>
      </c>
      <c r="AE309" s="380" t="str">
        <f>VLOOKUP($B309,'D7 - NDB Impacted SPRF''s'!$E$16:$O$9929,7,FALSE)</f>
        <v>Ed Novinski</v>
      </c>
      <c r="AF309" s="380" t="str">
        <f>VLOOKUP($B309,'D7 - NDB Impacted SPRF''s'!$E$16:$O$9929,6,FALSE)</f>
        <v>Tammy Hausken</v>
      </c>
      <c r="AG309" s="282"/>
      <c r="AH309" s="311" t="e">
        <f>INDEX('D5 - Gatekeeper - Projects'!$A$4:$AF$1010,$AM309, 17)</f>
        <v>#N/A</v>
      </c>
      <c r="AI309" s="8"/>
      <c r="AJ309" s="57"/>
      <c r="AK309" s="105"/>
      <c r="AL309" s="216"/>
      <c r="AM309" s="6" t="e">
        <f>MATCH(D309,'D5 - Gatekeeper - Projects'!$C$4:$C$1010,0)</f>
        <v>#N/A</v>
      </c>
      <c r="AN309" s="6" t="b">
        <f t="shared" si="30"/>
        <v>1</v>
      </c>
      <c r="AO309" s="6" t="str">
        <f t="shared" si="33"/>
        <v>OK</v>
      </c>
      <c r="AQ309" s="6" t="e">
        <f>MATCH($D309,'D4 - Provider Council Unsched'!$C$11:$C$234,0)</f>
        <v>#N/A</v>
      </c>
      <c r="AR309" s="6" t="b">
        <f t="shared" si="31"/>
        <v>1</v>
      </c>
      <c r="AS309" s="6" t="str">
        <f t="shared" si="35"/>
        <v>OK</v>
      </c>
      <c r="AU309" s="202"/>
      <c r="AV309" s="262"/>
      <c r="AW309" s="274"/>
    </row>
    <row r="310" spans="1:49" s="13" customFormat="1" ht="33.75" x14ac:dyDescent="0.2">
      <c r="A310" s="14">
        <v>286</v>
      </c>
      <c r="B310" s="14">
        <v>400005828</v>
      </c>
      <c r="C310" s="8" t="s">
        <v>5197</v>
      </c>
      <c r="D310" s="4" t="str">
        <f t="shared" si="32"/>
        <v>400005828R1</v>
      </c>
      <c r="E310" s="309" t="str">
        <f>VLOOKUP($B310,'D7 - NDB Impacted SPRF''s'!$E$6:$O$9929,2,FALSE)</f>
        <v>Alliance CSP for Roundy's Inc</v>
      </c>
      <c r="F310" s="8"/>
      <c r="G310" s="8" t="s">
        <v>4758</v>
      </c>
      <c r="H310" s="8" t="s">
        <v>4246</v>
      </c>
      <c r="I310" s="20">
        <v>0.8</v>
      </c>
      <c r="J310" s="8" t="s">
        <v>4862</v>
      </c>
      <c r="K310" s="182">
        <v>38381</v>
      </c>
      <c r="L310" s="8" t="s">
        <v>4964</v>
      </c>
      <c r="M310" s="8" t="s">
        <v>2814</v>
      </c>
      <c r="N310" s="367"/>
      <c r="O310" s="8"/>
      <c r="P310" s="4" t="str">
        <f>VLOOKUP($B310,'D7 - NDB Impacted SPRF''s'!$E$16:$O$9929,9,FALSE)</f>
        <v>N</v>
      </c>
      <c r="Q310" s="4" t="str">
        <f>VLOOKUP($B310,'D7 - NDB Impacted SPRF''s'!$E$16:$O$9929,10,FALSE)</f>
        <v>N</v>
      </c>
      <c r="R310" s="4" t="str">
        <f>VLOOKUP($B310,'D7 - NDB Impacted SPRF''s'!$E$16:$O$9929,11,FALSE)</f>
        <v>N</v>
      </c>
      <c r="S310" s="8"/>
      <c r="T310" s="310"/>
      <c r="U310" s="310"/>
      <c r="V310" s="4"/>
      <c r="W310" s="4"/>
      <c r="X310" s="4"/>
      <c r="Y310" s="4"/>
      <c r="Z310" s="4"/>
      <c r="AA310" s="4"/>
      <c r="AB310" s="380" t="str">
        <f>VLOOKUP($B310,'D7 - NDB Impacted SPRF''s'!$E$16:$O$9929,4,FALSE)</f>
        <v>Completed</v>
      </c>
      <c r="AC310" s="380" t="str">
        <f>VLOOKUP($B310,'D7 - NDB Impacted SPRF''s'!$E$16:$O$9929,3,FALSE)</f>
        <v>UnitedHealthcare Employer &amp; Individual</v>
      </c>
      <c r="AD310" s="380" t="str">
        <f>VLOOKUP($B310,'D7 - NDB Impacted SPRF''s'!$E$16:$O$9929,5,FALSE)</f>
        <v>Operations Group</v>
      </c>
      <c r="AE310" s="380" t="str">
        <f>VLOOKUP($B310,'D7 - NDB Impacted SPRF''s'!$E$16:$O$9929,7,FALSE)</f>
        <v>John Craver</v>
      </c>
      <c r="AF310" s="380" t="str">
        <f>VLOOKUP($B310,'D7 - NDB Impacted SPRF''s'!$E$16:$O$9929,6,FALSE)</f>
        <v>MICHAEL KOMINIAK</v>
      </c>
      <c r="AG310" s="282"/>
      <c r="AH310" s="311" t="e">
        <f>INDEX('D5 - Gatekeeper - Projects'!$A$4:$AF$1010,$AM310, 17)</f>
        <v>#N/A</v>
      </c>
      <c r="AI310" s="8"/>
      <c r="AJ310" s="57"/>
      <c r="AK310" s="105"/>
      <c r="AL310" s="216"/>
      <c r="AM310" s="6" t="e">
        <f>MATCH(D310,'D5 - Gatekeeper - Projects'!$C$4:$C$1010,0)</f>
        <v>#N/A</v>
      </c>
      <c r="AN310" s="6" t="b">
        <f t="shared" si="30"/>
        <v>1</v>
      </c>
      <c r="AO310" s="6" t="str">
        <f t="shared" si="33"/>
        <v>OK</v>
      </c>
      <c r="AQ310" s="6" t="e">
        <f>MATCH($D310,'D4 - Provider Council Unsched'!$C$11:$C$234,0)</f>
        <v>#N/A</v>
      </c>
      <c r="AR310" s="6" t="b">
        <f t="shared" si="31"/>
        <v>1</v>
      </c>
      <c r="AS310" s="6" t="str">
        <f t="shared" si="35"/>
        <v>OK</v>
      </c>
      <c r="AU310" s="202"/>
      <c r="AV310" s="262"/>
      <c r="AW310" s="274"/>
    </row>
    <row r="311" spans="1:49" s="13" customFormat="1" ht="22.5" x14ac:dyDescent="0.2">
      <c r="A311" s="14">
        <v>287</v>
      </c>
      <c r="B311" s="14">
        <v>400002210</v>
      </c>
      <c r="C311" s="8" t="s">
        <v>6884</v>
      </c>
      <c r="D311" s="4" t="str">
        <f t="shared" si="32"/>
        <v>400002210CC15</v>
      </c>
      <c r="E311" s="309" t="str">
        <f>VLOOKUP($B311,'D7 - NDB Impacted SPRF''s'!$E$6:$O$9929,2,FALSE)</f>
        <v>UCFS EPS Phase III</v>
      </c>
      <c r="F311" s="8"/>
      <c r="G311" s="8" t="s">
        <v>4758</v>
      </c>
      <c r="H311" s="8" t="s">
        <v>4246</v>
      </c>
      <c r="I311" s="20">
        <v>0.75</v>
      </c>
      <c r="J311" s="8" t="s">
        <v>4862</v>
      </c>
      <c r="K311" s="182">
        <v>38409</v>
      </c>
      <c r="L311" s="8" t="s">
        <v>4964</v>
      </c>
      <c r="M311" s="8" t="s">
        <v>2814</v>
      </c>
      <c r="N311" s="367"/>
      <c r="O311" s="8"/>
      <c r="P311" s="4" t="str">
        <f>VLOOKUP($B311,'D7 - NDB Impacted SPRF''s'!$E$16:$O$9929,9,FALSE)</f>
        <v>Y</v>
      </c>
      <c r="Q311" s="4" t="str">
        <f>VLOOKUP($B311,'D7 - NDB Impacted SPRF''s'!$E$16:$O$9929,10,FALSE)</f>
        <v>N</v>
      </c>
      <c r="R311" s="4" t="str">
        <f>VLOOKUP($B311,'D7 - NDB Impacted SPRF''s'!$E$16:$O$9929,11,FALSE)</f>
        <v>N</v>
      </c>
      <c r="S311" s="8"/>
      <c r="T311" s="310"/>
      <c r="U311" s="310"/>
      <c r="V311" s="4"/>
      <c r="W311" s="4"/>
      <c r="X311" s="4"/>
      <c r="Y311" s="4"/>
      <c r="Z311" s="4"/>
      <c r="AA311" s="4"/>
      <c r="AB311" s="380" t="str">
        <f>VLOOKUP($B311,'D7 - NDB Impacted SPRF''s'!$E$16:$O$9929,4,FALSE)</f>
        <v>Completed</v>
      </c>
      <c r="AC311" s="380" t="str">
        <f>VLOOKUP($B311,'D7 - NDB Impacted SPRF''s'!$E$16:$O$9929,3,FALSE)</f>
        <v>Uniprise</v>
      </c>
      <c r="AD311" s="380" t="str">
        <f>VLOOKUP($B311,'D7 - NDB Impacted SPRF''s'!$E$16:$O$9929,5,FALSE)</f>
        <v>Exante</v>
      </c>
      <c r="AE311" s="380" t="str">
        <f>VLOOKUP($B311,'D7 - NDB Impacted SPRF''s'!$E$16:$O$9929,7,FALSE)</f>
        <v>Steve Margolis</v>
      </c>
      <c r="AF311" s="380" t="str">
        <f>VLOOKUP($B311,'D7 - NDB Impacted SPRF''s'!$E$16:$O$9929,6,FALSE)</f>
        <v>STACIE NABEDRICK</v>
      </c>
      <c r="AG311" s="282"/>
      <c r="AH311" s="311" t="e">
        <f>INDEX('D5 - Gatekeeper - Projects'!$A$4:$AF$1010,$AM311, 17)</f>
        <v>#N/A</v>
      </c>
      <c r="AI311" s="8"/>
      <c r="AJ311" s="57"/>
      <c r="AK311" s="105"/>
      <c r="AL311" s="216"/>
      <c r="AM311" s="6" t="e">
        <f>MATCH(D311,'D5 - Gatekeeper - Projects'!$C$4:$C$1010,0)</f>
        <v>#N/A</v>
      </c>
      <c r="AN311" s="6" t="b">
        <f t="shared" si="30"/>
        <v>1</v>
      </c>
      <c r="AO311" s="6" t="str">
        <f t="shared" si="33"/>
        <v>OK</v>
      </c>
      <c r="AQ311" s="6" t="e">
        <f>MATCH($D311,'D4 - Provider Council Unsched'!$C$11:$C$234,0)</f>
        <v>#N/A</v>
      </c>
      <c r="AR311" s="6" t="b">
        <f t="shared" si="31"/>
        <v>1</v>
      </c>
      <c r="AS311" s="6" t="str">
        <f t="shared" si="35"/>
        <v>OK</v>
      </c>
      <c r="AU311" s="202"/>
      <c r="AV311" s="262"/>
      <c r="AW311" s="274"/>
    </row>
    <row r="312" spans="1:49" s="13" customFormat="1" ht="22.5" x14ac:dyDescent="0.2">
      <c r="A312" s="14">
        <v>288</v>
      </c>
      <c r="B312" s="14">
        <v>400005398</v>
      </c>
      <c r="C312" s="8" t="s">
        <v>5197</v>
      </c>
      <c r="D312" s="4" t="str">
        <f t="shared" si="32"/>
        <v>400005398R1</v>
      </c>
      <c r="E312" s="309" t="str">
        <f>VLOOKUP($B312,'D7 - NDB Impacted SPRF''s'!$E$6:$O$9929,2,FALSE)</f>
        <v>NDB - Harvard Pilgrim Feed Change - Work Order</v>
      </c>
      <c r="F312" s="8" t="s">
        <v>7132</v>
      </c>
      <c r="G312" s="8" t="s">
        <v>4758</v>
      </c>
      <c r="H312" s="8" t="s">
        <v>4246</v>
      </c>
      <c r="I312" s="20">
        <v>0.5</v>
      </c>
      <c r="J312" s="8" t="s">
        <v>4862</v>
      </c>
      <c r="K312" s="182">
        <v>38409</v>
      </c>
      <c r="L312" s="8" t="s">
        <v>4964</v>
      </c>
      <c r="M312" s="8" t="s">
        <v>2814</v>
      </c>
      <c r="N312" s="367"/>
      <c r="O312" s="8"/>
      <c r="P312" s="4" t="str">
        <f>VLOOKUP($B312,'D7 - NDB Impacted SPRF''s'!$E$16:$O$9929,9,FALSE)</f>
        <v>N</v>
      </c>
      <c r="Q312" s="4" t="str">
        <f>VLOOKUP($B312,'D7 - NDB Impacted SPRF''s'!$E$16:$O$9929,10,FALSE)</f>
        <v>N</v>
      </c>
      <c r="R312" s="4" t="str">
        <f>VLOOKUP($B312,'D7 - NDB Impacted SPRF''s'!$E$16:$O$9929,11,FALSE)</f>
        <v>N</v>
      </c>
      <c r="S312" s="8"/>
      <c r="T312" s="310"/>
      <c r="U312" s="310"/>
      <c r="V312" s="4"/>
      <c r="W312" s="4"/>
      <c r="X312" s="4"/>
      <c r="Y312" s="4"/>
      <c r="Z312" s="4"/>
      <c r="AA312" s="4"/>
      <c r="AB312" s="380" t="str">
        <f>VLOOKUP($B312,'D7 - NDB Impacted SPRF''s'!$E$16:$O$9929,4,FALSE)</f>
        <v>Completed</v>
      </c>
      <c r="AC312" s="380" t="str">
        <f>VLOOKUP($B312,'D7 - NDB Impacted SPRF''s'!$E$16:$O$9929,3,FALSE)</f>
        <v>UHG Corporate</v>
      </c>
      <c r="AD312" s="380" t="str">
        <f>VLOOKUP($B312,'D7 - NDB Impacted SPRF''s'!$E$16:$O$9929,5,FALSE)</f>
        <v>General Alliance Development</v>
      </c>
      <c r="AE312" s="380" t="str">
        <f>VLOOKUP($B312,'D7 - NDB Impacted SPRF''s'!$E$16:$O$9929,7,FALSE)</f>
        <v>n/a</v>
      </c>
      <c r="AF312" s="380" t="str">
        <f>VLOOKUP($B312,'D7 - NDB Impacted SPRF''s'!$E$16:$O$9929,6,FALSE)</f>
        <v>Lisa Obrien</v>
      </c>
      <c r="AG312" s="282"/>
      <c r="AH312" s="311" t="e">
        <f>INDEX('D5 - Gatekeeper - Projects'!$A$4:$AF$1010,$AM312, 17)</f>
        <v>#N/A</v>
      </c>
      <c r="AI312" s="8"/>
      <c r="AJ312" s="57"/>
      <c r="AK312" s="105"/>
      <c r="AL312" s="216"/>
      <c r="AM312" s="6" t="e">
        <f>MATCH(D312,'D5 - Gatekeeper - Projects'!$C$4:$C$1010,0)</f>
        <v>#N/A</v>
      </c>
      <c r="AN312" s="6" t="b">
        <f t="shared" si="30"/>
        <v>1</v>
      </c>
      <c r="AO312" s="6" t="str">
        <f t="shared" si="33"/>
        <v>OK</v>
      </c>
      <c r="AQ312" s="6" t="e">
        <f>MATCH($D312,'D4 - Provider Council Unsched'!$C$11:$C$234,0)</f>
        <v>#N/A</v>
      </c>
      <c r="AR312" s="6" t="b">
        <f t="shared" si="31"/>
        <v>1</v>
      </c>
      <c r="AS312" s="6" t="str">
        <f t="shared" si="35"/>
        <v>OK</v>
      </c>
      <c r="AU312" s="202"/>
      <c r="AV312" s="262"/>
      <c r="AW312" s="274"/>
    </row>
    <row r="313" spans="1:49" s="13" customFormat="1" ht="11.25" customHeight="1" x14ac:dyDescent="0.2">
      <c r="A313" s="14">
        <v>289</v>
      </c>
      <c r="B313" s="14">
        <v>400005565</v>
      </c>
      <c r="C313" s="8" t="s">
        <v>5197</v>
      </c>
      <c r="D313" s="4" t="str">
        <f t="shared" si="32"/>
        <v>400005565R1</v>
      </c>
      <c r="E313" s="309" t="str">
        <f>VLOOKUP($B313,'D7 - NDB Impacted SPRF''s'!$E$6:$O$9929,2,FALSE)</f>
        <v>ACN &amp; UBH Network Access &amp; claims pricing</v>
      </c>
      <c r="F313" s="8" t="s">
        <v>4304</v>
      </c>
      <c r="G313" s="8" t="s">
        <v>4758</v>
      </c>
      <c r="H313" s="8" t="s">
        <v>4246</v>
      </c>
      <c r="I313" s="20">
        <v>1</v>
      </c>
      <c r="J313" s="8" t="s">
        <v>4862</v>
      </c>
      <c r="K313" s="182">
        <v>38409</v>
      </c>
      <c r="L313" s="8" t="s">
        <v>4964</v>
      </c>
      <c r="M313" s="8" t="s">
        <v>2814</v>
      </c>
      <c r="N313" s="367"/>
      <c r="O313" s="8"/>
      <c r="P313" s="4" t="str">
        <f>VLOOKUP($B313,'D7 - NDB Impacted SPRF''s'!$E$16:$O$9929,9,FALSE)</f>
        <v>N</v>
      </c>
      <c r="Q313" s="4" t="str">
        <f>VLOOKUP($B313,'D7 - NDB Impacted SPRF''s'!$E$16:$O$9929,10,FALSE)</f>
        <v>N</v>
      </c>
      <c r="R313" s="4" t="str">
        <f>VLOOKUP($B313,'D7 - NDB Impacted SPRF''s'!$E$16:$O$9929,11,FALSE)</f>
        <v>N</v>
      </c>
      <c r="S313" s="8"/>
      <c r="T313" s="310"/>
      <c r="U313" s="310"/>
      <c r="V313" s="4"/>
      <c r="W313" s="4"/>
      <c r="X313" s="4"/>
      <c r="Y313" s="4"/>
      <c r="Z313" s="4"/>
      <c r="AA313" s="4"/>
      <c r="AB313" s="380" t="str">
        <f>VLOOKUP($B313,'D7 - NDB Impacted SPRF''s'!$E$16:$O$9929,4,FALSE)</f>
        <v>Completed</v>
      </c>
      <c r="AC313" s="380" t="str">
        <f>VLOOKUP($B313,'D7 - NDB Impacted SPRF''s'!$E$16:$O$9929,3,FALSE)</f>
        <v>UnitedHealthcare Employer &amp; Individual</v>
      </c>
      <c r="AD313" s="380" t="str">
        <f>VLOOKUP($B313,'D7 - NDB Impacted SPRF''s'!$E$16:$O$9929,5,FALSE)</f>
        <v>Operations Group</v>
      </c>
      <c r="AE313" s="380" t="str">
        <f>VLOOKUP($B313,'D7 - NDB Impacted SPRF''s'!$E$16:$O$9929,7,FALSE)</f>
        <v>Kathy Freiheit</v>
      </c>
      <c r="AF313" s="380" t="str">
        <f>VLOOKUP($B313,'D7 - NDB Impacted SPRF''s'!$E$16:$O$9929,6,FALSE)</f>
        <v>Tammy Hausken</v>
      </c>
      <c r="AG313" s="282"/>
      <c r="AH313" s="311" t="e">
        <f>INDEX('D5 - Gatekeeper - Projects'!$A$4:$AF$1010,$AM313, 17)</f>
        <v>#N/A</v>
      </c>
      <c r="AI313" s="8"/>
      <c r="AJ313" s="57"/>
      <c r="AK313" s="105"/>
      <c r="AL313" s="216"/>
      <c r="AM313" s="6" t="e">
        <f>MATCH(D313,'D5 - Gatekeeper - Projects'!$C$4:$C$1010,0)</f>
        <v>#N/A</v>
      </c>
      <c r="AN313" s="6" t="b">
        <f t="shared" si="30"/>
        <v>1</v>
      </c>
      <c r="AO313" s="6" t="str">
        <f t="shared" si="33"/>
        <v>OK</v>
      </c>
      <c r="AQ313" s="6" t="e">
        <f>MATCH($D313,'D4 - Provider Council Unsched'!$C$11:$C$234,0)</f>
        <v>#N/A</v>
      </c>
      <c r="AR313" s="6" t="b">
        <f t="shared" si="31"/>
        <v>1</v>
      </c>
      <c r="AS313" s="6" t="str">
        <f t="shared" si="35"/>
        <v>OK</v>
      </c>
      <c r="AU313" s="202"/>
      <c r="AV313" s="262"/>
      <c r="AW313" s="274"/>
    </row>
    <row r="314" spans="1:49" s="13" customFormat="1" ht="33.75" x14ac:dyDescent="0.2">
      <c r="A314" s="14">
        <v>290</v>
      </c>
      <c r="B314" s="14">
        <v>400006295</v>
      </c>
      <c r="C314" s="8" t="s">
        <v>5197</v>
      </c>
      <c r="D314" s="4" t="str">
        <f t="shared" si="32"/>
        <v>400006295R1</v>
      </c>
      <c r="E314" s="309" t="str">
        <f>VLOOKUP($B314,'D7 - NDB Impacted SPRF''s'!$E$6:$O$9929,2,FALSE)</f>
        <v>Remove panel 999 (default panel) from directory</v>
      </c>
      <c r="F314" s="8" t="s">
        <v>5054</v>
      </c>
      <c r="G314" s="8" t="s">
        <v>4758</v>
      </c>
      <c r="H314" s="8" t="s">
        <v>4246</v>
      </c>
      <c r="I314" s="20">
        <v>0.08</v>
      </c>
      <c r="J314" s="8" t="s">
        <v>4862</v>
      </c>
      <c r="K314" s="182">
        <v>38409</v>
      </c>
      <c r="L314" s="8" t="s">
        <v>4964</v>
      </c>
      <c r="M314" s="8" t="s">
        <v>2814</v>
      </c>
      <c r="N314" s="367"/>
      <c r="O314" s="8"/>
      <c r="P314" s="4" t="str">
        <f>VLOOKUP($B314,'D7 - NDB Impacted SPRF''s'!$E$16:$O$9929,9,FALSE)</f>
        <v>N</v>
      </c>
      <c r="Q314" s="4" t="str">
        <f>VLOOKUP($B314,'D7 - NDB Impacted SPRF''s'!$E$16:$O$9929,10,FALSE)</f>
        <v>N</v>
      </c>
      <c r="R314" s="4" t="str">
        <f>VLOOKUP($B314,'D7 - NDB Impacted SPRF''s'!$E$16:$O$9929,11,FALSE)</f>
        <v>N</v>
      </c>
      <c r="S314" s="8"/>
      <c r="T314" s="310"/>
      <c r="U314" s="310"/>
      <c r="V314" s="4"/>
      <c r="W314" s="4"/>
      <c r="X314" s="4"/>
      <c r="Y314" s="4"/>
      <c r="Z314" s="4"/>
      <c r="AA314" s="4"/>
      <c r="AB314" s="380" t="str">
        <f>VLOOKUP($B314,'D7 - NDB Impacted SPRF''s'!$E$16:$O$9929,4,FALSE)</f>
        <v>Completed</v>
      </c>
      <c r="AC314" s="380" t="str">
        <f>VLOOKUP($B314,'D7 - NDB Impacted SPRF''s'!$E$16:$O$9929,3,FALSE)</f>
        <v>UnitedHealthcare Medicare &amp; Retirement</v>
      </c>
      <c r="AD314" s="380" t="str">
        <f>VLOOKUP($B314,'D7 - NDB Impacted SPRF''s'!$E$16:$O$9929,5,FALSE)</f>
        <v>XXNon-COG</v>
      </c>
      <c r="AE314" s="380" t="str">
        <f>VLOOKUP($B314,'D7 - NDB Impacted SPRF''s'!$E$16:$O$9929,7,FALSE)</f>
        <v>Lisa Graikowski</v>
      </c>
      <c r="AF314" s="380" t="str">
        <f>VLOOKUP($B314,'D7 - NDB Impacted SPRF''s'!$E$16:$O$9929,6,FALSE)</f>
        <v>Susan Gruwell</v>
      </c>
      <c r="AG314" s="282"/>
      <c r="AH314" s="311" t="e">
        <f>INDEX('D5 - Gatekeeper - Projects'!$A$4:$AF$1010,$AM314, 17)</f>
        <v>#N/A</v>
      </c>
      <c r="AI314" s="8"/>
      <c r="AJ314" s="57"/>
      <c r="AK314" s="105"/>
      <c r="AL314" s="216"/>
      <c r="AM314" s="6" t="e">
        <f>MATCH(D314,'D5 - Gatekeeper - Projects'!$C$4:$C$1010,0)</f>
        <v>#N/A</v>
      </c>
      <c r="AN314" s="6" t="b">
        <f t="shared" si="30"/>
        <v>1</v>
      </c>
      <c r="AO314" s="6" t="str">
        <f t="shared" si="33"/>
        <v>OK</v>
      </c>
      <c r="AQ314" s="6" t="e">
        <f>MATCH($D314,'D4 - Provider Council Unsched'!$C$11:$C$234,0)</f>
        <v>#N/A</v>
      </c>
      <c r="AR314" s="6" t="b">
        <f t="shared" si="31"/>
        <v>1</v>
      </c>
      <c r="AS314" s="6" t="str">
        <f t="shared" si="35"/>
        <v>OK</v>
      </c>
      <c r="AU314" s="202"/>
      <c r="AV314" s="262"/>
      <c r="AW314" s="274"/>
    </row>
    <row r="315" spans="1:49" s="13" customFormat="1" ht="33.75" x14ac:dyDescent="0.2">
      <c r="A315" s="14">
        <v>291</v>
      </c>
      <c r="B315" s="14">
        <v>400000652</v>
      </c>
      <c r="C315" s="8" t="s">
        <v>7133</v>
      </c>
      <c r="D315" s="4" t="str">
        <f t="shared" si="32"/>
        <v>400000652CC04</v>
      </c>
      <c r="E315" s="309" t="str">
        <f>VLOOKUP($B315,'D7 - NDB Impacted SPRF''s'!$E$6:$O$9929,2,FALSE)</f>
        <v>Limitation of Reimbursement for OutPatient Lab Svc</v>
      </c>
      <c r="F315" s="8" t="s">
        <v>5096</v>
      </c>
      <c r="G315" s="8" t="s">
        <v>4758</v>
      </c>
      <c r="H315" s="8" t="s">
        <v>4246</v>
      </c>
      <c r="I315" s="20">
        <v>3.3</v>
      </c>
      <c r="J315" s="8" t="s">
        <v>4862</v>
      </c>
      <c r="K315" s="182">
        <v>38423</v>
      </c>
      <c r="L315" s="8" t="s">
        <v>4964</v>
      </c>
      <c r="M315" s="8" t="s">
        <v>2814</v>
      </c>
      <c r="N315" s="367"/>
      <c r="O315" s="8"/>
      <c r="P315" s="4" t="str">
        <f>VLOOKUP($B315,'D7 - NDB Impacted SPRF''s'!$E$16:$O$9929,9,FALSE)</f>
        <v>Y</v>
      </c>
      <c r="Q315" s="4" t="str">
        <f>VLOOKUP($B315,'D7 - NDB Impacted SPRF''s'!$E$16:$O$9929,10,FALSE)</f>
        <v>N</v>
      </c>
      <c r="R315" s="4" t="str">
        <f>VLOOKUP($B315,'D7 - NDB Impacted SPRF''s'!$E$16:$O$9929,11,FALSE)</f>
        <v>N</v>
      </c>
      <c r="S315" s="8"/>
      <c r="T315" s="310"/>
      <c r="U315" s="310"/>
      <c r="V315" s="4"/>
      <c r="W315" s="4"/>
      <c r="X315" s="4"/>
      <c r="Y315" s="4"/>
      <c r="Z315" s="4"/>
      <c r="AA315" s="4"/>
      <c r="AB315" s="380" t="str">
        <f>VLOOKUP($B315,'D7 - NDB Impacted SPRF''s'!$E$16:$O$9929,4,FALSE)</f>
        <v>Completed</v>
      </c>
      <c r="AC315" s="380" t="str">
        <f>VLOOKUP($B315,'D7 - NDB Impacted SPRF''s'!$E$16:$O$9929,3,FALSE)</f>
        <v>UnitedHealthcare Employer &amp; Individual</v>
      </c>
      <c r="AD315" s="380" t="str">
        <f>VLOOKUP($B315,'D7 - NDB Impacted SPRF''s'!$E$16:$O$9929,5,FALSE)</f>
        <v>Operations Group</v>
      </c>
      <c r="AE315" s="380" t="str">
        <f>VLOOKUP($B315,'D7 - NDB Impacted SPRF''s'!$E$16:$O$9929,7,FALSE)</f>
        <v>James Bogdan</v>
      </c>
      <c r="AF315" s="380" t="str">
        <f>VLOOKUP($B315,'D7 - NDB Impacted SPRF''s'!$E$16:$O$9929,6,FALSE)</f>
        <v>Nancy Turner</v>
      </c>
      <c r="AG315" s="282"/>
      <c r="AH315" s="311" t="e">
        <f>INDEX('D5 - Gatekeeper - Projects'!$A$4:$AF$1010,$AM315, 17)</f>
        <v>#N/A</v>
      </c>
      <c r="AI315" s="8"/>
      <c r="AJ315" s="57"/>
      <c r="AK315" s="105"/>
      <c r="AL315" s="216"/>
      <c r="AM315" s="6" t="e">
        <f>MATCH(D315,'D5 - Gatekeeper - Projects'!$C$4:$C$1010,0)</f>
        <v>#N/A</v>
      </c>
      <c r="AN315" s="6" t="b">
        <f t="shared" si="30"/>
        <v>1</v>
      </c>
      <c r="AO315" s="6" t="str">
        <f t="shared" si="33"/>
        <v>OK</v>
      </c>
      <c r="AQ315" s="6" t="e">
        <f>MATCH($D315,'D4 - Provider Council Unsched'!$C$11:$C$234,0)</f>
        <v>#N/A</v>
      </c>
      <c r="AR315" s="6" t="b">
        <f t="shared" si="31"/>
        <v>1</v>
      </c>
      <c r="AS315" s="6" t="str">
        <f t="shared" si="35"/>
        <v>OK</v>
      </c>
      <c r="AU315" s="202"/>
      <c r="AV315" s="262"/>
      <c r="AW315" s="274"/>
    </row>
    <row r="316" spans="1:49" s="13" customFormat="1" ht="33.75" x14ac:dyDescent="0.2">
      <c r="A316" s="14">
        <v>292</v>
      </c>
      <c r="B316" s="14">
        <v>400002196</v>
      </c>
      <c r="C316" s="8" t="s">
        <v>5197</v>
      </c>
      <c r="D316" s="4" t="str">
        <f t="shared" si="32"/>
        <v>400002196R1</v>
      </c>
      <c r="E316" s="309" t="str">
        <f>VLOOKUP($B316,'D7 - NDB Impacted SPRF''s'!$E$6:$O$9929,2,FALSE)</f>
        <v>Claim Status - Search by Physician</v>
      </c>
      <c r="F316" s="8"/>
      <c r="G316" s="8" t="s">
        <v>4758</v>
      </c>
      <c r="H316" s="8" t="s">
        <v>4246</v>
      </c>
      <c r="I316" s="20">
        <v>0.34</v>
      </c>
      <c r="J316" s="8" t="s">
        <v>4862</v>
      </c>
      <c r="K316" s="182">
        <v>38423</v>
      </c>
      <c r="L316" s="8" t="s">
        <v>4964</v>
      </c>
      <c r="M316" s="8" t="s">
        <v>2814</v>
      </c>
      <c r="N316" s="367"/>
      <c r="O316" s="8"/>
      <c r="P316" s="4" t="str">
        <f>VLOOKUP($B316,'D7 - NDB Impacted SPRF''s'!$E$16:$O$9929,9,FALSE)</f>
        <v>Y</v>
      </c>
      <c r="Q316" s="4" t="str">
        <f>VLOOKUP($B316,'D7 - NDB Impacted SPRF''s'!$E$16:$O$9929,10,FALSE)</f>
        <v>N</v>
      </c>
      <c r="R316" s="4" t="str">
        <f>VLOOKUP($B316,'D7 - NDB Impacted SPRF''s'!$E$16:$O$9929,11,FALSE)</f>
        <v>N</v>
      </c>
      <c r="S316" s="8"/>
      <c r="T316" s="310"/>
      <c r="U316" s="310"/>
      <c r="V316" s="4"/>
      <c r="W316" s="4"/>
      <c r="X316" s="4"/>
      <c r="Y316" s="4"/>
      <c r="Z316" s="4"/>
      <c r="AA316" s="4"/>
      <c r="AB316" s="380" t="str">
        <f>VLOOKUP($B316,'D7 - NDB Impacted SPRF''s'!$E$16:$O$9929,4,FALSE)</f>
        <v>Completed</v>
      </c>
      <c r="AC316" s="380" t="str">
        <f>VLOOKUP($B316,'D7 - NDB Impacted SPRF''s'!$E$16:$O$9929,3,FALSE)</f>
        <v>UnitedHealthcare Employer &amp; Individual</v>
      </c>
      <c r="AD316" s="380" t="str">
        <f>VLOOKUP($B316,'D7 - NDB Impacted SPRF''s'!$E$16:$O$9929,5,FALSE)</f>
        <v>Operations Group</v>
      </c>
      <c r="AE316" s="380" t="str">
        <f>VLOOKUP($B316,'D7 - NDB Impacted SPRF''s'!$E$16:$O$9929,7,FALSE)</f>
        <v>Dirk McMahon</v>
      </c>
      <c r="AF316" s="380" t="str">
        <f>VLOOKUP($B316,'D7 - NDB Impacted SPRF''s'!$E$16:$O$9929,6,FALSE)</f>
        <v>Daniel Peters</v>
      </c>
      <c r="AG316" s="282"/>
      <c r="AH316" s="311" t="e">
        <f>INDEX('D5 - Gatekeeper - Projects'!$A$4:$AF$1010,$AM316, 17)</f>
        <v>#N/A</v>
      </c>
      <c r="AI316" s="8"/>
      <c r="AJ316" s="57"/>
      <c r="AK316" s="105"/>
      <c r="AL316" s="216"/>
      <c r="AM316" s="6" t="e">
        <f>MATCH(D316,'D5 - Gatekeeper - Projects'!$C$4:$C$1010,0)</f>
        <v>#N/A</v>
      </c>
      <c r="AN316" s="6" t="b">
        <f t="shared" si="30"/>
        <v>1</v>
      </c>
      <c r="AO316" s="6" t="str">
        <f t="shared" si="33"/>
        <v>OK</v>
      </c>
      <c r="AQ316" s="6" t="e">
        <f>MATCH($D316,'D4 - Provider Council Unsched'!$C$11:$C$234,0)</f>
        <v>#N/A</v>
      </c>
      <c r="AR316" s="6" t="b">
        <f t="shared" si="31"/>
        <v>1</v>
      </c>
      <c r="AS316" s="6" t="str">
        <f t="shared" si="35"/>
        <v>OK</v>
      </c>
      <c r="AU316" s="202"/>
      <c r="AV316" s="262"/>
      <c r="AW316" s="274"/>
    </row>
    <row r="317" spans="1:49" s="13" customFormat="1" ht="33.75" x14ac:dyDescent="0.2">
      <c r="A317" s="14">
        <v>293</v>
      </c>
      <c r="B317" s="14">
        <v>400003019</v>
      </c>
      <c r="C317" s="8" t="s">
        <v>6725</v>
      </c>
      <c r="D317" s="4" t="str">
        <f t="shared" si="32"/>
        <v>400003019CC01</v>
      </c>
      <c r="E317" s="309" t="str">
        <f>VLOOKUP($B317,'D7 - NDB Impacted SPRF''s'!$E$6:$O$9929,2,FALSE)</f>
        <v>Extraterritorial Mandates</v>
      </c>
      <c r="F317" s="8"/>
      <c r="G317" s="8" t="s">
        <v>4758</v>
      </c>
      <c r="H317" s="8" t="s">
        <v>4246</v>
      </c>
      <c r="I317" s="20">
        <v>4.5999999999999996</v>
      </c>
      <c r="J317" s="8" t="s">
        <v>4862</v>
      </c>
      <c r="K317" s="182">
        <v>38423</v>
      </c>
      <c r="L317" s="8" t="s">
        <v>4964</v>
      </c>
      <c r="M317" s="8" t="s">
        <v>2814</v>
      </c>
      <c r="N317" s="367"/>
      <c r="O317" s="8"/>
      <c r="P317" s="4" t="str">
        <f>VLOOKUP($B317,'D7 - NDB Impacted SPRF''s'!$E$16:$O$9929,9,FALSE)</f>
        <v>Y</v>
      </c>
      <c r="Q317" s="4" t="str">
        <f>VLOOKUP($B317,'D7 - NDB Impacted SPRF''s'!$E$16:$O$9929,10,FALSE)</f>
        <v>N</v>
      </c>
      <c r="R317" s="4" t="str">
        <f>VLOOKUP($B317,'D7 - NDB Impacted SPRF''s'!$E$16:$O$9929,11,FALSE)</f>
        <v>N</v>
      </c>
      <c r="S317" s="8"/>
      <c r="T317" s="310"/>
      <c r="U317" s="310"/>
      <c r="V317" s="4"/>
      <c r="W317" s="4"/>
      <c r="X317" s="4"/>
      <c r="Y317" s="4"/>
      <c r="Z317" s="4"/>
      <c r="AA317" s="4"/>
      <c r="AB317" s="380" t="str">
        <f>VLOOKUP($B317,'D7 - NDB Impacted SPRF''s'!$E$16:$O$9929,4,FALSE)</f>
        <v>Completed</v>
      </c>
      <c r="AC317" s="380" t="str">
        <f>VLOOKUP($B317,'D7 - NDB Impacted SPRF''s'!$E$16:$O$9929,3,FALSE)</f>
        <v>UnitedHealthcare Employer &amp; Individual</v>
      </c>
      <c r="AD317" s="380" t="str">
        <f>VLOOKUP($B317,'D7 - NDB Impacted SPRF''s'!$E$16:$O$9929,5,FALSE)</f>
        <v>Operations Group</v>
      </c>
      <c r="AE317" s="380" t="str">
        <f>VLOOKUP($B317,'D7 - NDB Impacted SPRF''s'!$E$16:$O$9929,7,FALSE)</f>
        <v xml:space="preserve">Legal and Compliance </v>
      </c>
      <c r="AF317" s="380" t="str">
        <f>VLOOKUP($B317,'D7 - NDB Impacted SPRF''s'!$E$16:$O$9929,6,FALSE)</f>
        <v>STANISLAV MARY</v>
      </c>
      <c r="AG317" s="282"/>
      <c r="AH317" s="311" t="e">
        <f>INDEX('D5 - Gatekeeper - Projects'!$A$4:$AF$1010,$AM317, 17)</f>
        <v>#N/A</v>
      </c>
      <c r="AI317" s="8"/>
      <c r="AJ317" s="57"/>
      <c r="AK317" s="105"/>
      <c r="AL317" s="216"/>
      <c r="AM317" s="6" t="e">
        <f>MATCH(D317,'D5 - Gatekeeper - Projects'!$C$4:$C$1010,0)</f>
        <v>#N/A</v>
      </c>
      <c r="AN317" s="6" t="b">
        <f t="shared" si="30"/>
        <v>1</v>
      </c>
      <c r="AO317" s="6" t="str">
        <f t="shared" si="33"/>
        <v>OK</v>
      </c>
      <c r="AQ317" s="6" t="e">
        <f>MATCH($D317,'D4 - Provider Council Unsched'!$C$11:$C$234,0)</f>
        <v>#N/A</v>
      </c>
      <c r="AR317" s="6" t="b">
        <f t="shared" si="31"/>
        <v>1</v>
      </c>
      <c r="AS317" s="6" t="str">
        <f t="shared" si="35"/>
        <v>OK</v>
      </c>
      <c r="AU317" s="202"/>
      <c r="AV317" s="262"/>
      <c r="AW317" s="274"/>
    </row>
    <row r="318" spans="1:49" s="13" customFormat="1" ht="33.75" x14ac:dyDescent="0.2">
      <c r="A318" s="14">
        <v>294</v>
      </c>
      <c r="B318" s="14">
        <v>400003019</v>
      </c>
      <c r="C318" s="8" t="s">
        <v>5197</v>
      </c>
      <c r="D318" s="4" t="str">
        <f t="shared" si="32"/>
        <v>400003019R1</v>
      </c>
      <c r="E318" s="309" t="str">
        <f>VLOOKUP($B318,'D7 - NDB Impacted SPRF''s'!$E$6:$O$9929,2,FALSE)</f>
        <v>Extraterritorial Mandates</v>
      </c>
      <c r="F318" s="8"/>
      <c r="G318" s="8" t="s">
        <v>4758</v>
      </c>
      <c r="H318" s="8" t="s">
        <v>4246</v>
      </c>
      <c r="I318" s="20">
        <v>3.6</v>
      </c>
      <c r="J318" s="8" t="s">
        <v>4862</v>
      </c>
      <c r="K318" s="182">
        <v>38423</v>
      </c>
      <c r="L318" s="8" t="s">
        <v>4964</v>
      </c>
      <c r="M318" s="8" t="s">
        <v>2814</v>
      </c>
      <c r="N318" s="367"/>
      <c r="O318" s="8"/>
      <c r="P318" s="4" t="str">
        <f>VLOOKUP($B318,'D7 - NDB Impacted SPRF''s'!$E$16:$O$9929,9,FALSE)</f>
        <v>Y</v>
      </c>
      <c r="Q318" s="4" t="str">
        <f>VLOOKUP($B318,'D7 - NDB Impacted SPRF''s'!$E$16:$O$9929,10,FALSE)</f>
        <v>N</v>
      </c>
      <c r="R318" s="4" t="str">
        <f>VLOOKUP($B318,'D7 - NDB Impacted SPRF''s'!$E$16:$O$9929,11,FALSE)</f>
        <v>N</v>
      </c>
      <c r="S318" s="8"/>
      <c r="T318" s="310"/>
      <c r="U318" s="310"/>
      <c r="V318" s="4"/>
      <c r="W318" s="4"/>
      <c r="X318" s="4"/>
      <c r="Y318" s="4"/>
      <c r="Z318" s="4"/>
      <c r="AA318" s="4"/>
      <c r="AB318" s="380" t="str">
        <f>VLOOKUP($B318,'D7 - NDB Impacted SPRF''s'!$E$16:$O$9929,4,FALSE)</f>
        <v>Completed</v>
      </c>
      <c r="AC318" s="380" t="str">
        <f>VLOOKUP($B318,'D7 - NDB Impacted SPRF''s'!$E$16:$O$9929,3,FALSE)</f>
        <v>UnitedHealthcare Employer &amp; Individual</v>
      </c>
      <c r="AD318" s="380" t="str">
        <f>VLOOKUP($B318,'D7 - NDB Impacted SPRF''s'!$E$16:$O$9929,5,FALSE)</f>
        <v>Operations Group</v>
      </c>
      <c r="AE318" s="380" t="str">
        <f>VLOOKUP($B318,'D7 - NDB Impacted SPRF''s'!$E$16:$O$9929,7,FALSE)</f>
        <v xml:space="preserve">Legal and Compliance </v>
      </c>
      <c r="AF318" s="380" t="str">
        <f>VLOOKUP($B318,'D7 - NDB Impacted SPRF''s'!$E$16:$O$9929,6,FALSE)</f>
        <v>STANISLAV MARY</v>
      </c>
      <c r="AG318" s="282"/>
      <c r="AH318" s="311" t="e">
        <f>INDEX('D5 - Gatekeeper - Projects'!$A$4:$AF$1010,$AM318, 17)</f>
        <v>#N/A</v>
      </c>
      <c r="AI318" s="8"/>
      <c r="AJ318" s="57"/>
      <c r="AK318" s="105"/>
      <c r="AL318" s="216"/>
      <c r="AM318" s="6" t="e">
        <f>MATCH(D318,'D5 - Gatekeeper - Projects'!$C$4:$C$1010,0)</f>
        <v>#N/A</v>
      </c>
      <c r="AN318" s="6" t="b">
        <f t="shared" si="30"/>
        <v>1</v>
      </c>
      <c r="AO318" s="6" t="str">
        <f t="shared" si="33"/>
        <v>OK</v>
      </c>
      <c r="AQ318" s="6" t="e">
        <f>MATCH($D318,'D4 - Provider Council Unsched'!$C$11:$C$234,0)</f>
        <v>#N/A</v>
      </c>
      <c r="AR318" s="6" t="b">
        <f t="shared" si="31"/>
        <v>1</v>
      </c>
      <c r="AS318" s="6" t="str">
        <f t="shared" si="35"/>
        <v>OK</v>
      </c>
      <c r="AU318" s="202"/>
      <c r="AV318" s="262"/>
      <c r="AW318" s="274"/>
    </row>
    <row r="319" spans="1:49" s="13" customFormat="1" ht="33.75" x14ac:dyDescent="0.2">
      <c r="A319" s="14">
        <v>295</v>
      </c>
      <c r="B319" s="14">
        <v>400003298</v>
      </c>
      <c r="C319" s="8" t="s">
        <v>5197</v>
      </c>
      <c r="D319" s="4" t="str">
        <f t="shared" si="32"/>
        <v>400003298R1</v>
      </c>
      <c r="E319" s="309" t="str">
        <f>VLOOKUP($B319,'D7 - NDB Impacted SPRF''s'!$E$6:$O$9929,2,FALSE)</f>
        <v>Provider Repository Update for ME3400 Encounters</v>
      </c>
      <c r="F319" s="8"/>
      <c r="G319" s="8" t="s">
        <v>4758</v>
      </c>
      <c r="H319" s="8" t="s">
        <v>4246</v>
      </c>
      <c r="I319" s="20">
        <v>0.9</v>
      </c>
      <c r="J319" s="8" t="s">
        <v>4862</v>
      </c>
      <c r="K319" s="182">
        <v>38423</v>
      </c>
      <c r="L319" s="8" t="s">
        <v>4964</v>
      </c>
      <c r="M319" s="8" t="s">
        <v>2814</v>
      </c>
      <c r="N319" s="367"/>
      <c r="O319" s="8"/>
      <c r="P319" s="4" t="str">
        <f>VLOOKUP($B319,'D7 - NDB Impacted SPRF''s'!$E$16:$O$9929,9,FALSE)</f>
        <v>N</v>
      </c>
      <c r="Q319" s="4" t="str">
        <f>VLOOKUP($B319,'D7 - NDB Impacted SPRF''s'!$E$16:$O$9929,10,FALSE)</f>
        <v>N</v>
      </c>
      <c r="R319" s="4" t="str">
        <f>VLOOKUP($B319,'D7 - NDB Impacted SPRF''s'!$E$16:$O$9929,11,FALSE)</f>
        <v>N</v>
      </c>
      <c r="S319" s="8"/>
      <c r="T319" s="310"/>
      <c r="U319" s="310"/>
      <c r="V319" s="4"/>
      <c r="W319" s="4"/>
      <c r="X319" s="4"/>
      <c r="Y319" s="4"/>
      <c r="Z319" s="4"/>
      <c r="AA319" s="4"/>
      <c r="AB319" s="380" t="str">
        <f>VLOOKUP($B319,'D7 - NDB Impacted SPRF''s'!$E$16:$O$9929,4,FALSE)</f>
        <v>Completed</v>
      </c>
      <c r="AC319" s="380" t="str">
        <f>VLOOKUP($B319,'D7 - NDB Impacted SPRF''s'!$E$16:$O$9929,3,FALSE)</f>
        <v>UnitedHealthcare Medicare &amp; Retirement</v>
      </c>
      <c r="AD319" s="380" t="str">
        <f>VLOOKUP($B319,'D7 - NDB Impacted SPRF''s'!$E$16:$O$9929,5,FALSE)</f>
        <v>XXNon-COG</v>
      </c>
      <c r="AE319" s="380" t="str">
        <f>VLOOKUP($B319,'D7 - NDB Impacted SPRF''s'!$E$16:$O$9929,7,FALSE)</f>
        <v>Kelly Gilbertson</v>
      </c>
      <c r="AF319" s="380" t="str">
        <f>VLOOKUP($B319,'D7 - NDB Impacted SPRF''s'!$E$16:$O$9929,6,FALSE)</f>
        <v>Susan Gruwell</v>
      </c>
      <c r="AG319" s="282"/>
      <c r="AH319" s="311" t="e">
        <f>INDEX('D5 - Gatekeeper - Projects'!$A$4:$AF$1010,$AM319, 17)</f>
        <v>#N/A</v>
      </c>
      <c r="AI319" s="8"/>
      <c r="AJ319" s="57"/>
      <c r="AK319" s="105"/>
      <c r="AL319" s="216"/>
      <c r="AM319" s="6" t="e">
        <f>MATCH(D319,'D5 - Gatekeeper - Projects'!$C$4:$C$1010,0)</f>
        <v>#N/A</v>
      </c>
      <c r="AN319" s="6" t="b">
        <f t="shared" si="30"/>
        <v>1</v>
      </c>
      <c r="AO319" s="6" t="str">
        <f t="shared" si="33"/>
        <v>OK</v>
      </c>
      <c r="AQ319" s="6" t="e">
        <f>MATCH($D319,'D4 - Provider Council Unsched'!$C$11:$C$234,0)</f>
        <v>#N/A</v>
      </c>
      <c r="AR319" s="6" t="b">
        <f t="shared" si="31"/>
        <v>1</v>
      </c>
      <c r="AS319" s="6" t="str">
        <f t="shared" si="35"/>
        <v>OK</v>
      </c>
      <c r="AU319" s="202"/>
      <c r="AV319" s="262"/>
      <c r="AW319" s="274"/>
    </row>
    <row r="320" spans="1:49" s="13" customFormat="1" ht="22.5" x14ac:dyDescent="0.2">
      <c r="A320" s="14">
        <v>296</v>
      </c>
      <c r="B320" s="14">
        <v>400003710</v>
      </c>
      <c r="C320" s="8" t="s">
        <v>6724</v>
      </c>
      <c r="D320" s="4" t="str">
        <f t="shared" si="32"/>
        <v>400003710CC07</v>
      </c>
      <c r="E320" s="309" t="str">
        <f>VLOOKUP($B320,'D7 - NDB Impacted SPRF''s'!$E$6:$O$9929,2,FALSE)</f>
        <v>PIT (no) 2004 AA Dedicated Resources</v>
      </c>
      <c r="F320" s="8"/>
      <c r="G320" s="8" t="s">
        <v>4758</v>
      </c>
      <c r="H320" s="8" t="s">
        <v>4246</v>
      </c>
      <c r="I320" s="20">
        <v>1.1000000000000001</v>
      </c>
      <c r="J320" s="8" t="s">
        <v>4862</v>
      </c>
      <c r="K320" s="182">
        <v>38423</v>
      </c>
      <c r="L320" s="8" t="s">
        <v>4964</v>
      </c>
      <c r="M320" s="8" t="s">
        <v>2814</v>
      </c>
      <c r="N320" s="367"/>
      <c r="O320" s="8"/>
      <c r="P320" s="4" t="str">
        <f>VLOOKUP($B320,'D7 - NDB Impacted SPRF''s'!$E$16:$O$9929,9,FALSE)</f>
        <v>Y</v>
      </c>
      <c r="Q320" s="4" t="str">
        <f>VLOOKUP($B320,'D7 - NDB Impacted SPRF''s'!$E$16:$O$9929,10,FALSE)</f>
        <v>N</v>
      </c>
      <c r="R320" s="4" t="str">
        <f>VLOOKUP($B320,'D7 - NDB Impacted SPRF''s'!$E$16:$O$9929,11,FALSE)</f>
        <v>N</v>
      </c>
      <c r="S320" s="8"/>
      <c r="T320" s="310"/>
      <c r="U320" s="310"/>
      <c r="V320" s="4"/>
      <c r="W320" s="4"/>
      <c r="X320" s="4"/>
      <c r="Y320" s="4"/>
      <c r="Z320" s="4"/>
      <c r="AA320" s="4"/>
      <c r="AB320" s="380" t="str">
        <f>VLOOKUP($B320,'D7 - NDB Impacted SPRF''s'!$E$16:$O$9929,4,FALSE)</f>
        <v>Completed</v>
      </c>
      <c r="AC320" s="380" t="str">
        <f>VLOOKUP($B320,'D7 - NDB Impacted SPRF''s'!$E$16:$O$9929,3,FALSE)</f>
        <v>Uniprise</v>
      </c>
      <c r="AD320" s="380" t="str">
        <f>VLOOKUP($B320,'D7 - NDB Impacted SPRF''s'!$E$16:$O$9929,5,FALSE)</f>
        <v>Uniprise Operations - Capital Projects</v>
      </c>
      <c r="AE320" s="380" t="str">
        <f>VLOOKUP($B320,'D7 - NDB Impacted SPRF''s'!$E$16:$O$9929,7,FALSE)</f>
        <v>Thomas O'Brien</v>
      </c>
      <c r="AF320" s="380" t="str">
        <f>VLOOKUP($B320,'D7 - NDB Impacted SPRF''s'!$E$16:$O$9929,6,FALSE)</f>
        <v>Mary Leszuk</v>
      </c>
      <c r="AG320" s="282"/>
      <c r="AH320" s="311" t="e">
        <f>INDEX('D5 - Gatekeeper - Projects'!$A$4:$AF$1010,$AM320, 17)</f>
        <v>#N/A</v>
      </c>
      <c r="AI320" s="8"/>
      <c r="AJ320" s="57"/>
      <c r="AK320" s="105"/>
      <c r="AL320" s="216"/>
      <c r="AM320" s="6" t="e">
        <f>MATCH(D320,'D5 - Gatekeeper - Projects'!$C$4:$C$1010,0)</f>
        <v>#N/A</v>
      </c>
      <c r="AN320" s="6" t="b">
        <f t="shared" si="30"/>
        <v>1</v>
      </c>
      <c r="AO320" s="6" t="str">
        <f t="shared" si="33"/>
        <v>OK</v>
      </c>
      <c r="AQ320" s="6" t="e">
        <f>MATCH($D320,'D4 - Provider Council Unsched'!$C$11:$C$234,0)</f>
        <v>#N/A</v>
      </c>
      <c r="AR320" s="6" t="b">
        <f t="shared" si="31"/>
        <v>1</v>
      </c>
      <c r="AS320" s="6" t="str">
        <f t="shared" si="35"/>
        <v>OK</v>
      </c>
      <c r="AU320" s="202"/>
      <c r="AV320" s="262"/>
      <c r="AW320" s="274"/>
    </row>
    <row r="321" spans="1:49" s="13" customFormat="1" ht="11.25" customHeight="1" x14ac:dyDescent="0.2">
      <c r="A321" s="14">
        <v>297</v>
      </c>
      <c r="B321" s="14">
        <v>400003893</v>
      </c>
      <c r="C321" s="8" t="s">
        <v>5197</v>
      </c>
      <c r="D321" s="4" t="str">
        <f t="shared" si="32"/>
        <v>400003893R1</v>
      </c>
      <c r="E321" s="309" t="str">
        <f>VLOOKUP($B321,'D7 - NDB Impacted SPRF''s'!$E$6:$O$9929,2,FALSE)</f>
        <v>UBH OON Tiered UCR</v>
      </c>
      <c r="F321" s="8"/>
      <c r="G321" s="8" t="s">
        <v>4758</v>
      </c>
      <c r="H321" s="8" t="s">
        <v>4246</v>
      </c>
      <c r="I321" s="20">
        <v>4</v>
      </c>
      <c r="J321" s="8" t="s">
        <v>4862</v>
      </c>
      <c r="K321" s="182">
        <v>38423</v>
      </c>
      <c r="L321" s="8" t="s">
        <v>4964</v>
      </c>
      <c r="M321" s="8" t="s">
        <v>2814</v>
      </c>
      <c r="N321" s="367"/>
      <c r="O321" s="8"/>
      <c r="P321" s="4" t="str">
        <f>VLOOKUP($B321,'D7 - NDB Impacted SPRF''s'!$E$16:$O$9929,9,FALSE)</f>
        <v>Y</v>
      </c>
      <c r="Q321" s="4" t="str">
        <f>VLOOKUP($B321,'D7 - NDB Impacted SPRF''s'!$E$16:$O$9929,10,FALSE)</f>
        <v>N</v>
      </c>
      <c r="R321" s="4" t="str">
        <f>VLOOKUP($B321,'D7 - NDB Impacted SPRF''s'!$E$16:$O$9929,11,FALSE)</f>
        <v>N</v>
      </c>
      <c r="S321" s="8"/>
      <c r="T321" s="310"/>
      <c r="U321" s="310"/>
      <c r="V321" s="4"/>
      <c r="W321" s="4"/>
      <c r="X321" s="4"/>
      <c r="Y321" s="4"/>
      <c r="Z321" s="4"/>
      <c r="AA321" s="4"/>
      <c r="AB321" s="380" t="str">
        <f>VLOOKUP($B321,'D7 - NDB Impacted SPRF''s'!$E$16:$O$9929,4,FALSE)</f>
        <v>Completed</v>
      </c>
      <c r="AC321" s="380" t="str">
        <f>VLOOKUP($B321,'D7 - NDB Impacted SPRF''s'!$E$16:$O$9929,3,FALSE)</f>
        <v>OptumHealth</v>
      </c>
      <c r="AD321" s="380" t="str">
        <f>VLOOKUP($B321,'D7 - NDB Impacted SPRF''s'!$E$16:$O$9929,5,FALSE)</f>
        <v>UBH</v>
      </c>
      <c r="AE321" s="380" t="str">
        <f>VLOOKUP($B321,'D7 - NDB Impacted SPRF''s'!$E$16:$O$9929,7,FALSE)</f>
        <v>Dave Chenok</v>
      </c>
      <c r="AF321" s="380" t="str">
        <f>VLOOKUP($B321,'D7 - NDB Impacted SPRF''s'!$E$16:$O$9929,6,FALSE)</f>
        <v>Mark Leone</v>
      </c>
      <c r="AG321" s="282"/>
      <c r="AH321" s="311" t="e">
        <f>INDEX('D5 - Gatekeeper - Projects'!$A$4:$AF$1010,$AM321, 17)</f>
        <v>#N/A</v>
      </c>
      <c r="AI321" s="8"/>
      <c r="AJ321" s="57"/>
      <c r="AK321" s="105"/>
      <c r="AL321" s="216"/>
      <c r="AM321" s="6" t="e">
        <f>MATCH(D321,'D5 - Gatekeeper - Projects'!$C$4:$C$1010,0)</f>
        <v>#N/A</v>
      </c>
      <c r="AN321" s="6" t="b">
        <f t="shared" si="30"/>
        <v>1</v>
      </c>
      <c r="AO321" s="6" t="str">
        <f t="shared" si="33"/>
        <v>OK</v>
      </c>
      <c r="AQ321" s="6" t="e">
        <f>MATCH($D321,'D4 - Provider Council Unsched'!$C$11:$C$234,0)</f>
        <v>#N/A</v>
      </c>
      <c r="AR321" s="6" t="b">
        <f t="shared" si="31"/>
        <v>1</v>
      </c>
      <c r="AS321" s="6" t="str">
        <f t="shared" si="35"/>
        <v>OK</v>
      </c>
      <c r="AU321" s="202"/>
      <c r="AV321" s="262"/>
      <c r="AW321" s="274"/>
    </row>
    <row r="322" spans="1:49" s="13" customFormat="1" x14ac:dyDescent="0.2">
      <c r="A322" s="14">
        <v>298</v>
      </c>
      <c r="B322" s="14">
        <v>400003893</v>
      </c>
      <c r="C322" s="8" t="s">
        <v>3793</v>
      </c>
      <c r="D322" s="4" t="str">
        <f t="shared" si="32"/>
        <v>400003893U</v>
      </c>
      <c r="E322" s="309" t="str">
        <f>VLOOKUP($B322,'D7 - NDB Impacted SPRF''s'!$E$6:$O$9929,2,FALSE)</f>
        <v>UBH OON Tiered UCR</v>
      </c>
      <c r="F322" s="8"/>
      <c r="G322" s="8" t="s">
        <v>4758</v>
      </c>
      <c r="H322" s="8" t="s">
        <v>4246</v>
      </c>
      <c r="I322" s="20">
        <v>0.52</v>
      </c>
      <c r="J322" s="8" t="s">
        <v>4862</v>
      </c>
      <c r="K322" s="182">
        <v>38423</v>
      </c>
      <c r="L322" s="8" t="s">
        <v>4964</v>
      </c>
      <c r="M322" s="8" t="s">
        <v>2814</v>
      </c>
      <c r="N322" s="367"/>
      <c r="O322" s="8"/>
      <c r="P322" s="4" t="str">
        <f>VLOOKUP($B322,'D7 - NDB Impacted SPRF''s'!$E$16:$O$9929,9,FALSE)</f>
        <v>Y</v>
      </c>
      <c r="Q322" s="4" t="str">
        <f>VLOOKUP($B322,'D7 - NDB Impacted SPRF''s'!$E$16:$O$9929,10,FALSE)</f>
        <v>N</v>
      </c>
      <c r="R322" s="4" t="str">
        <f>VLOOKUP($B322,'D7 - NDB Impacted SPRF''s'!$E$16:$O$9929,11,FALSE)</f>
        <v>N</v>
      </c>
      <c r="S322" s="8"/>
      <c r="T322" s="310"/>
      <c r="U322" s="310"/>
      <c r="V322" s="4"/>
      <c r="W322" s="4"/>
      <c r="X322" s="4"/>
      <c r="Y322" s="4"/>
      <c r="Z322" s="4"/>
      <c r="AA322" s="4"/>
      <c r="AB322" s="380" t="str">
        <f>VLOOKUP($B322,'D7 - NDB Impacted SPRF''s'!$E$16:$O$9929,4,FALSE)</f>
        <v>Completed</v>
      </c>
      <c r="AC322" s="380" t="str">
        <f>VLOOKUP($B322,'D7 - NDB Impacted SPRF''s'!$E$16:$O$9929,3,FALSE)</f>
        <v>OptumHealth</v>
      </c>
      <c r="AD322" s="380" t="str">
        <f>VLOOKUP($B322,'D7 - NDB Impacted SPRF''s'!$E$16:$O$9929,5,FALSE)</f>
        <v>UBH</v>
      </c>
      <c r="AE322" s="380" t="str">
        <f>VLOOKUP($B322,'D7 - NDB Impacted SPRF''s'!$E$16:$O$9929,7,FALSE)</f>
        <v>Dave Chenok</v>
      </c>
      <c r="AF322" s="380" t="str">
        <f>VLOOKUP($B322,'D7 - NDB Impacted SPRF''s'!$E$16:$O$9929,6,FALSE)</f>
        <v>Mark Leone</v>
      </c>
      <c r="AG322" s="282"/>
      <c r="AH322" s="311" t="e">
        <f>INDEX('D5 - Gatekeeper - Projects'!$A$4:$AF$1010,$AM322, 17)</f>
        <v>#N/A</v>
      </c>
      <c r="AI322" s="8"/>
      <c r="AJ322" s="57"/>
      <c r="AK322" s="105"/>
      <c r="AL322" s="216"/>
      <c r="AM322" s="6" t="e">
        <f>MATCH(D322,'D5 - Gatekeeper - Projects'!$C$4:$C$1010,0)</f>
        <v>#N/A</v>
      </c>
      <c r="AN322" s="6" t="b">
        <f t="shared" si="30"/>
        <v>1</v>
      </c>
      <c r="AO322" s="6" t="str">
        <f t="shared" si="33"/>
        <v>OK</v>
      </c>
      <c r="AQ322" s="6" t="e">
        <f>MATCH($D322,'D4 - Provider Council Unsched'!$C$11:$C$234,0)</f>
        <v>#N/A</v>
      </c>
      <c r="AR322" s="6" t="b">
        <f t="shared" si="31"/>
        <v>1</v>
      </c>
      <c r="AS322" s="6" t="str">
        <f t="shared" si="35"/>
        <v>OK</v>
      </c>
      <c r="AU322" s="202"/>
      <c r="AV322" s="262"/>
      <c r="AW322" s="274"/>
    </row>
    <row r="323" spans="1:49" s="13" customFormat="1" ht="22.5" x14ac:dyDescent="0.2">
      <c r="A323" s="14">
        <v>299</v>
      </c>
      <c r="B323" s="14">
        <v>400006055</v>
      </c>
      <c r="C323" s="8" t="s">
        <v>5197</v>
      </c>
      <c r="D323" s="4" t="str">
        <f t="shared" si="32"/>
        <v>400006055R1</v>
      </c>
      <c r="E323" s="309" t="str">
        <f>VLOOKUP($B323,'D7 - NDB Impacted SPRF''s'!$E$6:$O$9929,2,FALSE)</f>
        <v>EFS -Anderle-Rem NDB edit EPS Address Inactivation</v>
      </c>
      <c r="F323" s="8"/>
      <c r="G323" s="8" t="s">
        <v>4758</v>
      </c>
      <c r="H323" s="8" t="s">
        <v>4246</v>
      </c>
      <c r="I323" s="20">
        <v>0.47</v>
      </c>
      <c r="J323" s="8" t="s">
        <v>4862</v>
      </c>
      <c r="K323" s="182">
        <v>38423</v>
      </c>
      <c r="L323" s="8" t="s">
        <v>4964</v>
      </c>
      <c r="M323" s="8" t="s">
        <v>2814</v>
      </c>
      <c r="N323" s="367"/>
      <c r="O323" s="8"/>
      <c r="P323" s="4" t="str">
        <f>VLOOKUP($B323,'D7 - NDB Impacted SPRF''s'!$E$16:$O$9929,9,FALSE)</f>
        <v>N</v>
      </c>
      <c r="Q323" s="4" t="str">
        <f>VLOOKUP($B323,'D7 - NDB Impacted SPRF''s'!$E$16:$O$9929,10,FALSE)</f>
        <v>N</v>
      </c>
      <c r="R323" s="4" t="str">
        <f>VLOOKUP($B323,'D7 - NDB Impacted SPRF''s'!$E$16:$O$9929,11,FALSE)</f>
        <v>N</v>
      </c>
      <c r="S323" s="8"/>
      <c r="T323" s="310"/>
      <c r="U323" s="310"/>
      <c r="V323" s="4"/>
      <c r="W323" s="4"/>
      <c r="X323" s="4"/>
      <c r="Y323" s="4"/>
      <c r="Z323" s="4"/>
      <c r="AA323" s="4"/>
      <c r="AB323" s="380" t="str">
        <f>VLOOKUP($B323,'D7 - NDB Impacted SPRF''s'!$E$16:$O$9929,4,FALSE)</f>
        <v>Completed</v>
      </c>
      <c r="AC323" s="380" t="str">
        <f>VLOOKUP($B323,'D7 - NDB Impacted SPRF''s'!$E$16:$O$9929,3,FALSE)</f>
        <v>Uniprise</v>
      </c>
      <c r="AD323" s="380" t="str">
        <f>VLOOKUP($B323,'D7 - NDB Impacted SPRF''s'!$E$16:$O$9929,5,FALSE)</f>
        <v>Workorder Management</v>
      </c>
      <c r="AE323" s="380" t="str">
        <f>VLOOKUP($B323,'D7 - NDB Impacted SPRF''s'!$E$16:$O$9929,7,FALSE)</f>
        <v>Ragui Selwanes</v>
      </c>
      <c r="AF323" s="380" t="str">
        <f>VLOOKUP($B323,'D7 - NDB Impacted SPRF''s'!$E$16:$O$9929,6,FALSE)</f>
        <v>STACIE NABEDRICK</v>
      </c>
      <c r="AG323" s="282"/>
      <c r="AH323" s="311" t="e">
        <f>INDEX('D5 - Gatekeeper - Projects'!$A$4:$AF$1010,$AM323, 17)</f>
        <v>#N/A</v>
      </c>
      <c r="AI323" s="8"/>
      <c r="AJ323" s="57"/>
      <c r="AK323" s="105"/>
      <c r="AL323" s="216"/>
      <c r="AM323" s="6" t="e">
        <f>MATCH(D323,'D5 - Gatekeeper - Projects'!$C$4:$C$1010,0)</f>
        <v>#N/A</v>
      </c>
      <c r="AN323" s="6" t="b">
        <f t="shared" si="30"/>
        <v>1</v>
      </c>
      <c r="AO323" s="6" t="str">
        <f t="shared" si="33"/>
        <v>OK</v>
      </c>
      <c r="AQ323" s="6" t="e">
        <f>MATCH($D323,'D4 - Provider Council Unsched'!$C$11:$C$234,0)</f>
        <v>#N/A</v>
      </c>
      <c r="AR323" s="6" t="b">
        <f t="shared" si="31"/>
        <v>1</v>
      </c>
      <c r="AS323" s="6" t="str">
        <f t="shared" si="35"/>
        <v>OK</v>
      </c>
      <c r="AU323" s="202"/>
      <c r="AV323" s="262"/>
      <c r="AW323" s="274"/>
    </row>
    <row r="324" spans="1:49" s="13" customFormat="1" ht="33.75" x14ac:dyDescent="0.2">
      <c r="A324" s="14">
        <v>300</v>
      </c>
      <c r="B324" s="14">
        <v>210220934</v>
      </c>
      <c r="C324" s="8" t="s">
        <v>5197</v>
      </c>
      <c r="D324" s="4" t="str">
        <f t="shared" si="32"/>
        <v>210220934R1</v>
      </c>
      <c r="E324" s="309" t="str">
        <f>VLOOKUP($B324,'D7 - NDB Impacted SPRF''s'!$E$6:$O$9929,2,FALSE)</f>
        <v>CPSA Black Box Release 2</v>
      </c>
      <c r="F324" s="8" t="s">
        <v>4069</v>
      </c>
      <c r="G324" s="8" t="s">
        <v>4758</v>
      </c>
      <c r="H324" s="8" t="s">
        <v>4246</v>
      </c>
      <c r="I324" s="20">
        <v>5</v>
      </c>
      <c r="J324" s="8" t="s">
        <v>4862</v>
      </c>
      <c r="K324" s="182">
        <v>38444</v>
      </c>
      <c r="L324" s="8" t="s">
        <v>4964</v>
      </c>
      <c r="M324" s="8" t="s">
        <v>2814</v>
      </c>
      <c r="N324" s="367"/>
      <c r="O324" s="8"/>
      <c r="P324" s="4" t="str">
        <f>VLOOKUP($B324,'D7 - NDB Impacted SPRF''s'!$E$16:$O$9929,9,FALSE)</f>
        <v>N</v>
      </c>
      <c r="Q324" s="4" t="str">
        <f>VLOOKUP($B324,'D7 - NDB Impacted SPRF''s'!$E$16:$O$9929,10,FALSE)</f>
        <v>N</v>
      </c>
      <c r="R324" s="4" t="str">
        <f>VLOOKUP($B324,'D7 - NDB Impacted SPRF''s'!$E$16:$O$9929,11,FALSE)</f>
        <v>N</v>
      </c>
      <c r="S324" s="8"/>
      <c r="T324" s="310"/>
      <c r="U324" s="310"/>
      <c r="V324" s="4"/>
      <c r="W324" s="4"/>
      <c r="X324" s="4"/>
      <c r="Y324" s="4"/>
      <c r="Z324" s="4"/>
      <c r="AA324" s="4"/>
      <c r="AB324" s="380" t="str">
        <f>VLOOKUP($B324,'D7 - NDB Impacted SPRF''s'!$E$16:$O$9929,4,FALSE)</f>
        <v>Completed</v>
      </c>
      <c r="AC324" s="380" t="str">
        <f>VLOOKUP($B324,'D7 - NDB Impacted SPRF''s'!$E$16:$O$9929,3,FALSE)</f>
        <v>UnitedHealthcare Employer &amp; Individual</v>
      </c>
      <c r="AD324" s="380" t="str">
        <f>VLOOKUP($B324,'D7 - NDB Impacted SPRF''s'!$E$16:$O$9929,5,FALSE)</f>
        <v>Operations Group</v>
      </c>
      <c r="AE324" s="380" t="str">
        <f>VLOOKUP($B324,'D7 - NDB Impacted SPRF''s'!$E$16:$O$9929,7,FALSE)</f>
        <v>Peter Bompane</v>
      </c>
      <c r="AF324" s="380" t="str">
        <f>VLOOKUP($B324,'D7 - NDB Impacted SPRF''s'!$E$16:$O$9929,6,FALSE)</f>
        <v>Suzanne McManus</v>
      </c>
      <c r="AG324" s="282"/>
      <c r="AH324" s="311" t="e">
        <f>INDEX('D5 - Gatekeeper - Projects'!$A$4:$AF$1010,$AM324, 17)</f>
        <v>#N/A</v>
      </c>
      <c r="AI324" s="8"/>
      <c r="AJ324" s="57"/>
      <c r="AK324" s="105"/>
      <c r="AL324" s="216"/>
      <c r="AM324" s="6" t="e">
        <f>MATCH(D324,'D5 - Gatekeeper - Projects'!$C$4:$C$1010,0)</f>
        <v>#N/A</v>
      </c>
      <c r="AN324" s="6" t="b">
        <f t="shared" si="30"/>
        <v>1</v>
      </c>
      <c r="AO324" s="6" t="str">
        <f t="shared" si="33"/>
        <v>OK</v>
      </c>
      <c r="AQ324" s="6" t="e">
        <f>MATCH($D324,'D4 - Provider Council Unsched'!$C$11:$C$234,0)</f>
        <v>#N/A</v>
      </c>
      <c r="AR324" s="6" t="b">
        <f t="shared" si="31"/>
        <v>1</v>
      </c>
      <c r="AS324" s="6" t="str">
        <f t="shared" si="35"/>
        <v>OK</v>
      </c>
      <c r="AU324" s="202"/>
      <c r="AV324" s="262"/>
      <c r="AW324" s="274"/>
    </row>
    <row r="325" spans="1:49" s="13" customFormat="1" ht="22.5" x14ac:dyDescent="0.2">
      <c r="A325" s="14">
        <v>301</v>
      </c>
      <c r="B325" s="14">
        <v>400001982</v>
      </c>
      <c r="C325" s="8" t="s">
        <v>5197</v>
      </c>
      <c r="D325" s="4" t="str">
        <f t="shared" si="32"/>
        <v>400001982R1</v>
      </c>
      <c r="E325" s="309" t="str">
        <f>VLOOKUP($B325,'D7 - NDB Impacted SPRF''s'!$E$6:$O$9929,2,FALSE)</f>
        <v>CPR2 - Phase II</v>
      </c>
      <c r="F325" s="8" t="s">
        <v>4631</v>
      </c>
      <c r="G325" s="8" t="s">
        <v>4758</v>
      </c>
      <c r="H325" s="8" t="s">
        <v>4246</v>
      </c>
      <c r="I325" s="20">
        <v>5</v>
      </c>
      <c r="J325" s="8" t="s">
        <v>4862</v>
      </c>
      <c r="K325" s="182">
        <v>38444</v>
      </c>
      <c r="L325" s="8" t="s">
        <v>4964</v>
      </c>
      <c r="M325" s="8" t="s">
        <v>2814</v>
      </c>
      <c r="N325" s="367"/>
      <c r="O325" s="8"/>
      <c r="P325" s="4" t="str">
        <f>VLOOKUP($B325,'D7 - NDB Impacted SPRF''s'!$E$16:$O$9929,9,FALSE)</f>
        <v>Y</v>
      </c>
      <c r="Q325" s="4" t="str">
        <f>VLOOKUP($B325,'D7 - NDB Impacted SPRF''s'!$E$16:$O$9929,10,FALSE)</f>
        <v>N</v>
      </c>
      <c r="R325" s="4" t="str">
        <f>VLOOKUP($B325,'D7 - NDB Impacted SPRF''s'!$E$16:$O$9929,11,FALSE)</f>
        <v>N</v>
      </c>
      <c r="S325" s="8"/>
      <c r="T325" s="310"/>
      <c r="U325" s="310"/>
      <c r="V325" s="4"/>
      <c r="W325" s="4"/>
      <c r="X325" s="4"/>
      <c r="Y325" s="4"/>
      <c r="Z325" s="4"/>
      <c r="AA325" s="4"/>
      <c r="AB325" s="380" t="str">
        <f>VLOOKUP($B325,'D7 - NDB Impacted SPRF''s'!$E$16:$O$9929,4,FALSE)</f>
        <v>Completed</v>
      </c>
      <c r="AC325" s="380" t="str">
        <f>VLOOKUP($B325,'D7 - NDB Impacted SPRF''s'!$E$16:$O$9929,3,FALSE)</f>
        <v>Uniprise</v>
      </c>
      <c r="AD325" s="380" t="str">
        <f>VLOOKUP($B325,'D7 - NDB Impacted SPRF''s'!$E$16:$O$9929,5,FALSE)</f>
        <v>Uniprise Technologies - Capital Projects</v>
      </c>
      <c r="AE325" s="380" t="str">
        <f>VLOOKUP($B325,'D7 - NDB Impacted SPRF''s'!$E$16:$O$9929,7,FALSE)</f>
        <v>John Donkersloot</v>
      </c>
      <c r="AF325" s="380" t="str">
        <f>VLOOKUP($B325,'D7 - NDB Impacted SPRF''s'!$E$16:$O$9929,6,FALSE)</f>
        <v>Joe Moran</v>
      </c>
      <c r="AG325" s="282"/>
      <c r="AH325" s="311" t="e">
        <f>INDEX('D5 - Gatekeeper - Projects'!$A$4:$AF$1010,$AM325, 17)</f>
        <v>#N/A</v>
      </c>
      <c r="AI325" s="8"/>
      <c r="AJ325" s="57"/>
      <c r="AK325" s="105"/>
      <c r="AM325" s="6" t="e">
        <f>MATCH(D325,'D5 - Gatekeeper - Projects'!$C$4:$C$1010,0)</f>
        <v>#N/A</v>
      </c>
      <c r="AN325" s="6" t="b">
        <f t="shared" si="30"/>
        <v>1</v>
      </c>
      <c r="AO325" s="6" t="str">
        <f t="shared" si="33"/>
        <v>OK</v>
      </c>
      <c r="AQ325" s="6" t="e">
        <f>MATCH($D325,'D4 - Provider Council Unsched'!$C$11:$C$234,0)</f>
        <v>#N/A</v>
      </c>
      <c r="AR325" s="6" t="b">
        <f t="shared" si="31"/>
        <v>1</v>
      </c>
      <c r="AS325" s="6" t="str">
        <f t="shared" si="35"/>
        <v>OK</v>
      </c>
      <c r="AU325" s="202"/>
      <c r="AV325" s="262"/>
      <c r="AW325" s="274"/>
    </row>
    <row r="326" spans="1:49" s="13" customFormat="1" ht="33.75" x14ac:dyDescent="0.2">
      <c r="A326" s="14">
        <v>302</v>
      </c>
      <c r="B326" s="14">
        <v>400002540</v>
      </c>
      <c r="C326" s="8" t="s">
        <v>7133</v>
      </c>
      <c r="D326" s="4" t="str">
        <f t="shared" si="32"/>
        <v>400002540CC04</v>
      </c>
      <c r="E326" s="309" t="str">
        <f>VLOOKUP($B326,'D7 - NDB Impacted SPRF''s'!$E$6:$O$9929,2,FALSE)</f>
        <v>Contract Master Maint. and Search Enhancements</v>
      </c>
      <c r="F326" s="8" t="s">
        <v>4695</v>
      </c>
      <c r="G326" s="8" t="s">
        <v>4758</v>
      </c>
      <c r="H326" s="8" t="s">
        <v>4246</v>
      </c>
      <c r="I326" s="20">
        <v>3.69</v>
      </c>
      <c r="J326" s="8" t="s">
        <v>4862</v>
      </c>
      <c r="K326" s="182">
        <v>38444</v>
      </c>
      <c r="L326" s="8" t="s">
        <v>4964</v>
      </c>
      <c r="M326" s="8" t="s">
        <v>2814</v>
      </c>
      <c r="N326" s="367"/>
      <c r="O326" s="8"/>
      <c r="P326" s="4" t="str">
        <f>VLOOKUP($B326,'D7 - NDB Impacted SPRF''s'!$E$16:$O$9929,9,FALSE)</f>
        <v>N</v>
      </c>
      <c r="Q326" s="4" t="str">
        <f>VLOOKUP($B326,'D7 - NDB Impacted SPRF''s'!$E$16:$O$9929,10,FALSE)</f>
        <v>N</v>
      </c>
      <c r="R326" s="4" t="str">
        <f>VLOOKUP($B326,'D7 - NDB Impacted SPRF''s'!$E$16:$O$9929,11,FALSE)</f>
        <v>N</v>
      </c>
      <c r="S326" s="8"/>
      <c r="T326" s="310"/>
      <c r="U326" s="310"/>
      <c r="V326" s="4"/>
      <c r="W326" s="4"/>
      <c r="X326" s="4"/>
      <c r="Y326" s="4"/>
      <c r="Z326" s="4"/>
      <c r="AA326" s="4"/>
      <c r="AB326" s="380" t="str">
        <f>VLOOKUP($B326,'D7 - NDB Impacted SPRF''s'!$E$16:$O$9929,4,FALSE)</f>
        <v>Completed</v>
      </c>
      <c r="AC326" s="380" t="str">
        <f>VLOOKUP($B326,'D7 - NDB Impacted SPRF''s'!$E$16:$O$9929,3,FALSE)</f>
        <v>UnitedHealthcare Employer &amp; Individual</v>
      </c>
      <c r="AD326" s="380" t="str">
        <f>VLOOKUP($B326,'D7 - NDB Impacted SPRF''s'!$E$16:$O$9929,5,FALSE)</f>
        <v>Operations Group</v>
      </c>
      <c r="AE326" s="380" t="str">
        <f>VLOOKUP($B326,'D7 - NDB Impacted SPRF''s'!$E$16:$O$9929,7,FALSE)</f>
        <v>Peter Bompane</v>
      </c>
      <c r="AF326" s="380" t="str">
        <f>VLOOKUP($B326,'D7 - NDB Impacted SPRF''s'!$E$16:$O$9929,6,FALSE)</f>
        <v>MICHAEL LUCAS</v>
      </c>
      <c r="AG326" s="282"/>
      <c r="AH326" s="311" t="e">
        <f>INDEX('D5 - Gatekeeper - Projects'!$A$4:$AF$1010,$AM326, 17)</f>
        <v>#N/A</v>
      </c>
      <c r="AI326" s="8"/>
      <c r="AJ326" s="57"/>
      <c r="AK326" s="105"/>
      <c r="AL326" s="216"/>
      <c r="AM326" s="6" t="e">
        <f>MATCH(D326,'D5 - Gatekeeper - Projects'!$C$4:$C$1010,0)</f>
        <v>#N/A</v>
      </c>
      <c r="AN326" s="6" t="b">
        <f t="shared" si="30"/>
        <v>1</v>
      </c>
      <c r="AO326" s="6" t="str">
        <f t="shared" si="33"/>
        <v>OK</v>
      </c>
      <c r="AQ326" s="6" t="e">
        <f>MATCH($D326,'D4 - Provider Council Unsched'!$C$11:$C$234,0)</f>
        <v>#N/A</v>
      </c>
      <c r="AR326" s="6" t="b">
        <f t="shared" si="31"/>
        <v>1</v>
      </c>
      <c r="AS326" s="6" t="str">
        <f t="shared" si="35"/>
        <v>OK</v>
      </c>
      <c r="AU326" s="202"/>
      <c r="AV326" s="262"/>
      <c r="AW326" s="274"/>
    </row>
    <row r="327" spans="1:49" s="13" customFormat="1" ht="33.75" x14ac:dyDescent="0.2">
      <c r="A327" s="14">
        <v>303</v>
      </c>
      <c r="B327" s="14">
        <v>400002540</v>
      </c>
      <c r="C327" s="8" t="s">
        <v>5197</v>
      </c>
      <c r="D327" s="4" t="str">
        <f t="shared" si="32"/>
        <v>400002540R1</v>
      </c>
      <c r="E327" s="309" t="str">
        <f>VLOOKUP($B327,'D7 - NDB Impacted SPRF''s'!$E$6:$O$9929,2,FALSE)</f>
        <v>Contract Master Maint. and Search Enhancements</v>
      </c>
      <c r="F327" s="8" t="s">
        <v>4695</v>
      </c>
      <c r="G327" s="8" t="s">
        <v>4758</v>
      </c>
      <c r="H327" s="8" t="s">
        <v>4246</v>
      </c>
      <c r="I327" s="20">
        <v>9</v>
      </c>
      <c r="J327" s="8" t="s">
        <v>4862</v>
      </c>
      <c r="K327" s="182">
        <v>38444</v>
      </c>
      <c r="L327" s="8" t="s">
        <v>4964</v>
      </c>
      <c r="M327" s="8" t="s">
        <v>2814</v>
      </c>
      <c r="N327" s="367"/>
      <c r="O327" s="8"/>
      <c r="P327" s="4" t="str">
        <f>VLOOKUP($B327,'D7 - NDB Impacted SPRF''s'!$E$16:$O$9929,9,FALSE)</f>
        <v>N</v>
      </c>
      <c r="Q327" s="4" t="str">
        <f>VLOOKUP($B327,'D7 - NDB Impacted SPRF''s'!$E$16:$O$9929,10,FALSE)</f>
        <v>N</v>
      </c>
      <c r="R327" s="4" t="str">
        <f>VLOOKUP($B327,'D7 - NDB Impacted SPRF''s'!$E$16:$O$9929,11,FALSE)</f>
        <v>N</v>
      </c>
      <c r="S327" s="8"/>
      <c r="T327" s="310"/>
      <c r="U327" s="310"/>
      <c r="V327" s="4"/>
      <c r="W327" s="4"/>
      <c r="X327" s="4"/>
      <c r="Y327" s="4"/>
      <c r="Z327" s="4"/>
      <c r="AA327" s="4"/>
      <c r="AB327" s="380" t="str">
        <f>VLOOKUP($B327,'D7 - NDB Impacted SPRF''s'!$E$16:$O$9929,4,FALSE)</f>
        <v>Completed</v>
      </c>
      <c r="AC327" s="380" t="str">
        <f>VLOOKUP($B327,'D7 - NDB Impacted SPRF''s'!$E$16:$O$9929,3,FALSE)</f>
        <v>UnitedHealthcare Employer &amp; Individual</v>
      </c>
      <c r="AD327" s="380" t="str">
        <f>VLOOKUP($B327,'D7 - NDB Impacted SPRF''s'!$E$16:$O$9929,5,FALSE)</f>
        <v>Operations Group</v>
      </c>
      <c r="AE327" s="380" t="str">
        <f>VLOOKUP($B327,'D7 - NDB Impacted SPRF''s'!$E$16:$O$9929,7,FALSE)</f>
        <v>Peter Bompane</v>
      </c>
      <c r="AF327" s="380" t="str">
        <f>VLOOKUP($B327,'D7 - NDB Impacted SPRF''s'!$E$16:$O$9929,6,FALSE)</f>
        <v>MICHAEL LUCAS</v>
      </c>
      <c r="AG327" s="282"/>
      <c r="AH327" s="311" t="e">
        <f>INDEX('D5 - Gatekeeper - Projects'!$A$4:$AF$1010,$AM327, 17)</f>
        <v>#N/A</v>
      </c>
      <c r="AI327" s="8"/>
      <c r="AJ327" s="57"/>
      <c r="AK327" s="105"/>
      <c r="AL327" s="216"/>
      <c r="AM327" s="6" t="e">
        <f>MATCH(D327,'D5 - Gatekeeper - Projects'!$C$4:$C$1010,0)</f>
        <v>#N/A</v>
      </c>
      <c r="AN327" s="6" t="b">
        <f t="shared" si="30"/>
        <v>1</v>
      </c>
      <c r="AO327" s="6" t="str">
        <f t="shared" si="33"/>
        <v>OK</v>
      </c>
      <c r="AQ327" s="6" t="e">
        <f>MATCH($D327,'D4 - Provider Council Unsched'!$C$11:$C$234,0)</f>
        <v>#N/A</v>
      </c>
      <c r="AR327" s="6" t="b">
        <f t="shared" si="31"/>
        <v>1</v>
      </c>
      <c r="AS327" s="6" t="str">
        <f t="shared" si="35"/>
        <v>OK</v>
      </c>
      <c r="AU327" s="202"/>
      <c r="AV327" s="262"/>
      <c r="AW327" s="274"/>
    </row>
    <row r="328" spans="1:49" s="13" customFormat="1" ht="22.5" x14ac:dyDescent="0.2">
      <c r="A328" s="14">
        <v>304</v>
      </c>
      <c r="B328" s="14">
        <v>400005413</v>
      </c>
      <c r="C328" s="8" t="s">
        <v>5197</v>
      </c>
      <c r="D328" s="4" t="str">
        <f t="shared" si="32"/>
        <v>400005413R1</v>
      </c>
      <c r="E328" s="309" t="str">
        <f>VLOOKUP($B328,'D7 - NDB Impacted SPRF''s'!$E$6:$O$9929,2,FALSE)</f>
        <v>Harvard Pilgrim Fee Schedule Maintenance</v>
      </c>
      <c r="F328" s="8" t="s">
        <v>7132</v>
      </c>
      <c r="G328" s="8" t="s">
        <v>4758</v>
      </c>
      <c r="H328" s="8" t="s">
        <v>4246</v>
      </c>
      <c r="I328" s="20">
        <v>1</v>
      </c>
      <c r="J328" s="8" t="s">
        <v>4862</v>
      </c>
      <c r="K328" s="182">
        <v>38444</v>
      </c>
      <c r="L328" s="8" t="s">
        <v>4964</v>
      </c>
      <c r="M328" s="8" t="s">
        <v>2814</v>
      </c>
      <c r="N328" s="367"/>
      <c r="O328" s="8"/>
      <c r="P328" s="4" t="str">
        <f>VLOOKUP($B328,'D7 - NDB Impacted SPRF''s'!$E$16:$O$9929,9,FALSE)</f>
        <v>N</v>
      </c>
      <c r="Q328" s="4" t="str">
        <f>VLOOKUP($B328,'D7 - NDB Impacted SPRF''s'!$E$16:$O$9929,10,FALSE)</f>
        <v>N</v>
      </c>
      <c r="R328" s="4" t="str">
        <f>VLOOKUP($B328,'D7 - NDB Impacted SPRF''s'!$E$16:$O$9929,11,FALSE)</f>
        <v>N</v>
      </c>
      <c r="S328" s="8"/>
      <c r="T328" s="310"/>
      <c r="U328" s="310"/>
      <c r="V328" s="4"/>
      <c r="W328" s="4"/>
      <c r="X328" s="4"/>
      <c r="Y328" s="4"/>
      <c r="Z328" s="4"/>
      <c r="AA328" s="4"/>
      <c r="AB328" s="380" t="str">
        <f>VLOOKUP($B328,'D7 - NDB Impacted SPRF''s'!$E$16:$O$9929,4,FALSE)</f>
        <v>Completed</v>
      </c>
      <c r="AC328" s="380" t="str">
        <f>VLOOKUP($B328,'D7 - NDB Impacted SPRF''s'!$E$16:$O$9929,3,FALSE)</f>
        <v>UHG Corporate</v>
      </c>
      <c r="AD328" s="380" t="str">
        <f>VLOOKUP($B328,'D7 - NDB Impacted SPRF''s'!$E$16:$O$9929,5,FALSE)</f>
        <v>General Alliance Development</v>
      </c>
      <c r="AE328" s="380" t="str">
        <f>VLOOKUP($B328,'D7 - NDB Impacted SPRF''s'!$E$16:$O$9929,7,FALSE)</f>
        <v>Peter Bompane</v>
      </c>
      <c r="AF328" s="380" t="str">
        <f>VLOOKUP($B328,'D7 - NDB Impacted SPRF''s'!$E$16:$O$9929,6,FALSE)</f>
        <v>SEAN WATKINS</v>
      </c>
      <c r="AG328" s="282"/>
      <c r="AH328" s="311" t="e">
        <f>INDEX('D5 - Gatekeeper - Projects'!$A$4:$AF$1010,$AM328, 17)</f>
        <v>#N/A</v>
      </c>
      <c r="AI328" s="8"/>
      <c r="AJ328" s="57"/>
      <c r="AK328" s="105"/>
      <c r="AL328" s="216"/>
      <c r="AM328" s="6" t="e">
        <f>MATCH(D328,'D5 - Gatekeeper - Projects'!$C$4:$C$1010,0)</f>
        <v>#N/A</v>
      </c>
      <c r="AN328" s="6" t="b">
        <f t="shared" si="30"/>
        <v>1</v>
      </c>
      <c r="AO328" s="6" t="str">
        <f t="shared" si="33"/>
        <v>OK</v>
      </c>
      <c r="AQ328" s="6" t="e">
        <f>MATCH($D328,'D4 - Provider Council Unsched'!$C$11:$C$234,0)</f>
        <v>#N/A</v>
      </c>
      <c r="AR328" s="6" t="b">
        <f t="shared" si="31"/>
        <v>1</v>
      </c>
      <c r="AS328" s="6" t="str">
        <f t="shared" si="35"/>
        <v>OK</v>
      </c>
      <c r="AU328" s="202"/>
      <c r="AV328" s="262"/>
      <c r="AW328" s="274"/>
    </row>
    <row r="329" spans="1:49" s="13" customFormat="1" ht="11.25" customHeight="1" x14ac:dyDescent="0.2">
      <c r="A329" s="14">
        <v>305</v>
      </c>
      <c r="B329" s="14">
        <v>400006907</v>
      </c>
      <c r="C329" s="8" t="s">
        <v>5197</v>
      </c>
      <c r="D329" s="4" t="str">
        <f t="shared" si="32"/>
        <v>400006907R1</v>
      </c>
      <c r="E329" s="309" t="str">
        <f>VLOOKUP($B329,'D7 - NDB Impacted SPRF''s'!$E$6:$O$9929,2,FALSE)</f>
        <v>EPDL MPN Empire Transition</v>
      </c>
      <c r="F329" s="8" t="s">
        <v>4069</v>
      </c>
      <c r="G329" s="8" t="s">
        <v>4758</v>
      </c>
      <c r="H329" s="8" t="s">
        <v>4246</v>
      </c>
      <c r="I329" s="20">
        <v>0.08</v>
      </c>
      <c r="J329" s="8" t="s">
        <v>4862</v>
      </c>
      <c r="K329" s="182">
        <v>38444</v>
      </c>
      <c r="L329" s="8" t="s">
        <v>4964</v>
      </c>
      <c r="M329" s="8" t="s">
        <v>2814</v>
      </c>
      <c r="N329" s="367"/>
      <c r="O329" s="8"/>
      <c r="P329" s="4" t="str">
        <f>VLOOKUP($B329,'D7 - NDB Impacted SPRF''s'!$E$16:$O$9929,9,FALSE)</f>
        <v>N</v>
      </c>
      <c r="Q329" s="4" t="str">
        <f>VLOOKUP($B329,'D7 - NDB Impacted SPRF''s'!$E$16:$O$9929,10,FALSE)</f>
        <v>N</v>
      </c>
      <c r="R329" s="4" t="str">
        <f>VLOOKUP($B329,'D7 - NDB Impacted SPRF''s'!$E$16:$O$9929,11,FALSE)</f>
        <v>N</v>
      </c>
      <c r="S329" s="8"/>
      <c r="T329" s="310"/>
      <c r="U329" s="310"/>
      <c r="V329" s="4"/>
      <c r="W329" s="4"/>
      <c r="X329" s="4"/>
      <c r="Y329" s="4"/>
      <c r="Z329" s="4"/>
      <c r="AA329" s="4"/>
      <c r="AB329" s="380" t="str">
        <f>VLOOKUP($B329,'D7 - NDB Impacted SPRF''s'!$E$16:$O$9929,4,FALSE)</f>
        <v>Completed</v>
      </c>
      <c r="AC329" s="380" t="str">
        <f>VLOOKUP($B329,'D7 - NDB Impacted SPRF''s'!$E$16:$O$9929,3,FALSE)</f>
        <v>UnitedHealthcare Employer &amp; Individual</v>
      </c>
      <c r="AD329" s="380" t="str">
        <f>VLOOKUP($B329,'D7 - NDB Impacted SPRF''s'!$E$16:$O$9929,5,FALSE)</f>
        <v>Operations Group</v>
      </c>
      <c r="AE329" s="380" t="str">
        <f>VLOOKUP($B329,'D7 - NDB Impacted SPRF''s'!$E$16:$O$9929,7,FALSE)</f>
        <v>Dirk McMahon</v>
      </c>
      <c r="AF329" s="380" t="str">
        <f>VLOOKUP($B329,'D7 - NDB Impacted SPRF''s'!$E$16:$O$9929,6,FALSE)</f>
        <v>Barbara Dickson</v>
      </c>
      <c r="AG329" s="282"/>
      <c r="AH329" s="311" t="e">
        <f>INDEX('D5 - Gatekeeper - Projects'!$A$4:$AF$1010,$AM329, 17)</f>
        <v>#N/A</v>
      </c>
      <c r="AI329" s="8"/>
      <c r="AJ329" s="57"/>
      <c r="AK329" s="105"/>
      <c r="AL329" s="216"/>
      <c r="AM329" s="6" t="e">
        <f>MATCH(D329,'D5 - Gatekeeper - Projects'!$C$4:$C$1010,0)</f>
        <v>#N/A</v>
      </c>
      <c r="AN329" s="6" t="b">
        <f t="shared" si="30"/>
        <v>1</v>
      </c>
      <c r="AO329" s="6" t="str">
        <f t="shared" si="33"/>
        <v>OK</v>
      </c>
      <c r="AQ329" s="6" t="e">
        <f>MATCH($D329,'D4 - Provider Council Unsched'!$C$11:$C$234,0)</f>
        <v>#N/A</v>
      </c>
      <c r="AR329" s="6" t="b">
        <f t="shared" si="31"/>
        <v>1</v>
      </c>
      <c r="AS329" s="6" t="str">
        <f t="shared" si="35"/>
        <v>OK</v>
      </c>
      <c r="AU329" s="202"/>
      <c r="AV329" s="262"/>
      <c r="AW329" s="274"/>
    </row>
    <row r="330" spans="1:49" s="13" customFormat="1" ht="22.5" x14ac:dyDescent="0.2">
      <c r="A330" s="14">
        <v>306</v>
      </c>
      <c r="B330" s="14">
        <v>400001473</v>
      </c>
      <c r="C330" s="8" t="s">
        <v>5197</v>
      </c>
      <c r="D330" s="4" t="str">
        <f t="shared" si="32"/>
        <v>400001473R1</v>
      </c>
      <c r="E330" s="309" t="str">
        <f>VLOOKUP($B330,'D7 - NDB Impacted SPRF''s'!$E$6:$O$9929,2,FALSE)</f>
        <v xml:space="preserve">SIP VETSS Consumer Experience </v>
      </c>
      <c r="F330" s="8"/>
      <c r="G330" s="8" t="s">
        <v>4758</v>
      </c>
      <c r="H330" s="8" t="s">
        <v>4246</v>
      </c>
      <c r="I330" s="20">
        <v>1.38</v>
      </c>
      <c r="J330" s="8" t="s">
        <v>4862</v>
      </c>
      <c r="K330" s="182">
        <v>38458</v>
      </c>
      <c r="L330" s="8" t="s">
        <v>4964</v>
      </c>
      <c r="M330" s="8" t="s">
        <v>2814</v>
      </c>
      <c r="N330" s="367"/>
      <c r="O330" s="8"/>
      <c r="P330" s="4" t="str">
        <f>VLOOKUP($B330,'D7 - NDB Impacted SPRF''s'!$E$16:$O$9929,9,FALSE)</f>
        <v>Y</v>
      </c>
      <c r="Q330" s="4" t="str">
        <f>VLOOKUP($B330,'D7 - NDB Impacted SPRF''s'!$E$16:$O$9929,10,FALSE)</f>
        <v>N</v>
      </c>
      <c r="R330" s="4" t="str">
        <f>VLOOKUP($B330,'D7 - NDB Impacted SPRF''s'!$E$16:$O$9929,11,FALSE)</f>
        <v>N</v>
      </c>
      <c r="S330" s="8"/>
      <c r="T330" s="310"/>
      <c r="U330" s="310"/>
      <c r="V330" s="4"/>
      <c r="W330" s="4"/>
      <c r="X330" s="4"/>
      <c r="Y330" s="4"/>
      <c r="Z330" s="4"/>
      <c r="AA330" s="4"/>
      <c r="AB330" s="380" t="str">
        <f>VLOOKUP($B330,'D7 - NDB Impacted SPRF''s'!$E$16:$O$9929,4,FALSE)</f>
        <v>Completed</v>
      </c>
      <c r="AC330" s="380" t="str">
        <f>VLOOKUP($B330,'D7 - NDB Impacted SPRF''s'!$E$16:$O$9929,3,FALSE)</f>
        <v>Uniprise</v>
      </c>
      <c r="AD330" s="380" t="str">
        <f>VLOOKUP($B330,'D7 - NDB Impacted SPRF''s'!$E$16:$O$9929,5,FALSE)</f>
        <v>Uniprise Operations - Capital Projects</v>
      </c>
      <c r="AE330" s="380" t="str">
        <f>VLOOKUP($B330,'D7 - NDB Impacted SPRF''s'!$E$16:$O$9929,7,FALSE)</f>
        <v>James Jarratt</v>
      </c>
      <c r="AF330" s="380" t="str">
        <f>VLOOKUP($B330,'D7 - NDB Impacted SPRF''s'!$E$16:$O$9929,6,FALSE)</f>
        <v>Thomas Finkel</v>
      </c>
      <c r="AG330" s="282"/>
      <c r="AH330" s="311" t="e">
        <f>INDEX('D5 - Gatekeeper - Projects'!$A$4:$AF$1010,$AM330, 17)</f>
        <v>#N/A</v>
      </c>
      <c r="AI330" s="8"/>
      <c r="AJ330" s="57"/>
      <c r="AK330" s="105"/>
      <c r="AL330" s="216"/>
      <c r="AM330" s="6" t="e">
        <f>MATCH(D330,'D5 - Gatekeeper - Projects'!$C$4:$C$1010,0)</f>
        <v>#N/A</v>
      </c>
      <c r="AN330" s="6" t="b">
        <f t="shared" si="30"/>
        <v>1</v>
      </c>
      <c r="AO330" s="6" t="str">
        <f t="shared" si="33"/>
        <v>OK</v>
      </c>
      <c r="AQ330" s="6" t="e">
        <f>MATCH($D330,'D4 - Provider Council Unsched'!$C$11:$C$234,0)</f>
        <v>#N/A</v>
      </c>
      <c r="AR330" s="6" t="b">
        <f t="shared" si="31"/>
        <v>1</v>
      </c>
      <c r="AS330" s="6" t="str">
        <f t="shared" si="35"/>
        <v>OK</v>
      </c>
      <c r="AU330" s="202"/>
      <c r="AV330" s="262"/>
      <c r="AW330" s="274"/>
    </row>
    <row r="331" spans="1:49" s="13" customFormat="1" ht="33.75" x14ac:dyDescent="0.2">
      <c r="A331" s="14">
        <v>307</v>
      </c>
      <c r="B331" s="14">
        <v>400004839</v>
      </c>
      <c r="C331" s="8" t="s">
        <v>5197</v>
      </c>
      <c r="D331" s="4" t="str">
        <f t="shared" si="32"/>
        <v>400004839R1</v>
      </c>
      <c r="E331" s="309" t="str">
        <f>VLOOKUP($B331,'D7 - NDB Impacted SPRF''s'!$E$6:$O$9929,2,FALSE)</f>
        <v>Clinical Operations HEDIS Provider Measure Report</v>
      </c>
      <c r="F331" s="8" t="s">
        <v>5222</v>
      </c>
      <c r="G331" s="8" t="s">
        <v>4758</v>
      </c>
      <c r="H331" s="8" t="s">
        <v>4246</v>
      </c>
      <c r="I331" s="20">
        <v>0.6</v>
      </c>
      <c r="J331" s="8" t="s">
        <v>4862</v>
      </c>
      <c r="K331" s="182">
        <v>38458</v>
      </c>
      <c r="L331" s="8" t="s">
        <v>4964</v>
      </c>
      <c r="M331" s="8" t="s">
        <v>2814</v>
      </c>
      <c r="N331" s="367"/>
      <c r="O331" s="8"/>
      <c r="P331" s="4" t="str">
        <f>VLOOKUP($B331,'D7 - NDB Impacted SPRF''s'!$E$16:$O$9929,9,FALSE)</f>
        <v>N</v>
      </c>
      <c r="Q331" s="4" t="str">
        <f>VLOOKUP($B331,'D7 - NDB Impacted SPRF''s'!$E$16:$O$9929,10,FALSE)</f>
        <v>N</v>
      </c>
      <c r="R331" s="4" t="str">
        <f>VLOOKUP($B331,'D7 - NDB Impacted SPRF''s'!$E$16:$O$9929,11,FALSE)</f>
        <v>N</v>
      </c>
      <c r="S331" s="8"/>
      <c r="T331" s="310"/>
      <c r="U331" s="310"/>
      <c r="V331" s="4"/>
      <c r="W331" s="4"/>
      <c r="X331" s="4"/>
      <c r="Y331" s="4"/>
      <c r="Z331" s="4"/>
      <c r="AA331" s="4"/>
      <c r="AB331" s="380" t="str">
        <f>VLOOKUP($B331,'D7 - NDB Impacted SPRF''s'!$E$16:$O$9929,4,FALSE)</f>
        <v>Completed</v>
      </c>
      <c r="AC331" s="380" t="str">
        <f>VLOOKUP($B331,'D7 - NDB Impacted SPRF''s'!$E$16:$O$9929,3,FALSE)</f>
        <v>UnitedHealthcare Employer &amp; Individual</v>
      </c>
      <c r="AD331" s="380" t="str">
        <f>VLOOKUP($B331,'D7 - NDB Impacted SPRF''s'!$E$16:$O$9929,5,FALSE)</f>
        <v>Operations Group</v>
      </c>
      <c r="AE331" s="380" t="str">
        <f>VLOOKUP($B331,'D7 - NDB Impacted SPRF''s'!$E$16:$O$9929,7,FALSE)</f>
        <v>Michael Curran</v>
      </c>
      <c r="AF331" s="380" t="str">
        <f>VLOOKUP($B331,'D7 - NDB Impacted SPRF''s'!$E$16:$O$9929,6,FALSE)</f>
        <v>Bertram Janet</v>
      </c>
      <c r="AG331" s="282"/>
      <c r="AH331" s="311" t="e">
        <f>INDEX('D5 - Gatekeeper - Projects'!$A$4:$AF$1010,$AM331, 17)</f>
        <v>#N/A</v>
      </c>
      <c r="AI331" s="8"/>
      <c r="AJ331" s="57"/>
      <c r="AK331" s="105"/>
      <c r="AL331" s="216"/>
      <c r="AM331" s="6" t="e">
        <f>MATCH(D331,'D5 - Gatekeeper - Projects'!$C$4:$C$1010,0)</f>
        <v>#N/A</v>
      </c>
      <c r="AN331" s="6" t="b">
        <f t="shared" si="30"/>
        <v>1</v>
      </c>
      <c r="AO331" s="6" t="str">
        <f t="shared" si="33"/>
        <v>OK</v>
      </c>
      <c r="AQ331" s="6" t="e">
        <f>MATCH($D331,'D4 - Provider Council Unsched'!$C$11:$C$234,0)</f>
        <v>#N/A</v>
      </c>
      <c r="AR331" s="6" t="b">
        <f t="shared" si="31"/>
        <v>1</v>
      </c>
      <c r="AS331" s="6" t="str">
        <f t="shared" si="35"/>
        <v>OK</v>
      </c>
      <c r="AU331" s="202"/>
      <c r="AV331" s="262"/>
      <c r="AW331" s="274"/>
    </row>
    <row r="332" spans="1:49" s="13" customFormat="1" ht="11.25" customHeight="1" x14ac:dyDescent="0.2">
      <c r="A332" s="14">
        <v>308</v>
      </c>
      <c r="B332" s="14">
        <v>400006181</v>
      </c>
      <c r="C332" s="8" t="s">
        <v>5197</v>
      </c>
      <c r="D332" s="4" t="str">
        <f t="shared" si="32"/>
        <v>400006181R1</v>
      </c>
      <c r="E332" s="309" t="str">
        <f>VLOOKUP($B332,'D7 - NDB Impacted SPRF''s'!$E$6:$O$9929,2,FALSE)</f>
        <v>Oxford Health Plan Network - Repricing</v>
      </c>
      <c r="F332" s="8" t="s">
        <v>6138</v>
      </c>
      <c r="G332" s="8" t="s">
        <v>4758</v>
      </c>
      <c r="H332" s="8" t="s">
        <v>4246</v>
      </c>
      <c r="I332" s="20">
        <v>2.27</v>
      </c>
      <c r="J332" s="8" t="s">
        <v>4862</v>
      </c>
      <c r="K332" s="182">
        <v>38458</v>
      </c>
      <c r="L332" s="8" t="s">
        <v>4964</v>
      </c>
      <c r="M332" s="8" t="s">
        <v>2814</v>
      </c>
      <c r="N332" s="367"/>
      <c r="O332" s="8"/>
      <c r="P332" s="4" t="str">
        <f>VLOOKUP($B332,'D7 - NDB Impacted SPRF''s'!$E$16:$O$9929,9,FALSE)</f>
        <v>N</v>
      </c>
      <c r="Q332" s="4" t="str">
        <f>VLOOKUP($B332,'D7 - NDB Impacted SPRF''s'!$E$16:$O$9929,10,FALSE)</f>
        <v>N</v>
      </c>
      <c r="R332" s="4" t="str">
        <f>VLOOKUP($B332,'D7 - NDB Impacted SPRF''s'!$E$16:$O$9929,11,FALSE)</f>
        <v>N</v>
      </c>
      <c r="S332" s="8"/>
      <c r="T332" s="310"/>
      <c r="U332" s="310"/>
      <c r="V332" s="4"/>
      <c r="W332" s="4"/>
      <c r="X332" s="4"/>
      <c r="Y332" s="4"/>
      <c r="Z332" s="4"/>
      <c r="AA332" s="4"/>
      <c r="AB332" s="380" t="str">
        <f>VLOOKUP($B332,'D7 - NDB Impacted SPRF''s'!$E$16:$O$9929,4,FALSE)</f>
        <v>Completed</v>
      </c>
      <c r="AC332" s="380" t="str">
        <f>VLOOKUP($B332,'D7 - NDB Impacted SPRF''s'!$E$16:$O$9929,3,FALSE)</f>
        <v>UnitedHealthcare Employer &amp; Individual</v>
      </c>
      <c r="AD332" s="380" t="str">
        <f>VLOOKUP($B332,'D7 - NDB Impacted SPRF''s'!$E$16:$O$9929,5,FALSE)</f>
        <v>Operations Group</v>
      </c>
      <c r="AE332" s="380" t="str">
        <f>VLOOKUP($B332,'D7 - NDB Impacted SPRF''s'!$E$16:$O$9929,7,FALSE)</f>
        <v>Patrick Kennedy</v>
      </c>
      <c r="AF332" s="380" t="str">
        <f>VLOOKUP($B332,'D7 - NDB Impacted SPRF''s'!$E$16:$O$9929,6,FALSE)</f>
        <v>RUTH HOLMBERG</v>
      </c>
      <c r="AG332" s="282"/>
      <c r="AH332" s="311" t="e">
        <f>INDEX('D5 - Gatekeeper - Projects'!$A$4:$AF$1010,$AM332, 17)</f>
        <v>#N/A</v>
      </c>
      <c r="AI332" s="8"/>
      <c r="AJ332" s="57"/>
      <c r="AK332" s="105"/>
      <c r="AL332" s="216"/>
      <c r="AM332" s="6" t="e">
        <f>MATCH(D332,'D5 - Gatekeeper - Projects'!$C$4:$C$1010,0)</f>
        <v>#N/A</v>
      </c>
      <c r="AN332" s="6" t="b">
        <f t="shared" si="30"/>
        <v>1</v>
      </c>
      <c r="AO332" s="6" t="str">
        <f t="shared" si="33"/>
        <v>OK</v>
      </c>
      <c r="AQ332" s="6" t="e">
        <f>MATCH($D332,'D4 - Provider Council Unsched'!$C$11:$C$234,0)</f>
        <v>#N/A</v>
      </c>
      <c r="AR332" s="6" t="b">
        <f t="shared" si="31"/>
        <v>1</v>
      </c>
      <c r="AS332" s="6" t="str">
        <f t="shared" si="35"/>
        <v>OK</v>
      </c>
      <c r="AU332" s="202"/>
      <c r="AV332" s="262"/>
      <c r="AW332" s="274"/>
    </row>
    <row r="333" spans="1:49" s="13" customFormat="1" x14ac:dyDescent="0.2">
      <c r="A333" s="14">
        <v>309</v>
      </c>
      <c r="B333" s="14">
        <v>400006397</v>
      </c>
      <c r="C333" s="8" t="s">
        <v>5197</v>
      </c>
      <c r="D333" s="4" t="str">
        <f t="shared" si="32"/>
        <v>400006397R1</v>
      </c>
      <c r="E333" s="309" t="str">
        <f>VLOOKUP($B333,'D7 - NDB Impacted SPRF''s'!$E$6:$O$9929,2,FALSE)</f>
        <v>Empire Plan FTP Access Change on Local Server</v>
      </c>
      <c r="F333" s="8" t="s">
        <v>2391</v>
      </c>
      <c r="G333" s="8" t="s">
        <v>4758</v>
      </c>
      <c r="H333" s="8" t="s">
        <v>4246</v>
      </c>
      <c r="I333" s="20">
        <v>7.0000000000000007E-2</v>
      </c>
      <c r="J333" s="8" t="s">
        <v>4862</v>
      </c>
      <c r="K333" s="182">
        <v>38458</v>
      </c>
      <c r="L333" s="8" t="s">
        <v>4964</v>
      </c>
      <c r="M333" s="8" t="s">
        <v>2814</v>
      </c>
      <c r="N333" s="367"/>
      <c r="O333" s="8"/>
      <c r="P333" s="4" t="str">
        <f>VLOOKUP($B333,'D7 - NDB Impacted SPRF''s'!$E$16:$O$9929,9,FALSE)</f>
        <v>N</v>
      </c>
      <c r="Q333" s="4" t="str">
        <f>VLOOKUP($B333,'D7 - NDB Impacted SPRF''s'!$E$16:$O$9929,10,FALSE)</f>
        <v>N</v>
      </c>
      <c r="R333" s="4" t="str">
        <f>VLOOKUP($B333,'D7 - NDB Impacted SPRF''s'!$E$16:$O$9929,11,FALSE)</f>
        <v>N</v>
      </c>
      <c r="S333" s="8"/>
      <c r="T333" s="310"/>
      <c r="U333" s="310"/>
      <c r="V333" s="4"/>
      <c r="W333" s="4"/>
      <c r="X333" s="4"/>
      <c r="Y333" s="4"/>
      <c r="Z333" s="4"/>
      <c r="AA333" s="4"/>
      <c r="AB333" s="380" t="str">
        <f>VLOOKUP($B333,'D7 - NDB Impacted SPRF''s'!$E$16:$O$9929,4,FALSE)</f>
        <v>Completed</v>
      </c>
      <c r="AC333" s="380" t="str">
        <f>VLOOKUP($B333,'D7 - NDB Impacted SPRF''s'!$E$16:$O$9929,3,FALSE)</f>
        <v>Uniprise</v>
      </c>
      <c r="AD333" s="380" t="str">
        <f>VLOOKUP($B333,'D7 - NDB Impacted SPRF''s'!$E$16:$O$9929,5,FALSE)</f>
        <v>Workorder Management</v>
      </c>
      <c r="AE333" s="380" t="str">
        <f>VLOOKUP($B333,'D7 - NDB Impacted SPRF''s'!$E$16:$O$9929,7,FALSE)</f>
        <v>Donna Pooley</v>
      </c>
      <c r="AF333" s="380" t="str">
        <f>VLOOKUP($B333,'D7 - NDB Impacted SPRF''s'!$E$16:$O$9929,6,FALSE)</f>
        <v>Laurie Torres</v>
      </c>
      <c r="AG333" s="282"/>
      <c r="AH333" s="311" t="e">
        <f>INDEX('D5 - Gatekeeper - Projects'!$A$4:$AF$1010,$AM333, 17)</f>
        <v>#N/A</v>
      </c>
      <c r="AI333" s="8"/>
      <c r="AJ333" s="57"/>
      <c r="AK333" s="105"/>
      <c r="AL333" s="216"/>
      <c r="AM333" s="6" t="e">
        <f>MATCH(D333,'D5 - Gatekeeper - Projects'!$C$4:$C$1010,0)</f>
        <v>#N/A</v>
      </c>
      <c r="AN333" s="6" t="b">
        <f t="shared" si="30"/>
        <v>1</v>
      </c>
      <c r="AO333" s="6" t="str">
        <f t="shared" si="33"/>
        <v>OK</v>
      </c>
      <c r="AQ333" s="6" t="e">
        <f>MATCH($D333,'D4 - Provider Council Unsched'!$C$11:$C$234,0)</f>
        <v>#N/A</v>
      </c>
      <c r="AR333" s="6" t="b">
        <f t="shared" si="31"/>
        <v>1</v>
      </c>
      <c r="AS333" s="6" t="str">
        <f t="shared" si="35"/>
        <v>OK</v>
      </c>
      <c r="AU333" s="202"/>
      <c r="AV333" s="262"/>
      <c r="AW333" s="274"/>
    </row>
    <row r="334" spans="1:49" s="13" customFormat="1" ht="33.75" x14ac:dyDescent="0.2">
      <c r="A334" s="14">
        <v>310</v>
      </c>
      <c r="B334" s="14">
        <v>400006518</v>
      </c>
      <c r="C334" s="8" t="s">
        <v>5197</v>
      </c>
      <c r="D334" s="4" t="str">
        <f t="shared" si="32"/>
        <v>400006518R1</v>
      </c>
      <c r="E334" s="309" t="str">
        <f>VLOOKUP($B334,'D7 - NDB Impacted SPRF''s'!$E$6:$O$9929,2,FALSE)</f>
        <v>Macro Updates to Market File</v>
      </c>
      <c r="F334" s="8"/>
      <c r="G334" s="8" t="s">
        <v>4758</v>
      </c>
      <c r="H334" s="8" t="s">
        <v>4246</v>
      </c>
      <c r="I334" s="20">
        <v>0.27</v>
      </c>
      <c r="J334" s="8" t="s">
        <v>4862</v>
      </c>
      <c r="K334" s="182">
        <v>38458</v>
      </c>
      <c r="L334" s="8" t="s">
        <v>4964</v>
      </c>
      <c r="M334" s="8" t="s">
        <v>2814</v>
      </c>
      <c r="N334" s="367"/>
      <c r="O334" s="8"/>
      <c r="P334" s="4" t="str">
        <f>VLOOKUP($B334,'D7 - NDB Impacted SPRF''s'!$E$16:$O$9929,9,FALSE)</f>
        <v>N</v>
      </c>
      <c r="Q334" s="4" t="str">
        <f>VLOOKUP($B334,'D7 - NDB Impacted SPRF''s'!$E$16:$O$9929,10,FALSE)</f>
        <v>N</v>
      </c>
      <c r="R334" s="4" t="str">
        <f>VLOOKUP($B334,'D7 - NDB Impacted SPRF''s'!$E$16:$O$9929,11,FALSE)</f>
        <v>N</v>
      </c>
      <c r="S334" s="8"/>
      <c r="T334" s="310"/>
      <c r="U334" s="310"/>
      <c r="V334" s="4"/>
      <c r="W334" s="4"/>
      <c r="X334" s="4"/>
      <c r="Y334" s="4"/>
      <c r="Z334" s="4"/>
      <c r="AA334" s="4"/>
      <c r="AB334" s="380" t="str">
        <f>VLOOKUP($B334,'D7 - NDB Impacted SPRF''s'!$E$16:$O$9929,4,FALSE)</f>
        <v>Completed</v>
      </c>
      <c r="AC334" s="380" t="str">
        <f>VLOOKUP($B334,'D7 - NDB Impacted SPRF''s'!$E$16:$O$9929,3,FALSE)</f>
        <v>UnitedHealthcare Employer &amp; Individual</v>
      </c>
      <c r="AD334" s="380" t="str">
        <f>VLOOKUP($B334,'D7 - NDB Impacted SPRF''s'!$E$16:$O$9929,5,FALSE)</f>
        <v>Operations Group</v>
      </c>
      <c r="AE334" s="380" t="str">
        <f>VLOOKUP($B334,'D7 - NDB Impacted SPRF''s'!$E$16:$O$9929,7,FALSE)</f>
        <v>Dan Kueter</v>
      </c>
      <c r="AF334" s="380" t="str">
        <f>VLOOKUP($B334,'D7 - NDB Impacted SPRF''s'!$E$16:$O$9929,6,FALSE)</f>
        <v>ROBERT LEE</v>
      </c>
      <c r="AG334" s="282"/>
      <c r="AH334" s="311" t="e">
        <f>INDEX('D5 - Gatekeeper - Projects'!$A$4:$AF$1010,$AM334, 17)</f>
        <v>#N/A</v>
      </c>
      <c r="AI334" s="8"/>
      <c r="AJ334" s="57"/>
      <c r="AK334" s="105"/>
      <c r="AL334" s="216"/>
      <c r="AM334" s="6" t="e">
        <f>MATCH(D334,'D5 - Gatekeeper - Projects'!$C$4:$C$1010,0)</f>
        <v>#N/A</v>
      </c>
      <c r="AN334" s="6" t="b">
        <f t="shared" si="30"/>
        <v>1</v>
      </c>
      <c r="AO334" s="6" t="str">
        <f t="shared" si="33"/>
        <v>OK</v>
      </c>
      <c r="AQ334" s="6" t="e">
        <f>MATCH($D334,'D4 - Provider Council Unsched'!$C$11:$C$234,0)</f>
        <v>#N/A</v>
      </c>
      <c r="AR334" s="6" t="b">
        <f t="shared" si="31"/>
        <v>1</v>
      </c>
      <c r="AS334" s="6" t="str">
        <f t="shared" si="35"/>
        <v>OK</v>
      </c>
      <c r="AU334" s="202"/>
      <c r="AV334" s="262"/>
      <c r="AW334" s="274"/>
    </row>
    <row r="335" spans="1:49" s="13" customFormat="1" ht="33.75" x14ac:dyDescent="0.2">
      <c r="A335" s="14">
        <v>311</v>
      </c>
      <c r="B335" s="14">
        <v>400007106</v>
      </c>
      <c r="C335" s="8" t="s">
        <v>5197</v>
      </c>
      <c r="D335" s="4" t="str">
        <f t="shared" si="32"/>
        <v>400007106R1</v>
      </c>
      <c r="E335" s="309" t="str">
        <f>VLOOKUP($B335,'D7 - NDB Impacted SPRF''s'!$E$6:$O$9929,2,FALSE)</f>
        <v>send NDB extract files to different server</v>
      </c>
      <c r="F335" s="8" t="s">
        <v>3235</v>
      </c>
      <c r="G335" s="8" t="s">
        <v>4758</v>
      </c>
      <c r="H335" s="8" t="s">
        <v>4246</v>
      </c>
      <c r="I335" s="20">
        <v>7.0000000000000007E-2</v>
      </c>
      <c r="J335" s="8" t="s">
        <v>4862</v>
      </c>
      <c r="K335" s="182">
        <v>38458</v>
      </c>
      <c r="L335" s="8" t="s">
        <v>4964</v>
      </c>
      <c r="M335" s="8" t="s">
        <v>2814</v>
      </c>
      <c r="N335" s="367"/>
      <c r="O335" s="8"/>
      <c r="P335" s="4" t="str">
        <f>VLOOKUP($B335,'D7 - NDB Impacted SPRF''s'!$E$16:$O$9929,9,FALSE)</f>
        <v>N</v>
      </c>
      <c r="Q335" s="4" t="str">
        <f>VLOOKUP($B335,'D7 - NDB Impacted SPRF''s'!$E$16:$O$9929,10,FALSE)</f>
        <v>N</v>
      </c>
      <c r="R335" s="4" t="str">
        <f>VLOOKUP($B335,'D7 - NDB Impacted SPRF''s'!$E$16:$O$9929,11,FALSE)</f>
        <v>N</v>
      </c>
      <c r="S335" s="8"/>
      <c r="T335" s="310"/>
      <c r="U335" s="310"/>
      <c r="V335" s="4"/>
      <c r="W335" s="4"/>
      <c r="X335" s="4"/>
      <c r="Y335" s="4"/>
      <c r="Z335" s="4"/>
      <c r="AA335" s="4"/>
      <c r="AB335" s="380" t="str">
        <f>VLOOKUP($B335,'D7 - NDB Impacted SPRF''s'!$E$16:$O$9929,4,FALSE)</f>
        <v>Completed</v>
      </c>
      <c r="AC335" s="380" t="str">
        <f>VLOOKUP($B335,'D7 - NDB Impacted SPRF''s'!$E$16:$O$9929,3,FALSE)</f>
        <v>UnitedHealthcare Employer &amp; Individual</v>
      </c>
      <c r="AD335" s="380" t="str">
        <f>VLOOKUP($B335,'D7 - NDB Impacted SPRF''s'!$E$16:$O$9929,5,FALSE)</f>
        <v>Operations Group</v>
      </c>
      <c r="AE335" s="380" t="str">
        <f>VLOOKUP($B335,'D7 - NDB Impacted SPRF''s'!$E$16:$O$9929,7,FALSE)</f>
        <v>peter bompane</v>
      </c>
      <c r="AF335" s="380" t="str">
        <f>VLOOKUP($B335,'D7 - NDB Impacted SPRF''s'!$E$16:$O$9929,6,FALSE)</f>
        <v>Patrick Schwartz</v>
      </c>
      <c r="AG335" s="282"/>
      <c r="AH335" s="311" t="e">
        <f>INDEX('D5 - Gatekeeper - Projects'!$A$4:$AF$1010,$AM335, 17)</f>
        <v>#N/A</v>
      </c>
      <c r="AI335" s="8"/>
      <c r="AJ335" s="57"/>
      <c r="AK335" s="105"/>
      <c r="AL335" s="216"/>
      <c r="AM335" s="6" t="e">
        <f>MATCH(D335,'D5 - Gatekeeper - Projects'!$C$4:$C$1010,0)</f>
        <v>#N/A</v>
      </c>
      <c r="AN335" s="6" t="b">
        <f t="shared" si="30"/>
        <v>1</v>
      </c>
      <c r="AO335" s="6" t="str">
        <f t="shared" si="33"/>
        <v>OK</v>
      </c>
      <c r="AQ335" s="6" t="e">
        <f>MATCH($D335,'D4 - Provider Council Unsched'!$C$11:$C$234,0)</f>
        <v>#N/A</v>
      </c>
      <c r="AR335" s="6" t="b">
        <f t="shared" si="31"/>
        <v>1</v>
      </c>
      <c r="AS335" s="6" t="str">
        <f t="shared" si="35"/>
        <v>OK</v>
      </c>
      <c r="AU335" s="202"/>
      <c r="AV335" s="262"/>
      <c r="AW335" s="274"/>
    </row>
    <row r="336" spans="1:49" s="13" customFormat="1" ht="33.75" x14ac:dyDescent="0.2">
      <c r="A336" s="14">
        <v>312</v>
      </c>
      <c r="B336" s="14">
        <v>400001058</v>
      </c>
      <c r="C336" s="8" t="s">
        <v>5197</v>
      </c>
      <c r="D336" s="4" t="str">
        <f t="shared" si="32"/>
        <v>400001058R1</v>
      </c>
      <c r="E336" s="309" t="str">
        <f>VLOOKUP($B336,'D7 - NDB Impacted SPRF''s'!$E$6:$O$9929,2,FALSE)</f>
        <v>Auto-Adjudication - Diagnosis / Cause Code Table</v>
      </c>
      <c r="F336" s="8"/>
      <c r="G336" s="8" t="s">
        <v>4758</v>
      </c>
      <c r="H336" s="8" t="s">
        <v>4246</v>
      </c>
      <c r="I336" s="20">
        <v>3.78</v>
      </c>
      <c r="J336" s="8" t="s">
        <v>4862</v>
      </c>
      <c r="K336" s="182">
        <v>38493</v>
      </c>
      <c r="L336" s="8" t="s">
        <v>4964</v>
      </c>
      <c r="M336" s="8" t="s">
        <v>2814</v>
      </c>
      <c r="N336" s="367" t="s">
        <v>6926</v>
      </c>
      <c r="O336" s="8"/>
      <c r="P336" s="4" t="str">
        <f>VLOOKUP($B336,'D7 - NDB Impacted SPRF''s'!$E$16:$O$9929,9,FALSE)</f>
        <v>Y</v>
      </c>
      <c r="Q336" s="4" t="str">
        <f>VLOOKUP($B336,'D7 - NDB Impacted SPRF''s'!$E$16:$O$9929,10,FALSE)</f>
        <v>N</v>
      </c>
      <c r="R336" s="4" t="str">
        <f>VLOOKUP($B336,'D7 - NDB Impacted SPRF''s'!$E$16:$O$9929,11,FALSE)</f>
        <v>N</v>
      </c>
      <c r="S336" s="8"/>
      <c r="T336" s="310"/>
      <c r="U336" s="310"/>
      <c r="V336" s="4"/>
      <c r="W336" s="4"/>
      <c r="X336" s="4"/>
      <c r="Y336" s="4"/>
      <c r="Z336" s="4"/>
      <c r="AA336" s="4"/>
      <c r="AB336" s="380" t="str">
        <f>VLOOKUP($B336,'D7 - NDB Impacted SPRF''s'!$E$16:$O$9929,4,FALSE)</f>
        <v>Cancelled</v>
      </c>
      <c r="AC336" s="380" t="str">
        <f>VLOOKUP($B336,'D7 - NDB Impacted SPRF''s'!$E$16:$O$9929,3,FALSE)</f>
        <v>UnitedHealthcare Employer &amp; Individual</v>
      </c>
      <c r="AD336" s="380" t="str">
        <f>VLOOKUP($B336,'D7 - NDB Impacted SPRF''s'!$E$16:$O$9929,5,FALSE)</f>
        <v>Operational Requirements</v>
      </c>
      <c r="AE336" s="380" t="str">
        <f>VLOOKUP($B336,'D7 - NDB Impacted SPRF''s'!$E$16:$O$9929,7,FALSE)</f>
        <v>Tom O'Brien</v>
      </c>
      <c r="AF336" s="380" t="str">
        <f>VLOOKUP($B336,'D7 - NDB Impacted SPRF''s'!$E$16:$O$9929,6,FALSE)</f>
        <v>Rob Schleinitz</v>
      </c>
      <c r="AG336" s="282"/>
      <c r="AH336" s="311" t="e">
        <f>INDEX('D5 - Gatekeeper - Projects'!$A$4:$AF$1010,$AM336, 17)</f>
        <v>#N/A</v>
      </c>
      <c r="AI336" s="8"/>
      <c r="AJ336" s="57"/>
      <c r="AK336" s="105"/>
      <c r="AL336" s="216"/>
      <c r="AM336" s="6" t="e">
        <f>MATCH(D336,'D5 - Gatekeeper - Projects'!$C$4:$C$1010,0)</f>
        <v>#N/A</v>
      </c>
      <c r="AN336" s="6" t="b">
        <f t="shared" si="30"/>
        <v>1</v>
      </c>
      <c r="AO336" s="6" t="str">
        <f t="shared" si="33"/>
        <v>OK</v>
      </c>
      <c r="AQ336" s="6" t="e">
        <f>MATCH($D336,'D4 - Provider Council Unsched'!$C$11:$C$234,0)</f>
        <v>#N/A</v>
      </c>
      <c r="AR336" s="6" t="b">
        <f t="shared" si="31"/>
        <v>1</v>
      </c>
      <c r="AS336" s="6" t="str">
        <f t="shared" si="35"/>
        <v>OK</v>
      </c>
      <c r="AU336" s="202"/>
      <c r="AV336" s="262"/>
      <c r="AW336" s="274"/>
    </row>
    <row r="337" spans="1:49" s="13" customFormat="1" ht="11.25" customHeight="1" x14ac:dyDescent="0.2">
      <c r="A337" s="14">
        <v>313</v>
      </c>
      <c r="B337" s="14">
        <v>400004805</v>
      </c>
      <c r="C337" s="8" t="s">
        <v>5197</v>
      </c>
      <c r="D337" s="4" t="str">
        <f t="shared" si="32"/>
        <v>400004805R1</v>
      </c>
      <c r="E337" s="309" t="str">
        <f>VLOOKUP($B337,'D7 - NDB Impacted SPRF''s'!$E$6:$O$9929,2,FALSE)</f>
        <v>Subrogation Diagnosis Maintenance Screen</v>
      </c>
      <c r="F337" s="8"/>
      <c r="G337" s="8" t="s">
        <v>4758</v>
      </c>
      <c r="H337" s="8" t="s">
        <v>4246</v>
      </c>
      <c r="I337" s="20">
        <v>12.3</v>
      </c>
      <c r="J337" s="8" t="s">
        <v>4862</v>
      </c>
      <c r="K337" s="182">
        <v>38493</v>
      </c>
      <c r="L337" s="8" t="s">
        <v>4964</v>
      </c>
      <c r="M337" s="8" t="s">
        <v>2814</v>
      </c>
      <c r="N337" s="367"/>
      <c r="O337" s="8"/>
      <c r="P337" s="4" t="str">
        <f>VLOOKUP($B337,'D7 - NDB Impacted SPRF''s'!$E$16:$O$9929,9,FALSE)</f>
        <v>Y</v>
      </c>
      <c r="Q337" s="4" t="str">
        <f>VLOOKUP($B337,'D7 - NDB Impacted SPRF''s'!$E$16:$O$9929,10,FALSE)</f>
        <v>N</v>
      </c>
      <c r="R337" s="4" t="str">
        <f>VLOOKUP($B337,'D7 - NDB Impacted SPRF''s'!$E$16:$O$9929,11,FALSE)</f>
        <v>N</v>
      </c>
      <c r="S337" s="8"/>
      <c r="T337" s="310"/>
      <c r="U337" s="310"/>
      <c r="V337" s="4"/>
      <c r="W337" s="4"/>
      <c r="X337" s="4"/>
      <c r="Y337" s="4"/>
      <c r="Z337" s="4"/>
      <c r="AA337" s="4"/>
      <c r="AB337" s="380" t="str">
        <f>VLOOKUP($B337,'D7 - NDB Impacted SPRF''s'!$E$16:$O$9929,4,FALSE)</f>
        <v>Completed</v>
      </c>
      <c r="AC337" s="380" t="str">
        <f>VLOOKUP($B337,'D7 - NDB Impacted SPRF''s'!$E$16:$O$9929,3,FALSE)</f>
        <v>UnitedHealthcare Employer &amp; Individual</v>
      </c>
      <c r="AD337" s="380" t="str">
        <f>VLOOKUP($B337,'D7 - NDB Impacted SPRF''s'!$E$16:$O$9929,5,FALSE)</f>
        <v>Operations Group</v>
      </c>
      <c r="AE337" s="380" t="str">
        <f>VLOOKUP($B337,'D7 - NDB Impacted SPRF''s'!$E$16:$O$9929,7,FALSE)</f>
        <v>John Cravero</v>
      </c>
      <c r="AF337" s="380" t="str">
        <f>VLOOKUP($B337,'D7 - NDB Impacted SPRF''s'!$E$16:$O$9929,6,FALSE)</f>
        <v>Scott Behnke</v>
      </c>
      <c r="AG337" s="282"/>
      <c r="AH337" s="311" t="e">
        <f>INDEX('D5 - Gatekeeper - Projects'!$A$4:$AF$1010,$AM337, 17)</f>
        <v>#N/A</v>
      </c>
      <c r="AI337" s="8"/>
      <c r="AJ337" s="57"/>
      <c r="AK337" s="105"/>
      <c r="AL337" s="216"/>
      <c r="AM337" s="6" t="e">
        <f>MATCH(D337,'D5 - Gatekeeper - Projects'!$C$4:$C$1010,0)</f>
        <v>#N/A</v>
      </c>
      <c r="AN337" s="6" t="b">
        <f t="shared" ref="AN337:AN400" si="36">ISERROR(AM337)</f>
        <v>1</v>
      </c>
      <c r="AO337" s="6" t="str">
        <f t="shared" si="33"/>
        <v>OK</v>
      </c>
      <c r="AQ337" s="6" t="e">
        <f>MATCH($D337,'D4 - Provider Council Unsched'!$C$11:$C$234,0)</f>
        <v>#N/A</v>
      </c>
      <c r="AR337" s="6" t="b">
        <f t="shared" ref="AR337:AR400" si="37">ISERROR(AQ337)</f>
        <v>1</v>
      </c>
      <c r="AS337" s="6" t="str">
        <f t="shared" si="35"/>
        <v>OK</v>
      </c>
      <c r="AU337" s="202"/>
      <c r="AV337" s="262"/>
      <c r="AW337" s="274"/>
    </row>
    <row r="338" spans="1:49" s="13" customFormat="1" x14ac:dyDescent="0.2">
      <c r="A338" s="14">
        <v>314</v>
      </c>
      <c r="B338" s="14">
        <v>400005810</v>
      </c>
      <c r="C338" s="8" t="s">
        <v>5197</v>
      </c>
      <c r="D338" s="4" t="str">
        <f t="shared" ref="D338:D401" si="38">CONCATENATE(B338,C338)</f>
        <v>400005810R1</v>
      </c>
      <c r="E338" s="309" t="str">
        <f>VLOOKUP($B338,'D7 - NDB Impacted SPRF''s'!$E$6:$O$9929,2,FALSE)</f>
        <v>May 2005 Southbury Data Center DR Exercise</v>
      </c>
      <c r="F338" s="8" t="s">
        <v>8133</v>
      </c>
      <c r="G338" s="8" t="s">
        <v>4758</v>
      </c>
      <c r="H338" s="8" t="s">
        <v>4246</v>
      </c>
      <c r="I338" s="20">
        <v>0.53</v>
      </c>
      <c r="J338" s="8" t="s">
        <v>4862</v>
      </c>
      <c r="K338" s="182">
        <v>38493</v>
      </c>
      <c r="L338" s="8" t="s">
        <v>4964</v>
      </c>
      <c r="M338" s="8" t="s">
        <v>2814</v>
      </c>
      <c r="N338" s="367"/>
      <c r="O338" s="8"/>
      <c r="P338" s="4" t="str">
        <f>VLOOKUP($B338,'D7 - NDB Impacted SPRF''s'!$E$16:$O$9929,9,FALSE)</f>
        <v>Y</v>
      </c>
      <c r="Q338" s="4" t="str">
        <f>VLOOKUP($B338,'D7 - NDB Impacted SPRF''s'!$E$16:$O$9929,10,FALSE)</f>
        <v>N</v>
      </c>
      <c r="R338" s="4" t="str">
        <f>VLOOKUP($B338,'D7 - NDB Impacted SPRF''s'!$E$16:$O$9929,11,FALSE)</f>
        <v>N</v>
      </c>
      <c r="S338" s="8"/>
      <c r="T338" s="310"/>
      <c r="U338" s="310"/>
      <c r="V338" s="4"/>
      <c r="W338" s="4"/>
      <c r="X338" s="4"/>
      <c r="Y338" s="4"/>
      <c r="Z338" s="4"/>
      <c r="AA338" s="4"/>
      <c r="AB338" s="380" t="str">
        <f>VLOOKUP($B338,'D7 - NDB Impacted SPRF''s'!$E$16:$O$9929,4,FALSE)</f>
        <v>Completed</v>
      </c>
      <c r="AC338" s="380" t="str">
        <f>VLOOKUP($B338,'D7 - NDB Impacted SPRF''s'!$E$16:$O$9929,3,FALSE)</f>
        <v>Uniprise</v>
      </c>
      <c r="AD338" s="380" t="str">
        <f>VLOOKUP($B338,'D7 - NDB Impacted SPRF''s'!$E$16:$O$9929,5,FALSE)</f>
        <v>Uniprise Technologies - DDC</v>
      </c>
      <c r="AE338" s="380" t="str">
        <f>VLOOKUP($B338,'D7 - NDB Impacted SPRF''s'!$E$16:$O$9929,7,FALSE)</f>
        <v xml:space="preserve">John Santelli </v>
      </c>
      <c r="AF338" s="380" t="str">
        <f>VLOOKUP($B338,'D7 - NDB Impacted SPRF''s'!$E$16:$O$9929,6,FALSE)</f>
        <v>Ron Bakowski</v>
      </c>
      <c r="AG338" s="282"/>
      <c r="AH338" s="311" t="e">
        <f>INDEX('D5 - Gatekeeper - Projects'!$A$4:$AF$1010,$AM338, 17)</f>
        <v>#N/A</v>
      </c>
      <c r="AI338" s="8"/>
      <c r="AJ338" s="57"/>
      <c r="AK338" s="105"/>
      <c r="AL338" s="216"/>
      <c r="AM338" s="6" t="e">
        <f>MATCH(D338,'D5 - Gatekeeper - Projects'!$C$4:$C$1010,0)</f>
        <v>#N/A</v>
      </c>
      <c r="AN338" s="6" t="b">
        <f t="shared" si="36"/>
        <v>1</v>
      </c>
      <c r="AO338" s="6" t="str">
        <f t="shared" ref="AO338:AO401" si="39">IF(AND(H338="1 - Scheduled",AN338=TRUE),"Add","OK")</f>
        <v>OK</v>
      </c>
      <c r="AQ338" s="6" t="e">
        <f>MATCH($D338,'D4 - Provider Council Unsched'!$C$11:$C$234,0)</f>
        <v>#N/A</v>
      </c>
      <c r="AR338" s="6" t="b">
        <f t="shared" si="37"/>
        <v>1</v>
      </c>
      <c r="AS338" s="6" t="str">
        <f t="shared" si="35"/>
        <v>OK</v>
      </c>
      <c r="AU338" s="202"/>
      <c r="AV338" s="262"/>
      <c r="AW338" s="274"/>
    </row>
    <row r="339" spans="1:49" s="13" customFormat="1" x14ac:dyDescent="0.2">
      <c r="A339" s="14">
        <v>315</v>
      </c>
      <c r="B339" s="14">
        <v>400005810</v>
      </c>
      <c r="C339" s="8" t="s">
        <v>3793</v>
      </c>
      <c r="D339" s="4" t="str">
        <f t="shared" si="38"/>
        <v>400005810U</v>
      </c>
      <c r="E339" s="309" t="str">
        <f>VLOOKUP($B339,'D7 - NDB Impacted SPRF''s'!$E$6:$O$9929,2,FALSE)</f>
        <v>May 2005 Southbury Data Center DR Exercise</v>
      </c>
      <c r="F339" s="8" t="s">
        <v>8133</v>
      </c>
      <c r="G339" s="8" t="s">
        <v>4758</v>
      </c>
      <c r="H339" s="8" t="s">
        <v>4246</v>
      </c>
      <c r="I339" s="20">
        <v>0.53</v>
      </c>
      <c r="J339" s="8" t="s">
        <v>4862</v>
      </c>
      <c r="K339" s="182">
        <v>38493</v>
      </c>
      <c r="L339" s="8" t="s">
        <v>4964</v>
      </c>
      <c r="M339" s="8" t="s">
        <v>2814</v>
      </c>
      <c r="N339" s="367"/>
      <c r="O339" s="8"/>
      <c r="P339" s="4" t="str">
        <f>VLOOKUP($B339,'D7 - NDB Impacted SPRF''s'!$E$16:$O$9929,9,FALSE)</f>
        <v>Y</v>
      </c>
      <c r="Q339" s="4" t="str">
        <f>VLOOKUP($B339,'D7 - NDB Impacted SPRF''s'!$E$16:$O$9929,10,FALSE)</f>
        <v>N</v>
      </c>
      <c r="R339" s="4" t="str">
        <f>VLOOKUP($B339,'D7 - NDB Impacted SPRF''s'!$E$16:$O$9929,11,FALSE)</f>
        <v>N</v>
      </c>
      <c r="S339" s="8"/>
      <c r="T339" s="310"/>
      <c r="U339" s="310"/>
      <c r="V339" s="4"/>
      <c r="W339" s="4"/>
      <c r="X339" s="4"/>
      <c r="Y339" s="4"/>
      <c r="Z339" s="4"/>
      <c r="AA339" s="4"/>
      <c r="AB339" s="380" t="str">
        <f>VLOOKUP($B339,'D7 - NDB Impacted SPRF''s'!$E$16:$O$9929,4,FALSE)</f>
        <v>Completed</v>
      </c>
      <c r="AC339" s="380" t="str">
        <f>VLOOKUP($B339,'D7 - NDB Impacted SPRF''s'!$E$16:$O$9929,3,FALSE)</f>
        <v>Uniprise</v>
      </c>
      <c r="AD339" s="380" t="str">
        <f>VLOOKUP($B339,'D7 - NDB Impacted SPRF''s'!$E$16:$O$9929,5,FALSE)</f>
        <v>Uniprise Technologies - DDC</v>
      </c>
      <c r="AE339" s="380" t="str">
        <f>VLOOKUP($B339,'D7 - NDB Impacted SPRF''s'!$E$16:$O$9929,7,FALSE)</f>
        <v xml:space="preserve">John Santelli </v>
      </c>
      <c r="AF339" s="380" t="str">
        <f>VLOOKUP($B339,'D7 - NDB Impacted SPRF''s'!$E$16:$O$9929,6,FALSE)</f>
        <v>Ron Bakowski</v>
      </c>
      <c r="AG339" s="282"/>
      <c r="AH339" s="311" t="e">
        <f>INDEX('D5 - Gatekeeper - Projects'!$A$4:$AF$1010,$AM339, 17)</f>
        <v>#N/A</v>
      </c>
      <c r="AI339" s="8"/>
      <c r="AJ339" s="57"/>
      <c r="AK339" s="105"/>
      <c r="AL339" s="216"/>
      <c r="AM339" s="6" t="e">
        <f>MATCH(D339,'D5 - Gatekeeper - Projects'!$C$4:$C$1010,0)</f>
        <v>#N/A</v>
      </c>
      <c r="AN339" s="6" t="b">
        <f t="shared" si="36"/>
        <v>1</v>
      </c>
      <c r="AO339" s="6" t="str">
        <f t="shared" si="39"/>
        <v>OK</v>
      </c>
      <c r="AQ339" s="6" t="e">
        <f>MATCH($D339,'D4 - Provider Council Unsched'!$C$11:$C$234,0)</f>
        <v>#N/A</v>
      </c>
      <c r="AR339" s="6" t="b">
        <f t="shared" si="37"/>
        <v>1</v>
      </c>
      <c r="AS339" s="6" t="str">
        <f t="shared" si="35"/>
        <v>OK</v>
      </c>
      <c r="AU339" s="202"/>
      <c r="AV339" s="262"/>
      <c r="AW339" s="274"/>
    </row>
    <row r="340" spans="1:49" s="13" customFormat="1" ht="11.25" customHeight="1" x14ac:dyDescent="0.2">
      <c r="A340" s="14">
        <v>316</v>
      </c>
      <c r="B340" s="14">
        <v>400005930</v>
      </c>
      <c r="C340" s="8" t="s">
        <v>5197</v>
      </c>
      <c r="D340" s="4" t="str">
        <f t="shared" si="38"/>
        <v>400005930R1</v>
      </c>
      <c r="E340" s="309" t="str">
        <f>VLOOKUP($B340,'D7 - NDB Impacted SPRF''s'!$E$6:$O$9929,2,FALSE)</f>
        <v>Oxford EPDL Data Load</v>
      </c>
      <c r="F340" s="8" t="s">
        <v>2519</v>
      </c>
      <c r="G340" s="8" t="s">
        <v>4758</v>
      </c>
      <c r="H340" s="8" t="s">
        <v>4246</v>
      </c>
      <c r="I340" s="20">
        <v>1.07</v>
      </c>
      <c r="J340" s="8" t="s">
        <v>4862</v>
      </c>
      <c r="K340" s="182">
        <v>38493</v>
      </c>
      <c r="L340" s="8" t="s">
        <v>4964</v>
      </c>
      <c r="M340" s="8" t="s">
        <v>2814</v>
      </c>
      <c r="N340" s="367"/>
      <c r="O340" s="8"/>
      <c r="P340" s="4" t="str">
        <f>VLOOKUP($B340,'D7 - NDB Impacted SPRF''s'!$E$16:$O$9929,9,FALSE)</f>
        <v>N</v>
      </c>
      <c r="Q340" s="4" t="str">
        <f>VLOOKUP($B340,'D7 - NDB Impacted SPRF''s'!$E$16:$O$9929,10,FALSE)</f>
        <v>N</v>
      </c>
      <c r="R340" s="4" t="str">
        <f>VLOOKUP($B340,'D7 - NDB Impacted SPRF''s'!$E$16:$O$9929,11,FALSE)</f>
        <v>N</v>
      </c>
      <c r="S340" s="8"/>
      <c r="T340" s="310"/>
      <c r="U340" s="310"/>
      <c r="V340" s="4"/>
      <c r="W340" s="4"/>
      <c r="X340" s="4"/>
      <c r="Y340" s="4"/>
      <c r="Z340" s="4"/>
      <c r="AA340" s="4"/>
      <c r="AB340" s="380" t="str">
        <f>VLOOKUP($B340,'D7 - NDB Impacted SPRF''s'!$E$16:$O$9929,4,FALSE)</f>
        <v>Completed</v>
      </c>
      <c r="AC340" s="380" t="str">
        <f>VLOOKUP($B340,'D7 - NDB Impacted SPRF''s'!$E$16:$O$9929,3,FALSE)</f>
        <v>UnitedHealthcare Employer &amp; Individual</v>
      </c>
      <c r="AD340" s="380" t="str">
        <f>VLOOKUP($B340,'D7 - NDB Impacted SPRF''s'!$E$16:$O$9929,5,FALSE)</f>
        <v>Operations Group</v>
      </c>
      <c r="AE340" s="380" t="str">
        <f>VLOOKUP($B340,'D7 - NDB Impacted SPRF''s'!$E$16:$O$9929,7,FALSE)</f>
        <v>Stevan Garcia</v>
      </c>
      <c r="AF340" s="380" t="str">
        <f>VLOOKUP($B340,'D7 - NDB Impacted SPRF''s'!$E$16:$O$9929,6,FALSE)</f>
        <v>Barbara Dickson</v>
      </c>
      <c r="AG340" s="282"/>
      <c r="AH340" s="311" t="e">
        <f>INDEX('D5 - Gatekeeper - Projects'!$A$4:$AF$1010,$AM340, 17)</f>
        <v>#N/A</v>
      </c>
      <c r="AI340" s="8"/>
      <c r="AJ340" s="57"/>
      <c r="AK340" s="105"/>
      <c r="AL340" s="216"/>
      <c r="AM340" s="6" t="e">
        <f>MATCH(D340,'D5 - Gatekeeper - Projects'!$C$4:$C$1010,0)</f>
        <v>#N/A</v>
      </c>
      <c r="AN340" s="6" t="b">
        <f t="shared" si="36"/>
        <v>1</v>
      </c>
      <c r="AO340" s="6" t="str">
        <f t="shared" si="39"/>
        <v>OK</v>
      </c>
      <c r="AQ340" s="6" t="e">
        <f>MATCH($D340,'D4 - Provider Council Unsched'!$C$11:$C$234,0)</f>
        <v>#N/A</v>
      </c>
      <c r="AR340" s="6" t="b">
        <f t="shared" si="37"/>
        <v>1</v>
      </c>
      <c r="AS340" s="6" t="str">
        <f t="shared" si="35"/>
        <v>OK</v>
      </c>
      <c r="AU340" s="202"/>
      <c r="AV340" s="262"/>
      <c r="AW340" s="274"/>
    </row>
    <row r="341" spans="1:49" s="13" customFormat="1" ht="33.75" x14ac:dyDescent="0.2">
      <c r="A341" s="14">
        <v>317</v>
      </c>
      <c r="B341" s="14">
        <v>400006062</v>
      </c>
      <c r="C341" s="8" t="s">
        <v>5197</v>
      </c>
      <c r="D341" s="4" t="str">
        <f t="shared" si="38"/>
        <v>400006062R1</v>
      </c>
      <c r="E341" s="309" t="str">
        <f>VLOOKUP($B341,'D7 - NDB Impacted SPRF''s'!$E$6:$O$9929,2,FALSE)</f>
        <v>Multiple MPINS to same Prefix, Tin, Suffix Report</v>
      </c>
      <c r="F341" s="8"/>
      <c r="G341" s="8" t="s">
        <v>4758</v>
      </c>
      <c r="H341" s="8" t="s">
        <v>4246</v>
      </c>
      <c r="I341" s="20">
        <v>0.27</v>
      </c>
      <c r="J341" s="8" t="s">
        <v>4862</v>
      </c>
      <c r="K341" s="182">
        <v>38493</v>
      </c>
      <c r="L341" s="8" t="s">
        <v>4964</v>
      </c>
      <c r="M341" s="8" t="s">
        <v>2814</v>
      </c>
      <c r="N341" s="367"/>
      <c r="O341" s="8"/>
      <c r="P341" s="4" t="str">
        <f>VLOOKUP($B341,'D7 - NDB Impacted SPRF''s'!$E$16:$O$9929,9,FALSE)</f>
        <v>N</v>
      </c>
      <c r="Q341" s="4" t="str">
        <f>VLOOKUP($B341,'D7 - NDB Impacted SPRF''s'!$E$16:$O$9929,10,FALSE)</f>
        <v>N</v>
      </c>
      <c r="R341" s="4" t="str">
        <f>VLOOKUP($B341,'D7 - NDB Impacted SPRF''s'!$E$16:$O$9929,11,FALSE)</f>
        <v>N</v>
      </c>
      <c r="S341" s="8"/>
      <c r="T341" s="310"/>
      <c r="U341" s="310"/>
      <c r="V341" s="4"/>
      <c r="W341" s="4"/>
      <c r="X341" s="4"/>
      <c r="Y341" s="4"/>
      <c r="Z341" s="4"/>
      <c r="AA341" s="4"/>
      <c r="AB341" s="380" t="str">
        <f>VLOOKUP($B341,'D7 - NDB Impacted SPRF''s'!$E$16:$O$9929,4,FALSE)</f>
        <v>Completed</v>
      </c>
      <c r="AC341" s="380" t="str">
        <f>VLOOKUP($B341,'D7 - NDB Impacted SPRF''s'!$E$16:$O$9929,3,FALSE)</f>
        <v>UnitedHealthcare Employer &amp; Individual</v>
      </c>
      <c r="AD341" s="380" t="str">
        <f>VLOOKUP($B341,'D7 - NDB Impacted SPRF''s'!$E$16:$O$9929,5,FALSE)</f>
        <v>Operations Group</v>
      </c>
      <c r="AE341" s="380" t="str">
        <f>VLOOKUP($B341,'D7 - NDB Impacted SPRF''s'!$E$16:$O$9929,7,FALSE)</f>
        <v>Tim Kaja</v>
      </c>
      <c r="AF341" s="380" t="str">
        <f>VLOOKUP($B341,'D7 - NDB Impacted SPRF''s'!$E$16:$O$9929,6,FALSE)</f>
        <v>Rigina Stewart</v>
      </c>
      <c r="AG341" s="282"/>
      <c r="AH341" s="311" t="e">
        <f>INDEX('D5 - Gatekeeper - Projects'!$A$4:$AF$1010,$AM341, 17)</f>
        <v>#N/A</v>
      </c>
      <c r="AI341" s="8"/>
      <c r="AJ341" s="57"/>
      <c r="AK341" s="105"/>
      <c r="AL341" s="216"/>
      <c r="AM341" s="6" t="e">
        <f>MATCH(D341,'D5 - Gatekeeper - Projects'!$C$4:$C$1010,0)</f>
        <v>#N/A</v>
      </c>
      <c r="AN341" s="6" t="b">
        <f t="shared" si="36"/>
        <v>1</v>
      </c>
      <c r="AO341" s="6" t="str">
        <f t="shared" si="39"/>
        <v>OK</v>
      </c>
      <c r="AQ341" s="6" t="e">
        <f>MATCH($D341,'D4 - Provider Council Unsched'!$C$11:$C$234,0)</f>
        <v>#N/A</v>
      </c>
      <c r="AR341" s="6" t="b">
        <f t="shared" si="37"/>
        <v>1</v>
      </c>
      <c r="AS341" s="6" t="str">
        <f t="shared" si="35"/>
        <v>OK</v>
      </c>
      <c r="AU341" s="202"/>
      <c r="AV341" s="262"/>
      <c r="AW341" s="274"/>
    </row>
    <row r="342" spans="1:49" s="13" customFormat="1" ht="33.75" x14ac:dyDescent="0.2">
      <c r="A342" s="14">
        <v>318</v>
      </c>
      <c r="B342" s="14">
        <v>400006943</v>
      </c>
      <c r="C342" s="8" t="s">
        <v>5197</v>
      </c>
      <c r="D342" s="4" t="str">
        <f t="shared" si="38"/>
        <v>400006943R1</v>
      </c>
      <c r="E342" s="309" t="str">
        <f>VLOOKUP($B342,'D7 - NDB Impacted SPRF''s'!$E$6:$O$9929,2,FALSE)</f>
        <v>AARP Provider Feed to SOURCECORP</v>
      </c>
      <c r="F342" s="8" t="s">
        <v>3235</v>
      </c>
      <c r="G342" s="8" t="s">
        <v>4758</v>
      </c>
      <c r="H342" s="8" t="s">
        <v>4246</v>
      </c>
      <c r="I342" s="20">
        <v>0.13</v>
      </c>
      <c r="J342" s="8" t="s">
        <v>4862</v>
      </c>
      <c r="K342" s="182">
        <v>38493</v>
      </c>
      <c r="L342" s="8" t="s">
        <v>4964</v>
      </c>
      <c r="M342" s="8" t="s">
        <v>2814</v>
      </c>
      <c r="N342" s="367"/>
      <c r="O342" s="8"/>
      <c r="P342" s="4" t="str">
        <f>VLOOKUP($B342,'D7 - NDB Impacted SPRF''s'!$E$16:$O$9929,9,FALSE)</f>
        <v>N</v>
      </c>
      <c r="Q342" s="4" t="str">
        <f>VLOOKUP($B342,'D7 - NDB Impacted SPRF''s'!$E$16:$O$9929,10,FALSE)</f>
        <v>N</v>
      </c>
      <c r="R342" s="4" t="str">
        <f>VLOOKUP($B342,'D7 - NDB Impacted SPRF''s'!$E$16:$O$9929,11,FALSE)</f>
        <v>N</v>
      </c>
      <c r="S342" s="8"/>
      <c r="T342" s="310"/>
      <c r="U342" s="310"/>
      <c r="V342" s="4"/>
      <c r="W342" s="4"/>
      <c r="X342" s="4"/>
      <c r="Y342" s="4"/>
      <c r="Z342" s="4"/>
      <c r="AA342" s="4"/>
      <c r="AB342" s="380" t="str">
        <f>VLOOKUP($B342,'D7 - NDB Impacted SPRF''s'!$E$16:$O$9929,4,FALSE)</f>
        <v>Completed</v>
      </c>
      <c r="AC342" s="380" t="str">
        <f>VLOOKUP($B342,'D7 - NDB Impacted SPRF''s'!$E$16:$O$9929,3,FALSE)</f>
        <v>UnitedHealthcare Medicare &amp; Retirement</v>
      </c>
      <c r="AD342" s="380" t="str">
        <f>VLOOKUP($B342,'D7 - NDB Impacted SPRF''s'!$E$16:$O$9929,5,FALSE)</f>
        <v>XXNon-COG</v>
      </c>
      <c r="AE342" s="380" t="str">
        <f>VLOOKUP($B342,'D7 - NDB Impacted SPRF''s'!$E$16:$O$9929,7,FALSE)</f>
        <v>Mary Stenberg</v>
      </c>
      <c r="AF342" s="380" t="str">
        <f>VLOOKUP($B342,'D7 - NDB Impacted SPRF''s'!$E$16:$O$9929,6,FALSE)</f>
        <v>Amy Baxter</v>
      </c>
      <c r="AG342" s="282"/>
      <c r="AH342" s="311" t="e">
        <f>INDEX('D5 - Gatekeeper - Projects'!$A$4:$AF$1010,$AM342, 17)</f>
        <v>#N/A</v>
      </c>
      <c r="AI342" s="8"/>
      <c r="AJ342" s="57"/>
      <c r="AK342" s="105"/>
      <c r="AL342" s="216"/>
      <c r="AM342" s="6" t="e">
        <f>MATCH(D342,'D5 - Gatekeeper - Projects'!$C$4:$C$1010,0)</f>
        <v>#N/A</v>
      </c>
      <c r="AN342" s="6" t="b">
        <f t="shared" si="36"/>
        <v>1</v>
      </c>
      <c r="AO342" s="6" t="str">
        <f t="shared" si="39"/>
        <v>OK</v>
      </c>
      <c r="AQ342" s="6" t="e">
        <f>MATCH($D342,'D4 - Provider Council Unsched'!$C$11:$C$234,0)</f>
        <v>#N/A</v>
      </c>
      <c r="AR342" s="6" t="b">
        <f t="shared" si="37"/>
        <v>1</v>
      </c>
      <c r="AS342" s="6" t="str">
        <f t="shared" si="35"/>
        <v>OK</v>
      </c>
      <c r="AU342" s="202"/>
      <c r="AV342" s="262"/>
      <c r="AW342" s="274"/>
    </row>
    <row r="343" spans="1:49" s="13" customFormat="1" ht="33.75" x14ac:dyDescent="0.2">
      <c r="A343" s="14">
        <v>319</v>
      </c>
      <c r="B343" s="14">
        <v>400006282</v>
      </c>
      <c r="C343" s="8" t="s">
        <v>5197</v>
      </c>
      <c r="D343" s="4" t="str">
        <f t="shared" si="38"/>
        <v>400006282R1</v>
      </c>
      <c r="E343" s="309" t="str">
        <f>VLOOKUP($B343,'D7 - NDB Impacted SPRF''s'!$E$6:$O$9929,2,FALSE)</f>
        <v>OXHP Integration Export File</v>
      </c>
      <c r="F343" s="8" t="s">
        <v>2519</v>
      </c>
      <c r="G343" s="8" t="s">
        <v>4758</v>
      </c>
      <c r="H343" s="8" t="s">
        <v>4246</v>
      </c>
      <c r="I343" s="20">
        <v>3.2</v>
      </c>
      <c r="J343" s="8" t="s">
        <v>4862</v>
      </c>
      <c r="K343" s="182">
        <v>38494</v>
      </c>
      <c r="L343" s="8" t="s">
        <v>4964</v>
      </c>
      <c r="M343" s="8" t="s">
        <v>2814</v>
      </c>
      <c r="N343" s="367"/>
      <c r="O343" s="8"/>
      <c r="P343" s="4" t="str">
        <f>VLOOKUP($B343,'D7 - NDB Impacted SPRF''s'!$E$16:$O$9929,9,FALSE)</f>
        <v>N</v>
      </c>
      <c r="Q343" s="4" t="str">
        <f>VLOOKUP($B343,'D7 - NDB Impacted SPRF''s'!$E$16:$O$9929,10,FALSE)</f>
        <v>N</v>
      </c>
      <c r="R343" s="4" t="str">
        <f>VLOOKUP($B343,'D7 - NDB Impacted SPRF''s'!$E$16:$O$9929,11,FALSE)</f>
        <v>N</v>
      </c>
      <c r="S343" s="8"/>
      <c r="T343" s="310"/>
      <c r="U343" s="310"/>
      <c r="V343" s="4"/>
      <c r="W343" s="4"/>
      <c r="X343" s="4"/>
      <c r="Y343" s="4"/>
      <c r="Z343" s="4"/>
      <c r="AA343" s="4"/>
      <c r="AB343" s="380" t="str">
        <f>VLOOKUP($B343,'D7 - NDB Impacted SPRF''s'!$E$16:$O$9929,4,FALSE)</f>
        <v>Completed</v>
      </c>
      <c r="AC343" s="380" t="str">
        <f>VLOOKUP($B343,'D7 - NDB Impacted SPRF''s'!$E$16:$O$9929,3,FALSE)</f>
        <v>UnitedHealthcare Employer &amp; Individual</v>
      </c>
      <c r="AD343" s="380" t="str">
        <f>VLOOKUP($B343,'D7 - NDB Impacted SPRF''s'!$E$16:$O$9929,5,FALSE)</f>
        <v>Operations Group</v>
      </c>
      <c r="AE343" s="380" t="str">
        <f>VLOOKUP($B343,'D7 - NDB Impacted SPRF''s'!$E$16:$O$9929,7,FALSE)</f>
        <v>Steve Black</v>
      </c>
      <c r="AF343" s="380" t="str">
        <f>VLOOKUP($B343,'D7 - NDB Impacted SPRF''s'!$E$16:$O$9929,6,FALSE)</f>
        <v>Barbara Dickson</v>
      </c>
      <c r="AG343" s="282"/>
      <c r="AH343" s="311" t="e">
        <f>INDEX('D5 - Gatekeeper - Projects'!$A$4:$AF$1010,$AM343, 17)</f>
        <v>#N/A</v>
      </c>
      <c r="AI343" s="8"/>
      <c r="AJ343" s="57"/>
      <c r="AK343" s="105"/>
      <c r="AL343" s="216"/>
      <c r="AM343" s="6" t="e">
        <f>MATCH(D343,'D5 - Gatekeeper - Projects'!$C$4:$C$1010,0)</f>
        <v>#N/A</v>
      </c>
      <c r="AN343" s="6" t="b">
        <f t="shared" si="36"/>
        <v>1</v>
      </c>
      <c r="AO343" s="6" t="str">
        <f t="shared" si="39"/>
        <v>OK</v>
      </c>
      <c r="AQ343" s="6" t="e">
        <f>MATCH($D343,'D4 - Provider Council Unsched'!$C$11:$C$234,0)</f>
        <v>#N/A</v>
      </c>
      <c r="AR343" s="6" t="b">
        <f t="shared" si="37"/>
        <v>1</v>
      </c>
      <c r="AS343" s="6" t="str">
        <f t="shared" si="35"/>
        <v>OK</v>
      </c>
      <c r="AU343" s="202"/>
      <c r="AV343" s="262"/>
      <c r="AW343" s="274"/>
    </row>
    <row r="344" spans="1:49" s="13" customFormat="1" ht="33.75" x14ac:dyDescent="0.2">
      <c r="A344" s="14">
        <v>320</v>
      </c>
      <c r="B344" s="14">
        <v>400001058</v>
      </c>
      <c r="C344" s="8" t="s">
        <v>3793</v>
      </c>
      <c r="D344" s="4" t="str">
        <f t="shared" si="38"/>
        <v>400001058U</v>
      </c>
      <c r="E344" s="309" t="str">
        <f>VLOOKUP($B344,'D7 - NDB Impacted SPRF''s'!$E$6:$O$9929,2,FALSE)</f>
        <v>Auto-Adjudication - Diagnosis / Cause Code Table</v>
      </c>
      <c r="F344" s="8"/>
      <c r="G344" s="8" t="s">
        <v>4758</v>
      </c>
      <c r="H344" s="8" t="s">
        <v>4246</v>
      </c>
      <c r="I344" s="20">
        <v>1.07</v>
      </c>
      <c r="J344" s="8" t="s">
        <v>4862</v>
      </c>
      <c r="K344" s="182">
        <v>38514</v>
      </c>
      <c r="L344" s="8" t="s">
        <v>4964</v>
      </c>
      <c r="M344" s="8" t="s">
        <v>2814</v>
      </c>
      <c r="N344" s="367" t="s">
        <v>6926</v>
      </c>
      <c r="O344" s="8"/>
      <c r="P344" s="4" t="str">
        <f>VLOOKUP($B344,'D7 - NDB Impacted SPRF''s'!$E$16:$O$9929,9,FALSE)</f>
        <v>Y</v>
      </c>
      <c r="Q344" s="4" t="str">
        <f>VLOOKUP($B344,'D7 - NDB Impacted SPRF''s'!$E$16:$O$9929,10,FALSE)</f>
        <v>N</v>
      </c>
      <c r="R344" s="4" t="str">
        <f>VLOOKUP($B344,'D7 - NDB Impacted SPRF''s'!$E$16:$O$9929,11,FALSE)</f>
        <v>N</v>
      </c>
      <c r="S344" s="8"/>
      <c r="T344" s="310"/>
      <c r="U344" s="310"/>
      <c r="V344" s="4"/>
      <c r="W344" s="4"/>
      <c r="X344" s="4"/>
      <c r="Y344" s="4"/>
      <c r="Z344" s="4"/>
      <c r="AA344" s="4"/>
      <c r="AB344" s="380" t="str">
        <f>VLOOKUP($B344,'D7 - NDB Impacted SPRF''s'!$E$16:$O$9929,4,FALSE)</f>
        <v>Cancelled</v>
      </c>
      <c r="AC344" s="380" t="str">
        <f>VLOOKUP($B344,'D7 - NDB Impacted SPRF''s'!$E$16:$O$9929,3,FALSE)</f>
        <v>UnitedHealthcare Employer &amp; Individual</v>
      </c>
      <c r="AD344" s="380" t="str">
        <f>VLOOKUP($B344,'D7 - NDB Impacted SPRF''s'!$E$16:$O$9929,5,FALSE)</f>
        <v>Operational Requirements</v>
      </c>
      <c r="AE344" s="380" t="str">
        <f>VLOOKUP($B344,'D7 - NDB Impacted SPRF''s'!$E$16:$O$9929,7,FALSE)</f>
        <v>Tom O'Brien</v>
      </c>
      <c r="AF344" s="380" t="str">
        <f>VLOOKUP($B344,'D7 - NDB Impacted SPRF''s'!$E$16:$O$9929,6,FALSE)</f>
        <v>Rob Schleinitz</v>
      </c>
      <c r="AG344" s="282"/>
      <c r="AH344" s="311" t="e">
        <f>INDEX('D5 - Gatekeeper - Projects'!$A$4:$AF$1010,$AM344, 17)</f>
        <v>#N/A</v>
      </c>
      <c r="AI344" s="8"/>
      <c r="AJ344" s="57"/>
      <c r="AK344" s="105"/>
      <c r="AM344" s="6" t="e">
        <f>MATCH(D344,'D5 - Gatekeeper - Projects'!$C$4:$C$1010,0)</f>
        <v>#N/A</v>
      </c>
      <c r="AN344" s="6" t="b">
        <f t="shared" si="36"/>
        <v>1</v>
      </c>
      <c r="AO344" s="6" t="str">
        <f t="shared" si="39"/>
        <v>OK</v>
      </c>
      <c r="AQ344" s="6" t="e">
        <f>MATCH($D344,'D4 - Provider Council Unsched'!$C$11:$C$234,0)</f>
        <v>#N/A</v>
      </c>
      <c r="AR344" s="6" t="b">
        <f t="shared" si="37"/>
        <v>1</v>
      </c>
      <c r="AS344" s="6" t="str">
        <f t="shared" si="35"/>
        <v>OK</v>
      </c>
      <c r="AU344" s="202"/>
      <c r="AV344" s="262"/>
      <c r="AW344" s="274"/>
    </row>
    <row r="345" spans="1:49" s="13" customFormat="1" ht="33.75" x14ac:dyDescent="0.2">
      <c r="A345" s="14">
        <v>321</v>
      </c>
      <c r="B345" s="14">
        <v>400002656</v>
      </c>
      <c r="C345" s="8" t="s">
        <v>5197</v>
      </c>
      <c r="D345" s="4" t="str">
        <f t="shared" si="38"/>
        <v>400002656R1</v>
      </c>
      <c r="E345" s="309" t="str">
        <f>VLOOKUP($B345,'D7 - NDB Impacted SPRF''s'!$E$6:$O$9929,2,FALSE)</f>
        <v>Pay to Individual (PTI) Project</v>
      </c>
      <c r="F345" s="8" t="s">
        <v>1934</v>
      </c>
      <c r="G345" s="8" t="s">
        <v>4758</v>
      </c>
      <c r="H345" s="8" t="s">
        <v>4246</v>
      </c>
      <c r="I345" s="20">
        <v>39</v>
      </c>
      <c r="J345" s="8" t="s">
        <v>4862</v>
      </c>
      <c r="K345" s="182">
        <v>38514</v>
      </c>
      <c r="L345" s="8" t="s">
        <v>4964</v>
      </c>
      <c r="M345" s="8" t="s">
        <v>2814</v>
      </c>
      <c r="N345" s="367" t="s">
        <v>4824</v>
      </c>
      <c r="O345" s="8"/>
      <c r="P345" s="4" t="str">
        <f>VLOOKUP($B345,'D7 - NDB Impacted SPRF''s'!$E$16:$O$9929,9,FALSE)</f>
        <v>Y</v>
      </c>
      <c r="Q345" s="4" t="str">
        <f>VLOOKUP($B345,'D7 - NDB Impacted SPRF''s'!$E$16:$O$9929,10,FALSE)</f>
        <v>N</v>
      </c>
      <c r="R345" s="4" t="str">
        <f>VLOOKUP($B345,'D7 - NDB Impacted SPRF''s'!$E$16:$O$9929,11,FALSE)</f>
        <v>N</v>
      </c>
      <c r="S345" s="8"/>
      <c r="T345" s="310"/>
      <c r="U345" s="310"/>
      <c r="V345" s="4"/>
      <c r="W345" s="4"/>
      <c r="X345" s="4"/>
      <c r="Y345" s="4"/>
      <c r="Z345" s="4"/>
      <c r="AA345" s="4"/>
      <c r="AB345" s="380" t="str">
        <f>VLOOKUP($B345,'D7 - NDB Impacted SPRF''s'!$E$16:$O$9929,4,FALSE)</f>
        <v>Completed</v>
      </c>
      <c r="AC345" s="380" t="str">
        <f>VLOOKUP($B345,'D7 - NDB Impacted SPRF''s'!$E$16:$O$9929,3,FALSE)</f>
        <v>UnitedHealthcare Employer &amp; Individual</v>
      </c>
      <c r="AD345" s="380" t="str">
        <f>VLOOKUP($B345,'D7 - NDB Impacted SPRF''s'!$E$16:$O$9929,5,FALSE)</f>
        <v>Operations Group</v>
      </c>
      <c r="AE345" s="380" t="str">
        <f>VLOOKUP($B345,'D7 - NDB Impacted SPRF''s'!$E$16:$O$9929,7,FALSE)</f>
        <v>Peter Bompane</v>
      </c>
      <c r="AF345" s="380" t="str">
        <f>VLOOKUP($B345,'D7 - NDB Impacted SPRF''s'!$E$16:$O$9929,6,FALSE)</f>
        <v>Eileen Dock</v>
      </c>
      <c r="AG345" s="282"/>
      <c r="AH345" s="311" t="e">
        <f>INDEX('D5 - Gatekeeper - Projects'!$A$4:$AF$1010,$AM345, 17)</f>
        <v>#N/A</v>
      </c>
      <c r="AI345" s="8"/>
      <c r="AJ345" s="57"/>
      <c r="AK345" s="105"/>
      <c r="AM345" s="6" t="e">
        <f>MATCH(D345,'D5 - Gatekeeper - Projects'!$C$4:$C$1010,0)</f>
        <v>#N/A</v>
      </c>
      <c r="AN345" s="6" t="b">
        <f t="shared" si="36"/>
        <v>1</v>
      </c>
      <c r="AO345" s="6" t="str">
        <f t="shared" si="39"/>
        <v>OK</v>
      </c>
      <c r="AQ345" s="6" t="e">
        <f>MATCH($D345,'D4 - Provider Council Unsched'!$C$11:$C$234,0)</f>
        <v>#N/A</v>
      </c>
      <c r="AR345" s="6" t="b">
        <f t="shared" si="37"/>
        <v>1</v>
      </c>
      <c r="AS345" s="6" t="str">
        <f t="shared" si="35"/>
        <v>OK</v>
      </c>
      <c r="AU345" s="202"/>
      <c r="AV345" s="262"/>
      <c r="AW345" s="274"/>
    </row>
    <row r="346" spans="1:49" s="13" customFormat="1" x14ac:dyDescent="0.2">
      <c r="A346" s="14">
        <v>322</v>
      </c>
      <c r="B346" s="14">
        <v>400003960</v>
      </c>
      <c r="C346" s="8" t="s">
        <v>5197</v>
      </c>
      <c r="D346" s="4" t="str">
        <f t="shared" si="38"/>
        <v>400003960R1</v>
      </c>
      <c r="E346" s="309" t="str">
        <f>VLOOKUP($B346,'D7 - NDB Impacted SPRF''s'!$E$6:$O$9929,2,FALSE)</f>
        <v>Empire Plan-System Enhancement for Consultations</v>
      </c>
      <c r="F346" s="8" t="s">
        <v>2391</v>
      </c>
      <c r="G346" s="8" t="s">
        <v>4758</v>
      </c>
      <c r="H346" s="8" t="s">
        <v>4246</v>
      </c>
      <c r="I346" s="20">
        <v>0.47</v>
      </c>
      <c r="J346" s="8" t="s">
        <v>4862</v>
      </c>
      <c r="K346" s="182">
        <v>38514</v>
      </c>
      <c r="L346" s="8" t="s">
        <v>4964</v>
      </c>
      <c r="M346" s="8" t="s">
        <v>2814</v>
      </c>
      <c r="N346" s="367"/>
      <c r="O346" s="8"/>
      <c r="P346" s="4" t="str">
        <f>VLOOKUP($B346,'D7 - NDB Impacted SPRF''s'!$E$16:$O$9929,9,FALSE)</f>
        <v>Y</v>
      </c>
      <c r="Q346" s="4" t="str">
        <f>VLOOKUP($B346,'D7 - NDB Impacted SPRF''s'!$E$16:$O$9929,10,FALSE)</f>
        <v>N</v>
      </c>
      <c r="R346" s="4" t="str">
        <f>VLOOKUP($B346,'D7 - NDB Impacted SPRF''s'!$E$16:$O$9929,11,FALSE)</f>
        <v>N</v>
      </c>
      <c r="S346" s="8"/>
      <c r="T346" s="310"/>
      <c r="U346" s="310"/>
      <c r="V346" s="4"/>
      <c r="W346" s="4"/>
      <c r="X346" s="4"/>
      <c r="Y346" s="4"/>
      <c r="Z346" s="4"/>
      <c r="AA346" s="4"/>
      <c r="AB346" s="380" t="str">
        <f>VLOOKUP($B346,'D7 - NDB Impacted SPRF''s'!$E$16:$O$9929,4,FALSE)</f>
        <v>Completed</v>
      </c>
      <c r="AC346" s="380" t="str">
        <f>VLOOKUP($B346,'D7 - NDB Impacted SPRF''s'!$E$16:$O$9929,3,FALSE)</f>
        <v>Uniprise</v>
      </c>
      <c r="AD346" s="380" t="str">
        <f>VLOOKUP($B346,'D7 - NDB Impacted SPRF''s'!$E$16:$O$9929,5,FALSE)</f>
        <v>USS - DDC</v>
      </c>
      <c r="AE346" s="380" t="str">
        <f>VLOOKUP($B346,'D7 - NDB Impacted SPRF''s'!$E$16:$O$9929,7,FALSE)</f>
        <v>Carl Mattson</v>
      </c>
      <c r="AF346" s="380" t="str">
        <f>VLOOKUP($B346,'D7 - NDB Impacted SPRF''s'!$E$16:$O$9929,6,FALSE)</f>
        <v>Laurie Torres</v>
      </c>
      <c r="AG346" s="282"/>
      <c r="AH346" s="311" t="e">
        <f>INDEX('D5 - Gatekeeper - Projects'!$A$4:$AF$1010,$AM346, 17)</f>
        <v>#N/A</v>
      </c>
      <c r="AI346" s="8"/>
      <c r="AJ346" s="57"/>
      <c r="AK346" s="105"/>
      <c r="AL346" s="216"/>
      <c r="AM346" s="6" t="e">
        <f>MATCH(D346,'D5 - Gatekeeper - Projects'!$C$4:$C$1010,0)</f>
        <v>#N/A</v>
      </c>
      <c r="AN346" s="6" t="b">
        <f t="shared" si="36"/>
        <v>1</v>
      </c>
      <c r="AO346" s="6" t="str">
        <f t="shared" si="39"/>
        <v>OK</v>
      </c>
      <c r="AQ346" s="6" t="e">
        <f>MATCH($D346,'D4 - Provider Council Unsched'!$C$11:$C$234,0)</f>
        <v>#N/A</v>
      </c>
      <c r="AR346" s="6" t="b">
        <f t="shared" si="37"/>
        <v>1</v>
      </c>
      <c r="AS346" s="6" t="str">
        <f t="shared" si="35"/>
        <v>OK</v>
      </c>
      <c r="AU346" s="202"/>
      <c r="AV346" s="262"/>
      <c r="AW346" s="274"/>
    </row>
    <row r="347" spans="1:49" s="13" customFormat="1" x14ac:dyDescent="0.2">
      <c r="A347" s="14">
        <v>323</v>
      </c>
      <c r="B347" s="14">
        <v>400003961</v>
      </c>
      <c r="C347" s="8" t="s">
        <v>5197</v>
      </c>
      <c r="D347" s="4" t="str">
        <f t="shared" si="38"/>
        <v>400003961R1</v>
      </c>
      <c r="E347" s="309" t="str">
        <f>VLOOKUP($B347,'D7 - NDB Impacted SPRF''s'!$E$6:$O$9929,2,FALSE)</f>
        <v>Empire -System Enhancement for IVF Claim Processin</v>
      </c>
      <c r="F347" s="8" t="s">
        <v>2391</v>
      </c>
      <c r="G347" s="8" t="s">
        <v>4758</v>
      </c>
      <c r="H347" s="8" t="s">
        <v>4246</v>
      </c>
      <c r="I347" s="20">
        <v>0.47</v>
      </c>
      <c r="J347" s="8" t="s">
        <v>4862</v>
      </c>
      <c r="K347" s="182">
        <v>38514</v>
      </c>
      <c r="L347" s="8" t="s">
        <v>4964</v>
      </c>
      <c r="M347" s="8" t="s">
        <v>2814</v>
      </c>
      <c r="N347" s="367"/>
      <c r="O347" s="8"/>
      <c r="P347" s="4" t="str">
        <f>VLOOKUP($B347,'D7 - NDB Impacted SPRF''s'!$E$16:$O$9929,9,FALSE)</f>
        <v>Y</v>
      </c>
      <c r="Q347" s="4" t="str">
        <f>VLOOKUP($B347,'D7 - NDB Impacted SPRF''s'!$E$16:$O$9929,10,FALSE)</f>
        <v>N</v>
      </c>
      <c r="R347" s="4" t="str">
        <f>VLOOKUP($B347,'D7 - NDB Impacted SPRF''s'!$E$16:$O$9929,11,FALSE)</f>
        <v>N</v>
      </c>
      <c r="S347" s="8"/>
      <c r="T347" s="310"/>
      <c r="U347" s="310"/>
      <c r="V347" s="4"/>
      <c r="W347" s="4"/>
      <c r="X347" s="4"/>
      <c r="Y347" s="4"/>
      <c r="Z347" s="4"/>
      <c r="AA347" s="4"/>
      <c r="AB347" s="380" t="str">
        <f>VLOOKUP($B347,'D7 - NDB Impacted SPRF''s'!$E$16:$O$9929,4,FALSE)</f>
        <v>Completed</v>
      </c>
      <c r="AC347" s="380" t="str">
        <f>VLOOKUP($B347,'D7 - NDB Impacted SPRF''s'!$E$16:$O$9929,3,FALSE)</f>
        <v>Uniprise</v>
      </c>
      <c r="AD347" s="380" t="str">
        <f>VLOOKUP($B347,'D7 - NDB Impacted SPRF''s'!$E$16:$O$9929,5,FALSE)</f>
        <v>USS - DDC</v>
      </c>
      <c r="AE347" s="380" t="str">
        <f>VLOOKUP($B347,'D7 - NDB Impacted SPRF''s'!$E$16:$O$9929,7,FALSE)</f>
        <v>Carl Mattson</v>
      </c>
      <c r="AF347" s="380" t="str">
        <f>VLOOKUP($B347,'D7 - NDB Impacted SPRF''s'!$E$16:$O$9929,6,FALSE)</f>
        <v>Laurie Torres</v>
      </c>
      <c r="AG347" s="282"/>
      <c r="AH347" s="311" t="e">
        <f>INDEX('D5 - Gatekeeper - Projects'!$A$4:$AF$1010,$AM347, 17)</f>
        <v>#N/A</v>
      </c>
      <c r="AI347" s="8"/>
      <c r="AJ347" s="57"/>
      <c r="AK347" s="105"/>
      <c r="AL347" s="216"/>
      <c r="AM347" s="6" t="e">
        <f>MATCH(D347,'D5 - Gatekeeper - Projects'!$C$4:$C$1010,0)</f>
        <v>#N/A</v>
      </c>
      <c r="AN347" s="6" t="b">
        <f t="shared" si="36"/>
        <v>1</v>
      </c>
      <c r="AO347" s="6" t="str">
        <f t="shared" si="39"/>
        <v>OK</v>
      </c>
      <c r="AQ347" s="6" t="e">
        <f>MATCH($D347,'D4 - Provider Council Unsched'!$C$11:$C$234,0)</f>
        <v>#N/A</v>
      </c>
      <c r="AR347" s="6" t="b">
        <f t="shared" si="37"/>
        <v>1</v>
      </c>
      <c r="AS347" s="6" t="str">
        <f t="shared" si="35"/>
        <v>OK</v>
      </c>
      <c r="AU347" s="202"/>
      <c r="AV347" s="262"/>
      <c r="AW347" s="274"/>
    </row>
    <row r="348" spans="1:49" s="13" customFormat="1" ht="22.5" x14ac:dyDescent="0.2">
      <c r="A348" s="14">
        <v>324</v>
      </c>
      <c r="B348" s="14">
        <v>400004124</v>
      </c>
      <c r="C348" s="8" t="s">
        <v>5197</v>
      </c>
      <c r="D348" s="4" t="str">
        <f t="shared" si="38"/>
        <v>400004124R1</v>
      </c>
      <c r="E348" s="309" t="str">
        <f>VLOOKUP($B348,'D7 - NDB Impacted SPRF''s'!$E$6:$O$9929,2,FALSE)</f>
        <v>PIT - TDARS FLNDCC-FLNKEY Display Updates</v>
      </c>
      <c r="F348" s="8"/>
      <c r="G348" s="8" t="s">
        <v>4758</v>
      </c>
      <c r="H348" s="8" t="s">
        <v>4246</v>
      </c>
      <c r="I348" s="20">
        <v>3.2</v>
      </c>
      <c r="J348" s="8" t="s">
        <v>4862</v>
      </c>
      <c r="K348" s="182">
        <v>38514</v>
      </c>
      <c r="L348" s="8" t="s">
        <v>4964</v>
      </c>
      <c r="M348" s="8" t="s">
        <v>2814</v>
      </c>
      <c r="N348" s="367"/>
      <c r="O348" s="8"/>
      <c r="P348" s="4" t="str">
        <f>VLOOKUP($B348,'D7 - NDB Impacted SPRF''s'!$E$16:$O$9929,9,FALSE)</f>
        <v>N</v>
      </c>
      <c r="Q348" s="4" t="str">
        <f>VLOOKUP($B348,'D7 - NDB Impacted SPRF''s'!$E$16:$O$9929,10,FALSE)</f>
        <v>N</v>
      </c>
      <c r="R348" s="4" t="str">
        <f>VLOOKUP($B348,'D7 - NDB Impacted SPRF''s'!$E$16:$O$9929,11,FALSE)</f>
        <v>N</v>
      </c>
      <c r="S348" s="8"/>
      <c r="T348" s="310"/>
      <c r="U348" s="310"/>
      <c r="V348" s="4"/>
      <c r="W348" s="4"/>
      <c r="X348" s="4"/>
      <c r="Y348" s="4"/>
      <c r="Z348" s="4"/>
      <c r="AA348" s="4"/>
      <c r="AB348" s="380" t="str">
        <f>VLOOKUP($B348,'D7 - NDB Impacted SPRF''s'!$E$16:$O$9929,4,FALSE)</f>
        <v>Completed</v>
      </c>
      <c r="AC348" s="380" t="str">
        <f>VLOOKUP($B348,'D7 - NDB Impacted SPRF''s'!$E$16:$O$9929,3,FALSE)</f>
        <v>Uniprise</v>
      </c>
      <c r="AD348" s="380" t="str">
        <f>VLOOKUP($B348,'D7 - NDB Impacted SPRF''s'!$E$16:$O$9929,5,FALSE)</f>
        <v>Uniprise Operations - DDC</v>
      </c>
      <c r="AE348" s="380" t="str">
        <f>VLOOKUP($B348,'D7 - NDB Impacted SPRF''s'!$E$16:$O$9929,7,FALSE)</f>
        <v>Doug Smith</v>
      </c>
      <c r="AF348" s="380" t="str">
        <f>VLOOKUP($B348,'D7 - NDB Impacted SPRF''s'!$E$16:$O$9929,6,FALSE)</f>
        <v>Sherry Stockman</v>
      </c>
      <c r="AG348" s="282"/>
      <c r="AH348" s="311" t="e">
        <f>INDEX('D5 - Gatekeeper - Projects'!$A$4:$AF$1010,$AM348, 17)</f>
        <v>#N/A</v>
      </c>
      <c r="AI348" s="8"/>
      <c r="AJ348" s="57"/>
      <c r="AK348" s="105"/>
      <c r="AL348" s="216"/>
      <c r="AM348" s="6" t="e">
        <f>MATCH(D348,'D5 - Gatekeeper - Projects'!$C$4:$C$1010,0)</f>
        <v>#N/A</v>
      </c>
      <c r="AN348" s="6" t="b">
        <f t="shared" si="36"/>
        <v>1</v>
      </c>
      <c r="AO348" s="6" t="str">
        <f t="shared" si="39"/>
        <v>OK</v>
      </c>
      <c r="AQ348" s="6" t="e">
        <f>MATCH($D348,'D4 - Provider Council Unsched'!$C$11:$C$234,0)</f>
        <v>#N/A</v>
      </c>
      <c r="AR348" s="6" t="b">
        <f t="shared" si="37"/>
        <v>1</v>
      </c>
      <c r="AS348" s="6" t="str">
        <f t="shared" si="35"/>
        <v>OK</v>
      </c>
      <c r="AU348" s="202"/>
      <c r="AV348" s="262"/>
      <c r="AW348" s="274"/>
    </row>
    <row r="349" spans="1:49" s="13" customFormat="1" ht="11.25" customHeight="1" x14ac:dyDescent="0.2">
      <c r="A349" s="14">
        <v>325</v>
      </c>
      <c r="B349" s="14">
        <v>400004494</v>
      </c>
      <c r="C349" s="8" t="s">
        <v>5197</v>
      </c>
      <c r="D349" s="4" t="str">
        <f t="shared" si="38"/>
        <v>400004494R1</v>
      </c>
      <c r="E349" s="309" t="str">
        <f>VLOOKUP($B349,'D7 - NDB Impacted SPRF''s'!$E$6:$O$9929,2,FALSE)</f>
        <v>Centers of Excellence Gen 2 Analysis and Develop</v>
      </c>
      <c r="F349" s="8" t="s">
        <v>7242</v>
      </c>
      <c r="G349" s="8" t="s">
        <v>4758</v>
      </c>
      <c r="H349" s="8" t="s">
        <v>4246</v>
      </c>
      <c r="I349" s="20">
        <v>13</v>
      </c>
      <c r="J349" s="8" t="s">
        <v>4862</v>
      </c>
      <c r="K349" s="182">
        <v>38514</v>
      </c>
      <c r="L349" s="8" t="s">
        <v>4964</v>
      </c>
      <c r="M349" s="8" t="s">
        <v>2814</v>
      </c>
      <c r="N349" s="367"/>
      <c r="O349" s="8"/>
      <c r="P349" s="4" t="str">
        <f>VLOOKUP($B349,'D7 - NDB Impacted SPRF''s'!$E$16:$O$9929,9,FALSE)</f>
        <v>Y</v>
      </c>
      <c r="Q349" s="4" t="str">
        <f>VLOOKUP($B349,'D7 - NDB Impacted SPRF''s'!$E$16:$O$9929,10,FALSE)</f>
        <v>N</v>
      </c>
      <c r="R349" s="4" t="str">
        <f>VLOOKUP($B349,'D7 - NDB Impacted SPRF''s'!$E$16:$O$9929,11,FALSE)</f>
        <v>N</v>
      </c>
      <c r="S349" s="8"/>
      <c r="T349" s="310"/>
      <c r="U349" s="310"/>
      <c r="V349" s="4"/>
      <c r="W349" s="4"/>
      <c r="X349" s="4"/>
      <c r="Y349" s="4"/>
      <c r="Z349" s="4"/>
      <c r="AA349" s="4"/>
      <c r="AB349" s="380" t="str">
        <f>VLOOKUP($B349,'D7 - NDB Impacted SPRF''s'!$E$16:$O$9929,4,FALSE)</f>
        <v>Completed</v>
      </c>
      <c r="AC349" s="380" t="str">
        <f>VLOOKUP($B349,'D7 - NDB Impacted SPRF''s'!$E$16:$O$9929,3,FALSE)</f>
        <v>Uniprise</v>
      </c>
      <c r="AD349" s="380" t="str">
        <f>VLOOKUP($B349,'D7 - NDB Impacted SPRF''s'!$E$16:$O$9929,5,FALSE)</f>
        <v>USS - Capital Projects</v>
      </c>
      <c r="AE349" s="380" t="str">
        <f>VLOOKUP($B349,'D7 - NDB Impacted SPRF''s'!$E$16:$O$9929,7,FALSE)</f>
        <v>Lewis Sandy</v>
      </c>
      <c r="AF349" s="380" t="str">
        <f>VLOOKUP($B349,'D7 - NDB Impacted SPRF''s'!$E$16:$O$9929,6,FALSE)</f>
        <v>ROBSON DAVID</v>
      </c>
      <c r="AG349" s="282"/>
      <c r="AH349" s="311" t="e">
        <f>INDEX('D5 - Gatekeeper - Projects'!$A$4:$AF$1010,$AM349, 17)</f>
        <v>#N/A</v>
      </c>
      <c r="AI349" s="8"/>
      <c r="AJ349" s="57"/>
      <c r="AK349" s="105"/>
      <c r="AL349" s="216"/>
      <c r="AM349" s="6" t="e">
        <f>MATCH(D349,'D5 - Gatekeeper - Projects'!$C$4:$C$1010,0)</f>
        <v>#N/A</v>
      </c>
      <c r="AN349" s="6" t="b">
        <f t="shared" si="36"/>
        <v>1</v>
      </c>
      <c r="AO349" s="6" t="str">
        <f t="shared" si="39"/>
        <v>OK</v>
      </c>
      <c r="AQ349" s="6" t="e">
        <f>MATCH($D349,'D4 - Provider Council Unsched'!$C$11:$C$234,0)</f>
        <v>#N/A</v>
      </c>
      <c r="AR349" s="6" t="b">
        <f t="shared" si="37"/>
        <v>1</v>
      </c>
      <c r="AS349" s="6" t="str">
        <f t="shared" si="35"/>
        <v>OK</v>
      </c>
      <c r="AU349" s="202"/>
      <c r="AV349" s="262"/>
      <c r="AW349" s="274"/>
    </row>
    <row r="350" spans="1:49" s="13" customFormat="1" ht="33.75" x14ac:dyDescent="0.2">
      <c r="A350" s="14">
        <v>326</v>
      </c>
      <c r="B350" s="14">
        <v>400004805</v>
      </c>
      <c r="C350" s="8" t="s">
        <v>3793</v>
      </c>
      <c r="D350" s="4" t="str">
        <f t="shared" si="38"/>
        <v>400004805U</v>
      </c>
      <c r="E350" s="309" t="str">
        <f>VLOOKUP($B350,'D7 - NDB Impacted SPRF''s'!$E$6:$O$9929,2,FALSE)</f>
        <v>Subrogation Diagnosis Maintenance Screen</v>
      </c>
      <c r="F350" s="8"/>
      <c r="G350" s="8" t="s">
        <v>4758</v>
      </c>
      <c r="H350" s="8" t="s">
        <v>4246</v>
      </c>
      <c r="I350" s="20">
        <v>0.35</v>
      </c>
      <c r="J350" s="8" t="s">
        <v>4862</v>
      </c>
      <c r="K350" s="182">
        <v>38514</v>
      </c>
      <c r="L350" s="8" t="s">
        <v>4964</v>
      </c>
      <c r="M350" s="8" t="s">
        <v>2814</v>
      </c>
      <c r="N350" s="367"/>
      <c r="O350" s="8"/>
      <c r="P350" s="4" t="str">
        <f>VLOOKUP($B350,'D7 - NDB Impacted SPRF''s'!$E$16:$O$9929,9,FALSE)</f>
        <v>Y</v>
      </c>
      <c r="Q350" s="4" t="str">
        <f>VLOOKUP($B350,'D7 - NDB Impacted SPRF''s'!$E$16:$O$9929,10,FALSE)</f>
        <v>N</v>
      </c>
      <c r="R350" s="4" t="str">
        <f>VLOOKUP($B350,'D7 - NDB Impacted SPRF''s'!$E$16:$O$9929,11,FALSE)</f>
        <v>N</v>
      </c>
      <c r="S350" s="8"/>
      <c r="T350" s="310"/>
      <c r="U350" s="310"/>
      <c r="V350" s="4"/>
      <c r="W350" s="4"/>
      <c r="X350" s="4"/>
      <c r="Y350" s="4"/>
      <c r="Z350" s="4"/>
      <c r="AA350" s="4"/>
      <c r="AB350" s="380" t="str">
        <f>VLOOKUP($B350,'D7 - NDB Impacted SPRF''s'!$E$16:$O$9929,4,FALSE)</f>
        <v>Completed</v>
      </c>
      <c r="AC350" s="380" t="str">
        <f>VLOOKUP($B350,'D7 - NDB Impacted SPRF''s'!$E$16:$O$9929,3,FALSE)</f>
        <v>UnitedHealthcare Employer &amp; Individual</v>
      </c>
      <c r="AD350" s="380" t="str">
        <f>VLOOKUP($B350,'D7 - NDB Impacted SPRF''s'!$E$16:$O$9929,5,FALSE)</f>
        <v>Operations Group</v>
      </c>
      <c r="AE350" s="380" t="str">
        <f>VLOOKUP($B350,'D7 - NDB Impacted SPRF''s'!$E$16:$O$9929,7,FALSE)</f>
        <v>John Cravero</v>
      </c>
      <c r="AF350" s="380" t="str">
        <f>VLOOKUP($B350,'D7 - NDB Impacted SPRF''s'!$E$16:$O$9929,6,FALSE)</f>
        <v>Scott Behnke</v>
      </c>
      <c r="AG350" s="282"/>
      <c r="AH350" s="311" t="e">
        <f>INDEX('D5 - Gatekeeper - Projects'!$A$4:$AF$1010,$AM350, 17)</f>
        <v>#N/A</v>
      </c>
      <c r="AI350" s="8"/>
      <c r="AJ350" s="57"/>
      <c r="AK350" s="105"/>
      <c r="AL350" s="216"/>
      <c r="AM350" s="6" t="e">
        <f>MATCH(D350,'D5 - Gatekeeper - Projects'!$C$4:$C$1010,0)</f>
        <v>#N/A</v>
      </c>
      <c r="AN350" s="6" t="b">
        <f t="shared" si="36"/>
        <v>1</v>
      </c>
      <c r="AO350" s="6" t="str">
        <f t="shared" si="39"/>
        <v>OK</v>
      </c>
      <c r="AQ350" s="6" t="e">
        <f>MATCH($D350,'D4 - Provider Council Unsched'!$C$11:$C$234,0)</f>
        <v>#N/A</v>
      </c>
      <c r="AR350" s="6" t="b">
        <f t="shared" si="37"/>
        <v>1</v>
      </c>
      <c r="AS350" s="6" t="str">
        <f t="shared" si="35"/>
        <v>OK</v>
      </c>
      <c r="AU350" s="202"/>
      <c r="AV350" s="262"/>
      <c r="AW350" s="274"/>
    </row>
    <row r="351" spans="1:49" s="13" customFormat="1" ht="22.5" x14ac:dyDescent="0.2">
      <c r="A351" s="14">
        <v>327</v>
      </c>
      <c r="B351" s="14">
        <v>400005987</v>
      </c>
      <c r="C351" s="8" t="s">
        <v>2448</v>
      </c>
      <c r="D351" s="4" t="str">
        <f t="shared" si="38"/>
        <v>400005987CC35</v>
      </c>
      <c r="E351" s="309" t="str">
        <f>VLOOKUP($B351,'D7 - NDB Impacted SPRF''s'!$E$6:$O$9929,2,FALSE)</f>
        <v>Passport V2 Carry Over</v>
      </c>
      <c r="F351" s="8" t="s">
        <v>2450</v>
      </c>
      <c r="G351" s="8" t="s">
        <v>4758</v>
      </c>
      <c r="H351" s="8" t="s">
        <v>4246</v>
      </c>
      <c r="I351" s="20">
        <v>3.52</v>
      </c>
      <c r="J351" s="8" t="s">
        <v>4862</v>
      </c>
      <c r="K351" s="182">
        <v>38514</v>
      </c>
      <c r="L351" s="8" t="s">
        <v>4964</v>
      </c>
      <c r="M351" s="8" t="s">
        <v>2814</v>
      </c>
      <c r="N351" s="367"/>
      <c r="O351" s="8"/>
      <c r="P351" s="4" t="str">
        <f>VLOOKUP($B351,'D7 - NDB Impacted SPRF''s'!$E$16:$O$9929,9,FALSE)</f>
        <v>N</v>
      </c>
      <c r="Q351" s="4" t="str">
        <f>VLOOKUP($B351,'D7 - NDB Impacted SPRF''s'!$E$16:$O$9929,10,FALSE)</f>
        <v>N</v>
      </c>
      <c r="R351" s="4" t="str">
        <f>VLOOKUP($B351,'D7 - NDB Impacted SPRF''s'!$E$16:$O$9929,11,FALSE)</f>
        <v>N</v>
      </c>
      <c r="S351" s="8"/>
      <c r="T351" s="310"/>
      <c r="U351" s="310"/>
      <c r="V351" s="4"/>
      <c r="W351" s="4"/>
      <c r="X351" s="4"/>
      <c r="Y351" s="4"/>
      <c r="Z351" s="4"/>
      <c r="AA351" s="4"/>
      <c r="AB351" s="380" t="str">
        <f>VLOOKUP($B351,'D7 - NDB Impacted SPRF''s'!$E$16:$O$9929,4,FALSE)</f>
        <v>Completed</v>
      </c>
      <c r="AC351" s="380" t="str">
        <f>VLOOKUP($B351,'D7 - NDB Impacted SPRF''s'!$E$16:$O$9929,3,FALSE)</f>
        <v>Uniprise</v>
      </c>
      <c r="AD351" s="380" t="str">
        <f>VLOOKUP($B351,'D7 - NDB Impacted SPRF''s'!$E$16:$O$9929,5,FALSE)</f>
        <v>UOS - Capital Projects</v>
      </c>
      <c r="AE351" s="380" t="str">
        <f>VLOOKUP($B351,'D7 - NDB Impacted SPRF''s'!$E$16:$O$9929,7,FALSE)</f>
        <v>Joanne Houck</v>
      </c>
      <c r="AF351" s="380" t="str">
        <f>VLOOKUP($B351,'D7 - NDB Impacted SPRF''s'!$E$16:$O$9929,6,FALSE)</f>
        <v>Susan Thompson</v>
      </c>
      <c r="AG351" s="282"/>
      <c r="AH351" s="311" t="e">
        <f>INDEX('D5 - Gatekeeper - Projects'!$A$4:$AF$1010,$AM351, 17)</f>
        <v>#N/A</v>
      </c>
      <c r="AI351" s="8"/>
      <c r="AJ351" s="57"/>
      <c r="AK351" s="105"/>
      <c r="AM351" s="6" t="e">
        <f>MATCH(D351,'D5 - Gatekeeper - Projects'!$C$4:$C$1010,0)</f>
        <v>#N/A</v>
      </c>
      <c r="AN351" s="6" t="b">
        <f t="shared" si="36"/>
        <v>1</v>
      </c>
      <c r="AO351" s="6" t="str">
        <f t="shared" si="39"/>
        <v>OK</v>
      </c>
      <c r="AQ351" s="6" t="e">
        <f>MATCH($D351,'D4 - Provider Council Unsched'!$C$11:$C$234,0)</f>
        <v>#N/A</v>
      </c>
      <c r="AR351" s="6" t="b">
        <f t="shared" si="37"/>
        <v>1</v>
      </c>
      <c r="AS351" s="6" t="str">
        <f t="shared" si="35"/>
        <v>OK</v>
      </c>
      <c r="AU351" s="202"/>
      <c r="AV351" s="262"/>
      <c r="AW351" s="274"/>
    </row>
    <row r="352" spans="1:49" s="13" customFormat="1" ht="22.5" x14ac:dyDescent="0.2">
      <c r="A352" s="14">
        <v>328</v>
      </c>
      <c r="B352" s="14">
        <v>400007060</v>
      </c>
      <c r="C352" s="8" t="s">
        <v>5197</v>
      </c>
      <c r="D352" s="4" t="str">
        <f t="shared" si="38"/>
        <v>400007060R1</v>
      </c>
      <c r="E352" s="309" t="str">
        <f>VLOOKUP($B352,'D7 - NDB Impacted SPRF''s'!$E$6:$O$9929,2,FALSE)</f>
        <v>Definity Provider Demographic Transaction File</v>
      </c>
      <c r="F352" s="8" t="s">
        <v>3876</v>
      </c>
      <c r="G352" s="8" t="s">
        <v>4758</v>
      </c>
      <c r="H352" s="8" t="s">
        <v>4246</v>
      </c>
      <c r="I352" s="20">
        <v>0.88</v>
      </c>
      <c r="J352" s="8" t="s">
        <v>4862</v>
      </c>
      <c r="K352" s="182">
        <v>38514</v>
      </c>
      <c r="L352" s="8" t="s">
        <v>4964</v>
      </c>
      <c r="M352" s="8" t="s">
        <v>2814</v>
      </c>
      <c r="N352" s="367"/>
      <c r="O352" s="8"/>
      <c r="P352" s="4" t="str">
        <f>VLOOKUP($B352,'D7 - NDB Impacted SPRF''s'!$E$16:$O$9929,9,FALSE)</f>
        <v>N</v>
      </c>
      <c r="Q352" s="4" t="str">
        <f>VLOOKUP($B352,'D7 - NDB Impacted SPRF''s'!$E$16:$O$9929,10,FALSE)</f>
        <v>N</v>
      </c>
      <c r="R352" s="4" t="str">
        <f>VLOOKUP($B352,'D7 - NDB Impacted SPRF''s'!$E$16:$O$9929,11,FALSE)</f>
        <v>N</v>
      </c>
      <c r="S352" s="8"/>
      <c r="T352" s="310"/>
      <c r="U352" s="310"/>
      <c r="V352" s="4"/>
      <c r="W352" s="4"/>
      <c r="X352" s="4"/>
      <c r="Y352" s="4"/>
      <c r="Z352" s="4"/>
      <c r="AA352" s="4"/>
      <c r="AB352" s="380" t="str">
        <f>VLOOKUP($B352,'D7 - NDB Impacted SPRF''s'!$E$16:$O$9929,4,FALSE)</f>
        <v>Completed</v>
      </c>
      <c r="AC352" s="380" t="str">
        <f>VLOOKUP($B352,'D7 - NDB Impacted SPRF''s'!$E$16:$O$9929,3,FALSE)</f>
        <v>Uniprise</v>
      </c>
      <c r="AD352" s="380" t="str">
        <f>VLOOKUP($B352,'D7 - NDB Impacted SPRF''s'!$E$16:$O$9929,5,FALSE)</f>
        <v>Definity - Capital Projects</v>
      </c>
      <c r="AE352" s="380" t="str">
        <f>VLOOKUP($B352,'D7 - NDB Impacted SPRF''s'!$E$16:$O$9929,7,FALSE)</f>
        <v>Tony Miller</v>
      </c>
      <c r="AF352" s="380" t="str">
        <f>VLOOKUP($B352,'D7 - NDB Impacted SPRF''s'!$E$16:$O$9929,6,FALSE)</f>
        <v>MARIANNE NEEB</v>
      </c>
      <c r="AG352" s="282"/>
      <c r="AH352" s="311" t="e">
        <f>INDEX('D5 - Gatekeeper - Projects'!$A$4:$AF$1010,$AM352, 17)</f>
        <v>#N/A</v>
      </c>
      <c r="AI352" s="8"/>
      <c r="AJ352" s="57"/>
      <c r="AK352" s="105"/>
      <c r="AM352" s="6" t="e">
        <f>MATCH(D352,'D5 - Gatekeeper - Projects'!$C$4:$C$1010,0)</f>
        <v>#N/A</v>
      </c>
      <c r="AN352" s="6" t="b">
        <f t="shared" si="36"/>
        <v>1</v>
      </c>
      <c r="AO352" s="6" t="str">
        <f t="shared" si="39"/>
        <v>OK</v>
      </c>
      <c r="AQ352" s="6" t="e">
        <f>MATCH($D352,'D4 - Provider Council Unsched'!$C$11:$C$234,0)</f>
        <v>#N/A</v>
      </c>
      <c r="AR352" s="6" t="b">
        <f t="shared" si="37"/>
        <v>1</v>
      </c>
      <c r="AS352" s="6" t="str">
        <f t="shared" si="35"/>
        <v>OK</v>
      </c>
      <c r="AU352" s="202"/>
      <c r="AV352" s="262"/>
      <c r="AW352" s="274"/>
    </row>
    <row r="353" spans="1:49" s="13" customFormat="1" ht="33.75" x14ac:dyDescent="0.2">
      <c r="A353" s="14">
        <v>329</v>
      </c>
      <c r="B353" s="14">
        <v>400007445</v>
      </c>
      <c r="C353" s="8" t="s">
        <v>5197</v>
      </c>
      <c r="D353" s="4" t="str">
        <f t="shared" si="38"/>
        <v>400007445R1</v>
      </c>
      <c r="E353" s="309" t="str">
        <f>VLOOKUP($B353,'D7 - NDB Impacted SPRF''s'!$E$6:$O$9929,2,FALSE)</f>
        <v>Move Old Version of PTI E/N Report into Production</v>
      </c>
      <c r="F353" s="8" t="s">
        <v>3235</v>
      </c>
      <c r="G353" s="8" t="s">
        <v>4758</v>
      </c>
      <c r="H353" s="8" t="s">
        <v>4246</v>
      </c>
      <c r="I353" s="20">
        <v>0.27</v>
      </c>
      <c r="J353" s="8" t="s">
        <v>4862</v>
      </c>
      <c r="K353" s="182">
        <v>38514</v>
      </c>
      <c r="L353" s="8" t="s">
        <v>4964</v>
      </c>
      <c r="M353" s="8" t="s">
        <v>2814</v>
      </c>
      <c r="N353" s="367"/>
      <c r="O353" s="8"/>
      <c r="P353" s="4" t="str">
        <f>VLOOKUP($B353,'D7 - NDB Impacted SPRF''s'!$E$16:$O$9929,9,FALSE)</f>
        <v>N</v>
      </c>
      <c r="Q353" s="4" t="str">
        <f>VLOOKUP($B353,'D7 - NDB Impacted SPRF''s'!$E$16:$O$9929,10,FALSE)</f>
        <v>N</v>
      </c>
      <c r="R353" s="4" t="str">
        <f>VLOOKUP($B353,'D7 - NDB Impacted SPRF''s'!$E$16:$O$9929,11,FALSE)</f>
        <v>N</v>
      </c>
      <c r="S353" s="8"/>
      <c r="T353" s="310"/>
      <c r="U353" s="310"/>
      <c r="V353" s="4"/>
      <c r="W353" s="4"/>
      <c r="X353" s="4"/>
      <c r="Y353" s="4"/>
      <c r="Z353" s="4"/>
      <c r="AA353" s="4"/>
      <c r="AB353" s="380" t="str">
        <f>VLOOKUP($B353,'D7 - NDB Impacted SPRF''s'!$E$16:$O$9929,4,FALSE)</f>
        <v>Completed</v>
      </c>
      <c r="AC353" s="380" t="str">
        <f>VLOOKUP($B353,'D7 - NDB Impacted SPRF''s'!$E$16:$O$9929,3,FALSE)</f>
        <v>UnitedHealthcare Employer &amp; Individual</v>
      </c>
      <c r="AD353" s="380" t="str">
        <f>VLOOKUP($B353,'D7 - NDB Impacted SPRF''s'!$E$16:$O$9929,5,FALSE)</f>
        <v>Operations Group</v>
      </c>
      <c r="AE353" s="380" t="str">
        <f>VLOOKUP($B353,'D7 - NDB Impacted SPRF''s'!$E$16:$O$9929,7,FALSE)</f>
        <v>Ed Novinski</v>
      </c>
      <c r="AF353" s="380" t="str">
        <f>VLOOKUP($B353,'D7 - NDB Impacted SPRF''s'!$E$16:$O$9929,6,FALSE)</f>
        <v>ELIZABETH Young</v>
      </c>
      <c r="AG353" s="282"/>
      <c r="AH353" s="311" t="e">
        <f>INDEX('D5 - Gatekeeper - Projects'!$A$4:$AF$1010,$AM353, 17)</f>
        <v>#N/A</v>
      </c>
      <c r="AI353" s="8"/>
      <c r="AJ353" s="57"/>
      <c r="AK353" s="105"/>
      <c r="AM353" s="6" t="e">
        <f>MATCH(D353,'D5 - Gatekeeper - Projects'!$C$4:$C$1010,0)</f>
        <v>#N/A</v>
      </c>
      <c r="AN353" s="6" t="b">
        <f t="shared" si="36"/>
        <v>1</v>
      </c>
      <c r="AO353" s="6" t="str">
        <f t="shared" si="39"/>
        <v>OK</v>
      </c>
      <c r="AQ353" s="6" t="e">
        <f>MATCH($D353,'D4 - Provider Council Unsched'!$C$11:$C$234,0)</f>
        <v>#N/A</v>
      </c>
      <c r="AR353" s="6" t="b">
        <f t="shared" si="37"/>
        <v>1</v>
      </c>
      <c r="AS353" s="6" t="str">
        <f t="shared" si="35"/>
        <v>OK</v>
      </c>
      <c r="AU353" s="202"/>
      <c r="AV353" s="262"/>
      <c r="AW353" s="274"/>
    </row>
    <row r="354" spans="1:49" s="13" customFormat="1" ht="33.75" x14ac:dyDescent="0.2">
      <c r="A354" s="14">
        <v>330</v>
      </c>
      <c r="B354" s="14">
        <v>400005520</v>
      </c>
      <c r="C354" s="8" t="s">
        <v>5197</v>
      </c>
      <c r="D354" s="4" t="str">
        <f t="shared" si="38"/>
        <v>400005520R1</v>
      </c>
      <c r="E354" s="309" t="str">
        <f>VLOOKUP($B354,'D7 - NDB Impacted SPRF''s'!$E$6:$O$9929,2,FALSE)</f>
        <v>Claims Repricing Release 1 - ppoONE</v>
      </c>
      <c r="F354" s="8" t="s">
        <v>4304</v>
      </c>
      <c r="G354" s="8" t="s">
        <v>4758</v>
      </c>
      <c r="H354" s="8" t="s">
        <v>4246</v>
      </c>
      <c r="I354" s="20">
        <v>48.5</v>
      </c>
      <c r="J354" s="8" t="s">
        <v>4862</v>
      </c>
      <c r="K354" s="182">
        <v>38542</v>
      </c>
      <c r="L354" s="8" t="s">
        <v>4964</v>
      </c>
      <c r="M354" s="8" t="s">
        <v>2814</v>
      </c>
      <c r="N354" s="367"/>
      <c r="O354" s="8"/>
      <c r="P354" s="4" t="str">
        <f>VLOOKUP($B354,'D7 - NDB Impacted SPRF''s'!$E$16:$O$9929,9,FALSE)</f>
        <v>Y</v>
      </c>
      <c r="Q354" s="4" t="str">
        <f>VLOOKUP($B354,'D7 - NDB Impacted SPRF''s'!$E$16:$O$9929,10,FALSE)</f>
        <v>N</v>
      </c>
      <c r="R354" s="4" t="str">
        <f>VLOOKUP($B354,'D7 - NDB Impacted SPRF''s'!$E$16:$O$9929,11,FALSE)</f>
        <v>N</v>
      </c>
      <c r="S354" s="8"/>
      <c r="T354" s="310"/>
      <c r="U354" s="310"/>
      <c r="V354" s="4"/>
      <c r="W354" s="4"/>
      <c r="X354" s="4"/>
      <c r="Y354" s="4"/>
      <c r="Z354" s="4"/>
      <c r="AA354" s="4"/>
      <c r="AB354" s="380" t="str">
        <f>VLOOKUP($B354,'D7 - NDB Impacted SPRF''s'!$E$16:$O$9929,4,FALSE)</f>
        <v>Completed</v>
      </c>
      <c r="AC354" s="380" t="str">
        <f>VLOOKUP($B354,'D7 - NDB Impacted SPRF''s'!$E$16:$O$9929,3,FALSE)</f>
        <v>UnitedHealthcare Employer &amp; Individual</v>
      </c>
      <c r="AD354" s="380" t="str">
        <f>VLOOKUP($B354,'D7 - NDB Impacted SPRF''s'!$E$16:$O$9929,5,FALSE)</f>
        <v>Key Initiatives Group</v>
      </c>
      <c r="AE354" s="380" t="str">
        <f>VLOOKUP($B354,'D7 - NDB Impacted SPRF''s'!$E$16:$O$9929,7,FALSE)</f>
        <v>Mike Mikan, Dirk McMahon</v>
      </c>
      <c r="AF354" s="380" t="str">
        <f>VLOOKUP($B354,'D7 - NDB Impacted SPRF''s'!$E$16:$O$9929,6,FALSE)</f>
        <v>SUSAN HAMES</v>
      </c>
      <c r="AG354" s="282"/>
      <c r="AH354" s="311" t="e">
        <f>INDEX('D5 - Gatekeeper - Projects'!$A$4:$AF$1010,$AM354, 17)</f>
        <v>#N/A</v>
      </c>
      <c r="AI354" s="8"/>
      <c r="AJ354" s="57"/>
      <c r="AK354" s="105"/>
      <c r="AM354" s="6" t="e">
        <f>MATCH(D354,'D5 - Gatekeeper - Projects'!$C$4:$C$1010,0)</f>
        <v>#N/A</v>
      </c>
      <c r="AN354" s="6" t="b">
        <f t="shared" si="36"/>
        <v>1</v>
      </c>
      <c r="AO354" s="6" t="str">
        <f t="shared" si="39"/>
        <v>OK</v>
      </c>
      <c r="AQ354" s="6" t="e">
        <f>MATCH($D354,'D4 - Provider Council Unsched'!$C$11:$C$234,0)</f>
        <v>#N/A</v>
      </c>
      <c r="AR354" s="6" t="b">
        <f t="shared" si="37"/>
        <v>1</v>
      </c>
      <c r="AS354" s="6" t="str">
        <f t="shared" si="35"/>
        <v>OK</v>
      </c>
      <c r="AU354" s="202"/>
      <c r="AV354" s="262"/>
      <c r="AW354" s="274"/>
    </row>
    <row r="355" spans="1:49" s="13" customFormat="1" ht="33.75" x14ac:dyDescent="0.2">
      <c r="A355" s="14">
        <v>331</v>
      </c>
      <c r="B355" s="14">
        <v>400005520</v>
      </c>
      <c r="C355" s="8" t="s">
        <v>3793</v>
      </c>
      <c r="D355" s="4" t="str">
        <f t="shared" si="38"/>
        <v>400005520U</v>
      </c>
      <c r="E355" s="309" t="str">
        <f>VLOOKUP($B355,'D7 - NDB Impacted SPRF''s'!$E$6:$O$9929,2,FALSE)</f>
        <v>Claims Repricing Release 1 - ppoONE</v>
      </c>
      <c r="F355" s="8" t="s">
        <v>4304</v>
      </c>
      <c r="G355" s="8" t="s">
        <v>4758</v>
      </c>
      <c r="H355" s="8" t="s">
        <v>4246</v>
      </c>
      <c r="I355" s="20">
        <v>4.6900000000000004</v>
      </c>
      <c r="J355" s="8" t="s">
        <v>4862</v>
      </c>
      <c r="K355" s="182">
        <v>38542</v>
      </c>
      <c r="L355" s="8" t="s">
        <v>4964</v>
      </c>
      <c r="M355" s="8" t="s">
        <v>2814</v>
      </c>
      <c r="N355" s="367"/>
      <c r="O355" s="8"/>
      <c r="P355" s="4" t="str">
        <f>VLOOKUP($B355,'D7 - NDB Impacted SPRF''s'!$E$16:$O$9929,9,FALSE)</f>
        <v>Y</v>
      </c>
      <c r="Q355" s="4" t="str">
        <f>VLOOKUP($B355,'D7 - NDB Impacted SPRF''s'!$E$16:$O$9929,10,FALSE)</f>
        <v>N</v>
      </c>
      <c r="R355" s="4" t="str">
        <f>VLOOKUP($B355,'D7 - NDB Impacted SPRF''s'!$E$16:$O$9929,11,FALSE)</f>
        <v>N</v>
      </c>
      <c r="S355" s="8"/>
      <c r="T355" s="310"/>
      <c r="U355" s="310"/>
      <c r="V355" s="4"/>
      <c r="W355" s="4"/>
      <c r="X355" s="4"/>
      <c r="Y355" s="4"/>
      <c r="Z355" s="4"/>
      <c r="AA355" s="4"/>
      <c r="AB355" s="380" t="str">
        <f>VLOOKUP($B355,'D7 - NDB Impacted SPRF''s'!$E$16:$O$9929,4,FALSE)</f>
        <v>Completed</v>
      </c>
      <c r="AC355" s="380" t="str">
        <f>VLOOKUP($B355,'D7 - NDB Impacted SPRF''s'!$E$16:$O$9929,3,FALSE)</f>
        <v>UnitedHealthcare Employer &amp; Individual</v>
      </c>
      <c r="AD355" s="380" t="str">
        <f>VLOOKUP($B355,'D7 - NDB Impacted SPRF''s'!$E$16:$O$9929,5,FALSE)</f>
        <v>Key Initiatives Group</v>
      </c>
      <c r="AE355" s="380" t="str">
        <f>VLOOKUP($B355,'D7 - NDB Impacted SPRF''s'!$E$16:$O$9929,7,FALSE)</f>
        <v>Mike Mikan, Dirk McMahon</v>
      </c>
      <c r="AF355" s="380" t="str">
        <f>VLOOKUP($B355,'D7 - NDB Impacted SPRF''s'!$E$16:$O$9929,6,FALSE)</f>
        <v>SUSAN HAMES</v>
      </c>
      <c r="AG355" s="282"/>
      <c r="AH355" s="311" t="e">
        <f>INDEX('D5 - Gatekeeper - Projects'!$A$4:$AF$1010,$AM355, 17)</f>
        <v>#N/A</v>
      </c>
      <c r="AI355" s="8"/>
      <c r="AJ355" s="57"/>
      <c r="AK355" s="105"/>
      <c r="AL355" s="216"/>
      <c r="AM355" s="6" t="e">
        <f>MATCH(D355,'D5 - Gatekeeper - Projects'!$C$4:$C$1010,0)</f>
        <v>#N/A</v>
      </c>
      <c r="AN355" s="6" t="b">
        <f t="shared" si="36"/>
        <v>1</v>
      </c>
      <c r="AO355" s="6" t="str">
        <f t="shared" si="39"/>
        <v>OK</v>
      </c>
      <c r="AQ355" s="6" t="e">
        <f>MATCH($D355,'D4 - Provider Council Unsched'!$C$11:$C$234,0)</f>
        <v>#N/A</v>
      </c>
      <c r="AR355" s="6" t="b">
        <f t="shared" si="37"/>
        <v>1</v>
      </c>
      <c r="AS355" s="6" t="str">
        <f t="shared" si="35"/>
        <v>OK</v>
      </c>
      <c r="AU355" s="202"/>
      <c r="AV355" s="262"/>
      <c r="AW355" s="274"/>
    </row>
    <row r="356" spans="1:49" s="13" customFormat="1" ht="33.75" x14ac:dyDescent="0.2">
      <c r="A356" s="14">
        <v>332</v>
      </c>
      <c r="B356" s="14">
        <v>400002656</v>
      </c>
      <c r="C356" s="8" t="s">
        <v>3763</v>
      </c>
      <c r="D356" s="4" t="str">
        <f t="shared" si="38"/>
        <v>400002656R2</v>
      </c>
      <c r="E356" s="309" t="str">
        <f>VLOOKUP($B356,'D7 - NDB Impacted SPRF''s'!$E$6:$O$9929,2,FALSE)</f>
        <v>Pay to Individual (PTI) Project</v>
      </c>
      <c r="F356" s="8" t="s">
        <v>1934</v>
      </c>
      <c r="G356" s="8" t="s">
        <v>4758</v>
      </c>
      <c r="H356" s="8" t="s">
        <v>4246</v>
      </c>
      <c r="I356" s="20">
        <v>1</v>
      </c>
      <c r="J356" s="8" t="s">
        <v>4862</v>
      </c>
      <c r="K356" s="182">
        <v>38544</v>
      </c>
      <c r="L356" s="8" t="s">
        <v>4964</v>
      </c>
      <c r="M356" s="8" t="s">
        <v>2814</v>
      </c>
      <c r="N356" s="367"/>
      <c r="O356" s="8"/>
      <c r="P356" s="4" t="str">
        <f>VLOOKUP($B356,'D7 - NDB Impacted SPRF''s'!$E$16:$O$9929,9,FALSE)</f>
        <v>Y</v>
      </c>
      <c r="Q356" s="4" t="str">
        <f>VLOOKUP($B356,'D7 - NDB Impacted SPRF''s'!$E$16:$O$9929,10,FALSE)</f>
        <v>N</v>
      </c>
      <c r="R356" s="4" t="str">
        <f>VLOOKUP($B356,'D7 - NDB Impacted SPRF''s'!$E$16:$O$9929,11,FALSE)</f>
        <v>N</v>
      </c>
      <c r="S356" s="8"/>
      <c r="T356" s="310"/>
      <c r="U356" s="310"/>
      <c r="V356" s="4"/>
      <c r="W356" s="4"/>
      <c r="X356" s="4"/>
      <c r="Y356" s="4"/>
      <c r="Z356" s="4"/>
      <c r="AA356" s="4"/>
      <c r="AB356" s="380" t="str">
        <f>VLOOKUP($B356,'D7 - NDB Impacted SPRF''s'!$E$16:$O$9929,4,FALSE)</f>
        <v>Completed</v>
      </c>
      <c r="AC356" s="380" t="str">
        <f>VLOOKUP($B356,'D7 - NDB Impacted SPRF''s'!$E$16:$O$9929,3,FALSE)</f>
        <v>UnitedHealthcare Employer &amp; Individual</v>
      </c>
      <c r="AD356" s="380" t="str">
        <f>VLOOKUP($B356,'D7 - NDB Impacted SPRF''s'!$E$16:$O$9929,5,FALSE)</f>
        <v>Operations Group</v>
      </c>
      <c r="AE356" s="380" t="str">
        <f>VLOOKUP($B356,'D7 - NDB Impacted SPRF''s'!$E$16:$O$9929,7,FALSE)</f>
        <v>Peter Bompane</v>
      </c>
      <c r="AF356" s="380" t="str">
        <f>VLOOKUP($B356,'D7 - NDB Impacted SPRF''s'!$E$16:$O$9929,6,FALSE)</f>
        <v>Eileen Dock</v>
      </c>
      <c r="AG356" s="282"/>
      <c r="AH356" s="311" t="e">
        <f>INDEX('D5 - Gatekeeper - Projects'!$A$4:$AF$1010,$AM356, 17)</f>
        <v>#N/A</v>
      </c>
      <c r="AI356" s="8"/>
      <c r="AJ356" s="57"/>
      <c r="AK356" s="105"/>
      <c r="AL356" s="216"/>
      <c r="AM356" s="6" t="e">
        <f>MATCH(D356,'D5 - Gatekeeper - Projects'!$C$4:$C$1010,0)</f>
        <v>#N/A</v>
      </c>
      <c r="AN356" s="6" t="b">
        <f t="shared" si="36"/>
        <v>1</v>
      </c>
      <c r="AO356" s="6" t="str">
        <f t="shared" si="39"/>
        <v>OK</v>
      </c>
      <c r="AQ356" s="6" t="e">
        <f>MATCH($D356,'D4 - Provider Council Unsched'!$C$11:$C$234,0)</f>
        <v>#N/A</v>
      </c>
      <c r="AR356" s="6" t="b">
        <f t="shared" si="37"/>
        <v>1</v>
      </c>
      <c r="AS356" s="6" t="str">
        <f t="shared" si="35"/>
        <v>OK</v>
      </c>
      <c r="AU356" s="202"/>
      <c r="AV356" s="262"/>
      <c r="AW356" s="274"/>
    </row>
    <row r="357" spans="1:49" s="13" customFormat="1" x14ac:dyDescent="0.2">
      <c r="A357" s="14">
        <v>333</v>
      </c>
      <c r="B357" s="14">
        <v>400007568</v>
      </c>
      <c r="C357" s="8" t="s">
        <v>5197</v>
      </c>
      <c r="D357" s="4" t="str">
        <f t="shared" si="38"/>
        <v>400007568R1</v>
      </c>
      <c r="E357" s="309" t="str">
        <f>VLOOKUP($B357,'D7 - NDB Impacted SPRF''s'!$E$6:$O$9929,2,FALSE)</f>
        <v>SCS Integration Analysis And Architecture</v>
      </c>
      <c r="F357" s="8"/>
      <c r="G357" s="8" t="s">
        <v>4758</v>
      </c>
      <c r="H357" s="8" t="s">
        <v>4246</v>
      </c>
      <c r="I357" s="20">
        <v>0.13</v>
      </c>
      <c r="J357" s="8" t="s">
        <v>4862</v>
      </c>
      <c r="K357" s="182">
        <v>38544</v>
      </c>
      <c r="L357" s="8" t="s">
        <v>4964</v>
      </c>
      <c r="M357" s="8" t="s">
        <v>2814</v>
      </c>
      <c r="N357" s="367"/>
      <c r="O357" s="8"/>
      <c r="P357" s="4" t="str">
        <f>VLOOKUP($B357,'D7 - NDB Impacted SPRF''s'!$E$16:$O$9929,9,FALSE)</f>
        <v>Y</v>
      </c>
      <c r="Q357" s="4" t="str">
        <f>VLOOKUP($B357,'D7 - NDB Impacted SPRF''s'!$E$16:$O$9929,10,FALSE)</f>
        <v>N</v>
      </c>
      <c r="R357" s="4" t="str">
        <f>VLOOKUP($B357,'D7 - NDB Impacted SPRF''s'!$E$16:$O$9929,11,FALSE)</f>
        <v>N</v>
      </c>
      <c r="S357" s="8"/>
      <c r="T357" s="310"/>
      <c r="U357" s="310"/>
      <c r="V357" s="4"/>
      <c r="W357" s="4"/>
      <c r="X357" s="4"/>
      <c r="Y357" s="4"/>
      <c r="Z357" s="4"/>
      <c r="AA357" s="4"/>
      <c r="AB357" s="380" t="str">
        <f>VLOOKUP($B357,'D7 - NDB Impacted SPRF''s'!$E$16:$O$9929,4,FALSE)</f>
        <v>Completed</v>
      </c>
      <c r="AC357" s="380" t="str">
        <f>VLOOKUP($B357,'D7 - NDB Impacted SPRF''s'!$E$16:$O$9929,3,FALSE)</f>
        <v>OptumHealth</v>
      </c>
      <c r="AD357" s="380" t="str">
        <f>VLOOKUP($B357,'D7 - NDB Impacted SPRF''s'!$E$16:$O$9929,5,FALSE)</f>
        <v>SCS</v>
      </c>
      <c r="AE357" s="380" t="str">
        <f>VLOOKUP($B357,'D7 - NDB Impacted SPRF''s'!$E$16:$O$9929,7,FALSE)</f>
        <v>Brian Murray / Brigid Bonner</v>
      </c>
      <c r="AF357" s="380" t="str">
        <f>VLOOKUP($B357,'D7 - NDB Impacted SPRF''s'!$E$16:$O$9929,6,FALSE)</f>
        <v>Don Tierney</v>
      </c>
      <c r="AG357" s="282"/>
      <c r="AH357" s="311" t="e">
        <f>INDEX('D5 - Gatekeeper - Projects'!$A$4:$AF$1010,$AM357, 17)</f>
        <v>#N/A</v>
      </c>
      <c r="AI357" s="8"/>
      <c r="AJ357" s="57"/>
      <c r="AK357" s="105"/>
      <c r="AM357" s="6" t="e">
        <f>MATCH(D357,'D5 - Gatekeeper - Projects'!$C$4:$C$1010,0)</f>
        <v>#N/A</v>
      </c>
      <c r="AN357" s="6" t="b">
        <f t="shared" si="36"/>
        <v>1</v>
      </c>
      <c r="AO357" s="6" t="str">
        <f t="shared" si="39"/>
        <v>OK</v>
      </c>
      <c r="AQ357" s="6" t="e">
        <f>MATCH($D357,'D4 - Provider Council Unsched'!$C$11:$C$234,0)</f>
        <v>#N/A</v>
      </c>
      <c r="AR357" s="6" t="b">
        <f t="shared" si="37"/>
        <v>1</v>
      </c>
      <c r="AS357" s="6" t="str">
        <f t="shared" si="35"/>
        <v>OK</v>
      </c>
      <c r="AU357" s="202"/>
      <c r="AV357" s="262"/>
      <c r="AW357" s="274"/>
    </row>
    <row r="358" spans="1:49" s="13" customFormat="1" x14ac:dyDescent="0.2">
      <c r="A358" s="14">
        <v>334</v>
      </c>
      <c r="B358" s="14">
        <v>400004971</v>
      </c>
      <c r="C358" s="8" t="s">
        <v>5197</v>
      </c>
      <c r="D358" s="4" t="str">
        <f t="shared" si="38"/>
        <v>400004971R1</v>
      </c>
      <c r="E358" s="309" t="str">
        <f>VLOOKUP($B358,'D7 - NDB Impacted SPRF''s'!$E$6:$O$9929,2,FALSE)</f>
        <v>PIT - Monthly NDC Database Maintenance</v>
      </c>
      <c r="F358" s="8"/>
      <c r="G358" s="8" t="s">
        <v>4758</v>
      </c>
      <c r="H358" s="8" t="s">
        <v>4246</v>
      </c>
      <c r="I358" s="20">
        <v>1.6</v>
      </c>
      <c r="J358" s="8" t="s">
        <v>4862</v>
      </c>
      <c r="K358" s="182">
        <v>38584</v>
      </c>
      <c r="L358" s="8" t="s">
        <v>4964</v>
      </c>
      <c r="M358" s="8" t="s">
        <v>2814</v>
      </c>
      <c r="N358" s="367"/>
      <c r="O358" s="8"/>
      <c r="P358" s="4" t="str">
        <f>VLOOKUP($B358,'D7 - NDB Impacted SPRF''s'!$E$16:$O$9929,9,FALSE)</f>
        <v>N</v>
      </c>
      <c r="Q358" s="4" t="str">
        <f>VLOOKUP($B358,'D7 - NDB Impacted SPRF''s'!$E$16:$O$9929,10,FALSE)</f>
        <v>N</v>
      </c>
      <c r="R358" s="4" t="str">
        <f>VLOOKUP($B358,'D7 - NDB Impacted SPRF''s'!$E$16:$O$9929,11,FALSE)</f>
        <v>N</v>
      </c>
      <c r="S358" s="8"/>
      <c r="T358" s="310"/>
      <c r="U358" s="310"/>
      <c r="V358" s="4"/>
      <c r="W358" s="4"/>
      <c r="X358" s="4"/>
      <c r="Y358" s="4"/>
      <c r="Z358" s="4"/>
      <c r="AA358" s="4"/>
      <c r="AB358" s="380" t="str">
        <f>VLOOKUP($B358,'D7 - NDB Impacted SPRF''s'!$E$16:$O$9929,4,FALSE)</f>
        <v>Completed</v>
      </c>
      <c r="AC358" s="380" t="str">
        <f>VLOOKUP($B358,'D7 - NDB Impacted SPRF''s'!$E$16:$O$9929,3,FALSE)</f>
        <v>Uniprise</v>
      </c>
      <c r="AD358" s="380" t="str">
        <f>VLOOKUP($B358,'D7 - NDB Impacted SPRF''s'!$E$16:$O$9929,5,FALSE)</f>
        <v>Uniprise Operations - DDC</v>
      </c>
      <c r="AE358" s="380" t="str">
        <f>VLOOKUP($B358,'D7 - NDB Impacted SPRF''s'!$E$16:$O$9929,7,FALSE)</f>
        <v>Donna McCart</v>
      </c>
      <c r="AF358" s="380" t="str">
        <f>VLOOKUP($B358,'D7 - NDB Impacted SPRF''s'!$E$16:$O$9929,6,FALSE)</f>
        <v>Nancy Hickam</v>
      </c>
      <c r="AG358" s="282"/>
      <c r="AH358" s="311" t="e">
        <f>INDEX('D5 - Gatekeeper - Projects'!$A$4:$AF$1010,$AM358, 17)</f>
        <v>#N/A</v>
      </c>
      <c r="AI358" s="8"/>
      <c r="AJ358" s="57"/>
      <c r="AK358" s="105"/>
      <c r="AL358" s="216"/>
      <c r="AM358" s="6" t="e">
        <f>MATCH(D358,'D5 - Gatekeeper - Projects'!$C$4:$C$1010,0)</f>
        <v>#N/A</v>
      </c>
      <c r="AN358" s="6" t="b">
        <f t="shared" si="36"/>
        <v>1</v>
      </c>
      <c r="AO358" s="6" t="str">
        <f t="shared" si="39"/>
        <v>OK</v>
      </c>
      <c r="AQ358" s="6" t="e">
        <f>MATCH($D358,'D4 - Provider Council Unsched'!$C$11:$C$234,0)</f>
        <v>#N/A</v>
      </c>
      <c r="AR358" s="6" t="b">
        <f t="shared" si="37"/>
        <v>1</v>
      </c>
      <c r="AS358" s="6" t="str">
        <f t="shared" si="35"/>
        <v>OK</v>
      </c>
      <c r="AU358" s="202"/>
      <c r="AV358" s="262"/>
      <c r="AW358" s="274"/>
    </row>
    <row r="359" spans="1:49" s="13" customFormat="1" ht="22.5" x14ac:dyDescent="0.2">
      <c r="A359" s="14">
        <v>335</v>
      </c>
      <c r="B359" s="14">
        <v>400006180</v>
      </c>
      <c r="C359" s="8" t="s">
        <v>5197</v>
      </c>
      <c r="D359" s="4" t="str">
        <f t="shared" si="38"/>
        <v>400006180R1</v>
      </c>
      <c r="E359" s="309" t="str">
        <f>VLOOKUP($B359,'D7 - NDB Impacted SPRF''s'!$E$6:$O$9929,2,FALSE)</f>
        <v>Definity Network - Repricing</v>
      </c>
      <c r="F359" s="8" t="s">
        <v>3876</v>
      </c>
      <c r="G359" s="8" t="s">
        <v>4758</v>
      </c>
      <c r="H359" s="8" t="s">
        <v>4246</v>
      </c>
      <c r="I359" s="20">
        <v>2</v>
      </c>
      <c r="J359" s="8" t="s">
        <v>4862</v>
      </c>
      <c r="K359" s="182">
        <v>38584</v>
      </c>
      <c r="L359" s="8" t="s">
        <v>4964</v>
      </c>
      <c r="M359" s="8" t="s">
        <v>2814</v>
      </c>
      <c r="N359" s="367"/>
      <c r="O359" s="8"/>
      <c r="P359" s="4" t="str">
        <f>VLOOKUP($B359,'D7 - NDB Impacted SPRF''s'!$E$16:$O$9929,9,FALSE)</f>
        <v>N</v>
      </c>
      <c r="Q359" s="4" t="str">
        <f>VLOOKUP($B359,'D7 - NDB Impacted SPRF''s'!$E$16:$O$9929,10,FALSE)</f>
        <v>N</v>
      </c>
      <c r="R359" s="4" t="str">
        <f>VLOOKUP($B359,'D7 - NDB Impacted SPRF''s'!$E$16:$O$9929,11,FALSE)</f>
        <v>N</v>
      </c>
      <c r="S359" s="8"/>
      <c r="T359" s="310"/>
      <c r="U359" s="310"/>
      <c r="V359" s="4"/>
      <c r="W359" s="4"/>
      <c r="X359" s="4"/>
      <c r="Y359" s="4"/>
      <c r="Z359" s="4"/>
      <c r="AA359" s="4"/>
      <c r="AB359" s="380" t="str">
        <f>VLOOKUP($B359,'D7 - NDB Impacted SPRF''s'!$E$16:$O$9929,4,FALSE)</f>
        <v>Completed</v>
      </c>
      <c r="AC359" s="380" t="str">
        <f>VLOOKUP($B359,'D7 - NDB Impacted SPRF''s'!$E$16:$O$9929,3,FALSE)</f>
        <v>Uniprise</v>
      </c>
      <c r="AD359" s="380" t="str">
        <f>VLOOKUP($B359,'D7 - NDB Impacted SPRF''s'!$E$16:$O$9929,5,FALSE)</f>
        <v>Definity - Capital Projects</v>
      </c>
      <c r="AE359" s="380" t="str">
        <f>VLOOKUP($B359,'D7 - NDB Impacted SPRF''s'!$E$16:$O$9929,7,FALSE)</f>
        <v>Bruce MacGibbon</v>
      </c>
      <c r="AF359" s="380" t="str">
        <f>VLOOKUP($B359,'D7 - NDB Impacted SPRF''s'!$E$16:$O$9929,6,FALSE)</f>
        <v>RUTH HOLMBERG</v>
      </c>
      <c r="AG359" s="282"/>
      <c r="AH359" s="311" t="e">
        <f>INDEX('D5 - Gatekeeper - Projects'!$A$4:$AF$1010,$AM359, 17)</f>
        <v>#N/A</v>
      </c>
      <c r="AI359" s="8"/>
      <c r="AJ359" s="57"/>
      <c r="AK359" s="105"/>
      <c r="AL359" s="216"/>
      <c r="AM359" s="6" t="e">
        <f>MATCH(D359,'D5 - Gatekeeper - Projects'!$C$4:$C$1010,0)</f>
        <v>#N/A</v>
      </c>
      <c r="AN359" s="6" t="b">
        <f t="shared" si="36"/>
        <v>1</v>
      </c>
      <c r="AO359" s="6" t="str">
        <f t="shared" si="39"/>
        <v>OK</v>
      </c>
      <c r="AQ359" s="6" t="e">
        <f>MATCH($D359,'D4 - Provider Council Unsched'!$C$11:$C$234,0)</f>
        <v>#N/A</v>
      </c>
      <c r="AR359" s="6" t="b">
        <f t="shared" si="37"/>
        <v>1</v>
      </c>
      <c r="AS359" s="6" t="str">
        <f t="shared" si="35"/>
        <v>OK</v>
      </c>
      <c r="AU359" s="202"/>
      <c r="AV359" s="262"/>
      <c r="AW359" s="274"/>
    </row>
    <row r="360" spans="1:49" s="13" customFormat="1" ht="22.5" x14ac:dyDescent="0.2">
      <c r="A360" s="14">
        <v>336</v>
      </c>
      <c r="B360" s="14">
        <v>400007538</v>
      </c>
      <c r="C360" s="8" t="s">
        <v>5197</v>
      </c>
      <c r="D360" s="4" t="str">
        <f t="shared" si="38"/>
        <v>400007538R1</v>
      </c>
      <c r="E360" s="309" t="str">
        <f>VLOOKUP($B360,'D7 - NDB Impacted SPRF''s'!$E$6:$O$9929,2,FALSE)</f>
        <v>Eligibility File Transmissions</v>
      </c>
      <c r="F360" s="8"/>
      <c r="G360" s="8" t="s">
        <v>4758</v>
      </c>
      <c r="H360" s="8" t="s">
        <v>4246</v>
      </c>
      <c r="I360" s="20">
        <v>0.5</v>
      </c>
      <c r="J360" s="8" t="s">
        <v>4862</v>
      </c>
      <c r="K360" s="182">
        <v>38584</v>
      </c>
      <c r="L360" s="8" t="s">
        <v>4964</v>
      </c>
      <c r="M360" s="8" t="s">
        <v>2814</v>
      </c>
      <c r="N360" s="367"/>
      <c r="O360" s="8"/>
      <c r="P360" s="4" t="str">
        <f>VLOOKUP($B360,'D7 - NDB Impacted SPRF''s'!$E$16:$O$9929,9,FALSE)</f>
        <v>N</v>
      </c>
      <c r="Q360" s="4" t="str">
        <f>VLOOKUP($B360,'D7 - NDB Impacted SPRF''s'!$E$16:$O$9929,10,FALSE)</f>
        <v>N</v>
      </c>
      <c r="R360" s="4" t="str">
        <f>VLOOKUP($B360,'D7 - NDB Impacted SPRF''s'!$E$16:$O$9929,11,FALSE)</f>
        <v>N</v>
      </c>
      <c r="S360" s="8"/>
      <c r="T360" s="310"/>
      <c r="U360" s="310"/>
      <c r="V360" s="4"/>
      <c r="W360" s="4"/>
      <c r="X360" s="4"/>
      <c r="Y360" s="4"/>
      <c r="Z360" s="4"/>
      <c r="AA360" s="4"/>
      <c r="AB360" s="380" t="str">
        <f>VLOOKUP($B360,'D7 - NDB Impacted SPRF''s'!$E$16:$O$9929,4,FALSE)</f>
        <v>Completed</v>
      </c>
      <c r="AC360" s="380" t="str">
        <f>VLOOKUP($B360,'D7 - NDB Impacted SPRF''s'!$E$16:$O$9929,3,FALSE)</f>
        <v>Uniprise</v>
      </c>
      <c r="AD360" s="380" t="str">
        <f>VLOOKUP($B360,'D7 - NDB Impacted SPRF''s'!$E$16:$O$9929,5,FALSE)</f>
        <v>Workorder Management</v>
      </c>
      <c r="AE360" s="380" t="str">
        <f>VLOOKUP($B360,'D7 - NDB Impacted SPRF''s'!$E$16:$O$9929,7,FALSE)</f>
        <v>Doug Smith</v>
      </c>
      <c r="AF360" s="380" t="str">
        <f>VLOOKUP($B360,'D7 - NDB Impacted SPRF''s'!$E$16:$O$9929,6,FALSE)</f>
        <v>JOHNSON KIMBERLY</v>
      </c>
      <c r="AG360" s="282"/>
      <c r="AH360" s="311" t="e">
        <f>INDEX('D5 - Gatekeeper - Projects'!$A$4:$AF$1010,$AM360, 17)</f>
        <v>#N/A</v>
      </c>
      <c r="AI360" s="8"/>
      <c r="AJ360" s="57"/>
      <c r="AK360" s="105"/>
      <c r="AL360" s="216"/>
      <c r="AM360" s="6" t="e">
        <f>MATCH(D360,'D5 - Gatekeeper - Projects'!$C$4:$C$1010,0)</f>
        <v>#N/A</v>
      </c>
      <c r="AN360" s="6" t="b">
        <f t="shared" si="36"/>
        <v>1</v>
      </c>
      <c r="AO360" s="6" t="str">
        <f t="shared" si="39"/>
        <v>OK</v>
      </c>
      <c r="AQ360" s="6" t="e">
        <f>MATCH($D360,'D4 - Provider Council Unsched'!$C$11:$C$234,0)</f>
        <v>#N/A</v>
      </c>
      <c r="AR360" s="6" t="b">
        <f t="shared" si="37"/>
        <v>1</v>
      </c>
      <c r="AS360" s="6" t="str">
        <f t="shared" si="35"/>
        <v>OK</v>
      </c>
      <c r="AU360" s="202"/>
      <c r="AV360" s="262"/>
      <c r="AW360" s="274"/>
    </row>
    <row r="361" spans="1:49" s="13" customFormat="1" ht="33.75" x14ac:dyDescent="0.2">
      <c r="A361" s="14">
        <v>337</v>
      </c>
      <c r="B361" s="14">
        <v>400008789</v>
      </c>
      <c r="C361" s="8" t="s">
        <v>5197</v>
      </c>
      <c r="D361" s="4" t="str">
        <f t="shared" si="38"/>
        <v>400008789R1</v>
      </c>
      <c r="E361" s="309" t="str">
        <f>VLOOKUP($B361,'D7 - NDB Impacted SPRF''s'!$E$6:$O$9929,2,FALSE)</f>
        <v>Query for Additional Dummy Fee Schedules</v>
      </c>
      <c r="F361" s="8" t="s">
        <v>4304</v>
      </c>
      <c r="G361" s="8" t="s">
        <v>4758</v>
      </c>
      <c r="H361" s="8" t="s">
        <v>4246</v>
      </c>
      <c r="I361" s="20">
        <v>0.4</v>
      </c>
      <c r="J361" s="8" t="s">
        <v>4862</v>
      </c>
      <c r="K361" s="182">
        <v>38584</v>
      </c>
      <c r="L361" s="8" t="s">
        <v>4964</v>
      </c>
      <c r="M361" s="8" t="s">
        <v>2814</v>
      </c>
      <c r="N361" s="367"/>
      <c r="O361" s="8"/>
      <c r="P361" s="4" t="str">
        <f>VLOOKUP($B361,'D7 - NDB Impacted SPRF''s'!$E$16:$O$9929,9,FALSE)</f>
        <v>N</v>
      </c>
      <c r="Q361" s="4" t="str">
        <f>VLOOKUP($B361,'D7 - NDB Impacted SPRF''s'!$E$16:$O$9929,10,FALSE)</f>
        <v>N</v>
      </c>
      <c r="R361" s="4" t="str">
        <f>VLOOKUP($B361,'D7 - NDB Impacted SPRF''s'!$E$16:$O$9929,11,FALSE)</f>
        <v>N</v>
      </c>
      <c r="S361" s="8"/>
      <c r="T361" s="310"/>
      <c r="U361" s="310"/>
      <c r="V361" s="4"/>
      <c r="W361" s="4"/>
      <c r="X361" s="4"/>
      <c r="Y361" s="4"/>
      <c r="Z361" s="4"/>
      <c r="AA361" s="4"/>
      <c r="AB361" s="380" t="str">
        <f>VLOOKUP($B361,'D7 - NDB Impacted SPRF''s'!$E$16:$O$9929,4,FALSE)</f>
        <v>Completed</v>
      </c>
      <c r="AC361" s="380" t="str">
        <f>VLOOKUP($B361,'D7 - NDB Impacted SPRF''s'!$E$16:$O$9929,3,FALSE)</f>
        <v>UnitedHealthcare Employer &amp; Individual</v>
      </c>
      <c r="AD361" s="380" t="str">
        <f>VLOOKUP($B361,'D7 - NDB Impacted SPRF''s'!$E$16:$O$9929,5,FALSE)</f>
        <v>Key Initiatives Group</v>
      </c>
      <c r="AE361" s="380" t="str">
        <f>VLOOKUP($B361,'D7 - NDB Impacted SPRF''s'!$E$16:$O$9929,7,FALSE)</f>
        <v xml:space="preserve">Mike Mikan, Dirk McMahon </v>
      </c>
      <c r="AF361" s="380" t="str">
        <f>VLOOKUP($B361,'D7 - NDB Impacted SPRF''s'!$E$16:$O$9929,6,FALSE)</f>
        <v>MICHELE BOERGER</v>
      </c>
      <c r="AG361" s="282"/>
      <c r="AH361" s="311" t="e">
        <f>INDEX('D5 - Gatekeeper - Projects'!$A$4:$AF$1010,$AM361, 17)</f>
        <v>#N/A</v>
      </c>
      <c r="AI361" s="8"/>
      <c r="AJ361" s="57"/>
      <c r="AK361" s="105"/>
      <c r="AL361" s="216"/>
      <c r="AM361" s="6" t="e">
        <f>MATCH(D361,'D5 - Gatekeeper - Projects'!$C$4:$C$1010,0)</f>
        <v>#N/A</v>
      </c>
      <c r="AN361" s="6" t="b">
        <f t="shared" si="36"/>
        <v>1</v>
      </c>
      <c r="AO361" s="6" t="str">
        <f t="shared" si="39"/>
        <v>OK</v>
      </c>
      <c r="AQ361" s="6" t="e">
        <f>MATCH($D361,'D4 - Provider Council Unsched'!$C$11:$C$234,0)</f>
        <v>#N/A</v>
      </c>
      <c r="AR361" s="6" t="b">
        <f t="shared" si="37"/>
        <v>1</v>
      </c>
      <c r="AS361" s="6" t="str">
        <f t="shared" si="35"/>
        <v>OK</v>
      </c>
      <c r="AU361" s="202"/>
      <c r="AV361" s="262"/>
      <c r="AW361" s="274"/>
    </row>
    <row r="362" spans="1:49" s="13" customFormat="1" ht="33.75" x14ac:dyDescent="0.2">
      <c r="A362" s="14">
        <v>338</v>
      </c>
      <c r="B362" s="14">
        <v>400008790</v>
      </c>
      <c r="C362" s="8" t="s">
        <v>5197</v>
      </c>
      <c r="D362" s="4" t="str">
        <f t="shared" si="38"/>
        <v>400008790R1</v>
      </c>
      <c r="E362" s="309" t="str">
        <f>VLOOKUP($B362,'D7 - NDB Impacted SPRF''s'!$E$6:$O$9929,2,FALSE)</f>
        <v>NDB Inactive Fee Schedules</v>
      </c>
      <c r="F362" s="8" t="s">
        <v>4304</v>
      </c>
      <c r="G362" s="8" t="s">
        <v>4758</v>
      </c>
      <c r="H362" s="8" t="s">
        <v>4246</v>
      </c>
      <c r="I362" s="20">
        <v>0.27</v>
      </c>
      <c r="J362" s="8" t="s">
        <v>4862</v>
      </c>
      <c r="K362" s="182">
        <v>38584</v>
      </c>
      <c r="L362" s="8" t="s">
        <v>4964</v>
      </c>
      <c r="M362" s="8" t="s">
        <v>2814</v>
      </c>
      <c r="N362" s="367"/>
      <c r="O362" s="8"/>
      <c r="P362" s="4" t="str">
        <f>VLOOKUP($B362,'D7 - NDB Impacted SPRF''s'!$E$16:$O$9929,9,FALSE)</f>
        <v>N</v>
      </c>
      <c r="Q362" s="4" t="str">
        <f>VLOOKUP($B362,'D7 - NDB Impacted SPRF''s'!$E$16:$O$9929,10,FALSE)</f>
        <v>N</v>
      </c>
      <c r="R362" s="4" t="str">
        <f>VLOOKUP($B362,'D7 - NDB Impacted SPRF''s'!$E$16:$O$9929,11,FALSE)</f>
        <v>N</v>
      </c>
      <c r="S362" s="8"/>
      <c r="T362" s="310"/>
      <c r="U362" s="310"/>
      <c r="V362" s="4"/>
      <c r="W362" s="4"/>
      <c r="X362" s="4"/>
      <c r="Y362" s="4"/>
      <c r="Z362" s="4"/>
      <c r="AA362" s="4"/>
      <c r="AB362" s="380" t="str">
        <f>VLOOKUP($B362,'D7 - NDB Impacted SPRF''s'!$E$16:$O$9929,4,FALSE)</f>
        <v>Completed</v>
      </c>
      <c r="AC362" s="380" t="str">
        <f>VLOOKUP($B362,'D7 - NDB Impacted SPRF''s'!$E$16:$O$9929,3,FALSE)</f>
        <v>UnitedHealthcare Employer &amp; Individual</v>
      </c>
      <c r="AD362" s="380" t="str">
        <f>VLOOKUP($B362,'D7 - NDB Impacted SPRF''s'!$E$16:$O$9929,5,FALSE)</f>
        <v>Key Initiatives Group</v>
      </c>
      <c r="AE362" s="380" t="str">
        <f>VLOOKUP($B362,'D7 - NDB Impacted SPRF''s'!$E$16:$O$9929,7,FALSE)</f>
        <v xml:space="preserve">Mike Mikan, Dirk McMahon </v>
      </c>
      <c r="AF362" s="380" t="str">
        <f>VLOOKUP($B362,'D7 - NDB Impacted SPRF''s'!$E$16:$O$9929,6,FALSE)</f>
        <v>MICHELE BOERGER</v>
      </c>
      <c r="AG362" s="282"/>
      <c r="AH362" s="311" t="e">
        <f>INDEX('D5 - Gatekeeper - Projects'!$A$4:$AF$1010,$AM362, 17)</f>
        <v>#N/A</v>
      </c>
      <c r="AI362" s="8"/>
      <c r="AJ362" s="57"/>
      <c r="AK362" s="105"/>
      <c r="AM362" s="6" t="e">
        <f>MATCH(D362,'D5 - Gatekeeper - Projects'!$C$4:$C$1010,0)</f>
        <v>#N/A</v>
      </c>
      <c r="AN362" s="6" t="b">
        <f t="shared" si="36"/>
        <v>1</v>
      </c>
      <c r="AO362" s="6" t="str">
        <f t="shared" si="39"/>
        <v>OK</v>
      </c>
      <c r="AQ362" s="6" t="e">
        <f>MATCH($D362,'D4 - Provider Council Unsched'!$C$11:$C$234,0)</f>
        <v>#N/A</v>
      </c>
      <c r="AR362" s="6" t="b">
        <f t="shared" si="37"/>
        <v>1</v>
      </c>
      <c r="AS362" s="6" t="str">
        <f t="shared" si="35"/>
        <v>OK</v>
      </c>
      <c r="AU362" s="202"/>
      <c r="AV362" s="262"/>
      <c r="AW362" s="274"/>
    </row>
    <row r="363" spans="1:49" s="13" customFormat="1" ht="33.75" x14ac:dyDescent="0.2">
      <c r="A363" s="14">
        <v>339</v>
      </c>
      <c r="B363" s="14">
        <v>212181609</v>
      </c>
      <c r="C363" s="8" t="s">
        <v>5197</v>
      </c>
      <c r="D363" s="4" t="str">
        <f t="shared" si="38"/>
        <v>212181609R1</v>
      </c>
      <c r="E363" s="332" t="str">
        <f>VLOOKUP($B363,'D7 - NDB Impacted SPRF''s'!$E$6:$O$9929,2,FALSE)</f>
        <v>O/P Surgery Move to EPD</v>
      </c>
      <c r="F363" s="8" t="s">
        <v>5096</v>
      </c>
      <c r="G363" s="8" t="s">
        <v>4758</v>
      </c>
      <c r="H363" s="8" t="s">
        <v>4246</v>
      </c>
      <c r="I363" s="20">
        <v>3.17</v>
      </c>
      <c r="J363" s="8" t="s">
        <v>4862</v>
      </c>
      <c r="K363" s="182">
        <v>38605</v>
      </c>
      <c r="L363" s="8" t="s">
        <v>4964</v>
      </c>
      <c r="M363" s="8" t="s">
        <v>2814</v>
      </c>
      <c r="N363" s="367"/>
      <c r="O363" s="8"/>
      <c r="P363" s="4" t="str">
        <f>VLOOKUP($B363,'D7 - NDB Impacted SPRF''s'!$E$16:$O$9929,9,FALSE)</f>
        <v>Y</v>
      </c>
      <c r="Q363" s="4" t="str">
        <f>VLOOKUP($B363,'D7 - NDB Impacted SPRF''s'!$E$16:$O$9929,10,FALSE)</f>
        <v>N</v>
      </c>
      <c r="R363" s="4" t="str">
        <f>VLOOKUP($B363,'D7 - NDB Impacted SPRF''s'!$E$16:$O$9929,11,FALSE)</f>
        <v>N</v>
      </c>
      <c r="S363" s="8"/>
      <c r="T363" s="310"/>
      <c r="U363" s="310"/>
      <c r="V363" s="4"/>
      <c r="W363" s="4"/>
      <c r="X363" s="4"/>
      <c r="Y363" s="4"/>
      <c r="Z363" s="4"/>
      <c r="AA363" s="4"/>
      <c r="AB363" s="380" t="str">
        <f>VLOOKUP($B363,'D7 - NDB Impacted SPRF''s'!$E$16:$O$9929,4,FALSE)</f>
        <v>Completed</v>
      </c>
      <c r="AC363" s="380" t="str">
        <f>VLOOKUP($B363,'D7 - NDB Impacted SPRF''s'!$E$16:$O$9929,3,FALSE)</f>
        <v>UnitedHealthcare Employer &amp; Individual</v>
      </c>
      <c r="AD363" s="380" t="str">
        <f>VLOOKUP($B363,'D7 - NDB Impacted SPRF''s'!$E$16:$O$9929,5,FALSE)</f>
        <v>Operations Group</v>
      </c>
      <c r="AE363" s="380" t="str">
        <f>VLOOKUP($B363,'D7 - NDB Impacted SPRF''s'!$E$16:$O$9929,7,FALSE)</f>
        <v>Tim Kaja</v>
      </c>
      <c r="AF363" s="380" t="str">
        <f>VLOOKUP($B363,'D7 - NDB Impacted SPRF''s'!$E$16:$O$9929,6,FALSE)</f>
        <v>Kristin Stephens</v>
      </c>
      <c r="AG363" s="282"/>
      <c r="AH363" s="311" t="e">
        <f>INDEX('D5 - Gatekeeper - Projects'!$A$4:$AF$1010,$AM363, 17)</f>
        <v>#N/A</v>
      </c>
      <c r="AI363" s="8"/>
      <c r="AJ363" s="57"/>
      <c r="AK363" s="105"/>
      <c r="AL363" s="216"/>
      <c r="AM363" s="6" t="e">
        <f>MATCH(D363,'D5 - Gatekeeper - Projects'!$C$4:$C$1010,0)</f>
        <v>#N/A</v>
      </c>
      <c r="AN363" s="6" t="b">
        <f t="shared" si="36"/>
        <v>1</v>
      </c>
      <c r="AO363" s="6" t="str">
        <f t="shared" si="39"/>
        <v>OK</v>
      </c>
      <c r="AQ363" s="6" t="e">
        <f>MATCH($D363,'D4 - Provider Council Unsched'!$C$11:$C$234,0)</f>
        <v>#N/A</v>
      </c>
      <c r="AR363" s="6" t="b">
        <f t="shared" si="37"/>
        <v>1</v>
      </c>
      <c r="AS363" s="6" t="str">
        <f t="shared" si="35"/>
        <v>OK</v>
      </c>
      <c r="AU363" s="202"/>
      <c r="AV363" s="262"/>
      <c r="AW363" s="274"/>
    </row>
    <row r="364" spans="1:49" s="13" customFormat="1" ht="33.75" x14ac:dyDescent="0.2">
      <c r="A364" s="14">
        <v>340</v>
      </c>
      <c r="B364" s="14">
        <v>400000338</v>
      </c>
      <c r="C364" s="8" t="s">
        <v>5197</v>
      </c>
      <c r="D364" s="4" t="str">
        <f t="shared" si="38"/>
        <v>400000338R1</v>
      </c>
      <c r="E364" s="309" t="str">
        <f>VLOOKUP($B364,'D7 - NDB Impacted SPRF''s'!$E$6:$O$9929,2,FALSE)</f>
        <v>Unet Claims Calculations at the Total Claim Level</v>
      </c>
      <c r="F364" s="8" t="s">
        <v>5096</v>
      </c>
      <c r="G364" s="8" t="s">
        <v>4758</v>
      </c>
      <c r="H364" s="8" t="s">
        <v>4246</v>
      </c>
      <c r="I364" s="20">
        <v>8.9</v>
      </c>
      <c r="J364" s="8" t="s">
        <v>4862</v>
      </c>
      <c r="K364" s="182">
        <v>38605</v>
      </c>
      <c r="L364" s="8" t="s">
        <v>4964</v>
      </c>
      <c r="M364" s="8" t="s">
        <v>2814</v>
      </c>
      <c r="N364" s="367"/>
      <c r="O364" s="8"/>
      <c r="P364" s="4" t="str">
        <f>VLOOKUP($B364,'D7 - NDB Impacted SPRF''s'!$E$16:$O$9929,9,FALSE)</f>
        <v>Y</v>
      </c>
      <c r="Q364" s="4" t="str">
        <f>VLOOKUP($B364,'D7 - NDB Impacted SPRF''s'!$E$16:$O$9929,10,FALSE)</f>
        <v>N</v>
      </c>
      <c r="R364" s="4" t="str">
        <f>VLOOKUP($B364,'D7 - NDB Impacted SPRF''s'!$E$16:$O$9929,11,FALSE)</f>
        <v>N</v>
      </c>
      <c r="S364" s="8"/>
      <c r="T364" s="310"/>
      <c r="U364" s="310"/>
      <c r="V364" s="4"/>
      <c r="W364" s="4"/>
      <c r="X364" s="4"/>
      <c r="Y364" s="4"/>
      <c r="Z364" s="4"/>
      <c r="AA364" s="4"/>
      <c r="AB364" s="380" t="str">
        <f>VLOOKUP($B364,'D7 - NDB Impacted SPRF''s'!$E$16:$O$9929,4,FALSE)</f>
        <v>Completed</v>
      </c>
      <c r="AC364" s="380" t="str">
        <f>VLOOKUP($B364,'D7 - NDB Impacted SPRF''s'!$E$16:$O$9929,3,FALSE)</f>
        <v>UnitedHealthcare Employer &amp; Individual</v>
      </c>
      <c r="AD364" s="380" t="str">
        <f>VLOOKUP($B364,'D7 - NDB Impacted SPRF''s'!$E$16:$O$9929,5,FALSE)</f>
        <v>Operations Group</v>
      </c>
      <c r="AE364" s="380" t="str">
        <f>VLOOKUP($B364,'D7 - NDB Impacted SPRF''s'!$E$16:$O$9929,7,FALSE)</f>
        <v>Steve Rodgers</v>
      </c>
      <c r="AF364" s="380" t="str">
        <f>VLOOKUP($B364,'D7 - NDB Impacted SPRF''s'!$E$16:$O$9929,6,FALSE)</f>
        <v>WADLOW KAREN</v>
      </c>
      <c r="AG364" s="282"/>
      <c r="AH364" s="311" t="e">
        <f>INDEX('D5 - Gatekeeper - Projects'!$A$4:$AF$1010,$AM364, 17)</f>
        <v>#N/A</v>
      </c>
      <c r="AI364" s="8"/>
      <c r="AJ364" s="57"/>
      <c r="AK364" s="105"/>
      <c r="AL364" s="216"/>
      <c r="AM364" s="6" t="e">
        <f>MATCH(D364,'D5 - Gatekeeper - Projects'!$C$4:$C$1010,0)</f>
        <v>#N/A</v>
      </c>
      <c r="AN364" s="6" t="b">
        <f t="shared" si="36"/>
        <v>1</v>
      </c>
      <c r="AO364" s="6" t="str">
        <f t="shared" si="39"/>
        <v>OK</v>
      </c>
      <c r="AQ364" s="6" t="e">
        <f>MATCH($D364,'D4 - Provider Council Unsched'!$C$11:$C$234,0)</f>
        <v>#N/A</v>
      </c>
      <c r="AR364" s="6" t="b">
        <f t="shared" si="37"/>
        <v>1</v>
      </c>
      <c r="AS364" s="6" t="str">
        <f t="shared" ref="AS364:AS427" si="40">IF(AND(H364="2 - Not Scheduled",AR364=TRUE),"Add","OK")</f>
        <v>OK</v>
      </c>
      <c r="AU364" s="202"/>
      <c r="AV364" s="262"/>
      <c r="AW364" s="274"/>
    </row>
    <row r="365" spans="1:49" s="13" customFormat="1" ht="33.75" x14ac:dyDescent="0.2">
      <c r="A365" s="14">
        <v>341</v>
      </c>
      <c r="B365" s="14">
        <v>400003959</v>
      </c>
      <c r="C365" s="8" t="s">
        <v>6725</v>
      </c>
      <c r="D365" s="4" t="str">
        <f t="shared" si="38"/>
        <v>400003959CC01</v>
      </c>
      <c r="E365" s="309" t="str">
        <f>VLOOKUP($B365,'D7 - NDB Impacted SPRF''s'!$E$6:$O$9929,2,FALSE)</f>
        <v>Diagnostic vs. Surgical for Scopic Procedures</v>
      </c>
      <c r="F365" s="8"/>
      <c r="G365" s="8" t="s">
        <v>4758</v>
      </c>
      <c r="H365" s="8" t="s">
        <v>4246</v>
      </c>
      <c r="I365" s="20">
        <v>2.6</v>
      </c>
      <c r="J365" s="8" t="s">
        <v>4862</v>
      </c>
      <c r="K365" s="182">
        <v>38605</v>
      </c>
      <c r="L365" s="8" t="s">
        <v>4964</v>
      </c>
      <c r="M365" s="8" t="s">
        <v>2814</v>
      </c>
      <c r="N365" s="367"/>
      <c r="O365" s="8"/>
      <c r="P365" s="4" t="str">
        <f>VLOOKUP($B365,'D7 - NDB Impacted SPRF''s'!$E$16:$O$9929,9,FALSE)</f>
        <v>Y</v>
      </c>
      <c r="Q365" s="4" t="str">
        <f>VLOOKUP($B365,'D7 - NDB Impacted SPRF''s'!$E$16:$O$9929,10,FALSE)</f>
        <v>N</v>
      </c>
      <c r="R365" s="4" t="str">
        <f>VLOOKUP($B365,'D7 - NDB Impacted SPRF''s'!$E$16:$O$9929,11,FALSE)</f>
        <v>N</v>
      </c>
      <c r="S365" s="8"/>
      <c r="T365" s="310"/>
      <c r="U365" s="310"/>
      <c r="V365" s="4"/>
      <c r="W365" s="4"/>
      <c r="X365" s="4"/>
      <c r="Y365" s="4"/>
      <c r="Z365" s="4"/>
      <c r="AA365" s="4"/>
      <c r="AB365" s="380" t="str">
        <f>VLOOKUP($B365,'D7 - NDB Impacted SPRF''s'!$E$16:$O$9929,4,FALSE)</f>
        <v>Completed</v>
      </c>
      <c r="AC365" s="380" t="str">
        <f>VLOOKUP($B365,'D7 - NDB Impacted SPRF''s'!$E$16:$O$9929,3,FALSE)</f>
        <v>UnitedHealthcare Employer &amp; Individual</v>
      </c>
      <c r="AD365" s="380" t="str">
        <f>VLOOKUP($B365,'D7 - NDB Impacted SPRF''s'!$E$16:$O$9929,5,FALSE)</f>
        <v>Operations Group</v>
      </c>
      <c r="AE365" s="380" t="str">
        <f>VLOOKUP($B365,'D7 - NDB Impacted SPRF''s'!$E$16:$O$9929,7,FALSE)</f>
        <v>Joanne Sigstad</v>
      </c>
      <c r="AF365" s="380" t="str">
        <f>VLOOKUP($B365,'D7 - NDB Impacted SPRF''s'!$E$16:$O$9929,6,FALSE)</f>
        <v>Janet Wright</v>
      </c>
      <c r="AG365" s="282"/>
      <c r="AH365" s="311" t="e">
        <f>INDEX('D5 - Gatekeeper - Projects'!$A$4:$AF$1010,$AM365, 17)</f>
        <v>#N/A</v>
      </c>
      <c r="AI365" s="8"/>
      <c r="AJ365" s="57"/>
      <c r="AK365" s="105"/>
      <c r="AM365" s="6" t="e">
        <f>MATCH(D365,'D5 - Gatekeeper - Projects'!$C$4:$C$1010,0)</f>
        <v>#N/A</v>
      </c>
      <c r="AN365" s="6" t="b">
        <f t="shared" si="36"/>
        <v>1</v>
      </c>
      <c r="AO365" s="6" t="str">
        <f t="shared" si="39"/>
        <v>OK</v>
      </c>
      <c r="AQ365" s="6" t="e">
        <f>MATCH($D365,'D4 - Provider Council Unsched'!$C$11:$C$234,0)</f>
        <v>#N/A</v>
      </c>
      <c r="AR365" s="6" t="b">
        <f t="shared" si="37"/>
        <v>1</v>
      </c>
      <c r="AS365" s="6" t="str">
        <f t="shared" si="40"/>
        <v>OK</v>
      </c>
      <c r="AU365" s="202"/>
      <c r="AV365" s="262"/>
      <c r="AW365" s="274"/>
    </row>
    <row r="366" spans="1:49" s="13" customFormat="1" x14ac:dyDescent="0.2">
      <c r="A366" s="14">
        <v>342</v>
      </c>
      <c r="B366" s="14">
        <v>400004594</v>
      </c>
      <c r="C366" s="8" t="s">
        <v>5197</v>
      </c>
      <c r="D366" s="4" t="str">
        <f t="shared" si="38"/>
        <v>400004594R1</v>
      </c>
      <c r="E366" s="309" t="str">
        <f>VLOOKUP($B366,'D7 - NDB Impacted SPRF''s'!$E$6:$O$9929,2,FALSE)</f>
        <v>Medica Extended UHG Re-Pricer</v>
      </c>
      <c r="F366" s="8"/>
      <c r="G366" s="8" t="s">
        <v>4758</v>
      </c>
      <c r="H366" s="8" t="s">
        <v>4246</v>
      </c>
      <c r="I366" s="20">
        <v>0.53</v>
      </c>
      <c r="J366" s="8" t="s">
        <v>4862</v>
      </c>
      <c r="K366" s="182">
        <v>38605</v>
      </c>
      <c r="L366" s="8" t="s">
        <v>4964</v>
      </c>
      <c r="M366" s="8" t="s">
        <v>2814</v>
      </c>
      <c r="N366" s="367"/>
      <c r="O366" s="8"/>
      <c r="P366" s="4" t="str">
        <f>VLOOKUP($B366,'D7 - NDB Impacted SPRF''s'!$E$16:$O$9929,9,FALSE)</f>
        <v>N</v>
      </c>
      <c r="Q366" s="4" t="str">
        <f>VLOOKUP($B366,'D7 - NDB Impacted SPRF''s'!$E$16:$O$9929,10,FALSE)</f>
        <v>N</v>
      </c>
      <c r="R366" s="4" t="str">
        <f>VLOOKUP($B366,'D7 - NDB Impacted SPRF''s'!$E$16:$O$9929,11,FALSE)</f>
        <v>N</v>
      </c>
      <c r="S366" s="8"/>
      <c r="T366" s="310"/>
      <c r="U366" s="310"/>
      <c r="V366" s="4"/>
      <c r="W366" s="4"/>
      <c r="X366" s="4"/>
      <c r="Y366" s="4"/>
      <c r="Z366" s="4"/>
      <c r="AA366" s="4"/>
      <c r="AB366" s="380" t="str">
        <f>VLOOKUP($B366,'D7 - NDB Impacted SPRF''s'!$E$16:$O$9929,4,FALSE)</f>
        <v>Completed</v>
      </c>
      <c r="AC366" s="380" t="str">
        <f>VLOOKUP($B366,'D7 - NDB Impacted SPRF''s'!$E$16:$O$9929,3,FALSE)</f>
        <v>Uniprise</v>
      </c>
      <c r="AD366" s="380" t="str">
        <f>VLOOKUP($B366,'D7 - NDB Impacted SPRF''s'!$E$16:$O$9929,5,FALSE)</f>
        <v>UOS - Capital Projects</v>
      </c>
      <c r="AE366" s="380" t="str">
        <f>VLOOKUP($B366,'D7 - NDB Impacted SPRF''s'!$E$16:$O$9929,7,FALSE)</f>
        <v>Joanne Houck</v>
      </c>
      <c r="AF366" s="380" t="str">
        <f>VLOOKUP($B366,'D7 - NDB Impacted SPRF''s'!$E$16:$O$9929,6,FALSE)</f>
        <v>KURT SHERA</v>
      </c>
      <c r="AG366" s="282"/>
      <c r="AH366" s="311" t="e">
        <f>INDEX('D5 - Gatekeeper - Projects'!$A$4:$AF$1010,$AM366, 17)</f>
        <v>#N/A</v>
      </c>
      <c r="AI366" s="8"/>
      <c r="AJ366" s="57"/>
      <c r="AK366" s="105"/>
      <c r="AL366" s="216"/>
      <c r="AM366" s="6" t="e">
        <f>MATCH(D366,'D5 - Gatekeeper - Projects'!$C$4:$C$1010,0)</f>
        <v>#N/A</v>
      </c>
      <c r="AN366" s="6" t="b">
        <f t="shared" si="36"/>
        <v>1</v>
      </c>
      <c r="AO366" s="6" t="str">
        <f t="shared" si="39"/>
        <v>OK</v>
      </c>
      <c r="AQ366" s="6" t="e">
        <f>MATCH($D366,'D4 - Provider Council Unsched'!$C$11:$C$234,0)</f>
        <v>#N/A</v>
      </c>
      <c r="AR366" s="6" t="b">
        <f t="shared" si="37"/>
        <v>1</v>
      </c>
      <c r="AS366" s="6" t="str">
        <f t="shared" si="40"/>
        <v>OK</v>
      </c>
      <c r="AU366" s="202"/>
      <c r="AV366" s="262"/>
      <c r="AW366" s="274"/>
    </row>
    <row r="367" spans="1:49" s="13" customFormat="1" x14ac:dyDescent="0.2">
      <c r="A367" s="14">
        <v>343</v>
      </c>
      <c r="B367" s="14">
        <v>400004790</v>
      </c>
      <c r="C367" s="8" t="s">
        <v>5197</v>
      </c>
      <c r="D367" s="4" t="str">
        <f t="shared" si="38"/>
        <v>400004790R1</v>
      </c>
      <c r="E367" s="309" t="str">
        <f>VLOOKUP($B367,'D7 - NDB Impacted SPRF''s'!$E$6:$O$9929,2,FALSE)</f>
        <v>Empire Plan - AS/Co-surgeon Calculations</v>
      </c>
      <c r="F367" s="8"/>
      <c r="G367" s="8" t="s">
        <v>4758</v>
      </c>
      <c r="H367" s="8" t="s">
        <v>4246</v>
      </c>
      <c r="I367" s="20">
        <v>1</v>
      </c>
      <c r="J367" s="8" t="s">
        <v>4862</v>
      </c>
      <c r="K367" s="182">
        <v>38605</v>
      </c>
      <c r="L367" s="8" t="s">
        <v>4964</v>
      </c>
      <c r="M367" s="8" t="s">
        <v>2814</v>
      </c>
      <c r="N367" s="367"/>
      <c r="O367" s="8"/>
      <c r="P367" s="4" t="str">
        <f>VLOOKUP($B367,'D7 - NDB Impacted SPRF''s'!$E$16:$O$9929,9,FALSE)</f>
        <v>Y</v>
      </c>
      <c r="Q367" s="4" t="str">
        <f>VLOOKUP($B367,'D7 - NDB Impacted SPRF''s'!$E$16:$O$9929,10,FALSE)</f>
        <v>N</v>
      </c>
      <c r="R367" s="4" t="str">
        <f>VLOOKUP($B367,'D7 - NDB Impacted SPRF''s'!$E$16:$O$9929,11,FALSE)</f>
        <v>N</v>
      </c>
      <c r="S367" s="8"/>
      <c r="T367" s="310"/>
      <c r="U367" s="310"/>
      <c r="V367" s="4"/>
      <c r="W367" s="4"/>
      <c r="X367" s="4"/>
      <c r="Y367" s="4"/>
      <c r="Z367" s="4"/>
      <c r="AA367" s="4"/>
      <c r="AB367" s="380" t="str">
        <f>VLOOKUP($B367,'D7 - NDB Impacted SPRF''s'!$E$16:$O$9929,4,FALSE)</f>
        <v>Completed</v>
      </c>
      <c r="AC367" s="380" t="str">
        <f>VLOOKUP($B367,'D7 - NDB Impacted SPRF''s'!$E$16:$O$9929,3,FALSE)</f>
        <v>Uniprise</v>
      </c>
      <c r="AD367" s="380" t="str">
        <f>VLOOKUP($B367,'D7 - NDB Impacted SPRF''s'!$E$16:$O$9929,5,FALSE)</f>
        <v>USS - DDC</v>
      </c>
      <c r="AE367" s="380" t="str">
        <f>VLOOKUP($B367,'D7 - NDB Impacted SPRF''s'!$E$16:$O$9929,7,FALSE)</f>
        <v>Carl Mattson</v>
      </c>
      <c r="AF367" s="380" t="str">
        <f>VLOOKUP($B367,'D7 - NDB Impacted SPRF''s'!$E$16:$O$9929,6,FALSE)</f>
        <v>Laurie Torres</v>
      </c>
      <c r="AG367" s="282"/>
      <c r="AH367" s="311" t="e">
        <f>INDEX('D5 - Gatekeeper - Projects'!$A$4:$AF$1010,$AM367, 17)</f>
        <v>#N/A</v>
      </c>
      <c r="AI367" s="8"/>
      <c r="AJ367" s="57"/>
      <c r="AK367" s="105"/>
      <c r="AL367" s="216"/>
      <c r="AM367" s="6" t="e">
        <f>MATCH(D367,'D5 - Gatekeeper - Projects'!$C$4:$C$1010,0)</f>
        <v>#N/A</v>
      </c>
      <c r="AN367" s="6" t="b">
        <f t="shared" si="36"/>
        <v>1</v>
      </c>
      <c r="AO367" s="6" t="str">
        <f t="shared" si="39"/>
        <v>OK</v>
      </c>
      <c r="AQ367" s="6" t="e">
        <f>MATCH($D367,'D4 - Provider Council Unsched'!$C$11:$C$234,0)</f>
        <v>#N/A</v>
      </c>
      <c r="AR367" s="6" t="b">
        <f t="shared" si="37"/>
        <v>1</v>
      </c>
      <c r="AS367" s="6" t="str">
        <f t="shared" si="40"/>
        <v>OK</v>
      </c>
      <c r="AU367" s="202"/>
      <c r="AV367" s="262"/>
      <c r="AW367" s="274"/>
    </row>
    <row r="368" spans="1:49" s="13" customFormat="1" ht="33.75" x14ac:dyDescent="0.2">
      <c r="A368" s="14">
        <v>344</v>
      </c>
      <c r="B368" s="14">
        <v>400005799</v>
      </c>
      <c r="C368" s="8" t="s">
        <v>5197</v>
      </c>
      <c r="D368" s="4" t="str">
        <f t="shared" si="38"/>
        <v>400005799R1</v>
      </c>
      <c r="E368" s="309" t="str">
        <f>VLOOKUP($B368,'D7 - NDB Impacted SPRF''s'!$E$6:$O$9929,2,FALSE)</f>
        <v>diCarta Facility Interface Enhancements</v>
      </c>
      <c r="F368" s="8" t="s">
        <v>4695</v>
      </c>
      <c r="G368" s="8" t="s">
        <v>4758</v>
      </c>
      <c r="H368" s="8" t="s">
        <v>4246</v>
      </c>
      <c r="I368" s="20">
        <v>1.7</v>
      </c>
      <c r="J368" s="8" t="s">
        <v>4862</v>
      </c>
      <c r="K368" s="182">
        <v>38605</v>
      </c>
      <c r="L368" s="8" t="s">
        <v>4964</v>
      </c>
      <c r="M368" s="8" t="s">
        <v>2814</v>
      </c>
      <c r="N368" s="367"/>
      <c r="O368" s="8"/>
      <c r="P368" s="4" t="str">
        <f>VLOOKUP($B368,'D7 - NDB Impacted SPRF''s'!$E$16:$O$9929,9,FALSE)</f>
        <v>N</v>
      </c>
      <c r="Q368" s="4" t="str">
        <f>VLOOKUP($B368,'D7 - NDB Impacted SPRF''s'!$E$16:$O$9929,10,FALSE)</f>
        <v>N</v>
      </c>
      <c r="R368" s="4" t="str">
        <f>VLOOKUP($B368,'D7 - NDB Impacted SPRF''s'!$E$16:$O$9929,11,FALSE)</f>
        <v>N</v>
      </c>
      <c r="S368" s="8"/>
      <c r="T368" s="310"/>
      <c r="U368" s="310"/>
      <c r="V368" s="4"/>
      <c r="W368" s="4"/>
      <c r="X368" s="4"/>
      <c r="Y368" s="4"/>
      <c r="Z368" s="4"/>
      <c r="AA368" s="4"/>
      <c r="AB368" s="380" t="str">
        <f>VLOOKUP($B368,'D7 - NDB Impacted SPRF''s'!$E$16:$O$9929,4,FALSE)</f>
        <v>Completed</v>
      </c>
      <c r="AC368" s="380" t="str">
        <f>VLOOKUP($B368,'D7 - NDB Impacted SPRF''s'!$E$16:$O$9929,3,FALSE)</f>
        <v>UnitedHealthcare Employer &amp; Individual</v>
      </c>
      <c r="AD368" s="380" t="str">
        <f>VLOOKUP($B368,'D7 - NDB Impacted SPRF''s'!$E$16:$O$9929,5,FALSE)</f>
        <v>Key Initiatives Group</v>
      </c>
      <c r="AE368" s="380" t="str">
        <f>VLOOKUP($B368,'D7 - NDB Impacted SPRF''s'!$E$16:$O$9929,7,FALSE)</f>
        <v>Peter Bompane</v>
      </c>
      <c r="AF368" s="380" t="str">
        <f>VLOOKUP($B368,'D7 - NDB Impacted SPRF''s'!$E$16:$O$9929,6,FALSE)</f>
        <v>JOSHUA WOODRUM</v>
      </c>
      <c r="AG368" s="282"/>
      <c r="AH368" s="311" t="e">
        <f>INDEX('D5 - Gatekeeper - Projects'!$A$4:$AF$1010,$AM368, 17)</f>
        <v>#N/A</v>
      </c>
      <c r="AI368" s="8"/>
      <c r="AJ368" s="57"/>
      <c r="AK368" s="105"/>
      <c r="AL368" s="216"/>
      <c r="AM368" s="6" t="e">
        <f>MATCH(D368,'D5 - Gatekeeper - Projects'!$C$4:$C$1010,0)</f>
        <v>#N/A</v>
      </c>
      <c r="AN368" s="6" t="b">
        <f t="shared" si="36"/>
        <v>1</v>
      </c>
      <c r="AO368" s="6" t="str">
        <f t="shared" si="39"/>
        <v>OK</v>
      </c>
      <c r="AQ368" s="6" t="e">
        <f>MATCH($D368,'D4 - Provider Council Unsched'!$C$11:$C$234,0)</f>
        <v>#N/A</v>
      </c>
      <c r="AR368" s="6" t="b">
        <f t="shared" si="37"/>
        <v>1</v>
      </c>
      <c r="AS368" s="6" t="str">
        <f t="shared" si="40"/>
        <v>OK</v>
      </c>
      <c r="AU368" s="202"/>
      <c r="AV368" s="262"/>
      <c r="AW368" s="274"/>
    </row>
    <row r="369" spans="1:49" s="13" customFormat="1" x14ac:dyDescent="0.2">
      <c r="A369" s="14">
        <v>345</v>
      </c>
      <c r="B369" s="14">
        <v>400005906</v>
      </c>
      <c r="C369" s="8" t="s">
        <v>5197</v>
      </c>
      <c r="D369" s="4" t="str">
        <f t="shared" si="38"/>
        <v>400005906R1</v>
      </c>
      <c r="E369" s="309" t="str">
        <f>VLOOKUP($B369,'D7 - NDB Impacted SPRF''s'!$E$6:$O$9929,2,FALSE)</f>
        <v>Gated HMO Design and Development</v>
      </c>
      <c r="F369" s="8" t="s">
        <v>4168</v>
      </c>
      <c r="G369" s="8" t="s">
        <v>4758</v>
      </c>
      <c r="H369" s="8" t="s">
        <v>4246</v>
      </c>
      <c r="I369" s="20">
        <v>60</v>
      </c>
      <c r="J369" s="8" t="s">
        <v>4862</v>
      </c>
      <c r="K369" s="182">
        <v>38605</v>
      </c>
      <c r="L369" s="8" t="s">
        <v>4964</v>
      </c>
      <c r="M369" s="8" t="s">
        <v>2814</v>
      </c>
      <c r="N369" s="367"/>
      <c r="O369" s="8"/>
      <c r="P369" s="4" t="str">
        <f>VLOOKUP($B369,'D7 - NDB Impacted SPRF''s'!$E$16:$O$9929,9,FALSE)</f>
        <v>Y</v>
      </c>
      <c r="Q369" s="4" t="str">
        <f>VLOOKUP($B369,'D7 - NDB Impacted SPRF''s'!$E$16:$O$9929,10,FALSE)</f>
        <v>N</v>
      </c>
      <c r="R369" s="4" t="str">
        <f>VLOOKUP($B369,'D7 - NDB Impacted SPRF''s'!$E$16:$O$9929,11,FALSE)</f>
        <v>N</v>
      </c>
      <c r="S369" s="8"/>
      <c r="T369" s="310"/>
      <c r="U369" s="310"/>
      <c r="V369" s="4"/>
      <c r="W369" s="4"/>
      <c r="X369" s="4"/>
      <c r="Y369" s="4"/>
      <c r="Z369" s="4"/>
      <c r="AA369" s="4"/>
      <c r="AB369" s="380" t="str">
        <f>VLOOKUP($B369,'D7 - NDB Impacted SPRF''s'!$E$16:$O$9929,4,FALSE)</f>
        <v>Completed</v>
      </c>
      <c r="AC369" s="380" t="str">
        <f>VLOOKUP($B369,'D7 - NDB Impacted SPRF''s'!$E$16:$O$9929,3,FALSE)</f>
        <v>Alliance</v>
      </c>
      <c r="AD369" s="380" t="str">
        <f>VLOOKUP($B369,'D7 - NDB Impacted SPRF''s'!$E$16:$O$9929,5,FALSE)</f>
        <v>Gated HMO</v>
      </c>
      <c r="AE369" s="380" t="str">
        <f>VLOOKUP($B369,'D7 - NDB Impacted SPRF''s'!$E$16:$O$9929,7,FALSE)</f>
        <v>Tim Wicks</v>
      </c>
      <c r="AF369" s="380" t="str">
        <f>VLOOKUP($B369,'D7 - NDB Impacted SPRF''s'!$E$16:$O$9929,6,FALSE)</f>
        <v>Debi Streb</v>
      </c>
      <c r="AG369" s="282"/>
      <c r="AH369" s="311" t="e">
        <f>INDEX('D5 - Gatekeeper - Projects'!$A$4:$AF$1010,$AM369, 17)</f>
        <v>#N/A</v>
      </c>
      <c r="AI369" s="8"/>
      <c r="AJ369" s="57"/>
      <c r="AK369" s="105"/>
      <c r="AL369" s="216"/>
      <c r="AM369" s="6" t="e">
        <f>MATCH(D369,'D5 - Gatekeeper - Projects'!$C$4:$C$1010,0)</f>
        <v>#N/A</v>
      </c>
      <c r="AN369" s="6" t="b">
        <f t="shared" si="36"/>
        <v>1</v>
      </c>
      <c r="AO369" s="6" t="str">
        <f t="shared" si="39"/>
        <v>OK</v>
      </c>
      <c r="AQ369" s="6" t="e">
        <f>MATCH($D369,'D4 - Provider Council Unsched'!$C$11:$C$234,0)</f>
        <v>#N/A</v>
      </c>
      <c r="AR369" s="6" t="b">
        <f t="shared" si="37"/>
        <v>1</v>
      </c>
      <c r="AS369" s="6" t="str">
        <f t="shared" si="40"/>
        <v>OK</v>
      </c>
      <c r="AU369" s="202"/>
      <c r="AV369" s="262"/>
      <c r="AW369" s="274"/>
    </row>
    <row r="370" spans="1:49" s="13" customFormat="1" ht="33.75" x14ac:dyDescent="0.2">
      <c r="A370" s="14">
        <v>346</v>
      </c>
      <c r="B370" s="14">
        <v>400006324</v>
      </c>
      <c r="C370" s="8" t="s">
        <v>5197</v>
      </c>
      <c r="D370" s="4" t="str">
        <f t="shared" si="38"/>
        <v>400006324R1</v>
      </c>
      <c r="E370" s="309" t="str">
        <f>VLOOKUP($B370,'D7 - NDB Impacted SPRF''s'!$E$6:$O$9929,2,FALSE)</f>
        <v>Fee schedule look-up on uhconline</v>
      </c>
      <c r="F370" s="8" t="s">
        <v>5536</v>
      </c>
      <c r="G370" s="8" t="s">
        <v>4758</v>
      </c>
      <c r="H370" s="8" t="s">
        <v>4246</v>
      </c>
      <c r="I370" s="20">
        <v>1.33</v>
      </c>
      <c r="J370" s="8" t="s">
        <v>4862</v>
      </c>
      <c r="K370" s="182">
        <v>38605</v>
      </c>
      <c r="L370" s="8" t="s">
        <v>4964</v>
      </c>
      <c r="M370" s="8" t="s">
        <v>2814</v>
      </c>
      <c r="N370" s="367"/>
      <c r="O370" s="8"/>
      <c r="P370" s="4" t="str">
        <f>VLOOKUP($B370,'D7 - NDB Impacted SPRF''s'!$E$16:$O$9929,9,FALSE)</f>
        <v>N</v>
      </c>
      <c r="Q370" s="4" t="str">
        <f>VLOOKUP($B370,'D7 - NDB Impacted SPRF''s'!$E$16:$O$9929,10,FALSE)</f>
        <v>N</v>
      </c>
      <c r="R370" s="4" t="str">
        <f>VLOOKUP($B370,'D7 - NDB Impacted SPRF''s'!$E$16:$O$9929,11,FALSE)</f>
        <v>N</v>
      </c>
      <c r="S370" s="8"/>
      <c r="T370" s="310"/>
      <c r="U370" s="310"/>
      <c r="V370" s="4"/>
      <c r="W370" s="4"/>
      <c r="X370" s="4"/>
      <c r="Y370" s="4"/>
      <c r="Z370" s="4"/>
      <c r="AA370" s="4"/>
      <c r="AB370" s="380" t="str">
        <f>VLOOKUP($B370,'D7 - NDB Impacted SPRF''s'!$E$16:$O$9929,4,FALSE)</f>
        <v>Completed</v>
      </c>
      <c r="AC370" s="380" t="str">
        <f>VLOOKUP($B370,'D7 - NDB Impacted SPRF''s'!$E$16:$O$9929,3,FALSE)</f>
        <v>UnitedHealthcare Employer &amp; Individual</v>
      </c>
      <c r="AD370" s="380" t="str">
        <f>VLOOKUP($B370,'D7 - NDB Impacted SPRF''s'!$E$16:$O$9929,5,FALSE)</f>
        <v>Operations Group</v>
      </c>
      <c r="AE370" s="380" t="str">
        <f>VLOOKUP($B370,'D7 - NDB Impacted SPRF''s'!$E$16:$O$9929,7,FALSE)</f>
        <v>Steve Auerbach</v>
      </c>
      <c r="AF370" s="380" t="str">
        <f>VLOOKUP($B370,'D7 - NDB Impacted SPRF''s'!$E$16:$O$9929,6,FALSE)</f>
        <v>Derek Pederson</v>
      </c>
      <c r="AG370" s="282"/>
      <c r="AH370" s="311" t="e">
        <f>INDEX('D5 - Gatekeeper - Projects'!$A$4:$AF$1010,$AM370, 17)</f>
        <v>#N/A</v>
      </c>
      <c r="AI370" s="8"/>
      <c r="AJ370" s="57"/>
      <c r="AK370" s="105"/>
      <c r="AM370" s="6" t="e">
        <f>MATCH(D370,'D5 - Gatekeeper - Projects'!$C$4:$C$1010,0)</f>
        <v>#N/A</v>
      </c>
      <c r="AN370" s="6" t="b">
        <f t="shared" si="36"/>
        <v>1</v>
      </c>
      <c r="AO370" s="6" t="str">
        <f t="shared" si="39"/>
        <v>OK</v>
      </c>
      <c r="AQ370" s="6" t="e">
        <f>MATCH($D370,'D4 - Provider Council Unsched'!$C$11:$C$234,0)</f>
        <v>#N/A</v>
      </c>
      <c r="AR370" s="6" t="b">
        <f t="shared" si="37"/>
        <v>1</v>
      </c>
      <c r="AS370" s="6" t="str">
        <f t="shared" si="40"/>
        <v>OK</v>
      </c>
      <c r="AU370" s="202"/>
      <c r="AV370" s="262"/>
      <c r="AW370" s="274"/>
    </row>
    <row r="371" spans="1:49" s="13" customFormat="1" ht="33.75" x14ac:dyDescent="0.2">
      <c r="A371" s="14">
        <v>347</v>
      </c>
      <c r="B371" s="14">
        <v>400007543</v>
      </c>
      <c r="C371" s="8" t="s">
        <v>5197</v>
      </c>
      <c r="D371" s="4" t="str">
        <f t="shared" si="38"/>
        <v>400007543R1</v>
      </c>
      <c r="E371" s="309" t="str">
        <f>VLOOKUP($B371,'D7 - NDB Impacted SPRF''s'!$E$6:$O$9929,2,FALSE)</f>
        <v>Midwest Security HCFA claims repricing</v>
      </c>
      <c r="F371" s="8" t="s">
        <v>6373</v>
      </c>
      <c r="G371" s="8" t="s">
        <v>4758</v>
      </c>
      <c r="H371" s="8" t="s">
        <v>4246</v>
      </c>
      <c r="I371" s="20">
        <v>5</v>
      </c>
      <c r="J371" s="8" t="s">
        <v>4862</v>
      </c>
      <c r="K371" s="182">
        <v>38605</v>
      </c>
      <c r="L371" s="8" t="s">
        <v>4964</v>
      </c>
      <c r="M371" s="8" t="s">
        <v>2814</v>
      </c>
      <c r="N371" s="367"/>
      <c r="O371" s="8"/>
      <c r="P371" s="4" t="str">
        <f>VLOOKUP($B371,'D7 - NDB Impacted SPRF''s'!$E$16:$O$9929,9,FALSE)</f>
        <v>N</v>
      </c>
      <c r="Q371" s="4" t="str">
        <f>VLOOKUP($B371,'D7 - NDB Impacted SPRF''s'!$E$16:$O$9929,10,FALSE)</f>
        <v>N</v>
      </c>
      <c r="R371" s="4" t="str">
        <f>VLOOKUP($B371,'D7 - NDB Impacted SPRF''s'!$E$16:$O$9929,11,FALSE)</f>
        <v>N</v>
      </c>
      <c r="S371" s="8"/>
      <c r="T371" s="310"/>
      <c r="U371" s="310"/>
      <c r="V371" s="4"/>
      <c r="W371" s="4"/>
      <c r="X371" s="4"/>
      <c r="Y371" s="4"/>
      <c r="Z371" s="4"/>
      <c r="AA371" s="4"/>
      <c r="AB371" s="380" t="str">
        <f>VLOOKUP($B371,'D7 - NDB Impacted SPRF''s'!$E$16:$O$9929,4,FALSE)</f>
        <v>Completed</v>
      </c>
      <c r="AC371" s="380" t="str">
        <f>VLOOKUP($B371,'D7 - NDB Impacted SPRF''s'!$E$16:$O$9929,3,FALSE)</f>
        <v>UnitedHealthcare Employer &amp; Individual</v>
      </c>
      <c r="AD371" s="380" t="str">
        <f>VLOOKUP($B371,'D7 - NDB Impacted SPRF''s'!$E$16:$O$9929,5,FALSE)</f>
        <v>Key Initiatives Group</v>
      </c>
      <c r="AE371" s="380" t="str">
        <f>VLOOKUP($B371,'D7 - NDB Impacted SPRF''s'!$E$16:$O$9929,7,FALSE)</f>
        <v>Patrick Kennedy</v>
      </c>
      <c r="AF371" s="380" t="str">
        <f>VLOOKUP($B371,'D7 - NDB Impacted SPRF''s'!$E$16:$O$9929,6,FALSE)</f>
        <v>RUTH HOLMBERG</v>
      </c>
      <c r="AG371" s="282"/>
      <c r="AH371" s="311" t="e">
        <f>INDEX('D5 - Gatekeeper - Projects'!$A$4:$AF$1010,$AM371, 17)</f>
        <v>#N/A</v>
      </c>
      <c r="AI371" s="8"/>
      <c r="AJ371" s="57"/>
      <c r="AK371" s="105"/>
      <c r="AM371" s="6" t="e">
        <f>MATCH(D371,'D5 - Gatekeeper - Projects'!$C$4:$C$1010,0)</f>
        <v>#N/A</v>
      </c>
      <c r="AN371" s="6" t="b">
        <f t="shared" si="36"/>
        <v>1</v>
      </c>
      <c r="AO371" s="6" t="str">
        <f t="shared" si="39"/>
        <v>OK</v>
      </c>
      <c r="AQ371" s="6" t="e">
        <f>MATCH($D371,'D4 - Provider Council Unsched'!$C$11:$C$234,0)</f>
        <v>#N/A</v>
      </c>
      <c r="AR371" s="6" t="b">
        <f t="shared" si="37"/>
        <v>1</v>
      </c>
      <c r="AS371" s="6" t="str">
        <f t="shared" si="40"/>
        <v>OK</v>
      </c>
      <c r="AU371" s="202"/>
      <c r="AV371" s="262"/>
      <c r="AW371" s="274"/>
    </row>
    <row r="372" spans="1:49" s="13" customFormat="1" ht="33.75" x14ac:dyDescent="0.2">
      <c r="A372" s="14">
        <v>348</v>
      </c>
      <c r="B372" s="14">
        <v>400007601</v>
      </c>
      <c r="C372" s="8" t="s">
        <v>5197</v>
      </c>
      <c r="D372" s="4" t="str">
        <f t="shared" si="38"/>
        <v>400007601R1</v>
      </c>
      <c r="E372" s="309" t="str">
        <f>VLOOKUP($B372,'D7 - NDB Impacted SPRF''s'!$E$6:$O$9929,2,FALSE)</f>
        <v>MAMSI Export File Modifications</v>
      </c>
      <c r="F372" s="8" t="s">
        <v>5752</v>
      </c>
      <c r="G372" s="8" t="s">
        <v>4758</v>
      </c>
      <c r="H372" s="8" t="s">
        <v>4246</v>
      </c>
      <c r="I372" s="20">
        <v>1</v>
      </c>
      <c r="J372" s="8" t="s">
        <v>4862</v>
      </c>
      <c r="K372" s="182">
        <v>38605</v>
      </c>
      <c r="L372" s="8" t="s">
        <v>4964</v>
      </c>
      <c r="M372" s="8" t="s">
        <v>2814</v>
      </c>
      <c r="N372" s="367"/>
      <c r="O372" s="8"/>
      <c r="P372" s="4" t="str">
        <f>VLOOKUP($B372,'D7 - NDB Impacted SPRF''s'!$E$16:$O$9929,9,FALSE)</f>
        <v>N</v>
      </c>
      <c r="Q372" s="4" t="str">
        <f>VLOOKUP($B372,'D7 - NDB Impacted SPRF''s'!$E$16:$O$9929,10,FALSE)</f>
        <v>N</v>
      </c>
      <c r="R372" s="4" t="str">
        <f>VLOOKUP($B372,'D7 - NDB Impacted SPRF''s'!$E$16:$O$9929,11,FALSE)</f>
        <v>N</v>
      </c>
      <c r="S372" s="8"/>
      <c r="T372" s="310"/>
      <c r="U372" s="310"/>
      <c r="V372" s="4"/>
      <c r="W372" s="4"/>
      <c r="X372" s="4"/>
      <c r="Y372" s="4"/>
      <c r="Z372" s="4"/>
      <c r="AA372" s="4"/>
      <c r="AB372" s="380" t="str">
        <f>VLOOKUP($B372,'D7 - NDB Impacted SPRF''s'!$E$16:$O$9929,4,FALSE)</f>
        <v>Completed</v>
      </c>
      <c r="AC372" s="380" t="str">
        <f>VLOOKUP($B372,'D7 - NDB Impacted SPRF''s'!$E$16:$O$9929,3,FALSE)</f>
        <v>UnitedHealthcare Employer &amp; Individual</v>
      </c>
      <c r="AD372" s="380" t="str">
        <f>VLOOKUP($B372,'D7 - NDB Impacted SPRF''s'!$E$16:$O$9929,5,FALSE)</f>
        <v>Operations Group</v>
      </c>
      <c r="AE372" s="380" t="str">
        <f>VLOOKUP($B372,'D7 - NDB Impacted SPRF''s'!$E$16:$O$9929,7,FALSE)</f>
        <v>Peter Bompane</v>
      </c>
      <c r="AF372" s="380" t="str">
        <f>VLOOKUP($B372,'D7 - NDB Impacted SPRF''s'!$E$16:$O$9929,6,FALSE)</f>
        <v>Barbara Dickson</v>
      </c>
      <c r="AG372" s="282"/>
      <c r="AH372" s="311" t="e">
        <f>INDEX('D5 - Gatekeeper - Projects'!$A$4:$AF$1010,$AM372, 17)</f>
        <v>#N/A</v>
      </c>
      <c r="AI372" s="8"/>
      <c r="AJ372" s="57"/>
      <c r="AK372" s="105"/>
      <c r="AL372" s="216"/>
      <c r="AM372" s="6" t="e">
        <f>MATCH(D372,'D5 - Gatekeeper - Projects'!$C$4:$C$1010,0)</f>
        <v>#N/A</v>
      </c>
      <c r="AN372" s="6" t="b">
        <f t="shared" si="36"/>
        <v>1</v>
      </c>
      <c r="AO372" s="6" t="str">
        <f t="shared" si="39"/>
        <v>OK</v>
      </c>
      <c r="AQ372" s="6" t="e">
        <f>MATCH($D372,'D4 - Provider Council Unsched'!$C$11:$C$234,0)</f>
        <v>#N/A</v>
      </c>
      <c r="AR372" s="6" t="b">
        <f t="shared" si="37"/>
        <v>1</v>
      </c>
      <c r="AS372" s="6" t="str">
        <f t="shared" si="40"/>
        <v>OK</v>
      </c>
      <c r="AU372" s="202"/>
      <c r="AV372" s="262"/>
      <c r="AW372" s="274"/>
    </row>
    <row r="373" spans="1:49" s="13" customFormat="1" ht="22.5" x14ac:dyDescent="0.2">
      <c r="A373" s="14">
        <v>349</v>
      </c>
      <c r="B373" s="14">
        <v>400007615</v>
      </c>
      <c r="C373" s="8" t="s">
        <v>5197</v>
      </c>
      <c r="D373" s="4" t="str">
        <f t="shared" si="38"/>
        <v>400007615R1</v>
      </c>
      <c r="E373" s="309" t="str">
        <f>VLOOKUP($B373,'D7 - NDB Impacted SPRF''s'!$E$6:$O$9929,2,FALSE)</f>
        <v>Harvard Pilgrim EPDL Provider Match Edit</v>
      </c>
      <c r="F373" s="8" t="s">
        <v>7132</v>
      </c>
      <c r="G373" s="8" t="s">
        <v>4758</v>
      </c>
      <c r="H373" s="8" t="s">
        <v>4246</v>
      </c>
      <c r="I373" s="20">
        <v>1</v>
      </c>
      <c r="J373" s="8" t="s">
        <v>4862</v>
      </c>
      <c r="K373" s="182">
        <v>38605</v>
      </c>
      <c r="L373" s="8" t="s">
        <v>4964</v>
      </c>
      <c r="M373" s="8" t="s">
        <v>2814</v>
      </c>
      <c r="N373" s="367"/>
      <c r="O373" s="8"/>
      <c r="P373" s="4" t="str">
        <f>VLOOKUP($B373,'D7 - NDB Impacted SPRF''s'!$E$16:$O$9929,9,FALSE)</f>
        <v>N</v>
      </c>
      <c r="Q373" s="4" t="str">
        <f>VLOOKUP($B373,'D7 - NDB Impacted SPRF''s'!$E$16:$O$9929,10,FALSE)</f>
        <v>N</v>
      </c>
      <c r="R373" s="4" t="str">
        <f>VLOOKUP($B373,'D7 - NDB Impacted SPRF''s'!$E$16:$O$9929,11,FALSE)</f>
        <v>N</v>
      </c>
      <c r="S373" s="8"/>
      <c r="T373" s="310"/>
      <c r="U373" s="310"/>
      <c r="V373" s="4"/>
      <c r="W373" s="4"/>
      <c r="X373" s="4"/>
      <c r="Y373" s="4"/>
      <c r="Z373" s="4"/>
      <c r="AA373" s="4"/>
      <c r="AB373" s="380" t="str">
        <f>VLOOKUP($B373,'D7 - NDB Impacted SPRF''s'!$E$16:$O$9929,4,FALSE)</f>
        <v>Completed</v>
      </c>
      <c r="AC373" s="380" t="str">
        <f>VLOOKUP($B373,'D7 - NDB Impacted SPRF''s'!$E$16:$O$9929,3,FALSE)</f>
        <v>UHG Corporate</v>
      </c>
      <c r="AD373" s="380" t="str">
        <f>VLOOKUP($B373,'D7 - NDB Impacted SPRF''s'!$E$16:$O$9929,5,FALSE)</f>
        <v>Harvard Pilgrim - UHG Passport Alliance</v>
      </c>
      <c r="AE373" s="380" t="str">
        <f>VLOOKUP($B373,'D7 - NDB Impacted SPRF''s'!$E$16:$O$9929,7,FALSE)</f>
        <v>Bev Nyce</v>
      </c>
      <c r="AF373" s="380" t="str">
        <f>VLOOKUP($B373,'D7 - NDB Impacted SPRF''s'!$E$16:$O$9929,6,FALSE)</f>
        <v>Barbara Dickson</v>
      </c>
      <c r="AG373" s="282"/>
      <c r="AH373" s="311" t="e">
        <f>INDEX('D5 - Gatekeeper - Projects'!$A$4:$AF$1010,$AM373, 17)</f>
        <v>#N/A</v>
      </c>
      <c r="AI373" s="8"/>
      <c r="AJ373" s="57"/>
      <c r="AK373" s="105"/>
      <c r="AL373" s="216"/>
      <c r="AM373" s="6" t="e">
        <f>MATCH(D373,'D5 - Gatekeeper - Projects'!$C$4:$C$1010,0)</f>
        <v>#N/A</v>
      </c>
      <c r="AN373" s="6" t="b">
        <f t="shared" si="36"/>
        <v>1</v>
      </c>
      <c r="AO373" s="6" t="str">
        <f t="shared" si="39"/>
        <v>OK</v>
      </c>
      <c r="AQ373" s="6" t="e">
        <f>MATCH($D373,'D4 - Provider Council Unsched'!$C$11:$C$234,0)</f>
        <v>#N/A</v>
      </c>
      <c r="AR373" s="6" t="b">
        <f t="shared" si="37"/>
        <v>1</v>
      </c>
      <c r="AS373" s="6" t="str">
        <f t="shared" si="40"/>
        <v>OK</v>
      </c>
      <c r="AU373" s="202"/>
      <c r="AV373" s="262"/>
      <c r="AW373" s="274"/>
    </row>
    <row r="374" spans="1:49" s="13" customFormat="1" ht="33.75" x14ac:dyDescent="0.2">
      <c r="A374" s="14">
        <v>350</v>
      </c>
      <c r="B374" s="14">
        <v>400007870</v>
      </c>
      <c r="C374" s="8" t="s">
        <v>5197</v>
      </c>
      <c r="D374" s="4" t="str">
        <f t="shared" si="38"/>
        <v>400007870R1</v>
      </c>
      <c r="E374" s="309" t="str">
        <f>VLOOKUP($B374,'D7 - NDB Impacted SPRF''s'!$E$6:$O$9929,2,FALSE)</f>
        <v>John Doe Cosmos Recovery</v>
      </c>
      <c r="F374" s="8"/>
      <c r="G374" s="8" t="s">
        <v>4758</v>
      </c>
      <c r="H374" s="8" t="s">
        <v>4246</v>
      </c>
      <c r="I374" s="20">
        <v>2.27</v>
      </c>
      <c r="J374" s="8" t="s">
        <v>4862</v>
      </c>
      <c r="K374" s="182">
        <v>38605</v>
      </c>
      <c r="L374" s="8" t="s">
        <v>4964</v>
      </c>
      <c r="M374" s="8" t="s">
        <v>2814</v>
      </c>
      <c r="N374" s="367"/>
      <c r="O374" s="8"/>
      <c r="P374" s="4" t="str">
        <f>VLOOKUP($B374,'D7 - NDB Impacted SPRF''s'!$E$16:$O$9929,9,FALSE)</f>
        <v>Y</v>
      </c>
      <c r="Q374" s="4" t="str">
        <f>VLOOKUP($B374,'D7 - NDB Impacted SPRF''s'!$E$16:$O$9929,10,FALSE)</f>
        <v>N</v>
      </c>
      <c r="R374" s="4" t="str">
        <f>VLOOKUP($B374,'D7 - NDB Impacted SPRF''s'!$E$16:$O$9929,11,FALSE)</f>
        <v>N</v>
      </c>
      <c r="S374" s="8"/>
      <c r="T374" s="310"/>
      <c r="U374" s="310"/>
      <c r="V374" s="4"/>
      <c r="W374" s="4"/>
      <c r="X374" s="4"/>
      <c r="Y374" s="4"/>
      <c r="Z374" s="4"/>
      <c r="AA374" s="4"/>
      <c r="AB374" s="380" t="str">
        <f>VLOOKUP($B374,'D7 - NDB Impacted SPRF''s'!$E$16:$O$9929,4,FALSE)</f>
        <v>Completed</v>
      </c>
      <c r="AC374" s="380" t="str">
        <f>VLOOKUP($B374,'D7 - NDB Impacted SPRF''s'!$E$16:$O$9929,3,FALSE)</f>
        <v>UnitedHealthcare Employer &amp; Individual</v>
      </c>
      <c r="AD374" s="380" t="str">
        <f>VLOOKUP($B374,'D7 - NDB Impacted SPRF''s'!$E$16:$O$9929,5,FALSE)</f>
        <v>Key Initiatives Group</v>
      </c>
      <c r="AE374" s="380" t="str">
        <f>VLOOKUP($B374,'D7 - NDB Impacted SPRF''s'!$E$16:$O$9929,7,FALSE)</f>
        <v>Tim Kaja</v>
      </c>
      <c r="AF374" s="380" t="str">
        <f>VLOOKUP($B374,'D7 - NDB Impacted SPRF''s'!$E$16:$O$9929,6,FALSE)</f>
        <v>LOVE JUDY</v>
      </c>
      <c r="AG374" s="282"/>
      <c r="AH374" s="311" t="e">
        <f>INDEX('D5 - Gatekeeper - Projects'!$A$4:$AF$1010,$AM374, 17)</f>
        <v>#N/A</v>
      </c>
      <c r="AI374" s="8"/>
      <c r="AJ374" s="57"/>
      <c r="AK374" s="105"/>
      <c r="AL374" s="216"/>
      <c r="AM374" s="6" t="e">
        <f>MATCH(D374,'D5 - Gatekeeper - Projects'!$C$4:$C$1010,0)</f>
        <v>#N/A</v>
      </c>
      <c r="AN374" s="6" t="b">
        <f t="shared" si="36"/>
        <v>1</v>
      </c>
      <c r="AO374" s="6" t="str">
        <f t="shared" si="39"/>
        <v>OK</v>
      </c>
      <c r="AQ374" s="6" t="e">
        <f>MATCH($D374,'D4 - Provider Council Unsched'!$C$11:$C$234,0)</f>
        <v>#N/A</v>
      </c>
      <c r="AR374" s="6" t="b">
        <f t="shared" si="37"/>
        <v>1</v>
      </c>
      <c r="AS374" s="6" t="str">
        <f t="shared" si="40"/>
        <v>OK</v>
      </c>
      <c r="AU374" s="202"/>
      <c r="AV374" s="262"/>
      <c r="AW374" s="274"/>
    </row>
    <row r="375" spans="1:49" s="13" customFormat="1" ht="22.5" x14ac:dyDescent="0.2">
      <c r="A375" s="14">
        <v>351</v>
      </c>
      <c r="B375" s="14">
        <v>400007932</v>
      </c>
      <c r="C375" s="8" t="s">
        <v>5197</v>
      </c>
      <c r="D375" s="4" t="str">
        <f t="shared" si="38"/>
        <v>400007932R1</v>
      </c>
      <c r="E375" s="309" t="str">
        <f>VLOOKUP($B375,'D7 - NDB Impacted SPRF''s'!$E$6:$O$9929,2,FALSE)</f>
        <v>Harvard Pilgrim Fee Schedule Date Spanning</v>
      </c>
      <c r="F375" s="8" t="s">
        <v>7132</v>
      </c>
      <c r="G375" s="8" t="s">
        <v>4758</v>
      </c>
      <c r="H375" s="8" t="s">
        <v>4246</v>
      </c>
      <c r="I375" s="20">
        <v>0.53</v>
      </c>
      <c r="J375" s="8" t="s">
        <v>4862</v>
      </c>
      <c r="K375" s="182">
        <v>38605</v>
      </c>
      <c r="L375" s="8" t="s">
        <v>4964</v>
      </c>
      <c r="M375" s="8" t="s">
        <v>2814</v>
      </c>
      <c r="N375" s="367"/>
      <c r="O375" s="8"/>
      <c r="P375" s="4" t="str">
        <f>VLOOKUP($B375,'D7 - NDB Impacted SPRF''s'!$E$16:$O$9929,9,FALSE)</f>
        <v>N</v>
      </c>
      <c r="Q375" s="4" t="str">
        <f>VLOOKUP($B375,'D7 - NDB Impacted SPRF''s'!$E$16:$O$9929,10,FALSE)</f>
        <v>N</v>
      </c>
      <c r="R375" s="4" t="str">
        <f>VLOOKUP($B375,'D7 - NDB Impacted SPRF''s'!$E$16:$O$9929,11,FALSE)</f>
        <v>N</v>
      </c>
      <c r="S375" s="8"/>
      <c r="T375" s="310"/>
      <c r="U375" s="310"/>
      <c r="V375" s="4"/>
      <c r="W375" s="4"/>
      <c r="X375" s="4"/>
      <c r="Y375" s="4"/>
      <c r="Z375" s="4"/>
      <c r="AA375" s="4"/>
      <c r="AB375" s="380" t="str">
        <f>VLOOKUP($B375,'D7 - NDB Impacted SPRF''s'!$E$16:$O$9929,4,FALSE)</f>
        <v>Completed</v>
      </c>
      <c r="AC375" s="380" t="str">
        <f>VLOOKUP($B375,'D7 - NDB Impacted SPRF''s'!$E$16:$O$9929,3,FALSE)</f>
        <v>UHG Corporate</v>
      </c>
      <c r="AD375" s="380" t="str">
        <f>VLOOKUP($B375,'D7 - NDB Impacted SPRF''s'!$E$16:$O$9929,5,FALSE)</f>
        <v>Harvard Pilgrim - UHG Passport Alliance</v>
      </c>
      <c r="AE375" s="380" t="str">
        <f>VLOOKUP($B375,'D7 - NDB Impacted SPRF''s'!$E$16:$O$9929,7,FALSE)</f>
        <v>Peter Bompane</v>
      </c>
      <c r="AF375" s="380" t="str">
        <f>VLOOKUP($B375,'D7 - NDB Impacted SPRF''s'!$E$16:$O$9929,6,FALSE)</f>
        <v>SEAN WATKINS</v>
      </c>
      <c r="AG375" s="282"/>
      <c r="AH375" s="311" t="e">
        <f>INDEX('D5 - Gatekeeper - Projects'!$A$4:$AF$1010,$AM375, 17)</f>
        <v>#N/A</v>
      </c>
      <c r="AI375" s="8"/>
      <c r="AJ375" s="57"/>
      <c r="AK375" s="105"/>
      <c r="AL375" s="216"/>
      <c r="AM375" s="6" t="e">
        <f>MATCH(D375,'D5 - Gatekeeper - Projects'!$C$4:$C$1010,0)</f>
        <v>#N/A</v>
      </c>
      <c r="AN375" s="6" t="b">
        <f t="shared" si="36"/>
        <v>1</v>
      </c>
      <c r="AO375" s="6" t="str">
        <f t="shared" si="39"/>
        <v>OK</v>
      </c>
      <c r="AQ375" s="6" t="e">
        <f>MATCH($D375,'D4 - Provider Council Unsched'!$C$11:$C$234,0)</f>
        <v>#N/A</v>
      </c>
      <c r="AR375" s="6" t="b">
        <f t="shared" si="37"/>
        <v>1</v>
      </c>
      <c r="AS375" s="6" t="str">
        <f t="shared" si="40"/>
        <v>OK</v>
      </c>
      <c r="AU375" s="202"/>
      <c r="AV375" s="262"/>
      <c r="AW375" s="274"/>
    </row>
    <row r="376" spans="1:49" s="13" customFormat="1" ht="33.75" x14ac:dyDescent="0.2">
      <c r="A376" s="14">
        <v>352</v>
      </c>
      <c r="B376" s="14">
        <v>400008229</v>
      </c>
      <c r="C376" s="8" t="s">
        <v>5197</v>
      </c>
      <c r="D376" s="4" t="str">
        <f t="shared" si="38"/>
        <v>400008229R1</v>
      </c>
      <c r="E376" s="309" t="str">
        <f>VLOOKUP($B376,'D7 - NDB Impacted SPRF''s'!$E$6:$O$9929,2,FALSE)</f>
        <v>Ameri-Choice EPDL Demo and Credential Data Exchang</v>
      </c>
      <c r="F376" s="8" t="s">
        <v>5474</v>
      </c>
      <c r="G376" s="8" t="s">
        <v>4758</v>
      </c>
      <c r="H376" s="8" t="s">
        <v>4246</v>
      </c>
      <c r="I376" s="20">
        <v>0.8</v>
      </c>
      <c r="J376" s="8" t="s">
        <v>4862</v>
      </c>
      <c r="K376" s="182">
        <v>38605</v>
      </c>
      <c r="L376" s="8" t="s">
        <v>4964</v>
      </c>
      <c r="M376" s="8" t="s">
        <v>2814</v>
      </c>
      <c r="N376" s="367"/>
      <c r="O376" s="8"/>
      <c r="P376" s="4" t="str">
        <f>VLOOKUP($B376,'D7 - NDB Impacted SPRF''s'!$E$16:$O$9929,9,FALSE)</f>
        <v>N</v>
      </c>
      <c r="Q376" s="4" t="str">
        <f>VLOOKUP($B376,'D7 - NDB Impacted SPRF''s'!$E$16:$O$9929,10,FALSE)</f>
        <v>N</v>
      </c>
      <c r="R376" s="4" t="str">
        <f>VLOOKUP($B376,'D7 - NDB Impacted SPRF''s'!$E$16:$O$9929,11,FALSE)</f>
        <v>N</v>
      </c>
      <c r="S376" s="8"/>
      <c r="T376" s="310"/>
      <c r="U376" s="310"/>
      <c r="V376" s="4"/>
      <c r="W376" s="4"/>
      <c r="X376" s="4"/>
      <c r="Y376" s="4"/>
      <c r="Z376" s="4"/>
      <c r="AA376" s="4"/>
      <c r="AB376" s="380" t="str">
        <f>VLOOKUP($B376,'D7 - NDB Impacted SPRF''s'!$E$16:$O$9929,4,FALSE)</f>
        <v>Completed</v>
      </c>
      <c r="AC376" s="380" t="str">
        <f>VLOOKUP($B376,'D7 - NDB Impacted SPRF''s'!$E$16:$O$9929,3,FALSE)</f>
        <v>UnitedHealthcare Community &amp; State</v>
      </c>
      <c r="AD376" s="380" t="str">
        <f>VLOOKUP($B376,'D7 - NDB Impacted SPRF''s'!$E$16:$O$9929,5,FALSE)</f>
        <v>AmeriChoice</v>
      </c>
      <c r="AE376" s="380" t="str">
        <f>VLOOKUP($B376,'D7 - NDB Impacted SPRF''s'!$E$16:$O$9929,7,FALSE)</f>
        <v>Dirk McMahon</v>
      </c>
      <c r="AF376" s="380" t="str">
        <f>VLOOKUP($B376,'D7 - NDB Impacted SPRF''s'!$E$16:$O$9929,6,FALSE)</f>
        <v>Barbara Dickson</v>
      </c>
      <c r="AG376" s="282"/>
      <c r="AH376" s="311" t="e">
        <f>INDEX('D5 - Gatekeeper - Projects'!$A$4:$AF$1010,$AM376, 17)</f>
        <v>#N/A</v>
      </c>
      <c r="AI376" s="8"/>
      <c r="AJ376" s="57"/>
      <c r="AK376" s="105"/>
      <c r="AL376" s="216"/>
      <c r="AM376" s="6" t="e">
        <f>MATCH(D376,'D5 - Gatekeeper - Projects'!$C$4:$C$1010,0)</f>
        <v>#N/A</v>
      </c>
      <c r="AN376" s="6" t="b">
        <f t="shared" si="36"/>
        <v>1</v>
      </c>
      <c r="AO376" s="6" t="str">
        <f t="shared" si="39"/>
        <v>OK</v>
      </c>
      <c r="AQ376" s="6" t="e">
        <f>MATCH($D376,'D4 - Provider Council Unsched'!$C$11:$C$234,0)</f>
        <v>#N/A</v>
      </c>
      <c r="AR376" s="6" t="b">
        <f t="shared" si="37"/>
        <v>1</v>
      </c>
      <c r="AS376" s="6" t="str">
        <f t="shared" si="40"/>
        <v>OK</v>
      </c>
      <c r="AU376" s="202"/>
      <c r="AV376" s="262"/>
      <c r="AW376" s="274"/>
    </row>
    <row r="377" spans="1:49" s="13" customFormat="1" ht="33.75" x14ac:dyDescent="0.2">
      <c r="A377" s="14">
        <v>353</v>
      </c>
      <c r="B377" s="14">
        <v>400008738</v>
      </c>
      <c r="C377" s="8" t="s">
        <v>5197</v>
      </c>
      <c r="D377" s="4" t="str">
        <f t="shared" si="38"/>
        <v>400008738R1</v>
      </c>
      <c r="E377" s="309" t="str">
        <f>VLOOKUP($B377,'D7 - NDB Impacted SPRF''s'!$E$6:$O$9929,2,FALSE)</f>
        <v>Oxford EPDL Refresh File</v>
      </c>
      <c r="F377" s="8" t="s">
        <v>6138</v>
      </c>
      <c r="G377" s="8" t="s">
        <v>4758</v>
      </c>
      <c r="H377" s="8" t="s">
        <v>4246</v>
      </c>
      <c r="I377" s="20">
        <v>0.17</v>
      </c>
      <c r="J377" s="8" t="s">
        <v>4862</v>
      </c>
      <c r="K377" s="182">
        <v>38605</v>
      </c>
      <c r="L377" s="8" t="s">
        <v>4964</v>
      </c>
      <c r="M377" s="8" t="s">
        <v>2814</v>
      </c>
      <c r="N377" s="367"/>
      <c r="O377" s="8"/>
      <c r="P377" s="4" t="str">
        <f>VLOOKUP($B377,'D7 - NDB Impacted SPRF''s'!$E$16:$O$9929,9,FALSE)</f>
        <v>N</v>
      </c>
      <c r="Q377" s="4" t="str">
        <f>VLOOKUP($B377,'D7 - NDB Impacted SPRF''s'!$E$16:$O$9929,10,FALSE)</f>
        <v>N</v>
      </c>
      <c r="R377" s="4" t="str">
        <f>VLOOKUP($B377,'D7 - NDB Impacted SPRF''s'!$E$16:$O$9929,11,FALSE)</f>
        <v>N</v>
      </c>
      <c r="S377" s="8"/>
      <c r="T377" s="310"/>
      <c r="U377" s="310"/>
      <c r="V377" s="4"/>
      <c r="W377" s="4"/>
      <c r="X377" s="4"/>
      <c r="Y377" s="4"/>
      <c r="Z377" s="4"/>
      <c r="AA377" s="4"/>
      <c r="AB377" s="380" t="str">
        <f>VLOOKUP($B377,'D7 - NDB Impacted SPRF''s'!$E$16:$O$9929,4,FALSE)</f>
        <v>Completed</v>
      </c>
      <c r="AC377" s="380" t="str">
        <f>VLOOKUP($B377,'D7 - NDB Impacted SPRF''s'!$E$16:$O$9929,3,FALSE)</f>
        <v>UnitedHealthcare Employer &amp; Individual</v>
      </c>
      <c r="AD377" s="380" t="str">
        <f>VLOOKUP($B377,'D7 - NDB Impacted SPRF''s'!$E$16:$O$9929,5,FALSE)</f>
        <v>Operations Group</v>
      </c>
      <c r="AE377" s="380" t="str">
        <f>VLOOKUP($B377,'D7 - NDB Impacted SPRF''s'!$E$16:$O$9929,7,FALSE)</f>
        <v>Steve Black</v>
      </c>
      <c r="AF377" s="380" t="str">
        <f>VLOOKUP($B377,'D7 - NDB Impacted SPRF''s'!$E$16:$O$9929,6,FALSE)</f>
        <v>KYLE WINNEGAR</v>
      </c>
      <c r="AG377" s="282"/>
      <c r="AH377" s="311" t="e">
        <f>INDEX('D5 - Gatekeeper - Projects'!$A$4:$AF$1010,$AM377, 17)</f>
        <v>#N/A</v>
      </c>
      <c r="AI377" s="8"/>
      <c r="AJ377" s="57"/>
      <c r="AK377" s="105"/>
      <c r="AM377" s="6" t="e">
        <f>MATCH(D377,'D5 - Gatekeeper - Projects'!$C$4:$C$1010,0)</f>
        <v>#N/A</v>
      </c>
      <c r="AN377" s="6" t="b">
        <f t="shared" si="36"/>
        <v>1</v>
      </c>
      <c r="AO377" s="6" t="str">
        <f t="shared" si="39"/>
        <v>OK</v>
      </c>
      <c r="AQ377" s="6" t="e">
        <f>MATCH($D377,'D4 - Provider Council Unsched'!$C$11:$C$234,0)</f>
        <v>#N/A</v>
      </c>
      <c r="AR377" s="6" t="b">
        <f t="shared" si="37"/>
        <v>1</v>
      </c>
      <c r="AS377" s="6" t="str">
        <f t="shared" si="40"/>
        <v>OK</v>
      </c>
      <c r="AU377" s="202"/>
      <c r="AV377" s="262"/>
      <c r="AW377" s="274"/>
    </row>
    <row r="378" spans="1:49" s="13" customFormat="1" ht="33.75" x14ac:dyDescent="0.2">
      <c r="A378" s="14">
        <v>354</v>
      </c>
      <c r="B378" s="14">
        <v>400003582</v>
      </c>
      <c r="C378" s="8" t="s">
        <v>6726</v>
      </c>
      <c r="D378" s="4" t="str">
        <f t="shared" si="38"/>
        <v>400003582CC06</v>
      </c>
      <c r="E378" s="309" t="str">
        <f>VLOOKUP($B378,'D7 - NDB Impacted SPRF''s'!$E$6:$O$9929,2,FALSE)</f>
        <v>Claims Repricing Engine Phase 2</v>
      </c>
      <c r="F378" s="8" t="s">
        <v>4304</v>
      </c>
      <c r="G378" s="8" t="s">
        <v>4758</v>
      </c>
      <c r="H378" s="8" t="s">
        <v>4246</v>
      </c>
      <c r="I378" s="20">
        <v>1.32</v>
      </c>
      <c r="J378" s="8" t="s">
        <v>4862</v>
      </c>
      <c r="K378" s="182">
        <v>38640</v>
      </c>
      <c r="L378" s="8" t="s">
        <v>4964</v>
      </c>
      <c r="M378" s="8" t="s">
        <v>2814</v>
      </c>
      <c r="N378" s="367"/>
      <c r="O378" s="8"/>
      <c r="P378" s="4" t="str">
        <f>VLOOKUP($B378,'D7 - NDB Impacted SPRF''s'!$E$16:$O$9929,9,FALSE)</f>
        <v>Y</v>
      </c>
      <c r="Q378" s="4" t="str">
        <f>VLOOKUP($B378,'D7 - NDB Impacted SPRF''s'!$E$16:$O$9929,10,FALSE)</f>
        <v>N</v>
      </c>
      <c r="R378" s="4" t="str">
        <f>VLOOKUP($B378,'D7 - NDB Impacted SPRF''s'!$E$16:$O$9929,11,FALSE)</f>
        <v>N</v>
      </c>
      <c r="S378" s="8"/>
      <c r="T378" s="310"/>
      <c r="U378" s="310"/>
      <c r="V378" s="4"/>
      <c r="W378" s="4"/>
      <c r="X378" s="4"/>
      <c r="Y378" s="4"/>
      <c r="Z378" s="4"/>
      <c r="AA378" s="4"/>
      <c r="AB378" s="380" t="str">
        <f>VLOOKUP($B378,'D7 - NDB Impacted SPRF''s'!$E$16:$O$9929,4,FALSE)</f>
        <v>Completed</v>
      </c>
      <c r="AC378" s="380" t="str">
        <f>VLOOKUP($B378,'D7 - NDB Impacted SPRF''s'!$E$16:$O$9929,3,FALSE)</f>
        <v>UnitedHealthcare Employer &amp; Individual</v>
      </c>
      <c r="AD378" s="380" t="str">
        <f>VLOOKUP($B378,'D7 - NDB Impacted SPRF''s'!$E$16:$O$9929,5,FALSE)</f>
        <v>Key Initiatives Group</v>
      </c>
      <c r="AE378" s="380" t="str">
        <f>VLOOKUP($B378,'D7 - NDB Impacted SPRF''s'!$E$16:$O$9929,7,FALSE)</f>
        <v>Mike Mikan, Dirk McMahon</v>
      </c>
      <c r="AF378" s="380" t="str">
        <f>VLOOKUP($B378,'D7 - NDB Impacted SPRF''s'!$E$16:$O$9929,6,FALSE)</f>
        <v>GUY GRINDBERG</v>
      </c>
      <c r="AG378" s="282"/>
      <c r="AH378" s="311" t="e">
        <f>INDEX('D5 - Gatekeeper - Projects'!$A$4:$AF$1010,$AM378, 17)</f>
        <v>#N/A</v>
      </c>
      <c r="AI378" s="8"/>
      <c r="AJ378" s="57"/>
      <c r="AK378" s="105"/>
      <c r="AL378" s="216"/>
      <c r="AM378" s="6" t="e">
        <f>MATCH(D378,'D5 - Gatekeeper - Projects'!$C$4:$C$1010,0)</f>
        <v>#N/A</v>
      </c>
      <c r="AN378" s="6" t="b">
        <f t="shared" si="36"/>
        <v>1</v>
      </c>
      <c r="AO378" s="6" t="str">
        <f t="shared" si="39"/>
        <v>OK</v>
      </c>
      <c r="AQ378" s="6" t="e">
        <f>MATCH($D378,'D4 - Provider Council Unsched'!$C$11:$C$234,0)</f>
        <v>#N/A</v>
      </c>
      <c r="AR378" s="6" t="b">
        <f t="shared" si="37"/>
        <v>1</v>
      </c>
      <c r="AS378" s="6" t="str">
        <f t="shared" si="40"/>
        <v>OK</v>
      </c>
      <c r="AU378" s="202"/>
      <c r="AV378" s="262"/>
      <c r="AW378" s="274"/>
    </row>
    <row r="379" spans="1:49" s="13" customFormat="1" ht="33.75" x14ac:dyDescent="0.2">
      <c r="A379" s="14">
        <v>355</v>
      </c>
      <c r="B379" s="14">
        <v>400003582</v>
      </c>
      <c r="C379" s="8" t="s">
        <v>8120</v>
      </c>
      <c r="D379" s="4" t="str">
        <f t="shared" si="38"/>
        <v>400003582CC08</v>
      </c>
      <c r="E379" s="309" t="str">
        <f>VLOOKUP($B379,'D7 - NDB Impacted SPRF''s'!$E$6:$O$9929,2,FALSE)</f>
        <v>Claims Repricing Engine Phase 2</v>
      </c>
      <c r="F379" s="8" t="s">
        <v>4304</v>
      </c>
      <c r="G379" s="8" t="s">
        <v>4758</v>
      </c>
      <c r="H379" s="8" t="s">
        <v>4246</v>
      </c>
      <c r="I379" s="20">
        <v>19.18</v>
      </c>
      <c r="J379" s="8" t="s">
        <v>4862</v>
      </c>
      <c r="K379" s="182">
        <v>38640</v>
      </c>
      <c r="L379" s="8" t="s">
        <v>4964</v>
      </c>
      <c r="M379" s="8" t="s">
        <v>2814</v>
      </c>
      <c r="N379" s="367"/>
      <c r="O379" s="8"/>
      <c r="P379" s="4" t="str">
        <f>VLOOKUP($B379,'D7 - NDB Impacted SPRF''s'!$E$16:$O$9929,9,FALSE)</f>
        <v>Y</v>
      </c>
      <c r="Q379" s="4" t="str">
        <f>VLOOKUP($B379,'D7 - NDB Impacted SPRF''s'!$E$16:$O$9929,10,FALSE)</f>
        <v>N</v>
      </c>
      <c r="R379" s="4" t="str">
        <f>VLOOKUP($B379,'D7 - NDB Impacted SPRF''s'!$E$16:$O$9929,11,FALSE)</f>
        <v>N</v>
      </c>
      <c r="S379" s="8"/>
      <c r="T379" s="310"/>
      <c r="U379" s="310"/>
      <c r="V379" s="4"/>
      <c r="W379" s="4"/>
      <c r="X379" s="4"/>
      <c r="Y379" s="4"/>
      <c r="Z379" s="4"/>
      <c r="AA379" s="4"/>
      <c r="AB379" s="380" t="str">
        <f>VLOOKUP($B379,'D7 - NDB Impacted SPRF''s'!$E$16:$O$9929,4,FALSE)</f>
        <v>Completed</v>
      </c>
      <c r="AC379" s="380" t="str">
        <f>VLOOKUP($B379,'D7 - NDB Impacted SPRF''s'!$E$16:$O$9929,3,FALSE)</f>
        <v>UnitedHealthcare Employer &amp; Individual</v>
      </c>
      <c r="AD379" s="380" t="str">
        <f>VLOOKUP($B379,'D7 - NDB Impacted SPRF''s'!$E$16:$O$9929,5,FALSE)</f>
        <v>Key Initiatives Group</v>
      </c>
      <c r="AE379" s="380" t="str">
        <f>VLOOKUP($B379,'D7 - NDB Impacted SPRF''s'!$E$16:$O$9929,7,FALSE)</f>
        <v>Mike Mikan, Dirk McMahon</v>
      </c>
      <c r="AF379" s="380" t="str">
        <f>VLOOKUP($B379,'D7 - NDB Impacted SPRF''s'!$E$16:$O$9929,6,FALSE)</f>
        <v>GUY GRINDBERG</v>
      </c>
      <c r="AG379" s="282"/>
      <c r="AH379" s="311" t="e">
        <f>INDEX('D5 - Gatekeeper - Projects'!$A$4:$AF$1010,$AM379, 17)</f>
        <v>#N/A</v>
      </c>
      <c r="AI379" s="8"/>
      <c r="AJ379" s="57"/>
      <c r="AK379" s="105"/>
      <c r="AM379" s="6" t="e">
        <f>MATCH(D379,'D5 - Gatekeeper - Projects'!$C$4:$C$1010,0)</f>
        <v>#N/A</v>
      </c>
      <c r="AN379" s="6" t="b">
        <f t="shared" si="36"/>
        <v>1</v>
      </c>
      <c r="AO379" s="6" t="str">
        <f t="shared" si="39"/>
        <v>OK</v>
      </c>
      <c r="AQ379" s="6" t="e">
        <f>MATCH($D379,'D4 - Provider Council Unsched'!$C$11:$C$234,0)</f>
        <v>#N/A</v>
      </c>
      <c r="AR379" s="6" t="b">
        <f t="shared" si="37"/>
        <v>1</v>
      </c>
      <c r="AS379" s="6" t="str">
        <f t="shared" si="40"/>
        <v>OK</v>
      </c>
      <c r="AU379" s="202"/>
      <c r="AV379" s="262"/>
      <c r="AW379" s="274"/>
    </row>
    <row r="380" spans="1:49" s="13" customFormat="1" ht="33.75" x14ac:dyDescent="0.2">
      <c r="A380" s="14">
        <v>356</v>
      </c>
      <c r="B380" s="14">
        <v>400003809</v>
      </c>
      <c r="C380" s="8" t="s">
        <v>5197</v>
      </c>
      <c r="D380" s="4" t="str">
        <f t="shared" si="38"/>
        <v>400003809R1</v>
      </c>
      <c r="E380" s="309" t="str">
        <f>VLOOKUP($B380,'D7 - NDB Impacted SPRF''s'!$E$6:$O$9929,2,FALSE)</f>
        <v xml:space="preserve">Ovations Conversion to Diamond </v>
      </c>
      <c r="F380" s="8" t="s">
        <v>5544</v>
      </c>
      <c r="G380" s="8" t="s">
        <v>4758</v>
      </c>
      <c r="H380" s="8" t="s">
        <v>4246</v>
      </c>
      <c r="I380" s="20">
        <v>46.7</v>
      </c>
      <c r="J380" s="8" t="s">
        <v>4862</v>
      </c>
      <c r="K380" s="182">
        <v>38640</v>
      </c>
      <c r="L380" s="8" t="s">
        <v>4964</v>
      </c>
      <c r="M380" s="8" t="s">
        <v>2814</v>
      </c>
      <c r="N380" s="367"/>
      <c r="O380" s="8"/>
      <c r="P380" s="4" t="str">
        <f>VLOOKUP($B380,'D7 - NDB Impacted SPRF''s'!$E$16:$O$9929,9,FALSE)</f>
        <v>N</v>
      </c>
      <c r="Q380" s="4" t="str">
        <f>VLOOKUP($B380,'D7 - NDB Impacted SPRF''s'!$E$16:$O$9929,10,FALSE)</f>
        <v>N</v>
      </c>
      <c r="R380" s="4" t="str">
        <f>VLOOKUP($B380,'D7 - NDB Impacted SPRF''s'!$E$16:$O$9929,11,FALSE)</f>
        <v>N</v>
      </c>
      <c r="S380" s="8"/>
      <c r="T380" s="310"/>
      <c r="U380" s="310"/>
      <c r="V380" s="4"/>
      <c r="W380" s="4"/>
      <c r="X380" s="4"/>
      <c r="Y380" s="4"/>
      <c r="Z380" s="4"/>
      <c r="AA380" s="4"/>
      <c r="AB380" s="380" t="str">
        <f>VLOOKUP($B380,'D7 - NDB Impacted SPRF''s'!$E$16:$O$9929,4,FALSE)</f>
        <v>Completed</v>
      </c>
      <c r="AC380" s="380" t="str">
        <f>VLOOKUP($B380,'D7 - NDB Impacted SPRF''s'!$E$16:$O$9929,3,FALSE)</f>
        <v>UnitedHealthcare Medicare &amp; Retirement</v>
      </c>
      <c r="AD380" s="380" t="str">
        <f>VLOOKUP($B380,'D7 - NDB Impacted SPRF''s'!$E$16:$O$9929,5,FALSE)</f>
        <v>Ovations</v>
      </c>
      <c r="AE380" s="380" t="str">
        <f>VLOOKUP($B380,'D7 - NDB Impacted SPRF''s'!$E$16:$O$9929,7,FALSE)</f>
        <v>Mike Cautin/Jerry Knutson</v>
      </c>
      <c r="AF380" s="380" t="str">
        <f>VLOOKUP($B380,'D7 - NDB Impacted SPRF''s'!$E$16:$O$9929,6,FALSE)</f>
        <v>Susan Gruwell</v>
      </c>
      <c r="AG380" s="282"/>
      <c r="AH380" s="311" t="e">
        <f>INDEX('D5 - Gatekeeper - Projects'!$A$4:$AF$1010,$AM380, 17)</f>
        <v>#N/A</v>
      </c>
      <c r="AI380" s="8"/>
      <c r="AJ380" s="57"/>
      <c r="AK380" s="105"/>
      <c r="AM380" s="6" t="e">
        <f>MATCH(D380,'D5 - Gatekeeper - Projects'!$C$4:$C$1010,0)</f>
        <v>#N/A</v>
      </c>
      <c r="AN380" s="6" t="b">
        <f t="shared" si="36"/>
        <v>1</v>
      </c>
      <c r="AO380" s="6" t="str">
        <f t="shared" si="39"/>
        <v>OK</v>
      </c>
      <c r="AQ380" s="6" t="e">
        <f>MATCH($D380,'D4 - Provider Council Unsched'!$C$11:$C$234,0)</f>
        <v>#N/A</v>
      </c>
      <c r="AR380" s="6" t="b">
        <f t="shared" si="37"/>
        <v>1</v>
      </c>
      <c r="AS380" s="6" t="str">
        <f t="shared" si="40"/>
        <v>OK</v>
      </c>
      <c r="AU380" s="202"/>
      <c r="AV380" s="262"/>
      <c r="AW380" s="274"/>
    </row>
    <row r="381" spans="1:49" s="13" customFormat="1" x14ac:dyDescent="0.2">
      <c r="A381" s="14">
        <v>357</v>
      </c>
      <c r="B381" s="14">
        <v>400006641</v>
      </c>
      <c r="C381" s="8" t="s">
        <v>5197</v>
      </c>
      <c r="D381" s="4" t="str">
        <f t="shared" si="38"/>
        <v>400006641R1</v>
      </c>
      <c r="E381" s="309" t="str">
        <f>VLOOKUP($B381,'D7 - NDB Impacted SPRF''s'!$E$6:$O$9929,2,FALSE)</f>
        <v>EFS NDB New Book Codes</v>
      </c>
      <c r="F381" s="8" t="s">
        <v>5054</v>
      </c>
      <c r="G381" s="8" t="s">
        <v>4758</v>
      </c>
      <c r="H381" s="8" t="s">
        <v>4246</v>
      </c>
      <c r="I381" s="20">
        <v>0.4</v>
      </c>
      <c r="J381" s="8" t="s">
        <v>4862</v>
      </c>
      <c r="K381" s="182">
        <v>38640</v>
      </c>
      <c r="L381" s="8" t="s">
        <v>4964</v>
      </c>
      <c r="M381" s="8" t="s">
        <v>2814</v>
      </c>
      <c r="N381" s="367"/>
      <c r="O381" s="8"/>
      <c r="P381" s="4" t="str">
        <f>VLOOKUP($B381,'D7 - NDB Impacted SPRF''s'!$E$16:$O$9929,9,FALSE)</f>
        <v>N</v>
      </c>
      <c r="Q381" s="4" t="str">
        <f>VLOOKUP($B381,'D7 - NDB Impacted SPRF''s'!$E$16:$O$9929,10,FALSE)</f>
        <v>N</v>
      </c>
      <c r="R381" s="4" t="str">
        <f>VLOOKUP($B381,'D7 - NDB Impacted SPRF''s'!$E$16:$O$9929,11,FALSE)</f>
        <v>N</v>
      </c>
      <c r="S381" s="8"/>
      <c r="T381" s="310"/>
      <c r="U381" s="310"/>
      <c r="V381" s="4"/>
      <c r="W381" s="4"/>
      <c r="X381" s="4"/>
      <c r="Y381" s="4"/>
      <c r="Z381" s="4"/>
      <c r="AA381" s="4"/>
      <c r="AB381" s="380" t="str">
        <f>VLOOKUP($B381,'D7 - NDB Impacted SPRF''s'!$E$16:$O$9929,4,FALSE)</f>
        <v>Completed</v>
      </c>
      <c r="AC381" s="380" t="str">
        <f>VLOOKUP($B381,'D7 - NDB Impacted SPRF''s'!$E$16:$O$9929,3,FALSE)</f>
        <v>Uniprise</v>
      </c>
      <c r="AD381" s="380" t="str">
        <f>VLOOKUP($B381,'D7 - NDB Impacted SPRF''s'!$E$16:$O$9929,5,FALSE)</f>
        <v>Exante - DDC</v>
      </c>
      <c r="AE381" s="380" t="str">
        <f>VLOOKUP($B381,'D7 - NDB Impacted SPRF''s'!$E$16:$O$9929,7,FALSE)</f>
        <v>Thomas Watson</v>
      </c>
      <c r="AF381" s="380" t="str">
        <f>VLOOKUP($B381,'D7 - NDB Impacted SPRF''s'!$E$16:$O$9929,6,FALSE)</f>
        <v>Pasini Liz</v>
      </c>
      <c r="AG381" s="282"/>
      <c r="AH381" s="311" t="e">
        <f>INDEX('D5 - Gatekeeper - Projects'!$A$4:$AF$1010,$AM381, 17)</f>
        <v>#N/A</v>
      </c>
      <c r="AI381" s="8"/>
      <c r="AJ381" s="57"/>
      <c r="AK381" s="105"/>
      <c r="AL381" s="216"/>
      <c r="AM381" s="6" t="e">
        <f>MATCH(D381,'D5 - Gatekeeper - Projects'!$C$4:$C$1010,0)</f>
        <v>#N/A</v>
      </c>
      <c r="AN381" s="6" t="b">
        <f t="shared" si="36"/>
        <v>1</v>
      </c>
      <c r="AO381" s="6" t="str">
        <f t="shared" si="39"/>
        <v>OK</v>
      </c>
      <c r="AQ381" s="6" t="e">
        <f>MATCH($D381,'D4 - Provider Council Unsched'!$C$11:$C$234,0)</f>
        <v>#N/A</v>
      </c>
      <c r="AR381" s="6" t="b">
        <f t="shared" si="37"/>
        <v>1</v>
      </c>
      <c r="AS381" s="6" t="str">
        <f t="shared" si="40"/>
        <v>OK</v>
      </c>
      <c r="AU381" s="202"/>
      <c r="AV381" s="262"/>
      <c r="AW381" s="274"/>
    </row>
    <row r="382" spans="1:49" s="13" customFormat="1" x14ac:dyDescent="0.2">
      <c r="A382" s="14">
        <v>358</v>
      </c>
      <c r="B382" s="14">
        <v>400008063</v>
      </c>
      <c r="C382" s="8" t="s">
        <v>5197</v>
      </c>
      <c r="D382" s="4" t="str">
        <f t="shared" si="38"/>
        <v>400008063R1</v>
      </c>
      <c r="E382" s="309" t="str">
        <f>VLOOKUP($B382,'D7 - NDB Impacted SPRF''s'!$E$6:$O$9929,2,FALSE)</f>
        <v>Definity HCFA repricing on ppoONE phase 2</v>
      </c>
      <c r="F382" s="8" t="s">
        <v>3876</v>
      </c>
      <c r="G382" s="8" t="s">
        <v>4758</v>
      </c>
      <c r="H382" s="8" t="s">
        <v>4246</v>
      </c>
      <c r="I382" s="20">
        <v>5</v>
      </c>
      <c r="J382" s="8" t="s">
        <v>4862</v>
      </c>
      <c r="K382" s="182">
        <v>38640</v>
      </c>
      <c r="L382" s="8" t="s">
        <v>4964</v>
      </c>
      <c r="M382" s="8" t="s">
        <v>2814</v>
      </c>
      <c r="N382" s="367"/>
      <c r="O382" s="8"/>
      <c r="P382" s="4" t="str">
        <f>VLOOKUP($B382,'D7 - NDB Impacted SPRF''s'!$E$16:$O$9929,9,FALSE)</f>
        <v>N</v>
      </c>
      <c r="Q382" s="4" t="str">
        <f>VLOOKUP($B382,'D7 - NDB Impacted SPRF''s'!$E$16:$O$9929,10,FALSE)</f>
        <v>N</v>
      </c>
      <c r="R382" s="4" t="str">
        <f>VLOOKUP($B382,'D7 - NDB Impacted SPRF''s'!$E$16:$O$9929,11,FALSE)</f>
        <v>N</v>
      </c>
      <c r="S382" s="8"/>
      <c r="T382" s="310"/>
      <c r="U382" s="310"/>
      <c r="V382" s="4"/>
      <c r="W382" s="4"/>
      <c r="X382" s="4"/>
      <c r="Y382" s="4"/>
      <c r="Z382" s="4"/>
      <c r="AA382" s="4"/>
      <c r="AB382" s="380" t="str">
        <f>VLOOKUP($B382,'D7 - NDB Impacted SPRF''s'!$E$16:$O$9929,4,FALSE)</f>
        <v>Completed</v>
      </c>
      <c r="AC382" s="380" t="str">
        <f>VLOOKUP($B382,'D7 - NDB Impacted SPRF''s'!$E$16:$O$9929,3,FALSE)</f>
        <v>Uniprise</v>
      </c>
      <c r="AD382" s="380" t="str">
        <f>VLOOKUP($B382,'D7 - NDB Impacted SPRF''s'!$E$16:$O$9929,5,FALSE)</f>
        <v>Definity - Capital Projects</v>
      </c>
      <c r="AE382" s="380" t="str">
        <f>VLOOKUP($B382,'D7 - NDB Impacted SPRF''s'!$E$16:$O$9929,7,FALSE)</f>
        <v>Bruce Macgibbon</v>
      </c>
      <c r="AF382" s="380" t="str">
        <f>VLOOKUP($B382,'D7 - NDB Impacted SPRF''s'!$E$16:$O$9929,6,FALSE)</f>
        <v>SUSAN HINES</v>
      </c>
      <c r="AG382" s="282"/>
      <c r="AH382" s="311" t="e">
        <f>INDEX('D5 - Gatekeeper - Projects'!$A$4:$AF$1010,$AM382, 17)</f>
        <v>#N/A</v>
      </c>
      <c r="AI382" s="8"/>
      <c r="AJ382" s="57"/>
      <c r="AK382" s="105"/>
      <c r="AL382" s="216"/>
      <c r="AM382" s="6" t="e">
        <f>MATCH(D382,'D5 - Gatekeeper - Projects'!$C$4:$C$1010,0)</f>
        <v>#N/A</v>
      </c>
      <c r="AN382" s="6" t="b">
        <f t="shared" si="36"/>
        <v>1</v>
      </c>
      <c r="AO382" s="6" t="str">
        <f t="shared" si="39"/>
        <v>OK</v>
      </c>
      <c r="AQ382" s="6" t="e">
        <f>MATCH($D382,'D4 - Provider Council Unsched'!$C$11:$C$234,0)</f>
        <v>#N/A</v>
      </c>
      <c r="AR382" s="6" t="b">
        <f t="shared" si="37"/>
        <v>1</v>
      </c>
      <c r="AS382" s="6" t="str">
        <f t="shared" si="40"/>
        <v>OK</v>
      </c>
      <c r="AU382" s="202"/>
      <c r="AV382" s="262"/>
      <c r="AW382" s="274"/>
    </row>
    <row r="383" spans="1:49" s="13" customFormat="1" ht="33.75" x14ac:dyDescent="0.2">
      <c r="A383" s="14">
        <v>359</v>
      </c>
      <c r="B383" s="14">
        <v>400009481</v>
      </c>
      <c r="C383" s="8" t="s">
        <v>5197</v>
      </c>
      <c r="D383" s="4" t="str">
        <f t="shared" si="38"/>
        <v>400009481R1</v>
      </c>
      <c r="E383" s="309" t="str">
        <f>VLOOKUP($B383,'D7 - NDB Impacted SPRF''s'!$E$6:$O$9929,2,FALSE)</f>
        <v>OXHP Export File Table Update &amp; Code Change</v>
      </c>
      <c r="F383" s="8" t="s">
        <v>6138</v>
      </c>
      <c r="G383" s="8" t="s">
        <v>4758</v>
      </c>
      <c r="H383" s="8" t="s">
        <v>4246</v>
      </c>
      <c r="I383" s="20">
        <v>0.53</v>
      </c>
      <c r="J383" s="8" t="s">
        <v>4862</v>
      </c>
      <c r="K383" s="182">
        <v>38640</v>
      </c>
      <c r="L383" s="8" t="s">
        <v>4964</v>
      </c>
      <c r="M383" s="8" t="s">
        <v>2814</v>
      </c>
      <c r="N383" s="367"/>
      <c r="O383" s="8"/>
      <c r="P383" s="4" t="str">
        <f>VLOOKUP($B383,'D7 - NDB Impacted SPRF''s'!$E$16:$O$9929,9,FALSE)</f>
        <v>N</v>
      </c>
      <c r="Q383" s="4" t="str">
        <f>VLOOKUP($B383,'D7 - NDB Impacted SPRF''s'!$E$16:$O$9929,10,FALSE)</f>
        <v>N</v>
      </c>
      <c r="R383" s="4" t="str">
        <f>VLOOKUP($B383,'D7 - NDB Impacted SPRF''s'!$E$16:$O$9929,11,FALSE)</f>
        <v>N</v>
      </c>
      <c r="S383" s="8"/>
      <c r="T383" s="310"/>
      <c r="U383" s="310"/>
      <c r="V383" s="4"/>
      <c r="W383" s="4"/>
      <c r="X383" s="4"/>
      <c r="Y383" s="4"/>
      <c r="Z383" s="4"/>
      <c r="AA383" s="4"/>
      <c r="AB383" s="380" t="str">
        <f>VLOOKUP($B383,'D7 - NDB Impacted SPRF''s'!$E$16:$O$9929,4,FALSE)</f>
        <v>Completed</v>
      </c>
      <c r="AC383" s="380" t="str">
        <f>VLOOKUP($B383,'D7 - NDB Impacted SPRF''s'!$E$16:$O$9929,3,FALSE)</f>
        <v>UnitedHealthcare Employer &amp; Individual</v>
      </c>
      <c r="AD383" s="380" t="str">
        <f>VLOOKUP($B383,'D7 - NDB Impacted SPRF''s'!$E$16:$O$9929,5,FALSE)</f>
        <v>Operations Group</v>
      </c>
      <c r="AE383" s="380" t="str">
        <f>VLOOKUP($B383,'D7 - NDB Impacted SPRF''s'!$E$16:$O$9929,7,FALSE)</f>
        <v>Steve Black</v>
      </c>
      <c r="AF383" s="380" t="str">
        <f>VLOOKUP($B383,'D7 - NDB Impacted SPRF''s'!$E$16:$O$9929,6,FALSE)</f>
        <v>Barbara Dickson</v>
      </c>
      <c r="AG383" s="282"/>
      <c r="AH383" s="311" t="e">
        <f>INDEX('D5 - Gatekeeper - Projects'!$A$4:$AF$1010,$AM383, 17)</f>
        <v>#N/A</v>
      </c>
      <c r="AI383" s="8"/>
      <c r="AJ383" s="57"/>
      <c r="AK383" s="105"/>
      <c r="AL383" s="216"/>
      <c r="AM383" s="6" t="e">
        <f>MATCH(D383,'D5 - Gatekeeper - Projects'!$C$4:$C$1010,0)</f>
        <v>#N/A</v>
      </c>
      <c r="AN383" s="6" t="b">
        <f t="shared" si="36"/>
        <v>1</v>
      </c>
      <c r="AO383" s="6" t="str">
        <f t="shared" si="39"/>
        <v>OK</v>
      </c>
      <c r="AQ383" s="6" t="e">
        <f>MATCH($D383,'D4 - Provider Council Unsched'!$C$11:$C$234,0)</f>
        <v>#N/A</v>
      </c>
      <c r="AR383" s="6" t="b">
        <f t="shared" si="37"/>
        <v>1</v>
      </c>
      <c r="AS383" s="6" t="str">
        <f t="shared" si="40"/>
        <v>OK</v>
      </c>
      <c r="AU383" s="202"/>
      <c r="AV383" s="262"/>
      <c r="AW383" s="274"/>
    </row>
    <row r="384" spans="1:49" s="13" customFormat="1" x14ac:dyDescent="0.2">
      <c r="A384" s="14">
        <v>360</v>
      </c>
      <c r="B384" s="14">
        <v>400004971</v>
      </c>
      <c r="C384" s="8" t="s">
        <v>3763</v>
      </c>
      <c r="D384" s="4" t="str">
        <f t="shared" si="38"/>
        <v>400004971R2</v>
      </c>
      <c r="E384" s="309" t="str">
        <f>VLOOKUP($B384,'D7 - NDB Impacted SPRF''s'!$E$6:$O$9929,2,FALSE)</f>
        <v>PIT - Monthly NDC Database Maintenance</v>
      </c>
      <c r="F384" s="8"/>
      <c r="G384" s="8" t="s">
        <v>4758</v>
      </c>
      <c r="H384" s="8" t="s">
        <v>4246</v>
      </c>
      <c r="I384" s="20">
        <v>1.6</v>
      </c>
      <c r="J384" s="8" t="s">
        <v>4862</v>
      </c>
      <c r="K384" s="182">
        <v>38668</v>
      </c>
      <c r="L384" s="8" t="s">
        <v>4964</v>
      </c>
      <c r="M384" s="8" t="s">
        <v>2814</v>
      </c>
      <c r="N384" s="367"/>
      <c r="O384" s="8"/>
      <c r="P384" s="4" t="str">
        <f>VLOOKUP($B384,'D7 - NDB Impacted SPRF''s'!$E$16:$O$9929,9,FALSE)</f>
        <v>N</v>
      </c>
      <c r="Q384" s="4" t="str">
        <f>VLOOKUP($B384,'D7 - NDB Impacted SPRF''s'!$E$16:$O$9929,10,FALSE)</f>
        <v>N</v>
      </c>
      <c r="R384" s="4" t="str">
        <f>VLOOKUP($B384,'D7 - NDB Impacted SPRF''s'!$E$16:$O$9929,11,FALSE)</f>
        <v>N</v>
      </c>
      <c r="S384" s="8"/>
      <c r="T384" s="310"/>
      <c r="U384" s="310"/>
      <c r="V384" s="4"/>
      <c r="W384" s="4"/>
      <c r="X384" s="4"/>
      <c r="Y384" s="4"/>
      <c r="Z384" s="4"/>
      <c r="AA384" s="4"/>
      <c r="AB384" s="380" t="str">
        <f>VLOOKUP($B384,'D7 - NDB Impacted SPRF''s'!$E$16:$O$9929,4,FALSE)</f>
        <v>Completed</v>
      </c>
      <c r="AC384" s="380" t="str">
        <f>VLOOKUP($B384,'D7 - NDB Impacted SPRF''s'!$E$16:$O$9929,3,FALSE)</f>
        <v>Uniprise</v>
      </c>
      <c r="AD384" s="380" t="str">
        <f>VLOOKUP($B384,'D7 - NDB Impacted SPRF''s'!$E$16:$O$9929,5,FALSE)</f>
        <v>Uniprise Operations - DDC</v>
      </c>
      <c r="AE384" s="380" t="str">
        <f>VLOOKUP($B384,'D7 - NDB Impacted SPRF''s'!$E$16:$O$9929,7,FALSE)</f>
        <v>Donna McCart</v>
      </c>
      <c r="AF384" s="380" t="str">
        <f>VLOOKUP($B384,'D7 - NDB Impacted SPRF''s'!$E$16:$O$9929,6,FALSE)</f>
        <v>Nancy Hickam</v>
      </c>
      <c r="AG384" s="282"/>
      <c r="AH384" s="311" t="e">
        <f>INDEX('D5 - Gatekeeper - Projects'!$A$4:$AF$1010,$AM384, 17)</f>
        <v>#N/A</v>
      </c>
      <c r="AI384" s="8"/>
      <c r="AJ384" s="57"/>
      <c r="AK384" s="105"/>
      <c r="AL384" s="216"/>
      <c r="AM384" s="6" t="e">
        <f>MATCH(D384,'D5 - Gatekeeper - Projects'!$C$4:$C$1010,0)</f>
        <v>#N/A</v>
      </c>
      <c r="AN384" s="6" t="b">
        <f t="shared" si="36"/>
        <v>1</v>
      </c>
      <c r="AO384" s="6" t="str">
        <f t="shared" si="39"/>
        <v>OK</v>
      </c>
      <c r="AQ384" s="6" t="e">
        <f>MATCH($D384,'D4 - Provider Council Unsched'!$C$11:$C$234,0)</f>
        <v>#N/A</v>
      </c>
      <c r="AR384" s="6" t="b">
        <f t="shared" si="37"/>
        <v>1</v>
      </c>
      <c r="AS384" s="6" t="str">
        <f t="shared" si="40"/>
        <v>OK</v>
      </c>
      <c r="AU384" s="202"/>
      <c r="AV384" s="262"/>
      <c r="AW384" s="274"/>
    </row>
    <row r="385" spans="1:49" s="13" customFormat="1" x14ac:dyDescent="0.2">
      <c r="A385" s="14">
        <v>361</v>
      </c>
      <c r="B385" s="14">
        <v>400005906</v>
      </c>
      <c r="C385" s="8" t="s">
        <v>3763</v>
      </c>
      <c r="D385" s="4" t="str">
        <f t="shared" si="38"/>
        <v>400005906R2</v>
      </c>
      <c r="E385" s="309" t="str">
        <f>VLOOKUP($B385,'D7 - NDB Impacted SPRF''s'!$E$6:$O$9929,2,FALSE)</f>
        <v>Gated HMO Design and Development</v>
      </c>
      <c r="F385" s="8" t="s">
        <v>4168</v>
      </c>
      <c r="G385" s="8" t="s">
        <v>4758</v>
      </c>
      <c r="H385" s="8" t="s">
        <v>4246</v>
      </c>
      <c r="I385" s="20">
        <v>2</v>
      </c>
      <c r="J385" s="8" t="s">
        <v>4862</v>
      </c>
      <c r="K385" s="182">
        <v>38668</v>
      </c>
      <c r="L385" s="8" t="s">
        <v>4964</v>
      </c>
      <c r="M385" s="8" t="s">
        <v>2814</v>
      </c>
      <c r="N385" s="367"/>
      <c r="O385" s="8"/>
      <c r="P385" s="4" t="str">
        <f>VLOOKUP($B385,'D7 - NDB Impacted SPRF''s'!$E$16:$O$9929,9,FALSE)</f>
        <v>Y</v>
      </c>
      <c r="Q385" s="4" t="str">
        <f>VLOOKUP($B385,'D7 - NDB Impacted SPRF''s'!$E$16:$O$9929,10,FALSE)</f>
        <v>N</v>
      </c>
      <c r="R385" s="4" t="str">
        <f>VLOOKUP($B385,'D7 - NDB Impacted SPRF''s'!$E$16:$O$9929,11,FALSE)</f>
        <v>N</v>
      </c>
      <c r="S385" s="8"/>
      <c r="T385" s="310"/>
      <c r="U385" s="310"/>
      <c r="V385" s="4"/>
      <c r="W385" s="4"/>
      <c r="X385" s="4"/>
      <c r="Y385" s="4"/>
      <c r="Z385" s="4"/>
      <c r="AA385" s="4"/>
      <c r="AB385" s="380" t="str">
        <f>VLOOKUP($B385,'D7 - NDB Impacted SPRF''s'!$E$16:$O$9929,4,FALSE)</f>
        <v>Completed</v>
      </c>
      <c r="AC385" s="380" t="str">
        <f>VLOOKUP($B385,'D7 - NDB Impacted SPRF''s'!$E$16:$O$9929,3,FALSE)</f>
        <v>Alliance</v>
      </c>
      <c r="AD385" s="380" t="str">
        <f>VLOOKUP($B385,'D7 - NDB Impacted SPRF''s'!$E$16:$O$9929,5,FALSE)</f>
        <v>Gated HMO</v>
      </c>
      <c r="AE385" s="380" t="str">
        <f>VLOOKUP($B385,'D7 - NDB Impacted SPRF''s'!$E$16:$O$9929,7,FALSE)</f>
        <v>Tim Wicks</v>
      </c>
      <c r="AF385" s="380" t="str">
        <f>VLOOKUP($B385,'D7 - NDB Impacted SPRF''s'!$E$16:$O$9929,6,FALSE)</f>
        <v>Debi Streb</v>
      </c>
      <c r="AG385" s="282"/>
      <c r="AH385" s="311" t="e">
        <f>INDEX('D5 - Gatekeeper - Projects'!$A$4:$AF$1010,$AM385, 17)</f>
        <v>#N/A</v>
      </c>
      <c r="AI385" s="8"/>
      <c r="AJ385" s="57"/>
      <c r="AK385" s="105"/>
      <c r="AL385" s="216"/>
      <c r="AM385" s="6" t="e">
        <f>MATCH(D385,'D5 - Gatekeeper - Projects'!$C$4:$C$1010,0)</f>
        <v>#N/A</v>
      </c>
      <c r="AN385" s="6" t="b">
        <f t="shared" si="36"/>
        <v>1</v>
      </c>
      <c r="AO385" s="6" t="str">
        <f t="shared" si="39"/>
        <v>OK</v>
      </c>
      <c r="AQ385" s="6" t="e">
        <f>MATCH($D385,'D4 - Provider Council Unsched'!$C$11:$C$234,0)</f>
        <v>#N/A</v>
      </c>
      <c r="AR385" s="6" t="b">
        <f t="shared" si="37"/>
        <v>1</v>
      </c>
      <c r="AS385" s="6" t="str">
        <f t="shared" si="40"/>
        <v>OK</v>
      </c>
      <c r="AU385" s="202"/>
      <c r="AV385" s="262"/>
      <c r="AW385" s="274"/>
    </row>
    <row r="386" spans="1:49" s="13" customFormat="1" x14ac:dyDescent="0.2">
      <c r="A386" s="14">
        <v>362</v>
      </c>
      <c r="B386" s="14">
        <v>400006641</v>
      </c>
      <c r="C386" s="8" t="s">
        <v>3763</v>
      </c>
      <c r="D386" s="4" t="str">
        <f t="shared" si="38"/>
        <v>400006641R2</v>
      </c>
      <c r="E386" s="309" t="str">
        <f>VLOOKUP($B386,'D7 - NDB Impacted SPRF''s'!$E$6:$O$9929,2,FALSE)</f>
        <v>EFS NDB New Book Codes</v>
      </c>
      <c r="F386" s="8" t="s">
        <v>5054</v>
      </c>
      <c r="G386" s="8" t="s">
        <v>4758</v>
      </c>
      <c r="H386" s="8" t="s">
        <v>4246</v>
      </c>
      <c r="I386" s="20">
        <v>0.16</v>
      </c>
      <c r="J386" s="8" t="s">
        <v>4862</v>
      </c>
      <c r="K386" s="182">
        <v>38668</v>
      </c>
      <c r="L386" s="8" t="s">
        <v>4964</v>
      </c>
      <c r="M386" s="8" t="s">
        <v>2814</v>
      </c>
      <c r="N386" s="367"/>
      <c r="O386" s="8"/>
      <c r="P386" s="4" t="str">
        <f>VLOOKUP($B386,'D7 - NDB Impacted SPRF''s'!$E$16:$O$9929,9,FALSE)</f>
        <v>N</v>
      </c>
      <c r="Q386" s="4" t="str">
        <f>VLOOKUP($B386,'D7 - NDB Impacted SPRF''s'!$E$16:$O$9929,10,FALSE)</f>
        <v>N</v>
      </c>
      <c r="R386" s="4" t="str">
        <f>VLOOKUP($B386,'D7 - NDB Impacted SPRF''s'!$E$16:$O$9929,11,FALSE)</f>
        <v>N</v>
      </c>
      <c r="S386" s="8"/>
      <c r="T386" s="310"/>
      <c r="U386" s="310"/>
      <c r="V386" s="4"/>
      <c r="W386" s="4"/>
      <c r="X386" s="4"/>
      <c r="Y386" s="4"/>
      <c r="Z386" s="4"/>
      <c r="AA386" s="4"/>
      <c r="AB386" s="380" t="str">
        <f>VLOOKUP($B386,'D7 - NDB Impacted SPRF''s'!$E$16:$O$9929,4,FALSE)</f>
        <v>Completed</v>
      </c>
      <c r="AC386" s="380" t="str">
        <f>VLOOKUP($B386,'D7 - NDB Impacted SPRF''s'!$E$16:$O$9929,3,FALSE)</f>
        <v>Uniprise</v>
      </c>
      <c r="AD386" s="380" t="str">
        <f>VLOOKUP($B386,'D7 - NDB Impacted SPRF''s'!$E$16:$O$9929,5,FALSE)</f>
        <v>Exante - DDC</v>
      </c>
      <c r="AE386" s="380" t="str">
        <f>VLOOKUP($B386,'D7 - NDB Impacted SPRF''s'!$E$16:$O$9929,7,FALSE)</f>
        <v>Thomas Watson</v>
      </c>
      <c r="AF386" s="380" t="str">
        <f>VLOOKUP($B386,'D7 - NDB Impacted SPRF''s'!$E$16:$O$9929,6,FALSE)</f>
        <v>Pasini Liz</v>
      </c>
      <c r="AG386" s="282"/>
      <c r="AH386" s="311" t="e">
        <f>INDEX('D5 - Gatekeeper - Projects'!$A$4:$AF$1010,$AM386, 17)</f>
        <v>#N/A</v>
      </c>
      <c r="AI386" s="8"/>
      <c r="AJ386" s="57"/>
      <c r="AK386" s="105"/>
      <c r="AL386" s="216"/>
      <c r="AM386" s="6" t="e">
        <f>MATCH(D386,'D5 - Gatekeeper - Projects'!$C$4:$C$1010,0)</f>
        <v>#N/A</v>
      </c>
      <c r="AN386" s="6" t="b">
        <f t="shared" si="36"/>
        <v>1</v>
      </c>
      <c r="AO386" s="6" t="str">
        <f t="shared" si="39"/>
        <v>OK</v>
      </c>
      <c r="AQ386" s="6" t="e">
        <f>MATCH($D386,'D4 - Provider Council Unsched'!$C$11:$C$234,0)</f>
        <v>#N/A</v>
      </c>
      <c r="AR386" s="6" t="b">
        <f t="shared" si="37"/>
        <v>1</v>
      </c>
      <c r="AS386" s="6" t="str">
        <f t="shared" si="40"/>
        <v>OK</v>
      </c>
      <c r="AU386" s="202"/>
      <c r="AV386" s="262"/>
      <c r="AW386" s="274"/>
    </row>
    <row r="387" spans="1:49" s="13" customFormat="1" ht="33.75" x14ac:dyDescent="0.2">
      <c r="A387" s="14">
        <v>363</v>
      </c>
      <c r="B387" s="14">
        <v>400007541</v>
      </c>
      <c r="C387" s="8" t="s">
        <v>5197</v>
      </c>
      <c r="D387" s="4" t="str">
        <f t="shared" si="38"/>
        <v>400007541R1</v>
      </c>
      <c r="E387" s="309" t="str">
        <f>VLOOKUP($B387,'D7 - NDB Impacted SPRF''s'!$E$6:$O$9929,2,FALSE)</f>
        <v>MAMSI HCFA conversion to longterm repricer</v>
      </c>
      <c r="F387" s="8" t="s">
        <v>5752</v>
      </c>
      <c r="G387" s="8" t="s">
        <v>4758</v>
      </c>
      <c r="H387" s="8" t="s">
        <v>4246</v>
      </c>
      <c r="I387" s="20">
        <v>5</v>
      </c>
      <c r="J387" s="8" t="s">
        <v>4862</v>
      </c>
      <c r="K387" s="182">
        <v>38668</v>
      </c>
      <c r="L387" s="8" t="s">
        <v>4964</v>
      </c>
      <c r="M387" s="8" t="s">
        <v>2814</v>
      </c>
      <c r="N387" s="367"/>
      <c r="O387" s="8"/>
      <c r="P387" s="4" t="str">
        <f>VLOOKUP($B387,'D7 - NDB Impacted SPRF''s'!$E$16:$O$9929,9,FALSE)</f>
        <v>N</v>
      </c>
      <c r="Q387" s="4" t="str">
        <f>VLOOKUP($B387,'D7 - NDB Impacted SPRF''s'!$E$16:$O$9929,10,FALSE)</f>
        <v>N</v>
      </c>
      <c r="R387" s="4" t="str">
        <f>VLOOKUP($B387,'D7 - NDB Impacted SPRF''s'!$E$16:$O$9929,11,FALSE)</f>
        <v>N</v>
      </c>
      <c r="S387" s="8"/>
      <c r="T387" s="310"/>
      <c r="U387" s="310"/>
      <c r="V387" s="4"/>
      <c r="W387" s="4"/>
      <c r="X387" s="4"/>
      <c r="Y387" s="4"/>
      <c r="Z387" s="4"/>
      <c r="AA387" s="4"/>
      <c r="AB387" s="380" t="str">
        <f>VLOOKUP($B387,'D7 - NDB Impacted SPRF''s'!$E$16:$O$9929,4,FALSE)</f>
        <v>Completed</v>
      </c>
      <c r="AC387" s="380" t="str">
        <f>VLOOKUP($B387,'D7 - NDB Impacted SPRF''s'!$E$16:$O$9929,3,FALSE)</f>
        <v>UnitedHealthcare Employer &amp; Individual</v>
      </c>
      <c r="AD387" s="380" t="str">
        <f>VLOOKUP($B387,'D7 - NDB Impacted SPRF''s'!$E$16:$O$9929,5,FALSE)</f>
        <v>Key Initiatives Group</v>
      </c>
      <c r="AE387" s="380" t="str">
        <f>VLOOKUP($B387,'D7 - NDB Impacted SPRF''s'!$E$16:$O$9929,7,FALSE)</f>
        <v>Patrick Kennedy</v>
      </c>
      <c r="AF387" s="380" t="str">
        <f>VLOOKUP($B387,'D7 - NDB Impacted SPRF''s'!$E$16:$O$9929,6,FALSE)</f>
        <v>RUTH HOLMBERG</v>
      </c>
      <c r="AG387" s="282"/>
      <c r="AH387" s="311" t="e">
        <f>INDEX('D5 - Gatekeeper - Projects'!$A$4:$AF$1010,$AM387, 17)</f>
        <v>#N/A</v>
      </c>
      <c r="AI387" s="8"/>
      <c r="AJ387" s="57"/>
      <c r="AK387" s="105"/>
      <c r="AL387" s="216"/>
      <c r="AM387" s="6" t="e">
        <f>MATCH(D387,'D5 - Gatekeeper - Projects'!$C$4:$C$1010,0)</f>
        <v>#N/A</v>
      </c>
      <c r="AN387" s="6" t="b">
        <f t="shared" si="36"/>
        <v>1</v>
      </c>
      <c r="AO387" s="6" t="str">
        <f t="shared" si="39"/>
        <v>OK</v>
      </c>
      <c r="AQ387" s="6" t="e">
        <f>MATCH($D387,'D4 - Provider Council Unsched'!$C$11:$C$234,0)</f>
        <v>#N/A</v>
      </c>
      <c r="AR387" s="6" t="b">
        <f t="shared" si="37"/>
        <v>1</v>
      </c>
      <c r="AS387" s="6" t="str">
        <f t="shared" si="40"/>
        <v>OK</v>
      </c>
      <c r="AU387" s="202"/>
      <c r="AV387" s="262"/>
      <c r="AW387" s="274"/>
    </row>
    <row r="388" spans="1:49" s="13" customFormat="1" ht="33.75" x14ac:dyDescent="0.2">
      <c r="A388" s="14">
        <v>364</v>
      </c>
      <c r="B388" s="14">
        <v>400007728</v>
      </c>
      <c r="C388" s="8" t="s">
        <v>5197</v>
      </c>
      <c r="D388" s="4" t="str">
        <f t="shared" si="38"/>
        <v>400007728R1</v>
      </c>
      <c r="E388" s="309" t="str">
        <f>VLOOKUP($B388,'D7 - NDB Impacted SPRF''s'!$E$6:$O$9929,2,FALSE)</f>
        <v>Jefferson Health 3-tier HSA product for PRIME</v>
      </c>
      <c r="F388" s="8"/>
      <c r="G388" s="8" t="s">
        <v>4758</v>
      </c>
      <c r="H388" s="8" t="s">
        <v>4246</v>
      </c>
      <c r="I388" s="20">
        <v>1.06</v>
      </c>
      <c r="J388" s="8" t="s">
        <v>4862</v>
      </c>
      <c r="K388" s="182">
        <v>38668</v>
      </c>
      <c r="L388" s="8" t="s">
        <v>4964</v>
      </c>
      <c r="M388" s="8" t="s">
        <v>2814</v>
      </c>
      <c r="N388" s="367"/>
      <c r="O388" s="8"/>
      <c r="P388" s="4" t="str">
        <f>VLOOKUP($B388,'D7 - NDB Impacted SPRF''s'!$E$16:$O$9929,9,FALSE)</f>
        <v>Y</v>
      </c>
      <c r="Q388" s="4" t="str">
        <f>VLOOKUP($B388,'D7 - NDB Impacted SPRF''s'!$E$16:$O$9929,10,FALSE)</f>
        <v>N</v>
      </c>
      <c r="R388" s="4" t="str">
        <f>VLOOKUP($B388,'D7 - NDB Impacted SPRF''s'!$E$16:$O$9929,11,FALSE)</f>
        <v>N</v>
      </c>
      <c r="S388" s="8"/>
      <c r="T388" s="310"/>
      <c r="U388" s="310"/>
      <c r="V388" s="4"/>
      <c r="W388" s="4"/>
      <c r="X388" s="4"/>
      <c r="Y388" s="4"/>
      <c r="Z388" s="4"/>
      <c r="AA388" s="4"/>
      <c r="AB388" s="380" t="str">
        <f>VLOOKUP($B388,'D7 - NDB Impacted SPRF''s'!$E$16:$O$9929,4,FALSE)</f>
        <v>Completed</v>
      </c>
      <c r="AC388" s="380" t="str">
        <f>VLOOKUP($B388,'D7 - NDB Impacted SPRF''s'!$E$16:$O$9929,3,FALSE)</f>
        <v>UnitedHealthcare Employer &amp; Individual</v>
      </c>
      <c r="AD388" s="380" t="str">
        <f>VLOOKUP($B388,'D7 - NDB Impacted SPRF''s'!$E$16:$O$9929,5,FALSE)</f>
        <v>Key Initiatives Group</v>
      </c>
      <c r="AE388" s="380" t="str">
        <f>VLOOKUP($B388,'D7 - NDB Impacted SPRF''s'!$E$16:$O$9929,7,FALSE)</f>
        <v>Almerinda Kolodziej</v>
      </c>
      <c r="AF388" s="380" t="str">
        <f>VLOOKUP($B388,'D7 - NDB Impacted SPRF''s'!$E$16:$O$9929,6,FALSE)</f>
        <v>Chris Hock</v>
      </c>
      <c r="AG388" s="282"/>
      <c r="AH388" s="311" t="e">
        <f>INDEX('D5 - Gatekeeper - Projects'!$A$4:$AF$1010,$AM388, 17)</f>
        <v>#N/A</v>
      </c>
      <c r="AI388" s="8"/>
      <c r="AJ388" s="57"/>
      <c r="AK388" s="105"/>
      <c r="AL388" s="216"/>
      <c r="AM388" s="6" t="e">
        <f>MATCH(D388,'D5 - Gatekeeper - Projects'!$C$4:$C$1010,0)</f>
        <v>#N/A</v>
      </c>
      <c r="AN388" s="6" t="b">
        <f t="shared" si="36"/>
        <v>1</v>
      </c>
      <c r="AO388" s="6" t="str">
        <f t="shared" si="39"/>
        <v>OK</v>
      </c>
      <c r="AQ388" s="6" t="e">
        <f>MATCH($D388,'D4 - Provider Council Unsched'!$C$11:$C$234,0)</f>
        <v>#N/A</v>
      </c>
      <c r="AR388" s="6" t="b">
        <f t="shared" si="37"/>
        <v>1</v>
      </c>
      <c r="AS388" s="6" t="str">
        <f t="shared" si="40"/>
        <v>OK</v>
      </c>
      <c r="AU388" s="202"/>
      <c r="AV388" s="262"/>
      <c r="AW388" s="274"/>
    </row>
    <row r="389" spans="1:49" s="13" customFormat="1" ht="33.75" x14ac:dyDescent="0.2">
      <c r="A389" s="14">
        <v>365</v>
      </c>
      <c r="B389" s="14">
        <v>400008428</v>
      </c>
      <c r="C389" s="8" t="s">
        <v>5197</v>
      </c>
      <c r="D389" s="4" t="str">
        <f t="shared" si="38"/>
        <v>400008428R1</v>
      </c>
      <c r="E389" s="309" t="str">
        <f>VLOOKUP($B389,'D7 - NDB Impacted SPRF''s'!$E$6:$O$9929,2,FALSE)</f>
        <v>Ameri-Choice Cred Integration Export File</v>
      </c>
      <c r="F389" s="8" t="s">
        <v>5474</v>
      </c>
      <c r="G389" s="8" t="s">
        <v>4758</v>
      </c>
      <c r="H389" s="8" t="s">
        <v>4246</v>
      </c>
      <c r="I389" s="20">
        <v>1.07</v>
      </c>
      <c r="J389" s="8" t="s">
        <v>4862</v>
      </c>
      <c r="K389" s="182">
        <v>38668</v>
      </c>
      <c r="L389" s="8" t="s">
        <v>4964</v>
      </c>
      <c r="M389" s="8" t="s">
        <v>2814</v>
      </c>
      <c r="N389" s="367"/>
      <c r="O389" s="8"/>
      <c r="P389" s="4" t="str">
        <f>VLOOKUP($B389,'D7 - NDB Impacted SPRF''s'!$E$16:$O$9929,9,FALSE)</f>
        <v>N</v>
      </c>
      <c r="Q389" s="4" t="str">
        <f>VLOOKUP($B389,'D7 - NDB Impacted SPRF''s'!$E$16:$O$9929,10,FALSE)</f>
        <v>N</v>
      </c>
      <c r="R389" s="4" t="str">
        <f>VLOOKUP($B389,'D7 - NDB Impacted SPRF''s'!$E$16:$O$9929,11,FALSE)</f>
        <v>N</v>
      </c>
      <c r="S389" s="8"/>
      <c r="T389" s="310"/>
      <c r="U389" s="310"/>
      <c r="V389" s="4"/>
      <c r="W389" s="4"/>
      <c r="X389" s="4"/>
      <c r="Y389" s="4"/>
      <c r="Z389" s="4"/>
      <c r="AA389" s="4"/>
      <c r="AB389" s="380" t="str">
        <f>VLOOKUP($B389,'D7 - NDB Impacted SPRF''s'!$E$16:$O$9929,4,FALSE)</f>
        <v>Completed</v>
      </c>
      <c r="AC389" s="380" t="str">
        <f>VLOOKUP($B389,'D7 - NDB Impacted SPRF''s'!$E$16:$O$9929,3,FALSE)</f>
        <v>UnitedHealthcare Community &amp; State</v>
      </c>
      <c r="AD389" s="380" t="str">
        <f>VLOOKUP($B389,'D7 - NDB Impacted SPRF''s'!$E$16:$O$9929,5,FALSE)</f>
        <v>AmeriChoice</v>
      </c>
      <c r="AE389" s="380" t="str">
        <f>VLOOKUP($B389,'D7 - NDB Impacted SPRF''s'!$E$16:$O$9929,7,FALSE)</f>
        <v>Dirk McMahon</v>
      </c>
      <c r="AF389" s="380" t="str">
        <f>VLOOKUP($B389,'D7 - NDB Impacted SPRF''s'!$E$16:$O$9929,6,FALSE)</f>
        <v>Barbara Dickson</v>
      </c>
      <c r="AG389" s="282"/>
      <c r="AH389" s="311" t="e">
        <f>INDEX('D5 - Gatekeeper - Projects'!$A$4:$AF$1010,$AM389, 17)</f>
        <v>#N/A</v>
      </c>
      <c r="AI389" s="8"/>
      <c r="AJ389" s="57"/>
      <c r="AK389" s="105"/>
      <c r="AL389" s="216"/>
      <c r="AM389" s="6" t="e">
        <f>MATCH(D389,'D5 - Gatekeeper - Projects'!$C$4:$C$1010,0)</f>
        <v>#N/A</v>
      </c>
      <c r="AN389" s="6" t="b">
        <f t="shared" si="36"/>
        <v>1</v>
      </c>
      <c r="AO389" s="6" t="str">
        <f t="shared" si="39"/>
        <v>OK</v>
      </c>
      <c r="AQ389" s="6" t="e">
        <f>MATCH($D389,'D4 - Provider Council Unsched'!$C$11:$C$234,0)</f>
        <v>#N/A</v>
      </c>
      <c r="AR389" s="6" t="b">
        <f t="shared" si="37"/>
        <v>1</v>
      </c>
      <c r="AS389" s="6" t="str">
        <f t="shared" si="40"/>
        <v>OK</v>
      </c>
      <c r="AU389" s="202"/>
      <c r="AV389" s="262"/>
      <c r="AW389" s="274"/>
    </row>
    <row r="390" spans="1:49" s="13" customFormat="1" ht="22.5" x14ac:dyDescent="0.2">
      <c r="A390" s="14">
        <v>366</v>
      </c>
      <c r="B390" s="14">
        <v>400009168</v>
      </c>
      <c r="C390" s="8" t="s">
        <v>5197</v>
      </c>
      <c r="D390" s="4" t="str">
        <f t="shared" si="38"/>
        <v>400009168R1</v>
      </c>
      <c r="E390" s="309" t="str">
        <f>VLOOKUP($B390,'D7 - NDB Impacted SPRF''s'!$E$6:$O$9929,2,FALSE)</f>
        <v>WO -Add Market type 57 to the Paper Directory Proc</v>
      </c>
      <c r="F390" s="8" t="s">
        <v>6007</v>
      </c>
      <c r="G390" s="8" t="s">
        <v>4758</v>
      </c>
      <c r="H390" s="8" t="s">
        <v>4246</v>
      </c>
      <c r="I390" s="20">
        <v>1.07</v>
      </c>
      <c r="J390" s="8" t="s">
        <v>4862</v>
      </c>
      <c r="K390" s="182">
        <v>38668</v>
      </c>
      <c r="L390" s="8" t="s">
        <v>4964</v>
      </c>
      <c r="M390" s="8" t="s">
        <v>2814</v>
      </c>
      <c r="N390" s="367"/>
      <c r="O390" s="8"/>
      <c r="P390" s="4" t="str">
        <f>VLOOKUP($B390,'D7 - NDB Impacted SPRF''s'!$E$16:$O$9929,9,FALSE)</f>
        <v>N</v>
      </c>
      <c r="Q390" s="4" t="str">
        <f>VLOOKUP($B390,'D7 - NDB Impacted SPRF''s'!$E$16:$O$9929,10,FALSE)</f>
        <v>N</v>
      </c>
      <c r="R390" s="4" t="str">
        <f>VLOOKUP($B390,'D7 - NDB Impacted SPRF''s'!$E$16:$O$9929,11,FALSE)</f>
        <v>N</v>
      </c>
      <c r="S390" s="8"/>
      <c r="T390" s="310"/>
      <c r="U390" s="310"/>
      <c r="V390" s="4"/>
      <c r="W390" s="4"/>
      <c r="X390" s="4"/>
      <c r="Y390" s="4"/>
      <c r="Z390" s="4"/>
      <c r="AA390" s="4"/>
      <c r="AB390" s="380" t="str">
        <f>VLOOKUP($B390,'D7 - NDB Impacted SPRF''s'!$E$16:$O$9929,4,FALSE)</f>
        <v>Completed</v>
      </c>
      <c r="AC390" s="380" t="str">
        <f>VLOOKUP($B390,'D7 - NDB Impacted SPRF''s'!$E$16:$O$9929,3,FALSE)</f>
        <v>Alliance</v>
      </c>
      <c r="AD390" s="380" t="str">
        <f>VLOOKUP($B390,'D7 - NDB Impacted SPRF''s'!$E$16:$O$9929,5,FALSE)</f>
        <v>Harvard Pilgrim Service Alliance</v>
      </c>
      <c r="AE390" s="380" t="str">
        <f>VLOOKUP($B390,'D7 - NDB Impacted SPRF''s'!$E$16:$O$9929,7,FALSE)</f>
        <v>Cassandra Price</v>
      </c>
      <c r="AF390" s="380" t="str">
        <f>VLOOKUP($B390,'D7 - NDB Impacted SPRF''s'!$E$16:$O$9929,6,FALSE)</f>
        <v>GREGORY MILLS</v>
      </c>
      <c r="AG390" s="282"/>
      <c r="AH390" s="311" t="e">
        <f>INDEX('D5 - Gatekeeper - Projects'!$A$4:$AF$1010,$AM390, 17)</f>
        <v>#N/A</v>
      </c>
      <c r="AI390" s="8"/>
      <c r="AJ390" s="57"/>
      <c r="AK390" s="105"/>
      <c r="AL390" s="216"/>
      <c r="AM390" s="6" t="e">
        <f>MATCH(D390,'D5 - Gatekeeper - Projects'!$C$4:$C$1010,0)</f>
        <v>#N/A</v>
      </c>
      <c r="AN390" s="6" t="b">
        <f t="shared" si="36"/>
        <v>1</v>
      </c>
      <c r="AO390" s="6" t="str">
        <f t="shared" si="39"/>
        <v>OK</v>
      </c>
      <c r="AQ390" s="6" t="e">
        <f>MATCH($D390,'D4 - Provider Council Unsched'!$C$11:$C$234,0)</f>
        <v>#N/A</v>
      </c>
      <c r="AR390" s="6" t="b">
        <f t="shared" si="37"/>
        <v>1</v>
      </c>
      <c r="AS390" s="6" t="str">
        <f t="shared" si="40"/>
        <v>OK</v>
      </c>
      <c r="AU390" s="202"/>
      <c r="AV390" s="262"/>
      <c r="AW390" s="274"/>
    </row>
    <row r="391" spans="1:49" s="13" customFormat="1" ht="22.5" x14ac:dyDescent="0.2">
      <c r="A391" s="14">
        <v>367</v>
      </c>
      <c r="B391" s="14">
        <v>400009320</v>
      </c>
      <c r="C391" s="8" t="s">
        <v>5197</v>
      </c>
      <c r="D391" s="4" t="str">
        <f t="shared" si="38"/>
        <v>400009320R1</v>
      </c>
      <c r="E391" s="309" t="str">
        <f>VLOOKUP($B391,'D7 - NDB Impacted SPRF''s'!$E$6:$O$9929,2,FALSE)</f>
        <v>MEDICA - NDB-EA Medica Enhancements - Phase 1</v>
      </c>
      <c r="F391" s="8" t="s">
        <v>5196</v>
      </c>
      <c r="G391" s="8" t="s">
        <v>4758</v>
      </c>
      <c r="H391" s="8" t="s">
        <v>4246</v>
      </c>
      <c r="I391" s="20">
        <v>4</v>
      </c>
      <c r="J391" s="8" t="s">
        <v>4862</v>
      </c>
      <c r="K391" s="182">
        <v>38668</v>
      </c>
      <c r="L391" s="8" t="s">
        <v>4964</v>
      </c>
      <c r="M391" s="8" t="s">
        <v>2814</v>
      </c>
      <c r="N391" s="367"/>
      <c r="O391" s="8"/>
      <c r="P391" s="4" t="str">
        <f>VLOOKUP($B391,'D7 - NDB Impacted SPRF''s'!$E$16:$O$9929,9,FALSE)</f>
        <v>N</v>
      </c>
      <c r="Q391" s="4" t="str">
        <f>VLOOKUP($B391,'D7 - NDB Impacted SPRF''s'!$E$16:$O$9929,10,FALSE)</f>
        <v>N</v>
      </c>
      <c r="R391" s="4" t="str">
        <f>VLOOKUP($B391,'D7 - NDB Impacted SPRF''s'!$E$16:$O$9929,11,FALSE)</f>
        <v>N</v>
      </c>
      <c r="S391" s="8"/>
      <c r="T391" s="310"/>
      <c r="U391" s="310"/>
      <c r="V391" s="4"/>
      <c r="W391" s="4"/>
      <c r="X391" s="4"/>
      <c r="Y391" s="4"/>
      <c r="Z391" s="4"/>
      <c r="AA391" s="4"/>
      <c r="AB391" s="380" t="str">
        <f>VLOOKUP($B391,'D7 - NDB Impacted SPRF''s'!$E$16:$O$9929,4,FALSE)</f>
        <v>Completed</v>
      </c>
      <c r="AC391" s="380" t="str">
        <f>VLOOKUP($B391,'D7 - NDB Impacted SPRF''s'!$E$16:$O$9929,3,FALSE)</f>
        <v>Alliance</v>
      </c>
      <c r="AD391" s="380" t="str">
        <f>VLOOKUP($B391,'D7 - NDB Impacted SPRF''s'!$E$16:$O$9929,5,FALSE)</f>
        <v>Medica UNET Conversion</v>
      </c>
      <c r="AE391" s="380" t="str">
        <f>VLOOKUP($B391,'D7 - NDB Impacted SPRF''s'!$E$16:$O$9929,7,FALSE)</f>
        <v>Bev Nyce</v>
      </c>
      <c r="AF391" s="380" t="str">
        <f>VLOOKUP($B391,'D7 - NDB Impacted SPRF''s'!$E$16:$O$9929,6,FALSE)</f>
        <v>ELIZABETH Young</v>
      </c>
      <c r="AG391" s="282"/>
      <c r="AH391" s="311" t="e">
        <f>INDEX('D5 - Gatekeeper - Projects'!$A$4:$AF$1010,$AM391, 17)</f>
        <v>#N/A</v>
      </c>
      <c r="AI391" s="8"/>
      <c r="AJ391" s="57"/>
      <c r="AK391" s="105"/>
      <c r="AL391" s="216"/>
      <c r="AM391" s="6" t="e">
        <f>MATCH(D391,'D5 - Gatekeeper - Projects'!$C$4:$C$1010,0)</f>
        <v>#N/A</v>
      </c>
      <c r="AN391" s="6" t="b">
        <f t="shared" si="36"/>
        <v>1</v>
      </c>
      <c r="AO391" s="6" t="str">
        <f t="shared" si="39"/>
        <v>OK</v>
      </c>
      <c r="AQ391" s="6" t="e">
        <f>MATCH($D391,'D4 - Provider Council Unsched'!$C$11:$C$234,0)</f>
        <v>#N/A</v>
      </c>
      <c r="AR391" s="6" t="b">
        <f t="shared" si="37"/>
        <v>1</v>
      </c>
      <c r="AS391" s="6" t="str">
        <f t="shared" si="40"/>
        <v>OK</v>
      </c>
      <c r="AU391" s="202"/>
      <c r="AV391" s="262"/>
      <c r="AW391" s="274"/>
    </row>
    <row r="392" spans="1:49" s="13" customFormat="1" ht="22.5" x14ac:dyDescent="0.2">
      <c r="A392" s="14">
        <v>368</v>
      </c>
      <c r="B392" s="14">
        <v>400009771</v>
      </c>
      <c r="C392" s="8" t="s">
        <v>5197</v>
      </c>
      <c r="D392" s="4" t="str">
        <f t="shared" si="38"/>
        <v>400009771R1</v>
      </c>
      <c r="E392" s="309" t="str">
        <f>VLOOKUP($B392,'D7 - NDB Impacted SPRF''s'!$E$6:$O$9929,2,FALSE)</f>
        <v>Medica 1/1/06 EPDL Load UAT Resources</v>
      </c>
      <c r="F392" s="8" t="s">
        <v>5196</v>
      </c>
      <c r="G392" s="8" t="s">
        <v>4758</v>
      </c>
      <c r="H392" s="8" t="s">
        <v>4246</v>
      </c>
      <c r="I392" s="20">
        <v>0.13</v>
      </c>
      <c r="J392" s="8" t="s">
        <v>7114</v>
      </c>
      <c r="K392" s="182">
        <v>38668</v>
      </c>
      <c r="L392" s="8" t="s">
        <v>4964</v>
      </c>
      <c r="M392" s="8" t="s">
        <v>2814</v>
      </c>
      <c r="N392" s="367"/>
      <c r="O392" s="8"/>
      <c r="P392" s="4" t="str">
        <f>VLOOKUP($B392,'D7 - NDB Impacted SPRF''s'!$E$16:$O$9929,9,FALSE)</f>
        <v>N</v>
      </c>
      <c r="Q392" s="4" t="str">
        <f>VLOOKUP($B392,'D7 - NDB Impacted SPRF''s'!$E$16:$O$9929,10,FALSE)</f>
        <v>N</v>
      </c>
      <c r="R392" s="4" t="str">
        <f>VLOOKUP($B392,'D7 - NDB Impacted SPRF''s'!$E$16:$O$9929,11,FALSE)</f>
        <v>N</v>
      </c>
      <c r="S392" s="8"/>
      <c r="T392" s="310"/>
      <c r="U392" s="310"/>
      <c r="V392" s="4"/>
      <c r="W392" s="4"/>
      <c r="X392" s="4"/>
      <c r="Y392" s="4"/>
      <c r="Z392" s="4"/>
      <c r="AA392" s="4"/>
      <c r="AB392" s="380" t="str">
        <f>VLOOKUP($B392,'D7 - NDB Impacted SPRF''s'!$E$16:$O$9929,4,FALSE)</f>
        <v>Completed</v>
      </c>
      <c r="AC392" s="380" t="str">
        <f>VLOOKUP($B392,'D7 - NDB Impacted SPRF''s'!$E$16:$O$9929,3,FALSE)</f>
        <v>Alliance</v>
      </c>
      <c r="AD392" s="380" t="str">
        <f>VLOOKUP($B392,'D7 - NDB Impacted SPRF''s'!$E$16:$O$9929,5,FALSE)</f>
        <v>Medica UNET Conversion</v>
      </c>
      <c r="AE392" s="380" t="str">
        <f>VLOOKUP($B392,'D7 - NDB Impacted SPRF''s'!$E$16:$O$9929,7,FALSE)</f>
        <v>Bev Nyce</v>
      </c>
      <c r="AF392" s="380" t="str">
        <f>VLOOKUP($B392,'D7 - NDB Impacted SPRF''s'!$E$16:$O$9929,6,FALSE)</f>
        <v>KYLE WINNEGAR</v>
      </c>
      <c r="AG392" s="282"/>
      <c r="AH392" s="311" t="e">
        <f>INDEX('D5 - Gatekeeper - Projects'!$A$4:$AF$1010,$AM392, 17)</f>
        <v>#N/A</v>
      </c>
      <c r="AI392" s="8"/>
      <c r="AJ392" s="57"/>
      <c r="AK392" s="105"/>
      <c r="AL392" s="216"/>
      <c r="AM392" s="6" t="e">
        <f>MATCH(D392,'D5 - Gatekeeper - Projects'!$C$4:$C$1010,0)</f>
        <v>#N/A</v>
      </c>
      <c r="AN392" s="6" t="b">
        <f t="shared" si="36"/>
        <v>1</v>
      </c>
      <c r="AO392" s="6" t="str">
        <f t="shared" si="39"/>
        <v>OK</v>
      </c>
      <c r="AQ392" s="6" t="e">
        <f>MATCH($D392,'D4 - Provider Council Unsched'!$C$11:$C$234,0)</f>
        <v>#N/A</v>
      </c>
      <c r="AR392" s="6" t="b">
        <f t="shared" si="37"/>
        <v>1</v>
      </c>
      <c r="AS392" s="6" t="str">
        <f t="shared" si="40"/>
        <v>OK</v>
      </c>
      <c r="AU392" s="202"/>
      <c r="AV392" s="262"/>
      <c r="AW392" s="274"/>
    </row>
    <row r="393" spans="1:49" s="13" customFormat="1" ht="33.75" x14ac:dyDescent="0.2">
      <c r="A393" s="14">
        <v>369</v>
      </c>
      <c r="B393" s="14">
        <v>212181609</v>
      </c>
      <c r="C393" s="8" t="s">
        <v>5227</v>
      </c>
      <c r="D393" s="4" t="str">
        <f t="shared" si="38"/>
        <v>212181609CC10</v>
      </c>
      <c r="E393" s="309" t="str">
        <f>VLOOKUP($B393,'D7 - NDB Impacted SPRF''s'!$E$6:$O$9929,2,FALSE)</f>
        <v>O/P Surgery Move to EPD</v>
      </c>
      <c r="F393" s="8" t="s">
        <v>5096</v>
      </c>
      <c r="G393" s="8" t="s">
        <v>4758</v>
      </c>
      <c r="H393" s="8" t="s">
        <v>4246</v>
      </c>
      <c r="I393" s="20">
        <v>1.85</v>
      </c>
      <c r="J393" s="8" t="s">
        <v>4862</v>
      </c>
      <c r="K393" s="182">
        <v>38696</v>
      </c>
      <c r="L393" s="8" t="s">
        <v>4964</v>
      </c>
      <c r="M393" s="8" t="s">
        <v>2814</v>
      </c>
      <c r="N393" s="367"/>
      <c r="O393" s="8"/>
      <c r="P393" s="4" t="str">
        <f>VLOOKUP($B393,'D7 - NDB Impacted SPRF''s'!$E$16:$O$9929,9,FALSE)</f>
        <v>Y</v>
      </c>
      <c r="Q393" s="4" t="str">
        <f>VLOOKUP($B393,'D7 - NDB Impacted SPRF''s'!$E$16:$O$9929,10,FALSE)</f>
        <v>N</v>
      </c>
      <c r="R393" s="4" t="str">
        <f>VLOOKUP($B393,'D7 - NDB Impacted SPRF''s'!$E$16:$O$9929,11,FALSE)</f>
        <v>N</v>
      </c>
      <c r="S393" s="8"/>
      <c r="T393" s="310"/>
      <c r="U393" s="310"/>
      <c r="V393" s="4"/>
      <c r="W393" s="4"/>
      <c r="X393" s="4"/>
      <c r="Y393" s="4"/>
      <c r="Z393" s="4"/>
      <c r="AA393" s="4"/>
      <c r="AB393" s="380" t="str">
        <f>VLOOKUP($B393,'D7 - NDB Impacted SPRF''s'!$E$16:$O$9929,4,FALSE)</f>
        <v>Completed</v>
      </c>
      <c r="AC393" s="380" t="str">
        <f>VLOOKUP($B393,'D7 - NDB Impacted SPRF''s'!$E$16:$O$9929,3,FALSE)</f>
        <v>UnitedHealthcare Employer &amp; Individual</v>
      </c>
      <c r="AD393" s="380" t="str">
        <f>VLOOKUP($B393,'D7 - NDB Impacted SPRF''s'!$E$16:$O$9929,5,FALSE)</f>
        <v>Operations Group</v>
      </c>
      <c r="AE393" s="380" t="str">
        <f>VLOOKUP($B393,'D7 - NDB Impacted SPRF''s'!$E$16:$O$9929,7,FALSE)</f>
        <v>Tim Kaja</v>
      </c>
      <c r="AF393" s="380" t="str">
        <f>VLOOKUP($B393,'D7 - NDB Impacted SPRF''s'!$E$16:$O$9929,6,FALSE)</f>
        <v>Kristin Stephens</v>
      </c>
      <c r="AG393" s="282"/>
      <c r="AH393" s="311" t="e">
        <f>INDEX('D5 - Gatekeeper - Projects'!$A$4:$AF$1010,$AM393, 17)</f>
        <v>#N/A</v>
      </c>
      <c r="AI393" s="8"/>
      <c r="AJ393" s="57"/>
      <c r="AK393" s="105"/>
      <c r="AL393" s="216"/>
      <c r="AM393" s="6" t="e">
        <f>MATCH(D393,'D5 - Gatekeeper - Projects'!$C$4:$C$1010,0)</f>
        <v>#N/A</v>
      </c>
      <c r="AN393" s="6" t="b">
        <f t="shared" si="36"/>
        <v>1</v>
      </c>
      <c r="AO393" s="6" t="str">
        <f t="shared" si="39"/>
        <v>OK</v>
      </c>
      <c r="AQ393" s="6" t="e">
        <f>MATCH($D393,'D4 - Provider Council Unsched'!$C$11:$C$234,0)</f>
        <v>#N/A</v>
      </c>
      <c r="AR393" s="6" t="b">
        <f t="shared" si="37"/>
        <v>1</v>
      </c>
      <c r="AS393" s="6" t="str">
        <f t="shared" si="40"/>
        <v>OK</v>
      </c>
      <c r="AU393" s="202"/>
      <c r="AV393" s="262"/>
      <c r="AW393" s="274"/>
    </row>
    <row r="394" spans="1:49" s="13" customFormat="1" ht="33.75" x14ac:dyDescent="0.2">
      <c r="A394" s="14">
        <v>370</v>
      </c>
      <c r="B394" s="14">
        <v>400000207</v>
      </c>
      <c r="C394" s="8" t="s">
        <v>5197</v>
      </c>
      <c r="D394" s="4" t="str">
        <f t="shared" si="38"/>
        <v>400000207R1</v>
      </c>
      <c r="E394" s="309" t="str">
        <f>VLOOKUP($B394,'D7 - NDB Impacted SPRF''s'!$E$6:$O$9929,2,FALSE)</f>
        <v>Per Unit Calculation</v>
      </c>
      <c r="F394" s="8" t="s">
        <v>5096</v>
      </c>
      <c r="G394" s="8" t="s">
        <v>4758</v>
      </c>
      <c r="H394" s="8" t="s">
        <v>4246</v>
      </c>
      <c r="I394" s="20">
        <v>9.48</v>
      </c>
      <c r="J394" s="8" t="s">
        <v>4862</v>
      </c>
      <c r="K394" s="182">
        <v>38696</v>
      </c>
      <c r="L394" s="8" t="s">
        <v>4964</v>
      </c>
      <c r="M394" s="8" t="s">
        <v>2814</v>
      </c>
      <c r="N394" s="367"/>
      <c r="O394" s="8"/>
      <c r="P394" s="4" t="str">
        <f>VLOOKUP($B394,'D7 - NDB Impacted SPRF''s'!$E$16:$O$9929,9,FALSE)</f>
        <v>Y</v>
      </c>
      <c r="Q394" s="4" t="str">
        <f>VLOOKUP($B394,'D7 - NDB Impacted SPRF''s'!$E$16:$O$9929,10,FALSE)</f>
        <v>N</v>
      </c>
      <c r="R394" s="4" t="str">
        <f>VLOOKUP($B394,'D7 - NDB Impacted SPRF''s'!$E$16:$O$9929,11,FALSE)</f>
        <v>N</v>
      </c>
      <c r="S394" s="8"/>
      <c r="T394" s="310"/>
      <c r="U394" s="310"/>
      <c r="V394" s="4"/>
      <c r="W394" s="4"/>
      <c r="X394" s="4"/>
      <c r="Y394" s="4"/>
      <c r="Z394" s="4"/>
      <c r="AA394" s="4"/>
      <c r="AB394" s="380" t="str">
        <f>VLOOKUP($B394,'D7 - NDB Impacted SPRF''s'!$E$16:$O$9929,4,FALSE)</f>
        <v>Completed</v>
      </c>
      <c r="AC394" s="380" t="str">
        <f>VLOOKUP($B394,'D7 - NDB Impacted SPRF''s'!$E$16:$O$9929,3,FALSE)</f>
        <v>UnitedHealthcare Employer &amp; Individual</v>
      </c>
      <c r="AD394" s="380" t="str">
        <f>VLOOKUP($B394,'D7 - NDB Impacted SPRF''s'!$E$16:$O$9929,5,FALSE)</f>
        <v>Operations Group</v>
      </c>
      <c r="AE394" s="380" t="str">
        <f>VLOOKUP($B394,'D7 - NDB Impacted SPRF''s'!$E$16:$O$9929,7,FALSE)</f>
        <v>EDWARD NOVINSKI</v>
      </c>
      <c r="AF394" s="380" t="str">
        <f>VLOOKUP($B394,'D7 - NDB Impacted SPRF''s'!$E$16:$O$9929,6,FALSE)</f>
        <v>WADLOW KAREN</v>
      </c>
      <c r="AG394" s="282"/>
      <c r="AH394" s="311" t="e">
        <f>INDEX('D5 - Gatekeeper - Projects'!$A$4:$AF$1010,$AM394, 17)</f>
        <v>#N/A</v>
      </c>
      <c r="AI394" s="8"/>
      <c r="AJ394" s="57"/>
      <c r="AK394" s="105"/>
      <c r="AL394" s="216"/>
      <c r="AM394" s="6" t="e">
        <f>MATCH(D394,'D5 - Gatekeeper - Projects'!$C$4:$C$1010,0)</f>
        <v>#N/A</v>
      </c>
      <c r="AN394" s="6" t="b">
        <f t="shared" si="36"/>
        <v>1</v>
      </c>
      <c r="AO394" s="6" t="str">
        <f t="shared" si="39"/>
        <v>OK</v>
      </c>
      <c r="AQ394" s="6" t="e">
        <f>MATCH($D394,'D4 - Provider Council Unsched'!$C$11:$C$234,0)</f>
        <v>#N/A</v>
      </c>
      <c r="AR394" s="6" t="b">
        <f t="shared" si="37"/>
        <v>1</v>
      </c>
      <c r="AS394" s="6" t="str">
        <f t="shared" si="40"/>
        <v>OK</v>
      </c>
      <c r="AU394" s="202"/>
      <c r="AV394" s="262"/>
      <c r="AW394" s="274"/>
    </row>
    <row r="395" spans="1:49" s="13" customFormat="1" ht="33.75" x14ac:dyDescent="0.2">
      <c r="A395" s="14">
        <v>371</v>
      </c>
      <c r="B395" s="14">
        <v>400000338</v>
      </c>
      <c r="C395" s="8" t="s">
        <v>3763</v>
      </c>
      <c r="D395" s="4" t="str">
        <f t="shared" si="38"/>
        <v>400000338R2</v>
      </c>
      <c r="E395" s="309" t="str">
        <f>VLOOKUP($B395,'D7 - NDB Impacted SPRF''s'!$E$6:$O$9929,2,FALSE)</f>
        <v>Unet Claims Calculations at the Total Claim Level</v>
      </c>
      <c r="F395" s="8" t="s">
        <v>5096</v>
      </c>
      <c r="G395" s="8" t="s">
        <v>4758</v>
      </c>
      <c r="H395" s="8" t="s">
        <v>4246</v>
      </c>
      <c r="I395" s="20">
        <v>1.06</v>
      </c>
      <c r="J395" s="8" t="s">
        <v>4862</v>
      </c>
      <c r="K395" s="182">
        <v>38696</v>
      </c>
      <c r="L395" s="8" t="s">
        <v>4964</v>
      </c>
      <c r="M395" s="8" t="s">
        <v>2814</v>
      </c>
      <c r="N395" s="367"/>
      <c r="O395" s="8"/>
      <c r="P395" s="4" t="str">
        <f>VLOOKUP($B395,'D7 - NDB Impacted SPRF''s'!$E$16:$O$9929,9,FALSE)</f>
        <v>Y</v>
      </c>
      <c r="Q395" s="4" t="str">
        <f>VLOOKUP($B395,'D7 - NDB Impacted SPRF''s'!$E$16:$O$9929,10,FALSE)</f>
        <v>N</v>
      </c>
      <c r="R395" s="4" t="str">
        <f>VLOOKUP($B395,'D7 - NDB Impacted SPRF''s'!$E$16:$O$9929,11,FALSE)</f>
        <v>N</v>
      </c>
      <c r="S395" s="8"/>
      <c r="T395" s="310"/>
      <c r="U395" s="310"/>
      <c r="V395" s="4"/>
      <c r="W395" s="4"/>
      <c r="X395" s="4"/>
      <c r="Y395" s="4"/>
      <c r="Z395" s="4"/>
      <c r="AA395" s="4"/>
      <c r="AB395" s="380" t="str">
        <f>VLOOKUP($B395,'D7 - NDB Impacted SPRF''s'!$E$16:$O$9929,4,FALSE)</f>
        <v>Completed</v>
      </c>
      <c r="AC395" s="380" t="str">
        <f>VLOOKUP($B395,'D7 - NDB Impacted SPRF''s'!$E$16:$O$9929,3,FALSE)</f>
        <v>UnitedHealthcare Employer &amp; Individual</v>
      </c>
      <c r="AD395" s="380" t="str">
        <f>VLOOKUP($B395,'D7 - NDB Impacted SPRF''s'!$E$16:$O$9929,5,FALSE)</f>
        <v>Operations Group</v>
      </c>
      <c r="AE395" s="380" t="str">
        <f>VLOOKUP($B395,'D7 - NDB Impacted SPRF''s'!$E$16:$O$9929,7,FALSE)</f>
        <v>Steve Rodgers</v>
      </c>
      <c r="AF395" s="380" t="str">
        <f>VLOOKUP($B395,'D7 - NDB Impacted SPRF''s'!$E$16:$O$9929,6,FALSE)</f>
        <v>WADLOW KAREN</v>
      </c>
      <c r="AG395" s="282"/>
      <c r="AH395" s="311" t="e">
        <f>INDEX('D5 - Gatekeeper - Projects'!$A$4:$AF$1010,$AM395, 17)</f>
        <v>#N/A</v>
      </c>
      <c r="AI395" s="8"/>
      <c r="AJ395" s="57"/>
      <c r="AK395" s="105"/>
      <c r="AL395" s="216"/>
      <c r="AM395" s="6" t="e">
        <f>MATCH(D395,'D5 - Gatekeeper - Projects'!$C$4:$C$1010,0)</f>
        <v>#N/A</v>
      </c>
      <c r="AN395" s="6" t="b">
        <f t="shared" si="36"/>
        <v>1</v>
      </c>
      <c r="AO395" s="6" t="str">
        <f t="shared" si="39"/>
        <v>OK</v>
      </c>
      <c r="AQ395" s="6" t="e">
        <f>MATCH($D395,'D4 - Provider Council Unsched'!$C$11:$C$234,0)</f>
        <v>#N/A</v>
      </c>
      <c r="AR395" s="6" t="b">
        <f t="shared" si="37"/>
        <v>1</v>
      </c>
      <c r="AS395" s="6" t="str">
        <f t="shared" si="40"/>
        <v>OK</v>
      </c>
      <c r="AU395" s="202"/>
      <c r="AV395" s="262"/>
      <c r="AW395" s="274"/>
    </row>
    <row r="396" spans="1:49" s="13" customFormat="1" ht="33.75" x14ac:dyDescent="0.2">
      <c r="A396" s="14">
        <v>372</v>
      </c>
      <c r="B396" s="14">
        <v>400000652</v>
      </c>
      <c r="C396" s="8" t="s">
        <v>5197</v>
      </c>
      <c r="D396" s="4" t="str">
        <f t="shared" si="38"/>
        <v>400000652R1</v>
      </c>
      <c r="E396" s="309" t="str">
        <f>VLOOKUP($B396,'D7 - NDB Impacted SPRF''s'!$E$6:$O$9929,2,FALSE)</f>
        <v>Limitation of Reimbursement for OutPatient Lab Svc</v>
      </c>
      <c r="F396" s="8" t="s">
        <v>5096</v>
      </c>
      <c r="G396" s="8" t="s">
        <v>4758</v>
      </c>
      <c r="H396" s="8" t="s">
        <v>4246</v>
      </c>
      <c r="I396" s="20">
        <v>26.3</v>
      </c>
      <c r="J396" s="8" t="s">
        <v>4862</v>
      </c>
      <c r="K396" s="182">
        <v>38696</v>
      </c>
      <c r="L396" s="8" t="s">
        <v>4964</v>
      </c>
      <c r="M396" s="8" t="s">
        <v>2814</v>
      </c>
      <c r="N396" s="367"/>
      <c r="O396" s="8"/>
      <c r="P396" s="4" t="str">
        <f>VLOOKUP($B396,'D7 - NDB Impacted SPRF''s'!$E$16:$O$9929,9,FALSE)</f>
        <v>Y</v>
      </c>
      <c r="Q396" s="4" t="str">
        <f>VLOOKUP($B396,'D7 - NDB Impacted SPRF''s'!$E$16:$O$9929,10,FALSE)</f>
        <v>N</v>
      </c>
      <c r="R396" s="4" t="str">
        <f>VLOOKUP($B396,'D7 - NDB Impacted SPRF''s'!$E$16:$O$9929,11,FALSE)</f>
        <v>N</v>
      </c>
      <c r="S396" s="8"/>
      <c r="T396" s="310"/>
      <c r="U396" s="310"/>
      <c r="V396" s="4"/>
      <c r="W396" s="4"/>
      <c r="X396" s="4"/>
      <c r="Y396" s="4"/>
      <c r="Z396" s="4"/>
      <c r="AA396" s="4"/>
      <c r="AB396" s="380" t="str">
        <f>VLOOKUP($B396,'D7 - NDB Impacted SPRF''s'!$E$16:$O$9929,4,FALSE)</f>
        <v>Completed</v>
      </c>
      <c r="AC396" s="380" t="str">
        <f>VLOOKUP($B396,'D7 - NDB Impacted SPRF''s'!$E$16:$O$9929,3,FALSE)</f>
        <v>UnitedHealthcare Employer &amp; Individual</v>
      </c>
      <c r="AD396" s="380" t="str">
        <f>VLOOKUP($B396,'D7 - NDB Impacted SPRF''s'!$E$16:$O$9929,5,FALSE)</f>
        <v>Operations Group</v>
      </c>
      <c r="AE396" s="380" t="str">
        <f>VLOOKUP($B396,'D7 - NDB Impacted SPRF''s'!$E$16:$O$9929,7,FALSE)</f>
        <v>James Bogdan</v>
      </c>
      <c r="AF396" s="380" t="str">
        <f>VLOOKUP($B396,'D7 - NDB Impacted SPRF''s'!$E$16:$O$9929,6,FALSE)</f>
        <v>Nancy Turner</v>
      </c>
      <c r="AG396" s="282"/>
      <c r="AH396" s="311" t="e">
        <f>INDEX('D5 - Gatekeeper - Projects'!$A$4:$AF$1010,$AM396, 17)</f>
        <v>#N/A</v>
      </c>
      <c r="AI396" s="8"/>
      <c r="AJ396" s="57"/>
      <c r="AK396" s="105"/>
      <c r="AL396" s="216"/>
      <c r="AM396" s="6" t="e">
        <f>MATCH(D396,'D5 - Gatekeeper - Projects'!$C$4:$C$1010,0)</f>
        <v>#N/A</v>
      </c>
      <c r="AN396" s="6" t="b">
        <f t="shared" si="36"/>
        <v>1</v>
      </c>
      <c r="AO396" s="6" t="str">
        <f t="shared" si="39"/>
        <v>OK</v>
      </c>
      <c r="AQ396" s="6" t="e">
        <f>MATCH($D396,'D4 - Provider Council Unsched'!$C$11:$C$234,0)</f>
        <v>#N/A</v>
      </c>
      <c r="AR396" s="6" t="b">
        <f t="shared" si="37"/>
        <v>1</v>
      </c>
      <c r="AS396" s="6" t="str">
        <f t="shared" si="40"/>
        <v>OK</v>
      </c>
      <c r="AU396" s="202"/>
      <c r="AV396" s="262"/>
      <c r="AW396" s="274"/>
    </row>
    <row r="397" spans="1:49" s="13" customFormat="1" ht="33.75" x14ac:dyDescent="0.2">
      <c r="A397" s="14">
        <v>373</v>
      </c>
      <c r="B397" s="14">
        <v>400001172</v>
      </c>
      <c r="C397" s="8" t="s">
        <v>5197</v>
      </c>
      <c r="D397" s="4" t="str">
        <f t="shared" si="38"/>
        <v>400001172R1</v>
      </c>
      <c r="E397" s="309" t="str">
        <f>VLOOKUP($B397,'D7 - NDB Impacted SPRF''s'!$E$6:$O$9929,2,FALSE)</f>
        <v>Classify DRG's as Medical or Surgical</v>
      </c>
      <c r="F397" s="8" t="s">
        <v>5096</v>
      </c>
      <c r="G397" s="8" t="s">
        <v>4758</v>
      </c>
      <c r="H397" s="8" t="s">
        <v>4246</v>
      </c>
      <c r="I397" s="20">
        <v>13.52</v>
      </c>
      <c r="J397" s="8" t="s">
        <v>4862</v>
      </c>
      <c r="K397" s="182">
        <v>38696</v>
      </c>
      <c r="L397" s="8" t="s">
        <v>4964</v>
      </c>
      <c r="M397" s="8" t="s">
        <v>2814</v>
      </c>
      <c r="N397" s="367"/>
      <c r="O397" s="8"/>
      <c r="P397" s="4" t="str">
        <f>VLOOKUP($B397,'D7 - NDB Impacted SPRF''s'!$E$16:$O$9929,9,FALSE)</f>
        <v>Y</v>
      </c>
      <c r="Q397" s="4" t="str">
        <f>VLOOKUP($B397,'D7 - NDB Impacted SPRF''s'!$E$16:$O$9929,10,FALSE)</f>
        <v>N</v>
      </c>
      <c r="R397" s="4" t="str">
        <f>VLOOKUP($B397,'D7 - NDB Impacted SPRF''s'!$E$16:$O$9929,11,FALSE)</f>
        <v>N</v>
      </c>
      <c r="S397" s="8"/>
      <c r="T397" s="310"/>
      <c r="U397" s="310"/>
      <c r="V397" s="4"/>
      <c r="W397" s="4"/>
      <c r="X397" s="4"/>
      <c r="Y397" s="4"/>
      <c r="Z397" s="4"/>
      <c r="AA397" s="4"/>
      <c r="AB397" s="380" t="str">
        <f>VLOOKUP($B397,'D7 - NDB Impacted SPRF''s'!$E$16:$O$9929,4,FALSE)</f>
        <v>Completed</v>
      </c>
      <c r="AC397" s="380" t="str">
        <f>VLOOKUP($B397,'D7 - NDB Impacted SPRF''s'!$E$16:$O$9929,3,FALSE)</f>
        <v>UnitedHealthcare Employer &amp; Individual</v>
      </c>
      <c r="AD397" s="380" t="str">
        <f>VLOOKUP($B397,'D7 - NDB Impacted SPRF''s'!$E$16:$O$9929,5,FALSE)</f>
        <v>Operations Group</v>
      </c>
      <c r="AE397" s="380" t="str">
        <f>VLOOKUP($B397,'D7 - NDB Impacted SPRF''s'!$E$16:$O$9929,7,FALSE)</f>
        <v>Barb Stenger/Nancy Engel</v>
      </c>
      <c r="AF397" s="380" t="str">
        <f>VLOOKUP($B397,'D7 - NDB Impacted SPRF''s'!$E$16:$O$9929,6,FALSE)</f>
        <v>Janet Wright</v>
      </c>
      <c r="AG397" s="282"/>
      <c r="AH397" s="311" t="e">
        <f>INDEX('D5 - Gatekeeper - Projects'!$A$4:$AF$1010,$AM397, 17)</f>
        <v>#N/A</v>
      </c>
      <c r="AI397" s="8"/>
      <c r="AJ397" s="57"/>
      <c r="AK397" s="105"/>
      <c r="AL397" s="216"/>
      <c r="AM397" s="6" t="e">
        <f>MATCH(D397,'D5 - Gatekeeper - Projects'!$C$4:$C$1010,0)</f>
        <v>#N/A</v>
      </c>
      <c r="AN397" s="6" t="b">
        <f t="shared" si="36"/>
        <v>1</v>
      </c>
      <c r="AO397" s="6" t="str">
        <f t="shared" si="39"/>
        <v>OK</v>
      </c>
      <c r="AQ397" s="6" t="e">
        <f>MATCH($D397,'D4 - Provider Council Unsched'!$C$11:$C$234,0)</f>
        <v>#N/A</v>
      </c>
      <c r="AR397" s="6" t="b">
        <f t="shared" si="37"/>
        <v>1</v>
      </c>
      <c r="AS397" s="6" t="str">
        <f t="shared" si="40"/>
        <v>OK</v>
      </c>
      <c r="AU397" s="202"/>
      <c r="AV397" s="262"/>
      <c r="AW397" s="274"/>
    </row>
    <row r="398" spans="1:49" s="13" customFormat="1" ht="33.75" x14ac:dyDescent="0.2">
      <c r="A398" s="14">
        <v>374</v>
      </c>
      <c r="B398" s="14">
        <v>400001912</v>
      </c>
      <c r="C398" s="8" t="s">
        <v>5197</v>
      </c>
      <c r="D398" s="4" t="str">
        <f t="shared" si="38"/>
        <v>400001912R1</v>
      </c>
      <c r="E398" s="309" t="str">
        <f>VLOOKUP($B398,'D7 - NDB Impacted SPRF''s'!$E$6:$O$9929,2,FALSE)</f>
        <v>Field Expansion Project</v>
      </c>
      <c r="F398" s="8" t="s">
        <v>5226</v>
      </c>
      <c r="G398" s="8" t="s">
        <v>4758</v>
      </c>
      <c r="H398" s="8" t="s">
        <v>4246</v>
      </c>
      <c r="I398" s="20">
        <v>0</v>
      </c>
      <c r="J398" s="8" t="s">
        <v>4862</v>
      </c>
      <c r="K398" s="182">
        <v>38696</v>
      </c>
      <c r="L398" s="8" t="s">
        <v>4964</v>
      </c>
      <c r="M398" s="8" t="s">
        <v>2814</v>
      </c>
      <c r="N398" s="367"/>
      <c r="O398" s="8"/>
      <c r="P398" s="4" t="str">
        <f>VLOOKUP($B398,'D7 - NDB Impacted SPRF''s'!$E$16:$O$9929,9,FALSE)</f>
        <v>Y</v>
      </c>
      <c r="Q398" s="4" t="str">
        <f>VLOOKUP($B398,'D7 - NDB Impacted SPRF''s'!$E$16:$O$9929,10,FALSE)</f>
        <v>N</v>
      </c>
      <c r="R398" s="4" t="str">
        <f>VLOOKUP($B398,'D7 - NDB Impacted SPRF''s'!$E$16:$O$9929,11,FALSE)</f>
        <v>N</v>
      </c>
      <c r="S398" s="8"/>
      <c r="T398" s="310"/>
      <c r="U398" s="310"/>
      <c r="V398" s="4"/>
      <c r="W398" s="4"/>
      <c r="X398" s="4"/>
      <c r="Y398" s="4"/>
      <c r="Z398" s="4"/>
      <c r="AA398" s="4"/>
      <c r="AB398" s="380" t="str">
        <f>VLOOKUP($B398,'D7 - NDB Impacted SPRF''s'!$E$16:$O$9929,4,FALSE)</f>
        <v>Completed</v>
      </c>
      <c r="AC398" s="380" t="str">
        <f>VLOOKUP($B398,'D7 - NDB Impacted SPRF''s'!$E$16:$O$9929,3,FALSE)</f>
        <v>UnitedHealthcare Employer &amp; Individual</v>
      </c>
      <c r="AD398" s="380" t="str">
        <f>VLOOKUP($B398,'D7 - NDB Impacted SPRF''s'!$E$16:$O$9929,5,FALSE)</f>
        <v>Key Initiatives Group</v>
      </c>
      <c r="AE398" s="380" t="str">
        <f>VLOOKUP($B398,'D7 - NDB Impacted SPRF''s'!$E$16:$O$9929,7,FALSE)</f>
        <v>Timothy Kaja</v>
      </c>
      <c r="AF398" s="380" t="str">
        <f>VLOOKUP($B398,'D7 - NDB Impacted SPRF''s'!$E$16:$O$9929,6,FALSE)</f>
        <v>KATHRYN GORHAM</v>
      </c>
      <c r="AG398" s="282"/>
      <c r="AH398" s="311" t="e">
        <f>INDEX('D5 - Gatekeeper - Projects'!$A$4:$AF$1010,$AM398, 17)</f>
        <v>#N/A</v>
      </c>
      <c r="AI398" s="8"/>
      <c r="AJ398" s="57"/>
      <c r="AK398" s="105"/>
      <c r="AL398" s="216"/>
      <c r="AM398" s="6" t="e">
        <f>MATCH(D398,'D5 - Gatekeeper - Projects'!$C$4:$C$1010,0)</f>
        <v>#N/A</v>
      </c>
      <c r="AN398" s="6" t="b">
        <f t="shared" si="36"/>
        <v>1</v>
      </c>
      <c r="AO398" s="6" t="str">
        <f t="shared" si="39"/>
        <v>OK</v>
      </c>
      <c r="AQ398" s="6" t="e">
        <f>MATCH($D398,'D4 - Provider Council Unsched'!$C$11:$C$234,0)</f>
        <v>#N/A</v>
      </c>
      <c r="AR398" s="6" t="b">
        <f t="shared" si="37"/>
        <v>1</v>
      </c>
      <c r="AS398" s="6" t="str">
        <f t="shared" si="40"/>
        <v>OK</v>
      </c>
      <c r="AU398" s="202"/>
      <c r="AV398" s="262"/>
      <c r="AW398" s="274"/>
    </row>
    <row r="399" spans="1:49" s="13" customFormat="1" ht="22.5" x14ac:dyDescent="0.2">
      <c r="A399" s="14">
        <v>375</v>
      </c>
      <c r="B399" s="14">
        <v>400003294</v>
      </c>
      <c r="C399" s="8" t="s">
        <v>5197</v>
      </c>
      <c r="D399" s="4" t="str">
        <f t="shared" si="38"/>
        <v>400003294R1</v>
      </c>
      <c r="E399" s="309" t="str">
        <f>VLOOKUP($B399,'D7 - NDB Impacted SPRF''s'!$E$6:$O$9929,2,FALSE)</f>
        <v>PIT UNET 835 Corrections</v>
      </c>
      <c r="F399" s="8"/>
      <c r="G399" s="8" t="s">
        <v>4758</v>
      </c>
      <c r="H399" s="8" t="s">
        <v>4246</v>
      </c>
      <c r="I399" s="20">
        <v>0.62</v>
      </c>
      <c r="J399" s="8" t="s">
        <v>4862</v>
      </c>
      <c r="K399" s="182">
        <v>38696</v>
      </c>
      <c r="L399" s="8" t="s">
        <v>4964</v>
      </c>
      <c r="M399" s="8" t="s">
        <v>2814</v>
      </c>
      <c r="N399" s="367"/>
      <c r="O399" s="8"/>
      <c r="P399" s="4" t="str">
        <f>VLOOKUP($B399,'D7 - NDB Impacted SPRF''s'!$E$16:$O$9929,9,FALSE)</f>
        <v>Y</v>
      </c>
      <c r="Q399" s="4" t="str">
        <f>VLOOKUP($B399,'D7 - NDB Impacted SPRF''s'!$E$16:$O$9929,10,FALSE)</f>
        <v>N</v>
      </c>
      <c r="R399" s="4" t="str">
        <f>VLOOKUP($B399,'D7 - NDB Impacted SPRF''s'!$E$16:$O$9929,11,FALSE)</f>
        <v>N</v>
      </c>
      <c r="S399" s="8"/>
      <c r="T399" s="310"/>
      <c r="U399" s="310"/>
      <c r="V399" s="4"/>
      <c r="W399" s="4"/>
      <c r="X399" s="4"/>
      <c r="Y399" s="4"/>
      <c r="Z399" s="4"/>
      <c r="AA399" s="4"/>
      <c r="AB399" s="380" t="str">
        <f>VLOOKUP($B399,'D7 - NDB Impacted SPRF''s'!$E$16:$O$9929,4,FALSE)</f>
        <v>Completed</v>
      </c>
      <c r="AC399" s="380" t="str">
        <f>VLOOKUP($B399,'D7 - NDB Impacted SPRF''s'!$E$16:$O$9929,3,FALSE)</f>
        <v>Uniprise</v>
      </c>
      <c r="AD399" s="380" t="str">
        <f>VLOOKUP($B399,'D7 - NDB Impacted SPRF''s'!$E$16:$O$9929,5,FALSE)</f>
        <v>Legal/Compliance - Capital Projects</v>
      </c>
      <c r="AE399" s="380" t="str">
        <f>VLOOKUP($B399,'D7 - NDB Impacted SPRF''s'!$E$16:$O$9929,7,FALSE)</f>
        <v>Tom O'Brien</v>
      </c>
      <c r="AF399" s="380" t="str">
        <f>VLOOKUP($B399,'D7 - NDB Impacted SPRF''s'!$E$16:$O$9929,6,FALSE)</f>
        <v>NINA THOMPSON</v>
      </c>
      <c r="AG399" s="282"/>
      <c r="AH399" s="311" t="e">
        <f>INDEX('D5 - Gatekeeper - Projects'!$A$4:$AF$1010,$AM399, 17)</f>
        <v>#N/A</v>
      </c>
      <c r="AI399" s="8"/>
      <c r="AJ399" s="57"/>
      <c r="AK399" s="105"/>
      <c r="AL399" s="216"/>
      <c r="AM399" s="6" t="e">
        <f>MATCH(D399,'D5 - Gatekeeper - Projects'!$C$4:$C$1010,0)</f>
        <v>#N/A</v>
      </c>
      <c r="AN399" s="6" t="b">
        <f t="shared" si="36"/>
        <v>1</v>
      </c>
      <c r="AO399" s="6" t="str">
        <f t="shared" si="39"/>
        <v>OK</v>
      </c>
      <c r="AQ399" s="6" t="e">
        <f>MATCH($D399,'D4 - Provider Council Unsched'!$C$11:$C$234,0)</f>
        <v>#N/A</v>
      </c>
      <c r="AR399" s="6" t="b">
        <f t="shared" si="37"/>
        <v>1</v>
      </c>
      <c r="AS399" s="6" t="str">
        <f t="shared" si="40"/>
        <v>OK</v>
      </c>
      <c r="AU399" s="202"/>
      <c r="AV399" s="262"/>
      <c r="AW399" s="274"/>
    </row>
    <row r="400" spans="1:49" s="13" customFormat="1" ht="33.75" x14ac:dyDescent="0.2">
      <c r="A400" s="14">
        <v>376</v>
      </c>
      <c r="B400" s="14">
        <v>400003583</v>
      </c>
      <c r="C400" s="8" t="s">
        <v>5197</v>
      </c>
      <c r="D400" s="4" t="str">
        <f t="shared" si="38"/>
        <v>400003583R1</v>
      </c>
      <c r="E400" s="309" t="str">
        <f>VLOOKUP($B400,'D7 - NDB Impacted SPRF''s'!$E$6:$O$9929,2,FALSE)</f>
        <v>Claims Repricing Engine Phase 3</v>
      </c>
      <c r="F400" s="8" t="s">
        <v>4304</v>
      </c>
      <c r="G400" s="8" t="s">
        <v>4758</v>
      </c>
      <c r="H400" s="8" t="s">
        <v>4246</v>
      </c>
      <c r="I400" s="20">
        <v>21</v>
      </c>
      <c r="J400" s="8" t="s">
        <v>4862</v>
      </c>
      <c r="K400" s="182">
        <v>38696</v>
      </c>
      <c r="L400" s="8" t="s">
        <v>4964</v>
      </c>
      <c r="M400" s="8" t="s">
        <v>2814</v>
      </c>
      <c r="N400" s="367"/>
      <c r="O400" s="8"/>
      <c r="P400" s="4" t="str">
        <f>VLOOKUP($B400,'D7 - NDB Impacted SPRF''s'!$E$16:$O$9929,9,FALSE)</f>
        <v>Y</v>
      </c>
      <c r="Q400" s="4" t="str">
        <f>VLOOKUP($B400,'D7 - NDB Impacted SPRF''s'!$E$16:$O$9929,10,FALSE)</f>
        <v>N</v>
      </c>
      <c r="R400" s="4" t="str">
        <f>VLOOKUP($B400,'D7 - NDB Impacted SPRF''s'!$E$16:$O$9929,11,FALSE)</f>
        <v>N</v>
      </c>
      <c r="S400" s="8"/>
      <c r="T400" s="310"/>
      <c r="U400" s="310"/>
      <c r="V400" s="4"/>
      <c r="W400" s="4"/>
      <c r="X400" s="4"/>
      <c r="Y400" s="336"/>
      <c r="Z400" s="4"/>
      <c r="AA400" s="4"/>
      <c r="AB400" s="380" t="str">
        <f>VLOOKUP($B400,'D7 - NDB Impacted SPRF''s'!$E$16:$O$9929,4,FALSE)</f>
        <v>Completed</v>
      </c>
      <c r="AC400" s="382" t="str">
        <f>VLOOKUP($B400,'D7 - NDB Impacted SPRF''s'!$E$16:$O$9929,3,FALSE)</f>
        <v>UnitedHealthcare Employer &amp; Individual</v>
      </c>
      <c r="AD400" s="380" t="str">
        <f>VLOOKUP($B400,'D7 - NDB Impacted SPRF''s'!$E$16:$O$9929,5,FALSE)</f>
        <v>Medical Cost Savings Programs</v>
      </c>
      <c r="AE400" s="380" t="str">
        <f>VLOOKUP($B400,'D7 - NDB Impacted SPRF''s'!$E$16:$O$9929,7,FALSE)</f>
        <v>Mike Mikan, Dirk McMahon</v>
      </c>
      <c r="AF400" s="380" t="str">
        <f>VLOOKUP($B400,'D7 - NDB Impacted SPRF''s'!$E$16:$O$9929,6,FALSE)</f>
        <v>SUSAN HAMES</v>
      </c>
      <c r="AG400" s="337"/>
      <c r="AH400" s="311" t="e">
        <f>INDEX('D5 - Gatekeeper - Projects'!$A$4:$AF$1010,$AM400, 17)</f>
        <v>#N/A</v>
      </c>
      <c r="AI400" s="8"/>
      <c r="AJ400" s="57"/>
      <c r="AK400" s="215"/>
      <c r="AL400" s="6"/>
      <c r="AM400" s="6" t="e">
        <f>MATCH(D400,'D5 - Gatekeeper - Projects'!$C$4:$C$1010,0)</f>
        <v>#N/A</v>
      </c>
      <c r="AN400" s="6" t="b">
        <f t="shared" si="36"/>
        <v>1</v>
      </c>
      <c r="AO400" s="216" t="str">
        <f t="shared" si="39"/>
        <v>OK</v>
      </c>
      <c r="AQ400" s="216" t="e">
        <f>MATCH($D400,'D4 - Provider Council Unsched'!$C$11:$C$234,0)</f>
        <v>#N/A</v>
      </c>
      <c r="AR400" s="216" t="b">
        <f t="shared" si="37"/>
        <v>1</v>
      </c>
      <c r="AS400" s="216" t="str">
        <f t="shared" si="40"/>
        <v>OK</v>
      </c>
      <c r="AU400" s="202"/>
      <c r="AV400" s="262"/>
      <c r="AW400" s="274"/>
    </row>
    <row r="401" spans="1:49" s="13" customFormat="1" x14ac:dyDescent="0.2">
      <c r="A401" s="14">
        <v>377</v>
      </c>
      <c r="B401" s="14">
        <v>400004494</v>
      </c>
      <c r="C401" s="8" t="s">
        <v>3763</v>
      </c>
      <c r="D401" s="4" t="str">
        <f t="shared" si="38"/>
        <v>400004494R2</v>
      </c>
      <c r="E401" s="309" t="str">
        <f>VLOOKUP($B401,'D7 - NDB Impacted SPRF''s'!$E$6:$O$9929,2,FALSE)</f>
        <v>Centers of Excellence Gen 2 Analysis and Develop</v>
      </c>
      <c r="F401" s="8" t="s">
        <v>7242</v>
      </c>
      <c r="G401" s="8" t="s">
        <v>4758</v>
      </c>
      <c r="H401" s="8" t="s">
        <v>4246</v>
      </c>
      <c r="I401" s="20">
        <v>17.86</v>
      </c>
      <c r="J401" s="8" t="s">
        <v>4862</v>
      </c>
      <c r="K401" s="182">
        <v>38696</v>
      </c>
      <c r="L401" s="8" t="s">
        <v>4964</v>
      </c>
      <c r="M401" s="8" t="s">
        <v>2814</v>
      </c>
      <c r="N401" s="367"/>
      <c r="O401" s="8"/>
      <c r="P401" s="4" t="str">
        <f>VLOOKUP($B401,'D7 - NDB Impacted SPRF''s'!$E$16:$O$9929,9,FALSE)</f>
        <v>Y</v>
      </c>
      <c r="Q401" s="4" t="str">
        <f>VLOOKUP($B401,'D7 - NDB Impacted SPRF''s'!$E$16:$O$9929,10,FALSE)</f>
        <v>N</v>
      </c>
      <c r="R401" s="4" t="str">
        <f>VLOOKUP($B401,'D7 - NDB Impacted SPRF''s'!$E$16:$O$9929,11,FALSE)</f>
        <v>N</v>
      </c>
      <c r="S401" s="8"/>
      <c r="T401" s="310"/>
      <c r="U401" s="310"/>
      <c r="V401" s="4"/>
      <c r="W401" s="4"/>
      <c r="X401" s="4"/>
      <c r="Y401" s="4"/>
      <c r="Z401" s="4"/>
      <c r="AA401" s="4"/>
      <c r="AB401" s="380" t="str">
        <f>VLOOKUP($B401,'D7 - NDB Impacted SPRF''s'!$E$16:$O$9929,4,FALSE)</f>
        <v>Completed</v>
      </c>
      <c r="AC401" s="380" t="str">
        <f>VLOOKUP($B401,'D7 - NDB Impacted SPRF''s'!$E$16:$O$9929,3,FALSE)</f>
        <v>Uniprise</v>
      </c>
      <c r="AD401" s="380" t="str">
        <f>VLOOKUP($B401,'D7 - NDB Impacted SPRF''s'!$E$16:$O$9929,5,FALSE)</f>
        <v>USS - Capital Projects</v>
      </c>
      <c r="AE401" s="380" t="str">
        <f>VLOOKUP($B401,'D7 - NDB Impacted SPRF''s'!$E$16:$O$9929,7,FALSE)</f>
        <v>Lewis Sandy</v>
      </c>
      <c r="AF401" s="380" t="str">
        <f>VLOOKUP($B401,'D7 - NDB Impacted SPRF''s'!$E$16:$O$9929,6,FALSE)</f>
        <v>ROBSON DAVID</v>
      </c>
      <c r="AG401" s="282"/>
      <c r="AH401" s="311" t="e">
        <f>INDEX('D5 - Gatekeeper - Projects'!$A$4:$AF$1010,$AM401, 17)</f>
        <v>#N/A</v>
      </c>
      <c r="AI401" s="8"/>
      <c r="AJ401" s="57"/>
      <c r="AK401" s="105"/>
      <c r="AL401" s="216"/>
      <c r="AM401" s="6" t="e">
        <f>MATCH(D401,'D5 - Gatekeeper - Projects'!$C$4:$C$1010,0)</f>
        <v>#N/A</v>
      </c>
      <c r="AN401" s="6" t="b">
        <f t="shared" ref="AN401:AN464" si="41">ISERROR(AM401)</f>
        <v>1</v>
      </c>
      <c r="AO401" s="6" t="str">
        <f t="shared" si="39"/>
        <v>OK</v>
      </c>
      <c r="AQ401" s="6" t="e">
        <f>MATCH($D401,'D4 - Provider Council Unsched'!$C$11:$C$234,0)</f>
        <v>#N/A</v>
      </c>
      <c r="AR401" s="6" t="b">
        <f t="shared" ref="AR401:AR464" si="42">ISERROR(AQ401)</f>
        <v>1</v>
      </c>
      <c r="AS401" s="6" t="str">
        <f t="shared" si="40"/>
        <v>OK</v>
      </c>
      <c r="AU401" s="202"/>
      <c r="AV401" s="262"/>
      <c r="AW401" s="274"/>
    </row>
    <row r="402" spans="1:49" s="13" customFormat="1" ht="22.5" x14ac:dyDescent="0.2">
      <c r="A402" s="14">
        <v>378</v>
      </c>
      <c r="B402" s="14">
        <v>400005272</v>
      </c>
      <c r="C402" s="8" t="s">
        <v>5197</v>
      </c>
      <c r="D402" s="4" t="str">
        <f t="shared" ref="D402:D465" si="43">CONCATENATE(B402,C402)</f>
        <v>400005272R1</v>
      </c>
      <c r="E402" s="309" t="str">
        <f>VLOOKUP($B402,'D7 - NDB Impacted SPRF''s'!$E$6:$O$9929,2,FALSE)</f>
        <v>NPI - 2005 Readiness</v>
      </c>
      <c r="F402" s="8" t="s">
        <v>1059</v>
      </c>
      <c r="G402" s="8" t="s">
        <v>4758</v>
      </c>
      <c r="H402" s="8" t="s">
        <v>4246</v>
      </c>
      <c r="I402" s="20">
        <v>0.53</v>
      </c>
      <c r="J402" s="8" t="s">
        <v>4862</v>
      </c>
      <c r="K402" s="182">
        <v>38696</v>
      </c>
      <c r="L402" s="8" t="s">
        <v>4964</v>
      </c>
      <c r="M402" s="8" t="s">
        <v>2814</v>
      </c>
      <c r="N402" s="367"/>
      <c r="O402" s="8"/>
      <c r="P402" s="4" t="str">
        <f>VLOOKUP($B402,'D7 - NDB Impacted SPRF''s'!$E$16:$O$9929,9,FALSE)</f>
        <v>Y</v>
      </c>
      <c r="Q402" s="4" t="str">
        <f>VLOOKUP($B402,'D7 - NDB Impacted SPRF''s'!$E$16:$O$9929,10,FALSE)</f>
        <v>N</v>
      </c>
      <c r="R402" s="4" t="str">
        <f>VLOOKUP($B402,'D7 - NDB Impacted SPRF''s'!$E$16:$O$9929,11,FALSE)</f>
        <v>N</v>
      </c>
      <c r="S402" s="8"/>
      <c r="T402" s="310"/>
      <c r="U402" s="310"/>
      <c r="V402" s="4"/>
      <c r="W402" s="4"/>
      <c r="X402" s="4"/>
      <c r="Y402" s="4"/>
      <c r="Z402" s="4"/>
      <c r="AA402" s="4"/>
      <c r="AB402" s="380" t="str">
        <f>VLOOKUP($B402,'D7 - NDB Impacted SPRF''s'!$E$16:$O$9929,4,FALSE)</f>
        <v>Completed</v>
      </c>
      <c r="AC402" s="380" t="str">
        <f>VLOOKUP($B402,'D7 - NDB Impacted SPRF''s'!$E$16:$O$9929,3,FALSE)</f>
        <v>Uniprise</v>
      </c>
      <c r="AD402" s="380" t="str">
        <f>VLOOKUP($B402,'D7 - NDB Impacted SPRF''s'!$E$16:$O$9929,5,FALSE)</f>
        <v>Legal/Compliance - Capital Projects</v>
      </c>
      <c r="AE402" s="380" t="str">
        <f>VLOOKUP($B402,'D7 - NDB Impacted SPRF''s'!$E$16:$O$9929,7,FALSE)</f>
        <v>Thomas J McGuire</v>
      </c>
      <c r="AF402" s="380" t="str">
        <f>VLOOKUP($B402,'D7 - NDB Impacted SPRF''s'!$E$16:$O$9929,6,FALSE)</f>
        <v>Pete Anderson</v>
      </c>
      <c r="AG402" s="282"/>
      <c r="AH402" s="311" t="e">
        <f>INDEX('D5 - Gatekeeper - Projects'!$A$4:$AF$1010,$AM402, 17)</f>
        <v>#N/A</v>
      </c>
      <c r="AI402" s="8"/>
      <c r="AJ402" s="57"/>
      <c r="AK402" s="105"/>
      <c r="AL402" s="216"/>
      <c r="AM402" s="6" t="e">
        <f>MATCH(D402,'D5 - Gatekeeper - Projects'!$C$4:$C$1010,0)</f>
        <v>#N/A</v>
      </c>
      <c r="AN402" s="6" t="b">
        <f t="shared" si="41"/>
        <v>1</v>
      </c>
      <c r="AO402" s="6" t="str">
        <f t="shared" ref="AO402:AO465" si="44">IF(AND(H402="1 - Scheduled",AN402=TRUE),"Add","OK")</f>
        <v>OK</v>
      </c>
      <c r="AQ402" s="6" t="e">
        <f>MATCH($D402,'D4 - Provider Council Unsched'!$C$11:$C$234,0)</f>
        <v>#N/A</v>
      </c>
      <c r="AR402" s="6" t="b">
        <f t="shared" si="42"/>
        <v>1</v>
      </c>
      <c r="AS402" s="6" t="str">
        <f t="shared" si="40"/>
        <v>OK</v>
      </c>
      <c r="AU402" s="202"/>
      <c r="AV402" s="262"/>
      <c r="AW402" s="274"/>
    </row>
    <row r="403" spans="1:49" s="13" customFormat="1" x14ac:dyDescent="0.2">
      <c r="A403" s="14">
        <v>379</v>
      </c>
      <c r="B403" s="14">
        <v>400005533</v>
      </c>
      <c r="C403" s="8" t="s">
        <v>5197</v>
      </c>
      <c r="D403" s="4" t="str">
        <f t="shared" si="43"/>
        <v>400005533R1</v>
      </c>
      <c r="E403" s="309" t="str">
        <f>VLOOKUP($B403,'D7 - NDB Impacted SPRF''s'!$E$6:$O$9929,2,FALSE)</f>
        <v xml:space="preserve">276/277 Claim search when mutlple MPINS </v>
      </c>
      <c r="F403" s="8" t="s">
        <v>3884</v>
      </c>
      <c r="G403" s="8" t="s">
        <v>4758</v>
      </c>
      <c r="H403" s="8" t="s">
        <v>4246</v>
      </c>
      <c r="I403" s="20">
        <v>1.6</v>
      </c>
      <c r="J403" s="8" t="s">
        <v>4862</v>
      </c>
      <c r="K403" s="182">
        <v>38696</v>
      </c>
      <c r="L403" s="8" t="s">
        <v>4964</v>
      </c>
      <c r="M403" s="8" t="s">
        <v>2814</v>
      </c>
      <c r="N403" s="367"/>
      <c r="O403" s="8"/>
      <c r="P403" s="4" t="str">
        <f>VLOOKUP($B403,'D7 - NDB Impacted SPRF''s'!$E$16:$O$9929,9,FALSE)</f>
        <v>Y</v>
      </c>
      <c r="Q403" s="4" t="str">
        <f>VLOOKUP($B403,'D7 - NDB Impacted SPRF''s'!$E$16:$O$9929,10,FALSE)</f>
        <v>N</v>
      </c>
      <c r="R403" s="4" t="str">
        <f>VLOOKUP($B403,'D7 - NDB Impacted SPRF''s'!$E$16:$O$9929,11,FALSE)</f>
        <v>N</v>
      </c>
      <c r="S403" s="8"/>
      <c r="T403" s="310"/>
      <c r="U403" s="310"/>
      <c r="V403" s="4"/>
      <c r="W403" s="4"/>
      <c r="X403" s="4"/>
      <c r="Y403" s="4"/>
      <c r="Z403" s="4"/>
      <c r="AA403" s="4"/>
      <c r="AB403" s="380" t="str">
        <f>VLOOKUP($B403,'D7 - NDB Impacted SPRF''s'!$E$16:$O$9929,4,FALSE)</f>
        <v>Completed</v>
      </c>
      <c r="AC403" s="380" t="str">
        <f>VLOOKUP($B403,'D7 - NDB Impacted SPRF''s'!$E$16:$O$9929,3,FALSE)</f>
        <v>Uniprise</v>
      </c>
      <c r="AD403" s="380" t="str">
        <f>VLOOKUP($B403,'D7 - NDB Impacted SPRF''s'!$E$16:$O$9929,5,FALSE)</f>
        <v>UOS - DDC</v>
      </c>
      <c r="AE403" s="380" t="str">
        <f>VLOOKUP($B403,'D7 - NDB Impacted SPRF''s'!$E$16:$O$9929,7,FALSE)</f>
        <v>Peggy Doud</v>
      </c>
      <c r="AF403" s="380" t="str">
        <f>VLOOKUP($B403,'D7 - NDB Impacted SPRF''s'!$E$16:$O$9929,6,FALSE)</f>
        <v>DAWN WALTER</v>
      </c>
      <c r="AG403" s="282"/>
      <c r="AH403" s="311" t="e">
        <f>INDEX('D5 - Gatekeeper - Projects'!$A$4:$AF$1010,$AM403, 17)</f>
        <v>#N/A</v>
      </c>
      <c r="AI403" s="8"/>
      <c r="AJ403" s="57"/>
      <c r="AK403" s="105"/>
      <c r="AL403" s="216"/>
      <c r="AM403" s="6" t="e">
        <f>MATCH(D403,'D5 - Gatekeeper - Projects'!$C$4:$C$1010,0)</f>
        <v>#N/A</v>
      </c>
      <c r="AN403" s="6" t="b">
        <f t="shared" si="41"/>
        <v>1</v>
      </c>
      <c r="AO403" s="6" t="str">
        <f t="shared" si="44"/>
        <v>OK</v>
      </c>
      <c r="AQ403" s="6" t="e">
        <f>MATCH($D403,'D4 - Provider Council Unsched'!$C$11:$C$234,0)</f>
        <v>#N/A</v>
      </c>
      <c r="AR403" s="6" t="b">
        <f t="shared" si="42"/>
        <v>1</v>
      </c>
      <c r="AS403" s="6" t="str">
        <f t="shared" si="40"/>
        <v>OK</v>
      </c>
      <c r="AU403" s="202"/>
      <c r="AV403" s="262"/>
      <c r="AW403" s="274"/>
    </row>
    <row r="404" spans="1:49" s="13" customFormat="1" ht="33.75" x14ac:dyDescent="0.2">
      <c r="A404" s="14">
        <v>380</v>
      </c>
      <c r="B404" s="14">
        <v>400005798</v>
      </c>
      <c r="C404" s="8" t="s">
        <v>5197</v>
      </c>
      <c r="D404" s="4" t="str">
        <f t="shared" si="43"/>
        <v>400005798R1</v>
      </c>
      <c r="E404" s="309" t="str">
        <f>VLOOKUP($B404,'D7 - NDB Impacted SPRF''s'!$E$6:$O$9929,2,FALSE)</f>
        <v>diCarta Physician Edits/Validation (NDB)</v>
      </c>
      <c r="F404" s="8" t="s">
        <v>4695</v>
      </c>
      <c r="G404" s="8" t="s">
        <v>4758</v>
      </c>
      <c r="H404" s="8" t="s">
        <v>4246</v>
      </c>
      <c r="I404" s="20"/>
      <c r="J404" s="8" t="s">
        <v>4862</v>
      </c>
      <c r="K404" s="182">
        <v>38696</v>
      </c>
      <c r="L404" s="8" t="s">
        <v>4964</v>
      </c>
      <c r="M404" s="8" t="s">
        <v>2814</v>
      </c>
      <c r="N404" s="367"/>
      <c r="O404" s="8"/>
      <c r="P404" s="4" t="str">
        <f>VLOOKUP($B404,'D7 - NDB Impacted SPRF''s'!$E$16:$O$9929,9,FALSE)</f>
        <v>N</v>
      </c>
      <c r="Q404" s="4" t="str">
        <f>VLOOKUP($B404,'D7 - NDB Impacted SPRF''s'!$E$16:$O$9929,10,FALSE)</f>
        <v>N</v>
      </c>
      <c r="R404" s="4" t="str">
        <f>VLOOKUP($B404,'D7 - NDB Impacted SPRF''s'!$E$16:$O$9929,11,FALSE)</f>
        <v>N</v>
      </c>
      <c r="S404" s="8"/>
      <c r="T404" s="310"/>
      <c r="U404" s="310"/>
      <c r="V404" s="4"/>
      <c r="W404" s="4"/>
      <c r="X404" s="4"/>
      <c r="Y404" s="4"/>
      <c r="Z404" s="4"/>
      <c r="AA404" s="4"/>
      <c r="AB404" s="380" t="str">
        <f>VLOOKUP($B404,'D7 - NDB Impacted SPRF''s'!$E$16:$O$9929,4,FALSE)</f>
        <v>Completed</v>
      </c>
      <c r="AC404" s="380" t="str">
        <f>VLOOKUP($B404,'D7 - NDB Impacted SPRF''s'!$E$16:$O$9929,3,FALSE)</f>
        <v>UnitedHealthcare Employer &amp; Individual</v>
      </c>
      <c r="AD404" s="380" t="str">
        <f>VLOOKUP($B404,'D7 - NDB Impacted SPRF''s'!$E$16:$O$9929,5,FALSE)</f>
        <v>Key Initiatives Group</v>
      </c>
      <c r="AE404" s="380" t="str">
        <f>VLOOKUP($B404,'D7 - NDB Impacted SPRF''s'!$E$16:$O$9929,7,FALSE)</f>
        <v>Peter Bompane</v>
      </c>
      <c r="AF404" s="380" t="str">
        <f>VLOOKUP($B404,'D7 - NDB Impacted SPRF''s'!$E$16:$O$9929,6,FALSE)</f>
        <v>JOSHUA WOODRUM</v>
      </c>
      <c r="AG404" s="282"/>
      <c r="AH404" s="311" t="e">
        <f>INDEX('D5 - Gatekeeper - Projects'!$A$4:$AF$1010,$AM404, 17)</f>
        <v>#N/A</v>
      </c>
      <c r="AI404" s="8"/>
      <c r="AJ404" s="57"/>
      <c r="AK404" s="105"/>
      <c r="AL404" s="216"/>
      <c r="AM404" s="6" t="e">
        <f>MATCH(D404,'D5 - Gatekeeper - Projects'!$C$4:$C$1010,0)</f>
        <v>#N/A</v>
      </c>
      <c r="AN404" s="6" t="b">
        <f t="shared" si="41"/>
        <v>1</v>
      </c>
      <c r="AO404" s="6" t="str">
        <f t="shared" si="44"/>
        <v>OK</v>
      </c>
      <c r="AQ404" s="6" t="e">
        <f>MATCH($D404,'D4 - Provider Council Unsched'!$C$11:$C$234,0)</f>
        <v>#N/A</v>
      </c>
      <c r="AR404" s="6" t="b">
        <f t="shared" si="42"/>
        <v>1</v>
      </c>
      <c r="AS404" s="6" t="str">
        <f t="shared" si="40"/>
        <v>OK</v>
      </c>
      <c r="AU404" s="202"/>
      <c r="AV404" s="262"/>
      <c r="AW404" s="274"/>
    </row>
    <row r="405" spans="1:49" s="13" customFormat="1" x14ac:dyDescent="0.2">
      <c r="A405" s="14">
        <v>381</v>
      </c>
      <c r="B405" s="14">
        <v>400005906</v>
      </c>
      <c r="C405" s="8" t="s">
        <v>2449</v>
      </c>
      <c r="D405" s="4" t="str">
        <f t="shared" si="43"/>
        <v>400005906R3</v>
      </c>
      <c r="E405" s="309" t="str">
        <f>VLOOKUP($B405,'D7 - NDB Impacted SPRF''s'!$E$6:$O$9929,2,FALSE)</f>
        <v>Gated HMO Design and Development</v>
      </c>
      <c r="F405" s="8" t="s">
        <v>4168</v>
      </c>
      <c r="G405" s="8" t="s">
        <v>4758</v>
      </c>
      <c r="H405" s="8" t="s">
        <v>4246</v>
      </c>
      <c r="I405" s="20">
        <v>2.67</v>
      </c>
      <c r="J405" s="8" t="s">
        <v>4862</v>
      </c>
      <c r="K405" s="182">
        <v>38696</v>
      </c>
      <c r="L405" s="8" t="s">
        <v>4964</v>
      </c>
      <c r="M405" s="8" t="s">
        <v>2814</v>
      </c>
      <c r="N405" s="367"/>
      <c r="O405" s="8"/>
      <c r="P405" s="4" t="str">
        <f>VLOOKUP($B405,'D7 - NDB Impacted SPRF''s'!$E$16:$O$9929,9,FALSE)</f>
        <v>Y</v>
      </c>
      <c r="Q405" s="4" t="str">
        <f>VLOOKUP($B405,'D7 - NDB Impacted SPRF''s'!$E$16:$O$9929,10,FALSE)</f>
        <v>N</v>
      </c>
      <c r="R405" s="4" t="str">
        <f>VLOOKUP($B405,'D7 - NDB Impacted SPRF''s'!$E$16:$O$9929,11,FALSE)</f>
        <v>N</v>
      </c>
      <c r="S405" s="8"/>
      <c r="T405" s="310"/>
      <c r="U405" s="310"/>
      <c r="V405" s="4"/>
      <c r="W405" s="4"/>
      <c r="X405" s="4"/>
      <c r="Y405" s="4"/>
      <c r="Z405" s="4"/>
      <c r="AA405" s="4"/>
      <c r="AB405" s="380" t="str">
        <f>VLOOKUP($B405,'D7 - NDB Impacted SPRF''s'!$E$16:$O$9929,4,FALSE)</f>
        <v>Completed</v>
      </c>
      <c r="AC405" s="380" t="str">
        <f>VLOOKUP($B405,'D7 - NDB Impacted SPRF''s'!$E$16:$O$9929,3,FALSE)</f>
        <v>Alliance</v>
      </c>
      <c r="AD405" s="380" t="str">
        <f>VLOOKUP($B405,'D7 - NDB Impacted SPRF''s'!$E$16:$O$9929,5,FALSE)</f>
        <v>Gated HMO</v>
      </c>
      <c r="AE405" s="380" t="str">
        <f>VLOOKUP($B405,'D7 - NDB Impacted SPRF''s'!$E$16:$O$9929,7,FALSE)</f>
        <v>Tim Wicks</v>
      </c>
      <c r="AF405" s="380" t="str">
        <f>VLOOKUP($B405,'D7 - NDB Impacted SPRF''s'!$E$16:$O$9929,6,FALSE)</f>
        <v>Debi Streb</v>
      </c>
      <c r="AG405" s="282"/>
      <c r="AH405" s="311" t="e">
        <f>INDEX('D5 - Gatekeeper - Projects'!$A$4:$AF$1010,$AM405, 17)</f>
        <v>#N/A</v>
      </c>
      <c r="AI405" s="8"/>
      <c r="AJ405" s="57"/>
      <c r="AK405" s="105"/>
      <c r="AL405" s="216"/>
      <c r="AM405" s="6" t="e">
        <f>MATCH(D405,'D5 - Gatekeeper - Projects'!$C$4:$C$1010,0)</f>
        <v>#N/A</v>
      </c>
      <c r="AN405" s="6" t="b">
        <f t="shared" si="41"/>
        <v>1</v>
      </c>
      <c r="AO405" s="6" t="str">
        <f t="shared" si="44"/>
        <v>OK</v>
      </c>
      <c r="AQ405" s="6" t="e">
        <f>MATCH($D405,'D4 - Provider Council Unsched'!$C$11:$C$234,0)</f>
        <v>#N/A</v>
      </c>
      <c r="AR405" s="6" t="b">
        <f t="shared" si="42"/>
        <v>1</v>
      </c>
      <c r="AS405" s="6" t="str">
        <f t="shared" si="40"/>
        <v>OK</v>
      </c>
      <c r="AU405" s="202"/>
      <c r="AV405" s="262"/>
      <c r="AW405" s="274"/>
    </row>
    <row r="406" spans="1:49" s="13" customFormat="1" ht="22.5" x14ac:dyDescent="0.2">
      <c r="A406" s="14">
        <v>382</v>
      </c>
      <c r="B406" s="14">
        <v>400006014</v>
      </c>
      <c r="C406" s="8" t="s">
        <v>5197</v>
      </c>
      <c r="D406" s="4" t="str">
        <f t="shared" si="43"/>
        <v>400006014R1</v>
      </c>
      <c r="E406" s="309" t="str">
        <f>VLOOKUP($B406,'D7 - NDB Impacted SPRF''s'!$E$6:$O$9929,2,FALSE)</f>
        <v>Endevor 4.0 Conversion</v>
      </c>
      <c r="F406" s="8" t="s">
        <v>8133</v>
      </c>
      <c r="G406" s="8" t="s">
        <v>4758</v>
      </c>
      <c r="H406" s="8" t="s">
        <v>4246</v>
      </c>
      <c r="I406" s="20">
        <v>0.67</v>
      </c>
      <c r="J406" s="8" t="s">
        <v>4862</v>
      </c>
      <c r="K406" s="182">
        <v>38696</v>
      </c>
      <c r="L406" s="8" t="s">
        <v>4964</v>
      </c>
      <c r="M406" s="8" t="s">
        <v>2814</v>
      </c>
      <c r="N406" s="367"/>
      <c r="O406" s="8"/>
      <c r="P406" s="4" t="str">
        <f>VLOOKUP($B406,'D7 - NDB Impacted SPRF''s'!$E$16:$O$9929,9,FALSE)</f>
        <v>Y</v>
      </c>
      <c r="Q406" s="4" t="str">
        <f>VLOOKUP($B406,'D7 - NDB Impacted SPRF''s'!$E$16:$O$9929,10,FALSE)</f>
        <v>N</v>
      </c>
      <c r="R406" s="4" t="str">
        <f>VLOOKUP($B406,'D7 - NDB Impacted SPRF''s'!$E$16:$O$9929,11,FALSE)</f>
        <v>N</v>
      </c>
      <c r="S406" s="8"/>
      <c r="T406" s="310"/>
      <c r="U406" s="310"/>
      <c r="V406" s="4"/>
      <c r="W406" s="4"/>
      <c r="X406" s="4"/>
      <c r="Y406" s="4"/>
      <c r="Z406" s="4"/>
      <c r="AA406" s="4"/>
      <c r="AB406" s="380" t="str">
        <f>VLOOKUP($B406,'D7 - NDB Impacted SPRF''s'!$E$16:$O$9929,4,FALSE)</f>
        <v>Completed</v>
      </c>
      <c r="AC406" s="380" t="str">
        <f>VLOOKUP($B406,'D7 - NDB Impacted SPRF''s'!$E$16:$O$9929,3,FALSE)</f>
        <v>Uniprise</v>
      </c>
      <c r="AD406" s="380" t="str">
        <f>VLOOKUP($B406,'D7 - NDB Impacted SPRF''s'!$E$16:$O$9929,5,FALSE)</f>
        <v>Uniprise Technologies - DDC</v>
      </c>
      <c r="AE406" s="380" t="str">
        <f>VLOOKUP($B406,'D7 - NDB Impacted SPRF''s'!$E$16:$O$9929,7,FALSE)</f>
        <v>John Santelli</v>
      </c>
      <c r="AF406" s="380" t="str">
        <f>VLOOKUP($B406,'D7 - NDB Impacted SPRF''s'!$E$16:$O$9929,6,FALSE)</f>
        <v>WILLIAM KOWALSKY</v>
      </c>
      <c r="AG406" s="282"/>
      <c r="AH406" s="311" t="e">
        <f>INDEX('D5 - Gatekeeper - Projects'!$A$4:$AF$1010,$AM406, 17)</f>
        <v>#N/A</v>
      </c>
      <c r="AI406" s="8"/>
      <c r="AJ406" s="57"/>
      <c r="AK406" s="105"/>
      <c r="AL406" s="216"/>
      <c r="AM406" s="6" t="e">
        <f>MATCH(D406,'D5 - Gatekeeper - Projects'!$C$4:$C$1010,0)</f>
        <v>#N/A</v>
      </c>
      <c r="AN406" s="6" t="b">
        <f t="shared" si="41"/>
        <v>1</v>
      </c>
      <c r="AO406" s="6" t="str">
        <f t="shared" si="44"/>
        <v>OK</v>
      </c>
      <c r="AQ406" s="6" t="e">
        <f>MATCH($D406,'D4 - Provider Council Unsched'!$C$11:$C$234,0)</f>
        <v>#N/A</v>
      </c>
      <c r="AR406" s="6" t="b">
        <f t="shared" si="42"/>
        <v>1</v>
      </c>
      <c r="AS406" s="6" t="str">
        <f t="shared" si="40"/>
        <v>OK</v>
      </c>
      <c r="AU406" s="202"/>
      <c r="AV406" s="262"/>
      <c r="AW406" s="274"/>
    </row>
    <row r="407" spans="1:49" s="13" customFormat="1" ht="33.75" x14ac:dyDescent="0.2">
      <c r="A407" s="14">
        <v>383</v>
      </c>
      <c r="B407" s="14">
        <v>400006429</v>
      </c>
      <c r="C407" s="8" t="s">
        <v>5197</v>
      </c>
      <c r="D407" s="4" t="str">
        <f t="shared" si="43"/>
        <v>400006429R1</v>
      </c>
      <c r="E407" s="309" t="str">
        <f>VLOOKUP($B407,'D7 - NDB Impacted SPRF''s'!$E$6:$O$9929,2,FALSE)</f>
        <v>Add the NDB degree code “AUD” as a selection</v>
      </c>
      <c r="F407" s="8" t="s">
        <v>6632</v>
      </c>
      <c r="G407" s="8" t="s">
        <v>4758</v>
      </c>
      <c r="H407" s="8" t="s">
        <v>4246</v>
      </c>
      <c r="I407" s="20">
        <v>5</v>
      </c>
      <c r="J407" s="8" t="s">
        <v>4862</v>
      </c>
      <c r="K407" s="182">
        <v>38696</v>
      </c>
      <c r="L407" s="8" t="s">
        <v>4964</v>
      </c>
      <c r="M407" s="8" t="s">
        <v>2814</v>
      </c>
      <c r="N407" s="367"/>
      <c r="O407" s="8"/>
      <c r="P407" s="4" t="str">
        <f>VLOOKUP($B407,'D7 - NDB Impacted SPRF''s'!$E$16:$O$9929,9,FALSE)</f>
        <v>Y</v>
      </c>
      <c r="Q407" s="4" t="str">
        <f>VLOOKUP($B407,'D7 - NDB Impacted SPRF''s'!$E$16:$O$9929,10,FALSE)</f>
        <v>N</v>
      </c>
      <c r="R407" s="4" t="str">
        <f>VLOOKUP($B407,'D7 - NDB Impacted SPRF''s'!$E$16:$O$9929,11,FALSE)</f>
        <v>N</v>
      </c>
      <c r="S407" s="8"/>
      <c r="T407" s="310"/>
      <c r="U407" s="310"/>
      <c r="V407" s="4"/>
      <c r="W407" s="4"/>
      <c r="X407" s="4"/>
      <c r="Y407" s="4"/>
      <c r="Z407" s="4"/>
      <c r="AA407" s="4"/>
      <c r="AB407" s="380" t="str">
        <f>VLOOKUP($B407,'D7 - NDB Impacted SPRF''s'!$E$16:$O$9929,4,FALSE)</f>
        <v>Completed</v>
      </c>
      <c r="AC407" s="380" t="str">
        <f>VLOOKUP($B407,'D7 - NDB Impacted SPRF''s'!$E$16:$O$9929,3,FALSE)</f>
        <v>UnitedHealthcare Employer &amp; Individual</v>
      </c>
      <c r="AD407" s="380" t="str">
        <f>VLOOKUP($B407,'D7 - NDB Impacted SPRF''s'!$E$16:$O$9929,5,FALSE)</f>
        <v>Key Initiatives Group</v>
      </c>
      <c r="AE407" s="380" t="str">
        <f>VLOOKUP($B407,'D7 - NDB Impacted SPRF''s'!$E$16:$O$9929,7,FALSE)</f>
        <v>peter bompane</v>
      </c>
      <c r="AF407" s="380" t="str">
        <f>VLOOKUP($B407,'D7 - NDB Impacted SPRF''s'!$E$16:$O$9929,6,FALSE)</f>
        <v>Patrick Schwartz</v>
      </c>
      <c r="AG407" s="282"/>
      <c r="AH407" s="311" t="e">
        <f>INDEX('D5 - Gatekeeper - Projects'!$A$4:$AF$1010,$AM407, 17)</f>
        <v>#N/A</v>
      </c>
      <c r="AI407" s="8"/>
      <c r="AJ407" s="57"/>
      <c r="AK407" s="105"/>
      <c r="AL407" s="216"/>
      <c r="AM407" s="6" t="e">
        <f>MATCH(D407,'D5 - Gatekeeper - Projects'!$C$4:$C$1010,0)</f>
        <v>#N/A</v>
      </c>
      <c r="AN407" s="6" t="b">
        <f t="shared" si="41"/>
        <v>1</v>
      </c>
      <c r="AO407" s="6" t="str">
        <f t="shared" si="44"/>
        <v>OK</v>
      </c>
      <c r="AP407" s="216"/>
      <c r="AQ407" s="6" t="e">
        <f>MATCH($D407,'D4 - Provider Council Unsched'!$C$11:$C$234,0)</f>
        <v>#N/A</v>
      </c>
      <c r="AR407" s="6" t="b">
        <f t="shared" si="42"/>
        <v>1</v>
      </c>
      <c r="AS407" s="6" t="str">
        <f t="shared" si="40"/>
        <v>OK</v>
      </c>
      <c r="AU407" s="202"/>
      <c r="AV407" s="262"/>
      <c r="AW407" s="274"/>
    </row>
    <row r="408" spans="1:49" s="13" customFormat="1" x14ac:dyDescent="0.2">
      <c r="A408" s="14">
        <v>384</v>
      </c>
      <c r="B408" s="14">
        <v>400006641</v>
      </c>
      <c r="C408" s="8" t="s">
        <v>2449</v>
      </c>
      <c r="D408" s="4" t="str">
        <f t="shared" si="43"/>
        <v>400006641R3</v>
      </c>
      <c r="E408" s="309" t="str">
        <f>VLOOKUP($B408,'D7 - NDB Impacted SPRF''s'!$E$6:$O$9929,2,FALSE)</f>
        <v>EFS NDB New Book Codes</v>
      </c>
      <c r="F408" s="8" t="s">
        <v>5054</v>
      </c>
      <c r="G408" s="8" t="s">
        <v>4758</v>
      </c>
      <c r="H408" s="8" t="s">
        <v>4246</v>
      </c>
      <c r="I408" s="20">
        <v>0.4</v>
      </c>
      <c r="J408" s="8" t="s">
        <v>4862</v>
      </c>
      <c r="K408" s="182">
        <v>38696</v>
      </c>
      <c r="L408" s="8" t="s">
        <v>6919</v>
      </c>
      <c r="M408" s="8" t="s">
        <v>2814</v>
      </c>
      <c r="N408" s="38"/>
      <c r="O408" s="8"/>
      <c r="P408" s="4" t="str">
        <f>VLOOKUP($B408,'D7 - NDB Impacted SPRF''s'!$E$16:$O$9929,9,FALSE)</f>
        <v>N</v>
      </c>
      <c r="Q408" s="4" t="str">
        <f>VLOOKUP($B408,'D7 - NDB Impacted SPRF''s'!$E$16:$O$9929,10,FALSE)</f>
        <v>N</v>
      </c>
      <c r="R408" s="4" t="str">
        <f>VLOOKUP($B408,'D7 - NDB Impacted SPRF''s'!$E$16:$O$9929,11,FALSE)</f>
        <v>N</v>
      </c>
      <c r="S408" s="8"/>
      <c r="T408" s="310"/>
      <c r="U408" s="310"/>
      <c r="V408" s="4"/>
      <c r="W408" s="4"/>
      <c r="X408" s="4"/>
      <c r="Y408" s="4"/>
      <c r="Z408" s="4"/>
      <c r="AA408" s="4"/>
      <c r="AB408" s="380" t="str">
        <f>VLOOKUP($B408,'D7 - NDB Impacted SPRF''s'!$E$16:$O$9929,4,FALSE)</f>
        <v>Completed</v>
      </c>
      <c r="AC408" s="380" t="str">
        <f>VLOOKUP($B408,'D7 - NDB Impacted SPRF''s'!$E$16:$O$9929,3,FALSE)</f>
        <v>Uniprise</v>
      </c>
      <c r="AD408" s="380" t="str">
        <f>VLOOKUP($B408,'D7 - NDB Impacted SPRF''s'!$E$16:$O$9929,5,FALSE)</f>
        <v>Exante - DDC</v>
      </c>
      <c r="AE408" s="380" t="str">
        <f>VLOOKUP($B408,'D7 - NDB Impacted SPRF''s'!$E$16:$O$9929,7,FALSE)</f>
        <v>Thomas Watson</v>
      </c>
      <c r="AF408" s="380" t="str">
        <f>VLOOKUP($B408,'D7 - NDB Impacted SPRF''s'!$E$16:$O$9929,6,FALSE)</f>
        <v>Pasini Liz</v>
      </c>
      <c r="AG408" s="282" t="s">
        <v>7755</v>
      </c>
      <c r="AH408" s="311" t="e">
        <f>INDEX('D5 - Gatekeeper - Projects'!$A$4:$AF$1010,$AM408, 17)</f>
        <v>#N/A</v>
      </c>
      <c r="AI408" s="8"/>
      <c r="AJ408" s="57"/>
      <c r="AK408" s="105"/>
      <c r="AL408" s="216"/>
      <c r="AM408" s="6" t="e">
        <f>MATCH(D408,'D5 - Gatekeeper - Projects'!$C$4:$C$1010,0)</f>
        <v>#N/A</v>
      </c>
      <c r="AN408" s="6" t="b">
        <f t="shared" si="41"/>
        <v>1</v>
      </c>
      <c r="AO408" s="6" t="str">
        <f t="shared" si="44"/>
        <v>OK</v>
      </c>
      <c r="AP408" s="216"/>
      <c r="AQ408" s="6" t="e">
        <f>MATCH($D408,'D4 - Provider Council Unsched'!$C$11:$C$234,0)</f>
        <v>#N/A</v>
      </c>
      <c r="AR408" s="6" t="b">
        <f t="shared" si="42"/>
        <v>1</v>
      </c>
      <c r="AS408" s="6" t="str">
        <f t="shared" si="40"/>
        <v>OK</v>
      </c>
      <c r="AU408" s="202"/>
      <c r="AV408" s="262"/>
      <c r="AW408" s="274"/>
    </row>
    <row r="409" spans="1:49" s="13" customFormat="1" ht="22.5" x14ac:dyDescent="0.2">
      <c r="A409" s="14">
        <v>385</v>
      </c>
      <c r="B409" s="14">
        <v>400006758</v>
      </c>
      <c r="C409" s="8" t="s">
        <v>5197</v>
      </c>
      <c r="D409" s="4" t="str">
        <f t="shared" si="43"/>
        <v>400006758R1</v>
      </c>
      <c r="E409" s="309" t="str">
        <f>VLOOKUP($B409,'D7 - NDB Impacted SPRF''s'!$E$6:$O$9929,2,FALSE)</f>
        <v>Definity Integrated Platform for 1/1/06</v>
      </c>
      <c r="F409" s="8" t="s">
        <v>3876</v>
      </c>
      <c r="G409" s="8" t="s">
        <v>4758</v>
      </c>
      <c r="H409" s="8" t="s">
        <v>4246</v>
      </c>
      <c r="I409" s="20">
        <v>1.6</v>
      </c>
      <c r="J409" s="8" t="s">
        <v>4862</v>
      </c>
      <c r="K409" s="182">
        <v>38696</v>
      </c>
      <c r="L409" s="8" t="s">
        <v>4964</v>
      </c>
      <c r="M409" s="8" t="s">
        <v>2814</v>
      </c>
      <c r="N409" s="367"/>
      <c r="O409" s="8"/>
      <c r="P409" s="4" t="str">
        <f>VLOOKUP($B409,'D7 - NDB Impacted SPRF''s'!$E$16:$O$9929,9,FALSE)</f>
        <v>Y</v>
      </c>
      <c r="Q409" s="4" t="str">
        <f>VLOOKUP($B409,'D7 - NDB Impacted SPRF''s'!$E$16:$O$9929,10,FALSE)</f>
        <v>N</v>
      </c>
      <c r="R409" s="4" t="str">
        <f>VLOOKUP($B409,'D7 - NDB Impacted SPRF''s'!$E$16:$O$9929,11,FALSE)</f>
        <v>N</v>
      </c>
      <c r="S409" s="8"/>
      <c r="T409" s="310"/>
      <c r="U409" s="310"/>
      <c r="V409" s="4"/>
      <c r="W409" s="4"/>
      <c r="X409" s="4"/>
      <c r="Y409" s="4"/>
      <c r="Z409" s="4"/>
      <c r="AA409" s="4"/>
      <c r="AB409" s="380" t="str">
        <f>VLOOKUP($B409,'D7 - NDB Impacted SPRF''s'!$E$16:$O$9929,4,FALSE)</f>
        <v>Completed</v>
      </c>
      <c r="AC409" s="380" t="str">
        <f>VLOOKUP($B409,'D7 - NDB Impacted SPRF''s'!$E$16:$O$9929,3,FALSE)</f>
        <v>Uniprise</v>
      </c>
      <c r="AD409" s="380" t="str">
        <f>VLOOKUP($B409,'D7 - NDB Impacted SPRF''s'!$E$16:$O$9929,5,FALSE)</f>
        <v>Definity - Capital Projects</v>
      </c>
      <c r="AE409" s="380" t="str">
        <f>VLOOKUP($B409,'D7 - NDB Impacted SPRF''s'!$E$16:$O$9929,7,FALSE)</f>
        <v>Tony Miller</v>
      </c>
      <c r="AF409" s="380" t="str">
        <f>VLOOKUP($B409,'D7 - NDB Impacted SPRF''s'!$E$16:$O$9929,6,FALSE)</f>
        <v>Bruce Macgibbon</v>
      </c>
      <c r="AG409" s="282"/>
      <c r="AH409" s="311" t="e">
        <f>INDEX('D5 - Gatekeeper - Projects'!$A$4:$AF$1010,$AM409, 17)</f>
        <v>#N/A</v>
      </c>
      <c r="AI409" s="8"/>
      <c r="AJ409" s="57"/>
      <c r="AK409" s="105"/>
      <c r="AM409" s="6" t="e">
        <f>MATCH(D409,'D5 - Gatekeeper - Projects'!$C$4:$C$1010,0)</f>
        <v>#N/A</v>
      </c>
      <c r="AN409" s="6" t="b">
        <f t="shared" si="41"/>
        <v>1</v>
      </c>
      <c r="AO409" s="6" t="str">
        <f t="shared" si="44"/>
        <v>OK</v>
      </c>
      <c r="AQ409" s="6" t="e">
        <f>MATCH($D409,'D4 - Provider Council Unsched'!$C$11:$C$234,0)</f>
        <v>#N/A</v>
      </c>
      <c r="AR409" s="6" t="b">
        <f t="shared" si="42"/>
        <v>1</v>
      </c>
      <c r="AS409" s="6" t="str">
        <f t="shared" si="40"/>
        <v>OK</v>
      </c>
      <c r="AU409" s="202"/>
      <c r="AV409" s="262"/>
      <c r="AW409" s="274"/>
    </row>
    <row r="410" spans="1:49" s="13" customFormat="1" x14ac:dyDescent="0.2">
      <c r="A410" s="14">
        <v>386</v>
      </c>
      <c r="B410" s="14">
        <v>400007192</v>
      </c>
      <c r="C410" s="8" t="s">
        <v>5197</v>
      </c>
      <c r="D410" s="4" t="str">
        <f t="shared" si="43"/>
        <v>400007192R1</v>
      </c>
      <c r="E410" s="309" t="str">
        <f>VLOOKUP($B410,'D7 - NDB Impacted SPRF''s'!$E$6:$O$9929,2,FALSE)</f>
        <v>Gated HMO Design &amp; Development Phase II</v>
      </c>
      <c r="F410" s="8" t="s">
        <v>4168</v>
      </c>
      <c r="G410" s="8" t="s">
        <v>4758</v>
      </c>
      <c r="H410" s="8" t="s">
        <v>4246</v>
      </c>
      <c r="I410" s="20">
        <v>1.6</v>
      </c>
      <c r="J410" s="8" t="s">
        <v>4862</v>
      </c>
      <c r="K410" s="182">
        <v>38696</v>
      </c>
      <c r="L410" s="8" t="s">
        <v>4964</v>
      </c>
      <c r="M410" s="8" t="s">
        <v>2814</v>
      </c>
      <c r="N410" s="367"/>
      <c r="O410" s="8"/>
      <c r="P410" s="4" t="str">
        <f>VLOOKUP($B410,'D7 - NDB Impacted SPRF''s'!$E$16:$O$9929,9,FALSE)</f>
        <v>Y</v>
      </c>
      <c r="Q410" s="4" t="str">
        <f>VLOOKUP($B410,'D7 - NDB Impacted SPRF''s'!$E$16:$O$9929,10,FALSE)</f>
        <v>N</v>
      </c>
      <c r="R410" s="4" t="str">
        <f>VLOOKUP($B410,'D7 - NDB Impacted SPRF''s'!$E$16:$O$9929,11,FALSE)</f>
        <v>N</v>
      </c>
      <c r="S410" s="8"/>
      <c r="T410" s="310"/>
      <c r="U410" s="310"/>
      <c r="V410" s="4"/>
      <c r="W410" s="4"/>
      <c r="X410" s="4"/>
      <c r="Y410" s="4"/>
      <c r="Z410" s="4"/>
      <c r="AA410" s="4"/>
      <c r="AB410" s="380" t="str">
        <f>VLOOKUP($B410,'D7 - NDB Impacted SPRF''s'!$E$16:$O$9929,4,FALSE)</f>
        <v>Completed</v>
      </c>
      <c r="AC410" s="380" t="str">
        <f>VLOOKUP($B410,'D7 - NDB Impacted SPRF''s'!$E$16:$O$9929,3,FALSE)</f>
        <v>Alliance</v>
      </c>
      <c r="AD410" s="380" t="str">
        <f>VLOOKUP($B410,'D7 - NDB Impacted SPRF''s'!$E$16:$O$9929,5,FALSE)</f>
        <v>Gated HMO</v>
      </c>
      <c r="AE410" s="380" t="str">
        <f>VLOOKUP($B410,'D7 - NDB Impacted SPRF''s'!$E$16:$O$9929,7,FALSE)</f>
        <v>Diane Schofield</v>
      </c>
      <c r="AF410" s="380" t="str">
        <f>VLOOKUP($B410,'D7 - NDB Impacted SPRF''s'!$E$16:$O$9929,6,FALSE)</f>
        <v>Debi Streb</v>
      </c>
      <c r="AG410" s="282"/>
      <c r="AH410" s="311" t="e">
        <f>INDEX('D5 - Gatekeeper - Projects'!$A$4:$AF$1010,$AM410, 17)</f>
        <v>#N/A</v>
      </c>
      <c r="AI410" s="8"/>
      <c r="AJ410" s="57"/>
      <c r="AK410" s="105"/>
      <c r="AM410" s="6" t="e">
        <f>MATCH(D410,'D5 - Gatekeeper - Projects'!$C$4:$C$1010,0)</f>
        <v>#N/A</v>
      </c>
      <c r="AN410" s="6" t="b">
        <f t="shared" si="41"/>
        <v>1</v>
      </c>
      <c r="AO410" s="6" t="str">
        <f t="shared" si="44"/>
        <v>OK</v>
      </c>
      <c r="AQ410" s="6" t="e">
        <f>MATCH($D410,'D4 - Provider Council Unsched'!$C$11:$C$234,0)</f>
        <v>#N/A</v>
      </c>
      <c r="AR410" s="6" t="b">
        <f t="shared" si="42"/>
        <v>1</v>
      </c>
      <c r="AS410" s="6" t="str">
        <f t="shared" si="40"/>
        <v>OK</v>
      </c>
      <c r="AU410" s="202"/>
      <c r="AV410" s="262"/>
      <c r="AW410" s="274"/>
    </row>
    <row r="411" spans="1:49" s="13" customFormat="1" ht="33.75" x14ac:dyDescent="0.2">
      <c r="A411" s="14">
        <v>387</v>
      </c>
      <c r="B411" s="14">
        <v>400007613</v>
      </c>
      <c r="C411" s="8" t="s">
        <v>5197</v>
      </c>
      <c r="D411" s="4" t="str">
        <f t="shared" si="43"/>
        <v>400007613R1</v>
      </c>
      <c r="E411" s="309" t="str">
        <f>VLOOKUP($B411,'D7 - NDB Impacted SPRF''s'!$E$6:$O$9929,2,FALSE)</f>
        <v>Fee Schedule Extraction On Demand</v>
      </c>
      <c r="F411" s="8" t="s">
        <v>5742</v>
      </c>
      <c r="G411" s="8" t="s">
        <v>4758</v>
      </c>
      <c r="H411" s="8" t="s">
        <v>4246</v>
      </c>
      <c r="I411" s="20">
        <v>1.6</v>
      </c>
      <c r="J411" s="8" t="s">
        <v>4862</v>
      </c>
      <c r="K411" s="182">
        <v>38696</v>
      </c>
      <c r="L411" s="8" t="s">
        <v>4964</v>
      </c>
      <c r="M411" s="8" t="s">
        <v>2814</v>
      </c>
      <c r="N411" s="367"/>
      <c r="O411" s="8"/>
      <c r="P411" s="4" t="str">
        <f>VLOOKUP($B411,'D7 - NDB Impacted SPRF''s'!$E$16:$O$9929,9,FALSE)</f>
        <v>N</v>
      </c>
      <c r="Q411" s="4" t="str">
        <f>VLOOKUP($B411,'D7 - NDB Impacted SPRF''s'!$E$16:$O$9929,10,FALSE)</f>
        <v>N</v>
      </c>
      <c r="R411" s="4" t="str">
        <f>VLOOKUP($B411,'D7 - NDB Impacted SPRF''s'!$E$16:$O$9929,11,FALSE)</f>
        <v>N</v>
      </c>
      <c r="S411" s="8"/>
      <c r="T411" s="310"/>
      <c r="U411" s="310"/>
      <c r="V411" s="4"/>
      <c r="W411" s="4"/>
      <c r="X411" s="4"/>
      <c r="Y411" s="4"/>
      <c r="Z411" s="4"/>
      <c r="AA411" s="4"/>
      <c r="AB411" s="380" t="str">
        <f>VLOOKUP($B411,'D7 - NDB Impacted SPRF''s'!$E$16:$O$9929,4,FALSE)</f>
        <v>Completed</v>
      </c>
      <c r="AC411" s="380" t="str">
        <f>VLOOKUP($B411,'D7 - NDB Impacted SPRF''s'!$E$16:$O$9929,3,FALSE)</f>
        <v>UnitedHealthcare Employer &amp; Individual</v>
      </c>
      <c r="AD411" s="380" t="str">
        <f>VLOOKUP($B411,'D7 - NDB Impacted SPRF''s'!$E$16:$O$9929,5,FALSE)</f>
        <v>Operations Group</v>
      </c>
      <c r="AE411" s="380" t="str">
        <f>VLOOKUP($B411,'D7 - NDB Impacted SPRF''s'!$E$16:$O$9929,7,FALSE)</f>
        <v>Gary Simmons</v>
      </c>
      <c r="AF411" s="380" t="str">
        <f>VLOOKUP($B411,'D7 - NDB Impacted SPRF''s'!$E$16:$O$9929,6,FALSE)</f>
        <v>SCOTT PIETAK</v>
      </c>
      <c r="AG411" s="282"/>
      <c r="AH411" s="311" t="e">
        <f>INDEX('D5 - Gatekeeper - Projects'!$A$4:$AF$1010,$AM411, 17)</f>
        <v>#N/A</v>
      </c>
      <c r="AI411" s="8"/>
      <c r="AJ411" s="57"/>
      <c r="AK411" s="105"/>
      <c r="AL411" s="216"/>
      <c r="AM411" s="6" t="e">
        <f>MATCH(D411,'D5 - Gatekeeper - Projects'!$C$4:$C$1010,0)</f>
        <v>#N/A</v>
      </c>
      <c r="AN411" s="6" t="b">
        <f t="shared" si="41"/>
        <v>1</v>
      </c>
      <c r="AO411" s="6" t="str">
        <f t="shared" si="44"/>
        <v>OK</v>
      </c>
      <c r="AQ411" s="6" t="e">
        <f>MATCH($D411,'D4 - Provider Council Unsched'!$C$11:$C$234,0)</f>
        <v>#N/A</v>
      </c>
      <c r="AR411" s="6" t="b">
        <f t="shared" si="42"/>
        <v>1</v>
      </c>
      <c r="AS411" s="6" t="str">
        <f t="shared" si="40"/>
        <v>OK</v>
      </c>
      <c r="AU411" s="202"/>
      <c r="AV411" s="262"/>
      <c r="AW411" s="274"/>
    </row>
    <row r="412" spans="1:49" s="13" customFormat="1" x14ac:dyDescent="0.2">
      <c r="A412" s="14">
        <v>388</v>
      </c>
      <c r="B412" s="14">
        <v>400007856</v>
      </c>
      <c r="C412" s="8" t="s">
        <v>5197</v>
      </c>
      <c r="D412" s="4" t="str">
        <f t="shared" si="43"/>
        <v>400007856R1</v>
      </c>
      <c r="E412" s="309" t="str">
        <f>VLOOKUP($B412,'D7 - NDB Impacted SPRF''s'!$E$6:$O$9929,2,FALSE)</f>
        <v>Medica1 NetClaim - Process Medica Claims thru iCES</v>
      </c>
      <c r="F412" s="8" t="s">
        <v>5196</v>
      </c>
      <c r="G412" s="8" t="s">
        <v>4758</v>
      </c>
      <c r="H412" s="8" t="s">
        <v>4246</v>
      </c>
      <c r="I412" s="20">
        <v>1.6</v>
      </c>
      <c r="J412" s="8" t="s">
        <v>4862</v>
      </c>
      <c r="K412" s="182">
        <v>38696</v>
      </c>
      <c r="L412" s="8" t="s">
        <v>4964</v>
      </c>
      <c r="M412" s="8" t="s">
        <v>2814</v>
      </c>
      <c r="N412" s="367"/>
      <c r="O412" s="8"/>
      <c r="P412" s="4" t="str">
        <f>VLOOKUP($B412,'D7 - NDB Impacted SPRF''s'!$E$16:$O$9929,9,FALSE)</f>
        <v>Y</v>
      </c>
      <c r="Q412" s="4" t="str">
        <f>VLOOKUP($B412,'D7 - NDB Impacted SPRF''s'!$E$16:$O$9929,10,FALSE)</f>
        <v>N</v>
      </c>
      <c r="R412" s="4" t="str">
        <f>VLOOKUP($B412,'D7 - NDB Impacted SPRF''s'!$E$16:$O$9929,11,FALSE)</f>
        <v>N</v>
      </c>
      <c r="S412" s="8"/>
      <c r="T412" s="310"/>
      <c r="U412" s="310"/>
      <c r="V412" s="4"/>
      <c r="W412" s="4"/>
      <c r="X412" s="4"/>
      <c r="Y412" s="4"/>
      <c r="Z412" s="4"/>
      <c r="AA412" s="4"/>
      <c r="AB412" s="380" t="str">
        <f>VLOOKUP($B412,'D7 - NDB Impacted SPRF''s'!$E$16:$O$9929,4,FALSE)</f>
        <v>Completed</v>
      </c>
      <c r="AC412" s="380" t="str">
        <f>VLOOKUP($B412,'D7 - NDB Impacted SPRF''s'!$E$16:$O$9929,3,FALSE)</f>
        <v>Alliance</v>
      </c>
      <c r="AD412" s="380" t="str">
        <f>VLOOKUP($B412,'D7 - NDB Impacted SPRF''s'!$E$16:$O$9929,5,FALSE)</f>
        <v>Medica UNET Conversion</v>
      </c>
      <c r="AE412" s="380" t="str">
        <f>VLOOKUP($B412,'D7 - NDB Impacted SPRF''s'!$E$16:$O$9929,7,FALSE)</f>
        <v>Diane Scofield</v>
      </c>
      <c r="AF412" s="380" t="str">
        <f>VLOOKUP($B412,'D7 - NDB Impacted SPRF''s'!$E$16:$O$9929,6,FALSE)</f>
        <v>Cathy Hanson</v>
      </c>
      <c r="AG412" s="282"/>
      <c r="AH412" s="311" t="e">
        <f>INDEX('D5 - Gatekeeper - Projects'!$A$4:$AF$1010,$AM412, 17)</f>
        <v>#N/A</v>
      </c>
      <c r="AI412" s="8"/>
      <c r="AJ412" s="57"/>
      <c r="AK412" s="105"/>
      <c r="AL412" s="216"/>
      <c r="AM412" s="6" t="e">
        <f>MATCH(D412,'D5 - Gatekeeper - Projects'!$C$4:$C$1010,0)</f>
        <v>#N/A</v>
      </c>
      <c r="AN412" s="6" t="b">
        <f t="shared" si="41"/>
        <v>1</v>
      </c>
      <c r="AO412" s="6" t="str">
        <f t="shared" si="44"/>
        <v>OK</v>
      </c>
      <c r="AP412" s="216"/>
      <c r="AQ412" s="6" t="e">
        <f>MATCH($D412,'D4 - Provider Council Unsched'!$C$11:$C$234,0)</f>
        <v>#N/A</v>
      </c>
      <c r="AR412" s="6" t="b">
        <f t="shared" si="42"/>
        <v>1</v>
      </c>
      <c r="AS412" s="6" t="str">
        <f t="shared" si="40"/>
        <v>OK</v>
      </c>
      <c r="AU412" s="202"/>
      <c r="AV412" s="262"/>
      <c r="AW412" s="274"/>
    </row>
    <row r="413" spans="1:49" s="13" customFormat="1" ht="33.75" x14ac:dyDescent="0.2">
      <c r="A413" s="14">
        <v>389</v>
      </c>
      <c r="B413" s="14">
        <v>400008028</v>
      </c>
      <c r="C413" s="8" t="s">
        <v>5197</v>
      </c>
      <c r="D413" s="4" t="str">
        <f t="shared" si="43"/>
        <v>400008028R1</v>
      </c>
      <c r="E413" s="309" t="str">
        <f>VLOOKUP($B413,'D7 - NDB Impacted SPRF''s'!$E$6:$O$9929,2,FALSE)</f>
        <v>1/1/2006 Readiness</v>
      </c>
      <c r="F413" s="8"/>
      <c r="G413" s="8" t="s">
        <v>4758</v>
      </c>
      <c r="H413" s="8" t="s">
        <v>4246</v>
      </c>
      <c r="I413" s="20">
        <v>0.01</v>
      </c>
      <c r="J413" s="8" t="s">
        <v>4862</v>
      </c>
      <c r="K413" s="182">
        <v>38696</v>
      </c>
      <c r="L413" s="8" t="s">
        <v>4964</v>
      </c>
      <c r="M413" s="8" t="s">
        <v>2814</v>
      </c>
      <c r="N413" s="367" t="s">
        <v>6966</v>
      </c>
      <c r="O413" s="8"/>
      <c r="P413" s="4" t="str">
        <f>VLOOKUP($B413,'D7 - NDB Impacted SPRF''s'!$E$16:$O$9929,9,FALSE)</f>
        <v>Y</v>
      </c>
      <c r="Q413" s="4" t="str">
        <f>VLOOKUP($B413,'D7 - NDB Impacted SPRF''s'!$E$16:$O$9929,10,FALSE)</f>
        <v>N</v>
      </c>
      <c r="R413" s="4" t="str">
        <f>VLOOKUP($B413,'D7 - NDB Impacted SPRF''s'!$E$16:$O$9929,11,FALSE)</f>
        <v>N</v>
      </c>
      <c r="S413" s="8"/>
      <c r="T413" s="310"/>
      <c r="U413" s="310"/>
      <c r="V413" s="4"/>
      <c r="W413" s="4"/>
      <c r="X413" s="4"/>
      <c r="Y413" s="4"/>
      <c r="Z413" s="4"/>
      <c r="AA413" s="4"/>
      <c r="AB413" s="380" t="str">
        <f>VLOOKUP($B413,'D7 - NDB Impacted SPRF''s'!$E$16:$O$9929,4,FALSE)</f>
        <v>Completed</v>
      </c>
      <c r="AC413" s="380" t="str">
        <f>VLOOKUP($B413,'D7 - NDB Impacted SPRF''s'!$E$16:$O$9929,3,FALSE)</f>
        <v>Uniprise</v>
      </c>
      <c r="AD413" s="380" t="str">
        <f>VLOOKUP($B413,'D7 - NDB Impacted SPRF''s'!$E$16:$O$9929,5,FALSE)</f>
        <v>Uniprise Technologies - DDC</v>
      </c>
      <c r="AE413" s="380" t="str">
        <f>VLOOKUP($B413,'D7 - NDB Impacted SPRF''s'!$E$16:$O$9929,7,FALSE)</f>
        <v>John Santelli</v>
      </c>
      <c r="AF413" s="380" t="str">
        <f>VLOOKUP($B413,'D7 - NDB Impacted SPRF''s'!$E$16:$O$9929,6,FALSE)</f>
        <v>Pete Anderson</v>
      </c>
      <c r="AG413" s="282"/>
      <c r="AH413" s="311" t="e">
        <f>INDEX('D5 - Gatekeeper - Projects'!$A$4:$AF$1010,$AM413, 17)</f>
        <v>#N/A</v>
      </c>
      <c r="AI413" s="8"/>
      <c r="AJ413" s="57"/>
      <c r="AK413" s="105"/>
      <c r="AL413" s="216"/>
      <c r="AM413" s="6" t="e">
        <f>MATCH(D413,'D5 - Gatekeeper - Projects'!$C$4:$C$1010,0)</f>
        <v>#N/A</v>
      </c>
      <c r="AN413" s="6" t="b">
        <f t="shared" si="41"/>
        <v>1</v>
      </c>
      <c r="AO413" s="6" t="str">
        <f t="shared" si="44"/>
        <v>OK</v>
      </c>
      <c r="AP413" s="216"/>
      <c r="AQ413" s="6" t="e">
        <f>MATCH($D413,'D4 - Provider Council Unsched'!$C$11:$C$234,0)</f>
        <v>#N/A</v>
      </c>
      <c r="AR413" s="6" t="b">
        <f t="shared" si="42"/>
        <v>1</v>
      </c>
      <c r="AS413" s="6" t="str">
        <f t="shared" si="40"/>
        <v>OK</v>
      </c>
      <c r="AU413" s="202"/>
      <c r="AV413" s="262"/>
      <c r="AW413" s="274"/>
    </row>
    <row r="414" spans="1:49" s="13" customFormat="1" ht="22.5" x14ac:dyDescent="0.2">
      <c r="A414" s="14">
        <v>390</v>
      </c>
      <c r="B414" s="14">
        <v>400008062</v>
      </c>
      <c r="C414" s="8" t="s">
        <v>5197</v>
      </c>
      <c r="D414" s="4" t="str">
        <f t="shared" si="43"/>
        <v>400008062R1</v>
      </c>
      <c r="E414" s="309" t="str">
        <f>VLOOKUP($B414,'D7 - NDB Impacted SPRF''s'!$E$6:$O$9929,2,FALSE)</f>
        <v>Tenet CSP Provider Search</v>
      </c>
      <c r="F414" s="8"/>
      <c r="G414" s="8" t="s">
        <v>4758</v>
      </c>
      <c r="H414" s="8" t="s">
        <v>4246</v>
      </c>
      <c r="I414" s="20">
        <v>3.3</v>
      </c>
      <c r="J414" s="8" t="s">
        <v>4862</v>
      </c>
      <c r="K414" s="182">
        <v>38696</v>
      </c>
      <c r="L414" s="8" t="s">
        <v>4964</v>
      </c>
      <c r="M414" s="8" t="s">
        <v>2814</v>
      </c>
      <c r="N414" s="367"/>
      <c r="O414" s="8"/>
      <c r="P414" s="4" t="str">
        <f>VLOOKUP($B414,'D7 - NDB Impacted SPRF''s'!$E$16:$O$9929,9,FALSE)</f>
        <v>N</v>
      </c>
      <c r="Q414" s="4" t="str">
        <f>VLOOKUP($B414,'D7 - NDB Impacted SPRF''s'!$E$16:$O$9929,10,FALSE)</f>
        <v>N</v>
      </c>
      <c r="R414" s="4" t="str">
        <f>VLOOKUP($B414,'D7 - NDB Impacted SPRF''s'!$E$16:$O$9929,11,FALSE)</f>
        <v>N</v>
      </c>
      <c r="S414" s="8"/>
      <c r="T414" s="310"/>
      <c r="U414" s="310"/>
      <c r="V414" s="4"/>
      <c r="W414" s="4"/>
      <c r="X414" s="4"/>
      <c r="Y414" s="4"/>
      <c r="Z414" s="4"/>
      <c r="AA414" s="4"/>
      <c r="AB414" s="380" t="str">
        <f>VLOOKUP($B414,'D7 - NDB Impacted SPRF''s'!$E$16:$O$9929,4,FALSE)</f>
        <v>Completed</v>
      </c>
      <c r="AC414" s="380" t="str">
        <f>VLOOKUP($B414,'D7 - NDB Impacted SPRF''s'!$E$16:$O$9929,3,FALSE)</f>
        <v>Uniprise</v>
      </c>
      <c r="AD414" s="380" t="str">
        <f>VLOOKUP($B414,'D7 - NDB Impacted SPRF''s'!$E$16:$O$9929,5,FALSE)</f>
        <v>USS - Capital Projects</v>
      </c>
      <c r="AE414" s="380" t="str">
        <f>VLOOKUP($B414,'D7 - NDB Impacted SPRF''s'!$E$16:$O$9929,7,FALSE)</f>
        <v>Margaret Rush</v>
      </c>
      <c r="AF414" s="380" t="str">
        <f>VLOOKUP($B414,'D7 - NDB Impacted SPRF''s'!$E$16:$O$9929,6,FALSE)</f>
        <v>FRED CAMACHO</v>
      </c>
      <c r="AG414" s="282"/>
      <c r="AH414" s="311" t="e">
        <f>INDEX('D5 - Gatekeeper - Projects'!$A$4:$AF$1010,$AM414, 17)</f>
        <v>#N/A</v>
      </c>
      <c r="AI414" s="8"/>
      <c r="AJ414" s="57"/>
      <c r="AK414" s="105"/>
      <c r="AL414" s="216"/>
      <c r="AM414" s="6" t="e">
        <f>MATCH(D414,'D5 - Gatekeeper - Projects'!$C$4:$C$1010,0)</f>
        <v>#N/A</v>
      </c>
      <c r="AN414" s="6" t="b">
        <f t="shared" si="41"/>
        <v>1</v>
      </c>
      <c r="AO414" s="6" t="str">
        <f t="shared" si="44"/>
        <v>OK</v>
      </c>
      <c r="AP414" s="216"/>
      <c r="AQ414" s="6" t="e">
        <f>MATCH($D414,'D4 - Provider Council Unsched'!$C$11:$C$234,0)</f>
        <v>#N/A</v>
      </c>
      <c r="AR414" s="6" t="b">
        <f t="shared" si="42"/>
        <v>1</v>
      </c>
      <c r="AS414" s="6" t="str">
        <f t="shared" si="40"/>
        <v>OK</v>
      </c>
      <c r="AU414" s="202"/>
      <c r="AV414" s="262"/>
      <c r="AW414" s="274"/>
    </row>
    <row r="415" spans="1:49" s="13" customFormat="1" x14ac:dyDescent="0.2">
      <c r="A415" s="14">
        <v>391</v>
      </c>
      <c r="B415" s="14">
        <v>400008262</v>
      </c>
      <c r="C415" s="8" t="s">
        <v>5197</v>
      </c>
      <c r="D415" s="4" t="str">
        <f t="shared" si="43"/>
        <v>400008262R1</v>
      </c>
      <c r="E415" s="332" t="str">
        <f>VLOOKUP($B415,'D7 - NDB Impacted SPRF''s'!$E$6:$O$9929,2,FALSE)</f>
        <v>HPI/Harvard Pilgrim HCFA Only Repricing &amp; Editing</v>
      </c>
      <c r="F415" s="8" t="s">
        <v>7132</v>
      </c>
      <c r="G415" s="8" t="s">
        <v>4758</v>
      </c>
      <c r="H415" s="8" t="s">
        <v>4246</v>
      </c>
      <c r="I415" s="20">
        <v>9.93</v>
      </c>
      <c r="J415" s="8" t="s">
        <v>4862</v>
      </c>
      <c r="K415" s="182">
        <v>38696</v>
      </c>
      <c r="L415" s="8" t="s">
        <v>4964</v>
      </c>
      <c r="M415" s="8" t="s">
        <v>2814</v>
      </c>
      <c r="N415" s="367"/>
      <c r="O415" s="8"/>
      <c r="P415" s="4" t="str">
        <f>VLOOKUP($B415,'D7 - NDB Impacted SPRF''s'!$E$16:$O$9929,9,FALSE)</f>
        <v>Y</v>
      </c>
      <c r="Q415" s="4" t="str">
        <f>VLOOKUP($B415,'D7 - NDB Impacted SPRF''s'!$E$16:$O$9929,10,FALSE)</f>
        <v>N</v>
      </c>
      <c r="R415" s="4" t="str">
        <f>VLOOKUP($B415,'D7 - NDB Impacted SPRF''s'!$E$16:$O$9929,11,FALSE)</f>
        <v>N</v>
      </c>
      <c r="S415" s="8"/>
      <c r="T415" s="310"/>
      <c r="U415" s="310"/>
      <c r="V415" s="4"/>
      <c r="W415" s="4"/>
      <c r="X415" s="4"/>
      <c r="Y415" s="4"/>
      <c r="Z415" s="4"/>
      <c r="AA415" s="4"/>
      <c r="AB415" s="380" t="str">
        <f>VLOOKUP($B415,'D7 - NDB Impacted SPRF''s'!$E$16:$O$9929,4,FALSE)</f>
        <v>Completed</v>
      </c>
      <c r="AC415" s="380" t="str">
        <f>VLOOKUP($B415,'D7 - NDB Impacted SPRF''s'!$E$16:$O$9929,3,FALSE)</f>
        <v>Alliance</v>
      </c>
      <c r="AD415" s="380" t="str">
        <f>VLOOKUP($B415,'D7 - NDB Impacted SPRF''s'!$E$16:$O$9929,5,FALSE)</f>
        <v>Passport Alliance</v>
      </c>
      <c r="AE415" s="380" t="str">
        <f>VLOOKUP($B415,'D7 - NDB Impacted SPRF''s'!$E$16:$O$9929,7,FALSE)</f>
        <v>Patrick Kennedy</v>
      </c>
      <c r="AF415" s="380" t="str">
        <f>VLOOKUP($B415,'D7 - NDB Impacted SPRF''s'!$E$16:$O$9929,6,FALSE)</f>
        <v>SUSAN HINES</v>
      </c>
      <c r="AG415" s="282"/>
      <c r="AH415" s="311" t="e">
        <f>INDEX('D5 - Gatekeeper - Projects'!$A$4:$AF$1010,$AM415, 17)</f>
        <v>#N/A</v>
      </c>
      <c r="AI415" s="8"/>
      <c r="AJ415" s="57"/>
      <c r="AK415" s="105"/>
      <c r="AL415" s="216"/>
      <c r="AM415" s="6" t="e">
        <f>MATCH(D415,'D5 - Gatekeeper - Projects'!$C$4:$C$1010,0)</f>
        <v>#N/A</v>
      </c>
      <c r="AN415" s="6" t="b">
        <f t="shared" si="41"/>
        <v>1</v>
      </c>
      <c r="AO415" s="6" t="str">
        <f t="shared" si="44"/>
        <v>OK</v>
      </c>
      <c r="AP415" s="216"/>
      <c r="AQ415" s="6" t="e">
        <f>MATCH($D415,'D4 - Provider Council Unsched'!$C$11:$C$234,0)</f>
        <v>#N/A</v>
      </c>
      <c r="AR415" s="6" t="b">
        <f t="shared" si="42"/>
        <v>1</v>
      </c>
      <c r="AS415" s="6" t="str">
        <f t="shared" si="40"/>
        <v>OK</v>
      </c>
      <c r="AU415" s="202"/>
      <c r="AV415" s="262"/>
      <c r="AW415" s="274"/>
    </row>
    <row r="416" spans="1:49" s="13" customFormat="1" x14ac:dyDescent="0.2">
      <c r="A416" s="14">
        <v>392</v>
      </c>
      <c r="B416" s="14">
        <v>400008835</v>
      </c>
      <c r="C416" s="8" t="s">
        <v>5197</v>
      </c>
      <c r="D416" s="4" t="str">
        <f t="shared" si="43"/>
        <v>400008835R1</v>
      </c>
      <c r="E416" s="309" t="str">
        <f>VLOOKUP($B416,'D7 - NDB Impacted SPRF''s'!$E$6:$O$9929,2,FALSE)</f>
        <v>CCS Access to Preminum Provider Searches</v>
      </c>
      <c r="F416" s="8"/>
      <c r="G416" s="8" t="s">
        <v>4758</v>
      </c>
      <c r="H416" s="8" t="s">
        <v>4246</v>
      </c>
      <c r="I416" s="20">
        <v>1.55</v>
      </c>
      <c r="J416" s="8" t="s">
        <v>4862</v>
      </c>
      <c r="K416" s="182">
        <v>38696</v>
      </c>
      <c r="L416" s="8" t="s">
        <v>4964</v>
      </c>
      <c r="M416" s="8" t="s">
        <v>2814</v>
      </c>
      <c r="N416" s="367"/>
      <c r="O416" s="8"/>
      <c r="P416" s="4" t="str">
        <f>VLOOKUP($B416,'D7 - NDB Impacted SPRF''s'!$E$16:$O$9929,9,FALSE)</f>
        <v>N</v>
      </c>
      <c r="Q416" s="4" t="str">
        <f>VLOOKUP($B416,'D7 - NDB Impacted SPRF''s'!$E$16:$O$9929,10,FALSE)</f>
        <v>N</v>
      </c>
      <c r="R416" s="4" t="str">
        <f>VLOOKUP($B416,'D7 - NDB Impacted SPRF''s'!$E$16:$O$9929,11,FALSE)</f>
        <v>N</v>
      </c>
      <c r="S416" s="8"/>
      <c r="T416" s="310"/>
      <c r="U416" s="310"/>
      <c r="V416" s="4"/>
      <c r="W416" s="4"/>
      <c r="X416" s="4"/>
      <c r="Y416" s="4"/>
      <c r="Z416" s="4"/>
      <c r="AA416" s="4"/>
      <c r="AB416" s="380" t="str">
        <f>VLOOKUP($B416,'D7 - NDB Impacted SPRF''s'!$E$16:$O$9929,4,FALSE)</f>
        <v>Completed</v>
      </c>
      <c r="AC416" s="380" t="str">
        <f>VLOOKUP($B416,'D7 - NDB Impacted SPRF''s'!$E$16:$O$9929,3,FALSE)</f>
        <v>OptumHealth</v>
      </c>
      <c r="AD416" s="380" t="str">
        <f>VLOOKUP($B416,'D7 - NDB Impacted SPRF''s'!$E$16:$O$9929,5,FALSE)</f>
        <v>Optum</v>
      </c>
      <c r="AE416" s="380" t="str">
        <f>VLOOKUP($B416,'D7 - NDB Impacted SPRF''s'!$E$16:$O$9929,7,FALSE)</f>
        <v>Paul Kaus</v>
      </c>
      <c r="AF416" s="380" t="str">
        <f>VLOOKUP($B416,'D7 - NDB Impacted SPRF''s'!$E$16:$O$9929,6,FALSE)</f>
        <v>Leslie Pitchford</v>
      </c>
      <c r="AG416" s="282"/>
      <c r="AH416" s="311" t="e">
        <f>INDEX('D5 - Gatekeeper - Projects'!$A$4:$AF$1010,$AM416, 17)</f>
        <v>#N/A</v>
      </c>
      <c r="AI416" s="8"/>
      <c r="AJ416" s="57"/>
      <c r="AK416" s="105"/>
      <c r="AL416" s="216"/>
      <c r="AM416" s="6" t="e">
        <f>MATCH(D416,'D5 - Gatekeeper - Projects'!$C$4:$C$1010,0)</f>
        <v>#N/A</v>
      </c>
      <c r="AN416" s="6" t="b">
        <f t="shared" si="41"/>
        <v>1</v>
      </c>
      <c r="AO416" s="6" t="str">
        <f t="shared" si="44"/>
        <v>OK</v>
      </c>
      <c r="AP416" s="216"/>
      <c r="AQ416" s="6" t="e">
        <f>MATCH($D416,'D4 - Provider Council Unsched'!$C$11:$C$234,0)</f>
        <v>#N/A</v>
      </c>
      <c r="AR416" s="6" t="b">
        <f t="shared" si="42"/>
        <v>1</v>
      </c>
      <c r="AS416" s="6" t="str">
        <f t="shared" si="40"/>
        <v>OK</v>
      </c>
      <c r="AU416" s="202"/>
      <c r="AV416" s="262"/>
      <c r="AW416" s="274"/>
    </row>
    <row r="417" spans="1:49" s="13" customFormat="1" ht="33.75" x14ac:dyDescent="0.2">
      <c r="A417" s="14">
        <v>393</v>
      </c>
      <c r="B417" s="14">
        <v>400009021</v>
      </c>
      <c r="C417" s="8" t="s">
        <v>5197</v>
      </c>
      <c r="D417" s="4" t="str">
        <f t="shared" si="43"/>
        <v>400009021R1</v>
      </c>
      <c r="E417" s="309" t="str">
        <f>VLOOKUP($B417,'D7 - NDB Impacted SPRF''s'!$E$6:$O$9929,2,FALSE)</f>
        <v>AMS Automated Repricing HCFA &amp; UB</v>
      </c>
      <c r="F417" s="8" t="s">
        <v>6071</v>
      </c>
      <c r="G417" s="8" t="s">
        <v>4758</v>
      </c>
      <c r="H417" s="8" t="s">
        <v>4246</v>
      </c>
      <c r="I417" s="20">
        <v>5</v>
      </c>
      <c r="J417" s="8" t="s">
        <v>4862</v>
      </c>
      <c r="K417" s="182">
        <v>38696</v>
      </c>
      <c r="L417" s="8" t="s">
        <v>4964</v>
      </c>
      <c r="M417" s="8" t="s">
        <v>2814</v>
      </c>
      <c r="N417" s="367"/>
      <c r="O417" s="8"/>
      <c r="P417" s="4" t="str">
        <f>VLOOKUP($B417,'D7 - NDB Impacted SPRF''s'!$E$16:$O$9929,9,FALSE)</f>
        <v>N</v>
      </c>
      <c r="Q417" s="4" t="str">
        <f>VLOOKUP($B417,'D7 - NDB Impacted SPRF''s'!$E$16:$O$9929,10,FALSE)</f>
        <v>N</v>
      </c>
      <c r="R417" s="4" t="str">
        <f>VLOOKUP($B417,'D7 - NDB Impacted SPRF''s'!$E$16:$O$9929,11,FALSE)</f>
        <v>N</v>
      </c>
      <c r="S417" s="8"/>
      <c r="T417" s="310"/>
      <c r="U417" s="310"/>
      <c r="V417" s="4"/>
      <c r="W417" s="4"/>
      <c r="X417" s="4"/>
      <c r="Y417" s="4"/>
      <c r="Z417" s="4"/>
      <c r="AA417" s="4"/>
      <c r="AB417" s="380" t="str">
        <f>VLOOKUP($B417,'D7 - NDB Impacted SPRF''s'!$E$16:$O$9929,4,FALSE)</f>
        <v>Completed</v>
      </c>
      <c r="AC417" s="380" t="str">
        <f>VLOOKUP($B417,'D7 - NDB Impacted SPRF''s'!$E$16:$O$9929,3,FALSE)</f>
        <v>UnitedHealthcare Employer &amp; Individual</v>
      </c>
      <c r="AD417" s="380" t="str">
        <f>VLOOKUP($B417,'D7 - NDB Impacted SPRF''s'!$E$16:$O$9929,5,FALSE)</f>
        <v>Integration Requirements</v>
      </c>
      <c r="AE417" s="380" t="str">
        <f>VLOOKUP($B417,'D7 - NDB Impacted SPRF''s'!$E$16:$O$9929,7,FALSE)</f>
        <v>Patrick Kennedy</v>
      </c>
      <c r="AF417" s="380" t="str">
        <f>VLOOKUP($B417,'D7 - NDB Impacted SPRF''s'!$E$16:$O$9929,6,FALSE)</f>
        <v>Borzage Deborah</v>
      </c>
      <c r="AG417" s="282"/>
      <c r="AH417" s="311" t="e">
        <f>INDEX('D5 - Gatekeeper - Projects'!$A$4:$AF$1010,$AM417, 17)</f>
        <v>#N/A</v>
      </c>
      <c r="AI417" s="8"/>
      <c r="AJ417" s="57"/>
      <c r="AK417" s="105"/>
      <c r="AL417" s="216"/>
      <c r="AM417" s="6" t="e">
        <f>MATCH(D417,'D5 - Gatekeeper - Projects'!$C$4:$C$1010,0)</f>
        <v>#N/A</v>
      </c>
      <c r="AN417" s="6" t="b">
        <f t="shared" si="41"/>
        <v>1</v>
      </c>
      <c r="AO417" s="6" t="str">
        <f t="shared" si="44"/>
        <v>OK</v>
      </c>
      <c r="AP417" s="216"/>
      <c r="AQ417" s="6" t="e">
        <f>MATCH($D417,'D4 - Provider Council Unsched'!$C$11:$C$234,0)</f>
        <v>#N/A</v>
      </c>
      <c r="AR417" s="6" t="b">
        <f t="shared" si="42"/>
        <v>1</v>
      </c>
      <c r="AS417" s="6" t="str">
        <f t="shared" si="40"/>
        <v>OK</v>
      </c>
      <c r="AU417" s="202"/>
      <c r="AV417" s="262"/>
      <c r="AW417" s="274"/>
    </row>
    <row r="418" spans="1:49" s="13" customFormat="1" ht="33.75" x14ac:dyDescent="0.2">
      <c r="A418" s="14">
        <v>394</v>
      </c>
      <c r="B418" s="14">
        <v>400009024</v>
      </c>
      <c r="C418" s="8" t="s">
        <v>5197</v>
      </c>
      <c r="D418" s="4" t="str">
        <f t="shared" si="43"/>
        <v>400009024R1</v>
      </c>
      <c r="E418" s="309" t="str">
        <f>VLOOKUP($B418,'D7 - NDB Impacted SPRF''s'!$E$6:$O$9929,2,FALSE)</f>
        <v>AMS EPDL Data Load</v>
      </c>
      <c r="F418" s="8" t="s">
        <v>6071</v>
      </c>
      <c r="G418" s="8" t="s">
        <v>4758</v>
      </c>
      <c r="H418" s="8" t="s">
        <v>4246</v>
      </c>
      <c r="I418" s="20">
        <v>1.06</v>
      </c>
      <c r="J418" s="8" t="s">
        <v>4862</v>
      </c>
      <c r="K418" s="182">
        <v>38696</v>
      </c>
      <c r="L418" s="8" t="s">
        <v>4964</v>
      </c>
      <c r="M418" s="8" t="s">
        <v>2814</v>
      </c>
      <c r="N418" s="367"/>
      <c r="O418" s="8"/>
      <c r="P418" s="4" t="str">
        <f>VLOOKUP($B418,'D7 - NDB Impacted SPRF''s'!$E$16:$O$9929,9,FALSE)</f>
        <v>N</v>
      </c>
      <c r="Q418" s="4" t="str">
        <f>VLOOKUP($B418,'D7 - NDB Impacted SPRF''s'!$E$16:$O$9929,10,FALSE)</f>
        <v>N</v>
      </c>
      <c r="R418" s="4" t="str">
        <f>VLOOKUP($B418,'D7 - NDB Impacted SPRF''s'!$E$16:$O$9929,11,FALSE)</f>
        <v>N</v>
      </c>
      <c r="S418" s="8"/>
      <c r="T418" s="310"/>
      <c r="U418" s="310"/>
      <c r="V418" s="4"/>
      <c r="W418" s="4"/>
      <c r="X418" s="4"/>
      <c r="Y418" s="4"/>
      <c r="Z418" s="4"/>
      <c r="AA418" s="4"/>
      <c r="AB418" s="380" t="str">
        <f>VLOOKUP($B418,'D7 - NDB Impacted SPRF''s'!$E$16:$O$9929,4,FALSE)</f>
        <v>Completed</v>
      </c>
      <c r="AC418" s="380" t="str">
        <f>VLOOKUP($B418,'D7 - NDB Impacted SPRF''s'!$E$16:$O$9929,3,FALSE)</f>
        <v>UnitedHealthcare Employer &amp; Individual</v>
      </c>
      <c r="AD418" s="380" t="str">
        <f>VLOOKUP($B418,'D7 - NDB Impacted SPRF''s'!$E$16:$O$9929,5,FALSE)</f>
        <v>Integration Requirements</v>
      </c>
      <c r="AE418" s="380" t="str">
        <f>VLOOKUP($B418,'D7 - NDB Impacted SPRF''s'!$E$16:$O$9929,7,FALSE)</f>
        <v>Patrick Kennedy</v>
      </c>
      <c r="AF418" s="380" t="str">
        <f>VLOOKUP($B418,'D7 - NDB Impacted SPRF''s'!$E$16:$O$9929,6,FALSE)</f>
        <v>Borzage Deborah</v>
      </c>
      <c r="AG418" s="282"/>
      <c r="AH418" s="311" t="e">
        <f>INDEX('D5 - Gatekeeper - Projects'!$A$4:$AF$1010,$AM418, 17)</f>
        <v>#N/A</v>
      </c>
      <c r="AI418" s="8"/>
      <c r="AJ418" s="57"/>
      <c r="AK418" s="105"/>
      <c r="AL418" s="216"/>
      <c r="AM418" s="6" t="e">
        <f>MATCH(D418,'D5 - Gatekeeper - Projects'!$C$4:$C$1010,0)</f>
        <v>#N/A</v>
      </c>
      <c r="AN418" s="6" t="b">
        <f t="shared" si="41"/>
        <v>1</v>
      </c>
      <c r="AO418" s="6" t="str">
        <f t="shared" si="44"/>
        <v>OK</v>
      </c>
      <c r="AP418" s="216"/>
      <c r="AQ418" s="6" t="e">
        <f>MATCH($D418,'D4 - Provider Council Unsched'!$C$11:$C$234,0)</f>
        <v>#N/A</v>
      </c>
      <c r="AR418" s="6" t="b">
        <f t="shared" si="42"/>
        <v>1</v>
      </c>
      <c r="AS418" s="6" t="str">
        <f t="shared" si="40"/>
        <v>OK</v>
      </c>
      <c r="AU418" s="202"/>
      <c r="AV418" s="262"/>
      <c r="AW418" s="274"/>
    </row>
    <row r="419" spans="1:49" s="13" customFormat="1" ht="33.75" x14ac:dyDescent="0.2">
      <c r="A419" s="14">
        <v>395</v>
      </c>
      <c r="B419" s="14">
        <v>400009124</v>
      </c>
      <c r="C419" s="8" t="s">
        <v>5197</v>
      </c>
      <c r="D419" s="4" t="str">
        <f t="shared" si="43"/>
        <v>400009124R1</v>
      </c>
      <c r="E419" s="309" t="str">
        <f>VLOOKUP($B419,'D7 - NDB Impacted SPRF''s'!$E$6:$O$9929,2,FALSE)</f>
        <v>HPI/HPHC Netwk Access Solution-Fee Schedule Loads</v>
      </c>
      <c r="F419" s="8" t="s">
        <v>7132</v>
      </c>
      <c r="G419" s="8" t="s">
        <v>4758</v>
      </c>
      <c r="H419" s="8" t="s">
        <v>4246</v>
      </c>
      <c r="I419" s="20">
        <v>5.6</v>
      </c>
      <c r="J419" s="8" t="s">
        <v>4862</v>
      </c>
      <c r="K419" s="182">
        <v>38696</v>
      </c>
      <c r="L419" s="8" t="s">
        <v>4964</v>
      </c>
      <c r="M419" s="8" t="s">
        <v>2814</v>
      </c>
      <c r="N419" s="367"/>
      <c r="O419" s="8"/>
      <c r="P419" s="4" t="str">
        <f>VLOOKUP($B419,'D7 - NDB Impacted SPRF''s'!$E$16:$O$9929,9,FALSE)</f>
        <v>N</v>
      </c>
      <c r="Q419" s="4" t="str">
        <f>VLOOKUP($B419,'D7 - NDB Impacted SPRF''s'!$E$16:$O$9929,10,FALSE)</f>
        <v>N</v>
      </c>
      <c r="R419" s="4" t="str">
        <f>VLOOKUP($B419,'D7 - NDB Impacted SPRF''s'!$E$16:$O$9929,11,FALSE)</f>
        <v>N</v>
      </c>
      <c r="S419" s="8"/>
      <c r="T419" s="310"/>
      <c r="U419" s="310"/>
      <c r="V419" s="4"/>
      <c r="W419" s="4"/>
      <c r="X419" s="4"/>
      <c r="Y419" s="4"/>
      <c r="Z419" s="4"/>
      <c r="AA419" s="4"/>
      <c r="AB419" s="380" t="str">
        <f>VLOOKUP($B419,'D7 - NDB Impacted SPRF''s'!$E$16:$O$9929,4,FALSE)</f>
        <v>Completed</v>
      </c>
      <c r="AC419" s="380" t="str">
        <f>VLOOKUP($B419,'D7 - NDB Impacted SPRF''s'!$E$16:$O$9929,3,FALSE)</f>
        <v>UnitedHealthcare Employer &amp; Individual</v>
      </c>
      <c r="AD419" s="380" t="str">
        <f>VLOOKUP($B419,'D7 - NDB Impacted SPRF''s'!$E$16:$O$9929,5,FALSE)</f>
        <v>Operations Group</v>
      </c>
      <c r="AE419" s="380" t="str">
        <f>VLOOKUP($B419,'D7 - NDB Impacted SPRF''s'!$E$16:$O$9929,7,FALSE)</f>
        <v>Patrick Kennedy</v>
      </c>
      <c r="AF419" s="380" t="str">
        <f>VLOOKUP($B419,'D7 - NDB Impacted SPRF''s'!$E$16:$O$9929,6,FALSE)</f>
        <v>GREGORY MILLS</v>
      </c>
      <c r="AG419" s="282"/>
      <c r="AH419" s="311" t="e">
        <f>INDEX('D5 - Gatekeeper - Projects'!$A$4:$AF$1010,$AM419, 17)</f>
        <v>#N/A</v>
      </c>
      <c r="AI419" s="8"/>
      <c r="AJ419" s="57"/>
      <c r="AK419" s="105"/>
      <c r="AL419" s="216"/>
      <c r="AM419" s="6" t="e">
        <f>MATCH(D419,'D5 - Gatekeeper - Projects'!$C$4:$C$1010,0)</f>
        <v>#N/A</v>
      </c>
      <c r="AN419" s="6" t="b">
        <f t="shared" si="41"/>
        <v>1</v>
      </c>
      <c r="AO419" s="6" t="str">
        <f t="shared" si="44"/>
        <v>OK</v>
      </c>
      <c r="AP419" s="216"/>
      <c r="AQ419" s="6" t="e">
        <f>MATCH($D419,'D4 - Provider Council Unsched'!$C$11:$C$234,0)</f>
        <v>#N/A</v>
      </c>
      <c r="AR419" s="6" t="b">
        <f t="shared" si="42"/>
        <v>1</v>
      </c>
      <c r="AS419" s="6" t="str">
        <f t="shared" si="40"/>
        <v>OK</v>
      </c>
      <c r="AU419" s="202"/>
      <c r="AV419" s="262"/>
      <c r="AW419" s="274"/>
    </row>
    <row r="420" spans="1:49" s="13" customFormat="1" ht="33.75" x14ac:dyDescent="0.2">
      <c r="A420" s="14">
        <v>396</v>
      </c>
      <c r="B420" s="14">
        <v>400009196</v>
      </c>
      <c r="C420" s="8" t="s">
        <v>5197</v>
      </c>
      <c r="D420" s="4" t="str">
        <f t="shared" si="43"/>
        <v>400009196R1</v>
      </c>
      <c r="E420" s="309" t="str">
        <f>VLOOKUP($B420,'D7 - NDB Impacted SPRF''s'!$E$6:$O$9929,2,FALSE)</f>
        <v>HPI/HPHC EPDL UAT</v>
      </c>
      <c r="F420" s="8" t="s">
        <v>7132</v>
      </c>
      <c r="G420" s="8" t="s">
        <v>4758</v>
      </c>
      <c r="H420" s="8" t="s">
        <v>4246</v>
      </c>
      <c r="I420" s="20">
        <v>0.27</v>
      </c>
      <c r="J420" s="8" t="s">
        <v>4862</v>
      </c>
      <c r="K420" s="182">
        <v>38696</v>
      </c>
      <c r="L420" s="8" t="s">
        <v>4964</v>
      </c>
      <c r="M420" s="8" t="s">
        <v>2814</v>
      </c>
      <c r="N420" s="367"/>
      <c r="O420" s="8"/>
      <c r="P420" s="4" t="str">
        <f>VLOOKUP($B420,'D7 - NDB Impacted SPRF''s'!$E$16:$O$9929,9,FALSE)</f>
        <v>N</v>
      </c>
      <c r="Q420" s="4" t="str">
        <f>VLOOKUP($B420,'D7 - NDB Impacted SPRF''s'!$E$16:$O$9929,10,FALSE)</f>
        <v>N</v>
      </c>
      <c r="R420" s="4" t="str">
        <f>VLOOKUP($B420,'D7 - NDB Impacted SPRF''s'!$E$16:$O$9929,11,FALSE)</f>
        <v>N</v>
      </c>
      <c r="S420" s="8"/>
      <c r="T420" s="310"/>
      <c r="U420" s="310"/>
      <c r="V420" s="4"/>
      <c r="W420" s="4"/>
      <c r="X420" s="4"/>
      <c r="Y420" s="4"/>
      <c r="Z420" s="4"/>
      <c r="AA420" s="4"/>
      <c r="AB420" s="380" t="str">
        <f>VLOOKUP($B420,'D7 - NDB Impacted SPRF''s'!$E$16:$O$9929,4,FALSE)</f>
        <v>Completed</v>
      </c>
      <c r="AC420" s="380" t="str">
        <f>VLOOKUP($B420,'D7 - NDB Impacted SPRF''s'!$E$16:$O$9929,3,FALSE)</f>
        <v>UnitedHealthcare Employer &amp; Individual</v>
      </c>
      <c r="AD420" s="380" t="str">
        <f>VLOOKUP($B420,'D7 - NDB Impacted SPRF''s'!$E$16:$O$9929,5,FALSE)</f>
        <v>Operations Group</v>
      </c>
      <c r="AE420" s="380" t="str">
        <f>VLOOKUP($B420,'D7 - NDB Impacted SPRF''s'!$E$16:$O$9929,7,FALSE)</f>
        <v>Patrick Kennedy</v>
      </c>
      <c r="AF420" s="380" t="str">
        <f>VLOOKUP($B420,'D7 - NDB Impacted SPRF''s'!$E$16:$O$9929,6,FALSE)</f>
        <v>Barbara Dickson</v>
      </c>
      <c r="AG420" s="282"/>
      <c r="AH420" s="311" t="e">
        <f>INDEX('D5 - Gatekeeper - Projects'!$A$4:$AF$1010,$AM420, 17)</f>
        <v>#N/A</v>
      </c>
      <c r="AI420" s="8"/>
      <c r="AJ420" s="57"/>
      <c r="AK420" s="105"/>
      <c r="AL420" s="216"/>
      <c r="AM420" s="6" t="e">
        <f>MATCH(D420,'D5 - Gatekeeper - Projects'!$C$4:$C$1010,0)</f>
        <v>#N/A</v>
      </c>
      <c r="AN420" s="6" t="b">
        <f t="shared" si="41"/>
        <v>1</v>
      </c>
      <c r="AO420" s="6" t="str">
        <f t="shared" si="44"/>
        <v>OK</v>
      </c>
      <c r="AP420" s="216"/>
      <c r="AQ420" s="6" t="e">
        <f>MATCH($D420,'D4 - Provider Council Unsched'!$C$11:$C$234,0)</f>
        <v>#N/A</v>
      </c>
      <c r="AR420" s="6" t="b">
        <f t="shared" si="42"/>
        <v>1</v>
      </c>
      <c r="AS420" s="6" t="str">
        <f t="shared" si="40"/>
        <v>OK</v>
      </c>
      <c r="AU420" s="202"/>
      <c r="AV420" s="262"/>
      <c r="AW420" s="274"/>
    </row>
    <row r="421" spans="1:49" s="13" customFormat="1" ht="33.75" x14ac:dyDescent="0.2">
      <c r="A421" s="14">
        <v>397</v>
      </c>
      <c r="B421" s="14">
        <v>400009251</v>
      </c>
      <c r="C421" s="8" t="s">
        <v>5197</v>
      </c>
      <c r="D421" s="4" t="str">
        <f t="shared" si="43"/>
        <v>400009251R1</v>
      </c>
      <c r="E421" s="309" t="str">
        <f>VLOOKUP($B421,'D7 - NDB Impacted SPRF''s'!$E$6:$O$9929,2,FALSE)</f>
        <v>Duplicate Master Address Query Creation</v>
      </c>
      <c r="F421" s="8"/>
      <c r="G421" s="8" t="s">
        <v>4758</v>
      </c>
      <c r="H421" s="8" t="s">
        <v>4246</v>
      </c>
      <c r="I421" s="20">
        <v>0.27</v>
      </c>
      <c r="J421" s="8" t="s">
        <v>4862</v>
      </c>
      <c r="K421" s="182">
        <v>38696</v>
      </c>
      <c r="L421" s="8" t="s">
        <v>4964</v>
      </c>
      <c r="M421" s="8" t="s">
        <v>2814</v>
      </c>
      <c r="N421" s="367"/>
      <c r="O421" s="8"/>
      <c r="P421" s="4" t="str">
        <f>VLOOKUP($B421,'D7 - NDB Impacted SPRF''s'!$E$16:$O$9929,9,FALSE)</f>
        <v>N</v>
      </c>
      <c r="Q421" s="4" t="str">
        <f>VLOOKUP($B421,'D7 - NDB Impacted SPRF''s'!$E$16:$O$9929,10,FALSE)</f>
        <v>N</v>
      </c>
      <c r="R421" s="4" t="str">
        <f>VLOOKUP($B421,'D7 - NDB Impacted SPRF''s'!$E$16:$O$9929,11,FALSE)</f>
        <v>N</v>
      </c>
      <c r="S421" s="8"/>
      <c r="T421" s="310"/>
      <c r="U421" s="310"/>
      <c r="V421" s="4"/>
      <c r="W421" s="4"/>
      <c r="X421" s="4"/>
      <c r="Y421" s="4"/>
      <c r="Z421" s="4"/>
      <c r="AA421" s="4"/>
      <c r="AB421" s="380" t="str">
        <f>VLOOKUP($B421,'D7 - NDB Impacted SPRF''s'!$E$16:$O$9929,4,FALSE)</f>
        <v>Completed</v>
      </c>
      <c r="AC421" s="380" t="str">
        <f>VLOOKUP($B421,'D7 - NDB Impacted SPRF''s'!$E$16:$O$9929,3,FALSE)</f>
        <v>UnitedHealthcare Employer &amp; Individual</v>
      </c>
      <c r="AD421" s="380" t="str">
        <f>VLOOKUP($B421,'D7 - NDB Impacted SPRF''s'!$E$16:$O$9929,5,FALSE)</f>
        <v>Key Initiatives Group</v>
      </c>
      <c r="AE421" s="380" t="str">
        <f>VLOOKUP($B421,'D7 - NDB Impacted SPRF''s'!$E$16:$O$9929,7,FALSE)</f>
        <v>Peter Bompane</v>
      </c>
      <c r="AF421" s="380" t="str">
        <f>VLOOKUP($B421,'D7 - NDB Impacted SPRF''s'!$E$16:$O$9929,6,FALSE)</f>
        <v>Ali Fiad</v>
      </c>
      <c r="AG421" s="282"/>
      <c r="AH421" s="311" t="e">
        <f>INDEX('D5 - Gatekeeper - Projects'!$A$4:$AF$1010,$AM421, 17)</f>
        <v>#N/A</v>
      </c>
      <c r="AI421" s="8"/>
      <c r="AJ421" s="57"/>
      <c r="AK421" s="105"/>
      <c r="AL421" s="216"/>
      <c r="AM421" s="6" t="e">
        <f>MATCH(D421,'D5 - Gatekeeper - Projects'!$C$4:$C$1010,0)</f>
        <v>#N/A</v>
      </c>
      <c r="AN421" s="6" t="b">
        <f t="shared" si="41"/>
        <v>1</v>
      </c>
      <c r="AO421" s="6" t="str">
        <f t="shared" si="44"/>
        <v>OK</v>
      </c>
      <c r="AP421" s="216"/>
      <c r="AQ421" s="6" t="e">
        <f>MATCH($D421,'D4 - Provider Council Unsched'!$C$11:$C$234,0)</f>
        <v>#N/A</v>
      </c>
      <c r="AR421" s="6" t="b">
        <f t="shared" si="42"/>
        <v>1</v>
      </c>
      <c r="AS421" s="6" t="str">
        <f t="shared" si="40"/>
        <v>OK</v>
      </c>
      <c r="AU421" s="202"/>
      <c r="AV421" s="262"/>
      <c r="AW421" s="274"/>
    </row>
    <row r="422" spans="1:49" s="13" customFormat="1" ht="22.5" x14ac:dyDescent="0.2">
      <c r="A422" s="14">
        <v>398</v>
      </c>
      <c r="B422" s="14">
        <v>400009320</v>
      </c>
      <c r="C422" s="8" t="s">
        <v>3763</v>
      </c>
      <c r="D422" s="4" t="str">
        <f t="shared" si="43"/>
        <v>400009320R2</v>
      </c>
      <c r="E422" s="309" t="str">
        <f>VLOOKUP($B422,'D7 - NDB Impacted SPRF''s'!$E$6:$O$9929,2,FALSE)</f>
        <v>MEDICA - NDB-EA Medica Enhancements - Phase 1</v>
      </c>
      <c r="F422" s="8" t="s">
        <v>5196</v>
      </c>
      <c r="G422" s="8" t="s">
        <v>4758</v>
      </c>
      <c r="H422" s="8" t="s">
        <v>4246</v>
      </c>
      <c r="I422" s="20">
        <v>18</v>
      </c>
      <c r="J422" s="8" t="s">
        <v>4862</v>
      </c>
      <c r="K422" s="182">
        <v>38696</v>
      </c>
      <c r="L422" s="8" t="s">
        <v>4964</v>
      </c>
      <c r="M422" s="8" t="s">
        <v>2814</v>
      </c>
      <c r="N422" s="367"/>
      <c r="O422" s="8"/>
      <c r="P422" s="4" t="str">
        <f>VLOOKUP($B422,'D7 - NDB Impacted SPRF''s'!$E$16:$O$9929,9,FALSE)</f>
        <v>N</v>
      </c>
      <c r="Q422" s="4" t="str">
        <f>VLOOKUP($B422,'D7 - NDB Impacted SPRF''s'!$E$16:$O$9929,10,FALSE)</f>
        <v>N</v>
      </c>
      <c r="R422" s="4" t="str">
        <f>VLOOKUP($B422,'D7 - NDB Impacted SPRF''s'!$E$16:$O$9929,11,FALSE)</f>
        <v>N</v>
      </c>
      <c r="S422" s="8"/>
      <c r="T422" s="310"/>
      <c r="U422" s="310"/>
      <c r="V422" s="4"/>
      <c r="W422" s="4"/>
      <c r="X422" s="4"/>
      <c r="Y422" s="4"/>
      <c r="Z422" s="4"/>
      <c r="AA422" s="4"/>
      <c r="AB422" s="380" t="str">
        <f>VLOOKUP($B422,'D7 - NDB Impacted SPRF''s'!$E$16:$O$9929,4,FALSE)</f>
        <v>Completed</v>
      </c>
      <c r="AC422" s="380" t="str">
        <f>VLOOKUP($B422,'D7 - NDB Impacted SPRF''s'!$E$16:$O$9929,3,FALSE)</f>
        <v>Alliance</v>
      </c>
      <c r="AD422" s="380" t="str">
        <f>VLOOKUP($B422,'D7 - NDB Impacted SPRF''s'!$E$16:$O$9929,5,FALSE)</f>
        <v>Medica UNET Conversion</v>
      </c>
      <c r="AE422" s="380" t="str">
        <f>VLOOKUP($B422,'D7 - NDB Impacted SPRF''s'!$E$16:$O$9929,7,FALSE)</f>
        <v>Bev Nyce</v>
      </c>
      <c r="AF422" s="380" t="str">
        <f>VLOOKUP($B422,'D7 - NDB Impacted SPRF''s'!$E$16:$O$9929,6,FALSE)</f>
        <v>ELIZABETH Young</v>
      </c>
      <c r="AG422" s="282"/>
      <c r="AH422" s="311" t="e">
        <f>INDEX('D5 - Gatekeeper - Projects'!$A$4:$AF$1010,$AM422, 17)</f>
        <v>#N/A</v>
      </c>
      <c r="AI422" s="8"/>
      <c r="AJ422" s="57"/>
      <c r="AK422" s="105"/>
      <c r="AL422" s="216"/>
      <c r="AM422" s="6" t="e">
        <f>MATCH(D422,'D5 - Gatekeeper - Projects'!$C$4:$C$1010,0)</f>
        <v>#N/A</v>
      </c>
      <c r="AN422" s="6" t="b">
        <f t="shared" si="41"/>
        <v>1</v>
      </c>
      <c r="AO422" s="6" t="str">
        <f t="shared" si="44"/>
        <v>OK</v>
      </c>
      <c r="AP422" s="216"/>
      <c r="AQ422" s="6" t="e">
        <f>MATCH($D422,'D4 - Provider Council Unsched'!$C$11:$C$234,0)</f>
        <v>#N/A</v>
      </c>
      <c r="AR422" s="6" t="b">
        <f t="shared" si="42"/>
        <v>1</v>
      </c>
      <c r="AS422" s="6" t="str">
        <f t="shared" si="40"/>
        <v>OK</v>
      </c>
      <c r="AU422" s="202"/>
      <c r="AV422" s="262"/>
      <c r="AW422" s="274"/>
    </row>
    <row r="423" spans="1:49" s="13" customFormat="1" ht="22.5" x14ac:dyDescent="0.2">
      <c r="A423" s="14">
        <v>399</v>
      </c>
      <c r="B423" s="14">
        <v>400009771</v>
      </c>
      <c r="C423" s="8" t="s">
        <v>3763</v>
      </c>
      <c r="D423" s="4" t="str">
        <f t="shared" si="43"/>
        <v>400009771R2</v>
      </c>
      <c r="E423" s="309" t="str">
        <f>VLOOKUP($B423,'D7 - NDB Impacted SPRF''s'!$E$6:$O$9929,2,FALSE)</f>
        <v>Medica 1/1/06 EPDL Load UAT Resources</v>
      </c>
      <c r="F423" s="8" t="s">
        <v>5196</v>
      </c>
      <c r="G423" s="8" t="s">
        <v>4758</v>
      </c>
      <c r="H423" s="8" t="s">
        <v>4246</v>
      </c>
      <c r="I423" s="20">
        <v>0.13</v>
      </c>
      <c r="J423" s="8" t="s">
        <v>4862</v>
      </c>
      <c r="K423" s="182">
        <v>38696</v>
      </c>
      <c r="L423" s="8" t="s">
        <v>4964</v>
      </c>
      <c r="M423" s="8" t="s">
        <v>2814</v>
      </c>
      <c r="N423" s="367"/>
      <c r="O423" s="8"/>
      <c r="P423" s="4" t="str">
        <f>VLOOKUP($B423,'D7 - NDB Impacted SPRF''s'!$E$16:$O$9929,9,FALSE)</f>
        <v>N</v>
      </c>
      <c r="Q423" s="4" t="str">
        <f>VLOOKUP($B423,'D7 - NDB Impacted SPRF''s'!$E$16:$O$9929,10,FALSE)</f>
        <v>N</v>
      </c>
      <c r="R423" s="4" t="str">
        <f>VLOOKUP($B423,'D7 - NDB Impacted SPRF''s'!$E$16:$O$9929,11,FALSE)</f>
        <v>N</v>
      </c>
      <c r="S423" s="8"/>
      <c r="T423" s="310"/>
      <c r="U423" s="310"/>
      <c r="V423" s="4"/>
      <c r="W423" s="4"/>
      <c r="X423" s="4"/>
      <c r="Y423" s="4"/>
      <c r="Z423" s="4"/>
      <c r="AA423" s="4"/>
      <c r="AB423" s="380" t="str">
        <f>VLOOKUP($B423,'D7 - NDB Impacted SPRF''s'!$E$16:$O$9929,4,FALSE)</f>
        <v>Completed</v>
      </c>
      <c r="AC423" s="380" t="str">
        <f>VLOOKUP($B423,'D7 - NDB Impacted SPRF''s'!$E$16:$O$9929,3,FALSE)</f>
        <v>Alliance</v>
      </c>
      <c r="AD423" s="380" t="str">
        <f>VLOOKUP($B423,'D7 - NDB Impacted SPRF''s'!$E$16:$O$9929,5,FALSE)</f>
        <v>Medica UNET Conversion</v>
      </c>
      <c r="AE423" s="380" t="str">
        <f>VLOOKUP($B423,'D7 - NDB Impacted SPRF''s'!$E$16:$O$9929,7,FALSE)</f>
        <v>Bev Nyce</v>
      </c>
      <c r="AF423" s="380" t="str">
        <f>VLOOKUP($B423,'D7 - NDB Impacted SPRF''s'!$E$16:$O$9929,6,FALSE)</f>
        <v>KYLE WINNEGAR</v>
      </c>
      <c r="AG423" s="282"/>
      <c r="AH423" s="311" t="e">
        <f>INDEX('D5 - Gatekeeper - Projects'!$A$4:$AF$1010,$AM423, 17)</f>
        <v>#N/A</v>
      </c>
      <c r="AI423" s="8"/>
      <c r="AJ423" s="57"/>
      <c r="AK423" s="105"/>
      <c r="AL423" s="216"/>
      <c r="AM423" s="6" t="e">
        <f>MATCH(D423,'D5 - Gatekeeper - Projects'!$C$4:$C$1010,0)</f>
        <v>#N/A</v>
      </c>
      <c r="AN423" s="6" t="b">
        <f t="shared" si="41"/>
        <v>1</v>
      </c>
      <c r="AO423" s="6" t="str">
        <f t="shared" si="44"/>
        <v>OK</v>
      </c>
      <c r="AP423" s="216"/>
      <c r="AQ423" s="6" t="e">
        <f>MATCH($D423,'D4 - Provider Council Unsched'!$C$11:$C$234,0)</f>
        <v>#N/A</v>
      </c>
      <c r="AR423" s="6" t="b">
        <f t="shared" si="42"/>
        <v>1</v>
      </c>
      <c r="AS423" s="6" t="str">
        <f t="shared" si="40"/>
        <v>OK</v>
      </c>
      <c r="AU423" s="202"/>
      <c r="AV423" s="262"/>
      <c r="AW423" s="274"/>
    </row>
    <row r="424" spans="1:49" s="13" customFormat="1" ht="22.5" x14ac:dyDescent="0.2">
      <c r="A424" s="14">
        <v>400</v>
      </c>
      <c r="B424" s="14">
        <v>400006105</v>
      </c>
      <c r="C424" s="8" t="s">
        <v>5197</v>
      </c>
      <c r="D424" s="4" t="str">
        <f t="shared" si="43"/>
        <v>400006105R1</v>
      </c>
      <c r="E424" s="309" t="str">
        <f>VLOOKUP($B424,'D7 - NDB Impacted SPRF''s'!$E$6:$O$9929,2,FALSE)</f>
        <v>Sarbanes-Oxley - 2005 Compliance Activity</v>
      </c>
      <c r="F424" s="8" t="s">
        <v>2114</v>
      </c>
      <c r="G424" s="8" t="s">
        <v>4758</v>
      </c>
      <c r="H424" s="8" t="s">
        <v>4246</v>
      </c>
      <c r="I424" s="20">
        <v>4.67</v>
      </c>
      <c r="J424" s="8" t="s">
        <v>7114</v>
      </c>
      <c r="K424" s="182">
        <v>38717</v>
      </c>
      <c r="L424" s="8" t="s">
        <v>4964</v>
      </c>
      <c r="M424" s="8" t="s">
        <v>2814</v>
      </c>
      <c r="N424" s="367"/>
      <c r="O424" s="8"/>
      <c r="P424" s="4" t="str">
        <f>VLOOKUP($B424,'D7 - NDB Impacted SPRF''s'!$E$16:$O$9929,9,FALSE)</f>
        <v>Y</v>
      </c>
      <c r="Q424" s="4" t="str">
        <f>VLOOKUP($B424,'D7 - NDB Impacted SPRF''s'!$E$16:$O$9929,10,FALSE)</f>
        <v>N</v>
      </c>
      <c r="R424" s="4" t="str">
        <f>VLOOKUP($B424,'D7 - NDB Impacted SPRF''s'!$E$16:$O$9929,11,FALSE)</f>
        <v>N</v>
      </c>
      <c r="S424" s="8"/>
      <c r="T424" s="310"/>
      <c r="U424" s="310"/>
      <c r="V424" s="4"/>
      <c r="W424" s="4"/>
      <c r="X424" s="4"/>
      <c r="Y424" s="4"/>
      <c r="Z424" s="4"/>
      <c r="AA424" s="4"/>
      <c r="AB424" s="380" t="str">
        <f>VLOOKUP($B424,'D7 - NDB Impacted SPRF''s'!$E$16:$O$9929,4,FALSE)</f>
        <v>Completed</v>
      </c>
      <c r="AC424" s="380" t="str">
        <f>VLOOKUP($B424,'D7 - NDB Impacted SPRF''s'!$E$16:$O$9929,3,FALSE)</f>
        <v>Uniprise</v>
      </c>
      <c r="AD424" s="380" t="str">
        <f>VLOOKUP($B424,'D7 - NDB Impacted SPRF''s'!$E$16:$O$9929,5,FALSE)</f>
        <v>Uniprise Technologies - Capital Projects</v>
      </c>
      <c r="AE424" s="380" t="str">
        <f>VLOOKUP($B424,'D7 - NDB Impacted SPRF''s'!$E$16:$O$9929,7,FALSE)</f>
        <v>Anne DeFusco</v>
      </c>
      <c r="AF424" s="380" t="str">
        <f>VLOOKUP($B424,'D7 - NDB Impacted SPRF''s'!$E$16:$O$9929,6,FALSE)</f>
        <v>David Andre</v>
      </c>
      <c r="AG424" s="282"/>
      <c r="AH424" s="311" t="e">
        <f>INDEX('D5 - Gatekeeper - Projects'!$A$4:$AF$1010,$AM424, 17)</f>
        <v>#N/A</v>
      </c>
      <c r="AI424" s="8"/>
      <c r="AJ424" s="57"/>
      <c r="AK424" s="105"/>
      <c r="AL424" s="216"/>
      <c r="AM424" s="6" t="e">
        <f>MATCH(D424,'D5 - Gatekeeper - Projects'!$C$4:$C$1010,0)</f>
        <v>#N/A</v>
      </c>
      <c r="AN424" s="6" t="b">
        <f t="shared" si="41"/>
        <v>1</v>
      </c>
      <c r="AO424" s="6" t="str">
        <f t="shared" si="44"/>
        <v>OK</v>
      </c>
      <c r="AP424" s="216"/>
      <c r="AQ424" s="6" t="e">
        <f>MATCH($D424,'D4 - Provider Council Unsched'!$C$11:$C$234,0)</f>
        <v>#N/A</v>
      </c>
      <c r="AR424" s="6" t="b">
        <f t="shared" si="42"/>
        <v>1</v>
      </c>
      <c r="AS424" s="6" t="str">
        <f t="shared" si="40"/>
        <v>OK</v>
      </c>
      <c r="AU424" s="202"/>
      <c r="AV424" s="262"/>
      <c r="AW424" s="274"/>
    </row>
    <row r="425" spans="1:49" s="13" customFormat="1" ht="33.75" x14ac:dyDescent="0.2">
      <c r="A425" s="14">
        <v>401</v>
      </c>
      <c r="B425" s="14">
        <v>400000338</v>
      </c>
      <c r="C425" s="8" t="s">
        <v>2449</v>
      </c>
      <c r="D425" s="4" t="str">
        <f t="shared" si="43"/>
        <v>400000338R3</v>
      </c>
      <c r="E425" s="309" t="str">
        <f>VLOOKUP($B425,'D7 - NDB Impacted SPRF''s'!$E$6:$O$9929,2,FALSE)</f>
        <v>Unet Claims Calculations at the Total Claim Level</v>
      </c>
      <c r="F425" s="8" t="s">
        <v>5096</v>
      </c>
      <c r="G425" s="8" t="s">
        <v>4758</v>
      </c>
      <c r="H425" s="8" t="s">
        <v>4246</v>
      </c>
      <c r="I425" s="20">
        <v>1.06</v>
      </c>
      <c r="J425" s="8" t="s">
        <v>4862</v>
      </c>
      <c r="K425" s="182">
        <v>38745</v>
      </c>
      <c r="L425" s="8" t="s">
        <v>4964</v>
      </c>
      <c r="M425" s="8" t="s">
        <v>2814</v>
      </c>
      <c r="N425" s="367"/>
      <c r="O425" s="8"/>
      <c r="P425" s="4" t="str">
        <f>VLOOKUP($B425,'D7 - NDB Impacted SPRF''s'!$E$16:$O$9929,9,FALSE)</f>
        <v>Y</v>
      </c>
      <c r="Q425" s="4" t="str">
        <f>VLOOKUP($B425,'D7 - NDB Impacted SPRF''s'!$E$16:$O$9929,10,FALSE)</f>
        <v>N</v>
      </c>
      <c r="R425" s="4" t="str">
        <f>VLOOKUP($B425,'D7 - NDB Impacted SPRF''s'!$E$16:$O$9929,11,FALSE)</f>
        <v>N</v>
      </c>
      <c r="S425" s="8"/>
      <c r="T425" s="310"/>
      <c r="U425" s="310"/>
      <c r="V425" s="4"/>
      <c r="W425" s="4"/>
      <c r="X425" s="4"/>
      <c r="Y425" s="4"/>
      <c r="Z425" s="4"/>
      <c r="AA425" s="4"/>
      <c r="AB425" s="380" t="str">
        <f>VLOOKUP($B425,'D7 - NDB Impacted SPRF''s'!$E$16:$O$9929,4,FALSE)</f>
        <v>Completed</v>
      </c>
      <c r="AC425" s="380" t="str">
        <f>VLOOKUP($B425,'D7 - NDB Impacted SPRF''s'!$E$16:$O$9929,3,FALSE)</f>
        <v>UnitedHealthcare Employer &amp; Individual</v>
      </c>
      <c r="AD425" s="380" t="str">
        <f>VLOOKUP($B425,'D7 - NDB Impacted SPRF''s'!$E$16:$O$9929,5,FALSE)</f>
        <v>Operations Group</v>
      </c>
      <c r="AE425" s="380" t="str">
        <f>VLOOKUP($B425,'D7 - NDB Impacted SPRF''s'!$E$16:$O$9929,7,FALSE)</f>
        <v>Steve Rodgers</v>
      </c>
      <c r="AF425" s="380" t="str">
        <f>VLOOKUP($B425,'D7 - NDB Impacted SPRF''s'!$E$16:$O$9929,6,FALSE)</f>
        <v>WADLOW KAREN</v>
      </c>
      <c r="AG425" s="282"/>
      <c r="AH425" s="311" t="e">
        <f>INDEX('D5 - Gatekeeper - Projects'!$A$4:$AF$1010,$AM425, 17)</f>
        <v>#N/A</v>
      </c>
      <c r="AI425" s="8"/>
      <c r="AJ425" s="57"/>
      <c r="AK425" s="105"/>
      <c r="AL425" s="216"/>
      <c r="AM425" s="6" t="e">
        <f>MATCH(D425,'D5 - Gatekeeper - Projects'!$C$4:$C$1010,0)</f>
        <v>#N/A</v>
      </c>
      <c r="AN425" s="6" t="b">
        <f t="shared" si="41"/>
        <v>1</v>
      </c>
      <c r="AO425" s="6" t="str">
        <f t="shared" si="44"/>
        <v>OK</v>
      </c>
      <c r="AP425" s="216"/>
      <c r="AQ425" s="6" t="e">
        <f>MATCH($D425,'D4 - Provider Council Unsched'!$C$11:$C$234,0)</f>
        <v>#N/A</v>
      </c>
      <c r="AR425" s="6" t="b">
        <f t="shared" si="42"/>
        <v>1</v>
      </c>
      <c r="AS425" s="6" t="str">
        <f t="shared" si="40"/>
        <v>OK</v>
      </c>
      <c r="AU425" s="202"/>
      <c r="AV425" s="262"/>
      <c r="AW425" s="274"/>
    </row>
    <row r="426" spans="1:49" s="13" customFormat="1" ht="33.75" x14ac:dyDescent="0.2">
      <c r="A426" s="14">
        <v>402</v>
      </c>
      <c r="B426" s="14">
        <v>400001058</v>
      </c>
      <c r="C426" s="8" t="s">
        <v>3763</v>
      </c>
      <c r="D426" s="4" t="str">
        <f t="shared" si="43"/>
        <v>400001058R2</v>
      </c>
      <c r="E426" s="309" t="str">
        <f>VLOOKUP($B426,'D7 - NDB Impacted SPRF''s'!$E$6:$O$9929,2,FALSE)</f>
        <v>Auto-Adjudication - Diagnosis / Cause Code Table</v>
      </c>
      <c r="F426" s="8"/>
      <c r="G426" s="8" t="s">
        <v>4758</v>
      </c>
      <c r="H426" s="8" t="s">
        <v>4246</v>
      </c>
      <c r="I426" s="20">
        <v>9.11</v>
      </c>
      <c r="J426" s="8" t="s">
        <v>4862</v>
      </c>
      <c r="K426" s="182">
        <v>38745</v>
      </c>
      <c r="L426" s="8" t="s">
        <v>4964</v>
      </c>
      <c r="M426" s="8" t="s">
        <v>2814</v>
      </c>
      <c r="N426" s="367" t="s">
        <v>6926</v>
      </c>
      <c r="O426" s="8"/>
      <c r="P426" s="4" t="str">
        <f>VLOOKUP($B426,'D7 - NDB Impacted SPRF''s'!$E$16:$O$9929,9,FALSE)</f>
        <v>Y</v>
      </c>
      <c r="Q426" s="4" t="str">
        <f>VLOOKUP($B426,'D7 - NDB Impacted SPRF''s'!$E$16:$O$9929,10,FALSE)</f>
        <v>N</v>
      </c>
      <c r="R426" s="4" t="str">
        <f>VLOOKUP($B426,'D7 - NDB Impacted SPRF''s'!$E$16:$O$9929,11,FALSE)</f>
        <v>N</v>
      </c>
      <c r="S426" s="8"/>
      <c r="T426" s="310"/>
      <c r="U426" s="310"/>
      <c r="V426" s="4"/>
      <c r="W426" s="4"/>
      <c r="X426" s="4"/>
      <c r="Y426" s="4"/>
      <c r="Z426" s="4"/>
      <c r="AA426" s="4"/>
      <c r="AB426" s="380" t="str">
        <f>VLOOKUP($B426,'D7 - NDB Impacted SPRF''s'!$E$16:$O$9929,4,FALSE)</f>
        <v>Cancelled</v>
      </c>
      <c r="AC426" s="380" t="str">
        <f>VLOOKUP($B426,'D7 - NDB Impacted SPRF''s'!$E$16:$O$9929,3,FALSE)</f>
        <v>UnitedHealthcare Employer &amp; Individual</v>
      </c>
      <c r="AD426" s="380" t="str">
        <f>VLOOKUP($B426,'D7 - NDB Impacted SPRF''s'!$E$16:$O$9929,5,FALSE)</f>
        <v>Operational Requirements</v>
      </c>
      <c r="AE426" s="380" t="str">
        <f>VLOOKUP($B426,'D7 - NDB Impacted SPRF''s'!$E$16:$O$9929,7,FALSE)</f>
        <v>Tom O'Brien</v>
      </c>
      <c r="AF426" s="380" t="str">
        <f>VLOOKUP($B426,'D7 - NDB Impacted SPRF''s'!$E$16:$O$9929,6,FALSE)</f>
        <v>Rob Schleinitz</v>
      </c>
      <c r="AG426" s="282"/>
      <c r="AH426" s="311" t="e">
        <f>INDEX('D5 - Gatekeeper - Projects'!$A$4:$AF$1010,$AM426, 17)</f>
        <v>#N/A</v>
      </c>
      <c r="AI426" s="8"/>
      <c r="AJ426" s="57"/>
      <c r="AK426" s="105"/>
      <c r="AL426" s="216"/>
      <c r="AM426" s="6" t="e">
        <f>MATCH(D426,'D5 - Gatekeeper - Projects'!$C$4:$C$1010,0)</f>
        <v>#N/A</v>
      </c>
      <c r="AN426" s="6" t="b">
        <f t="shared" si="41"/>
        <v>1</v>
      </c>
      <c r="AO426" s="6" t="str">
        <f t="shared" si="44"/>
        <v>OK</v>
      </c>
      <c r="AP426" s="216"/>
      <c r="AQ426" s="6" t="e">
        <f>MATCH($D426,'D4 - Provider Council Unsched'!$C$11:$C$234,0)</f>
        <v>#N/A</v>
      </c>
      <c r="AR426" s="6" t="b">
        <f t="shared" si="42"/>
        <v>1</v>
      </c>
      <c r="AS426" s="6" t="str">
        <f t="shared" si="40"/>
        <v>OK</v>
      </c>
      <c r="AU426" s="202"/>
      <c r="AV426" s="262"/>
      <c r="AW426" s="274"/>
    </row>
    <row r="427" spans="1:49" s="13" customFormat="1" ht="33.75" x14ac:dyDescent="0.2">
      <c r="A427" s="14">
        <v>403</v>
      </c>
      <c r="B427" s="14">
        <v>400001912</v>
      </c>
      <c r="C427" s="8" t="s">
        <v>3763</v>
      </c>
      <c r="D427" s="4" t="str">
        <f t="shared" si="43"/>
        <v>400001912R2</v>
      </c>
      <c r="E427" s="309" t="str">
        <f>VLOOKUP($B427,'D7 - NDB Impacted SPRF''s'!$E$6:$O$9929,2,FALSE)</f>
        <v>Field Expansion Project</v>
      </c>
      <c r="F427" s="8" t="s">
        <v>5226</v>
      </c>
      <c r="G427" s="8" t="s">
        <v>4758</v>
      </c>
      <c r="H427" s="8" t="s">
        <v>4246</v>
      </c>
      <c r="I427" s="20">
        <v>50.99</v>
      </c>
      <c r="J427" s="8" t="s">
        <v>4862</v>
      </c>
      <c r="K427" s="182">
        <v>38745</v>
      </c>
      <c r="L427" s="8" t="s">
        <v>4964</v>
      </c>
      <c r="M427" s="8" t="s">
        <v>2814</v>
      </c>
      <c r="N427" s="367"/>
      <c r="O427" s="8"/>
      <c r="P427" s="4" t="str">
        <f>VLOOKUP($B427,'D7 - NDB Impacted SPRF''s'!$E$16:$O$9929,9,FALSE)</f>
        <v>Y</v>
      </c>
      <c r="Q427" s="4" t="str">
        <f>VLOOKUP($B427,'D7 - NDB Impacted SPRF''s'!$E$16:$O$9929,10,FALSE)</f>
        <v>N</v>
      </c>
      <c r="R427" s="4" t="str">
        <f>VLOOKUP($B427,'D7 - NDB Impacted SPRF''s'!$E$16:$O$9929,11,FALSE)</f>
        <v>N</v>
      </c>
      <c r="S427" s="8"/>
      <c r="T427" s="310"/>
      <c r="U427" s="310"/>
      <c r="V427" s="4"/>
      <c r="W427" s="4"/>
      <c r="X427" s="4"/>
      <c r="Y427" s="4"/>
      <c r="Z427" s="4"/>
      <c r="AA427" s="4"/>
      <c r="AB427" s="380" t="str">
        <f>VLOOKUP($B427,'D7 - NDB Impacted SPRF''s'!$E$16:$O$9929,4,FALSE)</f>
        <v>Completed</v>
      </c>
      <c r="AC427" s="380" t="str">
        <f>VLOOKUP($B427,'D7 - NDB Impacted SPRF''s'!$E$16:$O$9929,3,FALSE)</f>
        <v>UnitedHealthcare Employer &amp; Individual</v>
      </c>
      <c r="AD427" s="380" t="str">
        <f>VLOOKUP($B427,'D7 - NDB Impacted SPRF''s'!$E$16:$O$9929,5,FALSE)</f>
        <v>Key Initiatives Group</v>
      </c>
      <c r="AE427" s="380" t="str">
        <f>VLOOKUP($B427,'D7 - NDB Impacted SPRF''s'!$E$16:$O$9929,7,FALSE)</f>
        <v>Timothy Kaja</v>
      </c>
      <c r="AF427" s="380" t="str">
        <f>VLOOKUP($B427,'D7 - NDB Impacted SPRF''s'!$E$16:$O$9929,6,FALSE)</f>
        <v>KATHRYN GORHAM</v>
      </c>
      <c r="AG427" s="282"/>
      <c r="AH427" s="311" t="e">
        <f>INDEX('D5 - Gatekeeper - Projects'!$A$4:$AF$1010,$AM427, 17)</f>
        <v>#N/A</v>
      </c>
      <c r="AI427" s="8"/>
      <c r="AJ427" s="57"/>
      <c r="AK427" s="105"/>
      <c r="AL427" s="216"/>
      <c r="AM427" s="6" t="e">
        <f>MATCH(D427,'D5 - Gatekeeper - Projects'!$C$4:$C$1010,0)</f>
        <v>#N/A</v>
      </c>
      <c r="AN427" s="6" t="b">
        <f t="shared" si="41"/>
        <v>1</v>
      </c>
      <c r="AO427" s="6" t="str">
        <f t="shared" si="44"/>
        <v>OK</v>
      </c>
      <c r="AP427" s="216"/>
      <c r="AQ427" s="6" t="e">
        <f>MATCH($D427,'D4 - Provider Council Unsched'!$C$11:$C$234,0)</f>
        <v>#N/A</v>
      </c>
      <c r="AR427" s="6" t="b">
        <f t="shared" si="42"/>
        <v>1</v>
      </c>
      <c r="AS427" s="6" t="str">
        <f t="shared" si="40"/>
        <v>OK</v>
      </c>
      <c r="AU427" s="202"/>
      <c r="AV427" s="262"/>
      <c r="AW427" s="274"/>
    </row>
    <row r="428" spans="1:49" s="13" customFormat="1" ht="33.75" x14ac:dyDescent="0.2">
      <c r="A428" s="14">
        <v>404</v>
      </c>
      <c r="B428" s="14">
        <v>400003809</v>
      </c>
      <c r="C428" s="8" t="s">
        <v>3763</v>
      </c>
      <c r="D428" s="4" t="str">
        <f t="shared" si="43"/>
        <v>400003809R2</v>
      </c>
      <c r="E428" s="309" t="str">
        <f>VLOOKUP($B428,'D7 - NDB Impacted SPRF''s'!$E$6:$O$9929,2,FALSE)</f>
        <v xml:space="preserve">Ovations Conversion to Diamond </v>
      </c>
      <c r="F428" s="8" t="s">
        <v>5544</v>
      </c>
      <c r="G428" s="8" t="s">
        <v>4758</v>
      </c>
      <c r="H428" s="8" t="s">
        <v>4246</v>
      </c>
      <c r="I428" s="20">
        <v>24.74</v>
      </c>
      <c r="J428" s="8" t="s">
        <v>4862</v>
      </c>
      <c r="K428" s="182">
        <v>38745</v>
      </c>
      <c r="L428" s="8" t="s">
        <v>4964</v>
      </c>
      <c r="M428" s="8" t="s">
        <v>2814</v>
      </c>
      <c r="N428" s="367"/>
      <c r="O428" s="8"/>
      <c r="P428" s="4" t="str">
        <f>VLOOKUP($B428,'D7 - NDB Impacted SPRF''s'!$E$16:$O$9929,9,FALSE)</f>
        <v>N</v>
      </c>
      <c r="Q428" s="4" t="str">
        <f>VLOOKUP($B428,'D7 - NDB Impacted SPRF''s'!$E$16:$O$9929,10,FALSE)</f>
        <v>N</v>
      </c>
      <c r="R428" s="4" t="str">
        <f>VLOOKUP($B428,'D7 - NDB Impacted SPRF''s'!$E$16:$O$9929,11,FALSE)</f>
        <v>N</v>
      </c>
      <c r="S428" s="8"/>
      <c r="T428" s="310"/>
      <c r="U428" s="310"/>
      <c r="V428" s="4"/>
      <c r="W428" s="4"/>
      <c r="X428" s="4"/>
      <c r="Y428" s="4"/>
      <c r="Z428" s="4"/>
      <c r="AA428" s="4"/>
      <c r="AB428" s="380" t="str">
        <f>VLOOKUP($B428,'D7 - NDB Impacted SPRF''s'!$E$16:$O$9929,4,FALSE)</f>
        <v>Completed</v>
      </c>
      <c r="AC428" s="380" t="str">
        <f>VLOOKUP($B428,'D7 - NDB Impacted SPRF''s'!$E$16:$O$9929,3,FALSE)</f>
        <v>UnitedHealthcare Medicare &amp; Retirement</v>
      </c>
      <c r="AD428" s="380" t="str">
        <f>VLOOKUP($B428,'D7 - NDB Impacted SPRF''s'!$E$16:$O$9929,5,FALSE)</f>
        <v>Ovations</v>
      </c>
      <c r="AE428" s="380" t="str">
        <f>VLOOKUP($B428,'D7 - NDB Impacted SPRF''s'!$E$16:$O$9929,7,FALSE)</f>
        <v>Mike Cautin/Jerry Knutson</v>
      </c>
      <c r="AF428" s="380" t="str">
        <f>VLOOKUP($B428,'D7 - NDB Impacted SPRF''s'!$E$16:$O$9929,6,FALSE)</f>
        <v>Susan Gruwell</v>
      </c>
      <c r="AG428" s="282"/>
      <c r="AH428" s="311" t="e">
        <f>INDEX('D5 - Gatekeeper - Projects'!$A$4:$AF$1010,$AM428, 17)</f>
        <v>#N/A</v>
      </c>
      <c r="AI428" s="8"/>
      <c r="AJ428" s="57"/>
      <c r="AK428" s="105"/>
      <c r="AL428" s="216"/>
      <c r="AM428" s="6" t="e">
        <f>MATCH(D428,'D5 - Gatekeeper - Projects'!$C$4:$C$1010,0)</f>
        <v>#N/A</v>
      </c>
      <c r="AN428" s="6" t="b">
        <f t="shared" si="41"/>
        <v>1</v>
      </c>
      <c r="AO428" s="6" t="str">
        <f t="shared" si="44"/>
        <v>OK</v>
      </c>
      <c r="AP428" s="216"/>
      <c r="AQ428" s="6" t="e">
        <f>MATCH($D428,'D4 - Provider Council Unsched'!$C$11:$C$234,0)</f>
        <v>#N/A</v>
      </c>
      <c r="AR428" s="6" t="b">
        <f t="shared" si="42"/>
        <v>1</v>
      </c>
      <c r="AS428" s="6" t="str">
        <f t="shared" ref="AS428:AS491" si="45">IF(AND(H428="2 - Not Scheduled",AR428=TRUE),"Add","OK")</f>
        <v>OK</v>
      </c>
      <c r="AU428" s="202"/>
      <c r="AV428" s="262"/>
      <c r="AW428" s="274"/>
    </row>
    <row r="429" spans="1:49" s="13" customFormat="1" ht="22.5" x14ac:dyDescent="0.2">
      <c r="A429" s="14">
        <v>405</v>
      </c>
      <c r="B429" s="14">
        <v>400007178</v>
      </c>
      <c r="C429" s="8" t="s">
        <v>5197</v>
      </c>
      <c r="D429" s="4" t="str">
        <f t="shared" si="43"/>
        <v>400007178R1</v>
      </c>
      <c r="E429" s="309" t="str">
        <f>VLOOKUP($B429,'D7 - NDB Impacted SPRF''s'!$E$6:$O$9929,2,FALSE)</f>
        <v>Medica - Super User Access</v>
      </c>
      <c r="F429" s="8" t="s">
        <v>3884</v>
      </c>
      <c r="G429" s="8" t="s">
        <v>4758</v>
      </c>
      <c r="H429" s="8" t="s">
        <v>4246</v>
      </c>
      <c r="I429" s="20">
        <v>1.07</v>
      </c>
      <c r="J429" s="8" t="s">
        <v>7114</v>
      </c>
      <c r="K429" s="182">
        <v>38745</v>
      </c>
      <c r="L429" s="8" t="s">
        <v>4964</v>
      </c>
      <c r="M429" s="8" t="s">
        <v>2814</v>
      </c>
      <c r="N429" s="367"/>
      <c r="O429" s="8"/>
      <c r="P429" s="4" t="str">
        <f>VLOOKUP($B429,'D7 - NDB Impacted SPRF''s'!$E$16:$O$9929,9,FALSE)</f>
        <v>N</v>
      </c>
      <c r="Q429" s="4" t="str">
        <f>VLOOKUP($B429,'D7 - NDB Impacted SPRF''s'!$E$16:$O$9929,10,FALSE)</f>
        <v>N</v>
      </c>
      <c r="R429" s="4" t="str">
        <f>VLOOKUP($B429,'D7 - NDB Impacted SPRF''s'!$E$16:$O$9929,11,FALSE)</f>
        <v>N</v>
      </c>
      <c r="S429" s="8"/>
      <c r="T429" s="310"/>
      <c r="U429" s="310"/>
      <c r="V429" s="4"/>
      <c r="W429" s="4"/>
      <c r="X429" s="4"/>
      <c r="Y429" s="4"/>
      <c r="Z429" s="4"/>
      <c r="AA429" s="4"/>
      <c r="AB429" s="380" t="str">
        <f>VLOOKUP($B429,'D7 - NDB Impacted SPRF''s'!$E$16:$O$9929,4,FALSE)</f>
        <v>Completed</v>
      </c>
      <c r="AC429" s="380" t="str">
        <f>VLOOKUP($B429,'D7 - NDB Impacted SPRF''s'!$E$16:$O$9929,3,FALSE)</f>
        <v>Uniprise</v>
      </c>
      <c r="AD429" s="380" t="str">
        <f>VLOOKUP($B429,'D7 - NDB Impacted SPRF''s'!$E$16:$O$9929,5,FALSE)</f>
        <v>UOS - DDC</v>
      </c>
      <c r="AE429" s="380" t="str">
        <f>VLOOKUP($B429,'D7 - NDB Impacted SPRF''s'!$E$16:$O$9929,7,FALSE)</f>
        <v>Joanne Houck</v>
      </c>
      <c r="AF429" s="380" t="str">
        <f>VLOOKUP($B429,'D7 - NDB Impacted SPRF''s'!$E$16:$O$9929,6,FALSE)</f>
        <v>RONALD RODER</v>
      </c>
      <c r="AG429" s="282"/>
      <c r="AH429" s="311" t="e">
        <f>INDEX('D5 - Gatekeeper - Projects'!$A$4:$AF$1010,$AM429, 17)</f>
        <v>#N/A</v>
      </c>
      <c r="AI429" s="8"/>
      <c r="AJ429" s="57"/>
      <c r="AK429" s="105"/>
      <c r="AM429" s="6" t="e">
        <f>MATCH(D429,'D5 - Gatekeeper - Projects'!$C$4:$C$1010,0)</f>
        <v>#N/A</v>
      </c>
      <c r="AN429" s="6" t="b">
        <f t="shared" si="41"/>
        <v>1</v>
      </c>
      <c r="AO429" s="6" t="str">
        <f t="shared" si="44"/>
        <v>OK</v>
      </c>
      <c r="AQ429" s="6" t="e">
        <f>MATCH($D429,'D4 - Provider Council Unsched'!$C$11:$C$234,0)</f>
        <v>#N/A</v>
      </c>
      <c r="AR429" s="6" t="b">
        <f t="shared" si="42"/>
        <v>1</v>
      </c>
      <c r="AS429" s="6" t="str">
        <f t="shared" si="45"/>
        <v>OK</v>
      </c>
      <c r="AU429" s="202"/>
      <c r="AV429" s="262"/>
      <c r="AW429" s="274"/>
    </row>
    <row r="430" spans="1:49" s="13" customFormat="1" ht="11.25" customHeight="1" x14ac:dyDescent="0.2">
      <c r="A430" s="14">
        <v>406</v>
      </c>
      <c r="B430" s="14">
        <v>400007802</v>
      </c>
      <c r="C430" s="8" t="s">
        <v>5197</v>
      </c>
      <c r="D430" s="4" t="str">
        <f t="shared" si="43"/>
        <v>400007802R1</v>
      </c>
      <c r="E430" s="309" t="str">
        <f>VLOOKUP($B430,'D7 - NDB Impacted SPRF''s'!$E$6:$O$9929,2,FALSE)</f>
        <v>Definity HCFA and UB to ppoONE/iCES</v>
      </c>
      <c r="F430" s="8" t="s">
        <v>3876</v>
      </c>
      <c r="G430" s="8" t="s">
        <v>4758</v>
      </c>
      <c r="H430" s="8" t="s">
        <v>4246</v>
      </c>
      <c r="I430" s="20">
        <v>5</v>
      </c>
      <c r="J430" s="8" t="s">
        <v>4862</v>
      </c>
      <c r="K430" s="182">
        <v>38745</v>
      </c>
      <c r="L430" s="8" t="s">
        <v>4964</v>
      </c>
      <c r="M430" s="8" t="s">
        <v>2814</v>
      </c>
      <c r="N430" s="367"/>
      <c r="O430" s="8"/>
      <c r="P430" s="4" t="str">
        <f>VLOOKUP($B430,'D7 - NDB Impacted SPRF''s'!$E$16:$O$9929,9,FALSE)</f>
        <v>N</v>
      </c>
      <c r="Q430" s="4" t="str">
        <f>VLOOKUP($B430,'D7 - NDB Impacted SPRF''s'!$E$16:$O$9929,10,FALSE)</f>
        <v>N</v>
      </c>
      <c r="R430" s="4" t="str">
        <f>VLOOKUP($B430,'D7 - NDB Impacted SPRF''s'!$E$16:$O$9929,11,FALSE)</f>
        <v>N</v>
      </c>
      <c r="S430" s="8"/>
      <c r="T430" s="310"/>
      <c r="U430" s="310"/>
      <c r="V430" s="4"/>
      <c r="W430" s="4"/>
      <c r="X430" s="4"/>
      <c r="Y430" s="4"/>
      <c r="Z430" s="4"/>
      <c r="AA430" s="4"/>
      <c r="AB430" s="380" t="str">
        <f>VLOOKUP($B430,'D7 - NDB Impacted SPRF''s'!$E$16:$O$9929,4,FALSE)</f>
        <v>Completed</v>
      </c>
      <c r="AC430" s="380" t="str">
        <f>VLOOKUP($B430,'D7 - NDB Impacted SPRF''s'!$E$16:$O$9929,3,FALSE)</f>
        <v>Uniprise</v>
      </c>
      <c r="AD430" s="380" t="str">
        <f>VLOOKUP($B430,'D7 - NDB Impacted SPRF''s'!$E$16:$O$9929,5,FALSE)</f>
        <v>Definity - Capital Projects</v>
      </c>
      <c r="AE430" s="380" t="str">
        <f>VLOOKUP($B430,'D7 - NDB Impacted SPRF''s'!$E$16:$O$9929,7,FALSE)</f>
        <v>Bruce MacGibbon</v>
      </c>
      <c r="AF430" s="380" t="str">
        <f>VLOOKUP($B430,'D7 - NDB Impacted SPRF''s'!$E$16:$O$9929,6,FALSE)</f>
        <v>SUSAN HINES</v>
      </c>
      <c r="AG430" s="282"/>
      <c r="AH430" s="311" t="e">
        <f>INDEX('D5 - Gatekeeper - Projects'!$A$4:$AF$1010,$AM430, 17)</f>
        <v>#N/A</v>
      </c>
      <c r="AI430" s="8"/>
      <c r="AJ430" s="57"/>
      <c r="AK430" s="105"/>
      <c r="AL430" s="216"/>
      <c r="AM430" s="6" t="e">
        <f>MATCH(D430,'D5 - Gatekeeper - Projects'!$C$4:$C$1010,0)</f>
        <v>#N/A</v>
      </c>
      <c r="AN430" s="6" t="b">
        <f t="shared" si="41"/>
        <v>1</v>
      </c>
      <c r="AO430" s="6" t="str">
        <f t="shared" si="44"/>
        <v>OK</v>
      </c>
      <c r="AP430" s="216"/>
      <c r="AQ430" s="6" t="e">
        <f>MATCH($D430,'D4 - Provider Council Unsched'!$C$11:$C$234,0)</f>
        <v>#N/A</v>
      </c>
      <c r="AR430" s="6" t="b">
        <f t="shared" si="42"/>
        <v>1</v>
      </c>
      <c r="AS430" s="6" t="str">
        <f t="shared" si="45"/>
        <v>OK</v>
      </c>
      <c r="AU430" s="202"/>
      <c r="AV430" s="262"/>
      <c r="AW430" s="274"/>
    </row>
    <row r="431" spans="1:49" s="13" customFormat="1" ht="33.75" x14ac:dyDescent="0.2">
      <c r="A431" s="14">
        <v>407</v>
      </c>
      <c r="B431" s="14">
        <v>400007964</v>
      </c>
      <c r="C431" s="8" t="s">
        <v>5197</v>
      </c>
      <c r="D431" s="4" t="str">
        <f t="shared" si="43"/>
        <v>400007964R1</v>
      </c>
      <c r="E431" s="309" t="str">
        <f>VLOOKUP($B431,'D7 - NDB Impacted SPRF''s'!$E$6:$O$9929,2,FALSE)</f>
        <v>Alliance PPO: Phase 1, diCarta Contracting</v>
      </c>
      <c r="F431" s="8" t="s">
        <v>1931</v>
      </c>
      <c r="G431" s="8" t="s">
        <v>4758</v>
      </c>
      <c r="H431" s="8" t="s">
        <v>4246</v>
      </c>
      <c r="I431" s="20">
        <v>6</v>
      </c>
      <c r="J431" s="8" t="s">
        <v>7114</v>
      </c>
      <c r="K431" s="182">
        <v>38745</v>
      </c>
      <c r="L431" s="8" t="s">
        <v>4964</v>
      </c>
      <c r="M431" s="8" t="s">
        <v>2814</v>
      </c>
      <c r="N431" s="367"/>
      <c r="O431" s="8"/>
      <c r="P431" s="4" t="str">
        <f>VLOOKUP($B431,'D7 - NDB Impacted SPRF''s'!$E$16:$O$9929,9,FALSE)</f>
        <v>N</v>
      </c>
      <c r="Q431" s="4" t="str">
        <f>VLOOKUP($B431,'D7 - NDB Impacted SPRF''s'!$E$16:$O$9929,10,FALSE)</f>
        <v>N</v>
      </c>
      <c r="R431" s="4" t="str">
        <f>VLOOKUP($B431,'D7 - NDB Impacted SPRF''s'!$E$16:$O$9929,11,FALSE)</f>
        <v>N</v>
      </c>
      <c r="S431" s="8"/>
      <c r="T431" s="310"/>
      <c r="U431" s="310"/>
      <c r="V431" s="4"/>
      <c r="W431" s="4"/>
      <c r="X431" s="4"/>
      <c r="Y431" s="4"/>
      <c r="Z431" s="4"/>
      <c r="AA431" s="4"/>
      <c r="AB431" s="380" t="str">
        <f>VLOOKUP($B431,'D7 - NDB Impacted SPRF''s'!$E$16:$O$9929,4,FALSE)</f>
        <v>Completed</v>
      </c>
      <c r="AC431" s="380" t="str">
        <f>VLOOKUP($B431,'D7 - NDB Impacted SPRF''s'!$E$16:$O$9929,3,FALSE)</f>
        <v>UnitedHealthcare Employer &amp; Individual</v>
      </c>
      <c r="AD431" s="380" t="str">
        <f>VLOOKUP($B431,'D7 - NDB Impacted SPRF''s'!$E$16:$O$9929,5,FALSE)</f>
        <v>Key Initiatives Group</v>
      </c>
      <c r="AE431" s="380" t="str">
        <f>VLOOKUP($B431,'D7 - NDB Impacted SPRF''s'!$E$16:$O$9929,7,FALSE)</f>
        <v>Mike Mikan</v>
      </c>
      <c r="AF431" s="380" t="str">
        <f>VLOOKUP($B431,'D7 - NDB Impacted SPRF''s'!$E$16:$O$9929,6,FALSE)</f>
        <v>KELLY HARRISON</v>
      </c>
      <c r="AG431" s="282"/>
      <c r="AH431" s="311" t="e">
        <f>INDEX('D5 - Gatekeeper - Projects'!$A$4:$AF$1010,$AM431, 17)</f>
        <v>#N/A</v>
      </c>
      <c r="AI431" s="8"/>
      <c r="AJ431" s="57"/>
      <c r="AK431" s="105"/>
      <c r="AL431" s="216"/>
      <c r="AM431" s="6" t="e">
        <f>MATCH(D431,'D5 - Gatekeeper - Projects'!$C$4:$C$1010,0)</f>
        <v>#N/A</v>
      </c>
      <c r="AN431" s="6" t="b">
        <f t="shared" si="41"/>
        <v>1</v>
      </c>
      <c r="AO431" s="6" t="str">
        <f t="shared" si="44"/>
        <v>OK</v>
      </c>
      <c r="AP431" s="216"/>
      <c r="AQ431" s="6" t="e">
        <f>MATCH($D431,'D4 - Provider Council Unsched'!$C$11:$C$234,0)</f>
        <v>#N/A</v>
      </c>
      <c r="AR431" s="6" t="b">
        <f t="shared" si="42"/>
        <v>1</v>
      </c>
      <c r="AS431" s="6" t="str">
        <f t="shared" si="45"/>
        <v>OK</v>
      </c>
      <c r="AU431" s="202"/>
      <c r="AV431" s="262"/>
      <c r="AW431" s="274"/>
    </row>
    <row r="432" spans="1:49" s="13" customFormat="1" ht="33.75" x14ac:dyDescent="0.2">
      <c r="A432" s="14">
        <v>408</v>
      </c>
      <c r="B432" s="14">
        <v>400008295</v>
      </c>
      <c r="C432" s="8" t="s">
        <v>5197</v>
      </c>
      <c r="D432" s="4" t="str">
        <f t="shared" si="43"/>
        <v>400008295R1</v>
      </c>
      <c r="E432" s="309" t="str">
        <f>VLOOKUP($B432,'D7 - NDB Impacted SPRF''s'!$E$6:$O$9929,2,FALSE)</f>
        <v>Alliance PPO: Phase I, NDB Network Set-up</v>
      </c>
      <c r="F432" s="8" t="s">
        <v>1931</v>
      </c>
      <c r="G432" s="8" t="s">
        <v>4758</v>
      </c>
      <c r="H432" s="8" t="s">
        <v>4246</v>
      </c>
      <c r="I432" s="20">
        <v>5</v>
      </c>
      <c r="J432" s="8" t="s">
        <v>7114</v>
      </c>
      <c r="K432" s="182">
        <v>38745</v>
      </c>
      <c r="L432" s="8" t="s">
        <v>4964</v>
      </c>
      <c r="M432" s="8" t="s">
        <v>2814</v>
      </c>
      <c r="N432" s="367"/>
      <c r="O432" s="8"/>
      <c r="P432" s="4" t="str">
        <f>VLOOKUP($B432,'D7 - NDB Impacted SPRF''s'!$E$16:$O$9929,9,FALSE)</f>
        <v>N</v>
      </c>
      <c r="Q432" s="4" t="str">
        <f>VLOOKUP($B432,'D7 - NDB Impacted SPRF''s'!$E$16:$O$9929,10,FALSE)</f>
        <v>N</v>
      </c>
      <c r="R432" s="4" t="str">
        <f>VLOOKUP($B432,'D7 - NDB Impacted SPRF''s'!$E$16:$O$9929,11,FALSE)</f>
        <v>N</v>
      </c>
      <c r="S432" s="8"/>
      <c r="T432" s="310"/>
      <c r="U432" s="310"/>
      <c r="V432" s="4"/>
      <c r="W432" s="4"/>
      <c r="X432" s="4"/>
      <c r="Y432" s="4"/>
      <c r="Z432" s="4"/>
      <c r="AA432" s="4"/>
      <c r="AB432" s="380" t="str">
        <f>VLOOKUP($B432,'D7 - NDB Impacted SPRF''s'!$E$16:$O$9929,4,FALSE)</f>
        <v>Completed</v>
      </c>
      <c r="AC432" s="380" t="str">
        <f>VLOOKUP($B432,'D7 - NDB Impacted SPRF''s'!$E$16:$O$9929,3,FALSE)</f>
        <v>UnitedHealthcare Employer &amp; Individual</v>
      </c>
      <c r="AD432" s="380" t="str">
        <f>VLOOKUP($B432,'D7 - NDB Impacted SPRF''s'!$E$16:$O$9929,5,FALSE)</f>
        <v>Key Initiatives Group</v>
      </c>
      <c r="AE432" s="380" t="str">
        <f>VLOOKUP($B432,'D7 - NDB Impacted SPRF''s'!$E$16:$O$9929,7,FALSE)</f>
        <v>Mike Mikan</v>
      </c>
      <c r="AF432" s="380" t="str">
        <f>VLOOKUP($B432,'D7 - NDB Impacted SPRF''s'!$E$16:$O$9929,6,FALSE)</f>
        <v>KELLY HARRISON</v>
      </c>
      <c r="AG432" s="282"/>
      <c r="AH432" s="311" t="e">
        <f>INDEX('D5 - Gatekeeper - Projects'!$A$4:$AF$1010,$AM432, 17)</f>
        <v>#N/A</v>
      </c>
      <c r="AI432" s="8"/>
      <c r="AJ432" s="57"/>
      <c r="AK432" s="105"/>
      <c r="AL432" s="216"/>
      <c r="AM432" s="6" t="e">
        <f>MATCH(D432,'D5 - Gatekeeper - Projects'!$C$4:$C$1010,0)</f>
        <v>#N/A</v>
      </c>
      <c r="AN432" s="6" t="b">
        <f t="shared" si="41"/>
        <v>1</v>
      </c>
      <c r="AO432" s="6" t="str">
        <f t="shared" si="44"/>
        <v>OK</v>
      </c>
      <c r="AP432" s="216"/>
      <c r="AQ432" s="6" t="e">
        <f>MATCH($D432,'D4 - Provider Council Unsched'!$C$11:$C$234,0)</f>
        <v>#N/A</v>
      </c>
      <c r="AR432" s="6" t="b">
        <f t="shared" si="42"/>
        <v>1</v>
      </c>
      <c r="AS432" s="6" t="str">
        <f t="shared" si="45"/>
        <v>OK</v>
      </c>
      <c r="AU432" s="202"/>
      <c r="AV432" s="262"/>
      <c r="AW432" s="274"/>
    </row>
    <row r="433" spans="1:49" s="13" customFormat="1" ht="33.75" x14ac:dyDescent="0.2">
      <c r="A433" s="14">
        <v>409</v>
      </c>
      <c r="B433" s="14">
        <v>400008428</v>
      </c>
      <c r="C433" s="8" t="s">
        <v>3763</v>
      </c>
      <c r="D433" s="4" t="str">
        <f t="shared" si="43"/>
        <v>400008428R2</v>
      </c>
      <c r="E433" s="309" t="str">
        <f>VLOOKUP($B433,'D7 - NDB Impacted SPRF''s'!$E$6:$O$9929,2,FALSE)</f>
        <v>Ameri-Choice Cred Integration Export File</v>
      </c>
      <c r="F433" s="8" t="s">
        <v>5474</v>
      </c>
      <c r="G433" s="8" t="s">
        <v>4758</v>
      </c>
      <c r="H433" s="8" t="s">
        <v>4246</v>
      </c>
      <c r="I433" s="20">
        <v>1.07</v>
      </c>
      <c r="J433" s="8" t="s">
        <v>4862</v>
      </c>
      <c r="K433" s="182">
        <v>38745</v>
      </c>
      <c r="L433" s="8" t="s">
        <v>4964</v>
      </c>
      <c r="M433" s="8" t="s">
        <v>2814</v>
      </c>
      <c r="N433" s="367"/>
      <c r="O433" s="8"/>
      <c r="P433" s="4" t="str">
        <f>VLOOKUP($B433,'D7 - NDB Impacted SPRF''s'!$E$16:$O$9929,9,FALSE)</f>
        <v>N</v>
      </c>
      <c r="Q433" s="4" t="str">
        <f>VLOOKUP($B433,'D7 - NDB Impacted SPRF''s'!$E$16:$O$9929,10,FALSE)</f>
        <v>N</v>
      </c>
      <c r="R433" s="4" t="str">
        <f>VLOOKUP($B433,'D7 - NDB Impacted SPRF''s'!$E$16:$O$9929,11,FALSE)</f>
        <v>N</v>
      </c>
      <c r="S433" s="8"/>
      <c r="T433" s="310"/>
      <c r="U433" s="310"/>
      <c r="V433" s="4"/>
      <c r="W433" s="4"/>
      <c r="X433" s="4"/>
      <c r="Y433" s="4"/>
      <c r="Z433" s="4"/>
      <c r="AA433" s="4"/>
      <c r="AB433" s="380" t="str">
        <f>VLOOKUP($B433,'D7 - NDB Impacted SPRF''s'!$E$16:$O$9929,4,FALSE)</f>
        <v>Completed</v>
      </c>
      <c r="AC433" s="380" t="str">
        <f>VLOOKUP($B433,'D7 - NDB Impacted SPRF''s'!$E$16:$O$9929,3,FALSE)</f>
        <v>UnitedHealthcare Community &amp; State</v>
      </c>
      <c r="AD433" s="380" t="str">
        <f>VLOOKUP($B433,'D7 - NDB Impacted SPRF''s'!$E$16:$O$9929,5,FALSE)</f>
        <v>AmeriChoice</v>
      </c>
      <c r="AE433" s="380" t="str">
        <f>VLOOKUP($B433,'D7 - NDB Impacted SPRF''s'!$E$16:$O$9929,7,FALSE)</f>
        <v>Dirk McMahon</v>
      </c>
      <c r="AF433" s="380" t="str">
        <f>VLOOKUP($B433,'D7 - NDB Impacted SPRF''s'!$E$16:$O$9929,6,FALSE)</f>
        <v>Barbara Dickson</v>
      </c>
      <c r="AG433" s="282"/>
      <c r="AH433" s="311" t="e">
        <f>INDEX('D5 - Gatekeeper - Projects'!$A$4:$AF$1010,$AM433, 17)</f>
        <v>#N/A</v>
      </c>
      <c r="AI433" s="8"/>
      <c r="AJ433" s="57"/>
      <c r="AK433" s="105"/>
      <c r="AL433" s="216"/>
      <c r="AM433" s="6" t="e">
        <f>MATCH(D433,'D5 - Gatekeeper - Projects'!$C$4:$C$1010,0)</f>
        <v>#N/A</v>
      </c>
      <c r="AN433" s="6" t="b">
        <f t="shared" si="41"/>
        <v>1</v>
      </c>
      <c r="AO433" s="6" t="str">
        <f t="shared" si="44"/>
        <v>OK</v>
      </c>
      <c r="AP433" s="216"/>
      <c r="AQ433" s="6" t="e">
        <f>MATCH($D433,'D4 - Provider Council Unsched'!$C$11:$C$234,0)</f>
        <v>#N/A</v>
      </c>
      <c r="AR433" s="6" t="b">
        <f t="shared" si="42"/>
        <v>1</v>
      </c>
      <c r="AS433" s="6" t="str">
        <f t="shared" si="45"/>
        <v>OK</v>
      </c>
      <c r="AU433" s="202"/>
      <c r="AV433" s="262"/>
      <c r="AW433" s="274"/>
    </row>
    <row r="434" spans="1:49" s="13" customFormat="1" ht="33.75" x14ac:dyDescent="0.2">
      <c r="A434" s="14">
        <v>410</v>
      </c>
      <c r="B434" s="14">
        <v>400009164</v>
      </c>
      <c r="C434" s="8" t="s">
        <v>5197</v>
      </c>
      <c r="D434" s="4" t="str">
        <f t="shared" si="43"/>
        <v>400009164R1</v>
      </c>
      <c r="E434" s="332" t="str">
        <f>VLOOKUP($B434,'D7 - NDB Impacted SPRF''s'!$E$6:$O$9929,2,FALSE)</f>
        <v>ACN Prov Spec Exclusion Grid - UpDate</v>
      </c>
      <c r="F434" s="8"/>
      <c r="G434" s="8" t="s">
        <v>4758</v>
      </c>
      <c r="H434" s="8" t="s">
        <v>4246</v>
      </c>
      <c r="I434" s="20">
        <v>0.13</v>
      </c>
      <c r="J434" s="8" t="s">
        <v>4862</v>
      </c>
      <c r="K434" s="182">
        <v>38745</v>
      </c>
      <c r="L434" s="8" t="s">
        <v>4964</v>
      </c>
      <c r="M434" s="8" t="s">
        <v>2814</v>
      </c>
      <c r="N434" s="367"/>
      <c r="O434" s="8"/>
      <c r="P434" s="4" t="str">
        <f>VLOOKUP($B434,'D7 - NDB Impacted SPRF''s'!$E$16:$O$9929,9,FALSE)</f>
        <v>N</v>
      </c>
      <c r="Q434" s="4" t="str">
        <f>VLOOKUP($B434,'D7 - NDB Impacted SPRF''s'!$E$16:$O$9929,10,FALSE)</f>
        <v>N</v>
      </c>
      <c r="R434" s="4" t="str">
        <f>VLOOKUP($B434,'D7 - NDB Impacted SPRF''s'!$E$16:$O$9929,11,FALSE)</f>
        <v>N</v>
      </c>
      <c r="S434" s="8"/>
      <c r="T434" s="310"/>
      <c r="U434" s="310"/>
      <c r="V434" s="4"/>
      <c r="W434" s="4"/>
      <c r="X434" s="4"/>
      <c r="Y434" s="4"/>
      <c r="Z434" s="4"/>
      <c r="AA434" s="4"/>
      <c r="AB434" s="380" t="str">
        <f>VLOOKUP($B434,'D7 - NDB Impacted SPRF''s'!$E$16:$O$9929,4,FALSE)</f>
        <v>Completed</v>
      </c>
      <c r="AC434" s="380" t="str">
        <f>VLOOKUP($B434,'D7 - NDB Impacted SPRF''s'!$E$16:$O$9929,3,FALSE)</f>
        <v>UnitedHealthcare Employer &amp; Individual</v>
      </c>
      <c r="AD434" s="380" t="str">
        <f>VLOOKUP($B434,'D7 - NDB Impacted SPRF''s'!$E$16:$O$9929,5,FALSE)</f>
        <v>Operations Group</v>
      </c>
      <c r="AE434" s="380" t="str">
        <f>VLOOKUP($B434,'D7 - NDB Impacted SPRF''s'!$E$16:$O$9929,7,FALSE)</f>
        <v>Dirk McMahon</v>
      </c>
      <c r="AF434" s="380" t="str">
        <f>VLOOKUP($B434,'D7 - NDB Impacted SPRF''s'!$E$16:$O$9929,6,FALSE)</f>
        <v>Barbara Dickson</v>
      </c>
      <c r="AG434" s="282"/>
      <c r="AH434" s="311" t="e">
        <f>INDEX('D5 - Gatekeeper - Projects'!$A$4:$AF$1010,$AM434, 17)</f>
        <v>#N/A</v>
      </c>
      <c r="AI434" s="8"/>
      <c r="AJ434" s="57"/>
      <c r="AK434" s="105"/>
      <c r="AL434" s="216"/>
      <c r="AM434" s="6" t="e">
        <f>MATCH(D434,'D5 - Gatekeeper - Projects'!$C$4:$C$1010,0)</f>
        <v>#N/A</v>
      </c>
      <c r="AN434" s="6" t="b">
        <f t="shared" si="41"/>
        <v>1</v>
      </c>
      <c r="AO434" s="6" t="str">
        <f t="shared" si="44"/>
        <v>OK</v>
      </c>
      <c r="AP434" s="216"/>
      <c r="AQ434" s="6" t="e">
        <f>MATCH($D434,'D4 - Provider Council Unsched'!$C$11:$C$234,0)</f>
        <v>#N/A</v>
      </c>
      <c r="AR434" s="6" t="b">
        <f t="shared" si="42"/>
        <v>1</v>
      </c>
      <c r="AS434" s="6" t="str">
        <f t="shared" si="45"/>
        <v>OK</v>
      </c>
      <c r="AU434" s="202"/>
      <c r="AV434" s="262"/>
      <c r="AW434" s="274"/>
    </row>
    <row r="435" spans="1:49" s="13" customFormat="1" ht="33.75" x14ac:dyDescent="0.2">
      <c r="A435" s="14">
        <v>411</v>
      </c>
      <c r="B435" s="14">
        <v>400009197</v>
      </c>
      <c r="C435" s="8" t="s">
        <v>5197</v>
      </c>
      <c r="D435" s="4" t="str">
        <f t="shared" si="43"/>
        <v>400009197R1</v>
      </c>
      <c r="E435" s="309" t="str">
        <f>VLOOKUP($B435,'D7 - NDB Impacted SPRF''s'!$E$6:$O$9929,2,FALSE)</f>
        <v>AMS Automated Repricing for UB claims</v>
      </c>
      <c r="F435" s="8" t="s">
        <v>6071</v>
      </c>
      <c r="G435" s="8" t="s">
        <v>4758</v>
      </c>
      <c r="H435" s="8" t="s">
        <v>4246</v>
      </c>
      <c r="I435" s="20">
        <v>3.2</v>
      </c>
      <c r="J435" s="8" t="s">
        <v>4862</v>
      </c>
      <c r="K435" s="182">
        <v>38745</v>
      </c>
      <c r="L435" s="8" t="s">
        <v>4964</v>
      </c>
      <c r="M435" s="8" t="s">
        <v>2814</v>
      </c>
      <c r="N435" s="367"/>
      <c r="O435" s="8"/>
      <c r="P435" s="4" t="str">
        <f>VLOOKUP($B435,'D7 - NDB Impacted SPRF''s'!$E$16:$O$9929,9,FALSE)</f>
        <v>N</v>
      </c>
      <c r="Q435" s="4" t="str">
        <f>VLOOKUP($B435,'D7 - NDB Impacted SPRF''s'!$E$16:$O$9929,10,FALSE)</f>
        <v>N</v>
      </c>
      <c r="R435" s="4" t="str">
        <f>VLOOKUP($B435,'D7 - NDB Impacted SPRF''s'!$E$16:$O$9929,11,FALSE)</f>
        <v>N</v>
      </c>
      <c r="S435" s="8"/>
      <c r="T435" s="310"/>
      <c r="U435" s="310"/>
      <c r="V435" s="4"/>
      <c r="W435" s="4"/>
      <c r="X435" s="4"/>
      <c r="Y435" s="4"/>
      <c r="Z435" s="4"/>
      <c r="AA435" s="4"/>
      <c r="AB435" s="380" t="str">
        <f>VLOOKUP($B435,'D7 - NDB Impacted SPRF''s'!$E$16:$O$9929,4,FALSE)</f>
        <v>Completed</v>
      </c>
      <c r="AC435" s="380" t="str">
        <f>VLOOKUP($B435,'D7 - NDB Impacted SPRF''s'!$E$16:$O$9929,3,FALSE)</f>
        <v>UnitedHealthcare Employer &amp; Individual</v>
      </c>
      <c r="AD435" s="380" t="str">
        <f>VLOOKUP($B435,'D7 - NDB Impacted SPRF''s'!$E$16:$O$9929,5,FALSE)</f>
        <v>Integration Requirements</v>
      </c>
      <c r="AE435" s="380" t="str">
        <f>VLOOKUP($B435,'D7 - NDB Impacted SPRF''s'!$E$16:$O$9929,7,FALSE)</f>
        <v>Patrick Kenndey</v>
      </c>
      <c r="AF435" s="380" t="str">
        <f>VLOOKUP($B435,'D7 - NDB Impacted SPRF''s'!$E$16:$O$9929,6,FALSE)</f>
        <v>Borzage Deborah</v>
      </c>
      <c r="AG435" s="282"/>
      <c r="AH435" s="311" t="e">
        <f>INDEX('D5 - Gatekeeper - Projects'!$A$4:$AF$1010,$AM435, 17)</f>
        <v>#N/A</v>
      </c>
      <c r="AI435" s="8"/>
      <c r="AJ435" s="57"/>
      <c r="AK435" s="105"/>
      <c r="AL435" s="216"/>
      <c r="AM435" s="6" t="e">
        <f>MATCH(D435,'D5 - Gatekeeper - Projects'!$C$4:$C$1010,0)</f>
        <v>#N/A</v>
      </c>
      <c r="AN435" s="6" t="b">
        <f t="shared" si="41"/>
        <v>1</v>
      </c>
      <c r="AO435" s="6" t="str">
        <f t="shared" si="44"/>
        <v>OK</v>
      </c>
      <c r="AP435" s="216"/>
      <c r="AQ435" s="6" t="e">
        <f>MATCH($D435,'D4 - Provider Council Unsched'!$C$11:$C$234,0)</f>
        <v>#N/A</v>
      </c>
      <c r="AR435" s="6" t="b">
        <f t="shared" si="42"/>
        <v>1</v>
      </c>
      <c r="AS435" s="6" t="str">
        <f t="shared" si="45"/>
        <v>OK</v>
      </c>
      <c r="AU435" s="202"/>
      <c r="AV435" s="262"/>
      <c r="AW435" s="274"/>
    </row>
    <row r="436" spans="1:49" s="13" customFormat="1" ht="33.75" x14ac:dyDescent="0.2">
      <c r="A436" s="14">
        <v>412</v>
      </c>
      <c r="B436" s="14">
        <v>400009621</v>
      </c>
      <c r="C436" s="8" t="s">
        <v>5197</v>
      </c>
      <c r="D436" s="4" t="str">
        <f t="shared" si="43"/>
        <v>400009621R1</v>
      </c>
      <c r="E436" s="309" t="str">
        <f>VLOOKUP($B436,'D7 - NDB Impacted SPRF''s'!$E$6:$O$9929,2,FALSE)</f>
        <v>OXHP eliminate "retriggers" from export file</v>
      </c>
      <c r="F436" s="8" t="s">
        <v>6138</v>
      </c>
      <c r="G436" s="8" t="s">
        <v>4758</v>
      </c>
      <c r="H436" s="8" t="s">
        <v>4246</v>
      </c>
      <c r="I436" s="20">
        <v>3.2</v>
      </c>
      <c r="J436" s="8" t="s">
        <v>4862</v>
      </c>
      <c r="K436" s="182">
        <v>38745</v>
      </c>
      <c r="L436" s="8" t="s">
        <v>4964</v>
      </c>
      <c r="M436" s="8" t="s">
        <v>2814</v>
      </c>
      <c r="N436" s="367"/>
      <c r="O436" s="8"/>
      <c r="P436" s="4" t="str">
        <f>VLOOKUP($B436,'D7 - NDB Impacted SPRF''s'!$E$16:$O$9929,9,FALSE)</f>
        <v>N</v>
      </c>
      <c r="Q436" s="4" t="str">
        <f>VLOOKUP($B436,'D7 - NDB Impacted SPRF''s'!$E$16:$O$9929,10,FALSE)</f>
        <v>N</v>
      </c>
      <c r="R436" s="4" t="str">
        <f>VLOOKUP($B436,'D7 - NDB Impacted SPRF''s'!$E$16:$O$9929,11,FALSE)</f>
        <v>N</v>
      </c>
      <c r="S436" s="8"/>
      <c r="T436" s="310"/>
      <c r="U436" s="310"/>
      <c r="V436" s="4"/>
      <c r="W436" s="4"/>
      <c r="X436" s="4"/>
      <c r="Y436" s="4"/>
      <c r="Z436" s="4"/>
      <c r="AA436" s="4"/>
      <c r="AB436" s="380" t="str">
        <f>VLOOKUP($B436,'D7 - NDB Impacted SPRF''s'!$E$16:$O$9929,4,FALSE)</f>
        <v>Completed</v>
      </c>
      <c r="AC436" s="380" t="str">
        <f>VLOOKUP($B436,'D7 - NDB Impacted SPRF''s'!$E$16:$O$9929,3,FALSE)</f>
        <v>UnitedHealthcare Employer &amp; Individual</v>
      </c>
      <c r="AD436" s="380" t="str">
        <f>VLOOKUP($B436,'D7 - NDB Impacted SPRF''s'!$E$16:$O$9929,5,FALSE)</f>
        <v>Operations Group</v>
      </c>
      <c r="AE436" s="380" t="str">
        <f>VLOOKUP($B436,'D7 - NDB Impacted SPRF''s'!$E$16:$O$9929,7,FALSE)</f>
        <v>Steve Black</v>
      </c>
      <c r="AF436" s="380" t="str">
        <f>VLOOKUP($B436,'D7 - NDB Impacted SPRF''s'!$E$16:$O$9929,6,FALSE)</f>
        <v>GREGORY MILLS</v>
      </c>
      <c r="AG436" s="282"/>
      <c r="AH436" s="311" t="e">
        <f>INDEX('D5 - Gatekeeper - Projects'!$A$4:$AF$1010,$AM436, 17)</f>
        <v>#N/A</v>
      </c>
      <c r="AI436" s="8"/>
      <c r="AJ436" s="57"/>
      <c r="AK436" s="105"/>
      <c r="AL436" s="216"/>
      <c r="AM436" s="6" t="e">
        <f>MATCH(D436,'D5 - Gatekeeper - Projects'!$C$4:$C$1010,0)</f>
        <v>#N/A</v>
      </c>
      <c r="AN436" s="6" t="b">
        <f t="shared" si="41"/>
        <v>1</v>
      </c>
      <c r="AO436" s="6" t="str">
        <f t="shared" si="44"/>
        <v>OK</v>
      </c>
      <c r="AP436" s="216"/>
      <c r="AQ436" s="6" t="e">
        <f>MATCH($D436,'D4 - Provider Council Unsched'!$C$11:$C$234,0)</f>
        <v>#N/A</v>
      </c>
      <c r="AR436" s="6" t="b">
        <f t="shared" si="42"/>
        <v>1</v>
      </c>
      <c r="AS436" s="6" t="str">
        <f t="shared" si="45"/>
        <v>OK</v>
      </c>
      <c r="AU436" s="202"/>
      <c r="AV436" s="262"/>
      <c r="AW436" s="274"/>
    </row>
    <row r="437" spans="1:49" s="13" customFormat="1" ht="33.75" x14ac:dyDescent="0.2">
      <c r="A437" s="14">
        <v>413</v>
      </c>
      <c r="B437" s="14">
        <v>400009715</v>
      </c>
      <c r="C437" s="8" t="s">
        <v>5197</v>
      </c>
      <c r="D437" s="4" t="str">
        <f t="shared" si="43"/>
        <v>400009715R1</v>
      </c>
      <c r="E437" s="309" t="str">
        <f>VLOOKUP($B437,'D7 - NDB Impacted SPRF''s'!$E$6:$O$9929,2,FALSE)</f>
        <v>Add expansion areas to public website</v>
      </c>
      <c r="F437" s="8"/>
      <c r="G437" s="8" t="s">
        <v>4758</v>
      </c>
      <c r="H437" s="8" t="s">
        <v>4246</v>
      </c>
      <c r="I437" s="20">
        <v>0.11</v>
      </c>
      <c r="J437" s="8" t="s">
        <v>4862</v>
      </c>
      <c r="K437" s="182">
        <v>38745</v>
      </c>
      <c r="L437" s="8" t="s">
        <v>4964</v>
      </c>
      <c r="M437" s="8" t="s">
        <v>2814</v>
      </c>
      <c r="N437" s="367"/>
      <c r="O437" s="8"/>
      <c r="P437" s="4" t="str">
        <f>VLOOKUP($B437,'D7 - NDB Impacted SPRF''s'!$E$16:$O$9929,9,FALSE)</f>
        <v>N</v>
      </c>
      <c r="Q437" s="4" t="str">
        <f>VLOOKUP($B437,'D7 - NDB Impacted SPRF''s'!$E$16:$O$9929,10,FALSE)</f>
        <v>N</v>
      </c>
      <c r="R437" s="4" t="str">
        <f>VLOOKUP($B437,'D7 - NDB Impacted SPRF''s'!$E$16:$O$9929,11,FALSE)</f>
        <v>N</v>
      </c>
      <c r="S437" s="8"/>
      <c r="T437" s="310"/>
      <c r="U437" s="310"/>
      <c r="V437" s="4"/>
      <c r="W437" s="4"/>
      <c r="X437" s="4"/>
      <c r="Y437" s="4"/>
      <c r="Z437" s="4"/>
      <c r="AA437" s="4"/>
      <c r="AB437" s="380" t="str">
        <f>VLOOKUP($B437,'D7 - NDB Impacted SPRF''s'!$E$16:$O$9929,4,FALSE)</f>
        <v>Completed</v>
      </c>
      <c r="AC437" s="380" t="str">
        <f>VLOOKUP($B437,'D7 - NDB Impacted SPRF''s'!$E$16:$O$9929,3,FALSE)</f>
        <v>UnitedHealthcare Medicare &amp; Retirement</v>
      </c>
      <c r="AD437" s="380" t="str">
        <f>VLOOKUP($B437,'D7 - NDB Impacted SPRF''s'!$E$16:$O$9929,5,FALSE)</f>
        <v>XXNon-COG</v>
      </c>
      <c r="AE437" s="380" t="str">
        <f>VLOOKUP($B437,'D7 - NDB Impacted SPRF''s'!$E$16:$O$9929,7,FALSE)</f>
        <v>Laurie Willard</v>
      </c>
      <c r="AF437" s="380" t="str">
        <f>VLOOKUP($B437,'D7 - NDB Impacted SPRF''s'!$E$16:$O$9929,6,FALSE)</f>
        <v>Susan Gruwell</v>
      </c>
      <c r="AG437" s="282"/>
      <c r="AH437" s="311" t="e">
        <f>INDEX('D5 - Gatekeeper - Projects'!$A$4:$AF$1010,$AM437, 17)</f>
        <v>#N/A</v>
      </c>
      <c r="AI437" s="8"/>
      <c r="AJ437" s="57"/>
      <c r="AK437" s="105"/>
      <c r="AL437" s="216"/>
      <c r="AM437" s="6" t="e">
        <f>MATCH(D437,'D5 - Gatekeeper - Projects'!$C$4:$C$1010,0)</f>
        <v>#N/A</v>
      </c>
      <c r="AN437" s="6" t="b">
        <f t="shared" si="41"/>
        <v>1</v>
      </c>
      <c r="AO437" s="6" t="str">
        <f t="shared" si="44"/>
        <v>OK</v>
      </c>
      <c r="AP437" s="216"/>
      <c r="AQ437" s="6" t="e">
        <f>MATCH($D437,'D4 - Provider Council Unsched'!$C$11:$C$234,0)</f>
        <v>#N/A</v>
      </c>
      <c r="AR437" s="6" t="b">
        <f t="shared" si="42"/>
        <v>1</v>
      </c>
      <c r="AS437" s="6" t="str">
        <f t="shared" si="45"/>
        <v>OK</v>
      </c>
      <c r="AU437" s="202"/>
      <c r="AV437" s="262"/>
      <c r="AW437" s="274"/>
    </row>
    <row r="438" spans="1:49" s="13" customFormat="1" ht="33.75" x14ac:dyDescent="0.2">
      <c r="A438" s="14">
        <v>414</v>
      </c>
      <c r="B438" s="14">
        <v>400009739</v>
      </c>
      <c r="C438" s="8" t="s">
        <v>5197</v>
      </c>
      <c r="D438" s="4" t="str">
        <f t="shared" si="43"/>
        <v>400009739R1</v>
      </c>
      <c r="E438" s="309" t="str">
        <f>VLOOKUP($B438,'D7 - NDB Impacted SPRF''s'!$E$6:$O$9929,2,FALSE)</f>
        <v>Modifier Exception Table Edit Removal</v>
      </c>
      <c r="F438" s="8"/>
      <c r="G438" s="8" t="s">
        <v>4758</v>
      </c>
      <c r="H438" s="8" t="s">
        <v>4246</v>
      </c>
      <c r="I438" s="20">
        <v>1.07</v>
      </c>
      <c r="J438" s="8" t="s">
        <v>4862</v>
      </c>
      <c r="K438" s="182">
        <v>38745</v>
      </c>
      <c r="L438" s="8" t="s">
        <v>4964</v>
      </c>
      <c r="M438" s="8" t="s">
        <v>2814</v>
      </c>
      <c r="N438" s="367"/>
      <c r="O438" s="8"/>
      <c r="P438" s="4" t="str">
        <f>VLOOKUP($B438,'D7 - NDB Impacted SPRF''s'!$E$16:$O$9929,9,FALSE)</f>
        <v>Y</v>
      </c>
      <c r="Q438" s="4" t="str">
        <f>VLOOKUP($B438,'D7 - NDB Impacted SPRF''s'!$E$16:$O$9929,10,FALSE)</f>
        <v>N</v>
      </c>
      <c r="R438" s="4" t="str">
        <f>VLOOKUP($B438,'D7 - NDB Impacted SPRF''s'!$E$16:$O$9929,11,FALSE)</f>
        <v>N</v>
      </c>
      <c r="S438" s="8"/>
      <c r="T438" s="310"/>
      <c r="U438" s="310"/>
      <c r="V438" s="4"/>
      <c r="W438" s="4"/>
      <c r="X438" s="4"/>
      <c r="Y438" s="4"/>
      <c r="Z438" s="4"/>
      <c r="AA438" s="4"/>
      <c r="AB438" s="380" t="str">
        <f>VLOOKUP($B438,'D7 - NDB Impacted SPRF''s'!$E$16:$O$9929,4,FALSE)</f>
        <v>Completed</v>
      </c>
      <c r="AC438" s="380" t="str">
        <f>VLOOKUP($B438,'D7 - NDB Impacted SPRF''s'!$E$16:$O$9929,3,FALSE)</f>
        <v>UnitedHealthcare Employer &amp; Individual</v>
      </c>
      <c r="AD438" s="380" t="str">
        <f>VLOOKUP($B438,'D7 - NDB Impacted SPRF''s'!$E$16:$O$9929,5,FALSE)</f>
        <v>Operations Group</v>
      </c>
      <c r="AE438" s="380" t="str">
        <f>VLOOKUP($B438,'D7 - NDB Impacted SPRF''s'!$E$16:$O$9929,7,FALSE)</f>
        <v>Peter Bompane</v>
      </c>
      <c r="AF438" s="380" t="str">
        <f>VLOOKUP($B438,'D7 - NDB Impacted SPRF''s'!$E$16:$O$9929,6,FALSE)</f>
        <v>PENNINGTON CAROL</v>
      </c>
      <c r="AG438" s="282"/>
      <c r="AH438" s="311" t="e">
        <f>INDEX('D5 - Gatekeeper - Projects'!$A$4:$AF$1010,$AM438, 17)</f>
        <v>#N/A</v>
      </c>
      <c r="AI438" s="8"/>
      <c r="AJ438" s="57"/>
      <c r="AK438" s="105"/>
      <c r="AL438" s="216"/>
      <c r="AM438" s="6" t="e">
        <f>MATCH(D438,'D5 - Gatekeeper - Projects'!$C$4:$C$1010,0)</f>
        <v>#N/A</v>
      </c>
      <c r="AN438" s="6" t="b">
        <f t="shared" si="41"/>
        <v>1</v>
      </c>
      <c r="AO438" s="6" t="str">
        <f t="shared" si="44"/>
        <v>OK</v>
      </c>
      <c r="AP438" s="216"/>
      <c r="AQ438" s="6" t="e">
        <f>MATCH($D438,'D4 - Provider Council Unsched'!$C$11:$C$234,0)</f>
        <v>#N/A</v>
      </c>
      <c r="AR438" s="6" t="b">
        <f t="shared" si="42"/>
        <v>1</v>
      </c>
      <c r="AS438" s="6" t="str">
        <f t="shared" si="45"/>
        <v>OK</v>
      </c>
      <c r="AU438" s="202"/>
      <c r="AV438" s="262"/>
      <c r="AW438" s="274"/>
    </row>
    <row r="439" spans="1:49" s="13" customFormat="1" ht="33.75" x14ac:dyDescent="0.2">
      <c r="A439" s="14">
        <v>415</v>
      </c>
      <c r="B439" s="14">
        <v>400010021</v>
      </c>
      <c r="C439" s="8" t="s">
        <v>5197</v>
      </c>
      <c r="D439" s="4" t="str">
        <f t="shared" si="43"/>
        <v>400010021R1</v>
      </c>
      <c r="E439" s="309" t="str">
        <f>VLOOKUP($B439,'D7 - NDB Impacted SPRF''s'!$E$6:$O$9929,2,FALSE)</f>
        <v>WO- Provider Turnover by specialty and market</v>
      </c>
      <c r="F439" s="8" t="s">
        <v>6007</v>
      </c>
      <c r="G439" s="8" t="s">
        <v>4758</v>
      </c>
      <c r="H439" s="8" t="s">
        <v>4246</v>
      </c>
      <c r="I439" s="20">
        <v>1.07</v>
      </c>
      <c r="J439" s="8" t="s">
        <v>4862</v>
      </c>
      <c r="K439" s="182">
        <v>38745</v>
      </c>
      <c r="L439" s="8" t="s">
        <v>4964</v>
      </c>
      <c r="M439" s="8" t="s">
        <v>2814</v>
      </c>
      <c r="N439" s="367"/>
      <c r="O439" s="8"/>
      <c r="P439" s="4" t="str">
        <f>VLOOKUP($B439,'D7 - NDB Impacted SPRF''s'!$E$16:$O$9929,9,FALSE)</f>
        <v>N</v>
      </c>
      <c r="Q439" s="4" t="str">
        <f>VLOOKUP($B439,'D7 - NDB Impacted SPRF''s'!$E$16:$O$9929,10,FALSE)</f>
        <v>N</v>
      </c>
      <c r="R439" s="4" t="str">
        <f>VLOOKUP($B439,'D7 - NDB Impacted SPRF''s'!$E$16:$O$9929,11,FALSE)</f>
        <v>N</v>
      </c>
      <c r="S439" s="8"/>
      <c r="T439" s="310"/>
      <c r="U439" s="310"/>
      <c r="V439" s="4"/>
      <c r="W439" s="4"/>
      <c r="X439" s="4"/>
      <c r="Y439" s="4"/>
      <c r="Z439" s="4"/>
      <c r="AA439" s="4"/>
      <c r="AB439" s="380" t="str">
        <f>VLOOKUP($B439,'D7 - NDB Impacted SPRF''s'!$E$16:$O$9929,4,FALSE)</f>
        <v>Completed</v>
      </c>
      <c r="AC439" s="380" t="str">
        <f>VLOOKUP($B439,'D7 - NDB Impacted SPRF''s'!$E$16:$O$9929,3,FALSE)</f>
        <v>UnitedHealthcare Employer &amp; Individual</v>
      </c>
      <c r="AD439" s="380" t="str">
        <f>VLOOKUP($B439,'D7 - NDB Impacted SPRF''s'!$E$16:$O$9929,5,FALSE)</f>
        <v>Operations Group</v>
      </c>
      <c r="AE439" s="380" t="str">
        <f>VLOOKUP($B439,'D7 - NDB Impacted SPRF''s'!$E$16:$O$9929,7,FALSE)</f>
        <v>Dawn Bazarko</v>
      </c>
      <c r="AF439" s="380" t="str">
        <f>VLOOKUP($B439,'D7 - NDB Impacted SPRF''s'!$E$16:$O$9929,6,FALSE)</f>
        <v>CAROL CALVIN</v>
      </c>
      <c r="AG439" s="282"/>
      <c r="AH439" s="311" t="e">
        <f>INDEX('D5 - Gatekeeper - Projects'!$A$4:$AF$1010,$AM439, 17)</f>
        <v>#N/A</v>
      </c>
      <c r="AI439" s="8"/>
      <c r="AJ439" s="57"/>
      <c r="AK439" s="105"/>
      <c r="AL439" s="216"/>
      <c r="AM439" s="6" t="e">
        <f>MATCH(D439,'D5 - Gatekeeper - Projects'!$C$4:$C$1010,0)</f>
        <v>#N/A</v>
      </c>
      <c r="AN439" s="6" t="b">
        <f t="shared" si="41"/>
        <v>1</v>
      </c>
      <c r="AO439" s="6" t="str">
        <f t="shared" si="44"/>
        <v>OK</v>
      </c>
      <c r="AP439" s="216"/>
      <c r="AQ439" s="6" t="e">
        <f>MATCH($D439,'D4 - Provider Council Unsched'!$C$11:$C$234,0)</f>
        <v>#N/A</v>
      </c>
      <c r="AR439" s="6" t="b">
        <f t="shared" si="42"/>
        <v>1</v>
      </c>
      <c r="AS439" s="6" t="str">
        <f t="shared" si="45"/>
        <v>OK</v>
      </c>
      <c r="AU439" s="202"/>
      <c r="AV439" s="262"/>
      <c r="AW439" s="274"/>
    </row>
    <row r="440" spans="1:49" s="13" customFormat="1" ht="33.75" x14ac:dyDescent="0.2">
      <c r="A440" s="14">
        <v>416</v>
      </c>
      <c r="B440" s="14">
        <v>400010136</v>
      </c>
      <c r="C440" s="8" t="s">
        <v>5197</v>
      </c>
      <c r="D440" s="4" t="str">
        <f t="shared" si="43"/>
        <v>400010136R1</v>
      </c>
      <c r="E440" s="309" t="str">
        <f>VLOOKUP($B440,'D7 - NDB Impacted SPRF''s'!$E$6:$O$9929,2,FALSE)</f>
        <v>HEDIS 2006 Provider Measures</v>
      </c>
      <c r="F440" s="8" t="s">
        <v>5222</v>
      </c>
      <c r="G440" s="8" t="s">
        <v>4758</v>
      </c>
      <c r="H440" s="8" t="s">
        <v>4246</v>
      </c>
      <c r="I440" s="20">
        <v>4</v>
      </c>
      <c r="J440" s="8" t="s">
        <v>4862</v>
      </c>
      <c r="K440" s="182">
        <v>38745</v>
      </c>
      <c r="L440" s="8" t="s">
        <v>4964</v>
      </c>
      <c r="M440" s="8" t="s">
        <v>2814</v>
      </c>
      <c r="N440" s="367"/>
      <c r="O440" s="8"/>
      <c r="P440" s="4" t="str">
        <f>VLOOKUP($B440,'D7 - NDB Impacted SPRF''s'!$E$16:$O$9929,9,FALSE)</f>
        <v>N</v>
      </c>
      <c r="Q440" s="4" t="str">
        <f>VLOOKUP($B440,'D7 - NDB Impacted SPRF''s'!$E$16:$O$9929,10,FALSE)</f>
        <v>N</v>
      </c>
      <c r="R440" s="4" t="str">
        <f>VLOOKUP($B440,'D7 - NDB Impacted SPRF''s'!$E$16:$O$9929,11,FALSE)</f>
        <v>N</v>
      </c>
      <c r="S440" s="8"/>
      <c r="T440" s="310"/>
      <c r="U440" s="310"/>
      <c r="V440" s="4"/>
      <c r="W440" s="4"/>
      <c r="X440" s="4"/>
      <c r="Y440" s="4"/>
      <c r="Z440" s="4"/>
      <c r="AA440" s="4"/>
      <c r="AB440" s="380" t="str">
        <f>VLOOKUP($B440,'D7 - NDB Impacted SPRF''s'!$E$16:$O$9929,4,FALSE)</f>
        <v>Completed</v>
      </c>
      <c r="AC440" s="380" t="str">
        <f>VLOOKUP($B440,'D7 - NDB Impacted SPRF''s'!$E$16:$O$9929,3,FALSE)</f>
        <v>UnitedHealthcare Employer &amp; Individual</v>
      </c>
      <c r="AD440" s="380" t="str">
        <f>VLOOKUP($B440,'D7 - NDB Impacted SPRF''s'!$E$16:$O$9929,5,FALSE)</f>
        <v>Operations Group</v>
      </c>
      <c r="AE440" s="380" t="str">
        <f>VLOOKUP($B440,'D7 - NDB Impacted SPRF''s'!$E$16:$O$9929,7,FALSE)</f>
        <v>Michael Curran</v>
      </c>
      <c r="AF440" s="380" t="str">
        <f>VLOOKUP($B440,'D7 - NDB Impacted SPRF''s'!$E$16:$O$9929,6,FALSE)</f>
        <v>Bertram Janet</v>
      </c>
      <c r="AG440" s="282"/>
      <c r="AH440" s="311" t="e">
        <f>INDEX('D5 - Gatekeeper - Projects'!$A$4:$AF$1010,$AM440, 17)</f>
        <v>#N/A</v>
      </c>
      <c r="AI440" s="8"/>
      <c r="AJ440" s="57"/>
      <c r="AK440" s="105"/>
      <c r="AL440" s="216"/>
      <c r="AM440" s="6" t="e">
        <f>MATCH(D440,'D5 - Gatekeeper - Projects'!$C$4:$C$1010,0)</f>
        <v>#N/A</v>
      </c>
      <c r="AN440" s="6" t="b">
        <f t="shared" si="41"/>
        <v>1</v>
      </c>
      <c r="AO440" s="6" t="str">
        <f t="shared" si="44"/>
        <v>OK</v>
      </c>
      <c r="AP440" s="216"/>
      <c r="AQ440" s="6" t="e">
        <f>MATCH($D440,'D4 - Provider Council Unsched'!$C$11:$C$234,0)</f>
        <v>#N/A</v>
      </c>
      <c r="AR440" s="6" t="b">
        <f t="shared" si="42"/>
        <v>1</v>
      </c>
      <c r="AS440" s="6" t="str">
        <f t="shared" si="45"/>
        <v>OK</v>
      </c>
      <c r="AU440" s="202"/>
      <c r="AV440" s="262"/>
      <c r="AW440" s="274"/>
    </row>
    <row r="441" spans="1:49" s="13" customFormat="1" x14ac:dyDescent="0.2">
      <c r="A441" s="14">
        <v>417</v>
      </c>
      <c r="B441" s="14">
        <v>400010280</v>
      </c>
      <c r="C441" s="8" t="s">
        <v>5197</v>
      </c>
      <c r="D441" s="4" t="str">
        <f t="shared" si="43"/>
        <v>400010280R1</v>
      </c>
      <c r="E441" s="309" t="str">
        <f>VLOOKUP($B441,'D7 - NDB Impacted SPRF''s'!$E$6:$O$9929,2,FALSE)</f>
        <v>Empire Plan FTP Access Data Center Change</v>
      </c>
      <c r="F441" s="8" t="s">
        <v>2391</v>
      </c>
      <c r="G441" s="8" t="s">
        <v>4758</v>
      </c>
      <c r="H441" s="8" t="s">
        <v>4246</v>
      </c>
      <c r="I441" s="20">
        <v>7.0000000000000007E-2</v>
      </c>
      <c r="J441" s="8" t="s">
        <v>4862</v>
      </c>
      <c r="K441" s="182">
        <v>38745</v>
      </c>
      <c r="L441" s="8" t="s">
        <v>4964</v>
      </c>
      <c r="M441" s="8" t="s">
        <v>2814</v>
      </c>
      <c r="N441" s="367"/>
      <c r="O441" s="8"/>
      <c r="P441" s="4" t="str">
        <f>VLOOKUP($B441,'D7 - NDB Impacted SPRF''s'!$E$16:$O$9929,9,FALSE)</f>
        <v>N</v>
      </c>
      <c r="Q441" s="4" t="str">
        <f>VLOOKUP($B441,'D7 - NDB Impacted SPRF''s'!$E$16:$O$9929,10,FALSE)</f>
        <v>N</v>
      </c>
      <c r="R441" s="4" t="str">
        <f>VLOOKUP($B441,'D7 - NDB Impacted SPRF''s'!$E$16:$O$9929,11,FALSE)</f>
        <v>N</v>
      </c>
      <c r="S441" s="8"/>
      <c r="T441" s="310"/>
      <c r="U441" s="310"/>
      <c r="V441" s="4"/>
      <c r="W441" s="4"/>
      <c r="X441" s="4"/>
      <c r="Y441" s="4"/>
      <c r="Z441" s="4"/>
      <c r="AA441" s="4"/>
      <c r="AB441" s="380" t="str">
        <f>VLOOKUP($B441,'D7 - NDB Impacted SPRF''s'!$E$16:$O$9929,4,FALSE)</f>
        <v>Completed</v>
      </c>
      <c r="AC441" s="380" t="str">
        <f>VLOOKUP($B441,'D7 - NDB Impacted SPRF''s'!$E$16:$O$9929,3,FALSE)</f>
        <v>Uniprise</v>
      </c>
      <c r="AD441" s="380" t="str">
        <f>VLOOKUP($B441,'D7 - NDB Impacted SPRF''s'!$E$16:$O$9929,5,FALSE)</f>
        <v>USS - DDC</v>
      </c>
      <c r="AE441" s="380" t="str">
        <f>VLOOKUP($B441,'D7 - NDB Impacted SPRF''s'!$E$16:$O$9929,7,FALSE)</f>
        <v>donna pooely</v>
      </c>
      <c r="AF441" s="380" t="str">
        <f>VLOOKUP($B441,'D7 - NDB Impacted SPRF''s'!$E$16:$O$9929,6,FALSE)</f>
        <v>Laurie Torres</v>
      </c>
      <c r="AG441" s="282"/>
      <c r="AH441" s="311" t="e">
        <f>INDEX('D5 - Gatekeeper - Projects'!$A$4:$AF$1010,$AM441, 17)</f>
        <v>#N/A</v>
      </c>
      <c r="AI441" s="8"/>
      <c r="AJ441" s="57"/>
      <c r="AK441" s="105"/>
      <c r="AL441" s="216"/>
      <c r="AM441" s="6" t="e">
        <f>MATCH(D441,'D5 - Gatekeeper - Projects'!$C$4:$C$1010,0)</f>
        <v>#N/A</v>
      </c>
      <c r="AN441" s="6" t="b">
        <f t="shared" si="41"/>
        <v>1</v>
      </c>
      <c r="AO441" s="6" t="str">
        <f t="shared" si="44"/>
        <v>OK</v>
      </c>
      <c r="AP441" s="216"/>
      <c r="AQ441" s="6" t="e">
        <f>MATCH($D441,'D4 - Provider Council Unsched'!$C$11:$C$234,0)</f>
        <v>#N/A</v>
      </c>
      <c r="AR441" s="6" t="b">
        <f t="shared" si="42"/>
        <v>1</v>
      </c>
      <c r="AS441" s="6" t="str">
        <f t="shared" si="45"/>
        <v>OK</v>
      </c>
      <c r="AU441" s="202"/>
      <c r="AV441" s="262"/>
      <c r="AW441" s="274"/>
    </row>
    <row r="442" spans="1:49" s="13" customFormat="1" ht="33.75" x14ac:dyDescent="0.2">
      <c r="A442" s="14">
        <v>418</v>
      </c>
      <c r="B442" s="14">
        <v>400010573</v>
      </c>
      <c r="C442" s="8" t="s">
        <v>5197</v>
      </c>
      <c r="D442" s="4" t="str">
        <f t="shared" si="43"/>
        <v>400010573R1</v>
      </c>
      <c r="E442" s="309" t="str">
        <f>VLOOKUP($B442,'D7 - NDB Impacted SPRF''s'!$E$6:$O$9929,2,FALSE)</f>
        <v>MWSFully Insured business repricing w/ UHN Network</v>
      </c>
      <c r="F442" s="8" t="s">
        <v>6373</v>
      </c>
      <c r="G442" s="8" t="s">
        <v>4758</v>
      </c>
      <c r="H442" s="8" t="s">
        <v>4246</v>
      </c>
      <c r="I442" s="20">
        <v>1.07</v>
      </c>
      <c r="J442" s="8" t="s">
        <v>4862</v>
      </c>
      <c r="K442" s="182">
        <v>38745</v>
      </c>
      <c r="L442" s="8" t="s">
        <v>4964</v>
      </c>
      <c r="M442" s="8" t="s">
        <v>2814</v>
      </c>
      <c r="N442" s="367"/>
      <c r="O442" s="8"/>
      <c r="P442" s="4" t="str">
        <f>VLOOKUP($B442,'D7 - NDB Impacted SPRF''s'!$E$16:$O$9929,9,FALSE)</f>
        <v>N</v>
      </c>
      <c r="Q442" s="4" t="str">
        <f>VLOOKUP($B442,'D7 - NDB Impacted SPRF''s'!$E$16:$O$9929,10,FALSE)</f>
        <v>N</v>
      </c>
      <c r="R442" s="4" t="str">
        <f>VLOOKUP($B442,'D7 - NDB Impacted SPRF''s'!$E$16:$O$9929,11,FALSE)</f>
        <v>N</v>
      </c>
      <c r="S442" s="8"/>
      <c r="T442" s="310"/>
      <c r="U442" s="310"/>
      <c r="V442" s="4"/>
      <c r="W442" s="4"/>
      <c r="X442" s="4"/>
      <c r="Y442" s="4"/>
      <c r="Z442" s="4"/>
      <c r="AA442" s="4"/>
      <c r="AB442" s="380" t="str">
        <f>VLOOKUP($B442,'D7 - NDB Impacted SPRF''s'!$E$16:$O$9929,4,FALSE)</f>
        <v>Completed</v>
      </c>
      <c r="AC442" s="380" t="str">
        <f>VLOOKUP($B442,'D7 - NDB Impacted SPRF''s'!$E$16:$O$9929,3,FALSE)</f>
        <v>UnitedHealthcare Employer &amp; Individual</v>
      </c>
      <c r="AD442" s="380" t="str">
        <f>VLOOKUP($B442,'D7 - NDB Impacted SPRF''s'!$E$16:$O$9929,5,FALSE)</f>
        <v>Operations Group</v>
      </c>
      <c r="AE442" s="380" t="str">
        <f>VLOOKUP($B442,'D7 - NDB Impacted SPRF''s'!$E$16:$O$9929,7,FALSE)</f>
        <v>Patrick Kennedy</v>
      </c>
      <c r="AF442" s="380" t="str">
        <f>VLOOKUP($B442,'D7 - NDB Impacted SPRF''s'!$E$16:$O$9929,6,FALSE)</f>
        <v>PETER MARTINSON</v>
      </c>
      <c r="AG442" s="282"/>
      <c r="AH442" s="311" t="e">
        <f>INDEX('D5 - Gatekeeper - Projects'!$A$4:$AF$1010,$AM442, 17)</f>
        <v>#N/A</v>
      </c>
      <c r="AI442" s="8"/>
      <c r="AJ442" s="57"/>
      <c r="AK442" s="105"/>
      <c r="AL442" s="216"/>
      <c r="AM442" s="6" t="e">
        <f>MATCH(D442,'D5 - Gatekeeper - Projects'!$C$4:$C$1010,0)</f>
        <v>#N/A</v>
      </c>
      <c r="AN442" s="6" t="b">
        <f t="shared" si="41"/>
        <v>1</v>
      </c>
      <c r="AO442" s="6" t="str">
        <f t="shared" si="44"/>
        <v>OK</v>
      </c>
      <c r="AP442" s="216"/>
      <c r="AQ442" s="6" t="e">
        <f>MATCH($D442,'D4 - Provider Council Unsched'!$C$11:$C$234,0)</f>
        <v>#N/A</v>
      </c>
      <c r="AR442" s="6" t="b">
        <f t="shared" si="42"/>
        <v>1</v>
      </c>
      <c r="AS442" s="6" t="str">
        <f t="shared" si="45"/>
        <v>OK</v>
      </c>
      <c r="AU442" s="202"/>
      <c r="AV442" s="262"/>
      <c r="AW442" s="274"/>
    </row>
    <row r="443" spans="1:49" s="13" customFormat="1" x14ac:dyDescent="0.2">
      <c r="A443" s="14">
        <v>419</v>
      </c>
      <c r="B443" s="14">
        <v>400010653</v>
      </c>
      <c r="C443" s="8" t="s">
        <v>5197</v>
      </c>
      <c r="D443" s="4" t="str">
        <f t="shared" si="43"/>
        <v>400010653R1</v>
      </c>
      <c r="E443" s="309" t="str">
        <f>VLOOKUP($B443,'D7 - NDB Impacted SPRF''s'!$E$6:$O$9929,2,FALSE)</f>
        <v>UBH Provider File for Eldorado</v>
      </c>
      <c r="F443" s="8" t="s">
        <v>3876</v>
      </c>
      <c r="G443" s="8" t="s">
        <v>4758</v>
      </c>
      <c r="H443" s="8" t="s">
        <v>4246</v>
      </c>
      <c r="I443" s="20">
        <v>1.07</v>
      </c>
      <c r="J443" s="8" t="s">
        <v>4862</v>
      </c>
      <c r="K443" s="182">
        <v>38745</v>
      </c>
      <c r="L443" s="8" t="s">
        <v>4964</v>
      </c>
      <c r="M443" s="8" t="s">
        <v>2814</v>
      </c>
      <c r="N443" s="367"/>
      <c r="O443" s="8"/>
      <c r="P443" s="4" t="str">
        <f>VLOOKUP($B443,'D7 - NDB Impacted SPRF''s'!$E$16:$O$9929,9,FALSE)</f>
        <v>N</v>
      </c>
      <c r="Q443" s="4" t="str">
        <f>VLOOKUP($B443,'D7 - NDB Impacted SPRF''s'!$E$16:$O$9929,10,FALSE)</f>
        <v>N</v>
      </c>
      <c r="R443" s="4" t="str">
        <f>VLOOKUP($B443,'D7 - NDB Impacted SPRF''s'!$E$16:$O$9929,11,FALSE)</f>
        <v>N</v>
      </c>
      <c r="S443" s="8"/>
      <c r="T443" s="310"/>
      <c r="U443" s="310"/>
      <c r="V443" s="4"/>
      <c r="W443" s="4"/>
      <c r="X443" s="4"/>
      <c r="Y443" s="4"/>
      <c r="Z443" s="4"/>
      <c r="AA443" s="4"/>
      <c r="AB443" s="380" t="str">
        <f>VLOOKUP($B443,'D7 - NDB Impacted SPRF''s'!$E$16:$O$9929,4,FALSE)</f>
        <v>Completed</v>
      </c>
      <c r="AC443" s="380" t="str">
        <f>VLOOKUP($B443,'D7 - NDB Impacted SPRF''s'!$E$16:$O$9929,3,FALSE)</f>
        <v>Uniprise</v>
      </c>
      <c r="AD443" s="380" t="str">
        <f>VLOOKUP($B443,'D7 - NDB Impacted SPRF''s'!$E$16:$O$9929,5,FALSE)</f>
        <v>Definity - DDC</v>
      </c>
      <c r="AE443" s="380" t="str">
        <f>VLOOKUP($B443,'D7 - NDB Impacted SPRF''s'!$E$16:$O$9929,7,FALSE)</f>
        <v>Tony Miller</v>
      </c>
      <c r="AF443" s="380" t="str">
        <f>VLOOKUP($B443,'D7 - NDB Impacted SPRF''s'!$E$16:$O$9929,6,FALSE)</f>
        <v>LISA STARIN</v>
      </c>
      <c r="AG443" s="282"/>
      <c r="AH443" s="311" t="e">
        <f>INDEX('D5 - Gatekeeper - Projects'!$A$4:$AF$1010,$AM443, 17)</f>
        <v>#N/A</v>
      </c>
      <c r="AI443" s="8"/>
      <c r="AJ443" s="57"/>
      <c r="AK443" s="105"/>
      <c r="AL443" s="216"/>
      <c r="AM443" s="6" t="e">
        <f>MATCH(D443,'D5 - Gatekeeper - Projects'!$C$4:$C$1010,0)</f>
        <v>#N/A</v>
      </c>
      <c r="AN443" s="6" t="b">
        <f t="shared" si="41"/>
        <v>1</v>
      </c>
      <c r="AO443" s="6" t="str">
        <f t="shared" si="44"/>
        <v>OK</v>
      </c>
      <c r="AP443" s="216"/>
      <c r="AQ443" s="6" t="e">
        <f>MATCH($D443,'D4 - Provider Council Unsched'!$C$11:$C$234,0)</f>
        <v>#N/A</v>
      </c>
      <c r="AR443" s="6" t="b">
        <f t="shared" si="42"/>
        <v>1</v>
      </c>
      <c r="AS443" s="6" t="str">
        <f t="shared" si="45"/>
        <v>OK</v>
      </c>
      <c r="AU443" s="202"/>
      <c r="AV443" s="262"/>
      <c r="AW443" s="274"/>
    </row>
    <row r="444" spans="1:49" s="13" customFormat="1" ht="33.75" x14ac:dyDescent="0.2">
      <c r="A444" s="14">
        <v>420</v>
      </c>
      <c r="B444" s="14">
        <v>400010898</v>
      </c>
      <c r="C444" s="8" t="s">
        <v>5197</v>
      </c>
      <c r="D444" s="4" t="str">
        <f t="shared" si="43"/>
        <v>400010898R1</v>
      </c>
      <c r="E444" s="309" t="str">
        <f>VLOOKUP($B444,'D7 - NDB Impacted SPRF''s'!$E$6:$O$9929,2,FALSE)</f>
        <v xml:space="preserve">01012006 Recycled Code Rate Cancellation  </v>
      </c>
      <c r="F444" s="8"/>
      <c r="G444" s="8" t="s">
        <v>4758</v>
      </c>
      <c r="H444" s="8" t="s">
        <v>4246</v>
      </c>
      <c r="I444" s="20">
        <v>0.53</v>
      </c>
      <c r="J444" s="8" t="s">
        <v>4862</v>
      </c>
      <c r="K444" s="182">
        <v>38745</v>
      </c>
      <c r="L444" s="8" t="s">
        <v>4964</v>
      </c>
      <c r="M444" s="8" t="s">
        <v>2814</v>
      </c>
      <c r="N444" s="367"/>
      <c r="O444" s="8"/>
      <c r="P444" s="4" t="str">
        <f>VLOOKUP($B444,'D7 - NDB Impacted SPRF''s'!$E$16:$O$9929,9,FALSE)</f>
        <v>N</v>
      </c>
      <c r="Q444" s="4" t="str">
        <f>VLOOKUP($B444,'D7 - NDB Impacted SPRF''s'!$E$16:$O$9929,10,FALSE)</f>
        <v>N</v>
      </c>
      <c r="R444" s="4" t="str">
        <f>VLOOKUP($B444,'D7 - NDB Impacted SPRF''s'!$E$16:$O$9929,11,FALSE)</f>
        <v>N</v>
      </c>
      <c r="S444" s="8"/>
      <c r="T444" s="310"/>
      <c r="U444" s="310"/>
      <c r="V444" s="4"/>
      <c r="W444" s="4"/>
      <c r="X444" s="4"/>
      <c r="Y444" s="4"/>
      <c r="Z444" s="4"/>
      <c r="AA444" s="4"/>
      <c r="AB444" s="380" t="str">
        <f>VLOOKUP($B444,'D7 - NDB Impacted SPRF''s'!$E$16:$O$9929,4,FALSE)</f>
        <v>Completed</v>
      </c>
      <c r="AC444" s="380" t="str">
        <f>VLOOKUP($B444,'D7 - NDB Impacted SPRF''s'!$E$16:$O$9929,3,FALSE)</f>
        <v>UnitedHealthcare Employer &amp; Individual</v>
      </c>
      <c r="AD444" s="380" t="str">
        <f>VLOOKUP($B444,'D7 - NDB Impacted SPRF''s'!$E$16:$O$9929,5,FALSE)</f>
        <v>Operations Group</v>
      </c>
      <c r="AE444" s="380" t="str">
        <f>VLOOKUP($B444,'D7 - NDB Impacted SPRF''s'!$E$16:$O$9929,7,FALSE)</f>
        <v>Peter Bompane</v>
      </c>
      <c r="AF444" s="380" t="str">
        <f>VLOOKUP($B444,'D7 - NDB Impacted SPRF''s'!$E$16:$O$9929,6,FALSE)</f>
        <v>PENNINGTON CAROL</v>
      </c>
      <c r="AG444" s="282"/>
      <c r="AH444" s="311" t="e">
        <f>INDEX('D5 - Gatekeeper - Projects'!$A$4:$AF$1010,$AM444, 17)</f>
        <v>#N/A</v>
      </c>
      <c r="AI444" s="8"/>
      <c r="AJ444" s="57"/>
      <c r="AK444" s="105"/>
      <c r="AL444" s="216"/>
      <c r="AM444" s="6" t="e">
        <f>MATCH(D444,'D5 - Gatekeeper - Projects'!$C$4:$C$1010,0)</f>
        <v>#N/A</v>
      </c>
      <c r="AN444" s="6" t="b">
        <f t="shared" si="41"/>
        <v>1</v>
      </c>
      <c r="AO444" s="6" t="str">
        <f t="shared" si="44"/>
        <v>OK</v>
      </c>
      <c r="AP444" s="216"/>
      <c r="AQ444" s="6" t="e">
        <f>MATCH($D444,'D4 - Provider Council Unsched'!$C$11:$C$234,0)</f>
        <v>#N/A</v>
      </c>
      <c r="AR444" s="6" t="b">
        <f t="shared" si="42"/>
        <v>1</v>
      </c>
      <c r="AS444" s="6" t="str">
        <f t="shared" si="45"/>
        <v>OK</v>
      </c>
      <c r="AU444" s="202"/>
      <c r="AV444" s="262"/>
      <c r="AW444" s="274"/>
    </row>
    <row r="445" spans="1:49" s="13" customFormat="1" ht="22.5" x14ac:dyDescent="0.2">
      <c r="A445" s="14">
        <v>421</v>
      </c>
      <c r="B445" s="14">
        <v>400008351</v>
      </c>
      <c r="C445" s="8" t="s">
        <v>5197</v>
      </c>
      <c r="D445" s="4" t="str">
        <f t="shared" si="43"/>
        <v>400008351R1</v>
      </c>
      <c r="E445" s="309" t="str">
        <f>VLOOKUP($B445,'D7 - NDB Impacted SPRF''s'!$E$6:$O$9929,2,FALSE)</f>
        <v>Mainframe Insourcing</v>
      </c>
      <c r="F445" s="8" t="s">
        <v>8133</v>
      </c>
      <c r="G445" s="8" t="s">
        <v>4758</v>
      </c>
      <c r="H445" s="8" t="s">
        <v>4246</v>
      </c>
      <c r="I445" s="20">
        <v>20</v>
      </c>
      <c r="J445" s="8" t="s">
        <v>7114</v>
      </c>
      <c r="K445" s="182">
        <v>38759</v>
      </c>
      <c r="L445" s="8" t="s">
        <v>6919</v>
      </c>
      <c r="M445" s="8" t="s">
        <v>2814</v>
      </c>
      <c r="N445" s="38"/>
      <c r="O445" s="8"/>
      <c r="P445" s="4" t="str">
        <f>VLOOKUP($B445,'D7 - NDB Impacted SPRF''s'!$E$16:$O$9929,9,FALSE)</f>
        <v>Y</v>
      </c>
      <c r="Q445" s="4" t="str">
        <f>VLOOKUP($B445,'D7 - NDB Impacted SPRF''s'!$E$16:$O$9929,10,FALSE)</f>
        <v>N</v>
      </c>
      <c r="R445" s="4" t="str">
        <f>VLOOKUP($B445,'D7 - NDB Impacted SPRF''s'!$E$16:$O$9929,11,FALSE)</f>
        <v>N</v>
      </c>
      <c r="S445" s="8"/>
      <c r="T445" s="310"/>
      <c r="U445" s="310"/>
      <c r="V445" s="4"/>
      <c r="W445" s="4"/>
      <c r="X445" s="4"/>
      <c r="Y445" s="4"/>
      <c r="Z445" s="4"/>
      <c r="AA445" s="4"/>
      <c r="AB445" s="380" t="str">
        <f>VLOOKUP($B445,'D7 - NDB Impacted SPRF''s'!$E$16:$O$9929,4,FALSE)</f>
        <v>Completed</v>
      </c>
      <c r="AC445" s="380" t="str">
        <f>VLOOKUP($B445,'D7 - NDB Impacted SPRF''s'!$E$16:$O$9929,3,FALSE)</f>
        <v>Uniprise</v>
      </c>
      <c r="AD445" s="380" t="str">
        <f>VLOOKUP($B445,'D7 - NDB Impacted SPRF''s'!$E$16:$O$9929,5,FALSE)</f>
        <v>Uniprise Technologies - Capital Projects</v>
      </c>
      <c r="AE445" s="380" t="str">
        <f>VLOOKUP($B445,'D7 - NDB Impacted SPRF''s'!$E$16:$O$9929,7,FALSE)</f>
        <v>Mike Connly</v>
      </c>
      <c r="AF445" s="380" t="str">
        <f>VLOOKUP($B445,'D7 - NDB Impacted SPRF''s'!$E$16:$O$9929,6,FALSE)</f>
        <v>VICTORIA Wrobel</v>
      </c>
      <c r="AG445" s="282" t="s">
        <v>7755</v>
      </c>
      <c r="AH445" s="311" t="e">
        <f>INDEX('D5 - Gatekeeper - Projects'!$A$4:$AF$1010,$AM445, 17)</f>
        <v>#N/A</v>
      </c>
      <c r="AI445" s="8"/>
      <c r="AJ445" s="57"/>
      <c r="AK445" s="105"/>
      <c r="AL445" s="216"/>
      <c r="AM445" s="6" t="e">
        <f>MATCH(D445,'D5 - Gatekeeper - Projects'!$C$4:$C$1010,0)</f>
        <v>#N/A</v>
      </c>
      <c r="AN445" s="6" t="b">
        <f t="shared" si="41"/>
        <v>1</v>
      </c>
      <c r="AO445" s="6" t="str">
        <f t="shared" si="44"/>
        <v>OK</v>
      </c>
      <c r="AP445" s="216"/>
      <c r="AQ445" s="6" t="e">
        <f>MATCH($D445,'D4 - Provider Council Unsched'!$C$11:$C$234,0)</f>
        <v>#N/A</v>
      </c>
      <c r="AR445" s="6" t="b">
        <f t="shared" si="42"/>
        <v>1</v>
      </c>
      <c r="AS445" s="6" t="str">
        <f t="shared" si="45"/>
        <v>OK</v>
      </c>
      <c r="AU445" s="202"/>
      <c r="AV445" s="262"/>
      <c r="AW445" s="274"/>
    </row>
    <row r="446" spans="1:49" s="13" customFormat="1" ht="33.75" x14ac:dyDescent="0.2">
      <c r="A446" s="14">
        <v>422</v>
      </c>
      <c r="B446" s="14">
        <v>400000652</v>
      </c>
      <c r="C446" s="8" t="s">
        <v>3763</v>
      </c>
      <c r="D446" s="4" t="str">
        <f t="shared" si="43"/>
        <v>400000652R2</v>
      </c>
      <c r="E446" s="309" t="str">
        <f>VLOOKUP($B446,'D7 - NDB Impacted SPRF''s'!$E$6:$O$9929,2,FALSE)</f>
        <v>Limitation of Reimbursement for OutPatient Lab Svc</v>
      </c>
      <c r="F446" s="8" t="s">
        <v>6633</v>
      </c>
      <c r="G446" s="8" t="s">
        <v>4758</v>
      </c>
      <c r="H446" s="8" t="s">
        <v>4246</v>
      </c>
      <c r="I446" s="20">
        <v>7.1</v>
      </c>
      <c r="J446" s="8" t="s">
        <v>4862</v>
      </c>
      <c r="K446" s="182">
        <v>38801</v>
      </c>
      <c r="L446" s="8" t="s">
        <v>6919</v>
      </c>
      <c r="M446" s="8" t="s">
        <v>2814</v>
      </c>
      <c r="N446" s="38"/>
      <c r="O446" s="8"/>
      <c r="P446" s="4" t="str">
        <f>VLOOKUP($B446,'D7 - NDB Impacted SPRF''s'!$E$16:$O$9929,9,FALSE)</f>
        <v>Y</v>
      </c>
      <c r="Q446" s="4" t="str">
        <f>VLOOKUP($B446,'D7 - NDB Impacted SPRF''s'!$E$16:$O$9929,10,FALSE)</f>
        <v>N</v>
      </c>
      <c r="R446" s="4" t="str">
        <f>VLOOKUP($B446,'D7 - NDB Impacted SPRF''s'!$E$16:$O$9929,11,FALSE)</f>
        <v>N</v>
      </c>
      <c r="S446" s="8"/>
      <c r="T446" s="310"/>
      <c r="U446" s="310"/>
      <c r="V446" s="4"/>
      <c r="W446" s="4"/>
      <c r="X446" s="4"/>
      <c r="Y446" s="4"/>
      <c r="Z446" s="4"/>
      <c r="AA446" s="4"/>
      <c r="AB446" s="380" t="str">
        <f>VLOOKUP($B446,'D7 - NDB Impacted SPRF''s'!$E$16:$O$9929,4,FALSE)</f>
        <v>Completed</v>
      </c>
      <c r="AC446" s="380" t="str">
        <f>VLOOKUP($B446,'D7 - NDB Impacted SPRF''s'!$E$16:$O$9929,3,FALSE)</f>
        <v>UnitedHealthcare Employer &amp; Individual</v>
      </c>
      <c r="AD446" s="380" t="str">
        <f>VLOOKUP($B446,'D7 - NDB Impacted SPRF''s'!$E$16:$O$9929,5,FALSE)</f>
        <v>Operations Group</v>
      </c>
      <c r="AE446" s="380" t="str">
        <f>VLOOKUP($B446,'D7 - NDB Impacted SPRF''s'!$E$16:$O$9929,7,FALSE)</f>
        <v>James Bogdan</v>
      </c>
      <c r="AF446" s="380" t="str">
        <f>VLOOKUP($B446,'D7 - NDB Impacted SPRF''s'!$E$16:$O$9929,6,FALSE)</f>
        <v>Nancy Turner</v>
      </c>
      <c r="AG446" s="282" t="s">
        <v>5094</v>
      </c>
      <c r="AH446" s="311" t="e">
        <f>INDEX('D5 - Gatekeeper - Projects'!$A$4:$AF$1010,$AM446, 17)</f>
        <v>#N/A</v>
      </c>
      <c r="AI446" s="8"/>
      <c r="AJ446" s="57"/>
      <c r="AK446" s="105"/>
      <c r="AL446" s="216"/>
      <c r="AM446" s="6" t="e">
        <f>MATCH(D446,'D5 - Gatekeeper - Projects'!$C$4:$C$1010,0)</f>
        <v>#N/A</v>
      </c>
      <c r="AN446" s="6" t="b">
        <f t="shared" si="41"/>
        <v>1</v>
      </c>
      <c r="AO446" s="6" t="str">
        <f t="shared" si="44"/>
        <v>OK</v>
      </c>
      <c r="AP446" s="216"/>
      <c r="AQ446" s="6" t="e">
        <f>MATCH($D446,'D4 - Provider Council Unsched'!$C$11:$C$234,0)</f>
        <v>#N/A</v>
      </c>
      <c r="AR446" s="6" t="b">
        <f t="shared" si="42"/>
        <v>1</v>
      </c>
      <c r="AS446" s="6" t="str">
        <f t="shared" si="45"/>
        <v>OK</v>
      </c>
      <c r="AU446" s="202"/>
      <c r="AV446" s="262"/>
      <c r="AW446" s="274"/>
    </row>
    <row r="447" spans="1:49" s="13" customFormat="1" ht="33.75" x14ac:dyDescent="0.2">
      <c r="A447" s="14">
        <v>423</v>
      </c>
      <c r="B447" s="14">
        <v>400004030</v>
      </c>
      <c r="C447" s="8" t="s">
        <v>5197</v>
      </c>
      <c r="D447" s="4" t="str">
        <f t="shared" si="43"/>
        <v>400004030R1</v>
      </c>
      <c r="E447" s="309" t="str">
        <f>VLOOKUP($B447,'D7 - NDB Impacted SPRF''s'!$E$6:$O$9929,2,FALSE)</f>
        <v>UP Generic Conv Tools - CES/UPCT Eligibility</v>
      </c>
      <c r="F447" s="8" t="s">
        <v>5196</v>
      </c>
      <c r="G447" s="8" t="s">
        <v>4758</v>
      </c>
      <c r="H447" s="8" t="s">
        <v>4246</v>
      </c>
      <c r="I447" s="20">
        <v>1.93</v>
      </c>
      <c r="J447" s="8" t="s">
        <v>4862</v>
      </c>
      <c r="K447" s="182">
        <v>38801</v>
      </c>
      <c r="L447" s="8" t="s">
        <v>6919</v>
      </c>
      <c r="M447" s="8" t="s">
        <v>2814</v>
      </c>
      <c r="N447" s="38" t="s">
        <v>5442</v>
      </c>
      <c r="O447" s="8"/>
      <c r="P447" s="4" t="str">
        <f>VLOOKUP($B447,'D7 - NDB Impacted SPRF''s'!$E$16:$O$9929,9,FALSE)</f>
        <v>N</v>
      </c>
      <c r="Q447" s="4" t="str">
        <f>VLOOKUP($B447,'D7 - NDB Impacted SPRF''s'!$E$16:$O$9929,10,FALSE)</f>
        <v>N</v>
      </c>
      <c r="R447" s="4" t="str">
        <f>VLOOKUP($B447,'D7 - NDB Impacted SPRF''s'!$E$16:$O$9929,11,FALSE)</f>
        <v>N</v>
      </c>
      <c r="S447" s="8"/>
      <c r="T447" s="310"/>
      <c r="U447" s="310"/>
      <c r="V447" s="4"/>
      <c r="W447" s="4"/>
      <c r="X447" s="4"/>
      <c r="Y447" s="4"/>
      <c r="Z447" s="4"/>
      <c r="AA447" s="4"/>
      <c r="AB447" s="380" t="str">
        <f>VLOOKUP($B447,'D7 - NDB Impacted SPRF''s'!$E$16:$O$9929,4,FALSE)</f>
        <v>Completed</v>
      </c>
      <c r="AC447" s="380" t="str">
        <f>VLOOKUP($B447,'D7 - NDB Impacted SPRF''s'!$E$16:$O$9929,3,FALSE)</f>
        <v>Alliance</v>
      </c>
      <c r="AD447" s="380" t="str">
        <f>VLOOKUP($B447,'D7 - NDB Impacted SPRF''s'!$E$16:$O$9929,5,FALSE)</f>
        <v>Platform Conversion Tools</v>
      </c>
      <c r="AE447" s="380" t="str">
        <f>VLOOKUP($B447,'D7 - NDB Impacted SPRF''s'!$E$16:$O$9929,7,FALSE)</f>
        <v>Diane Schofield</v>
      </c>
      <c r="AF447" s="380" t="str">
        <f>VLOOKUP($B447,'D7 - NDB Impacted SPRF''s'!$E$16:$O$9929,6,FALSE)</f>
        <v>JERRIL PALMER</v>
      </c>
      <c r="AG447" s="282" t="s">
        <v>7755</v>
      </c>
      <c r="AH447" s="311" t="e">
        <f>INDEX('D5 - Gatekeeper - Projects'!$A$4:$AF$1010,$AM447, 17)</f>
        <v>#N/A</v>
      </c>
      <c r="AI447" s="8"/>
      <c r="AJ447" s="57"/>
      <c r="AK447" s="105"/>
      <c r="AL447" s="216"/>
      <c r="AM447" s="6" t="e">
        <f>MATCH(D447,'D5 - Gatekeeper - Projects'!$C$4:$C$1010,0)</f>
        <v>#N/A</v>
      </c>
      <c r="AN447" s="6" t="b">
        <f t="shared" si="41"/>
        <v>1</v>
      </c>
      <c r="AO447" s="6" t="str">
        <f t="shared" si="44"/>
        <v>OK</v>
      </c>
      <c r="AP447" s="216"/>
      <c r="AQ447" s="6" t="e">
        <f>MATCH($D447,'D4 - Provider Council Unsched'!$C$11:$C$234,0)</f>
        <v>#N/A</v>
      </c>
      <c r="AR447" s="6" t="b">
        <f t="shared" si="42"/>
        <v>1</v>
      </c>
      <c r="AS447" s="6" t="str">
        <f t="shared" si="45"/>
        <v>OK</v>
      </c>
      <c r="AU447" s="202"/>
      <c r="AV447" s="262"/>
      <c r="AW447" s="274"/>
    </row>
    <row r="448" spans="1:49" s="13" customFormat="1" ht="33.75" x14ac:dyDescent="0.2">
      <c r="A448" s="14">
        <v>424</v>
      </c>
      <c r="B448" s="14">
        <v>400005210</v>
      </c>
      <c r="C448" s="8" t="s">
        <v>5197</v>
      </c>
      <c r="D448" s="4" t="str">
        <f t="shared" si="43"/>
        <v>400005210R1</v>
      </c>
      <c r="E448" s="309" t="str">
        <f>VLOOKUP($B448,'D7 - NDB Impacted SPRF''s'!$E$6:$O$9929,2,FALSE)</f>
        <v>Automated CLIA updates from CMS to NDB</v>
      </c>
      <c r="F448" s="8" t="s">
        <v>6633</v>
      </c>
      <c r="G448" s="8" t="s">
        <v>4758</v>
      </c>
      <c r="H448" s="8" t="s">
        <v>4246</v>
      </c>
      <c r="I448" s="20">
        <v>7.05</v>
      </c>
      <c r="J448" s="8" t="s">
        <v>4862</v>
      </c>
      <c r="K448" s="182">
        <v>38801</v>
      </c>
      <c r="L448" s="8" t="s">
        <v>6919</v>
      </c>
      <c r="M448" s="8" t="s">
        <v>2814</v>
      </c>
      <c r="N448" s="38" t="s">
        <v>6177</v>
      </c>
      <c r="O448" s="8"/>
      <c r="P448" s="4" t="str">
        <f>VLOOKUP($B448,'D7 - NDB Impacted SPRF''s'!$E$16:$O$9929,9,FALSE)</f>
        <v>N</v>
      </c>
      <c r="Q448" s="4" t="str">
        <f>VLOOKUP($B448,'D7 - NDB Impacted SPRF''s'!$E$16:$O$9929,10,FALSE)</f>
        <v>N</v>
      </c>
      <c r="R448" s="4" t="str">
        <f>VLOOKUP($B448,'D7 - NDB Impacted SPRF''s'!$E$16:$O$9929,11,FALSE)</f>
        <v>N</v>
      </c>
      <c r="S448" s="8"/>
      <c r="T448" s="310"/>
      <c r="U448" s="310"/>
      <c r="V448" s="4"/>
      <c r="W448" s="4"/>
      <c r="X448" s="4"/>
      <c r="Y448" s="4"/>
      <c r="Z448" s="4"/>
      <c r="AA448" s="4"/>
      <c r="AB448" s="380" t="str">
        <f>VLOOKUP($B448,'D7 - NDB Impacted SPRF''s'!$E$16:$O$9929,4,FALSE)</f>
        <v>Completed</v>
      </c>
      <c r="AC448" s="380" t="str">
        <f>VLOOKUP($B448,'D7 - NDB Impacted SPRF''s'!$E$16:$O$9929,3,FALSE)</f>
        <v>UnitedHealthcare Employer &amp; Individual</v>
      </c>
      <c r="AD448" s="380" t="str">
        <f>VLOOKUP($B448,'D7 - NDB Impacted SPRF''s'!$E$16:$O$9929,5,FALSE)</f>
        <v>Operations Group</v>
      </c>
      <c r="AE448" s="380" t="str">
        <f>VLOOKUP($B448,'D7 - NDB Impacted SPRF''s'!$E$16:$O$9929,7,FALSE)</f>
        <v>Debi Streb</v>
      </c>
      <c r="AF448" s="380" t="str">
        <f>VLOOKUP($B448,'D7 - NDB Impacted SPRF''s'!$E$16:$O$9929,6,FALSE)</f>
        <v>Jennifer Steffens</v>
      </c>
      <c r="AG448" s="282" t="s">
        <v>5094</v>
      </c>
      <c r="AH448" s="311" t="e">
        <f>INDEX('D5 - Gatekeeper - Projects'!$A$4:$AF$1010,$AM448, 17)</f>
        <v>#N/A</v>
      </c>
      <c r="AI448" s="8"/>
      <c r="AJ448" s="57"/>
      <c r="AK448" s="105"/>
      <c r="AM448" s="6" t="e">
        <f>MATCH(D448,'D5 - Gatekeeper - Projects'!$C$4:$C$1010,0)</f>
        <v>#N/A</v>
      </c>
      <c r="AN448" s="6" t="b">
        <f t="shared" si="41"/>
        <v>1</v>
      </c>
      <c r="AO448" s="6" t="str">
        <f t="shared" si="44"/>
        <v>OK</v>
      </c>
      <c r="AQ448" s="6" t="e">
        <f>MATCH($D448,'D4 - Provider Council Unsched'!$C$11:$C$234,0)</f>
        <v>#N/A</v>
      </c>
      <c r="AR448" s="6" t="b">
        <f t="shared" si="42"/>
        <v>1</v>
      </c>
      <c r="AS448" s="6" t="str">
        <f t="shared" si="45"/>
        <v>OK</v>
      </c>
      <c r="AU448" s="202"/>
      <c r="AV448" s="262"/>
      <c r="AW448" s="274"/>
    </row>
    <row r="449" spans="1:49" s="13" customFormat="1" ht="22.5" x14ac:dyDescent="0.2">
      <c r="A449" s="14">
        <v>425</v>
      </c>
      <c r="B449" s="14">
        <v>400006014</v>
      </c>
      <c r="C449" s="8" t="s">
        <v>3763</v>
      </c>
      <c r="D449" s="4" t="str">
        <f t="shared" si="43"/>
        <v>400006014R2</v>
      </c>
      <c r="E449" s="309" t="str">
        <f>VLOOKUP($B449,'D7 - NDB Impacted SPRF''s'!$E$6:$O$9929,2,FALSE)</f>
        <v>Endevor 4.0 Conversion</v>
      </c>
      <c r="F449" s="8" t="s">
        <v>8133</v>
      </c>
      <c r="G449" s="8" t="s">
        <v>4758</v>
      </c>
      <c r="H449" s="8" t="s">
        <v>4246</v>
      </c>
      <c r="I449" s="20">
        <v>3.33</v>
      </c>
      <c r="J449" s="8" t="s">
        <v>4862</v>
      </c>
      <c r="K449" s="182">
        <v>38801</v>
      </c>
      <c r="L449" s="8" t="s">
        <v>6919</v>
      </c>
      <c r="M449" s="8" t="s">
        <v>2814</v>
      </c>
      <c r="N449" s="38"/>
      <c r="O449" s="8"/>
      <c r="P449" s="4" t="str">
        <f>VLOOKUP($B449,'D7 - NDB Impacted SPRF''s'!$E$16:$O$9929,9,FALSE)</f>
        <v>Y</v>
      </c>
      <c r="Q449" s="4" t="str">
        <f>VLOOKUP($B449,'D7 - NDB Impacted SPRF''s'!$E$16:$O$9929,10,FALSE)</f>
        <v>N</v>
      </c>
      <c r="R449" s="4" t="str">
        <f>VLOOKUP($B449,'D7 - NDB Impacted SPRF''s'!$E$16:$O$9929,11,FALSE)</f>
        <v>N</v>
      </c>
      <c r="S449" s="8"/>
      <c r="T449" s="310"/>
      <c r="U449" s="310"/>
      <c r="V449" s="4"/>
      <c r="W449" s="4"/>
      <c r="X449" s="4"/>
      <c r="Y449" s="4"/>
      <c r="Z449" s="4"/>
      <c r="AA449" s="4"/>
      <c r="AB449" s="380" t="str">
        <f>VLOOKUP($B449,'D7 - NDB Impacted SPRF''s'!$E$16:$O$9929,4,FALSE)</f>
        <v>Completed</v>
      </c>
      <c r="AC449" s="380" t="str">
        <f>VLOOKUP($B449,'D7 - NDB Impacted SPRF''s'!$E$16:$O$9929,3,FALSE)</f>
        <v>Uniprise</v>
      </c>
      <c r="AD449" s="380" t="str">
        <f>VLOOKUP($B449,'D7 - NDB Impacted SPRF''s'!$E$16:$O$9929,5,FALSE)</f>
        <v>Uniprise Technologies - DDC</v>
      </c>
      <c r="AE449" s="380" t="str">
        <f>VLOOKUP($B449,'D7 - NDB Impacted SPRF''s'!$E$16:$O$9929,7,FALSE)</f>
        <v>John Santelli</v>
      </c>
      <c r="AF449" s="380" t="str">
        <f>VLOOKUP($B449,'D7 - NDB Impacted SPRF''s'!$E$16:$O$9929,6,FALSE)</f>
        <v>WILLIAM KOWALSKY</v>
      </c>
      <c r="AG449" s="282" t="s">
        <v>7755</v>
      </c>
      <c r="AH449" s="311" t="e">
        <f>INDEX('D5 - Gatekeeper - Projects'!$A$4:$AF$1010,$AM449, 17)</f>
        <v>#N/A</v>
      </c>
      <c r="AI449" s="8"/>
      <c r="AJ449" s="57"/>
      <c r="AK449" s="105"/>
      <c r="AM449" s="6" t="e">
        <f>MATCH(D449,'D5 - Gatekeeper - Projects'!$C$4:$C$1010,0)</f>
        <v>#N/A</v>
      </c>
      <c r="AN449" s="6" t="b">
        <f t="shared" si="41"/>
        <v>1</v>
      </c>
      <c r="AO449" s="6" t="str">
        <f t="shared" si="44"/>
        <v>OK</v>
      </c>
      <c r="AQ449" s="6" t="e">
        <f>MATCH($D449,'D4 - Provider Council Unsched'!$C$11:$C$234,0)</f>
        <v>#N/A</v>
      </c>
      <c r="AR449" s="6" t="b">
        <f t="shared" si="42"/>
        <v>1</v>
      </c>
      <c r="AS449" s="6" t="str">
        <f t="shared" si="45"/>
        <v>OK</v>
      </c>
      <c r="AU449" s="202"/>
      <c r="AV449" s="262"/>
      <c r="AW449" s="274"/>
    </row>
    <row r="450" spans="1:49" s="13" customFormat="1" ht="33.75" x14ac:dyDescent="0.2">
      <c r="A450" s="14">
        <v>426</v>
      </c>
      <c r="B450" s="14">
        <v>400007542</v>
      </c>
      <c r="C450" s="8" t="s">
        <v>5197</v>
      </c>
      <c r="D450" s="4" t="str">
        <f t="shared" si="43"/>
        <v>400007542R1</v>
      </c>
      <c r="E450" s="309" t="str">
        <f>VLOOKUP($B450,'D7 - NDB Impacted SPRF''s'!$E$6:$O$9929,2,FALSE)</f>
        <v>MAMSI UB conversion to long term repricing engine</v>
      </c>
      <c r="F450" s="8" t="s">
        <v>5752</v>
      </c>
      <c r="G450" s="8" t="s">
        <v>4758</v>
      </c>
      <c r="H450" s="8" t="s">
        <v>4246</v>
      </c>
      <c r="I450" s="20">
        <v>5</v>
      </c>
      <c r="J450" s="8" t="s">
        <v>4862</v>
      </c>
      <c r="K450" s="182">
        <v>38801</v>
      </c>
      <c r="L450" s="8" t="s">
        <v>6919</v>
      </c>
      <c r="M450" s="8" t="s">
        <v>2814</v>
      </c>
      <c r="N450" s="38"/>
      <c r="O450" s="8"/>
      <c r="P450" s="4"/>
      <c r="Q450" s="4" t="str">
        <f>VLOOKUP($B450,'D7 - NDB Impacted SPRF''s'!$E$16:$O$9929,10,FALSE)</f>
        <v>N</v>
      </c>
      <c r="R450" s="4" t="str">
        <f>VLOOKUP($B450,'D7 - NDB Impacted SPRF''s'!$E$16:$O$9929,11,FALSE)</f>
        <v>N</v>
      </c>
      <c r="S450" s="8"/>
      <c r="T450" s="310"/>
      <c r="U450" s="310"/>
      <c r="V450" s="4"/>
      <c r="W450" s="4"/>
      <c r="X450" s="4"/>
      <c r="Y450" s="4"/>
      <c r="Z450" s="4"/>
      <c r="AA450" s="4"/>
      <c r="AB450" s="380" t="str">
        <f>VLOOKUP($B450,'D7 - NDB Impacted SPRF''s'!$E$16:$O$9929,4,FALSE)</f>
        <v>Completed</v>
      </c>
      <c r="AC450" s="380" t="str">
        <f>VLOOKUP($B450,'D7 - NDB Impacted SPRF''s'!$E$16:$O$9929,3,FALSE)</f>
        <v>UnitedHealthcare Employer &amp; Individual</v>
      </c>
      <c r="AD450" s="380" t="str">
        <f>VLOOKUP($B450,'D7 - NDB Impacted SPRF''s'!$E$16:$O$9929,5,FALSE)</f>
        <v>Medical Cost Savings Programs</v>
      </c>
      <c r="AE450" s="380" t="str">
        <f>VLOOKUP($B450,'D7 - NDB Impacted SPRF''s'!$E$16:$O$9929,7,FALSE)</f>
        <v>Patrick Kennedy</v>
      </c>
      <c r="AF450" s="380" t="str">
        <f>VLOOKUP($B450,'D7 - NDB Impacted SPRF''s'!$E$16:$O$9929,6,FALSE)</f>
        <v>Borzage Deborah</v>
      </c>
      <c r="AG450" s="282" t="s">
        <v>6162</v>
      </c>
      <c r="AH450" s="311" t="e">
        <f>INDEX('D5 - Gatekeeper - Projects'!$A$4:$AF$1010,$AM450, 17)</f>
        <v>#N/A</v>
      </c>
      <c r="AI450" s="8"/>
      <c r="AJ450" s="57"/>
      <c r="AK450" s="105"/>
      <c r="AL450" s="216"/>
      <c r="AM450" s="6" t="e">
        <f>MATCH(D450,'D5 - Gatekeeper - Projects'!$C$4:$C$1010,0)</f>
        <v>#N/A</v>
      </c>
      <c r="AN450" s="6" t="b">
        <f t="shared" si="41"/>
        <v>1</v>
      </c>
      <c r="AO450" s="6" t="str">
        <f t="shared" si="44"/>
        <v>OK</v>
      </c>
      <c r="AP450" s="216"/>
      <c r="AQ450" s="6" t="e">
        <f>MATCH($D450,'D4 - Provider Council Unsched'!$C$11:$C$234,0)</f>
        <v>#N/A</v>
      </c>
      <c r="AR450" s="6" t="b">
        <f t="shared" si="42"/>
        <v>1</v>
      </c>
      <c r="AS450" s="6" t="str">
        <f t="shared" si="45"/>
        <v>OK</v>
      </c>
      <c r="AU450" s="202"/>
      <c r="AV450" s="262"/>
      <c r="AW450" s="274"/>
    </row>
    <row r="451" spans="1:49" s="13" customFormat="1" ht="33.75" x14ac:dyDescent="0.2">
      <c r="A451" s="14">
        <v>427</v>
      </c>
      <c r="B451" s="14">
        <v>400007545</v>
      </c>
      <c r="C451" s="8" t="s">
        <v>5197</v>
      </c>
      <c r="D451" s="4" t="str">
        <f t="shared" si="43"/>
        <v>400007545R1</v>
      </c>
      <c r="E451" s="309" t="str">
        <f>VLOOKUP($B451,'D7 - NDB Impacted SPRF''s'!$E$6:$O$9929,2,FALSE)</f>
        <v>GRI HCFA access to long term repricing solution</v>
      </c>
      <c r="F451" s="8" t="s">
        <v>1614</v>
      </c>
      <c r="G451" s="8" t="s">
        <v>4758</v>
      </c>
      <c r="H451" s="8" t="s">
        <v>4246</v>
      </c>
      <c r="I451" s="20">
        <v>5</v>
      </c>
      <c r="J451" s="8" t="s">
        <v>4862</v>
      </c>
      <c r="K451" s="182">
        <v>38801</v>
      </c>
      <c r="L451" s="8" t="s">
        <v>6919</v>
      </c>
      <c r="M451" s="8" t="s">
        <v>2814</v>
      </c>
      <c r="N451" s="38"/>
      <c r="O451" s="8"/>
      <c r="P451" s="4" t="str">
        <f>VLOOKUP($B451,'D7 - NDB Impacted SPRF''s'!$E$16:$O$9929,9,FALSE)</f>
        <v>N</v>
      </c>
      <c r="Q451" s="4" t="str">
        <f>VLOOKUP($B451,'D7 - NDB Impacted SPRF''s'!$E$16:$O$9929,10,FALSE)</f>
        <v>N</v>
      </c>
      <c r="R451" s="4" t="str">
        <f>VLOOKUP($B451,'D7 - NDB Impacted SPRF''s'!$E$16:$O$9929,11,FALSE)</f>
        <v>N</v>
      </c>
      <c r="S451" s="8"/>
      <c r="T451" s="310"/>
      <c r="U451" s="310"/>
      <c r="V451" s="4"/>
      <c r="W451" s="4"/>
      <c r="X451" s="4"/>
      <c r="Y451" s="4"/>
      <c r="Z451" s="4"/>
      <c r="AA451" s="4"/>
      <c r="AB451" s="380" t="str">
        <f>VLOOKUP($B451,'D7 - NDB Impacted SPRF''s'!$E$16:$O$9929,4,FALSE)</f>
        <v>Completed</v>
      </c>
      <c r="AC451" s="380" t="str">
        <f>VLOOKUP($B451,'D7 - NDB Impacted SPRF''s'!$E$16:$O$9929,3,FALSE)</f>
        <v>UnitedHealthcare Employer &amp; Individual</v>
      </c>
      <c r="AD451" s="380" t="str">
        <f>VLOOKUP($B451,'D7 - NDB Impacted SPRF''s'!$E$16:$O$9929,5,FALSE)</f>
        <v>Medical Cost Savings Programs</v>
      </c>
      <c r="AE451" s="380" t="str">
        <f>VLOOKUP($B451,'D7 - NDB Impacted SPRF''s'!$E$16:$O$9929,7,FALSE)</f>
        <v>Patrick Kennedy</v>
      </c>
      <c r="AF451" s="380" t="str">
        <f>VLOOKUP($B451,'D7 - NDB Impacted SPRF''s'!$E$16:$O$9929,6,FALSE)</f>
        <v>Borzage Deborah</v>
      </c>
      <c r="AG451" s="282" t="s">
        <v>6162</v>
      </c>
      <c r="AH451" s="311" t="e">
        <f>INDEX('D5 - Gatekeeper - Projects'!$A$4:$AF$1010,$AM451, 17)</f>
        <v>#N/A</v>
      </c>
      <c r="AI451" s="8"/>
      <c r="AJ451" s="57"/>
      <c r="AK451" s="105"/>
      <c r="AL451" s="216"/>
      <c r="AM451" s="6" t="e">
        <f>MATCH(D451,'D5 - Gatekeeper - Projects'!$C$4:$C$1010,0)</f>
        <v>#N/A</v>
      </c>
      <c r="AN451" s="6" t="b">
        <f t="shared" si="41"/>
        <v>1</v>
      </c>
      <c r="AO451" s="6" t="str">
        <f t="shared" si="44"/>
        <v>OK</v>
      </c>
      <c r="AP451" s="216"/>
      <c r="AQ451" s="6" t="e">
        <f>MATCH($D451,'D4 - Provider Council Unsched'!$C$11:$C$234,0)</f>
        <v>#N/A</v>
      </c>
      <c r="AR451" s="6" t="b">
        <f t="shared" si="42"/>
        <v>1</v>
      </c>
      <c r="AS451" s="6" t="str">
        <f t="shared" si="45"/>
        <v>OK</v>
      </c>
      <c r="AU451" s="202"/>
      <c r="AV451" s="262"/>
      <c r="AW451" s="274"/>
    </row>
    <row r="452" spans="1:49" s="13" customFormat="1" ht="33.75" x14ac:dyDescent="0.2">
      <c r="A452" s="14">
        <v>428</v>
      </c>
      <c r="B452" s="14">
        <v>400007546</v>
      </c>
      <c r="C452" s="8" t="s">
        <v>5197</v>
      </c>
      <c r="D452" s="4" t="str">
        <f t="shared" si="43"/>
        <v>400007546R1</v>
      </c>
      <c r="E452" s="309" t="str">
        <f>VLOOKUP($B452,'D7 - NDB Impacted SPRF''s'!$E$6:$O$9929,2,FALSE)</f>
        <v>GRI UB conversion to long term repricing solution</v>
      </c>
      <c r="F452" s="8" t="s">
        <v>1614</v>
      </c>
      <c r="G452" s="8" t="s">
        <v>4758</v>
      </c>
      <c r="H452" s="8" t="s">
        <v>4246</v>
      </c>
      <c r="I452" s="20">
        <v>5</v>
      </c>
      <c r="J452" s="8" t="s">
        <v>4862</v>
      </c>
      <c r="K452" s="182">
        <v>38801</v>
      </c>
      <c r="L452" s="8" t="s">
        <v>6919</v>
      </c>
      <c r="M452" s="8" t="s">
        <v>2814</v>
      </c>
      <c r="N452" s="38"/>
      <c r="O452" s="8"/>
      <c r="P452" s="4" t="str">
        <f>VLOOKUP($B452,'D7 - NDB Impacted SPRF''s'!$E$16:$O$9929,9,FALSE)</f>
        <v>N</v>
      </c>
      <c r="Q452" s="4" t="str">
        <f>VLOOKUP($B452,'D7 - NDB Impacted SPRF''s'!$E$16:$O$9929,10,FALSE)</f>
        <v>N</v>
      </c>
      <c r="R452" s="4" t="str">
        <f>VLOOKUP($B452,'D7 - NDB Impacted SPRF''s'!$E$16:$O$9929,11,FALSE)</f>
        <v>N</v>
      </c>
      <c r="S452" s="8"/>
      <c r="T452" s="310"/>
      <c r="U452" s="310"/>
      <c r="V452" s="4"/>
      <c r="W452" s="4"/>
      <c r="X452" s="4"/>
      <c r="Y452" s="4"/>
      <c r="Z452" s="4"/>
      <c r="AA452" s="4"/>
      <c r="AB452" s="380" t="str">
        <f>VLOOKUP($B452,'D7 - NDB Impacted SPRF''s'!$E$16:$O$9929,4,FALSE)</f>
        <v>Completed</v>
      </c>
      <c r="AC452" s="380" t="str">
        <f>VLOOKUP($B452,'D7 - NDB Impacted SPRF''s'!$E$16:$O$9929,3,FALSE)</f>
        <v>UnitedHealthcare Employer &amp; Individual</v>
      </c>
      <c r="AD452" s="380" t="str">
        <f>VLOOKUP($B452,'D7 - NDB Impacted SPRF''s'!$E$16:$O$9929,5,FALSE)</f>
        <v>Medical Cost Savings Programs</v>
      </c>
      <c r="AE452" s="380" t="str">
        <f>VLOOKUP($B452,'D7 - NDB Impacted SPRF''s'!$E$16:$O$9929,7,FALSE)</f>
        <v>Patrick Kennedy</v>
      </c>
      <c r="AF452" s="380" t="str">
        <f>VLOOKUP($B452,'D7 - NDB Impacted SPRF''s'!$E$16:$O$9929,6,FALSE)</f>
        <v>Borzage Deborah</v>
      </c>
      <c r="AG452" s="282" t="s">
        <v>6162</v>
      </c>
      <c r="AH452" s="311" t="e">
        <f>INDEX('D5 - Gatekeeper - Projects'!$A$4:$AF$1010,$AM452, 17)</f>
        <v>#N/A</v>
      </c>
      <c r="AI452" s="8"/>
      <c r="AJ452" s="57"/>
      <c r="AK452" s="105"/>
      <c r="AL452" s="216"/>
      <c r="AM452" s="6" t="e">
        <f>MATCH(D452,'D5 - Gatekeeper - Projects'!$C$4:$C$1010,0)</f>
        <v>#N/A</v>
      </c>
      <c r="AN452" s="6" t="b">
        <f t="shared" si="41"/>
        <v>1</v>
      </c>
      <c r="AO452" s="6" t="str">
        <f t="shared" si="44"/>
        <v>OK</v>
      </c>
      <c r="AP452" s="216"/>
      <c r="AQ452" s="6" t="e">
        <f>MATCH($D452,'D4 - Provider Council Unsched'!$C$11:$C$234,0)</f>
        <v>#N/A</v>
      </c>
      <c r="AR452" s="6" t="b">
        <f t="shared" si="42"/>
        <v>1</v>
      </c>
      <c r="AS452" s="6" t="str">
        <f t="shared" si="45"/>
        <v>OK</v>
      </c>
      <c r="AU452" s="202"/>
      <c r="AV452" s="262"/>
      <c r="AW452" s="274"/>
    </row>
    <row r="453" spans="1:49" s="13" customFormat="1" x14ac:dyDescent="0.2">
      <c r="A453" s="14">
        <v>429</v>
      </c>
      <c r="B453" s="14">
        <v>400007560</v>
      </c>
      <c r="C453" s="8" t="s">
        <v>5197</v>
      </c>
      <c r="D453" s="4" t="str">
        <f t="shared" si="43"/>
        <v>400007560R1</v>
      </c>
      <c r="E453" s="309" t="str">
        <f>VLOOKUP($B453,'D7 - NDB Impacted SPRF''s'!$E$6:$O$9929,2,FALSE)</f>
        <v>UBH Facets and United Systems Integration</v>
      </c>
      <c r="F453" s="8" t="s">
        <v>3764</v>
      </c>
      <c r="G453" s="8" t="s">
        <v>4758</v>
      </c>
      <c r="H453" s="8" t="s">
        <v>4246</v>
      </c>
      <c r="I453" s="20">
        <v>3.2</v>
      </c>
      <c r="J453" s="8" t="s">
        <v>4862</v>
      </c>
      <c r="K453" s="182">
        <v>38801</v>
      </c>
      <c r="L453" s="8" t="s">
        <v>6919</v>
      </c>
      <c r="M453" s="8" t="s">
        <v>2814</v>
      </c>
      <c r="N453" s="38"/>
      <c r="O453" s="8"/>
      <c r="P453" s="4" t="str">
        <f>VLOOKUP($B453,'D7 - NDB Impacted SPRF''s'!$E$16:$O$9929,9,FALSE)</f>
        <v>N</v>
      </c>
      <c r="Q453" s="4" t="str">
        <f>VLOOKUP($B453,'D7 - NDB Impacted SPRF''s'!$E$16:$O$9929,10,FALSE)</f>
        <v>N</v>
      </c>
      <c r="R453" s="4" t="str">
        <f>VLOOKUP($B453,'D7 - NDB Impacted SPRF''s'!$E$16:$O$9929,11,FALSE)</f>
        <v>N</v>
      </c>
      <c r="S453" s="8"/>
      <c r="T453" s="310"/>
      <c r="U453" s="310"/>
      <c r="V453" s="4"/>
      <c r="W453" s="4"/>
      <c r="X453" s="4"/>
      <c r="Y453" s="4"/>
      <c r="Z453" s="4"/>
      <c r="AA453" s="4"/>
      <c r="AB453" s="380" t="str">
        <f>VLOOKUP($B453,'D7 - NDB Impacted SPRF''s'!$E$16:$O$9929,4,FALSE)</f>
        <v>Completed</v>
      </c>
      <c r="AC453" s="380" t="str">
        <f>VLOOKUP($B453,'D7 - NDB Impacted SPRF''s'!$E$16:$O$9929,3,FALSE)</f>
        <v>OptumHealth</v>
      </c>
      <c r="AD453" s="380" t="str">
        <f>VLOOKUP($B453,'D7 - NDB Impacted SPRF''s'!$E$16:$O$9929,5,FALSE)</f>
        <v>UBH</v>
      </c>
      <c r="AE453" s="380" t="str">
        <f>VLOOKUP($B453,'D7 - NDB Impacted SPRF''s'!$E$16:$O$9929,7,FALSE)</f>
        <v>Brian Murray / Brigid Bonner</v>
      </c>
      <c r="AF453" s="380" t="str">
        <f>VLOOKUP($B453,'D7 - NDB Impacted SPRF''s'!$E$16:$O$9929,6,FALSE)</f>
        <v>Don Tierney</v>
      </c>
      <c r="AG453" s="282" t="s">
        <v>7755</v>
      </c>
      <c r="AH453" s="311" t="e">
        <f>INDEX('D5 - Gatekeeper - Projects'!$A$4:$AF$1010,$AM453, 17)</f>
        <v>#N/A</v>
      </c>
      <c r="AI453" s="8"/>
      <c r="AJ453" s="57"/>
      <c r="AK453" s="105"/>
      <c r="AL453" s="216"/>
      <c r="AM453" s="6" t="e">
        <f>MATCH(D453,'D5 - Gatekeeper - Projects'!$C$4:$C$1010,0)</f>
        <v>#N/A</v>
      </c>
      <c r="AN453" s="6" t="b">
        <f t="shared" si="41"/>
        <v>1</v>
      </c>
      <c r="AO453" s="6" t="str">
        <f t="shared" si="44"/>
        <v>OK</v>
      </c>
      <c r="AP453" s="216"/>
      <c r="AQ453" s="6" t="e">
        <f>MATCH($D453,'D4 - Provider Council Unsched'!$C$11:$C$234,0)</f>
        <v>#N/A</v>
      </c>
      <c r="AR453" s="6" t="b">
        <f t="shared" si="42"/>
        <v>1</v>
      </c>
      <c r="AS453" s="6" t="str">
        <f t="shared" si="45"/>
        <v>OK</v>
      </c>
      <c r="AU453" s="202"/>
      <c r="AV453" s="262"/>
      <c r="AW453" s="274"/>
    </row>
    <row r="454" spans="1:49" s="13" customFormat="1" x14ac:dyDescent="0.2">
      <c r="A454" s="14">
        <v>430</v>
      </c>
      <c r="B454" s="14">
        <v>400007562</v>
      </c>
      <c r="C454" s="8" t="s">
        <v>5197</v>
      </c>
      <c r="D454" s="4" t="str">
        <f t="shared" si="43"/>
        <v>400007562R1</v>
      </c>
      <c r="E454" s="332" t="str">
        <f>VLOOKUP($B454,'D7 - NDB Impacted SPRF''s'!$E$6:$O$9929,2,FALSE)</f>
        <v>UNET Enhancements To Support UBH Auto-Adjudication</v>
      </c>
      <c r="F454" s="8" t="s">
        <v>3764</v>
      </c>
      <c r="G454" s="8" t="s">
        <v>4758</v>
      </c>
      <c r="H454" s="8" t="s">
        <v>4246</v>
      </c>
      <c r="I454" s="20">
        <v>0.54</v>
      </c>
      <c r="J454" s="8" t="s">
        <v>4862</v>
      </c>
      <c r="K454" s="182">
        <v>38801</v>
      </c>
      <c r="L454" s="8" t="s">
        <v>6919</v>
      </c>
      <c r="M454" s="8" t="s">
        <v>2814</v>
      </c>
      <c r="N454" s="38" t="s">
        <v>5733</v>
      </c>
      <c r="O454" s="8"/>
      <c r="P454" s="4" t="str">
        <f>VLOOKUP($B454,'D7 - NDB Impacted SPRF''s'!$E$16:$O$9929,9,FALSE)</f>
        <v>Y</v>
      </c>
      <c r="Q454" s="4" t="str">
        <f>VLOOKUP($B454,'D7 - NDB Impacted SPRF''s'!$E$16:$O$9929,10,FALSE)</f>
        <v>N</v>
      </c>
      <c r="R454" s="4" t="str">
        <f>VLOOKUP($B454,'D7 - NDB Impacted SPRF''s'!$E$16:$O$9929,11,FALSE)</f>
        <v>N</v>
      </c>
      <c r="S454" s="8"/>
      <c r="T454" s="310"/>
      <c r="U454" s="310"/>
      <c r="V454" s="4"/>
      <c r="W454" s="4"/>
      <c r="X454" s="4"/>
      <c r="Y454" s="4"/>
      <c r="Z454" s="4"/>
      <c r="AA454" s="4"/>
      <c r="AB454" s="380" t="str">
        <f>VLOOKUP($B454,'D7 - NDB Impacted SPRF''s'!$E$16:$O$9929,4,FALSE)</f>
        <v>Completed</v>
      </c>
      <c r="AC454" s="380" t="str">
        <f>VLOOKUP($B454,'D7 - NDB Impacted SPRF''s'!$E$16:$O$9929,3,FALSE)</f>
        <v>OptumHealth</v>
      </c>
      <c r="AD454" s="380" t="str">
        <f>VLOOKUP($B454,'D7 - NDB Impacted SPRF''s'!$E$16:$O$9929,5,FALSE)</f>
        <v>UBH</v>
      </c>
      <c r="AE454" s="380" t="str">
        <f>VLOOKUP($B454,'D7 - NDB Impacted SPRF''s'!$E$16:$O$9929,7,FALSE)</f>
        <v>Brian Murray / Brigid Bonner</v>
      </c>
      <c r="AF454" s="380" t="str">
        <f>VLOOKUP($B454,'D7 - NDB Impacted SPRF''s'!$E$16:$O$9929,6,FALSE)</f>
        <v>Don Tierney</v>
      </c>
      <c r="AG454" s="282" t="s">
        <v>7755</v>
      </c>
      <c r="AH454" s="311" t="e">
        <f>INDEX('D5 - Gatekeeper - Projects'!$A$4:$AF$1010,$AM454, 17)</f>
        <v>#N/A</v>
      </c>
      <c r="AI454" s="8"/>
      <c r="AJ454" s="57"/>
      <c r="AK454" s="105"/>
      <c r="AL454" s="216"/>
      <c r="AM454" s="6" t="e">
        <f>MATCH(D454,'D5 - Gatekeeper - Projects'!$C$4:$C$1010,0)</f>
        <v>#N/A</v>
      </c>
      <c r="AN454" s="6" t="b">
        <f t="shared" si="41"/>
        <v>1</v>
      </c>
      <c r="AO454" s="6" t="str">
        <f t="shared" si="44"/>
        <v>OK</v>
      </c>
      <c r="AP454" s="216"/>
      <c r="AQ454" s="6" t="e">
        <f>MATCH($D454,'D4 - Provider Council Unsched'!$C$11:$C$234,0)</f>
        <v>#N/A</v>
      </c>
      <c r="AR454" s="6" t="b">
        <f t="shared" si="42"/>
        <v>1</v>
      </c>
      <c r="AS454" s="6" t="str">
        <f t="shared" si="45"/>
        <v>OK</v>
      </c>
      <c r="AU454" s="202"/>
      <c r="AV454" s="262"/>
      <c r="AW454" s="274"/>
    </row>
    <row r="455" spans="1:49" s="13" customFormat="1" ht="33.75" x14ac:dyDescent="0.2">
      <c r="A455" s="14">
        <v>431</v>
      </c>
      <c r="B455" s="14">
        <v>400007908</v>
      </c>
      <c r="C455" s="8" t="s">
        <v>5197</v>
      </c>
      <c r="D455" s="4" t="str">
        <f t="shared" si="43"/>
        <v>400007908R1</v>
      </c>
      <c r="E455" s="309" t="str">
        <f>VLOOKUP($B455,'D7 - NDB Impacted SPRF''s'!$E$6:$O$9929,2,FALSE)</f>
        <v>NPI Data Capture and Searches</v>
      </c>
      <c r="F455" s="8" t="s">
        <v>1059</v>
      </c>
      <c r="G455" s="8" t="s">
        <v>4758</v>
      </c>
      <c r="H455" s="8" t="s">
        <v>4246</v>
      </c>
      <c r="I455" s="20">
        <v>50.09</v>
      </c>
      <c r="J455" s="8" t="s">
        <v>7114</v>
      </c>
      <c r="K455" s="182">
        <v>38801</v>
      </c>
      <c r="L455" s="8" t="s">
        <v>6919</v>
      </c>
      <c r="M455" s="8" t="s">
        <v>2814</v>
      </c>
      <c r="N455" s="38"/>
      <c r="O455" s="8"/>
      <c r="P455" s="4" t="str">
        <f>VLOOKUP($B455,'D7 - NDB Impacted SPRF''s'!$E$16:$O$9929,9,FALSE)</f>
        <v>Y</v>
      </c>
      <c r="Q455" s="4" t="str">
        <f>VLOOKUP($B455,'D7 - NDB Impacted SPRF''s'!$E$16:$O$9929,10,FALSE)</f>
        <v>N</v>
      </c>
      <c r="R455" s="4" t="str">
        <f>VLOOKUP($B455,'D7 - NDB Impacted SPRF''s'!$E$16:$O$9929,11,FALSE)</f>
        <v>N</v>
      </c>
      <c r="S455" s="8"/>
      <c r="T455" s="310"/>
      <c r="U455" s="310"/>
      <c r="V455" s="4"/>
      <c r="W455" s="4"/>
      <c r="X455" s="4"/>
      <c r="Y455" s="4"/>
      <c r="Z455" s="4"/>
      <c r="AA455" s="4"/>
      <c r="AB455" s="380" t="str">
        <f>VLOOKUP($B455,'D7 - NDB Impacted SPRF''s'!$E$16:$O$9929,4,FALSE)</f>
        <v>Completed</v>
      </c>
      <c r="AC455" s="380" t="str">
        <f>VLOOKUP($B455,'D7 - NDB Impacted SPRF''s'!$E$16:$O$9929,3,FALSE)</f>
        <v>UnitedHealthcare Employer &amp; Individual</v>
      </c>
      <c r="AD455" s="380" t="str">
        <f>VLOOKUP($B455,'D7 - NDB Impacted SPRF''s'!$E$16:$O$9929,5,FALSE)</f>
        <v>Regulatory / Other</v>
      </c>
      <c r="AE455" s="380" t="str">
        <f>VLOOKUP($B455,'D7 - NDB Impacted SPRF''s'!$E$16:$O$9929,7,FALSE)</f>
        <v>Peter Bompane</v>
      </c>
      <c r="AF455" s="380" t="str">
        <f>VLOOKUP($B455,'D7 - NDB Impacted SPRF''s'!$E$16:$O$9929,6,FALSE)</f>
        <v>KELLY LEONARD</v>
      </c>
      <c r="AG455" s="282" t="s">
        <v>6682</v>
      </c>
      <c r="AH455" s="311" t="e">
        <f>INDEX('D5 - Gatekeeper - Projects'!$A$4:$AF$1010,$AM455, 17)</f>
        <v>#N/A</v>
      </c>
      <c r="AI455" s="8"/>
      <c r="AJ455" s="57"/>
      <c r="AK455" s="105"/>
      <c r="AM455" s="6" t="e">
        <f>MATCH(D455,'D5 - Gatekeeper - Projects'!$C$4:$C$1010,0)</f>
        <v>#N/A</v>
      </c>
      <c r="AN455" s="6" t="b">
        <f t="shared" si="41"/>
        <v>1</v>
      </c>
      <c r="AO455" s="6" t="str">
        <f t="shared" si="44"/>
        <v>OK</v>
      </c>
      <c r="AQ455" s="6" t="e">
        <f>MATCH($D455,'D4 - Provider Council Unsched'!$C$11:$C$234,0)</f>
        <v>#N/A</v>
      </c>
      <c r="AR455" s="6" t="b">
        <f t="shared" si="42"/>
        <v>1</v>
      </c>
      <c r="AS455" s="6" t="str">
        <f t="shared" si="45"/>
        <v>OK</v>
      </c>
      <c r="AU455" s="202"/>
      <c r="AV455" s="262"/>
      <c r="AW455" s="274"/>
    </row>
    <row r="456" spans="1:49" s="13" customFormat="1" ht="11.25" customHeight="1" x14ac:dyDescent="0.2">
      <c r="A456" s="14">
        <v>432</v>
      </c>
      <c r="B456" s="14">
        <v>400007908</v>
      </c>
      <c r="C456" s="8" t="s">
        <v>3793</v>
      </c>
      <c r="D456" s="4" t="str">
        <f t="shared" si="43"/>
        <v>400007908U</v>
      </c>
      <c r="E456" s="309" t="str">
        <f>VLOOKUP($B456,'D7 - NDB Impacted SPRF''s'!$E$6:$O$9929,2,FALSE)</f>
        <v>NPI Data Capture and Searches</v>
      </c>
      <c r="F456" s="8" t="s">
        <v>1059</v>
      </c>
      <c r="G456" s="8" t="s">
        <v>4758</v>
      </c>
      <c r="H456" s="8" t="s">
        <v>4246</v>
      </c>
      <c r="I456" s="20">
        <v>0.71</v>
      </c>
      <c r="J456" s="8" t="s">
        <v>7114</v>
      </c>
      <c r="K456" s="182">
        <v>38801</v>
      </c>
      <c r="L456" s="8" t="s">
        <v>6919</v>
      </c>
      <c r="M456" s="8" t="s">
        <v>2814</v>
      </c>
      <c r="N456" s="38"/>
      <c r="O456" s="8"/>
      <c r="P456" s="4" t="str">
        <f>VLOOKUP($B456,'D7 - NDB Impacted SPRF''s'!$E$16:$O$9929,9,FALSE)</f>
        <v>Y</v>
      </c>
      <c r="Q456" s="4" t="str">
        <f>VLOOKUP($B456,'D7 - NDB Impacted SPRF''s'!$E$16:$O$9929,10,FALSE)</f>
        <v>N</v>
      </c>
      <c r="R456" s="4" t="str">
        <f>VLOOKUP($B456,'D7 - NDB Impacted SPRF''s'!$E$16:$O$9929,11,FALSE)</f>
        <v>N</v>
      </c>
      <c r="S456" s="8"/>
      <c r="T456" s="310"/>
      <c r="U456" s="310"/>
      <c r="V456" s="4"/>
      <c r="W456" s="4"/>
      <c r="X456" s="4"/>
      <c r="Y456" s="4"/>
      <c r="Z456" s="4"/>
      <c r="AA456" s="4"/>
      <c r="AB456" s="380" t="str">
        <f>VLOOKUP($B456,'D7 - NDB Impacted SPRF''s'!$E$16:$O$9929,4,FALSE)</f>
        <v>Completed</v>
      </c>
      <c r="AC456" s="380" t="str">
        <f>VLOOKUP($B456,'D7 - NDB Impacted SPRF''s'!$E$16:$O$9929,3,FALSE)</f>
        <v>UnitedHealthcare Employer &amp; Individual</v>
      </c>
      <c r="AD456" s="380" t="str">
        <f>VLOOKUP($B456,'D7 - NDB Impacted SPRF''s'!$E$16:$O$9929,5,FALSE)</f>
        <v>Regulatory / Other</v>
      </c>
      <c r="AE456" s="380" t="str">
        <f>VLOOKUP($B456,'D7 - NDB Impacted SPRF''s'!$E$16:$O$9929,7,FALSE)</f>
        <v>Peter Bompane</v>
      </c>
      <c r="AF456" s="380" t="str">
        <f>VLOOKUP($B456,'D7 - NDB Impacted SPRF''s'!$E$16:$O$9929,6,FALSE)</f>
        <v>KELLY LEONARD</v>
      </c>
      <c r="AG456" s="282" t="s">
        <v>6682</v>
      </c>
      <c r="AH456" s="311" t="e">
        <f>INDEX('D5 - Gatekeeper - Projects'!$A$4:$AF$1010,$AM456, 17)</f>
        <v>#N/A</v>
      </c>
      <c r="AI456" s="8"/>
      <c r="AJ456" s="57"/>
      <c r="AK456" s="105"/>
      <c r="AM456" s="6" t="e">
        <f>MATCH(D456,'D5 - Gatekeeper - Projects'!$C$4:$C$1010,0)</f>
        <v>#N/A</v>
      </c>
      <c r="AN456" s="6" t="b">
        <f t="shared" si="41"/>
        <v>1</v>
      </c>
      <c r="AO456" s="6" t="str">
        <f t="shared" si="44"/>
        <v>OK</v>
      </c>
      <c r="AQ456" s="6" t="e">
        <f>MATCH($D456,'D4 - Provider Council Unsched'!$C$11:$C$234,0)</f>
        <v>#N/A</v>
      </c>
      <c r="AR456" s="6" t="b">
        <f t="shared" si="42"/>
        <v>1</v>
      </c>
      <c r="AS456" s="6" t="str">
        <f t="shared" si="45"/>
        <v>OK</v>
      </c>
      <c r="AU456" s="202"/>
      <c r="AV456" s="262"/>
      <c r="AW456" s="274"/>
    </row>
    <row r="457" spans="1:49" s="13" customFormat="1" ht="33.75" x14ac:dyDescent="0.2">
      <c r="A457" s="14">
        <v>433</v>
      </c>
      <c r="B457" s="14">
        <v>400007935</v>
      </c>
      <c r="C457" s="8" t="s">
        <v>5197</v>
      </c>
      <c r="D457" s="4" t="str">
        <f t="shared" si="43"/>
        <v>400007935R1</v>
      </c>
      <c r="E457" s="309" t="str">
        <f>VLOOKUP($B457,'D7 - NDB Impacted SPRF''s'!$E$6:$O$9929,2,FALSE)</f>
        <v>Claims Repricing - Release 5, Two-Way Repricing</v>
      </c>
      <c r="F457" s="8" t="s">
        <v>4304</v>
      </c>
      <c r="G457" s="8" t="s">
        <v>4758</v>
      </c>
      <c r="H457" s="8" t="s">
        <v>4246</v>
      </c>
      <c r="I457" s="20">
        <v>48.31</v>
      </c>
      <c r="J457" s="8" t="s">
        <v>4862</v>
      </c>
      <c r="K457" s="182">
        <v>38801</v>
      </c>
      <c r="L457" s="8" t="s">
        <v>6919</v>
      </c>
      <c r="M457" s="8" t="s">
        <v>2814</v>
      </c>
      <c r="N457" s="38" t="s">
        <v>7151</v>
      </c>
      <c r="O457" s="8"/>
      <c r="P457" s="4" t="str">
        <f>VLOOKUP($B457,'D7 - NDB Impacted SPRF''s'!$E$16:$O$9929,9,FALSE)</f>
        <v>Y</v>
      </c>
      <c r="Q457" s="4" t="str">
        <f>VLOOKUP($B457,'D7 - NDB Impacted SPRF''s'!$E$16:$O$9929,10,FALSE)</f>
        <v>N</v>
      </c>
      <c r="R457" s="4" t="str">
        <f>VLOOKUP($B457,'D7 - NDB Impacted SPRF''s'!$E$16:$O$9929,11,FALSE)</f>
        <v>N</v>
      </c>
      <c r="S457" s="8"/>
      <c r="T457" s="310"/>
      <c r="U457" s="310"/>
      <c r="V457" s="4"/>
      <c r="W457" s="4"/>
      <c r="X457" s="4"/>
      <c r="Y457" s="4"/>
      <c r="Z457" s="4"/>
      <c r="AA457" s="4"/>
      <c r="AB457" s="380" t="str">
        <f>VLOOKUP($B457,'D7 - NDB Impacted SPRF''s'!$E$16:$O$9929,4,FALSE)</f>
        <v>Completed</v>
      </c>
      <c r="AC457" s="380" t="str">
        <f>VLOOKUP($B457,'D7 - NDB Impacted SPRF''s'!$E$16:$O$9929,3,FALSE)</f>
        <v>UnitedHealthcare Employer &amp; Individual</v>
      </c>
      <c r="AD457" s="380" t="str">
        <f>VLOOKUP($B457,'D7 - NDB Impacted SPRF''s'!$E$16:$O$9929,5,FALSE)</f>
        <v>Medical Cost Savings Programs</v>
      </c>
      <c r="AE457" s="380" t="str">
        <f>VLOOKUP($B457,'D7 - NDB Impacted SPRF''s'!$E$16:$O$9929,7,FALSE)</f>
        <v>Mike Mikan, Dirk McMahon</v>
      </c>
      <c r="AF457" s="380" t="str">
        <f>VLOOKUP($B457,'D7 - NDB Impacted SPRF''s'!$E$16:$O$9929,6,FALSE)</f>
        <v>Matthew E Johnson</v>
      </c>
      <c r="AG457" s="282" t="s">
        <v>6162</v>
      </c>
      <c r="AH457" s="311" t="e">
        <f>INDEX('D5 - Gatekeeper - Projects'!$A$4:$AF$1010,$AM457, 17)</f>
        <v>#N/A</v>
      </c>
      <c r="AI457" s="8"/>
      <c r="AJ457" s="57"/>
      <c r="AK457" s="105"/>
      <c r="AM457" s="6" t="e">
        <f>MATCH(D457,'D5 - Gatekeeper - Projects'!$C$4:$C$1010,0)</f>
        <v>#N/A</v>
      </c>
      <c r="AN457" s="6" t="b">
        <f t="shared" si="41"/>
        <v>1</v>
      </c>
      <c r="AO457" s="6" t="str">
        <f t="shared" si="44"/>
        <v>OK</v>
      </c>
      <c r="AQ457" s="6" t="e">
        <f>MATCH($D457,'D4 - Provider Council Unsched'!$C$11:$C$234,0)</f>
        <v>#N/A</v>
      </c>
      <c r="AR457" s="6" t="b">
        <f t="shared" si="42"/>
        <v>1</v>
      </c>
      <c r="AS457" s="6" t="str">
        <f t="shared" si="45"/>
        <v>OK</v>
      </c>
      <c r="AU457" s="202"/>
      <c r="AV457" s="262"/>
      <c r="AW457" s="274"/>
    </row>
    <row r="458" spans="1:49" s="13" customFormat="1" ht="11.25" customHeight="1" x14ac:dyDescent="0.2">
      <c r="A458" s="14">
        <v>434</v>
      </c>
      <c r="B458" s="14">
        <v>400007971</v>
      </c>
      <c r="C458" s="8" t="s">
        <v>5197</v>
      </c>
      <c r="D458" s="4" t="str">
        <f t="shared" si="43"/>
        <v>400007971R1</v>
      </c>
      <c r="E458" s="309" t="str">
        <f>VLOOKUP($B458,'D7 - NDB Impacted SPRF''s'!$E$6:$O$9929,2,FALSE)</f>
        <v>DTRs for UT Applications</v>
      </c>
      <c r="F458" s="8" t="s">
        <v>8133</v>
      </c>
      <c r="G458" s="8" t="s">
        <v>4758</v>
      </c>
      <c r="H458" s="8" t="s">
        <v>4246</v>
      </c>
      <c r="I458" s="20">
        <v>2</v>
      </c>
      <c r="J458" s="8" t="s">
        <v>4862</v>
      </c>
      <c r="K458" s="182">
        <v>38801</v>
      </c>
      <c r="L458" s="8" t="s">
        <v>6919</v>
      </c>
      <c r="M458" s="8" t="s">
        <v>2814</v>
      </c>
      <c r="N458" s="367"/>
      <c r="O458" s="8"/>
      <c r="P458" s="4" t="str">
        <f>VLOOKUP($B458,'D7 - NDB Impacted SPRF''s'!$E$16:$O$9929,9,FALSE)</f>
        <v>Y</v>
      </c>
      <c r="Q458" s="4" t="str">
        <f>VLOOKUP($B458,'D7 - NDB Impacted SPRF''s'!$E$16:$O$9929,10,FALSE)</f>
        <v>N</v>
      </c>
      <c r="R458" s="4" t="str">
        <f>VLOOKUP($B458,'D7 - NDB Impacted SPRF''s'!$E$16:$O$9929,11,FALSE)</f>
        <v>N</v>
      </c>
      <c r="S458" s="8"/>
      <c r="T458" s="310"/>
      <c r="U458" s="310"/>
      <c r="V458" s="4"/>
      <c r="W458" s="4"/>
      <c r="X458" s="4"/>
      <c r="Y458" s="4"/>
      <c r="Z458" s="4"/>
      <c r="AA458" s="4"/>
      <c r="AB458" s="380" t="str">
        <f>VLOOKUP($B458,'D7 - NDB Impacted SPRF''s'!$E$16:$O$9929,4,FALSE)</f>
        <v>Completed</v>
      </c>
      <c r="AC458" s="380" t="str">
        <f>VLOOKUP($B458,'D7 - NDB Impacted SPRF''s'!$E$16:$O$9929,3,FALSE)</f>
        <v>Uniprise</v>
      </c>
      <c r="AD458" s="380" t="str">
        <f>VLOOKUP($B458,'D7 - NDB Impacted SPRF''s'!$E$16:$O$9929,5,FALSE)</f>
        <v>Uniprise Technologies - Capital Projects</v>
      </c>
      <c r="AE458" s="380" t="str">
        <f>VLOOKUP($B458,'D7 - NDB Impacted SPRF''s'!$E$16:$O$9929,7,FALSE)</f>
        <v>Steven Penn</v>
      </c>
      <c r="AF458" s="380" t="str">
        <f>VLOOKUP($B458,'D7 - NDB Impacted SPRF''s'!$E$16:$O$9929,6,FALSE)</f>
        <v>Jeffrey Jablonski</v>
      </c>
      <c r="AG458" s="282"/>
      <c r="AH458" s="311" t="e">
        <f>INDEX('D5 - Gatekeeper - Projects'!$A$4:$AF$1010,$AM458, 17)</f>
        <v>#N/A</v>
      </c>
      <c r="AI458" s="8"/>
      <c r="AJ458" s="57"/>
      <c r="AK458" s="105"/>
      <c r="AM458" s="6" t="e">
        <f>MATCH(D458,'D5 - Gatekeeper - Projects'!$C$4:$C$1010,0)</f>
        <v>#N/A</v>
      </c>
      <c r="AN458" s="6" t="b">
        <f t="shared" si="41"/>
        <v>1</v>
      </c>
      <c r="AO458" s="6" t="str">
        <f t="shared" si="44"/>
        <v>OK</v>
      </c>
      <c r="AQ458" s="6" t="e">
        <f>MATCH($D458,'D4 - Provider Council Unsched'!$C$11:$C$234,0)</f>
        <v>#N/A</v>
      </c>
      <c r="AR458" s="6" t="b">
        <f t="shared" si="42"/>
        <v>1</v>
      </c>
      <c r="AS458" s="6" t="str">
        <f t="shared" si="45"/>
        <v>OK</v>
      </c>
      <c r="AU458" s="202"/>
      <c r="AV458" s="262"/>
      <c r="AW458" s="274"/>
    </row>
    <row r="459" spans="1:49" s="13" customFormat="1" ht="11.25" customHeight="1" x14ac:dyDescent="0.2">
      <c r="A459" s="14">
        <v>435</v>
      </c>
      <c r="B459" s="14">
        <v>400008044</v>
      </c>
      <c r="C459" s="8" t="s">
        <v>5197</v>
      </c>
      <c r="D459" s="4" t="str">
        <f t="shared" si="43"/>
        <v>400008044R1</v>
      </c>
      <c r="E459" s="309" t="str">
        <f>VLOOKUP($B459,'D7 - NDB Impacted SPRF''s'!$E$6:$O$9929,2,FALSE)</f>
        <v>PPII - Security - Conversion Readiness - R.2</v>
      </c>
      <c r="F459" s="8" t="s">
        <v>5635</v>
      </c>
      <c r="G459" s="8" t="s">
        <v>4758</v>
      </c>
      <c r="H459" s="8" t="s">
        <v>4246</v>
      </c>
      <c r="I459" s="20">
        <v>0.53</v>
      </c>
      <c r="J459" s="8" t="s">
        <v>4862</v>
      </c>
      <c r="K459" s="182">
        <v>38801</v>
      </c>
      <c r="L459" s="8" t="s">
        <v>6919</v>
      </c>
      <c r="M459" s="8" t="s">
        <v>2814</v>
      </c>
      <c r="N459" s="38" t="s">
        <v>1901</v>
      </c>
      <c r="O459" s="8"/>
      <c r="P459" s="4" t="str">
        <f>VLOOKUP($B459,'D7 - NDB Impacted SPRF''s'!$E$16:$O$9929,9,FALSE)</f>
        <v>N</v>
      </c>
      <c r="Q459" s="4" t="str">
        <f>VLOOKUP($B459,'D7 - NDB Impacted SPRF''s'!$E$16:$O$9929,10,FALSE)</f>
        <v>N</v>
      </c>
      <c r="R459" s="4" t="str">
        <f>VLOOKUP($B459,'D7 - NDB Impacted SPRF''s'!$E$16:$O$9929,11,FALSE)</f>
        <v>N</v>
      </c>
      <c r="S459" s="8"/>
      <c r="T459" s="310"/>
      <c r="U459" s="310"/>
      <c r="V459" s="4"/>
      <c r="W459" s="4"/>
      <c r="X459" s="4"/>
      <c r="Y459" s="4"/>
      <c r="Z459" s="4"/>
      <c r="AA459" s="4"/>
      <c r="AB459" s="380" t="str">
        <f>VLOOKUP($B459,'D7 - NDB Impacted SPRF''s'!$E$16:$O$9929,4,FALSE)</f>
        <v>Completed</v>
      </c>
      <c r="AC459" s="380" t="str">
        <f>VLOOKUP($B459,'D7 - NDB Impacted SPRF''s'!$E$16:$O$9929,3,FALSE)</f>
        <v>Uniprise</v>
      </c>
      <c r="AD459" s="380" t="str">
        <f>VLOOKUP($B459,'D7 - NDB Impacted SPRF''s'!$E$16:$O$9929,5,FALSE)</f>
        <v>Group Services - Capital Projects</v>
      </c>
      <c r="AE459" s="380" t="str">
        <f>VLOOKUP($B459,'D7 - NDB Impacted SPRF''s'!$E$16:$O$9929,7,FALSE)</f>
        <v>Steve Auerbach</v>
      </c>
      <c r="AF459" s="380" t="str">
        <f>VLOOKUP($B459,'D7 - NDB Impacted SPRF''s'!$E$16:$O$9929,6,FALSE)</f>
        <v>AMELIA HINRICHS</v>
      </c>
      <c r="AG459" s="282" t="s">
        <v>7755</v>
      </c>
      <c r="AH459" s="311" t="e">
        <f>INDEX('D5 - Gatekeeper - Projects'!$A$4:$AF$1010,$AM459, 17)</f>
        <v>#N/A</v>
      </c>
      <c r="AI459" s="8"/>
      <c r="AJ459" s="57"/>
      <c r="AK459" s="105"/>
      <c r="AL459" s="216"/>
      <c r="AM459" s="6" t="e">
        <f>MATCH(D459,'D5 - Gatekeeper - Projects'!$C$4:$C$1010,0)</f>
        <v>#N/A</v>
      </c>
      <c r="AN459" s="6" t="b">
        <f t="shared" si="41"/>
        <v>1</v>
      </c>
      <c r="AO459" s="6" t="str">
        <f t="shared" si="44"/>
        <v>OK</v>
      </c>
      <c r="AP459" s="216"/>
      <c r="AQ459" s="6" t="e">
        <f>MATCH($D459,'D4 - Provider Council Unsched'!$C$11:$C$234,0)</f>
        <v>#N/A</v>
      </c>
      <c r="AR459" s="6" t="b">
        <f t="shared" si="42"/>
        <v>1</v>
      </c>
      <c r="AS459" s="6" t="str">
        <f t="shared" si="45"/>
        <v>OK</v>
      </c>
      <c r="AU459" s="202"/>
      <c r="AV459" s="262"/>
      <c r="AW459" s="274"/>
    </row>
    <row r="460" spans="1:49" s="13" customFormat="1" ht="78.75" x14ac:dyDescent="0.2">
      <c r="A460" s="14">
        <v>436</v>
      </c>
      <c r="B460" s="14">
        <v>400008265</v>
      </c>
      <c r="C460" s="8" t="s">
        <v>5197</v>
      </c>
      <c r="D460" s="4" t="str">
        <f t="shared" si="43"/>
        <v>400008265R1</v>
      </c>
      <c r="E460" s="309" t="str">
        <f>VLOOKUP($B460,'D7 - NDB Impacted SPRF''s'!$E$6:$O$9929,2,FALSE)</f>
        <v>CORP1-NetClaim-PTI By Network Contracting Org.</v>
      </c>
      <c r="F460" s="8" t="s">
        <v>5196</v>
      </c>
      <c r="G460" s="8" t="s">
        <v>4758</v>
      </c>
      <c r="H460" s="8" t="s">
        <v>4246</v>
      </c>
      <c r="I460" s="20">
        <v>31.9</v>
      </c>
      <c r="J460" s="8" t="s">
        <v>4862</v>
      </c>
      <c r="K460" s="182">
        <v>38801</v>
      </c>
      <c r="L460" s="8" t="s">
        <v>6919</v>
      </c>
      <c r="M460" s="8" t="s">
        <v>2814</v>
      </c>
      <c r="N460" s="38" t="s">
        <v>6789</v>
      </c>
      <c r="O460" s="8"/>
      <c r="P460" s="4" t="str">
        <f>VLOOKUP($B460,'D7 - NDB Impacted SPRF''s'!$E$16:$O$9929,9,FALSE)</f>
        <v>Y</v>
      </c>
      <c r="Q460" s="4" t="str">
        <f>VLOOKUP($B460,'D7 - NDB Impacted SPRF''s'!$E$16:$O$9929,10,FALSE)</f>
        <v>N</v>
      </c>
      <c r="R460" s="4" t="str">
        <f>VLOOKUP($B460,'D7 - NDB Impacted SPRF''s'!$E$16:$O$9929,11,FALSE)</f>
        <v>N</v>
      </c>
      <c r="S460" s="8"/>
      <c r="T460" s="310"/>
      <c r="U460" s="310"/>
      <c r="V460" s="4"/>
      <c r="W460" s="4"/>
      <c r="X460" s="4"/>
      <c r="Y460" s="4"/>
      <c r="Z460" s="4"/>
      <c r="AA460" s="4"/>
      <c r="AB460" s="380" t="str">
        <f>VLOOKUP($B460,'D7 - NDB Impacted SPRF''s'!$E$16:$O$9929,4,FALSE)</f>
        <v>Completed</v>
      </c>
      <c r="AC460" s="380" t="str">
        <f>VLOOKUP($B460,'D7 - NDB Impacted SPRF''s'!$E$16:$O$9929,3,FALSE)</f>
        <v>Alliance</v>
      </c>
      <c r="AD460" s="380" t="str">
        <f>VLOOKUP($B460,'D7 - NDB Impacted SPRF''s'!$E$16:$O$9929,5,FALSE)</f>
        <v>Healthcare Service Alliance</v>
      </c>
      <c r="AE460" s="380" t="str">
        <f>VLOOKUP($B460,'D7 - NDB Impacted SPRF''s'!$E$16:$O$9929,7,FALSE)</f>
        <v>Bev Nyce, Peter Bompane</v>
      </c>
      <c r="AF460" s="380" t="str">
        <f>VLOOKUP($B460,'D7 - NDB Impacted SPRF''s'!$E$16:$O$9929,6,FALSE)</f>
        <v>STEPHEN FINLEY</v>
      </c>
      <c r="AG460" s="282" t="s">
        <v>6682</v>
      </c>
      <c r="AH460" s="311" t="e">
        <f>INDEX('D5 - Gatekeeper - Projects'!$A$4:$AF$1010,$AM460, 17)</f>
        <v>#N/A</v>
      </c>
      <c r="AI460" s="8"/>
      <c r="AJ460" s="57"/>
      <c r="AK460" s="105"/>
      <c r="AL460" s="216"/>
      <c r="AM460" s="6" t="e">
        <f>MATCH(D460,'D5 - Gatekeeper - Projects'!$C$4:$C$1010,0)</f>
        <v>#N/A</v>
      </c>
      <c r="AN460" s="6" t="b">
        <f t="shared" si="41"/>
        <v>1</v>
      </c>
      <c r="AO460" s="6" t="str">
        <f t="shared" si="44"/>
        <v>OK</v>
      </c>
      <c r="AP460" s="216"/>
      <c r="AQ460" s="6" t="e">
        <f>MATCH($D460,'D4 - Provider Council Unsched'!$C$11:$C$234,0)</f>
        <v>#N/A</v>
      </c>
      <c r="AR460" s="6" t="b">
        <f t="shared" si="42"/>
        <v>1</v>
      </c>
      <c r="AS460" s="6" t="str">
        <f t="shared" si="45"/>
        <v>OK</v>
      </c>
      <c r="AU460" s="202"/>
      <c r="AV460" s="262"/>
      <c r="AW460" s="274"/>
    </row>
    <row r="461" spans="1:49" s="13" customFormat="1" x14ac:dyDescent="0.2">
      <c r="A461" s="14">
        <v>437</v>
      </c>
      <c r="B461" s="14">
        <v>400008339</v>
      </c>
      <c r="C461" s="8" t="s">
        <v>5197</v>
      </c>
      <c r="D461" s="4" t="str">
        <f t="shared" si="43"/>
        <v>400008339R1</v>
      </c>
      <c r="E461" s="309" t="str">
        <f>VLOOKUP($B461,'D7 - NDB Impacted SPRF''s'!$E$6:$O$9929,2,FALSE)</f>
        <v>Gated HMO Design &amp; Development Phase III</v>
      </c>
      <c r="F461" s="8" t="s">
        <v>4168</v>
      </c>
      <c r="G461" s="8" t="s">
        <v>4758</v>
      </c>
      <c r="H461" s="8" t="s">
        <v>4246</v>
      </c>
      <c r="I461" s="20">
        <v>39.33</v>
      </c>
      <c r="J461" s="8" t="s">
        <v>7114</v>
      </c>
      <c r="K461" s="182">
        <v>38801</v>
      </c>
      <c r="L461" s="8" t="s">
        <v>6919</v>
      </c>
      <c r="M461" s="8" t="s">
        <v>2814</v>
      </c>
      <c r="N461" s="38"/>
      <c r="O461" s="8"/>
      <c r="P461" s="4" t="str">
        <f>VLOOKUP($B461,'D7 - NDB Impacted SPRF''s'!$E$16:$O$9929,9,FALSE)</f>
        <v>Y</v>
      </c>
      <c r="Q461" s="4" t="str">
        <f>VLOOKUP($B461,'D7 - NDB Impacted SPRF''s'!$E$16:$O$9929,10,FALSE)</f>
        <v>N</v>
      </c>
      <c r="R461" s="4" t="str">
        <f>VLOOKUP($B461,'D7 - NDB Impacted SPRF''s'!$E$16:$O$9929,11,FALSE)</f>
        <v>N</v>
      </c>
      <c r="S461" s="8"/>
      <c r="T461" s="310"/>
      <c r="U461" s="310"/>
      <c r="V461" s="4"/>
      <c r="W461" s="4"/>
      <c r="X461" s="4"/>
      <c r="Y461" s="4"/>
      <c r="Z461" s="4"/>
      <c r="AA461" s="4"/>
      <c r="AB461" s="380" t="str">
        <f>VLOOKUP($B461,'D7 - NDB Impacted SPRF''s'!$E$16:$O$9929,4,FALSE)</f>
        <v>Completed</v>
      </c>
      <c r="AC461" s="380" t="str">
        <f>VLOOKUP($B461,'D7 - NDB Impacted SPRF''s'!$E$16:$O$9929,3,FALSE)</f>
        <v>Alliance</v>
      </c>
      <c r="AD461" s="380" t="str">
        <f>VLOOKUP($B461,'D7 - NDB Impacted SPRF''s'!$E$16:$O$9929,5,FALSE)</f>
        <v>Gated HMO</v>
      </c>
      <c r="AE461" s="380" t="str">
        <f>VLOOKUP($B461,'D7 - NDB Impacted SPRF''s'!$E$16:$O$9929,7,FALSE)</f>
        <v>Diane Schofield</v>
      </c>
      <c r="AF461" s="380" t="str">
        <f>VLOOKUP($B461,'D7 - NDB Impacted SPRF''s'!$E$16:$O$9929,6,FALSE)</f>
        <v>Debi Streb</v>
      </c>
      <c r="AG461" s="282" t="s">
        <v>7755</v>
      </c>
      <c r="AH461" s="311" t="e">
        <f>INDEX('D5 - Gatekeeper - Projects'!$A$4:$AF$1010,$AM461, 17)</f>
        <v>#N/A</v>
      </c>
      <c r="AI461" s="8"/>
      <c r="AJ461" s="57"/>
      <c r="AK461" s="105"/>
      <c r="AM461" s="6" t="e">
        <f>MATCH(D461,'D5 - Gatekeeper - Projects'!$C$4:$C$1010,0)</f>
        <v>#N/A</v>
      </c>
      <c r="AN461" s="6" t="b">
        <f t="shared" si="41"/>
        <v>1</v>
      </c>
      <c r="AO461" s="6" t="str">
        <f t="shared" si="44"/>
        <v>OK</v>
      </c>
      <c r="AQ461" s="6" t="e">
        <f>MATCH($D461,'D4 - Provider Council Unsched'!$C$11:$C$234,0)</f>
        <v>#N/A</v>
      </c>
      <c r="AR461" s="6" t="b">
        <f t="shared" si="42"/>
        <v>1</v>
      </c>
      <c r="AS461" s="6" t="str">
        <f t="shared" si="45"/>
        <v>OK</v>
      </c>
      <c r="AU461" s="202"/>
      <c r="AV461" s="262"/>
      <c r="AW461" s="274"/>
    </row>
    <row r="462" spans="1:49" s="13" customFormat="1" ht="22.5" x14ac:dyDescent="0.2">
      <c r="A462" s="14">
        <v>438</v>
      </c>
      <c r="B462" s="14">
        <v>400008571</v>
      </c>
      <c r="C462" s="8" t="s">
        <v>5197</v>
      </c>
      <c r="D462" s="4" t="str">
        <f t="shared" si="43"/>
        <v>400008571R1</v>
      </c>
      <c r="E462" s="309" t="str">
        <f>VLOOKUP($B462,'D7 - NDB Impacted SPRF''s'!$E$6:$O$9929,2,FALSE)</f>
        <v>UHT Disaster Recovery Planning</v>
      </c>
      <c r="F462" s="8" t="s">
        <v>8133</v>
      </c>
      <c r="G462" s="8" t="s">
        <v>4758</v>
      </c>
      <c r="H462" s="8" t="s">
        <v>4246</v>
      </c>
      <c r="I462" s="20">
        <v>0.27</v>
      </c>
      <c r="J462" s="8" t="s">
        <v>4862</v>
      </c>
      <c r="K462" s="182">
        <v>38801</v>
      </c>
      <c r="L462" s="8" t="s">
        <v>6919</v>
      </c>
      <c r="M462" s="8" t="s">
        <v>2814</v>
      </c>
      <c r="N462" s="367" t="s">
        <v>7754</v>
      </c>
      <c r="O462" s="8"/>
      <c r="P462" s="4" t="str">
        <f>VLOOKUP($B462,'D7 - NDB Impacted SPRF''s'!$E$16:$O$9929,9,FALSE)</f>
        <v>Y</v>
      </c>
      <c r="Q462" s="4" t="str">
        <f>VLOOKUP($B462,'D7 - NDB Impacted SPRF''s'!$E$16:$O$9929,10,FALSE)</f>
        <v>N</v>
      </c>
      <c r="R462" s="4" t="str">
        <f>VLOOKUP($B462,'D7 - NDB Impacted SPRF''s'!$E$16:$O$9929,11,FALSE)</f>
        <v>N</v>
      </c>
      <c r="S462" s="8"/>
      <c r="T462" s="310"/>
      <c r="U462" s="310"/>
      <c r="V462" s="4"/>
      <c r="W462" s="4"/>
      <c r="X462" s="4"/>
      <c r="Y462" s="4"/>
      <c r="Z462" s="4"/>
      <c r="AA462" s="4"/>
      <c r="AB462" s="380" t="str">
        <f>VLOOKUP($B462,'D7 - NDB Impacted SPRF''s'!$E$16:$O$9929,4,FALSE)</f>
        <v>Completed</v>
      </c>
      <c r="AC462" s="380" t="str">
        <f>VLOOKUP($B462,'D7 - NDB Impacted SPRF''s'!$E$16:$O$9929,3,FALSE)</f>
        <v>Uniprise</v>
      </c>
      <c r="AD462" s="380" t="str">
        <f>VLOOKUP($B462,'D7 - NDB Impacted SPRF''s'!$E$16:$O$9929,5,FALSE)</f>
        <v>Uniprise Technologies - DDC</v>
      </c>
      <c r="AE462" s="380" t="str">
        <f>VLOOKUP($B462,'D7 - NDB Impacted SPRF''s'!$E$16:$O$9929,7,FALSE)</f>
        <v>Kathy Orner</v>
      </c>
      <c r="AF462" s="380" t="str">
        <f>VLOOKUP($B462,'D7 - NDB Impacted SPRF''s'!$E$16:$O$9929,6,FALSE)</f>
        <v>MAUREEN WARD</v>
      </c>
      <c r="AG462" s="282"/>
      <c r="AH462" s="311" t="e">
        <f>INDEX('D5 - Gatekeeper - Projects'!$A$4:$AF$1010,$AM462, 17)</f>
        <v>#N/A</v>
      </c>
      <c r="AI462" s="8"/>
      <c r="AJ462" s="57"/>
      <c r="AK462" s="105"/>
      <c r="AL462" s="216"/>
      <c r="AM462" s="6" t="e">
        <f>MATCH(D462,'D5 - Gatekeeper - Projects'!$C$4:$C$1010,0)</f>
        <v>#N/A</v>
      </c>
      <c r="AN462" s="6" t="b">
        <f t="shared" si="41"/>
        <v>1</v>
      </c>
      <c r="AO462" s="6" t="str">
        <f t="shared" si="44"/>
        <v>OK</v>
      </c>
      <c r="AP462" s="216"/>
      <c r="AQ462" s="6" t="e">
        <f>MATCH($D462,'D4 - Provider Council Unsched'!$C$11:$C$234,0)</f>
        <v>#N/A</v>
      </c>
      <c r="AR462" s="6" t="b">
        <f t="shared" si="42"/>
        <v>1</v>
      </c>
      <c r="AS462" s="6" t="str">
        <f t="shared" si="45"/>
        <v>OK</v>
      </c>
      <c r="AU462" s="202"/>
      <c r="AV462" s="262"/>
      <c r="AW462" s="274"/>
    </row>
    <row r="463" spans="1:49" s="13" customFormat="1" ht="22.5" x14ac:dyDescent="0.2">
      <c r="A463" s="14">
        <v>439</v>
      </c>
      <c r="B463" s="14">
        <v>400009320</v>
      </c>
      <c r="C463" s="8" t="s">
        <v>2449</v>
      </c>
      <c r="D463" s="4" t="str">
        <f t="shared" si="43"/>
        <v>400009320R3</v>
      </c>
      <c r="E463" s="309" t="str">
        <f>VLOOKUP($B463,'D7 - NDB Impacted SPRF''s'!$E$6:$O$9929,2,FALSE)</f>
        <v>MEDICA - NDB-EA Medica Enhancements - Phase 1</v>
      </c>
      <c r="F463" s="8" t="s">
        <v>5196</v>
      </c>
      <c r="G463" s="8" t="s">
        <v>4758</v>
      </c>
      <c r="H463" s="8" t="s">
        <v>4246</v>
      </c>
      <c r="I463" s="20">
        <v>24.59</v>
      </c>
      <c r="J463" s="8" t="s">
        <v>4862</v>
      </c>
      <c r="K463" s="182">
        <v>38801</v>
      </c>
      <c r="L463" s="8" t="s">
        <v>6919</v>
      </c>
      <c r="M463" s="8" t="s">
        <v>2814</v>
      </c>
      <c r="N463" s="38" t="s">
        <v>6012</v>
      </c>
      <c r="O463" s="8"/>
      <c r="P463" s="4" t="str">
        <f>VLOOKUP($B463,'D7 - NDB Impacted SPRF''s'!$E$16:$O$9929,9,FALSE)</f>
        <v>N</v>
      </c>
      <c r="Q463" s="4" t="str">
        <f>VLOOKUP($B463,'D7 - NDB Impacted SPRF''s'!$E$16:$O$9929,10,FALSE)</f>
        <v>N</v>
      </c>
      <c r="R463" s="4" t="str">
        <f>VLOOKUP($B463,'D7 - NDB Impacted SPRF''s'!$E$16:$O$9929,11,FALSE)</f>
        <v>N</v>
      </c>
      <c r="S463" s="8"/>
      <c r="T463" s="310"/>
      <c r="U463" s="310"/>
      <c r="V463" s="4"/>
      <c r="W463" s="4"/>
      <c r="X463" s="4"/>
      <c r="Y463" s="4"/>
      <c r="Z463" s="4"/>
      <c r="AA463" s="4"/>
      <c r="AB463" s="380" t="str">
        <f>VLOOKUP($B463,'D7 - NDB Impacted SPRF''s'!$E$16:$O$9929,4,FALSE)</f>
        <v>Completed</v>
      </c>
      <c r="AC463" s="380" t="str">
        <f>VLOOKUP($B463,'D7 - NDB Impacted SPRF''s'!$E$16:$O$9929,3,FALSE)</f>
        <v>Alliance</v>
      </c>
      <c r="AD463" s="380" t="str">
        <f>VLOOKUP($B463,'D7 - NDB Impacted SPRF''s'!$E$16:$O$9929,5,FALSE)</f>
        <v>Medica UNET Conversion</v>
      </c>
      <c r="AE463" s="380" t="str">
        <f>VLOOKUP($B463,'D7 - NDB Impacted SPRF''s'!$E$16:$O$9929,7,FALSE)</f>
        <v>Bev Nyce</v>
      </c>
      <c r="AF463" s="380" t="str">
        <f>VLOOKUP($B463,'D7 - NDB Impacted SPRF''s'!$E$16:$O$9929,6,FALSE)</f>
        <v>ELIZABETH Young</v>
      </c>
      <c r="AG463" s="282" t="s">
        <v>6682</v>
      </c>
      <c r="AH463" s="311" t="e">
        <f>INDEX('D5 - Gatekeeper - Projects'!$A$4:$AF$1010,$AM463, 17)</f>
        <v>#N/A</v>
      </c>
      <c r="AI463" s="8"/>
      <c r="AJ463" s="57"/>
      <c r="AK463" s="105"/>
      <c r="AL463" s="216"/>
      <c r="AM463" s="6" t="e">
        <f>MATCH(D463,'D5 - Gatekeeper - Projects'!$C$4:$C$1010,0)</f>
        <v>#N/A</v>
      </c>
      <c r="AN463" s="6" t="b">
        <f t="shared" si="41"/>
        <v>1</v>
      </c>
      <c r="AO463" s="6" t="str">
        <f t="shared" si="44"/>
        <v>OK</v>
      </c>
      <c r="AP463" s="216"/>
      <c r="AQ463" s="6" t="e">
        <f>MATCH($D463,'D4 - Provider Council Unsched'!$C$11:$C$234,0)</f>
        <v>#N/A</v>
      </c>
      <c r="AR463" s="6" t="b">
        <f t="shared" si="42"/>
        <v>1</v>
      </c>
      <c r="AS463" s="6" t="str">
        <f t="shared" si="45"/>
        <v>OK</v>
      </c>
      <c r="AU463" s="202"/>
      <c r="AV463" s="262"/>
      <c r="AW463" s="274"/>
    </row>
    <row r="464" spans="1:49" s="13" customFormat="1" ht="22.5" x14ac:dyDescent="0.2">
      <c r="A464" s="14">
        <v>440</v>
      </c>
      <c r="B464" s="14">
        <v>400009320</v>
      </c>
      <c r="C464" s="8" t="s">
        <v>3793</v>
      </c>
      <c r="D464" s="4" t="str">
        <f t="shared" si="43"/>
        <v>400009320U</v>
      </c>
      <c r="E464" s="309" t="str">
        <f>VLOOKUP($B464,'D7 - NDB Impacted SPRF''s'!$E$6:$O$9929,2,FALSE)</f>
        <v>MEDICA - NDB-EA Medica Enhancements - Phase 1</v>
      </c>
      <c r="F464" s="8" t="s">
        <v>5196</v>
      </c>
      <c r="G464" s="8" t="s">
        <v>4758</v>
      </c>
      <c r="H464" s="8" t="s">
        <v>4246</v>
      </c>
      <c r="I464" s="20">
        <v>3.8</v>
      </c>
      <c r="J464" s="8" t="s">
        <v>4862</v>
      </c>
      <c r="K464" s="182">
        <v>38801</v>
      </c>
      <c r="L464" s="8" t="s">
        <v>6919</v>
      </c>
      <c r="M464" s="8" t="s">
        <v>2814</v>
      </c>
      <c r="N464" s="38"/>
      <c r="O464" s="8"/>
      <c r="P464" s="4" t="str">
        <f>VLOOKUP($B464,'D7 - NDB Impacted SPRF''s'!$E$16:$O$9929,9,FALSE)</f>
        <v>N</v>
      </c>
      <c r="Q464" s="4" t="str">
        <f>VLOOKUP($B464,'D7 - NDB Impacted SPRF''s'!$E$16:$O$9929,10,FALSE)</f>
        <v>N</v>
      </c>
      <c r="R464" s="4" t="str">
        <f>VLOOKUP($B464,'D7 - NDB Impacted SPRF''s'!$E$16:$O$9929,11,FALSE)</f>
        <v>N</v>
      </c>
      <c r="S464" s="8"/>
      <c r="T464" s="310"/>
      <c r="U464" s="310"/>
      <c r="V464" s="4"/>
      <c r="W464" s="4"/>
      <c r="X464" s="4"/>
      <c r="Y464" s="4"/>
      <c r="Z464" s="4"/>
      <c r="AA464" s="4"/>
      <c r="AB464" s="380" t="str">
        <f>VLOOKUP($B464,'D7 - NDB Impacted SPRF''s'!$E$16:$O$9929,4,FALSE)</f>
        <v>Completed</v>
      </c>
      <c r="AC464" s="380" t="str">
        <f>VLOOKUP($B464,'D7 - NDB Impacted SPRF''s'!$E$16:$O$9929,3,FALSE)</f>
        <v>Alliance</v>
      </c>
      <c r="AD464" s="380" t="str">
        <f>VLOOKUP($B464,'D7 - NDB Impacted SPRF''s'!$E$16:$O$9929,5,FALSE)</f>
        <v>Medica UNET Conversion</v>
      </c>
      <c r="AE464" s="380" t="str">
        <f>VLOOKUP($B464,'D7 - NDB Impacted SPRF''s'!$E$16:$O$9929,7,FALSE)</f>
        <v>Bev Nyce</v>
      </c>
      <c r="AF464" s="380" t="str">
        <f>VLOOKUP($B464,'D7 - NDB Impacted SPRF''s'!$E$16:$O$9929,6,FALSE)</f>
        <v>ELIZABETH Young</v>
      </c>
      <c r="AG464" s="282" t="s">
        <v>6682</v>
      </c>
      <c r="AH464" s="311" t="e">
        <f>INDEX('D5 - Gatekeeper - Projects'!$A$4:$AF$1010,$AM464, 17)</f>
        <v>#N/A</v>
      </c>
      <c r="AI464" s="8"/>
      <c r="AJ464" s="57"/>
      <c r="AK464" s="105"/>
      <c r="AL464" s="216"/>
      <c r="AM464" s="6" t="e">
        <f>MATCH(D464,'D5 - Gatekeeper - Projects'!$C$4:$C$1010,0)</f>
        <v>#N/A</v>
      </c>
      <c r="AN464" s="6" t="b">
        <f t="shared" si="41"/>
        <v>1</v>
      </c>
      <c r="AO464" s="6" t="str">
        <f t="shared" si="44"/>
        <v>OK</v>
      </c>
      <c r="AP464" s="216"/>
      <c r="AQ464" s="6" t="e">
        <f>MATCH($D464,'D4 - Provider Council Unsched'!$C$11:$C$234,0)</f>
        <v>#N/A</v>
      </c>
      <c r="AR464" s="6" t="b">
        <f t="shared" si="42"/>
        <v>1</v>
      </c>
      <c r="AS464" s="6" t="str">
        <f t="shared" si="45"/>
        <v>OK</v>
      </c>
      <c r="AU464" s="202"/>
      <c r="AV464" s="262"/>
      <c r="AW464" s="274"/>
    </row>
    <row r="465" spans="1:49" s="13" customFormat="1" ht="22.5" x14ac:dyDescent="0.2">
      <c r="A465" s="14">
        <v>441</v>
      </c>
      <c r="B465" s="14">
        <v>400009861</v>
      </c>
      <c r="C465" s="8" t="s">
        <v>5197</v>
      </c>
      <c r="D465" s="4" t="str">
        <f t="shared" si="43"/>
        <v>400009861R1</v>
      </c>
      <c r="E465" s="309" t="str">
        <f>VLOOKUP($B465,'D7 - NDB Impacted SPRF''s'!$E$6:$O$9929,2,FALSE)</f>
        <v>Medica Enhancements - Target Directory</v>
      </c>
      <c r="F465" s="8" t="s">
        <v>5196</v>
      </c>
      <c r="G465" s="8" t="s">
        <v>4758</v>
      </c>
      <c r="H465" s="8" t="s">
        <v>4246</v>
      </c>
      <c r="I465" s="20">
        <v>1.07</v>
      </c>
      <c r="J465" s="8" t="s">
        <v>4862</v>
      </c>
      <c r="K465" s="182">
        <v>38801</v>
      </c>
      <c r="L465" s="8" t="s">
        <v>6919</v>
      </c>
      <c r="M465" s="8" t="s">
        <v>2814</v>
      </c>
      <c r="N465" s="38"/>
      <c r="O465" s="8"/>
      <c r="P465" s="4" t="str">
        <f>VLOOKUP($B465,'D7 - NDB Impacted SPRF''s'!$E$16:$O$9929,9,FALSE)</f>
        <v>N</v>
      </c>
      <c r="Q465" s="4" t="str">
        <f>VLOOKUP($B465,'D7 - NDB Impacted SPRF''s'!$E$16:$O$9929,10,FALSE)</f>
        <v>N</v>
      </c>
      <c r="R465" s="4" t="str">
        <f>VLOOKUP($B465,'D7 - NDB Impacted SPRF''s'!$E$16:$O$9929,11,FALSE)</f>
        <v>N</v>
      </c>
      <c r="S465" s="8"/>
      <c r="T465" s="310"/>
      <c r="U465" s="310"/>
      <c r="V465" s="4"/>
      <c r="W465" s="4"/>
      <c r="X465" s="4"/>
      <c r="Y465" s="4"/>
      <c r="Z465" s="4"/>
      <c r="AA465" s="4"/>
      <c r="AB465" s="380" t="str">
        <f>VLOOKUP($B465,'D7 - NDB Impacted SPRF''s'!$E$16:$O$9929,4,FALSE)</f>
        <v>Completed</v>
      </c>
      <c r="AC465" s="380" t="str">
        <f>VLOOKUP($B465,'D7 - NDB Impacted SPRF''s'!$E$16:$O$9929,3,FALSE)</f>
        <v>Alliance</v>
      </c>
      <c r="AD465" s="380" t="str">
        <f>VLOOKUP($B465,'D7 - NDB Impacted SPRF''s'!$E$16:$O$9929,5,FALSE)</f>
        <v>Medica UNET Conversion</v>
      </c>
      <c r="AE465" s="380" t="str">
        <f>VLOOKUP($B465,'D7 - NDB Impacted SPRF''s'!$E$16:$O$9929,7,FALSE)</f>
        <v>Bev Nyce</v>
      </c>
      <c r="AF465" s="380" t="str">
        <f>VLOOKUP($B465,'D7 - NDB Impacted SPRF''s'!$E$16:$O$9929,6,FALSE)</f>
        <v>ELIZABETH Young</v>
      </c>
      <c r="AG465" s="282" t="s">
        <v>6682</v>
      </c>
      <c r="AH465" s="311" t="e">
        <f>INDEX('D5 - Gatekeeper - Projects'!$A$4:$AF$1010,$AM465, 17)</f>
        <v>#N/A</v>
      </c>
      <c r="AI465" s="8"/>
      <c r="AJ465" s="57"/>
      <c r="AK465" s="105"/>
      <c r="AL465" s="216"/>
      <c r="AM465" s="6" t="e">
        <f>MATCH(D465,'D5 - Gatekeeper - Projects'!$C$4:$C$1010,0)</f>
        <v>#N/A</v>
      </c>
      <c r="AN465" s="6" t="b">
        <f t="shared" ref="AN465:AN528" si="46">ISERROR(AM465)</f>
        <v>1</v>
      </c>
      <c r="AO465" s="6" t="str">
        <f t="shared" si="44"/>
        <v>OK</v>
      </c>
      <c r="AP465" s="216"/>
      <c r="AQ465" s="6" t="e">
        <f>MATCH($D465,'D4 - Provider Council Unsched'!$C$11:$C$234,0)</f>
        <v>#N/A</v>
      </c>
      <c r="AR465" s="6" t="b">
        <f t="shared" ref="AR465:AR528" si="47">ISERROR(AQ465)</f>
        <v>1</v>
      </c>
      <c r="AS465" s="6" t="str">
        <f t="shared" si="45"/>
        <v>OK</v>
      </c>
      <c r="AU465" s="202"/>
      <c r="AV465" s="262"/>
      <c r="AW465" s="274"/>
    </row>
    <row r="466" spans="1:49" s="13" customFormat="1" ht="22.5" x14ac:dyDescent="0.2">
      <c r="A466" s="14">
        <v>442</v>
      </c>
      <c r="B466" s="14">
        <v>400009862</v>
      </c>
      <c r="C466" s="8" t="s">
        <v>5197</v>
      </c>
      <c r="D466" s="4" t="str">
        <f t="shared" ref="D466:D529" si="48">CONCATENATE(B466,C466)</f>
        <v>400009862R1</v>
      </c>
      <c r="E466" s="309" t="str">
        <f>VLOOKUP($B466,'D7 - NDB Impacted SPRF''s'!$E$6:$O$9929,2,FALSE)</f>
        <v>Medica Enhancements - EPDL Code 1 Override</v>
      </c>
      <c r="F466" s="8" t="s">
        <v>5196</v>
      </c>
      <c r="G466" s="8" t="s">
        <v>4758</v>
      </c>
      <c r="H466" s="8" t="s">
        <v>4246</v>
      </c>
      <c r="I466" s="20">
        <v>5</v>
      </c>
      <c r="J466" s="8" t="s">
        <v>4862</v>
      </c>
      <c r="K466" s="182">
        <v>38801</v>
      </c>
      <c r="L466" s="8" t="s">
        <v>6919</v>
      </c>
      <c r="M466" s="8" t="s">
        <v>2814</v>
      </c>
      <c r="N466" s="38"/>
      <c r="O466" s="8"/>
      <c r="P466" s="4" t="str">
        <f>VLOOKUP($B466,'D7 - NDB Impacted SPRF''s'!$E$16:$O$9929,9,FALSE)</f>
        <v>N</v>
      </c>
      <c r="Q466" s="4" t="str">
        <f>VLOOKUP($B466,'D7 - NDB Impacted SPRF''s'!$E$16:$O$9929,10,FALSE)</f>
        <v>N</v>
      </c>
      <c r="R466" s="4" t="str">
        <f>VLOOKUP($B466,'D7 - NDB Impacted SPRF''s'!$E$16:$O$9929,11,FALSE)</f>
        <v>N</v>
      </c>
      <c r="S466" s="8"/>
      <c r="T466" s="310"/>
      <c r="U466" s="310"/>
      <c r="V466" s="4"/>
      <c r="W466" s="4"/>
      <c r="X466" s="4"/>
      <c r="Y466" s="4"/>
      <c r="Z466" s="4"/>
      <c r="AA466" s="4"/>
      <c r="AB466" s="380" t="str">
        <f>VLOOKUP($B466,'D7 - NDB Impacted SPRF''s'!$E$16:$O$9929,4,FALSE)</f>
        <v>Completed</v>
      </c>
      <c r="AC466" s="380" t="str">
        <f>VLOOKUP($B466,'D7 - NDB Impacted SPRF''s'!$E$16:$O$9929,3,FALSE)</f>
        <v>Alliance</v>
      </c>
      <c r="AD466" s="380" t="str">
        <f>VLOOKUP($B466,'D7 - NDB Impacted SPRF''s'!$E$16:$O$9929,5,FALSE)</f>
        <v>Medica UNET Conversion</v>
      </c>
      <c r="AE466" s="380" t="str">
        <f>VLOOKUP($B466,'D7 - NDB Impacted SPRF''s'!$E$16:$O$9929,7,FALSE)</f>
        <v>Bev Nyce</v>
      </c>
      <c r="AF466" s="380" t="str">
        <f>VLOOKUP($B466,'D7 - NDB Impacted SPRF''s'!$E$16:$O$9929,6,FALSE)</f>
        <v>ELIZABETH Young</v>
      </c>
      <c r="AG466" s="282" t="s">
        <v>6682</v>
      </c>
      <c r="AH466" s="311" t="e">
        <f>INDEX('D5 - Gatekeeper - Projects'!$A$4:$AF$1010,$AM466, 17)</f>
        <v>#N/A</v>
      </c>
      <c r="AI466" s="8"/>
      <c r="AJ466" s="57"/>
      <c r="AK466" s="105"/>
      <c r="AM466" s="6" t="e">
        <f>MATCH(D466,'D5 - Gatekeeper - Projects'!$C$4:$C$1010,0)</f>
        <v>#N/A</v>
      </c>
      <c r="AN466" s="6" t="b">
        <f t="shared" si="46"/>
        <v>1</v>
      </c>
      <c r="AO466" s="6" t="str">
        <f t="shared" ref="AO466:AO529" si="49">IF(AND(H466="1 - Scheduled",AN466=TRUE),"Add","OK")</f>
        <v>OK</v>
      </c>
      <c r="AQ466" s="6" t="e">
        <f>MATCH($D466,'D4 - Provider Council Unsched'!$C$11:$C$234,0)</f>
        <v>#N/A</v>
      </c>
      <c r="AR466" s="6" t="b">
        <f t="shared" si="47"/>
        <v>1</v>
      </c>
      <c r="AS466" s="6" t="str">
        <f t="shared" si="45"/>
        <v>OK</v>
      </c>
      <c r="AU466" s="202"/>
      <c r="AV466" s="262"/>
      <c r="AW466" s="274"/>
    </row>
    <row r="467" spans="1:49" s="13" customFormat="1" ht="22.5" x14ac:dyDescent="0.2">
      <c r="A467" s="14">
        <v>443</v>
      </c>
      <c r="B467" s="14">
        <v>400009862</v>
      </c>
      <c r="C467" s="8" t="s">
        <v>3793</v>
      </c>
      <c r="D467" s="4" t="str">
        <f t="shared" si="48"/>
        <v>400009862U</v>
      </c>
      <c r="E467" s="309" t="str">
        <f>VLOOKUP($B467,'D7 - NDB Impacted SPRF''s'!$E$6:$O$9929,2,FALSE)</f>
        <v>Medica Enhancements - EPDL Code 1 Override</v>
      </c>
      <c r="F467" s="8" t="s">
        <v>5196</v>
      </c>
      <c r="G467" s="8" t="s">
        <v>4758</v>
      </c>
      <c r="H467" s="8" t="s">
        <v>4246</v>
      </c>
      <c r="I467" s="20">
        <v>1.65</v>
      </c>
      <c r="J467" s="8" t="s">
        <v>4862</v>
      </c>
      <c r="K467" s="182">
        <v>38801</v>
      </c>
      <c r="L467" s="8" t="s">
        <v>6919</v>
      </c>
      <c r="M467" s="8" t="s">
        <v>2814</v>
      </c>
      <c r="N467" s="38"/>
      <c r="O467" s="8"/>
      <c r="P467" s="4" t="str">
        <f>VLOOKUP($B467,'D7 - NDB Impacted SPRF''s'!$E$16:$O$9929,9,FALSE)</f>
        <v>N</v>
      </c>
      <c r="Q467" s="4" t="str">
        <f>VLOOKUP($B467,'D7 - NDB Impacted SPRF''s'!$E$16:$O$9929,10,FALSE)</f>
        <v>N</v>
      </c>
      <c r="R467" s="4" t="str">
        <f>VLOOKUP($B467,'D7 - NDB Impacted SPRF''s'!$E$16:$O$9929,11,FALSE)</f>
        <v>N</v>
      </c>
      <c r="S467" s="8"/>
      <c r="T467" s="310"/>
      <c r="U467" s="310"/>
      <c r="V467" s="4"/>
      <c r="W467" s="4"/>
      <c r="X467" s="4"/>
      <c r="Y467" s="4"/>
      <c r="Z467" s="4"/>
      <c r="AA467" s="4"/>
      <c r="AB467" s="380" t="str">
        <f>VLOOKUP($B467,'D7 - NDB Impacted SPRF''s'!$E$16:$O$9929,4,FALSE)</f>
        <v>Completed</v>
      </c>
      <c r="AC467" s="380" t="str">
        <f>VLOOKUP($B467,'D7 - NDB Impacted SPRF''s'!$E$16:$O$9929,3,FALSE)</f>
        <v>Alliance</v>
      </c>
      <c r="AD467" s="380" t="str">
        <f>VLOOKUP($B467,'D7 - NDB Impacted SPRF''s'!$E$16:$O$9929,5,FALSE)</f>
        <v>Medica UNET Conversion</v>
      </c>
      <c r="AE467" s="380" t="str">
        <f>VLOOKUP($B467,'D7 - NDB Impacted SPRF''s'!$E$16:$O$9929,7,FALSE)</f>
        <v>Bev Nyce</v>
      </c>
      <c r="AF467" s="380" t="str">
        <f>VLOOKUP($B467,'D7 - NDB Impacted SPRF''s'!$E$16:$O$9929,6,FALSE)</f>
        <v>ELIZABETH Young</v>
      </c>
      <c r="AG467" s="282" t="s">
        <v>6682</v>
      </c>
      <c r="AH467" s="311" t="e">
        <f>INDEX('D5 - Gatekeeper - Projects'!$A$4:$AF$1010,$AM467, 17)</f>
        <v>#N/A</v>
      </c>
      <c r="AI467" s="8"/>
      <c r="AJ467" s="57"/>
      <c r="AK467" s="105"/>
      <c r="AL467" s="216"/>
      <c r="AM467" s="6" t="e">
        <f>MATCH(D467,'D5 - Gatekeeper - Projects'!$C$4:$C$1010,0)</f>
        <v>#N/A</v>
      </c>
      <c r="AN467" s="6" t="b">
        <f t="shared" si="46"/>
        <v>1</v>
      </c>
      <c r="AO467" s="6" t="str">
        <f t="shared" si="49"/>
        <v>OK</v>
      </c>
      <c r="AP467" s="216"/>
      <c r="AQ467" s="6" t="e">
        <f>MATCH($D467,'D4 - Provider Council Unsched'!$C$11:$C$234,0)</f>
        <v>#N/A</v>
      </c>
      <c r="AR467" s="6" t="b">
        <f t="shared" si="47"/>
        <v>1</v>
      </c>
      <c r="AS467" s="6" t="str">
        <f t="shared" si="45"/>
        <v>OK</v>
      </c>
      <c r="AU467" s="202"/>
      <c r="AV467" s="262"/>
      <c r="AW467" s="274"/>
    </row>
    <row r="468" spans="1:49" s="13" customFormat="1" ht="33.75" x14ac:dyDescent="0.2">
      <c r="A468" s="14">
        <v>444</v>
      </c>
      <c r="B468" s="14">
        <v>400009863</v>
      </c>
      <c r="C468" s="8" t="s">
        <v>5197</v>
      </c>
      <c r="D468" s="4" t="str">
        <f t="shared" si="48"/>
        <v>400009863R1</v>
      </c>
      <c r="E468" s="332" t="str">
        <f>VLOOKUP($B468,'D7 - NDB Impacted SPRF''s'!$E$6:$O$9929,2,FALSE)</f>
        <v>Add directory code for batch directory process</v>
      </c>
      <c r="F468" s="8" t="s">
        <v>5054</v>
      </c>
      <c r="G468" s="8" t="s">
        <v>4758</v>
      </c>
      <c r="H468" s="8" t="s">
        <v>4246</v>
      </c>
      <c r="I468" s="20">
        <v>1.06</v>
      </c>
      <c r="J468" s="8" t="s">
        <v>4862</v>
      </c>
      <c r="K468" s="182">
        <v>38801</v>
      </c>
      <c r="L468" s="8" t="s">
        <v>6919</v>
      </c>
      <c r="M468" s="8" t="s">
        <v>2814</v>
      </c>
      <c r="N468" s="38"/>
      <c r="O468" s="8"/>
      <c r="P468" s="4" t="str">
        <f>VLOOKUP($B468,'D7 - NDB Impacted SPRF''s'!$E$16:$O$9929,9,FALSE)</f>
        <v>N</v>
      </c>
      <c r="Q468" s="4" t="str">
        <f>VLOOKUP($B468,'D7 - NDB Impacted SPRF''s'!$E$16:$O$9929,10,FALSE)</f>
        <v>N</v>
      </c>
      <c r="R468" s="4" t="str">
        <f>VLOOKUP($B468,'D7 - NDB Impacted SPRF''s'!$E$16:$O$9929,11,FALSE)</f>
        <v>N</v>
      </c>
      <c r="S468" s="8"/>
      <c r="T468" s="310"/>
      <c r="U468" s="310"/>
      <c r="V468" s="4"/>
      <c r="W468" s="4"/>
      <c r="X468" s="4"/>
      <c r="Y468" s="4"/>
      <c r="Z468" s="4"/>
      <c r="AA468" s="4"/>
      <c r="AB468" s="380" t="str">
        <f>VLOOKUP($B468,'D7 - NDB Impacted SPRF''s'!$E$16:$O$9929,4,FALSE)</f>
        <v>Completed</v>
      </c>
      <c r="AC468" s="380" t="str">
        <f>VLOOKUP($B468,'D7 - NDB Impacted SPRF''s'!$E$16:$O$9929,3,FALSE)</f>
        <v>OptumHealth Financial Services</v>
      </c>
      <c r="AD468" s="380" t="str">
        <f>VLOOKUP($B468,'D7 - NDB Impacted SPRF''s'!$E$16:$O$9929,5,FALSE)</f>
        <v>OptumHealth Financial Services-DDC</v>
      </c>
      <c r="AE468" s="380" t="str">
        <f>VLOOKUP($B468,'D7 - NDB Impacted SPRF''s'!$E$16:$O$9929,7,FALSE)</f>
        <v>Caryn Asklar</v>
      </c>
      <c r="AF468" s="380" t="str">
        <f>VLOOKUP($B468,'D7 - NDB Impacted SPRF''s'!$E$16:$O$9929,6,FALSE)</f>
        <v>MICHAEL STONE</v>
      </c>
      <c r="AG468" s="282"/>
      <c r="AH468" s="311" t="e">
        <f>INDEX('D5 - Gatekeeper - Projects'!$A$4:$AF$1010,$AM468, 17)</f>
        <v>#N/A</v>
      </c>
      <c r="AI468" s="8"/>
      <c r="AJ468" s="57"/>
      <c r="AK468" s="105"/>
      <c r="AL468" s="216"/>
      <c r="AM468" s="6" t="e">
        <f>MATCH(D468,'D5 - Gatekeeper - Projects'!$C$4:$C$1010,0)</f>
        <v>#N/A</v>
      </c>
      <c r="AN468" s="6" t="b">
        <f t="shared" si="46"/>
        <v>1</v>
      </c>
      <c r="AO468" s="6" t="str">
        <f t="shared" si="49"/>
        <v>OK</v>
      </c>
      <c r="AP468" s="216"/>
      <c r="AQ468" s="6" t="e">
        <f>MATCH($D468,'D4 - Provider Council Unsched'!$C$11:$C$234,0)</f>
        <v>#N/A</v>
      </c>
      <c r="AR468" s="6" t="b">
        <f t="shared" si="47"/>
        <v>1</v>
      </c>
      <c r="AS468" s="6" t="str">
        <f t="shared" si="45"/>
        <v>OK</v>
      </c>
      <c r="AU468" s="202"/>
      <c r="AV468" s="262"/>
      <c r="AW468" s="274"/>
    </row>
    <row r="469" spans="1:49" s="13" customFormat="1" ht="33.75" x14ac:dyDescent="0.2">
      <c r="A469" s="14">
        <v>445</v>
      </c>
      <c r="B469" s="14">
        <v>400009947</v>
      </c>
      <c r="C469" s="8" t="s">
        <v>5197</v>
      </c>
      <c r="D469" s="4" t="str">
        <f t="shared" si="48"/>
        <v>400009947R1</v>
      </c>
      <c r="E469" s="309" t="str">
        <f>VLOOKUP($B469,'D7 - NDB Impacted SPRF''s'!$E$6:$O$9929,2,FALSE)</f>
        <v>CORP1-NDB-EA Security P1:Contract Designation Key</v>
      </c>
      <c r="F469" s="8" t="s">
        <v>5196</v>
      </c>
      <c r="G469" s="8" t="s">
        <v>4758</v>
      </c>
      <c r="H469" s="8" t="s">
        <v>4246</v>
      </c>
      <c r="I469" s="20">
        <v>10.49</v>
      </c>
      <c r="J469" s="8" t="s">
        <v>4862</v>
      </c>
      <c r="K469" s="182">
        <v>38801</v>
      </c>
      <c r="L469" s="8" t="s">
        <v>6919</v>
      </c>
      <c r="M469" s="8" t="s">
        <v>2814</v>
      </c>
      <c r="N469" s="38" t="s">
        <v>7626</v>
      </c>
      <c r="O469" s="8"/>
      <c r="P469" s="4" t="str">
        <f>VLOOKUP($B469,'D7 - NDB Impacted SPRF''s'!$E$16:$O$9929,9,FALSE)</f>
        <v>N</v>
      </c>
      <c r="Q469" s="4" t="str">
        <f>VLOOKUP($B469,'D7 - NDB Impacted SPRF''s'!$E$16:$O$9929,10,FALSE)</f>
        <v>N</v>
      </c>
      <c r="R469" s="4" t="str">
        <f>VLOOKUP($B469,'D7 - NDB Impacted SPRF''s'!$E$16:$O$9929,11,FALSE)</f>
        <v>Y</v>
      </c>
      <c r="S469" s="8"/>
      <c r="T469" s="310"/>
      <c r="U469" s="310"/>
      <c r="V469" s="4"/>
      <c r="W469" s="4"/>
      <c r="X469" s="4"/>
      <c r="Y469" s="4"/>
      <c r="Z469" s="4"/>
      <c r="AA469" s="4"/>
      <c r="AB469" s="380" t="str">
        <f>VLOOKUP($B469,'D7 - NDB Impacted SPRF''s'!$E$16:$O$9929,4,FALSE)</f>
        <v>Completed</v>
      </c>
      <c r="AC469" s="380" t="str">
        <f>VLOOKUP($B469,'D7 - NDB Impacted SPRF''s'!$E$16:$O$9929,3,FALSE)</f>
        <v>Alliance</v>
      </c>
      <c r="AD469" s="380" t="str">
        <f>VLOOKUP($B469,'D7 - NDB Impacted SPRF''s'!$E$16:$O$9929,5,FALSE)</f>
        <v>Healthcare Service Alliance</v>
      </c>
      <c r="AE469" s="380" t="str">
        <f>VLOOKUP($B469,'D7 - NDB Impacted SPRF''s'!$E$16:$O$9929,7,FALSE)</f>
        <v>Bev Nyce</v>
      </c>
      <c r="AF469" s="380" t="str">
        <f>VLOOKUP($B469,'D7 - NDB Impacted SPRF''s'!$E$16:$O$9929,6,FALSE)</f>
        <v>Susan Neal</v>
      </c>
      <c r="AG469" s="282" t="s">
        <v>6682</v>
      </c>
      <c r="AH469" s="311" t="e">
        <f>INDEX('D5 - Gatekeeper - Projects'!$A$4:$AF$1010,$AM469, 17)</f>
        <v>#N/A</v>
      </c>
      <c r="AI469" s="8"/>
      <c r="AJ469" s="57"/>
      <c r="AK469" s="105"/>
      <c r="AM469" s="6" t="e">
        <f>MATCH(D469,'D5 - Gatekeeper - Projects'!$C$4:$C$1010,0)</f>
        <v>#N/A</v>
      </c>
      <c r="AN469" s="6" t="b">
        <f t="shared" si="46"/>
        <v>1</v>
      </c>
      <c r="AO469" s="6" t="str">
        <f t="shared" si="49"/>
        <v>OK</v>
      </c>
      <c r="AQ469" s="6" t="e">
        <f>MATCH($D469,'D4 - Provider Council Unsched'!$C$11:$C$234,0)</f>
        <v>#N/A</v>
      </c>
      <c r="AR469" s="6" t="b">
        <f t="shared" si="47"/>
        <v>1</v>
      </c>
      <c r="AS469" s="6" t="str">
        <f t="shared" si="45"/>
        <v>OK</v>
      </c>
      <c r="AU469" s="202"/>
      <c r="AV469" s="262"/>
      <c r="AW469" s="274"/>
    </row>
    <row r="470" spans="1:49" s="13" customFormat="1" ht="33.75" x14ac:dyDescent="0.2">
      <c r="A470" s="14">
        <v>446</v>
      </c>
      <c r="B470" s="14">
        <v>400011248</v>
      </c>
      <c r="C470" s="8" t="s">
        <v>5197</v>
      </c>
      <c r="D470" s="4" t="str">
        <f t="shared" si="48"/>
        <v>400011248R1</v>
      </c>
      <c r="E470" s="309" t="str">
        <f>VLOOKUP($B470,'D7 - NDB Impacted SPRF''s'!$E$6:$O$9929,2,FALSE)</f>
        <v>AMERICHOICE TEXAS PROV DATA EXPORT</v>
      </c>
      <c r="F470" s="8" t="s">
        <v>3235</v>
      </c>
      <c r="G470" s="8" t="s">
        <v>4758</v>
      </c>
      <c r="H470" s="8" t="s">
        <v>4246</v>
      </c>
      <c r="I470" s="20">
        <v>1.07</v>
      </c>
      <c r="J470" s="8" t="s">
        <v>4862</v>
      </c>
      <c r="K470" s="182">
        <v>38801</v>
      </c>
      <c r="L470" s="8" t="s">
        <v>6919</v>
      </c>
      <c r="M470" s="8" t="s">
        <v>2814</v>
      </c>
      <c r="N470" s="38"/>
      <c r="O470" s="8"/>
      <c r="P470" s="4" t="str">
        <f>VLOOKUP($B470,'D7 - NDB Impacted SPRF''s'!$E$16:$O$9929,9,FALSE)</f>
        <v>N</v>
      </c>
      <c r="Q470" s="4" t="str">
        <f>VLOOKUP($B470,'D7 - NDB Impacted SPRF''s'!$E$16:$O$9929,10,FALSE)</f>
        <v>N</v>
      </c>
      <c r="R470" s="4" t="str">
        <f>VLOOKUP($B470,'D7 - NDB Impacted SPRF''s'!$E$16:$O$9929,11,FALSE)</f>
        <v>N</v>
      </c>
      <c r="S470" s="8"/>
      <c r="T470" s="310"/>
      <c r="U470" s="310"/>
      <c r="V470" s="4"/>
      <c r="W470" s="4"/>
      <c r="X470" s="4"/>
      <c r="Y470" s="4"/>
      <c r="Z470" s="4"/>
      <c r="AA470" s="4"/>
      <c r="AB470" s="380" t="str">
        <f>VLOOKUP($B470,'D7 - NDB Impacted SPRF''s'!$E$16:$O$9929,4,FALSE)</f>
        <v>Completed</v>
      </c>
      <c r="AC470" s="380" t="str">
        <f>VLOOKUP($B470,'D7 - NDB Impacted SPRF''s'!$E$16:$O$9929,3,FALSE)</f>
        <v>UnitedHealthcare Community &amp; State</v>
      </c>
      <c r="AD470" s="380" t="str">
        <f>VLOOKUP($B470,'D7 - NDB Impacted SPRF''s'!$E$16:$O$9929,5,FALSE)</f>
        <v>AmeriChoice</v>
      </c>
      <c r="AE470" s="380" t="str">
        <f>VLOOKUP($B470,'D7 - NDB Impacted SPRF''s'!$E$16:$O$9929,7,FALSE)</f>
        <v>Garfield Collins</v>
      </c>
      <c r="AF470" s="380" t="str">
        <f>VLOOKUP($B470,'D7 - NDB Impacted SPRF''s'!$E$16:$O$9929,6,FALSE)</f>
        <v>GARY SPENCER</v>
      </c>
      <c r="AG470" s="282" t="s">
        <v>7755</v>
      </c>
      <c r="AH470" s="311" t="e">
        <f>INDEX('D5 - Gatekeeper - Projects'!$A$4:$AF$1010,$AM470, 17)</f>
        <v>#N/A</v>
      </c>
      <c r="AI470" s="8"/>
      <c r="AJ470" s="57"/>
      <c r="AK470" s="105"/>
      <c r="AL470" s="216"/>
      <c r="AM470" s="6" t="e">
        <f>MATCH(D470,'D5 - Gatekeeper - Projects'!$C$4:$C$1010,0)</f>
        <v>#N/A</v>
      </c>
      <c r="AN470" s="6" t="b">
        <f t="shared" si="46"/>
        <v>1</v>
      </c>
      <c r="AO470" s="6" t="str">
        <f t="shared" si="49"/>
        <v>OK</v>
      </c>
      <c r="AP470" s="216"/>
      <c r="AQ470" s="6" t="e">
        <f>MATCH($D470,'D4 - Provider Council Unsched'!$C$11:$C$234,0)</f>
        <v>#N/A</v>
      </c>
      <c r="AR470" s="6" t="b">
        <f t="shared" si="47"/>
        <v>1</v>
      </c>
      <c r="AS470" s="6" t="str">
        <f t="shared" si="45"/>
        <v>OK</v>
      </c>
      <c r="AU470" s="202"/>
      <c r="AV470" s="262"/>
      <c r="AW470" s="274"/>
    </row>
    <row r="471" spans="1:49" s="13" customFormat="1" ht="67.5" x14ac:dyDescent="0.2">
      <c r="A471" s="14">
        <v>447</v>
      </c>
      <c r="B471" s="14">
        <v>400011266</v>
      </c>
      <c r="C471" s="8" t="s">
        <v>5197</v>
      </c>
      <c r="D471" s="4" t="str">
        <f t="shared" si="48"/>
        <v>400011266R1</v>
      </c>
      <c r="E471" s="309" t="str">
        <f>VLOOKUP($B471,'D7 - NDB Impacted SPRF''s'!$E$6:$O$9929,2,FALSE)</f>
        <v>Fee Schedule Automated Quarterly Updates</v>
      </c>
      <c r="F471" s="8" t="s">
        <v>4961</v>
      </c>
      <c r="G471" s="8" t="s">
        <v>4758</v>
      </c>
      <c r="H471" s="8" t="s">
        <v>4246</v>
      </c>
      <c r="I471" s="20">
        <v>4.05</v>
      </c>
      <c r="J471" s="8" t="s">
        <v>4862</v>
      </c>
      <c r="K471" s="182">
        <v>38801</v>
      </c>
      <c r="L471" s="8" t="s">
        <v>6919</v>
      </c>
      <c r="M471" s="8" t="s">
        <v>2814</v>
      </c>
      <c r="N471" s="367" t="s">
        <v>7247</v>
      </c>
      <c r="O471" s="8"/>
      <c r="P471" s="4" t="s">
        <v>7273</v>
      </c>
      <c r="Q471" s="4" t="str">
        <f>VLOOKUP($B471,'D7 - NDB Impacted SPRF''s'!$E$16:$O$9929,10,FALSE)</f>
        <v>N</v>
      </c>
      <c r="R471" s="4" t="str">
        <f>VLOOKUP($B471,'D7 - NDB Impacted SPRF''s'!$E$16:$O$9929,11,FALSE)</f>
        <v>N</v>
      </c>
      <c r="S471" s="8"/>
      <c r="T471" s="310"/>
      <c r="U471" s="310"/>
      <c r="V471" s="4"/>
      <c r="W471" s="4"/>
      <c r="X471" s="4"/>
      <c r="Y471" s="4"/>
      <c r="Z471" s="4"/>
      <c r="AA471" s="4"/>
      <c r="AB471" s="380" t="str">
        <f>VLOOKUP($B471,'D7 - NDB Impacted SPRF''s'!$E$16:$O$9929,4,FALSE)</f>
        <v>Completed</v>
      </c>
      <c r="AC471" s="380" t="str">
        <f>VLOOKUP($B471,'D7 - NDB Impacted SPRF''s'!$E$16:$O$9929,3,FALSE)</f>
        <v>UnitedHealthcare Employer &amp; Individual</v>
      </c>
      <c r="AD471" s="380" t="str">
        <f>VLOOKUP($B471,'D7 - NDB Impacted SPRF''s'!$E$16:$O$9929,5,FALSE)</f>
        <v>Network Growth / Enhancements</v>
      </c>
      <c r="AE471" s="380" t="str">
        <f>VLOOKUP($B471,'D7 - NDB Impacted SPRF''s'!$E$16:$O$9929,7,FALSE)</f>
        <v>Gerald Brockman</v>
      </c>
      <c r="AF471" s="380" t="str">
        <f>VLOOKUP($B471,'D7 - NDB Impacted SPRF''s'!$E$16:$O$9929,6,FALSE)</f>
        <v>Erin Nelson</v>
      </c>
      <c r="AG471" s="282"/>
      <c r="AH471" s="311" t="e">
        <f>INDEX('D5 - Gatekeeper - Projects'!$A$4:$AF$1010,$AM471, 17)</f>
        <v>#N/A</v>
      </c>
      <c r="AI471" s="8"/>
      <c r="AJ471" s="57"/>
      <c r="AK471" s="105"/>
      <c r="AL471" s="216"/>
      <c r="AM471" s="6" t="e">
        <f>MATCH(D471,'D5 - Gatekeeper - Projects'!$C$4:$C$1010,0)</f>
        <v>#N/A</v>
      </c>
      <c r="AN471" s="6" t="b">
        <f t="shared" si="46"/>
        <v>1</v>
      </c>
      <c r="AO471" s="6" t="str">
        <f t="shared" si="49"/>
        <v>OK</v>
      </c>
      <c r="AP471" s="216"/>
      <c r="AQ471" s="6" t="e">
        <f>MATCH($D471,'D4 - Provider Council Unsched'!$C$11:$C$234,0)</f>
        <v>#N/A</v>
      </c>
      <c r="AR471" s="6" t="b">
        <f t="shared" si="47"/>
        <v>1</v>
      </c>
      <c r="AS471" s="6" t="str">
        <f t="shared" si="45"/>
        <v>OK</v>
      </c>
      <c r="AU471" s="202"/>
      <c r="AV471" s="262"/>
      <c r="AW471" s="274"/>
    </row>
    <row r="472" spans="1:49" s="13" customFormat="1" ht="56.25" x14ac:dyDescent="0.2">
      <c r="A472" s="14">
        <v>448</v>
      </c>
      <c r="B472" s="14">
        <v>400011289</v>
      </c>
      <c r="C472" s="8" t="s">
        <v>5197</v>
      </c>
      <c r="D472" s="4" t="str">
        <f t="shared" si="48"/>
        <v>400011289R1</v>
      </c>
      <c r="E472" s="309" t="str">
        <f>VLOOKUP($B472,'D7 - NDB Impacted SPRF''s'!$E$6:$O$9929,2,FALSE)</f>
        <v>PacifiCare -- Create Market Type and del sys</v>
      </c>
      <c r="F472" s="8" t="s">
        <v>6071</v>
      </c>
      <c r="G472" s="8" t="s">
        <v>4758</v>
      </c>
      <c r="H472" s="8" t="s">
        <v>4246</v>
      </c>
      <c r="I472" s="20">
        <v>0.87</v>
      </c>
      <c r="J472" s="8" t="s">
        <v>4862</v>
      </c>
      <c r="K472" s="182">
        <v>38801</v>
      </c>
      <c r="L472" s="8" t="s">
        <v>6919</v>
      </c>
      <c r="M472" s="8" t="s">
        <v>2814</v>
      </c>
      <c r="N472" s="367" t="s">
        <v>5165</v>
      </c>
      <c r="O472" s="8"/>
      <c r="P472" s="4" t="str">
        <f>VLOOKUP($B472,'D7 - NDB Impacted SPRF''s'!$E$16:$O$9929,9,FALSE)</f>
        <v>Y</v>
      </c>
      <c r="Q472" s="4" t="str">
        <f>VLOOKUP($B472,'D7 - NDB Impacted SPRF''s'!$E$16:$O$9929,10,FALSE)</f>
        <v>N</v>
      </c>
      <c r="R472" s="4" t="str">
        <f>VLOOKUP($B472,'D7 - NDB Impacted SPRF''s'!$E$16:$O$9929,11,FALSE)</f>
        <v>N</v>
      </c>
      <c r="S472" s="8"/>
      <c r="T472" s="310"/>
      <c r="U472" s="310"/>
      <c r="V472" s="4"/>
      <c r="W472" s="4"/>
      <c r="X472" s="4"/>
      <c r="Y472" s="4"/>
      <c r="Z472" s="4"/>
      <c r="AA472" s="4"/>
      <c r="AB472" s="380" t="str">
        <f>VLOOKUP($B472,'D7 - NDB Impacted SPRF''s'!$E$16:$O$9929,4,FALSE)</f>
        <v>Cancelled</v>
      </c>
      <c r="AC472" s="380" t="str">
        <f>VLOOKUP($B472,'D7 - NDB Impacted SPRF''s'!$E$16:$O$9929,3,FALSE)</f>
        <v>UnitedHealthcare Employer &amp; Individual</v>
      </c>
      <c r="AD472" s="380" t="str">
        <f>VLOOKUP($B472,'D7 - NDB Impacted SPRF''s'!$E$16:$O$9929,5,FALSE)</f>
        <v>Integration Requirements</v>
      </c>
      <c r="AE472" s="380" t="str">
        <f>VLOOKUP($B472,'D7 - NDB Impacted SPRF''s'!$E$16:$O$9929,7,FALSE)</f>
        <v>Gerald Brockman</v>
      </c>
      <c r="AF472" s="380" t="str">
        <f>VLOOKUP($B472,'D7 - NDB Impacted SPRF''s'!$E$16:$O$9929,6,FALSE)</f>
        <v>GREGORY MILLS</v>
      </c>
      <c r="AG472" s="282"/>
      <c r="AH472" s="311" t="e">
        <f>INDEX('D5 - Gatekeeper - Projects'!$A$4:$AF$1010,$AM472, 17)</f>
        <v>#N/A</v>
      </c>
      <c r="AI472" s="8"/>
      <c r="AJ472" s="57"/>
      <c r="AK472" s="105"/>
      <c r="AL472" s="216"/>
      <c r="AM472" s="6" t="e">
        <f>MATCH(D472,'D5 - Gatekeeper - Projects'!$C$4:$C$1010,0)</f>
        <v>#N/A</v>
      </c>
      <c r="AN472" s="6" t="b">
        <f t="shared" si="46"/>
        <v>1</v>
      </c>
      <c r="AO472" s="6" t="str">
        <f t="shared" si="49"/>
        <v>OK</v>
      </c>
      <c r="AP472" s="216"/>
      <c r="AQ472" s="6" t="e">
        <f>MATCH($D472,'D4 - Provider Council Unsched'!$C$11:$C$234,0)</f>
        <v>#N/A</v>
      </c>
      <c r="AR472" s="6" t="b">
        <f t="shared" si="47"/>
        <v>1</v>
      </c>
      <c r="AS472" s="6" t="str">
        <f t="shared" si="45"/>
        <v>OK</v>
      </c>
      <c r="AU472" s="202"/>
      <c r="AV472" s="262"/>
      <c r="AW472" s="274"/>
    </row>
    <row r="473" spans="1:49" s="13" customFormat="1" ht="22.5" x14ac:dyDescent="0.2">
      <c r="A473" s="14">
        <v>449</v>
      </c>
      <c r="B473" s="14">
        <v>400010708</v>
      </c>
      <c r="C473" s="8" t="s">
        <v>5197</v>
      </c>
      <c r="D473" s="4" t="str">
        <f t="shared" si="48"/>
        <v>400010708R1</v>
      </c>
      <c r="E473" s="309" t="str">
        <f>VLOOKUP($B473,'D7 - NDB Impacted SPRF''s'!$E$6:$O$9929,2,FALSE)</f>
        <v>HPHC - DataSharing - Staging Area for PTDD</v>
      </c>
      <c r="F473" s="8" t="s">
        <v>5196</v>
      </c>
      <c r="G473" s="8" t="s">
        <v>4758</v>
      </c>
      <c r="H473" s="8" t="s">
        <v>4246</v>
      </c>
      <c r="I473" s="20">
        <v>2.5</v>
      </c>
      <c r="J473" s="8" t="s">
        <v>4862</v>
      </c>
      <c r="K473" s="182">
        <v>38822</v>
      </c>
      <c r="L473" s="8" t="s">
        <v>5743</v>
      </c>
      <c r="M473" s="8" t="s">
        <v>2814</v>
      </c>
      <c r="N473" s="38"/>
      <c r="O473" s="8"/>
      <c r="P473" s="4" t="str">
        <f>VLOOKUP($B473,'D7 - NDB Impacted SPRF''s'!$E$16:$O$9929,9,FALSE)</f>
        <v>Y</v>
      </c>
      <c r="Q473" s="4" t="str">
        <f>VLOOKUP($B473,'D7 - NDB Impacted SPRF''s'!$E$16:$O$9929,10,FALSE)</f>
        <v>N</v>
      </c>
      <c r="R473" s="4" t="str">
        <f>VLOOKUP($B473,'D7 - NDB Impacted SPRF''s'!$E$16:$O$9929,11,FALSE)</f>
        <v>N</v>
      </c>
      <c r="S473" s="8"/>
      <c r="T473" s="310"/>
      <c r="U473" s="310"/>
      <c r="V473" s="4"/>
      <c r="W473" s="4"/>
      <c r="X473" s="4"/>
      <c r="Y473" s="4"/>
      <c r="Z473" s="4"/>
      <c r="AA473" s="4"/>
      <c r="AB473" s="380" t="str">
        <f>VLOOKUP($B473,'D7 - NDB Impacted SPRF''s'!$E$16:$O$9929,4,FALSE)</f>
        <v>Completed</v>
      </c>
      <c r="AC473" s="380" t="str">
        <f>VLOOKUP($B473,'D7 - NDB Impacted SPRF''s'!$E$16:$O$9929,3,FALSE)</f>
        <v>Alliance</v>
      </c>
      <c r="AD473" s="380" t="str">
        <f>VLOOKUP($B473,'D7 - NDB Impacted SPRF''s'!$E$16:$O$9929,5,FALSE)</f>
        <v>Harvard Pilgrim Service Alliance</v>
      </c>
      <c r="AE473" s="380" t="str">
        <f>VLOOKUP($B473,'D7 - NDB Impacted SPRF''s'!$E$16:$O$9929,7,FALSE)</f>
        <v>Jim Handlan</v>
      </c>
      <c r="AF473" s="380" t="str">
        <f>VLOOKUP($B473,'D7 - NDB Impacted SPRF''s'!$E$16:$O$9929,6,FALSE)</f>
        <v>Ryan Anderson</v>
      </c>
      <c r="AG473" s="282" t="s">
        <v>6682</v>
      </c>
      <c r="AH473" s="311" t="e">
        <f>INDEX('D5 - Gatekeeper - Projects'!$A$4:$AF$1010,$AM473, 17)</f>
        <v>#N/A</v>
      </c>
      <c r="AI473" s="8"/>
      <c r="AJ473" s="57"/>
      <c r="AK473" s="105"/>
      <c r="AL473" s="216"/>
      <c r="AM473" s="6" t="e">
        <f>MATCH(D473,'D5 - Gatekeeper - Projects'!$C$4:$C$1010,0)</f>
        <v>#N/A</v>
      </c>
      <c r="AN473" s="6" t="b">
        <f t="shared" si="46"/>
        <v>1</v>
      </c>
      <c r="AO473" s="6" t="str">
        <f t="shared" si="49"/>
        <v>OK</v>
      </c>
      <c r="AP473" s="216"/>
      <c r="AQ473" s="6" t="e">
        <f>MATCH($D473,'D4 - Provider Council Unsched'!$C$11:$C$234,0)</f>
        <v>#N/A</v>
      </c>
      <c r="AR473" s="6" t="b">
        <f t="shared" si="47"/>
        <v>1</v>
      </c>
      <c r="AS473" s="6" t="str">
        <f t="shared" si="45"/>
        <v>OK</v>
      </c>
      <c r="AU473" s="202"/>
      <c r="AV473" s="262"/>
      <c r="AW473" s="274"/>
    </row>
    <row r="474" spans="1:49" s="13" customFormat="1" ht="22.5" x14ac:dyDescent="0.2">
      <c r="A474" s="14">
        <v>450</v>
      </c>
      <c r="B474" s="14">
        <v>400006819</v>
      </c>
      <c r="C474" s="8" t="s">
        <v>5197</v>
      </c>
      <c r="D474" s="4" t="str">
        <f t="shared" si="48"/>
        <v>400006819R1</v>
      </c>
      <c r="E474" s="309" t="str">
        <f>VLOOKUP($B474,'D7 - NDB Impacted SPRF''s'!$E$6:$O$9929,2,FALSE)</f>
        <v>Splitting of eligibility file tables</v>
      </c>
      <c r="F474" s="8" t="s">
        <v>2114</v>
      </c>
      <c r="G474" s="8" t="s">
        <v>4758</v>
      </c>
      <c r="H474" s="8" t="s">
        <v>4246</v>
      </c>
      <c r="I474" s="20">
        <v>1.07</v>
      </c>
      <c r="J474" s="8" t="s">
        <v>4862</v>
      </c>
      <c r="K474" s="182">
        <v>38843</v>
      </c>
      <c r="L474" s="8" t="s">
        <v>6919</v>
      </c>
      <c r="M474" s="8" t="s">
        <v>2814</v>
      </c>
      <c r="N474" s="38" t="s">
        <v>5009</v>
      </c>
      <c r="O474" s="8"/>
      <c r="P474" s="4" t="str">
        <f>VLOOKUP($B474,'D7 - NDB Impacted SPRF''s'!$E$16:$O$9929,9,FALSE)</f>
        <v>N</v>
      </c>
      <c r="Q474" s="4" t="str">
        <f>VLOOKUP($B474,'D7 - NDB Impacted SPRF''s'!$E$16:$O$9929,10,FALSE)</f>
        <v>N</v>
      </c>
      <c r="R474" s="4" t="str">
        <f>VLOOKUP($B474,'D7 - NDB Impacted SPRF''s'!$E$16:$O$9929,11,FALSE)</f>
        <v>N</v>
      </c>
      <c r="S474" s="8"/>
      <c r="T474" s="310"/>
      <c r="U474" s="310"/>
      <c r="V474" s="4"/>
      <c r="W474" s="4"/>
      <c r="X474" s="4"/>
      <c r="Y474" s="4"/>
      <c r="Z474" s="4"/>
      <c r="AA474" s="4"/>
      <c r="AB474" s="380" t="str">
        <f>VLOOKUP($B474,'D7 - NDB Impacted SPRF''s'!$E$16:$O$9929,4,FALSE)</f>
        <v>Completed</v>
      </c>
      <c r="AC474" s="380" t="str">
        <f>VLOOKUP($B474,'D7 - NDB Impacted SPRF''s'!$E$16:$O$9929,3,FALSE)</f>
        <v>Uniprise</v>
      </c>
      <c r="AD474" s="380" t="str">
        <f>VLOOKUP($B474,'D7 - NDB Impacted SPRF''s'!$E$16:$O$9929,5,FALSE)</f>
        <v>Uniprise Operations - DDC</v>
      </c>
      <c r="AE474" s="380" t="str">
        <f>VLOOKUP($B474,'D7 - NDB Impacted SPRF''s'!$E$16:$O$9929,7,FALSE)</f>
        <v>Doug Smith</v>
      </c>
      <c r="AF474" s="380" t="str">
        <f>VLOOKUP($B474,'D7 - NDB Impacted SPRF''s'!$E$16:$O$9929,6,FALSE)</f>
        <v>JOHNSON KIMBERLY</v>
      </c>
      <c r="AG474" s="282" t="s">
        <v>7755</v>
      </c>
      <c r="AH474" s="311" t="e">
        <f>INDEX('D5 - Gatekeeper - Projects'!$A$4:$AF$1010,$AM474, 17)</f>
        <v>#N/A</v>
      </c>
      <c r="AI474" s="8"/>
      <c r="AJ474" s="57"/>
      <c r="AK474" s="105"/>
      <c r="AM474" s="6" t="e">
        <f>MATCH(D474,'D5 - Gatekeeper - Projects'!$C$4:$C$1010,0)</f>
        <v>#N/A</v>
      </c>
      <c r="AN474" s="6" t="b">
        <f t="shared" si="46"/>
        <v>1</v>
      </c>
      <c r="AO474" s="6" t="str">
        <f t="shared" si="49"/>
        <v>OK</v>
      </c>
      <c r="AQ474" s="6" t="e">
        <f>MATCH($D474,'D4 - Provider Council Unsched'!$C$11:$C$234,0)</f>
        <v>#N/A</v>
      </c>
      <c r="AR474" s="6" t="b">
        <f t="shared" si="47"/>
        <v>1</v>
      </c>
      <c r="AS474" s="6" t="str">
        <f t="shared" si="45"/>
        <v>OK</v>
      </c>
      <c r="AU474" s="202"/>
      <c r="AV474" s="262"/>
      <c r="AW474" s="274"/>
    </row>
    <row r="475" spans="1:49" s="13" customFormat="1" ht="45" x14ac:dyDescent="0.2">
      <c r="A475" s="14">
        <v>451</v>
      </c>
      <c r="B475" s="14">
        <v>400006999</v>
      </c>
      <c r="C475" s="8" t="s">
        <v>5197</v>
      </c>
      <c r="D475" s="4" t="str">
        <f t="shared" si="48"/>
        <v>400006999R1</v>
      </c>
      <c r="E475" s="309" t="str">
        <f>VLOOKUP($B475,'D7 - NDB Impacted SPRF''s'!$E$6:$O$9929,2,FALSE)</f>
        <v>Real-time Adjudication - UNET</v>
      </c>
      <c r="F475" s="8" t="s">
        <v>6191</v>
      </c>
      <c r="G475" s="8" t="s">
        <v>4758</v>
      </c>
      <c r="H475" s="8" t="s">
        <v>4246</v>
      </c>
      <c r="I475" s="20">
        <v>3.09</v>
      </c>
      <c r="J475" s="8" t="s">
        <v>4862</v>
      </c>
      <c r="K475" s="182">
        <v>38843</v>
      </c>
      <c r="L475" s="8" t="s">
        <v>6919</v>
      </c>
      <c r="M475" s="8" t="s">
        <v>2814</v>
      </c>
      <c r="N475" s="38" t="s">
        <v>7286</v>
      </c>
      <c r="O475" s="8"/>
      <c r="P475" s="4" t="str">
        <f>VLOOKUP($B475,'D7 - NDB Impacted SPRF''s'!$E$16:$O$9929,9,FALSE)</f>
        <v>Y</v>
      </c>
      <c r="Q475" s="4" t="str">
        <f>VLOOKUP($B475,'D7 - NDB Impacted SPRF''s'!$E$16:$O$9929,10,FALSE)</f>
        <v>N</v>
      </c>
      <c r="R475" s="4" t="str">
        <f>VLOOKUP($B475,'D7 - NDB Impacted SPRF''s'!$E$16:$O$9929,11,FALSE)</f>
        <v>N</v>
      </c>
      <c r="S475" s="8"/>
      <c r="T475" s="310"/>
      <c r="U475" s="310"/>
      <c r="V475" s="4"/>
      <c r="W475" s="4"/>
      <c r="X475" s="4"/>
      <c r="Y475" s="4"/>
      <c r="Z475" s="4"/>
      <c r="AA475" s="4"/>
      <c r="AB475" s="380" t="str">
        <f>VLOOKUP($B475,'D7 - NDB Impacted SPRF''s'!$E$16:$O$9929,4,FALSE)</f>
        <v>Completed</v>
      </c>
      <c r="AC475" s="380" t="str">
        <f>VLOOKUP($B475,'D7 - NDB Impacted SPRF''s'!$E$16:$O$9929,3,FALSE)</f>
        <v>UHG Corporate</v>
      </c>
      <c r="AD475" s="380" t="str">
        <f>VLOOKUP($B475,'D7 - NDB Impacted SPRF''s'!$E$16:$O$9929,5,FALSE)</f>
        <v>Corporate - Health Care Exchange</v>
      </c>
      <c r="AE475" s="380" t="str">
        <f>VLOOKUP($B475,'D7 - NDB Impacted SPRF''s'!$E$16:$O$9929,7,FALSE)</f>
        <v>Amy Hinrichs</v>
      </c>
      <c r="AF475" s="380" t="str">
        <f>VLOOKUP($B475,'D7 - NDB Impacted SPRF''s'!$E$16:$O$9929,6,FALSE)</f>
        <v>Joe Druzolowski</v>
      </c>
      <c r="AG475" s="282" t="s">
        <v>7755</v>
      </c>
      <c r="AH475" s="311" t="e">
        <f>INDEX('D5 - Gatekeeper - Projects'!$A$4:$AF$1010,$AM475, 17)</f>
        <v>#N/A</v>
      </c>
      <c r="AI475" s="8"/>
      <c r="AJ475" s="57"/>
      <c r="AK475" s="105"/>
      <c r="AM475" s="6" t="e">
        <f>MATCH(D475,'D5 - Gatekeeper - Projects'!$C$4:$C$1010,0)</f>
        <v>#N/A</v>
      </c>
      <c r="AN475" s="6" t="b">
        <f t="shared" si="46"/>
        <v>1</v>
      </c>
      <c r="AO475" s="6" t="str">
        <f t="shared" si="49"/>
        <v>OK</v>
      </c>
      <c r="AQ475" s="6" t="e">
        <f>MATCH($D475,'D4 - Provider Council Unsched'!$C$11:$C$234,0)</f>
        <v>#N/A</v>
      </c>
      <c r="AR475" s="6" t="b">
        <f t="shared" si="47"/>
        <v>1</v>
      </c>
      <c r="AS475" s="6" t="str">
        <f t="shared" si="45"/>
        <v>OK</v>
      </c>
      <c r="AU475" s="202"/>
      <c r="AV475" s="262"/>
      <c r="AW475" s="274"/>
    </row>
    <row r="476" spans="1:49" s="13" customFormat="1" ht="22.5" x14ac:dyDescent="0.2">
      <c r="A476" s="14">
        <v>452</v>
      </c>
      <c r="B476" s="14">
        <v>400007971</v>
      </c>
      <c r="C476" s="8" t="s">
        <v>3763</v>
      </c>
      <c r="D476" s="4" t="str">
        <f t="shared" si="48"/>
        <v>400007971R2</v>
      </c>
      <c r="E476" s="309" t="str">
        <f>VLOOKUP($B476,'D7 - NDB Impacted SPRF''s'!$E$6:$O$9929,2,FALSE)</f>
        <v>DTRs for UT Applications</v>
      </c>
      <c r="F476" s="8" t="s">
        <v>8133</v>
      </c>
      <c r="G476" s="8" t="s">
        <v>4758</v>
      </c>
      <c r="H476" s="8" t="s">
        <v>4246</v>
      </c>
      <c r="I476" s="20">
        <v>2</v>
      </c>
      <c r="J476" s="8" t="s">
        <v>4862</v>
      </c>
      <c r="K476" s="182">
        <v>38843</v>
      </c>
      <c r="L476" s="8" t="s">
        <v>6919</v>
      </c>
      <c r="M476" s="8" t="s">
        <v>2814</v>
      </c>
      <c r="N476" s="367"/>
      <c r="O476" s="8"/>
      <c r="P476" s="4" t="str">
        <f>VLOOKUP($B476,'D7 - NDB Impacted SPRF''s'!$E$16:$O$9929,9,FALSE)</f>
        <v>Y</v>
      </c>
      <c r="Q476" s="4" t="str">
        <f>VLOOKUP($B476,'D7 - NDB Impacted SPRF''s'!$E$16:$O$9929,10,FALSE)</f>
        <v>N</v>
      </c>
      <c r="R476" s="4" t="str">
        <f>VLOOKUP($B476,'D7 - NDB Impacted SPRF''s'!$E$16:$O$9929,11,FALSE)</f>
        <v>N</v>
      </c>
      <c r="S476" s="8"/>
      <c r="T476" s="310"/>
      <c r="U476" s="310"/>
      <c r="V476" s="4"/>
      <c r="W476" s="4"/>
      <c r="X476" s="4"/>
      <c r="Y476" s="4"/>
      <c r="Z476" s="4"/>
      <c r="AA476" s="4"/>
      <c r="AB476" s="380" t="str">
        <f>VLOOKUP($B476,'D7 - NDB Impacted SPRF''s'!$E$16:$O$9929,4,FALSE)</f>
        <v>Completed</v>
      </c>
      <c r="AC476" s="380" t="str">
        <f>VLOOKUP($B476,'D7 - NDB Impacted SPRF''s'!$E$16:$O$9929,3,FALSE)</f>
        <v>Uniprise</v>
      </c>
      <c r="AD476" s="380" t="str">
        <f>VLOOKUP($B476,'D7 - NDB Impacted SPRF''s'!$E$16:$O$9929,5,FALSE)</f>
        <v>Uniprise Technologies - Capital Projects</v>
      </c>
      <c r="AE476" s="380" t="str">
        <f>VLOOKUP($B476,'D7 - NDB Impacted SPRF''s'!$E$16:$O$9929,7,FALSE)</f>
        <v>Steven Penn</v>
      </c>
      <c r="AF476" s="380" t="str">
        <f>VLOOKUP($B476,'D7 - NDB Impacted SPRF''s'!$E$16:$O$9929,6,FALSE)</f>
        <v>Jeffrey Jablonski</v>
      </c>
      <c r="AG476" s="282" t="s">
        <v>7755</v>
      </c>
      <c r="AH476" s="311" t="e">
        <f>INDEX('D5 - Gatekeeper - Projects'!$A$4:$AF$1010,$AM476, 17)</f>
        <v>#N/A</v>
      </c>
      <c r="AI476" s="8"/>
      <c r="AJ476" s="57"/>
      <c r="AK476" s="105"/>
      <c r="AL476" s="216"/>
      <c r="AM476" s="6" t="e">
        <f>MATCH(D476,'D5 - Gatekeeper - Projects'!$C$4:$C$1010,0)</f>
        <v>#N/A</v>
      </c>
      <c r="AN476" s="6" t="b">
        <f t="shared" si="46"/>
        <v>1</v>
      </c>
      <c r="AO476" s="6" t="str">
        <f t="shared" si="49"/>
        <v>OK</v>
      </c>
      <c r="AP476" s="216"/>
      <c r="AQ476" s="6" t="e">
        <f>MATCH($D476,'D4 - Provider Council Unsched'!$C$11:$C$234,0)</f>
        <v>#N/A</v>
      </c>
      <c r="AR476" s="6" t="b">
        <f t="shared" si="47"/>
        <v>1</v>
      </c>
      <c r="AS476" s="6" t="str">
        <f t="shared" si="45"/>
        <v>OK</v>
      </c>
      <c r="AU476" s="202"/>
      <c r="AV476" s="262"/>
      <c r="AW476" s="274"/>
    </row>
    <row r="477" spans="1:49" s="13" customFormat="1" ht="22.5" x14ac:dyDescent="0.2">
      <c r="A477" s="14">
        <v>453</v>
      </c>
      <c r="B477" s="14">
        <v>400008265</v>
      </c>
      <c r="C477" s="8" t="s">
        <v>3300</v>
      </c>
      <c r="D477" s="4" t="str">
        <f t="shared" si="48"/>
        <v>400008265CC010</v>
      </c>
      <c r="E477" s="309" t="str">
        <f>VLOOKUP($B477,'D7 - NDB Impacted SPRF''s'!$E$6:$O$9929,2,FALSE)</f>
        <v>CORP1-NetClaim-PTI By Network Contracting Org.</v>
      </c>
      <c r="F477" s="8" t="s">
        <v>5196</v>
      </c>
      <c r="G477" s="8" t="s">
        <v>4758</v>
      </c>
      <c r="H477" s="8" t="s">
        <v>4246</v>
      </c>
      <c r="I477" s="20">
        <v>5.99</v>
      </c>
      <c r="J477" s="8" t="s">
        <v>4862</v>
      </c>
      <c r="K477" s="182">
        <v>38843</v>
      </c>
      <c r="L477" s="8" t="s">
        <v>5743</v>
      </c>
      <c r="M477" s="8" t="s">
        <v>2814</v>
      </c>
      <c r="N477" s="367"/>
      <c r="O477" s="8"/>
      <c r="P477" s="4" t="str">
        <f>VLOOKUP($B477,'D7 - NDB Impacted SPRF''s'!$E$16:$O$9929,9,FALSE)</f>
        <v>Y</v>
      </c>
      <c r="Q477" s="4" t="str">
        <f>VLOOKUP($B477,'D7 - NDB Impacted SPRF''s'!$E$16:$O$9929,10,FALSE)</f>
        <v>N</v>
      </c>
      <c r="R477" s="4" t="str">
        <f>VLOOKUP($B477,'D7 - NDB Impacted SPRF''s'!$E$16:$O$9929,11,FALSE)</f>
        <v>N</v>
      </c>
      <c r="S477" s="8"/>
      <c r="T477" s="310"/>
      <c r="U477" s="310"/>
      <c r="V477" s="4"/>
      <c r="W477" s="4"/>
      <c r="X477" s="4"/>
      <c r="Y477" s="4"/>
      <c r="Z477" s="4"/>
      <c r="AA477" s="4"/>
      <c r="AB477" s="380" t="str">
        <f>VLOOKUP($B477,'D7 - NDB Impacted SPRF''s'!$E$16:$O$9929,4,FALSE)</f>
        <v>Completed</v>
      </c>
      <c r="AC477" s="380" t="str">
        <f>VLOOKUP($B477,'D7 - NDB Impacted SPRF''s'!$E$16:$O$9929,3,FALSE)</f>
        <v>Alliance</v>
      </c>
      <c r="AD477" s="380" t="str">
        <f>VLOOKUP($B477,'D7 - NDB Impacted SPRF''s'!$E$16:$O$9929,5,FALSE)</f>
        <v>Healthcare Service Alliance</v>
      </c>
      <c r="AE477" s="380" t="str">
        <f>VLOOKUP($B477,'D7 - NDB Impacted SPRF''s'!$E$16:$O$9929,7,FALSE)</f>
        <v>Bev Nyce, Peter Bompane</v>
      </c>
      <c r="AF477" s="380" t="str">
        <f>VLOOKUP($B477,'D7 - NDB Impacted SPRF''s'!$E$16:$O$9929,6,FALSE)</f>
        <v>STEPHEN FINLEY</v>
      </c>
      <c r="AG477" s="282" t="s">
        <v>6682</v>
      </c>
      <c r="AH477" s="311" t="e">
        <f>INDEX('D5 - Gatekeeper - Projects'!$A$4:$AF$1010,$AM477, 17)</f>
        <v>#N/A</v>
      </c>
      <c r="AI477" s="8"/>
      <c r="AJ477" s="57"/>
      <c r="AK477" s="105"/>
      <c r="AL477" s="216"/>
      <c r="AM477" s="6" t="e">
        <f>MATCH(D477,'D5 - Gatekeeper - Projects'!$C$4:$C$1010,0)</f>
        <v>#N/A</v>
      </c>
      <c r="AN477" s="6" t="b">
        <f t="shared" si="46"/>
        <v>1</v>
      </c>
      <c r="AO477" s="6" t="str">
        <f t="shared" si="49"/>
        <v>OK</v>
      </c>
      <c r="AP477" s="216"/>
      <c r="AQ477" s="6" t="e">
        <f>MATCH($D477,'D4 - Provider Council Unsched'!$C$11:$C$234,0)</f>
        <v>#N/A</v>
      </c>
      <c r="AR477" s="6" t="b">
        <f t="shared" si="47"/>
        <v>1</v>
      </c>
      <c r="AS477" s="6" t="str">
        <f t="shared" si="45"/>
        <v>OK</v>
      </c>
      <c r="AU477" s="202"/>
      <c r="AV477" s="262"/>
      <c r="AW477" s="274"/>
    </row>
    <row r="478" spans="1:49" s="13" customFormat="1" x14ac:dyDescent="0.2">
      <c r="A478" s="14">
        <v>454</v>
      </c>
      <c r="B478" s="14">
        <v>400009672</v>
      </c>
      <c r="C478" s="8" t="s">
        <v>5197</v>
      </c>
      <c r="D478" s="4" t="str">
        <f t="shared" si="48"/>
        <v>400009672R1</v>
      </c>
      <c r="E478" s="309" t="str">
        <f>VLOOKUP($B478,'D7 - NDB Impacted SPRF''s'!$E$6:$O$9929,2,FALSE)</f>
        <v>Empire Plan Provider Directory Cover Letter Update</v>
      </c>
      <c r="F478" s="8" t="s">
        <v>6007</v>
      </c>
      <c r="G478" s="8" t="s">
        <v>4758</v>
      </c>
      <c r="H478" s="8" t="s">
        <v>4246</v>
      </c>
      <c r="I478" s="20">
        <v>0.53</v>
      </c>
      <c r="J478" s="8" t="s">
        <v>4862</v>
      </c>
      <c r="K478" s="182">
        <v>38843</v>
      </c>
      <c r="L478" s="8" t="s">
        <v>6919</v>
      </c>
      <c r="M478" s="8" t="s">
        <v>2814</v>
      </c>
      <c r="N478" s="367" t="s">
        <v>2419</v>
      </c>
      <c r="O478" s="8"/>
      <c r="P478" s="4" t="str">
        <f>VLOOKUP($B478,'D7 - NDB Impacted SPRF''s'!$E$16:$O$9929,9,FALSE)</f>
        <v>N</v>
      </c>
      <c r="Q478" s="4" t="str">
        <f>VLOOKUP($B478,'D7 - NDB Impacted SPRF''s'!$E$16:$O$9929,10,FALSE)</f>
        <v>N</v>
      </c>
      <c r="R478" s="4" t="str">
        <f>VLOOKUP($B478,'D7 - NDB Impacted SPRF''s'!$E$16:$O$9929,11,FALSE)</f>
        <v>N</v>
      </c>
      <c r="S478" s="8"/>
      <c r="T478" s="310"/>
      <c r="U478" s="310"/>
      <c r="V478" s="4"/>
      <c r="W478" s="4"/>
      <c r="X478" s="4"/>
      <c r="Y478" s="4"/>
      <c r="Z478" s="4"/>
      <c r="AA478" s="4"/>
      <c r="AB478" s="380" t="str">
        <f>VLOOKUP($B478,'D7 - NDB Impacted SPRF''s'!$E$16:$O$9929,4,FALSE)</f>
        <v>Completed</v>
      </c>
      <c r="AC478" s="380" t="str">
        <f>VLOOKUP($B478,'D7 - NDB Impacted SPRF''s'!$E$16:$O$9929,3,FALSE)</f>
        <v>Uniprise</v>
      </c>
      <c r="AD478" s="380" t="str">
        <f>VLOOKUP($B478,'D7 - NDB Impacted SPRF''s'!$E$16:$O$9929,5,FALSE)</f>
        <v>USS - DDC</v>
      </c>
      <c r="AE478" s="380" t="str">
        <f>VLOOKUP($B478,'D7 - NDB Impacted SPRF''s'!$E$16:$O$9929,7,FALSE)</f>
        <v>Donna Pooley</v>
      </c>
      <c r="AF478" s="380" t="str">
        <f>VLOOKUP($B478,'D7 - NDB Impacted SPRF''s'!$E$16:$O$9929,6,FALSE)</f>
        <v>Laurie Torres</v>
      </c>
      <c r="AG478" s="282" t="s">
        <v>7755</v>
      </c>
      <c r="AH478" s="311" t="e">
        <f>INDEX('D5 - Gatekeeper - Projects'!$A$4:$AF$1010,$AM478, 17)</f>
        <v>#N/A</v>
      </c>
      <c r="AI478" s="8"/>
      <c r="AJ478" s="57"/>
      <c r="AK478" s="105"/>
      <c r="AL478" s="216"/>
      <c r="AM478" s="6" t="e">
        <f>MATCH(D478,'D5 - Gatekeeper - Projects'!$C$4:$C$1010,0)</f>
        <v>#N/A</v>
      </c>
      <c r="AN478" s="6" t="b">
        <f t="shared" si="46"/>
        <v>1</v>
      </c>
      <c r="AO478" s="6" t="str">
        <f t="shared" si="49"/>
        <v>OK</v>
      </c>
      <c r="AP478" s="216"/>
      <c r="AQ478" s="6" t="e">
        <f>MATCH($D478,'D4 - Provider Council Unsched'!$C$11:$C$234,0)</f>
        <v>#N/A</v>
      </c>
      <c r="AR478" s="6" t="b">
        <f t="shared" si="47"/>
        <v>1</v>
      </c>
      <c r="AS478" s="6" t="str">
        <f t="shared" si="45"/>
        <v>OK</v>
      </c>
      <c r="AU478" s="202"/>
      <c r="AV478" s="262"/>
      <c r="AW478" s="274"/>
    </row>
    <row r="479" spans="1:49" s="13" customFormat="1" ht="22.5" x14ac:dyDescent="0.2">
      <c r="A479" s="14">
        <v>455</v>
      </c>
      <c r="B479" s="14">
        <v>400009831</v>
      </c>
      <c r="C479" s="8" t="s">
        <v>5197</v>
      </c>
      <c r="D479" s="4" t="str">
        <f t="shared" si="48"/>
        <v>400009831R1</v>
      </c>
      <c r="E479" s="309" t="str">
        <f>VLOOKUP($B479,'D7 - NDB Impacted SPRF''s'!$E$6:$O$9929,2,FALSE)</f>
        <v>CORP1-Security-NDB Data Tracking</v>
      </c>
      <c r="F479" s="8" t="s">
        <v>5196</v>
      </c>
      <c r="G479" s="8" t="s">
        <v>4758</v>
      </c>
      <c r="H479" s="8" t="s">
        <v>4246</v>
      </c>
      <c r="I479" s="20">
        <v>1.63</v>
      </c>
      <c r="J479" s="8" t="s">
        <v>4862</v>
      </c>
      <c r="K479" s="182">
        <v>38843</v>
      </c>
      <c r="L479" s="8" t="s">
        <v>6919</v>
      </c>
      <c r="M479" s="8" t="s">
        <v>2814</v>
      </c>
      <c r="N479" s="38"/>
      <c r="O479" s="8"/>
      <c r="P479" s="4" t="str">
        <f>VLOOKUP($B479,'D7 - NDB Impacted SPRF''s'!$E$16:$O$9929,9,FALSE)</f>
        <v>N</v>
      </c>
      <c r="Q479" s="4" t="str">
        <f>VLOOKUP($B479,'D7 - NDB Impacted SPRF''s'!$E$16:$O$9929,10,FALSE)</f>
        <v>N</v>
      </c>
      <c r="R479" s="4" t="str">
        <f>VLOOKUP($B479,'D7 - NDB Impacted SPRF''s'!$E$16:$O$9929,11,FALSE)</f>
        <v>N</v>
      </c>
      <c r="S479" s="8"/>
      <c r="T479" s="310"/>
      <c r="U479" s="310"/>
      <c r="V479" s="4"/>
      <c r="W479" s="4"/>
      <c r="X479" s="4"/>
      <c r="Y479" s="4"/>
      <c r="Z479" s="4"/>
      <c r="AA479" s="4"/>
      <c r="AB479" s="380" t="str">
        <f>VLOOKUP($B479,'D7 - NDB Impacted SPRF''s'!$E$16:$O$9929,4,FALSE)</f>
        <v>Completed</v>
      </c>
      <c r="AC479" s="380" t="str">
        <f>VLOOKUP($B479,'D7 - NDB Impacted SPRF''s'!$E$16:$O$9929,3,FALSE)</f>
        <v>Alliance</v>
      </c>
      <c r="AD479" s="380" t="str">
        <f>VLOOKUP($B479,'D7 - NDB Impacted SPRF''s'!$E$16:$O$9929,5,FALSE)</f>
        <v>Healthcare Service Alliance</v>
      </c>
      <c r="AE479" s="380" t="str">
        <f>VLOOKUP($B479,'D7 - NDB Impacted SPRF''s'!$E$16:$O$9929,7,FALSE)</f>
        <v>Bev Nyce</v>
      </c>
      <c r="AF479" s="380" t="str">
        <f>VLOOKUP($B479,'D7 - NDB Impacted SPRF''s'!$E$16:$O$9929,6,FALSE)</f>
        <v>GREG SAVONEN</v>
      </c>
      <c r="AG479" s="282" t="s">
        <v>6682</v>
      </c>
      <c r="AH479" s="311" t="e">
        <f>INDEX('D5 - Gatekeeper - Projects'!$A$4:$AF$1010,$AM479, 17)</f>
        <v>#N/A</v>
      </c>
      <c r="AI479" s="8"/>
      <c r="AJ479" s="57"/>
      <c r="AK479" s="105"/>
      <c r="AL479" s="216"/>
      <c r="AM479" s="6" t="e">
        <f>MATCH(D479,'D5 - Gatekeeper - Projects'!$C$4:$C$1010,0)</f>
        <v>#N/A</v>
      </c>
      <c r="AN479" s="6" t="b">
        <f t="shared" si="46"/>
        <v>1</v>
      </c>
      <c r="AO479" s="6" t="str">
        <f t="shared" si="49"/>
        <v>OK</v>
      </c>
      <c r="AP479" s="216"/>
      <c r="AQ479" s="6" t="e">
        <f>MATCH($D479,'D4 - Provider Council Unsched'!$C$11:$C$234,0)</f>
        <v>#N/A</v>
      </c>
      <c r="AR479" s="6" t="b">
        <f t="shared" si="47"/>
        <v>1</v>
      </c>
      <c r="AS479" s="6" t="str">
        <f t="shared" si="45"/>
        <v>OK</v>
      </c>
      <c r="AU479" s="202"/>
      <c r="AV479" s="262"/>
      <c r="AW479" s="274"/>
    </row>
    <row r="480" spans="1:49" s="13" customFormat="1" ht="33.75" x14ac:dyDescent="0.2">
      <c r="A480" s="14">
        <v>456</v>
      </c>
      <c r="B480" s="14">
        <v>400009863</v>
      </c>
      <c r="C480" s="8" t="s">
        <v>3763</v>
      </c>
      <c r="D480" s="4" t="str">
        <f t="shared" si="48"/>
        <v>400009863R2</v>
      </c>
      <c r="E480" s="309" t="str">
        <f>VLOOKUP($B480,'D7 - NDB Impacted SPRF''s'!$E$6:$O$9929,2,FALSE)</f>
        <v>Add directory code for batch directory process</v>
      </c>
      <c r="F480" s="8" t="s">
        <v>5054</v>
      </c>
      <c r="G480" s="8" t="s">
        <v>4758</v>
      </c>
      <c r="H480" s="8" t="s">
        <v>4246</v>
      </c>
      <c r="I480" s="20">
        <v>1</v>
      </c>
      <c r="J480" s="8" t="s">
        <v>4862</v>
      </c>
      <c r="K480" s="182">
        <v>38843</v>
      </c>
      <c r="L480" s="8" t="s">
        <v>6919</v>
      </c>
      <c r="M480" s="8" t="s">
        <v>2814</v>
      </c>
      <c r="N480" s="367"/>
      <c r="O480" s="8"/>
      <c r="P480" s="4" t="str">
        <f>VLOOKUP($B480,'D7 - NDB Impacted SPRF''s'!$E$16:$O$9929,9,FALSE)</f>
        <v>N</v>
      </c>
      <c r="Q480" s="4" t="str">
        <f>VLOOKUP($B480,'D7 - NDB Impacted SPRF''s'!$E$16:$O$9929,10,FALSE)</f>
        <v>N</v>
      </c>
      <c r="R480" s="4" t="str">
        <f>VLOOKUP($B480,'D7 - NDB Impacted SPRF''s'!$E$16:$O$9929,11,FALSE)</f>
        <v>N</v>
      </c>
      <c r="S480" s="8"/>
      <c r="T480" s="310"/>
      <c r="U480" s="310"/>
      <c r="V480" s="4"/>
      <c r="W480" s="4"/>
      <c r="X480" s="4"/>
      <c r="Y480" s="4"/>
      <c r="Z480" s="4"/>
      <c r="AA480" s="4"/>
      <c r="AB480" s="380" t="str">
        <f>VLOOKUP($B480,'D7 - NDB Impacted SPRF''s'!$E$16:$O$9929,4,FALSE)</f>
        <v>Completed</v>
      </c>
      <c r="AC480" s="380" t="str">
        <f>VLOOKUP($B480,'D7 - NDB Impacted SPRF''s'!$E$16:$O$9929,3,FALSE)</f>
        <v>OptumHealth Financial Services</v>
      </c>
      <c r="AD480" s="380" t="str">
        <f>VLOOKUP($B480,'D7 - NDB Impacted SPRF''s'!$E$16:$O$9929,5,FALSE)</f>
        <v>OptumHealth Financial Services-DDC</v>
      </c>
      <c r="AE480" s="380" t="str">
        <f>VLOOKUP($B480,'D7 - NDB Impacted SPRF''s'!$E$16:$O$9929,7,FALSE)</f>
        <v>Caryn Asklar</v>
      </c>
      <c r="AF480" s="380" t="str">
        <f>VLOOKUP($B480,'D7 - NDB Impacted SPRF''s'!$E$16:$O$9929,6,FALSE)</f>
        <v>MICHAEL STONE</v>
      </c>
      <c r="AG480" s="282" t="s">
        <v>7755</v>
      </c>
      <c r="AH480" s="311" t="e">
        <f>INDEX('D5 - Gatekeeper - Projects'!$A$4:$AF$1010,$AM480, 17)</f>
        <v>#N/A</v>
      </c>
      <c r="AI480" s="8"/>
      <c r="AJ480" s="57"/>
      <c r="AK480" s="105"/>
      <c r="AL480" s="216"/>
      <c r="AM480" s="6" t="e">
        <f>MATCH(D480,'D5 - Gatekeeper - Projects'!$C$4:$C$1010,0)</f>
        <v>#N/A</v>
      </c>
      <c r="AN480" s="6" t="b">
        <f t="shared" si="46"/>
        <v>1</v>
      </c>
      <c r="AO480" s="6" t="str">
        <f t="shared" si="49"/>
        <v>OK</v>
      </c>
      <c r="AP480" s="216"/>
      <c r="AQ480" s="6" t="e">
        <f>MATCH($D480,'D4 - Provider Council Unsched'!$C$11:$C$234,0)</f>
        <v>#N/A</v>
      </c>
      <c r="AR480" s="6" t="b">
        <f t="shared" si="47"/>
        <v>1</v>
      </c>
      <c r="AS480" s="6" t="str">
        <f t="shared" si="45"/>
        <v>OK</v>
      </c>
      <c r="AU480" s="202"/>
      <c r="AV480" s="262"/>
      <c r="AW480" s="274"/>
    </row>
    <row r="481" spans="1:49" s="13" customFormat="1" ht="33.75" x14ac:dyDescent="0.2">
      <c r="A481" s="14">
        <v>457</v>
      </c>
      <c r="B481" s="14">
        <v>400009909</v>
      </c>
      <c r="C481" s="8" t="s">
        <v>5197</v>
      </c>
      <c r="D481" s="4" t="str">
        <f t="shared" si="48"/>
        <v>400009909R1</v>
      </c>
      <c r="E481" s="309" t="str">
        <f>VLOOKUP($B481,'D7 - NDB Impacted SPRF''s'!$E$6:$O$9929,2,FALSE)</f>
        <v>NDB No Bulk Flag Report</v>
      </c>
      <c r="F481" s="8" t="s">
        <v>6007</v>
      </c>
      <c r="G481" s="8" t="s">
        <v>4758</v>
      </c>
      <c r="H481" s="8" t="s">
        <v>4246</v>
      </c>
      <c r="I481" s="20">
        <v>0.8</v>
      </c>
      <c r="J481" s="8" t="s">
        <v>4862</v>
      </c>
      <c r="K481" s="182">
        <v>38843</v>
      </c>
      <c r="L481" s="8" t="s">
        <v>6919</v>
      </c>
      <c r="M481" s="8" t="s">
        <v>2814</v>
      </c>
      <c r="N481" s="367"/>
      <c r="O481" s="8"/>
      <c r="P481" s="4" t="str">
        <f>VLOOKUP($B481,'D7 - NDB Impacted SPRF''s'!$E$16:$O$9929,9,FALSE)</f>
        <v>N</v>
      </c>
      <c r="Q481" s="4" t="str">
        <f>VLOOKUP($B481,'D7 - NDB Impacted SPRF''s'!$E$16:$O$9929,10,FALSE)</f>
        <v>N</v>
      </c>
      <c r="R481" s="4" t="str">
        <f>VLOOKUP($B481,'D7 - NDB Impacted SPRF''s'!$E$16:$O$9929,11,FALSE)</f>
        <v>N</v>
      </c>
      <c r="S481" s="8"/>
      <c r="T481" s="310"/>
      <c r="U481" s="310"/>
      <c r="V481" s="4"/>
      <c r="W481" s="4"/>
      <c r="X481" s="4"/>
      <c r="Y481" s="4"/>
      <c r="Z481" s="4"/>
      <c r="AA481" s="4"/>
      <c r="AB481" s="380" t="str">
        <f>VLOOKUP($B481,'D7 - NDB Impacted SPRF''s'!$E$16:$O$9929,4,FALSE)</f>
        <v>Completed</v>
      </c>
      <c r="AC481" s="380" t="str">
        <f>VLOOKUP($B481,'D7 - NDB Impacted SPRF''s'!$E$16:$O$9929,3,FALSE)</f>
        <v>UnitedHealthcare Employer &amp; Individual</v>
      </c>
      <c r="AD481" s="380" t="str">
        <f>VLOOKUP($B481,'D7 - NDB Impacted SPRF''s'!$E$16:$O$9929,5,FALSE)</f>
        <v>Operations Group</v>
      </c>
      <c r="AE481" s="380" t="str">
        <f>VLOOKUP($B481,'D7 - NDB Impacted SPRF''s'!$E$16:$O$9929,7,FALSE)</f>
        <v>Robert Starman</v>
      </c>
      <c r="AF481" s="380" t="str">
        <f>VLOOKUP($B481,'D7 - NDB Impacted SPRF''s'!$E$16:$O$9929,6,FALSE)</f>
        <v>WILLIAM BARBATO</v>
      </c>
      <c r="AG481" s="282" t="s">
        <v>7755</v>
      </c>
      <c r="AH481" s="311" t="e">
        <f>INDEX('D5 - Gatekeeper - Projects'!$A$4:$AF$1010,$AM481, 17)</f>
        <v>#N/A</v>
      </c>
      <c r="AI481" s="8"/>
      <c r="AJ481" s="57"/>
      <c r="AK481" s="105"/>
      <c r="AM481" s="6" t="e">
        <f>MATCH(D481,'D5 - Gatekeeper - Projects'!$C$4:$C$1010,0)</f>
        <v>#N/A</v>
      </c>
      <c r="AN481" s="6" t="b">
        <f t="shared" si="46"/>
        <v>1</v>
      </c>
      <c r="AO481" s="6" t="str">
        <f t="shared" si="49"/>
        <v>OK</v>
      </c>
      <c r="AQ481" s="6" t="e">
        <f>MATCH($D481,'D4 - Provider Council Unsched'!$C$11:$C$234,0)</f>
        <v>#N/A</v>
      </c>
      <c r="AR481" s="6" t="b">
        <f t="shared" si="47"/>
        <v>1</v>
      </c>
      <c r="AS481" s="6" t="str">
        <f t="shared" si="45"/>
        <v>OK</v>
      </c>
      <c r="AU481" s="202"/>
      <c r="AV481" s="262"/>
      <c r="AW481" s="274"/>
    </row>
    <row r="482" spans="1:49" s="13" customFormat="1" ht="45" x14ac:dyDescent="0.2">
      <c r="A482" s="14">
        <v>458</v>
      </c>
      <c r="B482" s="14">
        <v>400010672</v>
      </c>
      <c r="C482" s="8" t="s">
        <v>5197</v>
      </c>
      <c r="D482" s="4" t="str">
        <f t="shared" si="48"/>
        <v>400010672R1</v>
      </c>
      <c r="E482" s="332" t="str">
        <f>VLOOKUP($B482,'D7 - NDB Impacted SPRF''s'!$E$6:$O$9929,2,FALSE)</f>
        <v>NDB Test Table Refresh for PRIME</v>
      </c>
      <c r="F482" s="8" t="s">
        <v>6007</v>
      </c>
      <c r="G482" s="8" t="s">
        <v>4758</v>
      </c>
      <c r="H482" s="8" t="s">
        <v>4246</v>
      </c>
      <c r="I482" s="20">
        <v>0.53</v>
      </c>
      <c r="J482" s="8" t="s">
        <v>4862</v>
      </c>
      <c r="K482" s="182">
        <v>38843</v>
      </c>
      <c r="L482" s="8" t="s">
        <v>6919</v>
      </c>
      <c r="M482" s="8" t="s">
        <v>2814</v>
      </c>
      <c r="N482" s="368" t="s">
        <v>6335</v>
      </c>
      <c r="O482" s="8"/>
      <c r="P482" s="4" t="str">
        <f>VLOOKUP($B482,'D7 - NDB Impacted SPRF''s'!$E$16:$O$9929,9,FALSE)</f>
        <v>N</v>
      </c>
      <c r="Q482" s="4" t="str">
        <f>VLOOKUP($B482,'D7 - NDB Impacted SPRF''s'!$E$16:$O$9929,10,FALSE)</f>
        <v>N</v>
      </c>
      <c r="R482" s="4" t="str">
        <f>VLOOKUP($B482,'D7 - NDB Impacted SPRF''s'!$E$16:$O$9929,11,FALSE)</f>
        <v>N</v>
      </c>
      <c r="S482" s="8"/>
      <c r="T482" s="310"/>
      <c r="U482" s="310"/>
      <c r="V482" s="4"/>
      <c r="W482" s="4"/>
      <c r="X482" s="4"/>
      <c r="Y482" s="4"/>
      <c r="Z482" s="4"/>
      <c r="AA482" s="4"/>
      <c r="AB482" s="380" t="str">
        <f>VLOOKUP($B482,'D7 - NDB Impacted SPRF''s'!$E$16:$O$9929,4,FALSE)</f>
        <v>Completed</v>
      </c>
      <c r="AC482" s="380" t="str">
        <f>VLOOKUP($B482,'D7 - NDB Impacted SPRF''s'!$E$16:$O$9929,3,FALSE)</f>
        <v>UnitedHealthcare Employer &amp; Individual</v>
      </c>
      <c r="AD482" s="380" t="str">
        <f>VLOOKUP($B482,'D7 - NDB Impacted SPRF''s'!$E$16:$O$9929,5,FALSE)</f>
        <v>Operations Group</v>
      </c>
      <c r="AE482" s="380" t="str">
        <f>VLOOKUP($B482,'D7 - NDB Impacted SPRF''s'!$E$16:$O$9929,7,FALSE)</f>
        <v>Reed Bjergo</v>
      </c>
      <c r="AF482" s="380" t="str">
        <f>VLOOKUP($B482,'D7 - NDB Impacted SPRF''s'!$E$16:$O$9929,6,FALSE)</f>
        <v>Kristin Emmanuel</v>
      </c>
      <c r="AG482" s="282" t="s">
        <v>7755</v>
      </c>
      <c r="AH482" s="311" t="e">
        <f>INDEX('D5 - Gatekeeper - Projects'!$A$4:$AF$1010,$AM482, 17)</f>
        <v>#N/A</v>
      </c>
      <c r="AI482" s="8"/>
      <c r="AJ482" s="57"/>
      <c r="AK482" s="105"/>
      <c r="AL482" s="216"/>
      <c r="AM482" s="6" t="e">
        <f>MATCH(D482,'D5 - Gatekeeper - Projects'!$C$4:$C$1010,0)</f>
        <v>#N/A</v>
      </c>
      <c r="AN482" s="6" t="b">
        <f t="shared" si="46"/>
        <v>1</v>
      </c>
      <c r="AO482" s="6" t="str">
        <f t="shared" si="49"/>
        <v>OK</v>
      </c>
      <c r="AP482" s="216"/>
      <c r="AQ482" s="6" t="e">
        <f>MATCH($D482,'D4 - Provider Council Unsched'!$C$11:$C$234,0)</f>
        <v>#N/A</v>
      </c>
      <c r="AR482" s="6" t="b">
        <f t="shared" si="47"/>
        <v>1</v>
      </c>
      <c r="AS482" s="6" t="str">
        <f t="shared" si="45"/>
        <v>OK</v>
      </c>
      <c r="AU482" s="202"/>
      <c r="AV482" s="262"/>
      <c r="AW482" s="274"/>
    </row>
    <row r="483" spans="1:49" s="13" customFormat="1" ht="33.75" x14ac:dyDescent="0.2">
      <c r="A483" s="14">
        <v>459</v>
      </c>
      <c r="B483" s="14">
        <v>400011106</v>
      </c>
      <c r="C483" s="8" t="s">
        <v>5197</v>
      </c>
      <c r="D483" s="4" t="str">
        <f t="shared" si="48"/>
        <v>400011106R1</v>
      </c>
      <c r="E483" s="309" t="str">
        <f>VLOOKUP($B483,'D7 - NDB Impacted SPRF''s'!$E$6:$O$9929,2,FALSE)</f>
        <v>AMS add Choice Plus to HCFA repricing processing</v>
      </c>
      <c r="F483" s="8" t="s">
        <v>6071</v>
      </c>
      <c r="G483" s="8" t="s">
        <v>4758</v>
      </c>
      <c r="H483" s="8" t="s">
        <v>4246</v>
      </c>
      <c r="I483" s="20">
        <v>1</v>
      </c>
      <c r="J483" s="8" t="s">
        <v>4862</v>
      </c>
      <c r="K483" s="182">
        <v>38843</v>
      </c>
      <c r="L483" s="8" t="s">
        <v>5743</v>
      </c>
      <c r="M483" s="8" t="s">
        <v>2814</v>
      </c>
      <c r="N483" s="367" t="s">
        <v>6166</v>
      </c>
      <c r="O483" s="8"/>
      <c r="P483" s="4" t="str">
        <f>VLOOKUP($B483,'D7 - NDB Impacted SPRF''s'!$E$16:$O$9929,9,FALSE)</f>
        <v>N</v>
      </c>
      <c r="Q483" s="4" t="str">
        <f>VLOOKUP($B483,'D7 - NDB Impacted SPRF''s'!$E$16:$O$9929,10,FALSE)</f>
        <v>N</v>
      </c>
      <c r="R483" s="4" t="str">
        <f>VLOOKUP($B483,'D7 - NDB Impacted SPRF''s'!$E$16:$O$9929,11,FALSE)</f>
        <v>N</v>
      </c>
      <c r="S483" s="8"/>
      <c r="T483" s="310"/>
      <c r="U483" s="310"/>
      <c r="V483" s="4"/>
      <c r="W483" s="4"/>
      <c r="X483" s="4"/>
      <c r="Y483" s="4"/>
      <c r="Z483" s="4"/>
      <c r="AA483" s="4"/>
      <c r="AB483" s="380" t="str">
        <f>VLOOKUP($B483,'D7 - NDB Impacted SPRF''s'!$E$16:$O$9929,4,FALSE)</f>
        <v>Completed</v>
      </c>
      <c r="AC483" s="380" t="str">
        <f>VLOOKUP($B483,'D7 - NDB Impacted SPRF''s'!$E$16:$O$9929,3,FALSE)</f>
        <v>UnitedHealthcare Employer &amp; Individual</v>
      </c>
      <c r="AD483" s="380" t="str">
        <f>VLOOKUP($B483,'D7 - NDB Impacted SPRF''s'!$E$16:$O$9929,5,FALSE)</f>
        <v>Integration Requirements</v>
      </c>
      <c r="AE483" s="380" t="str">
        <f>VLOOKUP($B483,'D7 - NDB Impacted SPRF''s'!$E$16:$O$9929,7,FALSE)</f>
        <v>Patrick Kennedy</v>
      </c>
      <c r="AF483" s="380" t="str">
        <f>VLOOKUP($B483,'D7 - NDB Impacted SPRF''s'!$E$16:$O$9929,6,FALSE)</f>
        <v>SUSAN HINES</v>
      </c>
      <c r="AG483" s="282" t="s">
        <v>6162</v>
      </c>
      <c r="AH483" s="311" t="e">
        <f>INDEX('D5 - Gatekeeper - Projects'!$A$4:$AF$1010,$AM483, 17)</f>
        <v>#N/A</v>
      </c>
      <c r="AI483" s="8"/>
      <c r="AJ483" s="57"/>
      <c r="AK483" s="105"/>
      <c r="AM483" s="6" t="e">
        <f>MATCH(D483,'D5 - Gatekeeper - Projects'!$C$4:$C$1010,0)</f>
        <v>#N/A</v>
      </c>
      <c r="AN483" s="6" t="b">
        <f t="shared" si="46"/>
        <v>1</v>
      </c>
      <c r="AO483" s="6" t="str">
        <f t="shared" si="49"/>
        <v>OK</v>
      </c>
      <c r="AQ483" s="6" t="e">
        <f>MATCH($D483,'D4 - Provider Council Unsched'!$C$11:$C$234,0)</f>
        <v>#N/A</v>
      </c>
      <c r="AR483" s="6" t="b">
        <f t="shared" si="47"/>
        <v>1</v>
      </c>
      <c r="AS483" s="6" t="str">
        <f t="shared" si="45"/>
        <v>OK</v>
      </c>
      <c r="AU483" s="202"/>
      <c r="AV483" s="262"/>
      <c r="AW483" s="274"/>
    </row>
    <row r="484" spans="1:49" s="13" customFormat="1" ht="33.75" x14ac:dyDescent="0.2">
      <c r="A484" s="14">
        <v>460</v>
      </c>
      <c r="B484" s="14">
        <v>400011501</v>
      </c>
      <c r="C484" s="8" t="s">
        <v>5197</v>
      </c>
      <c r="D484" s="4" t="str">
        <f t="shared" si="48"/>
        <v>400011501R1</v>
      </c>
      <c r="E484" s="309" t="str">
        <f>VLOOKUP($B484,'D7 - NDB Impacted SPRF''s'!$E$6:$O$9929,2,FALSE)</f>
        <v>W/O: Update NBD pick logic for fee look-up - UHCO</v>
      </c>
      <c r="F484" s="8" t="s">
        <v>6007</v>
      </c>
      <c r="G484" s="8" t="s">
        <v>4758</v>
      </c>
      <c r="H484" s="8" t="s">
        <v>4246</v>
      </c>
      <c r="I484" s="20">
        <v>0.53</v>
      </c>
      <c r="J484" s="8" t="s">
        <v>4862</v>
      </c>
      <c r="K484" s="182">
        <v>38843</v>
      </c>
      <c r="L484" s="8" t="s">
        <v>5743</v>
      </c>
      <c r="M484" s="8" t="s">
        <v>2814</v>
      </c>
      <c r="N484" s="368" t="s">
        <v>5993</v>
      </c>
      <c r="O484" s="8"/>
      <c r="P484" s="4" t="str">
        <f>VLOOKUP($B484,'D7 - NDB Impacted SPRF''s'!$E$16:$O$9929,9,FALSE)</f>
        <v>N</v>
      </c>
      <c r="Q484" s="4" t="str">
        <f>VLOOKUP($B484,'D7 - NDB Impacted SPRF''s'!$E$16:$O$9929,10,FALSE)</f>
        <v>N</v>
      </c>
      <c r="R484" s="4" t="str">
        <f>VLOOKUP($B484,'D7 - NDB Impacted SPRF''s'!$E$16:$O$9929,11,FALSE)</f>
        <v>N</v>
      </c>
      <c r="S484" s="8"/>
      <c r="T484" s="310"/>
      <c r="U484" s="310"/>
      <c r="V484" s="4"/>
      <c r="W484" s="4"/>
      <c r="X484" s="4"/>
      <c r="Y484" s="4"/>
      <c r="Z484" s="4"/>
      <c r="AA484" s="4"/>
      <c r="AB484" s="380" t="str">
        <f>VLOOKUP($B484,'D7 - NDB Impacted SPRF''s'!$E$16:$O$9929,4,FALSE)</f>
        <v>Completed</v>
      </c>
      <c r="AC484" s="380" t="str">
        <f>VLOOKUP($B484,'D7 - NDB Impacted SPRF''s'!$E$16:$O$9929,3,FALSE)</f>
        <v>Uniprise</v>
      </c>
      <c r="AD484" s="380" t="str">
        <f>VLOOKUP($B484,'D7 - NDB Impacted SPRF''s'!$E$16:$O$9929,5,FALSE)</f>
        <v>Group Services - Capital Projects</v>
      </c>
      <c r="AE484" s="380" t="str">
        <f>VLOOKUP($B484,'D7 - NDB Impacted SPRF''s'!$E$16:$O$9929,7,FALSE)</f>
        <v>Joseph Chalastra</v>
      </c>
      <c r="AF484" s="380" t="str">
        <f>VLOOKUP($B484,'D7 - NDB Impacted SPRF''s'!$E$16:$O$9929,6,FALSE)</f>
        <v>AMELIA HINRICHS</v>
      </c>
      <c r="AG484" s="282" t="s">
        <v>7755</v>
      </c>
      <c r="AH484" s="311" t="e">
        <f>INDEX('D5 - Gatekeeper - Projects'!$A$4:$AF$1010,$AM484, 17)</f>
        <v>#N/A</v>
      </c>
      <c r="AI484" s="8"/>
      <c r="AJ484" s="57"/>
      <c r="AK484" s="105"/>
      <c r="AM484" s="6" t="e">
        <f>MATCH(D484,'D5 - Gatekeeper - Projects'!$C$4:$C$1010,0)</f>
        <v>#N/A</v>
      </c>
      <c r="AN484" s="6" t="b">
        <f t="shared" si="46"/>
        <v>1</v>
      </c>
      <c r="AO484" s="6" t="str">
        <f t="shared" si="49"/>
        <v>OK</v>
      </c>
      <c r="AQ484" s="6" t="e">
        <f>MATCH($D484,'D4 - Provider Council Unsched'!$C$11:$C$234,0)</f>
        <v>#N/A</v>
      </c>
      <c r="AR484" s="6" t="b">
        <f t="shared" si="47"/>
        <v>1</v>
      </c>
      <c r="AS484" s="6" t="str">
        <f t="shared" si="45"/>
        <v>OK</v>
      </c>
      <c r="AU484" s="202"/>
      <c r="AV484" s="262"/>
      <c r="AW484" s="274"/>
    </row>
    <row r="485" spans="1:49" s="13" customFormat="1" ht="33.75" x14ac:dyDescent="0.2">
      <c r="A485" s="14">
        <v>461</v>
      </c>
      <c r="B485" s="14">
        <v>400012132</v>
      </c>
      <c r="C485" s="8" t="s">
        <v>5197</v>
      </c>
      <c r="D485" s="4" t="str">
        <f t="shared" si="48"/>
        <v>400012132R1</v>
      </c>
      <c r="E485" s="309" t="str">
        <f>VLOOKUP($B485,'D7 - NDB Impacted SPRF''s'!$E$6:$O$9929,2,FALSE)</f>
        <v>Fee Scehdule Extraction On-Demand for PacifiCare</v>
      </c>
      <c r="F485" s="8" t="s">
        <v>6071</v>
      </c>
      <c r="G485" s="8" t="s">
        <v>4758</v>
      </c>
      <c r="H485" s="8" t="s">
        <v>4246</v>
      </c>
      <c r="I485" s="20">
        <v>0.53</v>
      </c>
      <c r="J485" s="8" t="s">
        <v>4862</v>
      </c>
      <c r="K485" s="182">
        <v>38843</v>
      </c>
      <c r="L485" s="8" t="s">
        <v>6919</v>
      </c>
      <c r="M485" s="8" t="s">
        <v>2814</v>
      </c>
      <c r="N485" s="367"/>
      <c r="O485" s="8"/>
      <c r="P485" s="4" t="str">
        <f>VLOOKUP($B485,'D7 - NDB Impacted SPRF''s'!$E$16:$O$9929,9,FALSE)</f>
        <v>N</v>
      </c>
      <c r="Q485" s="4" t="str">
        <f>VLOOKUP($B485,'D7 - NDB Impacted SPRF''s'!$E$16:$O$9929,10,FALSE)</f>
        <v>N</v>
      </c>
      <c r="R485" s="4" t="str">
        <f>VLOOKUP($B485,'D7 - NDB Impacted SPRF''s'!$E$16:$O$9929,11,FALSE)</f>
        <v>N</v>
      </c>
      <c r="S485" s="8"/>
      <c r="T485" s="310"/>
      <c r="U485" s="310"/>
      <c r="V485" s="4"/>
      <c r="W485" s="4"/>
      <c r="X485" s="4"/>
      <c r="Y485" s="4"/>
      <c r="Z485" s="4"/>
      <c r="AA485" s="4"/>
      <c r="AB485" s="380" t="str">
        <f>VLOOKUP($B485,'D7 - NDB Impacted SPRF''s'!$E$16:$O$9929,4,FALSE)</f>
        <v>Completed</v>
      </c>
      <c r="AC485" s="380" t="str">
        <f>VLOOKUP($B485,'D7 - NDB Impacted SPRF''s'!$E$16:$O$9929,3,FALSE)</f>
        <v>UnitedHealthcare Employer &amp; Individual</v>
      </c>
      <c r="AD485" s="380" t="str">
        <f>VLOOKUP($B485,'D7 - NDB Impacted SPRF''s'!$E$16:$O$9929,5,FALSE)</f>
        <v>Pacificare Integration</v>
      </c>
      <c r="AE485" s="380" t="str">
        <f>VLOOKUP($B485,'D7 - NDB Impacted SPRF''s'!$E$16:$O$9929,7,FALSE)</f>
        <v>Kurt Heumann</v>
      </c>
      <c r="AF485" s="380" t="str">
        <f>VLOOKUP($B485,'D7 - NDB Impacted SPRF''s'!$E$16:$O$9929,6,FALSE)</f>
        <v>SCOTT PIETAK</v>
      </c>
      <c r="AG485" s="282" t="s">
        <v>6682</v>
      </c>
      <c r="AH485" s="311" t="e">
        <f>INDEX('D5 - Gatekeeper - Projects'!$A$4:$AF$1010,$AM485, 17)</f>
        <v>#N/A</v>
      </c>
      <c r="AI485" s="8"/>
      <c r="AJ485" s="57"/>
      <c r="AK485" s="105"/>
      <c r="AL485" s="216"/>
      <c r="AM485" s="6" t="e">
        <f>MATCH(D485,'D5 - Gatekeeper - Projects'!$C$4:$C$1010,0)</f>
        <v>#N/A</v>
      </c>
      <c r="AN485" s="6" t="b">
        <f t="shared" si="46"/>
        <v>1</v>
      </c>
      <c r="AO485" s="6" t="str">
        <f t="shared" si="49"/>
        <v>OK</v>
      </c>
      <c r="AP485" s="216"/>
      <c r="AQ485" s="6" t="e">
        <f>MATCH($D485,'D4 - Provider Council Unsched'!$C$11:$C$234,0)</f>
        <v>#N/A</v>
      </c>
      <c r="AR485" s="6" t="b">
        <f t="shared" si="47"/>
        <v>1</v>
      </c>
      <c r="AS485" s="6" t="str">
        <f t="shared" si="45"/>
        <v>OK</v>
      </c>
      <c r="AU485" s="202"/>
      <c r="AV485" s="262"/>
      <c r="AW485" s="274"/>
    </row>
    <row r="486" spans="1:49" s="13" customFormat="1" ht="33.75" x14ac:dyDescent="0.2">
      <c r="A486" s="14">
        <v>462</v>
      </c>
      <c r="B486" s="14">
        <v>400012408</v>
      </c>
      <c r="C486" s="8" t="s">
        <v>5197</v>
      </c>
      <c r="D486" s="4" t="str">
        <f t="shared" si="48"/>
        <v>400012408R1</v>
      </c>
      <c r="E486" s="309" t="str">
        <f>VLOOKUP($B486,'D7 - NDB Impacted SPRF''s'!$E$6:$O$9929,2,FALSE)</f>
        <v>PacifiCare Behavioral Health Repricing Implementat</v>
      </c>
      <c r="F486" s="8" t="s">
        <v>6071</v>
      </c>
      <c r="G486" s="8" t="s">
        <v>4758</v>
      </c>
      <c r="H486" s="8" t="s">
        <v>4246</v>
      </c>
      <c r="I486" s="20">
        <v>1</v>
      </c>
      <c r="J486" s="8" t="s">
        <v>4862</v>
      </c>
      <c r="K486" s="182">
        <v>38843</v>
      </c>
      <c r="L486" s="8" t="s">
        <v>5743</v>
      </c>
      <c r="M486" s="8" t="s">
        <v>2814</v>
      </c>
      <c r="N486" s="367"/>
      <c r="O486" s="8"/>
      <c r="P486" s="4" t="str">
        <f>VLOOKUP($B486,'D7 - NDB Impacted SPRF''s'!$E$16:$O$9929,9,FALSE)</f>
        <v>Y</v>
      </c>
      <c r="Q486" s="4" t="str">
        <f>VLOOKUP($B486,'D7 - NDB Impacted SPRF''s'!$E$16:$O$9929,10,FALSE)</f>
        <v>N</v>
      </c>
      <c r="R486" s="4" t="str">
        <f>VLOOKUP($B486,'D7 - NDB Impacted SPRF''s'!$E$16:$O$9929,11,FALSE)</f>
        <v>Y</v>
      </c>
      <c r="S486" s="8"/>
      <c r="T486" s="310"/>
      <c r="U486" s="310"/>
      <c r="V486" s="4"/>
      <c r="W486" s="4"/>
      <c r="X486" s="4"/>
      <c r="Y486" s="4"/>
      <c r="Z486" s="4"/>
      <c r="AA486" s="4"/>
      <c r="AB486" s="380" t="str">
        <f>VLOOKUP($B486,'D7 - NDB Impacted SPRF''s'!$E$16:$O$9929,4,FALSE)</f>
        <v>Completed</v>
      </c>
      <c r="AC486" s="380" t="str">
        <f>VLOOKUP($B486,'D7 - NDB Impacted SPRF''s'!$E$16:$O$9929,3,FALSE)</f>
        <v>UnitedHealthcare Employer &amp; Individual</v>
      </c>
      <c r="AD486" s="380" t="str">
        <f>VLOOKUP($B486,'D7 - NDB Impacted SPRF''s'!$E$16:$O$9929,5,FALSE)</f>
        <v>Integration Requirements</v>
      </c>
      <c r="AE486" s="380" t="str">
        <f>VLOOKUP($B486,'D7 - NDB Impacted SPRF''s'!$E$16:$O$9929,7,FALSE)</f>
        <v>Patrick Kennedy</v>
      </c>
      <c r="AF486" s="380" t="str">
        <f>VLOOKUP($B486,'D7 - NDB Impacted SPRF''s'!$E$16:$O$9929,6,FALSE)</f>
        <v>VIRGINIA MATHEWS</v>
      </c>
      <c r="AG486" s="282" t="s">
        <v>6162</v>
      </c>
      <c r="AH486" s="311" t="e">
        <f>INDEX('D5 - Gatekeeper - Projects'!$A$4:$AF$1010,$AM486, 17)</f>
        <v>#N/A</v>
      </c>
      <c r="AI486" s="8"/>
      <c r="AJ486" s="57"/>
      <c r="AK486" s="105"/>
      <c r="AL486" s="216"/>
      <c r="AM486" s="6" t="e">
        <f>MATCH(D486,'D5 - Gatekeeper - Projects'!$C$4:$C$1010,0)</f>
        <v>#N/A</v>
      </c>
      <c r="AN486" s="6" t="b">
        <f t="shared" si="46"/>
        <v>1</v>
      </c>
      <c r="AO486" s="6" t="str">
        <f t="shared" si="49"/>
        <v>OK</v>
      </c>
      <c r="AP486" s="216"/>
      <c r="AQ486" s="6" t="e">
        <f>MATCH($D486,'D4 - Provider Council Unsched'!$C$11:$C$234,0)</f>
        <v>#N/A</v>
      </c>
      <c r="AR486" s="6" t="b">
        <f t="shared" si="47"/>
        <v>1</v>
      </c>
      <c r="AS486" s="6" t="str">
        <f t="shared" si="45"/>
        <v>OK</v>
      </c>
      <c r="AU486" s="202"/>
      <c r="AV486" s="262"/>
      <c r="AW486" s="274"/>
    </row>
    <row r="487" spans="1:49" s="13" customFormat="1" ht="33.75" x14ac:dyDescent="0.2">
      <c r="A487" s="14">
        <v>463</v>
      </c>
      <c r="B487" s="14">
        <v>400002499</v>
      </c>
      <c r="C487" s="8" t="s">
        <v>5197</v>
      </c>
      <c r="D487" s="4" t="str">
        <f t="shared" si="48"/>
        <v>400002499R1</v>
      </c>
      <c r="E487" s="309" t="str">
        <f>VLOOKUP($B487,'D7 - NDB Impacted SPRF''s'!$E$6:$O$9929,2,FALSE)</f>
        <v>Automate Invoice Processing</v>
      </c>
      <c r="F487" s="8" t="s">
        <v>6633</v>
      </c>
      <c r="G487" s="8" t="s">
        <v>4758</v>
      </c>
      <c r="H487" s="8" t="s">
        <v>4246</v>
      </c>
      <c r="I487" s="20">
        <v>12.63</v>
      </c>
      <c r="J487" s="8" t="s">
        <v>7114</v>
      </c>
      <c r="K487" s="182">
        <v>38885</v>
      </c>
      <c r="L487" s="8" t="s">
        <v>6919</v>
      </c>
      <c r="M487" s="8" t="s">
        <v>2814</v>
      </c>
      <c r="N487" s="38"/>
      <c r="O487" s="8"/>
      <c r="P487" s="4" t="str">
        <f>VLOOKUP($B487,'D7 - NDB Impacted SPRF''s'!$E$16:$O$9929,9,FALSE)</f>
        <v>Y</v>
      </c>
      <c r="Q487" s="4" t="str">
        <f>VLOOKUP($B487,'D7 - NDB Impacted SPRF''s'!$E$16:$O$9929,10,FALSE)</f>
        <v>N</v>
      </c>
      <c r="R487" s="4" t="str">
        <f>VLOOKUP($B487,'D7 - NDB Impacted SPRF''s'!$E$16:$O$9929,11,FALSE)</f>
        <v>N</v>
      </c>
      <c r="S487" s="8" t="s">
        <v>3758</v>
      </c>
      <c r="T487" s="310"/>
      <c r="U487" s="310"/>
      <c r="V487" s="4"/>
      <c r="W487" s="4"/>
      <c r="X487" s="4"/>
      <c r="Y487" s="4"/>
      <c r="Z487" s="4"/>
      <c r="AA487" s="4"/>
      <c r="AB487" s="380" t="str">
        <f>VLOOKUP($B487,'D7 - NDB Impacted SPRF''s'!$E$16:$O$9929,4,FALSE)</f>
        <v>Completed</v>
      </c>
      <c r="AC487" s="380" t="str">
        <f>VLOOKUP($B487,'D7 - NDB Impacted SPRF''s'!$E$16:$O$9929,3,FALSE)</f>
        <v>UnitedHealthcare Employer &amp; Individual</v>
      </c>
      <c r="AD487" s="380" t="str">
        <f>VLOOKUP($B487,'D7 - NDB Impacted SPRF''s'!$E$16:$O$9929,5,FALSE)</f>
        <v>Operations Group</v>
      </c>
      <c r="AE487" s="380" t="str">
        <f>VLOOKUP($B487,'D7 - NDB Impacted SPRF''s'!$E$16:$O$9929,7,FALSE)</f>
        <v>Tim Kaja</v>
      </c>
      <c r="AF487" s="380" t="str">
        <f>VLOOKUP($B487,'D7 - NDB Impacted SPRF''s'!$E$16:$O$9929,6,FALSE)</f>
        <v>WADLOW KAREN</v>
      </c>
      <c r="AG487" s="282" t="s">
        <v>6162</v>
      </c>
      <c r="AH487" s="311" t="e">
        <f>INDEX('D5 - Gatekeeper - Projects'!$A$4:$AF$1010,$AM487, 17)</f>
        <v>#N/A</v>
      </c>
      <c r="AI487" s="8"/>
      <c r="AJ487" s="57"/>
      <c r="AK487" s="105"/>
      <c r="AL487" s="216"/>
      <c r="AM487" s="6" t="e">
        <f>MATCH(D487,'D5 - Gatekeeper - Projects'!$C$4:$C$1010,0)</f>
        <v>#N/A</v>
      </c>
      <c r="AN487" s="6" t="b">
        <f t="shared" si="46"/>
        <v>1</v>
      </c>
      <c r="AO487" s="6" t="str">
        <f t="shared" si="49"/>
        <v>OK</v>
      </c>
      <c r="AP487" s="216"/>
      <c r="AQ487" s="6" t="e">
        <f>MATCH($D487,'D4 - Provider Council Unsched'!$C$11:$C$234,0)</f>
        <v>#N/A</v>
      </c>
      <c r="AR487" s="6" t="b">
        <f t="shared" si="47"/>
        <v>1</v>
      </c>
      <c r="AS487" s="6" t="str">
        <f t="shared" si="45"/>
        <v>OK</v>
      </c>
      <c r="AU487" s="202"/>
      <c r="AV487" s="262"/>
      <c r="AW487" s="274"/>
    </row>
    <row r="488" spans="1:49" s="13" customFormat="1" ht="33.75" x14ac:dyDescent="0.2">
      <c r="A488" s="14">
        <v>464</v>
      </c>
      <c r="B488" s="14">
        <v>400003085</v>
      </c>
      <c r="C488" s="8" t="s">
        <v>5197</v>
      </c>
      <c r="D488" s="4" t="str">
        <f t="shared" si="48"/>
        <v>400003085R1</v>
      </c>
      <c r="E488" s="309" t="str">
        <f>VLOOKUP($B488,'D7 - NDB Impacted SPRF''s'!$E$6:$O$9929,2,FALSE)</f>
        <v>UNET Modifier Pricing</v>
      </c>
      <c r="F488" s="8" t="s">
        <v>6633</v>
      </c>
      <c r="G488" s="8" t="s">
        <v>4758</v>
      </c>
      <c r="H488" s="8" t="s">
        <v>4246</v>
      </c>
      <c r="I488" s="20">
        <v>8.24</v>
      </c>
      <c r="J488" s="8" t="s">
        <v>7114</v>
      </c>
      <c r="K488" s="182">
        <v>38885</v>
      </c>
      <c r="L488" s="8" t="s">
        <v>6919</v>
      </c>
      <c r="M488" s="8" t="s">
        <v>2814</v>
      </c>
      <c r="N488" s="38" t="s">
        <v>5531</v>
      </c>
      <c r="O488" s="8"/>
      <c r="P488" s="4" t="str">
        <f>VLOOKUP($B488,'D7 - NDB Impacted SPRF''s'!$E$16:$O$9929,9,FALSE)</f>
        <v>Y</v>
      </c>
      <c r="Q488" s="4" t="str">
        <f>VLOOKUP($B488,'D7 - NDB Impacted SPRF''s'!$E$16:$O$9929,10,FALSE)</f>
        <v>N</v>
      </c>
      <c r="R488" s="4" t="str">
        <f>VLOOKUP($B488,'D7 - NDB Impacted SPRF''s'!$E$16:$O$9929,11,FALSE)</f>
        <v>N</v>
      </c>
      <c r="S488" s="8" t="s">
        <v>3758</v>
      </c>
      <c r="T488" s="310"/>
      <c r="U488" s="310"/>
      <c r="V488" s="4"/>
      <c r="W488" s="4"/>
      <c r="X488" s="4"/>
      <c r="Y488" s="4"/>
      <c r="Z488" s="4"/>
      <c r="AA488" s="4"/>
      <c r="AB488" s="380" t="str">
        <f>VLOOKUP($B488,'D7 - NDB Impacted SPRF''s'!$E$16:$O$9929,4,FALSE)</f>
        <v>Completed</v>
      </c>
      <c r="AC488" s="380" t="str">
        <f>VLOOKUP($B488,'D7 - NDB Impacted SPRF''s'!$E$16:$O$9929,3,FALSE)</f>
        <v>UnitedHealthcare Employer &amp; Individual</v>
      </c>
      <c r="AD488" s="380" t="str">
        <f>VLOOKUP($B488,'D7 - NDB Impacted SPRF''s'!$E$16:$O$9929,5,FALSE)</f>
        <v>Operations Group</v>
      </c>
      <c r="AE488" s="380" t="str">
        <f>VLOOKUP($B488,'D7 - NDB Impacted SPRF''s'!$E$16:$O$9929,7,FALSE)</f>
        <v>Ed Novinski</v>
      </c>
      <c r="AF488" s="380" t="str">
        <f>VLOOKUP($B488,'D7 - NDB Impacted SPRF''s'!$E$16:$O$9929,6,FALSE)</f>
        <v>BRAHMBHATT LIBBY</v>
      </c>
      <c r="AG488" s="282" t="s">
        <v>6162</v>
      </c>
      <c r="AH488" s="311" t="e">
        <f>INDEX('D5 - Gatekeeper - Projects'!$A$4:$AF$1010,$AM488, 17)</f>
        <v>#N/A</v>
      </c>
      <c r="AI488" s="8"/>
      <c r="AJ488" s="57"/>
      <c r="AK488" s="105"/>
      <c r="AL488" s="216"/>
      <c r="AM488" s="6" t="e">
        <f>MATCH(D488,'D5 - Gatekeeper - Projects'!$C$4:$C$1010,0)</f>
        <v>#N/A</v>
      </c>
      <c r="AN488" s="6" t="b">
        <f t="shared" si="46"/>
        <v>1</v>
      </c>
      <c r="AO488" s="6" t="str">
        <f t="shared" si="49"/>
        <v>OK</v>
      </c>
      <c r="AP488" s="216"/>
      <c r="AQ488" s="6" t="e">
        <f>MATCH($D488,'D4 - Provider Council Unsched'!$C$11:$C$234,0)</f>
        <v>#N/A</v>
      </c>
      <c r="AR488" s="6" t="b">
        <f t="shared" si="47"/>
        <v>1</v>
      </c>
      <c r="AS488" s="6" t="str">
        <f t="shared" si="45"/>
        <v>OK</v>
      </c>
      <c r="AU488" s="202"/>
      <c r="AV488" s="262"/>
      <c r="AW488" s="274"/>
    </row>
    <row r="489" spans="1:49" s="13" customFormat="1" ht="33.75" x14ac:dyDescent="0.2">
      <c r="A489" s="14">
        <v>465</v>
      </c>
      <c r="B489" s="14">
        <v>400004211</v>
      </c>
      <c r="C489" s="8" t="s">
        <v>5197</v>
      </c>
      <c r="D489" s="4" t="str">
        <f t="shared" si="48"/>
        <v>400004211R1</v>
      </c>
      <c r="E489" s="309" t="str">
        <f>VLOOKUP($B489,'D7 - NDB Impacted SPRF''s'!$E$6:$O$9929,2,FALSE)</f>
        <v>DRG/APC Grouping/Pricing on Unet using HSS sftware</v>
      </c>
      <c r="F489" s="8" t="s">
        <v>7106</v>
      </c>
      <c r="G489" s="8" t="s">
        <v>4758</v>
      </c>
      <c r="H489" s="8" t="s">
        <v>4246</v>
      </c>
      <c r="I489" s="20">
        <v>4</v>
      </c>
      <c r="J489" s="8" t="s">
        <v>7114</v>
      </c>
      <c r="K489" s="182">
        <v>38885</v>
      </c>
      <c r="L489" s="8" t="s">
        <v>6919</v>
      </c>
      <c r="M489" s="8" t="s">
        <v>2814</v>
      </c>
      <c r="N489" s="65"/>
      <c r="O489" s="8"/>
      <c r="P489" s="4" t="str">
        <f>VLOOKUP($B489,'D7 - NDB Impacted SPRF''s'!$E$16:$O$9929,9,FALSE)</f>
        <v>Y</v>
      </c>
      <c r="Q489" s="4" t="str">
        <f>VLOOKUP($B489,'D7 - NDB Impacted SPRF''s'!$E$16:$O$9929,10,FALSE)</f>
        <v>N</v>
      </c>
      <c r="R489" s="4" t="str">
        <f>VLOOKUP($B489,'D7 - NDB Impacted SPRF''s'!$E$16:$O$9929,11,FALSE)</f>
        <v>N</v>
      </c>
      <c r="S489" s="8" t="s">
        <v>3758</v>
      </c>
      <c r="T489" s="310"/>
      <c r="U489" s="310"/>
      <c r="V489" s="4"/>
      <c r="W489" s="4"/>
      <c r="X489" s="4"/>
      <c r="Y489" s="4"/>
      <c r="Z489" s="4"/>
      <c r="AA489" s="4"/>
      <c r="AB489" s="380" t="str">
        <f>VLOOKUP($B489,'D7 - NDB Impacted SPRF''s'!$E$16:$O$9929,4,FALSE)</f>
        <v>Completed</v>
      </c>
      <c r="AC489" s="380" t="str">
        <f>VLOOKUP($B489,'D7 - NDB Impacted SPRF''s'!$E$16:$O$9929,3,FALSE)</f>
        <v>UnitedHealthcare Employer &amp; Individual</v>
      </c>
      <c r="AD489" s="380" t="str">
        <f>VLOOKUP($B489,'D7 - NDB Impacted SPRF''s'!$E$16:$O$9929,5,FALSE)</f>
        <v>Medical Cost Savings Programs</v>
      </c>
      <c r="AE489" s="380" t="str">
        <f>VLOOKUP($B489,'D7 - NDB Impacted SPRF''s'!$E$16:$O$9929,7,FALSE)</f>
        <v>Debi Streb</v>
      </c>
      <c r="AF489" s="380" t="str">
        <f>VLOOKUP($B489,'D7 - NDB Impacted SPRF''s'!$E$16:$O$9929,6,FALSE)</f>
        <v>Jennifer Steffens</v>
      </c>
      <c r="AG489" s="282" t="s">
        <v>6162</v>
      </c>
      <c r="AH489" s="311" t="e">
        <f>INDEX('D5 - Gatekeeper - Projects'!$A$4:$AF$1010,$AM489, 17)</f>
        <v>#N/A</v>
      </c>
      <c r="AI489" s="8"/>
      <c r="AJ489" s="57"/>
      <c r="AK489" s="105"/>
      <c r="AL489" s="216"/>
      <c r="AM489" s="6" t="e">
        <f>MATCH(D489,'D5 - Gatekeeper - Projects'!$C$4:$C$1010,0)</f>
        <v>#N/A</v>
      </c>
      <c r="AN489" s="6" t="b">
        <f t="shared" si="46"/>
        <v>1</v>
      </c>
      <c r="AO489" s="6" t="str">
        <f t="shared" si="49"/>
        <v>OK</v>
      </c>
      <c r="AP489" s="216"/>
      <c r="AQ489" s="6" t="e">
        <f>MATCH($D489,'D4 - Provider Council Unsched'!$C$11:$C$234,0)</f>
        <v>#N/A</v>
      </c>
      <c r="AR489" s="6" t="b">
        <f t="shared" si="47"/>
        <v>1</v>
      </c>
      <c r="AS489" s="6" t="str">
        <f t="shared" si="45"/>
        <v>OK</v>
      </c>
      <c r="AU489" s="202"/>
      <c r="AV489" s="262"/>
      <c r="AW489" s="274"/>
    </row>
    <row r="490" spans="1:49" s="13" customFormat="1" ht="33.75" x14ac:dyDescent="0.2">
      <c r="A490" s="14">
        <v>466</v>
      </c>
      <c r="B490" s="14">
        <v>400007616</v>
      </c>
      <c r="C490" s="8" t="s">
        <v>5197</v>
      </c>
      <c r="D490" s="4" t="str">
        <f t="shared" si="48"/>
        <v>400007616R1</v>
      </c>
      <c r="E490" s="309" t="str">
        <f>VLOOKUP($B490,'D7 - NDB Impacted SPRF''s'!$E$6:$O$9929,2,FALSE)</f>
        <v>Consolidated NDB Provider Extract</v>
      </c>
      <c r="F490" s="8" t="s">
        <v>3235</v>
      </c>
      <c r="G490" s="8" t="s">
        <v>4758</v>
      </c>
      <c r="H490" s="8" t="s">
        <v>4246</v>
      </c>
      <c r="I490" s="20">
        <v>5</v>
      </c>
      <c r="J490" s="8" t="s">
        <v>4862</v>
      </c>
      <c r="K490" s="182">
        <v>38885</v>
      </c>
      <c r="L490" s="8" t="s">
        <v>5743</v>
      </c>
      <c r="M490" s="8" t="s">
        <v>2814</v>
      </c>
      <c r="N490" s="38"/>
      <c r="O490" s="8"/>
      <c r="P490" s="4" t="str">
        <f>VLOOKUP($B490,'D7 - NDB Impacted SPRF''s'!$E$16:$O$9929,9,FALSE)</f>
        <v>N</v>
      </c>
      <c r="Q490" s="4" t="str">
        <f>VLOOKUP($B490,'D7 - NDB Impacted SPRF''s'!$E$16:$O$9929,10,FALSE)</f>
        <v>N</v>
      </c>
      <c r="R490" s="4" t="str">
        <f>VLOOKUP($B490,'D7 - NDB Impacted SPRF''s'!$E$16:$O$9929,11,FALSE)</f>
        <v>N</v>
      </c>
      <c r="S490" s="8" t="s">
        <v>3758</v>
      </c>
      <c r="T490" s="310"/>
      <c r="U490" s="310"/>
      <c r="V490" s="4"/>
      <c r="W490" s="4"/>
      <c r="X490" s="4"/>
      <c r="Y490" s="4"/>
      <c r="Z490" s="4"/>
      <c r="AA490" s="4"/>
      <c r="AB490" s="380" t="str">
        <f>VLOOKUP($B490,'D7 - NDB Impacted SPRF''s'!$E$16:$O$9929,4,FALSE)</f>
        <v>Completed</v>
      </c>
      <c r="AC490" s="380" t="str">
        <f>VLOOKUP($B490,'D7 - NDB Impacted SPRF''s'!$E$16:$O$9929,3,FALSE)</f>
        <v>UnitedHealthcare Employer &amp; Individual</v>
      </c>
      <c r="AD490" s="380" t="str">
        <f>VLOOKUP($B490,'D7 - NDB Impacted SPRF''s'!$E$16:$O$9929,5,FALSE)</f>
        <v>Operations Group</v>
      </c>
      <c r="AE490" s="380" t="str">
        <f>VLOOKUP($B490,'D7 - NDB Impacted SPRF''s'!$E$16:$O$9929,7,FALSE)</f>
        <v>Robert O Brooks</v>
      </c>
      <c r="AF490" s="380" t="str">
        <f>VLOOKUP($B490,'D7 - NDB Impacted SPRF''s'!$E$16:$O$9929,6,FALSE)</f>
        <v>ROBERT LEE</v>
      </c>
      <c r="AG490" s="282" t="s">
        <v>6682</v>
      </c>
      <c r="AH490" s="311" t="e">
        <f>INDEX('D5 - Gatekeeper - Projects'!$A$4:$AF$1010,$AM490, 17)</f>
        <v>#N/A</v>
      </c>
      <c r="AI490" s="8"/>
      <c r="AJ490" s="57"/>
      <c r="AK490" s="105"/>
      <c r="AL490" s="216"/>
      <c r="AM490" s="6" t="e">
        <f>MATCH(D490,'D5 - Gatekeeper - Projects'!$C$4:$C$1010,0)</f>
        <v>#N/A</v>
      </c>
      <c r="AN490" s="6" t="b">
        <f t="shared" si="46"/>
        <v>1</v>
      </c>
      <c r="AO490" s="6" t="str">
        <f t="shared" si="49"/>
        <v>OK</v>
      </c>
      <c r="AP490" s="216"/>
      <c r="AQ490" s="6" t="e">
        <f>MATCH($D490,'D4 - Provider Council Unsched'!$C$11:$C$234,0)</f>
        <v>#N/A</v>
      </c>
      <c r="AR490" s="6" t="b">
        <f t="shared" si="47"/>
        <v>1</v>
      </c>
      <c r="AS490" s="6" t="str">
        <f t="shared" si="45"/>
        <v>OK</v>
      </c>
      <c r="AU490" s="202"/>
      <c r="AV490" s="262"/>
      <c r="AW490" s="274"/>
    </row>
    <row r="491" spans="1:49" s="13" customFormat="1" ht="45" x14ac:dyDescent="0.2">
      <c r="A491" s="14">
        <v>467</v>
      </c>
      <c r="B491" s="14">
        <v>400007792</v>
      </c>
      <c r="C491" s="8" t="s">
        <v>5197</v>
      </c>
      <c r="D491" s="4" t="str">
        <f t="shared" si="48"/>
        <v>400007792R1</v>
      </c>
      <c r="E491" s="309" t="str">
        <f>VLOOKUP($B491,'D7 - NDB Impacted SPRF''s'!$E$6:$O$9929,2,FALSE)</f>
        <v>Fee Schedule ProTech ORATE Logic</v>
      </c>
      <c r="F491" s="8" t="s">
        <v>5196</v>
      </c>
      <c r="G491" s="8" t="s">
        <v>4758</v>
      </c>
      <c r="H491" s="8" t="s">
        <v>4246</v>
      </c>
      <c r="I491" s="20">
        <v>5.69</v>
      </c>
      <c r="J491" s="8" t="s">
        <v>4862</v>
      </c>
      <c r="K491" s="182">
        <v>38885</v>
      </c>
      <c r="L491" s="8" t="s">
        <v>5743</v>
      </c>
      <c r="M491" s="8" t="s">
        <v>2814</v>
      </c>
      <c r="N491" s="38" t="s">
        <v>8153</v>
      </c>
      <c r="O491" s="8"/>
      <c r="P491" s="4" t="str">
        <f>VLOOKUP($B491,'D7 - NDB Impacted SPRF''s'!$E$16:$O$9929,9,FALSE)</f>
        <v>Y</v>
      </c>
      <c r="Q491" s="4" t="str">
        <f>VLOOKUP($B491,'D7 - NDB Impacted SPRF''s'!$E$16:$O$9929,10,FALSE)</f>
        <v>N</v>
      </c>
      <c r="R491" s="4" t="str">
        <f>VLOOKUP($B491,'D7 - NDB Impacted SPRF''s'!$E$16:$O$9929,11,FALSE)</f>
        <v>N</v>
      </c>
      <c r="S491" s="8" t="s">
        <v>3758</v>
      </c>
      <c r="T491" s="310"/>
      <c r="U491" s="310"/>
      <c r="V491" s="4"/>
      <c r="W491" s="4"/>
      <c r="X491" s="4"/>
      <c r="Y491" s="4"/>
      <c r="Z491" s="4"/>
      <c r="AA491" s="4"/>
      <c r="AB491" s="380" t="str">
        <f>VLOOKUP($B491,'D7 - NDB Impacted SPRF''s'!$E$16:$O$9929,4,FALSE)</f>
        <v>Completed</v>
      </c>
      <c r="AC491" s="380" t="str">
        <f>VLOOKUP($B491,'D7 - NDB Impacted SPRF''s'!$E$16:$O$9929,3,FALSE)</f>
        <v>Alliance</v>
      </c>
      <c r="AD491" s="380" t="str">
        <f>VLOOKUP($B491,'D7 - NDB Impacted SPRF''s'!$E$16:$O$9929,5,FALSE)</f>
        <v>Healthcare Service Alliance</v>
      </c>
      <c r="AE491" s="380" t="str">
        <f>VLOOKUP($B491,'D7 - NDB Impacted SPRF''s'!$E$16:$O$9929,7,FALSE)</f>
        <v>Peter Bompane</v>
      </c>
      <c r="AF491" s="380" t="str">
        <f>VLOOKUP($B491,'D7 - NDB Impacted SPRF''s'!$E$16:$O$9929,6,FALSE)</f>
        <v>SEAN WATKINS</v>
      </c>
      <c r="AG491" s="282" t="s">
        <v>7755</v>
      </c>
      <c r="AH491" s="311" t="e">
        <f>INDEX('D5 - Gatekeeper - Projects'!$A$4:$AF$1010,$AM491, 17)</f>
        <v>#N/A</v>
      </c>
      <c r="AI491" s="8"/>
      <c r="AJ491" s="57"/>
      <c r="AK491" s="105"/>
      <c r="AL491" s="216"/>
      <c r="AM491" s="6" t="e">
        <f>MATCH(D491,'D5 - Gatekeeper - Projects'!$C$4:$C$1010,0)</f>
        <v>#N/A</v>
      </c>
      <c r="AN491" s="6" t="b">
        <f t="shared" si="46"/>
        <v>1</v>
      </c>
      <c r="AO491" s="6" t="str">
        <f t="shared" si="49"/>
        <v>OK</v>
      </c>
      <c r="AP491" s="216"/>
      <c r="AQ491" s="6" t="e">
        <f>MATCH($D491,'D4 - Provider Council Unsched'!$C$11:$C$234,0)</f>
        <v>#N/A</v>
      </c>
      <c r="AR491" s="6" t="b">
        <f t="shared" si="47"/>
        <v>1</v>
      </c>
      <c r="AS491" s="6" t="str">
        <f t="shared" si="45"/>
        <v>OK</v>
      </c>
      <c r="AU491" s="202"/>
      <c r="AV491" s="262"/>
      <c r="AW491" s="274"/>
    </row>
    <row r="492" spans="1:49" s="13" customFormat="1" ht="33.75" x14ac:dyDescent="0.2">
      <c r="A492" s="14">
        <v>468</v>
      </c>
      <c r="B492" s="14">
        <v>400007821</v>
      </c>
      <c r="C492" s="8" t="s">
        <v>5197</v>
      </c>
      <c r="D492" s="4" t="str">
        <f t="shared" si="48"/>
        <v>400007821R1</v>
      </c>
      <c r="E492" s="309" t="str">
        <f>VLOOKUP($B492,'D7 - NDB Impacted SPRF''s'!$E$6:$O$9929,2,FALSE)</f>
        <v>diCarta v6.0 Upgrade Infrastructure Enhancements</v>
      </c>
      <c r="F492" s="8" t="s">
        <v>4695</v>
      </c>
      <c r="G492" s="8" t="s">
        <v>4758</v>
      </c>
      <c r="H492" s="8" t="s">
        <v>4246</v>
      </c>
      <c r="I492" s="20">
        <v>1.82</v>
      </c>
      <c r="J492" s="8" t="s">
        <v>7114</v>
      </c>
      <c r="K492" s="182">
        <v>38885</v>
      </c>
      <c r="L492" s="8" t="s">
        <v>6919</v>
      </c>
      <c r="M492" s="8" t="s">
        <v>2814</v>
      </c>
      <c r="N492" s="38" t="s">
        <v>3692</v>
      </c>
      <c r="O492" s="8"/>
      <c r="P492" s="4" t="str">
        <f>VLOOKUP($B492,'D7 - NDB Impacted SPRF''s'!$E$16:$O$9929,9,FALSE)</f>
        <v>N</v>
      </c>
      <c r="Q492" s="4" t="str">
        <f>VLOOKUP($B492,'D7 - NDB Impacted SPRF''s'!$E$16:$O$9929,10,FALSE)</f>
        <v>N</v>
      </c>
      <c r="R492" s="4" t="str">
        <f>VLOOKUP($B492,'D7 - NDB Impacted SPRF''s'!$E$16:$O$9929,11,FALSE)</f>
        <v>N</v>
      </c>
      <c r="S492" s="8" t="s">
        <v>3758</v>
      </c>
      <c r="T492" s="310"/>
      <c r="U492" s="310"/>
      <c r="V492" s="4"/>
      <c r="W492" s="4"/>
      <c r="X492" s="4"/>
      <c r="Y492" s="4"/>
      <c r="Z492" s="4"/>
      <c r="AA492" s="4"/>
      <c r="AB492" s="380" t="str">
        <f>VLOOKUP($B492,'D7 - NDB Impacted SPRF''s'!$E$16:$O$9929,4,FALSE)</f>
        <v>Completed</v>
      </c>
      <c r="AC492" s="380" t="str">
        <f>VLOOKUP($B492,'D7 - NDB Impacted SPRF''s'!$E$16:$O$9929,3,FALSE)</f>
        <v>UnitedHealthcare Employer &amp; Individual</v>
      </c>
      <c r="AD492" s="380" t="str">
        <f>VLOOKUP($B492,'D7 - NDB Impacted SPRF''s'!$E$16:$O$9929,5,FALSE)</f>
        <v>Key Initiatives Group</v>
      </c>
      <c r="AE492" s="380" t="str">
        <f>VLOOKUP($B492,'D7 - NDB Impacted SPRF''s'!$E$16:$O$9929,7,FALSE)</f>
        <v>Peter Bompane</v>
      </c>
      <c r="AF492" s="380" t="str">
        <f>VLOOKUP($B492,'D7 - NDB Impacted SPRF''s'!$E$16:$O$9929,6,FALSE)</f>
        <v>JOSHUA WOODRUM</v>
      </c>
      <c r="AG492" s="282" t="s">
        <v>5094</v>
      </c>
      <c r="AH492" s="311" t="e">
        <f>INDEX('D5 - Gatekeeper - Projects'!$A$4:$AF$1010,$AM492, 17)</f>
        <v>#N/A</v>
      </c>
      <c r="AI492" s="8"/>
      <c r="AJ492" s="57"/>
      <c r="AK492" s="105"/>
      <c r="AL492" s="216"/>
      <c r="AM492" s="6" t="e">
        <f>MATCH(D492,'D5 - Gatekeeper - Projects'!$C$4:$C$1010,0)</f>
        <v>#N/A</v>
      </c>
      <c r="AN492" s="6" t="b">
        <f t="shared" si="46"/>
        <v>1</v>
      </c>
      <c r="AO492" s="6" t="str">
        <f t="shared" si="49"/>
        <v>OK</v>
      </c>
      <c r="AP492" s="216"/>
      <c r="AQ492" s="6" t="e">
        <f>MATCH($D492,'D4 - Provider Council Unsched'!$C$11:$C$234,0)</f>
        <v>#N/A</v>
      </c>
      <c r="AR492" s="6" t="b">
        <f t="shared" si="47"/>
        <v>1</v>
      </c>
      <c r="AS492" s="6" t="str">
        <f t="shared" ref="AS492:AS555" si="50">IF(AND(H492="2 - Not Scheduled",AR492=TRUE),"Add","OK")</f>
        <v>OK</v>
      </c>
      <c r="AU492" s="202"/>
      <c r="AV492" s="262"/>
      <c r="AW492" s="274"/>
    </row>
    <row r="493" spans="1:49" s="13" customFormat="1" ht="33.75" x14ac:dyDescent="0.2">
      <c r="A493" s="14">
        <v>469</v>
      </c>
      <c r="B493" s="14">
        <v>400007935</v>
      </c>
      <c r="C493" s="8" t="s">
        <v>3763</v>
      </c>
      <c r="D493" s="4" t="str">
        <f t="shared" si="48"/>
        <v>400007935R2</v>
      </c>
      <c r="E493" s="309" t="str">
        <f>VLOOKUP($B493,'D7 - NDB Impacted SPRF''s'!$E$6:$O$9929,2,FALSE)</f>
        <v>Claims Repricing - Release 5, Two-Way Repricing</v>
      </c>
      <c r="F493" s="8" t="s">
        <v>4304</v>
      </c>
      <c r="G493" s="8" t="s">
        <v>4758</v>
      </c>
      <c r="H493" s="8" t="s">
        <v>4246</v>
      </c>
      <c r="I493" s="20">
        <v>8.5</v>
      </c>
      <c r="J493" s="8" t="s">
        <v>4862</v>
      </c>
      <c r="K493" s="182">
        <v>38885</v>
      </c>
      <c r="L493" s="8" t="s">
        <v>6919</v>
      </c>
      <c r="M493" s="8" t="s">
        <v>2814</v>
      </c>
      <c r="N493" s="367" t="s">
        <v>3955</v>
      </c>
      <c r="O493" s="8"/>
      <c r="P493" s="4" t="str">
        <f>VLOOKUP($B493,'D7 - NDB Impacted SPRF''s'!$E$16:$O$9929,9,FALSE)</f>
        <v>Y</v>
      </c>
      <c r="Q493" s="4" t="str">
        <f>VLOOKUP($B493,'D7 - NDB Impacted SPRF''s'!$E$16:$O$9929,10,FALSE)</f>
        <v>N</v>
      </c>
      <c r="R493" s="4" t="str">
        <f>VLOOKUP($B493,'D7 - NDB Impacted SPRF''s'!$E$16:$O$9929,11,FALSE)</f>
        <v>N</v>
      </c>
      <c r="S493" s="8" t="s">
        <v>3758</v>
      </c>
      <c r="T493" s="310"/>
      <c r="U493" s="310"/>
      <c r="V493" s="4"/>
      <c r="W493" s="4"/>
      <c r="X493" s="4"/>
      <c r="Y493" s="4"/>
      <c r="Z493" s="4"/>
      <c r="AA493" s="4"/>
      <c r="AB493" s="380" t="str">
        <f>VLOOKUP($B493,'D7 - NDB Impacted SPRF''s'!$E$16:$O$9929,4,FALSE)</f>
        <v>Completed</v>
      </c>
      <c r="AC493" s="380" t="str">
        <f>VLOOKUP($B493,'D7 - NDB Impacted SPRF''s'!$E$16:$O$9929,3,FALSE)</f>
        <v>UnitedHealthcare Employer &amp; Individual</v>
      </c>
      <c r="AD493" s="380" t="str">
        <f>VLOOKUP($B493,'D7 - NDB Impacted SPRF''s'!$E$16:$O$9929,5,FALSE)</f>
        <v>Medical Cost Savings Programs</v>
      </c>
      <c r="AE493" s="380" t="str">
        <f>VLOOKUP($B493,'D7 - NDB Impacted SPRF''s'!$E$16:$O$9929,7,FALSE)</f>
        <v>Mike Mikan, Dirk McMahon</v>
      </c>
      <c r="AF493" s="380" t="str">
        <f>VLOOKUP($B493,'D7 - NDB Impacted SPRF''s'!$E$16:$O$9929,6,FALSE)</f>
        <v>Matthew E Johnson</v>
      </c>
      <c r="AG493" s="282" t="s">
        <v>6162</v>
      </c>
      <c r="AH493" s="311" t="e">
        <f>INDEX('D5 - Gatekeeper - Projects'!$A$4:$AF$1010,$AM493, 17)</f>
        <v>#N/A</v>
      </c>
      <c r="AI493" s="8"/>
      <c r="AJ493" s="57"/>
      <c r="AK493" s="105"/>
      <c r="AL493" s="216"/>
      <c r="AM493" s="6" t="e">
        <f>MATCH(D493,'D5 - Gatekeeper - Projects'!$C$4:$C$1010,0)</f>
        <v>#N/A</v>
      </c>
      <c r="AN493" s="6" t="b">
        <f t="shared" si="46"/>
        <v>1</v>
      </c>
      <c r="AO493" s="6" t="str">
        <f t="shared" si="49"/>
        <v>OK</v>
      </c>
      <c r="AP493" s="216"/>
      <c r="AQ493" s="6" t="e">
        <f>MATCH($D493,'D4 - Provider Council Unsched'!$C$11:$C$234,0)</f>
        <v>#N/A</v>
      </c>
      <c r="AR493" s="6" t="b">
        <f t="shared" si="47"/>
        <v>1</v>
      </c>
      <c r="AS493" s="6" t="str">
        <f t="shared" si="50"/>
        <v>OK</v>
      </c>
      <c r="AU493" s="202"/>
      <c r="AV493" s="262"/>
      <c r="AW493" s="274"/>
    </row>
    <row r="494" spans="1:49" s="13" customFormat="1" ht="22.5" x14ac:dyDescent="0.2">
      <c r="A494" s="14">
        <v>470</v>
      </c>
      <c r="B494" s="14">
        <v>400007971</v>
      </c>
      <c r="C494" s="8" t="s">
        <v>2449</v>
      </c>
      <c r="D494" s="4" t="str">
        <f t="shared" si="48"/>
        <v>400007971R3</v>
      </c>
      <c r="E494" s="309" t="str">
        <f>VLOOKUP($B494,'D7 - NDB Impacted SPRF''s'!$E$6:$O$9929,2,FALSE)</f>
        <v>DTRs for UT Applications</v>
      </c>
      <c r="F494" s="8" t="s">
        <v>8133</v>
      </c>
      <c r="G494" s="8" t="s">
        <v>4758</v>
      </c>
      <c r="H494" s="8" t="s">
        <v>4246</v>
      </c>
      <c r="I494" s="20">
        <v>2</v>
      </c>
      <c r="J494" s="8" t="s">
        <v>4862</v>
      </c>
      <c r="K494" s="182">
        <v>38885</v>
      </c>
      <c r="L494" s="8" t="s">
        <v>5743</v>
      </c>
      <c r="M494" s="8" t="s">
        <v>2814</v>
      </c>
      <c r="N494" s="367"/>
      <c r="O494" s="8"/>
      <c r="P494" s="4" t="str">
        <f>VLOOKUP($B494,'D7 - NDB Impacted SPRF''s'!$E$16:$O$9929,9,FALSE)</f>
        <v>Y</v>
      </c>
      <c r="Q494" s="4" t="str">
        <f>VLOOKUP($B494,'D7 - NDB Impacted SPRF''s'!$E$16:$O$9929,10,FALSE)</f>
        <v>N</v>
      </c>
      <c r="R494" s="4" t="str">
        <f>VLOOKUP($B494,'D7 - NDB Impacted SPRF''s'!$E$16:$O$9929,11,FALSE)</f>
        <v>N</v>
      </c>
      <c r="S494" s="8" t="s">
        <v>3758</v>
      </c>
      <c r="T494" s="310"/>
      <c r="U494" s="310"/>
      <c r="V494" s="4"/>
      <c r="W494" s="4"/>
      <c r="X494" s="4"/>
      <c r="Y494" s="4"/>
      <c r="Z494" s="4"/>
      <c r="AA494" s="4"/>
      <c r="AB494" s="380" t="str">
        <f>VLOOKUP($B494,'D7 - NDB Impacted SPRF''s'!$E$16:$O$9929,4,FALSE)</f>
        <v>Completed</v>
      </c>
      <c r="AC494" s="380" t="str">
        <f>VLOOKUP($B494,'D7 - NDB Impacted SPRF''s'!$E$16:$O$9929,3,FALSE)</f>
        <v>Uniprise</v>
      </c>
      <c r="AD494" s="380" t="str">
        <f>VLOOKUP($B494,'D7 - NDB Impacted SPRF''s'!$E$16:$O$9929,5,FALSE)</f>
        <v>Uniprise Technologies - Capital Projects</v>
      </c>
      <c r="AE494" s="380" t="str">
        <f>VLOOKUP($B494,'D7 - NDB Impacted SPRF''s'!$E$16:$O$9929,7,FALSE)</f>
        <v>Steven Penn</v>
      </c>
      <c r="AF494" s="380" t="str">
        <f>VLOOKUP($B494,'D7 - NDB Impacted SPRF''s'!$E$16:$O$9929,6,FALSE)</f>
        <v>Jeffrey Jablonski</v>
      </c>
      <c r="AG494" s="282"/>
      <c r="AH494" s="311" t="e">
        <f>INDEX('D5 - Gatekeeper - Projects'!$A$4:$AF$1010,$AM494, 17)</f>
        <v>#N/A</v>
      </c>
      <c r="AI494" s="8"/>
      <c r="AJ494" s="57"/>
      <c r="AK494" s="105"/>
      <c r="AL494" s="216"/>
      <c r="AM494" s="6" t="e">
        <f>MATCH(D494,'D5 - Gatekeeper - Projects'!$C$4:$C$1010,0)</f>
        <v>#N/A</v>
      </c>
      <c r="AN494" s="6" t="b">
        <f t="shared" si="46"/>
        <v>1</v>
      </c>
      <c r="AO494" s="6" t="str">
        <f t="shared" si="49"/>
        <v>OK</v>
      </c>
      <c r="AP494" s="216"/>
      <c r="AQ494" s="6" t="e">
        <f>MATCH($D494,'D4 - Provider Council Unsched'!$C$11:$C$234,0)</f>
        <v>#N/A</v>
      </c>
      <c r="AR494" s="6" t="b">
        <f t="shared" si="47"/>
        <v>1</v>
      </c>
      <c r="AS494" s="6" t="str">
        <f t="shared" si="50"/>
        <v>OK</v>
      </c>
      <c r="AU494" s="202"/>
      <c r="AV494" s="262"/>
      <c r="AW494" s="274"/>
    </row>
    <row r="495" spans="1:49" s="13" customFormat="1" ht="22.5" x14ac:dyDescent="0.2">
      <c r="A495" s="14">
        <v>471</v>
      </c>
      <c r="B495" s="14">
        <v>400008046</v>
      </c>
      <c r="C495" s="8" t="s">
        <v>5197</v>
      </c>
      <c r="D495" s="4" t="str">
        <f t="shared" si="48"/>
        <v>400008046R1</v>
      </c>
      <c r="E495" s="309" t="str">
        <f>VLOOKUP($B495,'D7 - NDB Impacted SPRF''s'!$E$6:$O$9929,2,FALSE)</f>
        <v>PPII - Security - Full Conversion - R.3</v>
      </c>
      <c r="F495" s="8" t="s">
        <v>5635</v>
      </c>
      <c r="G495" s="8" t="s">
        <v>4758</v>
      </c>
      <c r="H495" s="8" t="s">
        <v>4246</v>
      </c>
      <c r="I495" s="20">
        <v>9.4700000000000006</v>
      </c>
      <c r="J495" s="8" t="s">
        <v>7114</v>
      </c>
      <c r="K495" s="182">
        <v>38885</v>
      </c>
      <c r="L495" s="8" t="s">
        <v>6919</v>
      </c>
      <c r="M495" s="8" t="s">
        <v>2814</v>
      </c>
      <c r="N495" s="38" t="s">
        <v>4989</v>
      </c>
      <c r="O495" s="8"/>
      <c r="P495" s="4" t="str">
        <f>VLOOKUP($B495,'D7 - NDB Impacted SPRF''s'!$E$16:$O$9929,9,FALSE)</f>
        <v>N</v>
      </c>
      <c r="Q495" s="4" t="str">
        <f>VLOOKUP($B495,'D7 - NDB Impacted SPRF''s'!$E$16:$O$9929,10,FALSE)</f>
        <v>N</v>
      </c>
      <c r="R495" s="4" t="str">
        <f>VLOOKUP($B495,'D7 - NDB Impacted SPRF''s'!$E$16:$O$9929,11,FALSE)</f>
        <v>N</v>
      </c>
      <c r="S495" s="8" t="s">
        <v>3758</v>
      </c>
      <c r="T495" s="310"/>
      <c r="U495" s="310"/>
      <c r="V495" s="4"/>
      <c r="W495" s="4"/>
      <c r="X495" s="4"/>
      <c r="Y495" s="4"/>
      <c r="Z495" s="4"/>
      <c r="AA495" s="4"/>
      <c r="AB495" s="380" t="str">
        <f>VLOOKUP($B495,'D7 - NDB Impacted SPRF''s'!$E$16:$O$9929,4,FALSE)</f>
        <v>Completed</v>
      </c>
      <c r="AC495" s="380" t="str">
        <f>VLOOKUP($B495,'D7 - NDB Impacted SPRF''s'!$E$16:$O$9929,3,FALSE)</f>
        <v>Uniprise</v>
      </c>
      <c r="AD495" s="380" t="str">
        <f>VLOOKUP($B495,'D7 - NDB Impacted SPRF''s'!$E$16:$O$9929,5,FALSE)</f>
        <v>Group Services - Capital Projects</v>
      </c>
      <c r="AE495" s="380" t="str">
        <f>VLOOKUP($B495,'D7 - NDB Impacted SPRF''s'!$E$16:$O$9929,7,FALSE)</f>
        <v>Steve Auerbach</v>
      </c>
      <c r="AF495" s="380" t="str">
        <f>VLOOKUP($B495,'D7 - NDB Impacted SPRF''s'!$E$16:$O$9929,6,FALSE)</f>
        <v>AMELIA HINRICHS</v>
      </c>
      <c r="AG495" s="282" t="s">
        <v>7755</v>
      </c>
      <c r="AH495" s="311" t="e">
        <f>INDEX('D5 - Gatekeeper - Projects'!$A$4:$AF$1010,$AM495, 17)</f>
        <v>#N/A</v>
      </c>
      <c r="AI495" s="8"/>
      <c r="AJ495" s="57"/>
      <c r="AK495" s="105"/>
      <c r="AL495" s="216"/>
      <c r="AM495" s="6" t="e">
        <f>MATCH(D495,'D5 - Gatekeeper - Projects'!$C$4:$C$1010,0)</f>
        <v>#N/A</v>
      </c>
      <c r="AN495" s="6" t="b">
        <f t="shared" si="46"/>
        <v>1</v>
      </c>
      <c r="AO495" s="6" t="str">
        <f t="shared" si="49"/>
        <v>OK</v>
      </c>
      <c r="AP495" s="216"/>
      <c r="AQ495" s="6" t="e">
        <f>MATCH($D495,'D4 - Provider Council Unsched'!$C$11:$C$234,0)</f>
        <v>#N/A</v>
      </c>
      <c r="AR495" s="6" t="b">
        <f t="shared" si="47"/>
        <v>1</v>
      </c>
      <c r="AS495" s="6" t="str">
        <f t="shared" si="50"/>
        <v>OK</v>
      </c>
      <c r="AU495" s="202"/>
      <c r="AV495" s="262"/>
      <c r="AW495" s="274"/>
    </row>
    <row r="496" spans="1:49" s="13" customFormat="1" ht="33.75" x14ac:dyDescent="0.2">
      <c r="A496" s="14">
        <v>472</v>
      </c>
      <c r="B496" s="14">
        <v>400008054</v>
      </c>
      <c r="C496" s="8" t="s">
        <v>5197</v>
      </c>
      <c r="D496" s="4" t="str">
        <f t="shared" si="48"/>
        <v>400008054R1</v>
      </c>
      <c r="E496" s="309" t="str">
        <f>VLOOKUP($B496,'D7 - NDB Impacted SPRF''s'!$E$6:$O$9929,2,FALSE)</f>
        <v>Queue Consolidation and Management</v>
      </c>
      <c r="F496" s="8" t="s">
        <v>4961</v>
      </c>
      <c r="G496" s="8" t="s">
        <v>4758</v>
      </c>
      <c r="H496" s="8" t="s">
        <v>4246</v>
      </c>
      <c r="I496" s="20">
        <v>37.31</v>
      </c>
      <c r="J496" s="8" t="s">
        <v>4862</v>
      </c>
      <c r="K496" s="182">
        <v>38885</v>
      </c>
      <c r="L496" s="8" t="s">
        <v>5743</v>
      </c>
      <c r="M496" s="8" t="s">
        <v>2814</v>
      </c>
      <c r="N496" s="38" t="s">
        <v>4219</v>
      </c>
      <c r="O496" s="8"/>
      <c r="P496" s="4" t="str">
        <f>VLOOKUP($B496,'D7 - NDB Impacted SPRF''s'!$E$16:$O$9929,9,FALSE)</f>
        <v>Y</v>
      </c>
      <c r="Q496" s="4" t="str">
        <f>VLOOKUP($B496,'D7 - NDB Impacted SPRF''s'!$E$16:$O$9929,10,FALSE)</f>
        <v>N</v>
      </c>
      <c r="R496" s="4" t="str">
        <f>VLOOKUP($B496,'D7 - NDB Impacted SPRF''s'!$E$16:$O$9929,11,FALSE)</f>
        <v>Y</v>
      </c>
      <c r="S496" s="8" t="s">
        <v>3758</v>
      </c>
      <c r="T496" s="310"/>
      <c r="U496" s="310"/>
      <c r="V496" s="4"/>
      <c r="W496" s="4"/>
      <c r="X496" s="4"/>
      <c r="Y496" s="4"/>
      <c r="Z496" s="4"/>
      <c r="AA496" s="4"/>
      <c r="AB496" s="380" t="str">
        <f>VLOOKUP($B496,'D7 - NDB Impacted SPRF''s'!$E$16:$O$9929,4,FALSE)</f>
        <v>Completed</v>
      </c>
      <c r="AC496" s="380" t="str">
        <f>VLOOKUP($B496,'D7 - NDB Impacted SPRF''s'!$E$16:$O$9929,3,FALSE)</f>
        <v>UnitedHealthcare Employer &amp; Individual</v>
      </c>
      <c r="AD496" s="380" t="str">
        <f>VLOOKUP($B496,'D7 - NDB Impacted SPRF''s'!$E$16:$O$9929,5,FALSE)</f>
        <v>Network Growth / Enhancements</v>
      </c>
      <c r="AE496" s="380" t="str">
        <f>VLOOKUP($B496,'D7 - NDB Impacted SPRF''s'!$E$16:$O$9929,7,FALSE)</f>
        <v>Peter Bompane</v>
      </c>
      <c r="AF496" s="380" t="str">
        <f>VLOOKUP($B496,'D7 - NDB Impacted SPRF''s'!$E$16:$O$9929,6,FALSE)</f>
        <v>ELIZABETH Young</v>
      </c>
      <c r="AG496" s="282" t="s">
        <v>6682</v>
      </c>
      <c r="AH496" s="311" t="e">
        <f>INDEX('D5 - Gatekeeper - Projects'!$A$4:$AF$1010,$AM496, 17)</f>
        <v>#N/A</v>
      </c>
      <c r="AI496" s="8"/>
      <c r="AJ496" s="57"/>
      <c r="AK496" s="105"/>
      <c r="AL496" s="216"/>
      <c r="AM496" s="6" t="e">
        <f>MATCH(D496,'D5 - Gatekeeper - Projects'!$C$4:$C$1010,0)</f>
        <v>#N/A</v>
      </c>
      <c r="AN496" s="6" t="b">
        <f t="shared" si="46"/>
        <v>1</v>
      </c>
      <c r="AO496" s="6" t="str">
        <f t="shared" si="49"/>
        <v>OK</v>
      </c>
      <c r="AP496" s="216"/>
      <c r="AQ496" s="6" t="e">
        <f>MATCH($D496,'D4 - Provider Council Unsched'!$C$11:$C$234,0)</f>
        <v>#N/A</v>
      </c>
      <c r="AR496" s="6" t="b">
        <f t="shared" si="47"/>
        <v>1</v>
      </c>
      <c r="AS496" s="6" t="str">
        <f t="shared" si="50"/>
        <v>OK</v>
      </c>
      <c r="AU496" s="202"/>
      <c r="AV496" s="262"/>
      <c r="AW496" s="274"/>
    </row>
    <row r="497" spans="1:49" s="13" customFormat="1" ht="33.75" x14ac:dyDescent="0.2">
      <c r="A497" s="14">
        <v>473</v>
      </c>
      <c r="B497" s="14">
        <v>400008054</v>
      </c>
      <c r="C497" s="8" t="s">
        <v>1992</v>
      </c>
      <c r="D497" s="4" t="str">
        <f t="shared" si="48"/>
        <v>400008054U1</v>
      </c>
      <c r="E497" s="309" t="str">
        <f>VLOOKUP($B497,'D7 - NDB Impacted SPRF''s'!$E$6:$O$9929,2,FALSE)</f>
        <v>Queue Consolidation and Management</v>
      </c>
      <c r="F497" s="8" t="s">
        <v>4961</v>
      </c>
      <c r="G497" s="8" t="s">
        <v>4758</v>
      </c>
      <c r="H497" s="8" t="s">
        <v>4246</v>
      </c>
      <c r="I497" s="20">
        <v>0.52</v>
      </c>
      <c r="J497" s="8" t="s">
        <v>4862</v>
      </c>
      <c r="K497" s="182">
        <v>38885</v>
      </c>
      <c r="L497" s="8" t="s">
        <v>5743</v>
      </c>
      <c r="M497" s="8" t="s">
        <v>2814</v>
      </c>
      <c r="N497" s="38" t="s">
        <v>4219</v>
      </c>
      <c r="O497" s="8"/>
      <c r="P497" s="4" t="str">
        <f>VLOOKUP($B497,'D7 - NDB Impacted SPRF''s'!$E$16:$O$9929,9,FALSE)</f>
        <v>Y</v>
      </c>
      <c r="Q497" s="4" t="str">
        <f>VLOOKUP($B497,'D7 - NDB Impacted SPRF''s'!$E$16:$O$9929,10,FALSE)</f>
        <v>N</v>
      </c>
      <c r="R497" s="4" t="str">
        <f>VLOOKUP($B497,'D7 - NDB Impacted SPRF''s'!$E$16:$O$9929,11,FALSE)</f>
        <v>Y</v>
      </c>
      <c r="S497" s="8" t="s">
        <v>3758</v>
      </c>
      <c r="T497" s="310"/>
      <c r="U497" s="310"/>
      <c r="V497" s="4"/>
      <c r="W497" s="4"/>
      <c r="X497" s="4"/>
      <c r="Y497" s="4"/>
      <c r="Z497" s="4"/>
      <c r="AA497" s="4"/>
      <c r="AB497" s="380" t="str">
        <f>VLOOKUP($B497,'D7 - NDB Impacted SPRF''s'!$E$16:$O$9929,4,FALSE)</f>
        <v>Completed</v>
      </c>
      <c r="AC497" s="380" t="str">
        <f>VLOOKUP($B497,'D7 - NDB Impacted SPRF''s'!$E$16:$O$9929,3,FALSE)</f>
        <v>UnitedHealthcare Employer &amp; Individual</v>
      </c>
      <c r="AD497" s="380" t="str">
        <f>VLOOKUP($B497,'D7 - NDB Impacted SPRF''s'!$E$16:$O$9929,5,FALSE)</f>
        <v>Network Growth / Enhancements</v>
      </c>
      <c r="AE497" s="380" t="str">
        <f>VLOOKUP($B497,'D7 - NDB Impacted SPRF''s'!$E$16:$O$9929,7,FALSE)</f>
        <v>Peter Bompane</v>
      </c>
      <c r="AF497" s="380" t="str">
        <f>VLOOKUP($B497,'D7 - NDB Impacted SPRF''s'!$E$16:$O$9929,6,FALSE)</f>
        <v>ELIZABETH Young</v>
      </c>
      <c r="AG497" s="282"/>
      <c r="AH497" s="311" t="e">
        <f>INDEX('D5 - Gatekeeper - Projects'!$A$4:$AF$1010,$AM497, 17)</f>
        <v>#N/A</v>
      </c>
      <c r="AI497" s="8"/>
      <c r="AJ497" s="57"/>
      <c r="AK497" s="105"/>
      <c r="AL497" s="216"/>
      <c r="AM497" s="6" t="e">
        <f>MATCH(D497,'D5 - Gatekeeper - Projects'!$C$4:$C$1010,0)</f>
        <v>#N/A</v>
      </c>
      <c r="AN497" s="6" t="b">
        <f t="shared" si="46"/>
        <v>1</v>
      </c>
      <c r="AO497" s="6" t="str">
        <f t="shared" si="49"/>
        <v>OK</v>
      </c>
      <c r="AP497" s="216"/>
      <c r="AQ497" s="6" t="e">
        <f>MATCH($D497,'D4 - Provider Council Unsched'!$C$11:$C$234,0)</f>
        <v>#N/A</v>
      </c>
      <c r="AR497" s="6" t="b">
        <f t="shared" si="47"/>
        <v>1</v>
      </c>
      <c r="AS497" s="6" t="str">
        <f t="shared" si="50"/>
        <v>OK</v>
      </c>
      <c r="AU497" s="202"/>
      <c r="AV497" s="262"/>
      <c r="AW497" s="274"/>
    </row>
    <row r="498" spans="1:49" s="13" customFormat="1" ht="22.5" x14ac:dyDescent="0.2">
      <c r="A498" s="14">
        <v>474</v>
      </c>
      <c r="B498" s="14">
        <v>400008265</v>
      </c>
      <c r="C498" s="8" t="s">
        <v>3763</v>
      </c>
      <c r="D498" s="4" t="str">
        <f t="shared" si="48"/>
        <v>400008265R2</v>
      </c>
      <c r="E498" s="309" t="str">
        <f>VLOOKUP($B498,'D7 - NDB Impacted SPRF''s'!$E$6:$O$9929,2,FALSE)</f>
        <v>CORP1-NetClaim-PTI By Network Contracting Org.</v>
      </c>
      <c r="F498" s="8" t="s">
        <v>5196</v>
      </c>
      <c r="G498" s="8" t="s">
        <v>4758</v>
      </c>
      <c r="H498" s="8" t="s">
        <v>4246</v>
      </c>
      <c r="I498" s="20">
        <v>4</v>
      </c>
      <c r="J498" s="8" t="s">
        <v>7114</v>
      </c>
      <c r="K498" s="182">
        <v>38885</v>
      </c>
      <c r="L498" s="8" t="s">
        <v>6919</v>
      </c>
      <c r="M498" s="8" t="s">
        <v>2814</v>
      </c>
      <c r="N498" s="367" t="s">
        <v>3955</v>
      </c>
      <c r="O498" s="8"/>
      <c r="P498" s="4" t="str">
        <f>VLOOKUP($B498,'D7 - NDB Impacted SPRF''s'!$E$16:$O$9929,9,FALSE)</f>
        <v>Y</v>
      </c>
      <c r="Q498" s="4" t="str">
        <f>VLOOKUP($B498,'D7 - NDB Impacted SPRF''s'!$E$16:$O$9929,10,FALSE)</f>
        <v>N</v>
      </c>
      <c r="R498" s="4" t="str">
        <f>VLOOKUP($B498,'D7 - NDB Impacted SPRF''s'!$E$16:$O$9929,11,FALSE)</f>
        <v>N</v>
      </c>
      <c r="S498" s="8" t="s">
        <v>3758</v>
      </c>
      <c r="T498" s="310"/>
      <c r="U498" s="310"/>
      <c r="V498" s="4"/>
      <c r="W498" s="4"/>
      <c r="X498" s="4"/>
      <c r="Y498" s="4"/>
      <c r="Z498" s="4"/>
      <c r="AA498" s="4"/>
      <c r="AB498" s="380" t="str">
        <f>VLOOKUP($B498,'D7 - NDB Impacted SPRF''s'!$E$16:$O$9929,4,FALSE)</f>
        <v>Completed</v>
      </c>
      <c r="AC498" s="380" t="str">
        <f>VLOOKUP($B498,'D7 - NDB Impacted SPRF''s'!$E$16:$O$9929,3,FALSE)</f>
        <v>Alliance</v>
      </c>
      <c r="AD498" s="380" t="str">
        <f>VLOOKUP($B498,'D7 - NDB Impacted SPRF''s'!$E$16:$O$9929,5,FALSE)</f>
        <v>Healthcare Service Alliance</v>
      </c>
      <c r="AE498" s="380" t="str">
        <f>VLOOKUP($B498,'D7 - NDB Impacted SPRF''s'!$E$16:$O$9929,7,FALSE)</f>
        <v>Bev Nyce, Peter Bompane</v>
      </c>
      <c r="AF498" s="380" t="str">
        <f>VLOOKUP($B498,'D7 - NDB Impacted SPRF''s'!$E$16:$O$9929,6,FALSE)</f>
        <v>STEPHEN FINLEY</v>
      </c>
      <c r="AG498" s="282" t="s">
        <v>6682</v>
      </c>
      <c r="AH498" s="311" t="e">
        <f>INDEX('D5 - Gatekeeper - Projects'!$A$4:$AF$1010,$AM498, 17)</f>
        <v>#N/A</v>
      </c>
      <c r="AI498" s="8"/>
      <c r="AJ498" s="57"/>
      <c r="AK498" s="105"/>
      <c r="AL498" s="216"/>
      <c r="AM498" s="6" t="e">
        <f>MATCH(D498,'D5 - Gatekeeper - Projects'!$C$4:$C$1010,0)</f>
        <v>#N/A</v>
      </c>
      <c r="AN498" s="6" t="b">
        <f t="shared" si="46"/>
        <v>1</v>
      </c>
      <c r="AO498" s="6" t="str">
        <f t="shared" si="49"/>
        <v>OK</v>
      </c>
      <c r="AP498" s="216"/>
      <c r="AQ498" s="6" t="e">
        <f>MATCH($D498,'D4 - Provider Council Unsched'!$C$11:$C$234,0)</f>
        <v>#N/A</v>
      </c>
      <c r="AR498" s="6" t="b">
        <f t="shared" si="47"/>
        <v>1</v>
      </c>
      <c r="AS498" s="6" t="str">
        <f t="shared" si="50"/>
        <v>OK</v>
      </c>
      <c r="AU498" s="202"/>
      <c r="AV498" s="262"/>
      <c r="AW498" s="274"/>
    </row>
    <row r="499" spans="1:49" s="13" customFormat="1" ht="45" x14ac:dyDescent="0.2">
      <c r="A499" s="14">
        <v>475</v>
      </c>
      <c r="B499" s="14">
        <v>400009141</v>
      </c>
      <c r="C499" s="8" t="s">
        <v>5197</v>
      </c>
      <c r="D499" s="4" t="str">
        <f t="shared" si="48"/>
        <v>400009141R1</v>
      </c>
      <c r="E499" s="309" t="str">
        <f>VLOOKUP($B499,'D7 - NDB Impacted SPRF''s'!$E$6:$O$9929,2,FALSE)</f>
        <v>Windows XP Service Pack 2 Application Testing</v>
      </c>
      <c r="F499" s="8" t="s">
        <v>8133</v>
      </c>
      <c r="G499" s="8" t="s">
        <v>4758</v>
      </c>
      <c r="H499" s="8" t="s">
        <v>4246</v>
      </c>
      <c r="I499" s="20">
        <v>4</v>
      </c>
      <c r="J499" s="8" t="s">
        <v>4862</v>
      </c>
      <c r="K499" s="182">
        <v>38885</v>
      </c>
      <c r="L499" s="8" t="s">
        <v>5743</v>
      </c>
      <c r="M499" s="8" t="s">
        <v>2814</v>
      </c>
      <c r="N499" s="368" t="s">
        <v>4334</v>
      </c>
      <c r="O499" s="8"/>
      <c r="P499" s="4" t="str">
        <f>VLOOKUP($B499,'D7 - NDB Impacted SPRF''s'!$E$16:$O$9929,9,FALSE)</f>
        <v>Y</v>
      </c>
      <c r="Q499" s="4" t="str">
        <f>VLOOKUP($B499,'D7 - NDB Impacted SPRF''s'!$E$16:$O$9929,10,FALSE)</f>
        <v>N</v>
      </c>
      <c r="R499" s="4" t="s">
        <v>3758</v>
      </c>
      <c r="S499" s="8"/>
      <c r="T499" s="310"/>
      <c r="U499" s="310"/>
      <c r="V499" s="4"/>
      <c r="W499" s="4"/>
      <c r="X499" s="4"/>
      <c r="Y499" s="4"/>
      <c r="Z499" s="4"/>
      <c r="AA499" s="4"/>
      <c r="AB499" s="380" t="str">
        <f>VLOOKUP($B499,'D7 - NDB Impacted SPRF''s'!$E$16:$O$9929,4,FALSE)</f>
        <v>Completed</v>
      </c>
      <c r="AC499" s="380" t="str">
        <f>VLOOKUP($B499,'D7 - NDB Impacted SPRF''s'!$E$16:$O$9929,3,FALSE)</f>
        <v>UHG IT - Enterprise Technology Services</v>
      </c>
      <c r="AD499" s="380" t="str">
        <f>VLOOKUP($B499,'D7 - NDB Impacted SPRF''s'!$E$16:$O$9929,5,FALSE)</f>
        <v>UHG IT</v>
      </c>
      <c r="AE499" s="380" t="str">
        <f>VLOOKUP($B499,'D7 - NDB Impacted SPRF''s'!$E$16:$O$9929,7,FALSE)</f>
        <v>John Santelli</v>
      </c>
      <c r="AF499" s="380" t="str">
        <f>VLOOKUP($B499,'D7 - NDB Impacted SPRF''s'!$E$16:$O$9929,6,FALSE)</f>
        <v>CARL SWEENEY</v>
      </c>
      <c r="AG499" s="282"/>
      <c r="AH499" s="311" t="e">
        <f>INDEX('D5 - Gatekeeper - Projects'!$A$4:$AF$1010,$AM499, 17)</f>
        <v>#N/A</v>
      </c>
      <c r="AI499" s="8"/>
      <c r="AJ499" s="57"/>
      <c r="AK499" s="105"/>
      <c r="AL499" s="216"/>
      <c r="AM499" s="6" t="e">
        <f>MATCH(D499,'D5 - Gatekeeper - Projects'!$C$4:$C$1010,0)</f>
        <v>#N/A</v>
      </c>
      <c r="AN499" s="6" t="b">
        <f t="shared" si="46"/>
        <v>1</v>
      </c>
      <c r="AO499" s="6" t="str">
        <f t="shared" si="49"/>
        <v>OK</v>
      </c>
      <c r="AP499" s="216"/>
      <c r="AQ499" s="6" t="e">
        <f>MATCH($D499,'D4 - Provider Council Unsched'!$C$11:$C$234,0)</f>
        <v>#N/A</v>
      </c>
      <c r="AR499" s="6" t="b">
        <f t="shared" si="47"/>
        <v>1</v>
      </c>
      <c r="AS499" s="6" t="str">
        <f t="shared" si="50"/>
        <v>OK</v>
      </c>
      <c r="AU499" s="202"/>
      <c r="AV499" s="262"/>
      <c r="AW499" s="274"/>
    </row>
    <row r="500" spans="1:49" s="13" customFormat="1" x14ac:dyDescent="0.2">
      <c r="A500" s="14">
        <v>476</v>
      </c>
      <c r="B500" s="14">
        <v>400009454</v>
      </c>
      <c r="C500" s="8" t="s">
        <v>3286</v>
      </c>
      <c r="D500" s="4" t="str">
        <f t="shared" si="48"/>
        <v>400009454CC02</v>
      </c>
      <c r="E500" s="309" t="str">
        <f>VLOOKUP($B500,'D7 - NDB Impacted SPRF''s'!$E$6:$O$9929,2,FALSE)</f>
        <v>Gated HMO Design &amp; Development Phase IV</v>
      </c>
      <c r="F500" s="8" t="s">
        <v>4168</v>
      </c>
      <c r="G500" s="8" t="s">
        <v>4758</v>
      </c>
      <c r="H500" s="8" t="s">
        <v>4246</v>
      </c>
      <c r="I500" s="20">
        <v>6</v>
      </c>
      <c r="J500" s="8" t="s">
        <v>7114</v>
      </c>
      <c r="K500" s="182">
        <v>38885</v>
      </c>
      <c r="L500" s="8" t="s">
        <v>6919</v>
      </c>
      <c r="M500" s="8" t="s">
        <v>2814</v>
      </c>
      <c r="N500" s="367" t="s">
        <v>7303</v>
      </c>
      <c r="O500" s="8"/>
      <c r="P500" s="4" t="str">
        <f>VLOOKUP($B500,'D7 - NDB Impacted SPRF''s'!$E$16:$O$9929,9,FALSE)</f>
        <v>Y</v>
      </c>
      <c r="Q500" s="4" t="str">
        <f>VLOOKUP($B500,'D7 - NDB Impacted SPRF''s'!$E$16:$O$9929,10,FALSE)</f>
        <v>N</v>
      </c>
      <c r="R500" s="4" t="str">
        <f>VLOOKUP($B500,'D7 - NDB Impacted SPRF''s'!$E$16:$O$9929,11,FALSE)</f>
        <v>N</v>
      </c>
      <c r="S500" s="8" t="s">
        <v>3758</v>
      </c>
      <c r="T500" s="310"/>
      <c r="U500" s="310"/>
      <c r="V500" s="4"/>
      <c r="W500" s="4"/>
      <c r="X500" s="4"/>
      <c r="Y500" s="4"/>
      <c r="Z500" s="4"/>
      <c r="AA500" s="4"/>
      <c r="AB500" s="380" t="str">
        <f>VLOOKUP($B500,'D7 - NDB Impacted SPRF''s'!$E$16:$O$9929,4,FALSE)</f>
        <v>Completed</v>
      </c>
      <c r="AC500" s="380" t="str">
        <f>VLOOKUP($B500,'D7 - NDB Impacted SPRF''s'!$E$16:$O$9929,3,FALSE)</f>
        <v>Alliance</v>
      </c>
      <c r="AD500" s="380" t="str">
        <f>VLOOKUP($B500,'D7 - NDB Impacted SPRF''s'!$E$16:$O$9929,5,FALSE)</f>
        <v>Gated HMO</v>
      </c>
      <c r="AE500" s="380" t="str">
        <f>VLOOKUP($B500,'D7 - NDB Impacted SPRF''s'!$E$16:$O$9929,7,FALSE)</f>
        <v>Diane Schofield</v>
      </c>
      <c r="AF500" s="380" t="str">
        <f>VLOOKUP($B500,'D7 - NDB Impacted SPRF''s'!$E$16:$O$9929,6,FALSE)</f>
        <v>Debi Streb</v>
      </c>
      <c r="AG500" s="282"/>
      <c r="AH500" s="311" t="e">
        <f>INDEX('D5 - Gatekeeper - Projects'!$A$4:$AF$1010,$AM500, 17)</f>
        <v>#N/A</v>
      </c>
      <c r="AI500" s="8"/>
      <c r="AJ500" s="57"/>
      <c r="AK500" s="105"/>
      <c r="AL500" s="216"/>
      <c r="AM500" s="6" t="e">
        <f>MATCH(D500,'D5 - Gatekeeper - Projects'!$C$4:$C$1010,0)</f>
        <v>#N/A</v>
      </c>
      <c r="AN500" s="6" t="b">
        <f t="shared" si="46"/>
        <v>1</v>
      </c>
      <c r="AO500" s="6" t="str">
        <f t="shared" si="49"/>
        <v>OK</v>
      </c>
      <c r="AP500" s="216"/>
      <c r="AQ500" s="6" t="e">
        <f>MATCH($D500,'D4 - Provider Council Unsched'!$C$11:$C$234,0)</f>
        <v>#N/A</v>
      </c>
      <c r="AR500" s="6" t="b">
        <f t="shared" si="47"/>
        <v>1</v>
      </c>
      <c r="AS500" s="6" t="str">
        <f t="shared" si="50"/>
        <v>OK</v>
      </c>
      <c r="AU500" s="202"/>
      <c r="AV500" s="262"/>
      <c r="AW500" s="274"/>
    </row>
    <row r="501" spans="1:49" s="13" customFormat="1" ht="33.75" x14ac:dyDescent="0.2">
      <c r="A501" s="14">
        <v>477</v>
      </c>
      <c r="B501" s="14">
        <v>400009772</v>
      </c>
      <c r="C501" s="8" t="s">
        <v>5197</v>
      </c>
      <c r="D501" s="4" t="str">
        <f t="shared" si="48"/>
        <v>400009772R1</v>
      </c>
      <c r="E501" s="309" t="str">
        <f>VLOOKUP($B501,'D7 - NDB Impacted SPRF''s'!$E$6:$O$9929,2,FALSE)</f>
        <v xml:space="preserve">Radiology Transformation Strategy </v>
      </c>
      <c r="F501" s="8" t="s">
        <v>5188</v>
      </c>
      <c r="G501" s="8" t="s">
        <v>4758</v>
      </c>
      <c r="H501" s="8" t="s">
        <v>4246</v>
      </c>
      <c r="I501" s="20">
        <v>20.100000000000001</v>
      </c>
      <c r="J501" s="8" t="s">
        <v>4862</v>
      </c>
      <c r="K501" s="182">
        <v>38885</v>
      </c>
      <c r="L501" s="8" t="s">
        <v>5743</v>
      </c>
      <c r="M501" s="8" t="s">
        <v>2814</v>
      </c>
      <c r="N501" s="38" t="s">
        <v>4039</v>
      </c>
      <c r="O501" s="8"/>
      <c r="P501" s="4" t="str">
        <f>VLOOKUP($B501,'D7 - NDB Impacted SPRF''s'!$E$16:$O$9929,9,FALSE)</f>
        <v>Y</v>
      </c>
      <c r="Q501" s="4" t="str">
        <f>VLOOKUP($B501,'D7 - NDB Impacted SPRF''s'!$E$16:$O$9929,10,FALSE)</f>
        <v>N</v>
      </c>
      <c r="R501" s="4" t="str">
        <f>VLOOKUP($B501,'D7 - NDB Impacted SPRF''s'!$E$16:$O$9929,11,FALSE)</f>
        <v>N</v>
      </c>
      <c r="S501" s="8" t="s">
        <v>3758</v>
      </c>
      <c r="T501" s="310"/>
      <c r="U501" s="310"/>
      <c r="V501" s="4"/>
      <c r="W501" s="4"/>
      <c r="X501" s="4"/>
      <c r="Y501" s="4"/>
      <c r="Z501" s="4"/>
      <c r="AA501" s="4"/>
      <c r="AB501" s="380" t="str">
        <f>VLOOKUP($B501,'D7 - NDB Impacted SPRF''s'!$E$16:$O$9929,4,FALSE)</f>
        <v>Completed</v>
      </c>
      <c r="AC501" s="380" t="str">
        <f>VLOOKUP($B501,'D7 - NDB Impacted SPRF''s'!$E$16:$O$9929,3,FALSE)</f>
        <v>UnitedHealthcare Employer &amp; Individual</v>
      </c>
      <c r="AD501" s="380" t="str">
        <f>VLOOKUP($B501,'D7 - NDB Impacted SPRF''s'!$E$16:$O$9929,5,FALSE)</f>
        <v>Medical Cost Savings Programs</v>
      </c>
      <c r="AE501" s="380" t="str">
        <f>VLOOKUP($B501,'D7 - NDB Impacted SPRF''s'!$E$16:$O$9929,7,FALSE)</f>
        <v>Laurie Paidosh</v>
      </c>
      <c r="AF501" s="380" t="str">
        <f>VLOOKUP($B501,'D7 - NDB Impacted SPRF''s'!$E$16:$O$9929,6,FALSE)</f>
        <v>LAURIE PAIDOSH</v>
      </c>
      <c r="AG501" s="282" t="s">
        <v>5094</v>
      </c>
      <c r="AH501" s="311" t="e">
        <f>INDEX('D5 - Gatekeeper - Projects'!$A$4:$AF$1010,$AM501, 17)</f>
        <v>#N/A</v>
      </c>
      <c r="AI501" s="8"/>
      <c r="AJ501" s="57"/>
      <c r="AK501" s="105"/>
      <c r="AL501" s="216"/>
      <c r="AM501" s="6" t="e">
        <f>MATCH(D501,'D5 - Gatekeeper - Projects'!$C$4:$C$1010,0)</f>
        <v>#N/A</v>
      </c>
      <c r="AN501" s="6" t="b">
        <f t="shared" si="46"/>
        <v>1</v>
      </c>
      <c r="AO501" s="6" t="str">
        <f t="shared" si="49"/>
        <v>OK</v>
      </c>
      <c r="AP501" s="216"/>
      <c r="AQ501" s="6" t="e">
        <f>MATCH($D501,'D4 - Provider Council Unsched'!$C$11:$C$234,0)</f>
        <v>#N/A</v>
      </c>
      <c r="AR501" s="6" t="b">
        <f t="shared" si="47"/>
        <v>1</v>
      </c>
      <c r="AS501" s="6" t="str">
        <f t="shared" si="50"/>
        <v>OK</v>
      </c>
      <c r="AU501" s="202"/>
      <c r="AV501" s="262"/>
      <c r="AW501" s="274"/>
    </row>
    <row r="502" spans="1:49" s="13" customFormat="1" ht="33.75" x14ac:dyDescent="0.2">
      <c r="A502" s="14">
        <v>478</v>
      </c>
      <c r="B502" s="14">
        <v>400009772</v>
      </c>
      <c r="C502" s="8" t="s">
        <v>1992</v>
      </c>
      <c r="D502" s="4" t="str">
        <f t="shared" si="48"/>
        <v>400009772U1</v>
      </c>
      <c r="E502" s="309" t="str">
        <f>VLOOKUP($B502,'D7 - NDB Impacted SPRF''s'!$E$6:$O$9929,2,FALSE)</f>
        <v xml:space="preserve">Radiology Transformation Strategy </v>
      </c>
      <c r="F502" s="8" t="s">
        <v>5188</v>
      </c>
      <c r="G502" s="8" t="s">
        <v>4758</v>
      </c>
      <c r="H502" s="8" t="s">
        <v>4246</v>
      </c>
      <c r="I502" s="20">
        <v>0.71</v>
      </c>
      <c r="J502" s="8" t="s">
        <v>4862</v>
      </c>
      <c r="K502" s="182">
        <v>38885</v>
      </c>
      <c r="L502" s="8" t="s">
        <v>5743</v>
      </c>
      <c r="M502" s="8" t="s">
        <v>2814</v>
      </c>
      <c r="N502" s="38" t="s">
        <v>4039</v>
      </c>
      <c r="O502" s="8"/>
      <c r="P502" s="4" t="str">
        <f>VLOOKUP($B502,'D7 - NDB Impacted SPRF''s'!$E$16:$O$9929,9,FALSE)</f>
        <v>Y</v>
      </c>
      <c r="Q502" s="4" t="str">
        <f>VLOOKUP($B502,'D7 - NDB Impacted SPRF''s'!$E$16:$O$9929,10,FALSE)</f>
        <v>N</v>
      </c>
      <c r="R502" s="4" t="str">
        <f>VLOOKUP($B502,'D7 - NDB Impacted SPRF''s'!$E$16:$O$9929,11,FALSE)</f>
        <v>N</v>
      </c>
      <c r="S502" s="8" t="s">
        <v>3758</v>
      </c>
      <c r="T502" s="310"/>
      <c r="U502" s="310"/>
      <c r="V502" s="4"/>
      <c r="W502" s="4"/>
      <c r="X502" s="4"/>
      <c r="Y502" s="4"/>
      <c r="Z502" s="4"/>
      <c r="AA502" s="4"/>
      <c r="AB502" s="380" t="str">
        <f>VLOOKUP($B502,'D7 - NDB Impacted SPRF''s'!$E$16:$O$9929,4,FALSE)</f>
        <v>Completed</v>
      </c>
      <c r="AC502" s="380" t="str">
        <f>VLOOKUP($B502,'D7 - NDB Impacted SPRF''s'!$E$16:$O$9929,3,FALSE)</f>
        <v>UnitedHealthcare Employer &amp; Individual</v>
      </c>
      <c r="AD502" s="380" t="str">
        <f>VLOOKUP($B502,'D7 - NDB Impacted SPRF''s'!$E$16:$O$9929,5,FALSE)</f>
        <v>Medical Cost Savings Programs</v>
      </c>
      <c r="AE502" s="380" t="str">
        <f>VLOOKUP($B502,'D7 - NDB Impacted SPRF''s'!$E$16:$O$9929,7,FALSE)</f>
        <v>Laurie Paidosh</v>
      </c>
      <c r="AF502" s="380" t="str">
        <f>VLOOKUP($B502,'D7 - NDB Impacted SPRF''s'!$E$16:$O$9929,6,FALSE)</f>
        <v>LAURIE PAIDOSH</v>
      </c>
      <c r="AG502" s="282"/>
      <c r="AH502" s="311" t="e">
        <f>INDEX('D5 - Gatekeeper - Projects'!$A$4:$AF$1010,$AM502, 17)</f>
        <v>#N/A</v>
      </c>
      <c r="AI502" s="8"/>
      <c r="AJ502" s="57"/>
      <c r="AK502" s="105"/>
      <c r="AL502" s="216"/>
      <c r="AM502" s="6" t="e">
        <f>MATCH(D502,'D5 - Gatekeeper - Projects'!$C$4:$C$1010,0)</f>
        <v>#N/A</v>
      </c>
      <c r="AN502" s="6" t="b">
        <f t="shared" si="46"/>
        <v>1</v>
      </c>
      <c r="AO502" s="6" t="str">
        <f t="shared" si="49"/>
        <v>OK</v>
      </c>
      <c r="AP502" s="216"/>
      <c r="AQ502" s="6" t="e">
        <f>MATCH($D502,'D4 - Provider Council Unsched'!$C$11:$C$234,0)</f>
        <v>#N/A</v>
      </c>
      <c r="AR502" s="6" t="b">
        <f t="shared" si="47"/>
        <v>1</v>
      </c>
      <c r="AS502" s="6" t="str">
        <f t="shared" si="50"/>
        <v>OK</v>
      </c>
      <c r="AU502" s="202"/>
      <c r="AV502" s="262"/>
      <c r="AW502" s="274"/>
    </row>
    <row r="503" spans="1:49" s="13" customFormat="1" ht="33.75" x14ac:dyDescent="0.2">
      <c r="A503" s="14">
        <v>479</v>
      </c>
      <c r="B503" s="14">
        <v>400009838</v>
      </c>
      <c r="C503" s="8" t="s">
        <v>5197</v>
      </c>
      <c r="D503" s="4" t="str">
        <f t="shared" si="48"/>
        <v>400009838R1</v>
      </c>
      <c r="E503" s="309" t="str">
        <f>VLOOKUP($B503,'D7 - NDB Impacted SPRF''s'!$E$6:$O$9929,2,FALSE)</f>
        <v>Ovations Online Provider Directory</v>
      </c>
      <c r="F503" s="8" t="s">
        <v>5054</v>
      </c>
      <c r="G503" s="8" t="s">
        <v>4758</v>
      </c>
      <c r="H503" s="8" t="s">
        <v>4246</v>
      </c>
      <c r="I503" s="20">
        <v>3.2</v>
      </c>
      <c r="J503" s="8" t="s">
        <v>4862</v>
      </c>
      <c r="K503" s="182">
        <v>38885</v>
      </c>
      <c r="L503" s="8" t="s">
        <v>5743</v>
      </c>
      <c r="M503" s="8" t="s">
        <v>2814</v>
      </c>
      <c r="N503" s="368"/>
      <c r="O503" s="8"/>
      <c r="P503" s="4" t="str">
        <f>VLOOKUP($B503,'D7 - NDB Impacted SPRF''s'!$E$16:$O$9929,9,FALSE)</f>
        <v>N</v>
      </c>
      <c r="Q503" s="4" t="str">
        <f>VLOOKUP($B503,'D7 - NDB Impacted SPRF''s'!$E$16:$O$9929,10,FALSE)</f>
        <v>N</v>
      </c>
      <c r="R503" s="4" t="str">
        <f>VLOOKUP($B503,'D7 - NDB Impacted SPRF''s'!$E$16:$O$9929,11,FALSE)</f>
        <v>N</v>
      </c>
      <c r="S503" s="8" t="s">
        <v>3758</v>
      </c>
      <c r="T503" s="310"/>
      <c r="U503" s="310"/>
      <c r="V503" s="4"/>
      <c r="W503" s="4"/>
      <c r="X503" s="4"/>
      <c r="Y503" s="4"/>
      <c r="Z503" s="4"/>
      <c r="AA503" s="4"/>
      <c r="AB503" s="380" t="str">
        <f>VLOOKUP($B503,'D7 - NDB Impacted SPRF''s'!$E$16:$O$9929,4,FALSE)</f>
        <v>Completed</v>
      </c>
      <c r="AC503" s="380" t="str">
        <f>VLOOKUP($B503,'D7 - NDB Impacted SPRF''s'!$E$16:$O$9929,3,FALSE)</f>
        <v>UnitedHealthcare Medicare &amp; Retirement</v>
      </c>
      <c r="AD503" s="380" t="str">
        <f>VLOOKUP($B503,'D7 - NDB Impacted SPRF''s'!$E$16:$O$9929,5,FALSE)</f>
        <v>XXNon-COG</v>
      </c>
      <c r="AE503" s="380" t="str">
        <f>VLOOKUP($B503,'D7 - NDB Impacted SPRF''s'!$E$16:$O$9929,7,FALSE)</f>
        <v>Helene Roybal</v>
      </c>
      <c r="AF503" s="380" t="str">
        <f>VLOOKUP($B503,'D7 - NDB Impacted SPRF''s'!$E$16:$O$9929,6,FALSE)</f>
        <v>SWENSON JERRY</v>
      </c>
      <c r="AG503" s="282" t="s">
        <v>7755</v>
      </c>
      <c r="AH503" s="311" t="e">
        <f>INDEX('D5 - Gatekeeper - Projects'!$A$4:$AF$1010,$AM503, 17)</f>
        <v>#N/A</v>
      </c>
      <c r="AI503" s="8"/>
      <c r="AJ503" s="57"/>
      <c r="AK503" s="105"/>
      <c r="AL503" s="216"/>
      <c r="AM503" s="6" t="e">
        <f>MATCH(D503,'D5 - Gatekeeper - Projects'!$C$4:$C$1010,0)</f>
        <v>#N/A</v>
      </c>
      <c r="AN503" s="6" t="b">
        <f t="shared" si="46"/>
        <v>1</v>
      </c>
      <c r="AO503" s="6" t="str">
        <f t="shared" si="49"/>
        <v>OK</v>
      </c>
      <c r="AP503" s="216"/>
      <c r="AQ503" s="6" t="e">
        <f>MATCH($D503,'D4 - Provider Council Unsched'!$C$11:$C$234,0)</f>
        <v>#N/A</v>
      </c>
      <c r="AR503" s="6" t="b">
        <f t="shared" si="47"/>
        <v>1</v>
      </c>
      <c r="AS503" s="6" t="str">
        <f t="shared" si="50"/>
        <v>OK</v>
      </c>
      <c r="AU503" s="202"/>
      <c r="AV503" s="262"/>
      <c r="AW503" s="274"/>
    </row>
    <row r="504" spans="1:49" s="13" customFormat="1" ht="45" x14ac:dyDescent="0.2">
      <c r="A504" s="14">
        <v>480</v>
      </c>
      <c r="B504" s="14">
        <v>400009896</v>
      </c>
      <c r="C504" s="8" t="s">
        <v>5197</v>
      </c>
      <c r="D504" s="4" t="str">
        <f t="shared" si="48"/>
        <v>400009896R1</v>
      </c>
      <c r="E504" s="309" t="str">
        <f>VLOOKUP($B504,'D7 - NDB Impacted SPRF''s'!$E$6:$O$9929,2,FALSE)</f>
        <v>CSP/GSP Provider Search</v>
      </c>
      <c r="F504" s="8" t="s">
        <v>2114</v>
      </c>
      <c r="G504" s="8" t="s">
        <v>4758</v>
      </c>
      <c r="H504" s="8" t="s">
        <v>4246</v>
      </c>
      <c r="I504" s="20">
        <v>2.82</v>
      </c>
      <c r="J504" s="8" t="s">
        <v>4862</v>
      </c>
      <c r="K504" s="182">
        <v>38885</v>
      </c>
      <c r="L504" s="8" t="s">
        <v>5743</v>
      </c>
      <c r="M504" s="8" t="s">
        <v>2814</v>
      </c>
      <c r="N504" s="367" t="s">
        <v>3179</v>
      </c>
      <c r="O504" s="8"/>
      <c r="P504" s="4" t="str">
        <f>VLOOKUP($B504,'D7 - NDB Impacted SPRF''s'!$E$16:$O$9929,9,FALSE)</f>
        <v>N</v>
      </c>
      <c r="Q504" s="4" t="str">
        <f>VLOOKUP($B504,'D7 - NDB Impacted SPRF''s'!$E$16:$O$9929,10,FALSE)</f>
        <v>N</v>
      </c>
      <c r="R504" s="4" t="str">
        <f>VLOOKUP($B504,'D7 - NDB Impacted SPRF''s'!$E$16:$O$9929,11,FALSE)</f>
        <v>N</v>
      </c>
      <c r="S504" s="8"/>
      <c r="T504" s="310"/>
      <c r="U504" s="310"/>
      <c r="V504" s="4"/>
      <c r="W504" s="4"/>
      <c r="X504" s="4"/>
      <c r="Y504" s="4"/>
      <c r="Z504" s="4"/>
      <c r="AA504" s="4"/>
      <c r="AB504" s="380" t="str">
        <f>VLOOKUP($B504,'D7 - NDB Impacted SPRF''s'!$E$16:$O$9929,4,FALSE)</f>
        <v>Completed</v>
      </c>
      <c r="AC504" s="380" t="str">
        <f>VLOOKUP($B504,'D7 - NDB Impacted SPRF''s'!$E$16:$O$9929,3,FALSE)</f>
        <v>Uniprise</v>
      </c>
      <c r="AD504" s="380" t="str">
        <f>VLOOKUP($B504,'D7 - NDB Impacted SPRF''s'!$E$16:$O$9929,5,FALSE)</f>
        <v>USS - Capital Projects</v>
      </c>
      <c r="AE504" s="380" t="str">
        <f>VLOOKUP($B504,'D7 - NDB Impacted SPRF''s'!$E$16:$O$9929,7,FALSE)</f>
        <v>Margaret Rush</v>
      </c>
      <c r="AF504" s="380" t="str">
        <f>VLOOKUP($B504,'D7 - NDB Impacted SPRF''s'!$E$16:$O$9929,6,FALSE)</f>
        <v>FRED CAMACHO</v>
      </c>
      <c r="AG504" s="282" t="s">
        <v>7755</v>
      </c>
      <c r="AH504" s="311" t="e">
        <f>INDEX('D5 - Gatekeeper - Projects'!$A$4:$AF$1010,$AM504, 17)</f>
        <v>#N/A</v>
      </c>
      <c r="AI504" s="8"/>
      <c r="AJ504" s="57"/>
      <c r="AK504" s="105"/>
      <c r="AL504" s="6"/>
      <c r="AM504" s="6" t="e">
        <f>MATCH(D504,'D5 - Gatekeeper - Projects'!$C$4:$C$1010,0)</f>
        <v>#N/A</v>
      </c>
      <c r="AN504" s="6" t="b">
        <f t="shared" si="46"/>
        <v>1</v>
      </c>
      <c r="AO504" s="6" t="str">
        <f t="shared" si="49"/>
        <v>OK</v>
      </c>
      <c r="AP504" s="6"/>
      <c r="AQ504" s="6" t="e">
        <f>MATCH($D504,'D4 - Provider Council Unsched'!$C$11:$C$234,0)</f>
        <v>#N/A</v>
      </c>
      <c r="AR504" s="6" t="b">
        <f t="shared" si="47"/>
        <v>1</v>
      </c>
      <c r="AS504" s="6" t="str">
        <f t="shared" si="50"/>
        <v>OK</v>
      </c>
      <c r="AU504" s="202"/>
      <c r="AV504" s="262"/>
      <c r="AW504" s="274"/>
    </row>
    <row r="505" spans="1:49" s="13" customFormat="1" ht="45" x14ac:dyDescent="0.2">
      <c r="A505" s="14">
        <v>481</v>
      </c>
      <c r="B505" s="14">
        <v>400009995</v>
      </c>
      <c r="C505" s="8" t="s">
        <v>5197</v>
      </c>
      <c r="D505" s="4" t="str">
        <f t="shared" si="48"/>
        <v>400009995R1</v>
      </c>
      <c r="E505" s="309" t="str">
        <f>VLOOKUP($B505,'D7 - NDB Impacted SPRF''s'!$E$6:$O$9929,2,FALSE)</f>
        <v>UnitedHealth Basics V2.0 Q2 2006 Requirements</v>
      </c>
      <c r="F505" s="8" t="s">
        <v>2114</v>
      </c>
      <c r="G505" s="8" t="s">
        <v>4758</v>
      </c>
      <c r="H505" s="8" t="s">
        <v>4246</v>
      </c>
      <c r="I505" s="20">
        <v>0.53</v>
      </c>
      <c r="J505" s="8" t="s">
        <v>7114</v>
      </c>
      <c r="K505" s="182">
        <v>38885</v>
      </c>
      <c r="L505" s="8" t="s">
        <v>6919</v>
      </c>
      <c r="M505" s="8" t="s">
        <v>2814</v>
      </c>
      <c r="N505" s="367" t="s">
        <v>6092</v>
      </c>
      <c r="O505" s="8"/>
      <c r="P505" s="4" t="str">
        <f>VLOOKUP($B505,'D7 - NDB Impacted SPRF''s'!$E$16:$O$9929,9,FALSE)</f>
        <v>Y</v>
      </c>
      <c r="Q505" s="4" t="str">
        <f>VLOOKUP($B505,'D7 - NDB Impacted SPRF''s'!$E$16:$O$9929,10,FALSE)</f>
        <v>N</v>
      </c>
      <c r="R505" s="4" t="str">
        <f>VLOOKUP($B505,'D7 - NDB Impacted SPRF''s'!$E$16:$O$9929,11,FALSE)</f>
        <v>N</v>
      </c>
      <c r="S505" s="8" t="s">
        <v>3758</v>
      </c>
      <c r="T505" s="310"/>
      <c r="U505" s="310"/>
      <c r="V505" s="4"/>
      <c r="W505" s="4"/>
      <c r="X505" s="4"/>
      <c r="Y505" s="4"/>
      <c r="Z505" s="4"/>
      <c r="AA505" s="4"/>
      <c r="AB505" s="380" t="str">
        <f>VLOOKUP($B505,'D7 - NDB Impacted SPRF''s'!$E$16:$O$9929,4,FALSE)</f>
        <v>Completed</v>
      </c>
      <c r="AC505" s="380" t="str">
        <f>VLOOKUP($B505,'D7 - NDB Impacted SPRF''s'!$E$16:$O$9929,3,FALSE)</f>
        <v>UnitedHealthcare Employer &amp; Individual</v>
      </c>
      <c r="AD505" s="380" t="str">
        <f>VLOOKUP($B505,'D7 - NDB Impacted SPRF''s'!$E$16:$O$9929,5,FALSE)</f>
        <v>Membership Growth / Revenue Programs</v>
      </c>
      <c r="AE505" s="380" t="str">
        <f>VLOOKUP($B505,'D7 - NDB Impacted SPRF''s'!$E$16:$O$9929,7,FALSE)</f>
        <v>Tim Wicks</v>
      </c>
      <c r="AF505" s="380" t="str">
        <f>VLOOKUP($B505,'D7 - NDB Impacted SPRF''s'!$E$16:$O$9929,6,FALSE)</f>
        <v>HEATHER LOWE-SMITH</v>
      </c>
      <c r="AG505" s="282" t="s">
        <v>7755</v>
      </c>
      <c r="AH505" s="311" t="e">
        <f>INDEX('D5 - Gatekeeper - Projects'!$A$4:$AF$1010,$AM505, 17)</f>
        <v>#N/A</v>
      </c>
      <c r="AI505" s="8"/>
      <c r="AJ505" s="57"/>
      <c r="AK505" s="105"/>
      <c r="AL505" s="216"/>
      <c r="AM505" s="6" t="e">
        <f>MATCH(D505,'D5 - Gatekeeper - Projects'!$C$4:$C$1010,0)</f>
        <v>#N/A</v>
      </c>
      <c r="AN505" s="6" t="b">
        <f t="shared" si="46"/>
        <v>1</v>
      </c>
      <c r="AO505" s="6" t="str">
        <f t="shared" si="49"/>
        <v>OK</v>
      </c>
      <c r="AP505" s="216"/>
      <c r="AQ505" s="6" t="e">
        <f>MATCH($D505,'D4 - Provider Council Unsched'!$C$11:$C$234,0)</f>
        <v>#N/A</v>
      </c>
      <c r="AR505" s="6" t="b">
        <f t="shared" si="47"/>
        <v>1</v>
      </c>
      <c r="AS505" s="6" t="str">
        <f t="shared" si="50"/>
        <v>OK</v>
      </c>
      <c r="AU505" s="202"/>
      <c r="AV505" s="262"/>
      <c r="AW505" s="274"/>
    </row>
    <row r="506" spans="1:49" s="13" customFormat="1" ht="33.75" x14ac:dyDescent="0.2">
      <c r="A506" s="14">
        <v>482</v>
      </c>
      <c r="B506" s="14">
        <v>400010173</v>
      </c>
      <c r="C506" s="8" t="s">
        <v>5197</v>
      </c>
      <c r="D506" s="4" t="str">
        <f t="shared" si="48"/>
        <v>400010173R1</v>
      </c>
      <c r="E506" s="309" t="str">
        <f>VLOOKUP($B506,'D7 - NDB Impacted SPRF''s'!$E$6:$O$9929,2,FALSE)</f>
        <v>Fee Schedule Enhancements - Phase 2</v>
      </c>
      <c r="F506" s="8" t="s">
        <v>4961</v>
      </c>
      <c r="G506" s="8" t="s">
        <v>4758</v>
      </c>
      <c r="H506" s="8" t="s">
        <v>4246</v>
      </c>
      <c r="I506" s="20">
        <v>23.93</v>
      </c>
      <c r="J506" s="8" t="s">
        <v>4862</v>
      </c>
      <c r="K506" s="182">
        <v>38885</v>
      </c>
      <c r="L506" s="8" t="s">
        <v>5743</v>
      </c>
      <c r="M506" s="8" t="s">
        <v>2814</v>
      </c>
      <c r="N506" s="38" t="s">
        <v>7969</v>
      </c>
      <c r="O506" s="8"/>
      <c r="P506" s="4" t="str">
        <f>VLOOKUP($B506,'D7 - NDB Impacted SPRF''s'!$E$16:$O$9929,9,FALSE)</f>
        <v>Y</v>
      </c>
      <c r="Q506" s="4" t="str">
        <f>VLOOKUP($B506,'D7 - NDB Impacted SPRF''s'!$E$16:$O$9929,10,FALSE)</f>
        <v>N</v>
      </c>
      <c r="R506" s="4" t="str">
        <f>VLOOKUP($B506,'D7 - NDB Impacted SPRF''s'!$E$16:$O$9929,11,FALSE)</f>
        <v>Y</v>
      </c>
      <c r="S506" s="8" t="s">
        <v>3758</v>
      </c>
      <c r="T506" s="310"/>
      <c r="U506" s="310"/>
      <c r="V506" s="4"/>
      <c r="W506" s="4"/>
      <c r="X506" s="4"/>
      <c r="Y506" s="4"/>
      <c r="Z506" s="4"/>
      <c r="AA506" s="4"/>
      <c r="AB506" s="380" t="str">
        <f>VLOOKUP($B506,'D7 - NDB Impacted SPRF''s'!$E$16:$O$9929,4,FALSE)</f>
        <v>Completed</v>
      </c>
      <c r="AC506" s="380" t="str">
        <f>VLOOKUP($B506,'D7 - NDB Impacted SPRF''s'!$E$16:$O$9929,3,FALSE)</f>
        <v>UnitedHealthcare Employer &amp; Individual</v>
      </c>
      <c r="AD506" s="380" t="str">
        <f>VLOOKUP($B506,'D7 - NDB Impacted SPRF''s'!$E$16:$O$9929,5,FALSE)</f>
        <v>Network Growth / Enhancements</v>
      </c>
      <c r="AE506" s="380" t="str">
        <f>VLOOKUP($B506,'D7 - NDB Impacted SPRF''s'!$E$16:$O$9929,7,FALSE)</f>
        <v>Peter Bompane</v>
      </c>
      <c r="AF506" s="380" t="str">
        <f>VLOOKUP($B506,'D7 - NDB Impacted SPRF''s'!$E$16:$O$9929,6,FALSE)</f>
        <v>Erin Nelson</v>
      </c>
      <c r="AG506" s="282" t="s">
        <v>6682</v>
      </c>
      <c r="AH506" s="311" t="e">
        <f>INDEX('D5 - Gatekeeper - Projects'!$A$4:$AF$1010,$AM506, 17)</f>
        <v>#N/A</v>
      </c>
      <c r="AI506" s="8"/>
      <c r="AJ506" s="57"/>
      <c r="AK506" s="105"/>
      <c r="AL506" s="216"/>
      <c r="AM506" s="6" t="e">
        <f>MATCH(D506,'D5 - Gatekeeper - Projects'!$C$4:$C$1010,0)</f>
        <v>#N/A</v>
      </c>
      <c r="AN506" s="6" t="b">
        <f t="shared" si="46"/>
        <v>1</v>
      </c>
      <c r="AO506" s="6" t="str">
        <f t="shared" si="49"/>
        <v>OK</v>
      </c>
      <c r="AP506" s="216"/>
      <c r="AQ506" s="6" t="e">
        <f>MATCH($D506,'D4 - Provider Council Unsched'!$C$11:$C$234,0)</f>
        <v>#N/A</v>
      </c>
      <c r="AR506" s="6" t="b">
        <f t="shared" si="47"/>
        <v>1</v>
      </c>
      <c r="AS506" s="6" t="str">
        <f t="shared" si="50"/>
        <v>OK</v>
      </c>
      <c r="AU506" s="202"/>
      <c r="AV506" s="262"/>
      <c r="AW506" s="274"/>
    </row>
    <row r="507" spans="1:49" s="13" customFormat="1" ht="33.75" x14ac:dyDescent="0.2">
      <c r="A507" s="14">
        <v>483</v>
      </c>
      <c r="B507" s="14">
        <v>400010173</v>
      </c>
      <c r="C507" s="8" t="s">
        <v>3793</v>
      </c>
      <c r="D507" s="4" t="str">
        <f t="shared" si="48"/>
        <v>400010173U</v>
      </c>
      <c r="E507" s="309" t="str">
        <f>VLOOKUP($B507,'D7 - NDB Impacted SPRF''s'!$E$6:$O$9929,2,FALSE)</f>
        <v>Fee Schedule Enhancements - Phase 2</v>
      </c>
      <c r="F507" s="8" t="s">
        <v>4961</v>
      </c>
      <c r="G507" s="8" t="s">
        <v>4758</v>
      </c>
      <c r="H507" s="8" t="s">
        <v>4246</v>
      </c>
      <c r="I507" s="20">
        <v>1.77</v>
      </c>
      <c r="J507" s="8" t="s">
        <v>4862</v>
      </c>
      <c r="K507" s="182">
        <v>38885</v>
      </c>
      <c r="L507" s="8" t="s">
        <v>5743</v>
      </c>
      <c r="M507" s="8" t="s">
        <v>2814</v>
      </c>
      <c r="N507" s="38" t="s">
        <v>7969</v>
      </c>
      <c r="O507" s="8"/>
      <c r="P507" s="4" t="str">
        <f>VLOOKUP($B507,'D7 - NDB Impacted SPRF''s'!$E$16:$O$9929,9,FALSE)</f>
        <v>Y</v>
      </c>
      <c r="Q507" s="4" t="str">
        <f>VLOOKUP($B507,'D7 - NDB Impacted SPRF''s'!$E$16:$O$9929,10,FALSE)</f>
        <v>N</v>
      </c>
      <c r="R507" s="4" t="str">
        <f>VLOOKUP($B507,'D7 - NDB Impacted SPRF''s'!$E$16:$O$9929,11,FALSE)</f>
        <v>Y</v>
      </c>
      <c r="S507" s="8" t="s">
        <v>3758</v>
      </c>
      <c r="T507" s="310"/>
      <c r="U507" s="310"/>
      <c r="V507" s="4"/>
      <c r="W507" s="4"/>
      <c r="X507" s="4"/>
      <c r="Y507" s="4"/>
      <c r="Z507" s="4"/>
      <c r="AA507" s="4"/>
      <c r="AB507" s="380" t="str">
        <f>VLOOKUP($B507,'D7 - NDB Impacted SPRF''s'!$E$16:$O$9929,4,FALSE)</f>
        <v>Completed</v>
      </c>
      <c r="AC507" s="380" t="str">
        <f>VLOOKUP($B507,'D7 - NDB Impacted SPRF''s'!$E$16:$O$9929,3,FALSE)</f>
        <v>UnitedHealthcare Employer &amp; Individual</v>
      </c>
      <c r="AD507" s="380" t="str">
        <f>VLOOKUP($B507,'D7 - NDB Impacted SPRF''s'!$E$16:$O$9929,5,FALSE)</f>
        <v>Network Growth / Enhancements</v>
      </c>
      <c r="AE507" s="380" t="str">
        <f>VLOOKUP($B507,'D7 - NDB Impacted SPRF''s'!$E$16:$O$9929,7,FALSE)</f>
        <v>Peter Bompane</v>
      </c>
      <c r="AF507" s="380" t="str">
        <f>VLOOKUP($B507,'D7 - NDB Impacted SPRF''s'!$E$16:$O$9929,6,FALSE)</f>
        <v>Erin Nelson</v>
      </c>
      <c r="AG507" s="282" t="s">
        <v>6682</v>
      </c>
      <c r="AH507" s="311" t="e">
        <f>INDEX('D5 - Gatekeeper - Projects'!$A$4:$AF$1010,$AM507, 17)</f>
        <v>#N/A</v>
      </c>
      <c r="AI507" s="8"/>
      <c r="AJ507" s="57"/>
      <c r="AK507" s="105"/>
      <c r="AL507" s="216"/>
      <c r="AM507" s="6" t="e">
        <f>MATCH(D507,'D5 - Gatekeeper - Projects'!$C$4:$C$1010,0)</f>
        <v>#N/A</v>
      </c>
      <c r="AN507" s="6" t="b">
        <f t="shared" si="46"/>
        <v>1</v>
      </c>
      <c r="AO507" s="6" t="str">
        <f t="shared" si="49"/>
        <v>OK</v>
      </c>
      <c r="AP507" s="216"/>
      <c r="AQ507" s="6" t="e">
        <f>MATCH($D507,'D4 - Provider Council Unsched'!$C$11:$C$234,0)</f>
        <v>#N/A</v>
      </c>
      <c r="AR507" s="6" t="b">
        <f t="shared" si="47"/>
        <v>1</v>
      </c>
      <c r="AS507" s="6" t="str">
        <f t="shared" si="50"/>
        <v>OK</v>
      </c>
      <c r="AU507" s="202"/>
      <c r="AV507" s="262"/>
      <c r="AW507" s="274"/>
    </row>
    <row r="508" spans="1:49" s="13" customFormat="1" ht="22.5" x14ac:dyDescent="0.2">
      <c r="A508" s="14">
        <v>484</v>
      </c>
      <c r="B508" s="14">
        <v>400010204</v>
      </c>
      <c r="C508" s="8" t="s">
        <v>5197</v>
      </c>
      <c r="D508" s="4" t="str">
        <f t="shared" si="48"/>
        <v>400010204R1</v>
      </c>
      <c r="E508" s="309" t="str">
        <f>VLOOKUP($B508,'D7 - NDB Impacted SPRF''s'!$E$6:$O$9929,2,FALSE)</f>
        <v>Update Network Changes for NDB &amp; CCM</v>
      </c>
      <c r="F508" s="8" t="s">
        <v>3235</v>
      </c>
      <c r="G508" s="8" t="s">
        <v>4758</v>
      </c>
      <c r="H508" s="8" t="s">
        <v>4246</v>
      </c>
      <c r="I508" s="20">
        <v>0.53</v>
      </c>
      <c r="J508" s="8" t="s">
        <v>4862</v>
      </c>
      <c r="K508" s="182">
        <v>38885</v>
      </c>
      <c r="L508" s="8" t="s">
        <v>5743</v>
      </c>
      <c r="M508" s="8" t="s">
        <v>2814</v>
      </c>
      <c r="N508" s="367" t="s">
        <v>6016</v>
      </c>
      <c r="O508" s="8"/>
      <c r="P508" s="4" t="str">
        <f>VLOOKUP($B508,'D7 - NDB Impacted SPRF''s'!$E$16:$O$9929,9,FALSE)</f>
        <v>N</v>
      </c>
      <c r="Q508" s="4" t="str">
        <f>VLOOKUP($B508,'D7 - NDB Impacted SPRF''s'!$E$16:$O$9929,10,FALSE)</f>
        <v>N</v>
      </c>
      <c r="R508" s="4" t="str">
        <f>VLOOKUP($B508,'D7 - NDB Impacted SPRF''s'!$E$16:$O$9929,11,FALSE)</f>
        <v>N</v>
      </c>
      <c r="S508" s="8" t="s">
        <v>3758</v>
      </c>
      <c r="T508" s="310"/>
      <c r="U508" s="310"/>
      <c r="V508" s="4"/>
      <c r="W508" s="4"/>
      <c r="X508" s="4"/>
      <c r="Y508" s="4"/>
      <c r="Z508" s="4"/>
      <c r="AA508" s="4"/>
      <c r="AB508" s="380" t="str">
        <f>VLOOKUP($B508,'D7 - NDB Impacted SPRF''s'!$E$16:$O$9929,4,FALSE)</f>
        <v>Completed</v>
      </c>
      <c r="AC508" s="380" t="str">
        <f>VLOOKUP($B508,'D7 - NDB Impacted SPRF''s'!$E$16:$O$9929,3,FALSE)</f>
        <v>Uniprise</v>
      </c>
      <c r="AD508" s="380" t="str">
        <f>VLOOKUP($B508,'D7 - NDB Impacted SPRF''s'!$E$16:$O$9929,5,FALSE)</f>
        <v>Group Services - Capital Projects</v>
      </c>
      <c r="AE508" s="380" t="str">
        <f>VLOOKUP($B508,'D7 - NDB Impacted SPRF''s'!$E$16:$O$9929,7,FALSE)</f>
        <v>Joe Chalastra</v>
      </c>
      <c r="AF508" s="380" t="str">
        <f>VLOOKUP($B508,'D7 - NDB Impacted SPRF''s'!$E$16:$O$9929,6,FALSE)</f>
        <v>PAUL KASCHULUK</v>
      </c>
      <c r="AG508" s="282" t="s">
        <v>7755</v>
      </c>
      <c r="AH508" s="311" t="e">
        <f>INDEX('D5 - Gatekeeper - Projects'!$A$4:$AF$1010,$AM508, 17)</f>
        <v>#N/A</v>
      </c>
      <c r="AI508" s="8"/>
      <c r="AJ508" s="57"/>
      <c r="AK508" s="105"/>
      <c r="AL508" s="216"/>
      <c r="AM508" s="6" t="e">
        <f>MATCH(D508,'D5 - Gatekeeper - Projects'!$C$4:$C$1010,0)</f>
        <v>#N/A</v>
      </c>
      <c r="AN508" s="6" t="b">
        <f t="shared" si="46"/>
        <v>1</v>
      </c>
      <c r="AO508" s="6" t="str">
        <f t="shared" si="49"/>
        <v>OK</v>
      </c>
      <c r="AP508" s="216"/>
      <c r="AQ508" s="6" t="e">
        <f>MATCH($D508,'D4 - Provider Council Unsched'!$C$11:$C$234,0)</f>
        <v>#N/A</v>
      </c>
      <c r="AR508" s="6" t="b">
        <f t="shared" si="47"/>
        <v>1</v>
      </c>
      <c r="AS508" s="6" t="str">
        <f t="shared" si="50"/>
        <v>OK</v>
      </c>
      <c r="AU508" s="202"/>
      <c r="AV508" s="262"/>
      <c r="AW508" s="274"/>
    </row>
    <row r="509" spans="1:49" s="13" customFormat="1" ht="22.5" x14ac:dyDescent="0.2">
      <c r="A509" s="14">
        <v>485</v>
      </c>
      <c r="B509" s="14">
        <v>400010406</v>
      </c>
      <c r="C509" s="8" t="s">
        <v>5197</v>
      </c>
      <c r="D509" s="4" t="str">
        <f t="shared" si="48"/>
        <v>400010406R1</v>
      </c>
      <c r="E509" s="309" t="str">
        <f>VLOOKUP($B509,'D7 - NDB Impacted SPRF''s'!$E$6:$O$9929,2,FALSE)</f>
        <v>Medica - MEDI1 PTI One-Shot</v>
      </c>
      <c r="F509" s="8" t="s">
        <v>5196</v>
      </c>
      <c r="G509" s="8" t="s">
        <v>4758</v>
      </c>
      <c r="H509" s="8" t="s">
        <v>4246</v>
      </c>
      <c r="I509" s="20">
        <v>3.17</v>
      </c>
      <c r="J509" s="8" t="s">
        <v>4862</v>
      </c>
      <c r="K509" s="182">
        <v>38885</v>
      </c>
      <c r="L509" s="8" t="s">
        <v>5743</v>
      </c>
      <c r="M509" s="8" t="s">
        <v>2814</v>
      </c>
      <c r="N509" s="367" t="s">
        <v>4120</v>
      </c>
      <c r="O509" s="8"/>
      <c r="P509" s="4" t="str">
        <f>VLOOKUP($B509,'D7 - NDB Impacted SPRF''s'!$E$16:$O$9929,9,FALSE)</f>
        <v>N</v>
      </c>
      <c r="Q509" s="4" t="str">
        <f>VLOOKUP($B509,'D7 - NDB Impacted SPRF''s'!$E$16:$O$9929,10,FALSE)</f>
        <v>N</v>
      </c>
      <c r="R509" s="4" t="str">
        <f>VLOOKUP($B509,'D7 - NDB Impacted SPRF''s'!$E$16:$O$9929,11,FALSE)</f>
        <v>N</v>
      </c>
      <c r="S509" s="8" t="s">
        <v>3758</v>
      </c>
      <c r="T509" s="310"/>
      <c r="U509" s="310"/>
      <c r="V509" s="4"/>
      <c r="W509" s="4"/>
      <c r="X509" s="4"/>
      <c r="Y509" s="4"/>
      <c r="Z509" s="4"/>
      <c r="AA509" s="4"/>
      <c r="AB509" s="380" t="str">
        <f>VLOOKUP($B509,'D7 - NDB Impacted SPRF''s'!$E$16:$O$9929,4,FALSE)</f>
        <v>Completed</v>
      </c>
      <c r="AC509" s="380" t="str">
        <f>VLOOKUP($B509,'D7 - NDB Impacted SPRF''s'!$E$16:$O$9929,3,FALSE)</f>
        <v>Alliance</v>
      </c>
      <c r="AD509" s="380" t="str">
        <f>VLOOKUP($B509,'D7 - NDB Impacted SPRF''s'!$E$16:$O$9929,5,FALSE)</f>
        <v>Medica UNET Conversion</v>
      </c>
      <c r="AE509" s="380" t="str">
        <f>VLOOKUP($B509,'D7 - NDB Impacted SPRF''s'!$E$16:$O$9929,7,FALSE)</f>
        <v>Bev Nyce</v>
      </c>
      <c r="AF509" s="380" t="str">
        <f>VLOOKUP($B509,'D7 - NDB Impacted SPRF''s'!$E$16:$O$9929,6,FALSE)</f>
        <v>ELIZABETH Young</v>
      </c>
      <c r="AG509" s="282" t="s">
        <v>6682</v>
      </c>
      <c r="AH509" s="311" t="e">
        <f>INDEX('D5 - Gatekeeper - Projects'!$A$4:$AF$1010,$AM509, 17)</f>
        <v>#N/A</v>
      </c>
      <c r="AI509" s="8"/>
      <c r="AJ509" s="57"/>
      <c r="AK509" s="105"/>
      <c r="AL509" s="216"/>
      <c r="AM509" s="6" t="e">
        <f>MATCH(D509,'D5 - Gatekeeper - Projects'!$C$4:$C$1010,0)</f>
        <v>#N/A</v>
      </c>
      <c r="AN509" s="6" t="b">
        <f t="shared" si="46"/>
        <v>1</v>
      </c>
      <c r="AO509" s="6" t="str">
        <f t="shared" si="49"/>
        <v>OK</v>
      </c>
      <c r="AP509" s="216"/>
      <c r="AQ509" s="6" t="e">
        <f>MATCH($D509,'D4 - Provider Council Unsched'!$C$11:$C$234,0)</f>
        <v>#N/A</v>
      </c>
      <c r="AR509" s="6" t="b">
        <f t="shared" si="47"/>
        <v>1</v>
      </c>
      <c r="AS509" s="6" t="str">
        <f t="shared" si="50"/>
        <v>OK</v>
      </c>
      <c r="AU509" s="202"/>
      <c r="AV509" s="262"/>
      <c r="AW509" s="274"/>
    </row>
    <row r="510" spans="1:49" s="13" customFormat="1" ht="45" x14ac:dyDescent="0.2">
      <c r="A510" s="14">
        <v>486</v>
      </c>
      <c r="B510" s="14">
        <v>400010736</v>
      </c>
      <c r="C510" s="8" t="s">
        <v>3286</v>
      </c>
      <c r="D510" s="4" t="str">
        <f t="shared" si="48"/>
        <v>400010736CC02</v>
      </c>
      <c r="E510" s="309" t="str">
        <f>VLOOKUP($B510,'D7 - NDB Impacted SPRF''s'!$E$6:$O$9929,2,FALSE)</f>
        <v>MAMSI Capitation - Tactical Solution</v>
      </c>
      <c r="F510" s="8" t="s">
        <v>7593</v>
      </c>
      <c r="G510" s="8" t="s">
        <v>4758</v>
      </c>
      <c r="H510" s="8" t="s">
        <v>4246</v>
      </c>
      <c r="I510" s="20">
        <v>0.53</v>
      </c>
      <c r="J510" s="8" t="s">
        <v>4862</v>
      </c>
      <c r="K510" s="182">
        <v>38885</v>
      </c>
      <c r="L510" s="8" t="s">
        <v>5743</v>
      </c>
      <c r="M510" s="8" t="s">
        <v>2814</v>
      </c>
      <c r="N510" s="367" t="s">
        <v>7595</v>
      </c>
      <c r="O510" s="8"/>
      <c r="P510" s="4" t="str">
        <f>VLOOKUP($B510,'D7 - NDB Impacted SPRF''s'!$E$16:$O$9929,9,FALSE)</f>
        <v>N</v>
      </c>
      <c r="Q510" s="4" t="str">
        <f>VLOOKUP($B510,'D7 - NDB Impacted SPRF''s'!$E$16:$O$9929,10,FALSE)</f>
        <v>N</v>
      </c>
      <c r="R510" s="4" t="str">
        <f>VLOOKUP($B510,'D7 - NDB Impacted SPRF''s'!$E$16:$O$9929,11,FALSE)</f>
        <v>N</v>
      </c>
      <c r="S510" s="8" t="s">
        <v>3758</v>
      </c>
      <c r="T510" s="310"/>
      <c r="U510" s="310"/>
      <c r="V510" s="4"/>
      <c r="W510" s="4"/>
      <c r="X510" s="4"/>
      <c r="Y510" s="4"/>
      <c r="Z510" s="4"/>
      <c r="AA510" s="4"/>
      <c r="AB510" s="380" t="str">
        <f>VLOOKUP($B510,'D7 - NDB Impacted SPRF''s'!$E$16:$O$9929,4,FALSE)</f>
        <v>Completed</v>
      </c>
      <c r="AC510" s="380" t="str">
        <f>VLOOKUP($B510,'D7 - NDB Impacted SPRF''s'!$E$16:$O$9929,3,FALSE)</f>
        <v>UnitedHealthcare Employer &amp; Individual</v>
      </c>
      <c r="AD510" s="380" t="str">
        <f>VLOOKUP($B510,'D7 - NDB Impacted SPRF''s'!$E$16:$O$9929,5,FALSE)</f>
        <v>Medical Cost Savings Programs</v>
      </c>
      <c r="AE510" s="380" t="str">
        <f>VLOOKUP($B510,'D7 - NDB Impacted SPRF''s'!$E$16:$O$9929,7,FALSE)</f>
        <v>Kevin Ruth</v>
      </c>
      <c r="AF510" s="380" t="str">
        <f>VLOOKUP($B510,'D7 - NDB Impacted SPRF''s'!$E$16:$O$9929,6,FALSE)</f>
        <v>Janet Wright</v>
      </c>
      <c r="AG510" s="282" t="s">
        <v>7755</v>
      </c>
      <c r="AH510" s="311" t="e">
        <f>INDEX('D5 - Gatekeeper - Projects'!$A$4:$AF$1010,$AM510, 17)</f>
        <v>#N/A</v>
      </c>
      <c r="AI510" s="8"/>
      <c r="AJ510" s="57"/>
      <c r="AK510" s="105"/>
      <c r="AL510" s="216"/>
      <c r="AM510" s="6" t="e">
        <f>MATCH(D510,'D5 - Gatekeeper - Projects'!$C$4:$C$1010,0)</f>
        <v>#N/A</v>
      </c>
      <c r="AN510" s="6" t="b">
        <f t="shared" si="46"/>
        <v>1</v>
      </c>
      <c r="AO510" s="6" t="str">
        <f t="shared" si="49"/>
        <v>OK</v>
      </c>
      <c r="AP510" s="216"/>
      <c r="AQ510" s="6" t="e">
        <f>MATCH($D510,'D4 - Provider Council Unsched'!$C$11:$C$234,0)</f>
        <v>#N/A</v>
      </c>
      <c r="AR510" s="6" t="b">
        <f t="shared" si="47"/>
        <v>1</v>
      </c>
      <c r="AS510" s="6" t="str">
        <f t="shared" si="50"/>
        <v>OK</v>
      </c>
      <c r="AU510" s="202"/>
      <c r="AV510" s="262"/>
      <c r="AW510" s="274"/>
    </row>
    <row r="511" spans="1:49" s="13" customFormat="1" ht="33.75" x14ac:dyDescent="0.2">
      <c r="A511" s="14">
        <v>487</v>
      </c>
      <c r="B511" s="14">
        <v>400010809</v>
      </c>
      <c r="C511" s="8" t="s">
        <v>5197</v>
      </c>
      <c r="D511" s="4" t="str">
        <f t="shared" si="48"/>
        <v>400010809R1</v>
      </c>
      <c r="E511" s="309" t="str">
        <f>VLOOKUP($B511,'D7 - NDB Impacted SPRF''s'!$E$6:$O$9929,2,FALSE)</f>
        <v>Par Physicians Per Product</v>
      </c>
      <c r="F511" s="8" t="s">
        <v>3235</v>
      </c>
      <c r="G511" s="8" t="s">
        <v>4758</v>
      </c>
      <c r="H511" s="8" t="s">
        <v>4246</v>
      </c>
      <c r="I511" s="20">
        <v>1.73</v>
      </c>
      <c r="J511" s="8" t="s">
        <v>4862</v>
      </c>
      <c r="K511" s="182">
        <v>38885</v>
      </c>
      <c r="L511" s="8" t="s">
        <v>5743</v>
      </c>
      <c r="M511" s="8" t="s">
        <v>2814</v>
      </c>
      <c r="N511" s="367" t="s">
        <v>6085</v>
      </c>
      <c r="O511" s="8"/>
      <c r="P511" s="4" t="str">
        <f>VLOOKUP($B511,'D7 - NDB Impacted SPRF''s'!$E$16:$O$9929,9,FALSE)</f>
        <v>N</v>
      </c>
      <c r="Q511" s="4" t="str">
        <f>VLOOKUP($B511,'D7 - NDB Impacted SPRF''s'!$E$16:$O$9929,10,FALSE)</f>
        <v>N</v>
      </c>
      <c r="R511" s="4" t="str">
        <f>VLOOKUP($B511,'D7 - NDB Impacted SPRF''s'!$E$16:$O$9929,11,FALSE)</f>
        <v>N</v>
      </c>
      <c r="S511" s="8" t="s">
        <v>3758</v>
      </c>
      <c r="T511" s="310"/>
      <c r="U511" s="310"/>
      <c r="V511" s="4"/>
      <c r="W511" s="4"/>
      <c r="X511" s="4"/>
      <c r="Y511" s="4"/>
      <c r="Z511" s="4"/>
      <c r="AA511" s="4"/>
      <c r="AB511" s="380" t="str">
        <f>VLOOKUP($B511,'D7 - NDB Impacted SPRF''s'!$E$16:$O$9929,4,FALSE)</f>
        <v>Completed</v>
      </c>
      <c r="AC511" s="380" t="str">
        <f>VLOOKUP($B511,'D7 - NDB Impacted SPRF''s'!$E$16:$O$9929,3,FALSE)</f>
        <v>UnitedHealthcare Employer &amp; Individual</v>
      </c>
      <c r="AD511" s="380" t="str">
        <f>VLOOKUP($B511,'D7 - NDB Impacted SPRF''s'!$E$16:$O$9929,5,FALSE)</f>
        <v>Operations Group</v>
      </c>
      <c r="AE511" s="380" t="str">
        <f>VLOOKUP($B511,'D7 - NDB Impacted SPRF''s'!$E$16:$O$9929,7,FALSE)</f>
        <v>Brett Edelson</v>
      </c>
      <c r="AF511" s="380" t="str">
        <f>VLOOKUP($B511,'D7 - NDB Impacted SPRF''s'!$E$16:$O$9929,6,FALSE)</f>
        <v>WILLIAM BARBATO</v>
      </c>
      <c r="AG511" s="282" t="s">
        <v>7755</v>
      </c>
      <c r="AH511" s="311" t="e">
        <f>INDEX('D5 - Gatekeeper - Projects'!$A$4:$AF$1010,$AM511, 17)</f>
        <v>#N/A</v>
      </c>
      <c r="AI511" s="8"/>
      <c r="AJ511" s="57"/>
      <c r="AK511" s="105"/>
      <c r="AL511" s="216"/>
      <c r="AM511" s="6" t="e">
        <f>MATCH(D511,'D5 - Gatekeeper - Projects'!$C$4:$C$1010,0)</f>
        <v>#N/A</v>
      </c>
      <c r="AN511" s="6" t="b">
        <f t="shared" si="46"/>
        <v>1</v>
      </c>
      <c r="AO511" s="6" t="str">
        <f t="shared" si="49"/>
        <v>OK</v>
      </c>
      <c r="AP511" s="216"/>
      <c r="AQ511" s="6" t="e">
        <f>MATCH($D511,'D4 - Provider Council Unsched'!$C$11:$C$234,0)</f>
        <v>#N/A</v>
      </c>
      <c r="AR511" s="6" t="b">
        <f t="shared" si="47"/>
        <v>1</v>
      </c>
      <c r="AS511" s="6" t="str">
        <f t="shared" si="50"/>
        <v>OK</v>
      </c>
      <c r="AU511" s="202"/>
      <c r="AV511" s="262"/>
      <c r="AW511" s="274"/>
    </row>
    <row r="512" spans="1:49" s="13" customFormat="1" ht="33.75" x14ac:dyDescent="0.2">
      <c r="A512" s="14">
        <v>488</v>
      </c>
      <c r="B512" s="14">
        <v>400010869</v>
      </c>
      <c r="C512" s="8" t="s">
        <v>5197</v>
      </c>
      <c r="D512" s="4" t="str">
        <f t="shared" si="48"/>
        <v>400010869R1</v>
      </c>
      <c r="E512" s="309" t="str">
        <f>VLOOKUP($B512,'D7 - NDB Impacted SPRF''s'!$E$6:$O$9929,2,FALSE)</f>
        <v>AMS Facility Data Load</v>
      </c>
      <c r="F512" s="8" t="s">
        <v>6071</v>
      </c>
      <c r="G512" s="8" t="s">
        <v>4758</v>
      </c>
      <c r="H512" s="8" t="s">
        <v>4246</v>
      </c>
      <c r="I512" s="20">
        <v>2.82</v>
      </c>
      <c r="J512" s="8" t="s">
        <v>4862</v>
      </c>
      <c r="K512" s="182">
        <v>38885</v>
      </c>
      <c r="L512" s="8" t="s">
        <v>5743</v>
      </c>
      <c r="M512" s="8" t="s">
        <v>2814</v>
      </c>
      <c r="N512" s="367" t="s">
        <v>3358</v>
      </c>
      <c r="O512" s="8"/>
      <c r="P512" s="4" t="str">
        <f>VLOOKUP($B512,'D7 - NDB Impacted SPRF''s'!$E$16:$O$9929,9,FALSE)</f>
        <v>N</v>
      </c>
      <c r="Q512" s="4" t="str">
        <f>VLOOKUP($B512,'D7 - NDB Impacted SPRF''s'!$E$16:$O$9929,10,FALSE)</f>
        <v>N</v>
      </c>
      <c r="R512" s="4" t="str">
        <f>VLOOKUP($B512,'D7 - NDB Impacted SPRF''s'!$E$16:$O$9929,11,FALSE)</f>
        <v>N</v>
      </c>
      <c r="S512" s="8" t="s">
        <v>3758</v>
      </c>
      <c r="T512" s="310"/>
      <c r="U512" s="310"/>
      <c r="V512" s="4"/>
      <c r="W512" s="4"/>
      <c r="X512" s="4"/>
      <c r="Y512" s="4"/>
      <c r="Z512" s="4"/>
      <c r="AA512" s="4"/>
      <c r="AB512" s="380" t="str">
        <f>VLOOKUP($B512,'D7 - NDB Impacted SPRF''s'!$E$16:$O$9929,4,FALSE)</f>
        <v>Completed</v>
      </c>
      <c r="AC512" s="380" t="str">
        <f>VLOOKUP($B512,'D7 - NDB Impacted SPRF''s'!$E$16:$O$9929,3,FALSE)</f>
        <v>UnitedHealthcare Employer &amp; Individual</v>
      </c>
      <c r="AD512" s="380" t="str">
        <f>VLOOKUP($B512,'D7 - NDB Impacted SPRF''s'!$E$16:$O$9929,5,FALSE)</f>
        <v>Integration Requirements</v>
      </c>
      <c r="AE512" s="380" t="str">
        <f>VLOOKUP($B512,'D7 - NDB Impacted SPRF''s'!$E$16:$O$9929,7,FALSE)</f>
        <v>Patrick Kennedy</v>
      </c>
      <c r="AF512" s="380" t="str">
        <f>VLOOKUP($B512,'D7 - NDB Impacted SPRF''s'!$E$16:$O$9929,6,FALSE)</f>
        <v>PETER MARTINSON</v>
      </c>
      <c r="AG512" s="282" t="s">
        <v>6682</v>
      </c>
      <c r="AH512" s="311" t="e">
        <f>INDEX('D5 - Gatekeeper - Projects'!$A$4:$AF$1010,$AM512, 17)</f>
        <v>#N/A</v>
      </c>
      <c r="AI512" s="8"/>
      <c r="AJ512" s="57"/>
      <c r="AK512" s="105"/>
      <c r="AL512" s="216"/>
      <c r="AM512" s="6" t="e">
        <f>MATCH(D512,'D5 - Gatekeeper - Projects'!$C$4:$C$1010,0)</f>
        <v>#N/A</v>
      </c>
      <c r="AN512" s="6" t="b">
        <f t="shared" si="46"/>
        <v>1</v>
      </c>
      <c r="AO512" s="6" t="str">
        <f t="shared" si="49"/>
        <v>OK</v>
      </c>
      <c r="AP512" s="216"/>
      <c r="AQ512" s="6" t="e">
        <f>MATCH($D512,'D4 - Provider Council Unsched'!$C$11:$C$234,0)</f>
        <v>#N/A</v>
      </c>
      <c r="AR512" s="6" t="b">
        <f t="shared" si="47"/>
        <v>1</v>
      </c>
      <c r="AS512" s="6" t="str">
        <f t="shared" si="50"/>
        <v>OK</v>
      </c>
      <c r="AU512" s="202"/>
      <c r="AV512" s="262"/>
      <c r="AW512" s="274"/>
    </row>
    <row r="513" spans="1:49" s="13" customFormat="1" ht="33.75" x14ac:dyDescent="0.2">
      <c r="A513" s="14">
        <v>489</v>
      </c>
      <c r="B513" s="14">
        <v>400011137</v>
      </c>
      <c r="C513" s="8" t="s">
        <v>5197</v>
      </c>
      <c r="D513" s="4" t="str">
        <f t="shared" si="48"/>
        <v>400011137R1</v>
      </c>
      <c r="E513" s="309" t="str">
        <f>VLOOKUP($B513,'D7 - NDB Impacted SPRF''s'!$E$6:$O$9929,2,FALSE)</f>
        <v>Work Order - AMS Addition of Choice Plus Providers</v>
      </c>
      <c r="F513" s="8" t="s">
        <v>6071</v>
      </c>
      <c r="G513" s="8" t="s">
        <v>4758</v>
      </c>
      <c r="H513" s="8" t="s">
        <v>4246</v>
      </c>
      <c r="I513" s="20">
        <v>0.53</v>
      </c>
      <c r="J513" s="8" t="s">
        <v>4862</v>
      </c>
      <c r="K513" s="182">
        <v>38885</v>
      </c>
      <c r="L513" s="8" t="s">
        <v>6919</v>
      </c>
      <c r="M513" s="8" t="s">
        <v>2814</v>
      </c>
      <c r="N513" s="367" t="s">
        <v>3358</v>
      </c>
      <c r="O513" s="8"/>
      <c r="P513" s="4" t="str">
        <f>VLOOKUP($B513,'D7 - NDB Impacted SPRF''s'!$E$16:$O$9929,9,FALSE)</f>
        <v>N</v>
      </c>
      <c r="Q513" s="4" t="str">
        <f>VLOOKUP($B513,'D7 - NDB Impacted SPRF''s'!$E$16:$O$9929,10,FALSE)</f>
        <v>N</v>
      </c>
      <c r="R513" s="4" t="str">
        <f>VLOOKUP($B513,'D7 - NDB Impacted SPRF''s'!$E$16:$O$9929,11,FALSE)</f>
        <v>N</v>
      </c>
      <c r="S513" s="8" t="s">
        <v>3758</v>
      </c>
      <c r="T513" s="310"/>
      <c r="U513" s="310"/>
      <c r="V513" s="4"/>
      <c r="W513" s="4"/>
      <c r="X513" s="4"/>
      <c r="Y513" s="4"/>
      <c r="Z513" s="4"/>
      <c r="AA513" s="4"/>
      <c r="AB513" s="380" t="str">
        <f>VLOOKUP($B513,'D7 - NDB Impacted SPRF''s'!$E$16:$O$9929,4,FALSE)</f>
        <v>Completed</v>
      </c>
      <c r="AC513" s="380" t="str">
        <f>VLOOKUP($B513,'D7 - NDB Impacted SPRF''s'!$E$16:$O$9929,3,FALSE)</f>
        <v>UnitedHealthcare Employer &amp; Individual</v>
      </c>
      <c r="AD513" s="380" t="str">
        <f>VLOOKUP($B513,'D7 - NDB Impacted SPRF''s'!$E$16:$O$9929,5,FALSE)</f>
        <v>Integration Requirements</v>
      </c>
      <c r="AE513" s="380" t="str">
        <f>VLOOKUP($B513,'D7 - NDB Impacted SPRF''s'!$E$16:$O$9929,7,FALSE)</f>
        <v>Patrick Kennedy</v>
      </c>
      <c r="AF513" s="380" t="str">
        <f>VLOOKUP($B513,'D7 - NDB Impacted SPRF''s'!$E$16:$O$9929,6,FALSE)</f>
        <v>DONNA SALT</v>
      </c>
      <c r="AG513" s="282" t="s">
        <v>6162</v>
      </c>
      <c r="AH513" s="311" t="e">
        <f>INDEX('D5 - Gatekeeper - Projects'!$A$4:$AF$1010,$AM513, 17)</f>
        <v>#N/A</v>
      </c>
      <c r="AI513" s="8"/>
      <c r="AJ513" s="57"/>
      <c r="AK513" s="105"/>
      <c r="AM513" s="6" t="e">
        <f>MATCH(D513,'D5 - Gatekeeper - Projects'!$C$4:$C$1010,0)</f>
        <v>#N/A</v>
      </c>
      <c r="AN513" s="6" t="b">
        <f t="shared" si="46"/>
        <v>1</v>
      </c>
      <c r="AO513" s="6" t="str">
        <f t="shared" si="49"/>
        <v>OK</v>
      </c>
      <c r="AQ513" s="6" t="e">
        <f>MATCH($D513,'D4 - Provider Council Unsched'!$C$11:$C$234,0)</f>
        <v>#N/A</v>
      </c>
      <c r="AR513" s="6" t="b">
        <f t="shared" si="47"/>
        <v>1</v>
      </c>
      <c r="AS513" s="6" t="str">
        <f t="shared" si="50"/>
        <v>OK</v>
      </c>
      <c r="AU513" s="202"/>
      <c r="AV513" s="262"/>
      <c r="AW513" s="274"/>
    </row>
    <row r="514" spans="1:49" s="13" customFormat="1" ht="33.75" x14ac:dyDescent="0.2">
      <c r="A514" s="14">
        <v>490</v>
      </c>
      <c r="B514" s="14">
        <v>400011175</v>
      </c>
      <c r="C514" s="8" t="s">
        <v>5197</v>
      </c>
      <c r="D514" s="4" t="str">
        <f t="shared" si="48"/>
        <v>400011175R1</v>
      </c>
      <c r="E514" s="309" t="str">
        <f>VLOOKUP($B514,'D7 - NDB Impacted SPRF''s'!$E$6:$O$9929,2,FALSE)</f>
        <v xml:space="preserve">Add expansion area to public website </v>
      </c>
      <c r="F514" s="8" t="s">
        <v>6007</v>
      </c>
      <c r="G514" s="8" t="s">
        <v>4758</v>
      </c>
      <c r="H514" s="8" t="s">
        <v>4246</v>
      </c>
      <c r="I514" s="20">
        <v>0.27</v>
      </c>
      <c r="J514" s="8" t="s">
        <v>4862</v>
      </c>
      <c r="K514" s="182">
        <v>38885</v>
      </c>
      <c r="L514" s="8" t="s">
        <v>6919</v>
      </c>
      <c r="M514" s="8" t="s">
        <v>2814</v>
      </c>
      <c r="N514" s="367" t="s">
        <v>3336</v>
      </c>
      <c r="O514" s="8"/>
      <c r="P514" s="4" t="str">
        <f>VLOOKUP($B514,'D7 - NDB Impacted SPRF''s'!$E$16:$O$9929,9,FALSE)</f>
        <v>N</v>
      </c>
      <c r="Q514" s="4" t="str">
        <f>VLOOKUP($B514,'D7 - NDB Impacted SPRF''s'!$E$16:$O$9929,10,FALSE)</f>
        <v>N</v>
      </c>
      <c r="R514" s="4" t="str">
        <f>VLOOKUP($B514,'D7 - NDB Impacted SPRF''s'!$E$16:$O$9929,11,FALSE)</f>
        <v>N</v>
      </c>
      <c r="S514" s="8" t="s">
        <v>3758</v>
      </c>
      <c r="T514" s="310"/>
      <c r="U514" s="310"/>
      <c r="V514" s="4"/>
      <c r="W514" s="4"/>
      <c r="X514" s="4"/>
      <c r="Y514" s="4"/>
      <c r="Z514" s="4"/>
      <c r="AA514" s="4"/>
      <c r="AB514" s="380" t="str">
        <f>VLOOKUP($B514,'D7 - NDB Impacted SPRF''s'!$E$16:$O$9929,4,FALSE)</f>
        <v>Completed</v>
      </c>
      <c r="AC514" s="380" t="str">
        <f>VLOOKUP($B514,'D7 - NDB Impacted SPRF''s'!$E$16:$O$9929,3,FALSE)</f>
        <v>UnitedHealthcare Medicare &amp; Retirement</v>
      </c>
      <c r="AD514" s="380" t="str">
        <f>VLOOKUP($B514,'D7 - NDB Impacted SPRF''s'!$E$16:$O$9929,5,FALSE)</f>
        <v>XXNon-COG</v>
      </c>
      <c r="AE514" s="380" t="str">
        <f>VLOOKUP($B514,'D7 - NDB Impacted SPRF''s'!$E$16:$O$9929,7,FALSE)</f>
        <v>Lori Willard</v>
      </c>
      <c r="AF514" s="380" t="str">
        <f>VLOOKUP($B514,'D7 - NDB Impacted SPRF''s'!$E$16:$O$9929,6,FALSE)</f>
        <v>Susan Gruwell</v>
      </c>
      <c r="AG514" s="282" t="s">
        <v>7755</v>
      </c>
      <c r="AH514" s="311" t="e">
        <f>INDEX('D5 - Gatekeeper - Projects'!$A$4:$AF$1010,$AM514, 17)</f>
        <v>#N/A</v>
      </c>
      <c r="AI514" s="8"/>
      <c r="AJ514" s="57"/>
      <c r="AK514" s="105"/>
      <c r="AM514" s="6" t="e">
        <f>MATCH(D514,'D5 - Gatekeeper - Projects'!$C$4:$C$1010,0)</f>
        <v>#N/A</v>
      </c>
      <c r="AN514" s="6" t="b">
        <f t="shared" si="46"/>
        <v>1</v>
      </c>
      <c r="AO514" s="6" t="str">
        <f t="shared" si="49"/>
        <v>OK</v>
      </c>
      <c r="AQ514" s="6" t="e">
        <f>MATCH($D514,'D4 - Provider Council Unsched'!$C$11:$C$234,0)</f>
        <v>#N/A</v>
      </c>
      <c r="AR514" s="6" t="b">
        <f t="shared" si="47"/>
        <v>1</v>
      </c>
      <c r="AS514" s="6" t="str">
        <f t="shared" si="50"/>
        <v>OK</v>
      </c>
      <c r="AU514" s="202"/>
      <c r="AV514" s="262"/>
      <c r="AW514" s="274"/>
    </row>
    <row r="515" spans="1:49" s="13" customFormat="1" ht="22.5" x14ac:dyDescent="0.2">
      <c r="A515" s="14">
        <v>491</v>
      </c>
      <c r="B515" s="14">
        <v>400011271</v>
      </c>
      <c r="C515" s="8" t="s">
        <v>5197</v>
      </c>
      <c r="D515" s="4" t="str">
        <f t="shared" si="48"/>
        <v>400011271R1</v>
      </c>
      <c r="E515" s="309" t="str">
        <f>VLOOKUP($B515,'D7 - NDB Impacted SPRF''s'!$E$6:$O$9929,2,FALSE)</f>
        <v>WO - HPHC1 - EPDL Address Comparison Reports</v>
      </c>
      <c r="F515" s="8" t="s">
        <v>6007</v>
      </c>
      <c r="G515" s="8" t="s">
        <v>4758</v>
      </c>
      <c r="H515" s="8" t="s">
        <v>4246</v>
      </c>
      <c r="I515" s="20">
        <v>0.53</v>
      </c>
      <c r="J515" s="8" t="s">
        <v>4862</v>
      </c>
      <c r="K515" s="182">
        <v>38885</v>
      </c>
      <c r="L515" s="8" t="s">
        <v>6919</v>
      </c>
      <c r="M515" s="8" t="s">
        <v>2814</v>
      </c>
      <c r="N515" s="367" t="s">
        <v>3358</v>
      </c>
      <c r="O515" s="8"/>
      <c r="P515" s="4" t="str">
        <f>VLOOKUP($B515,'D7 - NDB Impacted SPRF''s'!$E$16:$O$9929,9,FALSE)</f>
        <v>N</v>
      </c>
      <c r="Q515" s="4" t="str">
        <f>VLOOKUP($B515,'D7 - NDB Impacted SPRF''s'!$E$16:$O$9929,10,FALSE)</f>
        <v>N</v>
      </c>
      <c r="R515" s="4" t="str">
        <f>VLOOKUP($B515,'D7 - NDB Impacted SPRF''s'!$E$16:$O$9929,11,FALSE)</f>
        <v>N</v>
      </c>
      <c r="S515" s="8" t="s">
        <v>3758</v>
      </c>
      <c r="T515" s="310"/>
      <c r="U515" s="310"/>
      <c r="V515" s="4"/>
      <c r="W515" s="4"/>
      <c r="X515" s="4"/>
      <c r="Y515" s="4"/>
      <c r="Z515" s="4"/>
      <c r="AA515" s="4"/>
      <c r="AB515" s="380" t="str">
        <f>VLOOKUP($B515,'D7 - NDB Impacted SPRF''s'!$E$16:$O$9929,4,FALSE)</f>
        <v>Cancelled</v>
      </c>
      <c r="AC515" s="380" t="str">
        <f>VLOOKUP($B515,'D7 - NDB Impacted SPRF''s'!$E$16:$O$9929,3,FALSE)</f>
        <v>Alliance</v>
      </c>
      <c r="AD515" s="380" t="str">
        <f>VLOOKUP($B515,'D7 - NDB Impacted SPRF''s'!$E$16:$O$9929,5,FALSE)</f>
        <v>Harvard Pilgrim Service Alliance</v>
      </c>
      <c r="AE515" s="380" t="str">
        <f>VLOOKUP($B515,'D7 - NDB Impacted SPRF''s'!$E$16:$O$9929,7,FALSE)</f>
        <v>Ross Lippincott</v>
      </c>
      <c r="AF515" s="380" t="str">
        <f>VLOOKUP($B515,'D7 - NDB Impacted SPRF''s'!$E$16:$O$9929,6,FALSE)</f>
        <v>THOMAS ABBOTT</v>
      </c>
      <c r="AG515" s="282" t="s">
        <v>6682</v>
      </c>
      <c r="AH515" s="311" t="e">
        <f>INDEX('D5 - Gatekeeper - Projects'!$A$4:$AF$1010,$AM515, 17)</f>
        <v>#N/A</v>
      </c>
      <c r="AI515" s="8"/>
      <c r="AJ515" s="57"/>
      <c r="AK515" s="105"/>
      <c r="AL515" s="216"/>
      <c r="AM515" s="6" t="e">
        <f>MATCH(D515,'D5 - Gatekeeper - Projects'!$C$4:$C$1010,0)</f>
        <v>#N/A</v>
      </c>
      <c r="AN515" s="6" t="b">
        <f t="shared" si="46"/>
        <v>1</v>
      </c>
      <c r="AO515" s="6" t="str">
        <f t="shared" si="49"/>
        <v>OK</v>
      </c>
      <c r="AP515" s="216"/>
      <c r="AQ515" s="6" t="e">
        <f>MATCH($D515,'D4 - Provider Council Unsched'!$C$11:$C$234,0)</f>
        <v>#N/A</v>
      </c>
      <c r="AR515" s="6" t="b">
        <f t="shared" si="47"/>
        <v>1</v>
      </c>
      <c r="AS515" s="6" t="str">
        <f t="shared" si="50"/>
        <v>OK</v>
      </c>
      <c r="AU515" s="202"/>
      <c r="AV515" s="262"/>
      <c r="AW515" s="274"/>
    </row>
    <row r="516" spans="1:49" s="13" customFormat="1" ht="33.75" x14ac:dyDescent="0.2">
      <c r="A516" s="14">
        <v>492</v>
      </c>
      <c r="B516" s="14">
        <v>400011291</v>
      </c>
      <c r="C516" s="8" t="s">
        <v>5197</v>
      </c>
      <c r="D516" s="4" t="str">
        <f t="shared" si="48"/>
        <v>400011291R1</v>
      </c>
      <c r="E516" s="309" t="str">
        <f>VLOOKUP($B516,'D7 - NDB Impacted SPRF''s'!$E$6:$O$9929,2,FALSE)</f>
        <v>Pacificare -- Term Caretrust</v>
      </c>
      <c r="F516" s="8" t="s">
        <v>6071</v>
      </c>
      <c r="G516" s="8" t="s">
        <v>4758</v>
      </c>
      <c r="H516" s="8" t="s">
        <v>4246</v>
      </c>
      <c r="I516" s="20">
        <v>3.6</v>
      </c>
      <c r="J516" s="8" t="s">
        <v>4862</v>
      </c>
      <c r="K516" s="182">
        <v>38885</v>
      </c>
      <c r="L516" s="8" t="s">
        <v>5743</v>
      </c>
      <c r="M516" s="8" t="s">
        <v>2814</v>
      </c>
      <c r="N516" s="367" t="s">
        <v>8078</v>
      </c>
      <c r="O516" s="8"/>
      <c r="P516" s="4" t="str">
        <f>VLOOKUP($B516,'D7 - NDB Impacted SPRF''s'!$E$16:$O$9929,9,FALSE)</f>
        <v>N</v>
      </c>
      <c r="Q516" s="4" t="str">
        <f>VLOOKUP($B516,'D7 - NDB Impacted SPRF''s'!$E$16:$O$9929,10,FALSE)</f>
        <v>N</v>
      </c>
      <c r="R516" s="4" t="str">
        <f>VLOOKUP($B516,'D7 - NDB Impacted SPRF''s'!$E$16:$O$9929,11,FALSE)</f>
        <v>N</v>
      </c>
      <c r="S516" s="8" t="s">
        <v>3758</v>
      </c>
      <c r="T516" s="310"/>
      <c r="U516" s="310"/>
      <c r="V516" s="4"/>
      <c r="W516" s="4"/>
      <c r="X516" s="4"/>
      <c r="Y516" s="4"/>
      <c r="Z516" s="4"/>
      <c r="AA516" s="4"/>
      <c r="AB516" s="380" t="str">
        <f>VLOOKUP($B516,'D7 - NDB Impacted SPRF''s'!$E$16:$O$9929,4,FALSE)</f>
        <v>Completed</v>
      </c>
      <c r="AC516" s="380" t="str">
        <f>VLOOKUP($B516,'D7 - NDB Impacted SPRF''s'!$E$16:$O$9929,3,FALSE)</f>
        <v>UnitedHealthcare Employer &amp; Individual</v>
      </c>
      <c r="AD516" s="380" t="str">
        <f>VLOOKUP($B516,'D7 - NDB Impacted SPRF''s'!$E$16:$O$9929,5,FALSE)</f>
        <v>Pacificare Integration</v>
      </c>
      <c r="AE516" s="380" t="str">
        <f>VLOOKUP($B516,'D7 - NDB Impacted SPRF''s'!$E$16:$O$9929,7,FALSE)</f>
        <v>Gerald Brockman</v>
      </c>
      <c r="AF516" s="380" t="str">
        <f>VLOOKUP($B516,'D7 - NDB Impacted SPRF''s'!$E$16:$O$9929,6,FALSE)</f>
        <v>GREGORY MILLS</v>
      </c>
      <c r="AG516" s="282" t="s">
        <v>6682</v>
      </c>
      <c r="AH516" s="311" t="e">
        <f>INDEX('D5 - Gatekeeper - Projects'!$A$4:$AF$1010,$AM516, 17)</f>
        <v>#N/A</v>
      </c>
      <c r="AI516" s="8"/>
      <c r="AJ516" s="57"/>
      <c r="AK516" s="105"/>
      <c r="AL516" s="216"/>
      <c r="AM516" s="6" t="e">
        <f>MATCH(D516,'D5 - Gatekeeper - Projects'!$C$4:$C$1010,0)</f>
        <v>#N/A</v>
      </c>
      <c r="AN516" s="6" t="b">
        <f t="shared" si="46"/>
        <v>1</v>
      </c>
      <c r="AO516" s="6" t="str">
        <f t="shared" si="49"/>
        <v>OK</v>
      </c>
      <c r="AP516" s="216"/>
      <c r="AQ516" s="6" t="e">
        <f>MATCH($D516,'D4 - Provider Council Unsched'!$C$11:$C$234,0)</f>
        <v>#N/A</v>
      </c>
      <c r="AR516" s="6" t="b">
        <f t="shared" si="47"/>
        <v>1</v>
      </c>
      <c r="AS516" s="6" t="str">
        <f t="shared" si="50"/>
        <v>OK</v>
      </c>
      <c r="AU516" s="202"/>
      <c r="AV516" s="262"/>
      <c r="AW516" s="274"/>
    </row>
    <row r="517" spans="1:49" s="13" customFormat="1" ht="33.75" x14ac:dyDescent="0.2">
      <c r="A517" s="14">
        <v>493</v>
      </c>
      <c r="B517" s="14">
        <v>400011736</v>
      </c>
      <c r="C517" s="8" t="s">
        <v>5197</v>
      </c>
      <c r="D517" s="4" t="str">
        <f t="shared" si="48"/>
        <v>400011736R1</v>
      </c>
      <c r="E517" s="309" t="str">
        <f>VLOOKUP($B517,'D7 - NDB Impacted SPRF''s'!$E$6:$O$9929,2,FALSE)</f>
        <v>Multiple Imaging Reduction on Partner Claims</v>
      </c>
      <c r="F517" s="8" t="s">
        <v>6633</v>
      </c>
      <c r="G517" s="8" t="s">
        <v>4758</v>
      </c>
      <c r="H517" s="8" t="s">
        <v>4246</v>
      </c>
      <c r="I517" s="20">
        <v>2.73</v>
      </c>
      <c r="J517" s="8" t="s">
        <v>4862</v>
      </c>
      <c r="K517" s="182">
        <v>38885</v>
      </c>
      <c r="L517" s="8" t="s">
        <v>4156</v>
      </c>
      <c r="M517" s="8" t="s">
        <v>2814</v>
      </c>
      <c r="N517" s="367" t="s">
        <v>3927</v>
      </c>
      <c r="O517" s="8"/>
      <c r="P517" s="4" t="str">
        <f>VLOOKUP($B517,'D7 - NDB Impacted SPRF''s'!$E$16:$O$9929,9,FALSE)</f>
        <v>N</v>
      </c>
      <c r="Q517" s="4" t="str">
        <f>VLOOKUP($B517,'D7 - NDB Impacted SPRF''s'!$E$16:$O$9929,10,FALSE)</f>
        <v>N</v>
      </c>
      <c r="R517" s="4" t="str">
        <f>VLOOKUP($B517,'D7 - NDB Impacted SPRF''s'!$E$16:$O$9929,11,FALSE)</f>
        <v>Y</v>
      </c>
      <c r="S517" s="8"/>
      <c r="T517" s="310"/>
      <c r="U517" s="310"/>
      <c r="V517" s="4"/>
      <c r="W517" s="4"/>
      <c r="X517" s="4"/>
      <c r="Y517" s="4"/>
      <c r="Z517" s="4"/>
      <c r="AA517" s="4"/>
      <c r="AB517" s="380" t="str">
        <f>VLOOKUP($B517,'D7 - NDB Impacted SPRF''s'!$E$16:$O$9929,4,FALSE)</f>
        <v>Cancelled</v>
      </c>
      <c r="AC517" s="380" t="str">
        <f>VLOOKUP($B517,'D7 - NDB Impacted SPRF''s'!$E$16:$O$9929,3,FALSE)</f>
        <v>UnitedHealthcare Employer &amp; Individual</v>
      </c>
      <c r="AD517" s="380" t="str">
        <f>VLOOKUP($B517,'D7 - NDB Impacted SPRF''s'!$E$16:$O$9929,5,FALSE)</f>
        <v>Operations Group</v>
      </c>
      <c r="AE517" s="380" t="str">
        <f>VLOOKUP($B517,'D7 - NDB Impacted SPRF''s'!$E$16:$O$9929,7,FALSE)</f>
        <v>Susan Hames</v>
      </c>
      <c r="AF517" s="380" t="str">
        <f>VLOOKUP($B517,'D7 - NDB Impacted SPRF''s'!$E$16:$O$9929,6,FALSE)</f>
        <v>TRACY STRUZYK</v>
      </c>
      <c r="AG517" s="282" t="s">
        <v>6162</v>
      </c>
      <c r="AH517" s="311" t="e">
        <f>INDEX('D5 - Gatekeeper - Projects'!$A$4:$AF$1010,$AM517, 17)</f>
        <v>#N/A</v>
      </c>
      <c r="AI517" s="8"/>
      <c r="AJ517" s="57"/>
      <c r="AK517" s="105"/>
      <c r="AL517" s="216"/>
      <c r="AM517" s="6" t="e">
        <f>MATCH(D517,'D5 - Gatekeeper - Projects'!$C$4:$C$1010,0)</f>
        <v>#N/A</v>
      </c>
      <c r="AN517" s="6" t="b">
        <f t="shared" si="46"/>
        <v>1</v>
      </c>
      <c r="AO517" s="6" t="str">
        <f t="shared" si="49"/>
        <v>OK</v>
      </c>
      <c r="AP517" s="216"/>
      <c r="AQ517" s="6" t="e">
        <f>MATCH($D517,'D4 - Provider Council Unsched'!$C$11:$C$234,0)</f>
        <v>#N/A</v>
      </c>
      <c r="AR517" s="6" t="b">
        <f t="shared" si="47"/>
        <v>1</v>
      </c>
      <c r="AS517" s="6" t="str">
        <f t="shared" si="50"/>
        <v>OK</v>
      </c>
      <c r="AU517" s="202"/>
      <c r="AV517" s="262"/>
      <c r="AW517" s="274"/>
    </row>
    <row r="518" spans="1:49" s="13" customFormat="1" ht="22.5" x14ac:dyDescent="0.2">
      <c r="A518" s="14">
        <v>494</v>
      </c>
      <c r="B518" s="14">
        <v>400011841</v>
      </c>
      <c r="C518" s="8" t="s">
        <v>1992</v>
      </c>
      <c r="D518" s="4" t="str">
        <f t="shared" si="48"/>
        <v>400011841U1</v>
      </c>
      <c r="E518" s="309" t="str">
        <f>VLOOKUP($B518,'D7 - NDB Impacted SPRF''s'!$E$6:$O$9929,2,FALSE)</f>
        <v>OTS Security Authentication</v>
      </c>
      <c r="F518" s="8" t="s">
        <v>6633</v>
      </c>
      <c r="G518" s="8" t="s">
        <v>4758</v>
      </c>
      <c r="H518" s="8" t="s">
        <v>4246</v>
      </c>
      <c r="I518" s="20">
        <v>1.94</v>
      </c>
      <c r="J518" s="8" t="s">
        <v>4862</v>
      </c>
      <c r="K518" s="182">
        <v>38885</v>
      </c>
      <c r="L518" s="8" t="s">
        <v>6919</v>
      </c>
      <c r="M518" s="8" t="s">
        <v>2814</v>
      </c>
      <c r="N518" s="367" t="s">
        <v>4138</v>
      </c>
      <c r="O518" s="8"/>
      <c r="P518" s="4" t="str">
        <f>VLOOKUP($B518,'D7 - NDB Impacted SPRF''s'!$E$16:$O$9929,9,FALSE)</f>
        <v>N</v>
      </c>
      <c r="Q518" s="4" t="str">
        <f>VLOOKUP($B518,'D7 - NDB Impacted SPRF''s'!$E$16:$O$9929,10,FALSE)</f>
        <v>N</v>
      </c>
      <c r="R518" s="4" t="str">
        <f>VLOOKUP($B518,'D7 - NDB Impacted SPRF''s'!$E$16:$O$9929,11,FALSE)</f>
        <v>N</v>
      </c>
      <c r="S518" s="8" t="s">
        <v>3758</v>
      </c>
      <c r="T518" s="310"/>
      <c r="U518" s="310"/>
      <c r="V518" s="4"/>
      <c r="W518" s="4"/>
      <c r="X518" s="4"/>
      <c r="Y518" s="4"/>
      <c r="Z518" s="4"/>
      <c r="AA518" s="4"/>
      <c r="AB518" s="380" t="str">
        <f>VLOOKUP($B518,'D7 - NDB Impacted SPRF''s'!$E$16:$O$9929,4,FALSE)</f>
        <v>Completed</v>
      </c>
      <c r="AC518" s="380" t="str">
        <f>VLOOKUP($B518,'D7 - NDB Impacted SPRF''s'!$E$16:$O$9929,3,FALSE)</f>
        <v>Uniprise</v>
      </c>
      <c r="AD518" s="380" t="str">
        <f>VLOOKUP($B518,'D7 - NDB Impacted SPRF''s'!$E$16:$O$9929,5,FALSE)</f>
        <v>Uniprise Operations - DDC</v>
      </c>
      <c r="AE518" s="380" t="str">
        <f>VLOOKUP($B518,'D7 - NDB Impacted SPRF''s'!$E$16:$O$9929,7,FALSE)</f>
        <v>Mike Keeler</v>
      </c>
      <c r="AF518" s="380" t="str">
        <f>VLOOKUP($B518,'D7 - NDB Impacted SPRF''s'!$E$16:$O$9929,6,FALSE)</f>
        <v>Mary Margaret Beswick</v>
      </c>
      <c r="AG518" s="282" t="s">
        <v>7755</v>
      </c>
      <c r="AH518" s="311" t="e">
        <f>INDEX('D5 - Gatekeeper - Projects'!$A$4:$AF$1010,$AM518, 17)</f>
        <v>#N/A</v>
      </c>
      <c r="AI518" s="8"/>
      <c r="AJ518" s="57"/>
      <c r="AK518" s="105"/>
      <c r="AM518" s="6" t="e">
        <f>MATCH(D518,'D5 - Gatekeeper - Projects'!$C$4:$C$1010,0)</f>
        <v>#N/A</v>
      </c>
      <c r="AN518" s="6" t="b">
        <f t="shared" si="46"/>
        <v>1</v>
      </c>
      <c r="AO518" s="6" t="str">
        <f t="shared" si="49"/>
        <v>OK</v>
      </c>
      <c r="AQ518" s="6" t="e">
        <f>MATCH($D518,'D4 - Provider Council Unsched'!$C$11:$C$234,0)</f>
        <v>#N/A</v>
      </c>
      <c r="AR518" s="6" t="b">
        <f t="shared" si="47"/>
        <v>1</v>
      </c>
      <c r="AS518" s="6" t="str">
        <f t="shared" si="50"/>
        <v>OK</v>
      </c>
      <c r="AU518" s="202"/>
      <c r="AV518" s="262"/>
      <c r="AW518" s="274"/>
    </row>
    <row r="519" spans="1:49" s="13" customFormat="1" ht="33.75" x14ac:dyDescent="0.2">
      <c r="A519" s="14">
        <v>495</v>
      </c>
      <c r="B519" s="14">
        <v>400011863</v>
      </c>
      <c r="C519" s="8" t="s">
        <v>5197</v>
      </c>
      <c r="D519" s="4" t="str">
        <f t="shared" si="48"/>
        <v>400011863R1</v>
      </c>
      <c r="E519" s="309" t="str">
        <f>VLOOKUP($B519,'D7 - NDB Impacted SPRF''s'!$E$6:$O$9929,2,FALSE)</f>
        <v>Pacificare -- Create Export File</v>
      </c>
      <c r="F519" s="8" t="s">
        <v>6071</v>
      </c>
      <c r="G519" s="8" t="s">
        <v>4758</v>
      </c>
      <c r="H519" s="8" t="s">
        <v>4246</v>
      </c>
      <c r="I519" s="20">
        <v>2.4</v>
      </c>
      <c r="J519" s="8" t="s">
        <v>4862</v>
      </c>
      <c r="K519" s="182">
        <v>38885</v>
      </c>
      <c r="L519" s="8" t="s">
        <v>5743</v>
      </c>
      <c r="M519" s="8" t="s">
        <v>2814</v>
      </c>
      <c r="N519" s="367"/>
      <c r="O519" s="8"/>
      <c r="P519" s="4" t="str">
        <f>VLOOKUP($B519,'D7 - NDB Impacted SPRF''s'!$E$16:$O$9929,9,FALSE)</f>
        <v>N</v>
      </c>
      <c r="Q519" s="4" t="str">
        <f>VLOOKUP($B519,'D7 - NDB Impacted SPRF''s'!$E$16:$O$9929,10,FALSE)</f>
        <v>N</v>
      </c>
      <c r="R519" s="4" t="str">
        <f>VLOOKUP($B519,'D7 - NDB Impacted SPRF''s'!$E$16:$O$9929,11,FALSE)</f>
        <v>N</v>
      </c>
      <c r="S519" s="8" t="s">
        <v>3758</v>
      </c>
      <c r="T519" s="310"/>
      <c r="U519" s="310"/>
      <c r="V519" s="4"/>
      <c r="W519" s="4"/>
      <c r="X519" s="4"/>
      <c r="Y519" s="4"/>
      <c r="Z519" s="4"/>
      <c r="AA519" s="4"/>
      <c r="AB519" s="380" t="str">
        <f>VLOOKUP($B519,'D7 - NDB Impacted SPRF''s'!$E$16:$O$9929,4,FALSE)</f>
        <v>Completed</v>
      </c>
      <c r="AC519" s="380" t="str">
        <f>VLOOKUP($B519,'D7 - NDB Impacted SPRF''s'!$E$16:$O$9929,3,FALSE)</f>
        <v>UnitedHealthcare Employer &amp; Individual</v>
      </c>
      <c r="AD519" s="380" t="str">
        <f>VLOOKUP($B519,'D7 - NDB Impacted SPRF''s'!$E$16:$O$9929,5,FALSE)</f>
        <v>Integration Requirements</v>
      </c>
      <c r="AE519" s="380" t="str">
        <f>VLOOKUP($B519,'D7 - NDB Impacted SPRF''s'!$E$16:$O$9929,7,FALSE)</f>
        <v>Gerald Brockman</v>
      </c>
      <c r="AF519" s="380" t="str">
        <f>VLOOKUP($B519,'D7 - NDB Impacted SPRF''s'!$E$16:$O$9929,6,FALSE)</f>
        <v>GREGORY MILLS</v>
      </c>
      <c r="AG519" s="282" t="s">
        <v>6682</v>
      </c>
      <c r="AH519" s="311" t="e">
        <f>INDEX('D5 - Gatekeeper - Projects'!$A$4:$AF$1010,$AM519, 17)</f>
        <v>#N/A</v>
      </c>
      <c r="AI519" s="8"/>
      <c r="AJ519" s="57"/>
      <c r="AK519" s="105"/>
      <c r="AL519" s="216"/>
      <c r="AM519" s="6" t="e">
        <f>MATCH(D519,'D5 - Gatekeeper - Projects'!$C$4:$C$1010,0)</f>
        <v>#N/A</v>
      </c>
      <c r="AN519" s="6" t="b">
        <f t="shared" si="46"/>
        <v>1</v>
      </c>
      <c r="AO519" s="6" t="str">
        <f t="shared" si="49"/>
        <v>OK</v>
      </c>
      <c r="AP519" s="216"/>
      <c r="AQ519" s="6" t="e">
        <f>MATCH($D519,'D4 - Provider Council Unsched'!$C$11:$C$234,0)</f>
        <v>#N/A</v>
      </c>
      <c r="AR519" s="6" t="b">
        <f t="shared" si="47"/>
        <v>1</v>
      </c>
      <c r="AS519" s="6" t="str">
        <f t="shared" si="50"/>
        <v>OK</v>
      </c>
      <c r="AU519" s="202"/>
      <c r="AV519" s="262"/>
      <c r="AW519" s="274"/>
    </row>
    <row r="520" spans="1:49" s="13" customFormat="1" ht="56.25" x14ac:dyDescent="0.2">
      <c r="A520" s="14">
        <v>496</v>
      </c>
      <c r="B520" s="14">
        <v>400011866</v>
      </c>
      <c r="C520" s="8" t="s">
        <v>5197</v>
      </c>
      <c r="D520" s="4" t="str">
        <f t="shared" si="48"/>
        <v>400011866R1</v>
      </c>
      <c r="E520" s="309" t="str">
        <f>VLOOKUP($B520,'D7 - NDB Impacted SPRF''s'!$E$6:$O$9929,2,FALSE)</f>
        <v>Medica – Target Directory Extract–Phs 2</v>
      </c>
      <c r="F520" s="8" t="s">
        <v>5196</v>
      </c>
      <c r="G520" s="8" t="s">
        <v>4758</v>
      </c>
      <c r="H520" s="8" t="s">
        <v>4246</v>
      </c>
      <c r="I520" s="20">
        <v>0.88</v>
      </c>
      <c r="J520" s="8" t="s">
        <v>7114</v>
      </c>
      <c r="K520" s="182">
        <v>38885</v>
      </c>
      <c r="L520" s="8" t="s">
        <v>6919</v>
      </c>
      <c r="M520" s="8" t="s">
        <v>2814</v>
      </c>
      <c r="N520" s="367" t="s">
        <v>1517</v>
      </c>
      <c r="O520" s="8"/>
      <c r="P520" s="4" t="str">
        <f>VLOOKUP($B520,'D7 - NDB Impacted SPRF''s'!$E$16:$O$9929,9,FALSE)</f>
        <v>N</v>
      </c>
      <c r="Q520" s="4" t="str">
        <f>VLOOKUP($B520,'D7 - NDB Impacted SPRF''s'!$E$16:$O$9929,10,FALSE)</f>
        <v>N</v>
      </c>
      <c r="R520" s="4" t="str">
        <f>VLOOKUP($B520,'D7 - NDB Impacted SPRF''s'!$E$16:$O$9929,11,FALSE)</f>
        <v>N</v>
      </c>
      <c r="S520" s="8" t="s">
        <v>3758</v>
      </c>
      <c r="T520" s="310"/>
      <c r="U520" s="310"/>
      <c r="V520" s="4"/>
      <c r="W520" s="4"/>
      <c r="X520" s="4"/>
      <c r="Y520" s="4"/>
      <c r="Z520" s="4"/>
      <c r="AA520" s="4"/>
      <c r="AB520" s="380" t="str">
        <f>VLOOKUP($B520,'D7 - NDB Impacted SPRF''s'!$E$16:$O$9929,4,FALSE)</f>
        <v>Completed</v>
      </c>
      <c r="AC520" s="380" t="str">
        <f>VLOOKUP($B520,'D7 - NDB Impacted SPRF''s'!$E$16:$O$9929,3,FALSE)</f>
        <v>Alliance</v>
      </c>
      <c r="AD520" s="380" t="str">
        <f>VLOOKUP($B520,'D7 - NDB Impacted SPRF''s'!$E$16:$O$9929,5,FALSE)</f>
        <v>Medica UNET Conversion</v>
      </c>
      <c r="AE520" s="380" t="str">
        <f>VLOOKUP($B520,'D7 - NDB Impacted SPRF''s'!$E$16:$O$9929,7,FALSE)</f>
        <v>Bev Nyce</v>
      </c>
      <c r="AF520" s="380" t="str">
        <f>VLOOKUP($B520,'D7 - NDB Impacted SPRF''s'!$E$16:$O$9929,6,FALSE)</f>
        <v>ELIZABETH Young</v>
      </c>
      <c r="AG520" s="282" t="s">
        <v>6682</v>
      </c>
      <c r="AH520" s="311" t="e">
        <f>INDEX('D5 - Gatekeeper - Projects'!$A$4:$AF$1010,$AM520, 17)</f>
        <v>#N/A</v>
      </c>
      <c r="AI520" s="8"/>
      <c r="AJ520" s="57"/>
      <c r="AK520" s="105"/>
      <c r="AM520" s="6" t="e">
        <f>MATCH(D520,'D5 - Gatekeeper - Projects'!$C$4:$C$1010,0)</f>
        <v>#N/A</v>
      </c>
      <c r="AN520" s="6" t="b">
        <f t="shared" si="46"/>
        <v>1</v>
      </c>
      <c r="AO520" s="6" t="str">
        <f t="shared" si="49"/>
        <v>OK</v>
      </c>
      <c r="AQ520" s="6" t="e">
        <f>MATCH($D520,'D4 - Provider Council Unsched'!$C$11:$C$234,0)</f>
        <v>#N/A</v>
      </c>
      <c r="AR520" s="6" t="b">
        <f t="shared" si="47"/>
        <v>1</v>
      </c>
      <c r="AS520" s="6" t="str">
        <f t="shared" si="50"/>
        <v>OK</v>
      </c>
      <c r="AU520" s="202"/>
      <c r="AV520" s="262"/>
      <c r="AW520" s="274"/>
    </row>
    <row r="521" spans="1:49" s="13" customFormat="1" ht="56.25" x14ac:dyDescent="0.2">
      <c r="A521" s="14">
        <v>497</v>
      </c>
      <c r="B521" s="14">
        <v>400011867</v>
      </c>
      <c r="C521" s="8" t="s">
        <v>5197</v>
      </c>
      <c r="D521" s="4" t="str">
        <f t="shared" si="48"/>
        <v>400011867R1</v>
      </c>
      <c r="E521" s="309" t="str">
        <f>VLOOKUP($B521,'D7 - NDB Impacted SPRF''s'!$E$6:$O$9929,2,FALSE)</f>
        <v>Medica - UHG Directory Extract-Phase 2</v>
      </c>
      <c r="F521" s="8" t="s">
        <v>5196</v>
      </c>
      <c r="G521" s="8" t="s">
        <v>4758</v>
      </c>
      <c r="H521" s="8" t="s">
        <v>4246</v>
      </c>
      <c r="I521" s="20">
        <v>0.88</v>
      </c>
      <c r="J521" s="8" t="s">
        <v>7114</v>
      </c>
      <c r="K521" s="182">
        <v>38885</v>
      </c>
      <c r="L521" s="8" t="s">
        <v>6919</v>
      </c>
      <c r="M521" s="8" t="s">
        <v>2814</v>
      </c>
      <c r="N521" s="367" t="s">
        <v>1517</v>
      </c>
      <c r="O521" s="8"/>
      <c r="P521" s="4" t="str">
        <f>VLOOKUP($B521,'D7 - NDB Impacted SPRF''s'!$E$16:$O$9929,9,FALSE)</f>
        <v>N</v>
      </c>
      <c r="Q521" s="4" t="str">
        <f>VLOOKUP($B521,'D7 - NDB Impacted SPRF''s'!$E$16:$O$9929,10,FALSE)</f>
        <v>N</v>
      </c>
      <c r="R521" s="4" t="str">
        <f>VLOOKUP($B521,'D7 - NDB Impacted SPRF''s'!$E$16:$O$9929,11,FALSE)</f>
        <v>N</v>
      </c>
      <c r="S521" s="8" t="s">
        <v>3758</v>
      </c>
      <c r="T521" s="310"/>
      <c r="U521" s="310"/>
      <c r="V521" s="4"/>
      <c r="W521" s="4"/>
      <c r="X521" s="4"/>
      <c r="Y521" s="4"/>
      <c r="Z521" s="4"/>
      <c r="AA521" s="4"/>
      <c r="AB521" s="380" t="str">
        <f>VLOOKUP($B521,'D7 - NDB Impacted SPRF''s'!$E$16:$O$9929,4,FALSE)</f>
        <v>Completed</v>
      </c>
      <c r="AC521" s="380" t="str">
        <f>VLOOKUP($B521,'D7 - NDB Impacted SPRF''s'!$E$16:$O$9929,3,FALSE)</f>
        <v>Alliance</v>
      </c>
      <c r="AD521" s="380" t="str">
        <f>VLOOKUP($B521,'D7 - NDB Impacted SPRF''s'!$E$16:$O$9929,5,FALSE)</f>
        <v>Medica UNET Conversion</v>
      </c>
      <c r="AE521" s="380" t="str">
        <f>VLOOKUP($B521,'D7 - NDB Impacted SPRF''s'!$E$16:$O$9929,7,FALSE)</f>
        <v>Bev Nyce</v>
      </c>
      <c r="AF521" s="380" t="str">
        <f>VLOOKUP($B521,'D7 - NDB Impacted SPRF''s'!$E$16:$O$9929,6,FALSE)</f>
        <v>ELIZABETH Young</v>
      </c>
      <c r="AG521" s="282" t="s">
        <v>6682</v>
      </c>
      <c r="AH521" s="311" t="e">
        <f>INDEX('D5 - Gatekeeper - Projects'!$A$4:$AF$1010,$AM521, 17)</f>
        <v>#N/A</v>
      </c>
      <c r="AI521" s="8"/>
      <c r="AJ521" s="57"/>
      <c r="AK521" s="105"/>
      <c r="AL521" s="216"/>
      <c r="AM521" s="6" t="e">
        <f>MATCH(D521,'D5 - Gatekeeper - Projects'!$C$4:$C$1010,0)</f>
        <v>#N/A</v>
      </c>
      <c r="AN521" s="6" t="b">
        <f t="shared" si="46"/>
        <v>1</v>
      </c>
      <c r="AO521" s="6" t="str">
        <f t="shared" si="49"/>
        <v>OK</v>
      </c>
      <c r="AP521" s="216"/>
      <c r="AQ521" s="6" t="e">
        <f>MATCH($D521,'D4 - Provider Council Unsched'!$C$11:$C$234,0)</f>
        <v>#N/A</v>
      </c>
      <c r="AR521" s="6" t="b">
        <f t="shared" si="47"/>
        <v>1</v>
      </c>
      <c r="AS521" s="6" t="str">
        <f t="shared" si="50"/>
        <v>OK</v>
      </c>
      <c r="AU521" s="202"/>
      <c r="AV521" s="262"/>
      <c r="AW521" s="274"/>
    </row>
    <row r="522" spans="1:49" s="13" customFormat="1" ht="33.75" x14ac:dyDescent="0.2">
      <c r="A522" s="14">
        <v>498</v>
      </c>
      <c r="B522" s="14">
        <v>400012110</v>
      </c>
      <c r="C522" s="8" t="s">
        <v>5197</v>
      </c>
      <c r="D522" s="4" t="str">
        <f t="shared" si="48"/>
        <v>400012110R1</v>
      </c>
      <c r="E522" s="309" t="str">
        <f>VLOOKUP($B522,'D7 - NDB Impacted SPRF''s'!$E$6:$O$9929,2,FALSE)</f>
        <v>PacifiCare HNS UB ppoONE Repricing</v>
      </c>
      <c r="F522" s="8" t="s">
        <v>6071</v>
      </c>
      <c r="G522" s="8" t="s">
        <v>4758</v>
      </c>
      <c r="H522" s="8" t="s">
        <v>4246</v>
      </c>
      <c r="I522" s="20">
        <v>1</v>
      </c>
      <c r="J522" s="8" t="s">
        <v>4862</v>
      </c>
      <c r="K522" s="182">
        <v>38885</v>
      </c>
      <c r="L522" s="8" t="s">
        <v>5743</v>
      </c>
      <c r="M522" s="8" t="s">
        <v>2814</v>
      </c>
      <c r="N522" s="367"/>
      <c r="O522" s="8"/>
      <c r="P522" s="4" t="str">
        <f>VLOOKUP($B522,'D7 - NDB Impacted SPRF''s'!$E$16:$O$9929,9,FALSE)</f>
        <v>Y</v>
      </c>
      <c r="Q522" s="4" t="str">
        <f>VLOOKUP($B522,'D7 - NDB Impacted SPRF''s'!$E$16:$O$9929,10,FALSE)</f>
        <v>N</v>
      </c>
      <c r="R522" s="4" t="str">
        <f>VLOOKUP($B522,'D7 - NDB Impacted SPRF''s'!$E$16:$O$9929,11,FALSE)</f>
        <v>Y</v>
      </c>
      <c r="S522" s="8" t="s">
        <v>3758</v>
      </c>
      <c r="T522" s="310"/>
      <c r="U522" s="310"/>
      <c r="V522" s="4"/>
      <c r="W522" s="4"/>
      <c r="X522" s="4"/>
      <c r="Y522" s="4"/>
      <c r="Z522" s="4"/>
      <c r="AA522" s="4"/>
      <c r="AB522" s="380" t="str">
        <f>VLOOKUP($B522,'D7 - NDB Impacted SPRF''s'!$E$16:$O$9929,4,FALSE)</f>
        <v>Completed</v>
      </c>
      <c r="AC522" s="380" t="str">
        <f>VLOOKUP($B522,'D7 - NDB Impacted SPRF''s'!$E$16:$O$9929,3,FALSE)</f>
        <v>UnitedHealthcare Employer &amp; Individual</v>
      </c>
      <c r="AD522" s="380" t="str">
        <f>VLOOKUP($B522,'D7 - NDB Impacted SPRF''s'!$E$16:$O$9929,5,FALSE)</f>
        <v>Integration Requirements</v>
      </c>
      <c r="AE522" s="380" t="str">
        <f>VLOOKUP($B522,'D7 - NDB Impacted SPRF''s'!$E$16:$O$9929,7,FALSE)</f>
        <v>Patrick Kennedy</v>
      </c>
      <c r="AF522" s="380" t="str">
        <f>VLOOKUP($B522,'D7 - NDB Impacted SPRF''s'!$E$16:$O$9929,6,FALSE)</f>
        <v>STACIE THOMAS</v>
      </c>
      <c r="AG522" s="282" t="s">
        <v>6162</v>
      </c>
      <c r="AH522" s="311" t="e">
        <f>INDEX('D5 - Gatekeeper - Projects'!$A$4:$AF$1010,$AM522, 17)</f>
        <v>#N/A</v>
      </c>
      <c r="AI522" s="8"/>
      <c r="AJ522" s="57"/>
      <c r="AK522" s="105"/>
      <c r="AM522" s="6" t="e">
        <f>MATCH(D522,'D5 - Gatekeeper - Projects'!$C$4:$C$1010,0)</f>
        <v>#N/A</v>
      </c>
      <c r="AN522" s="6" t="b">
        <f t="shared" si="46"/>
        <v>1</v>
      </c>
      <c r="AO522" s="6" t="str">
        <f t="shared" si="49"/>
        <v>OK</v>
      </c>
      <c r="AQ522" s="6" t="e">
        <f>MATCH($D522,'D4 - Provider Council Unsched'!$C$11:$C$234,0)</f>
        <v>#N/A</v>
      </c>
      <c r="AR522" s="6" t="b">
        <f t="shared" si="47"/>
        <v>1</v>
      </c>
      <c r="AS522" s="6" t="str">
        <f t="shared" si="50"/>
        <v>OK</v>
      </c>
      <c r="AU522" s="202"/>
      <c r="AV522" s="262"/>
      <c r="AW522" s="274"/>
    </row>
    <row r="523" spans="1:49" s="13" customFormat="1" ht="33.75" x14ac:dyDescent="0.2">
      <c r="A523" s="14">
        <v>499</v>
      </c>
      <c r="B523" s="14">
        <v>400012114</v>
      </c>
      <c r="C523" s="8" t="s">
        <v>5197</v>
      </c>
      <c r="D523" s="4" t="str">
        <f t="shared" si="48"/>
        <v>400012114R1</v>
      </c>
      <c r="E523" s="309" t="str">
        <f>VLOOKUP($B523,'D7 - NDB Impacted SPRF''s'!$E$6:$O$9929,2,FALSE)</f>
        <v>PacifiCare NICE Interim HCFA ppoONE Repricing</v>
      </c>
      <c r="F523" s="8" t="s">
        <v>6071</v>
      </c>
      <c r="G523" s="8" t="s">
        <v>4758</v>
      </c>
      <c r="H523" s="8" t="s">
        <v>4246</v>
      </c>
      <c r="I523" s="20">
        <v>1</v>
      </c>
      <c r="J523" s="8" t="s">
        <v>4862</v>
      </c>
      <c r="K523" s="182">
        <v>38885</v>
      </c>
      <c r="L523" s="8" t="s">
        <v>5743</v>
      </c>
      <c r="M523" s="8" t="s">
        <v>2814</v>
      </c>
      <c r="N523" s="367"/>
      <c r="O523" s="8"/>
      <c r="P523" s="4" t="str">
        <f>VLOOKUP($B523,'D7 - NDB Impacted SPRF''s'!$E$16:$O$9929,9,FALSE)</f>
        <v>Y</v>
      </c>
      <c r="Q523" s="4" t="str">
        <f>VLOOKUP($B523,'D7 - NDB Impacted SPRF''s'!$E$16:$O$9929,10,FALSE)</f>
        <v>N</v>
      </c>
      <c r="R523" s="4" t="str">
        <f>VLOOKUP($B523,'D7 - NDB Impacted SPRF''s'!$E$16:$O$9929,11,FALSE)</f>
        <v>Y</v>
      </c>
      <c r="S523" s="8" t="s">
        <v>3758</v>
      </c>
      <c r="T523" s="310"/>
      <c r="U523" s="310"/>
      <c r="V523" s="4"/>
      <c r="W523" s="4"/>
      <c r="X523" s="4"/>
      <c r="Y523" s="4"/>
      <c r="Z523" s="4"/>
      <c r="AA523" s="4"/>
      <c r="AB523" s="380" t="str">
        <f>VLOOKUP($B523,'D7 - NDB Impacted SPRF''s'!$E$16:$O$9929,4,FALSE)</f>
        <v>Completed</v>
      </c>
      <c r="AC523" s="380" t="str">
        <f>VLOOKUP($B523,'D7 - NDB Impacted SPRF''s'!$E$16:$O$9929,3,FALSE)</f>
        <v>UnitedHealthcare Employer &amp; Individual</v>
      </c>
      <c r="AD523" s="380" t="str">
        <f>VLOOKUP($B523,'D7 - NDB Impacted SPRF''s'!$E$16:$O$9929,5,FALSE)</f>
        <v>Integration Requirements</v>
      </c>
      <c r="AE523" s="380" t="str">
        <f>VLOOKUP($B523,'D7 - NDB Impacted SPRF''s'!$E$16:$O$9929,7,FALSE)</f>
        <v>Patrick Kennedy</v>
      </c>
      <c r="AF523" s="380" t="str">
        <f>VLOOKUP($B523,'D7 - NDB Impacted SPRF''s'!$E$16:$O$9929,6,FALSE)</f>
        <v>STACIE THOMAS</v>
      </c>
      <c r="AG523" s="282" t="s">
        <v>6162</v>
      </c>
      <c r="AH523" s="311" t="e">
        <f>INDEX('D5 - Gatekeeper - Projects'!$A$4:$AF$1010,$AM523, 17)</f>
        <v>#N/A</v>
      </c>
      <c r="AI523" s="8"/>
      <c r="AJ523" s="57"/>
      <c r="AK523" s="105"/>
      <c r="AM523" s="6" t="e">
        <f>MATCH(D523,'D5 - Gatekeeper - Projects'!$C$4:$C$1010,0)</f>
        <v>#N/A</v>
      </c>
      <c r="AN523" s="6" t="b">
        <f t="shared" si="46"/>
        <v>1</v>
      </c>
      <c r="AO523" s="6" t="str">
        <f t="shared" si="49"/>
        <v>OK</v>
      </c>
      <c r="AQ523" s="6" t="e">
        <f>MATCH($D523,'D4 - Provider Council Unsched'!$C$11:$C$234,0)</f>
        <v>#N/A</v>
      </c>
      <c r="AR523" s="6" t="b">
        <f t="shared" si="47"/>
        <v>1</v>
      </c>
      <c r="AS523" s="6" t="str">
        <f t="shared" si="50"/>
        <v>OK</v>
      </c>
      <c r="AU523" s="202"/>
      <c r="AV523" s="262"/>
      <c r="AW523" s="274"/>
    </row>
    <row r="524" spans="1:49" s="13" customFormat="1" ht="33.75" x14ac:dyDescent="0.2">
      <c r="A524" s="14">
        <v>500</v>
      </c>
      <c r="B524" s="14">
        <v>400012117</v>
      </c>
      <c r="C524" s="8" t="s">
        <v>5197</v>
      </c>
      <c r="D524" s="4" t="str">
        <f t="shared" si="48"/>
        <v>400012117R1</v>
      </c>
      <c r="E524" s="309" t="str">
        <f>VLOOKUP($B524,'D7 - NDB Impacted SPRF''s'!$E$6:$O$9929,2,FALSE)</f>
        <v>PacifiCare Iliad HCFA Interim ppoONE Repricing</v>
      </c>
      <c r="F524" s="8" t="s">
        <v>6071</v>
      </c>
      <c r="G524" s="8" t="s">
        <v>4758</v>
      </c>
      <c r="H524" s="8" t="s">
        <v>4246</v>
      </c>
      <c r="I524" s="20">
        <v>1</v>
      </c>
      <c r="J524" s="8" t="s">
        <v>4862</v>
      </c>
      <c r="K524" s="182">
        <v>38885</v>
      </c>
      <c r="L524" s="8" t="s">
        <v>5743</v>
      </c>
      <c r="M524" s="8" t="s">
        <v>2814</v>
      </c>
      <c r="N524" s="367"/>
      <c r="O524" s="8"/>
      <c r="P524" s="4" t="str">
        <f>VLOOKUP($B524,'D7 - NDB Impacted SPRF''s'!$E$16:$O$9929,9,FALSE)</f>
        <v>Y</v>
      </c>
      <c r="Q524" s="4" t="str">
        <f>VLOOKUP($B524,'D7 - NDB Impacted SPRF''s'!$E$16:$O$9929,10,FALSE)</f>
        <v>N</v>
      </c>
      <c r="R524" s="4" t="str">
        <f>VLOOKUP($B524,'D7 - NDB Impacted SPRF''s'!$E$16:$O$9929,11,FALSE)</f>
        <v>Y</v>
      </c>
      <c r="S524" s="8" t="s">
        <v>3758</v>
      </c>
      <c r="T524" s="310"/>
      <c r="U524" s="310"/>
      <c r="V524" s="4"/>
      <c r="W524" s="4"/>
      <c r="X524" s="4"/>
      <c r="Y524" s="4"/>
      <c r="Z524" s="4"/>
      <c r="AA524" s="4"/>
      <c r="AB524" s="380" t="str">
        <f>VLOOKUP($B524,'D7 - NDB Impacted SPRF''s'!$E$16:$O$9929,4,FALSE)</f>
        <v>Completed</v>
      </c>
      <c r="AC524" s="380" t="str">
        <f>VLOOKUP($B524,'D7 - NDB Impacted SPRF''s'!$E$16:$O$9929,3,FALSE)</f>
        <v>UnitedHealthcare Employer &amp; Individual</v>
      </c>
      <c r="AD524" s="380" t="str">
        <f>VLOOKUP($B524,'D7 - NDB Impacted SPRF''s'!$E$16:$O$9929,5,FALSE)</f>
        <v>Integration Requirements</v>
      </c>
      <c r="AE524" s="380" t="str">
        <f>VLOOKUP($B524,'D7 - NDB Impacted SPRF''s'!$E$16:$O$9929,7,FALSE)</f>
        <v>Patrick Kennedy</v>
      </c>
      <c r="AF524" s="380" t="str">
        <f>VLOOKUP($B524,'D7 - NDB Impacted SPRF''s'!$E$16:$O$9929,6,FALSE)</f>
        <v>STACIE THOMAS</v>
      </c>
      <c r="AG524" s="282" t="s">
        <v>6162</v>
      </c>
      <c r="AH524" s="311" t="e">
        <f>INDEX('D5 - Gatekeeper - Projects'!$A$4:$AF$1010,$AM524, 17)</f>
        <v>#N/A</v>
      </c>
      <c r="AI524" s="8"/>
      <c r="AJ524" s="57"/>
      <c r="AK524" s="105"/>
      <c r="AM524" s="6" t="e">
        <f>MATCH(D524,'D5 - Gatekeeper - Projects'!$C$4:$C$1010,0)</f>
        <v>#N/A</v>
      </c>
      <c r="AN524" s="6" t="b">
        <f t="shared" si="46"/>
        <v>1</v>
      </c>
      <c r="AO524" s="6" t="str">
        <f t="shared" si="49"/>
        <v>OK</v>
      </c>
      <c r="AQ524" s="6" t="e">
        <f>MATCH($D524,'D4 - Provider Council Unsched'!$C$11:$C$234,0)</f>
        <v>#N/A</v>
      </c>
      <c r="AR524" s="6" t="b">
        <f t="shared" si="47"/>
        <v>1</v>
      </c>
      <c r="AS524" s="6" t="str">
        <f t="shared" si="50"/>
        <v>OK</v>
      </c>
      <c r="AU524" s="202"/>
      <c r="AV524" s="262"/>
      <c r="AW524" s="274"/>
    </row>
    <row r="525" spans="1:49" s="13" customFormat="1" ht="33.75" x14ac:dyDescent="0.2">
      <c r="A525" s="14">
        <v>501</v>
      </c>
      <c r="B525" s="14">
        <v>400012540</v>
      </c>
      <c r="C525" s="8" t="s">
        <v>5197</v>
      </c>
      <c r="D525" s="4" t="str">
        <f t="shared" si="48"/>
        <v>400012540R1</v>
      </c>
      <c r="E525" s="309" t="str">
        <f>VLOOKUP($B525,'D7 - NDB Impacted SPRF''s'!$E$6:$O$9929,2,FALSE)</f>
        <v>NDB-PERADIGM Migration Seed File</v>
      </c>
      <c r="F525" s="8" t="s">
        <v>5544</v>
      </c>
      <c r="G525" s="8" t="s">
        <v>4758</v>
      </c>
      <c r="H525" s="8" t="s">
        <v>4246</v>
      </c>
      <c r="I525" s="20">
        <v>2</v>
      </c>
      <c r="J525" s="8" t="s">
        <v>4862</v>
      </c>
      <c r="K525" s="182">
        <v>38885</v>
      </c>
      <c r="L525" s="8" t="s">
        <v>5743</v>
      </c>
      <c r="M525" s="8" t="s">
        <v>2814</v>
      </c>
      <c r="N525" s="367"/>
      <c r="O525" s="8"/>
      <c r="P525" s="4" t="str">
        <f>VLOOKUP($B525,'D7 - NDB Impacted SPRF''s'!$E$16:$O$9929,9,FALSE)</f>
        <v>N</v>
      </c>
      <c r="Q525" s="4" t="str">
        <f>VLOOKUP($B525,'D7 - NDB Impacted SPRF''s'!$E$16:$O$9929,10,FALSE)</f>
        <v>N</v>
      </c>
      <c r="R525" s="4" t="str">
        <f>VLOOKUP($B525,'D7 - NDB Impacted SPRF''s'!$E$16:$O$9929,11,FALSE)</f>
        <v>N</v>
      </c>
      <c r="S525" s="8" t="s">
        <v>3758</v>
      </c>
      <c r="T525" s="310"/>
      <c r="U525" s="310"/>
      <c r="V525" s="4"/>
      <c r="W525" s="4"/>
      <c r="X525" s="4"/>
      <c r="Y525" s="4"/>
      <c r="Z525" s="4"/>
      <c r="AA525" s="4"/>
      <c r="AB525" s="380" t="str">
        <f>VLOOKUP($B525,'D7 - NDB Impacted SPRF''s'!$E$16:$O$9929,4,FALSE)</f>
        <v>Completed</v>
      </c>
      <c r="AC525" s="380" t="str">
        <f>VLOOKUP($B525,'D7 - NDB Impacted SPRF''s'!$E$16:$O$9929,3,FALSE)</f>
        <v>UnitedHealthcare Medicare &amp; Retirement</v>
      </c>
      <c r="AD525" s="380" t="str">
        <f>VLOOKUP($B525,'D7 - NDB Impacted SPRF''s'!$E$16:$O$9929,5,FALSE)</f>
        <v>XXCOG</v>
      </c>
      <c r="AE525" s="380" t="str">
        <f>VLOOKUP($B525,'D7 - NDB Impacted SPRF''s'!$E$16:$O$9929,7,FALSE)</f>
        <v>Ashok Sundarshan</v>
      </c>
      <c r="AF525" s="380" t="str">
        <f>VLOOKUP($B525,'D7 - NDB Impacted SPRF''s'!$E$16:$O$9929,6,FALSE)</f>
        <v>Susan Gruwell</v>
      </c>
      <c r="AG525" s="282" t="s">
        <v>7755</v>
      </c>
      <c r="AH525" s="311" t="e">
        <f>INDEX('D5 - Gatekeeper - Projects'!$A$4:$AF$1010,$AM525, 17)</f>
        <v>#N/A</v>
      </c>
      <c r="AI525" s="8"/>
      <c r="AJ525" s="57"/>
      <c r="AK525" s="105"/>
      <c r="AM525" s="6" t="e">
        <f>MATCH(D525,'D5 - Gatekeeper - Projects'!$C$4:$C$1010,0)</f>
        <v>#N/A</v>
      </c>
      <c r="AN525" s="6" t="b">
        <f t="shared" si="46"/>
        <v>1</v>
      </c>
      <c r="AO525" s="6" t="str">
        <f t="shared" si="49"/>
        <v>OK</v>
      </c>
      <c r="AQ525" s="6" t="e">
        <f>MATCH($D525,'D4 - Provider Council Unsched'!$C$11:$C$234,0)</f>
        <v>#N/A</v>
      </c>
      <c r="AR525" s="6" t="b">
        <f t="shared" si="47"/>
        <v>1</v>
      </c>
      <c r="AS525" s="6" t="str">
        <f t="shared" si="50"/>
        <v>OK</v>
      </c>
      <c r="AU525" s="202"/>
      <c r="AV525" s="262"/>
      <c r="AW525" s="274"/>
    </row>
    <row r="526" spans="1:49" s="13" customFormat="1" ht="33.75" x14ac:dyDescent="0.2">
      <c r="A526" s="14">
        <v>502</v>
      </c>
      <c r="B526" s="14">
        <v>400012695</v>
      </c>
      <c r="C526" s="8" t="s">
        <v>5197</v>
      </c>
      <c r="D526" s="4" t="str">
        <f t="shared" si="48"/>
        <v>400012695R1</v>
      </c>
      <c r="E526" s="309" t="str">
        <f>VLOOKUP($B526,'D7 - NDB Impacted SPRF''s'!$E$6:$O$9929,2,FALSE)</f>
        <v>NDB to Peradigm interface feed</v>
      </c>
      <c r="F526" s="8" t="s">
        <v>5544</v>
      </c>
      <c r="G526" s="8" t="s">
        <v>4758</v>
      </c>
      <c r="H526" s="8" t="s">
        <v>4246</v>
      </c>
      <c r="I526" s="20">
        <v>1.72</v>
      </c>
      <c r="J526" s="8" t="s">
        <v>4862</v>
      </c>
      <c r="K526" s="182">
        <v>38885</v>
      </c>
      <c r="L526" s="8" t="s">
        <v>5743</v>
      </c>
      <c r="M526" s="8" t="s">
        <v>2814</v>
      </c>
      <c r="N526" s="367" t="s">
        <v>7274</v>
      </c>
      <c r="O526" s="8"/>
      <c r="P526" s="4" t="str">
        <f>VLOOKUP($B526,'D7 - NDB Impacted SPRF''s'!$E$16:$O$9929,9,FALSE)</f>
        <v>N</v>
      </c>
      <c r="Q526" s="4" t="str">
        <f>VLOOKUP($B526,'D7 - NDB Impacted SPRF''s'!$E$16:$O$9929,10,FALSE)</f>
        <v>N</v>
      </c>
      <c r="R526" s="4" t="str">
        <f>VLOOKUP($B526,'D7 - NDB Impacted SPRF''s'!$E$16:$O$9929,11,FALSE)</f>
        <v>N</v>
      </c>
      <c r="S526" s="8" t="s">
        <v>3758</v>
      </c>
      <c r="T526" s="310"/>
      <c r="U526" s="310"/>
      <c r="V526" s="4"/>
      <c r="W526" s="4"/>
      <c r="X526" s="4"/>
      <c r="Y526" s="4"/>
      <c r="Z526" s="4"/>
      <c r="AA526" s="4"/>
      <c r="AB526" s="380" t="str">
        <f>VLOOKUP($B526,'D7 - NDB Impacted SPRF''s'!$E$16:$O$9929,4,FALSE)</f>
        <v>Completed</v>
      </c>
      <c r="AC526" s="380" t="str">
        <f>VLOOKUP($B526,'D7 - NDB Impacted SPRF''s'!$E$16:$O$9929,3,FALSE)</f>
        <v>UnitedHealthcare Medicare &amp; Retirement</v>
      </c>
      <c r="AD526" s="380" t="str">
        <f>VLOOKUP($B526,'D7 - NDB Impacted SPRF''s'!$E$16:$O$9929,5,FALSE)</f>
        <v>XXCOG</v>
      </c>
      <c r="AE526" s="380" t="str">
        <f>VLOOKUP($B526,'D7 - NDB Impacted SPRF''s'!$E$16:$O$9929,7,FALSE)</f>
        <v>Ashok Sundarshan</v>
      </c>
      <c r="AF526" s="380" t="str">
        <f>VLOOKUP($B526,'D7 - NDB Impacted SPRF''s'!$E$16:$O$9929,6,FALSE)</f>
        <v>Susan Gruwell</v>
      </c>
      <c r="AG526" s="282" t="s">
        <v>7755</v>
      </c>
      <c r="AH526" s="311" t="e">
        <f>INDEX('D5 - Gatekeeper - Projects'!$A$4:$AF$1010,$AM526, 17)</f>
        <v>#N/A</v>
      </c>
      <c r="AI526" s="8"/>
      <c r="AJ526" s="57"/>
      <c r="AK526" s="105"/>
      <c r="AM526" s="6" t="e">
        <f>MATCH(D526,'D5 - Gatekeeper - Projects'!$C$4:$C$1010,0)</f>
        <v>#N/A</v>
      </c>
      <c r="AN526" s="6" t="b">
        <f t="shared" si="46"/>
        <v>1</v>
      </c>
      <c r="AO526" s="6" t="str">
        <f t="shared" si="49"/>
        <v>OK</v>
      </c>
      <c r="AQ526" s="6" t="e">
        <f>MATCH($D526,'D4 - Provider Council Unsched'!$C$11:$C$234,0)</f>
        <v>#N/A</v>
      </c>
      <c r="AR526" s="6" t="b">
        <f t="shared" si="47"/>
        <v>1</v>
      </c>
      <c r="AS526" s="6" t="str">
        <f t="shared" si="50"/>
        <v>OK</v>
      </c>
      <c r="AU526" s="202"/>
      <c r="AV526" s="262"/>
      <c r="AW526" s="274"/>
    </row>
    <row r="527" spans="1:49" s="13" customFormat="1" ht="33.75" x14ac:dyDescent="0.2">
      <c r="A527" s="14">
        <v>503</v>
      </c>
      <c r="B527" s="14">
        <v>400012718</v>
      </c>
      <c r="C527" s="8" t="s">
        <v>5197</v>
      </c>
      <c r="D527" s="4" t="str">
        <f t="shared" si="48"/>
        <v>400012718R1</v>
      </c>
      <c r="E527" s="309" t="str">
        <f>VLOOKUP($B527,'D7 - NDB Impacted SPRF''s'!$E$6:$O$9929,2,FALSE)</f>
        <v xml:space="preserve"> NDB Parallel Sysplex - Analysis</v>
      </c>
      <c r="F527" s="8" t="s">
        <v>8133</v>
      </c>
      <c r="G527" s="8" t="s">
        <v>4758</v>
      </c>
      <c r="H527" s="8" t="s">
        <v>4246</v>
      </c>
      <c r="I527" s="20">
        <v>0.8</v>
      </c>
      <c r="J527" s="8" t="s">
        <v>4862</v>
      </c>
      <c r="K527" s="182">
        <v>38885</v>
      </c>
      <c r="L527" s="8" t="s">
        <v>5743</v>
      </c>
      <c r="M527" s="8" t="s">
        <v>2814</v>
      </c>
      <c r="N527" s="367" t="s">
        <v>4859</v>
      </c>
      <c r="O527" s="8"/>
      <c r="P527" s="4" t="str">
        <f>VLOOKUP($B527,'D7 - NDB Impacted SPRF''s'!$E$16:$O$9929,9,FALSE)</f>
        <v>N</v>
      </c>
      <c r="Q527" s="4" t="str">
        <f>VLOOKUP($B527,'D7 - NDB Impacted SPRF''s'!$E$16:$O$9929,10,FALSE)</f>
        <v>N</v>
      </c>
      <c r="R527" s="4" t="str">
        <f>VLOOKUP($B527,'D7 - NDB Impacted SPRF''s'!$E$16:$O$9929,11,FALSE)</f>
        <v>N</v>
      </c>
      <c r="S527" s="8"/>
      <c r="T527" s="310"/>
      <c r="U527" s="310"/>
      <c r="V527" s="4"/>
      <c r="W527" s="4"/>
      <c r="X527" s="4"/>
      <c r="Y527" s="4"/>
      <c r="Z527" s="4"/>
      <c r="AA527" s="4"/>
      <c r="AB527" s="380" t="str">
        <f>VLOOKUP($B527,'D7 - NDB Impacted SPRF''s'!$E$16:$O$9929,4,FALSE)</f>
        <v>Completed</v>
      </c>
      <c r="AC527" s="380" t="str">
        <f>VLOOKUP($B527,'D7 - NDB Impacted SPRF''s'!$E$16:$O$9929,3,FALSE)</f>
        <v>UnitedHealthcare Employer &amp; Individual</v>
      </c>
      <c r="AD527" s="380" t="str">
        <f>VLOOKUP($B527,'D7 - NDB Impacted SPRF''s'!$E$16:$O$9929,5,FALSE)</f>
        <v>Network Growth / Enhancements</v>
      </c>
      <c r="AE527" s="380" t="str">
        <f>VLOOKUP($B527,'D7 - NDB Impacted SPRF''s'!$E$16:$O$9929,7,FALSE)</f>
        <v>UHN</v>
      </c>
      <c r="AF527" s="380" t="str">
        <f>VLOOKUP($B527,'D7 - NDB Impacted SPRF''s'!$E$16:$O$9929,6,FALSE)</f>
        <v>P GIBLIN</v>
      </c>
      <c r="AG527" s="282" t="s">
        <v>7755</v>
      </c>
      <c r="AH527" s="311" t="e">
        <f>INDEX('D5 - Gatekeeper - Projects'!$A$4:$AF$1010,$AM527, 17)</f>
        <v>#N/A</v>
      </c>
      <c r="AI527" s="8"/>
      <c r="AJ527" s="57"/>
      <c r="AK527" s="105"/>
      <c r="AM527" s="6" t="e">
        <f>MATCH(D527,'D5 - Gatekeeper - Projects'!$C$4:$C$1010,0)</f>
        <v>#N/A</v>
      </c>
      <c r="AN527" s="6" t="b">
        <f t="shared" si="46"/>
        <v>1</v>
      </c>
      <c r="AO527" s="6" t="str">
        <f t="shared" si="49"/>
        <v>OK</v>
      </c>
      <c r="AQ527" s="6" t="e">
        <f>MATCH($D527,'D4 - Provider Council Unsched'!$C$11:$C$234,0)</f>
        <v>#N/A</v>
      </c>
      <c r="AR527" s="6" t="b">
        <f t="shared" si="47"/>
        <v>1</v>
      </c>
      <c r="AS527" s="6" t="str">
        <f t="shared" si="50"/>
        <v>OK</v>
      </c>
      <c r="AU527" s="202"/>
      <c r="AV527" s="262"/>
      <c r="AW527" s="274"/>
    </row>
    <row r="528" spans="1:49" s="13" customFormat="1" ht="33.75" x14ac:dyDescent="0.2">
      <c r="A528" s="14">
        <v>504</v>
      </c>
      <c r="B528" s="14">
        <v>400012786</v>
      </c>
      <c r="C528" s="8" t="s">
        <v>5197</v>
      </c>
      <c r="D528" s="4" t="str">
        <f t="shared" si="48"/>
        <v>400012786R1</v>
      </c>
      <c r="E528" s="309" t="str">
        <f>VLOOKUP($B528,'D7 - NDB Impacted SPRF''s'!$E$6:$O$9929,2,FALSE)</f>
        <v>AmeriChoice NY provider data export</v>
      </c>
      <c r="F528" s="8" t="s">
        <v>3235</v>
      </c>
      <c r="G528" s="8" t="s">
        <v>4758</v>
      </c>
      <c r="H528" s="8" t="s">
        <v>4246</v>
      </c>
      <c r="I528" s="20">
        <v>1.07</v>
      </c>
      <c r="J528" s="8" t="s">
        <v>4862</v>
      </c>
      <c r="K528" s="182">
        <v>38885</v>
      </c>
      <c r="L528" s="8" t="s">
        <v>5743</v>
      </c>
      <c r="M528" s="8" t="s">
        <v>2814</v>
      </c>
      <c r="N528" s="367" t="s">
        <v>5810</v>
      </c>
      <c r="O528" s="8"/>
      <c r="P528" s="4" t="str">
        <f>VLOOKUP($B528,'D7 - NDB Impacted SPRF''s'!$E$16:$O$9929,9,FALSE)</f>
        <v>N</v>
      </c>
      <c r="Q528" s="4" t="str">
        <f>VLOOKUP($B528,'D7 - NDB Impacted SPRF''s'!$E$16:$O$9929,10,FALSE)</f>
        <v>N</v>
      </c>
      <c r="R528" s="4" t="str">
        <f>VLOOKUP($B528,'D7 - NDB Impacted SPRF''s'!$E$16:$O$9929,11,FALSE)</f>
        <v>N</v>
      </c>
      <c r="S528" s="8" t="s">
        <v>7273</v>
      </c>
      <c r="T528" s="310"/>
      <c r="U528" s="310"/>
      <c r="V528" s="4"/>
      <c r="W528" s="4"/>
      <c r="X528" s="4"/>
      <c r="Y528" s="4"/>
      <c r="Z528" s="4"/>
      <c r="AA528" s="4"/>
      <c r="AB528" s="380" t="str">
        <f>VLOOKUP($B528,'D7 - NDB Impacted SPRF''s'!$E$16:$O$9929,4,FALSE)</f>
        <v>Completed</v>
      </c>
      <c r="AC528" s="380" t="str">
        <f>VLOOKUP($B528,'D7 - NDB Impacted SPRF''s'!$E$16:$O$9929,3,FALSE)</f>
        <v>UnitedHealthcare Community &amp; State</v>
      </c>
      <c r="AD528" s="380" t="str">
        <f>VLOOKUP($B528,'D7 - NDB Impacted SPRF''s'!$E$16:$O$9929,5,FALSE)</f>
        <v>AmeriChoice</v>
      </c>
      <c r="AE528" s="380" t="str">
        <f>VLOOKUP($B528,'D7 - NDB Impacted SPRF''s'!$E$16:$O$9929,7,FALSE)</f>
        <v>Garfield Collins</v>
      </c>
      <c r="AF528" s="380" t="str">
        <f>VLOOKUP($B528,'D7 - NDB Impacted SPRF''s'!$E$16:$O$9929,6,FALSE)</f>
        <v>GARY SPENCER</v>
      </c>
      <c r="AG528" s="282"/>
      <c r="AH528" s="311" t="e">
        <f>INDEX('D5 - Gatekeeper - Projects'!$A$4:$AF$1010,$AM528, 17)</f>
        <v>#N/A</v>
      </c>
      <c r="AI528" s="8"/>
      <c r="AJ528" s="57"/>
      <c r="AK528" s="105"/>
      <c r="AM528" s="6" t="e">
        <f>MATCH(D528,'D5 - Gatekeeper - Projects'!$C$4:$C$1010,0)</f>
        <v>#N/A</v>
      </c>
      <c r="AN528" s="6" t="b">
        <f t="shared" si="46"/>
        <v>1</v>
      </c>
      <c r="AO528" s="6" t="str">
        <f t="shared" si="49"/>
        <v>OK</v>
      </c>
      <c r="AQ528" s="6" t="e">
        <f>MATCH($D528,'D4 - Provider Council Unsched'!$C$11:$C$234,0)</f>
        <v>#N/A</v>
      </c>
      <c r="AR528" s="6" t="b">
        <f t="shared" si="47"/>
        <v>1</v>
      </c>
      <c r="AS528" s="6" t="str">
        <f t="shared" si="50"/>
        <v>OK</v>
      </c>
      <c r="AU528" s="202"/>
      <c r="AV528" s="262"/>
      <c r="AW528" s="274"/>
    </row>
    <row r="529" spans="1:49" s="13" customFormat="1" ht="33.75" x14ac:dyDescent="0.2">
      <c r="A529" s="14">
        <v>505</v>
      </c>
      <c r="B529" s="14">
        <v>400010807</v>
      </c>
      <c r="C529" s="8" t="s">
        <v>5197</v>
      </c>
      <c r="D529" s="4" t="str">
        <f t="shared" si="48"/>
        <v>400010807R1</v>
      </c>
      <c r="E529" s="309" t="str">
        <f>VLOOKUP($B529,'D7 - NDB Impacted SPRF''s'!$E$6:$O$9929,2,FALSE)</f>
        <v>ORBIT Knowledge Transfer Resource</v>
      </c>
      <c r="F529" s="8" t="s">
        <v>3235</v>
      </c>
      <c r="G529" s="8" t="s">
        <v>4758</v>
      </c>
      <c r="H529" s="8" t="s">
        <v>4246</v>
      </c>
      <c r="I529" s="20">
        <v>0.8</v>
      </c>
      <c r="J529" s="8" t="s">
        <v>7114</v>
      </c>
      <c r="K529" s="182">
        <v>38898</v>
      </c>
      <c r="L529" s="8" t="s">
        <v>6919</v>
      </c>
      <c r="M529" s="8" t="s">
        <v>2814</v>
      </c>
      <c r="N529" s="367" t="s">
        <v>7873</v>
      </c>
      <c r="O529" s="8"/>
      <c r="P529" s="4" t="str">
        <f>VLOOKUP($B529,'D7 - NDB Impacted SPRF''s'!$E$16:$O$9929,9,FALSE)</f>
        <v>N</v>
      </c>
      <c r="Q529" s="4" t="str">
        <f>VLOOKUP($B529,'D7 - NDB Impacted SPRF''s'!$E$16:$O$9929,10,FALSE)</f>
        <v>N</v>
      </c>
      <c r="R529" s="4" t="str">
        <f>VLOOKUP($B529,'D7 - NDB Impacted SPRF''s'!$E$16:$O$9929,11,FALSE)</f>
        <v>N</v>
      </c>
      <c r="S529" s="8" t="s">
        <v>3758</v>
      </c>
      <c r="T529" s="310"/>
      <c r="U529" s="310"/>
      <c r="V529" s="4"/>
      <c r="W529" s="4"/>
      <c r="X529" s="4"/>
      <c r="Y529" s="4"/>
      <c r="Z529" s="4"/>
      <c r="AA529" s="4"/>
      <c r="AB529" s="380" t="str">
        <f>VLOOKUP($B529,'D7 - NDB Impacted SPRF''s'!$E$16:$O$9929,4,FALSE)</f>
        <v>Completed</v>
      </c>
      <c r="AC529" s="380" t="str">
        <f>VLOOKUP($B529,'D7 - NDB Impacted SPRF''s'!$E$16:$O$9929,3,FALSE)</f>
        <v>UnitedHealthcare Employer &amp; Individual</v>
      </c>
      <c r="AD529" s="380" t="str">
        <f>VLOOKUP($B529,'D7 - NDB Impacted SPRF''s'!$E$16:$O$9929,5,FALSE)</f>
        <v>Operations Group</v>
      </c>
      <c r="AE529" s="380" t="str">
        <f>VLOOKUP($B529,'D7 - NDB Impacted SPRF''s'!$E$16:$O$9929,7,FALSE)</f>
        <v>Mark Allen</v>
      </c>
      <c r="AF529" s="380" t="str">
        <f>VLOOKUP($B529,'D7 - NDB Impacted SPRF''s'!$E$16:$O$9929,6,FALSE)</f>
        <v>MICHAEL LUCAS</v>
      </c>
      <c r="AG529" s="282" t="s">
        <v>7755</v>
      </c>
      <c r="AH529" s="311" t="e">
        <f>INDEX('D5 - Gatekeeper - Projects'!$A$4:$AF$1010,$AM529, 17)</f>
        <v>#N/A</v>
      </c>
      <c r="AI529" s="8"/>
      <c r="AJ529" s="57"/>
      <c r="AK529" s="105"/>
      <c r="AM529" s="6" t="e">
        <f>MATCH(D529,'D5 - Gatekeeper - Projects'!$C$4:$C$1010,0)</f>
        <v>#N/A</v>
      </c>
      <c r="AN529" s="6" t="b">
        <f t="shared" ref="AN529:AN592" si="51">ISERROR(AM529)</f>
        <v>1</v>
      </c>
      <c r="AO529" s="6" t="str">
        <f t="shared" si="49"/>
        <v>OK</v>
      </c>
      <c r="AQ529" s="6" t="e">
        <f>MATCH($D529,'D4 - Provider Council Unsched'!$C$11:$C$234,0)</f>
        <v>#N/A</v>
      </c>
      <c r="AR529" s="6" t="b">
        <f t="shared" ref="AR529:AR592" si="52">ISERROR(AQ529)</f>
        <v>1</v>
      </c>
      <c r="AS529" s="6" t="str">
        <f t="shared" si="50"/>
        <v>OK</v>
      </c>
      <c r="AU529" s="202"/>
      <c r="AV529" s="262"/>
      <c r="AW529" s="274"/>
    </row>
    <row r="530" spans="1:49" s="13" customFormat="1" ht="22.5" x14ac:dyDescent="0.2">
      <c r="A530" s="14">
        <v>506</v>
      </c>
      <c r="B530" s="14">
        <v>400005917</v>
      </c>
      <c r="C530" s="8" t="s">
        <v>5956</v>
      </c>
      <c r="D530" s="4" t="str">
        <f t="shared" ref="D530:D593" si="53">CONCATENATE(B530,C530)</f>
        <v>400005917CC02R1</v>
      </c>
      <c r="E530" s="309" t="str">
        <f>VLOOKUP($B530,'D7 - NDB Impacted SPRF''s'!$E$6:$O$9929,2,FALSE)</f>
        <v>Medica Specific IDT Enhancements</v>
      </c>
      <c r="F530" s="8" t="s">
        <v>5196</v>
      </c>
      <c r="G530" s="8" t="s">
        <v>4758</v>
      </c>
      <c r="H530" s="8" t="s">
        <v>4246</v>
      </c>
      <c r="I530" s="20">
        <v>1.65</v>
      </c>
      <c r="J530" s="8" t="s">
        <v>4862</v>
      </c>
      <c r="K530" s="182">
        <v>38934</v>
      </c>
      <c r="L530" s="8" t="s">
        <v>5743</v>
      </c>
      <c r="M530" s="8" t="s">
        <v>2814</v>
      </c>
      <c r="N530" s="367" t="s">
        <v>7118</v>
      </c>
      <c r="O530" s="8"/>
      <c r="P530" s="4" t="str">
        <f>VLOOKUP($B530,'D7 - NDB Impacted SPRF''s'!$E$16:$O$9929,9,FALSE)</f>
        <v>Y</v>
      </c>
      <c r="Q530" s="4" t="str">
        <f>VLOOKUP($B530,'D7 - NDB Impacted SPRF''s'!$E$16:$O$9929,10,FALSE)</f>
        <v>N</v>
      </c>
      <c r="R530" s="4" t="str">
        <f>VLOOKUP($B530,'D7 - NDB Impacted SPRF''s'!$E$16:$O$9929,11,FALSE)</f>
        <v>N</v>
      </c>
      <c r="S530" s="8"/>
      <c r="T530" s="310"/>
      <c r="U530" s="310"/>
      <c r="V530" s="4"/>
      <c r="W530" s="4"/>
      <c r="X530" s="4"/>
      <c r="Y530" s="4"/>
      <c r="Z530" s="4"/>
      <c r="AA530" s="4"/>
      <c r="AB530" s="380" t="str">
        <f>VLOOKUP($B530,'D7 - NDB Impacted SPRF''s'!$E$16:$O$9929,4,FALSE)</f>
        <v>Completed</v>
      </c>
      <c r="AC530" s="380" t="str">
        <f>VLOOKUP($B530,'D7 - NDB Impacted SPRF''s'!$E$16:$O$9929,3,FALSE)</f>
        <v>Alliance</v>
      </c>
      <c r="AD530" s="380" t="str">
        <f>VLOOKUP($B530,'D7 - NDB Impacted SPRF''s'!$E$16:$O$9929,5,FALSE)</f>
        <v>Medica UNET Conversion</v>
      </c>
      <c r="AE530" s="380" t="str">
        <f>VLOOKUP($B530,'D7 - NDB Impacted SPRF''s'!$E$16:$O$9929,7,FALSE)</f>
        <v>Joanne Houck</v>
      </c>
      <c r="AF530" s="380" t="str">
        <f>VLOOKUP($B530,'D7 - NDB Impacted SPRF''s'!$E$16:$O$9929,6,FALSE)</f>
        <v>TODD COBBS</v>
      </c>
      <c r="AG530" s="282"/>
      <c r="AH530" s="311" t="e">
        <f>INDEX('D5 - Gatekeeper - Projects'!$A$4:$AF$1010,$AM530, 17)</f>
        <v>#N/A</v>
      </c>
      <c r="AI530" s="8"/>
      <c r="AJ530" s="57"/>
      <c r="AK530" s="105"/>
      <c r="AM530" s="6" t="e">
        <f>MATCH(D530,'D5 - Gatekeeper - Projects'!$C$4:$C$1010,0)</f>
        <v>#N/A</v>
      </c>
      <c r="AN530" s="6" t="b">
        <f t="shared" si="51"/>
        <v>1</v>
      </c>
      <c r="AO530" s="6" t="str">
        <f t="shared" ref="AO530:AO593" si="54">IF(AND(H530="1 - Scheduled",AN530=TRUE),"Add","OK")</f>
        <v>OK</v>
      </c>
      <c r="AQ530" s="6" t="e">
        <f>MATCH($D530,'D4 - Provider Council Unsched'!$C$11:$C$234,0)</f>
        <v>#N/A</v>
      </c>
      <c r="AR530" s="6" t="b">
        <f t="shared" si="52"/>
        <v>1</v>
      </c>
      <c r="AS530" s="6" t="str">
        <f t="shared" si="50"/>
        <v>OK</v>
      </c>
      <c r="AU530" s="202"/>
      <c r="AV530" s="262"/>
      <c r="AW530" s="274"/>
    </row>
    <row r="531" spans="1:49" s="13" customFormat="1" ht="67.5" x14ac:dyDescent="0.2">
      <c r="A531" s="14">
        <v>507</v>
      </c>
      <c r="B531" s="14">
        <v>400007544</v>
      </c>
      <c r="C531" s="8" t="s">
        <v>5197</v>
      </c>
      <c r="D531" s="4" t="str">
        <f t="shared" si="53"/>
        <v>400007544R1</v>
      </c>
      <c r="E531" s="309" t="str">
        <f>VLOOKUP($B531,'D7 - NDB Impacted SPRF''s'!$E$6:$O$9929,2,FALSE)</f>
        <v>Midwest Security UB claims repricing</v>
      </c>
      <c r="F531" s="8" t="s">
        <v>6373</v>
      </c>
      <c r="G531" s="8" t="s">
        <v>4758</v>
      </c>
      <c r="H531" s="8" t="s">
        <v>4246</v>
      </c>
      <c r="I531" s="20">
        <v>5</v>
      </c>
      <c r="J531" s="8" t="s">
        <v>4862</v>
      </c>
      <c r="K531" s="182">
        <v>38934</v>
      </c>
      <c r="L531" s="8" t="s">
        <v>6919</v>
      </c>
      <c r="M531" s="8" t="s">
        <v>2814</v>
      </c>
      <c r="N531" s="38" t="s">
        <v>6829</v>
      </c>
      <c r="O531" s="8"/>
      <c r="P531" s="4" t="str">
        <f>VLOOKUP($B531,'D7 - NDB Impacted SPRF''s'!$E$16:$O$9929,9,FALSE)</f>
        <v>N</v>
      </c>
      <c r="Q531" s="4" t="str">
        <f>VLOOKUP($B531,'D7 - NDB Impacted SPRF''s'!$E$16:$O$9929,10,FALSE)</f>
        <v>N</v>
      </c>
      <c r="R531" s="4" t="str">
        <f>VLOOKUP($B531,'D7 - NDB Impacted SPRF''s'!$E$16:$O$9929,11,FALSE)</f>
        <v>N</v>
      </c>
      <c r="S531" s="8" t="s">
        <v>3758</v>
      </c>
      <c r="T531" s="310"/>
      <c r="U531" s="310"/>
      <c r="V531" s="4"/>
      <c r="W531" s="4"/>
      <c r="X531" s="4"/>
      <c r="Y531" s="4"/>
      <c r="Z531" s="4"/>
      <c r="AA531" s="4"/>
      <c r="AB531" s="380" t="str">
        <f>VLOOKUP($B531,'D7 - NDB Impacted SPRF''s'!$E$16:$O$9929,4,FALSE)</f>
        <v>Completed</v>
      </c>
      <c r="AC531" s="380" t="str">
        <f>VLOOKUP($B531,'D7 - NDB Impacted SPRF''s'!$E$16:$O$9929,3,FALSE)</f>
        <v>UnitedHealthcare Employer &amp; Individual</v>
      </c>
      <c r="AD531" s="380" t="str">
        <f>VLOOKUP($B531,'D7 - NDB Impacted SPRF''s'!$E$16:$O$9929,5,FALSE)</f>
        <v>Medical Cost Savings Programs</v>
      </c>
      <c r="AE531" s="380" t="str">
        <f>VLOOKUP($B531,'D7 - NDB Impacted SPRF''s'!$E$16:$O$9929,7,FALSE)</f>
        <v>Patrick Kennedy</v>
      </c>
      <c r="AF531" s="380" t="str">
        <f>VLOOKUP($B531,'D7 - NDB Impacted SPRF''s'!$E$16:$O$9929,6,FALSE)</f>
        <v>Borzage Deborah</v>
      </c>
      <c r="AG531" s="282" t="s">
        <v>6162</v>
      </c>
      <c r="AH531" s="311" t="e">
        <f>INDEX('D5 - Gatekeeper - Projects'!$A$4:$AF$1010,$AM531, 17)</f>
        <v>#N/A</v>
      </c>
      <c r="AI531" s="8"/>
      <c r="AJ531" s="57"/>
      <c r="AK531" s="105"/>
      <c r="AM531" s="6" t="e">
        <f>MATCH(D531,'D5 - Gatekeeper - Projects'!$C$4:$C$1010,0)</f>
        <v>#N/A</v>
      </c>
      <c r="AN531" s="6" t="b">
        <f t="shared" si="51"/>
        <v>1</v>
      </c>
      <c r="AO531" s="6" t="str">
        <f t="shared" si="54"/>
        <v>OK</v>
      </c>
      <c r="AQ531" s="6" t="e">
        <f>MATCH($D531,'D4 - Provider Council Unsched'!$C$11:$C$234,0)</f>
        <v>#N/A</v>
      </c>
      <c r="AR531" s="6" t="b">
        <f t="shared" si="52"/>
        <v>1</v>
      </c>
      <c r="AS531" s="6" t="str">
        <f t="shared" si="50"/>
        <v>OK</v>
      </c>
      <c r="AU531" s="202"/>
      <c r="AV531" s="262"/>
      <c r="AW531" s="274"/>
    </row>
    <row r="532" spans="1:49" s="13" customFormat="1" ht="33.75" x14ac:dyDescent="0.2">
      <c r="A532" s="14">
        <v>508</v>
      </c>
      <c r="B532" s="14">
        <v>400007822</v>
      </c>
      <c r="C532" s="8" t="s">
        <v>5197</v>
      </c>
      <c r="D532" s="4" t="str">
        <f t="shared" si="53"/>
        <v>400007822R1</v>
      </c>
      <c r="E532" s="309" t="str">
        <f>VLOOKUP($B532,'D7 - NDB Impacted SPRF''s'!$E$6:$O$9929,2,FALSE)</f>
        <v>diCarta v6.0 Upgrade App/Int Enhancements</v>
      </c>
      <c r="F532" s="8" t="s">
        <v>4695</v>
      </c>
      <c r="G532" s="8" t="s">
        <v>4758</v>
      </c>
      <c r="H532" s="8" t="s">
        <v>4246</v>
      </c>
      <c r="I532" s="20">
        <v>16.989999999999998</v>
      </c>
      <c r="J532" s="8" t="s">
        <v>4862</v>
      </c>
      <c r="K532" s="182">
        <v>38934</v>
      </c>
      <c r="L532" s="8" t="s">
        <v>5743</v>
      </c>
      <c r="M532" s="8" t="s">
        <v>2814</v>
      </c>
      <c r="N532" s="38" t="s">
        <v>5179</v>
      </c>
      <c r="O532" s="8"/>
      <c r="P532" s="4" t="str">
        <f>VLOOKUP($B532,'D7 - NDB Impacted SPRF''s'!$E$16:$O$9929,9,FALSE)</f>
        <v>N</v>
      </c>
      <c r="Q532" s="4" t="str">
        <f>VLOOKUP($B532,'D7 - NDB Impacted SPRF''s'!$E$16:$O$9929,10,FALSE)</f>
        <v>N</v>
      </c>
      <c r="R532" s="4" t="str">
        <f>VLOOKUP($B532,'D7 - NDB Impacted SPRF''s'!$E$16:$O$9929,11,FALSE)</f>
        <v>N</v>
      </c>
      <c r="S532" s="8" t="s">
        <v>3758</v>
      </c>
      <c r="T532" s="310"/>
      <c r="U532" s="310"/>
      <c r="V532" s="4"/>
      <c r="W532" s="4"/>
      <c r="X532" s="4"/>
      <c r="Y532" s="4"/>
      <c r="Z532" s="4"/>
      <c r="AA532" s="4"/>
      <c r="AB532" s="380" t="str">
        <f>VLOOKUP($B532,'D7 - NDB Impacted SPRF''s'!$E$16:$O$9929,4,FALSE)</f>
        <v>Completed</v>
      </c>
      <c r="AC532" s="380" t="str">
        <f>VLOOKUP($B532,'D7 - NDB Impacted SPRF''s'!$E$16:$O$9929,3,FALSE)</f>
        <v>UnitedHealthcare Employer &amp; Individual</v>
      </c>
      <c r="AD532" s="380" t="str">
        <f>VLOOKUP($B532,'D7 - NDB Impacted SPRF''s'!$E$16:$O$9929,5,FALSE)</f>
        <v>Key Initiatives Group</v>
      </c>
      <c r="AE532" s="380" t="str">
        <f>VLOOKUP($B532,'D7 - NDB Impacted SPRF''s'!$E$16:$O$9929,7,FALSE)</f>
        <v>Peter Bompane</v>
      </c>
      <c r="AF532" s="380" t="str">
        <f>VLOOKUP($B532,'D7 - NDB Impacted SPRF''s'!$E$16:$O$9929,6,FALSE)</f>
        <v>JOSHUA WOODRUM</v>
      </c>
      <c r="AG532" s="282" t="s">
        <v>5094</v>
      </c>
      <c r="AH532" s="311" t="e">
        <f>INDEX('D5 - Gatekeeper - Projects'!$A$4:$AF$1010,$AM532, 17)</f>
        <v>#N/A</v>
      </c>
      <c r="AI532" s="8"/>
      <c r="AJ532" s="57"/>
      <c r="AK532" s="105"/>
      <c r="AM532" s="6" t="e">
        <f>MATCH(D532,'D5 - Gatekeeper - Projects'!$C$4:$C$1010,0)</f>
        <v>#N/A</v>
      </c>
      <c r="AN532" s="6" t="b">
        <f t="shared" si="51"/>
        <v>1</v>
      </c>
      <c r="AO532" s="6" t="str">
        <f t="shared" si="54"/>
        <v>OK</v>
      </c>
      <c r="AQ532" s="6" t="e">
        <f>MATCH($D532,'D4 - Provider Council Unsched'!$C$11:$C$234,0)</f>
        <v>#N/A</v>
      </c>
      <c r="AR532" s="6" t="b">
        <f t="shared" si="52"/>
        <v>1</v>
      </c>
      <c r="AS532" s="6" t="str">
        <f t="shared" si="50"/>
        <v>OK</v>
      </c>
      <c r="AU532" s="202"/>
      <c r="AV532" s="262"/>
      <c r="AW532" s="274"/>
    </row>
    <row r="533" spans="1:49" s="13" customFormat="1" ht="33.75" x14ac:dyDescent="0.2">
      <c r="A533" s="14">
        <v>509</v>
      </c>
      <c r="B533" s="14">
        <v>400007908</v>
      </c>
      <c r="C533" s="8" t="s">
        <v>6724</v>
      </c>
      <c r="D533" s="4" t="str">
        <f t="shared" si="53"/>
        <v>400007908CC07</v>
      </c>
      <c r="E533" s="309" t="str">
        <f>VLOOKUP($B533,'D7 - NDB Impacted SPRF''s'!$E$6:$O$9929,2,FALSE)</f>
        <v>NPI Data Capture and Searches</v>
      </c>
      <c r="F533" s="8" t="s">
        <v>1059</v>
      </c>
      <c r="G533" s="8" t="s">
        <v>4758</v>
      </c>
      <c r="H533" s="8" t="s">
        <v>4246</v>
      </c>
      <c r="I533" s="20">
        <v>1.32</v>
      </c>
      <c r="J533" s="8" t="s">
        <v>7114</v>
      </c>
      <c r="K533" s="182">
        <v>38934</v>
      </c>
      <c r="L533" s="8" t="s">
        <v>5743</v>
      </c>
      <c r="M533" s="8" t="s">
        <v>2814</v>
      </c>
      <c r="N533" s="368"/>
      <c r="O533" s="8"/>
      <c r="P533" s="4" t="str">
        <f>VLOOKUP($B533,'D7 - NDB Impacted SPRF''s'!$E$16:$O$9929,9,FALSE)</f>
        <v>Y</v>
      </c>
      <c r="Q533" s="4" t="str">
        <f>VLOOKUP($B533,'D7 - NDB Impacted SPRF''s'!$E$16:$O$9929,10,FALSE)</f>
        <v>N</v>
      </c>
      <c r="R533" s="4" t="str">
        <f>VLOOKUP($B533,'D7 - NDB Impacted SPRF''s'!$E$16:$O$9929,11,FALSE)</f>
        <v>N</v>
      </c>
      <c r="S533" s="8" t="s">
        <v>3758</v>
      </c>
      <c r="T533" s="310"/>
      <c r="U533" s="310"/>
      <c r="V533" s="4"/>
      <c r="W533" s="4"/>
      <c r="X533" s="4"/>
      <c r="Y533" s="4"/>
      <c r="Z533" s="4"/>
      <c r="AA533" s="4"/>
      <c r="AB533" s="380" t="str">
        <f>VLOOKUP($B533,'D7 - NDB Impacted SPRF''s'!$E$16:$O$9929,4,FALSE)</f>
        <v>Completed</v>
      </c>
      <c r="AC533" s="380" t="str">
        <f>VLOOKUP($B533,'D7 - NDB Impacted SPRF''s'!$E$16:$O$9929,3,FALSE)</f>
        <v>UnitedHealthcare Employer &amp; Individual</v>
      </c>
      <c r="AD533" s="380" t="str">
        <f>VLOOKUP($B533,'D7 - NDB Impacted SPRF''s'!$E$16:$O$9929,5,FALSE)</f>
        <v>Regulatory / Other</v>
      </c>
      <c r="AE533" s="380" t="str">
        <f>VLOOKUP($B533,'D7 - NDB Impacted SPRF''s'!$E$16:$O$9929,7,FALSE)</f>
        <v>Peter Bompane</v>
      </c>
      <c r="AF533" s="380" t="str">
        <f>VLOOKUP($B533,'D7 - NDB Impacted SPRF''s'!$E$16:$O$9929,6,FALSE)</f>
        <v>KELLY LEONARD</v>
      </c>
      <c r="AG533" s="282" t="s">
        <v>6682</v>
      </c>
      <c r="AH533" s="311" t="e">
        <f>INDEX('D5 - Gatekeeper - Projects'!$A$4:$AF$1010,$AM533, 17)</f>
        <v>#N/A</v>
      </c>
      <c r="AI533" s="8"/>
      <c r="AJ533" s="57"/>
      <c r="AK533" s="105"/>
      <c r="AM533" s="6" t="e">
        <f>MATCH(D533,'D5 - Gatekeeper - Projects'!$C$4:$C$1010,0)</f>
        <v>#N/A</v>
      </c>
      <c r="AN533" s="6" t="b">
        <f t="shared" si="51"/>
        <v>1</v>
      </c>
      <c r="AO533" s="6" t="str">
        <f t="shared" si="54"/>
        <v>OK</v>
      </c>
      <c r="AQ533" s="6" t="e">
        <f>MATCH($D533,'D4 - Provider Council Unsched'!$C$11:$C$234,0)</f>
        <v>#N/A</v>
      </c>
      <c r="AR533" s="6" t="b">
        <f t="shared" si="52"/>
        <v>1</v>
      </c>
      <c r="AS533" s="6" t="str">
        <f t="shared" si="50"/>
        <v>OK</v>
      </c>
      <c r="AU533" s="202"/>
      <c r="AV533" s="262"/>
      <c r="AW533" s="274"/>
    </row>
    <row r="534" spans="1:49" s="13" customFormat="1" ht="33.75" x14ac:dyDescent="0.2">
      <c r="A534" s="14">
        <v>510</v>
      </c>
      <c r="B534" s="14">
        <v>400007964</v>
      </c>
      <c r="C534" s="8" t="s">
        <v>7133</v>
      </c>
      <c r="D534" s="4" t="str">
        <f t="shared" si="53"/>
        <v>400007964CC04</v>
      </c>
      <c r="E534" s="309" t="str">
        <f>VLOOKUP($B534,'D7 - NDB Impacted SPRF''s'!$E$6:$O$9929,2,FALSE)</f>
        <v>Alliance PPO: Phase 1, diCarta Contracting</v>
      </c>
      <c r="F534" s="8" t="s">
        <v>1931</v>
      </c>
      <c r="G534" s="8" t="s">
        <v>4758</v>
      </c>
      <c r="H534" s="8" t="s">
        <v>4246</v>
      </c>
      <c r="I534" s="20">
        <v>2.79</v>
      </c>
      <c r="J534" s="8" t="s">
        <v>7114</v>
      </c>
      <c r="K534" s="182">
        <v>38934</v>
      </c>
      <c r="L534" s="8" t="s">
        <v>6919</v>
      </c>
      <c r="M534" s="8" t="s">
        <v>2814</v>
      </c>
      <c r="N534" s="367" t="s">
        <v>6021</v>
      </c>
      <c r="O534" s="8"/>
      <c r="P534" s="4" t="str">
        <f>VLOOKUP($B534,'D7 - NDB Impacted SPRF''s'!$E$16:$O$9929,9,FALSE)</f>
        <v>N</v>
      </c>
      <c r="Q534" s="4" t="str">
        <f>VLOOKUP($B534,'D7 - NDB Impacted SPRF''s'!$E$16:$O$9929,10,FALSE)</f>
        <v>N</v>
      </c>
      <c r="R534" s="4" t="str">
        <f>VLOOKUP($B534,'D7 - NDB Impacted SPRF''s'!$E$16:$O$9929,11,FALSE)</f>
        <v>N</v>
      </c>
      <c r="S534" s="8" t="s">
        <v>3758</v>
      </c>
      <c r="T534" s="310"/>
      <c r="U534" s="310"/>
      <c r="V534" s="4"/>
      <c r="W534" s="4"/>
      <c r="X534" s="4"/>
      <c r="Y534" s="4"/>
      <c r="Z534" s="4"/>
      <c r="AA534" s="4"/>
      <c r="AB534" s="380" t="str">
        <f>VLOOKUP($B534,'D7 - NDB Impacted SPRF''s'!$E$16:$O$9929,4,FALSE)</f>
        <v>Completed</v>
      </c>
      <c r="AC534" s="380" t="str">
        <f>VLOOKUP($B534,'D7 - NDB Impacted SPRF''s'!$E$16:$O$9929,3,FALSE)</f>
        <v>UnitedHealthcare Employer &amp; Individual</v>
      </c>
      <c r="AD534" s="380" t="str">
        <f>VLOOKUP($B534,'D7 - NDB Impacted SPRF''s'!$E$16:$O$9929,5,FALSE)</f>
        <v>Key Initiatives Group</v>
      </c>
      <c r="AE534" s="380" t="str">
        <f>VLOOKUP($B534,'D7 - NDB Impacted SPRF''s'!$E$16:$O$9929,7,FALSE)</f>
        <v>Mike Mikan</v>
      </c>
      <c r="AF534" s="380" t="str">
        <f>VLOOKUP($B534,'D7 - NDB Impacted SPRF''s'!$E$16:$O$9929,6,FALSE)</f>
        <v>KELLY HARRISON</v>
      </c>
      <c r="AG534" s="282" t="s">
        <v>6162</v>
      </c>
      <c r="AH534" s="311" t="e">
        <f>INDEX('D5 - Gatekeeper - Projects'!$A$4:$AF$1010,$AM534, 17)</f>
        <v>#N/A</v>
      </c>
      <c r="AI534" s="8"/>
      <c r="AJ534" s="57"/>
      <c r="AK534" s="105"/>
      <c r="AM534" s="6" t="e">
        <f>MATCH(D534,'D5 - Gatekeeper - Projects'!$C$4:$C$1010,0)</f>
        <v>#N/A</v>
      </c>
      <c r="AN534" s="6" t="b">
        <f t="shared" si="51"/>
        <v>1</v>
      </c>
      <c r="AO534" s="6" t="str">
        <f t="shared" si="54"/>
        <v>OK</v>
      </c>
      <c r="AQ534" s="6" t="e">
        <f>MATCH($D534,'D4 - Provider Council Unsched'!$C$11:$C$234,0)</f>
        <v>#N/A</v>
      </c>
      <c r="AR534" s="6" t="b">
        <f t="shared" si="52"/>
        <v>1</v>
      </c>
      <c r="AS534" s="6" t="str">
        <f t="shared" si="50"/>
        <v>OK</v>
      </c>
      <c r="AU534" s="202"/>
      <c r="AV534" s="262"/>
      <c r="AW534" s="274"/>
    </row>
    <row r="535" spans="1:49" s="13" customFormat="1" ht="22.5" x14ac:dyDescent="0.2">
      <c r="A535" s="14">
        <v>511</v>
      </c>
      <c r="B535" s="14">
        <v>400007971</v>
      </c>
      <c r="C535" s="8" t="s">
        <v>4926</v>
      </c>
      <c r="D535" s="4" t="str">
        <f t="shared" si="53"/>
        <v>400007971R4</v>
      </c>
      <c r="E535" s="309" t="str">
        <f>VLOOKUP($B535,'D7 - NDB Impacted SPRF''s'!$E$6:$O$9929,2,FALSE)</f>
        <v>DTRs for UT Applications</v>
      </c>
      <c r="F535" s="8" t="s">
        <v>8133</v>
      </c>
      <c r="G535" s="8" t="s">
        <v>4758</v>
      </c>
      <c r="H535" s="8" t="s">
        <v>4246</v>
      </c>
      <c r="I535" s="20">
        <v>2</v>
      </c>
      <c r="J535" s="8" t="s">
        <v>4862</v>
      </c>
      <c r="K535" s="182">
        <v>38934</v>
      </c>
      <c r="L535" s="8" t="s">
        <v>5743</v>
      </c>
      <c r="M535" s="8" t="s">
        <v>2814</v>
      </c>
      <c r="N535" s="367"/>
      <c r="O535" s="8"/>
      <c r="P535" s="4" t="str">
        <f>VLOOKUP($B535,'D7 - NDB Impacted SPRF''s'!$E$16:$O$9929,9,FALSE)</f>
        <v>Y</v>
      </c>
      <c r="Q535" s="4" t="str">
        <f>VLOOKUP($B535,'D7 - NDB Impacted SPRF''s'!$E$16:$O$9929,10,FALSE)</f>
        <v>N</v>
      </c>
      <c r="R535" s="4" t="str">
        <f>VLOOKUP($B535,'D7 - NDB Impacted SPRF''s'!$E$16:$O$9929,11,FALSE)</f>
        <v>N</v>
      </c>
      <c r="S535" s="8" t="s">
        <v>3758</v>
      </c>
      <c r="T535" s="310"/>
      <c r="U535" s="310"/>
      <c r="V535" s="4"/>
      <c r="W535" s="4"/>
      <c r="X535" s="4"/>
      <c r="Y535" s="4"/>
      <c r="Z535" s="4"/>
      <c r="AA535" s="4"/>
      <c r="AB535" s="380" t="str">
        <f>VLOOKUP($B535,'D7 - NDB Impacted SPRF''s'!$E$16:$O$9929,4,FALSE)</f>
        <v>Completed</v>
      </c>
      <c r="AC535" s="380" t="str">
        <f>VLOOKUP($B535,'D7 - NDB Impacted SPRF''s'!$E$16:$O$9929,3,FALSE)</f>
        <v>Uniprise</v>
      </c>
      <c r="AD535" s="380" t="str">
        <f>VLOOKUP($B535,'D7 - NDB Impacted SPRF''s'!$E$16:$O$9929,5,FALSE)</f>
        <v>Uniprise Technologies - Capital Projects</v>
      </c>
      <c r="AE535" s="380" t="str">
        <f>VLOOKUP($B535,'D7 - NDB Impacted SPRF''s'!$E$16:$O$9929,7,FALSE)</f>
        <v>Steven Penn</v>
      </c>
      <c r="AF535" s="380" t="str">
        <f>VLOOKUP($B535,'D7 - NDB Impacted SPRF''s'!$E$16:$O$9929,6,FALSE)</f>
        <v>Jeffrey Jablonski</v>
      </c>
      <c r="AG535" s="282"/>
      <c r="AH535" s="311" t="e">
        <f>INDEX('D5 - Gatekeeper - Projects'!$A$4:$AF$1010,$AM535, 17)</f>
        <v>#N/A</v>
      </c>
      <c r="AI535" s="8"/>
      <c r="AJ535" s="57"/>
      <c r="AK535" s="105"/>
      <c r="AM535" s="6" t="e">
        <f>MATCH(D535,'D5 - Gatekeeper - Projects'!$C$4:$C$1010,0)</f>
        <v>#N/A</v>
      </c>
      <c r="AN535" s="6" t="b">
        <f t="shared" si="51"/>
        <v>1</v>
      </c>
      <c r="AO535" s="6" t="str">
        <f t="shared" si="54"/>
        <v>OK</v>
      </c>
      <c r="AQ535" s="6" t="e">
        <f>MATCH($D535,'D4 - Provider Council Unsched'!$C$11:$C$234,0)</f>
        <v>#N/A</v>
      </c>
      <c r="AR535" s="6" t="b">
        <f t="shared" si="52"/>
        <v>1</v>
      </c>
      <c r="AS535" s="6" t="str">
        <f t="shared" si="50"/>
        <v>OK</v>
      </c>
      <c r="AU535" s="202"/>
      <c r="AV535" s="262"/>
      <c r="AW535" s="274"/>
    </row>
    <row r="536" spans="1:49" s="13" customFormat="1" ht="33.75" x14ac:dyDescent="0.2">
      <c r="A536" s="14">
        <v>512</v>
      </c>
      <c r="B536" s="14">
        <v>400008054</v>
      </c>
      <c r="C536" s="8" t="s">
        <v>2449</v>
      </c>
      <c r="D536" s="4" t="str">
        <f t="shared" si="53"/>
        <v>400008054R3</v>
      </c>
      <c r="E536" s="309" t="str">
        <f>VLOOKUP($B536,'D7 - NDB Impacted SPRF''s'!$E$6:$O$9929,2,FALSE)</f>
        <v>Queue Consolidation and Management</v>
      </c>
      <c r="F536" s="8" t="s">
        <v>4961</v>
      </c>
      <c r="G536" s="8" t="s">
        <v>4758</v>
      </c>
      <c r="H536" s="8" t="s">
        <v>4246</v>
      </c>
      <c r="I536" s="20">
        <v>1</v>
      </c>
      <c r="J536" s="8" t="s">
        <v>4862</v>
      </c>
      <c r="K536" s="182">
        <v>38934</v>
      </c>
      <c r="L536" s="8" t="s">
        <v>5743</v>
      </c>
      <c r="M536" s="8" t="s">
        <v>2814</v>
      </c>
      <c r="N536" s="38" t="s">
        <v>4709</v>
      </c>
      <c r="O536" s="8"/>
      <c r="P536" s="4" t="str">
        <f>VLOOKUP($B536,'D7 - NDB Impacted SPRF''s'!$E$16:$O$9929,9,FALSE)</f>
        <v>Y</v>
      </c>
      <c r="Q536" s="4" t="str">
        <f>VLOOKUP($B536,'D7 - NDB Impacted SPRF''s'!$E$16:$O$9929,10,FALSE)</f>
        <v>N</v>
      </c>
      <c r="R536" s="4" t="str">
        <f>VLOOKUP($B536,'D7 - NDB Impacted SPRF''s'!$E$16:$O$9929,11,FALSE)</f>
        <v>Y</v>
      </c>
      <c r="S536" s="8"/>
      <c r="T536" s="310"/>
      <c r="U536" s="310"/>
      <c r="V536" s="4"/>
      <c r="W536" s="4"/>
      <c r="X536" s="4"/>
      <c r="Y536" s="4"/>
      <c r="Z536" s="4"/>
      <c r="AA536" s="4"/>
      <c r="AB536" s="380" t="str">
        <f>VLOOKUP($B536,'D7 - NDB Impacted SPRF''s'!$E$16:$O$9929,4,FALSE)</f>
        <v>Completed</v>
      </c>
      <c r="AC536" s="380" t="str">
        <f>VLOOKUP($B536,'D7 - NDB Impacted SPRF''s'!$E$16:$O$9929,3,FALSE)</f>
        <v>UnitedHealthcare Employer &amp; Individual</v>
      </c>
      <c r="AD536" s="380" t="str">
        <f>VLOOKUP($B536,'D7 - NDB Impacted SPRF''s'!$E$16:$O$9929,5,FALSE)</f>
        <v>Network Growth / Enhancements</v>
      </c>
      <c r="AE536" s="380" t="str">
        <f>VLOOKUP($B536,'D7 - NDB Impacted SPRF''s'!$E$16:$O$9929,7,FALSE)</f>
        <v>Peter Bompane</v>
      </c>
      <c r="AF536" s="380" t="str">
        <f>VLOOKUP($B536,'D7 - NDB Impacted SPRF''s'!$E$16:$O$9929,6,FALSE)</f>
        <v>ELIZABETH Young</v>
      </c>
      <c r="AG536" s="282"/>
      <c r="AH536" s="311" t="e">
        <f>INDEX('D5 - Gatekeeper - Projects'!$A$4:$AF$1010,$AM536, 17)</f>
        <v>#N/A</v>
      </c>
      <c r="AI536" s="8"/>
      <c r="AJ536" s="57"/>
      <c r="AK536" s="105"/>
      <c r="AM536" s="6" t="e">
        <f>MATCH(D536,'D5 - Gatekeeper - Projects'!$C$4:$C$1010,0)</f>
        <v>#N/A</v>
      </c>
      <c r="AN536" s="6" t="b">
        <f t="shared" si="51"/>
        <v>1</v>
      </c>
      <c r="AO536" s="6" t="str">
        <f t="shared" si="54"/>
        <v>OK</v>
      </c>
      <c r="AQ536" s="6" t="e">
        <f>MATCH($D536,'D4 - Provider Council Unsched'!$C$11:$C$234,0)</f>
        <v>#N/A</v>
      </c>
      <c r="AR536" s="6" t="b">
        <f t="shared" si="52"/>
        <v>1</v>
      </c>
      <c r="AS536" s="6" t="str">
        <f t="shared" si="50"/>
        <v>OK</v>
      </c>
      <c r="AU536" s="202"/>
      <c r="AV536" s="262"/>
      <c r="AW536" s="274"/>
    </row>
    <row r="537" spans="1:49" s="13" customFormat="1" ht="33.75" x14ac:dyDescent="0.2">
      <c r="A537" s="14">
        <v>513</v>
      </c>
      <c r="B537" s="14">
        <v>400008719</v>
      </c>
      <c r="C537" s="8" t="s">
        <v>6725</v>
      </c>
      <c r="D537" s="4" t="str">
        <f t="shared" si="53"/>
        <v>400008719CC01</v>
      </c>
      <c r="E537" s="309" t="str">
        <f>VLOOKUP($B537,'D7 - NDB Impacted SPRF''s'!$E$6:$O$9929,2,FALSE)</f>
        <v>MAMSI Referral Integration</v>
      </c>
      <c r="F537" s="8" t="s">
        <v>5752</v>
      </c>
      <c r="G537" s="8" t="s">
        <v>4758</v>
      </c>
      <c r="H537" s="8" t="s">
        <v>4246</v>
      </c>
      <c r="I537" s="20">
        <v>0.81</v>
      </c>
      <c r="J537" s="8" t="s">
        <v>7114</v>
      </c>
      <c r="K537" s="182">
        <v>38934</v>
      </c>
      <c r="L537" s="8" t="s">
        <v>5743</v>
      </c>
      <c r="M537" s="8" t="s">
        <v>2814</v>
      </c>
      <c r="N537" s="367"/>
      <c r="O537" s="8"/>
      <c r="P537" s="4" t="str">
        <f>VLOOKUP($B537,'D7 - NDB Impacted SPRF''s'!$E$16:$O$9929,9,FALSE)</f>
        <v>Y</v>
      </c>
      <c r="Q537" s="4" t="str">
        <f>VLOOKUP($B537,'D7 - NDB Impacted SPRF''s'!$E$16:$O$9929,10,FALSE)</f>
        <v>N</v>
      </c>
      <c r="R537" s="4" t="str">
        <f>VLOOKUP($B537,'D7 - NDB Impacted SPRF''s'!$E$16:$O$9929,11,FALSE)</f>
        <v>N</v>
      </c>
      <c r="S537" s="8" t="s">
        <v>3758</v>
      </c>
      <c r="T537" s="310"/>
      <c r="U537" s="310"/>
      <c r="V537" s="4"/>
      <c r="W537" s="4"/>
      <c r="X537" s="4"/>
      <c r="Y537" s="4"/>
      <c r="Z537" s="4"/>
      <c r="AA537" s="4"/>
      <c r="AB537" s="380" t="str">
        <f>VLOOKUP($B537,'D7 - NDB Impacted SPRF''s'!$E$16:$O$9929,4,FALSE)</f>
        <v>Completed</v>
      </c>
      <c r="AC537" s="380" t="str">
        <f>VLOOKUP($B537,'D7 - NDB Impacted SPRF''s'!$E$16:$O$9929,3,FALSE)</f>
        <v>UnitedHealthcare Employer &amp; Individual</v>
      </c>
      <c r="AD537" s="380" t="str">
        <f>VLOOKUP($B537,'D7 - NDB Impacted SPRF''s'!$E$16:$O$9929,5,FALSE)</f>
        <v>Integration Requirements</v>
      </c>
      <c r="AE537" s="380" t="str">
        <f>VLOOKUP($B537,'D7 - NDB Impacted SPRF''s'!$E$16:$O$9929,7,FALSE)</f>
        <v>Diane Schofied</v>
      </c>
      <c r="AF537" s="380" t="str">
        <f>VLOOKUP($B537,'D7 - NDB Impacted SPRF''s'!$E$16:$O$9929,6,FALSE)</f>
        <v>Jennifer Steffens</v>
      </c>
      <c r="AG537" s="282" t="s">
        <v>7755</v>
      </c>
      <c r="AH537" s="311" t="e">
        <f>INDEX('D5 - Gatekeeper - Projects'!$A$4:$AF$1010,$AM537, 17)</f>
        <v>#N/A</v>
      </c>
      <c r="AI537" s="8"/>
      <c r="AJ537" s="57"/>
      <c r="AK537" s="105"/>
      <c r="AM537" s="6" t="e">
        <f>MATCH(D537,'D5 - Gatekeeper - Projects'!$C$4:$C$1010,0)</f>
        <v>#N/A</v>
      </c>
      <c r="AN537" s="6" t="b">
        <f t="shared" si="51"/>
        <v>1</v>
      </c>
      <c r="AO537" s="6" t="str">
        <f t="shared" si="54"/>
        <v>OK</v>
      </c>
      <c r="AQ537" s="6" t="e">
        <f>MATCH($D537,'D4 - Provider Council Unsched'!$C$11:$C$234,0)</f>
        <v>#N/A</v>
      </c>
      <c r="AR537" s="6" t="b">
        <f t="shared" si="52"/>
        <v>1</v>
      </c>
      <c r="AS537" s="6" t="str">
        <f t="shared" si="50"/>
        <v>OK</v>
      </c>
      <c r="AU537" s="202"/>
      <c r="AV537" s="262"/>
      <c r="AW537" s="274"/>
    </row>
    <row r="538" spans="1:49" s="13" customFormat="1" x14ac:dyDescent="0.2">
      <c r="A538" s="14">
        <v>514</v>
      </c>
      <c r="B538" s="14">
        <v>400009454</v>
      </c>
      <c r="C538" s="8" t="s">
        <v>4011</v>
      </c>
      <c r="D538" s="4" t="str">
        <f t="shared" si="53"/>
        <v>400009454CC12</v>
      </c>
      <c r="E538" s="309" t="str">
        <f>VLOOKUP($B538,'D7 - NDB Impacted SPRF''s'!$E$6:$O$9929,2,FALSE)</f>
        <v>Gated HMO Design &amp; Development Phase IV</v>
      </c>
      <c r="F538" s="8" t="s">
        <v>4168</v>
      </c>
      <c r="G538" s="8" t="s">
        <v>4758</v>
      </c>
      <c r="H538" s="8" t="s">
        <v>4246</v>
      </c>
      <c r="I538" s="20">
        <v>1.37</v>
      </c>
      <c r="J538" s="8" t="s">
        <v>4862</v>
      </c>
      <c r="K538" s="182">
        <v>38934</v>
      </c>
      <c r="L538" s="8" t="s">
        <v>5743</v>
      </c>
      <c r="M538" s="8" t="s">
        <v>2814</v>
      </c>
      <c r="N538" s="367"/>
      <c r="O538" s="8"/>
      <c r="P538" s="4" t="str">
        <f>VLOOKUP($B538,'D7 - NDB Impacted SPRF''s'!$E$16:$O$9929,9,FALSE)</f>
        <v>Y</v>
      </c>
      <c r="Q538" s="4" t="str">
        <f>VLOOKUP($B538,'D7 - NDB Impacted SPRF''s'!$E$16:$O$9929,10,FALSE)</f>
        <v>N</v>
      </c>
      <c r="R538" s="4" t="str">
        <f>VLOOKUP($B538,'D7 - NDB Impacted SPRF''s'!$E$16:$O$9929,11,FALSE)</f>
        <v>N</v>
      </c>
      <c r="S538" s="8"/>
      <c r="T538" s="310"/>
      <c r="U538" s="310"/>
      <c r="V538" s="4"/>
      <c r="W538" s="4"/>
      <c r="X538" s="4"/>
      <c r="Y538" s="4"/>
      <c r="Z538" s="4"/>
      <c r="AA538" s="4"/>
      <c r="AB538" s="380" t="str">
        <f>VLOOKUP($B538,'D7 - NDB Impacted SPRF''s'!$E$16:$O$9929,4,FALSE)</f>
        <v>Completed</v>
      </c>
      <c r="AC538" s="380" t="str">
        <f>VLOOKUP($B538,'D7 - NDB Impacted SPRF''s'!$E$16:$O$9929,3,FALSE)</f>
        <v>Alliance</v>
      </c>
      <c r="AD538" s="380" t="str">
        <f>VLOOKUP($B538,'D7 - NDB Impacted SPRF''s'!$E$16:$O$9929,5,FALSE)</f>
        <v>Gated HMO</v>
      </c>
      <c r="AE538" s="380" t="str">
        <f>VLOOKUP($B538,'D7 - NDB Impacted SPRF''s'!$E$16:$O$9929,7,FALSE)</f>
        <v>Diane Schofield</v>
      </c>
      <c r="AF538" s="380" t="str">
        <f>VLOOKUP($B538,'D7 - NDB Impacted SPRF''s'!$E$16:$O$9929,6,FALSE)</f>
        <v>Debi Streb</v>
      </c>
      <c r="AG538" s="282"/>
      <c r="AH538" s="311" t="e">
        <f>INDEX('D5 - Gatekeeper - Projects'!$A$4:$AF$1010,$AM538, 17)</f>
        <v>#N/A</v>
      </c>
      <c r="AI538" s="8"/>
      <c r="AJ538" s="57"/>
      <c r="AK538" s="105"/>
      <c r="AM538" s="6" t="e">
        <f>MATCH(D538,'D5 - Gatekeeper - Projects'!$C$4:$C$1010,0)</f>
        <v>#N/A</v>
      </c>
      <c r="AN538" s="6" t="b">
        <f t="shared" si="51"/>
        <v>1</v>
      </c>
      <c r="AO538" s="6" t="str">
        <f t="shared" si="54"/>
        <v>OK</v>
      </c>
      <c r="AQ538" s="6" t="e">
        <f>MATCH($D538,'D4 - Provider Council Unsched'!$C$11:$C$234,0)</f>
        <v>#N/A</v>
      </c>
      <c r="AR538" s="6" t="b">
        <f t="shared" si="52"/>
        <v>1</v>
      </c>
      <c r="AS538" s="6" t="str">
        <f t="shared" si="50"/>
        <v>OK</v>
      </c>
      <c r="AU538" s="202"/>
      <c r="AV538" s="262"/>
      <c r="AW538" s="274"/>
    </row>
    <row r="539" spans="1:49" s="13" customFormat="1" x14ac:dyDescent="0.2">
      <c r="A539" s="14">
        <v>515</v>
      </c>
      <c r="B539" s="14">
        <v>400009454</v>
      </c>
      <c r="C539" s="8" t="s">
        <v>5197</v>
      </c>
      <c r="D539" s="4" t="str">
        <f t="shared" si="53"/>
        <v>400009454R1</v>
      </c>
      <c r="E539" s="309" t="str">
        <f>VLOOKUP($B539,'D7 - NDB Impacted SPRF''s'!$E$6:$O$9929,2,FALSE)</f>
        <v>Gated HMO Design &amp; Development Phase IV</v>
      </c>
      <c r="F539" s="8" t="s">
        <v>4168</v>
      </c>
      <c r="G539" s="8" t="s">
        <v>4758</v>
      </c>
      <c r="H539" s="8" t="s">
        <v>4246</v>
      </c>
      <c r="I539" s="20">
        <v>11.92</v>
      </c>
      <c r="J539" s="8" t="s">
        <v>4862</v>
      </c>
      <c r="K539" s="182">
        <v>38934</v>
      </c>
      <c r="L539" s="8" t="s">
        <v>5743</v>
      </c>
      <c r="M539" s="8" t="s">
        <v>2814</v>
      </c>
      <c r="N539" s="38" t="s">
        <v>3849</v>
      </c>
      <c r="O539" s="8"/>
      <c r="P539" s="4" t="str">
        <f>VLOOKUP($B539,'D7 - NDB Impacted SPRF''s'!$E$16:$O$9929,9,FALSE)</f>
        <v>Y</v>
      </c>
      <c r="Q539" s="4" t="str">
        <f>VLOOKUP($B539,'D7 - NDB Impacted SPRF''s'!$E$16:$O$9929,10,FALSE)</f>
        <v>N</v>
      </c>
      <c r="R539" s="4" t="str">
        <f>VLOOKUP($B539,'D7 - NDB Impacted SPRF''s'!$E$16:$O$9929,11,FALSE)</f>
        <v>N</v>
      </c>
      <c r="S539" s="8" t="s">
        <v>3758</v>
      </c>
      <c r="T539" s="310"/>
      <c r="U539" s="310"/>
      <c r="V539" s="4"/>
      <c r="W539" s="4"/>
      <c r="X539" s="4"/>
      <c r="Y539" s="4"/>
      <c r="Z539" s="4"/>
      <c r="AA539" s="4"/>
      <c r="AB539" s="380" t="str">
        <f>VLOOKUP($B539,'D7 - NDB Impacted SPRF''s'!$E$16:$O$9929,4,FALSE)</f>
        <v>Completed</v>
      </c>
      <c r="AC539" s="380" t="str">
        <f>VLOOKUP($B539,'D7 - NDB Impacted SPRF''s'!$E$16:$O$9929,3,FALSE)</f>
        <v>Alliance</v>
      </c>
      <c r="AD539" s="380" t="str">
        <f>VLOOKUP($B539,'D7 - NDB Impacted SPRF''s'!$E$16:$O$9929,5,FALSE)</f>
        <v>Gated HMO</v>
      </c>
      <c r="AE539" s="380" t="str">
        <f>VLOOKUP($B539,'D7 - NDB Impacted SPRF''s'!$E$16:$O$9929,7,FALSE)</f>
        <v>Diane Schofield</v>
      </c>
      <c r="AF539" s="380" t="str">
        <f>VLOOKUP($B539,'D7 - NDB Impacted SPRF''s'!$E$16:$O$9929,6,FALSE)</f>
        <v>Debi Streb</v>
      </c>
      <c r="AG539" s="282" t="s">
        <v>7755</v>
      </c>
      <c r="AH539" s="311" t="e">
        <f>INDEX('D5 - Gatekeeper - Projects'!$A$4:$AF$1010,$AM539, 17)</f>
        <v>#N/A</v>
      </c>
      <c r="AI539" s="8"/>
      <c r="AJ539" s="57"/>
      <c r="AK539" s="105"/>
      <c r="AM539" s="6" t="e">
        <f>MATCH(D539,'D5 - Gatekeeper - Projects'!$C$4:$C$1010,0)</f>
        <v>#N/A</v>
      </c>
      <c r="AN539" s="6" t="b">
        <f t="shared" si="51"/>
        <v>1</v>
      </c>
      <c r="AO539" s="6" t="str">
        <f t="shared" si="54"/>
        <v>OK</v>
      </c>
      <c r="AQ539" s="6" t="e">
        <f>MATCH($D539,'D4 - Provider Council Unsched'!$C$11:$C$234,0)</f>
        <v>#N/A</v>
      </c>
      <c r="AR539" s="6" t="b">
        <f t="shared" si="52"/>
        <v>1</v>
      </c>
      <c r="AS539" s="6" t="str">
        <f t="shared" si="50"/>
        <v>OK</v>
      </c>
      <c r="AU539" s="202"/>
      <c r="AV539" s="262"/>
      <c r="AW539" s="274"/>
    </row>
    <row r="540" spans="1:49" s="13" customFormat="1" ht="33.75" x14ac:dyDescent="0.2">
      <c r="A540" s="14">
        <v>516</v>
      </c>
      <c r="B540" s="14">
        <v>400009772</v>
      </c>
      <c r="C540" s="8" t="s">
        <v>6726</v>
      </c>
      <c r="D540" s="4" t="str">
        <f t="shared" si="53"/>
        <v>400009772CC06</v>
      </c>
      <c r="E540" s="309" t="str">
        <f>VLOOKUP($B540,'D7 - NDB Impacted SPRF''s'!$E$6:$O$9929,2,FALSE)</f>
        <v xml:space="preserve">Radiology Transformation Strategy </v>
      </c>
      <c r="F540" s="8" t="s">
        <v>5188</v>
      </c>
      <c r="G540" s="8" t="s">
        <v>4758</v>
      </c>
      <c r="H540" s="8" t="s">
        <v>4246</v>
      </c>
      <c r="I540" s="20">
        <v>1.19</v>
      </c>
      <c r="J540" s="8" t="s">
        <v>4862</v>
      </c>
      <c r="K540" s="182">
        <v>38934</v>
      </c>
      <c r="L540" s="8" t="s">
        <v>5743</v>
      </c>
      <c r="M540" s="8" t="s">
        <v>2814</v>
      </c>
      <c r="N540" s="367"/>
      <c r="O540" s="8"/>
      <c r="P540" s="4" t="str">
        <f>VLOOKUP($B540,'D7 - NDB Impacted SPRF''s'!$E$16:$O$9929,9,FALSE)</f>
        <v>Y</v>
      </c>
      <c r="Q540" s="4" t="str">
        <f>VLOOKUP($B540,'D7 - NDB Impacted SPRF''s'!$E$16:$O$9929,10,FALSE)</f>
        <v>N</v>
      </c>
      <c r="R540" s="4" t="str">
        <f>VLOOKUP($B540,'D7 - NDB Impacted SPRF''s'!$E$16:$O$9929,11,FALSE)</f>
        <v>N</v>
      </c>
      <c r="S540" s="8" t="s">
        <v>3758</v>
      </c>
      <c r="T540" s="310"/>
      <c r="U540" s="310"/>
      <c r="V540" s="4"/>
      <c r="W540" s="4"/>
      <c r="X540" s="4"/>
      <c r="Y540" s="4"/>
      <c r="Z540" s="4"/>
      <c r="AA540" s="4"/>
      <c r="AB540" s="380" t="str">
        <f>VLOOKUP($B540,'D7 - NDB Impacted SPRF''s'!$E$16:$O$9929,4,FALSE)</f>
        <v>Completed</v>
      </c>
      <c r="AC540" s="380" t="str">
        <f>VLOOKUP($B540,'D7 - NDB Impacted SPRF''s'!$E$16:$O$9929,3,FALSE)</f>
        <v>UnitedHealthcare Employer &amp; Individual</v>
      </c>
      <c r="AD540" s="380" t="str">
        <f>VLOOKUP($B540,'D7 - NDB Impacted SPRF''s'!$E$16:$O$9929,5,FALSE)</f>
        <v>Medical Cost Savings Programs</v>
      </c>
      <c r="AE540" s="380" t="str">
        <f>VLOOKUP($B540,'D7 - NDB Impacted SPRF''s'!$E$16:$O$9929,7,FALSE)</f>
        <v>Laurie Paidosh</v>
      </c>
      <c r="AF540" s="380" t="str">
        <f>VLOOKUP($B540,'D7 - NDB Impacted SPRF''s'!$E$16:$O$9929,6,FALSE)</f>
        <v>LAURIE PAIDOSH</v>
      </c>
      <c r="AG540" s="282"/>
      <c r="AH540" s="311" t="e">
        <f>INDEX('D5 - Gatekeeper - Projects'!$A$4:$AF$1010,$AM540, 17)</f>
        <v>#N/A</v>
      </c>
      <c r="AI540" s="8"/>
      <c r="AJ540" s="57"/>
      <c r="AK540" s="105"/>
      <c r="AM540" s="6" t="e">
        <f>MATCH(D540,'D5 - Gatekeeper - Projects'!$C$4:$C$1010,0)</f>
        <v>#N/A</v>
      </c>
      <c r="AN540" s="6" t="b">
        <f t="shared" si="51"/>
        <v>1</v>
      </c>
      <c r="AO540" s="6" t="str">
        <f t="shared" si="54"/>
        <v>OK</v>
      </c>
      <c r="AQ540" s="6" t="e">
        <f>MATCH($D540,'D4 - Provider Council Unsched'!$C$11:$C$234,0)</f>
        <v>#N/A</v>
      </c>
      <c r="AR540" s="6" t="b">
        <f t="shared" si="52"/>
        <v>1</v>
      </c>
      <c r="AS540" s="6" t="str">
        <f t="shared" si="50"/>
        <v>OK</v>
      </c>
      <c r="AU540" s="202"/>
      <c r="AV540" s="262"/>
      <c r="AW540" s="274"/>
    </row>
    <row r="541" spans="1:49" s="13" customFormat="1" ht="33.75" x14ac:dyDescent="0.2">
      <c r="A541" s="14">
        <v>517</v>
      </c>
      <c r="B541" s="14">
        <v>400009901</v>
      </c>
      <c r="C541" s="8" t="s">
        <v>5197</v>
      </c>
      <c r="D541" s="4" t="str">
        <f t="shared" si="53"/>
        <v>400009901R1</v>
      </c>
      <c r="E541" s="309" t="str">
        <f>VLOOKUP($B541,'D7 - NDB Impacted SPRF''s'!$E$6:$O$9929,2,FALSE)</f>
        <v>Online Directory Extract Program</v>
      </c>
      <c r="F541" s="8" t="s">
        <v>5054</v>
      </c>
      <c r="G541" s="8" t="s">
        <v>4758</v>
      </c>
      <c r="H541" s="8" t="s">
        <v>4246</v>
      </c>
      <c r="I541" s="20">
        <v>0.53</v>
      </c>
      <c r="J541" s="8" t="s">
        <v>4862</v>
      </c>
      <c r="K541" s="182">
        <v>38934</v>
      </c>
      <c r="L541" s="8" t="s">
        <v>5743</v>
      </c>
      <c r="M541" s="8" t="s">
        <v>2814</v>
      </c>
      <c r="N541" s="38"/>
      <c r="O541" s="8"/>
      <c r="P541" s="4" t="str">
        <f>VLOOKUP($B541,'D7 - NDB Impacted SPRF''s'!$E$16:$O$9929,9,FALSE)</f>
        <v>N</v>
      </c>
      <c r="Q541" s="4" t="str">
        <f>VLOOKUP($B541,'D7 - NDB Impacted SPRF''s'!$E$16:$O$9929,10,FALSE)</f>
        <v>N</v>
      </c>
      <c r="R541" s="4" t="str">
        <f>VLOOKUP($B541,'D7 - NDB Impacted SPRF''s'!$E$16:$O$9929,11,FALSE)</f>
        <v>N</v>
      </c>
      <c r="S541" s="8" t="s">
        <v>3758</v>
      </c>
      <c r="T541" s="310"/>
      <c r="U541" s="310"/>
      <c r="V541" s="4"/>
      <c r="W541" s="4"/>
      <c r="X541" s="4"/>
      <c r="Y541" s="4"/>
      <c r="Z541" s="4"/>
      <c r="AA541" s="4"/>
      <c r="AB541" s="380" t="str">
        <f>VLOOKUP($B541,'D7 - NDB Impacted SPRF''s'!$E$16:$O$9929,4,FALSE)</f>
        <v>Completed</v>
      </c>
      <c r="AC541" s="380" t="str">
        <f>VLOOKUP($B541,'D7 - NDB Impacted SPRF''s'!$E$16:$O$9929,3,FALSE)</f>
        <v>UnitedHealthcare Employer &amp; Individual</v>
      </c>
      <c r="AD541" s="380" t="str">
        <f>VLOOKUP($B541,'D7 - NDB Impacted SPRF''s'!$E$16:$O$9929,5,FALSE)</f>
        <v>Operations Group</v>
      </c>
      <c r="AE541" s="380" t="str">
        <f>VLOOKUP($B541,'D7 - NDB Impacted SPRF''s'!$E$16:$O$9929,7,FALSE)</f>
        <v>Melanie Erickson</v>
      </c>
      <c r="AF541" s="380" t="str">
        <f>VLOOKUP($B541,'D7 - NDB Impacted SPRF''s'!$E$16:$O$9929,6,FALSE)</f>
        <v>Maria Thompson</v>
      </c>
      <c r="AG541" s="282" t="s">
        <v>7755</v>
      </c>
      <c r="AH541" s="311" t="e">
        <f>INDEX('D5 - Gatekeeper - Projects'!$A$4:$AF$1010,$AM541, 17)</f>
        <v>#N/A</v>
      </c>
      <c r="AI541" s="8"/>
      <c r="AJ541" s="57"/>
      <c r="AK541" s="105"/>
      <c r="AM541" s="6" t="e">
        <f>MATCH(D541,'D5 - Gatekeeper - Projects'!$C$4:$C$1010,0)</f>
        <v>#N/A</v>
      </c>
      <c r="AN541" s="6" t="b">
        <f t="shared" si="51"/>
        <v>1</v>
      </c>
      <c r="AO541" s="6" t="str">
        <f t="shared" si="54"/>
        <v>OK</v>
      </c>
      <c r="AQ541" s="6" t="e">
        <f>MATCH($D541,'D4 - Provider Council Unsched'!$C$11:$C$234,0)</f>
        <v>#N/A</v>
      </c>
      <c r="AR541" s="6" t="b">
        <f t="shared" si="52"/>
        <v>1</v>
      </c>
      <c r="AS541" s="6" t="str">
        <f t="shared" si="50"/>
        <v>OK</v>
      </c>
      <c r="AU541" s="202"/>
      <c r="AV541" s="262"/>
      <c r="AW541" s="274"/>
    </row>
    <row r="542" spans="1:49" s="13" customFormat="1" ht="45" x14ac:dyDescent="0.2">
      <c r="A542" s="14">
        <v>518</v>
      </c>
      <c r="B542" s="14">
        <v>400010048</v>
      </c>
      <c r="C542" s="8" t="s">
        <v>3763</v>
      </c>
      <c r="D542" s="4" t="str">
        <f t="shared" si="53"/>
        <v>400010048R2</v>
      </c>
      <c r="E542" s="309" t="str">
        <f>VLOOKUP($B542,'D7 - NDB Impacted SPRF''s'!$E$6:$O$9929,2,FALSE)</f>
        <v>One Shot Requests</v>
      </c>
      <c r="F542" s="8" t="s">
        <v>6007</v>
      </c>
      <c r="G542" s="8" t="s">
        <v>4758</v>
      </c>
      <c r="H542" s="8" t="s">
        <v>4246</v>
      </c>
      <c r="I542" s="20">
        <v>0</v>
      </c>
      <c r="J542" s="8" t="s">
        <v>7114</v>
      </c>
      <c r="K542" s="182">
        <v>38934</v>
      </c>
      <c r="L542" s="8" t="s">
        <v>6919</v>
      </c>
      <c r="M542" s="8" t="s">
        <v>2814</v>
      </c>
      <c r="N542" s="367" t="s">
        <v>3453</v>
      </c>
      <c r="O542" s="8"/>
      <c r="P542" s="4" t="str">
        <f>VLOOKUP($B542,'D7 - NDB Impacted SPRF''s'!$E$16:$O$9929,9,FALSE)</f>
        <v>N</v>
      </c>
      <c r="Q542" s="4" t="str">
        <f>VLOOKUP($B542,'D7 - NDB Impacted SPRF''s'!$E$16:$O$9929,10,FALSE)</f>
        <v>N</v>
      </c>
      <c r="R542" s="4" t="str">
        <f>VLOOKUP($B542,'D7 - NDB Impacted SPRF''s'!$E$16:$O$9929,11,FALSE)</f>
        <v>N</v>
      </c>
      <c r="S542" s="8"/>
      <c r="T542" s="310"/>
      <c r="U542" s="310"/>
      <c r="V542" s="4"/>
      <c r="W542" s="4"/>
      <c r="X542" s="4"/>
      <c r="Y542" s="4"/>
      <c r="Z542" s="4"/>
      <c r="AA542" s="4"/>
      <c r="AB542" s="380" t="str">
        <f>VLOOKUP($B542,'D7 - NDB Impacted SPRF''s'!$E$16:$O$9929,4,FALSE)</f>
        <v>Completed</v>
      </c>
      <c r="AC542" s="380" t="str">
        <f>VLOOKUP($B542,'D7 - NDB Impacted SPRF''s'!$E$16:$O$9929,3,FALSE)</f>
        <v>UnitedHealthcare Employer &amp; Individual</v>
      </c>
      <c r="AD542" s="380" t="str">
        <f>VLOOKUP($B542,'D7 - NDB Impacted SPRF''s'!$E$16:$O$9929,5,FALSE)</f>
        <v>Network Growth / Enhancements</v>
      </c>
      <c r="AE542" s="380" t="str">
        <f>VLOOKUP($B542,'D7 - NDB Impacted SPRF''s'!$E$16:$O$9929,7,FALSE)</f>
        <v>Peter Bompane</v>
      </c>
      <c r="AF542" s="380" t="str">
        <f>VLOOKUP($B542,'D7 - NDB Impacted SPRF''s'!$E$16:$O$9929,6,FALSE)</f>
        <v>GREGORY MILLS</v>
      </c>
      <c r="AG542" s="282"/>
      <c r="AH542" s="311" t="e">
        <f>INDEX('D5 - Gatekeeper - Projects'!$A$4:$AF$1010,$AM542, 17)</f>
        <v>#N/A</v>
      </c>
      <c r="AI542" s="8"/>
      <c r="AJ542" s="57"/>
      <c r="AK542" s="105"/>
      <c r="AM542" s="6" t="e">
        <f>MATCH(D542,'D5 - Gatekeeper - Projects'!$C$4:$C$1010,0)</f>
        <v>#N/A</v>
      </c>
      <c r="AN542" s="6" t="b">
        <f t="shared" si="51"/>
        <v>1</v>
      </c>
      <c r="AO542" s="6" t="str">
        <f t="shared" si="54"/>
        <v>OK</v>
      </c>
      <c r="AQ542" s="6" t="e">
        <f>MATCH($D542,'D4 - Provider Council Unsched'!$C$11:$C$234,0)</f>
        <v>#N/A</v>
      </c>
      <c r="AR542" s="6" t="b">
        <f t="shared" si="52"/>
        <v>1</v>
      </c>
      <c r="AS542" s="6" t="str">
        <f t="shared" si="50"/>
        <v>OK</v>
      </c>
      <c r="AU542" s="202"/>
      <c r="AV542" s="262"/>
      <c r="AW542" s="274"/>
    </row>
    <row r="543" spans="1:49" s="13" customFormat="1" ht="33.75" x14ac:dyDescent="0.2">
      <c r="A543" s="14">
        <v>519</v>
      </c>
      <c r="B543" s="14">
        <v>400010660</v>
      </c>
      <c r="C543" s="8" t="s">
        <v>5197</v>
      </c>
      <c r="D543" s="4" t="str">
        <f t="shared" si="53"/>
        <v>400010660R1</v>
      </c>
      <c r="E543" s="309" t="str">
        <f>VLOOKUP($B543,'D7 - NDB Impacted SPRF''s'!$E$6:$O$9929,2,FALSE)</f>
        <v>MAMSI eliminate "retriggers" from export file</v>
      </c>
      <c r="F543" s="8" t="s">
        <v>3235</v>
      </c>
      <c r="G543" s="8" t="s">
        <v>4758</v>
      </c>
      <c r="H543" s="8" t="s">
        <v>4246</v>
      </c>
      <c r="I543" s="20">
        <v>1.94</v>
      </c>
      <c r="J543" s="8" t="s">
        <v>4862</v>
      </c>
      <c r="K543" s="182">
        <v>38934</v>
      </c>
      <c r="L543" s="8" t="s">
        <v>5743</v>
      </c>
      <c r="M543" s="8" t="s">
        <v>2814</v>
      </c>
      <c r="N543" s="38"/>
      <c r="O543" s="8"/>
      <c r="P543" s="4" t="str">
        <f>VLOOKUP($B543,'D7 - NDB Impacted SPRF''s'!$E$16:$O$9929,9,FALSE)</f>
        <v>N</v>
      </c>
      <c r="Q543" s="4" t="str">
        <f>VLOOKUP($B543,'D7 - NDB Impacted SPRF''s'!$E$16:$O$9929,10,FALSE)</f>
        <v>N</v>
      </c>
      <c r="R543" s="4" t="str">
        <f>VLOOKUP($B543,'D7 - NDB Impacted SPRF''s'!$E$16:$O$9929,11,FALSE)</f>
        <v>N</v>
      </c>
      <c r="S543" s="8" t="s">
        <v>3758</v>
      </c>
      <c r="T543" s="310"/>
      <c r="U543" s="310"/>
      <c r="V543" s="4"/>
      <c r="W543" s="4"/>
      <c r="X543" s="4"/>
      <c r="Y543" s="4"/>
      <c r="Z543" s="4"/>
      <c r="AA543" s="4"/>
      <c r="AB543" s="380" t="str">
        <f>VLOOKUP($B543,'D7 - NDB Impacted SPRF''s'!$E$16:$O$9929,4,FALSE)</f>
        <v>Completed</v>
      </c>
      <c r="AC543" s="380" t="str">
        <f>VLOOKUP($B543,'D7 - NDB Impacted SPRF''s'!$E$16:$O$9929,3,FALSE)</f>
        <v>UnitedHealthcare Employer &amp; Individual</v>
      </c>
      <c r="AD543" s="380" t="str">
        <f>VLOOKUP($B543,'D7 - NDB Impacted SPRF''s'!$E$16:$O$9929,5,FALSE)</f>
        <v>Integration Requirements</v>
      </c>
      <c r="AE543" s="380" t="str">
        <f>VLOOKUP($B543,'D7 - NDB Impacted SPRF''s'!$E$16:$O$9929,7,FALSE)</f>
        <v>Diane Schofield</v>
      </c>
      <c r="AF543" s="380" t="str">
        <f>VLOOKUP($B543,'D7 - NDB Impacted SPRF''s'!$E$16:$O$9929,6,FALSE)</f>
        <v>LINK KAREN</v>
      </c>
      <c r="AG543" s="282" t="s">
        <v>6682</v>
      </c>
      <c r="AH543" s="311" t="e">
        <f>INDEX('D5 - Gatekeeper - Projects'!$A$4:$AF$1010,$AM543, 17)</f>
        <v>#N/A</v>
      </c>
      <c r="AI543" s="8"/>
      <c r="AJ543" s="57"/>
      <c r="AK543" s="105"/>
      <c r="AM543" s="6" t="e">
        <f>MATCH(D543,'D5 - Gatekeeper - Projects'!$C$4:$C$1010,0)</f>
        <v>#N/A</v>
      </c>
      <c r="AN543" s="6" t="b">
        <f t="shared" si="51"/>
        <v>1</v>
      </c>
      <c r="AO543" s="6" t="str">
        <f t="shared" si="54"/>
        <v>OK</v>
      </c>
      <c r="AQ543" s="6" t="e">
        <f>MATCH($D543,'D4 - Provider Council Unsched'!$C$11:$C$234,0)</f>
        <v>#N/A</v>
      </c>
      <c r="AR543" s="6" t="b">
        <f t="shared" si="52"/>
        <v>1</v>
      </c>
      <c r="AS543" s="6" t="str">
        <f t="shared" si="50"/>
        <v>OK</v>
      </c>
      <c r="AU543" s="202"/>
      <c r="AV543" s="262"/>
      <c r="AW543" s="274"/>
    </row>
    <row r="544" spans="1:49" s="13" customFormat="1" ht="33.75" x14ac:dyDescent="0.2">
      <c r="A544" s="14">
        <v>520</v>
      </c>
      <c r="B544" s="14">
        <v>400010721</v>
      </c>
      <c r="C544" s="8" t="s">
        <v>2449</v>
      </c>
      <c r="D544" s="4" t="str">
        <f t="shared" si="53"/>
        <v>400010721R3</v>
      </c>
      <c r="E544" s="309" t="str">
        <f>VLOOKUP($B544,'D7 - NDB Impacted SPRF''s'!$E$6:$O$9929,2,FALSE)</f>
        <v>GHMO Analysis &amp; Design Phase V (Medica)</v>
      </c>
      <c r="F544" s="8" t="s">
        <v>4168</v>
      </c>
      <c r="G544" s="8" t="s">
        <v>4758</v>
      </c>
      <c r="H544" s="8" t="s">
        <v>4246</v>
      </c>
      <c r="I544" s="20">
        <v>23.39</v>
      </c>
      <c r="J544" s="8" t="s">
        <v>4862</v>
      </c>
      <c r="K544" s="182">
        <v>38934</v>
      </c>
      <c r="L544" s="8" t="s">
        <v>5743</v>
      </c>
      <c r="M544" s="8" t="s">
        <v>2814</v>
      </c>
      <c r="N544" s="367"/>
      <c r="O544" s="8"/>
      <c r="P544" s="4" t="str">
        <f>VLOOKUP($B544,'D7 - NDB Impacted SPRF''s'!$E$16:$O$9929,9,FALSE)</f>
        <v>Y</v>
      </c>
      <c r="Q544" s="4" t="str">
        <f>VLOOKUP($B544,'D7 - NDB Impacted SPRF''s'!$E$16:$O$9929,10,FALSE)</f>
        <v>N</v>
      </c>
      <c r="R544" s="4" t="str">
        <f>VLOOKUP($B544,'D7 - NDB Impacted SPRF''s'!$E$16:$O$9929,11,FALSE)</f>
        <v>N</v>
      </c>
      <c r="S544" s="8"/>
      <c r="T544" s="310"/>
      <c r="U544" s="310"/>
      <c r="V544" s="4"/>
      <c r="W544" s="4"/>
      <c r="X544" s="4"/>
      <c r="Y544" s="4"/>
      <c r="Z544" s="4"/>
      <c r="AA544" s="4"/>
      <c r="AB544" s="380" t="str">
        <f>VLOOKUP($B544,'D7 - NDB Impacted SPRF''s'!$E$16:$O$9929,4,FALSE)</f>
        <v>Completed</v>
      </c>
      <c r="AC544" s="380" t="str">
        <f>VLOOKUP($B544,'D7 - NDB Impacted SPRF''s'!$E$16:$O$9929,3,FALSE)</f>
        <v>UnitedHealthcare Employer &amp; Individual</v>
      </c>
      <c r="AD544" s="380" t="str">
        <f>VLOOKUP($B544,'D7 - NDB Impacted SPRF''s'!$E$16:$O$9929,5,FALSE)</f>
        <v>Gated HMO</v>
      </c>
      <c r="AE544" s="380" t="str">
        <f>VLOOKUP($B544,'D7 - NDB Impacted SPRF''s'!$E$16:$O$9929,7,FALSE)</f>
        <v>Diane Schofield</v>
      </c>
      <c r="AF544" s="380" t="str">
        <f>VLOOKUP($B544,'D7 - NDB Impacted SPRF''s'!$E$16:$O$9929,6,FALSE)</f>
        <v>SUSAN TONKIN</v>
      </c>
      <c r="AG544" s="282"/>
      <c r="AH544" s="311" t="e">
        <f>INDEX('D5 - Gatekeeper - Projects'!$A$4:$AF$1010,$AM544, 17)</f>
        <v>#N/A</v>
      </c>
      <c r="AI544" s="8"/>
      <c r="AJ544" s="57"/>
      <c r="AK544" s="105"/>
      <c r="AM544" s="6" t="e">
        <f>MATCH(D544,'D5 - Gatekeeper - Projects'!$C$4:$C$1010,0)</f>
        <v>#N/A</v>
      </c>
      <c r="AN544" s="6" t="b">
        <f t="shared" si="51"/>
        <v>1</v>
      </c>
      <c r="AO544" s="6" t="str">
        <f t="shared" si="54"/>
        <v>OK</v>
      </c>
      <c r="AQ544" s="6" t="e">
        <f>MATCH($D544,'D4 - Provider Council Unsched'!$C$11:$C$234,0)</f>
        <v>#N/A</v>
      </c>
      <c r="AR544" s="6" t="b">
        <f t="shared" si="52"/>
        <v>1</v>
      </c>
      <c r="AS544" s="6" t="str">
        <f t="shared" si="50"/>
        <v>OK</v>
      </c>
      <c r="AU544" s="202"/>
      <c r="AV544" s="262"/>
      <c r="AW544" s="274"/>
    </row>
    <row r="545" spans="1:49" s="13" customFormat="1" ht="33.75" x14ac:dyDescent="0.2">
      <c r="A545" s="14">
        <v>521</v>
      </c>
      <c r="B545" s="14">
        <v>400010849</v>
      </c>
      <c r="C545" s="8" t="s">
        <v>5197</v>
      </c>
      <c r="D545" s="4" t="str">
        <f t="shared" si="53"/>
        <v>400010849R1</v>
      </c>
      <c r="E545" s="309" t="str">
        <f>VLOOKUP($B545,'D7 - NDB Impacted SPRF''s'!$E$6:$O$9929,2,FALSE)</f>
        <v>Unit Cost Reporting Tool- NDB interface</v>
      </c>
      <c r="F545" s="8" t="s">
        <v>5788</v>
      </c>
      <c r="G545" s="8" t="s">
        <v>4758</v>
      </c>
      <c r="H545" s="8" t="s">
        <v>4246</v>
      </c>
      <c r="I545" s="20">
        <v>3</v>
      </c>
      <c r="J545" s="8" t="s">
        <v>4862</v>
      </c>
      <c r="K545" s="182">
        <v>38934</v>
      </c>
      <c r="L545" s="8" t="s">
        <v>5743</v>
      </c>
      <c r="M545" s="8" t="s">
        <v>2814</v>
      </c>
      <c r="N545" s="38"/>
      <c r="O545" s="8"/>
      <c r="P545" s="4" t="str">
        <f>VLOOKUP($B545,'D7 - NDB Impacted SPRF''s'!$E$16:$O$9929,9,FALSE)</f>
        <v>N</v>
      </c>
      <c r="Q545" s="4" t="str">
        <f>VLOOKUP($B545,'D7 - NDB Impacted SPRF''s'!$E$16:$O$9929,10,FALSE)</f>
        <v>N</v>
      </c>
      <c r="R545" s="4" t="str">
        <f>VLOOKUP($B545,'D7 - NDB Impacted SPRF''s'!$E$16:$O$9929,11,FALSE)</f>
        <v>N</v>
      </c>
      <c r="S545" s="8" t="s">
        <v>3758</v>
      </c>
      <c r="T545" s="310"/>
      <c r="U545" s="310"/>
      <c r="V545" s="4"/>
      <c r="W545" s="4"/>
      <c r="X545" s="4"/>
      <c r="Y545" s="4"/>
      <c r="Z545" s="4"/>
      <c r="AA545" s="4"/>
      <c r="AB545" s="380" t="str">
        <f>VLOOKUP($B545,'D7 - NDB Impacted SPRF''s'!$E$16:$O$9929,4,FALSE)</f>
        <v>Completed</v>
      </c>
      <c r="AC545" s="380" t="str">
        <f>VLOOKUP($B545,'D7 - NDB Impacted SPRF''s'!$E$16:$O$9929,3,FALSE)</f>
        <v>UnitedHealthcare Employer &amp; Individual</v>
      </c>
      <c r="AD545" s="380" t="str">
        <f>VLOOKUP($B545,'D7 - NDB Impacted SPRF''s'!$E$16:$O$9929,5,FALSE)</f>
        <v>Operations Group</v>
      </c>
      <c r="AE545" s="380" t="str">
        <f>VLOOKUP($B545,'D7 - NDB Impacted SPRF''s'!$E$16:$O$9929,7,FALSE)</f>
        <v>Kurt Heumann</v>
      </c>
      <c r="AF545" s="380" t="str">
        <f>VLOOKUP($B545,'D7 - NDB Impacted SPRF''s'!$E$16:$O$9929,6,FALSE)</f>
        <v>BRANDON HARBAUGH</v>
      </c>
      <c r="AG545" s="282" t="s">
        <v>5094</v>
      </c>
      <c r="AH545" s="311" t="e">
        <f>INDEX('D5 - Gatekeeper - Projects'!$A$4:$AF$1010,$AM545, 17)</f>
        <v>#N/A</v>
      </c>
      <c r="AI545" s="8"/>
      <c r="AJ545" s="57"/>
      <c r="AK545" s="105"/>
      <c r="AM545" s="6" t="e">
        <f>MATCH(D545,'D5 - Gatekeeper - Projects'!$C$4:$C$1010,0)</f>
        <v>#N/A</v>
      </c>
      <c r="AN545" s="6" t="b">
        <f t="shared" si="51"/>
        <v>1</v>
      </c>
      <c r="AO545" s="6" t="str">
        <f t="shared" si="54"/>
        <v>OK</v>
      </c>
      <c r="AQ545" s="6" t="e">
        <f>MATCH($D545,'D4 - Provider Council Unsched'!$C$11:$C$234,0)</f>
        <v>#N/A</v>
      </c>
      <c r="AR545" s="6" t="b">
        <f t="shared" si="52"/>
        <v>1</v>
      </c>
      <c r="AS545" s="6" t="str">
        <f t="shared" si="50"/>
        <v>OK</v>
      </c>
      <c r="AU545" s="202"/>
      <c r="AV545" s="262"/>
      <c r="AW545" s="274"/>
    </row>
    <row r="546" spans="1:49" s="13" customFormat="1" ht="45" x14ac:dyDescent="0.2">
      <c r="A546" s="14">
        <v>522</v>
      </c>
      <c r="B546" s="14">
        <v>400010988</v>
      </c>
      <c r="C546" s="8" t="s">
        <v>5197</v>
      </c>
      <c r="D546" s="4" t="str">
        <f t="shared" si="53"/>
        <v>400010988R1</v>
      </c>
      <c r="E546" s="309" t="str">
        <f>VLOOKUP($B546,'D7 - NDB Impacted SPRF''s'!$E$6:$O$9929,2,FALSE)</f>
        <v>HPHC1-Network-'G' Record Layout</v>
      </c>
      <c r="F546" s="8" t="s">
        <v>5196</v>
      </c>
      <c r="G546" s="8" t="s">
        <v>4758</v>
      </c>
      <c r="H546" s="8" t="s">
        <v>4246</v>
      </c>
      <c r="I546" s="20">
        <v>38.74</v>
      </c>
      <c r="J546" s="8" t="s">
        <v>4862</v>
      </c>
      <c r="K546" s="182">
        <v>38934</v>
      </c>
      <c r="L546" s="8" t="s">
        <v>5743</v>
      </c>
      <c r="M546" s="8" t="s">
        <v>2814</v>
      </c>
      <c r="N546" s="38" t="s">
        <v>5779</v>
      </c>
      <c r="O546" s="8"/>
      <c r="P546" s="4" t="str">
        <f>VLOOKUP($B546,'D7 - NDB Impacted SPRF''s'!$E$16:$O$9929,9,FALSE)</f>
        <v>N</v>
      </c>
      <c r="Q546" s="4" t="str">
        <f>VLOOKUP($B546,'D7 - NDB Impacted SPRF''s'!$E$16:$O$9929,10,FALSE)</f>
        <v>N</v>
      </c>
      <c r="R546" s="4" t="str">
        <f>VLOOKUP($B546,'D7 - NDB Impacted SPRF''s'!$E$16:$O$9929,11,FALSE)</f>
        <v>N</v>
      </c>
      <c r="S546" s="8" t="s">
        <v>3758</v>
      </c>
      <c r="T546" s="310"/>
      <c r="U546" s="310"/>
      <c r="V546" s="4"/>
      <c r="W546" s="4"/>
      <c r="X546" s="4"/>
      <c r="Y546" s="4"/>
      <c r="Z546" s="4"/>
      <c r="AA546" s="4"/>
      <c r="AB546" s="380" t="str">
        <f>VLOOKUP($B546,'D7 - NDB Impacted SPRF''s'!$E$16:$O$9929,4,FALSE)</f>
        <v>Completed</v>
      </c>
      <c r="AC546" s="380" t="str">
        <f>VLOOKUP($B546,'D7 - NDB Impacted SPRF''s'!$E$16:$O$9929,3,FALSE)</f>
        <v>Alliance</v>
      </c>
      <c r="AD546" s="380" t="str">
        <f>VLOOKUP($B546,'D7 - NDB Impacted SPRF''s'!$E$16:$O$9929,5,FALSE)</f>
        <v>Harvard Pilgrim Service Alliance</v>
      </c>
      <c r="AE546" s="380" t="str">
        <f>VLOOKUP($B546,'D7 - NDB Impacted SPRF''s'!$E$16:$O$9929,7,FALSE)</f>
        <v>Diane Schofield, Deborah Streb</v>
      </c>
      <c r="AF546" s="380" t="str">
        <f>VLOOKUP($B546,'D7 - NDB Impacted SPRF''s'!$E$16:$O$9929,6,FALSE)</f>
        <v>Susan Neal</v>
      </c>
      <c r="AG546" s="282" t="s">
        <v>6682</v>
      </c>
      <c r="AH546" s="311" t="e">
        <f>INDEX('D5 - Gatekeeper - Projects'!$A$4:$AF$1010,$AM546, 17)</f>
        <v>#N/A</v>
      </c>
      <c r="AI546" s="8"/>
      <c r="AJ546" s="57"/>
      <c r="AK546" s="105"/>
      <c r="AM546" s="6" t="e">
        <f>MATCH(D546,'D5 - Gatekeeper - Projects'!$C$4:$C$1010,0)</f>
        <v>#N/A</v>
      </c>
      <c r="AN546" s="6" t="b">
        <f t="shared" si="51"/>
        <v>1</v>
      </c>
      <c r="AO546" s="6" t="str">
        <f t="shared" si="54"/>
        <v>OK</v>
      </c>
      <c r="AQ546" s="6" t="e">
        <f>MATCH($D546,'D4 - Provider Council Unsched'!$C$11:$C$234,0)</f>
        <v>#N/A</v>
      </c>
      <c r="AR546" s="6" t="b">
        <f t="shared" si="52"/>
        <v>1</v>
      </c>
      <c r="AS546" s="6" t="str">
        <f t="shared" si="50"/>
        <v>OK</v>
      </c>
      <c r="AU546" s="202"/>
      <c r="AV546" s="262"/>
      <c r="AW546" s="274"/>
    </row>
    <row r="547" spans="1:49" s="13" customFormat="1" ht="33.75" x14ac:dyDescent="0.2">
      <c r="A547" s="14">
        <v>523</v>
      </c>
      <c r="B547" s="14">
        <v>400011181</v>
      </c>
      <c r="C547" s="8" t="s">
        <v>5956</v>
      </c>
      <c r="D547" s="4" t="str">
        <f t="shared" si="53"/>
        <v>400011181CC02R1</v>
      </c>
      <c r="E547" s="309" t="str">
        <f>VLOOKUP($B547,'D7 - NDB Impacted SPRF''s'!$E$6:$O$9929,2,FALSE)</f>
        <v>GHMO MAHP - Items Moved From Phases III &amp; IV</v>
      </c>
      <c r="F547" s="8" t="s">
        <v>4168</v>
      </c>
      <c r="G547" s="8" t="s">
        <v>4758</v>
      </c>
      <c r="H547" s="8" t="s">
        <v>4246</v>
      </c>
      <c r="I547" s="20">
        <v>38.57</v>
      </c>
      <c r="J547" s="8" t="s">
        <v>4862</v>
      </c>
      <c r="K547" s="182">
        <v>38934</v>
      </c>
      <c r="L547" s="8" t="s">
        <v>5743</v>
      </c>
      <c r="M547" s="8" t="s">
        <v>2814</v>
      </c>
      <c r="N547" s="367"/>
      <c r="O547" s="8"/>
      <c r="P547" s="4" t="str">
        <f>VLOOKUP($B547,'D7 - NDB Impacted SPRF''s'!$E$16:$O$9929,9,FALSE)</f>
        <v>Y</v>
      </c>
      <c r="Q547" s="4" t="str">
        <f>VLOOKUP($B547,'D7 - NDB Impacted SPRF''s'!$E$16:$O$9929,10,FALSE)</f>
        <v>N</v>
      </c>
      <c r="R547" s="4" t="str">
        <f>VLOOKUP($B547,'D7 - NDB Impacted SPRF''s'!$E$16:$O$9929,11,FALSE)</f>
        <v>N</v>
      </c>
      <c r="S547" s="8"/>
      <c r="T547" s="310"/>
      <c r="U547" s="310"/>
      <c r="V547" s="4"/>
      <c r="W547" s="4"/>
      <c r="X547" s="4"/>
      <c r="Y547" s="4"/>
      <c r="Z547" s="4"/>
      <c r="AA547" s="4"/>
      <c r="AB547" s="380" t="str">
        <f>VLOOKUP($B547,'D7 - NDB Impacted SPRF''s'!$E$16:$O$9929,4,FALSE)</f>
        <v>Completed</v>
      </c>
      <c r="AC547" s="380" t="str">
        <f>VLOOKUP($B547,'D7 - NDB Impacted SPRF''s'!$E$16:$O$9929,3,FALSE)</f>
        <v>UnitedHealthcare Employer &amp; Individual</v>
      </c>
      <c r="AD547" s="380" t="str">
        <f>VLOOKUP($B547,'D7 - NDB Impacted SPRF''s'!$E$16:$O$9929,5,FALSE)</f>
        <v>Gated HMO</v>
      </c>
      <c r="AE547" s="380" t="str">
        <f>VLOOKUP($B547,'D7 - NDB Impacted SPRF''s'!$E$16:$O$9929,7,FALSE)</f>
        <v>Diane Schofield</v>
      </c>
      <c r="AF547" s="380" t="str">
        <f>VLOOKUP($B547,'D7 - NDB Impacted SPRF''s'!$E$16:$O$9929,6,FALSE)</f>
        <v>SUSAN TONKIN</v>
      </c>
      <c r="AG547" s="282"/>
      <c r="AH547" s="311" t="e">
        <f>INDEX('D5 - Gatekeeper - Projects'!$A$4:$AF$1010,$AM547, 17)</f>
        <v>#N/A</v>
      </c>
      <c r="AI547" s="8"/>
      <c r="AJ547" s="57"/>
      <c r="AK547" s="105"/>
      <c r="AM547" s="6" t="e">
        <f>MATCH(D547,'D5 - Gatekeeper - Projects'!$C$4:$C$1010,0)</f>
        <v>#N/A</v>
      </c>
      <c r="AN547" s="6" t="b">
        <f t="shared" si="51"/>
        <v>1</v>
      </c>
      <c r="AO547" s="6" t="str">
        <f t="shared" si="54"/>
        <v>OK</v>
      </c>
      <c r="AQ547" s="6" t="e">
        <f>MATCH($D547,'D4 - Provider Council Unsched'!$C$11:$C$234,0)</f>
        <v>#N/A</v>
      </c>
      <c r="AR547" s="6" t="b">
        <f t="shared" si="52"/>
        <v>1</v>
      </c>
      <c r="AS547" s="6" t="str">
        <f t="shared" si="50"/>
        <v>OK</v>
      </c>
      <c r="AU547" s="202"/>
      <c r="AV547" s="262"/>
      <c r="AW547" s="274"/>
    </row>
    <row r="548" spans="1:49" s="13" customFormat="1" ht="33.75" x14ac:dyDescent="0.2">
      <c r="A548" s="14">
        <v>524</v>
      </c>
      <c r="B548" s="14">
        <v>400011181</v>
      </c>
      <c r="C548" s="8" t="s">
        <v>5197</v>
      </c>
      <c r="D548" s="4" t="str">
        <f t="shared" si="53"/>
        <v>400011181R1</v>
      </c>
      <c r="E548" s="309" t="str">
        <f>VLOOKUP($B548,'D7 - NDB Impacted SPRF''s'!$E$6:$O$9929,2,FALSE)</f>
        <v>GHMO MAHP - Items Moved From Phases III &amp; IV</v>
      </c>
      <c r="F548" s="8" t="s">
        <v>4168</v>
      </c>
      <c r="G548" s="8" t="s">
        <v>4758</v>
      </c>
      <c r="H548" s="8" t="s">
        <v>4246</v>
      </c>
      <c r="I548" s="20">
        <v>11.99</v>
      </c>
      <c r="J548" s="8" t="s">
        <v>4862</v>
      </c>
      <c r="K548" s="182">
        <v>38934</v>
      </c>
      <c r="L548" s="8" t="s">
        <v>5743</v>
      </c>
      <c r="M548" s="8" t="s">
        <v>2814</v>
      </c>
      <c r="N548" s="367"/>
      <c r="O548" s="8"/>
      <c r="P548" s="4" t="str">
        <f>VLOOKUP($B548,'D7 - NDB Impacted SPRF''s'!$E$16:$O$9929,9,FALSE)</f>
        <v>Y</v>
      </c>
      <c r="Q548" s="4" t="str">
        <f>VLOOKUP($B548,'D7 - NDB Impacted SPRF''s'!$E$16:$O$9929,10,FALSE)</f>
        <v>N</v>
      </c>
      <c r="R548" s="4" t="str">
        <f>VLOOKUP($B548,'D7 - NDB Impacted SPRF''s'!$E$16:$O$9929,11,FALSE)</f>
        <v>N</v>
      </c>
      <c r="S548" s="8" t="s">
        <v>3758</v>
      </c>
      <c r="T548" s="310"/>
      <c r="U548" s="310"/>
      <c r="V548" s="4"/>
      <c r="W548" s="4"/>
      <c r="X548" s="4"/>
      <c r="Y548" s="4"/>
      <c r="Z548" s="4"/>
      <c r="AA548" s="4"/>
      <c r="AB548" s="380" t="str">
        <f>VLOOKUP($B548,'D7 - NDB Impacted SPRF''s'!$E$16:$O$9929,4,FALSE)</f>
        <v>Completed</v>
      </c>
      <c r="AC548" s="380" t="str">
        <f>VLOOKUP($B548,'D7 - NDB Impacted SPRF''s'!$E$16:$O$9929,3,FALSE)</f>
        <v>UnitedHealthcare Employer &amp; Individual</v>
      </c>
      <c r="AD548" s="380" t="str">
        <f>VLOOKUP($B548,'D7 - NDB Impacted SPRF''s'!$E$16:$O$9929,5,FALSE)</f>
        <v>Gated HMO</v>
      </c>
      <c r="AE548" s="380" t="str">
        <f>VLOOKUP($B548,'D7 - NDB Impacted SPRF''s'!$E$16:$O$9929,7,FALSE)</f>
        <v>Diane Schofield</v>
      </c>
      <c r="AF548" s="380" t="str">
        <f>VLOOKUP($B548,'D7 - NDB Impacted SPRF''s'!$E$16:$O$9929,6,FALSE)</f>
        <v>SUSAN TONKIN</v>
      </c>
      <c r="AG548" s="282" t="s">
        <v>7755</v>
      </c>
      <c r="AH548" s="311" t="e">
        <f>INDEX('D5 - Gatekeeper - Projects'!$A$4:$AF$1010,$AM548, 17)</f>
        <v>#N/A</v>
      </c>
      <c r="AI548" s="8"/>
      <c r="AJ548" s="57"/>
      <c r="AK548" s="105"/>
      <c r="AM548" s="6" t="e">
        <f>MATCH(D548,'D5 - Gatekeeper - Projects'!$C$4:$C$1010,0)</f>
        <v>#N/A</v>
      </c>
      <c r="AN548" s="6" t="b">
        <f t="shared" si="51"/>
        <v>1</v>
      </c>
      <c r="AO548" s="6" t="str">
        <f t="shared" si="54"/>
        <v>OK</v>
      </c>
      <c r="AQ548" s="6" t="e">
        <f>MATCH($D548,'D4 - Provider Council Unsched'!$C$11:$C$234,0)</f>
        <v>#N/A</v>
      </c>
      <c r="AR548" s="6" t="b">
        <f t="shared" si="52"/>
        <v>1</v>
      </c>
      <c r="AS548" s="6" t="str">
        <f t="shared" si="50"/>
        <v>OK</v>
      </c>
      <c r="AU548" s="202"/>
      <c r="AV548" s="262"/>
      <c r="AW548" s="274"/>
    </row>
    <row r="549" spans="1:49" s="13" customFormat="1" ht="45" x14ac:dyDescent="0.2">
      <c r="A549" s="14">
        <v>525</v>
      </c>
      <c r="B549" s="14">
        <v>400011520</v>
      </c>
      <c r="C549" s="8" t="s">
        <v>5197</v>
      </c>
      <c r="D549" s="4" t="str">
        <f t="shared" si="53"/>
        <v>400011520R1</v>
      </c>
      <c r="E549" s="309" t="str">
        <f>VLOOKUP($B549,'D7 - NDB Impacted SPRF''s'!$E$6:$O$9929,2,FALSE)</f>
        <v>Move FSLA Off UPM Servers</v>
      </c>
      <c r="F549" s="8" t="s">
        <v>4961</v>
      </c>
      <c r="G549" s="8" t="s">
        <v>4758</v>
      </c>
      <c r="H549" s="8" t="s">
        <v>4246</v>
      </c>
      <c r="I549" s="20">
        <v>1.43</v>
      </c>
      <c r="J549" s="8" t="s">
        <v>4862</v>
      </c>
      <c r="K549" s="182">
        <v>38934</v>
      </c>
      <c r="L549" s="8" t="s">
        <v>5743</v>
      </c>
      <c r="M549" s="8" t="s">
        <v>2814</v>
      </c>
      <c r="N549" s="367" t="s">
        <v>3372</v>
      </c>
      <c r="O549" s="8"/>
      <c r="P549" s="4" t="str">
        <f>VLOOKUP($B549,'D7 - NDB Impacted SPRF''s'!$E$16:$O$9929,9,FALSE)</f>
        <v>N</v>
      </c>
      <c r="Q549" s="4" t="str">
        <f>VLOOKUP($B549,'D7 - NDB Impacted SPRF''s'!$E$16:$O$9929,10,FALSE)</f>
        <v>N</v>
      </c>
      <c r="R549" s="4" t="str">
        <f>VLOOKUP($B549,'D7 - NDB Impacted SPRF''s'!$E$16:$O$9929,11,FALSE)</f>
        <v>N</v>
      </c>
      <c r="S549" s="8" t="s">
        <v>3758</v>
      </c>
      <c r="T549" s="310"/>
      <c r="U549" s="310"/>
      <c r="V549" s="4"/>
      <c r="W549" s="4"/>
      <c r="X549" s="4"/>
      <c r="Y549" s="4"/>
      <c r="Z549" s="4"/>
      <c r="AA549" s="4"/>
      <c r="AB549" s="380" t="str">
        <f>VLOOKUP($B549,'D7 - NDB Impacted SPRF''s'!$E$16:$O$9929,4,FALSE)</f>
        <v>Completed</v>
      </c>
      <c r="AC549" s="380" t="str">
        <f>VLOOKUP($B549,'D7 - NDB Impacted SPRF''s'!$E$16:$O$9929,3,FALSE)</f>
        <v>UnitedHealthcare Employer &amp; Individual</v>
      </c>
      <c r="AD549" s="380" t="str">
        <f>VLOOKUP($B549,'D7 - NDB Impacted SPRF''s'!$E$16:$O$9929,5,FALSE)</f>
        <v>Network Growth / Enhancements</v>
      </c>
      <c r="AE549" s="380" t="str">
        <f>VLOOKUP($B549,'D7 - NDB Impacted SPRF''s'!$E$16:$O$9929,7,FALSE)</f>
        <v>Gerald Brockman</v>
      </c>
      <c r="AF549" s="380" t="str">
        <f>VLOOKUP($B549,'D7 - NDB Impacted SPRF''s'!$E$16:$O$9929,6,FALSE)</f>
        <v>Erin Nelson</v>
      </c>
      <c r="AG549" s="282" t="s">
        <v>6682</v>
      </c>
      <c r="AH549" s="311" t="e">
        <f>INDEX('D5 - Gatekeeper - Projects'!$A$4:$AF$1010,$AM549, 17)</f>
        <v>#N/A</v>
      </c>
      <c r="AI549" s="8"/>
      <c r="AJ549" s="57"/>
      <c r="AK549" s="105"/>
      <c r="AM549" s="6" t="e">
        <f>MATCH(D549,'D5 - Gatekeeper - Projects'!$C$4:$C$1010,0)</f>
        <v>#N/A</v>
      </c>
      <c r="AN549" s="6" t="b">
        <f t="shared" si="51"/>
        <v>1</v>
      </c>
      <c r="AO549" s="6" t="str">
        <f t="shared" si="54"/>
        <v>OK</v>
      </c>
      <c r="AQ549" s="6" t="e">
        <f>MATCH($D549,'D4 - Provider Council Unsched'!$C$11:$C$234,0)</f>
        <v>#N/A</v>
      </c>
      <c r="AR549" s="6" t="b">
        <f t="shared" si="52"/>
        <v>1</v>
      </c>
      <c r="AS549" s="6" t="str">
        <f t="shared" si="50"/>
        <v>OK</v>
      </c>
      <c r="AU549" s="202"/>
      <c r="AV549" s="262"/>
      <c r="AW549" s="274"/>
    </row>
    <row r="550" spans="1:49" s="13" customFormat="1" ht="45" x14ac:dyDescent="0.2">
      <c r="A550" s="14">
        <v>526</v>
      </c>
      <c r="B550" s="14">
        <v>400011653</v>
      </c>
      <c r="C550" s="8" t="s">
        <v>5197</v>
      </c>
      <c r="D550" s="4" t="str">
        <f t="shared" si="53"/>
        <v>400011653R1</v>
      </c>
      <c r="E550" s="309" t="str">
        <f>VLOOKUP($B550,'D7 - NDB Impacted SPRF''s'!$E$6:$O$9929,2,FALSE)</f>
        <v>Pacificare diCarta NDB Facility Loading Updates</v>
      </c>
      <c r="F550" s="8" t="s">
        <v>6071</v>
      </c>
      <c r="G550" s="8" t="s">
        <v>4758</v>
      </c>
      <c r="H550" s="8" t="s">
        <v>4246</v>
      </c>
      <c r="I550" s="20">
        <v>3.65</v>
      </c>
      <c r="J550" s="8" t="s">
        <v>4862</v>
      </c>
      <c r="K550" s="182">
        <v>38934</v>
      </c>
      <c r="L550" s="8" t="s">
        <v>5743</v>
      </c>
      <c r="M550" s="8" t="s">
        <v>2814</v>
      </c>
      <c r="N550" s="367" t="s">
        <v>5518</v>
      </c>
      <c r="O550" s="8"/>
      <c r="P550" s="4" t="str">
        <f>VLOOKUP($B550,'D7 - NDB Impacted SPRF''s'!$E$16:$O$9929,9,FALSE)</f>
        <v>N</v>
      </c>
      <c r="Q550" s="4" t="str">
        <f>VLOOKUP($B550,'D7 - NDB Impacted SPRF''s'!$E$16:$O$9929,10,FALSE)</f>
        <v>N</v>
      </c>
      <c r="R550" s="4" t="str">
        <f>VLOOKUP($B550,'D7 - NDB Impacted SPRF''s'!$E$16:$O$9929,11,FALSE)</f>
        <v>N</v>
      </c>
      <c r="S550" s="8" t="s">
        <v>3758</v>
      </c>
      <c r="T550" s="310"/>
      <c r="U550" s="310"/>
      <c r="V550" s="4"/>
      <c r="W550" s="4"/>
      <c r="X550" s="4"/>
      <c r="Y550" s="4"/>
      <c r="Z550" s="4"/>
      <c r="AA550" s="4"/>
      <c r="AB550" s="380" t="str">
        <f>VLOOKUP($B550,'D7 - NDB Impacted SPRF''s'!$E$16:$O$9929,4,FALSE)</f>
        <v>Completed</v>
      </c>
      <c r="AC550" s="380" t="str">
        <f>VLOOKUP($B550,'D7 - NDB Impacted SPRF''s'!$E$16:$O$9929,3,FALSE)</f>
        <v>UnitedHealthcare Employer &amp; Individual</v>
      </c>
      <c r="AD550" s="380" t="str">
        <f>VLOOKUP($B550,'D7 - NDB Impacted SPRF''s'!$E$16:$O$9929,5,FALSE)</f>
        <v>Integration Requirements</v>
      </c>
      <c r="AE550" s="380" t="str">
        <f>VLOOKUP($B550,'D7 - NDB Impacted SPRF''s'!$E$16:$O$9929,7,FALSE)</f>
        <v>Peter Bompane</v>
      </c>
      <c r="AF550" s="380" t="str">
        <f>VLOOKUP($B550,'D7 - NDB Impacted SPRF''s'!$E$16:$O$9929,6,FALSE)</f>
        <v>JOSHUA WOODRUM</v>
      </c>
      <c r="AG550" s="282" t="s">
        <v>5094</v>
      </c>
      <c r="AH550" s="311" t="e">
        <f>INDEX('D5 - Gatekeeper - Projects'!$A$4:$AF$1010,$AM550, 17)</f>
        <v>#N/A</v>
      </c>
      <c r="AI550" s="8"/>
      <c r="AJ550" s="57"/>
      <c r="AK550" s="105"/>
      <c r="AM550" s="6" t="e">
        <f>MATCH(D550,'D5 - Gatekeeper - Projects'!$C$4:$C$1010,0)</f>
        <v>#N/A</v>
      </c>
      <c r="AN550" s="6" t="b">
        <f t="shared" si="51"/>
        <v>1</v>
      </c>
      <c r="AO550" s="6" t="str">
        <f t="shared" si="54"/>
        <v>OK</v>
      </c>
      <c r="AQ550" s="6" t="e">
        <f>MATCH($D550,'D4 - Provider Council Unsched'!$C$11:$C$234,0)</f>
        <v>#N/A</v>
      </c>
      <c r="AR550" s="6" t="b">
        <f t="shared" si="52"/>
        <v>1</v>
      </c>
      <c r="AS550" s="6" t="str">
        <f t="shared" si="50"/>
        <v>OK</v>
      </c>
      <c r="AU550" s="202"/>
      <c r="AV550" s="262"/>
      <c r="AW550" s="274"/>
    </row>
    <row r="551" spans="1:49" s="13" customFormat="1" ht="33.75" x14ac:dyDescent="0.2">
      <c r="A551" s="14">
        <v>527</v>
      </c>
      <c r="B551" s="14">
        <v>400011659</v>
      </c>
      <c r="C551" s="8" t="s">
        <v>5197</v>
      </c>
      <c r="D551" s="4" t="str">
        <f t="shared" si="53"/>
        <v>400011659R1</v>
      </c>
      <c r="E551" s="309" t="str">
        <f>VLOOKUP($B551,'D7 - NDB Impacted SPRF''s'!$E$6:$O$9929,2,FALSE)</f>
        <v>Oxford Designation V3.2</v>
      </c>
      <c r="F551" s="8" t="s">
        <v>5222</v>
      </c>
      <c r="G551" s="8" t="s">
        <v>4758</v>
      </c>
      <c r="H551" s="8" t="s">
        <v>4246</v>
      </c>
      <c r="I551" s="20"/>
      <c r="J551" s="8" t="s">
        <v>4862</v>
      </c>
      <c r="K551" s="182">
        <v>38934</v>
      </c>
      <c r="L551" s="8" t="s">
        <v>4156</v>
      </c>
      <c r="M551" s="8" t="s">
        <v>2814</v>
      </c>
      <c r="N551" s="367" t="s">
        <v>4152</v>
      </c>
      <c r="O551" s="8"/>
      <c r="P551" s="4" t="str">
        <f>VLOOKUP($B551,'D7 - NDB Impacted SPRF''s'!$E$16:$O$9929,9,FALSE)</f>
        <v>N</v>
      </c>
      <c r="Q551" s="4" t="str">
        <f>VLOOKUP($B551,'D7 - NDB Impacted SPRF''s'!$E$16:$O$9929,10,FALSE)</f>
        <v>N</v>
      </c>
      <c r="R551" s="4" t="str">
        <f>VLOOKUP($B551,'D7 - NDB Impacted SPRF''s'!$E$16:$O$9929,11,FALSE)</f>
        <v>N</v>
      </c>
      <c r="S551" s="8"/>
      <c r="T551" s="310"/>
      <c r="U551" s="310"/>
      <c r="V551" s="4"/>
      <c r="W551" s="4"/>
      <c r="X551" s="4"/>
      <c r="Y551" s="4"/>
      <c r="Z551" s="4"/>
      <c r="AA551" s="4"/>
      <c r="AB551" s="380" t="str">
        <f>VLOOKUP($B551,'D7 - NDB Impacted SPRF''s'!$E$16:$O$9929,4,FALSE)</f>
        <v>Completed</v>
      </c>
      <c r="AC551" s="380" t="str">
        <f>VLOOKUP($B551,'D7 - NDB Impacted SPRF''s'!$E$16:$O$9929,3,FALSE)</f>
        <v>UnitedHealthcare Employer &amp; Individual</v>
      </c>
      <c r="AD551" s="380" t="str">
        <f>VLOOKUP($B551,'D7 - NDB Impacted SPRF''s'!$E$16:$O$9929,5,FALSE)</f>
        <v>Medical Cost Savings Programs</v>
      </c>
      <c r="AE551" s="380" t="str">
        <f>VLOOKUP($B551,'D7 - NDB Impacted SPRF''s'!$E$16:$O$9929,7,FALSE)</f>
        <v>Christopher Brown</v>
      </c>
      <c r="AF551" s="380" t="str">
        <f>VLOOKUP($B551,'D7 - NDB Impacted SPRF''s'!$E$16:$O$9929,6,FALSE)</f>
        <v>BRUCE CARVER</v>
      </c>
      <c r="AG551" s="282" t="s">
        <v>6602</v>
      </c>
      <c r="AH551" s="311" t="e">
        <f>INDEX('D5 - Gatekeeper - Projects'!$A$4:$AF$1010,$AM551, 17)</f>
        <v>#N/A</v>
      </c>
      <c r="AI551" s="8"/>
      <c r="AJ551" s="57"/>
      <c r="AK551" s="105"/>
      <c r="AM551" s="6" t="e">
        <f>MATCH(D551,'D5 - Gatekeeper - Projects'!$C$4:$C$1010,0)</f>
        <v>#N/A</v>
      </c>
      <c r="AN551" s="6" t="b">
        <f t="shared" si="51"/>
        <v>1</v>
      </c>
      <c r="AO551" s="6" t="str">
        <f t="shared" si="54"/>
        <v>OK</v>
      </c>
      <c r="AQ551" s="6" t="e">
        <f>MATCH($D551,'D4 - Provider Council Unsched'!$C$11:$C$234,0)</f>
        <v>#N/A</v>
      </c>
      <c r="AR551" s="6" t="b">
        <f t="shared" si="52"/>
        <v>1</v>
      </c>
      <c r="AS551" s="6" t="str">
        <f t="shared" si="50"/>
        <v>OK</v>
      </c>
      <c r="AU551" s="202"/>
      <c r="AV551" s="262"/>
      <c r="AW551" s="274"/>
    </row>
    <row r="552" spans="1:49" s="13" customFormat="1" ht="22.5" x14ac:dyDescent="0.2">
      <c r="A552" s="14">
        <v>528</v>
      </c>
      <c r="B552" s="14">
        <v>400011768</v>
      </c>
      <c r="C552" s="8" t="s">
        <v>5197</v>
      </c>
      <c r="D552" s="4" t="str">
        <f t="shared" si="53"/>
        <v>400011768R1</v>
      </c>
      <c r="E552" s="309" t="str">
        <f>VLOOKUP($B552,'D7 - NDB Impacted SPRF''s'!$E$6:$O$9929,2,FALSE)</f>
        <v>HPHC1-Provider-Multi Site Directory Extract</v>
      </c>
      <c r="F552" s="8" t="s">
        <v>5196</v>
      </c>
      <c r="G552" s="8" t="s">
        <v>4758</v>
      </c>
      <c r="H552" s="8" t="s">
        <v>4246</v>
      </c>
      <c r="I552" s="20">
        <v>2.29</v>
      </c>
      <c r="J552" s="8" t="s">
        <v>4862</v>
      </c>
      <c r="K552" s="182">
        <v>38934</v>
      </c>
      <c r="L552" s="8" t="s">
        <v>5743</v>
      </c>
      <c r="M552" s="8" t="s">
        <v>2814</v>
      </c>
      <c r="N552" s="367"/>
      <c r="O552" s="8"/>
      <c r="P552" s="4" t="str">
        <f>VLOOKUP($B552,'D7 - NDB Impacted SPRF''s'!$E$16:$O$9929,9,FALSE)</f>
        <v>Y</v>
      </c>
      <c r="Q552" s="4" t="str">
        <f>VLOOKUP($B552,'D7 - NDB Impacted SPRF''s'!$E$16:$O$9929,10,FALSE)</f>
        <v>N</v>
      </c>
      <c r="R552" s="4" t="str">
        <f>VLOOKUP($B552,'D7 - NDB Impacted SPRF''s'!$E$16:$O$9929,11,FALSE)</f>
        <v>N</v>
      </c>
      <c r="S552" s="8" t="s">
        <v>7273</v>
      </c>
      <c r="T552" s="310"/>
      <c r="U552" s="310"/>
      <c r="V552" s="4"/>
      <c r="W552" s="4"/>
      <c r="X552" s="4"/>
      <c r="Y552" s="4"/>
      <c r="Z552" s="4"/>
      <c r="AA552" s="4"/>
      <c r="AB552" s="380" t="str">
        <f>VLOOKUP($B552,'D7 - NDB Impacted SPRF''s'!$E$16:$O$9929,4,FALSE)</f>
        <v>Completed</v>
      </c>
      <c r="AC552" s="380" t="str">
        <f>VLOOKUP($B552,'D7 - NDB Impacted SPRF''s'!$E$16:$O$9929,3,FALSE)</f>
        <v>Alliance</v>
      </c>
      <c r="AD552" s="380" t="str">
        <f>VLOOKUP($B552,'D7 - NDB Impacted SPRF''s'!$E$16:$O$9929,5,FALSE)</f>
        <v>Harvard Pilgrim Service Alliance</v>
      </c>
      <c r="AE552" s="380" t="str">
        <f>VLOOKUP($B552,'D7 - NDB Impacted SPRF''s'!$E$16:$O$9929,7,FALSE)</f>
        <v>Bev Nyce</v>
      </c>
      <c r="AF552" s="380" t="str">
        <f>VLOOKUP($B552,'D7 - NDB Impacted SPRF''s'!$E$16:$O$9929,6,FALSE)</f>
        <v>ELIZABETH Young</v>
      </c>
      <c r="AG552" s="282" t="s">
        <v>6682</v>
      </c>
      <c r="AH552" s="311" t="e">
        <f>INDEX('D5 - Gatekeeper - Projects'!$A$4:$AF$1010,$AM552, 17)</f>
        <v>#N/A</v>
      </c>
      <c r="AI552" s="8"/>
      <c r="AJ552" s="57"/>
      <c r="AK552" s="105"/>
      <c r="AM552" s="6" t="e">
        <f>MATCH(D552,'D5 - Gatekeeper - Projects'!$C$4:$C$1010,0)</f>
        <v>#N/A</v>
      </c>
      <c r="AN552" s="6" t="b">
        <f t="shared" si="51"/>
        <v>1</v>
      </c>
      <c r="AO552" s="6" t="str">
        <f t="shared" si="54"/>
        <v>OK</v>
      </c>
      <c r="AQ552" s="6" t="e">
        <f>MATCH($D552,'D4 - Provider Council Unsched'!$C$11:$C$234,0)</f>
        <v>#N/A</v>
      </c>
      <c r="AR552" s="6" t="b">
        <f t="shared" si="52"/>
        <v>1</v>
      </c>
      <c r="AS552" s="6" t="str">
        <f t="shared" si="50"/>
        <v>OK</v>
      </c>
      <c r="AU552" s="202"/>
      <c r="AV552" s="262"/>
      <c r="AW552" s="274"/>
    </row>
    <row r="553" spans="1:49" s="13" customFormat="1" ht="33.75" x14ac:dyDescent="0.2">
      <c r="A553" s="14">
        <v>529</v>
      </c>
      <c r="B553" s="14">
        <v>400012473</v>
      </c>
      <c r="C553" s="8" t="s">
        <v>5197</v>
      </c>
      <c r="D553" s="4" t="str">
        <f t="shared" si="53"/>
        <v>400012473R1</v>
      </c>
      <c r="E553" s="309" t="str">
        <f>VLOOKUP($B553,'D7 - NDB Impacted SPRF''s'!$E$6:$O$9929,2,FALSE)</f>
        <v>PacifiCare EPDL Credentials Data Load</v>
      </c>
      <c r="F553" s="8" t="s">
        <v>6071</v>
      </c>
      <c r="G553" s="8" t="s">
        <v>4758</v>
      </c>
      <c r="H553" s="8" t="s">
        <v>4246</v>
      </c>
      <c r="I553" s="20">
        <v>1.07</v>
      </c>
      <c r="J553" s="8" t="s">
        <v>4862</v>
      </c>
      <c r="K553" s="182">
        <v>38934</v>
      </c>
      <c r="L553" s="8" t="s">
        <v>5743</v>
      </c>
      <c r="M553" s="8" t="s">
        <v>2814</v>
      </c>
      <c r="N553" s="368"/>
      <c r="O553" s="8"/>
      <c r="P553" s="4" t="str">
        <f>VLOOKUP($B553,'D7 - NDB Impacted SPRF''s'!$E$16:$O$9929,9,FALSE)</f>
        <v>N</v>
      </c>
      <c r="Q553" s="4" t="str">
        <f>VLOOKUP($B553,'D7 - NDB Impacted SPRF''s'!$E$16:$O$9929,10,FALSE)</f>
        <v>N</v>
      </c>
      <c r="R553" s="4" t="str">
        <f>VLOOKUP($B553,'D7 - NDB Impacted SPRF''s'!$E$16:$O$9929,11,FALSE)</f>
        <v>N</v>
      </c>
      <c r="S553" s="8" t="s">
        <v>3758</v>
      </c>
      <c r="T553" s="310"/>
      <c r="U553" s="310"/>
      <c r="V553" s="4"/>
      <c r="W553" s="4"/>
      <c r="X553" s="4"/>
      <c r="Y553" s="4"/>
      <c r="Z553" s="4"/>
      <c r="AA553" s="4"/>
      <c r="AB553" s="380" t="str">
        <f>VLOOKUP($B553,'D7 - NDB Impacted SPRF''s'!$E$16:$O$9929,4,FALSE)</f>
        <v>Completed</v>
      </c>
      <c r="AC553" s="380" t="str">
        <f>VLOOKUP($B553,'D7 - NDB Impacted SPRF''s'!$E$16:$O$9929,3,FALSE)</f>
        <v>UnitedHealthcare Employer &amp; Individual</v>
      </c>
      <c r="AD553" s="380" t="str">
        <f>VLOOKUP($B553,'D7 - NDB Impacted SPRF''s'!$E$16:$O$9929,5,FALSE)</f>
        <v>Integration Requirements</v>
      </c>
      <c r="AE553" s="380" t="str">
        <f>VLOOKUP($B553,'D7 - NDB Impacted SPRF''s'!$E$16:$O$9929,7,FALSE)</f>
        <v>Gerald Brockman</v>
      </c>
      <c r="AF553" s="380" t="str">
        <f>VLOOKUP($B553,'D7 - NDB Impacted SPRF''s'!$E$16:$O$9929,6,FALSE)</f>
        <v>GREGORY MILLS</v>
      </c>
      <c r="AG553" s="282" t="s">
        <v>6682</v>
      </c>
      <c r="AH553" s="311" t="e">
        <f>INDEX('D5 - Gatekeeper - Projects'!$A$4:$AF$1010,$AM553, 17)</f>
        <v>#N/A</v>
      </c>
      <c r="AI553" s="8"/>
      <c r="AJ553" s="57"/>
      <c r="AK553" s="105"/>
      <c r="AM553" s="6" t="e">
        <f>MATCH(D553,'D5 - Gatekeeper - Projects'!$C$4:$C$1010,0)</f>
        <v>#N/A</v>
      </c>
      <c r="AN553" s="6" t="b">
        <f t="shared" si="51"/>
        <v>1</v>
      </c>
      <c r="AO553" s="6" t="str">
        <f t="shared" si="54"/>
        <v>OK</v>
      </c>
      <c r="AQ553" s="6" t="e">
        <f>MATCH($D553,'D4 - Provider Council Unsched'!$C$11:$C$234,0)</f>
        <v>#N/A</v>
      </c>
      <c r="AR553" s="6" t="b">
        <f t="shared" si="52"/>
        <v>1</v>
      </c>
      <c r="AS553" s="6" t="str">
        <f t="shared" si="50"/>
        <v>OK</v>
      </c>
      <c r="AU553" s="202"/>
      <c r="AV553" s="262"/>
      <c r="AW553" s="274"/>
    </row>
    <row r="554" spans="1:49" s="13" customFormat="1" ht="33.75" x14ac:dyDescent="0.2">
      <c r="A554" s="14">
        <v>530</v>
      </c>
      <c r="B554" s="14">
        <v>400012542</v>
      </c>
      <c r="C554" s="8" t="s">
        <v>5197</v>
      </c>
      <c r="D554" s="4" t="str">
        <f t="shared" si="53"/>
        <v>400012542R1</v>
      </c>
      <c r="E554" s="309" t="str">
        <f>VLOOKUP($B554,'D7 - NDB Impacted SPRF''s'!$E$6:$O$9929,2,FALSE)</f>
        <v>Work Order to fix provider phone number pull</v>
      </c>
      <c r="F554" s="8" t="s">
        <v>5544</v>
      </c>
      <c r="G554" s="8" t="s">
        <v>4758</v>
      </c>
      <c r="H554" s="8" t="s">
        <v>4246</v>
      </c>
      <c r="I554" s="20">
        <v>1.47</v>
      </c>
      <c r="J554" s="8" t="s">
        <v>4862</v>
      </c>
      <c r="K554" s="182">
        <v>38934</v>
      </c>
      <c r="L554" s="8" t="s">
        <v>5743</v>
      </c>
      <c r="M554" s="8" t="s">
        <v>2814</v>
      </c>
      <c r="N554" s="367" t="s">
        <v>7931</v>
      </c>
      <c r="O554" s="8"/>
      <c r="P554" s="4" t="str">
        <f>VLOOKUP($B554,'D7 - NDB Impacted SPRF''s'!$E$16:$O$9929,9,FALSE)</f>
        <v>N</v>
      </c>
      <c r="Q554" s="4" t="str">
        <f>VLOOKUP($B554,'D7 - NDB Impacted SPRF''s'!$E$16:$O$9929,10,FALSE)</f>
        <v>N</v>
      </c>
      <c r="R554" s="4" t="str">
        <f>VLOOKUP($B554,'D7 - NDB Impacted SPRF''s'!$E$16:$O$9929,11,FALSE)</f>
        <v>N</v>
      </c>
      <c r="S554" s="8"/>
      <c r="T554" s="310"/>
      <c r="U554" s="310"/>
      <c r="V554" s="4"/>
      <c r="W554" s="4"/>
      <c r="X554" s="4"/>
      <c r="Y554" s="4"/>
      <c r="Z554" s="4"/>
      <c r="AA554" s="4"/>
      <c r="AB554" s="380" t="str">
        <f>VLOOKUP($B554,'D7 - NDB Impacted SPRF''s'!$E$16:$O$9929,4,FALSE)</f>
        <v>Completed</v>
      </c>
      <c r="AC554" s="380" t="str">
        <f>VLOOKUP($B554,'D7 - NDB Impacted SPRF''s'!$E$16:$O$9929,3,FALSE)</f>
        <v>UnitedHealthcare Medicare &amp; Retirement</v>
      </c>
      <c r="AD554" s="380" t="str">
        <f>VLOOKUP($B554,'D7 - NDB Impacted SPRF''s'!$E$16:$O$9929,5,FALSE)</f>
        <v>XXCOG</v>
      </c>
      <c r="AE554" s="380" t="str">
        <f>VLOOKUP($B554,'D7 - NDB Impacted SPRF''s'!$E$16:$O$9929,7,FALSE)</f>
        <v>Ashok Sundarshan</v>
      </c>
      <c r="AF554" s="380" t="str">
        <f>VLOOKUP($B554,'D7 - NDB Impacted SPRF''s'!$E$16:$O$9929,6,FALSE)</f>
        <v>Susan Gruwell</v>
      </c>
      <c r="AG554" s="282" t="s">
        <v>7755</v>
      </c>
      <c r="AH554" s="311" t="e">
        <f>INDEX('D5 - Gatekeeper - Projects'!$A$4:$AF$1010,$AM554, 17)</f>
        <v>#N/A</v>
      </c>
      <c r="AI554" s="8"/>
      <c r="AJ554" s="57"/>
      <c r="AK554" s="105"/>
      <c r="AM554" s="6" t="e">
        <f>MATCH(D554,'D5 - Gatekeeper - Projects'!$C$4:$C$1010,0)</f>
        <v>#N/A</v>
      </c>
      <c r="AN554" s="6" t="b">
        <f t="shared" si="51"/>
        <v>1</v>
      </c>
      <c r="AO554" s="6" t="str">
        <f t="shared" si="54"/>
        <v>OK</v>
      </c>
      <c r="AQ554" s="6" t="e">
        <f>MATCH($D554,'D4 - Provider Council Unsched'!$C$11:$C$234,0)</f>
        <v>#N/A</v>
      </c>
      <c r="AR554" s="6" t="b">
        <f t="shared" si="52"/>
        <v>1</v>
      </c>
      <c r="AS554" s="6" t="str">
        <f t="shared" si="50"/>
        <v>OK</v>
      </c>
      <c r="AU554" s="202"/>
      <c r="AV554" s="262"/>
      <c r="AW554" s="274"/>
    </row>
    <row r="555" spans="1:49" s="13" customFormat="1" ht="45" x14ac:dyDescent="0.2">
      <c r="A555" s="14">
        <v>531</v>
      </c>
      <c r="B555" s="14">
        <v>400012543</v>
      </c>
      <c r="C555" s="8" t="s">
        <v>5197</v>
      </c>
      <c r="D555" s="4" t="str">
        <f t="shared" si="53"/>
        <v>400012543R1</v>
      </c>
      <c r="E555" s="309" t="str">
        <f>VLOOKUP($B555,'D7 - NDB Impacted SPRF''s'!$E$6:$O$9929,2,FALSE)</f>
        <v xml:space="preserve"> EPDL error</v>
      </c>
      <c r="F555" s="8" t="s">
        <v>5544</v>
      </c>
      <c r="G555" s="8" t="s">
        <v>4758</v>
      </c>
      <c r="H555" s="8" t="s">
        <v>4246</v>
      </c>
      <c r="I555" s="20">
        <v>1.07</v>
      </c>
      <c r="J555" s="8" t="s">
        <v>4862</v>
      </c>
      <c r="K555" s="182">
        <v>38934</v>
      </c>
      <c r="L555" s="8" t="s">
        <v>5743</v>
      </c>
      <c r="M555" s="8" t="s">
        <v>2814</v>
      </c>
      <c r="N555" s="367" t="s">
        <v>1906</v>
      </c>
      <c r="O555" s="8"/>
      <c r="P555" s="4" t="str">
        <f>VLOOKUP($B555,'D7 - NDB Impacted SPRF''s'!$E$16:$O$9929,9,FALSE)</f>
        <v>N</v>
      </c>
      <c r="Q555" s="4" t="str">
        <f>VLOOKUP($B555,'D7 - NDB Impacted SPRF''s'!$E$16:$O$9929,10,FALSE)</f>
        <v>N</v>
      </c>
      <c r="R555" s="4" t="str">
        <f>VLOOKUP($B555,'D7 - NDB Impacted SPRF''s'!$E$16:$O$9929,11,FALSE)</f>
        <v>N</v>
      </c>
      <c r="S555" s="8"/>
      <c r="T555" s="310"/>
      <c r="U555" s="310"/>
      <c r="V555" s="4"/>
      <c r="W555" s="4"/>
      <c r="X555" s="4"/>
      <c r="Y555" s="4"/>
      <c r="Z555" s="4"/>
      <c r="AA555" s="4"/>
      <c r="AB555" s="380" t="str">
        <f>VLOOKUP($B555,'D7 - NDB Impacted SPRF''s'!$E$16:$O$9929,4,FALSE)</f>
        <v>Completed</v>
      </c>
      <c r="AC555" s="380" t="str">
        <f>VLOOKUP($B555,'D7 - NDB Impacted SPRF''s'!$E$16:$O$9929,3,FALSE)</f>
        <v>UnitedHealthcare Medicare &amp; Retirement</v>
      </c>
      <c r="AD555" s="380" t="str">
        <f>VLOOKUP($B555,'D7 - NDB Impacted SPRF''s'!$E$16:$O$9929,5,FALSE)</f>
        <v>XXCOG</v>
      </c>
      <c r="AE555" s="380" t="str">
        <f>VLOOKUP($B555,'D7 - NDB Impacted SPRF''s'!$E$16:$O$9929,7,FALSE)</f>
        <v>Ashok Sundarshan</v>
      </c>
      <c r="AF555" s="380" t="str">
        <f>VLOOKUP($B555,'D7 - NDB Impacted SPRF''s'!$E$16:$O$9929,6,FALSE)</f>
        <v>Susan Gruwell</v>
      </c>
      <c r="AG555" s="282" t="s">
        <v>7755</v>
      </c>
      <c r="AH555" s="311" t="e">
        <f>INDEX('D5 - Gatekeeper - Projects'!$A$4:$AF$1010,$AM555, 17)</f>
        <v>#N/A</v>
      </c>
      <c r="AI555" s="8"/>
      <c r="AJ555" s="57"/>
      <c r="AK555" s="105"/>
      <c r="AM555" s="6" t="e">
        <f>MATCH(D555,'D5 - Gatekeeper - Projects'!$C$4:$C$1010,0)</f>
        <v>#N/A</v>
      </c>
      <c r="AN555" s="6" t="b">
        <f t="shared" si="51"/>
        <v>1</v>
      </c>
      <c r="AO555" s="6" t="str">
        <f t="shared" si="54"/>
        <v>OK</v>
      </c>
      <c r="AQ555" s="6" t="e">
        <f>MATCH($D555,'D4 - Provider Council Unsched'!$C$11:$C$234,0)</f>
        <v>#N/A</v>
      </c>
      <c r="AR555" s="6" t="b">
        <f t="shared" si="52"/>
        <v>1</v>
      </c>
      <c r="AS555" s="6" t="str">
        <f t="shared" si="50"/>
        <v>OK</v>
      </c>
      <c r="AU555" s="202"/>
      <c r="AV555" s="262"/>
      <c r="AW555" s="274"/>
    </row>
    <row r="556" spans="1:49" s="13" customFormat="1" ht="33.75" x14ac:dyDescent="0.2">
      <c r="A556" s="14">
        <v>532</v>
      </c>
      <c r="B556" s="14">
        <v>400012695</v>
      </c>
      <c r="C556" s="8" t="s">
        <v>3763</v>
      </c>
      <c r="D556" s="4" t="str">
        <f t="shared" si="53"/>
        <v>400012695R2</v>
      </c>
      <c r="E556" s="309" t="str">
        <f>VLOOKUP($B556,'D7 - NDB Impacted SPRF''s'!$E$6:$O$9929,2,FALSE)</f>
        <v>NDB to Peradigm interface feed</v>
      </c>
      <c r="F556" s="8" t="s">
        <v>5544</v>
      </c>
      <c r="G556" s="8" t="s">
        <v>4758</v>
      </c>
      <c r="H556" s="8" t="s">
        <v>4246</v>
      </c>
      <c r="I556" s="20">
        <v>1.72</v>
      </c>
      <c r="J556" s="8" t="s">
        <v>4862</v>
      </c>
      <c r="K556" s="182">
        <v>38934</v>
      </c>
      <c r="L556" s="8" t="s">
        <v>5743</v>
      </c>
      <c r="M556" s="8" t="s">
        <v>2814</v>
      </c>
      <c r="N556" s="367" t="s">
        <v>5111</v>
      </c>
      <c r="O556" s="8"/>
      <c r="P556" s="4" t="str">
        <f>VLOOKUP($B556,'D7 - NDB Impacted SPRF''s'!$E$16:$O$9929,9,FALSE)</f>
        <v>N</v>
      </c>
      <c r="Q556" s="4" t="str">
        <f>VLOOKUP($B556,'D7 - NDB Impacted SPRF''s'!$E$16:$O$9929,10,FALSE)</f>
        <v>N</v>
      </c>
      <c r="R556" s="4" t="str">
        <f>VLOOKUP($B556,'D7 - NDB Impacted SPRF''s'!$E$16:$O$9929,11,FALSE)</f>
        <v>N</v>
      </c>
      <c r="S556" s="8" t="s">
        <v>3758</v>
      </c>
      <c r="T556" s="310"/>
      <c r="U556" s="310"/>
      <c r="V556" s="4"/>
      <c r="W556" s="4"/>
      <c r="X556" s="4"/>
      <c r="Y556" s="4"/>
      <c r="Z556" s="4"/>
      <c r="AA556" s="4"/>
      <c r="AB556" s="380" t="str">
        <f>VLOOKUP($B556,'D7 - NDB Impacted SPRF''s'!$E$16:$O$9929,4,FALSE)</f>
        <v>Completed</v>
      </c>
      <c r="AC556" s="380" t="str">
        <f>VLOOKUP($B556,'D7 - NDB Impacted SPRF''s'!$E$16:$O$9929,3,FALSE)</f>
        <v>UnitedHealthcare Medicare &amp; Retirement</v>
      </c>
      <c r="AD556" s="380" t="str">
        <f>VLOOKUP($B556,'D7 - NDB Impacted SPRF''s'!$E$16:$O$9929,5,FALSE)</f>
        <v>XXCOG</v>
      </c>
      <c r="AE556" s="380" t="str">
        <f>VLOOKUP($B556,'D7 - NDB Impacted SPRF''s'!$E$16:$O$9929,7,FALSE)</f>
        <v>Ashok Sundarshan</v>
      </c>
      <c r="AF556" s="380" t="str">
        <f>VLOOKUP($B556,'D7 - NDB Impacted SPRF''s'!$E$16:$O$9929,6,FALSE)</f>
        <v>Susan Gruwell</v>
      </c>
      <c r="AG556" s="282"/>
      <c r="AH556" s="311" t="e">
        <f>INDEX('D5 - Gatekeeper - Projects'!$A$4:$AF$1010,$AM556, 17)</f>
        <v>#N/A</v>
      </c>
      <c r="AI556" s="8"/>
      <c r="AJ556" s="57"/>
      <c r="AK556" s="105"/>
      <c r="AM556" s="6" t="e">
        <f>MATCH(D556,'D5 - Gatekeeper - Projects'!$C$4:$C$1010,0)</f>
        <v>#N/A</v>
      </c>
      <c r="AN556" s="6" t="b">
        <f t="shared" si="51"/>
        <v>1</v>
      </c>
      <c r="AO556" s="6" t="str">
        <f t="shared" si="54"/>
        <v>OK</v>
      </c>
      <c r="AQ556" s="6" t="e">
        <f>MATCH($D556,'D4 - Provider Council Unsched'!$C$11:$C$234,0)</f>
        <v>#N/A</v>
      </c>
      <c r="AR556" s="6" t="b">
        <f t="shared" si="52"/>
        <v>1</v>
      </c>
      <c r="AS556" s="6" t="str">
        <f t="shared" ref="AS556:AS619" si="55">IF(AND(H556="2 - Not Scheduled",AR556=TRUE),"Add","OK")</f>
        <v>OK</v>
      </c>
      <c r="AU556" s="202"/>
      <c r="AV556" s="262"/>
      <c r="AW556" s="274"/>
    </row>
    <row r="557" spans="1:49" s="13" customFormat="1" ht="33.75" x14ac:dyDescent="0.2">
      <c r="A557" s="14">
        <v>533</v>
      </c>
      <c r="B557" s="14">
        <v>400012697</v>
      </c>
      <c r="C557" s="8" t="s">
        <v>5197</v>
      </c>
      <c r="D557" s="4" t="str">
        <f t="shared" si="53"/>
        <v>400012697R1</v>
      </c>
      <c r="E557" s="309" t="str">
        <f>VLOOKUP($B557,'D7 - NDB Impacted SPRF''s'!$E$6:$O$9929,2,FALSE)</f>
        <v>MAHP Utilization Mgmt Data Sharing</v>
      </c>
      <c r="F557" s="8" t="s">
        <v>5752</v>
      </c>
      <c r="G557" s="8" t="s">
        <v>4758</v>
      </c>
      <c r="H557" s="8" t="s">
        <v>4246</v>
      </c>
      <c r="I557" s="20">
        <v>1.33</v>
      </c>
      <c r="J557" s="8" t="s">
        <v>4862</v>
      </c>
      <c r="K557" s="182">
        <v>38934</v>
      </c>
      <c r="L557" s="8" t="s">
        <v>5743</v>
      </c>
      <c r="M557" s="8" t="s">
        <v>2814</v>
      </c>
      <c r="N557" s="367" t="s">
        <v>6166</v>
      </c>
      <c r="O557" s="8"/>
      <c r="P557" s="4" t="str">
        <f>VLOOKUP($B557,'D7 - NDB Impacted SPRF''s'!$E$16:$O$9929,9,FALSE)</f>
        <v>Y</v>
      </c>
      <c r="Q557" s="4" t="str">
        <f>VLOOKUP($B557,'D7 - NDB Impacted SPRF''s'!$E$16:$O$9929,10,FALSE)</f>
        <v>N</v>
      </c>
      <c r="R557" s="4" t="str">
        <f>VLOOKUP($B557,'D7 - NDB Impacted SPRF''s'!$E$16:$O$9929,11,FALSE)</f>
        <v>N</v>
      </c>
      <c r="S557" s="8" t="s">
        <v>7273</v>
      </c>
      <c r="T557" s="310"/>
      <c r="U557" s="310"/>
      <c r="V557" s="4"/>
      <c r="W557" s="4"/>
      <c r="X557" s="4"/>
      <c r="Y557" s="4"/>
      <c r="Z557" s="4"/>
      <c r="AA557" s="4"/>
      <c r="AB557" s="380" t="str">
        <f>VLOOKUP($B557,'D7 - NDB Impacted SPRF''s'!$E$16:$O$9929,4,FALSE)</f>
        <v>Completed</v>
      </c>
      <c r="AC557" s="380" t="str">
        <f>VLOOKUP($B557,'D7 - NDB Impacted SPRF''s'!$E$16:$O$9929,3,FALSE)</f>
        <v>UnitedHealthcare Employer &amp; Individual</v>
      </c>
      <c r="AD557" s="380" t="str">
        <f>VLOOKUP($B557,'D7 - NDB Impacted SPRF''s'!$E$16:$O$9929,5,FALSE)</f>
        <v>Integration Requirements</v>
      </c>
      <c r="AE557" s="380" t="str">
        <f>VLOOKUP($B557,'D7 - NDB Impacted SPRF''s'!$E$16:$O$9929,7,FALSE)</f>
        <v>Diane Schofield</v>
      </c>
      <c r="AF557" s="380" t="str">
        <f>VLOOKUP($B557,'D7 - NDB Impacted SPRF''s'!$E$16:$O$9929,6,FALSE)</f>
        <v>Jennifer Steffens</v>
      </c>
      <c r="AG557" s="282" t="s">
        <v>7755</v>
      </c>
      <c r="AH557" s="311" t="e">
        <f>INDEX('D5 - Gatekeeper - Projects'!$A$4:$AF$1010,$AM557, 17)</f>
        <v>#N/A</v>
      </c>
      <c r="AI557" s="8"/>
      <c r="AJ557" s="57"/>
      <c r="AK557" s="105"/>
      <c r="AM557" s="6" t="e">
        <f>MATCH(D557,'D5 - Gatekeeper - Projects'!$C$4:$C$1010,0)</f>
        <v>#N/A</v>
      </c>
      <c r="AN557" s="6" t="b">
        <f t="shared" si="51"/>
        <v>1</v>
      </c>
      <c r="AO557" s="6" t="str">
        <f t="shared" si="54"/>
        <v>OK</v>
      </c>
      <c r="AQ557" s="6" t="e">
        <f>MATCH($D557,'D4 - Provider Council Unsched'!$C$11:$C$234,0)</f>
        <v>#N/A</v>
      </c>
      <c r="AR557" s="6" t="b">
        <f t="shared" si="52"/>
        <v>1</v>
      </c>
      <c r="AS557" s="6" t="str">
        <f t="shared" si="55"/>
        <v>OK</v>
      </c>
      <c r="AU557" s="202"/>
      <c r="AV557" s="262"/>
      <c r="AW557" s="274"/>
    </row>
    <row r="558" spans="1:49" s="13" customFormat="1" ht="33.75" x14ac:dyDescent="0.2">
      <c r="A558" s="14">
        <v>534</v>
      </c>
      <c r="B558" s="14">
        <v>400012823</v>
      </c>
      <c r="C558" s="8" t="s">
        <v>5197</v>
      </c>
      <c r="D558" s="4" t="str">
        <f t="shared" si="53"/>
        <v>400012823R1</v>
      </c>
      <c r="E558" s="309" t="str">
        <f>VLOOKUP($B558,'D7 - NDB Impacted SPRF''s'!$E$6:$O$9929,2,FALSE)</f>
        <v>John Deere Health HCFA Claims Repricing Project</v>
      </c>
      <c r="F558" s="8" t="s">
        <v>4302</v>
      </c>
      <c r="G558" s="8" t="s">
        <v>4758</v>
      </c>
      <c r="H558" s="8" t="s">
        <v>4246</v>
      </c>
      <c r="I558" s="20">
        <v>1</v>
      </c>
      <c r="J558" s="8" t="s">
        <v>4862</v>
      </c>
      <c r="K558" s="182">
        <v>38934</v>
      </c>
      <c r="L558" s="8" t="s">
        <v>5743</v>
      </c>
      <c r="M558" s="8" t="s">
        <v>2814</v>
      </c>
      <c r="N558" s="367"/>
      <c r="O558" s="8"/>
      <c r="P558" s="4" t="str">
        <f>VLOOKUP($B558,'D7 - NDB Impacted SPRF''s'!$E$16:$O$9929,9,FALSE)</f>
        <v>N</v>
      </c>
      <c r="Q558" s="4" t="str">
        <f>VLOOKUP($B558,'D7 - NDB Impacted SPRF''s'!$E$16:$O$9929,10,FALSE)</f>
        <v>N</v>
      </c>
      <c r="R558" s="4" t="str">
        <f>VLOOKUP($B558,'D7 - NDB Impacted SPRF''s'!$E$16:$O$9929,11,FALSE)</f>
        <v>Y</v>
      </c>
      <c r="S558" s="8" t="s">
        <v>7273</v>
      </c>
      <c r="T558" s="310"/>
      <c r="U558" s="310"/>
      <c r="V558" s="4"/>
      <c r="W558" s="4"/>
      <c r="X558" s="4"/>
      <c r="Y558" s="4"/>
      <c r="Z558" s="4"/>
      <c r="AA558" s="4"/>
      <c r="AB558" s="380" t="str">
        <f>VLOOKUP($B558,'D7 - NDB Impacted SPRF''s'!$E$16:$O$9929,4,FALSE)</f>
        <v>Completed</v>
      </c>
      <c r="AC558" s="380" t="str">
        <f>VLOOKUP($B558,'D7 - NDB Impacted SPRF''s'!$E$16:$O$9929,3,FALSE)</f>
        <v>UnitedHealthcare Employer &amp; Individual</v>
      </c>
      <c r="AD558" s="380" t="str">
        <f>VLOOKUP($B558,'D7 - NDB Impacted SPRF''s'!$E$16:$O$9929,5,FALSE)</f>
        <v>Operations Group</v>
      </c>
      <c r="AE558" s="380" t="str">
        <f>VLOOKUP($B558,'D7 - NDB Impacted SPRF''s'!$E$16:$O$9929,7,FALSE)</f>
        <v>Patrick Kennedy</v>
      </c>
      <c r="AF558" s="380" t="str">
        <f>VLOOKUP($B558,'D7 - NDB Impacted SPRF''s'!$E$16:$O$9929,6,FALSE)</f>
        <v>WILLIAM DOBRANSKY</v>
      </c>
      <c r="AG558" s="282" t="s">
        <v>6162</v>
      </c>
      <c r="AH558" s="311" t="e">
        <f>INDEX('D5 - Gatekeeper - Projects'!$A$4:$AF$1010,$AM558, 17)</f>
        <v>#N/A</v>
      </c>
      <c r="AI558" s="8"/>
      <c r="AJ558" s="57"/>
      <c r="AK558" s="105"/>
      <c r="AM558" s="6" t="e">
        <f>MATCH(D558,'D5 - Gatekeeper - Projects'!$C$4:$C$1010,0)</f>
        <v>#N/A</v>
      </c>
      <c r="AN558" s="6" t="b">
        <f t="shared" si="51"/>
        <v>1</v>
      </c>
      <c r="AO558" s="6" t="str">
        <f t="shared" si="54"/>
        <v>OK</v>
      </c>
      <c r="AQ558" s="6" t="e">
        <f>MATCH($D558,'D4 - Provider Council Unsched'!$C$11:$C$234,0)</f>
        <v>#N/A</v>
      </c>
      <c r="AR558" s="6" t="b">
        <f t="shared" si="52"/>
        <v>1</v>
      </c>
      <c r="AS558" s="6" t="str">
        <f t="shared" si="55"/>
        <v>OK</v>
      </c>
      <c r="AU558" s="202"/>
      <c r="AV558" s="262"/>
      <c r="AW558" s="274"/>
    </row>
    <row r="559" spans="1:49" s="13" customFormat="1" ht="33.75" x14ac:dyDescent="0.2">
      <c r="A559" s="14">
        <v>535</v>
      </c>
      <c r="B559" s="14">
        <v>400012839</v>
      </c>
      <c r="C559" s="8" t="s">
        <v>5197</v>
      </c>
      <c r="D559" s="4" t="str">
        <f t="shared" si="53"/>
        <v>400012839R1</v>
      </c>
      <c r="E559" s="309" t="str">
        <f>VLOOKUP($B559,'D7 - NDB Impacted SPRF''s'!$E$6:$O$9929,2,FALSE)</f>
        <v>John Deere Health UB Claims Repricing Project</v>
      </c>
      <c r="F559" s="8" t="s">
        <v>4302</v>
      </c>
      <c r="G559" s="8" t="s">
        <v>4758</v>
      </c>
      <c r="H559" s="8" t="s">
        <v>4246</v>
      </c>
      <c r="I559" s="20">
        <v>1</v>
      </c>
      <c r="J559" s="8" t="s">
        <v>4862</v>
      </c>
      <c r="K559" s="182">
        <v>38934</v>
      </c>
      <c r="L559" s="8" t="s">
        <v>5743</v>
      </c>
      <c r="M559" s="8" t="s">
        <v>2814</v>
      </c>
      <c r="N559" s="38"/>
      <c r="O559" s="8"/>
      <c r="P559" s="4" t="str">
        <f>VLOOKUP($B559,'D7 - NDB Impacted SPRF''s'!$E$16:$O$9929,9,FALSE)</f>
        <v>N</v>
      </c>
      <c r="Q559" s="4" t="str">
        <f>VLOOKUP($B559,'D7 - NDB Impacted SPRF''s'!$E$16:$O$9929,10,FALSE)</f>
        <v>N</v>
      </c>
      <c r="R559" s="4" t="str">
        <f>VLOOKUP($B559,'D7 - NDB Impacted SPRF''s'!$E$16:$O$9929,11,FALSE)</f>
        <v>Y</v>
      </c>
      <c r="S559" s="8" t="s">
        <v>7273</v>
      </c>
      <c r="T559" s="310"/>
      <c r="U559" s="310"/>
      <c r="V559" s="4"/>
      <c r="W559" s="4"/>
      <c r="X559" s="4"/>
      <c r="Y559" s="4"/>
      <c r="Z559" s="4"/>
      <c r="AA559" s="4"/>
      <c r="AB559" s="380" t="str">
        <f>VLOOKUP($B559,'D7 - NDB Impacted SPRF''s'!$E$16:$O$9929,4,FALSE)</f>
        <v>Completed</v>
      </c>
      <c r="AC559" s="380" t="str">
        <f>VLOOKUP($B559,'D7 - NDB Impacted SPRF''s'!$E$16:$O$9929,3,FALSE)</f>
        <v>UnitedHealthcare Employer &amp; Individual</v>
      </c>
      <c r="AD559" s="380" t="str">
        <f>VLOOKUP($B559,'D7 - NDB Impacted SPRF''s'!$E$16:$O$9929,5,FALSE)</f>
        <v>Operations Group</v>
      </c>
      <c r="AE559" s="380" t="str">
        <f>VLOOKUP($B559,'D7 - NDB Impacted SPRF''s'!$E$16:$O$9929,7,FALSE)</f>
        <v>Patrick Kennedy</v>
      </c>
      <c r="AF559" s="380" t="str">
        <f>VLOOKUP($B559,'D7 - NDB Impacted SPRF''s'!$E$16:$O$9929,6,FALSE)</f>
        <v>WILLIAM DOBRANSKY</v>
      </c>
      <c r="AG559" s="282" t="s">
        <v>6162</v>
      </c>
      <c r="AH559" s="311" t="e">
        <f>INDEX('D5 - Gatekeeper - Projects'!$A$4:$AF$1010,$AM559, 17)</f>
        <v>#N/A</v>
      </c>
      <c r="AI559" s="8"/>
      <c r="AJ559" s="57"/>
      <c r="AK559" s="105"/>
      <c r="AM559" s="6" t="e">
        <f>MATCH(D559,'D5 - Gatekeeper - Projects'!$C$4:$C$1010,0)</f>
        <v>#N/A</v>
      </c>
      <c r="AN559" s="6" t="b">
        <f t="shared" si="51"/>
        <v>1</v>
      </c>
      <c r="AO559" s="6" t="str">
        <f t="shared" si="54"/>
        <v>OK</v>
      </c>
      <c r="AQ559" s="6" t="e">
        <f>MATCH($D559,'D4 - Provider Council Unsched'!$C$11:$C$234,0)</f>
        <v>#N/A</v>
      </c>
      <c r="AR559" s="6" t="b">
        <f t="shared" si="52"/>
        <v>1</v>
      </c>
      <c r="AS559" s="6" t="str">
        <f t="shared" si="55"/>
        <v>OK</v>
      </c>
      <c r="AU559" s="202"/>
      <c r="AV559" s="262"/>
      <c r="AW559" s="274"/>
    </row>
    <row r="560" spans="1:49" s="13" customFormat="1" ht="22.5" x14ac:dyDescent="0.2">
      <c r="A560" s="14">
        <v>536</v>
      </c>
      <c r="B560" s="14">
        <v>400013022</v>
      </c>
      <c r="C560" s="8" t="s">
        <v>5197</v>
      </c>
      <c r="D560" s="4" t="str">
        <f t="shared" si="53"/>
        <v>400013022R1</v>
      </c>
      <c r="E560" s="309" t="str">
        <f>VLOOKUP($B560,'D7 - NDB Impacted SPRF''s'!$E$6:$O$9929,2,FALSE)</f>
        <v xml:space="preserve">PTI by Contract Org UBH Pre-Implementation report </v>
      </c>
      <c r="F560" s="8" t="s">
        <v>2114</v>
      </c>
      <c r="G560" s="8" t="s">
        <v>4758</v>
      </c>
      <c r="H560" s="8" t="s">
        <v>4246</v>
      </c>
      <c r="I560" s="20">
        <v>0.53</v>
      </c>
      <c r="J560" s="8" t="s">
        <v>4862</v>
      </c>
      <c r="K560" s="182">
        <v>38934</v>
      </c>
      <c r="L560" s="8" t="s">
        <v>5743</v>
      </c>
      <c r="M560" s="8" t="s">
        <v>2814</v>
      </c>
      <c r="N560" s="367" t="s">
        <v>5840</v>
      </c>
      <c r="O560" s="8"/>
      <c r="P560" s="4" t="str">
        <f>VLOOKUP($B560,'D7 - NDB Impacted SPRF''s'!$E$16:$O$9929,9,FALSE)</f>
        <v>N</v>
      </c>
      <c r="Q560" s="4" t="str">
        <f>VLOOKUP($B560,'D7 - NDB Impacted SPRF''s'!$E$16:$O$9929,10,FALSE)</f>
        <v>N</v>
      </c>
      <c r="R560" s="4" t="str">
        <f>VLOOKUP($B560,'D7 - NDB Impacted SPRF''s'!$E$16:$O$9929,11,FALSE)</f>
        <v>N</v>
      </c>
      <c r="S560" s="8" t="s">
        <v>3758</v>
      </c>
      <c r="T560" s="310"/>
      <c r="U560" s="310"/>
      <c r="V560" s="4"/>
      <c r="W560" s="4"/>
      <c r="X560" s="4"/>
      <c r="Y560" s="4"/>
      <c r="Z560" s="4"/>
      <c r="AA560" s="4"/>
      <c r="AB560" s="380" t="str">
        <f>VLOOKUP($B560,'D7 - NDB Impacted SPRF''s'!$E$16:$O$9929,4,FALSE)</f>
        <v>Completed</v>
      </c>
      <c r="AC560" s="380" t="str">
        <f>VLOOKUP($B560,'D7 - NDB Impacted SPRF''s'!$E$16:$O$9929,3,FALSE)</f>
        <v>OptumHealth</v>
      </c>
      <c r="AD560" s="380" t="str">
        <f>VLOOKUP($B560,'D7 - NDB Impacted SPRF''s'!$E$16:$O$9929,5,FALSE)</f>
        <v>UBH</v>
      </c>
      <c r="AE560" s="380" t="str">
        <f>VLOOKUP($B560,'D7 - NDB Impacted SPRF''s'!$E$16:$O$9929,7,FALSE)</f>
        <v>Michael Moore</v>
      </c>
      <c r="AF560" s="380" t="str">
        <f>VLOOKUP($B560,'D7 - NDB Impacted SPRF''s'!$E$16:$O$9929,6,FALSE)</f>
        <v>JESSICA BROWER</v>
      </c>
      <c r="AG560" s="282"/>
      <c r="AH560" s="311" t="e">
        <f>INDEX('D5 - Gatekeeper - Projects'!$A$4:$AF$1010,$AM560, 17)</f>
        <v>#N/A</v>
      </c>
      <c r="AI560" s="8"/>
      <c r="AJ560" s="57"/>
      <c r="AK560" s="105"/>
      <c r="AM560" s="6" t="e">
        <f>MATCH(D560,'D5 - Gatekeeper - Projects'!$C$4:$C$1010,0)</f>
        <v>#N/A</v>
      </c>
      <c r="AN560" s="6" t="b">
        <f t="shared" si="51"/>
        <v>1</v>
      </c>
      <c r="AO560" s="6" t="str">
        <f t="shared" si="54"/>
        <v>OK</v>
      </c>
      <c r="AQ560" s="6" t="e">
        <f>MATCH($D560,'D4 - Provider Council Unsched'!$C$11:$C$234,0)</f>
        <v>#N/A</v>
      </c>
      <c r="AR560" s="6" t="b">
        <f t="shared" si="52"/>
        <v>1</v>
      </c>
      <c r="AS560" s="6" t="str">
        <f t="shared" si="55"/>
        <v>OK</v>
      </c>
      <c r="AU560" s="202"/>
      <c r="AV560" s="262"/>
      <c r="AW560" s="274"/>
    </row>
    <row r="561" spans="1:49" s="13" customFormat="1" ht="33.75" x14ac:dyDescent="0.2">
      <c r="A561" s="14">
        <v>537</v>
      </c>
      <c r="B561" s="14">
        <v>400013085</v>
      </c>
      <c r="C561" s="8" t="s">
        <v>5197</v>
      </c>
      <c r="D561" s="4" t="str">
        <f t="shared" si="53"/>
        <v>400013085R1</v>
      </c>
      <c r="E561" s="309" t="str">
        <f>VLOOKUP($B561,'D7 - NDB Impacted SPRF''s'!$E$6:$O$9929,2,FALSE)</f>
        <v>NDB-PERADIGM Migration - 8/5/06 Seed File</v>
      </c>
      <c r="F561" s="8" t="s">
        <v>5544</v>
      </c>
      <c r="G561" s="8" t="s">
        <v>4758</v>
      </c>
      <c r="H561" s="8" t="s">
        <v>4246</v>
      </c>
      <c r="I561" s="20">
        <v>2.67</v>
      </c>
      <c r="J561" s="8" t="s">
        <v>4862</v>
      </c>
      <c r="K561" s="182">
        <v>38934</v>
      </c>
      <c r="L561" s="8" t="s">
        <v>5743</v>
      </c>
      <c r="M561" s="8" t="s">
        <v>2814</v>
      </c>
      <c r="N561" s="367" t="s">
        <v>1230</v>
      </c>
      <c r="O561" s="8"/>
      <c r="P561" s="4" t="str">
        <f>VLOOKUP($B561,'D7 - NDB Impacted SPRF''s'!$E$16:$O$9929,9,FALSE)</f>
        <v>N</v>
      </c>
      <c r="Q561" s="4" t="str">
        <f>VLOOKUP($B561,'D7 - NDB Impacted SPRF''s'!$E$16:$O$9929,10,FALSE)</f>
        <v>N</v>
      </c>
      <c r="R561" s="4" t="str">
        <f>VLOOKUP($B561,'D7 - NDB Impacted SPRF''s'!$E$16:$O$9929,11,FALSE)</f>
        <v>N</v>
      </c>
      <c r="S561" s="8" t="s">
        <v>7273</v>
      </c>
      <c r="T561" s="310"/>
      <c r="U561" s="310"/>
      <c r="V561" s="4"/>
      <c r="W561" s="4"/>
      <c r="X561" s="4"/>
      <c r="Y561" s="4"/>
      <c r="Z561" s="4"/>
      <c r="AA561" s="4"/>
      <c r="AB561" s="380" t="str">
        <f>VLOOKUP($B561,'D7 - NDB Impacted SPRF''s'!$E$16:$O$9929,4,FALSE)</f>
        <v>Completed</v>
      </c>
      <c r="AC561" s="380" t="str">
        <f>VLOOKUP($B561,'D7 - NDB Impacted SPRF''s'!$E$16:$O$9929,3,FALSE)</f>
        <v>UnitedHealthcare Medicare &amp; Retirement</v>
      </c>
      <c r="AD561" s="380" t="str">
        <f>VLOOKUP($B561,'D7 - NDB Impacted SPRF''s'!$E$16:$O$9929,5,FALSE)</f>
        <v>XXCOG</v>
      </c>
      <c r="AE561" s="380" t="str">
        <f>VLOOKUP($B561,'D7 - NDB Impacted SPRF''s'!$E$16:$O$9929,7,FALSE)</f>
        <v>Ashok Sundarshan</v>
      </c>
      <c r="AF561" s="380" t="str">
        <f>VLOOKUP($B561,'D7 - NDB Impacted SPRF''s'!$E$16:$O$9929,6,FALSE)</f>
        <v>GERALD GORODISCH</v>
      </c>
      <c r="AG561" s="282"/>
      <c r="AH561" s="311" t="e">
        <f>INDEX('D5 - Gatekeeper - Projects'!$A$4:$AF$1010,$AM561, 17)</f>
        <v>#N/A</v>
      </c>
      <c r="AI561" s="8"/>
      <c r="AJ561" s="57"/>
      <c r="AK561" s="105"/>
      <c r="AM561" s="6" t="e">
        <f>MATCH(D561,'D5 - Gatekeeper - Projects'!$C$4:$C$1010,0)</f>
        <v>#N/A</v>
      </c>
      <c r="AN561" s="6" t="b">
        <f t="shared" si="51"/>
        <v>1</v>
      </c>
      <c r="AO561" s="6" t="str">
        <f t="shared" si="54"/>
        <v>OK</v>
      </c>
      <c r="AQ561" s="6" t="e">
        <f>MATCH($D561,'D4 - Provider Council Unsched'!$C$11:$C$234,0)</f>
        <v>#N/A</v>
      </c>
      <c r="AR561" s="6" t="b">
        <f t="shared" si="52"/>
        <v>1</v>
      </c>
      <c r="AS561" s="6" t="str">
        <f t="shared" si="55"/>
        <v>OK</v>
      </c>
      <c r="AU561" s="202"/>
      <c r="AV561" s="262"/>
      <c r="AW561" s="274"/>
    </row>
    <row r="562" spans="1:49" s="13" customFormat="1" ht="33.75" x14ac:dyDescent="0.2">
      <c r="A562" s="14">
        <v>538</v>
      </c>
      <c r="B562" s="14">
        <v>400002656</v>
      </c>
      <c r="C562" s="8" t="s">
        <v>3740</v>
      </c>
      <c r="D562" s="4" t="str">
        <f t="shared" si="53"/>
        <v>400002656CC11</v>
      </c>
      <c r="E562" s="309" t="str">
        <f>VLOOKUP($B562,'D7 - NDB Impacted SPRF''s'!$E$6:$O$9929,2,FALSE)</f>
        <v>Pay to Individual (PTI) Project</v>
      </c>
      <c r="F562" s="8" t="s">
        <v>1934</v>
      </c>
      <c r="G562" s="8" t="s">
        <v>4758</v>
      </c>
      <c r="H562" s="8" t="s">
        <v>4246</v>
      </c>
      <c r="I562" s="20">
        <v>0.88</v>
      </c>
      <c r="J562" s="8" t="s">
        <v>4862</v>
      </c>
      <c r="K562" s="182">
        <v>38976</v>
      </c>
      <c r="L562" s="8" t="s">
        <v>5743</v>
      </c>
      <c r="M562" s="8" t="s">
        <v>2814</v>
      </c>
      <c r="N562" s="368" t="s">
        <v>4215</v>
      </c>
      <c r="O562" s="8"/>
      <c r="P562" s="4" t="str">
        <f>VLOOKUP($B562,'D7 - NDB Impacted SPRF''s'!$E$16:$O$9929,9,FALSE)</f>
        <v>Y</v>
      </c>
      <c r="Q562" s="4" t="str">
        <f>VLOOKUP($B562,'D7 - NDB Impacted SPRF''s'!$E$16:$O$9929,10,FALSE)</f>
        <v>N</v>
      </c>
      <c r="R562" s="4" t="str">
        <f>VLOOKUP($B562,'D7 - NDB Impacted SPRF''s'!$E$16:$O$9929,11,FALSE)</f>
        <v>N</v>
      </c>
      <c r="S562" s="8"/>
      <c r="T562" s="310"/>
      <c r="U562" s="310"/>
      <c r="V562" s="4"/>
      <c r="W562" s="4"/>
      <c r="X562" s="4"/>
      <c r="Y562" s="4"/>
      <c r="Z562" s="4"/>
      <c r="AA562" s="4"/>
      <c r="AB562" s="380" t="str">
        <f>VLOOKUP($B562,'D7 - NDB Impacted SPRF''s'!$E$16:$O$9929,4,FALSE)</f>
        <v>Completed</v>
      </c>
      <c r="AC562" s="380" t="str">
        <f>VLOOKUP($B562,'D7 - NDB Impacted SPRF''s'!$E$16:$O$9929,3,FALSE)</f>
        <v>UnitedHealthcare Employer &amp; Individual</v>
      </c>
      <c r="AD562" s="380" t="str">
        <f>VLOOKUP($B562,'D7 - NDB Impacted SPRF''s'!$E$16:$O$9929,5,FALSE)</f>
        <v>Operations Group</v>
      </c>
      <c r="AE562" s="380" t="str">
        <f>VLOOKUP($B562,'D7 - NDB Impacted SPRF''s'!$E$16:$O$9929,7,FALSE)</f>
        <v>Peter Bompane</v>
      </c>
      <c r="AF562" s="380" t="str">
        <f>VLOOKUP($B562,'D7 - NDB Impacted SPRF''s'!$E$16:$O$9929,6,FALSE)</f>
        <v>Eileen Dock</v>
      </c>
      <c r="AG562" s="282" t="s">
        <v>6682</v>
      </c>
      <c r="AH562" s="311" t="e">
        <f>INDEX('D5 - Gatekeeper - Projects'!$A$4:$AF$1010,$AM562, 17)</f>
        <v>#N/A</v>
      </c>
      <c r="AI562" s="8"/>
      <c r="AJ562" s="57"/>
      <c r="AK562" s="105"/>
      <c r="AM562" s="6" t="e">
        <f>MATCH(D562,'D5 - Gatekeeper - Projects'!$C$4:$C$1010,0)</f>
        <v>#N/A</v>
      </c>
      <c r="AN562" s="6" t="b">
        <f t="shared" si="51"/>
        <v>1</v>
      </c>
      <c r="AO562" s="6" t="str">
        <f t="shared" si="54"/>
        <v>OK</v>
      </c>
      <c r="AQ562" s="6" t="e">
        <f>MATCH($D562,'D4 - Provider Council Unsched'!$C$11:$C$234,0)</f>
        <v>#N/A</v>
      </c>
      <c r="AR562" s="6" t="b">
        <f t="shared" si="52"/>
        <v>1</v>
      </c>
      <c r="AS562" s="6" t="str">
        <f t="shared" si="55"/>
        <v>OK</v>
      </c>
      <c r="AU562" s="202"/>
      <c r="AV562" s="262"/>
      <c r="AW562" s="274"/>
    </row>
    <row r="563" spans="1:49" s="13" customFormat="1" ht="45" x14ac:dyDescent="0.2">
      <c r="A563" s="14">
        <v>539</v>
      </c>
      <c r="B563" s="14">
        <v>400004023</v>
      </c>
      <c r="C563" s="8" t="s">
        <v>3812</v>
      </c>
      <c r="D563" s="4" t="str">
        <f t="shared" si="53"/>
        <v>400004023CC05</v>
      </c>
      <c r="E563" s="309" t="str">
        <f>VLOOKUP($B563,'D7 - NDB Impacted SPRF''s'!$E$6:$O$9929,2,FALSE)</f>
        <v>SSP Vendor Flexibility-Development and Implement</v>
      </c>
      <c r="F563" s="8" t="s">
        <v>7800</v>
      </c>
      <c r="G563" s="8" t="s">
        <v>4758</v>
      </c>
      <c r="H563" s="8" t="s">
        <v>4246</v>
      </c>
      <c r="I563" s="20">
        <v>3.17</v>
      </c>
      <c r="J563" s="8" t="s">
        <v>4862</v>
      </c>
      <c r="K563" s="182">
        <v>38976</v>
      </c>
      <c r="L563" s="8" t="s">
        <v>5743</v>
      </c>
      <c r="M563" s="8" t="s">
        <v>2814</v>
      </c>
      <c r="N563" s="367" t="s">
        <v>7965</v>
      </c>
      <c r="O563" s="8"/>
      <c r="P563" s="4" t="str">
        <f>VLOOKUP($B563,'D7 - NDB Impacted SPRF''s'!$E$16:$O$9929,9,FALSE)</f>
        <v>Y</v>
      </c>
      <c r="Q563" s="4" t="str">
        <f>VLOOKUP($B563,'D7 - NDB Impacted SPRF''s'!$E$16:$O$9929,10,FALSE)</f>
        <v>N</v>
      </c>
      <c r="R563" s="4" t="str">
        <f>VLOOKUP($B563,'D7 - NDB Impacted SPRF''s'!$E$16:$O$9929,11,FALSE)</f>
        <v>N</v>
      </c>
      <c r="S563" s="8"/>
      <c r="T563" s="310"/>
      <c r="U563" s="310"/>
      <c r="V563" s="4"/>
      <c r="W563" s="4"/>
      <c r="X563" s="4"/>
      <c r="Y563" s="4"/>
      <c r="Z563" s="4"/>
      <c r="AA563" s="4"/>
      <c r="AB563" s="380" t="str">
        <f>VLOOKUP($B563,'D7 - NDB Impacted SPRF''s'!$E$16:$O$9929,4,FALSE)</f>
        <v>Completed</v>
      </c>
      <c r="AC563" s="380" t="str">
        <f>VLOOKUP($B563,'D7 - NDB Impacted SPRF''s'!$E$16:$O$9929,3,FALSE)</f>
        <v>UnitedHealthcare Employer &amp; Individual</v>
      </c>
      <c r="AD563" s="380" t="str">
        <f>VLOOKUP($B563,'D7 - NDB Impacted SPRF''s'!$E$16:$O$9929,5,FALSE)</f>
        <v>Medical Cost Savings Programs</v>
      </c>
      <c r="AE563" s="380" t="str">
        <f>VLOOKUP($B563,'D7 - NDB Impacted SPRF''s'!$E$16:$O$9929,7,FALSE)</f>
        <v>John Haben</v>
      </c>
      <c r="AF563" s="380" t="str">
        <f>VLOOKUP($B563,'D7 - NDB Impacted SPRF''s'!$E$16:$O$9929,6,FALSE)</f>
        <v>SARAH PETERSON</v>
      </c>
      <c r="AG563" s="282" t="s">
        <v>6162</v>
      </c>
      <c r="AH563" s="311" t="e">
        <f>INDEX('D5 - Gatekeeper - Projects'!$A$4:$AF$1010,$AM563, 17)</f>
        <v>#N/A</v>
      </c>
      <c r="AI563" s="8"/>
      <c r="AJ563" s="57"/>
      <c r="AK563" s="105"/>
      <c r="AM563" s="6" t="e">
        <f>MATCH(D563,'D5 - Gatekeeper - Projects'!$C$4:$C$1010,0)</f>
        <v>#N/A</v>
      </c>
      <c r="AN563" s="6" t="b">
        <f t="shared" si="51"/>
        <v>1</v>
      </c>
      <c r="AO563" s="6" t="str">
        <f t="shared" si="54"/>
        <v>OK</v>
      </c>
      <c r="AQ563" s="6" t="e">
        <f>MATCH($D563,'D4 - Provider Council Unsched'!$C$11:$C$234,0)</f>
        <v>#N/A</v>
      </c>
      <c r="AR563" s="6" t="b">
        <f t="shared" si="52"/>
        <v>1</v>
      </c>
      <c r="AS563" s="6" t="str">
        <f t="shared" si="55"/>
        <v>OK</v>
      </c>
      <c r="AU563" s="202"/>
      <c r="AV563" s="262"/>
      <c r="AW563" s="274"/>
    </row>
    <row r="564" spans="1:49" s="13" customFormat="1" ht="33.75" x14ac:dyDescent="0.2">
      <c r="A564" s="14">
        <v>540</v>
      </c>
      <c r="B564" s="14">
        <v>400007544</v>
      </c>
      <c r="C564" s="8" t="s">
        <v>3763</v>
      </c>
      <c r="D564" s="4" t="str">
        <f t="shared" si="53"/>
        <v>400007544R2</v>
      </c>
      <c r="E564" s="309" t="str">
        <f>VLOOKUP($B564,'D7 - NDB Impacted SPRF''s'!$E$6:$O$9929,2,FALSE)</f>
        <v>Midwest Security UB claims repricing</v>
      </c>
      <c r="F564" s="8" t="s">
        <v>6373</v>
      </c>
      <c r="G564" s="8" t="s">
        <v>4758</v>
      </c>
      <c r="H564" s="8" t="s">
        <v>4246</v>
      </c>
      <c r="I564" s="20">
        <v>0.5</v>
      </c>
      <c r="J564" s="8" t="s">
        <v>4862</v>
      </c>
      <c r="K564" s="182">
        <v>38976</v>
      </c>
      <c r="L564" s="8" t="s">
        <v>6919</v>
      </c>
      <c r="M564" s="8" t="s">
        <v>2814</v>
      </c>
      <c r="N564" s="38" t="s">
        <v>7852</v>
      </c>
      <c r="O564" s="8"/>
      <c r="P564" s="4" t="str">
        <f>VLOOKUP($B564,'D7 - NDB Impacted SPRF''s'!$E$16:$O$9929,9,FALSE)</f>
        <v>N</v>
      </c>
      <c r="Q564" s="4" t="str">
        <f>VLOOKUP($B564,'D7 - NDB Impacted SPRF''s'!$E$16:$O$9929,10,FALSE)</f>
        <v>N</v>
      </c>
      <c r="R564" s="4" t="str">
        <f>VLOOKUP($B564,'D7 - NDB Impacted SPRF''s'!$E$16:$O$9929,11,FALSE)</f>
        <v>N</v>
      </c>
      <c r="S564" s="8" t="s">
        <v>3758</v>
      </c>
      <c r="T564" s="310"/>
      <c r="U564" s="310"/>
      <c r="V564" s="4"/>
      <c r="W564" s="4"/>
      <c r="X564" s="4"/>
      <c r="Y564" s="4"/>
      <c r="Z564" s="4"/>
      <c r="AA564" s="4"/>
      <c r="AB564" s="380" t="str">
        <f>VLOOKUP($B564,'D7 - NDB Impacted SPRF''s'!$E$16:$O$9929,4,FALSE)</f>
        <v>Completed</v>
      </c>
      <c r="AC564" s="380" t="str">
        <f>VLOOKUP($B564,'D7 - NDB Impacted SPRF''s'!$E$16:$O$9929,3,FALSE)</f>
        <v>UnitedHealthcare Employer &amp; Individual</v>
      </c>
      <c r="AD564" s="380" t="str">
        <f>VLOOKUP($B564,'D7 - NDB Impacted SPRF''s'!$E$16:$O$9929,5,FALSE)</f>
        <v>Medical Cost Savings Programs</v>
      </c>
      <c r="AE564" s="380" t="str">
        <f>VLOOKUP($B564,'D7 - NDB Impacted SPRF''s'!$E$16:$O$9929,7,FALSE)</f>
        <v>Patrick Kennedy</v>
      </c>
      <c r="AF564" s="380" t="str">
        <f>VLOOKUP($B564,'D7 - NDB Impacted SPRF''s'!$E$16:$O$9929,6,FALSE)</f>
        <v>Borzage Deborah</v>
      </c>
      <c r="AG564" s="282"/>
      <c r="AH564" s="311" t="e">
        <f>INDEX('D5 - Gatekeeper - Projects'!$A$4:$AF$1010,$AM564, 17)</f>
        <v>#N/A</v>
      </c>
      <c r="AI564" s="8"/>
      <c r="AJ564" s="57"/>
      <c r="AK564" s="105"/>
      <c r="AM564" s="6" t="e">
        <f>MATCH(D564,'D5 - Gatekeeper - Projects'!$C$4:$C$1010,0)</f>
        <v>#N/A</v>
      </c>
      <c r="AN564" s="6" t="b">
        <f t="shared" si="51"/>
        <v>1</v>
      </c>
      <c r="AO564" s="6" t="str">
        <f t="shared" si="54"/>
        <v>OK</v>
      </c>
      <c r="AQ564" s="6" t="e">
        <f>MATCH($D564,'D4 - Provider Council Unsched'!$C$11:$C$234,0)</f>
        <v>#N/A</v>
      </c>
      <c r="AR564" s="6" t="b">
        <f t="shared" si="52"/>
        <v>1</v>
      </c>
      <c r="AS564" s="6" t="str">
        <f t="shared" si="55"/>
        <v>OK</v>
      </c>
      <c r="AU564" s="202"/>
      <c r="AV564" s="262"/>
      <c r="AW564" s="274"/>
    </row>
    <row r="565" spans="1:49" s="13" customFormat="1" ht="33.75" x14ac:dyDescent="0.2">
      <c r="A565" s="14">
        <v>541</v>
      </c>
      <c r="B565" s="14">
        <v>400007659</v>
      </c>
      <c r="C565" s="8" t="s">
        <v>5197</v>
      </c>
      <c r="D565" s="4" t="str">
        <f t="shared" si="53"/>
        <v>400007659R1</v>
      </c>
      <c r="E565" s="309" t="str">
        <f>VLOOKUP($B565,'D7 - NDB Impacted SPRF''s'!$E$6:$O$9929,2,FALSE)</f>
        <v>AARP Provider Feed to SOURCECORP Part II</v>
      </c>
      <c r="F565" s="8" t="s">
        <v>6007</v>
      </c>
      <c r="G565" s="8" t="s">
        <v>4758</v>
      </c>
      <c r="H565" s="8" t="s">
        <v>4246</v>
      </c>
      <c r="I565" s="20">
        <v>0.75</v>
      </c>
      <c r="J565" s="8" t="s">
        <v>4862</v>
      </c>
      <c r="K565" s="182">
        <v>38976</v>
      </c>
      <c r="L565" s="8" t="s">
        <v>5743</v>
      </c>
      <c r="M565" s="8" t="s">
        <v>2814</v>
      </c>
      <c r="N565" s="368"/>
      <c r="O565" s="8"/>
      <c r="P565" s="4" t="str">
        <f>VLOOKUP($B565,'D7 - NDB Impacted SPRF''s'!$E$16:$O$9929,9,FALSE)</f>
        <v>N</v>
      </c>
      <c r="Q565" s="4" t="str">
        <f>VLOOKUP($B565,'D7 - NDB Impacted SPRF''s'!$E$16:$O$9929,10,FALSE)</f>
        <v>N</v>
      </c>
      <c r="R565" s="4" t="str">
        <f>VLOOKUP($B565,'D7 - NDB Impacted SPRF''s'!$E$16:$O$9929,11,FALSE)</f>
        <v>N</v>
      </c>
      <c r="S565" s="8" t="s">
        <v>3758</v>
      </c>
      <c r="T565" s="310"/>
      <c r="U565" s="310"/>
      <c r="V565" s="4"/>
      <c r="W565" s="4"/>
      <c r="X565" s="4"/>
      <c r="Y565" s="4"/>
      <c r="Z565" s="4"/>
      <c r="AA565" s="4"/>
      <c r="AB565" s="380" t="str">
        <f>VLOOKUP($B565,'D7 - NDB Impacted SPRF''s'!$E$16:$O$9929,4,FALSE)</f>
        <v>Completed</v>
      </c>
      <c r="AC565" s="380" t="str">
        <f>VLOOKUP($B565,'D7 - NDB Impacted SPRF''s'!$E$16:$O$9929,3,FALSE)</f>
        <v>UnitedHealthcare Medicare &amp; Retirement</v>
      </c>
      <c r="AD565" s="380" t="str">
        <f>VLOOKUP($B565,'D7 - NDB Impacted SPRF''s'!$E$16:$O$9929,5,FALSE)</f>
        <v>XXNon-COG</v>
      </c>
      <c r="AE565" s="380" t="str">
        <f>VLOOKUP($B565,'D7 - NDB Impacted SPRF''s'!$E$16:$O$9929,7,FALSE)</f>
        <v>Mary Stenberg</v>
      </c>
      <c r="AF565" s="380" t="str">
        <f>VLOOKUP($B565,'D7 - NDB Impacted SPRF''s'!$E$16:$O$9929,6,FALSE)</f>
        <v>Amy Baxter</v>
      </c>
      <c r="AG565" s="282" t="s">
        <v>7755</v>
      </c>
      <c r="AH565" s="311" t="e">
        <f>INDEX('D5 - Gatekeeper - Projects'!$A$4:$AF$1010,$AM565, 17)</f>
        <v>#N/A</v>
      </c>
      <c r="AI565" s="8"/>
      <c r="AJ565" s="57"/>
      <c r="AK565" s="105"/>
      <c r="AM565" s="6" t="e">
        <f>MATCH(D565,'D5 - Gatekeeper - Projects'!$C$4:$C$1010,0)</f>
        <v>#N/A</v>
      </c>
      <c r="AN565" s="6" t="b">
        <f t="shared" si="51"/>
        <v>1</v>
      </c>
      <c r="AO565" s="6" t="str">
        <f t="shared" si="54"/>
        <v>OK</v>
      </c>
      <c r="AQ565" s="6" t="e">
        <f>MATCH($D565,'D4 - Provider Council Unsched'!$C$11:$C$234,0)</f>
        <v>#N/A</v>
      </c>
      <c r="AR565" s="6" t="b">
        <f t="shared" si="52"/>
        <v>1</v>
      </c>
      <c r="AS565" s="6" t="str">
        <f t="shared" si="55"/>
        <v>OK</v>
      </c>
      <c r="AU565" s="202"/>
      <c r="AV565" s="262"/>
      <c r="AW565" s="274"/>
    </row>
    <row r="566" spans="1:49" s="13" customFormat="1" ht="33.75" x14ac:dyDescent="0.2">
      <c r="A566" s="14">
        <v>542</v>
      </c>
      <c r="B566" s="14">
        <v>400007908</v>
      </c>
      <c r="C566" s="8" t="s">
        <v>6723</v>
      </c>
      <c r="D566" s="4" t="str">
        <f t="shared" si="53"/>
        <v>400007908CC09</v>
      </c>
      <c r="E566" s="309" t="str">
        <f>VLOOKUP($B566,'D7 - NDB Impacted SPRF''s'!$E$6:$O$9929,2,FALSE)</f>
        <v>NPI Data Capture and Searches</v>
      </c>
      <c r="F566" s="8" t="s">
        <v>1059</v>
      </c>
      <c r="G566" s="8" t="s">
        <v>4758</v>
      </c>
      <c r="H566" s="8" t="s">
        <v>4246</v>
      </c>
      <c r="I566" s="20">
        <v>2.4300000000000002</v>
      </c>
      <c r="J566" s="8" t="s">
        <v>4862</v>
      </c>
      <c r="K566" s="182">
        <v>38976</v>
      </c>
      <c r="L566" s="8" t="s">
        <v>5743</v>
      </c>
      <c r="M566" s="8" t="s">
        <v>2814</v>
      </c>
      <c r="N566" s="367" t="s">
        <v>2002</v>
      </c>
      <c r="O566" s="8"/>
      <c r="P566" s="4" t="str">
        <f>VLOOKUP($B566,'D7 - NDB Impacted SPRF''s'!$E$16:$O$9929,9,FALSE)</f>
        <v>Y</v>
      </c>
      <c r="Q566" s="4" t="str">
        <f>VLOOKUP($B566,'D7 - NDB Impacted SPRF''s'!$E$16:$O$9929,10,FALSE)</f>
        <v>N</v>
      </c>
      <c r="R566" s="4" t="str">
        <f>VLOOKUP($B566,'D7 - NDB Impacted SPRF''s'!$E$16:$O$9929,11,FALSE)</f>
        <v>N</v>
      </c>
      <c r="S566" s="8" t="s">
        <v>3758</v>
      </c>
      <c r="T566" s="310"/>
      <c r="U566" s="310"/>
      <c r="V566" s="4"/>
      <c r="W566" s="4"/>
      <c r="X566" s="4"/>
      <c r="Y566" s="4"/>
      <c r="Z566" s="4"/>
      <c r="AA566" s="4"/>
      <c r="AB566" s="380" t="str">
        <f>VLOOKUP($B566,'D7 - NDB Impacted SPRF''s'!$E$16:$O$9929,4,FALSE)</f>
        <v>Completed</v>
      </c>
      <c r="AC566" s="380" t="str">
        <f>VLOOKUP($B566,'D7 - NDB Impacted SPRF''s'!$E$16:$O$9929,3,FALSE)</f>
        <v>UnitedHealthcare Employer &amp; Individual</v>
      </c>
      <c r="AD566" s="380" t="str">
        <f>VLOOKUP($B566,'D7 - NDB Impacted SPRF''s'!$E$16:$O$9929,5,FALSE)</f>
        <v>Regulatory / Other</v>
      </c>
      <c r="AE566" s="380" t="str">
        <f>VLOOKUP($B566,'D7 - NDB Impacted SPRF''s'!$E$16:$O$9929,7,FALSE)</f>
        <v>Peter Bompane</v>
      </c>
      <c r="AF566" s="380" t="str">
        <f>VLOOKUP($B566,'D7 - NDB Impacted SPRF''s'!$E$16:$O$9929,6,FALSE)</f>
        <v>KELLY LEONARD</v>
      </c>
      <c r="AG566" s="282"/>
      <c r="AH566" s="311" t="e">
        <f>INDEX('D5 - Gatekeeper - Projects'!$A$4:$AF$1010,$AM566, 17)</f>
        <v>#N/A</v>
      </c>
      <c r="AI566" s="8"/>
      <c r="AJ566" s="57"/>
      <c r="AK566" s="105"/>
      <c r="AM566" s="6" t="e">
        <f>MATCH(D566,'D5 - Gatekeeper - Projects'!$C$4:$C$1010,0)</f>
        <v>#N/A</v>
      </c>
      <c r="AN566" s="6" t="b">
        <f t="shared" si="51"/>
        <v>1</v>
      </c>
      <c r="AO566" s="6" t="str">
        <f t="shared" si="54"/>
        <v>OK</v>
      </c>
      <c r="AQ566" s="6" t="e">
        <f>MATCH($D566,'D4 - Provider Council Unsched'!$C$11:$C$234,0)</f>
        <v>#N/A</v>
      </c>
      <c r="AR566" s="6" t="b">
        <f t="shared" si="52"/>
        <v>1</v>
      </c>
      <c r="AS566" s="6" t="str">
        <f t="shared" si="55"/>
        <v>OK</v>
      </c>
      <c r="AU566" s="202"/>
      <c r="AV566" s="262"/>
      <c r="AW566" s="274"/>
    </row>
    <row r="567" spans="1:49" s="13" customFormat="1" ht="22.5" x14ac:dyDescent="0.2">
      <c r="A567" s="14">
        <v>543</v>
      </c>
      <c r="B567" s="14">
        <v>400007971</v>
      </c>
      <c r="C567" s="8" t="s">
        <v>5614</v>
      </c>
      <c r="D567" s="4" t="str">
        <f t="shared" si="53"/>
        <v>400007971R5</v>
      </c>
      <c r="E567" s="309" t="str">
        <f>VLOOKUP($B567,'D7 - NDB Impacted SPRF''s'!$E$6:$O$9929,2,FALSE)</f>
        <v>DTRs for UT Applications</v>
      </c>
      <c r="F567" s="8" t="s">
        <v>8133</v>
      </c>
      <c r="G567" s="8" t="s">
        <v>4758</v>
      </c>
      <c r="H567" s="8" t="s">
        <v>4246</v>
      </c>
      <c r="I567" s="20">
        <v>2</v>
      </c>
      <c r="J567" s="8" t="s">
        <v>4862</v>
      </c>
      <c r="K567" s="182">
        <v>38976</v>
      </c>
      <c r="L567" s="8" t="s">
        <v>5743</v>
      </c>
      <c r="M567" s="8" t="s">
        <v>2814</v>
      </c>
      <c r="N567" s="367"/>
      <c r="O567" s="8"/>
      <c r="P567" s="4" t="str">
        <f>VLOOKUP($B567,'D7 - NDB Impacted SPRF''s'!$E$16:$O$9929,9,FALSE)</f>
        <v>Y</v>
      </c>
      <c r="Q567" s="4" t="str">
        <f>VLOOKUP($B567,'D7 - NDB Impacted SPRF''s'!$E$16:$O$9929,10,FALSE)</f>
        <v>N</v>
      </c>
      <c r="R567" s="4" t="str">
        <f>VLOOKUP($B567,'D7 - NDB Impacted SPRF''s'!$E$16:$O$9929,11,FALSE)</f>
        <v>N</v>
      </c>
      <c r="S567" s="8" t="s">
        <v>3758</v>
      </c>
      <c r="T567" s="310"/>
      <c r="U567" s="310"/>
      <c r="V567" s="4"/>
      <c r="W567" s="4"/>
      <c r="X567" s="4"/>
      <c r="Y567" s="4"/>
      <c r="Z567" s="4"/>
      <c r="AA567" s="4"/>
      <c r="AB567" s="380" t="str">
        <f>VLOOKUP($B567,'D7 - NDB Impacted SPRF''s'!$E$16:$O$9929,4,FALSE)</f>
        <v>Completed</v>
      </c>
      <c r="AC567" s="380" t="str">
        <f>VLOOKUP($B567,'D7 - NDB Impacted SPRF''s'!$E$16:$O$9929,3,FALSE)</f>
        <v>Uniprise</v>
      </c>
      <c r="AD567" s="380" t="str">
        <f>VLOOKUP($B567,'D7 - NDB Impacted SPRF''s'!$E$16:$O$9929,5,FALSE)</f>
        <v>Uniprise Technologies - Capital Projects</v>
      </c>
      <c r="AE567" s="380" t="str">
        <f>VLOOKUP($B567,'D7 - NDB Impacted SPRF''s'!$E$16:$O$9929,7,FALSE)</f>
        <v>Steven Penn</v>
      </c>
      <c r="AF567" s="380" t="str">
        <f>VLOOKUP($B567,'D7 - NDB Impacted SPRF''s'!$E$16:$O$9929,6,FALSE)</f>
        <v>Jeffrey Jablonski</v>
      </c>
      <c r="AG567" s="282"/>
      <c r="AH567" s="311" t="e">
        <f>INDEX('D5 - Gatekeeper - Projects'!$A$4:$AF$1010,$AM567, 17)</f>
        <v>#N/A</v>
      </c>
      <c r="AI567" s="8"/>
      <c r="AJ567" s="57"/>
      <c r="AK567" s="105"/>
      <c r="AM567" s="6" t="e">
        <f>MATCH(D567,'D5 - Gatekeeper - Projects'!$C$4:$C$1010,0)</f>
        <v>#N/A</v>
      </c>
      <c r="AN567" s="6" t="b">
        <f t="shared" si="51"/>
        <v>1</v>
      </c>
      <c r="AO567" s="6" t="str">
        <f t="shared" si="54"/>
        <v>OK</v>
      </c>
      <c r="AQ567" s="6" t="e">
        <f>MATCH($D567,'D4 - Provider Council Unsched'!$C$11:$C$234,0)</f>
        <v>#N/A</v>
      </c>
      <c r="AR567" s="6" t="b">
        <f t="shared" si="52"/>
        <v>1</v>
      </c>
      <c r="AS567" s="6" t="str">
        <f t="shared" si="55"/>
        <v>OK</v>
      </c>
      <c r="AU567" s="202"/>
      <c r="AV567" s="262"/>
      <c r="AW567" s="274"/>
    </row>
    <row r="568" spans="1:49" s="13" customFormat="1" ht="33.75" x14ac:dyDescent="0.2">
      <c r="A568" s="14">
        <v>544</v>
      </c>
      <c r="B568" s="14">
        <v>400008016</v>
      </c>
      <c r="C568" s="8" t="s">
        <v>2073</v>
      </c>
      <c r="D568" s="4" t="str">
        <f t="shared" si="53"/>
        <v>400008016CC07U1</v>
      </c>
      <c r="E568" s="309" t="str">
        <f>VLOOKUP($B568,'D7 - NDB Impacted SPRF''s'!$E$6:$O$9929,2,FALSE)</f>
        <v>CORP1-Security-Outward Facing &amp; Sens. App Security</v>
      </c>
      <c r="F568" s="8" t="s">
        <v>5196</v>
      </c>
      <c r="G568" s="8" t="s">
        <v>4758</v>
      </c>
      <c r="H568" s="8" t="s">
        <v>4246</v>
      </c>
      <c r="I568" s="20">
        <v>16.25</v>
      </c>
      <c r="J568" s="8" t="s">
        <v>4862</v>
      </c>
      <c r="K568" s="182">
        <v>38976</v>
      </c>
      <c r="L568" s="8" t="s">
        <v>5743</v>
      </c>
      <c r="M568" s="8" t="s">
        <v>2814</v>
      </c>
      <c r="N568" s="367" t="s">
        <v>6061</v>
      </c>
      <c r="O568" s="8"/>
      <c r="P568" s="4" t="str">
        <f>VLOOKUP($B568,'D7 - NDB Impacted SPRF''s'!$E$16:$O$9929,9,FALSE)</f>
        <v>Y</v>
      </c>
      <c r="Q568" s="4" t="str">
        <f>VLOOKUP($B568,'D7 - NDB Impacted SPRF''s'!$E$16:$O$9929,10,FALSE)</f>
        <v>N</v>
      </c>
      <c r="R568" s="4" t="str">
        <f>VLOOKUP($B568,'D7 - NDB Impacted SPRF''s'!$E$16:$O$9929,11,FALSE)</f>
        <v>N</v>
      </c>
      <c r="S568" s="8" t="s">
        <v>3758</v>
      </c>
      <c r="T568" s="310"/>
      <c r="U568" s="310"/>
      <c r="V568" s="4"/>
      <c r="W568" s="4"/>
      <c r="X568" s="4"/>
      <c r="Y568" s="4"/>
      <c r="Z568" s="4"/>
      <c r="AA568" s="4"/>
      <c r="AB568" s="380" t="str">
        <f>VLOOKUP($B568,'D7 - NDB Impacted SPRF''s'!$E$16:$O$9929,4,FALSE)</f>
        <v>Completed</v>
      </c>
      <c r="AC568" s="380" t="str">
        <f>VLOOKUP($B568,'D7 - NDB Impacted SPRF''s'!$E$16:$O$9929,3,FALSE)</f>
        <v>UnitedHealthcare Employer &amp; Individual</v>
      </c>
      <c r="AD568" s="380" t="str">
        <f>VLOOKUP($B568,'D7 - NDB Impacted SPRF''s'!$E$16:$O$9929,5,FALSE)</f>
        <v>Healthcare Service Alliance</v>
      </c>
      <c r="AE568" s="380" t="str">
        <f>VLOOKUP($B568,'D7 - NDB Impacted SPRF''s'!$E$16:$O$9929,7,FALSE)</f>
        <v>Bev Nyce</v>
      </c>
      <c r="AF568" s="380" t="str">
        <f>VLOOKUP($B568,'D7 - NDB Impacted SPRF''s'!$E$16:$O$9929,6,FALSE)</f>
        <v>Elaine Begen</v>
      </c>
      <c r="AG568" s="282"/>
      <c r="AH568" s="311" t="e">
        <f>INDEX('D5 - Gatekeeper - Projects'!$A$4:$AF$1010,$AM568, 17)</f>
        <v>#N/A</v>
      </c>
      <c r="AI568" s="8"/>
      <c r="AJ568" s="57"/>
      <c r="AK568" s="105"/>
      <c r="AM568" s="6" t="e">
        <f>MATCH(D568,'D5 - Gatekeeper - Projects'!$C$4:$C$1010,0)</f>
        <v>#N/A</v>
      </c>
      <c r="AN568" s="6" t="b">
        <f t="shared" si="51"/>
        <v>1</v>
      </c>
      <c r="AO568" s="6" t="str">
        <f t="shared" si="54"/>
        <v>OK</v>
      </c>
      <c r="AQ568" s="6" t="e">
        <f>MATCH($D568,'D4 - Provider Council Unsched'!$C$11:$C$234,0)</f>
        <v>#N/A</v>
      </c>
      <c r="AR568" s="6" t="b">
        <f t="shared" si="52"/>
        <v>1</v>
      </c>
      <c r="AS568" s="6" t="str">
        <f t="shared" si="55"/>
        <v>OK</v>
      </c>
      <c r="AU568" s="202"/>
      <c r="AV568" s="262"/>
      <c r="AW568" s="274"/>
    </row>
    <row r="569" spans="1:49" s="13" customFormat="1" ht="22.5" x14ac:dyDescent="0.2">
      <c r="A569" s="14">
        <v>545</v>
      </c>
      <c r="B569" s="14">
        <v>400008017</v>
      </c>
      <c r="C569" s="8" t="s">
        <v>5197</v>
      </c>
      <c r="D569" s="4" t="str">
        <f t="shared" si="53"/>
        <v>400008017R1</v>
      </c>
      <c r="E569" s="309" t="str">
        <f>VLOOKUP($B569,'D7 - NDB Impacted SPRF''s'!$E$6:$O$9929,2,FALSE)</f>
        <v>CORP1-Infrastructure-Production Pilot Testing</v>
      </c>
      <c r="F569" s="8" t="s">
        <v>5196</v>
      </c>
      <c r="G569" s="8" t="s">
        <v>4758</v>
      </c>
      <c r="H569" s="8" t="s">
        <v>4246</v>
      </c>
      <c r="I569" s="20">
        <v>18.5</v>
      </c>
      <c r="J569" s="8" t="s">
        <v>4862</v>
      </c>
      <c r="K569" s="182">
        <v>38976</v>
      </c>
      <c r="L569" s="8" t="s">
        <v>5743</v>
      </c>
      <c r="M569" s="8" t="s">
        <v>2814</v>
      </c>
      <c r="N569" s="367"/>
      <c r="O569" s="8"/>
      <c r="P569" s="4" t="str">
        <f>VLOOKUP($B569,'D7 - NDB Impacted SPRF''s'!$E$16:$O$9929,9,FALSE)</f>
        <v>Y</v>
      </c>
      <c r="Q569" s="4" t="str">
        <f>VLOOKUP($B569,'D7 - NDB Impacted SPRF''s'!$E$16:$O$9929,10,FALSE)</f>
        <v>N</v>
      </c>
      <c r="R569" s="4" t="str">
        <f>VLOOKUP($B569,'D7 - NDB Impacted SPRF''s'!$E$16:$O$9929,11,FALSE)</f>
        <v>N</v>
      </c>
      <c r="S569" s="8" t="s">
        <v>3758</v>
      </c>
      <c r="T569" s="310"/>
      <c r="U569" s="310"/>
      <c r="V569" s="4"/>
      <c r="W569" s="4"/>
      <c r="X569" s="4"/>
      <c r="Y569" s="4"/>
      <c r="Z569" s="4"/>
      <c r="AA569" s="4"/>
      <c r="AB569" s="380" t="str">
        <f>VLOOKUP($B569,'D7 - NDB Impacted SPRF''s'!$E$16:$O$9929,4,FALSE)</f>
        <v>Completed</v>
      </c>
      <c r="AC569" s="380" t="str">
        <f>VLOOKUP($B569,'D7 - NDB Impacted SPRF''s'!$E$16:$O$9929,3,FALSE)</f>
        <v>Alliance</v>
      </c>
      <c r="AD569" s="380" t="str">
        <f>VLOOKUP($B569,'D7 - NDB Impacted SPRF''s'!$E$16:$O$9929,5,FALSE)</f>
        <v>Healthcare Service Alliance</v>
      </c>
      <c r="AE569" s="380" t="str">
        <f>VLOOKUP($B569,'D7 - NDB Impacted SPRF''s'!$E$16:$O$9929,7,FALSE)</f>
        <v>Bev Nyce</v>
      </c>
      <c r="AF569" s="380" t="str">
        <f>VLOOKUP($B569,'D7 - NDB Impacted SPRF''s'!$E$16:$O$9929,6,FALSE)</f>
        <v>ALBERT PETRUNTI</v>
      </c>
      <c r="AG569" s="282" t="s">
        <v>7755</v>
      </c>
      <c r="AH569" s="311" t="e">
        <f>INDEX('D5 - Gatekeeper - Projects'!$A$4:$AF$1010,$AM569, 17)</f>
        <v>#N/A</v>
      </c>
      <c r="AI569" s="8"/>
      <c r="AJ569" s="57"/>
      <c r="AK569" s="105"/>
      <c r="AM569" s="6" t="e">
        <f>MATCH(D569,'D5 - Gatekeeper - Projects'!$C$4:$C$1010,0)</f>
        <v>#N/A</v>
      </c>
      <c r="AN569" s="6" t="b">
        <f t="shared" si="51"/>
        <v>1</v>
      </c>
      <c r="AO569" s="6" t="str">
        <f t="shared" si="54"/>
        <v>OK</v>
      </c>
      <c r="AQ569" s="6" t="e">
        <f>MATCH($D569,'D4 - Provider Council Unsched'!$C$11:$C$234,0)</f>
        <v>#N/A</v>
      </c>
      <c r="AR569" s="6" t="b">
        <f t="shared" si="52"/>
        <v>1</v>
      </c>
      <c r="AS569" s="6" t="str">
        <f t="shared" si="55"/>
        <v>OK</v>
      </c>
      <c r="AU569" s="202"/>
      <c r="AV569" s="262"/>
      <c r="AW569" s="274"/>
    </row>
    <row r="570" spans="1:49" s="13" customFormat="1" ht="33.75" x14ac:dyDescent="0.2">
      <c r="A570" s="14">
        <v>546</v>
      </c>
      <c r="B570" s="14">
        <v>400009863</v>
      </c>
      <c r="C570" s="8" t="s">
        <v>2449</v>
      </c>
      <c r="D570" s="4" t="str">
        <f t="shared" si="53"/>
        <v>400009863R3</v>
      </c>
      <c r="E570" s="309" t="str">
        <f>VLOOKUP($B570,'D7 - NDB Impacted SPRF''s'!$E$6:$O$9929,2,FALSE)</f>
        <v>Add directory code for batch directory process</v>
      </c>
      <c r="F570" s="8" t="s">
        <v>5054</v>
      </c>
      <c r="G570" s="8" t="s">
        <v>4758</v>
      </c>
      <c r="H570" s="8" t="s">
        <v>4246</v>
      </c>
      <c r="I570" s="20">
        <v>1</v>
      </c>
      <c r="J570" s="8" t="s">
        <v>4862</v>
      </c>
      <c r="K570" s="182">
        <v>38976</v>
      </c>
      <c r="L570" s="8" t="s">
        <v>5743</v>
      </c>
      <c r="M570" s="8" t="s">
        <v>2814</v>
      </c>
      <c r="N570" s="367"/>
      <c r="O570" s="8"/>
      <c r="P570" s="4" t="str">
        <f>VLOOKUP($B570,'D7 - NDB Impacted SPRF''s'!$E$16:$O$9929,9,FALSE)</f>
        <v>N</v>
      </c>
      <c r="Q570" s="4" t="str">
        <f>VLOOKUP($B570,'D7 - NDB Impacted SPRF''s'!$E$16:$O$9929,10,FALSE)</f>
        <v>N</v>
      </c>
      <c r="R570" s="4" t="str">
        <f>VLOOKUP($B570,'D7 - NDB Impacted SPRF''s'!$E$16:$O$9929,11,FALSE)</f>
        <v>N</v>
      </c>
      <c r="S570" s="8" t="s">
        <v>3758</v>
      </c>
      <c r="T570" s="310"/>
      <c r="U570" s="310"/>
      <c r="V570" s="4"/>
      <c r="W570" s="4"/>
      <c r="X570" s="4"/>
      <c r="Y570" s="4"/>
      <c r="Z570" s="4"/>
      <c r="AA570" s="4"/>
      <c r="AB570" s="380" t="str">
        <f>VLOOKUP($B570,'D7 - NDB Impacted SPRF''s'!$E$16:$O$9929,4,FALSE)</f>
        <v>Completed</v>
      </c>
      <c r="AC570" s="380" t="str">
        <f>VLOOKUP($B570,'D7 - NDB Impacted SPRF''s'!$E$16:$O$9929,3,FALSE)</f>
        <v>OptumHealth Financial Services</v>
      </c>
      <c r="AD570" s="380" t="str">
        <f>VLOOKUP($B570,'D7 - NDB Impacted SPRF''s'!$E$16:$O$9929,5,FALSE)</f>
        <v>OptumHealth Financial Services-DDC</v>
      </c>
      <c r="AE570" s="380" t="str">
        <f>VLOOKUP($B570,'D7 - NDB Impacted SPRF''s'!$E$16:$O$9929,7,FALSE)</f>
        <v>Caryn Asklar</v>
      </c>
      <c r="AF570" s="380" t="str">
        <f>VLOOKUP($B570,'D7 - NDB Impacted SPRF''s'!$E$16:$O$9929,6,FALSE)</f>
        <v>MICHAEL STONE</v>
      </c>
      <c r="AG570" s="282"/>
      <c r="AH570" s="311" t="e">
        <f>INDEX('D5 - Gatekeeper - Projects'!$A$4:$AF$1010,$AM570, 17)</f>
        <v>#N/A</v>
      </c>
      <c r="AI570" s="8"/>
      <c r="AJ570" s="57"/>
      <c r="AK570" s="105"/>
      <c r="AM570" s="6" t="e">
        <f>MATCH(D570,'D5 - Gatekeeper - Projects'!$C$4:$C$1010,0)</f>
        <v>#N/A</v>
      </c>
      <c r="AN570" s="6" t="b">
        <f t="shared" si="51"/>
        <v>1</v>
      </c>
      <c r="AO570" s="6" t="str">
        <f t="shared" si="54"/>
        <v>OK</v>
      </c>
      <c r="AQ570" s="6" t="e">
        <f>MATCH($D570,'D4 - Provider Council Unsched'!$C$11:$C$234,0)</f>
        <v>#N/A</v>
      </c>
      <c r="AR570" s="6" t="b">
        <f t="shared" si="52"/>
        <v>1</v>
      </c>
      <c r="AS570" s="6" t="str">
        <f t="shared" si="55"/>
        <v>OK</v>
      </c>
      <c r="AU570" s="202"/>
      <c r="AV570" s="262"/>
      <c r="AW570" s="274"/>
    </row>
    <row r="571" spans="1:49" s="13" customFormat="1" ht="22.5" x14ac:dyDescent="0.2">
      <c r="A571" s="14">
        <v>547</v>
      </c>
      <c r="B571" s="14">
        <v>400010394</v>
      </c>
      <c r="C571" s="8" t="s">
        <v>5197</v>
      </c>
      <c r="D571" s="4" t="str">
        <f t="shared" si="53"/>
        <v>400010394R1</v>
      </c>
      <c r="E571" s="309" t="str">
        <f>VLOOKUP($B571,'D7 - NDB Impacted SPRF''s'!$E$6:$O$9929,2,FALSE)</f>
        <v>New Consumer Portal</v>
      </c>
      <c r="F571" s="8" t="s">
        <v>5536</v>
      </c>
      <c r="G571" s="8" t="s">
        <v>4758</v>
      </c>
      <c r="H571" s="8" t="s">
        <v>4246</v>
      </c>
      <c r="I571" s="20">
        <v>2.4</v>
      </c>
      <c r="J571" s="8" t="s">
        <v>4862</v>
      </c>
      <c r="K571" s="182">
        <v>38976</v>
      </c>
      <c r="L571" s="8" t="s">
        <v>5743</v>
      </c>
      <c r="M571" s="8" t="s">
        <v>2814</v>
      </c>
      <c r="N571" s="38" t="s">
        <v>7420</v>
      </c>
      <c r="O571" s="8"/>
      <c r="P571" s="4" t="str">
        <f>VLOOKUP($B571,'D7 - NDB Impacted SPRF''s'!$E$16:$O$9929,9,FALSE)</f>
        <v>Y</v>
      </c>
      <c r="Q571" s="4" t="str">
        <f>VLOOKUP($B571,'D7 - NDB Impacted SPRF''s'!$E$16:$O$9929,10,FALSE)</f>
        <v>N</v>
      </c>
      <c r="R571" s="4" t="str">
        <f>VLOOKUP($B571,'D7 - NDB Impacted SPRF''s'!$E$16:$O$9929,11,FALSE)</f>
        <v>N</v>
      </c>
      <c r="S571" s="8" t="s">
        <v>3758</v>
      </c>
      <c r="T571" s="310"/>
      <c r="U571" s="310"/>
      <c r="V571" s="4"/>
      <c r="W571" s="4"/>
      <c r="X571" s="4"/>
      <c r="Y571" s="4"/>
      <c r="Z571" s="4"/>
      <c r="AA571" s="4"/>
      <c r="AB571" s="380" t="str">
        <f>VLOOKUP($B571,'D7 - NDB Impacted SPRF''s'!$E$16:$O$9929,4,FALSE)</f>
        <v>Completed</v>
      </c>
      <c r="AC571" s="380" t="str">
        <f>VLOOKUP($B571,'D7 - NDB Impacted SPRF''s'!$E$16:$O$9929,3,FALSE)</f>
        <v>Uniprise</v>
      </c>
      <c r="AD571" s="380" t="str">
        <f>VLOOKUP($B571,'D7 - NDB Impacted SPRF''s'!$E$16:$O$9929,5,FALSE)</f>
        <v>Group Services - Capital Projects</v>
      </c>
      <c r="AE571" s="380" t="str">
        <f>VLOOKUP($B571,'D7 - NDB Impacted SPRF''s'!$E$16:$O$9929,7,FALSE)</f>
        <v>Meg Rush</v>
      </c>
      <c r="AF571" s="380" t="str">
        <f>VLOOKUP($B571,'D7 - NDB Impacted SPRF''s'!$E$16:$O$9929,6,FALSE)</f>
        <v>Victoria Albert</v>
      </c>
      <c r="AG571" s="282" t="s">
        <v>7755</v>
      </c>
      <c r="AH571" s="311" t="e">
        <f>INDEX('D5 - Gatekeeper - Projects'!$A$4:$AF$1010,$AM571, 17)</f>
        <v>#N/A</v>
      </c>
      <c r="AI571" s="8"/>
      <c r="AJ571" s="57"/>
      <c r="AK571" s="105"/>
      <c r="AM571" s="6" t="e">
        <f>MATCH(D571,'D5 - Gatekeeper - Projects'!$C$4:$C$1010,0)</f>
        <v>#N/A</v>
      </c>
      <c r="AN571" s="6" t="b">
        <f t="shared" si="51"/>
        <v>1</v>
      </c>
      <c r="AO571" s="6" t="str">
        <f t="shared" si="54"/>
        <v>OK</v>
      </c>
      <c r="AQ571" s="6" t="e">
        <f>MATCH($D571,'D4 - Provider Council Unsched'!$C$11:$C$234,0)</f>
        <v>#N/A</v>
      </c>
      <c r="AR571" s="6" t="b">
        <f t="shared" si="52"/>
        <v>1</v>
      </c>
      <c r="AS571" s="6" t="str">
        <f t="shared" si="55"/>
        <v>OK</v>
      </c>
      <c r="AU571" s="202"/>
      <c r="AV571" s="262"/>
      <c r="AW571" s="274"/>
    </row>
    <row r="572" spans="1:49" s="13" customFormat="1" ht="22.5" x14ac:dyDescent="0.2">
      <c r="A572" s="14">
        <v>548</v>
      </c>
      <c r="B572" s="14">
        <v>400010708</v>
      </c>
      <c r="C572" s="8" t="s">
        <v>3763</v>
      </c>
      <c r="D572" s="4" t="str">
        <f t="shared" si="53"/>
        <v>400010708R2</v>
      </c>
      <c r="E572" s="309" t="str">
        <f>VLOOKUP($B572,'D7 - NDB Impacted SPRF''s'!$E$6:$O$9929,2,FALSE)</f>
        <v>HPHC - DataSharing - Staging Area for PTDD</v>
      </c>
      <c r="F572" s="8" t="s">
        <v>5196</v>
      </c>
      <c r="G572" s="8" t="s">
        <v>4758</v>
      </c>
      <c r="H572" s="8" t="s">
        <v>4246</v>
      </c>
      <c r="I572" s="20">
        <v>6.34</v>
      </c>
      <c r="J572" s="8" t="s">
        <v>4862</v>
      </c>
      <c r="K572" s="182">
        <v>38976</v>
      </c>
      <c r="L572" s="8" t="s">
        <v>5743</v>
      </c>
      <c r="M572" s="8" t="s">
        <v>2814</v>
      </c>
      <c r="N572" s="367" t="s">
        <v>6404</v>
      </c>
      <c r="O572" s="8"/>
      <c r="P572" s="4" t="str">
        <f>VLOOKUP($B572,'D7 - NDB Impacted SPRF''s'!$E$16:$O$9929,9,FALSE)</f>
        <v>Y</v>
      </c>
      <c r="Q572" s="4" t="str">
        <f>VLOOKUP($B572,'D7 - NDB Impacted SPRF''s'!$E$16:$O$9929,10,FALSE)</f>
        <v>N</v>
      </c>
      <c r="R572" s="4" t="str">
        <f>VLOOKUP($B572,'D7 - NDB Impacted SPRF''s'!$E$16:$O$9929,11,FALSE)</f>
        <v>N</v>
      </c>
      <c r="S572" s="8" t="s">
        <v>3758</v>
      </c>
      <c r="T572" s="310"/>
      <c r="U572" s="310"/>
      <c r="V572" s="4"/>
      <c r="W572" s="4"/>
      <c r="X572" s="4"/>
      <c r="Y572" s="4"/>
      <c r="Z572" s="4"/>
      <c r="AA572" s="4"/>
      <c r="AB572" s="380" t="str">
        <f>VLOOKUP($B572,'D7 - NDB Impacted SPRF''s'!$E$16:$O$9929,4,FALSE)</f>
        <v>Completed</v>
      </c>
      <c r="AC572" s="380" t="str">
        <f>VLOOKUP($B572,'D7 - NDB Impacted SPRF''s'!$E$16:$O$9929,3,FALSE)</f>
        <v>Alliance</v>
      </c>
      <c r="AD572" s="380" t="str">
        <f>VLOOKUP($B572,'D7 - NDB Impacted SPRF''s'!$E$16:$O$9929,5,FALSE)</f>
        <v>Harvard Pilgrim Service Alliance</v>
      </c>
      <c r="AE572" s="380" t="str">
        <f>VLOOKUP($B572,'D7 - NDB Impacted SPRF''s'!$E$16:$O$9929,7,FALSE)</f>
        <v>Jim Handlan</v>
      </c>
      <c r="AF572" s="380" t="str">
        <f>VLOOKUP($B572,'D7 - NDB Impacted SPRF''s'!$E$16:$O$9929,6,FALSE)</f>
        <v>Ryan Anderson</v>
      </c>
      <c r="AG572" s="282"/>
      <c r="AH572" s="311" t="e">
        <f>INDEX('D5 - Gatekeeper - Projects'!$A$4:$AF$1010,$AM572, 17)</f>
        <v>#N/A</v>
      </c>
      <c r="AI572" s="8"/>
      <c r="AJ572" s="57"/>
      <c r="AK572" s="105"/>
      <c r="AM572" s="6" t="e">
        <f>MATCH(D572,'D5 - Gatekeeper - Projects'!$C$4:$C$1010,0)</f>
        <v>#N/A</v>
      </c>
      <c r="AN572" s="6" t="b">
        <f t="shared" si="51"/>
        <v>1</v>
      </c>
      <c r="AO572" s="6" t="str">
        <f t="shared" si="54"/>
        <v>OK</v>
      </c>
      <c r="AQ572" s="6" t="e">
        <f>MATCH($D572,'D4 - Provider Council Unsched'!$C$11:$C$234,0)</f>
        <v>#N/A</v>
      </c>
      <c r="AR572" s="6" t="b">
        <f t="shared" si="52"/>
        <v>1</v>
      </c>
      <c r="AS572" s="6" t="str">
        <f t="shared" si="55"/>
        <v>OK</v>
      </c>
      <c r="AU572" s="202"/>
      <c r="AV572" s="262"/>
      <c r="AW572" s="274"/>
    </row>
    <row r="573" spans="1:49" s="13" customFormat="1" ht="67.5" x14ac:dyDescent="0.2">
      <c r="A573" s="14">
        <v>549</v>
      </c>
      <c r="B573" s="14">
        <v>400010721</v>
      </c>
      <c r="C573" s="8" t="s">
        <v>5197</v>
      </c>
      <c r="D573" s="4" t="str">
        <f t="shared" si="53"/>
        <v>400010721R1</v>
      </c>
      <c r="E573" s="309" t="str">
        <f>VLOOKUP($B573,'D7 - NDB Impacted SPRF''s'!$E$6:$O$9929,2,FALSE)</f>
        <v>GHMO Analysis &amp; Design Phase V (Medica)</v>
      </c>
      <c r="F573" s="8" t="s">
        <v>4168</v>
      </c>
      <c r="G573" s="8" t="s">
        <v>4758</v>
      </c>
      <c r="H573" s="8" t="s">
        <v>4246</v>
      </c>
      <c r="I573" s="20">
        <v>23.39</v>
      </c>
      <c r="J573" s="8" t="s">
        <v>4862</v>
      </c>
      <c r="K573" s="182">
        <v>38976</v>
      </c>
      <c r="L573" s="8" t="s">
        <v>5743</v>
      </c>
      <c r="M573" s="8" t="s">
        <v>2814</v>
      </c>
      <c r="N573" s="367" t="s">
        <v>3154</v>
      </c>
      <c r="O573" s="8"/>
      <c r="P573" s="4" t="str">
        <f>VLOOKUP($B573,'D7 - NDB Impacted SPRF''s'!$E$16:$O$9929,9,FALSE)</f>
        <v>Y</v>
      </c>
      <c r="Q573" s="4" t="str">
        <f>VLOOKUP($B573,'D7 - NDB Impacted SPRF''s'!$E$16:$O$9929,10,FALSE)</f>
        <v>N</v>
      </c>
      <c r="R573" s="4" t="str">
        <f>VLOOKUP($B573,'D7 - NDB Impacted SPRF''s'!$E$16:$O$9929,11,FALSE)</f>
        <v>N</v>
      </c>
      <c r="S573" s="8" t="s">
        <v>3758</v>
      </c>
      <c r="T573" s="310"/>
      <c r="U573" s="310"/>
      <c r="V573" s="4"/>
      <c r="W573" s="4"/>
      <c r="X573" s="4"/>
      <c r="Y573" s="4"/>
      <c r="Z573" s="4"/>
      <c r="AA573" s="4"/>
      <c r="AB573" s="380" t="str">
        <f>VLOOKUP($B573,'D7 - NDB Impacted SPRF''s'!$E$16:$O$9929,4,FALSE)</f>
        <v>Completed</v>
      </c>
      <c r="AC573" s="380" t="str">
        <f>VLOOKUP($B573,'D7 - NDB Impacted SPRF''s'!$E$16:$O$9929,3,FALSE)</f>
        <v>UnitedHealthcare Employer &amp; Individual</v>
      </c>
      <c r="AD573" s="380" t="str">
        <f>VLOOKUP($B573,'D7 - NDB Impacted SPRF''s'!$E$16:$O$9929,5,FALSE)</f>
        <v>Gated HMO</v>
      </c>
      <c r="AE573" s="380" t="str">
        <f>VLOOKUP($B573,'D7 - NDB Impacted SPRF''s'!$E$16:$O$9929,7,FALSE)</f>
        <v>Diane Schofield</v>
      </c>
      <c r="AF573" s="380" t="str">
        <f>VLOOKUP($B573,'D7 - NDB Impacted SPRF''s'!$E$16:$O$9929,6,FALSE)</f>
        <v>SUSAN TONKIN</v>
      </c>
      <c r="AG573" s="282" t="s">
        <v>7755</v>
      </c>
      <c r="AH573" s="311" t="e">
        <f>INDEX('D5 - Gatekeeper - Projects'!$A$4:$AF$1010,$AM573, 17)</f>
        <v>#N/A</v>
      </c>
      <c r="AI573" s="8"/>
      <c r="AJ573" s="57"/>
      <c r="AK573" s="105"/>
      <c r="AM573" s="6" t="e">
        <f>MATCH(D573,'D5 - Gatekeeper - Projects'!$C$4:$C$1010,0)</f>
        <v>#N/A</v>
      </c>
      <c r="AN573" s="6" t="b">
        <f t="shared" si="51"/>
        <v>1</v>
      </c>
      <c r="AO573" s="6" t="str">
        <f t="shared" si="54"/>
        <v>OK</v>
      </c>
      <c r="AQ573" s="6" t="e">
        <f>MATCH($D573,'D4 - Provider Council Unsched'!$C$11:$C$234,0)</f>
        <v>#N/A</v>
      </c>
      <c r="AR573" s="6" t="b">
        <f t="shared" si="52"/>
        <v>1</v>
      </c>
      <c r="AS573" s="6" t="str">
        <f t="shared" si="55"/>
        <v>OK</v>
      </c>
      <c r="AU573" s="202"/>
      <c r="AV573" s="262"/>
      <c r="AW573" s="274"/>
    </row>
    <row r="574" spans="1:49" s="13" customFormat="1" ht="33.75" x14ac:dyDescent="0.2">
      <c r="A574" s="14">
        <v>550</v>
      </c>
      <c r="B574" s="14">
        <v>400010803</v>
      </c>
      <c r="C574" s="8" t="s">
        <v>5197</v>
      </c>
      <c r="D574" s="4" t="str">
        <f t="shared" si="53"/>
        <v>400010803R1</v>
      </c>
      <c r="E574" s="309" t="str">
        <f>VLOOKUP($B574,'D7 - NDB Impacted SPRF''s'!$E$6:$O$9929,2,FALSE)</f>
        <v>NPI Feeds Compliance</v>
      </c>
      <c r="F574" s="8" t="s">
        <v>1059</v>
      </c>
      <c r="G574" s="8" t="s">
        <v>4758</v>
      </c>
      <c r="H574" s="8" t="s">
        <v>4246</v>
      </c>
      <c r="I574" s="20">
        <v>1.06</v>
      </c>
      <c r="J574" s="8" t="s">
        <v>7114</v>
      </c>
      <c r="K574" s="182">
        <v>38976</v>
      </c>
      <c r="L574" s="8" t="s">
        <v>5743</v>
      </c>
      <c r="M574" s="8" t="s">
        <v>2814</v>
      </c>
      <c r="N574" s="38" t="s">
        <v>6495</v>
      </c>
      <c r="O574" s="8"/>
      <c r="P574" s="4" t="str">
        <f>VLOOKUP($B574,'D7 - NDB Impacted SPRF''s'!$E$16:$O$9929,9,FALSE)</f>
        <v>N</v>
      </c>
      <c r="Q574" s="4" t="str">
        <f>VLOOKUP($B574,'D7 - NDB Impacted SPRF''s'!$E$16:$O$9929,10,FALSE)</f>
        <v>N</v>
      </c>
      <c r="R574" s="4" t="str">
        <f>VLOOKUP($B574,'D7 - NDB Impacted SPRF''s'!$E$16:$O$9929,11,FALSE)</f>
        <v>N</v>
      </c>
      <c r="S574" s="8" t="s">
        <v>3758</v>
      </c>
      <c r="T574" s="310"/>
      <c r="U574" s="310"/>
      <c r="V574" s="4"/>
      <c r="W574" s="4"/>
      <c r="X574" s="4"/>
      <c r="Y574" s="4"/>
      <c r="Z574" s="4"/>
      <c r="AA574" s="4"/>
      <c r="AB574" s="380" t="str">
        <f>VLOOKUP($B574,'D7 - NDB Impacted SPRF''s'!$E$16:$O$9929,4,FALSE)</f>
        <v>Completed</v>
      </c>
      <c r="AC574" s="380" t="str">
        <f>VLOOKUP($B574,'D7 - NDB Impacted SPRF''s'!$E$16:$O$9929,3,FALSE)</f>
        <v>UnitedHealthcare Employer &amp; Individual</v>
      </c>
      <c r="AD574" s="380" t="str">
        <f>VLOOKUP($B574,'D7 - NDB Impacted SPRF''s'!$E$16:$O$9929,5,FALSE)</f>
        <v>Regulatory / Other</v>
      </c>
      <c r="AE574" s="380" t="str">
        <f>VLOOKUP($B574,'D7 - NDB Impacted SPRF''s'!$E$16:$O$9929,7,FALSE)</f>
        <v>Gerald Brockman</v>
      </c>
      <c r="AF574" s="380" t="str">
        <f>VLOOKUP($B574,'D7 - NDB Impacted SPRF''s'!$E$16:$O$9929,6,FALSE)</f>
        <v>KELLY LEONARD</v>
      </c>
      <c r="AG574" s="282" t="s">
        <v>6682</v>
      </c>
      <c r="AH574" s="311" t="e">
        <f>INDEX('D5 - Gatekeeper - Projects'!$A$4:$AF$1010,$AM574, 17)</f>
        <v>#N/A</v>
      </c>
      <c r="AI574" s="8"/>
      <c r="AJ574" s="57"/>
      <c r="AK574" s="105"/>
      <c r="AM574" s="6" t="e">
        <f>MATCH(D574,'D5 - Gatekeeper - Projects'!$C$4:$C$1010,0)</f>
        <v>#N/A</v>
      </c>
      <c r="AN574" s="6" t="b">
        <f t="shared" si="51"/>
        <v>1</v>
      </c>
      <c r="AO574" s="6" t="str">
        <f t="shared" si="54"/>
        <v>OK</v>
      </c>
      <c r="AQ574" s="6" t="e">
        <f>MATCH($D574,'D4 - Provider Council Unsched'!$C$11:$C$234,0)</f>
        <v>#N/A</v>
      </c>
      <c r="AR574" s="6" t="b">
        <f t="shared" si="52"/>
        <v>1</v>
      </c>
      <c r="AS574" s="6" t="str">
        <f t="shared" si="55"/>
        <v>OK</v>
      </c>
      <c r="AU574" s="202"/>
      <c r="AV574" s="262"/>
      <c r="AW574" s="274"/>
    </row>
    <row r="575" spans="1:49" s="13" customFormat="1" ht="33.75" x14ac:dyDescent="0.2">
      <c r="A575" s="14">
        <v>551</v>
      </c>
      <c r="B575" s="14">
        <v>400010863</v>
      </c>
      <c r="C575" s="8" t="s">
        <v>5197</v>
      </c>
      <c r="D575" s="4" t="str">
        <f t="shared" si="53"/>
        <v>400010863R1</v>
      </c>
      <c r="E575" s="309" t="str">
        <f>VLOOKUP($B575,'D7 - NDB Impacted SPRF''s'!$E$6:$O$9929,2,FALSE)</f>
        <v>NPI Aperture Compliance</v>
      </c>
      <c r="F575" s="8" t="s">
        <v>1059</v>
      </c>
      <c r="G575" s="8" t="s">
        <v>4758</v>
      </c>
      <c r="H575" s="8" t="s">
        <v>4246</v>
      </c>
      <c r="I575" s="20">
        <v>6.62</v>
      </c>
      <c r="J575" s="8" t="s">
        <v>4862</v>
      </c>
      <c r="K575" s="182">
        <v>38976</v>
      </c>
      <c r="L575" s="8" t="s">
        <v>5743</v>
      </c>
      <c r="M575" s="8" t="s">
        <v>2814</v>
      </c>
      <c r="N575" s="38" t="s">
        <v>7420</v>
      </c>
      <c r="O575" s="8"/>
      <c r="P575" s="4" t="str">
        <f>VLOOKUP($B575,'D7 - NDB Impacted SPRF''s'!$E$16:$O$9929,9,FALSE)</f>
        <v>N</v>
      </c>
      <c r="Q575" s="4" t="str">
        <f>VLOOKUP($B575,'D7 - NDB Impacted SPRF''s'!$E$16:$O$9929,10,FALSE)</f>
        <v>N</v>
      </c>
      <c r="R575" s="4" t="str">
        <f>VLOOKUP($B575,'D7 - NDB Impacted SPRF''s'!$E$16:$O$9929,11,FALSE)</f>
        <v>N</v>
      </c>
      <c r="S575" s="8" t="s">
        <v>3758</v>
      </c>
      <c r="T575" s="310"/>
      <c r="U575" s="310"/>
      <c r="V575" s="4"/>
      <c r="W575" s="4"/>
      <c r="X575" s="4"/>
      <c r="Y575" s="4"/>
      <c r="Z575" s="4"/>
      <c r="AA575" s="4"/>
      <c r="AB575" s="380" t="str">
        <f>VLOOKUP($B575,'D7 - NDB Impacted SPRF''s'!$E$16:$O$9929,4,FALSE)</f>
        <v>Completed</v>
      </c>
      <c r="AC575" s="380" t="str">
        <f>VLOOKUP($B575,'D7 - NDB Impacted SPRF''s'!$E$16:$O$9929,3,FALSE)</f>
        <v>UnitedHealthcare Employer &amp; Individual</v>
      </c>
      <c r="AD575" s="380" t="str">
        <f>VLOOKUP($B575,'D7 - NDB Impacted SPRF''s'!$E$16:$O$9929,5,FALSE)</f>
        <v>Regulatory / Other</v>
      </c>
      <c r="AE575" s="380" t="str">
        <f>VLOOKUP($B575,'D7 - NDB Impacted SPRF''s'!$E$16:$O$9929,7,FALSE)</f>
        <v>Gerald Brockman</v>
      </c>
      <c r="AF575" s="380" t="str">
        <f>VLOOKUP($B575,'D7 - NDB Impacted SPRF''s'!$E$16:$O$9929,6,FALSE)</f>
        <v>KELLY LEONARD</v>
      </c>
      <c r="AG575" s="282" t="s">
        <v>6682</v>
      </c>
      <c r="AH575" s="311" t="e">
        <f>INDEX('D5 - Gatekeeper - Projects'!$A$4:$AF$1010,$AM575, 17)</f>
        <v>#N/A</v>
      </c>
      <c r="AI575" s="8"/>
      <c r="AJ575" s="57"/>
      <c r="AK575" s="105"/>
      <c r="AM575" s="6" t="e">
        <f>MATCH(D575,'D5 - Gatekeeper - Projects'!$C$4:$C$1010,0)</f>
        <v>#N/A</v>
      </c>
      <c r="AN575" s="6" t="b">
        <f t="shared" si="51"/>
        <v>1</v>
      </c>
      <c r="AO575" s="6" t="str">
        <f t="shared" si="54"/>
        <v>OK</v>
      </c>
      <c r="AQ575" s="6" t="e">
        <f>MATCH($D575,'D4 - Provider Council Unsched'!$C$11:$C$234,0)</f>
        <v>#N/A</v>
      </c>
      <c r="AR575" s="6" t="b">
        <f t="shared" si="52"/>
        <v>1</v>
      </c>
      <c r="AS575" s="6" t="str">
        <f t="shared" si="55"/>
        <v>OK</v>
      </c>
      <c r="AU575" s="202"/>
      <c r="AV575" s="262"/>
      <c r="AW575" s="274"/>
    </row>
    <row r="576" spans="1:49" s="13" customFormat="1" ht="45" x14ac:dyDescent="0.2">
      <c r="A576" s="14">
        <v>552</v>
      </c>
      <c r="B576" s="14">
        <v>400010881</v>
      </c>
      <c r="C576" s="8" t="s">
        <v>5197</v>
      </c>
      <c r="D576" s="4" t="str">
        <f t="shared" si="53"/>
        <v>400010881R1</v>
      </c>
      <c r="E576" s="309" t="str">
        <f>VLOOKUP($B576,'D7 - NDB Impacted SPRF''s'!$E$6:$O$9929,2,FALSE)</f>
        <v>Fee Schedule Load to UNET</v>
      </c>
      <c r="F576" s="8" t="s">
        <v>4961</v>
      </c>
      <c r="G576" s="8" t="s">
        <v>4758</v>
      </c>
      <c r="H576" s="8" t="s">
        <v>4246</v>
      </c>
      <c r="I576" s="20">
        <v>2.65</v>
      </c>
      <c r="J576" s="8" t="s">
        <v>4862</v>
      </c>
      <c r="K576" s="182">
        <v>38976</v>
      </c>
      <c r="L576" s="8" t="s">
        <v>5743</v>
      </c>
      <c r="M576" s="8" t="s">
        <v>2814</v>
      </c>
      <c r="N576" s="367" t="s">
        <v>5817</v>
      </c>
      <c r="O576" s="8"/>
      <c r="P576" s="4" t="str">
        <f>VLOOKUP($B576,'D7 - NDB Impacted SPRF''s'!$E$16:$O$9929,9,FALSE)</f>
        <v>Y</v>
      </c>
      <c r="Q576" s="4" t="str">
        <f>VLOOKUP($B576,'D7 - NDB Impacted SPRF''s'!$E$16:$O$9929,10,FALSE)</f>
        <v>N</v>
      </c>
      <c r="R576" s="4" t="str">
        <f>VLOOKUP($B576,'D7 - NDB Impacted SPRF''s'!$E$16:$O$9929,11,FALSE)</f>
        <v>N</v>
      </c>
      <c r="S576" s="8" t="s">
        <v>3758</v>
      </c>
      <c r="T576" s="310"/>
      <c r="U576" s="310"/>
      <c r="V576" s="4"/>
      <c r="W576" s="4"/>
      <c r="X576" s="4"/>
      <c r="Y576" s="4"/>
      <c r="Z576" s="4"/>
      <c r="AA576" s="4"/>
      <c r="AB576" s="380" t="str">
        <f>VLOOKUP($B576,'D7 - NDB Impacted SPRF''s'!$E$16:$O$9929,4,FALSE)</f>
        <v>Completed</v>
      </c>
      <c r="AC576" s="380" t="str">
        <f>VLOOKUP($B576,'D7 - NDB Impacted SPRF''s'!$E$16:$O$9929,3,FALSE)</f>
        <v>UnitedHealthcare Employer &amp; Individual</v>
      </c>
      <c r="AD576" s="380" t="str">
        <f>VLOOKUP($B576,'D7 - NDB Impacted SPRF''s'!$E$16:$O$9929,5,FALSE)</f>
        <v>Network Growth / Enhancements</v>
      </c>
      <c r="AE576" s="380" t="str">
        <f>VLOOKUP($B576,'D7 - NDB Impacted SPRF''s'!$E$16:$O$9929,7,FALSE)</f>
        <v>Peter Bompane</v>
      </c>
      <c r="AF576" s="380" t="str">
        <f>VLOOKUP($B576,'D7 - NDB Impacted SPRF''s'!$E$16:$O$9929,6,FALSE)</f>
        <v>Erin Nelson</v>
      </c>
      <c r="AG576" s="282" t="s">
        <v>6682</v>
      </c>
      <c r="AH576" s="311" t="e">
        <f>INDEX('D5 - Gatekeeper - Projects'!$A$4:$AF$1010,$AM576, 17)</f>
        <v>#N/A</v>
      </c>
      <c r="AI576" s="8"/>
      <c r="AJ576" s="57"/>
      <c r="AK576" s="105"/>
      <c r="AM576" s="6" t="e">
        <f>MATCH(D576,'D5 - Gatekeeper - Projects'!$C$4:$C$1010,0)</f>
        <v>#N/A</v>
      </c>
      <c r="AN576" s="6" t="b">
        <f t="shared" si="51"/>
        <v>1</v>
      </c>
      <c r="AO576" s="6" t="str">
        <f t="shared" si="54"/>
        <v>OK</v>
      </c>
      <c r="AQ576" s="6" t="e">
        <f>MATCH($D576,'D4 - Provider Council Unsched'!$C$11:$C$234,0)</f>
        <v>#N/A</v>
      </c>
      <c r="AR576" s="6" t="b">
        <f t="shared" si="52"/>
        <v>1</v>
      </c>
      <c r="AS576" s="6" t="str">
        <f t="shared" si="55"/>
        <v>OK</v>
      </c>
      <c r="AU576" s="202"/>
      <c r="AV576" s="262"/>
      <c r="AW576" s="274"/>
    </row>
    <row r="577" spans="1:49" s="13" customFormat="1" ht="22.5" x14ac:dyDescent="0.2">
      <c r="A577" s="14">
        <v>553</v>
      </c>
      <c r="B577" s="14">
        <v>400010988</v>
      </c>
      <c r="C577" s="8" t="s">
        <v>3763</v>
      </c>
      <c r="D577" s="4" t="str">
        <f t="shared" si="53"/>
        <v>400010988R2</v>
      </c>
      <c r="E577" s="309" t="str">
        <f>VLOOKUP($B577,'D7 - NDB Impacted SPRF''s'!$E$6:$O$9929,2,FALSE)</f>
        <v>HPHC1-Network-'G' Record Layout</v>
      </c>
      <c r="F577" s="8" t="s">
        <v>5196</v>
      </c>
      <c r="G577" s="8" t="s">
        <v>4758</v>
      </c>
      <c r="H577" s="8" t="s">
        <v>4246</v>
      </c>
      <c r="I577" s="20">
        <v>1.7</v>
      </c>
      <c r="J577" s="8" t="s">
        <v>4862</v>
      </c>
      <c r="K577" s="182">
        <v>38976</v>
      </c>
      <c r="L577" s="8" t="s">
        <v>5743</v>
      </c>
      <c r="M577" s="8" t="s">
        <v>2814</v>
      </c>
      <c r="N577" s="38" t="s">
        <v>4130</v>
      </c>
      <c r="O577" s="8"/>
      <c r="P577" s="4" t="str">
        <f>VLOOKUP($B577,'D7 - NDB Impacted SPRF''s'!$E$16:$O$9929,9,FALSE)</f>
        <v>N</v>
      </c>
      <c r="Q577" s="4" t="str">
        <f>VLOOKUP($B577,'D7 - NDB Impacted SPRF''s'!$E$16:$O$9929,10,FALSE)</f>
        <v>N</v>
      </c>
      <c r="R577" s="4" t="str">
        <f>VLOOKUP($B577,'D7 - NDB Impacted SPRF''s'!$E$16:$O$9929,11,FALSE)</f>
        <v>N</v>
      </c>
      <c r="S577" s="8" t="s">
        <v>3758</v>
      </c>
      <c r="T577" s="310"/>
      <c r="U577" s="310"/>
      <c r="V577" s="4"/>
      <c r="W577" s="4"/>
      <c r="X577" s="4"/>
      <c r="Y577" s="4"/>
      <c r="Z577" s="4"/>
      <c r="AA577" s="4"/>
      <c r="AB577" s="380" t="str">
        <f>VLOOKUP($B577,'D7 - NDB Impacted SPRF''s'!$E$16:$O$9929,4,FALSE)</f>
        <v>Completed</v>
      </c>
      <c r="AC577" s="380" t="str">
        <f>VLOOKUP($B577,'D7 - NDB Impacted SPRF''s'!$E$16:$O$9929,3,FALSE)</f>
        <v>Alliance</v>
      </c>
      <c r="AD577" s="380" t="str">
        <f>VLOOKUP($B577,'D7 - NDB Impacted SPRF''s'!$E$16:$O$9929,5,FALSE)</f>
        <v>Harvard Pilgrim Service Alliance</v>
      </c>
      <c r="AE577" s="380" t="str">
        <f>VLOOKUP($B577,'D7 - NDB Impacted SPRF''s'!$E$16:$O$9929,7,FALSE)</f>
        <v>Diane Schofield, Deborah Streb</v>
      </c>
      <c r="AF577" s="380" t="str">
        <f>VLOOKUP($B577,'D7 - NDB Impacted SPRF''s'!$E$16:$O$9929,6,FALSE)</f>
        <v>Susan Neal</v>
      </c>
      <c r="AG577" s="282"/>
      <c r="AH577" s="311" t="e">
        <f>INDEX('D5 - Gatekeeper - Projects'!$A$4:$AF$1010,$AM577, 17)</f>
        <v>#N/A</v>
      </c>
      <c r="AI577" s="8"/>
      <c r="AJ577" s="57"/>
      <c r="AK577" s="105"/>
      <c r="AM577" s="6" t="e">
        <f>MATCH(D577,'D5 - Gatekeeper - Projects'!$C$4:$C$1010,0)</f>
        <v>#N/A</v>
      </c>
      <c r="AN577" s="6" t="b">
        <f t="shared" si="51"/>
        <v>1</v>
      </c>
      <c r="AO577" s="6" t="str">
        <f t="shared" si="54"/>
        <v>OK</v>
      </c>
      <c r="AQ577" s="6" t="e">
        <f>MATCH($D577,'D4 - Provider Council Unsched'!$C$11:$C$234,0)</f>
        <v>#N/A</v>
      </c>
      <c r="AR577" s="6" t="b">
        <f t="shared" si="52"/>
        <v>1</v>
      </c>
      <c r="AS577" s="6" t="str">
        <f t="shared" si="55"/>
        <v>OK</v>
      </c>
      <c r="AU577" s="202"/>
      <c r="AV577" s="262"/>
      <c r="AW577" s="274"/>
    </row>
    <row r="578" spans="1:49" s="13" customFormat="1" ht="11.25" customHeight="1" x14ac:dyDescent="0.2">
      <c r="A578" s="14">
        <v>554</v>
      </c>
      <c r="B578" s="14">
        <v>400011181</v>
      </c>
      <c r="C578" s="8" t="s">
        <v>3763</v>
      </c>
      <c r="D578" s="4" t="str">
        <f t="shared" si="53"/>
        <v>400011181R2</v>
      </c>
      <c r="E578" s="309" t="str">
        <f>VLOOKUP($B578,'D7 - NDB Impacted SPRF''s'!$E$6:$O$9929,2,FALSE)</f>
        <v>GHMO MAHP - Items Moved From Phases III &amp; IV</v>
      </c>
      <c r="F578" s="8" t="s">
        <v>4168</v>
      </c>
      <c r="G578" s="8" t="s">
        <v>4758</v>
      </c>
      <c r="H578" s="8" t="s">
        <v>4246</v>
      </c>
      <c r="I578" s="20">
        <v>2</v>
      </c>
      <c r="J578" s="8" t="s">
        <v>4862</v>
      </c>
      <c r="K578" s="182">
        <v>38976</v>
      </c>
      <c r="L578" s="8" t="s">
        <v>5743</v>
      </c>
      <c r="M578" s="8" t="s">
        <v>2814</v>
      </c>
      <c r="N578" s="367"/>
      <c r="O578" s="8"/>
      <c r="P578" s="4" t="str">
        <f>VLOOKUP($B578,'D7 - NDB Impacted SPRF''s'!$E$16:$O$9929,9,FALSE)</f>
        <v>Y</v>
      </c>
      <c r="Q578" s="4" t="str">
        <f>VLOOKUP($B578,'D7 - NDB Impacted SPRF''s'!$E$16:$O$9929,10,FALSE)</f>
        <v>N</v>
      </c>
      <c r="R578" s="4" t="str">
        <f>VLOOKUP($B578,'D7 - NDB Impacted SPRF''s'!$E$16:$O$9929,11,FALSE)</f>
        <v>N</v>
      </c>
      <c r="S578" s="8" t="s">
        <v>3758</v>
      </c>
      <c r="T578" s="310"/>
      <c r="U578" s="310"/>
      <c r="V578" s="4"/>
      <c r="W578" s="4"/>
      <c r="X578" s="4"/>
      <c r="Y578" s="4"/>
      <c r="Z578" s="4"/>
      <c r="AA578" s="4"/>
      <c r="AB578" s="380" t="str">
        <f>VLOOKUP($B578,'D7 - NDB Impacted SPRF''s'!$E$16:$O$9929,4,FALSE)</f>
        <v>Completed</v>
      </c>
      <c r="AC578" s="380" t="str">
        <f>VLOOKUP($B578,'D7 - NDB Impacted SPRF''s'!$E$16:$O$9929,3,FALSE)</f>
        <v>UnitedHealthcare Employer &amp; Individual</v>
      </c>
      <c r="AD578" s="380" t="str">
        <f>VLOOKUP($B578,'D7 - NDB Impacted SPRF''s'!$E$16:$O$9929,5,FALSE)</f>
        <v>Gated HMO</v>
      </c>
      <c r="AE578" s="380" t="str">
        <f>VLOOKUP($B578,'D7 - NDB Impacted SPRF''s'!$E$16:$O$9929,7,FALSE)</f>
        <v>Diane Schofield</v>
      </c>
      <c r="AF578" s="380" t="str">
        <f>VLOOKUP($B578,'D7 - NDB Impacted SPRF''s'!$E$16:$O$9929,6,FALSE)</f>
        <v>SUSAN TONKIN</v>
      </c>
      <c r="AG578" s="282"/>
      <c r="AH578" s="311" t="e">
        <f>INDEX('D5 - Gatekeeper - Projects'!$A$4:$AF$1010,$AM578, 17)</f>
        <v>#N/A</v>
      </c>
      <c r="AI578" s="8"/>
      <c r="AJ578" s="57"/>
      <c r="AK578" s="105"/>
      <c r="AM578" s="6" t="e">
        <f>MATCH(D578,'D5 - Gatekeeper - Projects'!$C$4:$C$1010,0)</f>
        <v>#N/A</v>
      </c>
      <c r="AN578" s="6" t="b">
        <f t="shared" si="51"/>
        <v>1</v>
      </c>
      <c r="AO578" s="6" t="str">
        <f t="shared" si="54"/>
        <v>OK</v>
      </c>
      <c r="AQ578" s="6" t="e">
        <f>MATCH($D578,'D4 - Provider Council Unsched'!$C$11:$C$234,0)</f>
        <v>#N/A</v>
      </c>
      <c r="AR578" s="6" t="b">
        <f t="shared" si="52"/>
        <v>1</v>
      </c>
      <c r="AS578" s="6" t="str">
        <f t="shared" si="55"/>
        <v>OK</v>
      </c>
      <c r="AU578" s="202"/>
      <c r="AV578" s="262"/>
      <c r="AW578" s="274"/>
    </row>
    <row r="579" spans="1:49" s="13" customFormat="1" ht="33.75" x14ac:dyDescent="0.2">
      <c r="A579" s="14">
        <v>555</v>
      </c>
      <c r="B579" s="14">
        <v>400011261</v>
      </c>
      <c r="C579" s="8" t="s">
        <v>5197</v>
      </c>
      <c r="D579" s="4" t="str">
        <f t="shared" si="53"/>
        <v>400011261R1</v>
      </c>
      <c r="E579" s="309" t="str">
        <f>VLOOKUP($B579,'D7 - NDB Impacted SPRF''s'!$E$6:$O$9929,2,FALSE)</f>
        <v>UnitedHealth Premium Designations v3.0 (Gen III)</v>
      </c>
      <c r="F579" s="8" t="s">
        <v>7989</v>
      </c>
      <c r="G579" s="8" t="s">
        <v>4758</v>
      </c>
      <c r="H579" s="8" t="s">
        <v>4246</v>
      </c>
      <c r="I579" s="20">
        <v>16</v>
      </c>
      <c r="J579" s="8" t="s">
        <v>4862</v>
      </c>
      <c r="K579" s="182">
        <v>38976</v>
      </c>
      <c r="L579" s="8" t="s">
        <v>5743</v>
      </c>
      <c r="M579" s="8" t="s">
        <v>2814</v>
      </c>
      <c r="N579" s="367" t="s">
        <v>5357</v>
      </c>
      <c r="O579" s="8"/>
      <c r="P579" s="4" t="str">
        <f>VLOOKUP($B579,'D7 - NDB Impacted SPRF''s'!$E$16:$O$9929,9,FALSE)</f>
        <v>Y</v>
      </c>
      <c r="Q579" s="4" t="str">
        <f>VLOOKUP($B579,'D7 - NDB Impacted SPRF''s'!$E$16:$O$9929,10,FALSE)</f>
        <v>N</v>
      </c>
      <c r="R579" s="4" t="str">
        <f>VLOOKUP($B579,'D7 - NDB Impacted SPRF''s'!$E$16:$O$9929,11,FALSE)</f>
        <v>N</v>
      </c>
      <c r="S579" s="8" t="s">
        <v>3758</v>
      </c>
      <c r="T579" s="310"/>
      <c r="U579" s="310"/>
      <c r="V579" s="4"/>
      <c r="W579" s="4"/>
      <c r="X579" s="4"/>
      <c r="Y579" s="4"/>
      <c r="Z579" s="4"/>
      <c r="AA579" s="4"/>
      <c r="AB579" s="380" t="str">
        <f>VLOOKUP($B579,'D7 - NDB Impacted SPRF''s'!$E$16:$O$9929,4,FALSE)</f>
        <v>Completed</v>
      </c>
      <c r="AC579" s="380" t="str">
        <f>VLOOKUP($B579,'D7 - NDB Impacted SPRF''s'!$E$16:$O$9929,3,FALSE)</f>
        <v>UnitedHealthcare Employer &amp; Individual</v>
      </c>
      <c r="AD579" s="380" t="str">
        <f>VLOOKUP($B579,'D7 - NDB Impacted SPRF''s'!$E$16:$O$9929,5,FALSE)</f>
        <v>Medical Cost Savings Programs</v>
      </c>
      <c r="AE579" s="380" t="str">
        <f>VLOOKUP($B579,'D7 - NDB Impacted SPRF''s'!$E$16:$O$9929,7,FALSE)</f>
        <v>Chris Brown</v>
      </c>
      <c r="AF579" s="380" t="str">
        <f>VLOOKUP($B579,'D7 - NDB Impacted SPRF''s'!$E$16:$O$9929,6,FALSE)</f>
        <v>TEDD HAUSER</v>
      </c>
      <c r="AG579" s="282" t="s">
        <v>6602</v>
      </c>
      <c r="AH579" s="311" t="e">
        <f>INDEX('D5 - Gatekeeper - Projects'!$A$4:$AF$1010,$AM579, 17)</f>
        <v>#N/A</v>
      </c>
      <c r="AI579" s="8"/>
      <c r="AJ579" s="57"/>
      <c r="AK579" s="105"/>
      <c r="AM579" s="6" t="e">
        <f>MATCH(D579,'D5 - Gatekeeper - Projects'!$C$4:$C$1010,0)</f>
        <v>#N/A</v>
      </c>
      <c r="AN579" s="6" t="b">
        <f t="shared" si="51"/>
        <v>1</v>
      </c>
      <c r="AO579" s="6" t="str">
        <f t="shared" si="54"/>
        <v>OK</v>
      </c>
      <c r="AQ579" s="6" t="e">
        <f>MATCH($D579,'D4 - Provider Council Unsched'!$C$11:$C$234,0)</f>
        <v>#N/A</v>
      </c>
      <c r="AR579" s="6" t="b">
        <f t="shared" si="52"/>
        <v>1</v>
      </c>
      <c r="AS579" s="6" t="str">
        <f t="shared" si="55"/>
        <v>OK</v>
      </c>
      <c r="AU579" s="202"/>
      <c r="AV579" s="262"/>
      <c r="AW579" s="274"/>
    </row>
    <row r="580" spans="1:49" s="13" customFormat="1" ht="33.75" x14ac:dyDescent="0.2">
      <c r="A580" s="14">
        <v>556</v>
      </c>
      <c r="B580" s="14">
        <v>400011320</v>
      </c>
      <c r="C580" s="8" t="s">
        <v>5197</v>
      </c>
      <c r="D580" s="4" t="str">
        <f t="shared" si="53"/>
        <v>400011320R1</v>
      </c>
      <c r="E580" s="309" t="str">
        <f>VLOOKUP($B580,'D7 - NDB Impacted SPRF''s'!$E$6:$O$9929,2,FALSE)</f>
        <v>Send additional information from NDB to ppoONE</v>
      </c>
      <c r="F580" s="8" t="s">
        <v>4304</v>
      </c>
      <c r="G580" s="8" t="s">
        <v>4758</v>
      </c>
      <c r="H580" s="8" t="s">
        <v>4246</v>
      </c>
      <c r="I580" s="20">
        <v>2.12</v>
      </c>
      <c r="J580" s="8" t="s">
        <v>4862</v>
      </c>
      <c r="K580" s="182">
        <v>38976</v>
      </c>
      <c r="L580" s="8" t="s">
        <v>5743</v>
      </c>
      <c r="M580" s="8" t="s">
        <v>2814</v>
      </c>
      <c r="N580" s="367"/>
      <c r="O580" s="8"/>
      <c r="P580" s="4" t="str">
        <f>VLOOKUP($B580,'D7 - NDB Impacted SPRF''s'!$E$16:$O$9929,9,FALSE)</f>
        <v>N</v>
      </c>
      <c r="Q580" s="4" t="str">
        <f>VLOOKUP($B580,'D7 - NDB Impacted SPRF''s'!$E$16:$O$9929,10,FALSE)</f>
        <v>N</v>
      </c>
      <c r="R580" s="4" t="str">
        <f>VLOOKUP($B580,'D7 - NDB Impacted SPRF''s'!$E$16:$O$9929,11,FALSE)</f>
        <v>Y</v>
      </c>
      <c r="S580" s="8" t="s">
        <v>3758</v>
      </c>
      <c r="T580" s="310"/>
      <c r="U580" s="310"/>
      <c r="V580" s="4"/>
      <c r="W580" s="4"/>
      <c r="X580" s="4"/>
      <c r="Y580" s="4"/>
      <c r="Z580" s="4"/>
      <c r="AA580" s="4"/>
      <c r="AB580" s="380" t="str">
        <f>VLOOKUP($B580,'D7 - NDB Impacted SPRF''s'!$E$16:$O$9929,4,FALSE)</f>
        <v>Completed</v>
      </c>
      <c r="AC580" s="380" t="str">
        <f>VLOOKUP($B580,'D7 - NDB Impacted SPRF''s'!$E$16:$O$9929,3,FALSE)</f>
        <v>UnitedHealthcare Employer &amp; Individual</v>
      </c>
      <c r="AD580" s="380" t="str">
        <f>VLOOKUP($B580,'D7 - NDB Impacted SPRF''s'!$E$16:$O$9929,5,FALSE)</f>
        <v>Medical Cost Savings Programs</v>
      </c>
      <c r="AE580" s="380" t="str">
        <f>VLOOKUP($B580,'D7 - NDB Impacted SPRF''s'!$E$16:$O$9929,7,FALSE)</f>
        <v>Mike Mikan, Dirk McMahon</v>
      </c>
      <c r="AF580" s="380" t="str">
        <f>VLOOKUP($B580,'D7 - NDB Impacted SPRF''s'!$E$16:$O$9929,6,FALSE)</f>
        <v>MELISSA EKSTRAND</v>
      </c>
      <c r="AG580" s="282" t="s">
        <v>6162</v>
      </c>
      <c r="AH580" s="311" t="e">
        <f>INDEX('D5 - Gatekeeper - Projects'!$A$4:$AF$1010,$AM580, 17)</f>
        <v>#N/A</v>
      </c>
      <c r="AI580" s="8"/>
      <c r="AJ580" s="57"/>
      <c r="AK580" s="105"/>
      <c r="AM580" s="6" t="e">
        <f>MATCH(D580,'D5 - Gatekeeper - Projects'!$C$4:$C$1010,0)</f>
        <v>#N/A</v>
      </c>
      <c r="AN580" s="6" t="b">
        <f t="shared" si="51"/>
        <v>1</v>
      </c>
      <c r="AO580" s="6" t="str">
        <f t="shared" si="54"/>
        <v>OK</v>
      </c>
      <c r="AQ580" s="6" t="e">
        <f>MATCH($D580,'D4 - Provider Council Unsched'!$C$11:$C$234,0)</f>
        <v>#N/A</v>
      </c>
      <c r="AR580" s="6" t="b">
        <f t="shared" si="52"/>
        <v>1</v>
      </c>
      <c r="AS580" s="6" t="str">
        <f t="shared" si="55"/>
        <v>OK</v>
      </c>
      <c r="AU580" s="202"/>
      <c r="AV580" s="262"/>
      <c r="AW580" s="274"/>
    </row>
    <row r="581" spans="1:49" s="13" customFormat="1" ht="33.75" x14ac:dyDescent="0.2">
      <c r="A581" s="14">
        <v>557</v>
      </c>
      <c r="B581" s="14">
        <v>400011332</v>
      </c>
      <c r="C581" s="8" t="s">
        <v>6725</v>
      </c>
      <c r="D581" s="4" t="str">
        <f t="shared" si="53"/>
        <v>400011332CC01</v>
      </c>
      <c r="E581" s="309" t="str">
        <f>VLOOKUP($B581,'D7 - NDB Impacted SPRF''s'!$E$6:$O$9929,2,FALSE)</f>
        <v>009273 Capitation-Strategic Solution-UHC &amp; PHS</v>
      </c>
      <c r="F581" s="8" t="s">
        <v>7593</v>
      </c>
      <c r="G581" s="8" t="s">
        <v>4758</v>
      </c>
      <c r="H581" s="8" t="s">
        <v>4246</v>
      </c>
      <c r="I581" s="20">
        <v>0.67</v>
      </c>
      <c r="J581" s="8" t="s">
        <v>4862</v>
      </c>
      <c r="K581" s="182">
        <v>38976</v>
      </c>
      <c r="L581" s="8" t="s">
        <v>5743</v>
      </c>
      <c r="M581" s="8" t="s">
        <v>2814</v>
      </c>
      <c r="N581" s="367" t="s">
        <v>7457</v>
      </c>
      <c r="O581" s="8"/>
      <c r="P581" s="4" t="str">
        <f>VLOOKUP($B581,'D7 - NDB Impacted SPRF''s'!$E$16:$O$9929,9,FALSE)</f>
        <v>N</v>
      </c>
      <c r="Q581" s="4" t="str">
        <f>VLOOKUP($B581,'D7 - NDB Impacted SPRF''s'!$E$16:$O$9929,10,FALSE)</f>
        <v>N</v>
      </c>
      <c r="R581" s="4" t="str">
        <f>VLOOKUP($B581,'D7 - NDB Impacted SPRF''s'!$E$16:$O$9929,11,FALSE)</f>
        <v>N</v>
      </c>
      <c r="S581" s="8"/>
      <c r="T581" s="310"/>
      <c r="U581" s="310"/>
      <c r="V581" s="4"/>
      <c r="W581" s="4"/>
      <c r="X581" s="4"/>
      <c r="Y581" s="4"/>
      <c r="Z581" s="4"/>
      <c r="AA581" s="4"/>
      <c r="AB581" s="380" t="str">
        <f>VLOOKUP($B581,'D7 - NDB Impacted SPRF''s'!$E$16:$O$9929,4,FALSE)</f>
        <v>Completed</v>
      </c>
      <c r="AC581" s="380" t="str">
        <f>VLOOKUP($B581,'D7 - NDB Impacted SPRF''s'!$E$16:$O$9929,3,FALSE)</f>
        <v>UnitedHealthcare Employer &amp; Individual</v>
      </c>
      <c r="AD581" s="380" t="str">
        <f>VLOOKUP($B581,'D7 - NDB Impacted SPRF''s'!$E$16:$O$9929,5,FALSE)</f>
        <v>Integration Requirements</v>
      </c>
      <c r="AE581" s="380" t="str">
        <f>VLOOKUP($B581,'D7 - NDB Impacted SPRF''s'!$E$16:$O$9929,7,FALSE)</f>
        <v>Tim Kaja</v>
      </c>
      <c r="AF581" s="380" t="str">
        <f>VLOOKUP($B581,'D7 - NDB Impacted SPRF''s'!$E$16:$O$9929,6,FALSE)</f>
        <v>Janet Wright</v>
      </c>
      <c r="AG581" s="282" t="s">
        <v>7755</v>
      </c>
      <c r="AH581" s="311" t="e">
        <f>INDEX('D5 - Gatekeeper - Projects'!$A$4:$AF$1010,$AM581, 17)</f>
        <v>#N/A</v>
      </c>
      <c r="AI581" s="8"/>
      <c r="AJ581" s="57"/>
      <c r="AK581" s="105"/>
      <c r="AM581" s="6" t="e">
        <f>MATCH(D581,'D5 - Gatekeeper - Projects'!$C$4:$C$1010,0)</f>
        <v>#N/A</v>
      </c>
      <c r="AN581" s="6" t="b">
        <f t="shared" si="51"/>
        <v>1</v>
      </c>
      <c r="AO581" s="6" t="str">
        <f t="shared" si="54"/>
        <v>OK</v>
      </c>
      <c r="AQ581" s="6" t="e">
        <f>MATCH($D581,'D4 - Provider Council Unsched'!$C$11:$C$234,0)</f>
        <v>#N/A</v>
      </c>
      <c r="AR581" s="6" t="b">
        <f t="shared" si="52"/>
        <v>1</v>
      </c>
      <c r="AS581" s="6" t="str">
        <f t="shared" si="55"/>
        <v>OK</v>
      </c>
      <c r="AU581" s="202"/>
      <c r="AV581" s="262"/>
      <c r="AW581" s="274"/>
    </row>
    <row r="582" spans="1:49" s="13" customFormat="1" ht="22.5" x14ac:dyDescent="0.2">
      <c r="A582" s="14">
        <v>558</v>
      </c>
      <c r="B582" s="14">
        <v>400011426</v>
      </c>
      <c r="C582" s="8" t="s">
        <v>5197</v>
      </c>
      <c r="D582" s="4" t="str">
        <f t="shared" si="53"/>
        <v>400011426R1</v>
      </c>
      <c r="E582" s="309" t="str">
        <f>VLOOKUP($B582,'D7 - NDB Impacted SPRF''s'!$E$6:$O$9929,2,FALSE)</f>
        <v xml:space="preserve">Medica IB Enterprise Test &amp; Operational Readiness </v>
      </c>
      <c r="F582" s="8" t="s">
        <v>5196</v>
      </c>
      <c r="G582" s="8" t="s">
        <v>4758</v>
      </c>
      <c r="H582" s="8" t="s">
        <v>4246</v>
      </c>
      <c r="I582" s="20">
        <v>1.33</v>
      </c>
      <c r="J582" s="8" t="s">
        <v>4862</v>
      </c>
      <c r="K582" s="182">
        <v>38976</v>
      </c>
      <c r="L582" s="8" t="s">
        <v>5743</v>
      </c>
      <c r="M582" s="8" t="s">
        <v>2814</v>
      </c>
      <c r="N582" s="367"/>
      <c r="O582" s="8"/>
      <c r="P582" s="4" t="str">
        <f>VLOOKUP($B582,'D7 - NDB Impacted SPRF''s'!$E$16:$O$9929,9,FALSE)</f>
        <v>Y</v>
      </c>
      <c r="Q582" s="4" t="str">
        <f>VLOOKUP($B582,'D7 - NDB Impacted SPRF''s'!$E$16:$O$9929,10,FALSE)</f>
        <v>N</v>
      </c>
      <c r="R582" s="4" t="str">
        <f>VLOOKUP($B582,'D7 - NDB Impacted SPRF''s'!$E$16:$O$9929,11,FALSE)</f>
        <v>N</v>
      </c>
      <c r="S582" s="8" t="s">
        <v>3758</v>
      </c>
      <c r="T582" s="310"/>
      <c r="U582" s="310"/>
      <c r="V582" s="4"/>
      <c r="W582" s="4"/>
      <c r="X582" s="4"/>
      <c r="Y582" s="4"/>
      <c r="Z582" s="4"/>
      <c r="AA582" s="4"/>
      <c r="AB582" s="380" t="str">
        <f>VLOOKUP($B582,'D7 - NDB Impacted SPRF''s'!$E$16:$O$9929,4,FALSE)</f>
        <v>Completed</v>
      </c>
      <c r="AC582" s="380" t="str">
        <f>VLOOKUP($B582,'D7 - NDB Impacted SPRF''s'!$E$16:$O$9929,3,FALSE)</f>
        <v>Alliance</v>
      </c>
      <c r="AD582" s="380" t="str">
        <f>VLOOKUP($B582,'D7 - NDB Impacted SPRF''s'!$E$16:$O$9929,5,FALSE)</f>
        <v>Medica UNET Conversion</v>
      </c>
      <c r="AE582" s="380" t="str">
        <f>VLOOKUP($B582,'D7 - NDB Impacted SPRF''s'!$E$16:$O$9929,7,FALSE)</f>
        <v xml:space="preserve">Tracy Berg </v>
      </c>
      <c r="AF582" s="380" t="str">
        <f>VLOOKUP($B582,'D7 - NDB Impacted SPRF''s'!$E$16:$O$9929,6,FALSE)</f>
        <v>SHIRLEY REYNOLDS</v>
      </c>
      <c r="AG582" s="282"/>
      <c r="AH582" s="311" t="e">
        <f>INDEX('D5 - Gatekeeper - Projects'!$A$4:$AF$1010,$AM582, 17)</f>
        <v>#N/A</v>
      </c>
      <c r="AI582" s="8"/>
      <c r="AJ582" s="57"/>
      <c r="AK582" s="105"/>
      <c r="AM582" s="6" t="e">
        <f>MATCH(D582,'D5 - Gatekeeper - Projects'!$C$4:$C$1010,0)</f>
        <v>#N/A</v>
      </c>
      <c r="AN582" s="6" t="b">
        <f t="shared" si="51"/>
        <v>1</v>
      </c>
      <c r="AO582" s="6" t="str">
        <f t="shared" si="54"/>
        <v>OK</v>
      </c>
      <c r="AQ582" s="6" t="e">
        <f>MATCH($D582,'D4 - Provider Council Unsched'!$C$11:$C$234,0)</f>
        <v>#N/A</v>
      </c>
      <c r="AR582" s="6" t="b">
        <f t="shared" si="52"/>
        <v>1</v>
      </c>
      <c r="AS582" s="6" t="str">
        <f t="shared" si="55"/>
        <v>OK</v>
      </c>
      <c r="AU582" s="202"/>
      <c r="AV582" s="262"/>
      <c r="AW582" s="274"/>
    </row>
    <row r="583" spans="1:49" s="13" customFormat="1" ht="33.75" x14ac:dyDescent="0.2">
      <c r="A583" s="14">
        <v>559</v>
      </c>
      <c r="B583" s="14">
        <v>400011795</v>
      </c>
      <c r="C583" s="8" t="s">
        <v>5197</v>
      </c>
      <c r="D583" s="4" t="str">
        <f t="shared" si="53"/>
        <v>400011795R1</v>
      </c>
      <c r="E583" s="309" t="str">
        <f>VLOOKUP($B583,'D7 - NDB Impacted SPRF''s'!$E$6:$O$9929,2,FALSE)</f>
        <v>Analysis Only SPRF on moving Application Owner</v>
      </c>
      <c r="F583" s="8" t="s">
        <v>8133</v>
      </c>
      <c r="G583" s="8" t="s">
        <v>4758</v>
      </c>
      <c r="H583" s="8" t="s">
        <v>4246</v>
      </c>
      <c r="I583" s="20">
        <v>0.53</v>
      </c>
      <c r="J583" s="8" t="s">
        <v>4862</v>
      </c>
      <c r="K583" s="182">
        <v>38976</v>
      </c>
      <c r="L583" s="8" t="s">
        <v>5743</v>
      </c>
      <c r="M583" s="8" t="s">
        <v>2814</v>
      </c>
      <c r="N583" s="368"/>
      <c r="O583" s="8"/>
      <c r="P583" s="4" t="str">
        <f>VLOOKUP($B583,'D7 - NDB Impacted SPRF''s'!$E$16:$O$9929,9,FALSE)</f>
        <v>N</v>
      </c>
      <c r="Q583" s="4" t="str">
        <f>VLOOKUP($B583,'D7 - NDB Impacted SPRF''s'!$E$16:$O$9929,10,FALSE)</f>
        <v>N</v>
      </c>
      <c r="R583" s="4" t="str">
        <f>VLOOKUP($B583,'D7 - NDB Impacted SPRF''s'!$E$16:$O$9929,11,FALSE)</f>
        <v>N</v>
      </c>
      <c r="S583" s="8" t="s">
        <v>3758</v>
      </c>
      <c r="T583" s="310"/>
      <c r="U583" s="310"/>
      <c r="V583" s="4"/>
      <c r="W583" s="4"/>
      <c r="X583" s="4"/>
      <c r="Y583" s="4"/>
      <c r="Z583" s="4"/>
      <c r="AA583" s="4"/>
      <c r="AB583" s="380" t="str">
        <f>VLOOKUP($B583,'D7 - NDB Impacted SPRF''s'!$E$16:$O$9929,4,FALSE)</f>
        <v>Completed</v>
      </c>
      <c r="AC583" s="380" t="str">
        <f>VLOOKUP($B583,'D7 - NDB Impacted SPRF''s'!$E$16:$O$9929,3,FALSE)</f>
        <v>UnitedHealthcare Employer &amp; Individual</v>
      </c>
      <c r="AD583" s="380" t="str">
        <f>VLOOKUP($B583,'D7 - NDB Impacted SPRF''s'!$E$16:$O$9929,5,FALSE)</f>
        <v>Network Growth / Enhancements</v>
      </c>
      <c r="AE583" s="380" t="str">
        <f>VLOOKUP($B583,'D7 - NDB Impacted SPRF''s'!$E$16:$O$9929,7,FALSE)</f>
        <v>Steven Mueller</v>
      </c>
      <c r="AF583" s="380" t="str">
        <f>VLOOKUP($B583,'D7 - NDB Impacted SPRF''s'!$E$16:$O$9929,6,FALSE)</f>
        <v>CHARLES JACOBY</v>
      </c>
      <c r="AG583" s="282"/>
      <c r="AH583" s="311" t="e">
        <f>INDEX('D5 - Gatekeeper - Projects'!$A$4:$AF$1010,$AM583, 17)</f>
        <v>#N/A</v>
      </c>
      <c r="AI583" s="8"/>
      <c r="AJ583" s="57"/>
      <c r="AK583" s="105"/>
      <c r="AM583" s="6" t="e">
        <f>MATCH(D583,'D5 - Gatekeeper - Projects'!$C$4:$C$1010,0)</f>
        <v>#N/A</v>
      </c>
      <c r="AN583" s="6" t="b">
        <f t="shared" si="51"/>
        <v>1</v>
      </c>
      <c r="AO583" s="6" t="str">
        <f t="shared" si="54"/>
        <v>OK</v>
      </c>
      <c r="AQ583" s="6" t="e">
        <f>MATCH($D583,'D4 - Provider Council Unsched'!$C$11:$C$234,0)</f>
        <v>#N/A</v>
      </c>
      <c r="AR583" s="6" t="b">
        <f t="shared" si="52"/>
        <v>1</v>
      </c>
      <c r="AS583" s="6" t="str">
        <f t="shared" si="55"/>
        <v>OK</v>
      </c>
      <c r="AU583" s="202"/>
      <c r="AV583" s="262"/>
      <c r="AW583" s="274"/>
    </row>
    <row r="584" spans="1:49" s="13" customFormat="1" ht="33.75" x14ac:dyDescent="0.2">
      <c r="A584" s="14">
        <v>560</v>
      </c>
      <c r="B584" s="14">
        <v>400012519</v>
      </c>
      <c r="C584" s="8" t="s">
        <v>5197</v>
      </c>
      <c r="D584" s="4" t="str">
        <f t="shared" si="53"/>
        <v>400012519R1</v>
      </c>
      <c r="E584" s="309" t="str">
        <f>VLOOKUP($B584,'D7 - NDB Impacted SPRF''s'!$E$6:$O$9929,2,FALSE)</f>
        <v>Claims Repricing - Dashboard Statistics</v>
      </c>
      <c r="F584" s="8" t="s">
        <v>4304</v>
      </c>
      <c r="G584" s="8" t="s">
        <v>4758</v>
      </c>
      <c r="H584" s="8" t="s">
        <v>4246</v>
      </c>
      <c r="I584" s="20">
        <v>0.8</v>
      </c>
      <c r="J584" s="8" t="s">
        <v>4862</v>
      </c>
      <c r="K584" s="182">
        <v>38976</v>
      </c>
      <c r="L584" s="8" t="s">
        <v>5743</v>
      </c>
      <c r="M584" s="8" t="s">
        <v>2814</v>
      </c>
      <c r="N584" s="367"/>
      <c r="O584" s="8"/>
      <c r="P584" s="4" t="str">
        <f>VLOOKUP($B584,'D7 - NDB Impacted SPRF''s'!$E$16:$O$9929,9,FALSE)</f>
        <v>N</v>
      </c>
      <c r="Q584" s="4" t="str">
        <f>VLOOKUP($B584,'D7 - NDB Impacted SPRF''s'!$E$16:$O$9929,10,FALSE)</f>
        <v>N</v>
      </c>
      <c r="R584" s="4" t="str">
        <f>VLOOKUP($B584,'D7 - NDB Impacted SPRF''s'!$E$16:$O$9929,11,FALSE)</f>
        <v>N</v>
      </c>
      <c r="S584" s="8" t="s">
        <v>3758</v>
      </c>
      <c r="T584" s="310"/>
      <c r="U584" s="310"/>
      <c r="V584" s="4"/>
      <c r="W584" s="4"/>
      <c r="X584" s="4"/>
      <c r="Y584" s="4"/>
      <c r="Z584" s="4"/>
      <c r="AA584" s="4"/>
      <c r="AB584" s="380" t="str">
        <f>VLOOKUP($B584,'D7 - NDB Impacted SPRF''s'!$E$16:$O$9929,4,FALSE)</f>
        <v>Completed</v>
      </c>
      <c r="AC584" s="380" t="str">
        <f>VLOOKUP($B584,'D7 - NDB Impacted SPRF''s'!$E$16:$O$9929,3,FALSE)</f>
        <v>UnitedHealthcare Employer &amp; Individual</v>
      </c>
      <c r="AD584" s="380" t="str">
        <f>VLOOKUP($B584,'D7 - NDB Impacted SPRF''s'!$E$16:$O$9929,5,FALSE)</f>
        <v>Medical Cost Savings Programs</v>
      </c>
      <c r="AE584" s="380" t="str">
        <f>VLOOKUP($B584,'D7 - NDB Impacted SPRF''s'!$E$16:$O$9929,7,FALSE)</f>
        <v>Steven Mueller</v>
      </c>
      <c r="AF584" s="380" t="str">
        <f>VLOOKUP($B584,'D7 - NDB Impacted SPRF''s'!$E$16:$O$9929,6,FALSE)</f>
        <v>Matthew E Johnson</v>
      </c>
      <c r="AG584" s="282" t="s">
        <v>6162</v>
      </c>
      <c r="AH584" s="311" t="e">
        <f>INDEX('D5 - Gatekeeper - Projects'!$A$4:$AF$1010,$AM584, 17)</f>
        <v>#N/A</v>
      </c>
      <c r="AI584" s="8"/>
      <c r="AJ584" s="57"/>
      <c r="AK584" s="105"/>
      <c r="AM584" s="6" t="e">
        <f>MATCH(D584,'D5 - Gatekeeper - Projects'!$C$4:$C$1010,0)</f>
        <v>#N/A</v>
      </c>
      <c r="AN584" s="6" t="b">
        <f t="shared" si="51"/>
        <v>1</v>
      </c>
      <c r="AO584" s="6" t="str">
        <f t="shared" si="54"/>
        <v>OK</v>
      </c>
      <c r="AQ584" s="6" t="e">
        <f>MATCH($D584,'D4 - Provider Council Unsched'!$C$11:$C$234,0)</f>
        <v>#N/A</v>
      </c>
      <c r="AR584" s="6" t="b">
        <f t="shared" si="52"/>
        <v>1</v>
      </c>
      <c r="AS584" s="6" t="str">
        <f t="shared" si="55"/>
        <v>OK</v>
      </c>
      <c r="AU584" s="202"/>
      <c r="AV584" s="262"/>
      <c r="AW584" s="274"/>
    </row>
    <row r="585" spans="1:49" s="13" customFormat="1" ht="90" x14ac:dyDescent="0.2">
      <c r="A585" s="14">
        <v>561</v>
      </c>
      <c r="B585" s="14">
        <v>400012539</v>
      </c>
      <c r="C585" s="8" t="s">
        <v>5197</v>
      </c>
      <c r="D585" s="4" t="str">
        <f t="shared" si="53"/>
        <v>400012539R1</v>
      </c>
      <c r="E585" s="309" t="str">
        <f>VLOOKUP($B585,'D7 - NDB Impacted SPRF''s'!$E$6:$O$9929,2,FALSE)</f>
        <v>diCarta and NDB enhancements for Ovations Migratio</v>
      </c>
      <c r="F585" s="8" t="s">
        <v>5544</v>
      </c>
      <c r="G585" s="8" t="s">
        <v>4758</v>
      </c>
      <c r="H585" s="8" t="s">
        <v>4246</v>
      </c>
      <c r="I585" s="20">
        <v>4.4000000000000004</v>
      </c>
      <c r="J585" s="8" t="s">
        <v>4862</v>
      </c>
      <c r="K585" s="182">
        <v>38976</v>
      </c>
      <c r="L585" s="8" t="s">
        <v>5743</v>
      </c>
      <c r="M585" s="8" t="s">
        <v>2814</v>
      </c>
      <c r="N585" s="367" t="s">
        <v>3860</v>
      </c>
      <c r="O585" s="8"/>
      <c r="P585" s="4" t="str">
        <f>VLOOKUP($B585,'D7 - NDB Impacted SPRF''s'!$E$16:$O$9929,9,FALSE)</f>
        <v>N</v>
      </c>
      <c r="Q585" s="4" t="str">
        <f>VLOOKUP($B585,'D7 - NDB Impacted SPRF''s'!$E$16:$O$9929,10,FALSE)</f>
        <v>N</v>
      </c>
      <c r="R585" s="4" t="str">
        <f>VLOOKUP($B585,'D7 - NDB Impacted SPRF''s'!$E$16:$O$9929,11,FALSE)</f>
        <v>N</v>
      </c>
      <c r="S585" s="8" t="s">
        <v>3758</v>
      </c>
      <c r="T585" s="310"/>
      <c r="U585" s="310"/>
      <c r="V585" s="4"/>
      <c r="W585" s="4"/>
      <c r="X585" s="4"/>
      <c r="Y585" s="4"/>
      <c r="Z585" s="4"/>
      <c r="AA585" s="4"/>
      <c r="AB585" s="380" t="str">
        <f>VLOOKUP($B585,'D7 - NDB Impacted SPRF''s'!$E$16:$O$9929,4,FALSE)</f>
        <v>Completed</v>
      </c>
      <c r="AC585" s="380" t="str">
        <f>VLOOKUP($B585,'D7 - NDB Impacted SPRF''s'!$E$16:$O$9929,3,FALSE)</f>
        <v>UnitedHealthcare Medicare &amp; Retirement</v>
      </c>
      <c r="AD585" s="380" t="str">
        <f>VLOOKUP($B585,'D7 - NDB Impacted SPRF''s'!$E$16:$O$9929,5,FALSE)</f>
        <v>XXCOG</v>
      </c>
      <c r="AE585" s="380" t="str">
        <f>VLOOKUP($B585,'D7 - NDB Impacted SPRF''s'!$E$16:$O$9929,7,FALSE)</f>
        <v>Ashok Sundashan</v>
      </c>
      <c r="AF585" s="380" t="str">
        <f>VLOOKUP($B585,'D7 - NDB Impacted SPRF''s'!$E$16:$O$9929,6,FALSE)</f>
        <v>Susan Gruwell</v>
      </c>
      <c r="AG585" s="282" t="s">
        <v>7755</v>
      </c>
      <c r="AH585" s="311" t="e">
        <f>INDEX('D5 - Gatekeeper - Projects'!$A$4:$AF$1010,$AM585, 17)</f>
        <v>#N/A</v>
      </c>
      <c r="AI585" s="8"/>
      <c r="AJ585" s="57"/>
      <c r="AK585" s="105"/>
      <c r="AM585" s="6" t="e">
        <f>MATCH(D585,'D5 - Gatekeeper - Projects'!$C$4:$C$1010,0)</f>
        <v>#N/A</v>
      </c>
      <c r="AN585" s="6" t="b">
        <f t="shared" si="51"/>
        <v>1</v>
      </c>
      <c r="AO585" s="6" t="str">
        <f t="shared" si="54"/>
        <v>OK</v>
      </c>
      <c r="AQ585" s="6" t="e">
        <f>MATCH($D585,'D4 - Provider Council Unsched'!$C$11:$C$234,0)</f>
        <v>#N/A</v>
      </c>
      <c r="AR585" s="6" t="b">
        <f t="shared" si="52"/>
        <v>1</v>
      </c>
      <c r="AS585" s="6" t="str">
        <f t="shared" si="55"/>
        <v>OK</v>
      </c>
      <c r="AU585" s="202"/>
      <c r="AV585" s="262"/>
      <c r="AW585" s="274"/>
    </row>
    <row r="586" spans="1:49" s="13" customFormat="1" ht="33.75" x14ac:dyDescent="0.2">
      <c r="A586" s="14">
        <v>562</v>
      </c>
      <c r="B586" s="14">
        <v>400012539</v>
      </c>
      <c r="C586" s="8" t="s">
        <v>1992</v>
      </c>
      <c r="D586" s="4" t="str">
        <f t="shared" si="53"/>
        <v>400012539U1</v>
      </c>
      <c r="E586" s="309" t="str">
        <f>VLOOKUP($B586,'D7 - NDB Impacted SPRF''s'!$E$6:$O$9929,2,FALSE)</f>
        <v>diCarta and NDB enhancements for Ovations Migratio</v>
      </c>
      <c r="F586" s="8" t="s">
        <v>5544</v>
      </c>
      <c r="G586" s="8" t="s">
        <v>4758</v>
      </c>
      <c r="H586" s="8" t="s">
        <v>4246</v>
      </c>
      <c r="I586" s="20">
        <v>1.25</v>
      </c>
      <c r="J586" s="8" t="s">
        <v>4862</v>
      </c>
      <c r="K586" s="182">
        <v>38976</v>
      </c>
      <c r="L586" s="8" t="s">
        <v>5743</v>
      </c>
      <c r="M586" s="8" t="s">
        <v>2814</v>
      </c>
      <c r="N586" s="367" t="s">
        <v>2700</v>
      </c>
      <c r="O586" s="8"/>
      <c r="P586" s="4" t="str">
        <f>VLOOKUP($B586,'D7 - NDB Impacted SPRF''s'!$E$16:$O$9929,9,FALSE)</f>
        <v>N</v>
      </c>
      <c r="Q586" s="4" t="str">
        <f>VLOOKUP($B586,'D7 - NDB Impacted SPRF''s'!$E$16:$O$9929,10,FALSE)</f>
        <v>N</v>
      </c>
      <c r="R586" s="4" t="str">
        <f>VLOOKUP($B586,'D7 - NDB Impacted SPRF''s'!$E$16:$O$9929,11,FALSE)</f>
        <v>N</v>
      </c>
      <c r="S586" s="8" t="s">
        <v>3758</v>
      </c>
      <c r="T586" s="310"/>
      <c r="U586" s="310"/>
      <c r="V586" s="4"/>
      <c r="W586" s="4"/>
      <c r="X586" s="4"/>
      <c r="Y586" s="4"/>
      <c r="Z586" s="4"/>
      <c r="AA586" s="4"/>
      <c r="AB586" s="380" t="str">
        <f>VLOOKUP($B586,'D7 - NDB Impacted SPRF''s'!$E$16:$O$9929,4,FALSE)</f>
        <v>Completed</v>
      </c>
      <c r="AC586" s="380" t="str">
        <f>VLOOKUP($B586,'D7 - NDB Impacted SPRF''s'!$E$16:$O$9929,3,FALSE)</f>
        <v>UnitedHealthcare Medicare &amp; Retirement</v>
      </c>
      <c r="AD586" s="380" t="str">
        <f>VLOOKUP($B586,'D7 - NDB Impacted SPRF''s'!$E$16:$O$9929,5,FALSE)</f>
        <v>XXCOG</v>
      </c>
      <c r="AE586" s="380" t="str">
        <f>VLOOKUP($B586,'D7 - NDB Impacted SPRF''s'!$E$16:$O$9929,7,FALSE)</f>
        <v>Ashok Sundashan</v>
      </c>
      <c r="AF586" s="380" t="str">
        <f>VLOOKUP($B586,'D7 - NDB Impacted SPRF''s'!$E$16:$O$9929,6,FALSE)</f>
        <v>Susan Gruwell</v>
      </c>
      <c r="AG586" s="282"/>
      <c r="AH586" s="311" t="e">
        <f>INDEX('D5 - Gatekeeper - Projects'!$A$4:$AF$1010,$AM586, 17)</f>
        <v>#N/A</v>
      </c>
      <c r="AI586" s="8"/>
      <c r="AJ586" s="57"/>
      <c r="AK586" s="105"/>
      <c r="AM586" s="6" t="e">
        <f>MATCH(D586,'D5 - Gatekeeper - Projects'!$C$4:$C$1010,0)</f>
        <v>#N/A</v>
      </c>
      <c r="AN586" s="6" t="b">
        <f t="shared" si="51"/>
        <v>1</v>
      </c>
      <c r="AO586" s="6" t="str">
        <f t="shared" si="54"/>
        <v>OK</v>
      </c>
      <c r="AQ586" s="6" t="e">
        <f>MATCH($D586,'D4 - Provider Council Unsched'!$C$11:$C$234,0)</f>
        <v>#N/A</v>
      </c>
      <c r="AR586" s="6" t="b">
        <f t="shared" si="52"/>
        <v>1</v>
      </c>
      <c r="AS586" s="6" t="str">
        <f t="shared" si="55"/>
        <v>OK</v>
      </c>
      <c r="AU586" s="202"/>
      <c r="AV586" s="262"/>
      <c r="AW586" s="274"/>
    </row>
    <row r="587" spans="1:49" s="13" customFormat="1" ht="33.75" x14ac:dyDescent="0.2">
      <c r="A587" s="14">
        <v>563</v>
      </c>
      <c r="B587" s="14">
        <v>400012858</v>
      </c>
      <c r="C587" s="8" t="s">
        <v>5197</v>
      </c>
      <c r="D587" s="4" t="str">
        <f t="shared" si="53"/>
        <v>400012858R1</v>
      </c>
      <c r="E587" s="309" t="str">
        <f>VLOOKUP($B587,'D7 - NDB Impacted SPRF''s'!$E$6:$O$9929,2,FALSE)</f>
        <v>MAHP – ET and Operational Readiness</v>
      </c>
      <c r="F587" s="8" t="s">
        <v>5752</v>
      </c>
      <c r="G587" s="8" t="s">
        <v>4758</v>
      </c>
      <c r="H587" s="8" t="s">
        <v>4246</v>
      </c>
      <c r="I587" s="20">
        <v>1.33</v>
      </c>
      <c r="J587" s="8" t="s">
        <v>4862</v>
      </c>
      <c r="K587" s="182">
        <v>38976</v>
      </c>
      <c r="L587" s="8" t="s">
        <v>5743</v>
      </c>
      <c r="M587" s="8" t="s">
        <v>2814</v>
      </c>
      <c r="N587" s="369"/>
      <c r="O587" s="8"/>
      <c r="P587" s="4" t="str">
        <f>VLOOKUP($B587,'D7 - NDB Impacted SPRF''s'!$E$16:$O$9929,9,FALSE)</f>
        <v>Y</v>
      </c>
      <c r="Q587" s="4" t="str">
        <f>VLOOKUP($B587,'D7 - NDB Impacted SPRF''s'!$E$16:$O$9929,10,FALSE)</f>
        <v>N</v>
      </c>
      <c r="R587" s="4" t="str">
        <f>VLOOKUP($B587,'D7 - NDB Impacted SPRF''s'!$E$16:$O$9929,11,FALSE)</f>
        <v>N</v>
      </c>
      <c r="S587" s="8" t="s">
        <v>3758</v>
      </c>
      <c r="T587" s="310"/>
      <c r="U587" s="310"/>
      <c r="V587" s="4"/>
      <c r="W587" s="4"/>
      <c r="X587" s="4"/>
      <c r="Y587" s="4"/>
      <c r="Z587" s="4"/>
      <c r="AA587" s="4"/>
      <c r="AB587" s="380" t="str">
        <f>VLOOKUP($B587,'D7 - NDB Impacted SPRF''s'!$E$16:$O$9929,4,FALSE)</f>
        <v>Completed</v>
      </c>
      <c r="AC587" s="380" t="str">
        <f>VLOOKUP($B587,'D7 - NDB Impacted SPRF''s'!$E$16:$O$9929,3,FALSE)</f>
        <v>UnitedHealthcare Employer &amp; Individual</v>
      </c>
      <c r="AD587" s="380" t="str">
        <f>VLOOKUP($B587,'D7 - NDB Impacted SPRF''s'!$E$16:$O$9929,5,FALSE)</f>
        <v>Integration Requirements</v>
      </c>
      <c r="AE587" s="380" t="str">
        <f>VLOOKUP($B587,'D7 - NDB Impacted SPRF''s'!$E$16:$O$9929,7,FALSE)</f>
        <v>Diane Schofield</v>
      </c>
      <c r="AF587" s="380" t="str">
        <f>VLOOKUP($B587,'D7 - NDB Impacted SPRF''s'!$E$16:$O$9929,6,FALSE)</f>
        <v>Elaine Begen</v>
      </c>
      <c r="AG587" s="282"/>
      <c r="AH587" s="311" t="e">
        <f>INDEX('D5 - Gatekeeper - Projects'!$A$4:$AF$1010,$AM587, 17)</f>
        <v>#N/A</v>
      </c>
      <c r="AI587" s="8"/>
      <c r="AJ587" s="57"/>
      <c r="AK587" s="105"/>
      <c r="AM587" s="6" t="e">
        <f>MATCH(D587,'D5 - Gatekeeper - Projects'!$C$4:$C$1010,0)</f>
        <v>#N/A</v>
      </c>
      <c r="AN587" s="6" t="b">
        <f t="shared" si="51"/>
        <v>1</v>
      </c>
      <c r="AO587" s="6" t="str">
        <f t="shared" si="54"/>
        <v>OK</v>
      </c>
      <c r="AQ587" s="6" t="e">
        <f>MATCH($D587,'D4 - Provider Council Unsched'!$C$11:$C$234,0)</f>
        <v>#N/A</v>
      </c>
      <c r="AR587" s="6" t="b">
        <f t="shared" si="52"/>
        <v>1</v>
      </c>
      <c r="AS587" s="6" t="str">
        <f t="shared" si="55"/>
        <v>OK</v>
      </c>
      <c r="AU587" s="202"/>
      <c r="AV587" s="262"/>
      <c r="AW587" s="274"/>
    </row>
    <row r="588" spans="1:49" s="13" customFormat="1" ht="33.75" x14ac:dyDescent="0.2">
      <c r="A588" s="14">
        <v>564</v>
      </c>
      <c r="B588" s="14">
        <v>400013087</v>
      </c>
      <c r="C588" s="8" t="s">
        <v>5197</v>
      </c>
      <c r="D588" s="4" t="str">
        <f t="shared" si="53"/>
        <v>400013087R1</v>
      </c>
      <c r="E588" s="309" t="str">
        <f>VLOOKUP($B588,'D7 - NDB Impacted SPRF''s'!$E$6:$O$9929,2,FALSE)</f>
        <v>NDB-PERADIGM Migration - 9/16/06 Seed File</v>
      </c>
      <c r="F588" s="8" t="s">
        <v>5544</v>
      </c>
      <c r="G588" s="8" t="s">
        <v>4758</v>
      </c>
      <c r="H588" s="8" t="s">
        <v>4246</v>
      </c>
      <c r="I588" s="20">
        <v>2.67</v>
      </c>
      <c r="J588" s="8" t="s">
        <v>4862</v>
      </c>
      <c r="K588" s="182">
        <v>38976</v>
      </c>
      <c r="L588" s="8" t="s">
        <v>5743</v>
      </c>
      <c r="M588" s="8" t="s">
        <v>2814</v>
      </c>
      <c r="N588" s="367" t="s">
        <v>4513</v>
      </c>
      <c r="O588" s="8"/>
      <c r="P588" s="4" t="str">
        <f>VLOOKUP($B588,'D7 - NDB Impacted SPRF''s'!$E$16:$O$9929,9,FALSE)</f>
        <v>N</v>
      </c>
      <c r="Q588" s="4" t="str">
        <f>VLOOKUP($B588,'D7 - NDB Impacted SPRF''s'!$E$16:$O$9929,10,FALSE)</f>
        <v>N</v>
      </c>
      <c r="R588" s="4" t="str">
        <f>VLOOKUP($B588,'D7 - NDB Impacted SPRF''s'!$E$16:$O$9929,11,FALSE)</f>
        <v>N</v>
      </c>
      <c r="S588" s="8" t="s">
        <v>3758</v>
      </c>
      <c r="T588" s="310"/>
      <c r="U588" s="310"/>
      <c r="V588" s="4"/>
      <c r="W588" s="4"/>
      <c r="X588" s="4"/>
      <c r="Y588" s="4"/>
      <c r="Z588" s="4"/>
      <c r="AA588" s="4"/>
      <c r="AB588" s="380" t="str">
        <f>VLOOKUP($B588,'D7 - NDB Impacted SPRF''s'!$E$16:$O$9929,4,FALSE)</f>
        <v>Completed</v>
      </c>
      <c r="AC588" s="380" t="str">
        <f>VLOOKUP($B588,'D7 - NDB Impacted SPRF''s'!$E$16:$O$9929,3,FALSE)</f>
        <v>UnitedHealthcare Medicare &amp; Retirement</v>
      </c>
      <c r="AD588" s="380" t="str">
        <f>VLOOKUP($B588,'D7 - NDB Impacted SPRF''s'!$E$16:$O$9929,5,FALSE)</f>
        <v>XXCOG</v>
      </c>
      <c r="AE588" s="380" t="str">
        <f>VLOOKUP($B588,'D7 - NDB Impacted SPRF''s'!$E$16:$O$9929,7,FALSE)</f>
        <v>Ashok Sundarshan</v>
      </c>
      <c r="AF588" s="380" t="str">
        <f>VLOOKUP($B588,'D7 - NDB Impacted SPRF''s'!$E$16:$O$9929,6,FALSE)</f>
        <v>GERALD GORODISCH</v>
      </c>
      <c r="AG588" s="282"/>
      <c r="AH588" s="311" t="e">
        <f>INDEX('D5 - Gatekeeper - Projects'!$A$4:$AF$1010,$AM588, 17)</f>
        <v>#N/A</v>
      </c>
      <c r="AI588" s="8"/>
      <c r="AJ588" s="57"/>
      <c r="AK588" s="105"/>
      <c r="AM588" s="6" t="e">
        <f>MATCH(D588,'D5 - Gatekeeper - Projects'!$C$4:$C$1010,0)</f>
        <v>#N/A</v>
      </c>
      <c r="AN588" s="6" t="b">
        <f t="shared" si="51"/>
        <v>1</v>
      </c>
      <c r="AO588" s="6" t="str">
        <f t="shared" si="54"/>
        <v>OK</v>
      </c>
      <c r="AQ588" s="6" t="e">
        <f>MATCH($D588,'D4 - Provider Council Unsched'!$C$11:$C$234,0)</f>
        <v>#N/A</v>
      </c>
      <c r="AR588" s="6" t="b">
        <f t="shared" si="52"/>
        <v>1</v>
      </c>
      <c r="AS588" s="6" t="str">
        <f t="shared" si="55"/>
        <v>OK</v>
      </c>
      <c r="AU588" s="202"/>
      <c r="AV588" s="262"/>
      <c r="AW588" s="274"/>
    </row>
    <row r="589" spans="1:49" s="13" customFormat="1" ht="33.75" x14ac:dyDescent="0.2">
      <c r="A589" s="14">
        <v>565</v>
      </c>
      <c r="B589" s="14">
        <v>400013289</v>
      </c>
      <c r="C589" s="8" t="s">
        <v>5197</v>
      </c>
      <c r="D589" s="4" t="str">
        <f t="shared" si="53"/>
        <v>400013289R1</v>
      </c>
      <c r="E589" s="309" t="str">
        <f>VLOOKUP($B589,'D7 - NDB Impacted SPRF''s'!$E$6:$O$9929,2,FALSE)</f>
        <v>UMR UB Claims Repricing Project</v>
      </c>
      <c r="F589" s="8" t="s">
        <v>5846</v>
      </c>
      <c r="G589" s="8" t="s">
        <v>4758</v>
      </c>
      <c r="H589" s="8" t="s">
        <v>4246</v>
      </c>
      <c r="I589" s="20">
        <v>1</v>
      </c>
      <c r="J589" s="8" t="s">
        <v>4862</v>
      </c>
      <c r="K589" s="182">
        <v>38976</v>
      </c>
      <c r="L589" s="8" t="s">
        <v>5743</v>
      </c>
      <c r="M589" s="8" t="s">
        <v>2814</v>
      </c>
      <c r="N589" s="38"/>
      <c r="O589" s="8"/>
      <c r="P589" s="4" t="str">
        <f>VLOOKUP($B589,'D7 - NDB Impacted SPRF''s'!$E$16:$O$9929,9,FALSE)</f>
        <v>N</v>
      </c>
      <c r="Q589" s="4" t="str">
        <f>VLOOKUP($B589,'D7 - NDB Impacted SPRF''s'!$E$16:$O$9929,10,FALSE)</f>
        <v>N</v>
      </c>
      <c r="R589" s="4" t="str">
        <f>VLOOKUP($B589,'D7 - NDB Impacted SPRF''s'!$E$16:$O$9929,11,FALSE)</f>
        <v>Y</v>
      </c>
      <c r="S589" s="8" t="s">
        <v>3758</v>
      </c>
      <c r="T589" s="310"/>
      <c r="U589" s="310"/>
      <c r="V589" s="4"/>
      <c r="W589" s="4"/>
      <c r="X589" s="4"/>
      <c r="Y589" s="4"/>
      <c r="Z589" s="4"/>
      <c r="AA589" s="4"/>
      <c r="AB589" s="380" t="str">
        <f>VLOOKUP($B589,'D7 - NDB Impacted SPRF''s'!$E$16:$O$9929,4,FALSE)</f>
        <v>Completed</v>
      </c>
      <c r="AC589" s="380" t="str">
        <f>VLOOKUP($B589,'D7 - NDB Impacted SPRF''s'!$E$16:$O$9929,3,FALSE)</f>
        <v>UnitedHealthcare Employer &amp; Individual</v>
      </c>
      <c r="AD589" s="380" t="str">
        <f>VLOOKUP($B589,'D7 - NDB Impacted SPRF''s'!$E$16:$O$9929,5,FALSE)</f>
        <v>Integration Requirements</v>
      </c>
      <c r="AE589" s="380" t="str">
        <f>VLOOKUP($B589,'D7 - NDB Impacted SPRF''s'!$E$16:$O$9929,7,FALSE)</f>
        <v>Sally Verrilli</v>
      </c>
      <c r="AF589" s="380" t="str">
        <f>VLOOKUP($B589,'D7 - NDB Impacted SPRF''s'!$E$16:$O$9929,6,FALSE)</f>
        <v>WILLIAM DOBRANSKY</v>
      </c>
      <c r="AG589" s="282" t="s">
        <v>6162</v>
      </c>
      <c r="AH589" s="311" t="e">
        <f>INDEX('D5 - Gatekeeper - Projects'!$A$4:$AF$1010,$AM589, 17)</f>
        <v>#N/A</v>
      </c>
      <c r="AI589" s="8"/>
      <c r="AJ589" s="57"/>
      <c r="AK589" s="105"/>
      <c r="AM589" s="6" t="e">
        <f>MATCH(D589,'D5 - Gatekeeper - Projects'!$C$4:$C$1010,0)</f>
        <v>#N/A</v>
      </c>
      <c r="AN589" s="6" t="b">
        <f t="shared" si="51"/>
        <v>1</v>
      </c>
      <c r="AO589" s="6" t="str">
        <f t="shared" si="54"/>
        <v>OK</v>
      </c>
      <c r="AQ589" s="6" t="e">
        <f>MATCH($D589,'D4 - Provider Council Unsched'!$C$11:$C$234,0)</f>
        <v>#N/A</v>
      </c>
      <c r="AR589" s="6" t="b">
        <f t="shared" si="52"/>
        <v>1</v>
      </c>
      <c r="AS589" s="6" t="str">
        <f t="shared" si="55"/>
        <v>OK</v>
      </c>
      <c r="AU589" s="202"/>
      <c r="AV589" s="262"/>
      <c r="AW589" s="274"/>
    </row>
    <row r="590" spans="1:49" s="13" customFormat="1" ht="22.5" x14ac:dyDescent="0.2">
      <c r="A590" s="14">
        <v>566</v>
      </c>
      <c r="B590" s="14">
        <v>400013416</v>
      </c>
      <c r="C590" s="8" t="s">
        <v>5197</v>
      </c>
      <c r="D590" s="4" t="str">
        <f t="shared" si="53"/>
        <v>400013416R1</v>
      </c>
      <c r="E590" s="309" t="str">
        <f>VLOOKUP($B590,'D7 - NDB Impacted SPRF''s'!$E$6:$O$9929,2,FALSE)</f>
        <v>Empire Plan - PTI by Contract Organization Report</v>
      </c>
      <c r="F590" s="8" t="s">
        <v>6007</v>
      </c>
      <c r="G590" s="8" t="s">
        <v>4758</v>
      </c>
      <c r="H590" s="8" t="s">
        <v>4246</v>
      </c>
      <c r="I590" s="20">
        <v>0.8</v>
      </c>
      <c r="J590" s="8" t="s">
        <v>4862</v>
      </c>
      <c r="K590" s="182">
        <v>38976</v>
      </c>
      <c r="L590" s="8" t="s">
        <v>5743</v>
      </c>
      <c r="M590" s="8" t="s">
        <v>2814</v>
      </c>
      <c r="N590" s="367" t="s">
        <v>6263</v>
      </c>
      <c r="O590" s="8"/>
      <c r="P590" s="4" t="str">
        <f>VLOOKUP($B590,'D7 - NDB Impacted SPRF''s'!$E$16:$O$9929,9,FALSE)</f>
        <v>N</v>
      </c>
      <c r="Q590" s="4" t="str">
        <f>VLOOKUP($B590,'D7 - NDB Impacted SPRF''s'!$E$16:$O$9929,10,FALSE)</f>
        <v>N</v>
      </c>
      <c r="R590" s="4" t="str">
        <f>VLOOKUP($B590,'D7 - NDB Impacted SPRF''s'!$E$16:$O$9929,11,FALSE)</f>
        <v>N</v>
      </c>
      <c r="S590" s="8" t="s">
        <v>3758</v>
      </c>
      <c r="T590" s="310"/>
      <c r="U590" s="310"/>
      <c r="V590" s="4"/>
      <c r="W590" s="4"/>
      <c r="X590" s="4"/>
      <c r="Y590" s="4"/>
      <c r="Z590" s="4"/>
      <c r="AA590" s="4"/>
      <c r="AB590" s="380" t="str">
        <f>VLOOKUP($B590,'D7 - NDB Impacted SPRF''s'!$E$16:$O$9929,4,FALSE)</f>
        <v>Completed</v>
      </c>
      <c r="AC590" s="380" t="str">
        <f>VLOOKUP($B590,'D7 - NDB Impacted SPRF''s'!$E$16:$O$9929,3,FALSE)</f>
        <v>Uniprise</v>
      </c>
      <c r="AD590" s="380" t="str">
        <f>VLOOKUP($B590,'D7 - NDB Impacted SPRF''s'!$E$16:$O$9929,5,FALSE)</f>
        <v>USS - DDC</v>
      </c>
      <c r="AE590" s="380" t="str">
        <f>VLOOKUP($B590,'D7 - NDB Impacted SPRF''s'!$E$16:$O$9929,7,FALSE)</f>
        <v>Donna Pooley</v>
      </c>
      <c r="AF590" s="380" t="str">
        <f>VLOOKUP($B590,'D7 - NDB Impacted SPRF''s'!$E$16:$O$9929,6,FALSE)</f>
        <v>Laurie Torres</v>
      </c>
      <c r="AG590" s="282"/>
      <c r="AH590" s="311" t="e">
        <f>INDEX('D5 - Gatekeeper - Projects'!$A$4:$AF$1010,$AM590, 17)</f>
        <v>#N/A</v>
      </c>
      <c r="AI590" s="8"/>
      <c r="AJ590" s="57"/>
      <c r="AK590" s="105"/>
      <c r="AM590" s="6" t="e">
        <f>MATCH(D590,'D5 - Gatekeeper - Projects'!$C$4:$C$1010,0)</f>
        <v>#N/A</v>
      </c>
      <c r="AN590" s="6" t="b">
        <f t="shared" si="51"/>
        <v>1</v>
      </c>
      <c r="AO590" s="6" t="str">
        <f t="shared" si="54"/>
        <v>OK</v>
      </c>
      <c r="AQ590" s="6" t="e">
        <f>MATCH($D590,'D4 - Provider Council Unsched'!$C$11:$C$234,0)</f>
        <v>#N/A</v>
      </c>
      <c r="AR590" s="6" t="b">
        <f t="shared" si="52"/>
        <v>1</v>
      </c>
      <c r="AS590" s="6" t="str">
        <f t="shared" si="55"/>
        <v>OK</v>
      </c>
      <c r="AU590" s="202"/>
      <c r="AV590" s="262"/>
      <c r="AW590" s="274"/>
    </row>
    <row r="591" spans="1:49" s="13" customFormat="1" ht="33.75" x14ac:dyDescent="0.2">
      <c r="A591" s="14">
        <v>567</v>
      </c>
      <c r="B591" s="14">
        <v>400013769</v>
      </c>
      <c r="C591" s="8" t="s">
        <v>5197</v>
      </c>
      <c r="D591" s="4" t="str">
        <f t="shared" si="53"/>
        <v>400013769R1</v>
      </c>
      <c r="E591" s="309" t="str">
        <f>VLOOKUP($B591,'D7 - NDB Impacted SPRF''s'!$E$6:$O$9929,2,FALSE)</f>
        <v xml:space="preserve">W/O-PHS-Export File for Non-CA PPO </v>
      </c>
      <c r="F591" s="8" t="s">
        <v>6071</v>
      </c>
      <c r="G591" s="8" t="s">
        <v>4758</v>
      </c>
      <c r="H591" s="8" t="s">
        <v>4246</v>
      </c>
      <c r="I591" s="20">
        <v>0.53</v>
      </c>
      <c r="J591" s="8" t="s">
        <v>4862</v>
      </c>
      <c r="K591" s="182">
        <v>38976</v>
      </c>
      <c r="L591" s="8" t="s">
        <v>5743</v>
      </c>
      <c r="M591" s="8" t="s">
        <v>2814</v>
      </c>
      <c r="N591" s="367"/>
      <c r="O591" s="8"/>
      <c r="P591" s="4" t="str">
        <f>VLOOKUP($B591,'D7 - NDB Impacted SPRF''s'!$E$16:$O$9929,9,FALSE)</f>
        <v>N</v>
      </c>
      <c r="Q591" s="4" t="str">
        <f>VLOOKUP($B591,'D7 - NDB Impacted SPRF''s'!$E$16:$O$9929,10,FALSE)</f>
        <v>N</v>
      </c>
      <c r="R591" s="4" t="str">
        <f>VLOOKUP($B591,'D7 - NDB Impacted SPRF''s'!$E$16:$O$9929,11,FALSE)</f>
        <v>N</v>
      </c>
      <c r="S591" s="8" t="s">
        <v>3758</v>
      </c>
      <c r="T591" s="310"/>
      <c r="U591" s="310"/>
      <c r="V591" s="4"/>
      <c r="W591" s="4"/>
      <c r="X591" s="4"/>
      <c r="Y591" s="4"/>
      <c r="Z591" s="4"/>
      <c r="AA591" s="4"/>
      <c r="AB591" s="380" t="str">
        <f>VLOOKUP($B591,'D7 - NDB Impacted SPRF''s'!$E$16:$O$9929,4,FALSE)</f>
        <v>Completed</v>
      </c>
      <c r="AC591" s="380" t="str">
        <f>VLOOKUP($B591,'D7 - NDB Impacted SPRF''s'!$E$16:$O$9929,3,FALSE)</f>
        <v>UnitedHealthcare Employer &amp; Individual</v>
      </c>
      <c r="AD591" s="380" t="str">
        <f>VLOOKUP($B591,'D7 - NDB Impacted SPRF''s'!$E$16:$O$9929,5,FALSE)</f>
        <v>Integration Requirements</v>
      </c>
      <c r="AE591" s="380" t="str">
        <f>VLOOKUP($B591,'D7 - NDB Impacted SPRF''s'!$E$16:$O$9929,7,FALSE)</f>
        <v>Tim Kaja</v>
      </c>
      <c r="AF591" s="380" t="str">
        <f>VLOOKUP($B591,'D7 - NDB Impacted SPRF''s'!$E$16:$O$9929,6,FALSE)</f>
        <v>MARCIA MONACO</v>
      </c>
      <c r="AG591" s="282"/>
      <c r="AH591" s="311" t="e">
        <f>INDEX('D5 - Gatekeeper - Projects'!$A$4:$AF$1010,$AM591, 17)</f>
        <v>#N/A</v>
      </c>
      <c r="AI591" s="8"/>
      <c r="AJ591" s="57"/>
      <c r="AK591" s="105"/>
      <c r="AM591" s="6" t="e">
        <f>MATCH(D591,'D5 - Gatekeeper - Projects'!$C$4:$C$1010,0)</f>
        <v>#N/A</v>
      </c>
      <c r="AN591" s="6" t="b">
        <f t="shared" si="51"/>
        <v>1</v>
      </c>
      <c r="AO591" s="6" t="str">
        <f t="shared" si="54"/>
        <v>OK</v>
      </c>
      <c r="AQ591" s="6" t="e">
        <f>MATCH($D591,'D4 - Provider Council Unsched'!$C$11:$C$234,0)</f>
        <v>#N/A</v>
      </c>
      <c r="AR591" s="6" t="b">
        <f t="shared" si="52"/>
        <v>1</v>
      </c>
      <c r="AS591" s="6" t="str">
        <f t="shared" si="55"/>
        <v>OK</v>
      </c>
      <c r="AU591" s="202"/>
      <c r="AV591" s="262"/>
      <c r="AW591" s="274"/>
    </row>
    <row r="592" spans="1:49" s="13" customFormat="1" ht="33.75" x14ac:dyDescent="0.2">
      <c r="A592" s="14">
        <v>568</v>
      </c>
      <c r="B592" s="14">
        <v>400003395</v>
      </c>
      <c r="C592" s="8" t="s">
        <v>5197</v>
      </c>
      <c r="D592" s="4" t="str">
        <f t="shared" si="53"/>
        <v>400003395R1</v>
      </c>
      <c r="E592" s="309" t="str">
        <f>VLOOKUP($B592,'D7 - NDB Impacted SPRF''s'!$E$6:$O$9929,2,FALSE)</f>
        <v>Provider TSO File Update</v>
      </c>
      <c r="F592" s="8" t="s">
        <v>3235</v>
      </c>
      <c r="G592" s="8" t="s">
        <v>4758</v>
      </c>
      <c r="H592" s="8" t="s">
        <v>4246</v>
      </c>
      <c r="I592" s="20">
        <v>8.8800000000000008</v>
      </c>
      <c r="J592" s="8" t="s">
        <v>4862</v>
      </c>
      <c r="K592" s="182">
        <v>39018</v>
      </c>
      <c r="L592" s="8" t="s">
        <v>5743</v>
      </c>
      <c r="M592" s="8" t="s">
        <v>2814</v>
      </c>
      <c r="N592" s="38" t="s">
        <v>5827</v>
      </c>
      <c r="O592" s="8"/>
      <c r="P592" s="4" t="str">
        <f>VLOOKUP($B592,'D7 - NDB Impacted SPRF''s'!$E$16:$O$9929,9,FALSE)</f>
        <v>N</v>
      </c>
      <c r="Q592" s="4" t="str">
        <f>VLOOKUP($B592,'D7 - NDB Impacted SPRF''s'!$E$16:$O$9929,10,FALSE)</f>
        <v>N</v>
      </c>
      <c r="R592" s="4" t="str">
        <f>VLOOKUP($B592,'D7 - NDB Impacted SPRF''s'!$E$16:$O$9929,11,FALSE)</f>
        <v>N</v>
      </c>
      <c r="S592" s="8" t="s">
        <v>3758</v>
      </c>
      <c r="T592" s="310"/>
      <c r="U592" s="310"/>
      <c r="V592" s="4"/>
      <c r="W592" s="4"/>
      <c r="X592" s="4"/>
      <c r="Y592" s="4"/>
      <c r="Z592" s="4"/>
      <c r="AA592" s="4"/>
      <c r="AB592" s="380" t="str">
        <f>VLOOKUP($B592,'D7 - NDB Impacted SPRF''s'!$E$16:$O$9929,4,FALSE)</f>
        <v>Completed</v>
      </c>
      <c r="AC592" s="380" t="str">
        <f>VLOOKUP($B592,'D7 - NDB Impacted SPRF''s'!$E$16:$O$9929,3,FALSE)</f>
        <v>UnitedHealthcare Employer &amp; Individual</v>
      </c>
      <c r="AD592" s="380" t="str">
        <f>VLOOKUP($B592,'D7 - NDB Impacted SPRF''s'!$E$16:$O$9929,5,FALSE)</f>
        <v>Network Growth / Enhancements</v>
      </c>
      <c r="AE592" s="380" t="str">
        <f>VLOOKUP($B592,'D7 - NDB Impacted SPRF''s'!$E$16:$O$9929,7,FALSE)</f>
        <v>Lori Pomroy/Dawn Bazarko</v>
      </c>
      <c r="AF592" s="380" t="str">
        <f>VLOOKUP($B592,'D7 - NDB Impacted SPRF''s'!$E$16:$O$9929,6,FALSE)</f>
        <v>STEPHEN FINLEY</v>
      </c>
      <c r="AG592" s="282" t="s">
        <v>7755</v>
      </c>
      <c r="AH592" s="311" t="e">
        <f>INDEX('D5 - Gatekeeper - Projects'!$A$4:$AF$1010,$AM592, 17)</f>
        <v>#N/A</v>
      </c>
      <c r="AI592" s="8"/>
      <c r="AJ592" s="57"/>
      <c r="AK592" s="105"/>
      <c r="AM592" s="6" t="e">
        <f>MATCH(D592,'D5 - Gatekeeper - Projects'!$C$4:$C$1010,0)</f>
        <v>#N/A</v>
      </c>
      <c r="AN592" s="6" t="b">
        <f t="shared" si="51"/>
        <v>1</v>
      </c>
      <c r="AO592" s="6" t="str">
        <f t="shared" si="54"/>
        <v>OK</v>
      </c>
      <c r="AQ592" s="6" t="e">
        <f>MATCH($D592,'D4 - Provider Council Unsched'!$C$11:$C$234,0)</f>
        <v>#N/A</v>
      </c>
      <c r="AR592" s="6" t="b">
        <f t="shared" si="52"/>
        <v>1</v>
      </c>
      <c r="AS592" s="6" t="str">
        <f t="shared" si="55"/>
        <v>OK</v>
      </c>
      <c r="AU592" s="202"/>
      <c r="AV592" s="262"/>
      <c r="AW592" s="274"/>
    </row>
    <row r="593" spans="1:49" s="13" customFormat="1" ht="33.75" x14ac:dyDescent="0.2">
      <c r="A593" s="14">
        <v>569</v>
      </c>
      <c r="B593" s="14">
        <v>400006515</v>
      </c>
      <c r="C593" s="8" t="s">
        <v>5197</v>
      </c>
      <c r="D593" s="4" t="str">
        <f t="shared" si="53"/>
        <v>400006515R1</v>
      </c>
      <c r="E593" s="309" t="str">
        <f>VLOOKUP($B593,'D7 - NDB Impacted SPRF''s'!$E$6:$O$9929,2,FALSE)</f>
        <v>PTE NDB Table TIN Exclusion/Inclusion Fix</v>
      </c>
      <c r="F593" s="8" t="s">
        <v>1933</v>
      </c>
      <c r="G593" s="8" t="s">
        <v>4758</v>
      </c>
      <c r="H593" s="8" t="s">
        <v>4246</v>
      </c>
      <c r="I593" s="20">
        <v>5</v>
      </c>
      <c r="J593" s="8" t="s">
        <v>4862</v>
      </c>
      <c r="K593" s="182">
        <v>39018</v>
      </c>
      <c r="L593" s="8" t="s">
        <v>5743</v>
      </c>
      <c r="M593" s="8" t="s">
        <v>2814</v>
      </c>
      <c r="N593" s="38" t="s">
        <v>4284</v>
      </c>
      <c r="O593" s="8"/>
      <c r="P593" s="4" t="str">
        <f>VLOOKUP($B593,'D7 - NDB Impacted SPRF''s'!$E$16:$O$9929,9,FALSE)</f>
        <v>Y</v>
      </c>
      <c r="Q593" s="4" t="str">
        <f>VLOOKUP($B593,'D7 - NDB Impacted SPRF''s'!$E$16:$O$9929,10,FALSE)</f>
        <v>N</v>
      </c>
      <c r="R593" s="4" t="str">
        <f>VLOOKUP($B593,'D7 - NDB Impacted SPRF''s'!$E$16:$O$9929,11,FALSE)</f>
        <v>N</v>
      </c>
      <c r="S593" s="8" t="s">
        <v>3758</v>
      </c>
      <c r="T593" s="310"/>
      <c r="U593" s="310"/>
      <c r="V593" s="4"/>
      <c r="W593" s="4"/>
      <c r="X593" s="4"/>
      <c r="Y593" s="4"/>
      <c r="Z593" s="4"/>
      <c r="AA593" s="4"/>
      <c r="AB593" s="380" t="str">
        <f>VLOOKUP($B593,'D7 - NDB Impacted SPRF''s'!$E$16:$O$9929,4,FALSE)</f>
        <v>Completed</v>
      </c>
      <c r="AC593" s="380" t="str">
        <f>VLOOKUP($B593,'D7 - NDB Impacted SPRF''s'!$E$16:$O$9929,3,FALSE)</f>
        <v>UnitedHealthcare Employer &amp; Individual</v>
      </c>
      <c r="AD593" s="380" t="str">
        <f>VLOOKUP($B593,'D7 - NDB Impacted SPRF''s'!$E$16:$O$9929,5,FALSE)</f>
        <v>Network Growth / Enhancements</v>
      </c>
      <c r="AE593" s="380" t="str">
        <f>VLOOKUP($B593,'D7 - NDB Impacted SPRF''s'!$E$16:$O$9929,7,FALSE)</f>
        <v>Dan Kueter</v>
      </c>
      <c r="AF593" s="380" t="str">
        <f>VLOOKUP($B593,'D7 - NDB Impacted SPRF''s'!$E$16:$O$9929,6,FALSE)</f>
        <v>Christine Martin-Peterson</v>
      </c>
      <c r="AG593" s="282" t="s">
        <v>7755</v>
      </c>
      <c r="AH593" s="311" t="e">
        <f>INDEX('D5 - Gatekeeper - Projects'!$A$4:$AF$1010,$AM593, 17)</f>
        <v>#N/A</v>
      </c>
      <c r="AI593" s="8"/>
      <c r="AJ593" s="57"/>
      <c r="AK593" s="105"/>
      <c r="AM593" s="6" t="e">
        <f>MATCH(D593,'D5 - Gatekeeper - Projects'!$C$4:$C$1010,0)</f>
        <v>#N/A</v>
      </c>
      <c r="AN593" s="6" t="b">
        <f t="shared" ref="AN593:AN656" si="56">ISERROR(AM593)</f>
        <v>1</v>
      </c>
      <c r="AO593" s="6" t="str">
        <f t="shared" si="54"/>
        <v>OK</v>
      </c>
      <c r="AQ593" s="6" t="e">
        <f>MATCH($D593,'D4 - Provider Council Unsched'!$C$11:$C$234,0)</f>
        <v>#N/A</v>
      </c>
      <c r="AR593" s="6" t="b">
        <f t="shared" ref="AR593:AR656" si="57">ISERROR(AQ593)</f>
        <v>1</v>
      </c>
      <c r="AS593" s="6" t="str">
        <f t="shared" si="55"/>
        <v>OK</v>
      </c>
      <c r="AU593" s="202"/>
      <c r="AV593" s="262"/>
      <c r="AW593" s="274"/>
    </row>
    <row r="594" spans="1:49" s="13" customFormat="1" ht="33.75" x14ac:dyDescent="0.2">
      <c r="A594" s="14">
        <v>570</v>
      </c>
      <c r="B594" s="14">
        <v>400006965</v>
      </c>
      <c r="C594" s="8" t="s">
        <v>5197</v>
      </c>
      <c r="D594" s="4" t="str">
        <f t="shared" ref="D594:D657" si="58">CONCATENATE(B594,C594)</f>
        <v>400006965R1</v>
      </c>
      <c r="E594" s="309" t="str">
        <f>VLOOKUP($B594,'D7 - NDB Impacted SPRF''s'!$E$6:$O$9929,2,FALSE)</f>
        <v>PTE NDB Table One Org Type Per Specialty</v>
      </c>
      <c r="F594" s="8" t="s">
        <v>1933</v>
      </c>
      <c r="G594" s="8" t="s">
        <v>4758</v>
      </c>
      <c r="H594" s="8" t="s">
        <v>4246</v>
      </c>
      <c r="I594" s="20">
        <v>1.6</v>
      </c>
      <c r="J594" s="8" t="s">
        <v>4862</v>
      </c>
      <c r="K594" s="182">
        <v>39018</v>
      </c>
      <c r="L594" s="8" t="s">
        <v>5743</v>
      </c>
      <c r="M594" s="8" t="s">
        <v>2814</v>
      </c>
      <c r="N594" s="38" t="s">
        <v>4284</v>
      </c>
      <c r="O594" s="8"/>
      <c r="P594" s="4" t="str">
        <f>VLOOKUP($B594,'D7 - NDB Impacted SPRF''s'!$E$16:$O$9929,9,FALSE)</f>
        <v>Y</v>
      </c>
      <c r="Q594" s="4" t="str">
        <f>VLOOKUP($B594,'D7 - NDB Impacted SPRF''s'!$E$16:$O$9929,10,FALSE)</f>
        <v>N</v>
      </c>
      <c r="R594" s="4" t="str">
        <f>VLOOKUP($B594,'D7 - NDB Impacted SPRF''s'!$E$16:$O$9929,11,FALSE)</f>
        <v>N</v>
      </c>
      <c r="S594" s="8" t="s">
        <v>3758</v>
      </c>
      <c r="T594" s="310"/>
      <c r="U594" s="310"/>
      <c r="V594" s="4"/>
      <c r="W594" s="4"/>
      <c r="X594" s="4"/>
      <c r="Y594" s="4"/>
      <c r="Z594" s="4"/>
      <c r="AA594" s="4"/>
      <c r="AB594" s="380" t="str">
        <f>VLOOKUP($B594,'D7 - NDB Impacted SPRF''s'!$E$16:$O$9929,4,FALSE)</f>
        <v>Completed</v>
      </c>
      <c r="AC594" s="380" t="str">
        <f>VLOOKUP($B594,'D7 - NDB Impacted SPRF''s'!$E$16:$O$9929,3,FALSE)</f>
        <v>UnitedHealthcare Employer &amp; Individual</v>
      </c>
      <c r="AD594" s="380" t="str">
        <f>VLOOKUP($B594,'D7 - NDB Impacted SPRF''s'!$E$16:$O$9929,5,FALSE)</f>
        <v>Network Growth / Enhancements</v>
      </c>
      <c r="AE594" s="380" t="str">
        <f>VLOOKUP($B594,'D7 - NDB Impacted SPRF''s'!$E$16:$O$9929,7,FALSE)</f>
        <v>Dan Kueter</v>
      </c>
      <c r="AF594" s="380" t="str">
        <f>VLOOKUP($B594,'D7 - NDB Impacted SPRF''s'!$E$16:$O$9929,6,FALSE)</f>
        <v>Christine Martin-Peterson</v>
      </c>
      <c r="AG594" s="282" t="s">
        <v>7755</v>
      </c>
      <c r="AH594" s="311" t="e">
        <f>INDEX('D5 - Gatekeeper - Projects'!$A$4:$AF$1010,$AM594, 17)</f>
        <v>#N/A</v>
      </c>
      <c r="AI594" s="8"/>
      <c r="AJ594" s="57"/>
      <c r="AK594" s="105"/>
      <c r="AM594" s="6" t="e">
        <f>MATCH(D594,'D5 - Gatekeeper - Projects'!$C$4:$C$1010,0)</f>
        <v>#N/A</v>
      </c>
      <c r="AN594" s="6" t="b">
        <f t="shared" si="56"/>
        <v>1</v>
      </c>
      <c r="AO594" s="6" t="str">
        <f t="shared" ref="AO594:AO657" si="59">IF(AND(H594="1 - Scheduled",AN594=TRUE),"Add","OK")</f>
        <v>OK</v>
      </c>
      <c r="AQ594" s="6" t="e">
        <f>MATCH($D594,'D4 - Provider Council Unsched'!$C$11:$C$234,0)</f>
        <v>#N/A</v>
      </c>
      <c r="AR594" s="6" t="b">
        <f t="shared" si="57"/>
        <v>1</v>
      </c>
      <c r="AS594" s="6" t="str">
        <f t="shared" si="55"/>
        <v>OK</v>
      </c>
      <c r="AU594" s="202"/>
      <c r="AV594" s="262"/>
      <c r="AW594" s="274"/>
    </row>
    <row r="595" spans="1:49" s="13" customFormat="1" ht="22.5" x14ac:dyDescent="0.2">
      <c r="A595" s="14">
        <v>571</v>
      </c>
      <c r="B595" s="14">
        <v>400007602</v>
      </c>
      <c r="C595" s="8" t="s">
        <v>5197</v>
      </c>
      <c r="D595" s="4" t="str">
        <f t="shared" si="58"/>
        <v>400007602R1</v>
      </c>
      <c r="E595" s="309" t="str">
        <f>VLOOKUP($B595,'D7 - NDB Impacted SPRF''s'!$E$6:$O$9929,2,FALSE)</f>
        <v>HPHC2-DataSharing-MedImpact (Accumulators)</v>
      </c>
      <c r="F595" s="8" t="s">
        <v>5196</v>
      </c>
      <c r="G595" s="8" t="s">
        <v>4758</v>
      </c>
      <c r="H595" s="8" t="s">
        <v>4246</v>
      </c>
      <c r="I595" s="20">
        <v>3.2</v>
      </c>
      <c r="J595" s="8" t="s">
        <v>4862</v>
      </c>
      <c r="K595" s="182">
        <v>39018</v>
      </c>
      <c r="L595" s="8" t="s">
        <v>5743</v>
      </c>
      <c r="M595" s="8" t="s">
        <v>2814</v>
      </c>
      <c r="N595" s="368" t="s">
        <v>7206</v>
      </c>
      <c r="O595" s="8"/>
      <c r="P595" s="4" t="str">
        <f>VLOOKUP($B595,'D7 - NDB Impacted SPRF''s'!$E$16:$O$9929,9,FALSE)</f>
        <v>Y</v>
      </c>
      <c r="Q595" s="4" t="str">
        <f>VLOOKUP($B595,'D7 - NDB Impacted SPRF''s'!$E$16:$O$9929,10,FALSE)</f>
        <v>N</v>
      </c>
      <c r="R595" s="4" t="str">
        <f>VLOOKUP($B595,'D7 - NDB Impacted SPRF''s'!$E$16:$O$9929,11,FALSE)</f>
        <v>N</v>
      </c>
      <c r="S595" s="8"/>
      <c r="T595" s="310"/>
      <c r="U595" s="310"/>
      <c r="V595" s="4"/>
      <c r="W595" s="4"/>
      <c r="X595" s="4"/>
      <c r="Y595" s="4"/>
      <c r="Z595" s="4"/>
      <c r="AA595" s="4"/>
      <c r="AB595" s="380" t="str">
        <f>VLOOKUP($B595,'D7 - NDB Impacted SPRF''s'!$E$16:$O$9929,4,FALSE)</f>
        <v>Completed</v>
      </c>
      <c r="AC595" s="380" t="str">
        <f>VLOOKUP($B595,'D7 - NDB Impacted SPRF''s'!$E$16:$O$9929,3,FALSE)</f>
        <v>Alliance</v>
      </c>
      <c r="AD595" s="380" t="str">
        <f>VLOOKUP($B595,'D7 - NDB Impacted SPRF''s'!$E$16:$O$9929,5,FALSE)</f>
        <v>Harvard Pilgrim Service Alliance</v>
      </c>
      <c r="AE595" s="380" t="str">
        <f>VLOOKUP($B595,'D7 - NDB Impacted SPRF''s'!$E$16:$O$9929,7,FALSE)</f>
        <v>Diane Schofield</v>
      </c>
      <c r="AF595" s="380" t="str">
        <f>VLOOKUP($B595,'D7 - NDB Impacted SPRF''s'!$E$16:$O$9929,6,FALSE)</f>
        <v>Tara Lund</v>
      </c>
      <c r="AG595" s="282" t="s">
        <v>7755</v>
      </c>
      <c r="AH595" s="311" t="e">
        <f>INDEX('D5 - Gatekeeper - Projects'!$A$4:$AF$1010,$AM595, 17)</f>
        <v>#N/A</v>
      </c>
      <c r="AI595" s="8"/>
      <c r="AJ595" s="57"/>
      <c r="AK595" s="105"/>
      <c r="AM595" s="6" t="e">
        <f>MATCH(D595,'D5 - Gatekeeper - Projects'!$C$4:$C$1010,0)</f>
        <v>#N/A</v>
      </c>
      <c r="AN595" s="6" t="b">
        <f t="shared" si="56"/>
        <v>1</v>
      </c>
      <c r="AO595" s="6" t="str">
        <f t="shared" si="59"/>
        <v>OK</v>
      </c>
      <c r="AQ595" s="6" t="e">
        <f>MATCH($D595,'D4 - Provider Council Unsched'!$C$11:$C$234,0)</f>
        <v>#N/A</v>
      </c>
      <c r="AR595" s="6" t="b">
        <f t="shared" si="57"/>
        <v>1</v>
      </c>
      <c r="AS595" s="6" t="str">
        <f t="shared" si="55"/>
        <v>OK</v>
      </c>
      <c r="AU595" s="202"/>
      <c r="AV595" s="262"/>
      <c r="AW595" s="274"/>
    </row>
    <row r="596" spans="1:49" s="13" customFormat="1" ht="22.5" x14ac:dyDescent="0.2">
      <c r="A596" s="14">
        <v>572</v>
      </c>
      <c r="B596" s="14">
        <v>400007971</v>
      </c>
      <c r="C596" s="8" t="s">
        <v>6895</v>
      </c>
      <c r="D596" s="4" t="str">
        <f t="shared" si="58"/>
        <v>400007971R6</v>
      </c>
      <c r="E596" s="309" t="str">
        <f>VLOOKUP($B596,'D7 - NDB Impacted SPRF''s'!$E$6:$O$9929,2,FALSE)</f>
        <v>DTRs for UT Applications</v>
      </c>
      <c r="F596" s="8" t="s">
        <v>8133</v>
      </c>
      <c r="G596" s="8" t="s">
        <v>4758</v>
      </c>
      <c r="H596" s="8" t="s">
        <v>4246</v>
      </c>
      <c r="I596" s="20">
        <v>2</v>
      </c>
      <c r="J596" s="8" t="s">
        <v>4862</v>
      </c>
      <c r="K596" s="182">
        <v>39018</v>
      </c>
      <c r="L596" s="8" t="s">
        <v>5743</v>
      </c>
      <c r="M596" s="8" t="s">
        <v>2814</v>
      </c>
      <c r="N596" s="367"/>
      <c r="O596" s="8"/>
      <c r="P596" s="4" t="str">
        <f>VLOOKUP($B596,'D7 - NDB Impacted SPRF''s'!$E$16:$O$9929,9,FALSE)</f>
        <v>Y</v>
      </c>
      <c r="Q596" s="4" t="str">
        <f>VLOOKUP($B596,'D7 - NDB Impacted SPRF''s'!$E$16:$O$9929,10,FALSE)</f>
        <v>N</v>
      </c>
      <c r="R596" s="4" t="str">
        <f>VLOOKUP($B596,'D7 - NDB Impacted SPRF''s'!$E$16:$O$9929,11,FALSE)</f>
        <v>N</v>
      </c>
      <c r="S596" s="8" t="s">
        <v>3758</v>
      </c>
      <c r="T596" s="310"/>
      <c r="U596" s="310"/>
      <c r="V596" s="4"/>
      <c r="W596" s="4"/>
      <c r="X596" s="4"/>
      <c r="Y596" s="4"/>
      <c r="Z596" s="4"/>
      <c r="AA596" s="4"/>
      <c r="AB596" s="380" t="str">
        <f>VLOOKUP($B596,'D7 - NDB Impacted SPRF''s'!$E$16:$O$9929,4,FALSE)</f>
        <v>Completed</v>
      </c>
      <c r="AC596" s="380" t="str">
        <f>VLOOKUP($B596,'D7 - NDB Impacted SPRF''s'!$E$16:$O$9929,3,FALSE)</f>
        <v>Uniprise</v>
      </c>
      <c r="AD596" s="380" t="str">
        <f>VLOOKUP($B596,'D7 - NDB Impacted SPRF''s'!$E$16:$O$9929,5,FALSE)</f>
        <v>Uniprise Technologies - Capital Projects</v>
      </c>
      <c r="AE596" s="380" t="str">
        <f>VLOOKUP($B596,'D7 - NDB Impacted SPRF''s'!$E$16:$O$9929,7,FALSE)</f>
        <v>Steven Penn</v>
      </c>
      <c r="AF596" s="380" t="str">
        <f>VLOOKUP($B596,'D7 - NDB Impacted SPRF''s'!$E$16:$O$9929,6,FALSE)</f>
        <v>Jeffrey Jablonski</v>
      </c>
      <c r="AG596" s="282"/>
      <c r="AH596" s="311" t="e">
        <f>INDEX('D5 - Gatekeeper - Projects'!$A$4:$AF$1010,$AM596, 17)</f>
        <v>#N/A</v>
      </c>
      <c r="AI596" s="8"/>
      <c r="AJ596" s="57"/>
      <c r="AK596" s="105"/>
      <c r="AM596" s="6" t="e">
        <f>MATCH(D596,'D5 - Gatekeeper - Projects'!$C$4:$C$1010,0)</f>
        <v>#N/A</v>
      </c>
      <c r="AN596" s="6" t="b">
        <f t="shared" si="56"/>
        <v>1</v>
      </c>
      <c r="AO596" s="6" t="str">
        <f t="shared" si="59"/>
        <v>OK</v>
      </c>
      <c r="AQ596" s="6" t="e">
        <f>MATCH($D596,'D4 - Provider Council Unsched'!$C$11:$C$234,0)</f>
        <v>#N/A</v>
      </c>
      <c r="AR596" s="6" t="b">
        <f t="shared" si="57"/>
        <v>1</v>
      </c>
      <c r="AS596" s="6" t="str">
        <f t="shared" si="55"/>
        <v>OK</v>
      </c>
      <c r="AU596" s="202"/>
      <c r="AV596" s="262"/>
      <c r="AW596" s="274"/>
    </row>
    <row r="597" spans="1:49" s="13" customFormat="1" ht="22.5" x14ac:dyDescent="0.2">
      <c r="A597" s="14">
        <v>573</v>
      </c>
      <c r="B597" s="14">
        <v>400008004</v>
      </c>
      <c r="C597" s="8" t="s">
        <v>5197</v>
      </c>
      <c r="D597" s="4" t="str">
        <f t="shared" si="58"/>
        <v>400008004R1</v>
      </c>
      <c r="E597" s="309" t="str">
        <f>VLOOKUP($B597,'D7 - NDB Impacted SPRF''s'!$E$6:$O$9929,2,FALSE)</f>
        <v>HPHC2-datasharing-Staging Area Integration</v>
      </c>
      <c r="F597" s="8" t="s">
        <v>5196</v>
      </c>
      <c r="G597" s="8" t="s">
        <v>4758</v>
      </c>
      <c r="H597" s="8" t="s">
        <v>4246</v>
      </c>
      <c r="I597" s="20">
        <v>9.93</v>
      </c>
      <c r="J597" s="8" t="s">
        <v>4862</v>
      </c>
      <c r="K597" s="182">
        <v>39018</v>
      </c>
      <c r="L597" s="8" t="s">
        <v>5743</v>
      </c>
      <c r="M597" s="8" t="s">
        <v>2814</v>
      </c>
      <c r="N597" s="65" t="s">
        <v>4519</v>
      </c>
      <c r="O597" s="8"/>
      <c r="P597" s="4" t="str">
        <f>VLOOKUP($B597,'D7 - NDB Impacted SPRF''s'!$E$16:$O$9929,9,FALSE)</f>
        <v>N</v>
      </c>
      <c r="Q597" s="4" t="str">
        <f>VLOOKUP($B597,'D7 - NDB Impacted SPRF''s'!$E$16:$O$9929,10,FALSE)</f>
        <v>N</v>
      </c>
      <c r="R597" s="4" t="str">
        <f>VLOOKUP($B597,'D7 - NDB Impacted SPRF''s'!$E$16:$O$9929,11,FALSE)</f>
        <v>N</v>
      </c>
      <c r="S597" s="8"/>
      <c r="T597" s="310"/>
      <c r="U597" s="310"/>
      <c r="V597" s="4"/>
      <c r="W597" s="4"/>
      <c r="X597" s="4"/>
      <c r="Y597" s="4"/>
      <c r="Z597" s="4"/>
      <c r="AA597" s="4"/>
      <c r="AB597" s="380" t="str">
        <f>VLOOKUP($B597,'D7 - NDB Impacted SPRF''s'!$E$16:$O$9929,4,FALSE)</f>
        <v>Completed</v>
      </c>
      <c r="AC597" s="380" t="str">
        <f>VLOOKUP($B597,'D7 - NDB Impacted SPRF''s'!$E$16:$O$9929,3,FALSE)</f>
        <v>Alliance</v>
      </c>
      <c r="AD597" s="380" t="str">
        <f>VLOOKUP($B597,'D7 - NDB Impacted SPRF''s'!$E$16:$O$9929,5,FALSE)</f>
        <v>Harvard Pilgrim Service Alliance</v>
      </c>
      <c r="AE597" s="380" t="str">
        <f>VLOOKUP($B597,'D7 - NDB Impacted SPRF''s'!$E$16:$O$9929,7,FALSE)</f>
        <v>Bev Nyce</v>
      </c>
      <c r="AF597" s="380" t="str">
        <f>VLOOKUP($B597,'D7 - NDB Impacted SPRF''s'!$E$16:$O$9929,6,FALSE)</f>
        <v>KARLA KRAFT</v>
      </c>
      <c r="AG597" s="282" t="s">
        <v>7755</v>
      </c>
      <c r="AH597" s="311" t="e">
        <f>INDEX('D5 - Gatekeeper - Projects'!$A$4:$AF$1010,$AM597, 17)</f>
        <v>#N/A</v>
      </c>
      <c r="AI597" s="8"/>
      <c r="AJ597" s="57"/>
      <c r="AK597" s="105"/>
      <c r="AM597" s="6" t="e">
        <f>MATCH(D597,'D5 - Gatekeeper - Projects'!$C$4:$C$1010,0)</f>
        <v>#N/A</v>
      </c>
      <c r="AN597" s="6" t="b">
        <f t="shared" si="56"/>
        <v>1</v>
      </c>
      <c r="AO597" s="6" t="str">
        <f t="shared" si="59"/>
        <v>OK</v>
      </c>
      <c r="AQ597" s="6" t="e">
        <f>MATCH($D597,'D4 - Provider Council Unsched'!$C$11:$C$234,0)</f>
        <v>#N/A</v>
      </c>
      <c r="AR597" s="6" t="b">
        <f t="shared" si="57"/>
        <v>1</v>
      </c>
      <c r="AS597" s="6" t="str">
        <f t="shared" si="55"/>
        <v>OK</v>
      </c>
      <c r="AU597" s="202"/>
      <c r="AV597" s="262"/>
      <c r="AW597" s="274"/>
    </row>
    <row r="598" spans="1:49" s="13" customFormat="1" ht="22.5" x14ac:dyDescent="0.2">
      <c r="A598" s="14">
        <v>574</v>
      </c>
      <c r="B598" s="14">
        <v>400008006</v>
      </c>
      <c r="C598" s="8" t="s">
        <v>5197</v>
      </c>
      <c r="D598" s="4" t="str">
        <f t="shared" si="58"/>
        <v>400008006R1</v>
      </c>
      <c r="E598" s="309" t="str">
        <f>VLOOKUP($B598,'D7 - NDB Impacted SPRF''s'!$E$6:$O$9929,2,FALSE)</f>
        <v>HPHC2-DataSharing-PBH Integration</v>
      </c>
      <c r="F598" s="8" t="s">
        <v>5196</v>
      </c>
      <c r="G598" s="8" t="s">
        <v>4758</v>
      </c>
      <c r="H598" s="8" t="s">
        <v>4246</v>
      </c>
      <c r="I598" s="20">
        <v>1.07</v>
      </c>
      <c r="J598" s="8" t="s">
        <v>4862</v>
      </c>
      <c r="K598" s="182">
        <v>39018</v>
      </c>
      <c r="L598" s="8" t="s">
        <v>5743</v>
      </c>
      <c r="M598" s="8" t="s">
        <v>2814</v>
      </c>
      <c r="N598" s="65" t="s">
        <v>5701</v>
      </c>
      <c r="O598" s="8"/>
      <c r="P598" s="4" t="str">
        <f>VLOOKUP($B598,'D7 - NDB Impacted SPRF''s'!$E$16:$O$9929,9,FALSE)</f>
        <v>Y</v>
      </c>
      <c r="Q598" s="4" t="str">
        <f>VLOOKUP($B598,'D7 - NDB Impacted SPRF''s'!$E$16:$O$9929,10,FALSE)</f>
        <v>N</v>
      </c>
      <c r="R598" s="4" t="str">
        <f>VLOOKUP($B598,'D7 - NDB Impacted SPRF''s'!$E$16:$O$9929,11,FALSE)</f>
        <v>N</v>
      </c>
      <c r="S598" s="8"/>
      <c r="T598" s="310"/>
      <c r="U598" s="310"/>
      <c r="V598" s="4"/>
      <c r="W598" s="4"/>
      <c r="X598" s="4"/>
      <c r="Y598" s="4"/>
      <c r="Z598" s="4"/>
      <c r="AA598" s="4"/>
      <c r="AB598" s="380" t="str">
        <f>VLOOKUP($B598,'D7 - NDB Impacted SPRF''s'!$E$16:$O$9929,4,FALSE)</f>
        <v>Completed</v>
      </c>
      <c r="AC598" s="380" t="str">
        <f>VLOOKUP($B598,'D7 - NDB Impacted SPRF''s'!$E$16:$O$9929,3,FALSE)</f>
        <v>Alliance</v>
      </c>
      <c r="AD598" s="380" t="str">
        <f>VLOOKUP($B598,'D7 - NDB Impacted SPRF''s'!$E$16:$O$9929,5,FALSE)</f>
        <v>Harvard Pilgrim Service Alliance</v>
      </c>
      <c r="AE598" s="380" t="str">
        <f>VLOOKUP($B598,'D7 - NDB Impacted SPRF''s'!$E$16:$O$9929,7,FALSE)</f>
        <v>Bev Nyce</v>
      </c>
      <c r="AF598" s="380" t="str">
        <f>VLOOKUP($B598,'D7 - NDB Impacted SPRF''s'!$E$16:$O$9929,6,FALSE)</f>
        <v>TERRENCE HUDSON</v>
      </c>
      <c r="AG598" s="282" t="s">
        <v>7755</v>
      </c>
      <c r="AH598" s="311" t="e">
        <f>INDEX('D5 - Gatekeeper - Projects'!$A$4:$AF$1010,$AM598, 17)</f>
        <v>#N/A</v>
      </c>
      <c r="AI598" s="8"/>
      <c r="AJ598" s="57"/>
      <c r="AK598" s="105"/>
      <c r="AM598" s="6" t="e">
        <f>MATCH(D598,'D5 - Gatekeeper - Projects'!$C$4:$C$1010,0)</f>
        <v>#N/A</v>
      </c>
      <c r="AN598" s="6" t="b">
        <f t="shared" si="56"/>
        <v>1</v>
      </c>
      <c r="AO598" s="6" t="str">
        <f t="shared" si="59"/>
        <v>OK</v>
      </c>
      <c r="AQ598" s="6" t="e">
        <f>MATCH($D598,'D4 - Provider Council Unsched'!$C$11:$C$234,0)</f>
        <v>#N/A</v>
      </c>
      <c r="AR598" s="6" t="b">
        <f t="shared" si="57"/>
        <v>1</v>
      </c>
      <c r="AS598" s="6" t="str">
        <f t="shared" si="55"/>
        <v>OK</v>
      </c>
      <c r="AU598" s="202"/>
      <c r="AV598" s="262"/>
      <c r="AW598" s="274"/>
    </row>
    <row r="599" spans="1:49" s="13" customFormat="1" ht="33.75" x14ac:dyDescent="0.2">
      <c r="A599" s="14">
        <v>575</v>
      </c>
      <c r="B599" s="14">
        <v>400008008</v>
      </c>
      <c r="C599" s="8" t="s">
        <v>5197</v>
      </c>
      <c r="D599" s="4" t="str">
        <f t="shared" si="58"/>
        <v>400008008R1</v>
      </c>
      <c r="E599" s="309" t="str">
        <f>VLOOKUP($B599,'D7 - NDB Impacted SPRF''s'!$E$6:$O$9929,2,FALSE)</f>
        <v>HPHC1-DataSharing-eCare Integration</v>
      </c>
      <c r="F599" s="8" t="s">
        <v>5196</v>
      </c>
      <c r="G599" s="8" t="s">
        <v>4758</v>
      </c>
      <c r="H599" s="8" t="s">
        <v>4246</v>
      </c>
      <c r="I599" s="20">
        <v>1.6</v>
      </c>
      <c r="J599" s="8" t="s">
        <v>4862</v>
      </c>
      <c r="K599" s="182">
        <v>39018</v>
      </c>
      <c r="L599" s="8" t="s">
        <v>5743</v>
      </c>
      <c r="M599" s="8" t="s">
        <v>2814</v>
      </c>
      <c r="N599" s="370" t="s">
        <v>6680</v>
      </c>
      <c r="O599" s="8"/>
      <c r="P599" s="4" t="str">
        <f>VLOOKUP($B599,'D7 - NDB Impacted SPRF''s'!$E$16:$O$9929,9,FALSE)</f>
        <v>Y</v>
      </c>
      <c r="Q599" s="4" t="str">
        <f>VLOOKUP($B599,'D7 - NDB Impacted SPRF''s'!$E$16:$O$9929,10,FALSE)</f>
        <v>N</v>
      </c>
      <c r="R599" s="4" t="str">
        <f>VLOOKUP($B599,'D7 - NDB Impacted SPRF''s'!$E$16:$O$9929,11,FALSE)</f>
        <v>N</v>
      </c>
      <c r="S599" s="8" t="s">
        <v>3758</v>
      </c>
      <c r="T599" s="310"/>
      <c r="U599" s="310"/>
      <c r="V599" s="4"/>
      <c r="W599" s="4"/>
      <c r="X599" s="4"/>
      <c r="Y599" s="4"/>
      <c r="Z599" s="4"/>
      <c r="AA599" s="4"/>
      <c r="AB599" s="380" t="str">
        <f>VLOOKUP($B599,'D7 - NDB Impacted SPRF''s'!$E$16:$O$9929,4,FALSE)</f>
        <v>Completed</v>
      </c>
      <c r="AC599" s="380" t="str">
        <f>VLOOKUP($B599,'D7 - NDB Impacted SPRF''s'!$E$16:$O$9929,3,FALSE)</f>
        <v>Alliance</v>
      </c>
      <c r="AD599" s="380" t="str">
        <f>VLOOKUP($B599,'D7 - NDB Impacted SPRF''s'!$E$16:$O$9929,5,FALSE)</f>
        <v>Harvard Pilgrim Service Alliance</v>
      </c>
      <c r="AE599" s="380" t="str">
        <f>VLOOKUP($B599,'D7 - NDB Impacted SPRF''s'!$E$16:$O$9929,7,FALSE)</f>
        <v>Bev Nyce</v>
      </c>
      <c r="AF599" s="380" t="str">
        <f>VLOOKUP($B599,'D7 - NDB Impacted SPRF''s'!$E$16:$O$9929,6,FALSE)</f>
        <v>Nancy Turner</v>
      </c>
      <c r="AG599" s="282" t="s">
        <v>7755</v>
      </c>
      <c r="AH599" s="311" t="e">
        <f>INDEX('D5 - Gatekeeper - Projects'!$A$4:$AF$1010,$AM599, 17)</f>
        <v>#N/A</v>
      </c>
      <c r="AI599" s="8"/>
      <c r="AJ599" s="57"/>
      <c r="AK599" s="105"/>
      <c r="AM599" s="6" t="e">
        <f>MATCH(D599,'D5 - Gatekeeper - Projects'!$C$4:$C$1010,0)</f>
        <v>#N/A</v>
      </c>
      <c r="AN599" s="6" t="b">
        <f t="shared" si="56"/>
        <v>1</v>
      </c>
      <c r="AO599" s="6" t="str">
        <f t="shared" si="59"/>
        <v>OK</v>
      </c>
      <c r="AQ599" s="6" t="e">
        <f>MATCH($D599,'D4 - Provider Council Unsched'!$C$11:$C$234,0)</f>
        <v>#N/A</v>
      </c>
      <c r="AR599" s="6" t="b">
        <f t="shared" si="57"/>
        <v>1</v>
      </c>
      <c r="AS599" s="6" t="str">
        <f t="shared" si="55"/>
        <v>OK</v>
      </c>
      <c r="AU599" s="202"/>
      <c r="AV599" s="262"/>
      <c r="AW599" s="274"/>
    </row>
    <row r="600" spans="1:49" s="13" customFormat="1" ht="33.75" x14ac:dyDescent="0.2">
      <c r="A600" s="14">
        <v>576</v>
      </c>
      <c r="B600" s="14">
        <v>400008017</v>
      </c>
      <c r="C600" s="8" t="s">
        <v>3763</v>
      </c>
      <c r="D600" s="4" t="str">
        <f t="shared" si="58"/>
        <v>400008017R2</v>
      </c>
      <c r="E600" s="309" t="str">
        <f>VLOOKUP($B600,'D7 - NDB Impacted SPRF''s'!$E$6:$O$9929,2,FALSE)</f>
        <v>CORP1-Infrastructure-Production Pilot Testing</v>
      </c>
      <c r="F600" s="8" t="s">
        <v>5196</v>
      </c>
      <c r="G600" s="8" t="s">
        <v>4758</v>
      </c>
      <c r="H600" s="8" t="s">
        <v>4246</v>
      </c>
      <c r="I600" s="20">
        <v>5</v>
      </c>
      <c r="J600" s="8" t="s">
        <v>4862</v>
      </c>
      <c r="K600" s="182">
        <v>39018</v>
      </c>
      <c r="L600" s="8" t="s">
        <v>5743</v>
      </c>
      <c r="M600" s="8" t="s">
        <v>2814</v>
      </c>
      <c r="N600" s="38" t="s">
        <v>5625</v>
      </c>
      <c r="O600" s="8"/>
      <c r="P600" s="4" t="str">
        <f>VLOOKUP($B600,'D7 - NDB Impacted SPRF''s'!$E$16:$O$9929,9,FALSE)</f>
        <v>Y</v>
      </c>
      <c r="Q600" s="4" t="str">
        <f>VLOOKUP($B600,'D7 - NDB Impacted SPRF''s'!$E$16:$O$9929,10,FALSE)</f>
        <v>N</v>
      </c>
      <c r="R600" s="4" t="str">
        <f>VLOOKUP($B600,'D7 - NDB Impacted SPRF''s'!$E$16:$O$9929,11,FALSE)</f>
        <v>N</v>
      </c>
      <c r="S600" s="8"/>
      <c r="T600" s="310"/>
      <c r="U600" s="310"/>
      <c r="V600" s="4"/>
      <c r="W600" s="4"/>
      <c r="X600" s="4"/>
      <c r="Y600" s="4"/>
      <c r="Z600" s="4"/>
      <c r="AA600" s="4"/>
      <c r="AB600" s="380" t="str">
        <f>VLOOKUP($B600,'D7 - NDB Impacted SPRF''s'!$E$16:$O$9929,4,FALSE)</f>
        <v>Completed</v>
      </c>
      <c r="AC600" s="380" t="str">
        <f>VLOOKUP($B600,'D7 - NDB Impacted SPRF''s'!$E$16:$O$9929,3,FALSE)</f>
        <v>Alliance</v>
      </c>
      <c r="AD600" s="380" t="str">
        <f>VLOOKUP($B600,'D7 - NDB Impacted SPRF''s'!$E$16:$O$9929,5,FALSE)</f>
        <v>Healthcare Service Alliance</v>
      </c>
      <c r="AE600" s="380" t="str">
        <f>VLOOKUP($B600,'D7 - NDB Impacted SPRF''s'!$E$16:$O$9929,7,FALSE)</f>
        <v>Bev Nyce</v>
      </c>
      <c r="AF600" s="380" t="str">
        <f>VLOOKUP($B600,'D7 - NDB Impacted SPRF''s'!$E$16:$O$9929,6,FALSE)</f>
        <v>ALBERT PETRUNTI</v>
      </c>
      <c r="AG600" s="282"/>
      <c r="AH600" s="311" t="e">
        <f>INDEX('D5 - Gatekeeper - Projects'!$A$4:$AF$1010,$AM600, 17)</f>
        <v>#N/A</v>
      </c>
      <c r="AI600" s="8"/>
      <c r="AJ600" s="57"/>
      <c r="AK600" s="105"/>
      <c r="AM600" s="6" t="e">
        <f>MATCH(D600,'D5 - Gatekeeper - Projects'!$C$4:$C$1010,0)</f>
        <v>#N/A</v>
      </c>
      <c r="AN600" s="6" t="b">
        <f t="shared" si="56"/>
        <v>1</v>
      </c>
      <c r="AO600" s="6" t="str">
        <f t="shared" si="59"/>
        <v>OK</v>
      </c>
      <c r="AQ600" s="6" t="e">
        <f>MATCH($D600,'D4 - Provider Council Unsched'!$C$11:$C$234,0)</f>
        <v>#N/A</v>
      </c>
      <c r="AR600" s="6" t="b">
        <f t="shared" si="57"/>
        <v>1</v>
      </c>
      <c r="AS600" s="6" t="str">
        <f t="shared" si="55"/>
        <v>OK</v>
      </c>
      <c r="AU600" s="202"/>
      <c r="AV600" s="262"/>
      <c r="AW600" s="274"/>
    </row>
    <row r="601" spans="1:49" s="13" customFormat="1" ht="45" x14ac:dyDescent="0.2">
      <c r="A601" s="14">
        <v>577</v>
      </c>
      <c r="B601" s="14">
        <v>400009320</v>
      </c>
      <c r="C601" s="8" t="s">
        <v>4926</v>
      </c>
      <c r="D601" s="4" t="str">
        <f t="shared" si="58"/>
        <v>400009320R4</v>
      </c>
      <c r="E601" s="309" t="str">
        <f>VLOOKUP($B601,'D7 - NDB Impacted SPRF''s'!$E$6:$O$9929,2,FALSE)</f>
        <v>MEDICA - NDB-EA Medica Enhancements - Phase 1</v>
      </c>
      <c r="F601" s="8" t="s">
        <v>5196</v>
      </c>
      <c r="G601" s="8" t="s">
        <v>4758</v>
      </c>
      <c r="H601" s="8" t="s">
        <v>4246</v>
      </c>
      <c r="I601" s="20">
        <v>20</v>
      </c>
      <c r="J601" s="8" t="s">
        <v>7113</v>
      </c>
      <c r="K601" s="182">
        <v>39018</v>
      </c>
      <c r="L601" s="8" t="s">
        <v>4156</v>
      </c>
      <c r="M601" s="8" t="s">
        <v>2814</v>
      </c>
      <c r="N601" s="65" t="s">
        <v>8001</v>
      </c>
      <c r="O601" s="8"/>
      <c r="P601" s="4" t="str">
        <f>VLOOKUP($B601,'D7 - NDB Impacted SPRF''s'!$E$16:$O$9929,9,FALSE)</f>
        <v>N</v>
      </c>
      <c r="Q601" s="4" t="str">
        <f>VLOOKUP($B601,'D7 - NDB Impacted SPRF''s'!$E$16:$O$9929,10,FALSE)</f>
        <v>N</v>
      </c>
      <c r="R601" s="4" t="str">
        <f>VLOOKUP($B601,'D7 - NDB Impacted SPRF''s'!$E$16:$O$9929,11,FALSE)</f>
        <v>N</v>
      </c>
      <c r="S601" s="8"/>
      <c r="T601" s="310"/>
      <c r="U601" s="310"/>
      <c r="V601" s="4"/>
      <c r="W601" s="4"/>
      <c r="X601" s="4"/>
      <c r="Y601" s="4"/>
      <c r="Z601" s="4"/>
      <c r="AA601" s="4"/>
      <c r="AB601" s="380" t="str">
        <f>VLOOKUP($B601,'D7 - NDB Impacted SPRF''s'!$E$16:$O$9929,4,FALSE)</f>
        <v>Completed</v>
      </c>
      <c r="AC601" s="380" t="str">
        <f>VLOOKUP($B601,'D7 - NDB Impacted SPRF''s'!$E$16:$O$9929,3,FALSE)</f>
        <v>Alliance</v>
      </c>
      <c r="AD601" s="380" t="str">
        <f>VLOOKUP($B601,'D7 - NDB Impacted SPRF''s'!$E$16:$O$9929,5,FALSE)</f>
        <v>Medica UNET Conversion</v>
      </c>
      <c r="AE601" s="380" t="str">
        <f>VLOOKUP($B601,'D7 - NDB Impacted SPRF''s'!$E$16:$O$9929,7,FALSE)</f>
        <v>Bev Nyce</v>
      </c>
      <c r="AF601" s="380" t="str">
        <f>VLOOKUP($B601,'D7 - NDB Impacted SPRF''s'!$E$16:$O$9929,6,FALSE)</f>
        <v>ELIZABETH Young</v>
      </c>
      <c r="AG601" s="282" t="s">
        <v>6682</v>
      </c>
      <c r="AH601" s="311" t="e">
        <f>INDEX('D5 - Gatekeeper - Projects'!$A$4:$AF$1010,$AM601, 17)</f>
        <v>#N/A</v>
      </c>
      <c r="AI601" s="8"/>
      <c r="AJ601" s="57"/>
      <c r="AK601" s="105"/>
      <c r="AM601" s="6" t="e">
        <f>MATCH(D601,'D5 - Gatekeeper - Projects'!$C$4:$C$1010,0)</f>
        <v>#N/A</v>
      </c>
      <c r="AN601" s="6" t="b">
        <f t="shared" si="56"/>
        <v>1</v>
      </c>
      <c r="AO601" s="6" t="str">
        <f t="shared" si="59"/>
        <v>OK</v>
      </c>
      <c r="AQ601" s="6" t="e">
        <f>MATCH($D601,'D4 - Provider Council Unsched'!$C$11:$C$234,0)</f>
        <v>#N/A</v>
      </c>
      <c r="AR601" s="6" t="b">
        <f t="shared" si="57"/>
        <v>1</v>
      </c>
      <c r="AS601" s="6" t="str">
        <f t="shared" si="55"/>
        <v>OK</v>
      </c>
      <c r="AU601" s="202"/>
      <c r="AV601" s="262"/>
      <c r="AW601" s="274"/>
    </row>
    <row r="602" spans="1:49" s="13" customFormat="1" ht="33.75" x14ac:dyDescent="0.2">
      <c r="A602" s="14">
        <v>578</v>
      </c>
      <c r="B602" s="14">
        <v>400009863</v>
      </c>
      <c r="C602" s="8" t="s">
        <v>4926</v>
      </c>
      <c r="D602" s="4" t="str">
        <f t="shared" si="58"/>
        <v>400009863R4</v>
      </c>
      <c r="E602" s="309" t="str">
        <f>VLOOKUP($B602,'D7 - NDB Impacted SPRF''s'!$E$6:$O$9929,2,FALSE)</f>
        <v>Add directory code for batch directory process</v>
      </c>
      <c r="F602" s="8" t="s">
        <v>5054</v>
      </c>
      <c r="G602" s="8" t="s">
        <v>4758</v>
      </c>
      <c r="H602" s="8" t="s">
        <v>4246</v>
      </c>
      <c r="I602" s="20">
        <v>1</v>
      </c>
      <c r="J602" s="8" t="s">
        <v>4862</v>
      </c>
      <c r="K602" s="182">
        <v>39018</v>
      </c>
      <c r="L602" s="8" t="s">
        <v>5743</v>
      </c>
      <c r="M602" s="8" t="s">
        <v>2814</v>
      </c>
      <c r="N602" s="38"/>
      <c r="O602" s="8"/>
      <c r="P602" s="4" t="str">
        <f>VLOOKUP($B602,'D7 - NDB Impacted SPRF''s'!$E$16:$O$9929,9,FALSE)</f>
        <v>N</v>
      </c>
      <c r="Q602" s="4" t="str">
        <f>VLOOKUP($B602,'D7 - NDB Impacted SPRF''s'!$E$16:$O$9929,10,FALSE)</f>
        <v>N</v>
      </c>
      <c r="R602" s="4" t="str">
        <f>VLOOKUP($B602,'D7 - NDB Impacted SPRF''s'!$E$16:$O$9929,11,FALSE)</f>
        <v>N</v>
      </c>
      <c r="S602" s="8"/>
      <c r="T602" s="310"/>
      <c r="U602" s="310"/>
      <c r="V602" s="4"/>
      <c r="W602" s="4"/>
      <c r="X602" s="4"/>
      <c r="Y602" s="4"/>
      <c r="Z602" s="4"/>
      <c r="AA602" s="4"/>
      <c r="AB602" s="380" t="str">
        <f>VLOOKUP($B602,'D7 - NDB Impacted SPRF''s'!$E$16:$O$9929,4,FALSE)</f>
        <v>Completed</v>
      </c>
      <c r="AC602" s="380" t="str">
        <f>VLOOKUP($B602,'D7 - NDB Impacted SPRF''s'!$E$16:$O$9929,3,FALSE)</f>
        <v>OptumHealth Financial Services</v>
      </c>
      <c r="AD602" s="380" t="str">
        <f>VLOOKUP($B602,'D7 - NDB Impacted SPRF''s'!$E$16:$O$9929,5,FALSE)</f>
        <v>OptumHealth Financial Services-DDC</v>
      </c>
      <c r="AE602" s="380" t="str">
        <f>VLOOKUP($B602,'D7 - NDB Impacted SPRF''s'!$E$16:$O$9929,7,FALSE)</f>
        <v>Caryn Asklar</v>
      </c>
      <c r="AF602" s="380" t="str">
        <f>VLOOKUP($B602,'D7 - NDB Impacted SPRF''s'!$E$16:$O$9929,6,FALSE)</f>
        <v>MICHAEL STONE</v>
      </c>
      <c r="AG602" s="282"/>
      <c r="AH602" s="311" t="e">
        <f>INDEX('D5 - Gatekeeper - Projects'!$A$4:$AF$1010,$AM602, 17)</f>
        <v>#N/A</v>
      </c>
      <c r="AI602" s="8"/>
      <c r="AJ602" s="57"/>
      <c r="AK602" s="105"/>
      <c r="AM602" s="6" t="e">
        <f>MATCH(D602,'D5 - Gatekeeper - Projects'!$C$4:$C$1010,0)</f>
        <v>#N/A</v>
      </c>
      <c r="AN602" s="6" t="b">
        <f t="shared" si="56"/>
        <v>1</v>
      </c>
      <c r="AO602" s="6" t="str">
        <f t="shared" si="59"/>
        <v>OK</v>
      </c>
      <c r="AQ602" s="6" t="e">
        <f>MATCH($D602,'D4 - Provider Council Unsched'!$C$11:$C$234,0)</f>
        <v>#N/A</v>
      </c>
      <c r="AR602" s="6" t="b">
        <f t="shared" si="57"/>
        <v>1</v>
      </c>
      <c r="AS602" s="6" t="str">
        <f t="shared" si="55"/>
        <v>OK</v>
      </c>
      <c r="AU602" s="202"/>
      <c r="AV602" s="262"/>
      <c r="AW602" s="274"/>
    </row>
    <row r="603" spans="1:49" s="13" customFormat="1" ht="33.75" x14ac:dyDescent="0.2">
      <c r="A603" s="14">
        <v>579</v>
      </c>
      <c r="B603" s="14">
        <v>400009947</v>
      </c>
      <c r="C603" s="8" t="s">
        <v>3763</v>
      </c>
      <c r="D603" s="4" t="str">
        <f t="shared" si="58"/>
        <v>400009947R2</v>
      </c>
      <c r="E603" s="309" t="str">
        <f>VLOOKUP($B603,'D7 - NDB Impacted SPRF''s'!$E$6:$O$9929,2,FALSE)</f>
        <v>CORP1-NDB-EA Security P1:Contract Designation Key</v>
      </c>
      <c r="F603" s="8" t="s">
        <v>5196</v>
      </c>
      <c r="G603" s="8" t="s">
        <v>4758</v>
      </c>
      <c r="H603" s="8" t="s">
        <v>4246</v>
      </c>
      <c r="I603" s="20">
        <v>6.08</v>
      </c>
      <c r="J603" s="8" t="s">
        <v>7114</v>
      </c>
      <c r="K603" s="182">
        <v>39018</v>
      </c>
      <c r="L603" s="8" t="s">
        <v>6919</v>
      </c>
      <c r="M603" s="8" t="s">
        <v>2814</v>
      </c>
      <c r="N603" s="367" t="s">
        <v>3639</v>
      </c>
      <c r="O603" s="8"/>
      <c r="P603" s="4" t="str">
        <f>VLOOKUP($B603,'D7 - NDB Impacted SPRF''s'!$E$16:$O$9929,9,FALSE)</f>
        <v>N</v>
      </c>
      <c r="Q603" s="4" t="str">
        <f>VLOOKUP($B603,'D7 - NDB Impacted SPRF''s'!$E$16:$O$9929,10,FALSE)</f>
        <v>N</v>
      </c>
      <c r="R603" s="4" t="str">
        <f>VLOOKUP($B603,'D7 - NDB Impacted SPRF''s'!$E$16:$O$9929,11,FALSE)</f>
        <v>Y</v>
      </c>
      <c r="S603" s="8" t="s">
        <v>3758</v>
      </c>
      <c r="T603" s="310"/>
      <c r="U603" s="310"/>
      <c r="V603" s="4"/>
      <c r="W603" s="4"/>
      <c r="X603" s="4"/>
      <c r="Y603" s="4"/>
      <c r="Z603" s="4"/>
      <c r="AA603" s="4"/>
      <c r="AB603" s="380" t="str">
        <f>VLOOKUP($B603,'D7 - NDB Impacted SPRF''s'!$E$16:$O$9929,4,FALSE)</f>
        <v>Completed</v>
      </c>
      <c r="AC603" s="380" t="str">
        <f>VLOOKUP($B603,'D7 - NDB Impacted SPRF''s'!$E$16:$O$9929,3,FALSE)</f>
        <v>Alliance</v>
      </c>
      <c r="AD603" s="380" t="str">
        <f>VLOOKUP($B603,'D7 - NDB Impacted SPRF''s'!$E$16:$O$9929,5,FALSE)</f>
        <v>Healthcare Service Alliance</v>
      </c>
      <c r="AE603" s="380" t="str">
        <f>VLOOKUP($B603,'D7 - NDB Impacted SPRF''s'!$E$16:$O$9929,7,FALSE)</f>
        <v>Bev Nyce</v>
      </c>
      <c r="AF603" s="380" t="str">
        <f>VLOOKUP($B603,'D7 - NDB Impacted SPRF''s'!$E$16:$O$9929,6,FALSE)</f>
        <v>Susan Neal</v>
      </c>
      <c r="AG603" s="282" t="s">
        <v>6682</v>
      </c>
      <c r="AH603" s="311" t="e">
        <f>INDEX('D5 - Gatekeeper - Projects'!$A$4:$AF$1010,$AM603, 17)</f>
        <v>#N/A</v>
      </c>
      <c r="AI603" s="8"/>
      <c r="AJ603" s="57"/>
      <c r="AK603" s="105"/>
      <c r="AM603" s="6" t="e">
        <f>MATCH(D603,'D5 - Gatekeeper - Projects'!$C$4:$C$1010,0)</f>
        <v>#N/A</v>
      </c>
      <c r="AN603" s="6" t="b">
        <f t="shared" si="56"/>
        <v>1</v>
      </c>
      <c r="AO603" s="6" t="str">
        <f t="shared" si="59"/>
        <v>OK</v>
      </c>
      <c r="AQ603" s="6" t="e">
        <f>MATCH($D603,'D4 - Provider Council Unsched'!$C$11:$C$234,0)</f>
        <v>#N/A</v>
      </c>
      <c r="AR603" s="6" t="b">
        <f t="shared" si="57"/>
        <v>1</v>
      </c>
      <c r="AS603" s="6" t="str">
        <f t="shared" si="55"/>
        <v>OK</v>
      </c>
      <c r="AU603" s="202"/>
      <c r="AV603" s="262"/>
      <c r="AW603" s="274"/>
    </row>
    <row r="604" spans="1:49" s="13" customFormat="1" ht="56.25" x14ac:dyDescent="0.2">
      <c r="A604" s="14">
        <v>580</v>
      </c>
      <c r="B604" s="14">
        <v>400010173</v>
      </c>
      <c r="C604" s="8" t="s">
        <v>3812</v>
      </c>
      <c r="D604" s="4" t="str">
        <f t="shared" si="58"/>
        <v>400010173CC05</v>
      </c>
      <c r="E604" s="309" t="str">
        <f>VLOOKUP($B604,'D7 - NDB Impacted SPRF''s'!$E$6:$O$9929,2,FALSE)</f>
        <v>Fee Schedule Enhancements - Phase 2</v>
      </c>
      <c r="F604" s="8" t="s">
        <v>4961</v>
      </c>
      <c r="G604" s="8" t="s">
        <v>4758</v>
      </c>
      <c r="H604" s="8" t="s">
        <v>4246</v>
      </c>
      <c r="I604" s="20">
        <v>11.06</v>
      </c>
      <c r="J604" s="8" t="s">
        <v>4862</v>
      </c>
      <c r="K604" s="182">
        <v>39018</v>
      </c>
      <c r="L604" s="8" t="s">
        <v>5743</v>
      </c>
      <c r="M604" s="8" t="s">
        <v>2814</v>
      </c>
      <c r="N604" s="38" t="s">
        <v>3308</v>
      </c>
      <c r="O604" s="8"/>
      <c r="P604" s="4" t="str">
        <f>VLOOKUP($B604,'D7 - NDB Impacted SPRF''s'!$E$16:$O$9929,9,FALSE)</f>
        <v>Y</v>
      </c>
      <c r="Q604" s="4" t="str">
        <f>VLOOKUP($B604,'D7 - NDB Impacted SPRF''s'!$E$16:$O$9929,10,FALSE)</f>
        <v>N</v>
      </c>
      <c r="R604" s="4" t="str">
        <f>VLOOKUP($B604,'D7 - NDB Impacted SPRF''s'!$E$16:$O$9929,11,FALSE)</f>
        <v>Y</v>
      </c>
      <c r="S604" s="8" t="s">
        <v>3758</v>
      </c>
      <c r="T604" s="310"/>
      <c r="U604" s="310"/>
      <c r="V604" s="4"/>
      <c r="W604" s="4"/>
      <c r="X604" s="4"/>
      <c r="Y604" s="4"/>
      <c r="Z604" s="4"/>
      <c r="AA604" s="4"/>
      <c r="AB604" s="380" t="str">
        <f>VLOOKUP($B604,'D7 - NDB Impacted SPRF''s'!$E$16:$O$9929,4,FALSE)</f>
        <v>Completed</v>
      </c>
      <c r="AC604" s="380" t="str">
        <f>VLOOKUP($B604,'D7 - NDB Impacted SPRF''s'!$E$16:$O$9929,3,FALSE)</f>
        <v>UnitedHealthcare Employer &amp; Individual</v>
      </c>
      <c r="AD604" s="380" t="str">
        <f>VLOOKUP($B604,'D7 - NDB Impacted SPRF''s'!$E$16:$O$9929,5,FALSE)</f>
        <v>Network Growth / Enhancements</v>
      </c>
      <c r="AE604" s="380" t="str">
        <f>VLOOKUP($B604,'D7 - NDB Impacted SPRF''s'!$E$16:$O$9929,7,FALSE)</f>
        <v>Peter Bompane</v>
      </c>
      <c r="AF604" s="380" t="str">
        <f>VLOOKUP($B604,'D7 - NDB Impacted SPRF''s'!$E$16:$O$9929,6,FALSE)</f>
        <v>Erin Nelson</v>
      </c>
      <c r="AG604" s="282" t="s">
        <v>6682</v>
      </c>
      <c r="AH604" s="311" t="e">
        <f>INDEX('D5 - Gatekeeper - Projects'!$A$4:$AF$1010,$AM604, 17)</f>
        <v>#N/A</v>
      </c>
      <c r="AI604" s="8"/>
      <c r="AJ604" s="57"/>
      <c r="AK604" s="105"/>
      <c r="AM604" s="6" t="e">
        <f>MATCH(D604,'D5 - Gatekeeper - Projects'!$C$4:$C$1010,0)</f>
        <v>#N/A</v>
      </c>
      <c r="AN604" s="6" t="b">
        <f t="shared" si="56"/>
        <v>1</v>
      </c>
      <c r="AO604" s="6" t="str">
        <f t="shared" si="59"/>
        <v>OK</v>
      </c>
      <c r="AQ604" s="6" t="e">
        <f>MATCH($D604,'D4 - Provider Council Unsched'!$C$11:$C$234,0)</f>
        <v>#N/A</v>
      </c>
      <c r="AR604" s="6" t="b">
        <f t="shared" si="57"/>
        <v>1</v>
      </c>
      <c r="AS604" s="6" t="str">
        <f t="shared" si="55"/>
        <v>OK</v>
      </c>
      <c r="AU604" s="202"/>
      <c r="AV604" s="262"/>
      <c r="AW604" s="274"/>
    </row>
    <row r="605" spans="1:49" s="13" customFormat="1" ht="33.75" x14ac:dyDescent="0.2">
      <c r="A605" s="14">
        <v>581</v>
      </c>
      <c r="B605" s="14">
        <v>400010225</v>
      </c>
      <c r="C605" s="8" t="s">
        <v>5197</v>
      </c>
      <c r="D605" s="4" t="str">
        <f t="shared" si="58"/>
        <v>400010225R1</v>
      </c>
      <c r="E605" s="309" t="str">
        <f>VLOOKUP($B605,'D7 - NDB Impacted SPRF''s'!$E$6:$O$9929,2,FALSE)</f>
        <v>NPI EPDL Data Capture</v>
      </c>
      <c r="F605" s="8" t="s">
        <v>1059</v>
      </c>
      <c r="G605" s="8" t="s">
        <v>4758</v>
      </c>
      <c r="H605" s="8" t="s">
        <v>4246</v>
      </c>
      <c r="I605" s="20">
        <v>9.1199999999999992</v>
      </c>
      <c r="J605" s="8" t="s">
        <v>4862</v>
      </c>
      <c r="K605" s="182">
        <v>39018</v>
      </c>
      <c r="L605" s="8" t="s">
        <v>5743</v>
      </c>
      <c r="M605" s="8" t="s">
        <v>2814</v>
      </c>
      <c r="N605" s="38"/>
      <c r="O605" s="8"/>
      <c r="P605" s="4" t="str">
        <f>VLOOKUP($B605,'D7 - NDB Impacted SPRF''s'!$E$16:$O$9929,9,FALSE)</f>
        <v>N</v>
      </c>
      <c r="Q605" s="4" t="str">
        <f>VLOOKUP($B605,'D7 - NDB Impacted SPRF''s'!$E$16:$O$9929,10,FALSE)</f>
        <v>N</v>
      </c>
      <c r="R605" s="4" t="str">
        <f>VLOOKUP($B605,'D7 - NDB Impacted SPRF''s'!$E$16:$O$9929,11,FALSE)</f>
        <v>N</v>
      </c>
      <c r="S605" s="8" t="s">
        <v>3758</v>
      </c>
      <c r="T605" s="310"/>
      <c r="U605" s="310"/>
      <c r="V605" s="4"/>
      <c r="W605" s="4"/>
      <c r="X605" s="4"/>
      <c r="Y605" s="4"/>
      <c r="Z605" s="4"/>
      <c r="AA605" s="4"/>
      <c r="AB605" s="380" t="str">
        <f>VLOOKUP($B605,'D7 - NDB Impacted SPRF''s'!$E$16:$O$9929,4,FALSE)</f>
        <v>Completed</v>
      </c>
      <c r="AC605" s="380" t="str">
        <f>VLOOKUP($B605,'D7 - NDB Impacted SPRF''s'!$E$16:$O$9929,3,FALSE)</f>
        <v>UnitedHealthcare Employer &amp; Individual</v>
      </c>
      <c r="AD605" s="380" t="str">
        <f>VLOOKUP($B605,'D7 - NDB Impacted SPRF''s'!$E$16:$O$9929,5,FALSE)</f>
        <v>Regulatory / Other</v>
      </c>
      <c r="AE605" s="380" t="str">
        <f>VLOOKUP($B605,'D7 - NDB Impacted SPRF''s'!$E$16:$O$9929,7,FALSE)</f>
        <v>Peter Bompane</v>
      </c>
      <c r="AF605" s="380" t="str">
        <f>VLOOKUP($B605,'D7 - NDB Impacted SPRF''s'!$E$16:$O$9929,6,FALSE)</f>
        <v>KELLY LEONARD</v>
      </c>
      <c r="AG605" s="282" t="s">
        <v>6682</v>
      </c>
      <c r="AH605" s="311" t="e">
        <f>INDEX('D5 - Gatekeeper - Projects'!$A$4:$AF$1010,$AM605, 17)</f>
        <v>#N/A</v>
      </c>
      <c r="AI605" s="8"/>
      <c r="AJ605" s="57"/>
      <c r="AK605" s="105"/>
      <c r="AM605" s="6" t="e">
        <f>MATCH(D605,'D5 - Gatekeeper - Projects'!$C$4:$C$1010,0)</f>
        <v>#N/A</v>
      </c>
      <c r="AN605" s="6" t="b">
        <f t="shared" si="56"/>
        <v>1</v>
      </c>
      <c r="AO605" s="6" t="str">
        <f t="shared" si="59"/>
        <v>OK</v>
      </c>
      <c r="AQ605" s="6" t="e">
        <f>MATCH($D605,'D4 - Provider Council Unsched'!$C$11:$C$234,0)</f>
        <v>#N/A</v>
      </c>
      <c r="AR605" s="6" t="b">
        <f t="shared" si="57"/>
        <v>1</v>
      </c>
      <c r="AS605" s="6" t="str">
        <f t="shared" si="55"/>
        <v>OK</v>
      </c>
      <c r="AU605" s="202"/>
      <c r="AV605" s="262"/>
      <c r="AW605" s="274"/>
    </row>
    <row r="606" spans="1:49" s="13" customFormat="1" ht="22.5" x14ac:dyDescent="0.2">
      <c r="A606" s="14">
        <v>582</v>
      </c>
      <c r="B606" s="14">
        <v>400010966</v>
      </c>
      <c r="C606" s="8" t="s">
        <v>5197</v>
      </c>
      <c r="D606" s="4" t="str">
        <f t="shared" si="58"/>
        <v>400010966R1</v>
      </c>
      <c r="E606" s="309" t="str">
        <f>VLOOKUP($B606,'D7 - NDB Impacted SPRF''s'!$E$6:$O$9929,2,FALSE)</f>
        <v>EPS-Database Interfaces</v>
      </c>
      <c r="F606" s="8" t="s">
        <v>5196</v>
      </c>
      <c r="G606" s="8" t="s">
        <v>4758</v>
      </c>
      <c r="H606" s="8" t="s">
        <v>4246</v>
      </c>
      <c r="I606" s="20">
        <f>1.07+4.06</f>
        <v>5.13</v>
      </c>
      <c r="J606" s="8" t="s">
        <v>4862</v>
      </c>
      <c r="K606" s="182">
        <v>39018</v>
      </c>
      <c r="L606" s="8" t="s">
        <v>5743</v>
      </c>
      <c r="M606" s="8" t="s">
        <v>2814</v>
      </c>
      <c r="N606" s="367" t="s">
        <v>4028</v>
      </c>
      <c r="O606" s="8"/>
      <c r="P606" s="4" t="str">
        <f>VLOOKUP($B606,'D7 - NDB Impacted SPRF''s'!$E$16:$O$9929,9,FALSE)</f>
        <v>N</v>
      </c>
      <c r="Q606" s="4" t="str">
        <f>VLOOKUP($B606,'D7 - NDB Impacted SPRF''s'!$E$16:$O$9929,10,FALSE)</f>
        <v>N</v>
      </c>
      <c r="R606" s="4" t="str">
        <f>VLOOKUP($B606,'D7 - NDB Impacted SPRF''s'!$E$16:$O$9929,11,FALSE)</f>
        <v>N</v>
      </c>
      <c r="S606" s="8" t="s">
        <v>3758</v>
      </c>
      <c r="T606" s="310"/>
      <c r="U606" s="310"/>
      <c r="V606" s="4"/>
      <c r="W606" s="4"/>
      <c r="X606" s="4"/>
      <c r="Y606" s="4"/>
      <c r="Z606" s="4"/>
      <c r="AA606" s="4"/>
      <c r="AB606" s="380" t="str">
        <f>VLOOKUP($B606,'D7 - NDB Impacted SPRF''s'!$E$16:$O$9929,4,FALSE)</f>
        <v>Completed</v>
      </c>
      <c r="AC606" s="380" t="str">
        <f>VLOOKUP($B606,'D7 - NDB Impacted SPRF''s'!$E$16:$O$9929,3,FALSE)</f>
        <v>Alliance</v>
      </c>
      <c r="AD606" s="380" t="str">
        <f>VLOOKUP($B606,'D7 - NDB Impacted SPRF''s'!$E$16:$O$9929,5,FALSE)</f>
        <v>Healthcare Service Alliance</v>
      </c>
      <c r="AE606" s="380" t="str">
        <f>VLOOKUP($B606,'D7 - NDB Impacted SPRF''s'!$E$16:$O$9929,7,FALSE)</f>
        <v>Mark Pontliana</v>
      </c>
      <c r="AF606" s="380" t="str">
        <f>VLOOKUP($B606,'D7 - NDB Impacted SPRF''s'!$E$16:$O$9929,6,FALSE)</f>
        <v>MICHELLE Smeby</v>
      </c>
      <c r="AG606" s="282" t="s">
        <v>7755</v>
      </c>
      <c r="AH606" s="311" t="e">
        <f>INDEX('D5 - Gatekeeper - Projects'!$A$4:$AF$1010,$AM606, 17)</f>
        <v>#N/A</v>
      </c>
      <c r="AI606" s="8"/>
      <c r="AJ606" s="57"/>
      <c r="AK606" s="105"/>
      <c r="AM606" s="6" t="e">
        <f>MATCH(D606,'D5 - Gatekeeper - Projects'!$C$4:$C$1010,0)</f>
        <v>#N/A</v>
      </c>
      <c r="AN606" s="6" t="b">
        <f t="shared" si="56"/>
        <v>1</v>
      </c>
      <c r="AO606" s="6" t="str">
        <f t="shared" si="59"/>
        <v>OK</v>
      </c>
      <c r="AQ606" s="6" t="e">
        <f>MATCH($D606,'D4 - Provider Council Unsched'!$C$11:$C$234,0)</f>
        <v>#N/A</v>
      </c>
      <c r="AR606" s="6" t="b">
        <f t="shared" si="57"/>
        <v>1</v>
      </c>
      <c r="AS606" s="6" t="str">
        <f t="shared" si="55"/>
        <v>OK</v>
      </c>
      <c r="AU606" s="202"/>
      <c r="AV606" s="262"/>
      <c r="AW606" s="274"/>
    </row>
    <row r="607" spans="1:49" s="13" customFormat="1" ht="22.5" x14ac:dyDescent="0.2">
      <c r="A607" s="14">
        <v>583</v>
      </c>
      <c r="B607" s="14">
        <v>400010967</v>
      </c>
      <c r="C607" s="8" t="s">
        <v>5197</v>
      </c>
      <c r="D607" s="4" t="str">
        <f t="shared" si="58"/>
        <v>400010967R1</v>
      </c>
      <c r="E607" s="309" t="str">
        <f>VLOOKUP($B607,'D7 - NDB Impacted SPRF''s'!$E$6:$O$9929,2,FALSE)</f>
        <v>EPS Holding Accounts</v>
      </c>
      <c r="F607" s="8" t="s">
        <v>5196</v>
      </c>
      <c r="G607" s="8" t="s">
        <v>4758</v>
      </c>
      <c r="H607" s="8" t="s">
        <v>4246</v>
      </c>
      <c r="I607" s="20">
        <v>0.53</v>
      </c>
      <c r="J607" s="8" t="s">
        <v>4862</v>
      </c>
      <c r="K607" s="182">
        <v>39018</v>
      </c>
      <c r="L607" s="8" t="s">
        <v>5743</v>
      </c>
      <c r="M607" s="8" t="s">
        <v>2814</v>
      </c>
      <c r="N607" s="368"/>
      <c r="O607" s="8"/>
      <c r="P607" s="4" t="str">
        <f>VLOOKUP($B607,'D7 - NDB Impacted SPRF''s'!$E$16:$O$9929,9,FALSE)</f>
        <v>Y</v>
      </c>
      <c r="Q607" s="4" t="str">
        <f>VLOOKUP($B607,'D7 - NDB Impacted SPRF''s'!$E$16:$O$9929,10,FALSE)</f>
        <v>N</v>
      </c>
      <c r="R607" s="4" t="str">
        <f>VLOOKUP($B607,'D7 - NDB Impacted SPRF''s'!$E$16:$O$9929,11,FALSE)</f>
        <v>N</v>
      </c>
      <c r="S607" s="8" t="s">
        <v>3758</v>
      </c>
      <c r="T607" s="310"/>
      <c r="U607" s="310"/>
      <c r="V607" s="4"/>
      <c r="W607" s="4"/>
      <c r="X607" s="4"/>
      <c r="Y607" s="4"/>
      <c r="Z607" s="4"/>
      <c r="AA607" s="4"/>
      <c r="AB607" s="380" t="str">
        <f>VLOOKUP($B607,'D7 - NDB Impacted SPRF''s'!$E$16:$O$9929,4,FALSE)</f>
        <v>Completed</v>
      </c>
      <c r="AC607" s="380" t="str">
        <f>VLOOKUP($B607,'D7 - NDB Impacted SPRF''s'!$E$16:$O$9929,3,FALSE)</f>
        <v>Alliance</v>
      </c>
      <c r="AD607" s="380" t="str">
        <f>VLOOKUP($B607,'D7 - NDB Impacted SPRF''s'!$E$16:$O$9929,5,FALSE)</f>
        <v>Healthcare Service Alliance</v>
      </c>
      <c r="AE607" s="380" t="str">
        <f>VLOOKUP($B607,'D7 - NDB Impacted SPRF''s'!$E$16:$O$9929,7,FALSE)</f>
        <v>Mark Pontliana</v>
      </c>
      <c r="AF607" s="380" t="str">
        <f>VLOOKUP($B607,'D7 - NDB Impacted SPRF''s'!$E$16:$O$9929,6,FALSE)</f>
        <v>MICHELLE Smeby</v>
      </c>
      <c r="AG607" s="282" t="s">
        <v>7755</v>
      </c>
      <c r="AH607" s="311" t="e">
        <f>INDEX('D5 - Gatekeeper - Projects'!$A$4:$AF$1010,$AM607, 17)</f>
        <v>#N/A</v>
      </c>
      <c r="AI607" s="8"/>
      <c r="AJ607" s="57"/>
      <c r="AK607" s="105"/>
      <c r="AM607" s="6" t="e">
        <f>MATCH(D607,'D5 - Gatekeeper - Projects'!$C$4:$C$1010,0)</f>
        <v>#N/A</v>
      </c>
      <c r="AN607" s="6" t="b">
        <f t="shared" si="56"/>
        <v>1</v>
      </c>
      <c r="AO607" s="6" t="str">
        <f t="shared" si="59"/>
        <v>OK</v>
      </c>
      <c r="AQ607" s="6" t="e">
        <f>MATCH($D607,'D4 - Provider Council Unsched'!$C$11:$C$234,0)</f>
        <v>#N/A</v>
      </c>
      <c r="AR607" s="6" t="b">
        <f t="shared" si="57"/>
        <v>1</v>
      </c>
      <c r="AS607" s="6" t="str">
        <f t="shared" si="55"/>
        <v>OK</v>
      </c>
      <c r="AU607" s="202"/>
      <c r="AV607" s="262"/>
      <c r="AW607" s="274"/>
    </row>
    <row r="608" spans="1:49" s="13" customFormat="1" ht="22.5" x14ac:dyDescent="0.2">
      <c r="A608" s="14">
        <v>584</v>
      </c>
      <c r="B608" s="14">
        <v>400010988</v>
      </c>
      <c r="C608" s="8" t="s">
        <v>2449</v>
      </c>
      <c r="D608" s="4" t="str">
        <f t="shared" si="58"/>
        <v>400010988R3</v>
      </c>
      <c r="E608" s="309" t="str">
        <f>VLOOKUP($B608,'D7 - NDB Impacted SPRF''s'!$E$6:$O$9929,2,FALSE)</f>
        <v>HPHC1-Network-'G' Record Layout</v>
      </c>
      <c r="F608" s="8" t="s">
        <v>5196</v>
      </c>
      <c r="G608" s="8" t="s">
        <v>4758</v>
      </c>
      <c r="H608" s="8" t="s">
        <v>4246</v>
      </c>
      <c r="I608" s="20">
        <v>1.07</v>
      </c>
      <c r="J608" s="8" t="s">
        <v>4862</v>
      </c>
      <c r="K608" s="182">
        <v>39018</v>
      </c>
      <c r="L608" s="8" t="s">
        <v>5743</v>
      </c>
      <c r="M608" s="8" t="s">
        <v>2814</v>
      </c>
      <c r="N608" s="38"/>
      <c r="O608" s="8"/>
      <c r="P608" s="4" t="str">
        <f>VLOOKUP($B608,'D7 - NDB Impacted SPRF''s'!$E$16:$O$9929,9,FALSE)</f>
        <v>N</v>
      </c>
      <c r="Q608" s="4" t="str">
        <f>VLOOKUP($B608,'D7 - NDB Impacted SPRF''s'!$E$16:$O$9929,10,FALSE)</f>
        <v>N</v>
      </c>
      <c r="R608" s="4" t="str">
        <f>VLOOKUP($B608,'D7 - NDB Impacted SPRF''s'!$E$16:$O$9929,11,FALSE)</f>
        <v>N</v>
      </c>
      <c r="S608" s="8"/>
      <c r="T608" s="310"/>
      <c r="U608" s="310"/>
      <c r="V608" s="4"/>
      <c r="W608" s="4"/>
      <c r="X608" s="4"/>
      <c r="Y608" s="4"/>
      <c r="Z608" s="4"/>
      <c r="AA608" s="4"/>
      <c r="AB608" s="380" t="str">
        <f>VLOOKUP($B608,'D7 - NDB Impacted SPRF''s'!$E$16:$O$9929,4,FALSE)</f>
        <v>Completed</v>
      </c>
      <c r="AC608" s="380" t="str">
        <f>VLOOKUP($B608,'D7 - NDB Impacted SPRF''s'!$E$16:$O$9929,3,FALSE)</f>
        <v>Alliance</v>
      </c>
      <c r="AD608" s="380" t="str">
        <f>VLOOKUP($B608,'D7 - NDB Impacted SPRF''s'!$E$16:$O$9929,5,FALSE)</f>
        <v>Harvard Pilgrim Service Alliance</v>
      </c>
      <c r="AE608" s="380" t="str">
        <f>VLOOKUP($B608,'D7 - NDB Impacted SPRF''s'!$E$16:$O$9929,7,FALSE)</f>
        <v>Diane Schofield, Deborah Streb</v>
      </c>
      <c r="AF608" s="380" t="str">
        <f>VLOOKUP($B608,'D7 - NDB Impacted SPRF''s'!$E$16:$O$9929,6,FALSE)</f>
        <v>Susan Neal</v>
      </c>
      <c r="AG608" s="282"/>
      <c r="AH608" s="311" t="e">
        <f>INDEX('D5 - Gatekeeper - Projects'!$A$4:$AF$1010,$AM608, 17)</f>
        <v>#N/A</v>
      </c>
      <c r="AI608" s="8"/>
      <c r="AJ608" s="57"/>
      <c r="AK608" s="105"/>
      <c r="AM608" s="6" t="e">
        <f>MATCH(D608,'D5 - Gatekeeper - Projects'!$C$4:$C$1010,0)</f>
        <v>#N/A</v>
      </c>
      <c r="AN608" s="6" t="b">
        <f t="shared" si="56"/>
        <v>1</v>
      </c>
      <c r="AO608" s="6" t="str">
        <f t="shared" si="59"/>
        <v>OK</v>
      </c>
      <c r="AQ608" s="6" t="e">
        <f>MATCH($D608,'D4 - Provider Council Unsched'!$C$11:$C$234,0)</f>
        <v>#N/A</v>
      </c>
      <c r="AR608" s="6" t="b">
        <f t="shared" si="57"/>
        <v>1</v>
      </c>
      <c r="AS608" s="6" t="str">
        <f t="shared" si="55"/>
        <v>OK</v>
      </c>
      <c r="AU608" s="202"/>
      <c r="AV608" s="262"/>
      <c r="AW608" s="274"/>
    </row>
    <row r="609" spans="1:49" s="13" customFormat="1" ht="33.75" x14ac:dyDescent="0.2">
      <c r="A609" s="14">
        <v>585</v>
      </c>
      <c r="B609" s="14">
        <v>400011444</v>
      </c>
      <c r="C609" s="8" t="s">
        <v>5197</v>
      </c>
      <c r="D609" s="4" t="str">
        <f t="shared" si="58"/>
        <v>400011444R1</v>
      </c>
      <c r="E609" s="309" t="str">
        <f>VLOOKUP($B609,'D7 - NDB Impacted SPRF''s'!$E$6:$O$9929,2,FALSE)</f>
        <v>Maryland Application Tracking Log</v>
      </c>
      <c r="F609" s="8" t="s">
        <v>3235</v>
      </c>
      <c r="G609" s="8" t="s">
        <v>4758</v>
      </c>
      <c r="H609" s="8" t="s">
        <v>4246</v>
      </c>
      <c r="I609" s="20">
        <v>1.07</v>
      </c>
      <c r="J609" s="8" t="s">
        <v>4862</v>
      </c>
      <c r="K609" s="182">
        <v>39018</v>
      </c>
      <c r="L609" s="8" t="s">
        <v>5743</v>
      </c>
      <c r="M609" s="8" t="s">
        <v>2814</v>
      </c>
      <c r="N609" s="38" t="s">
        <v>5845</v>
      </c>
      <c r="O609" s="8"/>
      <c r="P609" s="4" t="str">
        <f>VLOOKUP($B609,'D7 - NDB Impacted SPRF''s'!$E$16:$O$9929,9,FALSE)</f>
        <v>N</v>
      </c>
      <c r="Q609" s="4" t="str">
        <f>VLOOKUP($B609,'D7 - NDB Impacted SPRF''s'!$E$16:$O$9929,10,FALSE)</f>
        <v>N</v>
      </c>
      <c r="R609" s="4" t="str">
        <f>VLOOKUP($B609,'D7 - NDB Impacted SPRF''s'!$E$16:$O$9929,11,FALSE)</f>
        <v>N</v>
      </c>
      <c r="S609" s="8"/>
      <c r="T609" s="310"/>
      <c r="U609" s="310"/>
      <c r="V609" s="4"/>
      <c r="W609" s="4"/>
      <c r="X609" s="4"/>
      <c r="Y609" s="4"/>
      <c r="Z609" s="4"/>
      <c r="AA609" s="4"/>
      <c r="AB609" s="380" t="str">
        <f>VLOOKUP($B609,'D7 - NDB Impacted SPRF''s'!$E$16:$O$9929,4,FALSE)</f>
        <v>Completed</v>
      </c>
      <c r="AC609" s="380" t="str">
        <f>VLOOKUP($B609,'D7 - NDB Impacted SPRF''s'!$E$16:$O$9929,3,FALSE)</f>
        <v>UnitedHealthcare Employer &amp; Individual</v>
      </c>
      <c r="AD609" s="380" t="str">
        <f>VLOOKUP($B609,'D7 - NDB Impacted SPRF''s'!$E$16:$O$9929,5,FALSE)</f>
        <v>Regulatory / Other</v>
      </c>
      <c r="AE609" s="380" t="str">
        <f>VLOOKUP($B609,'D7 - NDB Impacted SPRF''s'!$E$16:$O$9929,7,FALSE)</f>
        <v>Brett Edelson</v>
      </c>
      <c r="AF609" s="380" t="str">
        <f>VLOOKUP($B609,'D7 - NDB Impacted SPRF''s'!$E$16:$O$9929,6,FALSE)</f>
        <v>DENISE STRAIT</v>
      </c>
      <c r="AG609" s="282"/>
      <c r="AH609" s="311" t="e">
        <f>INDEX('D5 - Gatekeeper - Projects'!$A$4:$AF$1010,$AM609, 17)</f>
        <v>#N/A</v>
      </c>
      <c r="AI609" s="8"/>
      <c r="AJ609" s="57"/>
      <c r="AK609" s="105"/>
      <c r="AM609" s="6" t="e">
        <f>MATCH(D609,'D5 - Gatekeeper - Projects'!$C$4:$C$1010,0)</f>
        <v>#N/A</v>
      </c>
      <c r="AN609" s="6" t="b">
        <f t="shared" si="56"/>
        <v>1</v>
      </c>
      <c r="AO609" s="6" t="str">
        <f t="shared" si="59"/>
        <v>OK</v>
      </c>
      <c r="AQ609" s="6" t="e">
        <f>MATCH($D609,'D4 - Provider Council Unsched'!$C$11:$C$234,0)</f>
        <v>#N/A</v>
      </c>
      <c r="AR609" s="6" t="b">
        <f t="shared" si="57"/>
        <v>1</v>
      </c>
      <c r="AS609" s="6" t="str">
        <f t="shared" si="55"/>
        <v>OK</v>
      </c>
      <c r="AU609" s="202"/>
      <c r="AV609" s="262"/>
      <c r="AW609" s="274"/>
    </row>
    <row r="610" spans="1:49" s="13" customFormat="1" ht="45" x14ac:dyDescent="0.2">
      <c r="A610" s="14">
        <v>586</v>
      </c>
      <c r="B610" s="14">
        <v>400012311</v>
      </c>
      <c r="C610" s="8" t="s">
        <v>5197</v>
      </c>
      <c r="D610" s="4" t="str">
        <f t="shared" si="58"/>
        <v>400012311R1</v>
      </c>
      <c r="E610" s="309" t="str">
        <f>VLOOKUP($B610,'D7 - NDB Impacted SPRF''s'!$E$6:$O$9929,2,FALSE)</f>
        <v>Medica – MH/SA Provider Migration</v>
      </c>
      <c r="F610" s="8" t="s">
        <v>5196</v>
      </c>
      <c r="G610" s="8" t="s">
        <v>4758</v>
      </c>
      <c r="H610" s="8" t="s">
        <v>4246</v>
      </c>
      <c r="I610" s="20">
        <v>9.93</v>
      </c>
      <c r="J610" s="8" t="s">
        <v>4862</v>
      </c>
      <c r="K610" s="182">
        <v>39018</v>
      </c>
      <c r="L610" s="8" t="s">
        <v>5743</v>
      </c>
      <c r="M610" s="8" t="s">
        <v>2814</v>
      </c>
      <c r="N610" s="367" t="s">
        <v>4208</v>
      </c>
      <c r="O610" s="8"/>
      <c r="P610" s="4" t="str">
        <f>VLOOKUP($B610,'D7 - NDB Impacted SPRF''s'!$E$16:$O$9929,9,FALSE)</f>
        <v>Y</v>
      </c>
      <c r="Q610" s="4" t="str">
        <f>VLOOKUP($B610,'D7 - NDB Impacted SPRF''s'!$E$16:$O$9929,10,FALSE)</f>
        <v>N</v>
      </c>
      <c r="R610" s="4" t="str">
        <f>VLOOKUP($B610,'D7 - NDB Impacted SPRF''s'!$E$16:$O$9929,11,FALSE)</f>
        <v>N</v>
      </c>
      <c r="S610" s="8" t="s">
        <v>3758</v>
      </c>
      <c r="T610" s="310"/>
      <c r="U610" s="310"/>
      <c r="V610" s="4"/>
      <c r="W610" s="4"/>
      <c r="X610" s="4"/>
      <c r="Y610" s="4"/>
      <c r="Z610" s="4"/>
      <c r="AA610" s="4"/>
      <c r="AB610" s="380" t="str">
        <f>VLOOKUP($B610,'D7 - NDB Impacted SPRF''s'!$E$16:$O$9929,4,FALSE)</f>
        <v>Completed</v>
      </c>
      <c r="AC610" s="380" t="str">
        <f>VLOOKUP($B610,'D7 - NDB Impacted SPRF''s'!$E$16:$O$9929,3,FALSE)</f>
        <v>Alliance</v>
      </c>
      <c r="AD610" s="380" t="str">
        <f>VLOOKUP($B610,'D7 - NDB Impacted SPRF''s'!$E$16:$O$9929,5,FALSE)</f>
        <v>Medica UNET Conversion</v>
      </c>
      <c r="AE610" s="380" t="str">
        <f>VLOOKUP($B610,'D7 - NDB Impacted SPRF''s'!$E$16:$O$9929,7,FALSE)</f>
        <v>Lloyd Dyer</v>
      </c>
      <c r="AF610" s="380" t="str">
        <f>VLOOKUP($B610,'D7 - NDB Impacted SPRF''s'!$E$16:$O$9929,6,FALSE)</f>
        <v>MELISSA SUTHERLAND</v>
      </c>
      <c r="AG610" s="282" t="s">
        <v>7755</v>
      </c>
      <c r="AH610" s="311" t="e">
        <f>INDEX('D5 - Gatekeeper - Projects'!$A$4:$AF$1010,$AM610, 17)</f>
        <v>#N/A</v>
      </c>
      <c r="AI610" s="8"/>
      <c r="AJ610" s="57"/>
      <c r="AK610" s="105"/>
      <c r="AM610" s="6" t="e">
        <f>MATCH(D610,'D5 - Gatekeeper - Projects'!$C$4:$C$1010,0)</f>
        <v>#N/A</v>
      </c>
      <c r="AN610" s="6" t="b">
        <f t="shared" si="56"/>
        <v>1</v>
      </c>
      <c r="AO610" s="6" t="str">
        <f t="shared" si="59"/>
        <v>OK</v>
      </c>
      <c r="AQ610" s="6" t="e">
        <f>MATCH($D610,'D4 - Provider Council Unsched'!$C$11:$C$234,0)</f>
        <v>#N/A</v>
      </c>
      <c r="AR610" s="6" t="b">
        <f t="shared" si="57"/>
        <v>1</v>
      </c>
      <c r="AS610" s="6" t="str">
        <f t="shared" si="55"/>
        <v>OK</v>
      </c>
      <c r="AU610" s="202"/>
      <c r="AV610" s="262"/>
      <c r="AW610" s="274"/>
    </row>
    <row r="611" spans="1:49" s="13" customFormat="1" ht="22.5" x14ac:dyDescent="0.2">
      <c r="A611" s="14">
        <v>587</v>
      </c>
      <c r="B611" s="14">
        <v>400012465</v>
      </c>
      <c r="C611" s="8" t="s">
        <v>5197</v>
      </c>
      <c r="D611" s="4" t="str">
        <f t="shared" si="58"/>
        <v>400012465R1</v>
      </c>
      <c r="E611" s="309" t="str">
        <f>VLOOKUP($B611,'D7 - NDB Impacted SPRF''s'!$E$6:$O$9929,2,FALSE)</f>
        <v>HCA-DataSharing Data Exchange Platform Analysis</v>
      </c>
      <c r="F611" s="8" t="s">
        <v>5196</v>
      </c>
      <c r="G611" s="8" t="s">
        <v>4758</v>
      </c>
      <c r="H611" s="8" t="s">
        <v>4246</v>
      </c>
      <c r="I611" s="20">
        <v>9.33</v>
      </c>
      <c r="J611" s="8" t="s">
        <v>4862</v>
      </c>
      <c r="K611" s="182">
        <v>39018</v>
      </c>
      <c r="L611" s="8" t="s">
        <v>5743</v>
      </c>
      <c r="M611" s="8" t="s">
        <v>2814</v>
      </c>
      <c r="N611" s="368"/>
      <c r="O611" s="8"/>
      <c r="P611" s="4" t="str">
        <f>VLOOKUP($B611,'D7 - NDB Impacted SPRF''s'!$E$16:$O$9929,9,FALSE)</f>
        <v>Y</v>
      </c>
      <c r="Q611" s="4" t="str">
        <f>VLOOKUP($B611,'D7 - NDB Impacted SPRF''s'!$E$16:$O$9929,10,FALSE)</f>
        <v>N</v>
      </c>
      <c r="R611" s="4" t="str">
        <f>VLOOKUP($B611,'D7 - NDB Impacted SPRF''s'!$E$16:$O$9929,11,FALSE)</f>
        <v>N</v>
      </c>
      <c r="S611" s="8" t="s">
        <v>3758</v>
      </c>
      <c r="T611" s="310"/>
      <c r="U611" s="310"/>
      <c r="V611" s="4"/>
      <c r="W611" s="4"/>
      <c r="X611" s="4"/>
      <c r="Y611" s="4"/>
      <c r="Z611" s="4"/>
      <c r="AA611" s="4"/>
      <c r="AB611" s="380" t="str">
        <f>VLOOKUP($B611,'D7 - NDB Impacted SPRF''s'!$E$16:$O$9929,4,FALSE)</f>
        <v>Completed</v>
      </c>
      <c r="AC611" s="380" t="str">
        <f>VLOOKUP($B611,'D7 - NDB Impacted SPRF''s'!$E$16:$O$9929,3,FALSE)</f>
        <v>Alliance</v>
      </c>
      <c r="AD611" s="380" t="str">
        <f>VLOOKUP($B611,'D7 - NDB Impacted SPRF''s'!$E$16:$O$9929,5,FALSE)</f>
        <v>Healthcare Service Alliance</v>
      </c>
      <c r="AE611" s="380" t="str">
        <f>VLOOKUP($B611,'D7 - NDB Impacted SPRF''s'!$E$16:$O$9929,7,FALSE)</f>
        <v>Diane Schofield</v>
      </c>
      <c r="AF611" s="380" t="str">
        <f>VLOOKUP($B611,'D7 - NDB Impacted SPRF''s'!$E$16:$O$9929,6,FALSE)</f>
        <v>KRISTINE FUDER</v>
      </c>
      <c r="AG611" s="282" t="s">
        <v>7755</v>
      </c>
      <c r="AH611" s="311" t="e">
        <f>INDEX('D5 - Gatekeeper - Projects'!$A$4:$AF$1010,$AM611, 17)</f>
        <v>#N/A</v>
      </c>
      <c r="AI611" s="8"/>
      <c r="AJ611" s="57"/>
      <c r="AK611" s="105"/>
      <c r="AM611" s="6" t="e">
        <f>MATCH(D611,'D5 - Gatekeeper - Projects'!$C$4:$C$1010,0)</f>
        <v>#N/A</v>
      </c>
      <c r="AN611" s="6" t="b">
        <f t="shared" si="56"/>
        <v>1</v>
      </c>
      <c r="AO611" s="6" t="str">
        <f t="shared" si="59"/>
        <v>OK</v>
      </c>
      <c r="AQ611" s="6" t="e">
        <f>MATCH($D611,'D4 - Provider Council Unsched'!$C$11:$C$234,0)</f>
        <v>#N/A</v>
      </c>
      <c r="AR611" s="6" t="b">
        <f t="shared" si="57"/>
        <v>1</v>
      </c>
      <c r="AS611" s="6" t="str">
        <f t="shared" si="55"/>
        <v>OK</v>
      </c>
      <c r="AU611" s="202"/>
      <c r="AV611" s="262"/>
      <c r="AW611" s="274"/>
    </row>
    <row r="612" spans="1:49" s="13" customFormat="1" ht="33.75" x14ac:dyDescent="0.2">
      <c r="A612" s="14">
        <v>588</v>
      </c>
      <c r="B612" s="14">
        <v>400012633</v>
      </c>
      <c r="C612" s="8" t="s">
        <v>5197</v>
      </c>
      <c r="D612" s="4" t="str">
        <f t="shared" si="58"/>
        <v>400012633R1</v>
      </c>
      <c r="E612" s="309" t="str">
        <f>VLOOKUP($B612,'D7 - NDB Impacted SPRF''s'!$E$6:$O$9929,2,FALSE)</f>
        <v>Phase 2: Radiology Transformation</v>
      </c>
      <c r="F612" s="8" t="s">
        <v>5188</v>
      </c>
      <c r="G612" s="8" t="s">
        <v>4758</v>
      </c>
      <c r="H612" s="8" t="s">
        <v>4246</v>
      </c>
      <c r="I612" s="20">
        <v>2.82</v>
      </c>
      <c r="J612" s="8" t="s">
        <v>4862</v>
      </c>
      <c r="K612" s="182">
        <v>39018</v>
      </c>
      <c r="L612" s="8" t="s">
        <v>5743</v>
      </c>
      <c r="M612" s="8" t="s">
        <v>2814</v>
      </c>
      <c r="N612" s="367" t="s">
        <v>6837</v>
      </c>
      <c r="O612" s="8"/>
      <c r="P612" s="4" t="str">
        <f>VLOOKUP($B612,'D7 - NDB Impacted SPRF''s'!$E$16:$O$9929,9,FALSE)</f>
        <v>Y</v>
      </c>
      <c r="Q612" s="4" t="str">
        <f>VLOOKUP($B612,'D7 - NDB Impacted SPRF''s'!$E$16:$O$9929,10,FALSE)</f>
        <v>N</v>
      </c>
      <c r="R612" s="4" t="str">
        <f>VLOOKUP($B612,'D7 - NDB Impacted SPRF''s'!$E$16:$O$9929,11,FALSE)</f>
        <v>N</v>
      </c>
      <c r="S612" s="8" t="s">
        <v>3758</v>
      </c>
      <c r="T612" s="310"/>
      <c r="U612" s="310"/>
      <c r="V612" s="4"/>
      <c r="W612" s="4"/>
      <c r="X612" s="4"/>
      <c r="Y612" s="4"/>
      <c r="Z612" s="4"/>
      <c r="AA612" s="4"/>
      <c r="AB612" s="380" t="str">
        <f>VLOOKUP($B612,'D7 - NDB Impacted SPRF''s'!$E$16:$O$9929,4,FALSE)</f>
        <v>Completed</v>
      </c>
      <c r="AC612" s="380" t="str">
        <f>VLOOKUP($B612,'D7 - NDB Impacted SPRF''s'!$E$16:$O$9929,3,FALSE)</f>
        <v>UnitedHealthcare Employer &amp; Individual</v>
      </c>
      <c r="AD612" s="380" t="str">
        <f>VLOOKUP($B612,'D7 - NDB Impacted SPRF''s'!$E$16:$O$9929,5,FALSE)</f>
        <v>Medical Cost Savings Programs</v>
      </c>
      <c r="AE612" s="380" t="str">
        <f>VLOOKUP($B612,'D7 - NDB Impacted SPRF''s'!$E$16:$O$9929,7,FALSE)</f>
        <v>Laurie Paidosh</v>
      </c>
      <c r="AF612" s="380" t="str">
        <f>VLOOKUP($B612,'D7 - NDB Impacted SPRF''s'!$E$16:$O$9929,6,FALSE)</f>
        <v>TRACY STRUZYK</v>
      </c>
      <c r="AG612" s="282" t="s">
        <v>5094</v>
      </c>
      <c r="AH612" s="311" t="e">
        <f>INDEX('D5 - Gatekeeper - Projects'!$A$4:$AF$1010,$AM612, 17)</f>
        <v>#N/A</v>
      </c>
      <c r="AI612" s="8"/>
      <c r="AJ612" s="57"/>
      <c r="AK612" s="105"/>
      <c r="AM612" s="6" t="e">
        <f>MATCH(D612,'D5 - Gatekeeper - Projects'!$C$4:$C$1010,0)</f>
        <v>#N/A</v>
      </c>
      <c r="AN612" s="6" t="b">
        <f t="shared" si="56"/>
        <v>1</v>
      </c>
      <c r="AO612" s="6" t="str">
        <f t="shared" si="59"/>
        <v>OK</v>
      </c>
      <c r="AQ612" s="6" t="e">
        <f>MATCH($D612,'D4 - Provider Council Unsched'!$C$11:$C$234,0)</f>
        <v>#N/A</v>
      </c>
      <c r="AR612" s="6" t="b">
        <f t="shared" si="57"/>
        <v>1</v>
      </c>
      <c r="AS612" s="6" t="str">
        <f t="shared" si="55"/>
        <v>OK</v>
      </c>
      <c r="AU612" s="202"/>
      <c r="AV612" s="262"/>
      <c r="AW612" s="274"/>
    </row>
    <row r="613" spans="1:49" s="13" customFormat="1" x14ac:dyDescent="0.2">
      <c r="A613" s="14">
        <v>589</v>
      </c>
      <c r="B613" s="14">
        <v>400013051</v>
      </c>
      <c r="C613" s="8" t="s">
        <v>5197</v>
      </c>
      <c r="D613" s="4" t="str">
        <f t="shared" si="58"/>
        <v>400013051R1</v>
      </c>
      <c r="E613" s="309" t="str">
        <f>VLOOKUP($B613,'D7 - NDB Impacted SPRF''s'!$E$6:$O$9929,2,FALSE)</f>
        <v>Medica-Feed Local Markets w/IPA 555 from NDBtoTOPS</v>
      </c>
      <c r="F613" s="8" t="s">
        <v>5196</v>
      </c>
      <c r="G613" s="8" t="s">
        <v>4758</v>
      </c>
      <c r="H613" s="8" t="s">
        <v>4246</v>
      </c>
      <c r="I613" s="20">
        <v>2.0699999999999998</v>
      </c>
      <c r="J613" s="8" t="s">
        <v>4862</v>
      </c>
      <c r="K613" s="182">
        <v>39018</v>
      </c>
      <c r="L613" s="8" t="s">
        <v>5743</v>
      </c>
      <c r="M613" s="8" t="s">
        <v>2814</v>
      </c>
      <c r="N613" s="367"/>
      <c r="O613" s="8"/>
      <c r="P613" s="4" t="str">
        <f>VLOOKUP($B613,'D7 - NDB Impacted SPRF''s'!$E$16:$O$9929,9,FALSE)</f>
        <v>Y</v>
      </c>
      <c r="Q613" s="4" t="str">
        <f>VLOOKUP($B613,'D7 - NDB Impacted SPRF''s'!$E$16:$O$9929,10,FALSE)</f>
        <v>N</v>
      </c>
      <c r="R613" s="4" t="str">
        <f>VLOOKUP($B613,'D7 - NDB Impacted SPRF''s'!$E$16:$O$9929,11,FALSE)</f>
        <v>N</v>
      </c>
      <c r="S613" s="8" t="s">
        <v>3758</v>
      </c>
      <c r="T613" s="310"/>
      <c r="U613" s="310"/>
      <c r="V613" s="4"/>
      <c r="W613" s="4"/>
      <c r="X613" s="4"/>
      <c r="Y613" s="4"/>
      <c r="Z613" s="4"/>
      <c r="AA613" s="4"/>
      <c r="AB613" s="380" t="str">
        <f>VLOOKUP($B613,'D7 - NDB Impacted SPRF''s'!$E$16:$O$9929,4,FALSE)</f>
        <v>Completed</v>
      </c>
      <c r="AC613" s="380" t="str">
        <f>VLOOKUP($B613,'D7 - NDB Impacted SPRF''s'!$E$16:$O$9929,3,FALSE)</f>
        <v>Alliance</v>
      </c>
      <c r="AD613" s="380" t="str">
        <f>VLOOKUP($B613,'D7 - NDB Impacted SPRF''s'!$E$16:$O$9929,5,FALSE)</f>
        <v>Medica UNET Conversion</v>
      </c>
      <c r="AE613" s="380" t="str">
        <f>VLOOKUP($B613,'D7 - NDB Impacted SPRF''s'!$E$16:$O$9929,7,FALSE)</f>
        <v>Bev Nyce</v>
      </c>
      <c r="AF613" s="380" t="str">
        <f>VLOOKUP($B613,'D7 - NDB Impacted SPRF''s'!$E$16:$O$9929,6,FALSE)</f>
        <v>JOHN HIEBERT</v>
      </c>
      <c r="AG613" s="282"/>
      <c r="AH613" s="311" t="e">
        <f>INDEX('D5 - Gatekeeper - Projects'!$A$4:$AF$1010,$AM613, 17)</f>
        <v>#N/A</v>
      </c>
      <c r="AI613" s="8"/>
      <c r="AJ613" s="57"/>
      <c r="AK613" s="105"/>
      <c r="AM613" s="6" t="e">
        <f>MATCH(D613,'D5 - Gatekeeper - Projects'!$C$4:$C$1010,0)</f>
        <v>#N/A</v>
      </c>
      <c r="AN613" s="6" t="b">
        <f t="shared" si="56"/>
        <v>1</v>
      </c>
      <c r="AO613" s="6" t="str">
        <f t="shared" si="59"/>
        <v>OK</v>
      </c>
      <c r="AQ613" s="6" t="e">
        <f>MATCH($D613,'D4 - Provider Council Unsched'!$C$11:$C$234,0)</f>
        <v>#N/A</v>
      </c>
      <c r="AR613" s="6" t="b">
        <f t="shared" si="57"/>
        <v>1</v>
      </c>
      <c r="AS613" s="6" t="str">
        <f t="shared" si="55"/>
        <v>OK</v>
      </c>
      <c r="AU613" s="202"/>
      <c r="AV613" s="262"/>
      <c r="AW613" s="274"/>
    </row>
    <row r="614" spans="1:49" s="13" customFormat="1" ht="33.75" x14ac:dyDescent="0.2">
      <c r="A614" s="14">
        <v>590</v>
      </c>
      <c r="B614" s="14">
        <v>400013089</v>
      </c>
      <c r="C614" s="8" t="s">
        <v>5197</v>
      </c>
      <c r="D614" s="4" t="str">
        <f t="shared" si="58"/>
        <v>400013089R1</v>
      </c>
      <c r="E614" s="309" t="str">
        <f>VLOOKUP($B614,'D7 - NDB Impacted SPRF''s'!$E$6:$O$9929,2,FALSE)</f>
        <v>NDB-PERADIGM Migration -10/28/06 Seed File</v>
      </c>
      <c r="F614" s="8" t="s">
        <v>5544</v>
      </c>
      <c r="G614" s="8" t="s">
        <v>4758</v>
      </c>
      <c r="H614" s="8" t="s">
        <v>4246</v>
      </c>
      <c r="I614" s="20">
        <v>2.67</v>
      </c>
      <c r="J614" s="8" t="s">
        <v>4862</v>
      </c>
      <c r="K614" s="182">
        <v>39018</v>
      </c>
      <c r="L614" s="8" t="s">
        <v>5743</v>
      </c>
      <c r="M614" s="8" t="s">
        <v>2814</v>
      </c>
      <c r="N614" s="369"/>
      <c r="O614" s="8"/>
      <c r="P614" s="4" t="str">
        <f>VLOOKUP($B614,'D7 - NDB Impacted SPRF''s'!$E$16:$O$9929,9,FALSE)</f>
        <v>N</v>
      </c>
      <c r="Q614" s="4" t="str">
        <f>VLOOKUP($B614,'D7 - NDB Impacted SPRF''s'!$E$16:$O$9929,10,FALSE)</f>
        <v>N</v>
      </c>
      <c r="R614" s="4" t="str">
        <f>VLOOKUP($B614,'D7 - NDB Impacted SPRF''s'!$E$16:$O$9929,11,FALSE)</f>
        <v>N</v>
      </c>
      <c r="S614" s="8" t="s">
        <v>3758</v>
      </c>
      <c r="T614" s="310"/>
      <c r="U614" s="310"/>
      <c r="V614" s="4"/>
      <c r="W614" s="4"/>
      <c r="X614" s="4"/>
      <c r="Y614" s="4"/>
      <c r="Z614" s="4"/>
      <c r="AA614" s="4"/>
      <c r="AB614" s="380" t="str">
        <f>VLOOKUP($B614,'D7 - NDB Impacted SPRF''s'!$E$16:$O$9929,4,FALSE)</f>
        <v>Completed</v>
      </c>
      <c r="AC614" s="380" t="str">
        <f>VLOOKUP($B614,'D7 - NDB Impacted SPRF''s'!$E$16:$O$9929,3,FALSE)</f>
        <v>UnitedHealthcare Medicare &amp; Retirement</v>
      </c>
      <c r="AD614" s="380" t="str">
        <f>VLOOKUP($B614,'D7 - NDB Impacted SPRF''s'!$E$16:$O$9929,5,FALSE)</f>
        <v>Ovations</v>
      </c>
      <c r="AE614" s="380" t="str">
        <f>VLOOKUP($B614,'D7 - NDB Impacted SPRF''s'!$E$16:$O$9929,7,FALSE)</f>
        <v>Ashok Sundarshan</v>
      </c>
      <c r="AF614" s="380" t="str">
        <f>VLOOKUP($B614,'D7 - NDB Impacted SPRF''s'!$E$16:$O$9929,6,FALSE)</f>
        <v>GERALD GORODISCH</v>
      </c>
      <c r="AG614" s="282"/>
      <c r="AH614" s="311" t="e">
        <f>INDEX('D5 - Gatekeeper - Projects'!$A$4:$AF$1010,$AM614, 17)</f>
        <v>#N/A</v>
      </c>
      <c r="AI614" s="8"/>
      <c r="AJ614" s="57"/>
      <c r="AK614" s="105"/>
      <c r="AM614" s="6" t="e">
        <f>MATCH(D614,'D5 - Gatekeeper - Projects'!$C$4:$C$1010,0)</f>
        <v>#N/A</v>
      </c>
      <c r="AN614" s="6" t="b">
        <f t="shared" si="56"/>
        <v>1</v>
      </c>
      <c r="AO614" s="6" t="str">
        <f t="shared" si="59"/>
        <v>OK</v>
      </c>
      <c r="AQ614" s="6" t="e">
        <f>MATCH($D614,'D4 - Provider Council Unsched'!$C$11:$C$234,0)</f>
        <v>#N/A</v>
      </c>
      <c r="AR614" s="6" t="b">
        <f t="shared" si="57"/>
        <v>1</v>
      </c>
      <c r="AS614" s="6" t="str">
        <f t="shared" si="55"/>
        <v>OK</v>
      </c>
      <c r="AU614" s="202"/>
      <c r="AV614" s="262"/>
      <c r="AW614" s="274"/>
    </row>
    <row r="615" spans="1:49" s="13" customFormat="1" ht="33.75" x14ac:dyDescent="0.2">
      <c r="A615" s="14">
        <v>591</v>
      </c>
      <c r="B615" s="14">
        <v>400013282</v>
      </c>
      <c r="C615" s="8" t="s">
        <v>5197</v>
      </c>
      <c r="D615" s="4" t="str">
        <f t="shared" si="58"/>
        <v>400013282R1</v>
      </c>
      <c r="E615" s="309" t="str">
        <f>VLOOKUP($B615,'D7 - NDB Impacted SPRF''s'!$E$6:$O$9929,2,FALSE)</f>
        <v>UMR HCFA Claims Repricing Project</v>
      </c>
      <c r="F615" s="8" t="s">
        <v>5846</v>
      </c>
      <c r="G615" s="8" t="s">
        <v>4758</v>
      </c>
      <c r="H615" s="8" t="s">
        <v>4246</v>
      </c>
      <c r="I615" s="20">
        <v>1</v>
      </c>
      <c r="J615" s="8" t="s">
        <v>4862</v>
      </c>
      <c r="K615" s="182">
        <v>39018</v>
      </c>
      <c r="L615" s="8" t="s">
        <v>5743</v>
      </c>
      <c r="M615" s="8" t="s">
        <v>2814</v>
      </c>
      <c r="N615" s="38"/>
      <c r="O615" s="8"/>
      <c r="P615" s="4" t="str">
        <f>VLOOKUP($B615,'D7 - NDB Impacted SPRF''s'!$E$16:$O$9929,9,FALSE)</f>
        <v>N</v>
      </c>
      <c r="Q615" s="4" t="str">
        <f>VLOOKUP($B615,'D7 - NDB Impacted SPRF''s'!$E$16:$O$9929,10,FALSE)</f>
        <v>N</v>
      </c>
      <c r="R615" s="4" t="str">
        <f>VLOOKUP($B615,'D7 - NDB Impacted SPRF''s'!$E$16:$O$9929,11,FALSE)</f>
        <v>Y</v>
      </c>
      <c r="S615" s="8" t="s">
        <v>3758</v>
      </c>
      <c r="T615" s="310"/>
      <c r="U615" s="310"/>
      <c r="V615" s="4"/>
      <c r="W615" s="4"/>
      <c r="X615" s="4"/>
      <c r="Y615" s="4"/>
      <c r="Z615" s="4"/>
      <c r="AA615" s="4"/>
      <c r="AB615" s="380" t="str">
        <f>VLOOKUP($B615,'D7 - NDB Impacted SPRF''s'!$E$16:$O$9929,4,FALSE)</f>
        <v>Completed</v>
      </c>
      <c r="AC615" s="380" t="str">
        <f>VLOOKUP($B615,'D7 - NDB Impacted SPRF''s'!$E$16:$O$9929,3,FALSE)</f>
        <v>UnitedHealthcare Employer &amp; Individual</v>
      </c>
      <c r="AD615" s="380" t="str">
        <f>VLOOKUP($B615,'D7 - NDB Impacted SPRF''s'!$E$16:$O$9929,5,FALSE)</f>
        <v>Integration Requirements</v>
      </c>
      <c r="AE615" s="380" t="str">
        <f>VLOOKUP($B615,'D7 - NDB Impacted SPRF''s'!$E$16:$O$9929,7,FALSE)</f>
        <v>Sally Verrilli</v>
      </c>
      <c r="AF615" s="380" t="str">
        <f>VLOOKUP($B615,'D7 - NDB Impacted SPRF''s'!$E$16:$O$9929,6,FALSE)</f>
        <v>WILLIAM DOBRANSKY</v>
      </c>
      <c r="AG615" s="282" t="s">
        <v>6162</v>
      </c>
      <c r="AH615" s="311" t="e">
        <f>INDEX('D5 - Gatekeeper - Projects'!$A$4:$AF$1010,$AM615, 17)</f>
        <v>#N/A</v>
      </c>
      <c r="AI615" s="8"/>
      <c r="AJ615" s="57"/>
      <c r="AK615" s="105"/>
      <c r="AM615" s="6" t="e">
        <f>MATCH(D615,'D5 - Gatekeeper - Projects'!$C$4:$C$1010,0)</f>
        <v>#N/A</v>
      </c>
      <c r="AN615" s="6" t="b">
        <f t="shared" si="56"/>
        <v>1</v>
      </c>
      <c r="AO615" s="6" t="str">
        <f t="shared" si="59"/>
        <v>OK</v>
      </c>
      <c r="AQ615" s="6" t="e">
        <f>MATCH($D615,'D4 - Provider Council Unsched'!$C$11:$C$234,0)</f>
        <v>#N/A</v>
      </c>
      <c r="AR615" s="6" t="b">
        <f t="shared" si="57"/>
        <v>1</v>
      </c>
      <c r="AS615" s="6" t="str">
        <f t="shared" si="55"/>
        <v>OK</v>
      </c>
      <c r="AU615" s="202"/>
      <c r="AV615" s="262"/>
      <c r="AW615" s="274"/>
    </row>
    <row r="616" spans="1:49" s="13" customFormat="1" ht="33.75" x14ac:dyDescent="0.2">
      <c r="A616" s="14">
        <v>592</v>
      </c>
      <c r="B616" s="14">
        <v>400013738</v>
      </c>
      <c r="C616" s="8" t="s">
        <v>5197</v>
      </c>
      <c r="D616" s="4" t="str">
        <f t="shared" si="58"/>
        <v>400013738R1</v>
      </c>
      <c r="E616" s="309" t="str">
        <f>VLOOKUP($B616,'D7 - NDB Impacted SPRF''s'!$E$6:$O$9929,2,FALSE)</f>
        <v>Send File of hard $ schedules from NDB to ppoONE</v>
      </c>
      <c r="F616" s="8" t="s">
        <v>4304</v>
      </c>
      <c r="G616" s="8" t="s">
        <v>4758</v>
      </c>
      <c r="H616" s="8" t="s">
        <v>4246</v>
      </c>
      <c r="I616" s="20">
        <v>1.07</v>
      </c>
      <c r="J616" s="8" t="s">
        <v>4862</v>
      </c>
      <c r="K616" s="182">
        <v>39018</v>
      </c>
      <c r="L616" s="8" t="s">
        <v>5743</v>
      </c>
      <c r="M616" s="8" t="s">
        <v>2814</v>
      </c>
      <c r="N616" s="367"/>
      <c r="O616" s="8"/>
      <c r="P616" s="4" t="str">
        <f>VLOOKUP($B616,'D7 - NDB Impacted SPRF''s'!$E$16:$O$9929,9,FALSE)</f>
        <v>N</v>
      </c>
      <c r="Q616" s="4" t="str">
        <f>VLOOKUP($B616,'D7 - NDB Impacted SPRF''s'!$E$16:$O$9929,10,FALSE)</f>
        <v>N</v>
      </c>
      <c r="R616" s="4" t="str">
        <f>VLOOKUP($B616,'D7 - NDB Impacted SPRF''s'!$E$16:$O$9929,11,FALSE)</f>
        <v>Y</v>
      </c>
      <c r="S616" s="8" t="s">
        <v>3758</v>
      </c>
      <c r="T616" s="310"/>
      <c r="U616" s="310"/>
      <c r="V616" s="4"/>
      <c r="W616" s="4"/>
      <c r="X616" s="4"/>
      <c r="Y616" s="4"/>
      <c r="Z616" s="4"/>
      <c r="AA616" s="4"/>
      <c r="AB616" s="380" t="str">
        <f>VLOOKUP($B616,'D7 - NDB Impacted SPRF''s'!$E$16:$O$9929,4,FALSE)</f>
        <v>Completed</v>
      </c>
      <c r="AC616" s="380" t="str">
        <f>VLOOKUP($B616,'D7 - NDB Impacted SPRF''s'!$E$16:$O$9929,3,FALSE)</f>
        <v>UnitedHealthcare Employer &amp; Individual</v>
      </c>
      <c r="AD616" s="380" t="str">
        <f>VLOOKUP($B616,'D7 - NDB Impacted SPRF''s'!$E$16:$O$9929,5,FALSE)</f>
        <v>Medical Cost Savings Programs</v>
      </c>
      <c r="AE616" s="380" t="str">
        <f>VLOOKUP($B616,'D7 - NDB Impacted SPRF''s'!$E$16:$O$9929,7,FALSE)</f>
        <v>Mike Mikan, Dirk McMahon</v>
      </c>
      <c r="AF616" s="380" t="str">
        <f>VLOOKUP($B616,'D7 - NDB Impacted SPRF''s'!$E$16:$O$9929,6,FALSE)</f>
        <v>MELISSA EKSTRAND</v>
      </c>
      <c r="AG616" s="282"/>
      <c r="AH616" s="311" t="e">
        <f>INDEX('D5 - Gatekeeper - Projects'!$A$4:$AF$1010,$AM616, 17)</f>
        <v>#N/A</v>
      </c>
      <c r="AI616" s="8"/>
      <c r="AJ616" s="57"/>
      <c r="AK616" s="105"/>
      <c r="AM616" s="6" t="e">
        <f>MATCH(D616,'D5 - Gatekeeper - Projects'!$C$4:$C$1010,0)</f>
        <v>#N/A</v>
      </c>
      <c r="AN616" s="6" t="b">
        <f t="shared" si="56"/>
        <v>1</v>
      </c>
      <c r="AO616" s="6" t="str">
        <f t="shared" si="59"/>
        <v>OK</v>
      </c>
      <c r="AQ616" s="6" t="e">
        <f>MATCH($D616,'D4 - Provider Council Unsched'!$C$11:$C$234,0)</f>
        <v>#N/A</v>
      </c>
      <c r="AR616" s="6" t="b">
        <f t="shared" si="57"/>
        <v>1</v>
      </c>
      <c r="AS616" s="6" t="str">
        <f t="shared" si="55"/>
        <v>OK</v>
      </c>
      <c r="AU616" s="202"/>
      <c r="AV616" s="262"/>
      <c r="AW616" s="274"/>
    </row>
    <row r="617" spans="1:49" s="13" customFormat="1" ht="33.75" x14ac:dyDescent="0.2">
      <c r="A617" s="14">
        <v>593</v>
      </c>
      <c r="B617" s="14">
        <v>400014315</v>
      </c>
      <c r="C617" s="8" t="s">
        <v>5197</v>
      </c>
      <c r="D617" s="4" t="str">
        <f t="shared" si="58"/>
        <v>400014315R1</v>
      </c>
      <c r="E617" s="309" t="str">
        <f>VLOOKUP($B617,'D7 - NDB Impacted SPRF''s'!$E$6:$O$9929,2,FALSE)</f>
        <v>Replacement for CC# 7 for 4-7560</v>
      </c>
      <c r="F617" s="8" t="s">
        <v>3764</v>
      </c>
      <c r="G617" s="8" t="s">
        <v>4758</v>
      </c>
      <c r="H617" s="8" t="s">
        <v>4246</v>
      </c>
      <c r="I617" s="20">
        <v>10.67</v>
      </c>
      <c r="J617" s="8" t="s">
        <v>7114</v>
      </c>
      <c r="K617" s="182">
        <v>39018</v>
      </c>
      <c r="L617" s="8" t="s">
        <v>6919</v>
      </c>
      <c r="M617" s="8" t="s">
        <v>2814</v>
      </c>
      <c r="N617" s="38" t="s">
        <v>1644</v>
      </c>
      <c r="O617" s="8"/>
      <c r="P617" s="4" t="str">
        <f>VLOOKUP($B617,'D7 - NDB Impacted SPRF''s'!$E$16:$O$9929,9,FALSE)</f>
        <v>N</v>
      </c>
      <c r="Q617" s="4" t="str">
        <f>VLOOKUP($B617,'D7 - NDB Impacted SPRF''s'!$E$16:$O$9929,10,FALSE)</f>
        <v>N</v>
      </c>
      <c r="R617" s="4" t="str">
        <f>VLOOKUP($B617,'D7 - NDB Impacted SPRF''s'!$E$16:$O$9929,11,FALSE)</f>
        <v>N</v>
      </c>
      <c r="S617" s="8" t="s">
        <v>3758</v>
      </c>
      <c r="T617" s="310"/>
      <c r="U617" s="310"/>
      <c r="V617" s="4"/>
      <c r="W617" s="4"/>
      <c r="X617" s="4"/>
      <c r="Y617" s="4"/>
      <c r="Z617" s="4"/>
      <c r="AA617" s="4"/>
      <c r="AB617" s="380" t="str">
        <f>VLOOKUP($B617,'D7 - NDB Impacted SPRF''s'!$E$16:$O$9929,4,FALSE)</f>
        <v>Cancelled</v>
      </c>
      <c r="AC617" s="380" t="str">
        <f>VLOOKUP($B617,'D7 - NDB Impacted SPRF''s'!$E$16:$O$9929,3,FALSE)</f>
        <v>UnitedHealthcare Medicare &amp; Retirement</v>
      </c>
      <c r="AD617" s="380" t="str">
        <f>VLOOKUP($B617,'D7 - NDB Impacted SPRF''s'!$E$16:$O$9929,5,FALSE)</f>
        <v>Ovations</v>
      </c>
      <c r="AE617" s="380" t="str">
        <f>VLOOKUP($B617,'D7 - NDB Impacted SPRF''s'!$E$16:$O$9929,7,FALSE)</f>
        <v>Ashok Sudarshan</v>
      </c>
      <c r="AF617" s="380" t="str">
        <f>VLOOKUP($B617,'D7 - NDB Impacted SPRF''s'!$E$16:$O$9929,6,FALSE)</f>
        <v>GERALD GORODISCH</v>
      </c>
      <c r="AG617" s="282" t="s">
        <v>7755</v>
      </c>
      <c r="AH617" s="311" t="e">
        <f>INDEX('D5 - Gatekeeper - Projects'!$A$4:$AF$1010,$AM617, 17)</f>
        <v>#N/A</v>
      </c>
      <c r="AI617" s="8"/>
      <c r="AJ617" s="57"/>
      <c r="AK617" s="105"/>
      <c r="AM617" s="6" t="e">
        <f>MATCH(D617,'D5 - Gatekeeper - Projects'!$C$4:$C$1010,0)</f>
        <v>#N/A</v>
      </c>
      <c r="AN617" s="6" t="b">
        <f t="shared" si="56"/>
        <v>1</v>
      </c>
      <c r="AO617" s="6" t="str">
        <f t="shared" si="59"/>
        <v>OK</v>
      </c>
      <c r="AQ617" s="6" t="e">
        <f>MATCH($D617,'D4 - Provider Council Unsched'!$C$11:$C$234,0)</f>
        <v>#N/A</v>
      </c>
      <c r="AR617" s="6" t="b">
        <f t="shared" si="57"/>
        <v>1</v>
      </c>
      <c r="AS617" s="6" t="str">
        <f t="shared" si="55"/>
        <v>OK</v>
      </c>
      <c r="AU617" s="202"/>
      <c r="AV617" s="262"/>
      <c r="AW617" s="274"/>
    </row>
    <row r="618" spans="1:49" s="13" customFormat="1" ht="33.75" x14ac:dyDescent="0.2">
      <c r="A618" s="14">
        <v>594</v>
      </c>
      <c r="B618" s="14">
        <v>400014350</v>
      </c>
      <c r="C618" s="8" t="s">
        <v>5197</v>
      </c>
      <c r="D618" s="4" t="str">
        <f t="shared" si="58"/>
        <v>400014350R1</v>
      </c>
      <c r="E618" s="309" t="str">
        <f>VLOOKUP($B618,'D7 - NDB Impacted SPRF''s'!$E$6:$O$9929,2,FALSE)</f>
        <v>Parent/Child Fee Schedule One-Shot</v>
      </c>
      <c r="F618" s="8" t="s">
        <v>4961</v>
      </c>
      <c r="G618" s="8" t="s">
        <v>4758</v>
      </c>
      <c r="H618" s="8" t="s">
        <v>4246</v>
      </c>
      <c r="I618" s="20">
        <v>4.9000000000000004</v>
      </c>
      <c r="J618" s="8" t="s">
        <v>4862</v>
      </c>
      <c r="K618" s="182">
        <v>39018</v>
      </c>
      <c r="L618" s="8" t="s">
        <v>5743</v>
      </c>
      <c r="M618" s="8" t="s">
        <v>2814</v>
      </c>
      <c r="N618" s="368"/>
      <c r="O618" s="8"/>
      <c r="P618" s="4" t="str">
        <f>VLOOKUP($B618,'D7 - NDB Impacted SPRF''s'!$E$16:$O$9929,9,FALSE)</f>
        <v>N</v>
      </c>
      <c r="Q618" s="4" t="str">
        <f>VLOOKUP($B618,'D7 - NDB Impacted SPRF''s'!$E$16:$O$9929,10,FALSE)</f>
        <v>N</v>
      </c>
      <c r="R618" s="4" t="str">
        <f>VLOOKUP($B618,'D7 - NDB Impacted SPRF''s'!$E$16:$O$9929,11,FALSE)</f>
        <v>Y</v>
      </c>
      <c r="S618" s="8" t="s">
        <v>7273</v>
      </c>
      <c r="T618" s="310"/>
      <c r="U618" s="310"/>
      <c r="V618" s="4"/>
      <c r="W618" s="4"/>
      <c r="X618" s="4"/>
      <c r="Y618" s="4"/>
      <c r="Z618" s="4"/>
      <c r="AA618" s="4"/>
      <c r="AB618" s="380" t="str">
        <f>VLOOKUP($B618,'D7 - NDB Impacted SPRF''s'!$E$16:$O$9929,4,FALSE)</f>
        <v>Completed</v>
      </c>
      <c r="AC618" s="380" t="str">
        <f>VLOOKUP($B618,'D7 - NDB Impacted SPRF''s'!$E$16:$O$9929,3,FALSE)</f>
        <v>UnitedHealthcare Employer &amp; Individual</v>
      </c>
      <c r="AD618" s="380" t="str">
        <f>VLOOKUP($B618,'D7 - NDB Impacted SPRF''s'!$E$16:$O$9929,5,FALSE)</f>
        <v>Network Growth / Enhancements</v>
      </c>
      <c r="AE618" s="380" t="str">
        <f>VLOOKUP($B618,'D7 - NDB Impacted SPRF''s'!$E$16:$O$9929,7,FALSE)</f>
        <v>Robert Holman</v>
      </c>
      <c r="AF618" s="380" t="str">
        <f>VLOOKUP($B618,'D7 - NDB Impacted SPRF''s'!$E$16:$O$9929,6,FALSE)</f>
        <v>Erin Nelson</v>
      </c>
      <c r="AG618" s="282"/>
      <c r="AH618" s="311" t="e">
        <f>INDEX('D5 - Gatekeeper - Projects'!$A$4:$AF$1010,$AM618, 17)</f>
        <v>#N/A</v>
      </c>
      <c r="AI618" s="8"/>
      <c r="AJ618" s="57"/>
      <c r="AK618" s="105"/>
      <c r="AM618" s="6" t="e">
        <f>MATCH(D618,'D5 - Gatekeeper - Projects'!$C$4:$C$1010,0)</f>
        <v>#N/A</v>
      </c>
      <c r="AN618" s="6" t="b">
        <f t="shared" si="56"/>
        <v>1</v>
      </c>
      <c r="AO618" s="6" t="str">
        <f t="shared" si="59"/>
        <v>OK</v>
      </c>
      <c r="AQ618" s="6" t="e">
        <f>MATCH($D618,'D4 - Provider Council Unsched'!$C$11:$C$234,0)</f>
        <v>#N/A</v>
      </c>
      <c r="AR618" s="6" t="b">
        <f t="shared" si="57"/>
        <v>1</v>
      </c>
      <c r="AS618" s="6" t="str">
        <f t="shared" si="55"/>
        <v>OK</v>
      </c>
      <c r="AU618" s="202"/>
      <c r="AV618" s="262"/>
      <c r="AW618" s="274"/>
    </row>
    <row r="619" spans="1:49" s="13" customFormat="1" x14ac:dyDescent="0.2">
      <c r="A619" s="14">
        <v>595</v>
      </c>
      <c r="B619" s="14">
        <v>400014939</v>
      </c>
      <c r="C619" s="8" t="s">
        <v>5197</v>
      </c>
      <c r="D619" s="4" t="str">
        <f t="shared" si="58"/>
        <v>400014939R1</v>
      </c>
      <c r="E619" s="309" t="str">
        <f>VLOOKUP($B619,'D7 - NDB Impacted SPRF''s'!$E$6:$O$9929,2,FALSE)</f>
        <v>Change FTP Info for UBH Facets NDB/EPDL Implementa</v>
      </c>
      <c r="F619" s="8" t="s">
        <v>4069</v>
      </c>
      <c r="G619" s="8" t="s">
        <v>4758</v>
      </c>
      <c r="H619" s="8" t="s">
        <v>4246</v>
      </c>
      <c r="I619" s="20">
        <v>1.07</v>
      </c>
      <c r="J619" s="8" t="s">
        <v>4862</v>
      </c>
      <c r="K619" s="182">
        <v>39018</v>
      </c>
      <c r="L619" s="8" t="s">
        <v>5743</v>
      </c>
      <c r="M619" s="8" t="s">
        <v>2814</v>
      </c>
      <c r="N619" s="38" t="s">
        <v>6326</v>
      </c>
      <c r="O619" s="8"/>
      <c r="P619" s="4" t="str">
        <f>VLOOKUP($B619,'D7 - NDB Impacted SPRF''s'!$E$16:$O$9929,9,FALSE)</f>
        <v>N</v>
      </c>
      <c r="Q619" s="4" t="str">
        <f>VLOOKUP($B619,'D7 - NDB Impacted SPRF''s'!$E$16:$O$9929,10,FALSE)</f>
        <v>N</v>
      </c>
      <c r="R619" s="4" t="str">
        <f>VLOOKUP($B619,'D7 - NDB Impacted SPRF''s'!$E$16:$O$9929,11,FALSE)</f>
        <v>N</v>
      </c>
      <c r="S619" s="8"/>
      <c r="T619" s="310"/>
      <c r="U619" s="310"/>
      <c r="V619" s="4"/>
      <c r="W619" s="4"/>
      <c r="X619" s="4"/>
      <c r="Y619" s="4"/>
      <c r="Z619" s="4"/>
      <c r="AA619" s="4"/>
      <c r="AB619" s="380" t="str">
        <f>VLOOKUP($B619,'D7 - NDB Impacted SPRF''s'!$E$16:$O$9929,4,FALSE)</f>
        <v>Completed</v>
      </c>
      <c r="AC619" s="380" t="str">
        <f>VLOOKUP($B619,'D7 - NDB Impacted SPRF''s'!$E$16:$O$9929,3,FALSE)</f>
        <v>OptumHealth</v>
      </c>
      <c r="AD619" s="380" t="str">
        <f>VLOOKUP($B619,'D7 - NDB Impacted SPRF''s'!$E$16:$O$9929,5,FALSE)</f>
        <v>UBH</v>
      </c>
      <c r="AE619" s="380" t="str">
        <f>VLOOKUP($B619,'D7 - NDB Impacted SPRF''s'!$E$16:$O$9929,7,FALSE)</f>
        <v>Llyod Dyer</v>
      </c>
      <c r="AF619" s="380" t="str">
        <f>VLOOKUP($B619,'D7 - NDB Impacted SPRF''s'!$E$16:$O$9929,6,FALSE)</f>
        <v>Todd Rachwal</v>
      </c>
      <c r="AG619" s="282"/>
      <c r="AH619" s="311" t="e">
        <f>INDEX('D5 - Gatekeeper - Projects'!$A$4:$AF$1010,$AM619, 17)</f>
        <v>#N/A</v>
      </c>
      <c r="AI619" s="8"/>
      <c r="AJ619" s="57"/>
      <c r="AK619" s="105"/>
      <c r="AM619" s="6" t="e">
        <f>MATCH(D619,'D5 - Gatekeeper - Projects'!$C$4:$C$1010,0)</f>
        <v>#N/A</v>
      </c>
      <c r="AN619" s="6" t="b">
        <f t="shared" si="56"/>
        <v>1</v>
      </c>
      <c r="AO619" s="6" t="str">
        <f t="shared" si="59"/>
        <v>OK</v>
      </c>
      <c r="AQ619" s="6" t="e">
        <f>MATCH($D619,'D4 - Provider Council Unsched'!$C$11:$C$234,0)</f>
        <v>#N/A</v>
      </c>
      <c r="AR619" s="6" t="b">
        <f t="shared" si="57"/>
        <v>1</v>
      </c>
      <c r="AS619" s="6" t="str">
        <f t="shared" si="55"/>
        <v>OK</v>
      </c>
      <c r="AU619" s="202"/>
      <c r="AV619" s="262"/>
      <c r="AW619" s="274"/>
    </row>
    <row r="620" spans="1:49" s="13" customFormat="1" x14ac:dyDescent="0.2">
      <c r="A620" s="14">
        <v>596</v>
      </c>
      <c r="B620" s="14">
        <v>400008000</v>
      </c>
      <c r="C620" s="8" t="s">
        <v>5197</v>
      </c>
      <c r="D620" s="4" t="str">
        <f t="shared" si="58"/>
        <v>400008000R1</v>
      </c>
      <c r="E620" s="309" t="str">
        <f>VLOOKUP($B620,'D7 - NDB Impacted SPRF''s'!$E$6:$O$9929,2,FALSE)</f>
        <v>CORP1-datasharing-Integration Architecture Model</v>
      </c>
      <c r="F620" s="8" t="s">
        <v>5196</v>
      </c>
      <c r="G620" s="8" t="s">
        <v>4758</v>
      </c>
      <c r="H620" s="8" t="s">
        <v>4246</v>
      </c>
      <c r="I620" s="20">
        <v>0.8</v>
      </c>
      <c r="J620" s="8" t="s">
        <v>4862</v>
      </c>
      <c r="K620" s="182">
        <v>39060</v>
      </c>
      <c r="L620" s="8" t="s">
        <v>4156</v>
      </c>
      <c r="M620" s="8" t="s">
        <v>2814</v>
      </c>
      <c r="N620" s="65" t="s">
        <v>5446</v>
      </c>
      <c r="O620" s="8"/>
      <c r="P620" s="4" t="str">
        <f>VLOOKUP($B620,'D7 - NDB Impacted SPRF''s'!$E$16:$O$9929,9,FALSE)</f>
        <v>Y</v>
      </c>
      <c r="Q620" s="4" t="str">
        <f>VLOOKUP($B620,'D7 - NDB Impacted SPRF''s'!$E$16:$O$9929,10,FALSE)</f>
        <v>N</v>
      </c>
      <c r="R620" s="4" t="str">
        <f>VLOOKUP($B620,'D7 - NDB Impacted SPRF''s'!$E$16:$O$9929,11,FALSE)</f>
        <v>N</v>
      </c>
      <c r="S620" s="8"/>
      <c r="T620" s="310"/>
      <c r="U620" s="310"/>
      <c r="V620" s="4"/>
      <c r="W620" s="4"/>
      <c r="X620" s="4"/>
      <c r="Y620" s="4"/>
      <c r="Z620" s="4"/>
      <c r="AA620" s="4"/>
      <c r="AB620" s="380" t="str">
        <f>VLOOKUP($B620,'D7 - NDB Impacted SPRF''s'!$E$16:$O$9929,4,FALSE)</f>
        <v>Completed</v>
      </c>
      <c r="AC620" s="380" t="str">
        <f>VLOOKUP($B620,'D7 - NDB Impacted SPRF''s'!$E$16:$O$9929,3,FALSE)</f>
        <v>Alliance</v>
      </c>
      <c r="AD620" s="380" t="str">
        <f>VLOOKUP($B620,'D7 - NDB Impacted SPRF''s'!$E$16:$O$9929,5,FALSE)</f>
        <v>Healthcare Service Alliance</v>
      </c>
      <c r="AE620" s="380" t="str">
        <f>VLOOKUP($B620,'D7 - NDB Impacted SPRF''s'!$E$16:$O$9929,7,FALSE)</f>
        <v>Bev Nyce</v>
      </c>
      <c r="AF620" s="380" t="str">
        <f>VLOOKUP($B620,'D7 - NDB Impacted SPRF''s'!$E$16:$O$9929,6,FALSE)</f>
        <v>KARLA KRAFT</v>
      </c>
      <c r="AG620" s="282" t="s">
        <v>7755</v>
      </c>
      <c r="AH620" s="311" t="e">
        <f>INDEX('D5 - Gatekeeper - Projects'!$A$4:$AF$1010,$AM620, 17)</f>
        <v>#N/A</v>
      </c>
      <c r="AI620" s="8"/>
      <c r="AJ620" s="57"/>
      <c r="AK620" s="105"/>
      <c r="AM620" s="6" t="e">
        <f>MATCH(D620,'D5 - Gatekeeper - Projects'!$C$4:$C$1010,0)</f>
        <v>#N/A</v>
      </c>
      <c r="AN620" s="6" t="b">
        <f t="shared" si="56"/>
        <v>1</v>
      </c>
      <c r="AO620" s="6" t="str">
        <f t="shared" si="59"/>
        <v>OK</v>
      </c>
      <c r="AQ620" s="6" t="e">
        <f>MATCH($D620,'D4 - Provider Council Unsched'!$C$11:$C$234,0)</f>
        <v>#N/A</v>
      </c>
      <c r="AR620" s="6" t="b">
        <f t="shared" si="57"/>
        <v>1</v>
      </c>
      <c r="AS620" s="6" t="str">
        <f t="shared" ref="AS620:AS683" si="60">IF(AND(H620="2 - Not Scheduled",AR620=TRUE),"Add","OK")</f>
        <v>OK</v>
      </c>
      <c r="AU620" s="202"/>
      <c r="AV620" s="262"/>
      <c r="AW620" s="274"/>
    </row>
    <row r="621" spans="1:49" s="13" customFormat="1" ht="22.5" x14ac:dyDescent="0.2">
      <c r="A621" s="14">
        <v>597</v>
      </c>
      <c r="B621" s="14">
        <v>400008017</v>
      </c>
      <c r="C621" s="8" t="s">
        <v>2449</v>
      </c>
      <c r="D621" s="4" t="str">
        <f t="shared" si="58"/>
        <v>400008017R3</v>
      </c>
      <c r="E621" s="309" t="str">
        <f>VLOOKUP($B621,'D7 - NDB Impacted SPRF''s'!$E$6:$O$9929,2,FALSE)</f>
        <v>CORP1-Infrastructure-Production Pilot Testing</v>
      </c>
      <c r="F621" s="8" t="s">
        <v>5196</v>
      </c>
      <c r="G621" s="8" t="s">
        <v>4758</v>
      </c>
      <c r="H621" s="8" t="s">
        <v>4246</v>
      </c>
      <c r="I621" s="20">
        <v>10</v>
      </c>
      <c r="J621" s="8" t="s">
        <v>4862</v>
      </c>
      <c r="K621" s="182">
        <v>39060</v>
      </c>
      <c r="L621" s="8" t="s">
        <v>5743</v>
      </c>
      <c r="M621" s="8" t="s">
        <v>2814</v>
      </c>
      <c r="N621" s="38"/>
      <c r="O621" s="8"/>
      <c r="P621" s="4" t="str">
        <f>VLOOKUP($B621,'D7 - NDB Impacted SPRF''s'!$E$16:$O$9929,9,FALSE)</f>
        <v>Y</v>
      </c>
      <c r="Q621" s="4" t="str">
        <f>VLOOKUP($B621,'D7 - NDB Impacted SPRF''s'!$E$16:$O$9929,10,FALSE)</f>
        <v>N</v>
      </c>
      <c r="R621" s="4" t="str">
        <f>VLOOKUP($B621,'D7 - NDB Impacted SPRF''s'!$E$16:$O$9929,11,FALSE)</f>
        <v>N</v>
      </c>
      <c r="S621" s="8"/>
      <c r="T621" s="310"/>
      <c r="U621" s="310"/>
      <c r="V621" s="4"/>
      <c r="W621" s="4"/>
      <c r="X621" s="4"/>
      <c r="Y621" s="4"/>
      <c r="Z621" s="4"/>
      <c r="AA621" s="4"/>
      <c r="AB621" s="380" t="str">
        <f>VLOOKUP($B621,'D7 - NDB Impacted SPRF''s'!$E$16:$O$9929,4,FALSE)</f>
        <v>Completed</v>
      </c>
      <c r="AC621" s="380" t="str">
        <f>VLOOKUP($B621,'D7 - NDB Impacted SPRF''s'!$E$16:$O$9929,3,FALSE)</f>
        <v>Alliance</v>
      </c>
      <c r="AD621" s="380" t="str">
        <f>VLOOKUP($B621,'D7 - NDB Impacted SPRF''s'!$E$16:$O$9929,5,FALSE)</f>
        <v>Healthcare Service Alliance</v>
      </c>
      <c r="AE621" s="380" t="str">
        <f>VLOOKUP($B621,'D7 - NDB Impacted SPRF''s'!$E$16:$O$9929,7,FALSE)</f>
        <v>Bev Nyce</v>
      </c>
      <c r="AF621" s="380" t="str">
        <f>VLOOKUP($B621,'D7 - NDB Impacted SPRF''s'!$E$16:$O$9929,6,FALSE)</f>
        <v>ALBERT PETRUNTI</v>
      </c>
      <c r="AG621" s="282"/>
      <c r="AH621" s="311" t="e">
        <f>INDEX('D5 - Gatekeeper - Projects'!$A$4:$AF$1010,$AM621, 17)</f>
        <v>#N/A</v>
      </c>
      <c r="AI621" s="8"/>
      <c r="AJ621" s="57"/>
      <c r="AK621" s="105"/>
      <c r="AM621" s="6" t="e">
        <f>MATCH(D621,'D5 - Gatekeeper - Projects'!$C$4:$C$1010,0)</f>
        <v>#N/A</v>
      </c>
      <c r="AN621" s="6" t="b">
        <f t="shared" si="56"/>
        <v>1</v>
      </c>
      <c r="AO621" s="6" t="str">
        <f t="shared" si="59"/>
        <v>OK</v>
      </c>
      <c r="AQ621" s="6" t="e">
        <f>MATCH($D621,'D4 - Provider Council Unsched'!$C$11:$C$234,0)</f>
        <v>#N/A</v>
      </c>
      <c r="AR621" s="6" t="b">
        <f t="shared" si="57"/>
        <v>1</v>
      </c>
      <c r="AS621" s="6" t="str">
        <f t="shared" si="60"/>
        <v>OK</v>
      </c>
      <c r="AU621" s="202"/>
      <c r="AV621" s="262"/>
      <c r="AW621" s="274"/>
    </row>
    <row r="622" spans="1:49" s="13" customFormat="1" ht="22.5" x14ac:dyDescent="0.2">
      <c r="A622" s="14">
        <v>598</v>
      </c>
      <c r="B622" s="14">
        <v>400008265</v>
      </c>
      <c r="C622" s="8" t="s">
        <v>5976</v>
      </c>
      <c r="D622" s="4" t="str">
        <f t="shared" si="58"/>
        <v>400008265CC14</v>
      </c>
      <c r="E622" s="309" t="str">
        <f>VLOOKUP($B622,'D7 - NDB Impacted SPRF''s'!$E$6:$O$9929,2,FALSE)</f>
        <v>CORP1-NetClaim-PTI By Network Contracting Org.</v>
      </c>
      <c r="F622" s="8" t="s">
        <v>5196</v>
      </c>
      <c r="G622" s="8" t="s">
        <v>4758</v>
      </c>
      <c r="H622" s="8" t="s">
        <v>4246</v>
      </c>
      <c r="I622" s="20">
        <v>3.97</v>
      </c>
      <c r="J622" s="8" t="s">
        <v>4862</v>
      </c>
      <c r="K622" s="182">
        <v>39060</v>
      </c>
      <c r="L622" s="8" t="s">
        <v>5743</v>
      </c>
      <c r="M622" s="8" t="s">
        <v>2814</v>
      </c>
      <c r="N622" s="367"/>
      <c r="O622" s="8"/>
      <c r="P622" s="4" t="str">
        <f>VLOOKUP($B622,'D7 - NDB Impacted SPRF''s'!$E$16:$O$9929,9,FALSE)</f>
        <v>Y</v>
      </c>
      <c r="Q622" s="4" t="str">
        <f>VLOOKUP($B622,'D7 - NDB Impacted SPRF''s'!$E$16:$O$9929,10,FALSE)</f>
        <v>N</v>
      </c>
      <c r="R622" s="4" t="str">
        <f>VLOOKUP($B622,'D7 - NDB Impacted SPRF''s'!$E$16:$O$9929,11,FALSE)</f>
        <v>N</v>
      </c>
      <c r="S622" s="8" t="s">
        <v>3758</v>
      </c>
      <c r="T622" s="310"/>
      <c r="U622" s="310"/>
      <c r="V622" s="4"/>
      <c r="W622" s="4"/>
      <c r="X622" s="4"/>
      <c r="Y622" s="4"/>
      <c r="Z622" s="4"/>
      <c r="AA622" s="4"/>
      <c r="AB622" s="380" t="str">
        <f>VLOOKUP($B622,'D7 - NDB Impacted SPRF''s'!$E$16:$O$9929,4,FALSE)</f>
        <v>Completed</v>
      </c>
      <c r="AC622" s="380" t="str">
        <f>VLOOKUP($B622,'D7 - NDB Impacted SPRF''s'!$E$16:$O$9929,3,FALSE)</f>
        <v>Alliance</v>
      </c>
      <c r="AD622" s="380" t="str">
        <f>VLOOKUP($B622,'D7 - NDB Impacted SPRF''s'!$E$16:$O$9929,5,FALSE)</f>
        <v>Healthcare Service Alliance</v>
      </c>
      <c r="AE622" s="380" t="str">
        <f>VLOOKUP($B622,'D7 - NDB Impacted SPRF''s'!$E$16:$O$9929,7,FALSE)</f>
        <v>Bev Nyce, Peter Bompane</v>
      </c>
      <c r="AF622" s="380" t="str">
        <f>VLOOKUP($B622,'D7 - NDB Impacted SPRF''s'!$E$16:$O$9929,6,FALSE)</f>
        <v>STEPHEN FINLEY</v>
      </c>
      <c r="AG622" s="282"/>
      <c r="AH622" s="311" t="e">
        <f>INDEX('D5 - Gatekeeper - Projects'!$A$4:$AF$1010,$AM622, 17)</f>
        <v>#N/A</v>
      </c>
      <c r="AI622" s="8"/>
      <c r="AJ622" s="57"/>
      <c r="AK622" s="105"/>
      <c r="AM622" s="6" t="e">
        <f>MATCH(D622,'D5 - Gatekeeper - Projects'!$C$4:$C$1010,0)</f>
        <v>#N/A</v>
      </c>
      <c r="AN622" s="6" t="b">
        <f t="shared" si="56"/>
        <v>1</v>
      </c>
      <c r="AO622" s="6" t="str">
        <f t="shared" si="59"/>
        <v>OK</v>
      </c>
      <c r="AQ622" s="6" t="e">
        <f>MATCH($D622,'D4 - Provider Council Unsched'!$C$11:$C$234,0)</f>
        <v>#N/A</v>
      </c>
      <c r="AR622" s="6" t="b">
        <f t="shared" si="57"/>
        <v>1</v>
      </c>
      <c r="AS622" s="6" t="str">
        <f t="shared" si="60"/>
        <v>OK</v>
      </c>
      <c r="AU622" s="202"/>
      <c r="AV622" s="262"/>
      <c r="AW622" s="274"/>
    </row>
    <row r="623" spans="1:49" s="13" customFormat="1" ht="33.75" x14ac:dyDescent="0.2">
      <c r="A623" s="14">
        <v>599</v>
      </c>
      <c r="B623" s="14">
        <v>400009865</v>
      </c>
      <c r="C623" s="8" t="s">
        <v>8120</v>
      </c>
      <c r="D623" s="4" t="str">
        <f t="shared" si="58"/>
        <v>400009865CC08</v>
      </c>
      <c r="E623" s="309" t="str">
        <f>VLOOKUP($B623,'D7 - NDB Impacted SPRF''s'!$E$6:$O$9929,2,FALSE)</f>
        <v>MAMSI-FEHB (Feds)  Choice HM6 w/MDIPA Legal Entity</v>
      </c>
      <c r="F623" s="8" t="s">
        <v>5752</v>
      </c>
      <c r="G623" s="8" t="s">
        <v>4758</v>
      </c>
      <c r="H623" s="8" t="s">
        <v>4246</v>
      </c>
      <c r="I623" s="20">
        <v>1.07</v>
      </c>
      <c r="J623" s="8" t="s">
        <v>4862</v>
      </c>
      <c r="K623" s="182">
        <v>39060</v>
      </c>
      <c r="L623" s="8" t="s">
        <v>5743</v>
      </c>
      <c r="M623" s="8" t="s">
        <v>2814</v>
      </c>
      <c r="N623" s="368"/>
      <c r="O623" s="8" t="s">
        <v>7420</v>
      </c>
      <c r="P623" s="4" t="str">
        <f>VLOOKUP($B623,'D7 - NDB Impacted SPRF''s'!$E$16:$O$9929,9,FALSE)</f>
        <v>Y</v>
      </c>
      <c r="Q623" s="4" t="str">
        <f>VLOOKUP($B623,'D7 - NDB Impacted SPRF''s'!$E$16:$O$9929,10,FALSE)</f>
        <v>N</v>
      </c>
      <c r="R623" s="4" t="str">
        <f>VLOOKUP($B623,'D7 - NDB Impacted SPRF''s'!$E$16:$O$9929,11,FALSE)</f>
        <v>N</v>
      </c>
      <c r="S623" s="8" t="s">
        <v>3758</v>
      </c>
      <c r="T623" s="310"/>
      <c r="U623" s="310"/>
      <c r="V623" s="4"/>
      <c r="W623" s="4"/>
      <c r="X623" s="4"/>
      <c r="Y623" s="4"/>
      <c r="Z623" s="4"/>
      <c r="AA623" s="4"/>
      <c r="AB623" s="380" t="str">
        <f>VLOOKUP($B623,'D7 - NDB Impacted SPRF''s'!$E$16:$O$9929,4,FALSE)</f>
        <v>Completed</v>
      </c>
      <c r="AC623" s="380" t="str">
        <f>VLOOKUP($B623,'D7 - NDB Impacted SPRF''s'!$E$16:$O$9929,3,FALSE)</f>
        <v>UnitedHealthcare Employer &amp; Individual</v>
      </c>
      <c r="AD623" s="380" t="str">
        <f>VLOOKUP($B623,'D7 - NDB Impacted SPRF''s'!$E$16:$O$9929,5,FALSE)</f>
        <v>Integration Requirements</v>
      </c>
      <c r="AE623" s="380" t="str">
        <f>VLOOKUP($B623,'D7 - NDB Impacted SPRF''s'!$E$16:$O$9929,7,FALSE)</f>
        <v>Diane Schofield</v>
      </c>
      <c r="AF623" s="380" t="str">
        <f>VLOOKUP($B623,'D7 - NDB Impacted SPRF''s'!$E$16:$O$9929,6,FALSE)</f>
        <v>SHARION WILTON</v>
      </c>
      <c r="AG623" s="282"/>
      <c r="AH623" s="311" t="e">
        <f>INDEX('D5 - Gatekeeper - Projects'!$A$4:$AF$1010,$AM623, 17)</f>
        <v>#N/A</v>
      </c>
      <c r="AI623" s="8"/>
      <c r="AJ623" s="57"/>
      <c r="AK623" s="105"/>
      <c r="AM623" s="6" t="e">
        <f>MATCH(D623,'D5 - Gatekeeper - Projects'!$C$4:$C$1010,0)</f>
        <v>#N/A</v>
      </c>
      <c r="AN623" s="6" t="b">
        <f t="shared" si="56"/>
        <v>1</v>
      </c>
      <c r="AO623" s="6" t="str">
        <f t="shared" si="59"/>
        <v>OK</v>
      </c>
      <c r="AQ623" s="6" t="e">
        <f>MATCH($D623,'D4 - Provider Council Unsched'!$C$11:$C$234,0)</f>
        <v>#N/A</v>
      </c>
      <c r="AR623" s="6" t="b">
        <f t="shared" si="57"/>
        <v>1</v>
      </c>
      <c r="AS623" s="6" t="str">
        <f t="shared" si="60"/>
        <v>OK</v>
      </c>
      <c r="AU623" s="202"/>
      <c r="AV623" s="262"/>
      <c r="AW623" s="274"/>
    </row>
    <row r="624" spans="1:49" s="13" customFormat="1" ht="33.75" x14ac:dyDescent="0.2">
      <c r="A624" s="14">
        <v>600</v>
      </c>
      <c r="B624" s="14">
        <v>400010048</v>
      </c>
      <c r="C624" s="8" t="s">
        <v>2449</v>
      </c>
      <c r="D624" s="4" t="str">
        <f t="shared" si="58"/>
        <v>400010048R3</v>
      </c>
      <c r="E624" s="309" t="str">
        <f>VLOOKUP($B624,'D7 - NDB Impacted SPRF''s'!$E$6:$O$9929,2,FALSE)</f>
        <v>One Shot Requests</v>
      </c>
      <c r="F624" s="8" t="s">
        <v>6007</v>
      </c>
      <c r="G624" s="8" t="s">
        <v>4758</v>
      </c>
      <c r="H624" s="8" t="s">
        <v>4246</v>
      </c>
      <c r="I624" s="20">
        <v>0.67</v>
      </c>
      <c r="J624" s="8" t="s">
        <v>4862</v>
      </c>
      <c r="K624" s="182">
        <v>39060</v>
      </c>
      <c r="L624" s="8" t="s">
        <v>5743</v>
      </c>
      <c r="M624" s="8" t="s">
        <v>2814</v>
      </c>
      <c r="N624" s="38"/>
      <c r="O624" s="8"/>
      <c r="P624" s="4" t="str">
        <f>VLOOKUP($B624,'D7 - NDB Impacted SPRF''s'!$E$16:$O$9929,9,FALSE)</f>
        <v>N</v>
      </c>
      <c r="Q624" s="4" t="str">
        <f>VLOOKUP($B624,'D7 - NDB Impacted SPRF''s'!$E$16:$O$9929,10,FALSE)</f>
        <v>N</v>
      </c>
      <c r="R624" s="4" t="str">
        <f>VLOOKUP($B624,'D7 - NDB Impacted SPRF''s'!$E$16:$O$9929,11,FALSE)</f>
        <v>N</v>
      </c>
      <c r="S624" s="8"/>
      <c r="T624" s="310"/>
      <c r="U624" s="310"/>
      <c r="V624" s="4"/>
      <c r="W624" s="4"/>
      <c r="X624" s="4"/>
      <c r="Y624" s="4"/>
      <c r="Z624" s="4"/>
      <c r="AA624" s="4"/>
      <c r="AB624" s="380" t="str">
        <f>VLOOKUP($B624,'D7 - NDB Impacted SPRF''s'!$E$16:$O$9929,4,FALSE)</f>
        <v>Completed</v>
      </c>
      <c r="AC624" s="380" t="str">
        <f>VLOOKUP($B624,'D7 - NDB Impacted SPRF''s'!$E$16:$O$9929,3,FALSE)</f>
        <v>UnitedHealthcare Employer &amp; Individual</v>
      </c>
      <c r="AD624" s="380" t="str">
        <f>VLOOKUP($B624,'D7 - NDB Impacted SPRF''s'!$E$16:$O$9929,5,FALSE)</f>
        <v>Network Growth / Enhancements</v>
      </c>
      <c r="AE624" s="380" t="str">
        <f>VLOOKUP($B624,'D7 - NDB Impacted SPRF''s'!$E$16:$O$9929,7,FALSE)</f>
        <v>Peter Bompane</v>
      </c>
      <c r="AF624" s="380" t="str">
        <f>VLOOKUP($B624,'D7 - NDB Impacted SPRF''s'!$E$16:$O$9929,6,FALSE)</f>
        <v>GREGORY MILLS</v>
      </c>
      <c r="AG624" s="282"/>
      <c r="AH624" s="311" t="e">
        <f>INDEX('D5 - Gatekeeper - Projects'!$A$4:$AF$1010,$AM624, 17)</f>
        <v>#N/A</v>
      </c>
      <c r="AI624" s="8"/>
      <c r="AJ624" s="57"/>
      <c r="AK624" s="105"/>
      <c r="AM624" s="6" t="e">
        <f>MATCH(D624,'D5 - Gatekeeper - Projects'!$C$4:$C$1010,0)</f>
        <v>#N/A</v>
      </c>
      <c r="AN624" s="6" t="b">
        <f t="shared" si="56"/>
        <v>1</v>
      </c>
      <c r="AO624" s="6" t="str">
        <f t="shared" si="59"/>
        <v>OK</v>
      </c>
      <c r="AQ624" s="6" t="e">
        <f>MATCH($D624,'D4 - Provider Council Unsched'!$C$11:$C$234,0)</f>
        <v>#N/A</v>
      </c>
      <c r="AR624" s="6" t="b">
        <f t="shared" si="57"/>
        <v>1</v>
      </c>
      <c r="AS624" s="6" t="str">
        <f t="shared" si="60"/>
        <v>OK</v>
      </c>
      <c r="AU624" s="202"/>
      <c r="AV624" s="262"/>
      <c r="AW624" s="274"/>
    </row>
    <row r="625" spans="1:49" s="13" customFormat="1" ht="33.75" x14ac:dyDescent="0.2">
      <c r="A625" s="14">
        <v>601</v>
      </c>
      <c r="B625" s="14">
        <v>400010173</v>
      </c>
      <c r="C625" s="8" t="s">
        <v>8120</v>
      </c>
      <c r="D625" s="4" t="str">
        <f t="shared" si="58"/>
        <v>400010173CC08</v>
      </c>
      <c r="E625" s="309" t="str">
        <f>VLOOKUP($B625,'D7 - NDB Impacted SPRF''s'!$E$6:$O$9929,2,FALSE)</f>
        <v>Fee Schedule Enhancements - Phase 2</v>
      </c>
      <c r="F625" s="8" t="s">
        <v>4961</v>
      </c>
      <c r="G625" s="8" t="s">
        <v>4758</v>
      </c>
      <c r="H625" s="8" t="s">
        <v>4246</v>
      </c>
      <c r="I625" s="20">
        <v>5.98</v>
      </c>
      <c r="J625" s="8" t="s">
        <v>4862</v>
      </c>
      <c r="K625" s="182">
        <v>39060</v>
      </c>
      <c r="L625" s="8" t="s">
        <v>5743</v>
      </c>
      <c r="M625" s="8" t="s">
        <v>2814</v>
      </c>
      <c r="N625" s="367"/>
      <c r="O625" s="8"/>
      <c r="P625" s="4" t="str">
        <f>VLOOKUP($B625,'D7 - NDB Impacted SPRF''s'!$E$16:$O$9929,9,FALSE)</f>
        <v>Y</v>
      </c>
      <c r="Q625" s="4" t="str">
        <f>VLOOKUP($B625,'D7 - NDB Impacted SPRF''s'!$E$16:$O$9929,10,FALSE)</f>
        <v>N</v>
      </c>
      <c r="R625" s="4" t="str">
        <f>VLOOKUP($B625,'D7 - NDB Impacted SPRF''s'!$E$16:$O$9929,11,FALSE)</f>
        <v>Y</v>
      </c>
      <c r="S625" s="8" t="s">
        <v>3758</v>
      </c>
      <c r="T625" s="310"/>
      <c r="U625" s="310"/>
      <c r="V625" s="4"/>
      <c r="W625" s="4"/>
      <c r="X625" s="4"/>
      <c r="Y625" s="4"/>
      <c r="Z625" s="4"/>
      <c r="AA625" s="4"/>
      <c r="AB625" s="380" t="str">
        <f>VLOOKUP($B625,'D7 - NDB Impacted SPRF''s'!$E$16:$O$9929,4,FALSE)</f>
        <v>Completed</v>
      </c>
      <c r="AC625" s="380" t="str">
        <f>VLOOKUP($B625,'D7 - NDB Impacted SPRF''s'!$E$16:$O$9929,3,FALSE)</f>
        <v>UnitedHealthcare Employer &amp; Individual</v>
      </c>
      <c r="AD625" s="380" t="str">
        <f>VLOOKUP($B625,'D7 - NDB Impacted SPRF''s'!$E$16:$O$9929,5,FALSE)</f>
        <v>Network Growth / Enhancements</v>
      </c>
      <c r="AE625" s="380" t="str">
        <f>VLOOKUP($B625,'D7 - NDB Impacted SPRF''s'!$E$16:$O$9929,7,FALSE)</f>
        <v>Peter Bompane</v>
      </c>
      <c r="AF625" s="380" t="str">
        <f>VLOOKUP($B625,'D7 - NDB Impacted SPRF''s'!$E$16:$O$9929,6,FALSE)</f>
        <v>Erin Nelson</v>
      </c>
      <c r="AG625" s="282"/>
      <c r="AH625" s="311" t="e">
        <f>INDEX('D5 - Gatekeeper - Projects'!$A$4:$AF$1010,$AM625, 17)</f>
        <v>#N/A</v>
      </c>
      <c r="AI625" s="8"/>
      <c r="AJ625" s="57"/>
      <c r="AK625" s="105"/>
      <c r="AM625" s="6" t="e">
        <f>MATCH(D625,'D5 - Gatekeeper - Projects'!$C$4:$C$1010,0)</f>
        <v>#N/A</v>
      </c>
      <c r="AN625" s="6" t="b">
        <f t="shared" si="56"/>
        <v>1</v>
      </c>
      <c r="AO625" s="6" t="str">
        <f t="shared" si="59"/>
        <v>OK</v>
      </c>
      <c r="AQ625" s="6" t="e">
        <f>MATCH($D625,'D4 - Provider Council Unsched'!$C$11:$C$234,0)</f>
        <v>#N/A</v>
      </c>
      <c r="AR625" s="6" t="b">
        <f t="shared" si="57"/>
        <v>1</v>
      </c>
      <c r="AS625" s="6" t="str">
        <f t="shared" si="60"/>
        <v>OK</v>
      </c>
      <c r="AU625" s="202"/>
      <c r="AV625" s="262"/>
      <c r="AW625" s="274"/>
    </row>
    <row r="626" spans="1:49" s="13" customFormat="1" ht="33.75" x14ac:dyDescent="0.2">
      <c r="A626" s="14">
        <v>602</v>
      </c>
      <c r="B626" s="14">
        <v>400010225</v>
      </c>
      <c r="C626" s="8" t="s">
        <v>6726</v>
      </c>
      <c r="D626" s="4" t="str">
        <f t="shared" si="58"/>
        <v>400010225CC06</v>
      </c>
      <c r="E626" s="309" t="str">
        <f>VLOOKUP($B626,'D7 - NDB Impacted SPRF''s'!$E$6:$O$9929,2,FALSE)</f>
        <v>NPI EPDL Data Capture</v>
      </c>
      <c r="F626" s="8" t="s">
        <v>1059</v>
      </c>
      <c r="G626" s="8" t="s">
        <v>4758</v>
      </c>
      <c r="H626" s="8" t="s">
        <v>4246</v>
      </c>
      <c r="I626" s="20">
        <v>1.07</v>
      </c>
      <c r="J626" s="8" t="s">
        <v>4862</v>
      </c>
      <c r="K626" s="182">
        <v>39060</v>
      </c>
      <c r="L626" s="8" t="s">
        <v>5743</v>
      </c>
      <c r="M626" s="8" t="s">
        <v>2814</v>
      </c>
      <c r="N626" s="38" t="s">
        <v>6607</v>
      </c>
      <c r="O626" s="8"/>
      <c r="P626" s="4" t="str">
        <f>VLOOKUP($B626,'D7 - NDB Impacted SPRF''s'!$E$16:$O$9929,9,FALSE)</f>
        <v>N</v>
      </c>
      <c r="Q626" s="4" t="str">
        <f>VLOOKUP($B626,'D7 - NDB Impacted SPRF''s'!$E$16:$O$9929,10,FALSE)</f>
        <v>N</v>
      </c>
      <c r="R626" s="4" t="str">
        <f>VLOOKUP($B626,'D7 - NDB Impacted SPRF''s'!$E$16:$O$9929,11,FALSE)</f>
        <v>N</v>
      </c>
      <c r="S626" s="8"/>
      <c r="T626" s="310"/>
      <c r="U626" s="310"/>
      <c r="V626" s="4"/>
      <c r="W626" s="4"/>
      <c r="X626" s="4"/>
      <c r="Y626" s="4"/>
      <c r="Z626" s="4"/>
      <c r="AA626" s="4"/>
      <c r="AB626" s="380" t="str">
        <f>VLOOKUP($B626,'D7 - NDB Impacted SPRF''s'!$E$16:$O$9929,4,FALSE)</f>
        <v>Completed</v>
      </c>
      <c r="AC626" s="380" t="str">
        <f>VLOOKUP($B626,'D7 - NDB Impacted SPRF''s'!$E$16:$O$9929,3,FALSE)</f>
        <v>UnitedHealthcare Employer &amp; Individual</v>
      </c>
      <c r="AD626" s="380" t="str">
        <f>VLOOKUP($B626,'D7 - NDB Impacted SPRF''s'!$E$16:$O$9929,5,FALSE)</f>
        <v>Regulatory / Other</v>
      </c>
      <c r="AE626" s="380" t="str">
        <f>VLOOKUP($B626,'D7 - NDB Impacted SPRF''s'!$E$16:$O$9929,7,FALSE)</f>
        <v>Peter Bompane</v>
      </c>
      <c r="AF626" s="380" t="str">
        <f>VLOOKUP($B626,'D7 - NDB Impacted SPRF''s'!$E$16:$O$9929,6,FALSE)</f>
        <v>KELLY LEONARD</v>
      </c>
      <c r="AG626" s="282"/>
      <c r="AH626" s="311" t="e">
        <f>INDEX('D5 - Gatekeeper - Projects'!$A$4:$AF$1010,$AM626, 17)</f>
        <v>#N/A</v>
      </c>
      <c r="AI626" s="8"/>
      <c r="AJ626" s="57"/>
      <c r="AK626" s="105"/>
      <c r="AM626" s="6" t="e">
        <f>MATCH(D626,'D5 - Gatekeeper - Projects'!$C$4:$C$1010,0)</f>
        <v>#N/A</v>
      </c>
      <c r="AN626" s="6" t="b">
        <f t="shared" si="56"/>
        <v>1</v>
      </c>
      <c r="AO626" s="6" t="str">
        <f t="shared" si="59"/>
        <v>OK</v>
      </c>
      <c r="AQ626" s="6" t="e">
        <f>MATCH($D626,'D4 - Provider Council Unsched'!$C$11:$C$234,0)</f>
        <v>#N/A</v>
      </c>
      <c r="AR626" s="6" t="b">
        <f t="shared" si="57"/>
        <v>1</v>
      </c>
      <c r="AS626" s="6" t="str">
        <f t="shared" si="60"/>
        <v>OK</v>
      </c>
      <c r="AU626" s="202"/>
      <c r="AV626" s="262"/>
      <c r="AW626" s="274"/>
    </row>
    <row r="627" spans="1:49" s="13" customFormat="1" ht="22.5" x14ac:dyDescent="0.2">
      <c r="A627" s="14">
        <v>603</v>
      </c>
      <c r="B627" s="14">
        <v>400010372</v>
      </c>
      <c r="C627" s="8" t="s">
        <v>6291</v>
      </c>
      <c r="D627" s="4" t="str">
        <f t="shared" si="58"/>
        <v>400010372CC03</v>
      </c>
      <c r="E627" s="309" t="str">
        <f>VLOOKUP($B627,'D7 - NDB Impacted SPRF''s'!$E$6:$O$9929,2,FALSE)</f>
        <v>UBH OON tiered Pricing for Prime Accounts</v>
      </c>
      <c r="F627" s="8" t="s">
        <v>2114</v>
      </c>
      <c r="G627" s="8" t="s">
        <v>4758</v>
      </c>
      <c r="H627" s="8" t="s">
        <v>4246</v>
      </c>
      <c r="I627" s="20">
        <v>1.07</v>
      </c>
      <c r="J627" s="8" t="s">
        <v>4862</v>
      </c>
      <c r="K627" s="182">
        <v>39060</v>
      </c>
      <c r="L627" s="8" t="s">
        <v>5743</v>
      </c>
      <c r="M627" s="8" t="s">
        <v>2814</v>
      </c>
      <c r="N627" s="368"/>
      <c r="O627" s="8"/>
      <c r="P627" s="4" t="str">
        <f>VLOOKUP($B627,'D7 - NDB Impacted SPRF''s'!$E$16:$O$9929,9,FALSE)</f>
        <v>Y</v>
      </c>
      <c r="Q627" s="4" t="str">
        <f>VLOOKUP($B627,'D7 - NDB Impacted SPRF''s'!$E$16:$O$9929,10,FALSE)</f>
        <v>N</v>
      </c>
      <c r="R627" s="4" t="str">
        <f>VLOOKUP($B627,'D7 - NDB Impacted SPRF''s'!$E$16:$O$9929,11,FALSE)</f>
        <v>N</v>
      </c>
      <c r="S627" s="8" t="s">
        <v>3758</v>
      </c>
      <c r="T627" s="310"/>
      <c r="U627" s="310"/>
      <c r="V627" s="4"/>
      <c r="W627" s="4"/>
      <c r="X627" s="4"/>
      <c r="Y627" s="4"/>
      <c r="Z627" s="4"/>
      <c r="AA627" s="4"/>
      <c r="AB627" s="380" t="str">
        <f>VLOOKUP($B627,'D7 - NDB Impacted SPRF''s'!$E$16:$O$9929,4,FALSE)</f>
        <v>Completed</v>
      </c>
      <c r="AC627" s="380" t="str">
        <f>VLOOKUP($B627,'D7 - NDB Impacted SPRF''s'!$E$16:$O$9929,3,FALSE)</f>
        <v>OptumHealth</v>
      </c>
      <c r="AD627" s="380" t="str">
        <f>VLOOKUP($B627,'D7 - NDB Impacted SPRF''s'!$E$16:$O$9929,5,FALSE)</f>
        <v>UBH</v>
      </c>
      <c r="AE627" s="380" t="str">
        <f>VLOOKUP($B627,'D7 - NDB Impacted SPRF''s'!$E$16:$O$9929,7,FALSE)</f>
        <v>Dave Chenok</v>
      </c>
      <c r="AF627" s="380" t="str">
        <f>VLOOKUP($B627,'D7 - NDB Impacted SPRF''s'!$E$16:$O$9929,6,FALSE)</f>
        <v>TERESA GULDEN</v>
      </c>
      <c r="AG627" s="282"/>
      <c r="AH627" s="311" t="e">
        <f>INDEX('D5 - Gatekeeper - Projects'!$A$4:$AF$1010,$AM627, 17)</f>
        <v>#N/A</v>
      </c>
      <c r="AI627" s="8"/>
      <c r="AJ627" s="57"/>
      <c r="AK627" s="105"/>
      <c r="AM627" s="6" t="e">
        <f>MATCH(D627,'D5 - Gatekeeper - Projects'!$C$4:$C$1010,0)</f>
        <v>#N/A</v>
      </c>
      <c r="AN627" s="6" t="b">
        <f t="shared" si="56"/>
        <v>1</v>
      </c>
      <c r="AO627" s="6" t="str">
        <f t="shared" si="59"/>
        <v>OK</v>
      </c>
      <c r="AQ627" s="6" t="e">
        <f>MATCH($D627,'D4 - Provider Council Unsched'!$C$11:$C$234,0)</f>
        <v>#N/A</v>
      </c>
      <c r="AR627" s="6" t="b">
        <f t="shared" si="57"/>
        <v>1</v>
      </c>
      <c r="AS627" s="6" t="str">
        <f t="shared" si="60"/>
        <v>OK</v>
      </c>
      <c r="AU627" s="202"/>
      <c r="AV627" s="262"/>
      <c r="AW627" s="274"/>
    </row>
    <row r="628" spans="1:49" s="13" customFormat="1" ht="33.75" x14ac:dyDescent="0.2">
      <c r="A628" s="14">
        <v>604</v>
      </c>
      <c r="B628" s="14">
        <v>400010564</v>
      </c>
      <c r="C628" s="8" t="s">
        <v>5197</v>
      </c>
      <c r="D628" s="4" t="str">
        <f t="shared" si="58"/>
        <v>400010564R1</v>
      </c>
      <c r="E628" s="309" t="str">
        <f>VLOOKUP($B628,'D7 - NDB Impacted SPRF''s'!$E$6:$O$9929,2,FALSE)</f>
        <v>NPI Claims - UNET</v>
      </c>
      <c r="F628" s="8" t="s">
        <v>1059</v>
      </c>
      <c r="G628" s="8" t="s">
        <v>4758</v>
      </c>
      <c r="H628" s="8" t="s">
        <v>4246</v>
      </c>
      <c r="I628" s="20">
        <v>2.08</v>
      </c>
      <c r="J628" s="8" t="s">
        <v>4862</v>
      </c>
      <c r="K628" s="182">
        <v>39060</v>
      </c>
      <c r="L628" s="8" t="s">
        <v>5743</v>
      </c>
      <c r="M628" s="8" t="s">
        <v>2814</v>
      </c>
      <c r="N628" s="38" t="s">
        <v>5560</v>
      </c>
      <c r="O628" s="8"/>
      <c r="P628" s="4" t="str">
        <f>VLOOKUP($B628,'D7 - NDB Impacted SPRF''s'!$E$16:$O$9929,9,FALSE)</f>
        <v>Y</v>
      </c>
      <c r="Q628" s="4" t="str">
        <f>VLOOKUP($B628,'D7 - NDB Impacted SPRF''s'!$E$16:$O$9929,10,FALSE)</f>
        <v>N</v>
      </c>
      <c r="R628" s="4" t="str">
        <f>VLOOKUP($B628,'D7 - NDB Impacted SPRF''s'!$E$16:$O$9929,11,FALSE)</f>
        <v>N</v>
      </c>
      <c r="S628" s="8" t="s">
        <v>3758</v>
      </c>
      <c r="T628" s="310"/>
      <c r="U628" s="310"/>
      <c r="V628" s="4"/>
      <c r="W628" s="4"/>
      <c r="X628" s="4"/>
      <c r="Y628" s="4"/>
      <c r="Z628" s="4"/>
      <c r="AA628" s="4"/>
      <c r="AB628" s="380" t="str">
        <f>VLOOKUP($B628,'D7 - NDB Impacted SPRF''s'!$E$16:$O$9929,4,FALSE)</f>
        <v>Completed</v>
      </c>
      <c r="AC628" s="380" t="str">
        <f>VLOOKUP($B628,'D7 - NDB Impacted SPRF''s'!$E$16:$O$9929,3,FALSE)</f>
        <v>UnitedHealthcare Employer &amp; Individual</v>
      </c>
      <c r="AD628" s="380" t="str">
        <f>VLOOKUP($B628,'D7 - NDB Impacted SPRF''s'!$E$16:$O$9929,5,FALSE)</f>
        <v>Regulatory / Other</v>
      </c>
      <c r="AE628" s="380" t="str">
        <f>VLOOKUP($B628,'D7 - NDB Impacted SPRF''s'!$E$16:$O$9929,7,FALSE)</f>
        <v>Peter Bompane</v>
      </c>
      <c r="AF628" s="380" t="str">
        <f>VLOOKUP($B628,'D7 - NDB Impacted SPRF''s'!$E$16:$O$9929,6,FALSE)</f>
        <v>KELLY LEONARD</v>
      </c>
      <c r="AG628" s="282" t="s">
        <v>6682</v>
      </c>
      <c r="AH628" s="311" t="e">
        <f>INDEX('D5 - Gatekeeper - Projects'!$A$4:$AF$1010,$AM628, 17)</f>
        <v>#N/A</v>
      </c>
      <c r="AI628" s="8"/>
      <c r="AJ628" s="57"/>
      <c r="AK628" s="105"/>
      <c r="AM628" s="6" t="e">
        <f>MATCH(D628,'D5 - Gatekeeper - Projects'!$C$4:$C$1010,0)</f>
        <v>#N/A</v>
      </c>
      <c r="AN628" s="6" t="b">
        <f t="shared" si="56"/>
        <v>1</v>
      </c>
      <c r="AO628" s="6" t="str">
        <f t="shared" si="59"/>
        <v>OK</v>
      </c>
      <c r="AQ628" s="6" t="e">
        <f>MATCH($D628,'D4 - Provider Council Unsched'!$C$11:$C$234,0)</f>
        <v>#N/A</v>
      </c>
      <c r="AR628" s="6" t="b">
        <f t="shared" si="57"/>
        <v>1</v>
      </c>
      <c r="AS628" s="6" t="str">
        <f t="shared" si="60"/>
        <v>OK</v>
      </c>
      <c r="AU628" s="202"/>
      <c r="AV628" s="262"/>
      <c r="AW628" s="274"/>
    </row>
    <row r="629" spans="1:49" s="13" customFormat="1" ht="33.75" x14ac:dyDescent="0.2">
      <c r="A629" s="14">
        <v>605</v>
      </c>
      <c r="B629" s="14">
        <v>400010711</v>
      </c>
      <c r="C629" s="8" t="s">
        <v>5197</v>
      </c>
      <c r="D629" s="4" t="str">
        <f t="shared" si="58"/>
        <v>400010711R1</v>
      </c>
      <c r="E629" s="309" t="str">
        <f>VLOOKUP($B629,'D7 - NDB Impacted SPRF''s'!$E$6:$O$9929,2,FALSE)</f>
        <v>NPI UFECompliance</v>
      </c>
      <c r="F629" s="8" t="s">
        <v>1059</v>
      </c>
      <c r="G629" s="8" t="s">
        <v>4758</v>
      </c>
      <c r="H629" s="8" t="s">
        <v>4246</v>
      </c>
      <c r="I629" s="20">
        <f>0.53+0.8</f>
        <v>1.33</v>
      </c>
      <c r="J629" s="8" t="s">
        <v>4862</v>
      </c>
      <c r="K629" s="182">
        <v>39060</v>
      </c>
      <c r="L629" s="8" t="s">
        <v>5743</v>
      </c>
      <c r="M629" s="8" t="s">
        <v>2814</v>
      </c>
      <c r="N629" s="367" t="s">
        <v>4430</v>
      </c>
      <c r="O629" s="8"/>
      <c r="P629" s="4" t="str">
        <f>VLOOKUP($B629,'D7 - NDB Impacted SPRF''s'!$E$16:$O$9929,9,FALSE)</f>
        <v>Y</v>
      </c>
      <c r="Q629" s="4" t="str">
        <f>VLOOKUP($B629,'D7 - NDB Impacted SPRF''s'!$E$16:$O$9929,10,FALSE)</f>
        <v>N</v>
      </c>
      <c r="R629" s="4" t="str">
        <f>VLOOKUP($B629,'D7 - NDB Impacted SPRF''s'!$E$16:$O$9929,11,FALSE)</f>
        <v>N</v>
      </c>
      <c r="S629" s="8" t="s">
        <v>3758</v>
      </c>
      <c r="T629" s="310"/>
      <c r="U629" s="310"/>
      <c r="V629" s="4"/>
      <c r="W629" s="4"/>
      <c r="X629" s="4"/>
      <c r="Y629" s="4"/>
      <c r="Z629" s="4"/>
      <c r="AA629" s="4"/>
      <c r="AB629" s="380" t="str">
        <f>VLOOKUP($B629,'D7 - NDB Impacted SPRF''s'!$E$16:$O$9929,4,FALSE)</f>
        <v>Completed</v>
      </c>
      <c r="AC629" s="380" t="str">
        <f>VLOOKUP($B629,'D7 - NDB Impacted SPRF''s'!$E$16:$O$9929,3,FALSE)</f>
        <v>UnitedHealthcare Employer &amp; Individual</v>
      </c>
      <c r="AD629" s="380" t="str">
        <f>VLOOKUP($B629,'D7 - NDB Impacted SPRF''s'!$E$16:$O$9929,5,FALSE)</f>
        <v>Regulatory / Other</v>
      </c>
      <c r="AE629" s="380" t="str">
        <f>VLOOKUP($B629,'D7 - NDB Impacted SPRF''s'!$E$16:$O$9929,7,FALSE)</f>
        <v>Peter Bompane</v>
      </c>
      <c r="AF629" s="380" t="str">
        <f>VLOOKUP($B629,'D7 - NDB Impacted SPRF''s'!$E$16:$O$9929,6,FALSE)</f>
        <v>KELLY LEONARD</v>
      </c>
      <c r="AG629" s="282" t="s">
        <v>6682</v>
      </c>
      <c r="AH629" s="311" t="e">
        <f>INDEX('D5 - Gatekeeper - Projects'!$A$4:$AF$1010,$AM629, 17)</f>
        <v>#N/A</v>
      </c>
      <c r="AI629" s="8"/>
      <c r="AJ629" s="57"/>
      <c r="AK629" s="105"/>
      <c r="AM629" s="6" t="e">
        <f>MATCH(D629,'D5 - Gatekeeper - Projects'!$C$4:$C$1010,0)</f>
        <v>#N/A</v>
      </c>
      <c r="AN629" s="6" t="b">
        <f t="shared" si="56"/>
        <v>1</v>
      </c>
      <c r="AO629" s="6" t="str">
        <f t="shared" si="59"/>
        <v>OK</v>
      </c>
      <c r="AQ629" s="6" t="e">
        <f>MATCH($D629,'D4 - Provider Council Unsched'!$C$11:$C$234,0)</f>
        <v>#N/A</v>
      </c>
      <c r="AR629" s="6" t="b">
        <f t="shared" si="57"/>
        <v>1</v>
      </c>
      <c r="AS629" s="6" t="str">
        <f t="shared" si="60"/>
        <v>OK</v>
      </c>
      <c r="AU629" s="202"/>
      <c r="AV629" s="262"/>
      <c r="AW629" s="274"/>
    </row>
    <row r="630" spans="1:49" s="13" customFormat="1" ht="33.75" x14ac:dyDescent="0.2">
      <c r="A630" s="14">
        <v>606</v>
      </c>
      <c r="B630" s="14">
        <v>400010731</v>
      </c>
      <c r="C630" s="8" t="s">
        <v>5197</v>
      </c>
      <c r="D630" s="4" t="str">
        <f t="shared" si="58"/>
        <v>400010731R1</v>
      </c>
      <c r="E630" s="309" t="str">
        <f>VLOOKUP($B630,'D7 - NDB Impacted SPRF''s'!$E$6:$O$9929,2,FALSE)</f>
        <v>NDB-EA Provider Data Integration Analysis Project</v>
      </c>
      <c r="F630" s="8" t="s">
        <v>4961</v>
      </c>
      <c r="G630" s="8" t="s">
        <v>4758</v>
      </c>
      <c r="H630" s="8" t="s">
        <v>4246</v>
      </c>
      <c r="I630" s="20">
        <v>0.27</v>
      </c>
      <c r="J630" s="8" t="s">
        <v>4862</v>
      </c>
      <c r="K630" s="182">
        <v>39060</v>
      </c>
      <c r="L630" s="8" t="s">
        <v>5743</v>
      </c>
      <c r="M630" s="8" t="s">
        <v>2814</v>
      </c>
      <c r="N630" s="367" t="s">
        <v>1502</v>
      </c>
      <c r="O630" s="8"/>
      <c r="P630" s="4" t="str">
        <f>VLOOKUP($B630,'D7 - NDB Impacted SPRF''s'!$E$16:$O$9929,9,FALSE)</f>
        <v>N</v>
      </c>
      <c r="Q630" s="4" t="str">
        <f>VLOOKUP($B630,'D7 - NDB Impacted SPRF''s'!$E$16:$O$9929,10,FALSE)</f>
        <v>N</v>
      </c>
      <c r="R630" s="4" t="str">
        <f>VLOOKUP($B630,'D7 - NDB Impacted SPRF''s'!$E$16:$O$9929,11,FALSE)</f>
        <v>N</v>
      </c>
      <c r="S630" s="8" t="s">
        <v>3758</v>
      </c>
      <c r="T630" s="310"/>
      <c r="U630" s="310"/>
      <c r="V630" s="4"/>
      <c r="W630" s="4"/>
      <c r="X630" s="4"/>
      <c r="Y630" s="4"/>
      <c r="Z630" s="4"/>
      <c r="AA630" s="4"/>
      <c r="AB630" s="380" t="str">
        <f>VLOOKUP($B630,'D7 - NDB Impacted SPRF''s'!$E$16:$O$9929,4,FALSE)</f>
        <v>Completed</v>
      </c>
      <c r="AC630" s="380" t="str">
        <f>VLOOKUP($B630,'D7 - NDB Impacted SPRF''s'!$E$16:$O$9929,3,FALSE)</f>
        <v>UnitedHealthcare Employer &amp; Individual</v>
      </c>
      <c r="AD630" s="380" t="str">
        <f>VLOOKUP($B630,'D7 - NDB Impacted SPRF''s'!$E$16:$O$9929,5,FALSE)</f>
        <v>Network Growth / Enhancements</v>
      </c>
      <c r="AE630" s="380" t="str">
        <f>VLOOKUP($B630,'D7 - NDB Impacted SPRF''s'!$E$16:$O$9929,7,FALSE)</f>
        <v>Steve Mueller</v>
      </c>
      <c r="AF630" s="380" t="str">
        <f>VLOOKUP($B630,'D7 - NDB Impacted SPRF''s'!$E$16:$O$9929,6,FALSE)</f>
        <v>Susan Neal</v>
      </c>
      <c r="AG630" s="282" t="s">
        <v>6682</v>
      </c>
      <c r="AH630" s="311" t="e">
        <f>INDEX('D5 - Gatekeeper - Projects'!$A$4:$AF$1010,$AM630, 17)</f>
        <v>#N/A</v>
      </c>
      <c r="AI630" s="8"/>
      <c r="AJ630" s="57"/>
      <c r="AK630" s="105"/>
      <c r="AM630" s="6" t="e">
        <f>MATCH(D630,'D5 - Gatekeeper - Projects'!$C$4:$C$1010,0)</f>
        <v>#N/A</v>
      </c>
      <c r="AN630" s="6" t="b">
        <f t="shared" si="56"/>
        <v>1</v>
      </c>
      <c r="AO630" s="6" t="str">
        <f t="shared" si="59"/>
        <v>OK</v>
      </c>
      <c r="AQ630" s="6" t="e">
        <f>MATCH($D630,'D4 - Provider Council Unsched'!$C$11:$C$234,0)</f>
        <v>#N/A</v>
      </c>
      <c r="AR630" s="6" t="b">
        <f t="shared" si="57"/>
        <v>1</v>
      </c>
      <c r="AS630" s="6" t="str">
        <f t="shared" si="60"/>
        <v>OK</v>
      </c>
      <c r="AU630" s="202"/>
      <c r="AV630" s="262"/>
      <c r="AW630" s="274"/>
    </row>
    <row r="631" spans="1:49" s="13" customFormat="1" ht="33.75" x14ac:dyDescent="0.2">
      <c r="A631" s="14">
        <v>607</v>
      </c>
      <c r="B631" s="14">
        <v>400010803</v>
      </c>
      <c r="C631" s="8" t="s">
        <v>6291</v>
      </c>
      <c r="D631" s="4" t="str">
        <f t="shared" si="58"/>
        <v>400010803CC03</v>
      </c>
      <c r="E631" s="309" t="str">
        <f>VLOOKUP($B631,'D7 - NDB Impacted SPRF''s'!$E$6:$O$9929,2,FALSE)</f>
        <v>NPI Feeds Compliance</v>
      </c>
      <c r="F631" s="8" t="s">
        <v>1059</v>
      </c>
      <c r="G631" s="8" t="s">
        <v>4758</v>
      </c>
      <c r="H631" s="8" t="s">
        <v>4246</v>
      </c>
      <c r="I631" s="20">
        <v>7.03</v>
      </c>
      <c r="J631" s="8" t="s">
        <v>4862</v>
      </c>
      <c r="K631" s="182">
        <v>39060</v>
      </c>
      <c r="L631" s="8" t="s">
        <v>5743</v>
      </c>
      <c r="M631" s="8" t="s">
        <v>2814</v>
      </c>
      <c r="N631" s="38" t="s">
        <v>7744</v>
      </c>
      <c r="O631" s="8"/>
      <c r="P631" s="4" t="str">
        <f>VLOOKUP($B631,'D7 - NDB Impacted SPRF''s'!$E$16:$O$9929,9,FALSE)</f>
        <v>N</v>
      </c>
      <c r="Q631" s="4" t="str">
        <f>VLOOKUP($B631,'D7 - NDB Impacted SPRF''s'!$E$16:$O$9929,10,FALSE)</f>
        <v>N</v>
      </c>
      <c r="R631" s="4" t="str">
        <f>VLOOKUP($B631,'D7 - NDB Impacted SPRF''s'!$E$16:$O$9929,11,FALSE)</f>
        <v>N</v>
      </c>
      <c r="S631" s="8" t="s">
        <v>3758</v>
      </c>
      <c r="T631" s="310"/>
      <c r="U631" s="310"/>
      <c r="V631" s="4"/>
      <c r="W631" s="4"/>
      <c r="X631" s="4"/>
      <c r="Y631" s="4"/>
      <c r="Z631" s="4"/>
      <c r="AA631" s="4"/>
      <c r="AB631" s="380" t="str">
        <f>VLOOKUP($B631,'D7 - NDB Impacted SPRF''s'!$E$16:$O$9929,4,FALSE)</f>
        <v>Completed</v>
      </c>
      <c r="AC631" s="380" t="str">
        <f>VLOOKUP($B631,'D7 - NDB Impacted SPRF''s'!$E$16:$O$9929,3,FALSE)</f>
        <v>UnitedHealthcare Employer &amp; Individual</v>
      </c>
      <c r="AD631" s="380" t="str">
        <f>VLOOKUP($B631,'D7 - NDB Impacted SPRF''s'!$E$16:$O$9929,5,FALSE)</f>
        <v>Regulatory / Other</v>
      </c>
      <c r="AE631" s="380" t="str">
        <f>VLOOKUP($B631,'D7 - NDB Impacted SPRF''s'!$E$16:$O$9929,7,FALSE)</f>
        <v>Gerald Brockman</v>
      </c>
      <c r="AF631" s="380" t="str">
        <f>VLOOKUP($B631,'D7 - NDB Impacted SPRF''s'!$E$16:$O$9929,6,FALSE)</f>
        <v>KELLY LEONARD</v>
      </c>
      <c r="AG631" s="282"/>
      <c r="AH631" s="311" t="e">
        <f>INDEX('D5 - Gatekeeper - Projects'!$A$4:$AF$1010,$AM631, 17)</f>
        <v>#N/A</v>
      </c>
      <c r="AI631" s="8"/>
      <c r="AJ631" s="57"/>
      <c r="AK631" s="105"/>
      <c r="AM631" s="6" t="e">
        <f>MATCH(D631,'D5 - Gatekeeper - Projects'!$C$4:$C$1010,0)</f>
        <v>#N/A</v>
      </c>
      <c r="AN631" s="6" t="b">
        <f t="shared" si="56"/>
        <v>1</v>
      </c>
      <c r="AO631" s="6" t="str">
        <f t="shared" si="59"/>
        <v>OK</v>
      </c>
      <c r="AQ631" s="6" t="e">
        <f>MATCH($D631,'D4 - Provider Council Unsched'!$C$11:$C$234,0)</f>
        <v>#N/A</v>
      </c>
      <c r="AR631" s="6" t="b">
        <f t="shared" si="57"/>
        <v>1</v>
      </c>
      <c r="AS631" s="6" t="str">
        <f t="shared" si="60"/>
        <v>OK</v>
      </c>
      <c r="AU631" s="202"/>
      <c r="AV631" s="262"/>
      <c r="AW631" s="274"/>
    </row>
    <row r="632" spans="1:49" s="13" customFormat="1" ht="22.5" x14ac:dyDescent="0.2">
      <c r="A632" s="14">
        <v>608</v>
      </c>
      <c r="B632" s="14">
        <v>400010930</v>
      </c>
      <c r="C632" s="8" t="s">
        <v>5197</v>
      </c>
      <c r="D632" s="4" t="str">
        <f t="shared" si="58"/>
        <v>400010930R1</v>
      </c>
      <c r="E632" s="309" t="str">
        <f>VLOOKUP($B632,'D7 - NDB Impacted SPRF''s'!$E$6:$O$9929,2,FALSE)</f>
        <v>TestDirector Infrastructure Consolidation</v>
      </c>
      <c r="F632" s="8" t="s">
        <v>2114</v>
      </c>
      <c r="G632" s="8" t="s">
        <v>4758</v>
      </c>
      <c r="H632" s="8" t="s">
        <v>4246</v>
      </c>
      <c r="I632" s="20">
        <v>0.11</v>
      </c>
      <c r="J632" s="8" t="s">
        <v>4862</v>
      </c>
      <c r="K632" s="182">
        <v>39060</v>
      </c>
      <c r="L632" s="8" t="s">
        <v>6919</v>
      </c>
      <c r="M632" s="8" t="s">
        <v>2814</v>
      </c>
      <c r="N632" s="368"/>
      <c r="O632" s="8"/>
      <c r="P632" s="4" t="str">
        <f>VLOOKUP($B632,'D7 - NDB Impacted SPRF''s'!$E$16:$O$9929,9,FALSE)</f>
        <v>Y</v>
      </c>
      <c r="Q632" s="4" t="str">
        <f>VLOOKUP($B632,'D7 - NDB Impacted SPRF''s'!$E$16:$O$9929,10,FALSE)</f>
        <v>N</v>
      </c>
      <c r="R632" s="4" t="str">
        <f>VLOOKUP($B632,'D7 - NDB Impacted SPRF''s'!$E$16:$O$9929,11,FALSE)</f>
        <v>N</v>
      </c>
      <c r="S632" s="8" t="s">
        <v>3758</v>
      </c>
      <c r="T632" s="310"/>
      <c r="U632" s="310"/>
      <c r="V632" s="4"/>
      <c r="W632" s="4"/>
      <c r="X632" s="4"/>
      <c r="Y632" s="4"/>
      <c r="Z632" s="4"/>
      <c r="AA632" s="4"/>
      <c r="AB632" s="380" t="str">
        <f>VLOOKUP($B632,'D7 - NDB Impacted SPRF''s'!$E$16:$O$9929,4,FALSE)</f>
        <v>Completed</v>
      </c>
      <c r="AC632" s="380" t="str">
        <f>VLOOKUP($B632,'D7 - NDB Impacted SPRF''s'!$E$16:$O$9929,3,FALSE)</f>
        <v>Uniprise</v>
      </c>
      <c r="AD632" s="380" t="str">
        <f>VLOOKUP($B632,'D7 - NDB Impacted SPRF''s'!$E$16:$O$9929,5,FALSE)</f>
        <v>Uniprise Technologies - DDC</v>
      </c>
      <c r="AE632" s="380" t="str">
        <f>VLOOKUP($B632,'D7 - NDB Impacted SPRF''s'!$E$16:$O$9929,7,FALSE)</f>
        <v>Kelly Clark</v>
      </c>
      <c r="AF632" s="380" t="str">
        <f>VLOOKUP($B632,'D7 - NDB Impacted SPRF''s'!$E$16:$O$9929,6,FALSE)</f>
        <v>DARYL PELLINO</v>
      </c>
      <c r="AG632" s="282" t="s">
        <v>7755</v>
      </c>
      <c r="AH632" s="311" t="e">
        <f>INDEX('D5 - Gatekeeper - Projects'!$A$4:$AF$1010,$AM632, 17)</f>
        <v>#N/A</v>
      </c>
      <c r="AI632" s="8"/>
      <c r="AJ632" s="57"/>
      <c r="AK632" s="105"/>
      <c r="AM632" s="6" t="e">
        <f>MATCH(D632,'D5 - Gatekeeper - Projects'!$C$4:$C$1010,0)</f>
        <v>#N/A</v>
      </c>
      <c r="AN632" s="6" t="b">
        <f t="shared" si="56"/>
        <v>1</v>
      </c>
      <c r="AO632" s="6" t="str">
        <f t="shared" si="59"/>
        <v>OK</v>
      </c>
      <c r="AQ632" s="6" t="e">
        <f>MATCH($D632,'D4 - Provider Council Unsched'!$C$11:$C$234,0)</f>
        <v>#N/A</v>
      </c>
      <c r="AR632" s="6" t="b">
        <f t="shared" si="57"/>
        <v>1</v>
      </c>
      <c r="AS632" s="6" t="str">
        <f t="shared" si="60"/>
        <v>OK</v>
      </c>
      <c r="AU632" s="202"/>
      <c r="AV632" s="262"/>
      <c r="AW632" s="274"/>
    </row>
    <row r="633" spans="1:49" s="13" customFormat="1" ht="33.75" x14ac:dyDescent="0.2">
      <c r="A633" s="14">
        <v>609</v>
      </c>
      <c r="B633" s="14">
        <v>400011181</v>
      </c>
      <c r="C633" s="8" t="s">
        <v>5957</v>
      </c>
      <c r="D633" s="4" t="str">
        <f t="shared" si="58"/>
        <v>400011181CC02R2</v>
      </c>
      <c r="E633" s="309" t="str">
        <f>VLOOKUP($B633,'D7 - NDB Impacted SPRF''s'!$E$6:$O$9929,2,FALSE)</f>
        <v>GHMO MAHP - Items Moved From Phases III &amp; IV</v>
      </c>
      <c r="F633" s="8" t="s">
        <v>4168</v>
      </c>
      <c r="G633" s="8" t="s">
        <v>4758</v>
      </c>
      <c r="H633" s="8" t="s">
        <v>4246</v>
      </c>
      <c r="I633" s="20">
        <v>38.57</v>
      </c>
      <c r="J633" s="8" t="s">
        <v>4862</v>
      </c>
      <c r="K633" s="182">
        <v>39060</v>
      </c>
      <c r="L633" s="8" t="s">
        <v>5743</v>
      </c>
      <c r="M633" s="8" t="s">
        <v>2814</v>
      </c>
      <c r="N633" s="367" t="s">
        <v>4116</v>
      </c>
      <c r="O633" s="8"/>
      <c r="P633" s="4" t="str">
        <f>VLOOKUP($B633,'D7 - NDB Impacted SPRF''s'!$E$16:$O$9929,9,FALSE)</f>
        <v>Y</v>
      </c>
      <c r="Q633" s="4" t="str">
        <f>VLOOKUP($B633,'D7 - NDB Impacted SPRF''s'!$E$16:$O$9929,10,FALSE)</f>
        <v>N</v>
      </c>
      <c r="R633" s="4" t="str">
        <f>VLOOKUP($B633,'D7 - NDB Impacted SPRF''s'!$E$16:$O$9929,11,FALSE)</f>
        <v>N</v>
      </c>
      <c r="S633" s="8" t="s">
        <v>3758</v>
      </c>
      <c r="T633" s="310"/>
      <c r="U633" s="310"/>
      <c r="V633" s="4"/>
      <c r="W633" s="4"/>
      <c r="X633" s="4"/>
      <c r="Y633" s="4"/>
      <c r="Z633" s="4"/>
      <c r="AA633" s="4"/>
      <c r="AB633" s="380" t="str">
        <f>VLOOKUP($B633,'D7 - NDB Impacted SPRF''s'!$E$16:$O$9929,4,FALSE)</f>
        <v>Completed</v>
      </c>
      <c r="AC633" s="380" t="str">
        <f>VLOOKUP($B633,'D7 - NDB Impacted SPRF''s'!$E$16:$O$9929,3,FALSE)</f>
        <v>UnitedHealthcare Employer &amp; Individual</v>
      </c>
      <c r="AD633" s="380" t="str">
        <f>VLOOKUP($B633,'D7 - NDB Impacted SPRF''s'!$E$16:$O$9929,5,FALSE)</f>
        <v>Gated HMO</v>
      </c>
      <c r="AE633" s="380" t="str">
        <f>VLOOKUP($B633,'D7 - NDB Impacted SPRF''s'!$E$16:$O$9929,7,FALSE)</f>
        <v>Diane Schofield</v>
      </c>
      <c r="AF633" s="380" t="str">
        <f>VLOOKUP($B633,'D7 - NDB Impacted SPRF''s'!$E$16:$O$9929,6,FALSE)</f>
        <v>SUSAN TONKIN</v>
      </c>
      <c r="AG633" s="282"/>
      <c r="AH633" s="311" t="e">
        <f>INDEX('D5 - Gatekeeper - Projects'!$A$4:$AF$1010,$AM633, 17)</f>
        <v>#N/A</v>
      </c>
      <c r="AI633" s="8"/>
      <c r="AJ633" s="57"/>
      <c r="AK633" s="105"/>
      <c r="AM633" s="6" t="e">
        <f>MATCH(D633,'D5 - Gatekeeper - Projects'!$C$4:$C$1010,0)</f>
        <v>#N/A</v>
      </c>
      <c r="AN633" s="6" t="b">
        <f t="shared" si="56"/>
        <v>1</v>
      </c>
      <c r="AO633" s="6" t="str">
        <f t="shared" si="59"/>
        <v>OK</v>
      </c>
      <c r="AQ633" s="6" t="e">
        <f>MATCH($D633,'D4 - Provider Council Unsched'!$C$11:$C$234,0)</f>
        <v>#N/A</v>
      </c>
      <c r="AR633" s="6" t="b">
        <f t="shared" si="57"/>
        <v>1</v>
      </c>
      <c r="AS633" s="6" t="str">
        <f t="shared" si="60"/>
        <v>OK</v>
      </c>
      <c r="AU633" s="202"/>
      <c r="AV633" s="262"/>
      <c r="AW633" s="274"/>
    </row>
    <row r="634" spans="1:49" s="13" customFormat="1" ht="33.75" x14ac:dyDescent="0.2">
      <c r="A634" s="14">
        <v>610</v>
      </c>
      <c r="B634" s="14">
        <v>400011786</v>
      </c>
      <c r="C634" s="8" t="s">
        <v>1952</v>
      </c>
      <c r="D634" s="4" t="str">
        <f t="shared" si="58"/>
        <v>400011786CC09U1</v>
      </c>
      <c r="E634" s="309" t="str">
        <f>VLOOKUP($B634,'D7 - NDB Impacted SPRF''s'!$E$6:$O$9929,2,FALSE)</f>
        <v xml:space="preserve">HPHC1 JV 8/01/06 Branding Overall </v>
      </c>
      <c r="F634" s="8" t="s">
        <v>5196</v>
      </c>
      <c r="G634" s="8" t="s">
        <v>4758</v>
      </c>
      <c r="H634" s="8" t="s">
        <v>4246</v>
      </c>
      <c r="I634" s="20">
        <v>0.98</v>
      </c>
      <c r="J634" s="8" t="s">
        <v>4862</v>
      </c>
      <c r="K634" s="182">
        <v>39060</v>
      </c>
      <c r="L634" s="8" t="s">
        <v>5743</v>
      </c>
      <c r="M634" s="8" t="s">
        <v>2814</v>
      </c>
      <c r="N634" s="367" t="s">
        <v>2987</v>
      </c>
      <c r="O634" s="8"/>
      <c r="P634" s="4" t="str">
        <f>VLOOKUP($B634,'D7 - NDB Impacted SPRF''s'!$E$16:$O$9929,9,FALSE)</f>
        <v>Y</v>
      </c>
      <c r="Q634" s="4" t="str">
        <f>VLOOKUP($B634,'D7 - NDB Impacted SPRF''s'!$E$16:$O$9929,10,FALSE)</f>
        <v>N</v>
      </c>
      <c r="R634" s="4" t="str">
        <f>VLOOKUP($B634,'D7 - NDB Impacted SPRF''s'!$E$16:$O$9929,11,FALSE)</f>
        <v>N</v>
      </c>
      <c r="S634" s="8"/>
      <c r="T634" s="310"/>
      <c r="U634" s="310"/>
      <c r="V634" s="4"/>
      <c r="W634" s="4"/>
      <c r="X634" s="4"/>
      <c r="Y634" s="4"/>
      <c r="Z634" s="4"/>
      <c r="AA634" s="4"/>
      <c r="AB634" s="380" t="str">
        <f>VLOOKUP($B634,'D7 - NDB Impacted SPRF''s'!$E$16:$O$9929,4,FALSE)</f>
        <v>Completed</v>
      </c>
      <c r="AC634" s="380" t="str">
        <f>VLOOKUP($B634,'D7 - NDB Impacted SPRF''s'!$E$16:$O$9929,3,FALSE)</f>
        <v>Alliance</v>
      </c>
      <c r="AD634" s="380" t="str">
        <f>VLOOKUP($B634,'D7 - NDB Impacted SPRF''s'!$E$16:$O$9929,5,FALSE)</f>
        <v>Harvard Pilgrim Service Alliance</v>
      </c>
      <c r="AE634" s="380" t="str">
        <f>VLOOKUP($B634,'D7 - NDB Impacted SPRF''s'!$E$16:$O$9929,7,FALSE)</f>
        <v>Bev Nyce</v>
      </c>
      <c r="AF634" s="380" t="str">
        <f>VLOOKUP($B634,'D7 - NDB Impacted SPRF''s'!$E$16:$O$9929,6,FALSE)</f>
        <v>Mark Garrity</v>
      </c>
      <c r="AG634" s="282"/>
      <c r="AH634" s="311" t="e">
        <f>INDEX('D5 - Gatekeeper - Projects'!$A$4:$AF$1010,$AM634, 17)</f>
        <v>#N/A</v>
      </c>
      <c r="AI634" s="8"/>
      <c r="AJ634" s="57"/>
      <c r="AK634" s="105"/>
      <c r="AM634" s="6" t="e">
        <f>MATCH(D634,'D5 - Gatekeeper - Projects'!$C$4:$C$1010,0)</f>
        <v>#N/A</v>
      </c>
      <c r="AN634" s="6" t="b">
        <f t="shared" si="56"/>
        <v>1</v>
      </c>
      <c r="AO634" s="6" t="str">
        <f t="shared" si="59"/>
        <v>OK</v>
      </c>
      <c r="AQ634" s="6" t="e">
        <f>MATCH($D634,'D4 - Provider Council Unsched'!$C$11:$C$234,0)</f>
        <v>#N/A</v>
      </c>
      <c r="AR634" s="6" t="b">
        <f t="shared" si="57"/>
        <v>1</v>
      </c>
      <c r="AS634" s="6" t="str">
        <f t="shared" si="60"/>
        <v>OK</v>
      </c>
      <c r="AU634" s="202"/>
      <c r="AV634" s="262"/>
      <c r="AW634" s="274"/>
    </row>
    <row r="635" spans="1:49" s="13" customFormat="1" ht="45" x14ac:dyDescent="0.2">
      <c r="A635" s="14">
        <v>611</v>
      </c>
      <c r="B635" s="14">
        <v>400012311</v>
      </c>
      <c r="C635" s="8" t="s">
        <v>3763</v>
      </c>
      <c r="D635" s="4" t="str">
        <f t="shared" si="58"/>
        <v>400012311R2</v>
      </c>
      <c r="E635" s="309" t="str">
        <f>VLOOKUP($B635,'D7 - NDB Impacted SPRF''s'!$E$6:$O$9929,2,FALSE)</f>
        <v>Medica – MH/SA Provider Migration</v>
      </c>
      <c r="F635" s="8" t="s">
        <v>5196</v>
      </c>
      <c r="G635" s="8" t="s">
        <v>4758</v>
      </c>
      <c r="H635" s="8" t="s">
        <v>4246</v>
      </c>
      <c r="I635" s="20">
        <v>0.5</v>
      </c>
      <c r="J635" s="8" t="s">
        <v>4862</v>
      </c>
      <c r="K635" s="182">
        <v>39060</v>
      </c>
      <c r="L635" s="8" t="s">
        <v>5743</v>
      </c>
      <c r="M635" s="8" t="s">
        <v>2814</v>
      </c>
      <c r="N635" s="367" t="s">
        <v>4208</v>
      </c>
      <c r="O635" s="8"/>
      <c r="P635" s="4" t="str">
        <f>VLOOKUP($B635,'D7 - NDB Impacted SPRF''s'!$E$16:$O$9929,9,FALSE)</f>
        <v>Y</v>
      </c>
      <c r="Q635" s="4" t="str">
        <f>VLOOKUP($B635,'D7 - NDB Impacted SPRF''s'!$E$16:$O$9929,10,FALSE)</f>
        <v>N</v>
      </c>
      <c r="R635" s="4" t="str">
        <f>VLOOKUP($B635,'D7 - NDB Impacted SPRF''s'!$E$16:$O$9929,11,FALSE)</f>
        <v>N</v>
      </c>
      <c r="S635" s="8" t="s">
        <v>3758</v>
      </c>
      <c r="T635" s="310"/>
      <c r="U635" s="310"/>
      <c r="V635" s="4"/>
      <c r="W635" s="4"/>
      <c r="X635" s="4"/>
      <c r="Y635" s="4"/>
      <c r="Z635" s="4"/>
      <c r="AA635" s="4"/>
      <c r="AB635" s="380" t="str">
        <f>VLOOKUP($B635,'D7 - NDB Impacted SPRF''s'!$E$16:$O$9929,4,FALSE)</f>
        <v>Completed</v>
      </c>
      <c r="AC635" s="380" t="str">
        <f>VLOOKUP($B635,'D7 - NDB Impacted SPRF''s'!$E$16:$O$9929,3,FALSE)</f>
        <v>Alliance</v>
      </c>
      <c r="AD635" s="380" t="str">
        <f>VLOOKUP($B635,'D7 - NDB Impacted SPRF''s'!$E$16:$O$9929,5,FALSE)</f>
        <v>Medica UNET Conversion</v>
      </c>
      <c r="AE635" s="380" t="str">
        <f>VLOOKUP($B635,'D7 - NDB Impacted SPRF''s'!$E$16:$O$9929,7,FALSE)</f>
        <v>Lloyd Dyer</v>
      </c>
      <c r="AF635" s="380" t="str">
        <f>VLOOKUP($B635,'D7 - NDB Impacted SPRF''s'!$E$16:$O$9929,6,FALSE)</f>
        <v>MELISSA SUTHERLAND</v>
      </c>
      <c r="AG635" s="282" t="s">
        <v>7755</v>
      </c>
      <c r="AH635" s="311" t="e">
        <f>INDEX('D5 - Gatekeeper - Projects'!$A$4:$AF$1010,$AM635, 17)</f>
        <v>#N/A</v>
      </c>
      <c r="AI635" s="8"/>
      <c r="AJ635" s="57"/>
      <c r="AK635" s="105"/>
      <c r="AM635" s="6" t="e">
        <f>MATCH(D635,'D5 - Gatekeeper - Projects'!$C$4:$C$1010,0)</f>
        <v>#N/A</v>
      </c>
      <c r="AN635" s="6" t="b">
        <f t="shared" si="56"/>
        <v>1</v>
      </c>
      <c r="AO635" s="6" t="str">
        <f t="shared" si="59"/>
        <v>OK</v>
      </c>
      <c r="AQ635" s="6" t="e">
        <f>MATCH($D635,'D4 - Provider Council Unsched'!$C$11:$C$234,0)</f>
        <v>#N/A</v>
      </c>
      <c r="AR635" s="6" t="b">
        <f t="shared" si="57"/>
        <v>1</v>
      </c>
      <c r="AS635" s="6" t="str">
        <f t="shared" si="60"/>
        <v>OK</v>
      </c>
      <c r="AU635" s="202"/>
      <c r="AV635" s="262"/>
      <c r="AW635" s="274"/>
    </row>
    <row r="636" spans="1:49" s="13" customFormat="1" ht="22.5" x14ac:dyDescent="0.2">
      <c r="A636" s="14">
        <v>612</v>
      </c>
      <c r="B636" s="14">
        <v>400012680</v>
      </c>
      <c r="C636" s="8" t="s">
        <v>5197</v>
      </c>
      <c r="D636" s="4" t="str">
        <f t="shared" si="58"/>
        <v>400012680R1</v>
      </c>
      <c r="E636" s="309" t="str">
        <f>VLOOKUP($B636,'D7 - NDB Impacted SPRF''s'!$E$6:$O$9929,2,FALSE)</f>
        <v xml:space="preserve">HPHC JV MultiSite ET &amp; Operational Readiness </v>
      </c>
      <c r="F636" s="8" t="s">
        <v>5196</v>
      </c>
      <c r="G636" s="8" t="s">
        <v>4758</v>
      </c>
      <c r="H636" s="8" t="s">
        <v>4246</v>
      </c>
      <c r="I636" s="20">
        <v>1.33</v>
      </c>
      <c r="J636" s="8" t="s">
        <v>4862</v>
      </c>
      <c r="K636" s="182">
        <v>39060</v>
      </c>
      <c r="L636" s="8" t="s">
        <v>5743</v>
      </c>
      <c r="M636" s="8" t="s">
        <v>2814</v>
      </c>
      <c r="N636" s="367"/>
      <c r="O636" s="8"/>
      <c r="P636" s="4" t="str">
        <f>VLOOKUP($B636,'D7 - NDB Impacted SPRF''s'!$E$16:$O$9929,9,FALSE)</f>
        <v>Y</v>
      </c>
      <c r="Q636" s="4" t="str">
        <f>VLOOKUP($B636,'D7 - NDB Impacted SPRF''s'!$E$16:$O$9929,10,FALSE)</f>
        <v>N</v>
      </c>
      <c r="R636" s="4" t="str">
        <f>VLOOKUP($B636,'D7 - NDB Impacted SPRF''s'!$E$16:$O$9929,11,FALSE)</f>
        <v>N</v>
      </c>
      <c r="S636" s="8" t="s">
        <v>3758</v>
      </c>
      <c r="T636" s="310"/>
      <c r="U636" s="310"/>
      <c r="V636" s="4"/>
      <c r="W636" s="4"/>
      <c r="X636" s="4"/>
      <c r="Y636" s="4"/>
      <c r="Z636" s="4"/>
      <c r="AA636" s="4"/>
      <c r="AB636" s="380" t="str">
        <f>VLOOKUP($B636,'D7 - NDB Impacted SPRF''s'!$E$16:$O$9929,4,FALSE)</f>
        <v>Completed</v>
      </c>
      <c r="AC636" s="380" t="str">
        <f>VLOOKUP($B636,'D7 - NDB Impacted SPRF''s'!$E$16:$O$9929,3,FALSE)</f>
        <v>Alliance</v>
      </c>
      <c r="AD636" s="380" t="str">
        <f>VLOOKUP($B636,'D7 - NDB Impacted SPRF''s'!$E$16:$O$9929,5,FALSE)</f>
        <v>Harvard Pilgrim Service Alliance</v>
      </c>
      <c r="AE636" s="380" t="str">
        <f>VLOOKUP($B636,'D7 - NDB Impacted SPRF''s'!$E$16:$O$9929,7,FALSE)</f>
        <v>Diane Schofield</v>
      </c>
      <c r="AF636" s="380" t="str">
        <f>VLOOKUP($B636,'D7 - NDB Impacted SPRF''s'!$E$16:$O$9929,6,FALSE)</f>
        <v>Cynthia Collier</v>
      </c>
      <c r="AG636" s="282"/>
      <c r="AH636" s="311" t="e">
        <f>INDEX('D5 - Gatekeeper - Projects'!$A$4:$AF$1010,$AM636, 17)</f>
        <v>#N/A</v>
      </c>
      <c r="AI636" s="8"/>
      <c r="AJ636" s="57"/>
      <c r="AK636" s="105"/>
      <c r="AM636" s="6" t="e">
        <f>MATCH(D636,'D5 - Gatekeeper - Projects'!$C$4:$C$1010,0)</f>
        <v>#N/A</v>
      </c>
      <c r="AN636" s="6" t="b">
        <f t="shared" si="56"/>
        <v>1</v>
      </c>
      <c r="AO636" s="6" t="str">
        <f t="shared" si="59"/>
        <v>OK</v>
      </c>
      <c r="AQ636" s="6" t="e">
        <f>MATCH($D636,'D4 - Provider Council Unsched'!$C$11:$C$234,0)</f>
        <v>#N/A</v>
      </c>
      <c r="AR636" s="6" t="b">
        <f t="shared" si="57"/>
        <v>1</v>
      </c>
      <c r="AS636" s="6" t="str">
        <f t="shared" si="60"/>
        <v>OK</v>
      </c>
      <c r="AU636" s="202"/>
      <c r="AV636" s="262"/>
      <c r="AW636" s="274"/>
    </row>
    <row r="637" spans="1:49" s="13" customFormat="1" ht="56.25" x14ac:dyDescent="0.2">
      <c r="A637" s="14">
        <v>613</v>
      </c>
      <c r="B637" s="14">
        <v>400012830</v>
      </c>
      <c r="C637" s="8" t="s">
        <v>5197</v>
      </c>
      <c r="D637" s="4" t="str">
        <f t="shared" si="58"/>
        <v>400012830R1</v>
      </c>
      <c r="E637" s="309" t="str">
        <f>VLOOKUP($B637,'D7 - NDB Impacted SPRF''s'!$E$6:$O$9929,2,FALSE)</f>
        <v>Alliances Data Exchange Platform</v>
      </c>
      <c r="F637" s="8" t="s">
        <v>5196</v>
      </c>
      <c r="G637" s="8" t="s">
        <v>4758</v>
      </c>
      <c r="H637" s="8" t="s">
        <v>4246</v>
      </c>
      <c r="I637" s="20">
        <v>10.67</v>
      </c>
      <c r="J637" s="8" t="s">
        <v>4862</v>
      </c>
      <c r="K637" s="182">
        <v>39060</v>
      </c>
      <c r="L637" s="8" t="s">
        <v>5743</v>
      </c>
      <c r="M637" s="8" t="s">
        <v>2814</v>
      </c>
      <c r="N637" s="367" t="s">
        <v>3724</v>
      </c>
      <c r="O637" s="8"/>
      <c r="P637" s="4" t="str">
        <f>VLOOKUP($B637,'D7 - NDB Impacted SPRF''s'!$E$16:$O$9929,9,FALSE)</f>
        <v>Y</v>
      </c>
      <c r="Q637" s="4" t="str">
        <f>VLOOKUP($B637,'D7 - NDB Impacted SPRF''s'!$E$16:$O$9929,10,FALSE)</f>
        <v>N</v>
      </c>
      <c r="R637" s="4" t="str">
        <f>VLOOKUP($B637,'D7 - NDB Impacted SPRF''s'!$E$16:$O$9929,11,FALSE)</f>
        <v>N</v>
      </c>
      <c r="S637" s="8" t="s">
        <v>3758</v>
      </c>
      <c r="T637" s="310"/>
      <c r="U637" s="310"/>
      <c r="V637" s="4"/>
      <c r="W637" s="4"/>
      <c r="X637" s="4"/>
      <c r="Y637" s="4"/>
      <c r="Z637" s="4"/>
      <c r="AA637" s="4"/>
      <c r="AB637" s="380" t="str">
        <f>VLOOKUP($B637,'D7 - NDB Impacted SPRF''s'!$E$16:$O$9929,4,FALSE)</f>
        <v>Completed</v>
      </c>
      <c r="AC637" s="380" t="str">
        <f>VLOOKUP($B637,'D7 - NDB Impacted SPRF''s'!$E$16:$O$9929,3,FALSE)</f>
        <v>UnitedHealthcare Employer &amp; Individual</v>
      </c>
      <c r="AD637" s="380" t="str">
        <f>VLOOKUP($B637,'D7 - NDB Impacted SPRF''s'!$E$16:$O$9929,5,FALSE)</f>
        <v>Healthcare Service Alliance</v>
      </c>
      <c r="AE637" s="380" t="str">
        <f>VLOOKUP($B637,'D7 - NDB Impacted SPRF''s'!$E$16:$O$9929,7,FALSE)</f>
        <v>Bev Nyce</v>
      </c>
      <c r="AF637" s="380" t="str">
        <f>VLOOKUP($B637,'D7 - NDB Impacted SPRF''s'!$E$16:$O$9929,6,FALSE)</f>
        <v>DONALD DEMARCO</v>
      </c>
      <c r="AG637" s="282" t="s">
        <v>7755</v>
      </c>
      <c r="AH637" s="311" t="e">
        <f>INDEX('D5 - Gatekeeper - Projects'!$A$4:$AF$1010,$AM637, 17)</f>
        <v>#N/A</v>
      </c>
      <c r="AI637" s="8"/>
      <c r="AJ637" s="57"/>
      <c r="AK637" s="105"/>
      <c r="AM637" s="6" t="e">
        <f>MATCH(D637,'D5 - Gatekeeper - Projects'!$C$4:$C$1010,0)</f>
        <v>#N/A</v>
      </c>
      <c r="AN637" s="6" t="b">
        <f t="shared" si="56"/>
        <v>1</v>
      </c>
      <c r="AO637" s="6" t="str">
        <f t="shared" si="59"/>
        <v>OK</v>
      </c>
      <c r="AQ637" s="6" t="e">
        <f>MATCH($D637,'D4 - Provider Council Unsched'!$C$11:$C$234,0)</f>
        <v>#N/A</v>
      </c>
      <c r="AR637" s="6" t="b">
        <f t="shared" si="57"/>
        <v>1</v>
      </c>
      <c r="AS637" s="6" t="str">
        <f t="shared" si="60"/>
        <v>OK</v>
      </c>
      <c r="AU637" s="202"/>
      <c r="AV637" s="262"/>
      <c r="AW637" s="274"/>
    </row>
    <row r="638" spans="1:49" s="13" customFormat="1" x14ac:dyDescent="0.2">
      <c r="A638" s="14">
        <v>614</v>
      </c>
      <c r="B638" s="14">
        <v>400012863</v>
      </c>
      <c r="C638" s="8" t="s">
        <v>5197</v>
      </c>
      <c r="D638" s="4" t="str">
        <f t="shared" si="58"/>
        <v>400012863R1</v>
      </c>
      <c r="E638" s="309" t="str">
        <f>VLOOKUP($B638,'D7 - NDB Impacted SPRF''s'!$E$6:$O$9929,2,FALSE)</f>
        <v>Medica - Claim Status Inquiry Web Service</v>
      </c>
      <c r="F638" s="8" t="s">
        <v>5196</v>
      </c>
      <c r="G638" s="8" t="s">
        <v>4758</v>
      </c>
      <c r="H638" s="8" t="s">
        <v>4246</v>
      </c>
      <c r="I638" s="20">
        <v>0.53</v>
      </c>
      <c r="J638" s="8" t="s">
        <v>4862</v>
      </c>
      <c r="K638" s="182">
        <v>39060</v>
      </c>
      <c r="L638" s="8" t="s">
        <v>5743</v>
      </c>
      <c r="M638" s="8" t="s">
        <v>2814</v>
      </c>
      <c r="N638" s="367" t="s">
        <v>3085</v>
      </c>
      <c r="O638" s="8"/>
      <c r="P638" s="4" t="str">
        <f>VLOOKUP($B638,'D7 - NDB Impacted SPRF''s'!$E$16:$O$9929,9,FALSE)</f>
        <v>Y</v>
      </c>
      <c r="Q638" s="4" t="str">
        <f>VLOOKUP($B638,'D7 - NDB Impacted SPRF''s'!$E$16:$O$9929,10,FALSE)</f>
        <v>N</v>
      </c>
      <c r="R638" s="4" t="str">
        <f>VLOOKUP($B638,'D7 - NDB Impacted SPRF''s'!$E$16:$O$9929,11,FALSE)</f>
        <v>N</v>
      </c>
      <c r="S638" s="8" t="s">
        <v>3758</v>
      </c>
      <c r="T638" s="310"/>
      <c r="U638" s="310"/>
      <c r="V638" s="4"/>
      <c r="W638" s="4"/>
      <c r="X638" s="4"/>
      <c r="Y638" s="4"/>
      <c r="Z638" s="4"/>
      <c r="AA638" s="4"/>
      <c r="AB638" s="380" t="str">
        <f>VLOOKUP($B638,'D7 - NDB Impacted SPRF''s'!$E$16:$O$9929,4,FALSE)</f>
        <v>Completed</v>
      </c>
      <c r="AC638" s="380" t="str">
        <f>VLOOKUP($B638,'D7 - NDB Impacted SPRF''s'!$E$16:$O$9929,3,FALSE)</f>
        <v>Alliance</v>
      </c>
      <c r="AD638" s="380" t="str">
        <f>VLOOKUP($B638,'D7 - NDB Impacted SPRF''s'!$E$16:$O$9929,5,FALSE)</f>
        <v>Medica UNET Conversion</v>
      </c>
      <c r="AE638" s="380" t="str">
        <f>VLOOKUP($B638,'D7 - NDB Impacted SPRF''s'!$E$16:$O$9929,7,FALSE)</f>
        <v>Diane Schofield</v>
      </c>
      <c r="AF638" s="380" t="str">
        <f>VLOOKUP($B638,'D7 - NDB Impacted SPRF''s'!$E$16:$O$9929,6,FALSE)</f>
        <v>DAWN WALTER</v>
      </c>
      <c r="AG638" s="282"/>
      <c r="AH638" s="311" t="e">
        <f>INDEX('D5 - Gatekeeper - Projects'!$A$4:$AF$1010,$AM638, 17)</f>
        <v>#N/A</v>
      </c>
      <c r="AI638" s="8"/>
      <c r="AJ638" s="57"/>
      <c r="AK638" s="105"/>
      <c r="AM638" s="6" t="e">
        <f>MATCH(D638,'D5 - Gatekeeper - Projects'!$C$4:$C$1010,0)</f>
        <v>#N/A</v>
      </c>
      <c r="AN638" s="6" t="b">
        <f t="shared" si="56"/>
        <v>1</v>
      </c>
      <c r="AO638" s="6" t="str">
        <f t="shared" si="59"/>
        <v>OK</v>
      </c>
      <c r="AQ638" s="6" t="e">
        <f>MATCH($D638,'D4 - Provider Council Unsched'!$C$11:$C$234,0)</f>
        <v>#N/A</v>
      </c>
      <c r="AR638" s="6" t="b">
        <f t="shared" si="57"/>
        <v>1</v>
      </c>
      <c r="AS638" s="6" t="str">
        <f t="shared" si="60"/>
        <v>OK</v>
      </c>
      <c r="AU638" s="202"/>
      <c r="AV638" s="262"/>
      <c r="AW638" s="274"/>
    </row>
    <row r="639" spans="1:49" s="13" customFormat="1" ht="45" x14ac:dyDescent="0.2">
      <c r="A639" s="14">
        <v>615</v>
      </c>
      <c r="B639" s="14">
        <v>400012909</v>
      </c>
      <c r="C639" s="8" t="s">
        <v>5197</v>
      </c>
      <c r="D639" s="4" t="str">
        <f t="shared" si="58"/>
        <v>400012909R1</v>
      </c>
      <c r="E639" s="309" t="str">
        <f>VLOOKUP($B639,'D7 - NDB Impacted SPRF''s'!$E$6:$O$9929,2,FALSE)</f>
        <v>HCA - Data Sharing Data Exchange Test Data</v>
      </c>
      <c r="F639" s="8" t="s">
        <v>5196</v>
      </c>
      <c r="G639" s="8" t="s">
        <v>4758</v>
      </c>
      <c r="H639" s="8" t="s">
        <v>4246</v>
      </c>
      <c r="I639" s="20">
        <v>23.33</v>
      </c>
      <c r="J639" s="8" t="s">
        <v>4862</v>
      </c>
      <c r="K639" s="182">
        <v>39060</v>
      </c>
      <c r="L639" s="8" t="s">
        <v>5743</v>
      </c>
      <c r="M639" s="8" t="s">
        <v>2814</v>
      </c>
      <c r="N639" s="367" t="s">
        <v>1468</v>
      </c>
      <c r="O639" s="8"/>
      <c r="P639" s="4" t="str">
        <f>VLOOKUP($B639,'D7 - NDB Impacted SPRF''s'!$E$16:$O$9929,9,FALSE)</f>
        <v>Y</v>
      </c>
      <c r="Q639" s="4" t="str">
        <f>VLOOKUP($B639,'D7 - NDB Impacted SPRF''s'!$E$16:$O$9929,10,FALSE)</f>
        <v>N</v>
      </c>
      <c r="R639" s="4" t="str">
        <f>VLOOKUP($B639,'D7 - NDB Impacted SPRF''s'!$E$16:$O$9929,11,FALSE)</f>
        <v>N</v>
      </c>
      <c r="S639" s="8" t="s">
        <v>3758</v>
      </c>
      <c r="T639" s="310"/>
      <c r="U639" s="310"/>
      <c r="V639" s="4"/>
      <c r="W639" s="4"/>
      <c r="X639" s="4"/>
      <c r="Y639" s="4"/>
      <c r="Z639" s="4"/>
      <c r="AA639" s="4"/>
      <c r="AB639" s="380" t="str">
        <f>VLOOKUP($B639,'D7 - NDB Impacted SPRF''s'!$E$16:$O$9929,4,FALSE)</f>
        <v>Completed</v>
      </c>
      <c r="AC639" s="380" t="str">
        <f>VLOOKUP($B639,'D7 - NDB Impacted SPRF''s'!$E$16:$O$9929,3,FALSE)</f>
        <v>Alliance</v>
      </c>
      <c r="AD639" s="380" t="str">
        <f>VLOOKUP($B639,'D7 - NDB Impacted SPRF''s'!$E$16:$O$9929,5,FALSE)</f>
        <v>Healthcare Service Alliance</v>
      </c>
      <c r="AE639" s="380" t="str">
        <f>VLOOKUP($B639,'D7 - NDB Impacted SPRF''s'!$E$16:$O$9929,7,FALSE)</f>
        <v>Diane Schofield</v>
      </c>
      <c r="AF639" s="380" t="str">
        <f>VLOOKUP($B639,'D7 - NDB Impacted SPRF''s'!$E$16:$O$9929,6,FALSE)</f>
        <v>JESSICA BURRELL</v>
      </c>
      <c r="AG639" s="282"/>
      <c r="AH639" s="311" t="e">
        <f>INDEX('D5 - Gatekeeper - Projects'!$A$4:$AF$1010,$AM639, 17)</f>
        <v>#N/A</v>
      </c>
      <c r="AI639" s="8"/>
      <c r="AJ639" s="57"/>
      <c r="AK639" s="105"/>
      <c r="AM639" s="6" t="e">
        <f>MATCH(D639,'D5 - Gatekeeper - Projects'!$C$4:$C$1010,0)</f>
        <v>#N/A</v>
      </c>
      <c r="AN639" s="6" t="b">
        <f t="shared" si="56"/>
        <v>1</v>
      </c>
      <c r="AO639" s="6" t="str">
        <f t="shared" si="59"/>
        <v>OK</v>
      </c>
      <c r="AQ639" s="6" t="e">
        <f>MATCH($D639,'D4 - Provider Council Unsched'!$C$11:$C$234,0)</f>
        <v>#N/A</v>
      </c>
      <c r="AR639" s="6" t="b">
        <f t="shared" si="57"/>
        <v>1</v>
      </c>
      <c r="AS639" s="6" t="str">
        <f t="shared" si="60"/>
        <v>OK</v>
      </c>
      <c r="AU639" s="202"/>
      <c r="AV639" s="262"/>
      <c r="AW639" s="274"/>
    </row>
    <row r="640" spans="1:49" s="13" customFormat="1" x14ac:dyDescent="0.2">
      <c r="A640" s="14">
        <v>616</v>
      </c>
      <c r="B640" s="14">
        <v>400012929</v>
      </c>
      <c r="C640" s="8" t="s">
        <v>5197</v>
      </c>
      <c r="D640" s="4" t="str">
        <f t="shared" si="58"/>
        <v>400012929R1</v>
      </c>
      <c r="E640" s="309" t="str">
        <f>VLOOKUP($B640,'D7 - NDB Impacted SPRF''s'!$E$6:$O$9929,2,FALSE)</f>
        <v>Medica - Fee Schedule via Web Service</v>
      </c>
      <c r="F640" s="8" t="s">
        <v>5196</v>
      </c>
      <c r="G640" s="8" t="s">
        <v>4758</v>
      </c>
      <c r="H640" s="8" t="s">
        <v>4246</v>
      </c>
      <c r="I640" s="20">
        <v>0.67</v>
      </c>
      <c r="J640" s="8" t="s">
        <v>4862</v>
      </c>
      <c r="K640" s="182">
        <v>39060</v>
      </c>
      <c r="L640" s="8" t="s">
        <v>5743</v>
      </c>
      <c r="M640" s="8" t="s">
        <v>2814</v>
      </c>
      <c r="N640" s="367" t="s">
        <v>3345</v>
      </c>
      <c r="O640" s="8"/>
      <c r="P640" s="4" t="str">
        <f>VLOOKUP($B640,'D7 - NDB Impacted SPRF''s'!$E$16:$O$9929,9,FALSE)</f>
        <v>N</v>
      </c>
      <c r="Q640" s="4" t="str">
        <f>VLOOKUP($B640,'D7 - NDB Impacted SPRF''s'!$E$16:$O$9929,10,FALSE)</f>
        <v>N</v>
      </c>
      <c r="R640" s="4" t="str">
        <f>VLOOKUP($B640,'D7 - NDB Impacted SPRF''s'!$E$16:$O$9929,11,FALSE)</f>
        <v>N</v>
      </c>
      <c r="S640" s="8"/>
      <c r="T640" s="310"/>
      <c r="U640" s="310"/>
      <c r="V640" s="4"/>
      <c r="W640" s="4"/>
      <c r="X640" s="4"/>
      <c r="Y640" s="4"/>
      <c r="Z640" s="4"/>
      <c r="AA640" s="4"/>
      <c r="AB640" s="380" t="str">
        <f>VLOOKUP($B640,'D7 - NDB Impacted SPRF''s'!$E$16:$O$9929,4,FALSE)</f>
        <v>Completed</v>
      </c>
      <c r="AC640" s="380" t="str">
        <f>VLOOKUP($B640,'D7 - NDB Impacted SPRF''s'!$E$16:$O$9929,3,FALSE)</f>
        <v>Alliance</v>
      </c>
      <c r="AD640" s="380" t="str">
        <f>VLOOKUP($B640,'D7 - NDB Impacted SPRF''s'!$E$16:$O$9929,5,FALSE)</f>
        <v>Medica UNET Conversion</v>
      </c>
      <c r="AE640" s="380" t="str">
        <f>VLOOKUP($B640,'D7 - NDB Impacted SPRF''s'!$E$16:$O$9929,7,FALSE)</f>
        <v>Diane Schofield</v>
      </c>
      <c r="AF640" s="380" t="str">
        <f>VLOOKUP($B640,'D7 - NDB Impacted SPRF''s'!$E$16:$O$9929,6,FALSE)</f>
        <v>DAWN WALTER</v>
      </c>
      <c r="AG640" s="282"/>
      <c r="AH640" s="311" t="e">
        <f>INDEX('D5 - Gatekeeper - Projects'!$A$4:$AF$1010,$AM640, 17)</f>
        <v>#N/A</v>
      </c>
      <c r="AI640" s="8"/>
      <c r="AJ640" s="57"/>
      <c r="AK640" s="105"/>
      <c r="AM640" s="6" t="e">
        <f>MATCH(D640,'D5 - Gatekeeper - Projects'!$C$4:$C$1010,0)</f>
        <v>#N/A</v>
      </c>
      <c r="AN640" s="6" t="b">
        <f t="shared" si="56"/>
        <v>1</v>
      </c>
      <c r="AO640" s="6" t="str">
        <f t="shared" si="59"/>
        <v>OK</v>
      </c>
      <c r="AQ640" s="6" t="e">
        <f>MATCH($D640,'D4 - Provider Council Unsched'!$C$11:$C$234,0)</f>
        <v>#N/A</v>
      </c>
      <c r="AR640" s="6" t="b">
        <f t="shared" si="57"/>
        <v>1</v>
      </c>
      <c r="AS640" s="6" t="str">
        <f t="shared" si="60"/>
        <v>OK</v>
      </c>
      <c r="AU640" s="202"/>
      <c r="AV640" s="262"/>
      <c r="AW640" s="274"/>
    </row>
    <row r="641" spans="1:49" s="13" customFormat="1" ht="33.75" x14ac:dyDescent="0.2">
      <c r="A641" s="14">
        <v>617</v>
      </c>
      <c r="B641" s="14">
        <v>400012978</v>
      </c>
      <c r="C641" s="8" t="s">
        <v>5197</v>
      </c>
      <c r="D641" s="4" t="str">
        <f t="shared" si="58"/>
        <v>400012978R1</v>
      </c>
      <c r="E641" s="309" t="str">
        <f>VLOOKUP($B641,'D7 - NDB Impacted SPRF''s'!$E$6:$O$9929,2,FALSE)</f>
        <v xml:space="preserve">Enterprise Capitation Solution - Provider </v>
      </c>
      <c r="F641" s="8" t="s">
        <v>7593</v>
      </c>
      <c r="G641" s="8" t="s">
        <v>4758</v>
      </c>
      <c r="H641" s="8" t="s">
        <v>4246</v>
      </c>
      <c r="I641" s="20">
        <v>185</v>
      </c>
      <c r="J641" s="8" t="s">
        <v>4862</v>
      </c>
      <c r="K641" s="182">
        <v>39060</v>
      </c>
      <c r="L641" s="8" t="s">
        <v>5743</v>
      </c>
      <c r="M641" s="8" t="s">
        <v>2814</v>
      </c>
      <c r="N641" s="369" t="s">
        <v>4607</v>
      </c>
      <c r="O641" s="8"/>
      <c r="P641" s="4" t="str">
        <f>VLOOKUP($B641,'D7 - NDB Impacted SPRF''s'!$E$16:$O$9929,9,FALSE)</f>
        <v>N</v>
      </c>
      <c r="Q641" s="4" t="str">
        <f>VLOOKUP($B641,'D7 - NDB Impacted SPRF''s'!$E$16:$O$9929,10,FALSE)</f>
        <v>N</v>
      </c>
      <c r="R641" s="4" t="str">
        <f>VLOOKUP($B641,'D7 - NDB Impacted SPRF''s'!$E$16:$O$9929,11,FALSE)</f>
        <v>N</v>
      </c>
      <c r="S641" s="8" t="s">
        <v>3758</v>
      </c>
      <c r="T641" s="310"/>
      <c r="U641" s="310"/>
      <c r="V641" s="4"/>
      <c r="W641" s="4"/>
      <c r="X641" s="4"/>
      <c r="Y641" s="4"/>
      <c r="Z641" s="4"/>
      <c r="AA641" s="4"/>
      <c r="AB641" s="380" t="str">
        <f>VLOOKUP($B641,'D7 - NDB Impacted SPRF''s'!$E$16:$O$9929,4,FALSE)</f>
        <v>Completed</v>
      </c>
      <c r="AC641" s="380" t="str">
        <f>VLOOKUP($B641,'D7 - NDB Impacted SPRF''s'!$E$16:$O$9929,3,FALSE)</f>
        <v>UnitedHealthcare Employer &amp; Individual</v>
      </c>
      <c r="AD641" s="380" t="str">
        <f>VLOOKUP($B641,'D7 - NDB Impacted SPRF''s'!$E$16:$O$9929,5,FALSE)</f>
        <v>Integration Requirements</v>
      </c>
      <c r="AE641" s="380" t="str">
        <f>VLOOKUP($B641,'D7 - NDB Impacted SPRF''s'!$E$16:$O$9929,7,FALSE)</f>
        <v>Tim Kaja</v>
      </c>
      <c r="AF641" s="380" t="str">
        <f>VLOOKUP($B641,'D7 - NDB Impacted SPRF''s'!$E$16:$O$9929,6,FALSE)</f>
        <v>SEAN WATKINS</v>
      </c>
      <c r="AG641" s="282"/>
      <c r="AH641" s="311" t="e">
        <f>INDEX('D5 - Gatekeeper - Projects'!$A$4:$AF$1010,$AM641, 17)</f>
        <v>#N/A</v>
      </c>
      <c r="AI641" s="8"/>
      <c r="AJ641" s="57"/>
      <c r="AK641" s="105"/>
      <c r="AM641" s="6" t="e">
        <f>MATCH(D641,'D5 - Gatekeeper - Projects'!$C$4:$C$1010,0)</f>
        <v>#N/A</v>
      </c>
      <c r="AN641" s="6" t="b">
        <f t="shared" si="56"/>
        <v>1</v>
      </c>
      <c r="AO641" s="6" t="str">
        <f t="shared" si="59"/>
        <v>OK</v>
      </c>
      <c r="AQ641" s="6" t="e">
        <f>MATCH($D641,'D4 - Provider Council Unsched'!$C$11:$C$234,0)</f>
        <v>#N/A</v>
      </c>
      <c r="AR641" s="6" t="b">
        <f t="shared" si="57"/>
        <v>1</v>
      </c>
      <c r="AS641" s="6" t="str">
        <f t="shared" si="60"/>
        <v>OK</v>
      </c>
      <c r="AU641" s="202"/>
      <c r="AV641" s="262"/>
      <c r="AW641" s="274"/>
    </row>
    <row r="642" spans="1:49" s="13" customFormat="1" ht="33.75" x14ac:dyDescent="0.2">
      <c r="A642" s="14">
        <v>618</v>
      </c>
      <c r="B642" s="14">
        <v>400012978</v>
      </c>
      <c r="C642" s="8" t="s">
        <v>1992</v>
      </c>
      <c r="D642" s="4" t="str">
        <f t="shared" si="58"/>
        <v>400012978U1</v>
      </c>
      <c r="E642" s="309" t="str">
        <f>VLOOKUP($B642,'D7 - NDB Impacted SPRF''s'!$E$6:$O$9929,2,FALSE)</f>
        <v xml:space="preserve">Enterprise Capitation Solution - Provider </v>
      </c>
      <c r="F642" s="8" t="s">
        <v>7593</v>
      </c>
      <c r="G642" s="8" t="s">
        <v>4758</v>
      </c>
      <c r="H642" s="8" t="s">
        <v>4246</v>
      </c>
      <c r="I642" s="20">
        <v>1.6</v>
      </c>
      <c r="J642" s="8" t="s">
        <v>4862</v>
      </c>
      <c r="K642" s="182">
        <v>39060</v>
      </c>
      <c r="L642" s="8" t="s">
        <v>5743</v>
      </c>
      <c r="M642" s="8" t="s">
        <v>2814</v>
      </c>
      <c r="N642" s="369" t="s">
        <v>4607</v>
      </c>
      <c r="O642" s="8"/>
      <c r="P642" s="4" t="str">
        <f>VLOOKUP($B642,'D7 - NDB Impacted SPRF''s'!$E$16:$O$9929,9,FALSE)</f>
        <v>N</v>
      </c>
      <c r="Q642" s="4" t="str">
        <f>VLOOKUP($B642,'D7 - NDB Impacted SPRF''s'!$E$16:$O$9929,10,FALSE)</f>
        <v>N</v>
      </c>
      <c r="R642" s="4" t="str">
        <f>VLOOKUP($B642,'D7 - NDB Impacted SPRF''s'!$E$16:$O$9929,11,FALSE)</f>
        <v>N</v>
      </c>
      <c r="S642" s="8" t="s">
        <v>3758</v>
      </c>
      <c r="T642" s="310"/>
      <c r="U642" s="310"/>
      <c r="V642" s="4"/>
      <c r="W642" s="4"/>
      <c r="X642" s="4"/>
      <c r="Y642" s="4"/>
      <c r="Z642" s="4"/>
      <c r="AA642" s="4"/>
      <c r="AB642" s="380" t="str">
        <f>VLOOKUP($B642,'D7 - NDB Impacted SPRF''s'!$E$16:$O$9929,4,FALSE)</f>
        <v>Completed</v>
      </c>
      <c r="AC642" s="380" t="str">
        <f>VLOOKUP($B642,'D7 - NDB Impacted SPRF''s'!$E$16:$O$9929,3,FALSE)</f>
        <v>UnitedHealthcare Employer &amp; Individual</v>
      </c>
      <c r="AD642" s="380" t="str">
        <f>VLOOKUP($B642,'D7 - NDB Impacted SPRF''s'!$E$16:$O$9929,5,FALSE)</f>
        <v>Integration Requirements</v>
      </c>
      <c r="AE642" s="380" t="str">
        <f>VLOOKUP($B642,'D7 - NDB Impacted SPRF''s'!$E$16:$O$9929,7,FALSE)</f>
        <v>Tim Kaja</v>
      </c>
      <c r="AF642" s="380" t="str">
        <f>VLOOKUP($B642,'D7 - NDB Impacted SPRF''s'!$E$16:$O$9929,6,FALSE)</f>
        <v>SEAN WATKINS</v>
      </c>
      <c r="AG642" s="282"/>
      <c r="AH642" s="311" t="e">
        <f>INDEX('D5 - Gatekeeper - Projects'!$A$4:$AF$1010,$AM642, 17)</f>
        <v>#N/A</v>
      </c>
      <c r="AI642" s="8"/>
      <c r="AJ642" s="57"/>
      <c r="AK642" s="105"/>
      <c r="AM642" s="6" t="e">
        <f>MATCH(D642,'D5 - Gatekeeper - Projects'!$C$4:$C$1010,0)</f>
        <v>#N/A</v>
      </c>
      <c r="AN642" s="6" t="b">
        <f t="shared" si="56"/>
        <v>1</v>
      </c>
      <c r="AO642" s="6" t="str">
        <f t="shared" si="59"/>
        <v>OK</v>
      </c>
      <c r="AQ642" s="6" t="e">
        <f>MATCH($D642,'D4 - Provider Council Unsched'!$C$11:$C$234,0)</f>
        <v>#N/A</v>
      </c>
      <c r="AR642" s="6" t="b">
        <f t="shared" si="57"/>
        <v>1</v>
      </c>
      <c r="AS642" s="6" t="str">
        <f t="shared" si="60"/>
        <v>OK</v>
      </c>
      <c r="AU642" s="202"/>
      <c r="AV642" s="262"/>
      <c r="AW642" s="274"/>
    </row>
    <row r="643" spans="1:49" s="13" customFormat="1" ht="33.75" x14ac:dyDescent="0.2">
      <c r="A643" s="14">
        <v>619</v>
      </c>
      <c r="B643" s="14">
        <v>400013110</v>
      </c>
      <c r="C643" s="8" t="s">
        <v>5197</v>
      </c>
      <c r="D643" s="4" t="str">
        <f t="shared" si="58"/>
        <v>400013110R1</v>
      </c>
      <c r="E643" s="309" t="str">
        <f>VLOOKUP($B643,'D7 - NDB Impacted SPRF''s'!$E$6:$O$9929,2,FALSE)</f>
        <v>PacifiCare--Include HMO on PHS Export File</v>
      </c>
      <c r="F643" s="8" t="s">
        <v>6071</v>
      </c>
      <c r="G643" s="8" t="s">
        <v>4758</v>
      </c>
      <c r="H643" s="8" t="s">
        <v>4246</v>
      </c>
      <c r="I643" s="20">
        <v>1</v>
      </c>
      <c r="J643" s="8" t="s">
        <v>4862</v>
      </c>
      <c r="K643" s="182">
        <v>39060</v>
      </c>
      <c r="L643" s="8" t="s">
        <v>5743</v>
      </c>
      <c r="M643" s="8" t="s">
        <v>2814</v>
      </c>
      <c r="N643" s="370" t="s">
        <v>6307</v>
      </c>
      <c r="O643" s="8"/>
      <c r="P643" s="4" t="str">
        <f>VLOOKUP($B643,'D7 - NDB Impacted SPRF''s'!$E$16:$O$9929,9,FALSE)</f>
        <v>N</v>
      </c>
      <c r="Q643" s="4" t="str">
        <f>VLOOKUP($B643,'D7 - NDB Impacted SPRF''s'!$E$16:$O$9929,10,FALSE)</f>
        <v>N</v>
      </c>
      <c r="R643" s="4" t="str">
        <f>VLOOKUP($B643,'D7 - NDB Impacted SPRF''s'!$E$16:$O$9929,11,FALSE)</f>
        <v>N</v>
      </c>
      <c r="S643" s="8" t="s">
        <v>3758</v>
      </c>
      <c r="T643" s="310"/>
      <c r="U643" s="310"/>
      <c r="V643" s="4"/>
      <c r="W643" s="4"/>
      <c r="X643" s="4"/>
      <c r="Y643" s="4"/>
      <c r="Z643" s="4"/>
      <c r="AA643" s="4"/>
      <c r="AB643" s="380" t="str">
        <f>VLOOKUP($B643,'D7 - NDB Impacted SPRF''s'!$E$16:$O$9929,4,FALSE)</f>
        <v>Completed</v>
      </c>
      <c r="AC643" s="380" t="str">
        <f>VLOOKUP($B643,'D7 - NDB Impacted SPRF''s'!$E$16:$O$9929,3,FALSE)</f>
        <v>UnitedHealthcare Employer &amp; Individual</v>
      </c>
      <c r="AD643" s="380" t="str">
        <f>VLOOKUP($B643,'D7 - NDB Impacted SPRF''s'!$E$16:$O$9929,5,FALSE)</f>
        <v>Integration Requirements</v>
      </c>
      <c r="AE643" s="380" t="str">
        <f>VLOOKUP($B643,'D7 - NDB Impacted SPRF''s'!$E$16:$O$9929,7,FALSE)</f>
        <v>Tim Kaja</v>
      </c>
      <c r="AF643" s="380" t="str">
        <f>VLOOKUP($B643,'D7 - NDB Impacted SPRF''s'!$E$16:$O$9929,6,FALSE)</f>
        <v>GREGORY MILLS</v>
      </c>
      <c r="AG643" s="282"/>
      <c r="AH643" s="311" t="e">
        <f>INDEX('D5 - Gatekeeper - Projects'!$A$4:$AF$1010,$AM643, 17)</f>
        <v>#N/A</v>
      </c>
      <c r="AI643" s="8"/>
      <c r="AJ643" s="57"/>
      <c r="AK643" s="105"/>
      <c r="AM643" s="6" t="e">
        <f>MATCH(D643,'D5 - Gatekeeper - Projects'!$C$4:$C$1010,0)</f>
        <v>#N/A</v>
      </c>
      <c r="AN643" s="6" t="b">
        <f t="shared" si="56"/>
        <v>1</v>
      </c>
      <c r="AO643" s="6" t="str">
        <f t="shared" si="59"/>
        <v>OK</v>
      </c>
      <c r="AQ643" s="6" t="e">
        <f>MATCH($D643,'D4 - Provider Council Unsched'!$C$11:$C$234,0)</f>
        <v>#N/A</v>
      </c>
      <c r="AR643" s="6" t="b">
        <f t="shared" si="57"/>
        <v>1</v>
      </c>
      <c r="AS643" s="6" t="str">
        <f t="shared" si="60"/>
        <v>OK</v>
      </c>
      <c r="AU643" s="202"/>
      <c r="AV643" s="262"/>
      <c r="AW643" s="274"/>
    </row>
    <row r="644" spans="1:49" s="13" customFormat="1" ht="33.75" x14ac:dyDescent="0.2">
      <c r="A644" s="14">
        <v>620</v>
      </c>
      <c r="B644" s="14">
        <v>400013208</v>
      </c>
      <c r="C644" s="8" t="s">
        <v>5197</v>
      </c>
      <c r="D644" s="4" t="str">
        <f t="shared" si="58"/>
        <v>400013208R1</v>
      </c>
      <c r="E644" s="309" t="str">
        <f>VLOOKUP($B644,'D7 - NDB Impacted SPRF''s'!$E$6:$O$9929,2,FALSE)</f>
        <v>Pacificare Product Migration</v>
      </c>
      <c r="F644" s="8" t="s">
        <v>6071</v>
      </c>
      <c r="G644" s="8" t="s">
        <v>4758</v>
      </c>
      <c r="H644" s="8" t="s">
        <v>4246</v>
      </c>
      <c r="I644" s="20">
        <v>0.15</v>
      </c>
      <c r="J644" s="8" t="s">
        <v>4862</v>
      </c>
      <c r="K644" s="182">
        <v>39060</v>
      </c>
      <c r="L644" s="8" t="s">
        <v>5743</v>
      </c>
      <c r="M644" s="8" t="s">
        <v>2814</v>
      </c>
      <c r="N644" s="367" t="s">
        <v>3345</v>
      </c>
      <c r="O644" s="8"/>
      <c r="P644" s="4" t="str">
        <f>VLOOKUP($B644,'D7 - NDB Impacted SPRF''s'!$E$16:$O$9929,9,FALSE)</f>
        <v>Y</v>
      </c>
      <c r="Q644" s="4" t="str">
        <f>VLOOKUP($B644,'D7 - NDB Impacted SPRF''s'!$E$16:$O$9929,10,FALSE)</f>
        <v>N</v>
      </c>
      <c r="R644" s="4" t="str">
        <f>VLOOKUP($B644,'D7 - NDB Impacted SPRF''s'!$E$16:$O$9929,11,FALSE)</f>
        <v>N</v>
      </c>
      <c r="S644" s="8"/>
      <c r="T644" s="310"/>
      <c r="U644" s="310"/>
      <c r="V644" s="4"/>
      <c r="W644" s="4"/>
      <c r="X644" s="4"/>
      <c r="Y644" s="4"/>
      <c r="Z644" s="4"/>
      <c r="AA644" s="4"/>
      <c r="AB644" s="380" t="str">
        <f>VLOOKUP($B644,'D7 - NDB Impacted SPRF''s'!$E$16:$O$9929,4,FALSE)</f>
        <v>Completed</v>
      </c>
      <c r="AC644" s="380" t="str">
        <f>VLOOKUP($B644,'D7 - NDB Impacted SPRF''s'!$E$16:$O$9929,3,FALSE)</f>
        <v>UnitedHealthcare Employer &amp; Individual</v>
      </c>
      <c r="AD644" s="380" t="str">
        <f>VLOOKUP($B644,'D7 - NDB Impacted SPRF''s'!$E$16:$O$9929,5,FALSE)</f>
        <v>Integration Requirements</v>
      </c>
      <c r="AE644" s="380" t="str">
        <f>VLOOKUP($B644,'D7 - NDB Impacted SPRF''s'!$E$16:$O$9929,7,FALSE)</f>
        <v>Tim Wicks</v>
      </c>
      <c r="AF644" s="380" t="str">
        <f>VLOOKUP($B644,'D7 - NDB Impacted SPRF''s'!$E$16:$O$9929,6,FALSE)</f>
        <v>FRANK ROMANO</v>
      </c>
      <c r="AG644" s="282"/>
      <c r="AH644" s="311" t="e">
        <f>INDEX('D5 - Gatekeeper - Projects'!$A$4:$AF$1010,$AM644, 17)</f>
        <v>#N/A</v>
      </c>
      <c r="AI644" s="8"/>
      <c r="AJ644" s="57"/>
      <c r="AK644" s="105"/>
      <c r="AM644" s="6" t="e">
        <f>MATCH(D644,'D5 - Gatekeeper - Projects'!$C$4:$C$1010,0)</f>
        <v>#N/A</v>
      </c>
      <c r="AN644" s="6" t="b">
        <f t="shared" si="56"/>
        <v>1</v>
      </c>
      <c r="AO644" s="6" t="str">
        <f t="shared" si="59"/>
        <v>OK</v>
      </c>
      <c r="AQ644" s="6" t="e">
        <f>MATCH($D644,'D4 - Provider Council Unsched'!$C$11:$C$234,0)</f>
        <v>#N/A</v>
      </c>
      <c r="AR644" s="6" t="b">
        <f t="shared" si="57"/>
        <v>1</v>
      </c>
      <c r="AS644" s="6" t="str">
        <f t="shared" si="60"/>
        <v>OK</v>
      </c>
      <c r="AU644" s="202"/>
      <c r="AV644" s="262"/>
      <c r="AW644" s="274"/>
    </row>
    <row r="645" spans="1:49" s="13" customFormat="1" x14ac:dyDescent="0.2">
      <c r="A645" s="14">
        <v>621</v>
      </c>
      <c r="B645" s="14">
        <v>400013458</v>
      </c>
      <c r="C645" s="8" t="s">
        <v>5197</v>
      </c>
      <c r="D645" s="4" t="str">
        <f t="shared" si="58"/>
        <v>400013458R1</v>
      </c>
      <c r="E645" s="309" t="str">
        <f>VLOOKUP($B645,'D7 - NDB Impacted SPRF''s'!$E$6:$O$9929,2,FALSE)</f>
        <v>Definity/Medica Enterprise Test &amp; Partner Cert.</v>
      </c>
      <c r="F645" s="8" t="s">
        <v>5196</v>
      </c>
      <c r="G645" s="8" t="s">
        <v>4758</v>
      </c>
      <c r="H645" s="8" t="s">
        <v>4246</v>
      </c>
      <c r="I645" s="20">
        <v>1.07</v>
      </c>
      <c r="J645" s="8" t="s">
        <v>4862</v>
      </c>
      <c r="K645" s="182">
        <v>39060</v>
      </c>
      <c r="L645" s="8" t="s">
        <v>5743</v>
      </c>
      <c r="M645" s="8" t="s">
        <v>2814</v>
      </c>
      <c r="N645" s="368"/>
      <c r="O645" s="8"/>
      <c r="P645" s="4" t="str">
        <f>VLOOKUP($B645,'D7 - NDB Impacted SPRF''s'!$E$16:$O$9929,9,FALSE)</f>
        <v>Y</v>
      </c>
      <c r="Q645" s="4" t="str">
        <f>VLOOKUP($B645,'D7 - NDB Impacted SPRF''s'!$E$16:$O$9929,10,FALSE)</f>
        <v>N</v>
      </c>
      <c r="R645" s="4" t="str">
        <f>VLOOKUP($B645,'D7 - NDB Impacted SPRF''s'!$E$16:$O$9929,11,FALSE)</f>
        <v>N</v>
      </c>
      <c r="S645" s="8" t="s">
        <v>7273</v>
      </c>
      <c r="T645" s="310"/>
      <c r="U645" s="310"/>
      <c r="V645" s="4"/>
      <c r="W645" s="4"/>
      <c r="X645" s="4"/>
      <c r="Y645" s="4"/>
      <c r="Z645" s="4"/>
      <c r="AA645" s="4"/>
      <c r="AB645" s="380" t="str">
        <f>VLOOKUP($B645,'D7 - NDB Impacted SPRF''s'!$E$16:$O$9929,4,FALSE)</f>
        <v>Completed</v>
      </c>
      <c r="AC645" s="380" t="str">
        <f>VLOOKUP($B645,'D7 - NDB Impacted SPRF''s'!$E$16:$O$9929,3,FALSE)</f>
        <v>Alliance</v>
      </c>
      <c r="AD645" s="380" t="str">
        <f>VLOOKUP($B645,'D7 - NDB Impacted SPRF''s'!$E$16:$O$9929,5,FALSE)</f>
        <v>Medica UNET Conversion</v>
      </c>
      <c r="AE645" s="380" t="str">
        <f>VLOOKUP($B645,'D7 - NDB Impacted SPRF''s'!$E$16:$O$9929,7,FALSE)</f>
        <v>Tracy Berg</v>
      </c>
      <c r="AF645" s="380" t="str">
        <f>VLOOKUP($B645,'D7 - NDB Impacted SPRF''s'!$E$16:$O$9929,6,FALSE)</f>
        <v>KRISTEN LEWIS</v>
      </c>
      <c r="AG645" s="282"/>
      <c r="AH645" s="311" t="e">
        <f>INDEX('D5 - Gatekeeper - Projects'!$A$4:$AF$1010,$AM645, 17)</f>
        <v>#N/A</v>
      </c>
      <c r="AI645" s="8"/>
      <c r="AJ645" s="57"/>
      <c r="AK645" s="105"/>
      <c r="AM645" s="6" t="e">
        <f>MATCH(D645,'D5 - Gatekeeper - Projects'!$C$4:$C$1010,0)</f>
        <v>#N/A</v>
      </c>
      <c r="AN645" s="6" t="b">
        <f t="shared" si="56"/>
        <v>1</v>
      </c>
      <c r="AO645" s="6" t="str">
        <f t="shared" si="59"/>
        <v>OK</v>
      </c>
      <c r="AQ645" s="6" t="e">
        <f>MATCH($D645,'D4 - Provider Council Unsched'!$C$11:$C$234,0)</f>
        <v>#N/A</v>
      </c>
      <c r="AR645" s="6" t="b">
        <f t="shared" si="57"/>
        <v>1</v>
      </c>
      <c r="AS645" s="6" t="str">
        <f t="shared" si="60"/>
        <v>OK</v>
      </c>
      <c r="AU645" s="202"/>
      <c r="AV645" s="262"/>
      <c r="AW645" s="274"/>
    </row>
    <row r="646" spans="1:49" s="13" customFormat="1" ht="33.75" x14ac:dyDescent="0.2">
      <c r="A646" s="14">
        <v>622</v>
      </c>
      <c r="B646" s="14">
        <v>400013604</v>
      </c>
      <c r="C646" s="8" t="s">
        <v>5197</v>
      </c>
      <c r="D646" s="4" t="str">
        <f t="shared" si="58"/>
        <v>400013604R1</v>
      </c>
      <c r="E646" s="309" t="str">
        <f>VLOOKUP($B646,'D7 - NDB Impacted SPRF''s'!$E$6:$O$9929,2,FALSE)</f>
        <v>WO-PCP/Specialist-Determine Using Active Records</v>
      </c>
      <c r="F646" s="8"/>
      <c r="G646" s="8" t="s">
        <v>4758</v>
      </c>
      <c r="H646" s="8" t="s">
        <v>4246</v>
      </c>
      <c r="I646" s="20">
        <v>4.5599999999999996</v>
      </c>
      <c r="J646" s="8" t="s">
        <v>4862</v>
      </c>
      <c r="K646" s="182">
        <v>39060</v>
      </c>
      <c r="L646" s="8" t="s">
        <v>5743</v>
      </c>
      <c r="M646" s="8" t="s">
        <v>2814</v>
      </c>
      <c r="N646" s="367" t="s">
        <v>4174</v>
      </c>
      <c r="O646" s="8"/>
      <c r="P646" s="4" t="str">
        <f>VLOOKUP($B646,'D7 - NDB Impacted SPRF''s'!$E$16:$O$9929,9,FALSE)</f>
        <v>Y</v>
      </c>
      <c r="Q646" s="4" t="str">
        <f>VLOOKUP($B646,'D7 - NDB Impacted SPRF''s'!$E$16:$O$9929,10,FALSE)</f>
        <v>N</v>
      </c>
      <c r="R646" s="4" t="str">
        <f>VLOOKUP($B646,'D7 - NDB Impacted SPRF''s'!$E$16:$O$9929,11,FALSE)</f>
        <v>N</v>
      </c>
      <c r="S646" s="8" t="s">
        <v>7273</v>
      </c>
      <c r="T646" s="310"/>
      <c r="U646" s="310"/>
      <c r="V646" s="4"/>
      <c r="W646" s="4"/>
      <c r="X646" s="4"/>
      <c r="Y646" s="4"/>
      <c r="Z646" s="4"/>
      <c r="AA646" s="4"/>
      <c r="AB646" s="380" t="str">
        <f>VLOOKUP($B646,'D7 - NDB Impacted SPRF''s'!$E$16:$O$9929,4,FALSE)</f>
        <v>Completed</v>
      </c>
      <c r="AC646" s="380" t="str">
        <f>VLOOKUP($B646,'D7 - NDB Impacted SPRF''s'!$E$16:$O$9929,3,FALSE)</f>
        <v>UnitedHealthcare Employer &amp; Individual</v>
      </c>
      <c r="AD646" s="380" t="str">
        <f>VLOOKUP($B646,'D7 - NDB Impacted SPRF''s'!$E$16:$O$9929,5,FALSE)</f>
        <v>Network Growth / Enhancements</v>
      </c>
      <c r="AE646" s="380" t="str">
        <f>VLOOKUP($B646,'D7 - NDB Impacted SPRF''s'!$E$16:$O$9929,7,FALSE)</f>
        <v>Matt Guisinger</v>
      </c>
      <c r="AF646" s="380" t="str">
        <f>VLOOKUP($B646,'D7 - NDB Impacted SPRF''s'!$E$16:$O$9929,6,FALSE)</f>
        <v>JOHN HIEBERT</v>
      </c>
      <c r="AG646" s="282"/>
      <c r="AH646" s="311" t="e">
        <f>INDEX('D5 - Gatekeeper - Projects'!$A$4:$AF$1010,$AM646, 17)</f>
        <v>#N/A</v>
      </c>
      <c r="AI646" s="8"/>
      <c r="AJ646" s="57"/>
      <c r="AK646" s="105"/>
      <c r="AM646" s="6" t="e">
        <f>MATCH(D646,'D5 - Gatekeeper - Projects'!$C$4:$C$1010,0)</f>
        <v>#N/A</v>
      </c>
      <c r="AN646" s="6" t="b">
        <f t="shared" si="56"/>
        <v>1</v>
      </c>
      <c r="AO646" s="6" t="str">
        <f t="shared" si="59"/>
        <v>OK</v>
      </c>
      <c r="AQ646" s="6" t="e">
        <f>MATCH($D646,'D4 - Provider Council Unsched'!$C$11:$C$234,0)</f>
        <v>#N/A</v>
      </c>
      <c r="AR646" s="6" t="b">
        <f t="shared" si="57"/>
        <v>1</v>
      </c>
      <c r="AS646" s="6" t="str">
        <f t="shared" si="60"/>
        <v>OK</v>
      </c>
      <c r="AU646" s="202"/>
      <c r="AV646" s="262"/>
      <c r="AW646" s="274"/>
    </row>
    <row r="647" spans="1:49" s="13" customFormat="1" ht="22.5" x14ac:dyDescent="0.2">
      <c r="A647" s="14">
        <v>623</v>
      </c>
      <c r="B647" s="14">
        <v>400013873</v>
      </c>
      <c r="C647" s="8" t="s">
        <v>5197</v>
      </c>
      <c r="D647" s="4" t="str">
        <f t="shared" si="58"/>
        <v>400013873R1</v>
      </c>
      <c r="E647" s="309" t="str">
        <f>VLOOKUP($B647,'D7 - NDB Impacted SPRF''s'!$E$6:$O$9929,2,FALSE)</f>
        <v>835 Registration Upload - NDB</v>
      </c>
      <c r="F647" s="8" t="s">
        <v>2814</v>
      </c>
      <c r="G647" s="8" t="s">
        <v>4758</v>
      </c>
      <c r="H647" s="8" t="s">
        <v>4246</v>
      </c>
      <c r="I647" s="20">
        <v>1.07</v>
      </c>
      <c r="J647" s="8" t="s">
        <v>4862</v>
      </c>
      <c r="K647" s="182">
        <v>39060</v>
      </c>
      <c r="L647" s="8" t="s">
        <v>5743</v>
      </c>
      <c r="M647" s="8" t="s">
        <v>2814</v>
      </c>
      <c r="N647" s="367" t="s">
        <v>2895</v>
      </c>
      <c r="O647" s="8"/>
      <c r="P647" s="4" t="str">
        <f>VLOOKUP($B647,'D7 - NDB Impacted SPRF''s'!$E$16:$O$9929,9,FALSE)</f>
        <v>N</v>
      </c>
      <c r="Q647" s="4" t="str">
        <f>VLOOKUP($B647,'D7 - NDB Impacted SPRF''s'!$E$16:$O$9929,10,FALSE)</f>
        <v>N</v>
      </c>
      <c r="R647" s="4" t="str">
        <f>VLOOKUP($B647,'D7 - NDB Impacted SPRF''s'!$E$16:$O$9929,11,FALSE)</f>
        <v>N</v>
      </c>
      <c r="S647" s="8" t="s">
        <v>3758</v>
      </c>
      <c r="T647" s="310"/>
      <c r="U647" s="310"/>
      <c r="V647" s="4"/>
      <c r="W647" s="4"/>
      <c r="X647" s="4"/>
      <c r="Y647" s="4"/>
      <c r="Z647" s="4"/>
      <c r="AA647" s="4"/>
      <c r="AB647" s="380" t="str">
        <f>VLOOKUP($B647,'D7 - NDB Impacted SPRF''s'!$E$16:$O$9929,4,FALSE)</f>
        <v>Completed</v>
      </c>
      <c r="AC647" s="380" t="str">
        <f>VLOOKUP($B647,'D7 - NDB Impacted SPRF''s'!$E$16:$O$9929,3,FALSE)</f>
        <v>Uniprise</v>
      </c>
      <c r="AD647" s="380" t="str">
        <f>VLOOKUP($B647,'D7 - NDB Impacted SPRF''s'!$E$16:$O$9929,5,FALSE)</f>
        <v>Group Services - Capital Projects</v>
      </c>
      <c r="AE647" s="380" t="str">
        <f>VLOOKUP($B647,'D7 - NDB Impacted SPRF''s'!$E$16:$O$9929,7,FALSE)</f>
        <v>Amy Hinrichs</v>
      </c>
      <c r="AF647" s="380" t="str">
        <f>VLOOKUP($B647,'D7 - NDB Impacted SPRF''s'!$E$16:$O$9929,6,FALSE)</f>
        <v>Daniel Peters</v>
      </c>
      <c r="AG647" s="282"/>
      <c r="AH647" s="311" t="e">
        <f>INDEX('D5 - Gatekeeper - Projects'!$A$4:$AF$1010,$AM647, 17)</f>
        <v>#N/A</v>
      </c>
      <c r="AI647" s="8"/>
      <c r="AJ647" s="57"/>
      <c r="AK647" s="105"/>
      <c r="AM647" s="6" t="e">
        <f>MATCH(D647,'D5 - Gatekeeper - Projects'!$C$4:$C$1010,0)</f>
        <v>#N/A</v>
      </c>
      <c r="AN647" s="6" t="b">
        <f t="shared" si="56"/>
        <v>1</v>
      </c>
      <c r="AO647" s="6" t="str">
        <f t="shared" si="59"/>
        <v>OK</v>
      </c>
      <c r="AQ647" s="6" t="e">
        <f>MATCH($D647,'D4 - Provider Council Unsched'!$C$11:$C$234,0)</f>
        <v>#N/A</v>
      </c>
      <c r="AR647" s="6" t="b">
        <f t="shared" si="57"/>
        <v>1</v>
      </c>
      <c r="AS647" s="6" t="str">
        <f t="shared" si="60"/>
        <v>OK</v>
      </c>
      <c r="AU647" s="202"/>
      <c r="AV647" s="262"/>
      <c r="AW647" s="274"/>
    </row>
    <row r="648" spans="1:49" s="13" customFormat="1" ht="33.75" x14ac:dyDescent="0.2">
      <c r="A648" s="14">
        <v>624</v>
      </c>
      <c r="B648" s="14">
        <v>400014007</v>
      </c>
      <c r="C648" s="8" t="s">
        <v>5197</v>
      </c>
      <c r="D648" s="4" t="str">
        <f t="shared" si="58"/>
        <v>400014007R1</v>
      </c>
      <c r="E648" s="309" t="str">
        <f>VLOOKUP($B648,'D7 - NDB Impacted SPRF''s'!$E$6:$O$9929,2,FALSE)</f>
        <v>W/O - MAMSI - EPDE - Move to Standard File Layout</v>
      </c>
      <c r="F648" s="8" t="s">
        <v>5752</v>
      </c>
      <c r="G648" s="8" t="s">
        <v>4758</v>
      </c>
      <c r="H648" s="8" t="s">
        <v>4246</v>
      </c>
      <c r="I648" s="20">
        <v>1</v>
      </c>
      <c r="J648" s="8" t="s">
        <v>4862</v>
      </c>
      <c r="K648" s="182">
        <v>39060</v>
      </c>
      <c r="L648" s="8" t="s">
        <v>5743</v>
      </c>
      <c r="M648" s="8" t="s">
        <v>2814</v>
      </c>
      <c r="N648" s="367"/>
      <c r="O648" s="8"/>
      <c r="P648" s="4" t="str">
        <f>VLOOKUP($B648,'D7 - NDB Impacted SPRF''s'!$E$16:$O$9929,9,FALSE)</f>
        <v>N</v>
      </c>
      <c r="Q648" s="4" t="str">
        <f>VLOOKUP($B648,'D7 - NDB Impacted SPRF''s'!$E$16:$O$9929,10,FALSE)</f>
        <v>N</v>
      </c>
      <c r="R648" s="4" t="str">
        <f>VLOOKUP($B648,'D7 - NDB Impacted SPRF''s'!$E$16:$O$9929,11,FALSE)</f>
        <v>N</v>
      </c>
      <c r="S648" s="8" t="s">
        <v>3758</v>
      </c>
      <c r="T648" s="310"/>
      <c r="U648" s="310"/>
      <c r="V648" s="4"/>
      <c r="W648" s="4"/>
      <c r="X648" s="4"/>
      <c r="Y648" s="4"/>
      <c r="Z648" s="4"/>
      <c r="AA648" s="4"/>
      <c r="AB648" s="380" t="str">
        <f>VLOOKUP($B648,'D7 - NDB Impacted SPRF''s'!$E$16:$O$9929,4,FALSE)</f>
        <v>Completed</v>
      </c>
      <c r="AC648" s="380" t="str">
        <f>VLOOKUP($B648,'D7 - NDB Impacted SPRF''s'!$E$16:$O$9929,3,FALSE)</f>
        <v>UnitedHealthcare Employer &amp; Individual</v>
      </c>
      <c r="AD648" s="380" t="str">
        <f>VLOOKUP($B648,'D7 - NDB Impacted SPRF''s'!$E$16:$O$9929,5,FALSE)</f>
        <v>Integration Requirements</v>
      </c>
      <c r="AE648" s="380" t="str">
        <f>VLOOKUP($B648,'D7 - NDB Impacted SPRF''s'!$E$16:$O$9929,7,FALSE)</f>
        <v>Tim Kaja</v>
      </c>
      <c r="AF648" s="380" t="str">
        <f>VLOOKUP($B648,'D7 - NDB Impacted SPRF''s'!$E$16:$O$9929,6,FALSE)</f>
        <v>MARCIA MONACO</v>
      </c>
      <c r="AG648" s="282"/>
      <c r="AH648" s="311" t="e">
        <f>INDEX('D5 - Gatekeeper - Projects'!$A$4:$AF$1010,$AM648, 17)</f>
        <v>#N/A</v>
      </c>
      <c r="AI648" s="8"/>
      <c r="AJ648" s="57"/>
      <c r="AK648" s="105"/>
      <c r="AM648" s="6" t="e">
        <f>MATCH(D648,'D5 - Gatekeeper - Projects'!$C$4:$C$1010,0)</f>
        <v>#N/A</v>
      </c>
      <c r="AN648" s="6" t="b">
        <f t="shared" si="56"/>
        <v>1</v>
      </c>
      <c r="AO648" s="6" t="str">
        <f t="shared" si="59"/>
        <v>OK</v>
      </c>
      <c r="AQ648" s="6" t="e">
        <f>MATCH($D648,'D4 - Provider Council Unsched'!$C$11:$C$234,0)</f>
        <v>#N/A</v>
      </c>
      <c r="AR648" s="6" t="b">
        <f t="shared" si="57"/>
        <v>1</v>
      </c>
      <c r="AS648" s="6" t="str">
        <f t="shared" si="60"/>
        <v>OK</v>
      </c>
      <c r="AU648" s="202"/>
      <c r="AV648" s="262"/>
      <c r="AW648" s="274"/>
    </row>
    <row r="649" spans="1:49" s="13" customFormat="1" ht="33.75" x14ac:dyDescent="0.2">
      <c r="A649" s="14">
        <v>625</v>
      </c>
      <c r="B649" s="14">
        <v>400014534</v>
      </c>
      <c r="C649" s="8" t="s">
        <v>5197</v>
      </c>
      <c r="D649" s="4" t="str">
        <f t="shared" si="58"/>
        <v>400014534R1</v>
      </c>
      <c r="E649" s="309" t="str">
        <f>VLOOKUP($B649,'D7 - NDB Impacted SPRF''s'!$E$6:$O$9929,2,FALSE)</f>
        <v>Modify MAMSI Fee Schedule Extract</v>
      </c>
      <c r="F649" s="8" t="s">
        <v>5752</v>
      </c>
      <c r="G649" s="8" t="s">
        <v>4758</v>
      </c>
      <c r="H649" s="8" t="s">
        <v>4246</v>
      </c>
      <c r="I649" s="20">
        <v>1.07</v>
      </c>
      <c r="J649" s="8" t="s">
        <v>4862</v>
      </c>
      <c r="K649" s="182">
        <v>39060</v>
      </c>
      <c r="L649" s="8" t="s">
        <v>5743</v>
      </c>
      <c r="M649" s="8" t="s">
        <v>2814</v>
      </c>
      <c r="N649" s="367"/>
      <c r="O649" s="8"/>
      <c r="P649" s="4" t="str">
        <f>VLOOKUP($B649,'D7 - NDB Impacted SPRF''s'!$E$16:$O$9929,9,FALSE)</f>
        <v>N</v>
      </c>
      <c r="Q649" s="4" t="str">
        <f>VLOOKUP($B649,'D7 - NDB Impacted SPRF''s'!$E$16:$O$9929,10,FALSE)</f>
        <v>N</v>
      </c>
      <c r="R649" s="4" t="str">
        <f>VLOOKUP($B649,'D7 - NDB Impacted SPRF''s'!$E$16:$O$9929,11,FALSE)</f>
        <v>N</v>
      </c>
      <c r="S649" s="8" t="s">
        <v>3758</v>
      </c>
      <c r="T649" s="310"/>
      <c r="U649" s="310"/>
      <c r="V649" s="4"/>
      <c r="W649" s="4"/>
      <c r="X649" s="4"/>
      <c r="Y649" s="4"/>
      <c r="Z649" s="4"/>
      <c r="AA649" s="4"/>
      <c r="AB649" s="380" t="str">
        <f>VLOOKUP($B649,'D7 - NDB Impacted SPRF''s'!$E$16:$O$9929,4,FALSE)</f>
        <v>Completed</v>
      </c>
      <c r="AC649" s="380" t="str">
        <f>VLOOKUP($B649,'D7 - NDB Impacted SPRF''s'!$E$16:$O$9929,3,FALSE)</f>
        <v>UnitedHealthcare Employer &amp; Individual</v>
      </c>
      <c r="AD649" s="380" t="str">
        <f>VLOOKUP($B649,'D7 - NDB Impacted SPRF''s'!$E$16:$O$9929,5,FALSE)</f>
        <v>Network Growth / Enhancements</v>
      </c>
      <c r="AE649" s="380" t="str">
        <f>VLOOKUP($B649,'D7 - NDB Impacted SPRF''s'!$E$16:$O$9929,7,FALSE)</f>
        <v>Kurt Heumann</v>
      </c>
      <c r="AF649" s="380" t="str">
        <f>VLOOKUP($B649,'D7 - NDB Impacted SPRF''s'!$E$16:$O$9929,6,FALSE)</f>
        <v>SCOTT PIETAK</v>
      </c>
      <c r="AG649" s="282"/>
      <c r="AH649" s="311" t="e">
        <f>INDEX('D5 - Gatekeeper - Projects'!$A$4:$AF$1010,$AM649, 17)</f>
        <v>#N/A</v>
      </c>
      <c r="AI649" s="8"/>
      <c r="AJ649" s="57"/>
      <c r="AK649" s="105"/>
      <c r="AM649" s="6" t="e">
        <f>MATCH(D649,'D5 - Gatekeeper - Projects'!$C$4:$C$1010,0)</f>
        <v>#N/A</v>
      </c>
      <c r="AN649" s="6" t="b">
        <f t="shared" si="56"/>
        <v>1</v>
      </c>
      <c r="AO649" s="6" t="str">
        <f t="shared" si="59"/>
        <v>OK</v>
      </c>
      <c r="AQ649" s="6" t="e">
        <f>MATCH($D649,'D4 - Provider Council Unsched'!$C$11:$C$234,0)</f>
        <v>#N/A</v>
      </c>
      <c r="AR649" s="6" t="b">
        <f t="shared" si="57"/>
        <v>1</v>
      </c>
      <c r="AS649" s="6" t="str">
        <f t="shared" si="60"/>
        <v>OK</v>
      </c>
      <c r="AU649" s="202"/>
      <c r="AV649" s="262"/>
      <c r="AW649" s="274"/>
    </row>
    <row r="650" spans="1:49" s="13" customFormat="1" ht="33.75" x14ac:dyDescent="0.2">
      <c r="A650" s="14">
        <v>626</v>
      </c>
      <c r="B650" s="14">
        <v>400014852</v>
      </c>
      <c r="C650" s="8" t="s">
        <v>5197</v>
      </c>
      <c r="D650" s="4" t="str">
        <f t="shared" si="58"/>
        <v>400014852R1</v>
      </c>
      <c r="E650" s="309" t="str">
        <f>VLOOKUP($B650,'D7 - NDB Impacted SPRF''s'!$E$6:$O$9929,2,FALSE)</f>
        <v>PHS Illiad UB Automation/Repricing Regression Test</v>
      </c>
      <c r="F650" s="8" t="s">
        <v>6071</v>
      </c>
      <c r="G650" s="8" t="s">
        <v>4758</v>
      </c>
      <c r="H650" s="8" t="s">
        <v>4246</v>
      </c>
      <c r="I650" s="20">
        <v>1.07</v>
      </c>
      <c r="J650" s="8" t="s">
        <v>4862</v>
      </c>
      <c r="K650" s="182">
        <v>39060</v>
      </c>
      <c r="L650" s="8" t="s">
        <v>5743</v>
      </c>
      <c r="M650" s="8" t="s">
        <v>2814</v>
      </c>
      <c r="N650" s="38"/>
      <c r="O650" s="8"/>
      <c r="P650" s="4" t="str">
        <f>VLOOKUP($B650,'D7 - NDB Impacted SPRF''s'!$E$16:$O$9929,9,FALSE)</f>
        <v>N</v>
      </c>
      <c r="Q650" s="4" t="str">
        <f>VLOOKUP($B650,'D7 - NDB Impacted SPRF''s'!$E$16:$O$9929,10,FALSE)</f>
        <v>N</v>
      </c>
      <c r="R650" s="4" t="str">
        <f>VLOOKUP($B650,'D7 - NDB Impacted SPRF''s'!$E$16:$O$9929,11,FALSE)</f>
        <v>N</v>
      </c>
      <c r="S650" s="8"/>
      <c r="T650" s="310"/>
      <c r="U650" s="310"/>
      <c r="V650" s="4"/>
      <c r="W650" s="4"/>
      <c r="X650" s="4"/>
      <c r="Y650" s="4"/>
      <c r="Z650" s="4"/>
      <c r="AA650" s="4"/>
      <c r="AB650" s="380" t="str">
        <f>VLOOKUP($B650,'D7 - NDB Impacted SPRF''s'!$E$16:$O$9929,4,FALSE)</f>
        <v>Completed</v>
      </c>
      <c r="AC650" s="380" t="str">
        <f>VLOOKUP($B650,'D7 - NDB Impacted SPRF''s'!$E$16:$O$9929,3,FALSE)</f>
        <v>UnitedHealthcare Employer &amp; Individual</v>
      </c>
      <c r="AD650" s="380" t="str">
        <f>VLOOKUP($B650,'D7 - NDB Impacted SPRF''s'!$E$16:$O$9929,5,FALSE)</f>
        <v>Integration Requirements</v>
      </c>
      <c r="AE650" s="380" t="str">
        <f>VLOOKUP($B650,'D7 - NDB Impacted SPRF''s'!$E$16:$O$9929,7,FALSE)</f>
        <v>Peter Bompane</v>
      </c>
      <c r="AF650" s="380" t="str">
        <f>VLOOKUP($B650,'D7 - NDB Impacted SPRF''s'!$E$16:$O$9929,6,FALSE)</f>
        <v>STACIE THOMAS</v>
      </c>
      <c r="AG650" s="282"/>
      <c r="AH650" s="311" t="e">
        <f>INDEX('D5 - Gatekeeper - Projects'!$A$4:$AF$1010,$AM650, 17)</f>
        <v>#N/A</v>
      </c>
      <c r="AI650" s="8"/>
      <c r="AJ650" s="57"/>
      <c r="AK650" s="105"/>
      <c r="AM650" s="6" t="e">
        <f>MATCH(D650,'D5 - Gatekeeper - Projects'!$C$4:$C$1010,0)</f>
        <v>#N/A</v>
      </c>
      <c r="AN650" s="6" t="b">
        <f t="shared" si="56"/>
        <v>1</v>
      </c>
      <c r="AO650" s="6" t="str">
        <f t="shared" si="59"/>
        <v>OK</v>
      </c>
      <c r="AQ650" s="6" t="e">
        <f>MATCH($D650,'D4 - Provider Council Unsched'!$C$11:$C$234,0)</f>
        <v>#N/A</v>
      </c>
      <c r="AR650" s="6" t="b">
        <f t="shared" si="57"/>
        <v>1</v>
      </c>
      <c r="AS650" s="6" t="str">
        <f t="shared" si="60"/>
        <v>OK</v>
      </c>
      <c r="AU650" s="202"/>
      <c r="AV650" s="262"/>
      <c r="AW650" s="274"/>
    </row>
    <row r="651" spans="1:49" s="13" customFormat="1" ht="33.75" x14ac:dyDescent="0.2">
      <c r="A651" s="14">
        <v>627</v>
      </c>
      <c r="B651" s="14">
        <v>400014896</v>
      </c>
      <c r="C651" s="8" t="s">
        <v>5197</v>
      </c>
      <c r="D651" s="4" t="str">
        <f t="shared" si="58"/>
        <v>400014896R1</v>
      </c>
      <c r="E651" s="309" t="str">
        <f>VLOOKUP($B651,'D7 - NDB Impacted SPRF''s'!$E$6:$O$9929,2,FALSE)</f>
        <v>AmeriChoice-Expand EPDE for Add'l States</v>
      </c>
      <c r="F651" s="8" t="s">
        <v>4069</v>
      </c>
      <c r="G651" s="8" t="s">
        <v>4758</v>
      </c>
      <c r="H651" s="8" t="s">
        <v>4246</v>
      </c>
      <c r="I651" s="20">
        <v>1</v>
      </c>
      <c r="J651" s="8" t="s">
        <v>4862</v>
      </c>
      <c r="K651" s="182">
        <v>39060</v>
      </c>
      <c r="L651" s="8" t="s">
        <v>5743</v>
      </c>
      <c r="M651" s="8" t="s">
        <v>2814</v>
      </c>
      <c r="N651" s="38"/>
      <c r="O651" s="8"/>
      <c r="P651" s="4" t="str">
        <f>VLOOKUP($B651,'D7 - NDB Impacted SPRF''s'!$E$16:$O$9929,9,FALSE)</f>
        <v>N</v>
      </c>
      <c r="Q651" s="4" t="str">
        <f>VLOOKUP($B651,'D7 - NDB Impacted SPRF''s'!$E$16:$O$9929,10,FALSE)</f>
        <v>N</v>
      </c>
      <c r="R651" s="4" t="str">
        <f>VLOOKUP($B651,'D7 - NDB Impacted SPRF''s'!$E$16:$O$9929,11,FALSE)</f>
        <v>N</v>
      </c>
      <c r="S651" s="8"/>
      <c r="T651" s="310"/>
      <c r="U651" s="310"/>
      <c r="V651" s="4"/>
      <c r="W651" s="4"/>
      <c r="X651" s="4"/>
      <c r="Y651" s="4"/>
      <c r="Z651" s="4"/>
      <c r="AA651" s="4"/>
      <c r="AB651" s="380" t="str">
        <f>VLOOKUP($B651,'D7 - NDB Impacted SPRF''s'!$E$16:$O$9929,4,FALSE)</f>
        <v>Completed</v>
      </c>
      <c r="AC651" s="380" t="str">
        <f>VLOOKUP($B651,'D7 - NDB Impacted SPRF''s'!$E$16:$O$9929,3,FALSE)</f>
        <v>UnitedHealthcare Community &amp; State</v>
      </c>
      <c r="AD651" s="380" t="str">
        <f>VLOOKUP($B651,'D7 - NDB Impacted SPRF''s'!$E$16:$O$9929,5,FALSE)</f>
        <v>AmeriChoice</v>
      </c>
      <c r="AE651" s="380" t="str">
        <f>VLOOKUP($B651,'D7 - NDB Impacted SPRF''s'!$E$16:$O$9929,7,FALSE)</f>
        <v>Tim Kaja</v>
      </c>
      <c r="AF651" s="380" t="str">
        <f>VLOOKUP($B651,'D7 - NDB Impacted SPRF''s'!$E$16:$O$9929,6,FALSE)</f>
        <v>MARCIA MONACO</v>
      </c>
      <c r="AG651" s="282"/>
      <c r="AH651" s="311" t="e">
        <f>INDEX('D5 - Gatekeeper - Projects'!$A$4:$AF$1010,$AM651, 17)</f>
        <v>#N/A</v>
      </c>
      <c r="AI651" s="8"/>
      <c r="AJ651" s="57"/>
      <c r="AK651" s="105"/>
      <c r="AM651" s="6" t="e">
        <f>MATCH(D651,'D5 - Gatekeeper - Projects'!$C$4:$C$1010,0)</f>
        <v>#N/A</v>
      </c>
      <c r="AN651" s="6" t="b">
        <f t="shared" si="56"/>
        <v>1</v>
      </c>
      <c r="AO651" s="6" t="str">
        <f t="shared" si="59"/>
        <v>OK</v>
      </c>
      <c r="AQ651" s="6" t="e">
        <f>MATCH($D651,'D4 - Provider Council Unsched'!$C$11:$C$234,0)</f>
        <v>#N/A</v>
      </c>
      <c r="AR651" s="6" t="b">
        <f t="shared" si="57"/>
        <v>1</v>
      </c>
      <c r="AS651" s="6" t="str">
        <f t="shared" si="60"/>
        <v>OK</v>
      </c>
      <c r="AU651" s="202"/>
      <c r="AV651" s="262"/>
      <c r="AW651" s="274"/>
    </row>
    <row r="652" spans="1:49" s="13" customFormat="1" ht="33.75" x14ac:dyDescent="0.2">
      <c r="A652" s="14">
        <v>628</v>
      </c>
      <c r="B652" s="14">
        <v>400015085</v>
      </c>
      <c r="C652" s="8" t="s">
        <v>5197</v>
      </c>
      <c r="D652" s="4" t="str">
        <f t="shared" si="58"/>
        <v>400015085R1</v>
      </c>
      <c r="E652" s="309" t="str">
        <f>VLOOKUP($B652,'D7 - NDB Impacted SPRF''s'!$E$6:$O$9929,2,FALSE)</f>
        <v>NHP Standard EPDE</v>
      </c>
      <c r="F652" s="8" t="s">
        <v>3248</v>
      </c>
      <c r="G652" s="8" t="s">
        <v>4758</v>
      </c>
      <c r="H652" s="8" t="s">
        <v>4246</v>
      </c>
      <c r="I652" s="20">
        <v>1</v>
      </c>
      <c r="J652" s="8" t="s">
        <v>4862</v>
      </c>
      <c r="K652" s="182">
        <v>39060</v>
      </c>
      <c r="L652" s="8" t="s">
        <v>5743</v>
      </c>
      <c r="M652" s="8" t="s">
        <v>2814</v>
      </c>
      <c r="N652" s="38"/>
      <c r="O652" s="8"/>
      <c r="P652" s="4" t="str">
        <f>VLOOKUP($B652,'D7 - NDB Impacted SPRF''s'!$E$16:$O$9929,9,FALSE)</f>
        <v>N</v>
      </c>
      <c r="Q652" s="4" t="str">
        <f>VLOOKUP($B652,'D7 - NDB Impacted SPRF''s'!$E$16:$O$9929,10,FALSE)</f>
        <v>N</v>
      </c>
      <c r="R652" s="4" t="str">
        <f>VLOOKUP($B652,'D7 - NDB Impacted SPRF''s'!$E$16:$O$9929,11,FALSE)</f>
        <v>N</v>
      </c>
      <c r="S652" s="8"/>
      <c r="T652" s="310"/>
      <c r="U652" s="310"/>
      <c r="V652" s="4"/>
      <c r="W652" s="4"/>
      <c r="X652" s="4"/>
      <c r="Y652" s="4"/>
      <c r="Z652" s="4"/>
      <c r="AA652" s="4"/>
      <c r="AB652" s="380" t="str">
        <f>VLOOKUP($B652,'D7 - NDB Impacted SPRF''s'!$E$16:$O$9929,4,FALSE)</f>
        <v>Completed</v>
      </c>
      <c r="AC652" s="380" t="str">
        <f>VLOOKUP($B652,'D7 - NDB Impacted SPRF''s'!$E$16:$O$9929,3,FALSE)</f>
        <v>UnitedHealthcare Employer &amp; Individual</v>
      </c>
      <c r="AD652" s="380" t="str">
        <f>VLOOKUP($B652,'D7 - NDB Impacted SPRF''s'!$E$16:$O$9929,5,FALSE)</f>
        <v>Integration Requirements</v>
      </c>
      <c r="AE652" s="380" t="str">
        <f>VLOOKUP($B652,'D7 - NDB Impacted SPRF''s'!$E$16:$O$9929,7,FALSE)</f>
        <v>tim kaja</v>
      </c>
      <c r="AF652" s="380" t="str">
        <f>VLOOKUP($B652,'D7 - NDB Impacted SPRF''s'!$E$16:$O$9929,6,FALSE)</f>
        <v>MARCIA MONACO</v>
      </c>
      <c r="AG652" s="282"/>
      <c r="AH652" s="311" t="e">
        <f>INDEX('D5 - Gatekeeper - Projects'!$A$4:$AF$1010,$AM652, 17)</f>
        <v>#N/A</v>
      </c>
      <c r="AI652" s="8"/>
      <c r="AJ652" s="57"/>
      <c r="AK652" s="105"/>
      <c r="AM652" s="6" t="e">
        <f>MATCH(D652,'D5 - Gatekeeper - Projects'!$C$4:$C$1010,0)</f>
        <v>#N/A</v>
      </c>
      <c r="AN652" s="6" t="b">
        <f t="shared" si="56"/>
        <v>1</v>
      </c>
      <c r="AO652" s="6" t="str">
        <f t="shared" si="59"/>
        <v>OK</v>
      </c>
      <c r="AQ652" s="6" t="e">
        <f>MATCH($D652,'D4 - Provider Council Unsched'!$C$11:$C$234,0)</f>
        <v>#N/A</v>
      </c>
      <c r="AR652" s="6" t="b">
        <f t="shared" si="57"/>
        <v>1</v>
      </c>
      <c r="AS652" s="6" t="str">
        <f t="shared" si="60"/>
        <v>OK</v>
      </c>
      <c r="AU652" s="202"/>
      <c r="AV652" s="262"/>
      <c r="AW652" s="274"/>
    </row>
    <row r="653" spans="1:49" s="13" customFormat="1" ht="22.5" x14ac:dyDescent="0.2">
      <c r="A653" s="14">
        <v>629</v>
      </c>
      <c r="B653" s="14">
        <v>400016098</v>
      </c>
      <c r="C653" s="8" t="s">
        <v>5197</v>
      </c>
      <c r="D653" s="4" t="str">
        <f t="shared" si="58"/>
        <v>400016098R1</v>
      </c>
      <c r="E653" s="309" t="str">
        <f>VLOOKUP($B653,'D7 - NDB Impacted SPRF''s'!$E$6:$O$9929,2,FALSE)</f>
        <v>IDT UNP02 Testing for UHPD program-NDB</v>
      </c>
      <c r="F653" s="8" t="s">
        <v>5443</v>
      </c>
      <c r="G653" s="8" t="s">
        <v>4758</v>
      </c>
      <c r="H653" s="8" t="s">
        <v>4246</v>
      </c>
      <c r="I653" s="20">
        <v>0.27</v>
      </c>
      <c r="J653" s="8" t="s">
        <v>4862</v>
      </c>
      <c r="K653" s="182">
        <v>39060</v>
      </c>
      <c r="L653" s="8" t="s">
        <v>5743</v>
      </c>
      <c r="M653" s="8" t="s">
        <v>2814</v>
      </c>
      <c r="N653" s="38"/>
      <c r="O653" s="8"/>
      <c r="P653" s="4" t="str">
        <f>VLOOKUP($B653,'D7 - NDB Impacted SPRF''s'!$E$16:$O$9929,9,FALSE)</f>
        <v>N</v>
      </c>
      <c r="Q653" s="4" t="str">
        <f>VLOOKUP($B653,'D7 - NDB Impacted SPRF''s'!$E$16:$O$9929,10,FALSE)</f>
        <v>N</v>
      </c>
      <c r="R653" s="4" t="str">
        <f>VLOOKUP($B653,'D7 - NDB Impacted SPRF''s'!$E$16:$O$9929,11,FALSE)</f>
        <v>N</v>
      </c>
      <c r="S653" s="8"/>
      <c r="T653" s="310"/>
      <c r="U653" s="310"/>
      <c r="V653" s="4"/>
      <c r="W653" s="4"/>
      <c r="X653" s="4"/>
      <c r="Y653" s="4"/>
      <c r="Z653" s="4"/>
      <c r="AA653" s="4"/>
      <c r="AB653" s="380" t="str">
        <f>VLOOKUP($B653,'D7 - NDB Impacted SPRF''s'!$E$16:$O$9929,4,FALSE)</f>
        <v>Completed</v>
      </c>
      <c r="AC653" s="380" t="str">
        <f>VLOOKUP($B653,'D7 - NDB Impacted SPRF''s'!$E$16:$O$9929,3,FALSE)</f>
        <v>Uniprise</v>
      </c>
      <c r="AD653" s="380" t="str">
        <f>VLOOKUP($B653,'D7 - NDB Impacted SPRF''s'!$E$16:$O$9929,5,FALSE)</f>
        <v>Uniprise Operations - Capital Projects</v>
      </c>
      <c r="AE653" s="380" t="str">
        <f>VLOOKUP($B653,'D7 - NDB Impacted SPRF''s'!$E$16:$O$9929,7,FALSE)</f>
        <v>Sue Edberg</v>
      </c>
      <c r="AF653" s="380" t="str">
        <f>VLOOKUP($B653,'D7 - NDB Impacted SPRF''s'!$E$16:$O$9929,6,FALSE)</f>
        <v>CURTIS ROSENTHAL</v>
      </c>
      <c r="AG653" s="282"/>
      <c r="AH653" s="311" t="e">
        <f>INDEX('D5 - Gatekeeper - Projects'!$A$4:$AF$1010,$AM653, 17)</f>
        <v>#N/A</v>
      </c>
      <c r="AI653" s="8"/>
      <c r="AJ653" s="57"/>
      <c r="AK653" s="105"/>
      <c r="AM653" s="6" t="e">
        <f>MATCH(D653,'D5 - Gatekeeper - Projects'!$C$4:$C$1010,0)</f>
        <v>#N/A</v>
      </c>
      <c r="AN653" s="6" t="b">
        <f t="shared" si="56"/>
        <v>1</v>
      </c>
      <c r="AO653" s="6" t="str">
        <f t="shared" si="59"/>
        <v>OK</v>
      </c>
      <c r="AQ653" s="6" t="e">
        <f>MATCH($D653,'D4 - Provider Council Unsched'!$C$11:$C$234,0)</f>
        <v>#N/A</v>
      </c>
      <c r="AR653" s="6" t="b">
        <f t="shared" si="57"/>
        <v>1</v>
      </c>
      <c r="AS653" s="6" t="str">
        <f t="shared" si="60"/>
        <v>OK</v>
      </c>
      <c r="AU653" s="202"/>
      <c r="AV653" s="262"/>
      <c r="AW653" s="274"/>
    </row>
    <row r="654" spans="1:49" s="13" customFormat="1" ht="56.25" x14ac:dyDescent="0.2">
      <c r="A654" s="14">
        <v>630</v>
      </c>
      <c r="B654" s="14">
        <v>400009842</v>
      </c>
      <c r="C654" s="8" t="s">
        <v>5197</v>
      </c>
      <c r="D654" s="4" t="str">
        <f t="shared" si="58"/>
        <v>400009842R1</v>
      </c>
      <c r="E654" s="309" t="str">
        <f>VLOOKUP($B654,'D7 - NDB Impacted SPRF''s'!$E$6:$O$9929,2,FALSE)</f>
        <v>Sarbanes-Oxley - 2006 Compliance</v>
      </c>
      <c r="F654" s="8" t="s">
        <v>5589</v>
      </c>
      <c r="G654" s="8" t="s">
        <v>4758</v>
      </c>
      <c r="H654" s="8" t="s">
        <v>4246</v>
      </c>
      <c r="I654" s="20">
        <v>4.5599999999999996</v>
      </c>
      <c r="J654" s="8" t="s">
        <v>4862</v>
      </c>
      <c r="K654" s="182">
        <v>39082</v>
      </c>
      <c r="L654" s="8" t="s">
        <v>6919</v>
      </c>
      <c r="M654" s="8" t="s">
        <v>2814</v>
      </c>
      <c r="N654" s="367" t="s">
        <v>3410</v>
      </c>
      <c r="O654" s="8"/>
      <c r="P654" s="4" t="str">
        <f>VLOOKUP($B654,'D7 - NDB Impacted SPRF''s'!$E$16:$O$9929,9,FALSE)</f>
        <v>Y</v>
      </c>
      <c r="Q654" s="4" t="str">
        <f>VLOOKUP($B654,'D7 - NDB Impacted SPRF''s'!$E$16:$O$9929,10,FALSE)</f>
        <v>N</v>
      </c>
      <c r="R654" s="4" t="str">
        <f>VLOOKUP($B654,'D7 - NDB Impacted SPRF''s'!$E$16:$O$9929,11,FALSE)</f>
        <v>N</v>
      </c>
      <c r="S654" s="8"/>
      <c r="T654" s="310"/>
      <c r="U654" s="310"/>
      <c r="V654" s="4"/>
      <c r="W654" s="4"/>
      <c r="X654" s="4"/>
      <c r="Y654" s="4"/>
      <c r="Z654" s="4"/>
      <c r="AA654" s="4"/>
      <c r="AB654" s="380" t="str">
        <f>VLOOKUP($B654,'D7 - NDB Impacted SPRF''s'!$E$16:$O$9929,4,FALSE)</f>
        <v>Completed</v>
      </c>
      <c r="AC654" s="380" t="str">
        <f>VLOOKUP($B654,'D7 - NDB Impacted SPRF''s'!$E$16:$O$9929,3,FALSE)</f>
        <v>Uniprise</v>
      </c>
      <c r="AD654" s="380" t="str">
        <f>VLOOKUP($B654,'D7 - NDB Impacted SPRF''s'!$E$16:$O$9929,5,FALSE)</f>
        <v>Uniprise Technologies - Capital Projects</v>
      </c>
      <c r="AE654" s="380" t="str">
        <f>VLOOKUP($B654,'D7 - NDB Impacted SPRF''s'!$E$16:$O$9929,7,FALSE)</f>
        <v>Anne DeFusco</v>
      </c>
      <c r="AF654" s="380" t="str">
        <f>VLOOKUP($B654,'D7 - NDB Impacted SPRF''s'!$E$16:$O$9929,6,FALSE)</f>
        <v>GLEN KVADUS</v>
      </c>
      <c r="AG654" s="282"/>
      <c r="AH654" s="311" t="e">
        <f>INDEX('D5 - Gatekeeper - Projects'!$A$4:$AF$1010,$AM654, 17)</f>
        <v>#N/A</v>
      </c>
      <c r="AI654" s="8"/>
      <c r="AJ654" s="57"/>
      <c r="AK654" s="105"/>
      <c r="AM654" s="6" t="e">
        <f>MATCH(D654,'D5 - Gatekeeper - Projects'!$C$4:$C$1010,0)</f>
        <v>#N/A</v>
      </c>
      <c r="AN654" s="6" t="b">
        <f t="shared" si="56"/>
        <v>1</v>
      </c>
      <c r="AO654" s="6" t="str">
        <f t="shared" si="59"/>
        <v>OK</v>
      </c>
      <c r="AQ654" s="6" t="e">
        <f>MATCH($D654,'D4 - Provider Council Unsched'!$C$11:$C$234,0)</f>
        <v>#N/A</v>
      </c>
      <c r="AR654" s="6" t="b">
        <f t="shared" si="57"/>
        <v>1</v>
      </c>
      <c r="AS654" s="6" t="str">
        <f t="shared" si="60"/>
        <v>OK</v>
      </c>
      <c r="AU654" s="202"/>
      <c r="AV654" s="262"/>
      <c r="AW654" s="274"/>
    </row>
    <row r="655" spans="1:49" s="13" customFormat="1" ht="45" x14ac:dyDescent="0.2">
      <c r="A655" s="14">
        <v>631</v>
      </c>
      <c r="B655" s="14">
        <v>400012826</v>
      </c>
      <c r="C655" s="8" t="s">
        <v>5197</v>
      </c>
      <c r="D655" s="4" t="str">
        <f t="shared" si="58"/>
        <v>400012826R1</v>
      </c>
      <c r="E655" s="309" t="str">
        <f>VLOOKUP($B655,'D7 - NDB Impacted SPRF''s'!$E$6:$O$9929,2,FALSE)</f>
        <v>HPHC1-WO - Provider Network Extract for HPHC</v>
      </c>
      <c r="F655" s="8" t="s">
        <v>5196</v>
      </c>
      <c r="G655" s="8" t="s">
        <v>4758</v>
      </c>
      <c r="H655" s="8" t="s">
        <v>4246</v>
      </c>
      <c r="I655" s="20">
        <v>0.53</v>
      </c>
      <c r="J655" s="8" t="s">
        <v>4862</v>
      </c>
      <c r="K655" s="182">
        <v>39109</v>
      </c>
      <c r="L655" s="8" t="s">
        <v>4156</v>
      </c>
      <c r="M655" s="8" t="s">
        <v>6007</v>
      </c>
      <c r="N655" s="367" t="s">
        <v>5892</v>
      </c>
      <c r="O655" s="8"/>
      <c r="P655" s="4" t="str">
        <f>VLOOKUP($B655,'D7 - NDB Impacted SPRF''s'!$E$16:$O$9929,9,FALSE)</f>
        <v>N</v>
      </c>
      <c r="Q655" s="4" t="str">
        <f>VLOOKUP($B655,'D7 - NDB Impacted SPRF''s'!$E$16:$O$9929,10,FALSE)</f>
        <v>N</v>
      </c>
      <c r="R655" s="4" t="str">
        <f>VLOOKUP($B655,'D7 - NDB Impacted SPRF''s'!$E$16:$O$9929,11,FALSE)</f>
        <v>N</v>
      </c>
      <c r="S655" s="8" t="s">
        <v>3758</v>
      </c>
      <c r="T655" s="310"/>
      <c r="U655" s="310"/>
      <c r="V655" s="4"/>
      <c r="W655" s="4"/>
      <c r="X655" s="4"/>
      <c r="Y655" s="4"/>
      <c r="Z655" s="4"/>
      <c r="AA655" s="4"/>
      <c r="AB655" s="380" t="str">
        <f>VLOOKUP($B655,'D7 - NDB Impacted SPRF''s'!$E$16:$O$9929,4,FALSE)</f>
        <v>Completed</v>
      </c>
      <c r="AC655" s="380" t="str">
        <f>VLOOKUP($B655,'D7 - NDB Impacted SPRF''s'!$E$16:$O$9929,3,FALSE)</f>
        <v>Alliance</v>
      </c>
      <c r="AD655" s="380" t="str">
        <f>VLOOKUP($B655,'D7 - NDB Impacted SPRF''s'!$E$16:$O$9929,5,FALSE)</f>
        <v>Harvard Pilgrim Service Alliance</v>
      </c>
      <c r="AE655" s="380" t="str">
        <f>VLOOKUP($B655,'D7 - NDB Impacted SPRF''s'!$E$16:$O$9929,7,FALSE)</f>
        <v>Kathy Freiheit</v>
      </c>
      <c r="AF655" s="380" t="str">
        <f>VLOOKUP($B655,'D7 - NDB Impacted SPRF''s'!$E$16:$O$9929,6,FALSE)</f>
        <v>Susan Neal</v>
      </c>
      <c r="AG655" s="282" t="s">
        <v>6682</v>
      </c>
      <c r="AH655" s="311" t="e">
        <f>INDEX('D5 - Gatekeeper - Projects'!$A$4:$AF$1010,$AM655, 17)</f>
        <v>#N/A</v>
      </c>
      <c r="AI655" s="8"/>
      <c r="AJ655" s="57"/>
      <c r="AK655" s="105"/>
      <c r="AM655" s="6" t="e">
        <f>MATCH(D655,'D5 - Gatekeeper - Projects'!$C$4:$C$1010,0)</f>
        <v>#N/A</v>
      </c>
      <c r="AN655" s="6" t="b">
        <f t="shared" si="56"/>
        <v>1</v>
      </c>
      <c r="AO655" s="6" t="str">
        <f t="shared" si="59"/>
        <v>OK</v>
      </c>
      <c r="AQ655" s="6" t="e">
        <f>MATCH($D655,'D4 - Provider Council Unsched'!$C$11:$C$234,0)</f>
        <v>#N/A</v>
      </c>
      <c r="AR655" s="6" t="b">
        <f t="shared" si="57"/>
        <v>1</v>
      </c>
      <c r="AS655" s="6" t="str">
        <f t="shared" si="60"/>
        <v>OK</v>
      </c>
      <c r="AU655" s="202"/>
      <c r="AV655" s="262"/>
      <c r="AW655" s="274"/>
    </row>
    <row r="656" spans="1:49" s="13" customFormat="1" ht="33.75" x14ac:dyDescent="0.2">
      <c r="A656" s="14">
        <v>632</v>
      </c>
      <c r="B656" s="14">
        <v>400007403</v>
      </c>
      <c r="C656" s="8" t="s">
        <v>5197</v>
      </c>
      <c r="D656" s="4" t="str">
        <f t="shared" si="58"/>
        <v>400007403R1</v>
      </c>
      <c r="E656" s="309" t="str">
        <f>VLOOKUP($B656,'D7 - NDB Impacted SPRF''s'!$E$6:$O$9929,2,FALSE)</f>
        <v>Decommission PHP Michigan Health Plans</v>
      </c>
      <c r="F656" s="8" t="s">
        <v>2114</v>
      </c>
      <c r="G656" s="8" t="s">
        <v>4758</v>
      </c>
      <c r="H656" s="8" t="s">
        <v>4246</v>
      </c>
      <c r="I656" s="20">
        <v>4</v>
      </c>
      <c r="J656" s="8" t="s">
        <v>4862</v>
      </c>
      <c r="K656" s="182">
        <v>39116</v>
      </c>
      <c r="L656" s="8" t="s">
        <v>5743</v>
      </c>
      <c r="M656" s="8" t="s">
        <v>2814</v>
      </c>
      <c r="N656" s="367" t="s">
        <v>4422</v>
      </c>
      <c r="O656" s="8"/>
      <c r="P656" s="4" t="str">
        <f>VLOOKUP($B656,'D7 - NDB Impacted SPRF''s'!$E$16:$O$9929,9,FALSE)</f>
        <v>N</v>
      </c>
      <c r="Q656" s="4" t="str">
        <f>VLOOKUP($B656,'D7 - NDB Impacted SPRF''s'!$E$16:$O$9929,10,FALSE)</f>
        <v>N</v>
      </c>
      <c r="R656" s="4" t="str">
        <f>VLOOKUP($B656,'D7 - NDB Impacted SPRF''s'!$E$16:$O$9929,11,FALSE)</f>
        <v>N</v>
      </c>
      <c r="S656" s="8" t="s">
        <v>3758</v>
      </c>
      <c r="T656" s="310"/>
      <c r="U656" s="310"/>
      <c r="V656" s="4"/>
      <c r="W656" s="4"/>
      <c r="X656" s="4"/>
      <c r="Y656" s="4"/>
      <c r="Z656" s="4"/>
      <c r="AA656" s="4"/>
      <c r="AB656" s="380" t="str">
        <f>VLOOKUP($B656,'D7 - NDB Impacted SPRF''s'!$E$16:$O$9929,4,FALSE)</f>
        <v>Completed</v>
      </c>
      <c r="AC656" s="380" t="str">
        <f>VLOOKUP($B656,'D7 - NDB Impacted SPRF''s'!$E$16:$O$9929,3,FALSE)</f>
        <v>Uniprise</v>
      </c>
      <c r="AD656" s="380" t="str">
        <f>VLOOKUP($B656,'D7 - NDB Impacted SPRF''s'!$E$16:$O$9929,5,FALSE)</f>
        <v>UOS - DDC</v>
      </c>
      <c r="AE656" s="380" t="str">
        <f>VLOOKUP($B656,'D7 - NDB Impacted SPRF''s'!$E$16:$O$9929,7,FALSE)</f>
        <v>Joanne Houck</v>
      </c>
      <c r="AF656" s="380" t="str">
        <f>VLOOKUP($B656,'D7 - NDB Impacted SPRF''s'!$E$16:$O$9929,6,FALSE)</f>
        <v>RONALD RODER</v>
      </c>
      <c r="AG656" s="282" t="s">
        <v>7755</v>
      </c>
      <c r="AH656" s="311" t="e">
        <f>INDEX('D5 - Gatekeeper - Projects'!$A$4:$AF$1010,$AM656, 17)</f>
        <v>#N/A</v>
      </c>
      <c r="AI656" s="8"/>
      <c r="AJ656" s="57"/>
      <c r="AK656" s="105"/>
      <c r="AM656" s="6" t="e">
        <f>MATCH(D656,'D5 - Gatekeeper - Projects'!$C$4:$C$1010,0)</f>
        <v>#N/A</v>
      </c>
      <c r="AN656" s="6" t="b">
        <f t="shared" si="56"/>
        <v>1</v>
      </c>
      <c r="AO656" s="6" t="str">
        <f t="shared" si="59"/>
        <v>OK</v>
      </c>
      <c r="AQ656" s="6" t="e">
        <f>MATCH($D656,'D4 - Provider Council Unsched'!$C$11:$C$234,0)</f>
        <v>#N/A</v>
      </c>
      <c r="AR656" s="6" t="b">
        <f t="shared" si="57"/>
        <v>1</v>
      </c>
      <c r="AS656" s="6" t="str">
        <f t="shared" si="60"/>
        <v>OK</v>
      </c>
      <c r="AU656" s="202"/>
      <c r="AV656" s="262"/>
      <c r="AW656" s="274"/>
    </row>
    <row r="657" spans="1:49" s="13" customFormat="1" ht="22.5" x14ac:dyDescent="0.2">
      <c r="A657" s="14">
        <v>633</v>
      </c>
      <c r="B657" s="14">
        <v>400008017</v>
      </c>
      <c r="C657" s="8" t="s">
        <v>4926</v>
      </c>
      <c r="D657" s="4" t="str">
        <f t="shared" si="58"/>
        <v>400008017R4</v>
      </c>
      <c r="E657" s="309" t="str">
        <f>VLOOKUP($B657,'D7 - NDB Impacted SPRF''s'!$E$6:$O$9929,2,FALSE)</f>
        <v>CORP1-Infrastructure-Production Pilot Testing</v>
      </c>
      <c r="F657" s="8" t="s">
        <v>5196</v>
      </c>
      <c r="G657" s="8" t="s">
        <v>4758</v>
      </c>
      <c r="H657" s="8" t="s">
        <v>4246</v>
      </c>
      <c r="I657" s="20">
        <v>10</v>
      </c>
      <c r="J657" s="8" t="s">
        <v>4862</v>
      </c>
      <c r="K657" s="182">
        <v>39116</v>
      </c>
      <c r="L657" s="8" t="s">
        <v>5743</v>
      </c>
      <c r="M657" s="8" t="s">
        <v>5626</v>
      </c>
      <c r="N657" s="38"/>
      <c r="O657" s="8"/>
      <c r="P657" s="4" t="str">
        <f>VLOOKUP($B657,'D7 - NDB Impacted SPRF''s'!$E$16:$O$9929,9,FALSE)</f>
        <v>Y</v>
      </c>
      <c r="Q657" s="4" t="str">
        <f>VLOOKUP($B657,'D7 - NDB Impacted SPRF''s'!$E$16:$O$9929,10,FALSE)</f>
        <v>N</v>
      </c>
      <c r="R657" s="4" t="str">
        <f>VLOOKUP($B657,'D7 - NDB Impacted SPRF''s'!$E$16:$O$9929,11,FALSE)</f>
        <v>N</v>
      </c>
      <c r="S657" s="8"/>
      <c r="T657" s="310"/>
      <c r="U657" s="310"/>
      <c r="V657" s="4"/>
      <c r="W657" s="4"/>
      <c r="X657" s="4"/>
      <c r="Y657" s="4"/>
      <c r="Z657" s="4"/>
      <c r="AA657" s="4"/>
      <c r="AB657" s="380" t="str">
        <f>VLOOKUP($B657,'D7 - NDB Impacted SPRF''s'!$E$16:$O$9929,4,FALSE)</f>
        <v>Completed</v>
      </c>
      <c r="AC657" s="380" t="str">
        <f>VLOOKUP($B657,'D7 - NDB Impacted SPRF''s'!$E$16:$O$9929,3,FALSE)</f>
        <v>Alliance</v>
      </c>
      <c r="AD657" s="380" t="str">
        <f>VLOOKUP($B657,'D7 - NDB Impacted SPRF''s'!$E$16:$O$9929,5,FALSE)</f>
        <v>Healthcare Service Alliance</v>
      </c>
      <c r="AE657" s="380" t="str">
        <f>VLOOKUP($B657,'D7 - NDB Impacted SPRF''s'!$E$16:$O$9929,7,FALSE)</f>
        <v>Bev Nyce</v>
      </c>
      <c r="AF657" s="380" t="str">
        <f>VLOOKUP($B657,'D7 - NDB Impacted SPRF''s'!$E$16:$O$9929,6,FALSE)</f>
        <v>ALBERT PETRUNTI</v>
      </c>
      <c r="AG657" s="282"/>
      <c r="AH657" s="311" t="e">
        <f>INDEX('D5 - Gatekeeper - Projects'!$A$4:$AF$1010,$AM657, 17)</f>
        <v>#N/A</v>
      </c>
      <c r="AI657" s="8"/>
      <c r="AJ657" s="57"/>
      <c r="AK657" s="105"/>
      <c r="AM657" s="6" t="e">
        <f>MATCH(D657,'D5 - Gatekeeper - Projects'!$C$4:$C$1010,0)</f>
        <v>#N/A</v>
      </c>
      <c r="AN657" s="6" t="b">
        <f t="shared" ref="AN657:AN720" si="61">ISERROR(AM657)</f>
        <v>1</v>
      </c>
      <c r="AO657" s="6" t="str">
        <f t="shared" si="59"/>
        <v>OK</v>
      </c>
      <c r="AQ657" s="6" t="e">
        <f>MATCH($D657,'D4 - Provider Council Unsched'!$C$11:$C$234,0)</f>
        <v>#N/A</v>
      </c>
      <c r="AR657" s="6" t="b">
        <f t="shared" ref="AR657:AR720" si="62">ISERROR(AQ657)</f>
        <v>1</v>
      </c>
      <c r="AS657" s="6" t="str">
        <f t="shared" si="60"/>
        <v>OK</v>
      </c>
      <c r="AU657" s="202"/>
      <c r="AV657" s="262"/>
      <c r="AW657" s="274"/>
    </row>
    <row r="658" spans="1:49" s="13" customFormat="1" ht="33.75" x14ac:dyDescent="0.2">
      <c r="A658" s="14">
        <v>634</v>
      </c>
      <c r="B658" s="14">
        <v>400008265</v>
      </c>
      <c r="C658" s="8" t="s">
        <v>6634</v>
      </c>
      <c r="D658" s="4" t="str">
        <f t="shared" ref="D658:D721" si="63">CONCATENATE(B658,C658)</f>
        <v>400008265CC011</v>
      </c>
      <c r="E658" s="309" t="str">
        <f>VLOOKUP($B658,'D7 - NDB Impacted SPRF''s'!$E$6:$O$9929,2,FALSE)</f>
        <v>CORP1-NetClaim-PTI By Network Contracting Org.</v>
      </c>
      <c r="F658" s="8" t="s">
        <v>5196</v>
      </c>
      <c r="G658" s="8" t="s">
        <v>4758</v>
      </c>
      <c r="H658" s="8" t="s">
        <v>4246</v>
      </c>
      <c r="I658" s="20">
        <v>3.97</v>
      </c>
      <c r="J658" s="8" t="s">
        <v>4862</v>
      </c>
      <c r="K658" s="182">
        <v>39116</v>
      </c>
      <c r="L658" s="8" t="s">
        <v>5743</v>
      </c>
      <c r="M658" s="8" t="s">
        <v>2814</v>
      </c>
      <c r="N658" s="367" t="s">
        <v>2548</v>
      </c>
      <c r="O658" s="8"/>
      <c r="P658" s="4" t="str">
        <f>VLOOKUP($B658,'D7 - NDB Impacted SPRF''s'!$E$16:$O$9929,9,FALSE)</f>
        <v>Y</v>
      </c>
      <c r="Q658" s="4" t="str">
        <f>VLOOKUP($B658,'D7 - NDB Impacted SPRF''s'!$E$16:$O$9929,10,FALSE)</f>
        <v>N</v>
      </c>
      <c r="R658" s="4" t="str">
        <f>VLOOKUP($B658,'D7 - NDB Impacted SPRF''s'!$E$16:$O$9929,11,FALSE)</f>
        <v>N</v>
      </c>
      <c r="S658" s="8"/>
      <c r="T658" s="310"/>
      <c r="U658" s="310"/>
      <c r="V658" s="4"/>
      <c r="W658" s="4"/>
      <c r="X658" s="4"/>
      <c r="Y658" s="4"/>
      <c r="Z658" s="4"/>
      <c r="AA658" s="4"/>
      <c r="AB658" s="380" t="str">
        <f>VLOOKUP($B658,'D7 - NDB Impacted SPRF''s'!$E$16:$O$9929,4,FALSE)</f>
        <v>Completed</v>
      </c>
      <c r="AC658" s="380" t="str">
        <f>VLOOKUP($B658,'D7 - NDB Impacted SPRF''s'!$E$16:$O$9929,3,FALSE)</f>
        <v>Alliance</v>
      </c>
      <c r="AD658" s="380" t="str">
        <f>VLOOKUP($B658,'D7 - NDB Impacted SPRF''s'!$E$16:$O$9929,5,FALSE)</f>
        <v>Healthcare Service Alliance</v>
      </c>
      <c r="AE658" s="380" t="str">
        <f>VLOOKUP($B658,'D7 - NDB Impacted SPRF''s'!$E$16:$O$9929,7,FALSE)</f>
        <v>Bev Nyce, Peter Bompane</v>
      </c>
      <c r="AF658" s="380" t="str">
        <f>VLOOKUP($B658,'D7 - NDB Impacted SPRF''s'!$E$16:$O$9929,6,FALSE)</f>
        <v>STEPHEN FINLEY</v>
      </c>
      <c r="AG658" s="282" t="s">
        <v>6682</v>
      </c>
      <c r="AH658" s="311" t="e">
        <f>INDEX('D5 - Gatekeeper - Projects'!$A$4:$AF$1010,$AM658, 17)</f>
        <v>#N/A</v>
      </c>
      <c r="AI658" s="8"/>
      <c r="AJ658" s="57"/>
      <c r="AK658" s="105"/>
      <c r="AM658" s="6" t="e">
        <f>MATCH(D658,'D5 - Gatekeeper - Projects'!$C$4:$C$1010,0)</f>
        <v>#N/A</v>
      </c>
      <c r="AN658" s="6" t="b">
        <f t="shared" si="61"/>
        <v>1</v>
      </c>
      <c r="AO658" s="6" t="str">
        <f t="shared" ref="AO658:AO721" si="64">IF(AND(H658="1 - Scheduled",AN658=TRUE),"Add","OK")</f>
        <v>OK</v>
      </c>
      <c r="AQ658" s="6" t="e">
        <f>MATCH($D658,'D4 - Provider Council Unsched'!$C$11:$C$234,0)</f>
        <v>#N/A</v>
      </c>
      <c r="AR658" s="6" t="b">
        <f t="shared" si="62"/>
        <v>1</v>
      </c>
      <c r="AS658" s="6" t="str">
        <f t="shared" si="60"/>
        <v>OK</v>
      </c>
      <c r="AU658" s="202"/>
      <c r="AV658" s="262"/>
      <c r="AW658" s="274"/>
    </row>
    <row r="659" spans="1:49" s="13" customFormat="1" ht="33.75" x14ac:dyDescent="0.2">
      <c r="A659" s="14">
        <v>635</v>
      </c>
      <c r="B659" s="14">
        <v>400009865</v>
      </c>
      <c r="C659" s="8" t="s">
        <v>3740</v>
      </c>
      <c r="D659" s="4" t="str">
        <f t="shared" si="63"/>
        <v>400009865CC11</v>
      </c>
      <c r="E659" s="309" t="str">
        <f>VLOOKUP($B659,'D7 - NDB Impacted SPRF''s'!$E$6:$O$9929,2,FALSE)</f>
        <v>MAMSI-FEHB (Feds)  Choice HM6 w/MDIPA Legal Entity</v>
      </c>
      <c r="F659" s="8" t="s">
        <v>5752</v>
      </c>
      <c r="G659" s="8" t="s">
        <v>4758</v>
      </c>
      <c r="H659" s="8" t="s">
        <v>4246</v>
      </c>
      <c r="I659" s="20">
        <v>1.07</v>
      </c>
      <c r="J659" s="8" t="s">
        <v>4862</v>
      </c>
      <c r="K659" s="182">
        <v>39116</v>
      </c>
      <c r="L659" s="8" t="s">
        <v>5743</v>
      </c>
      <c r="M659" s="8" t="s">
        <v>5626</v>
      </c>
      <c r="N659" s="368"/>
      <c r="O659" s="8"/>
      <c r="P659" s="4" t="str">
        <f>VLOOKUP($B659,'D7 - NDB Impacted SPRF''s'!$E$16:$O$9929,9,FALSE)</f>
        <v>Y</v>
      </c>
      <c r="Q659" s="4" t="str">
        <f>VLOOKUP($B659,'D7 - NDB Impacted SPRF''s'!$E$16:$O$9929,10,FALSE)</f>
        <v>N</v>
      </c>
      <c r="R659" s="4" t="str">
        <f>VLOOKUP($B659,'D7 - NDB Impacted SPRF''s'!$E$16:$O$9929,11,FALSE)</f>
        <v>N</v>
      </c>
      <c r="S659" s="8"/>
      <c r="T659" s="310"/>
      <c r="U659" s="310"/>
      <c r="V659" s="4"/>
      <c r="W659" s="4"/>
      <c r="X659" s="4"/>
      <c r="Y659" s="4"/>
      <c r="Z659" s="4"/>
      <c r="AA659" s="4"/>
      <c r="AB659" s="380" t="str">
        <f>VLOOKUP($B659,'D7 - NDB Impacted SPRF''s'!$E$16:$O$9929,4,FALSE)</f>
        <v>Completed</v>
      </c>
      <c r="AC659" s="380" t="str">
        <f>VLOOKUP($B659,'D7 - NDB Impacted SPRF''s'!$E$16:$O$9929,3,FALSE)</f>
        <v>UnitedHealthcare Employer &amp; Individual</v>
      </c>
      <c r="AD659" s="380" t="str">
        <f>VLOOKUP($B659,'D7 - NDB Impacted SPRF''s'!$E$16:$O$9929,5,FALSE)</f>
        <v>Integration Requirements</v>
      </c>
      <c r="AE659" s="380" t="str">
        <f>VLOOKUP($B659,'D7 - NDB Impacted SPRF''s'!$E$16:$O$9929,7,FALSE)</f>
        <v>Diane Schofield</v>
      </c>
      <c r="AF659" s="380" t="str">
        <f>VLOOKUP($B659,'D7 - NDB Impacted SPRF''s'!$E$16:$O$9929,6,FALSE)</f>
        <v>SHARION WILTON</v>
      </c>
      <c r="AG659" s="282"/>
      <c r="AH659" s="311" t="e">
        <f>INDEX('D5 - Gatekeeper - Projects'!$A$4:$AF$1010,$AM659, 17)</f>
        <v>#N/A</v>
      </c>
      <c r="AI659" s="8"/>
      <c r="AJ659" s="57"/>
      <c r="AK659" s="105"/>
      <c r="AM659" s="6" t="e">
        <f>MATCH(D659,'D5 - Gatekeeper - Projects'!$C$4:$C$1010,0)</f>
        <v>#N/A</v>
      </c>
      <c r="AN659" s="6" t="b">
        <f t="shared" si="61"/>
        <v>1</v>
      </c>
      <c r="AO659" s="6" t="str">
        <f t="shared" si="64"/>
        <v>OK</v>
      </c>
      <c r="AQ659" s="6" t="e">
        <f>MATCH($D659,'D4 - Provider Council Unsched'!$C$11:$C$234,0)</f>
        <v>#N/A</v>
      </c>
      <c r="AR659" s="6" t="b">
        <f t="shared" si="62"/>
        <v>1</v>
      </c>
      <c r="AS659" s="6" t="str">
        <f t="shared" si="60"/>
        <v>OK</v>
      </c>
      <c r="AU659" s="202"/>
      <c r="AV659" s="262"/>
      <c r="AW659" s="274"/>
    </row>
    <row r="660" spans="1:49" s="13" customFormat="1" x14ac:dyDescent="0.2">
      <c r="A660" s="14">
        <v>636</v>
      </c>
      <c r="B660" s="14">
        <v>400009947</v>
      </c>
      <c r="C660" s="8" t="s">
        <v>2449</v>
      </c>
      <c r="D660" s="4" t="str">
        <f t="shared" si="63"/>
        <v>400009947R3</v>
      </c>
      <c r="E660" s="309" t="str">
        <f>VLOOKUP($B660,'D7 - NDB Impacted SPRF''s'!$E$6:$O$9929,2,FALSE)</f>
        <v>CORP1-NDB-EA Security P1:Contract Designation Key</v>
      </c>
      <c r="F660" s="8" t="s">
        <v>5196</v>
      </c>
      <c r="G660" s="8" t="s">
        <v>4758</v>
      </c>
      <c r="H660" s="8" t="s">
        <v>4246</v>
      </c>
      <c r="I660" s="20">
        <v>4.5</v>
      </c>
      <c r="J660" s="8" t="s">
        <v>7114</v>
      </c>
      <c r="K660" s="182">
        <v>39116</v>
      </c>
      <c r="L660" s="8" t="s">
        <v>6919</v>
      </c>
      <c r="M660" s="8" t="s">
        <v>2814</v>
      </c>
      <c r="N660" s="367"/>
      <c r="O660" s="8"/>
      <c r="P660" s="4" t="str">
        <f>VLOOKUP($B660,'D7 - NDB Impacted SPRF''s'!$E$16:$O$9929,9,FALSE)</f>
        <v>N</v>
      </c>
      <c r="Q660" s="4" t="str">
        <f>VLOOKUP($B660,'D7 - NDB Impacted SPRF''s'!$E$16:$O$9929,10,FALSE)</f>
        <v>N</v>
      </c>
      <c r="R660" s="4" t="str">
        <f>VLOOKUP($B660,'D7 - NDB Impacted SPRF''s'!$E$16:$O$9929,11,FALSE)</f>
        <v>Y</v>
      </c>
      <c r="S660" s="8" t="s">
        <v>3758</v>
      </c>
      <c r="T660" s="310"/>
      <c r="U660" s="310"/>
      <c r="V660" s="4"/>
      <c r="W660" s="4"/>
      <c r="X660" s="4"/>
      <c r="Y660" s="4"/>
      <c r="Z660" s="4"/>
      <c r="AA660" s="4"/>
      <c r="AB660" s="380" t="str">
        <f>VLOOKUP($B660,'D7 - NDB Impacted SPRF''s'!$E$16:$O$9929,4,FALSE)</f>
        <v>Completed</v>
      </c>
      <c r="AC660" s="380" t="str">
        <f>VLOOKUP($B660,'D7 - NDB Impacted SPRF''s'!$E$16:$O$9929,3,FALSE)</f>
        <v>Alliance</v>
      </c>
      <c r="AD660" s="380" t="str">
        <f>VLOOKUP($B660,'D7 - NDB Impacted SPRF''s'!$E$16:$O$9929,5,FALSE)</f>
        <v>Healthcare Service Alliance</v>
      </c>
      <c r="AE660" s="380" t="str">
        <f>VLOOKUP($B660,'D7 - NDB Impacted SPRF''s'!$E$16:$O$9929,7,FALSE)</f>
        <v>Bev Nyce</v>
      </c>
      <c r="AF660" s="380" t="str">
        <f>VLOOKUP($B660,'D7 - NDB Impacted SPRF''s'!$E$16:$O$9929,6,FALSE)</f>
        <v>Susan Neal</v>
      </c>
      <c r="AG660" s="282"/>
      <c r="AH660" s="311" t="e">
        <f>INDEX('D5 - Gatekeeper - Projects'!$A$4:$AF$1010,$AM660, 17)</f>
        <v>#N/A</v>
      </c>
      <c r="AI660" s="8"/>
      <c r="AJ660" s="57"/>
      <c r="AK660" s="105"/>
      <c r="AM660" s="6" t="e">
        <f>MATCH(D660,'D5 - Gatekeeper - Projects'!$C$4:$C$1010,0)</f>
        <v>#N/A</v>
      </c>
      <c r="AN660" s="6" t="b">
        <f t="shared" si="61"/>
        <v>1</v>
      </c>
      <c r="AO660" s="6" t="str">
        <f t="shared" si="64"/>
        <v>OK</v>
      </c>
      <c r="AQ660" s="6" t="e">
        <f>MATCH($D660,'D4 - Provider Council Unsched'!$C$11:$C$234,0)</f>
        <v>#N/A</v>
      </c>
      <c r="AR660" s="6" t="b">
        <f t="shared" si="62"/>
        <v>1</v>
      </c>
      <c r="AS660" s="6" t="str">
        <f t="shared" si="60"/>
        <v>OK</v>
      </c>
      <c r="AU660" s="202"/>
      <c r="AV660" s="262"/>
      <c r="AW660" s="274"/>
    </row>
    <row r="661" spans="1:49" s="13" customFormat="1" ht="33.75" x14ac:dyDescent="0.2">
      <c r="A661" s="14">
        <v>637</v>
      </c>
      <c r="B661" s="14">
        <v>400010173</v>
      </c>
      <c r="C661" s="8" t="s">
        <v>6724</v>
      </c>
      <c r="D661" s="4" t="str">
        <f t="shared" si="63"/>
        <v>400010173CC07</v>
      </c>
      <c r="E661" s="309" t="str">
        <f>VLOOKUP($B661,'D7 - NDB Impacted SPRF''s'!$E$6:$O$9929,2,FALSE)</f>
        <v>Fee Schedule Enhancements - Phase 2</v>
      </c>
      <c r="F661" s="8" t="s">
        <v>4961</v>
      </c>
      <c r="G661" s="8" t="s">
        <v>4758</v>
      </c>
      <c r="H661" s="8" t="s">
        <v>4246</v>
      </c>
      <c r="I661" s="20">
        <v>4.9800000000000004</v>
      </c>
      <c r="J661" s="8" t="s">
        <v>4862</v>
      </c>
      <c r="K661" s="182">
        <v>39116</v>
      </c>
      <c r="L661" s="8" t="s">
        <v>5743</v>
      </c>
      <c r="M661" s="8" t="s">
        <v>2814</v>
      </c>
      <c r="N661" s="367"/>
      <c r="O661" s="8"/>
      <c r="P661" s="4" t="str">
        <f>VLOOKUP($B661,'D7 - NDB Impacted SPRF''s'!$E$16:$O$9929,9,FALSE)</f>
        <v>Y</v>
      </c>
      <c r="Q661" s="4" t="str">
        <f>VLOOKUP($B661,'D7 - NDB Impacted SPRF''s'!$E$16:$O$9929,10,FALSE)</f>
        <v>N</v>
      </c>
      <c r="R661" s="4" t="str">
        <f>VLOOKUP($B661,'D7 - NDB Impacted SPRF''s'!$E$16:$O$9929,11,FALSE)</f>
        <v>Y</v>
      </c>
      <c r="S661" s="8" t="s">
        <v>3758</v>
      </c>
      <c r="T661" s="310"/>
      <c r="U661" s="310"/>
      <c r="V661" s="4"/>
      <c r="W661" s="4"/>
      <c r="X661" s="4"/>
      <c r="Y661" s="4"/>
      <c r="Z661" s="4"/>
      <c r="AA661" s="4"/>
      <c r="AB661" s="380" t="str">
        <f>VLOOKUP($B661,'D7 - NDB Impacted SPRF''s'!$E$16:$O$9929,4,FALSE)</f>
        <v>Completed</v>
      </c>
      <c r="AC661" s="380" t="str">
        <f>VLOOKUP($B661,'D7 - NDB Impacted SPRF''s'!$E$16:$O$9929,3,FALSE)</f>
        <v>UnitedHealthcare Employer &amp; Individual</v>
      </c>
      <c r="AD661" s="380" t="str">
        <f>VLOOKUP($B661,'D7 - NDB Impacted SPRF''s'!$E$16:$O$9929,5,FALSE)</f>
        <v>Network Growth / Enhancements</v>
      </c>
      <c r="AE661" s="380" t="str">
        <f>VLOOKUP($B661,'D7 - NDB Impacted SPRF''s'!$E$16:$O$9929,7,FALSE)</f>
        <v>Peter Bompane</v>
      </c>
      <c r="AF661" s="380" t="str">
        <f>VLOOKUP($B661,'D7 - NDB Impacted SPRF''s'!$E$16:$O$9929,6,FALSE)</f>
        <v>Erin Nelson</v>
      </c>
      <c r="AG661" s="282"/>
      <c r="AH661" s="311" t="e">
        <f>INDEX('D5 - Gatekeeper - Projects'!$A$4:$AF$1010,$AM661, 17)</f>
        <v>#N/A</v>
      </c>
      <c r="AI661" s="8"/>
      <c r="AJ661" s="57"/>
      <c r="AK661" s="105"/>
      <c r="AM661" s="6" t="e">
        <f>MATCH(D661,'D5 - Gatekeeper - Projects'!$C$4:$C$1010,0)</f>
        <v>#N/A</v>
      </c>
      <c r="AN661" s="6" t="b">
        <f t="shared" si="61"/>
        <v>1</v>
      </c>
      <c r="AO661" s="6" t="str">
        <f t="shared" si="64"/>
        <v>OK</v>
      </c>
      <c r="AQ661" s="6" t="e">
        <f>MATCH($D661,'D4 - Provider Council Unsched'!$C$11:$C$234,0)</f>
        <v>#N/A</v>
      </c>
      <c r="AR661" s="6" t="b">
        <f t="shared" si="62"/>
        <v>1</v>
      </c>
      <c r="AS661" s="6" t="str">
        <f t="shared" si="60"/>
        <v>OK</v>
      </c>
      <c r="AU661" s="202"/>
      <c r="AV661" s="262"/>
      <c r="AW661" s="274"/>
    </row>
    <row r="662" spans="1:49" s="13" customFormat="1" ht="33.75" x14ac:dyDescent="0.2">
      <c r="A662" s="14">
        <v>638</v>
      </c>
      <c r="B662" s="14">
        <v>400010547</v>
      </c>
      <c r="C662" s="8" t="s">
        <v>5197</v>
      </c>
      <c r="D662" s="4" t="str">
        <f t="shared" si="63"/>
        <v>400010547R1</v>
      </c>
      <c r="E662" s="309" t="str">
        <f>VLOOKUP($B662,'D7 - NDB Impacted SPRF''s'!$E$6:$O$9929,2,FALSE)</f>
        <v>COSMOS NPI Requirements</v>
      </c>
      <c r="F662" s="8" t="s">
        <v>1059</v>
      </c>
      <c r="G662" s="8" t="s">
        <v>4758</v>
      </c>
      <c r="H662" s="8" t="s">
        <v>4246</v>
      </c>
      <c r="I662" s="20">
        <v>15.16</v>
      </c>
      <c r="J662" s="8" t="s">
        <v>4862</v>
      </c>
      <c r="K662" s="182">
        <v>39116</v>
      </c>
      <c r="L662" s="8" t="s">
        <v>5743</v>
      </c>
      <c r="M662" s="8" t="s">
        <v>2814</v>
      </c>
      <c r="N662" s="38" t="s">
        <v>7420</v>
      </c>
      <c r="O662" s="8"/>
      <c r="P662" s="4" t="str">
        <f>VLOOKUP($B662,'D7 - NDB Impacted SPRF''s'!$E$16:$O$9929,9,FALSE)</f>
        <v>Y</v>
      </c>
      <c r="Q662" s="4" t="str">
        <f>VLOOKUP($B662,'D7 - NDB Impacted SPRF''s'!$E$16:$O$9929,10,FALSE)</f>
        <v>N</v>
      </c>
      <c r="R662" s="4" t="str">
        <f>VLOOKUP($B662,'D7 - NDB Impacted SPRF''s'!$E$16:$O$9929,11,FALSE)</f>
        <v>N</v>
      </c>
      <c r="S662" s="8" t="s">
        <v>3758</v>
      </c>
      <c r="T662" s="310"/>
      <c r="U662" s="310"/>
      <c r="V662" s="4"/>
      <c r="W662" s="4"/>
      <c r="X662" s="4"/>
      <c r="Y662" s="4"/>
      <c r="Z662" s="4"/>
      <c r="AA662" s="4"/>
      <c r="AB662" s="380" t="str">
        <f>VLOOKUP($B662,'D7 - NDB Impacted SPRF''s'!$E$16:$O$9929,4,FALSE)</f>
        <v>Completed</v>
      </c>
      <c r="AC662" s="380" t="str">
        <f>VLOOKUP($B662,'D7 - NDB Impacted SPRF''s'!$E$16:$O$9929,3,FALSE)</f>
        <v>UnitedHealthcare Employer &amp; Individual</v>
      </c>
      <c r="AD662" s="380" t="str">
        <f>VLOOKUP($B662,'D7 - NDB Impacted SPRF''s'!$E$16:$O$9929,5,FALSE)</f>
        <v>Regulatory / Other</v>
      </c>
      <c r="AE662" s="380" t="str">
        <f>VLOOKUP($B662,'D7 - NDB Impacted SPRF''s'!$E$16:$O$9929,7,FALSE)</f>
        <v>Peter Bompane</v>
      </c>
      <c r="AF662" s="380" t="str">
        <f>VLOOKUP($B662,'D7 - NDB Impacted SPRF''s'!$E$16:$O$9929,6,FALSE)</f>
        <v>KELLY LEONARD</v>
      </c>
      <c r="AG662" s="282" t="s">
        <v>6682</v>
      </c>
      <c r="AH662" s="311" t="e">
        <f>INDEX('D5 - Gatekeeper - Projects'!$A$4:$AF$1010,$AM662, 17)</f>
        <v>#N/A</v>
      </c>
      <c r="AI662" s="8"/>
      <c r="AJ662" s="57"/>
      <c r="AK662" s="105"/>
      <c r="AM662" s="6" t="e">
        <f>MATCH(D662,'D5 - Gatekeeper - Projects'!$C$4:$C$1010,0)</f>
        <v>#N/A</v>
      </c>
      <c r="AN662" s="6" t="b">
        <f t="shared" si="61"/>
        <v>1</v>
      </c>
      <c r="AO662" s="6" t="str">
        <f t="shared" si="64"/>
        <v>OK</v>
      </c>
      <c r="AQ662" s="6" t="e">
        <f>MATCH($D662,'D4 - Provider Council Unsched'!$C$11:$C$234,0)</f>
        <v>#N/A</v>
      </c>
      <c r="AR662" s="6" t="b">
        <f t="shared" si="62"/>
        <v>1</v>
      </c>
      <c r="AS662" s="6" t="str">
        <f t="shared" si="60"/>
        <v>OK</v>
      </c>
      <c r="AU662" s="202"/>
      <c r="AV662" s="262"/>
      <c r="AW662" s="274"/>
    </row>
    <row r="663" spans="1:49" s="13" customFormat="1" ht="33.75" x14ac:dyDescent="0.2">
      <c r="A663" s="14">
        <v>639</v>
      </c>
      <c r="B663" s="14">
        <v>400010750</v>
      </c>
      <c r="C663" s="8" t="s">
        <v>6725</v>
      </c>
      <c r="D663" s="4" t="str">
        <f t="shared" si="63"/>
        <v>400010750CC01</v>
      </c>
      <c r="E663" s="309" t="str">
        <f>VLOOKUP($B663,'D7 - NDB Impacted SPRF''s'!$E$6:$O$9929,2,FALSE)</f>
        <v>B2B/B2C Integration - Ovations to Peradigm(Phased)</v>
      </c>
      <c r="F663" s="8" t="s">
        <v>5544</v>
      </c>
      <c r="G663" s="8" t="s">
        <v>4758</v>
      </c>
      <c r="H663" s="8" t="s">
        <v>4246</v>
      </c>
      <c r="I663" s="20">
        <v>1.07</v>
      </c>
      <c r="J663" s="8" t="s">
        <v>4862</v>
      </c>
      <c r="K663" s="182">
        <v>39116</v>
      </c>
      <c r="L663" s="8" t="s">
        <v>5743</v>
      </c>
      <c r="M663" s="8" t="s">
        <v>5626</v>
      </c>
      <c r="N663" s="367" t="s">
        <v>3077</v>
      </c>
      <c r="O663" s="8"/>
      <c r="P663" s="4" t="str">
        <f>VLOOKUP($B663,'D7 - NDB Impacted SPRF''s'!$E$16:$O$9929,9,FALSE)</f>
        <v>N</v>
      </c>
      <c r="Q663" s="4" t="str">
        <f>VLOOKUP($B663,'D7 - NDB Impacted SPRF''s'!$E$16:$O$9929,10,FALSE)</f>
        <v>N</v>
      </c>
      <c r="R663" s="4" t="str">
        <f>VLOOKUP($B663,'D7 - NDB Impacted SPRF''s'!$E$16:$O$9929,11,FALSE)</f>
        <v>N</v>
      </c>
      <c r="S663" s="8" t="s">
        <v>3758</v>
      </c>
      <c r="T663" s="310"/>
      <c r="U663" s="310"/>
      <c r="V663" s="4"/>
      <c r="W663" s="4"/>
      <c r="X663" s="4"/>
      <c r="Y663" s="4"/>
      <c r="Z663" s="4"/>
      <c r="AA663" s="4"/>
      <c r="AB663" s="380" t="str">
        <f>VLOOKUP($B663,'D7 - NDB Impacted SPRF''s'!$E$16:$O$9929,4,FALSE)</f>
        <v>Completed</v>
      </c>
      <c r="AC663" s="380" t="str">
        <f>VLOOKUP($B663,'D7 - NDB Impacted SPRF''s'!$E$16:$O$9929,3,FALSE)</f>
        <v>UnitedHealthcare Medicare &amp; Retirement</v>
      </c>
      <c r="AD663" s="380" t="str">
        <f>VLOOKUP($B663,'D7 - NDB Impacted SPRF''s'!$E$16:$O$9929,5,FALSE)</f>
        <v>Ovations</v>
      </c>
      <c r="AE663" s="380" t="str">
        <f>VLOOKUP($B663,'D7 - NDB Impacted SPRF''s'!$E$16:$O$9929,7,FALSE)</f>
        <v>Mike Cautin</v>
      </c>
      <c r="AF663" s="380" t="str">
        <f>VLOOKUP($B663,'D7 - NDB Impacted SPRF''s'!$E$16:$O$9929,6,FALSE)</f>
        <v>HARRIET HODGE</v>
      </c>
      <c r="AG663" s="282" t="s">
        <v>7755</v>
      </c>
      <c r="AH663" s="311" t="e">
        <f>INDEX('D5 - Gatekeeper - Projects'!$A$4:$AF$1010,$AM663, 17)</f>
        <v>#N/A</v>
      </c>
      <c r="AI663" s="8"/>
      <c r="AJ663" s="57"/>
      <c r="AK663" s="105"/>
      <c r="AM663" s="6" t="e">
        <f>MATCH(D663,'D5 - Gatekeeper - Projects'!$C$4:$C$1010,0)</f>
        <v>#N/A</v>
      </c>
      <c r="AN663" s="6" t="b">
        <f t="shared" si="61"/>
        <v>1</v>
      </c>
      <c r="AO663" s="6" t="str">
        <f t="shared" si="64"/>
        <v>OK</v>
      </c>
      <c r="AQ663" s="6" t="e">
        <f>MATCH($D663,'D4 - Provider Council Unsched'!$C$11:$C$234,0)</f>
        <v>#N/A</v>
      </c>
      <c r="AR663" s="6" t="b">
        <f t="shared" si="62"/>
        <v>1</v>
      </c>
      <c r="AS663" s="6" t="str">
        <f t="shared" si="60"/>
        <v>OK</v>
      </c>
      <c r="AU663" s="202"/>
      <c r="AV663" s="262"/>
      <c r="AW663" s="274"/>
    </row>
    <row r="664" spans="1:49" s="13" customFormat="1" ht="33.75" x14ac:dyDescent="0.2">
      <c r="A664" s="14">
        <v>640</v>
      </c>
      <c r="B664" s="14">
        <v>400012633</v>
      </c>
      <c r="C664" s="8" t="s">
        <v>3763</v>
      </c>
      <c r="D664" s="4" t="str">
        <f t="shared" si="63"/>
        <v>400012633R2</v>
      </c>
      <c r="E664" s="309" t="str">
        <f>VLOOKUP($B664,'D7 - NDB Impacted SPRF''s'!$E$6:$O$9929,2,FALSE)</f>
        <v>Phase 2: Radiology Transformation</v>
      </c>
      <c r="F664" s="8" t="s">
        <v>5188</v>
      </c>
      <c r="G664" s="8" t="s">
        <v>4758</v>
      </c>
      <c r="H664" s="8" t="s">
        <v>4246</v>
      </c>
      <c r="I664" s="20">
        <v>32.17</v>
      </c>
      <c r="J664" s="8" t="s">
        <v>4862</v>
      </c>
      <c r="K664" s="182">
        <v>39116</v>
      </c>
      <c r="L664" s="8" t="s">
        <v>5743</v>
      </c>
      <c r="M664" s="8" t="s">
        <v>2814</v>
      </c>
      <c r="N664" s="367" t="s">
        <v>3291</v>
      </c>
      <c r="O664" s="8"/>
      <c r="P664" s="4" t="str">
        <f>VLOOKUP($B664,'D7 - NDB Impacted SPRF''s'!$E$16:$O$9929,9,FALSE)</f>
        <v>Y</v>
      </c>
      <c r="Q664" s="4" t="str">
        <f>VLOOKUP($B664,'D7 - NDB Impacted SPRF''s'!$E$16:$O$9929,10,FALSE)</f>
        <v>N</v>
      </c>
      <c r="R664" s="4" t="str">
        <f>VLOOKUP($B664,'D7 - NDB Impacted SPRF''s'!$E$16:$O$9929,11,FALSE)</f>
        <v>N</v>
      </c>
      <c r="S664" s="8" t="s">
        <v>3758</v>
      </c>
      <c r="T664" s="310"/>
      <c r="U664" s="310"/>
      <c r="V664" s="4"/>
      <c r="W664" s="4"/>
      <c r="X664" s="4"/>
      <c r="Y664" s="4"/>
      <c r="Z664" s="4"/>
      <c r="AA664" s="4"/>
      <c r="AB664" s="380" t="str">
        <f>VLOOKUP($B664,'D7 - NDB Impacted SPRF''s'!$E$16:$O$9929,4,FALSE)</f>
        <v>Completed</v>
      </c>
      <c r="AC664" s="380" t="str">
        <f>VLOOKUP($B664,'D7 - NDB Impacted SPRF''s'!$E$16:$O$9929,3,FALSE)</f>
        <v>UnitedHealthcare Employer &amp; Individual</v>
      </c>
      <c r="AD664" s="380" t="str">
        <f>VLOOKUP($B664,'D7 - NDB Impacted SPRF''s'!$E$16:$O$9929,5,FALSE)</f>
        <v>Medical Cost Savings Programs</v>
      </c>
      <c r="AE664" s="380" t="str">
        <f>VLOOKUP($B664,'D7 - NDB Impacted SPRF''s'!$E$16:$O$9929,7,FALSE)</f>
        <v>Laurie Paidosh</v>
      </c>
      <c r="AF664" s="380" t="str">
        <f>VLOOKUP($B664,'D7 - NDB Impacted SPRF''s'!$E$16:$O$9929,6,FALSE)</f>
        <v>TRACY STRUZYK</v>
      </c>
      <c r="AG664" s="282"/>
      <c r="AH664" s="311" t="e">
        <f>INDEX('D5 - Gatekeeper - Projects'!$A$4:$AF$1010,$AM664, 17)</f>
        <v>#N/A</v>
      </c>
      <c r="AI664" s="8"/>
      <c r="AJ664" s="57"/>
      <c r="AK664" s="105"/>
      <c r="AM664" s="6" t="e">
        <f>MATCH(D664,'D5 - Gatekeeper - Projects'!$C$4:$C$1010,0)</f>
        <v>#N/A</v>
      </c>
      <c r="AN664" s="6" t="b">
        <f t="shared" si="61"/>
        <v>1</v>
      </c>
      <c r="AO664" s="6" t="str">
        <f t="shared" si="64"/>
        <v>OK</v>
      </c>
      <c r="AQ664" s="6" t="e">
        <f>MATCH($D664,'D4 - Provider Council Unsched'!$C$11:$C$234,0)</f>
        <v>#N/A</v>
      </c>
      <c r="AR664" s="6" t="b">
        <f t="shared" si="62"/>
        <v>1</v>
      </c>
      <c r="AS664" s="6" t="str">
        <f t="shared" si="60"/>
        <v>OK</v>
      </c>
      <c r="AU664" s="202"/>
      <c r="AV664" s="262"/>
      <c r="AW664" s="274"/>
    </row>
    <row r="665" spans="1:49" s="13" customFormat="1" ht="33.75" x14ac:dyDescent="0.2">
      <c r="A665" s="14">
        <v>641</v>
      </c>
      <c r="B665" s="14">
        <v>400012633</v>
      </c>
      <c r="C665" s="8" t="s">
        <v>1992</v>
      </c>
      <c r="D665" s="4" t="str">
        <f t="shared" si="63"/>
        <v>400012633U1</v>
      </c>
      <c r="E665" s="309" t="str">
        <f>VLOOKUP($B665,'D7 - NDB Impacted SPRF''s'!$E$6:$O$9929,2,FALSE)</f>
        <v>Phase 2: Radiology Transformation</v>
      </c>
      <c r="F665" s="8" t="s">
        <v>5188</v>
      </c>
      <c r="G665" s="8" t="s">
        <v>4758</v>
      </c>
      <c r="H665" s="8" t="s">
        <v>4246</v>
      </c>
      <c r="I665" s="20">
        <v>1.41</v>
      </c>
      <c r="J665" s="8" t="s">
        <v>4862</v>
      </c>
      <c r="K665" s="182">
        <v>39116</v>
      </c>
      <c r="L665" s="8" t="s">
        <v>5743</v>
      </c>
      <c r="M665" s="8" t="s">
        <v>2814</v>
      </c>
      <c r="N665" s="367"/>
      <c r="O665" s="8"/>
      <c r="P665" s="4" t="str">
        <f>VLOOKUP($B665,'D7 - NDB Impacted SPRF''s'!$E$16:$O$9929,9,FALSE)</f>
        <v>Y</v>
      </c>
      <c r="Q665" s="4" t="str">
        <f>VLOOKUP($B665,'D7 - NDB Impacted SPRF''s'!$E$16:$O$9929,10,FALSE)</f>
        <v>N</v>
      </c>
      <c r="R665" s="4" t="str">
        <f>VLOOKUP($B665,'D7 - NDB Impacted SPRF''s'!$E$16:$O$9929,11,FALSE)</f>
        <v>N</v>
      </c>
      <c r="S665" s="8" t="s">
        <v>3758</v>
      </c>
      <c r="T665" s="310"/>
      <c r="U665" s="310"/>
      <c r="V665" s="4"/>
      <c r="W665" s="4"/>
      <c r="X665" s="4"/>
      <c r="Y665" s="4"/>
      <c r="Z665" s="4"/>
      <c r="AA665" s="4"/>
      <c r="AB665" s="380" t="str">
        <f>VLOOKUP($B665,'D7 - NDB Impacted SPRF''s'!$E$16:$O$9929,4,FALSE)</f>
        <v>Completed</v>
      </c>
      <c r="AC665" s="380" t="str">
        <f>VLOOKUP($B665,'D7 - NDB Impacted SPRF''s'!$E$16:$O$9929,3,FALSE)</f>
        <v>UnitedHealthcare Employer &amp; Individual</v>
      </c>
      <c r="AD665" s="380" t="str">
        <f>VLOOKUP($B665,'D7 - NDB Impacted SPRF''s'!$E$16:$O$9929,5,FALSE)</f>
        <v>Medical Cost Savings Programs</v>
      </c>
      <c r="AE665" s="380" t="str">
        <f>VLOOKUP($B665,'D7 - NDB Impacted SPRF''s'!$E$16:$O$9929,7,FALSE)</f>
        <v>Laurie Paidosh</v>
      </c>
      <c r="AF665" s="380" t="str">
        <f>VLOOKUP($B665,'D7 - NDB Impacted SPRF''s'!$E$16:$O$9929,6,FALSE)</f>
        <v>TRACY STRUZYK</v>
      </c>
      <c r="AG665" s="282"/>
      <c r="AH665" s="311" t="e">
        <f>INDEX('D5 - Gatekeeper - Projects'!$A$4:$AF$1010,$AM665, 17)</f>
        <v>#N/A</v>
      </c>
      <c r="AI665" s="8"/>
      <c r="AJ665" s="57"/>
      <c r="AK665" s="105"/>
      <c r="AM665" s="6" t="e">
        <f>MATCH(D665,'D5 - Gatekeeper - Projects'!$C$4:$C$1010,0)</f>
        <v>#N/A</v>
      </c>
      <c r="AN665" s="6" t="b">
        <f t="shared" si="61"/>
        <v>1</v>
      </c>
      <c r="AO665" s="6" t="str">
        <f t="shared" si="64"/>
        <v>OK</v>
      </c>
      <c r="AQ665" s="6" t="e">
        <f>MATCH($D665,'D4 - Provider Council Unsched'!$C$11:$C$234,0)</f>
        <v>#N/A</v>
      </c>
      <c r="AR665" s="6" t="b">
        <f t="shared" si="62"/>
        <v>1</v>
      </c>
      <c r="AS665" s="6" t="str">
        <f t="shared" si="60"/>
        <v>OK</v>
      </c>
      <c r="AU665" s="202"/>
      <c r="AV665" s="262"/>
      <c r="AW665" s="274"/>
    </row>
    <row r="666" spans="1:49" s="13" customFormat="1" ht="33.75" x14ac:dyDescent="0.2">
      <c r="A666" s="14">
        <v>642</v>
      </c>
      <c r="B666" s="14">
        <v>400012672</v>
      </c>
      <c r="C666" s="8" t="s">
        <v>5197</v>
      </c>
      <c r="D666" s="4" t="str">
        <f t="shared" si="63"/>
        <v>400012672R1</v>
      </c>
      <c r="E666" s="309" t="str">
        <f>VLOOKUP($B666,'D7 - NDB Impacted SPRF''s'!$E$6:$O$9929,2,FALSE)</f>
        <v>Provider Timely Filing by Contract</v>
      </c>
      <c r="F666" s="8" t="s">
        <v>2114</v>
      </c>
      <c r="G666" s="8" t="s">
        <v>4758</v>
      </c>
      <c r="H666" s="8" t="s">
        <v>4246</v>
      </c>
      <c r="I666" s="20">
        <v>38.86</v>
      </c>
      <c r="J666" s="8" t="s">
        <v>4862</v>
      </c>
      <c r="K666" s="182">
        <v>39116</v>
      </c>
      <c r="L666" s="8" t="s">
        <v>5743</v>
      </c>
      <c r="M666" s="8" t="s">
        <v>2814</v>
      </c>
      <c r="N666" s="368"/>
      <c r="O666" s="8" t="s">
        <v>5042</v>
      </c>
      <c r="P666" s="4" t="str">
        <f>VLOOKUP($B666,'D7 - NDB Impacted SPRF''s'!$E$16:$O$9929,9,FALSE)</f>
        <v>Y</v>
      </c>
      <c r="Q666" s="4" t="str">
        <f>VLOOKUP($B666,'D7 - NDB Impacted SPRF''s'!$E$16:$O$9929,10,FALSE)</f>
        <v>N</v>
      </c>
      <c r="R666" s="4" t="str">
        <f>VLOOKUP($B666,'D7 - NDB Impacted SPRF''s'!$E$16:$O$9929,11,FALSE)</f>
        <v>Y</v>
      </c>
      <c r="S666" s="8" t="s">
        <v>7273</v>
      </c>
      <c r="T666" s="310"/>
      <c r="U666" s="310"/>
      <c r="V666" s="4"/>
      <c r="W666" s="4"/>
      <c r="X666" s="4"/>
      <c r="Y666" s="4"/>
      <c r="Z666" s="4"/>
      <c r="AA666" s="4"/>
      <c r="AB666" s="380" t="str">
        <f>VLOOKUP($B666,'D7 - NDB Impacted SPRF''s'!$E$16:$O$9929,4,FALSE)</f>
        <v>Completed</v>
      </c>
      <c r="AC666" s="380" t="str">
        <f>VLOOKUP($B666,'D7 - NDB Impacted SPRF''s'!$E$16:$O$9929,3,FALSE)</f>
        <v>UnitedHealthcare Employer &amp; Individual</v>
      </c>
      <c r="AD666" s="380" t="str">
        <f>VLOOKUP($B666,'D7 - NDB Impacted SPRF''s'!$E$16:$O$9929,5,FALSE)</f>
        <v>Medical Cost Savings Programs</v>
      </c>
      <c r="AE666" s="380" t="str">
        <f>VLOOKUP($B666,'D7 - NDB Impacted SPRF''s'!$E$16:$O$9929,7,FALSE)</f>
        <v>Michael Ile</v>
      </c>
      <c r="AF666" s="380" t="str">
        <f>VLOOKUP($B666,'D7 - NDB Impacted SPRF''s'!$E$16:$O$9929,6,FALSE)</f>
        <v>Susan Neal</v>
      </c>
      <c r="AG666" s="282"/>
      <c r="AH666" s="311" t="e">
        <f>INDEX('D5 - Gatekeeper - Projects'!$A$4:$AF$1010,$AM666, 17)</f>
        <v>#N/A</v>
      </c>
      <c r="AI666" s="8"/>
      <c r="AJ666" s="57"/>
      <c r="AK666" s="105"/>
      <c r="AM666" s="6" t="e">
        <f>MATCH(D666,'D5 - Gatekeeper - Projects'!$C$4:$C$1010,0)</f>
        <v>#N/A</v>
      </c>
      <c r="AN666" s="6" t="b">
        <f t="shared" si="61"/>
        <v>1</v>
      </c>
      <c r="AO666" s="6" t="str">
        <f t="shared" si="64"/>
        <v>OK</v>
      </c>
      <c r="AQ666" s="6" t="e">
        <f>MATCH($D666,'D4 - Provider Council Unsched'!$C$11:$C$234,0)</f>
        <v>#N/A</v>
      </c>
      <c r="AR666" s="6" t="b">
        <f t="shared" si="62"/>
        <v>1</v>
      </c>
      <c r="AS666" s="6" t="str">
        <f t="shared" si="60"/>
        <v>OK</v>
      </c>
      <c r="AU666" s="202"/>
      <c r="AV666" s="262"/>
      <c r="AW666" s="274"/>
    </row>
    <row r="667" spans="1:49" s="13" customFormat="1" ht="56.25" x14ac:dyDescent="0.2">
      <c r="A667" s="14">
        <v>643</v>
      </c>
      <c r="B667" s="14">
        <v>400012830</v>
      </c>
      <c r="C667" s="8" t="s">
        <v>3763</v>
      </c>
      <c r="D667" s="4" t="str">
        <f t="shared" si="63"/>
        <v>400012830R2</v>
      </c>
      <c r="E667" s="309" t="str">
        <f>VLOOKUP($B667,'D7 - NDB Impacted SPRF''s'!$E$6:$O$9929,2,FALSE)</f>
        <v>Alliances Data Exchange Platform</v>
      </c>
      <c r="F667" s="8" t="s">
        <v>5196</v>
      </c>
      <c r="G667" s="8" t="s">
        <v>4758</v>
      </c>
      <c r="H667" s="8" t="s">
        <v>4246</v>
      </c>
      <c r="I667" s="20">
        <v>10.67</v>
      </c>
      <c r="J667" s="8" t="s">
        <v>4862</v>
      </c>
      <c r="K667" s="182">
        <v>39116</v>
      </c>
      <c r="L667" s="8" t="s">
        <v>5743</v>
      </c>
      <c r="M667" s="8" t="s">
        <v>2814</v>
      </c>
      <c r="N667" s="367" t="s">
        <v>3724</v>
      </c>
      <c r="O667" s="8"/>
      <c r="P667" s="4" t="str">
        <f>VLOOKUP($B667,'D7 - NDB Impacted SPRF''s'!$E$16:$O$9929,9,FALSE)</f>
        <v>Y</v>
      </c>
      <c r="Q667" s="4" t="str">
        <f>VLOOKUP($B667,'D7 - NDB Impacted SPRF''s'!$E$16:$O$9929,10,FALSE)</f>
        <v>N</v>
      </c>
      <c r="R667" s="4" t="str">
        <f>VLOOKUP($B667,'D7 - NDB Impacted SPRF''s'!$E$16:$O$9929,11,FALSE)</f>
        <v>N</v>
      </c>
      <c r="S667" s="8" t="s">
        <v>3758</v>
      </c>
      <c r="T667" s="310"/>
      <c r="U667" s="310"/>
      <c r="V667" s="4"/>
      <c r="W667" s="4"/>
      <c r="X667" s="4"/>
      <c r="Y667" s="4"/>
      <c r="Z667" s="4"/>
      <c r="AA667" s="4"/>
      <c r="AB667" s="380" t="str">
        <f>VLOOKUP($B667,'D7 - NDB Impacted SPRF''s'!$E$16:$O$9929,4,FALSE)</f>
        <v>Completed</v>
      </c>
      <c r="AC667" s="380" t="str">
        <f>VLOOKUP($B667,'D7 - NDB Impacted SPRF''s'!$E$16:$O$9929,3,FALSE)</f>
        <v>UnitedHealthcare Employer &amp; Individual</v>
      </c>
      <c r="AD667" s="380" t="str">
        <f>VLOOKUP($B667,'D7 - NDB Impacted SPRF''s'!$E$16:$O$9929,5,FALSE)</f>
        <v>Healthcare Service Alliance</v>
      </c>
      <c r="AE667" s="380" t="str">
        <f>VLOOKUP($B667,'D7 - NDB Impacted SPRF''s'!$E$16:$O$9929,7,FALSE)</f>
        <v>Bev Nyce</v>
      </c>
      <c r="AF667" s="380" t="str">
        <f>VLOOKUP($B667,'D7 - NDB Impacted SPRF''s'!$E$16:$O$9929,6,FALSE)</f>
        <v>DONALD DEMARCO</v>
      </c>
      <c r="AG667" s="282" t="s">
        <v>7755</v>
      </c>
      <c r="AH667" s="311" t="e">
        <f>INDEX('D5 - Gatekeeper - Projects'!$A$4:$AF$1010,$AM667, 17)</f>
        <v>#N/A</v>
      </c>
      <c r="AI667" s="8"/>
      <c r="AJ667" s="57"/>
      <c r="AK667" s="105"/>
      <c r="AM667" s="6" t="e">
        <f>MATCH(D667,'D5 - Gatekeeper - Projects'!$C$4:$C$1010,0)</f>
        <v>#N/A</v>
      </c>
      <c r="AN667" s="6" t="b">
        <f t="shared" si="61"/>
        <v>1</v>
      </c>
      <c r="AO667" s="6" t="str">
        <f t="shared" si="64"/>
        <v>OK</v>
      </c>
      <c r="AQ667" s="6" t="e">
        <f>MATCH($D667,'D4 - Provider Council Unsched'!$C$11:$C$234,0)</f>
        <v>#N/A</v>
      </c>
      <c r="AR667" s="6" t="b">
        <f t="shared" si="62"/>
        <v>1</v>
      </c>
      <c r="AS667" s="6" t="str">
        <f t="shared" si="60"/>
        <v>OK</v>
      </c>
      <c r="AU667" s="202"/>
      <c r="AV667" s="262"/>
      <c r="AW667" s="274"/>
    </row>
    <row r="668" spans="1:49" s="13" customFormat="1" ht="33.75" x14ac:dyDescent="0.2">
      <c r="A668" s="14">
        <v>644</v>
      </c>
      <c r="B668" s="14">
        <v>400013238</v>
      </c>
      <c r="C668" s="8" t="s">
        <v>5197</v>
      </c>
      <c r="D668" s="4" t="str">
        <f t="shared" si="63"/>
        <v>400013238R1</v>
      </c>
      <c r="E668" s="309" t="str">
        <f>VLOOKUP($B668,'D7 - NDB Impacted SPRF''s'!$E$6:$O$9929,2,FALSE)</f>
        <v>John Deere - Create Export</v>
      </c>
      <c r="F668" s="8" t="s">
        <v>4302</v>
      </c>
      <c r="G668" s="8" t="s">
        <v>4758</v>
      </c>
      <c r="H668" s="8" t="s">
        <v>4246</v>
      </c>
      <c r="I668" s="20">
        <v>1</v>
      </c>
      <c r="J668" s="8" t="s">
        <v>4862</v>
      </c>
      <c r="K668" s="182">
        <v>39116</v>
      </c>
      <c r="L668" s="8" t="s">
        <v>5743</v>
      </c>
      <c r="M668" s="8" t="s">
        <v>6007</v>
      </c>
      <c r="N668" s="368"/>
      <c r="O668" s="8"/>
      <c r="P668" s="4" t="str">
        <f>VLOOKUP($B668,'D7 - NDB Impacted SPRF''s'!$E$16:$O$9929,9,FALSE)</f>
        <v>N</v>
      </c>
      <c r="Q668" s="4" t="str">
        <f>VLOOKUP($B668,'D7 - NDB Impacted SPRF''s'!$E$16:$O$9929,10,FALSE)</f>
        <v>N</v>
      </c>
      <c r="R668" s="4" t="str">
        <f>VLOOKUP($B668,'D7 - NDB Impacted SPRF''s'!$E$16:$O$9929,11,FALSE)</f>
        <v>N</v>
      </c>
      <c r="S668" s="8" t="s">
        <v>3758</v>
      </c>
      <c r="T668" s="310"/>
      <c r="U668" s="310"/>
      <c r="V668" s="4"/>
      <c r="W668" s="4"/>
      <c r="X668" s="4"/>
      <c r="Y668" s="4"/>
      <c r="Z668" s="4"/>
      <c r="AA668" s="4"/>
      <c r="AB668" s="380" t="str">
        <f>VLOOKUP($B668,'D7 - NDB Impacted SPRF''s'!$E$16:$O$9929,4,FALSE)</f>
        <v>Completed</v>
      </c>
      <c r="AC668" s="380" t="str">
        <f>VLOOKUP($B668,'D7 - NDB Impacted SPRF''s'!$E$16:$O$9929,3,FALSE)</f>
        <v>UnitedHealthcare Employer &amp; Individual</v>
      </c>
      <c r="AD668" s="380" t="str">
        <f>VLOOKUP($B668,'D7 - NDB Impacted SPRF''s'!$E$16:$O$9929,5,FALSE)</f>
        <v>Integration Requirements</v>
      </c>
      <c r="AE668" s="380" t="str">
        <f>VLOOKUP($B668,'D7 - NDB Impacted SPRF''s'!$E$16:$O$9929,7,FALSE)</f>
        <v>Tim Kaja</v>
      </c>
      <c r="AF668" s="380" t="str">
        <f>VLOOKUP($B668,'D7 - NDB Impacted SPRF''s'!$E$16:$O$9929,6,FALSE)</f>
        <v>MARCIA MONACO</v>
      </c>
      <c r="AG668" s="282"/>
      <c r="AH668" s="311" t="e">
        <f>INDEX('D5 - Gatekeeper - Projects'!$A$4:$AF$1010,$AM668, 17)</f>
        <v>#N/A</v>
      </c>
      <c r="AI668" s="8"/>
      <c r="AJ668" s="57"/>
      <c r="AK668" s="105"/>
      <c r="AM668" s="6" t="e">
        <f>MATCH(D668,'D5 - Gatekeeper - Projects'!$C$4:$C$1010,0)</f>
        <v>#N/A</v>
      </c>
      <c r="AN668" s="6" t="b">
        <f t="shared" si="61"/>
        <v>1</v>
      </c>
      <c r="AO668" s="6" t="str">
        <f t="shared" si="64"/>
        <v>OK</v>
      </c>
      <c r="AQ668" s="6" t="e">
        <f>MATCH($D668,'D4 - Provider Council Unsched'!$C$11:$C$234,0)</f>
        <v>#N/A</v>
      </c>
      <c r="AR668" s="6" t="b">
        <f t="shared" si="62"/>
        <v>1</v>
      </c>
      <c r="AS668" s="6" t="str">
        <f t="shared" si="60"/>
        <v>OK</v>
      </c>
      <c r="AU668" s="202"/>
      <c r="AV668" s="262"/>
      <c r="AW668" s="274"/>
    </row>
    <row r="669" spans="1:49" s="13" customFormat="1" ht="22.5" x14ac:dyDescent="0.2">
      <c r="A669" s="14">
        <v>645</v>
      </c>
      <c r="B669" s="14">
        <v>400013499</v>
      </c>
      <c r="C669" s="8" t="s">
        <v>5197</v>
      </c>
      <c r="D669" s="4" t="str">
        <f t="shared" si="63"/>
        <v>400013499R1</v>
      </c>
      <c r="E669" s="309" t="str">
        <f>VLOOKUP($B669,'D7 - NDB Impacted SPRF''s'!$E$6:$O$9929,2,FALSE)</f>
        <v>EPDL Work Queue ORBIT Audit Report Enhancement</v>
      </c>
      <c r="F669" s="8" t="s">
        <v>5196</v>
      </c>
      <c r="G669" s="8" t="s">
        <v>4758</v>
      </c>
      <c r="H669" s="8" t="s">
        <v>4246</v>
      </c>
      <c r="I669" s="20">
        <v>1.07</v>
      </c>
      <c r="J669" s="8" t="s">
        <v>4862</v>
      </c>
      <c r="K669" s="182">
        <v>39116</v>
      </c>
      <c r="L669" s="8" t="s">
        <v>5743</v>
      </c>
      <c r="M669" s="8" t="s">
        <v>5786</v>
      </c>
      <c r="N669" s="367"/>
      <c r="O669" s="8"/>
      <c r="P669" s="4" t="str">
        <f>VLOOKUP($B669,'D7 - NDB Impacted SPRF''s'!$E$16:$O$9929,9,FALSE)</f>
        <v>N</v>
      </c>
      <c r="Q669" s="4" t="str">
        <f>VLOOKUP($B669,'D7 - NDB Impacted SPRF''s'!$E$16:$O$9929,10,FALSE)</f>
        <v>N</v>
      </c>
      <c r="R669" s="4" t="str">
        <f>VLOOKUP($B669,'D7 - NDB Impacted SPRF''s'!$E$16:$O$9929,11,FALSE)</f>
        <v>N</v>
      </c>
      <c r="S669" s="8"/>
      <c r="T669" s="310"/>
      <c r="U669" s="310"/>
      <c r="V669" s="4"/>
      <c r="W669" s="4"/>
      <c r="X669" s="4"/>
      <c r="Y669" s="4"/>
      <c r="Z669" s="4"/>
      <c r="AA669" s="4"/>
      <c r="AB669" s="380" t="str">
        <f>VLOOKUP($B669,'D7 - NDB Impacted SPRF''s'!$E$16:$O$9929,4,FALSE)</f>
        <v>Completed</v>
      </c>
      <c r="AC669" s="380" t="str">
        <f>VLOOKUP($B669,'D7 - NDB Impacted SPRF''s'!$E$16:$O$9929,3,FALSE)</f>
        <v>Alliance</v>
      </c>
      <c r="AD669" s="380" t="str">
        <f>VLOOKUP($B669,'D7 - NDB Impacted SPRF''s'!$E$16:$O$9929,5,FALSE)</f>
        <v>Healthcare Service Alliance</v>
      </c>
      <c r="AE669" s="380" t="str">
        <f>VLOOKUP($B669,'D7 - NDB Impacted SPRF''s'!$E$16:$O$9929,7,FALSE)</f>
        <v>Bev Nyce</v>
      </c>
      <c r="AF669" s="380" t="str">
        <f>VLOOKUP($B669,'D7 - NDB Impacted SPRF''s'!$E$16:$O$9929,6,FALSE)</f>
        <v>STEPHEN FINLEY</v>
      </c>
      <c r="AG669" s="282"/>
      <c r="AH669" s="311" t="e">
        <f>INDEX('D5 - Gatekeeper - Projects'!$A$4:$AF$1010,$AM669, 17)</f>
        <v>#N/A</v>
      </c>
      <c r="AI669" s="8"/>
      <c r="AJ669" s="57"/>
      <c r="AK669" s="105"/>
      <c r="AM669" s="6" t="e">
        <f>MATCH(D669,'D5 - Gatekeeper - Projects'!$C$4:$C$1010,0)</f>
        <v>#N/A</v>
      </c>
      <c r="AN669" s="6" t="b">
        <f t="shared" si="61"/>
        <v>1</v>
      </c>
      <c r="AO669" s="6" t="str">
        <f t="shared" si="64"/>
        <v>OK</v>
      </c>
      <c r="AQ669" s="6" t="e">
        <f>MATCH($D669,'D4 - Provider Council Unsched'!$C$11:$C$234,0)</f>
        <v>#N/A</v>
      </c>
      <c r="AR669" s="6" t="b">
        <f t="shared" si="62"/>
        <v>1</v>
      </c>
      <c r="AS669" s="6" t="str">
        <f t="shared" si="60"/>
        <v>OK</v>
      </c>
      <c r="AU669" s="202"/>
      <c r="AV669" s="262"/>
      <c r="AW669" s="274"/>
    </row>
    <row r="670" spans="1:49" s="13" customFormat="1" ht="22.5" x14ac:dyDescent="0.2">
      <c r="A670" s="14">
        <v>646</v>
      </c>
      <c r="B670" s="14">
        <v>400013556</v>
      </c>
      <c r="C670" s="8" t="s">
        <v>5197</v>
      </c>
      <c r="D670" s="4" t="str">
        <f t="shared" si="63"/>
        <v>400013556R1</v>
      </c>
      <c r="E670" s="309" t="str">
        <f>VLOOKUP($B670,'D7 - NDB Impacted SPRF''s'!$E$6:$O$9929,2,FALSE)</f>
        <v>HPHC-Network Match Harvard Pilgrim JV Project</v>
      </c>
      <c r="F670" s="8" t="s">
        <v>5196</v>
      </c>
      <c r="G670" s="8" t="s">
        <v>4758</v>
      </c>
      <c r="H670" s="8" t="s">
        <v>4246</v>
      </c>
      <c r="I670" s="20">
        <v>3.33</v>
      </c>
      <c r="J670" s="8" t="s">
        <v>4862</v>
      </c>
      <c r="K670" s="182">
        <v>39116</v>
      </c>
      <c r="L670" s="8" t="s">
        <v>5743</v>
      </c>
      <c r="M670" s="8" t="s">
        <v>2814</v>
      </c>
      <c r="N670" s="367"/>
      <c r="O670" s="8"/>
      <c r="P670" s="4" t="str">
        <f>VLOOKUP($B670,'D7 - NDB Impacted SPRF''s'!$E$16:$O$9929,9,FALSE)</f>
        <v>N</v>
      </c>
      <c r="Q670" s="4" t="str">
        <f>VLOOKUP($B670,'D7 - NDB Impacted SPRF''s'!$E$16:$O$9929,10,FALSE)</f>
        <v>N</v>
      </c>
      <c r="R670" s="4" t="str">
        <f>VLOOKUP($B670,'D7 - NDB Impacted SPRF''s'!$E$16:$O$9929,11,FALSE)</f>
        <v>N</v>
      </c>
      <c r="S670" s="8"/>
      <c r="T670" s="310"/>
      <c r="U670" s="310"/>
      <c r="V670" s="4"/>
      <c r="W670" s="4"/>
      <c r="X670" s="4"/>
      <c r="Y670" s="4"/>
      <c r="Z670" s="4"/>
      <c r="AA670" s="4"/>
      <c r="AB670" s="380" t="str">
        <f>VLOOKUP($B670,'D7 - NDB Impacted SPRF''s'!$E$16:$O$9929,4,FALSE)</f>
        <v>Completed</v>
      </c>
      <c r="AC670" s="380" t="str">
        <f>VLOOKUP($B670,'D7 - NDB Impacted SPRF''s'!$E$16:$O$9929,3,FALSE)</f>
        <v>Alliance</v>
      </c>
      <c r="AD670" s="380" t="str">
        <f>VLOOKUP($B670,'D7 - NDB Impacted SPRF''s'!$E$16:$O$9929,5,FALSE)</f>
        <v>Harvard Pilgrim Service Alliance</v>
      </c>
      <c r="AE670" s="380" t="str">
        <f>VLOOKUP($B670,'D7 - NDB Impacted SPRF''s'!$E$16:$O$9929,7,FALSE)</f>
        <v>Kurt Roggendorf</v>
      </c>
      <c r="AF670" s="380" t="str">
        <f>VLOOKUP($B670,'D7 - NDB Impacted SPRF''s'!$E$16:$O$9929,6,FALSE)</f>
        <v>FRANKLIN BEARSS</v>
      </c>
      <c r="AG670" s="282"/>
      <c r="AH670" s="311" t="e">
        <f>INDEX('D5 - Gatekeeper - Projects'!$A$4:$AF$1010,$AM670, 17)</f>
        <v>#N/A</v>
      </c>
      <c r="AI670" s="8"/>
      <c r="AJ670" s="57"/>
      <c r="AK670" s="105"/>
      <c r="AM670" s="6" t="e">
        <f>MATCH(D670,'D5 - Gatekeeper - Projects'!$C$4:$C$1010,0)</f>
        <v>#N/A</v>
      </c>
      <c r="AN670" s="6" t="b">
        <f t="shared" si="61"/>
        <v>1</v>
      </c>
      <c r="AO670" s="6" t="str">
        <f t="shared" si="64"/>
        <v>OK</v>
      </c>
      <c r="AQ670" s="6" t="e">
        <f>MATCH($D670,'D4 - Provider Council Unsched'!$C$11:$C$234,0)</f>
        <v>#N/A</v>
      </c>
      <c r="AR670" s="6" t="b">
        <f t="shared" si="62"/>
        <v>1</v>
      </c>
      <c r="AS670" s="6" t="str">
        <f t="shared" si="60"/>
        <v>OK</v>
      </c>
      <c r="AU670" s="202"/>
      <c r="AV670" s="262"/>
      <c r="AW670" s="274"/>
    </row>
    <row r="671" spans="1:49" s="13" customFormat="1" ht="22.5" x14ac:dyDescent="0.2">
      <c r="A671" s="14">
        <v>647</v>
      </c>
      <c r="B671" s="14">
        <v>400013960</v>
      </c>
      <c r="C671" s="8" t="s">
        <v>5197</v>
      </c>
      <c r="D671" s="4" t="str">
        <f t="shared" si="63"/>
        <v>400013960R1</v>
      </c>
      <c r="E671" s="309" t="str">
        <f>VLOOKUP($B671,'D7 - NDB Impacted SPRF''s'!$E$6:$O$9929,2,FALSE)</f>
        <v xml:space="preserve">Update Provider Foundation Views </v>
      </c>
      <c r="F671" s="8" t="s">
        <v>2114</v>
      </c>
      <c r="G671" s="8" t="s">
        <v>4758</v>
      </c>
      <c r="H671" s="8" t="s">
        <v>4246</v>
      </c>
      <c r="I671" s="20">
        <v>2.67</v>
      </c>
      <c r="J671" s="8" t="s">
        <v>4862</v>
      </c>
      <c r="K671" s="182">
        <v>39116</v>
      </c>
      <c r="L671" s="8" t="s">
        <v>5743</v>
      </c>
      <c r="M671" s="8" t="s">
        <v>2814</v>
      </c>
      <c r="N671" s="367" t="s">
        <v>6830</v>
      </c>
      <c r="O671" s="8"/>
      <c r="P671" s="4" t="str">
        <f>VLOOKUP($B671,'D7 - NDB Impacted SPRF''s'!$E$16:$O$9929,9,FALSE)</f>
        <v>N</v>
      </c>
      <c r="Q671" s="4" t="str">
        <f>VLOOKUP($B671,'D7 - NDB Impacted SPRF''s'!$E$16:$O$9929,10,FALSE)</f>
        <v>N</v>
      </c>
      <c r="R671" s="4" t="str">
        <f>VLOOKUP($B671,'D7 - NDB Impacted SPRF''s'!$E$16:$O$9929,11,FALSE)</f>
        <v>N</v>
      </c>
      <c r="S671" s="8"/>
      <c r="T671" s="310"/>
      <c r="U671" s="310"/>
      <c r="V671" s="4"/>
      <c r="W671" s="4"/>
      <c r="X671" s="4"/>
      <c r="Y671" s="4"/>
      <c r="Z671" s="4"/>
      <c r="AA671" s="4"/>
      <c r="AB671" s="380" t="str">
        <f>VLOOKUP($B671,'D7 - NDB Impacted SPRF''s'!$E$16:$O$9929,4,FALSE)</f>
        <v>Completed</v>
      </c>
      <c r="AC671" s="380" t="str">
        <f>VLOOKUP($B671,'D7 - NDB Impacted SPRF''s'!$E$16:$O$9929,3,FALSE)</f>
        <v>OptumHealth</v>
      </c>
      <c r="AD671" s="380" t="str">
        <f>VLOOKUP($B671,'D7 - NDB Impacted SPRF''s'!$E$16:$O$9929,5,FALSE)</f>
        <v>HSG</v>
      </c>
      <c r="AE671" s="380" t="str">
        <f>VLOOKUP($B671,'D7 - NDB Impacted SPRF''s'!$E$16:$O$9929,7,FALSE)</f>
        <v>Harlan Levine</v>
      </c>
      <c r="AF671" s="380" t="str">
        <f>VLOOKUP($B671,'D7 - NDB Impacted SPRF''s'!$E$16:$O$9929,6,FALSE)</f>
        <v>SHARON MCCARTHY</v>
      </c>
      <c r="AG671" s="282"/>
      <c r="AH671" s="311" t="e">
        <f>INDEX('D5 - Gatekeeper - Projects'!$A$4:$AF$1010,$AM671, 17)</f>
        <v>#N/A</v>
      </c>
      <c r="AI671" s="8"/>
      <c r="AJ671" s="57"/>
      <c r="AK671" s="105"/>
      <c r="AM671" s="6" t="e">
        <f>MATCH(D671,'D5 - Gatekeeper - Projects'!$C$4:$C$1010,0)</f>
        <v>#N/A</v>
      </c>
      <c r="AN671" s="6" t="b">
        <f t="shared" si="61"/>
        <v>1</v>
      </c>
      <c r="AO671" s="6" t="str">
        <f t="shared" si="64"/>
        <v>OK</v>
      </c>
      <c r="AQ671" s="6" t="e">
        <f>MATCH($D671,'D4 - Provider Council Unsched'!$C$11:$C$234,0)</f>
        <v>#N/A</v>
      </c>
      <c r="AR671" s="6" t="b">
        <f t="shared" si="62"/>
        <v>1</v>
      </c>
      <c r="AS671" s="6" t="str">
        <f t="shared" si="60"/>
        <v>OK</v>
      </c>
      <c r="AU671" s="202"/>
      <c r="AV671" s="262"/>
      <c r="AW671" s="274"/>
    </row>
    <row r="672" spans="1:49" s="13" customFormat="1" ht="33.75" x14ac:dyDescent="0.2">
      <c r="A672" s="14">
        <v>648</v>
      </c>
      <c r="B672" s="14">
        <v>400014002</v>
      </c>
      <c r="C672" s="8" t="s">
        <v>5197</v>
      </c>
      <c r="D672" s="4" t="str">
        <f t="shared" si="63"/>
        <v>400014002R1</v>
      </c>
      <c r="E672" s="309" t="str">
        <f>VLOOKUP($B672,'D7 - NDB Impacted SPRF''s'!$E$6:$O$9929,2,FALSE)</f>
        <v>Add More Pages to NDB Svc Cat Table- Analysis Only</v>
      </c>
      <c r="F672" s="8" t="s">
        <v>2114</v>
      </c>
      <c r="G672" s="8" t="s">
        <v>4758</v>
      </c>
      <c r="H672" s="8" t="s">
        <v>4246</v>
      </c>
      <c r="I672" s="20">
        <v>0.53</v>
      </c>
      <c r="J672" s="8" t="s">
        <v>4862</v>
      </c>
      <c r="K672" s="182">
        <v>39116</v>
      </c>
      <c r="L672" s="8" t="s">
        <v>5743</v>
      </c>
      <c r="M672" s="8" t="s">
        <v>6688</v>
      </c>
      <c r="N672" s="367"/>
      <c r="O672" s="8"/>
      <c r="P672" s="4" t="str">
        <f>VLOOKUP($B672,'D7 - NDB Impacted SPRF''s'!$E$16:$O$9929,9,FALSE)</f>
        <v>N</v>
      </c>
      <c r="Q672" s="4" t="str">
        <f>VLOOKUP($B672,'D7 - NDB Impacted SPRF''s'!$E$16:$O$9929,10,FALSE)</f>
        <v>N</v>
      </c>
      <c r="R672" s="4" t="str">
        <f>VLOOKUP($B672,'D7 - NDB Impacted SPRF''s'!$E$16:$O$9929,11,FALSE)</f>
        <v>N</v>
      </c>
      <c r="S672" s="8"/>
      <c r="T672" s="310"/>
      <c r="U672" s="310"/>
      <c r="V672" s="4"/>
      <c r="W672" s="4"/>
      <c r="X672" s="4"/>
      <c r="Y672" s="4"/>
      <c r="Z672" s="4"/>
      <c r="AA672" s="4"/>
      <c r="AB672" s="380" t="str">
        <f>VLOOKUP($B672,'D7 - NDB Impacted SPRF''s'!$E$16:$O$9929,4,FALSE)</f>
        <v>Completed</v>
      </c>
      <c r="AC672" s="380" t="str">
        <f>VLOOKUP($B672,'D7 - NDB Impacted SPRF''s'!$E$16:$O$9929,3,FALSE)</f>
        <v>UnitedHealthcare Employer &amp; Individual</v>
      </c>
      <c r="AD672" s="380" t="str">
        <f>VLOOKUP($B672,'D7 - NDB Impacted SPRF''s'!$E$16:$O$9929,5,FALSE)</f>
        <v>Network Growth / Enhancements</v>
      </c>
      <c r="AE672" s="380" t="str">
        <f>VLOOKUP($B672,'D7 - NDB Impacted SPRF''s'!$E$16:$O$9929,7,FALSE)</f>
        <v>Barbara Stenger</v>
      </c>
      <c r="AF672" s="380" t="str">
        <f>VLOOKUP($B672,'D7 - NDB Impacted SPRF''s'!$E$16:$O$9929,6,FALSE)</f>
        <v>JACQUELINE DEMARINIS</v>
      </c>
      <c r="AG672" s="282"/>
      <c r="AH672" s="311" t="e">
        <f>INDEX('D5 - Gatekeeper - Projects'!$A$4:$AF$1010,$AM672, 17)</f>
        <v>#N/A</v>
      </c>
      <c r="AI672" s="8"/>
      <c r="AJ672" s="57"/>
      <c r="AK672" s="105"/>
      <c r="AM672" s="6" t="e">
        <f>MATCH(D672,'D5 - Gatekeeper - Projects'!$C$4:$C$1010,0)</f>
        <v>#N/A</v>
      </c>
      <c r="AN672" s="6" t="b">
        <f t="shared" si="61"/>
        <v>1</v>
      </c>
      <c r="AO672" s="6" t="str">
        <f t="shared" si="64"/>
        <v>OK</v>
      </c>
      <c r="AQ672" s="6" t="e">
        <f>MATCH($D672,'D4 - Provider Council Unsched'!$C$11:$C$234,0)</f>
        <v>#N/A</v>
      </c>
      <c r="AR672" s="6" t="b">
        <f t="shared" si="62"/>
        <v>1</v>
      </c>
      <c r="AS672" s="6" t="str">
        <f t="shared" si="60"/>
        <v>OK</v>
      </c>
      <c r="AU672" s="202"/>
      <c r="AV672" s="262"/>
      <c r="AW672" s="274"/>
    </row>
    <row r="673" spans="1:49" s="13" customFormat="1" x14ac:dyDescent="0.2">
      <c r="A673" s="14">
        <v>649</v>
      </c>
      <c r="B673" s="14">
        <v>400014596</v>
      </c>
      <c r="C673" s="8" t="s">
        <v>5197</v>
      </c>
      <c r="D673" s="4" t="str">
        <f t="shared" si="63"/>
        <v>400014596R1</v>
      </c>
      <c r="E673" s="309" t="str">
        <f>VLOOKUP($B673,'D7 - NDB Impacted SPRF''s'!$E$6:$O$9929,2,FALSE)</f>
        <v>1/1/2007 Readiness</v>
      </c>
      <c r="F673" s="8" t="s">
        <v>2114</v>
      </c>
      <c r="G673" s="8" t="s">
        <v>4758</v>
      </c>
      <c r="H673" s="8" t="s">
        <v>4246</v>
      </c>
      <c r="I673" s="20">
        <v>0.01</v>
      </c>
      <c r="J673" s="8" t="s">
        <v>4862</v>
      </c>
      <c r="K673" s="182">
        <v>39116</v>
      </c>
      <c r="L673" s="8" t="s">
        <v>5743</v>
      </c>
      <c r="M673" s="8" t="s">
        <v>2814</v>
      </c>
      <c r="N673" s="38" t="s">
        <v>2975</v>
      </c>
      <c r="O673" s="8"/>
      <c r="P673" s="4" t="str">
        <f>VLOOKUP($B673,'D7 - NDB Impacted SPRF''s'!$E$16:$O$9929,9,FALSE)</f>
        <v>N</v>
      </c>
      <c r="Q673" s="4" t="str">
        <f>VLOOKUP($B673,'D7 - NDB Impacted SPRF''s'!$E$16:$O$9929,10,FALSE)</f>
        <v>N</v>
      </c>
      <c r="R673" s="4" t="str">
        <f>VLOOKUP($B673,'D7 - NDB Impacted SPRF''s'!$E$16:$O$9929,11,FALSE)</f>
        <v>N</v>
      </c>
      <c r="S673" s="8"/>
      <c r="T673" s="310"/>
      <c r="U673" s="310"/>
      <c r="V673" s="4"/>
      <c r="W673" s="4"/>
      <c r="X673" s="4"/>
      <c r="Y673" s="4"/>
      <c r="Z673" s="4"/>
      <c r="AA673" s="4"/>
      <c r="AB673" s="380" t="str">
        <f>VLOOKUP($B673,'D7 - NDB Impacted SPRF''s'!$E$16:$O$9929,4,FALSE)</f>
        <v>Completed</v>
      </c>
      <c r="AC673" s="380" t="str">
        <f>VLOOKUP($B673,'D7 - NDB Impacted SPRF''s'!$E$16:$O$9929,3,FALSE)</f>
        <v>Uniprise</v>
      </c>
      <c r="AD673" s="380" t="str">
        <f>VLOOKUP($B673,'D7 - NDB Impacted SPRF''s'!$E$16:$O$9929,5,FALSE)</f>
        <v>Uniprise Technologies - DDC</v>
      </c>
      <c r="AE673" s="380" t="str">
        <f>VLOOKUP($B673,'D7 - NDB Impacted SPRF''s'!$E$16:$O$9929,7,FALSE)</f>
        <v>John Santelli</v>
      </c>
      <c r="AF673" s="380" t="str">
        <f>VLOOKUP($B673,'D7 - NDB Impacted SPRF''s'!$E$16:$O$9929,6,FALSE)</f>
        <v>Pete Anderson</v>
      </c>
      <c r="AG673" s="282"/>
      <c r="AH673" s="311" t="e">
        <f>INDEX('D5 - Gatekeeper - Projects'!$A$4:$AF$1010,$AM673, 17)</f>
        <v>#N/A</v>
      </c>
      <c r="AI673" s="8"/>
      <c r="AJ673" s="57"/>
      <c r="AK673" s="105"/>
      <c r="AM673" s="6" t="e">
        <f>MATCH(D673,'D5 - Gatekeeper - Projects'!$C$4:$C$1010,0)</f>
        <v>#N/A</v>
      </c>
      <c r="AN673" s="6" t="b">
        <f t="shared" si="61"/>
        <v>1</v>
      </c>
      <c r="AO673" s="6" t="str">
        <f t="shared" si="64"/>
        <v>OK</v>
      </c>
      <c r="AQ673" s="6" t="e">
        <f>MATCH($D673,'D4 - Provider Council Unsched'!$C$11:$C$234,0)</f>
        <v>#N/A</v>
      </c>
      <c r="AR673" s="6" t="b">
        <f t="shared" si="62"/>
        <v>1</v>
      </c>
      <c r="AS673" s="6" t="str">
        <f t="shared" si="60"/>
        <v>OK</v>
      </c>
      <c r="AU673" s="202"/>
      <c r="AV673" s="262"/>
      <c r="AW673" s="274"/>
    </row>
    <row r="674" spans="1:49" s="13" customFormat="1" ht="33.75" x14ac:dyDescent="0.2">
      <c r="A674" s="14">
        <v>650</v>
      </c>
      <c r="B674" s="14">
        <v>400014855</v>
      </c>
      <c r="C674" s="8" t="s">
        <v>5197</v>
      </c>
      <c r="D674" s="4" t="str">
        <f t="shared" si="63"/>
        <v>400014855R1</v>
      </c>
      <c r="E674" s="309" t="str">
        <f>VLOOKUP($B674,'D7 - NDB Impacted SPRF''s'!$E$6:$O$9929,2,FALSE)</f>
        <v>NDB AMAV Table update - Add New Specialties</v>
      </c>
      <c r="F674" s="8" t="s">
        <v>4069</v>
      </c>
      <c r="G674" s="8" t="s">
        <v>4758</v>
      </c>
      <c r="H674" s="8" t="s">
        <v>4246</v>
      </c>
      <c r="I674" s="20">
        <v>0.27</v>
      </c>
      <c r="J674" s="8" t="s">
        <v>4862</v>
      </c>
      <c r="K674" s="182">
        <v>39116</v>
      </c>
      <c r="L674" s="8" t="s">
        <v>5743</v>
      </c>
      <c r="M674" s="8" t="s">
        <v>6007</v>
      </c>
      <c r="N674" s="38" t="s">
        <v>5003</v>
      </c>
      <c r="O674" s="8"/>
      <c r="P674" s="4" t="str">
        <f>VLOOKUP($B674,'D7 - NDB Impacted SPRF''s'!$E$16:$O$9929,9,FALSE)</f>
        <v>N</v>
      </c>
      <c r="Q674" s="4" t="str">
        <f>VLOOKUP($B674,'D7 - NDB Impacted SPRF''s'!$E$16:$O$9929,10,FALSE)</f>
        <v>N</v>
      </c>
      <c r="R674" s="4" t="str">
        <f>VLOOKUP($B674,'D7 - NDB Impacted SPRF''s'!$E$16:$O$9929,11,FALSE)</f>
        <v>N</v>
      </c>
      <c r="S674" s="8"/>
      <c r="T674" s="310"/>
      <c r="U674" s="310"/>
      <c r="V674" s="4"/>
      <c r="W674" s="4"/>
      <c r="X674" s="4"/>
      <c r="Y674" s="4"/>
      <c r="Z674" s="4"/>
      <c r="AA674" s="4"/>
      <c r="AB674" s="380" t="str">
        <f>VLOOKUP($B674,'D7 - NDB Impacted SPRF''s'!$E$16:$O$9929,4,FALSE)</f>
        <v>Completed</v>
      </c>
      <c r="AC674" s="380" t="str">
        <f>VLOOKUP($B674,'D7 - NDB Impacted SPRF''s'!$E$16:$O$9929,3,FALSE)</f>
        <v>UnitedHealthcare Employer &amp; Individual</v>
      </c>
      <c r="AD674" s="380" t="str">
        <f>VLOOKUP($B674,'D7 - NDB Impacted SPRF''s'!$E$16:$O$9929,5,FALSE)</f>
        <v>Network Growth / Enhancements</v>
      </c>
      <c r="AE674" s="380" t="str">
        <f>VLOOKUP($B674,'D7 - NDB Impacted SPRF''s'!$E$16:$O$9929,7,FALSE)</f>
        <v>Tim Kaja</v>
      </c>
      <c r="AF674" s="380" t="str">
        <f>VLOOKUP($B674,'D7 - NDB Impacted SPRF''s'!$E$16:$O$9929,6,FALSE)</f>
        <v>MARCIA MONACO</v>
      </c>
      <c r="AG674" s="282"/>
      <c r="AH674" s="311" t="e">
        <f>INDEX('D5 - Gatekeeper - Projects'!$A$4:$AF$1010,$AM674, 17)</f>
        <v>#N/A</v>
      </c>
      <c r="AI674" s="8"/>
      <c r="AJ674" s="57"/>
      <c r="AK674" s="105"/>
      <c r="AM674" s="6" t="e">
        <f>MATCH(D674,'D5 - Gatekeeper - Projects'!$C$4:$C$1010,0)</f>
        <v>#N/A</v>
      </c>
      <c r="AN674" s="6" t="b">
        <f t="shared" si="61"/>
        <v>1</v>
      </c>
      <c r="AO674" s="6" t="str">
        <f t="shared" si="64"/>
        <v>OK</v>
      </c>
      <c r="AQ674" s="6" t="e">
        <f>MATCH($D674,'D4 - Provider Council Unsched'!$C$11:$C$234,0)</f>
        <v>#N/A</v>
      </c>
      <c r="AR674" s="6" t="b">
        <f t="shared" si="62"/>
        <v>1</v>
      </c>
      <c r="AS674" s="6" t="str">
        <f t="shared" si="60"/>
        <v>OK</v>
      </c>
      <c r="AU674" s="202"/>
      <c r="AV674" s="262"/>
      <c r="AW674" s="274"/>
    </row>
    <row r="675" spans="1:49" s="13" customFormat="1" ht="22.5" x14ac:dyDescent="0.2">
      <c r="A675" s="14">
        <v>651</v>
      </c>
      <c r="B675" s="14">
        <v>400015728</v>
      </c>
      <c r="C675" s="8" t="s">
        <v>5197</v>
      </c>
      <c r="D675" s="4" t="str">
        <f t="shared" si="63"/>
        <v>400015728R1</v>
      </c>
      <c r="E675" s="309" t="str">
        <f>VLOOKUP($B675,'D7 - NDB Impacted SPRF''s'!$E$6:$O$9929,2,FALSE)</f>
        <v>HPHC1 - Network-'G' Record Layout Phase II</v>
      </c>
      <c r="F675" s="8" t="s">
        <v>5196</v>
      </c>
      <c r="G675" s="8" t="s">
        <v>4758</v>
      </c>
      <c r="H675" s="8" t="s">
        <v>4246</v>
      </c>
      <c r="I675" s="20">
        <v>0.96</v>
      </c>
      <c r="J675" s="8" t="s">
        <v>4862</v>
      </c>
      <c r="K675" s="182">
        <v>39116</v>
      </c>
      <c r="L675" s="8" t="s">
        <v>5743</v>
      </c>
      <c r="M675" s="8" t="s">
        <v>6688</v>
      </c>
      <c r="N675" s="38"/>
      <c r="O675" s="8"/>
      <c r="P675" s="4" t="str">
        <f>VLOOKUP($B675,'D7 - NDB Impacted SPRF''s'!$E$16:$O$9929,9,FALSE)</f>
        <v>N</v>
      </c>
      <c r="Q675" s="4" t="str">
        <f>VLOOKUP($B675,'D7 - NDB Impacted SPRF''s'!$E$16:$O$9929,10,FALSE)</f>
        <v>N</v>
      </c>
      <c r="R675" s="4" t="str">
        <f>VLOOKUP($B675,'D7 - NDB Impacted SPRF''s'!$E$16:$O$9929,11,FALSE)</f>
        <v>N</v>
      </c>
      <c r="S675" s="8"/>
      <c r="T675" s="310"/>
      <c r="U675" s="310"/>
      <c r="V675" s="4"/>
      <c r="W675" s="4"/>
      <c r="X675" s="4"/>
      <c r="Y675" s="4"/>
      <c r="Z675" s="4"/>
      <c r="AA675" s="4"/>
      <c r="AB675" s="380" t="str">
        <f>VLOOKUP($B675,'D7 - NDB Impacted SPRF''s'!$E$16:$O$9929,4,FALSE)</f>
        <v>Completed</v>
      </c>
      <c r="AC675" s="380" t="str">
        <f>VLOOKUP($B675,'D7 - NDB Impacted SPRF''s'!$E$16:$O$9929,3,FALSE)</f>
        <v>Alliance</v>
      </c>
      <c r="AD675" s="380" t="str">
        <f>VLOOKUP($B675,'D7 - NDB Impacted SPRF''s'!$E$16:$O$9929,5,FALSE)</f>
        <v>Harvard Pilgrim Service Alliance</v>
      </c>
      <c r="AE675" s="380" t="str">
        <f>VLOOKUP($B675,'D7 - NDB Impacted SPRF''s'!$E$16:$O$9929,7,FALSE)</f>
        <v>Diane Schofield, Deborah Streb</v>
      </c>
      <c r="AF675" s="380" t="str">
        <f>VLOOKUP($B675,'D7 - NDB Impacted SPRF''s'!$E$16:$O$9929,6,FALSE)</f>
        <v>GREGORY MILLS</v>
      </c>
      <c r="AG675" s="282"/>
      <c r="AH675" s="311" t="e">
        <f>INDEX('D5 - Gatekeeper - Projects'!$A$4:$AF$1010,$AM675, 17)</f>
        <v>#N/A</v>
      </c>
      <c r="AI675" s="8"/>
      <c r="AJ675" s="57"/>
      <c r="AK675" s="105"/>
      <c r="AM675" s="6" t="e">
        <f>MATCH(D675,'D5 - Gatekeeper - Projects'!$C$4:$C$1010,0)</f>
        <v>#N/A</v>
      </c>
      <c r="AN675" s="6" t="b">
        <f t="shared" si="61"/>
        <v>1</v>
      </c>
      <c r="AO675" s="6" t="str">
        <f t="shared" si="64"/>
        <v>OK</v>
      </c>
      <c r="AQ675" s="6" t="e">
        <f>MATCH($D675,'D4 - Provider Council Unsched'!$C$11:$C$234,0)</f>
        <v>#N/A</v>
      </c>
      <c r="AR675" s="6" t="b">
        <f t="shared" si="62"/>
        <v>1</v>
      </c>
      <c r="AS675" s="6" t="str">
        <f t="shared" si="60"/>
        <v>OK</v>
      </c>
      <c r="AU675" s="202"/>
      <c r="AV675" s="262"/>
      <c r="AW675" s="274"/>
    </row>
    <row r="676" spans="1:49" s="13" customFormat="1" ht="78.75" x14ac:dyDescent="0.2">
      <c r="A676" s="14">
        <v>652</v>
      </c>
      <c r="B676" s="14">
        <v>400009001</v>
      </c>
      <c r="C676" s="8" t="s">
        <v>5197</v>
      </c>
      <c r="D676" s="4" t="str">
        <f t="shared" si="63"/>
        <v>400009001R1</v>
      </c>
      <c r="E676" s="309" t="str">
        <f>VLOOKUP($B676,'D7 - NDB Impacted SPRF''s'!$E$6:$O$9929,2,FALSE)</f>
        <v>WO - Modify PTI Report to sort by state and filter</v>
      </c>
      <c r="F676" s="8" t="s">
        <v>6007</v>
      </c>
      <c r="G676" s="8" t="s">
        <v>4758</v>
      </c>
      <c r="H676" s="8" t="s">
        <v>4246</v>
      </c>
      <c r="I676" s="20">
        <v>1.06</v>
      </c>
      <c r="J676" s="8" t="s">
        <v>4862</v>
      </c>
      <c r="K676" s="182">
        <v>39165</v>
      </c>
      <c r="L676" s="8" t="s">
        <v>5743</v>
      </c>
      <c r="M676" s="8" t="s">
        <v>6007</v>
      </c>
      <c r="N676" s="370" t="s">
        <v>7752</v>
      </c>
      <c r="O676" s="8"/>
      <c r="P676" s="4" t="str">
        <f>VLOOKUP($B676,'D7 - NDB Impacted SPRF''s'!$E$16:$O$9929,9,FALSE)</f>
        <v>N</v>
      </c>
      <c r="Q676" s="4" t="str">
        <f>VLOOKUP($B676,'D7 - NDB Impacted SPRF''s'!$E$16:$O$9929,10,FALSE)</f>
        <v>N</v>
      </c>
      <c r="R676" s="4" t="str">
        <f>VLOOKUP($B676,'D7 - NDB Impacted SPRF''s'!$E$16:$O$9929,11,FALSE)</f>
        <v>N</v>
      </c>
      <c r="S676" s="8" t="s">
        <v>3758</v>
      </c>
      <c r="T676" s="310"/>
      <c r="U676" s="310"/>
      <c r="V676" s="4"/>
      <c r="W676" s="4"/>
      <c r="X676" s="4"/>
      <c r="Y676" s="4"/>
      <c r="Z676" s="4"/>
      <c r="AA676" s="4"/>
      <c r="AB676" s="380" t="str">
        <f>VLOOKUP($B676,'D7 - NDB Impacted SPRF''s'!$E$16:$O$9929,4,FALSE)</f>
        <v>Completed</v>
      </c>
      <c r="AC676" s="380" t="str">
        <f>VLOOKUP($B676,'D7 - NDB Impacted SPRF''s'!$E$16:$O$9929,3,FALSE)</f>
        <v>UnitedHealthcare Employer &amp; Individual</v>
      </c>
      <c r="AD676" s="380" t="str">
        <f>VLOOKUP($B676,'D7 - NDB Impacted SPRF''s'!$E$16:$O$9929,5,FALSE)</f>
        <v>Network Growth / Enhancements</v>
      </c>
      <c r="AE676" s="380" t="str">
        <f>VLOOKUP($B676,'D7 - NDB Impacted SPRF''s'!$E$16:$O$9929,7,FALSE)</f>
        <v>Ed Novinski</v>
      </c>
      <c r="AF676" s="380" t="str">
        <f>VLOOKUP($B676,'D7 - NDB Impacted SPRF''s'!$E$16:$O$9929,6,FALSE)</f>
        <v>STEPHEN FINLEY</v>
      </c>
      <c r="AG676" s="282" t="s">
        <v>7755</v>
      </c>
      <c r="AH676" s="311" t="e">
        <f>INDEX('D5 - Gatekeeper - Projects'!$A$4:$AF$1010,$AM676, 17)</f>
        <v>#N/A</v>
      </c>
      <c r="AI676" s="8"/>
      <c r="AJ676" s="57"/>
      <c r="AK676" s="105"/>
      <c r="AM676" s="6" t="e">
        <f>MATCH(D676,'D5 - Gatekeeper - Projects'!$C$4:$C$1010,0)</f>
        <v>#N/A</v>
      </c>
      <c r="AN676" s="6" t="b">
        <f t="shared" si="61"/>
        <v>1</v>
      </c>
      <c r="AO676" s="6" t="str">
        <f t="shared" si="64"/>
        <v>OK</v>
      </c>
      <c r="AQ676" s="6" t="e">
        <f>MATCH($D676,'D4 - Provider Council Unsched'!$C$11:$C$234,0)</f>
        <v>#N/A</v>
      </c>
      <c r="AR676" s="6" t="b">
        <f t="shared" si="62"/>
        <v>1</v>
      </c>
      <c r="AS676" s="6" t="str">
        <f t="shared" si="60"/>
        <v>OK</v>
      </c>
      <c r="AU676" s="202"/>
      <c r="AV676" s="262"/>
      <c r="AW676" s="274"/>
    </row>
    <row r="677" spans="1:49" s="13" customFormat="1" ht="33.75" x14ac:dyDescent="0.2">
      <c r="A677" s="14">
        <v>653</v>
      </c>
      <c r="B677" s="14">
        <v>400009165</v>
      </c>
      <c r="C677" s="8" t="s">
        <v>5197</v>
      </c>
      <c r="D677" s="4" t="str">
        <f t="shared" si="63"/>
        <v>400009165R1</v>
      </c>
      <c r="E677" s="309" t="str">
        <f>VLOOKUP($B677,'D7 - NDB Impacted SPRF''s'!$E$6:$O$9929,2,FALSE)</f>
        <v>HPI/Harvard Pilgrim UB92 Only Pricing on ppoOne</v>
      </c>
      <c r="F677" s="8" t="s">
        <v>5196</v>
      </c>
      <c r="G677" s="8" t="s">
        <v>4758</v>
      </c>
      <c r="H677" s="8" t="s">
        <v>4246</v>
      </c>
      <c r="I677" s="20">
        <v>1</v>
      </c>
      <c r="J677" s="8" t="s">
        <v>7114</v>
      </c>
      <c r="K677" s="182">
        <v>39165</v>
      </c>
      <c r="L677" s="8" t="s">
        <v>6919</v>
      </c>
      <c r="M677" s="8" t="s">
        <v>2814</v>
      </c>
      <c r="N677" s="38"/>
      <c r="O677" s="8"/>
      <c r="P677" s="4" t="str">
        <f>VLOOKUP($B677,'D7 - NDB Impacted SPRF''s'!$E$16:$O$9929,9,FALSE)</f>
        <v>N</v>
      </c>
      <c r="Q677" s="4" t="str">
        <f>VLOOKUP($B677,'D7 - NDB Impacted SPRF''s'!$E$16:$O$9929,10,FALSE)</f>
        <v>N</v>
      </c>
      <c r="R677" s="4" t="str">
        <f>VLOOKUP($B677,'D7 - NDB Impacted SPRF''s'!$E$16:$O$9929,11,FALSE)</f>
        <v>N</v>
      </c>
      <c r="S677" s="8" t="s">
        <v>3758</v>
      </c>
      <c r="T677" s="310"/>
      <c r="U677" s="310"/>
      <c r="V677" s="4"/>
      <c r="W677" s="4"/>
      <c r="X677" s="4"/>
      <c r="Y677" s="4"/>
      <c r="Z677" s="4"/>
      <c r="AA677" s="4"/>
      <c r="AB677" s="380" t="str">
        <f>VLOOKUP($B677,'D7 - NDB Impacted SPRF''s'!$E$16:$O$9929,4,FALSE)</f>
        <v>Completed</v>
      </c>
      <c r="AC677" s="380" t="str">
        <f>VLOOKUP($B677,'D7 - NDB Impacted SPRF''s'!$E$16:$O$9929,3,FALSE)</f>
        <v>UnitedHealthcare Employer &amp; Individual</v>
      </c>
      <c r="AD677" s="380" t="str">
        <f>VLOOKUP($B677,'D7 - NDB Impacted SPRF''s'!$E$16:$O$9929,5,FALSE)</f>
        <v>Medical Cost Savings Programs</v>
      </c>
      <c r="AE677" s="380" t="str">
        <f>VLOOKUP($B677,'D7 - NDB Impacted SPRF''s'!$E$16:$O$9929,7,FALSE)</f>
        <v>Patrick Kennedy</v>
      </c>
      <c r="AF677" s="380" t="str">
        <f>VLOOKUP($B677,'D7 - NDB Impacted SPRF''s'!$E$16:$O$9929,6,FALSE)</f>
        <v>DAWN BOLLER</v>
      </c>
      <c r="AG677" s="282" t="s">
        <v>6162</v>
      </c>
      <c r="AH677" s="311" t="e">
        <f>INDEX('D5 - Gatekeeper - Projects'!$A$4:$AF$1010,$AM677, 17)</f>
        <v>#N/A</v>
      </c>
      <c r="AI677" s="8"/>
      <c r="AJ677" s="57"/>
      <c r="AK677" s="105"/>
      <c r="AM677" s="6" t="e">
        <f>MATCH(D677,'D5 - Gatekeeper - Projects'!$C$4:$C$1010,0)</f>
        <v>#N/A</v>
      </c>
      <c r="AN677" s="6" t="b">
        <f t="shared" si="61"/>
        <v>1</v>
      </c>
      <c r="AO677" s="6" t="str">
        <f t="shared" si="64"/>
        <v>OK</v>
      </c>
      <c r="AQ677" s="6" t="e">
        <f>MATCH($D677,'D4 - Provider Council Unsched'!$C$11:$C$234,0)</f>
        <v>#N/A</v>
      </c>
      <c r="AR677" s="6" t="b">
        <f t="shared" si="62"/>
        <v>1</v>
      </c>
      <c r="AS677" s="6" t="str">
        <f t="shared" si="60"/>
        <v>OK</v>
      </c>
      <c r="AU677" s="202"/>
      <c r="AV677" s="262"/>
      <c r="AW677" s="274"/>
    </row>
    <row r="678" spans="1:49" s="13" customFormat="1" x14ac:dyDescent="0.2">
      <c r="A678" s="14">
        <v>654</v>
      </c>
      <c r="B678" s="14">
        <v>400009947</v>
      </c>
      <c r="C678" s="8" t="s">
        <v>3812</v>
      </c>
      <c r="D678" s="4" t="str">
        <f t="shared" si="63"/>
        <v>400009947CC05</v>
      </c>
      <c r="E678" s="309" t="str">
        <f>VLOOKUP($B678,'D7 - NDB Impacted SPRF''s'!$E$6:$O$9929,2,FALSE)</f>
        <v>CORP1-NDB-EA Security P1:Contract Designation Key</v>
      </c>
      <c r="F678" s="8" t="s">
        <v>5196</v>
      </c>
      <c r="G678" s="8" t="s">
        <v>4758</v>
      </c>
      <c r="H678" s="8" t="s">
        <v>4246</v>
      </c>
      <c r="I678" s="20">
        <v>29.83</v>
      </c>
      <c r="J678" s="8" t="s">
        <v>4862</v>
      </c>
      <c r="K678" s="182">
        <v>39165</v>
      </c>
      <c r="L678" s="8" t="s">
        <v>5743</v>
      </c>
      <c r="M678" s="8" t="s">
        <v>2814</v>
      </c>
      <c r="N678" s="367"/>
      <c r="O678" s="8"/>
      <c r="P678" s="4" t="str">
        <f>VLOOKUP($B678,'D7 - NDB Impacted SPRF''s'!$E$16:$O$9929,9,FALSE)</f>
        <v>N</v>
      </c>
      <c r="Q678" s="4" t="str">
        <f>VLOOKUP($B678,'D7 - NDB Impacted SPRF''s'!$E$16:$O$9929,10,FALSE)</f>
        <v>N</v>
      </c>
      <c r="R678" s="4" t="str">
        <f>VLOOKUP($B678,'D7 - NDB Impacted SPRF''s'!$E$16:$O$9929,11,FALSE)</f>
        <v>Y</v>
      </c>
      <c r="S678" s="8"/>
      <c r="T678" s="310"/>
      <c r="U678" s="310"/>
      <c r="V678" s="4"/>
      <c r="W678" s="4"/>
      <c r="X678" s="4"/>
      <c r="Y678" s="4"/>
      <c r="Z678" s="4"/>
      <c r="AA678" s="4"/>
      <c r="AB678" s="380" t="str">
        <f>VLOOKUP($B678,'D7 - NDB Impacted SPRF''s'!$E$16:$O$9929,4,FALSE)</f>
        <v>Completed</v>
      </c>
      <c r="AC678" s="380" t="str">
        <f>VLOOKUP($B678,'D7 - NDB Impacted SPRF''s'!$E$16:$O$9929,3,FALSE)</f>
        <v>Alliance</v>
      </c>
      <c r="AD678" s="380" t="str">
        <f>VLOOKUP($B678,'D7 - NDB Impacted SPRF''s'!$E$16:$O$9929,5,FALSE)</f>
        <v>Healthcare Service Alliance</v>
      </c>
      <c r="AE678" s="380" t="str">
        <f>VLOOKUP($B678,'D7 - NDB Impacted SPRF''s'!$E$16:$O$9929,7,FALSE)</f>
        <v>Bev Nyce</v>
      </c>
      <c r="AF678" s="380" t="str">
        <f>VLOOKUP($B678,'D7 - NDB Impacted SPRF''s'!$E$16:$O$9929,6,FALSE)</f>
        <v>Susan Neal</v>
      </c>
      <c r="AG678" s="282"/>
      <c r="AH678" s="311" t="e">
        <f>INDEX('D5 - Gatekeeper - Projects'!$A$4:$AF$1010,$AM678, 17)</f>
        <v>#N/A</v>
      </c>
      <c r="AI678" s="8"/>
      <c r="AJ678" s="57"/>
      <c r="AK678" s="105"/>
      <c r="AM678" s="6" t="e">
        <f>MATCH(D678,'D5 - Gatekeeper - Projects'!$C$4:$C$1010,0)</f>
        <v>#N/A</v>
      </c>
      <c r="AN678" s="6" t="b">
        <f t="shared" si="61"/>
        <v>1</v>
      </c>
      <c r="AO678" s="6" t="str">
        <f t="shared" si="64"/>
        <v>OK</v>
      </c>
      <c r="AQ678" s="6" t="e">
        <f>MATCH($D678,'D4 - Provider Council Unsched'!$C$11:$C$234,0)</f>
        <v>#N/A</v>
      </c>
      <c r="AR678" s="6" t="b">
        <f t="shared" si="62"/>
        <v>1</v>
      </c>
      <c r="AS678" s="6" t="str">
        <f t="shared" si="60"/>
        <v>OK</v>
      </c>
      <c r="AU678" s="202"/>
      <c r="AV678" s="262"/>
      <c r="AW678" s="274"/>
    </row>
    <row r="679" spans="1:49" s="13" customFormat="1" ht="33.75" x14ac:dyDescent="0.2">
      <c r="A679" s="14">
        <v>655</v>
      </c>
      <c r="B679" s="14">
        <v>400009978</v>
      </c>
      <c r="C679" s="8" t="s">
        <v>5197</v>
      </c>
      <c r="D679" s="4" t="str">
        <f t="shared" si="63"/>
        <v>400009978R1</v>
      </c>
      <c r="E679" s="309" t="str">
        <f>VLOOKUP($B679,'D7 - NDB Impacted SPRF''s'!$E$6:$O$9929,2,FALSE)</f>
        <v>Fee Schedule Site of Service</v>
      </c>
      <c r="F679" s="8" t="s">
        <v>4961</v>
      </c>
      <c r="G679" s="8" t="s">
        <v>4758</v>
      </c>
      <c r="H679" s="8" t="s">
        <v>4246</v>
      </c>
      <c r="I679" s="20">
        <v>23.47</v>
      </c>
      <c r="J679" s="8" t="s">
        <v>4862</v>
      </c>
      <c r="K679" s="182">
        <v>39165</v>
      </c>
      <c r="L679" s="8" t="s">
        <v>5743</v>
      </c>
      <c r="M679" s="8" t="s">
        <v>2814</v>
      </c>
      <c r="N679" s="38" t="s">
        <v>7473</v>
      </c>
      <c r="O679" s="8"/>
      <c r="P679" s="4" t="str">
        <f>VLOOKUP($B679,'D7 - NDB Impacted SPRF''s'!$E$16:$O$9929,9,FALSE)</f>
        <v>Y</v>
      </c>
      <c r="Q679" s="4" t="str">
        <f>VLOOKUP($B679,'D7 - NDB Impacted SPRF''s'!$E$16:$O$9929,10,FALSE)</f>
        <v>N</v>
      </c>
      <c r="R679" s="4" t="str">
        <f>VLOOKUP($B679,'D7 - NDB Impacted SPRF''s'!$E$16:$O$9929,11,FALSE)</f>
        <v>Y</v>
      </c>
      <c r="S679" s="8" t="s">
        <v>3758</v>
      </c>
      <c r="T679" s="310"/>
      <c r="U679" s="310"/>
      <c r="V679" s="4"/>
      <c r="W679" s="4"/>
      <c r="X679" s="4"/>
      <c r="Y679" s="4"/>
      <c r="Z679" s="4"/>
      <c r="AA679" s="4"/>
      <c r="AB679" s="380" t="str">
        <f>VLOOKUP($B679,'D7 - NDB Impacted SPRF''s'!$E$16:$O$9929,4,FALSE)</f>
        <v>Completed</v>
      </c>
      <c r="AC679" s="380" t="str">
        <f>VLOOKUP($B679,'D7 - NDB Impacted SPRF''s'!$E$16:$O$9929,3,FALSE)</f>
        <v>UnitedHealthcare Employer &amp; Individual</v>
      </c>
      <c r="AD679" s="380" t="str">
        <f>VLOOKUP($B679,'D7 - NDB Impacted SPRF''s'!$E$16:$O$9929,5,FALSE)</f>
        <v>Network Growth / Enhancements</v>
      </c>
      <c r="AE679" s="380" t="str">
        <f>VLOOKUP($B679,'D7 - NDB Impacted SPRF''s'!$E$16:$O$9929,7,FALSE)</f>
        <v>Peter Bompane</v>
      </c>
      <c r="AF679" s="380" t="str">
        <f>VLOOKUP($B679,'D7 - NDB Impacted SPRF''s'!$E$16:$O$9929,6,FALSE)</f>
        <v>JOHN HIEBERT</v>
      </c>
      <c r="AG679" s="282" t="s">
        <v>6682</v>
      </c>
      <c r="AH679" s="311" t="e">
        <f>INDEX('D5 - Gatekeeper - Projects'!$A$4:$AF$1010,$AM679, 17)</f>
        <v>#N/A</v>
      </c>
      <c r="AI679" s="8"/>
      <c r="AJ679" s="57"/>
      <c r="AK679" s="105"/>
      <c r="AM679" s="6" t="e">
        <f>MATCH(D679,'D5 - Gatekeeper - Projects'!$C$4:$C$1010,0)</f>
        <v>#N/A</v>
      </c>
      <c r="AN679" s="6" t="b">
        <f t="shared" si="61"/>
        <v>1</v>
      </c>
      <c r="AO679" s="6" t="str">
        <f t="shared" si="64"/>
        <v>OK</v>
      </c>
      <c r="AQ679" s="6" t="e">
        <f>MATCH($D679,'D4 - Provider Council Unsched'!$C$11:$C$234,0)</f>
        <v>#N/A</v>
      </c>
      <c r="AR679" s="6" t="b">
        <f t="shared" si="62"/>
        <v>1</v>
      </c>
      <c r="AS679" s="6" t="str">
        <f t="shared" si="60"/>
        <v>OK</v>
      </c>
      <c r="AU679" s="202"/>
      <c r="AV679" s="262"/>
      <c r="AW679" s="274"/>
    </row>
    <row r="680" spans="1:49" s="13" customFormat="1" ht="33.75" x14ac:dyDescent="0.2">
      <c r="A680" s="14">
        <v>656</v>
      </c>
      <c r="B680" s="14">
        <v>400010225</v>
      </c>
      <c r="C680" s="8" t="s">
        <v>6582</v>
      </c>
      <c r="D680" s="4" t="str">
        <f t="shared" si="63"/>
        <v>400010225L2</v>
      </c>
      <c r="E680" s="309" t="str">
        <f>VLOOKUP($B680,'D7 - NDB Impacted SPRF''s'!$E$6:$O$9929,2,FALSE)</f>
        <v>NPI EPDL Data Capture</v>
      </c>
      <c r="F680" s="8" t="s">
        <v>1059</v>
      </c>
      <c r="G680" s="8" t="s">
        <v>4758</v>
      </c>
      <c r="H680" s="8" t="s">
        <v>4246</v>
      </c>
      <c r="I680" s="20">
        <v>1.07</v>
      </c>
      <c r="J680" s="8" t="s">
        <v>4862</v>
      </c>
      <c r="K680" s="182">
        <v>39165</v>
      </c>
      <c r="L680" s="8" t="s">
        <v>5743</v>
      </c>
      <c r="M680" s="8" t="s">
        <v>5626</v>
      </c>
      <c r="N680" s="38" t="s">
        <v>2459</v>
      </c>
      <c r="O680" s="8"/>
      <c r="P680" s="4" t="str">
        <f>VLOOKUP($B680,'D7 - NDB Impacted SPRF''s'!$E$16:$O$9929,9,FALSE)</f>
        <v>N</v>
      </c>
      <c r="Q680" s="4" t="str">
        <f>VLOOKUP($B680,'D7 - NDB Impacted SPRF''s'!$E$16:$O$9929,10,FALSE)</f>
        <v>N</v>
      </c>
      <c r="R680" s="4" t="str">
        <f>VLOOKUP($B680,'D7 - NDB Impacted SPRF''s'!$E$16:$O$9929,11,FALSE)</f>
        <v>N</v>
      </c>
      <c r="S680" s="8"/>
      <c r="T680" s="310"/>
      <c r="U680" s="310"/>
      <c r="V680" s="4"/>
      <c r="W680" s="4"/>
      <c r="X680" s="4"/>
      <c r="Y680" s="4"/>
      <c r="Z680" s="4"/>
      <c r="AA680" s="4"/>
      <c r="AB680" s="380" t="str">
        <f>VLOOKUP($B680,'D7 - NDB Impacted SPRF''s'!$E$16:$O$9929,4,FALSE)</f>
        <v>Completed</v>
      </c>
      <c r="AC680" s="380" t="str">
        <f>VLOOKUP($B680,'D7 - NDB Impacted SPRF''s'!$E$16:$O$9929,3,FALSE)</f>
        <v>UnitedHealthcare Employer &amp; Individual</v>
      </c>
      <c r="AD680" s="380" t="str">
        <f>VLOOKUP($B680,'D7 - NDB Impacted SPRF''s'!$E$16:$O$9929,5,FALSE)</f>
        <v>Regulatory / Other</v>
      </c>
      <c r="AE680" s="380" t="str">
        <f>VLOOKUP($B680,'D7 - NDB Impacted SPRF''s'!$E$16:$O$9929,7,FALSE)</f>
        <v>Peter Bompane</v>
      </c>
      <c r="AF680" s="380" t="str">
        <f>VLOOKUP($B680,'D7 - NDB Impacted SPRF''s'!$E$16:$O$9929,6,FALSE)</f>
        <v>KELLY LEONARD</v>
      </c>
      <c r="AG680" s="282"/>
      <c r="AH680" s="311" t="e">
        <f>INDEX('D5 - Gatekeeper - Projects'!$A$4:$AF$1010,$AM680, 17)</f>
        <v>#N/A</v>
      </c>
      <c r="AI680" s="8"/>
      <c r="AJ680" s="57"/>
      <c r="AK680" s="105"/>
      <c r="AM680" s="6" t="e">
        <f>MATCH(D680,'D5 - Gatekeeper - Projects'!$C$4:$C$1010,0)</f>
        <v>#N/A</v>
      </c>
      <c r="AN680" s="6" t="b">
        <f t="shared" si="61"/>
        <v>1</v>
      </c>
      <c r="AO680" s="6" t="str">
        <f t="shared" si="64"/>
        <v>OK</v>
      </c>
      <c r="AQ680" s="6" t="e">
        <f>MATCH($D680,'D4 - Provider Council Unsched'!$C$11:$C$234,0)</f>
        <v>#N/A</v>
      </c>
      <c r="AR680" s="6" t="b">
        <f t="shared" si="62"/>
        <v>1</v>
      </c>
      <c r="AS680" s="6" t="str">
        <f t="shared" si="60"/>
        <v>OK</v>
      </c>
      <c r="AU680" s="202"/>
      <c r="AV680" s="262"/>
      <c r="AW680" s="274"/>
    </row>
    <row r="681" spans="1:49" s="13" customFormat="1" ht="33.75" x14ac:dyDescent="0.2">
      <c r="A681" s="14">
        <v>657</v>
      </c>
      <c r="B681" s="14">
        <v>400010268</v>
      </c>
      <c r="C681" s="8" t="s">
        <v>3812</v>
      </c>
      <c r="D681" s="4" t="str">
        <f t="shared" si="63"/>
        <v>400010268CC05</v>
      </c>
      <c r="E681" s="309" t="str">
        <f>VLOOKUP($B681,'D7 - NDB Impacted SPRF''s'!$E$6:$O$9929,2,FALSE)</f>
        <v>Medica-ConvTools-Source Data Loads</v>
      </c>
      <c r="F681" s="8" t="s">
        <v>5196</v>
      </c>
      <c r="G681" s="8" t="s">
        <v>4758</v>
      </c>
      <c r="H681" s="8" t="s">
        <v>4246</v>
      </c>
      <c r="I681" s="20">
        <v>1.33</v>
      </c>
      <c r="J681" s="8" t="s">
        <v>4862</v>
      </c>
      <c r="K681" s="182">
        <v>39165</v>
      </c>
      <c r="L681" s="8" t="s">
        <v>5743</v>
      </c>
      <c r="M681" s="8" t="s">
        <v>5626</v>
      </c>
      <c r="N681" s="368"/>
      <c r="O681" s="8"/>
      <c r="P681" s="4" t="str">
        <f>VLOOKUP($B681,'D7 - NDB Impacted SPRF''s'!$E$16:$O$9929,9,FALSE)</f>
        <v>Y</v>
      </c>
      <c r="Q681" s="4" t="str">
        <f>VLOOKUP($B681,'D7 - NDB Impacted SPRF''s'!$E$16:$O$9929,10,FALSE)</f>
        <v>N</v>
      </c>
      <c r="R681" s="4" t="str">
        <f>VLOOKUP($B681,'D7 - NDB Impacted SPRF''s'!$E$16:$O$9929,11,FALSE)</f>
        <v>N</v>
      </c>
      <c r="S681" s="8" t="s">
        <v>3758</v>
      </c>
      <c r="T681" s="310"/>
      <c r="U681" s="310"/>
      <c r="V681" s="4"/>
      <c r="W681" s="4"/>
      <c r="X681" s="4"/>
      <c r="Y681" s="4"/>
      <c r="Z681" s="4"/>
      <c r="AA681" s="4"/>
      <c r="AB681" s="380" t="str">
        <f>VLOOKUP($B681,'D7 - NDB Impacted SPRF''s'!$E$16:$O$9929,4,FALSE)</f>
        <v>Completed</v>
      </c>
      <c r="AC681" s="380" t="str">
        <f>VLOOKUP($B681,'D7 - NDB Impacted SPRF''s'!$E$16:$O$9929,3,FALSE)</f>
        <v>UnitedHealthcare Employer &amp; Individual</v>
      </c>
      <c r="AD681" s="380" t="str">
        <f>VLOOKUP($B681,'D7 - NDB Impacted SPRF''s'!$E$16:$O$9929,5,FALSE)</f>
        <v>HCA - Medica UNET Conversion</v>
      </c>
      <c r="AE681" s="380" t="str">
        <f>VLOOKUP($B681,'D7 - NDB Impacted SPRF''s'!$E$16:$O$9929,7,FALSE)</f>
        <v>Diane Schofield</v>
      </c>
      <c r="AF681" s="380" t="str">
        <f>VLOOKUP($B681,'D7 - NDB Impacted SPRF''s'!$E$16:$O$9929,6,FALSE)</f>
        <v>Shelly Pearson</v>
      </c>
      <c r="AG681" s="282"/>
      <c r="AH681" s="311" t="e">
        <f>INDEX('D5 - Gatekeeper - Projects'!$A$4:$AF$1010,$AM681, 17)</f>
        <v>#N/A</v>
      </c>
      <c r="AI681" s="8"/>
      <c r="AJ681" s="57"/>
      <c r="AK681" s="105"/>
      <c r="AM681" s="6" t="e">
        <f>MATCH(D681,'D5 - Gatekeeper - Projects'!$C$4:$C$1010,0)</f>
        <v>#N/A</v>
      </c>
      <c r="AN681" s="6" t="b">
        <f t="shared" si="61"/>
        <v>1</v>
      </c>
      <c r="AO681" s="6" t="str">
        <f t="shared" si="64"/>
        <v>OK</v>
      </c>
      <c r="AQ681" s="6" t="e">
        <f>MATCH($D681,'D4 - Provider Council Unsched'!$C$11:$C$234,0)</f>
        <v>#N/A</v>
      </c>
      <c r="AR681" s="6" t="b">
        <f t="shared" si="62"/>
        <v>1</v>
      </c>
      <c r="AS681" s="6" t="str">
        <f t="shared" si="60"/>
        <v>OK</v>
      </c>
      <c r="AU681" s="202"/>
      <c r="AV681" s="262"/>
      <c r="AW681" s="274"/>
    </row>
    <row r="682" spans="1:49" s="13" customFormat="1" x14ac:dyDescent="0.2">
      <c r="A682" s="14">
        <v>658</v>
      </c>
      <c r="B682" s="14">
        <v>400010300</v>
      </c>
      <c r="C682" s="8" t="s">
        <v>6291</v>
      </c>
      <c r="D682" s="4" t="str">
        <f t="shared" si="63"/>
        <v>400010300CC03</v>
      </c>
      <c r="E682" s="309" t="str">
        <f>VLOOKUP($B682,'D7 - NDB Impacted SPRF''s'!$E$6:$O$9929,2,FALSE)</f>
        <v>Corp1 - PMO - Alliance Analysis Support</v>
      </c>
      <c r="F682" s="8" t="s">
        <v>5196</v>
      </c>
      <c r="G682" s="8" t="s">
        <v>4758</v>
      </c>
      <c r="H682" s="8" t="s">
        <v>4246</v>
      </c>
      <c r="I682" s="20">
        <v>1.33</v>
      </c>
      <c r="J682" s="8" t="s">
        <v>4862</v>
      </c>
      <c r="K682" s="182">
        <v>39165</v>
      </c>
      <c r="L682" s="8" t="s">
        <v>5743</v>
      </c>
      <c r="M682" s="8" t="s">
        <v>6688</v>
      </c>
      <c r="N682" s="38"/>
      <c r="O682" s="8"/>
      <c r="P682" s="4" t="str">
        <f>VLOOKUP($B682,'D7 - NDB Impacted SPRF''s'!$E$16:$O$9929,9,FALSE)</f>
        <v>N</v>
      </c>
      <c r="Q682" s="4" t="str">
        <f>VLOOKUP($B682,'D7 - NDB Impacted SPRF''s'!$E$16:$O$9929,10,FALSE)</f>
        <v>N</v>
      </c>
      <c r="R682" s="4" t="str">
        <f>VLOOKUP($B682,'D7 - NDB Impacted SPRF''s'!$E$16:$O$9929,11,FALSE)</f>
        <v>N</v>
      </c>
      <c r="S682" s="8"/>
      <c r="T682" s="310"/>
      <c r="U682" s="310"/>
      <c r="V682" s="4"/>
      <c r="W682" s="4"/>
      <c r="X682" s="4"/>
      <c r="Y682" s="4"/>
      <c r="Z682" s="4"/>
      <c r="AA682" s="4"/>
      <c r="AB682" s="380" t="str">
        <f>VLOOKUP($B682,'D7 - NDB Impacted SPRF''s'!$E$16:$O$9929,4,FALSE)</f>
        <v>Completed</v>
      </c>
      <c r="AC682" s="380" t="str">
        <f>VLOOKUP($B682,'D7 - NDB Impacted SPRF''s'!$E$16:$O$9929,3,FALSE)</f>
        <v>Alliance</v>
      </c>
      <c r="AD682" s="380" t="str">
        <f>VLOOKUP($B682,'D7 - NDB Impacted SPRF''s'!$E$16:$O$9929,5,FALSE)</f>
        <v>Healthcare Service Alliance</v>
      </c>
      <c r="AE682" s="380" t="str">
        <f>VLOOKUP($B682,'D7 - NDB Impacted SPRF''s'!$E$16:$O$9929,7,FALSE)</f>
        <v>Diane Schofield</v>
      </c>
      <c r="AF682" s="380" t="str">
        <f>VLOOKUP($B682,'D7 - NDB Impacted SPRF''s'!$E$16:$O$9929,6,FALSE)</f>
        <v>DAVID YAKER</v>
      </c>
      <c r="AG682" s="282"/>
      <c r="AH682" s="311" t="e">
        <f>INDEX('D5 - Gatekeeper - Projects'!$A$4:$AF$1010,$AM682, 17)</f>
        <v>#N/A</v>
      </c>
      <c r="AI682" s="8"/>
      <c r="AJ682" s="57"/>
      <c r="AK682" s="105"/>
      <c r="AM682" s="6" t="e">
        <f>MATCH(D682,'D5 - Gatekeeper - Projects'!$C$4:$C$1010,0)</f>
        <v>#N/A</v>
      </c>
      <c r="AN682" s="6" t="b">
        <f t="shared" si="61"/>
        <v>1</v>
      </c>
      <c r="AO682" s="6" t="str">
        <f t="shared" si="64"/>
        <v>OK</v>
      </c>
      <c r="AQ682" s="6" t="e">
        <f>MATCH($D682,'D4 - Provider Council Unsched'!$C$11:$C$234,0)</f>
        <v>#N/A</v>
      </c>
      <c r="AR682" s="6" t="b">
        <f t="shared" si="62"/>
        <v>1</v>
      </c>
      <c r="AS682" s="6" t="str">
        <f t="shared" si="60"/>
        <v>OK</v>
      </c>
      <c r="AU682" s="202"/>
      <c r="AV682" s="262"/>
      <c r="AW682" s="274"/>
    </row>
    <row r="683" spans="1:49" s="13" customFormat="1" ht="33.75" x14ac:dyDescent="0.2">
      <c r="A683" s="14">
        <v>659</v>
      </c>
      <c r="B683" s="14">
        <v>400010525</v>
      </c>
      <c r="C683" s="8" t="s">
        <v>5197</v>
      </c>
      <c r="D683" s="4" t="str">
        <f t="shared" si="63"/>
        <v>400010525R1</v>
      </c>
      <c r="E683" s="309" t="str">
        <f>VLOOKUP($B683,'D7 - NDB Impacted SPRF''s'!$E$6:$O$9929,2,FALSE)</f>
        <v>NPI Eligibility Compliance</v>
      </c>
      <c r="F683" s="8" t="s">
        <v>1059</v>
      </c>
      <c r="G683" s="8" t="s">
        <v>4758</v>
      </c>
      <c r="H683" s="8" t="s">
        <v>4246</v>
      </c>
      <c r="I683" s="20">
        <v>2.29</v>
      </c>
      <c r="J683" s="8" t="s">
        <v>4862</v>
      </c>
      <c r="K683" s="182">
        <v>39165</v>
      </c>
      <c r="L683" s="8" t="s">
        <v>5743</v>
      </c>
      <c r="M683" s="8" t="s">
        <v>2814</v>
      </c>
      <c r="N683" s="38"/>
      <c r="O683" s="8"/>
      <c r="P683" s="4" t="str">
        <f>VLOOKUP($B683,'D7 - NDB Impacted SPRF''s'!$E$16:$O$9929,9,FALSE)</f>
        <v>Y</v>
      </c>
      <c r="Q683" s="4" t="str">
        <f>VLOOKUP($B683,'D7 - NDB Impacted SPRF''s'!$E$16:$O$9929,10,FALSE)</f>
        <v>N</v>
      </c>
      <c r="R683" s="4" t="str">
        <f>VLOOKUP($B683,'D7 - NDB Impacted SPRF''s'!$E$16:$O$9929,11,FALSE)</f>
        <v>N</v>
      </c>
      <c r="S683" s="8" t="s">
        <v>3758</v>
      </c>
      <c r="T683" s="310"/>
      <c r="U683" s="310"/>
      <c r="V683" s="4"/>
      <c r="W683" s="4"/>
      <c r="X683" s="4"/>
      <c r="Y683" s="4"/>
      <c r="Z683" s="4"/>
      <c r="AA683" s="4"/>
      <c r="AB683" s="380" t="str">
        <f>VLOOKUP($B683,'D7 - NDB Impacted SPRF''s'!$E$16:$O$9929,4,FALSE)</f>
        <v>Completed</v>
      </c>
      <c r="AC683" s="380" t="str">
        <f>VLOOKUP($B683,'D7 - NDB Impacted SPRF''s'!$E$16:$O$9929,3,FALSE)</f>
        <v>UnitedHealthcare Employer &amp; Individual</v>
      </c>
      <c r="AD683" s="380" t="str">
        <f>VLOOKUP($B683,'D7 - NDB Impacted SPRF''s'!$E$16:$O$9929,5,FALSE)</f>
        <v>Regulatory / Other</v>
      </c>
      <c r="AE683" s="380" t="str">
        <f>VLOOKUP($B683,'D7 - NDB Impacted SPRF''s'!$E$16:$O$9929,7,FALSE)</f>
        <v>Peter Bompane</v>
      </c>
      <c r="AF683" s="380" t="str">
        <f>VLOOKUP($B683,'D7 - NDB Impacted SPRF''s'!$E$16:$O$9929,6,FALSE)</f>
        <v>KELLY LEONARD</v>
      </c>
      <c r="AG683" s="282" t="s">
        <v>6682</v>
      </c>
      <c r="AH683" s="311" t="e">
        <f>INDEX('D5 - Gatekeeper - Projects'!$A$4:$AF$1010,$AM683, 17)</f>
        <v>#N/A</v>
      </c>
      <c r="AI683" s="8"/>
      <c r="AJ683" s="57"/>
      <c r="AK683" s="105"/>
      <c r="AM683" s="6" t="e">
        <f>MATCH(D683,'D5 - Gatekeeper - Projects'!$C$4:$C$1010,0)</f>
        <v>#N/A</v>
      </c>
      <c r="AN683" s="6" t="b">
        <f t="shared" si="61"/>
        <v>1</v>
      </c>
      <c r="AO683" s="6" t="str">
        <f t="shared" si="64"/>
        <v>OK</v>
      </c>
      <c r="AQ683" s="6" t="e">
        <f>MATCH($D683,'D4 - Provider Council Unsched'!$C$11:$C$234,0)</f>
        <v>#N/A</v>
      </c>
      <c r="AR683" s="6" t="b">
        <f t="shared" si="62"/>
        <v>1</v>
      </c>
      <c r="AS683" s="6" t="str">
        <f t="shared" si="60"/>
        <v>OK</v>
      </c>
      <c r="AU683" s="202"/>
      <c r="AV683" s="262"/>
      <c r="AW683" s="274"/>
    </row>
    <row r="684" spans="1:49" s="13" customFormat="1" ht="33.75" x14ac:dyDescent="0.2">
      <c r="A684" s="14">
        <v>660</v>
      </c>
      <c r="B684" s="14">
        <v>400010564</v>
      </c>
      <c r="C684" s="8" t="s">
        <v>8120</v>
      </c>
      <c r="D684" s="4" t="str">
        <f t="shared" si="63"/>
        <v>400010564CC08</v>
      </c>
      <c r="E684" s="309" t="str">
        <f>VLOOKUP($B684,'D7 - NDB Impacted SPRF''s'!$E$6:$O$9929,2,FALSE)</f>
        <v>NPI Claims - UNET</v>
      </c>
      <c r="F684" s="8" t="s">
        <v>1059</v>
      </c>
      <c r="G684" s="8" t="s">
        <v>4758</v>
      </c>
      <c r="H684" s="8" t="s">
        <v>4246</v>
      </c>
      <c r="I684" s="20">
        <v>1.07</v>
      </c>
      <c r="J684" s="8" t="s">
        <v>4862</v>
      </c>
      <c r="K684" s="182">
        <v>39165</v>
      </c>
      <c r="L684" s="8" t="s">
        <v>5743</v>
      </c>
      <c r="M684" s="8" t="s">
        <v>2814</v>
      </c>
      <c r="N684" s="38" t="s">
        <v>5560</v>
      </c>
      <c r="O684" s="8"/>
      <c r="P684" s="4" t="str">
        <f>VLOOKUP($B684,'D7 - NDB Impacted SPRF''s'!$E$16:$O$9929,9,FALSE)</f>
        <v>Y</v>
      </c>
      <c r="Q684" s="4" t="str">
        <f>VLOOKUP($B684,'D7 - NDB Impacted SPRF''s'!$E$16:$O$9929,10,FALSE)</f>
        <v>N</v>
      </c>
      <c r="R684" s="4" t="str">
        <f>VLOOKUP($B684,'D7 - NDB Impacted SPRF''s'!$E$16:$O$9929,11,FALSE)</f>
        <v>N</v>
      </c>
      <c r="S684" s="8" t="s">
        <v>3758</v>
      </c>
      <c r="T684" s="310"/>
      <c r="U684" s="310"/>
      <c r="V684" s="4"/>
      <c r="W684" s="4"/>
      <c r="X684" s="4"/>
      <c r="Y684" s="4"/>
      <c r="Z684" s="4"/>
      <c r="AA684" s="4"/>
      <c r="AB684" s="380" t="str">
        <f>VLOOKUP($B684,'D7 - NDB Impacted SPRF''s'!$E$16:$O$9929,4,FALSE)</f>
        <v>Completed</v>
      </c>
      <c r="AC684" s="380" t="str">
        <f>VLOOKUP($B684,'D7 - NDB Impacted SPRF''s'!$E$16:$O$9929,3,FALSE)</f>
        <v>UnitedHealthcare Employer &amp; Individual</v>
      </c>
      <c r="AD684" s="380" t="str">
        <f>VLOOKUP($B684,'D7 - NDB Impacted SPRF''s'!$E$16:$O$9929,5,FALSE)</f>
        <v>Regulatory / Other</v>
      </c>
      <c r="AE684" s="380" t="str">
        <f>VLOOKUP($B684,'D7 - NDB Impacted SPRF''s'!$E$16:$O$9929,7,FALSE)</f>
        <v>Peter Bompane</v>
      </c>
      <c r="AF684" s="380" t="str">
        <f>VLOOKUP($B684,'D7 - NDB Impacted SPRF''s'!$E$16:$O$9929,6,FALSE)</f>
        <v>KELLY LEONARD</v>
      </c>
      <c r="AG684" s="282" t="s">
        <v>6682</v>
      </c>
      <c r="AH684" s="311" t="e">
        <f>INDEX('D5 - Gatekeeper - Projects'!$A$4:$AF$1010,$AM684, 17)</f>
        <v>#N/A</v>
      </c>
      <c r="AI684" s="8"/>
      <c r="AJ684" s="57"/>
      <c r="AK684" s="105"/>
      <c r="AM684" s="6" t="e">
        <f>MATCH(D684,'D5 - Gatekeeper - Projects'!$C$4:$C$1010,0)</f>
        <v>#N/A</v>
      </c>
      <c r="AN684" s="6" t="b">
        <f t="shared" si="61"/>
        <v>1</v>
      </c>
      <c r="AO684" s="6" t="str">
        <f t="shared" si="64"/>
        <v>OK</v>
      </c>
      <c r="AQ684" s="6" t="e">
        <f>MATCH($D684,'D4 - Provider Council Unsched'!$C$11:$C$234,0)</f>
        <v>#N/A</v>
      </c>
      <c r="AR684" s="6" t="b">
        <f t="shared" si="62"/>
        <v>1</v>
      </c>
      <c r="AS684" s="6" t="str">
        <f t="shared" ref="AS684:AS688" si="65">IF(AND(H684="2 - Not Scheduled",AR684=TRUE),"Add","OK")</f>
        <v>OK</v>
      </c>
      <c r="AU684" s="202"/>
      <c r="AV684" s="262"/>
      <c r="AW684" s="274"/>
    </row>
    <row r="685" spans="1:49" s="13" customFormat="1" ht="33.75" x14ac:dyDescent="0.2">
      <c r="A685" s="14">
        <v>661</v>
      </c>
      <c r="B685" s="14">
        <v>400010580</v>
      </c>
      <c r="C685" s="8" t="s">
        <v>5197</v>
      </c>
      <c r="D685" s="4" t="str">
        <f t="shared" si="63"/>
        <v>400010580R1</v>
      </c>
      <c r="E685" s="309" t="str">
        <f>VLOOKUP($B685,'D7 - NDB Impacted SPRF''s'!$E$6:$O$9929,2,FALSE)</f>
        <v>NPI Care Coordination Compliance</v>
      </c>
      <c r="F685" s="8" t="s">
        <v>1059</v>
      </c>
      <c r="G685" s="8" t="s">
        <v>4758</v>
      </c>
      <c r="H685" s="8" t="s">
        <v>4246</v>
      </c>
      <c r="I685" s="20">
        <v>24.86</v>
      </c>
      <c r="J685" s="8" t="s">
        <v>4862</v>
      </c>
      <c r="K685" s="182">
        <v>39165</v>
      </c>
      <c r="L685" s="8" t="s">
        <v>5743</v>
      </c>
      <c r="M685" s="8" t="s">
        <v>2814</v>
      </c>
      <c r="N685" s="65"/>
      <c r="O685" s="8"/>
      <c r="P685" s="4" t="str">
        <f>VLOOKUP($B685,'D7 - NDB Impacted SPRF''s'!$E$16:$O$9929,9,FALSE)</f>
        <v>Y</v>
      </c>
      <c r="Q685" s="4" t="str">
        <f>VLOOKUP($B685,'D7 - NDB Impacted SPRF''s'!$E$16:$O$9929,10,FALSE)</f>
        <v>N</v>
      </c>
      <c r="R685" s="4" t="str">
        <f>VLOOKUP($B685,'D7 - NDB Impacted SPRF''s'!$E$16:$O$9929,11,FALSE)</f>
        <v>N</v>
      </c>
      <c r="S685" s="8" t="s">
        <v>3758</v>
      </c>
      <c r="T685" s="310"/>
      <c r="U685" s="310"/>
      <c r="V685" s="4"/>
      <c r="W685" s="4"/>
      <c r="X685" s="4"/>
      <c r="Y685" s="4"/>
      <c r="Z685" s="4"/>
      <c r="AA685" s="4"/>
      <c r="AB685" s="380" t="str">
        <f>VLOOKUP($B685,'D7 - NDB Impacted SPRF''s'!$E$16:$O$9929,4,FALSE)</f>
        <v>Completed</v>
      </c>
      <c r="AC685" s="380" t="str">
        <f>VLOOKUP($B685,'D7 - NDB Impacted SPRF''s'!$E$16:$O$9929,3,FALSE)</f>
        <v>UnitedHealthcare Employer &amp; Individual</v>
      </c>
      <c r="AD685" s="380" t="str">
        <f>VLOOKUP($B685,'D7 - NDB Impacted SPRF''s'!$E$16:$O$9929,5,FALSE)</f>
        <v>Regulatory / Other</v>
      </c>
      <c r="AE685" s="380" t="str">
        <f>VLOOKUP($B685,'D7 - NDB Impacted SPRF''s'!$E$16:$O$9929,7,FALSE)</f>
        <v>Gerald Brockman</v>
      </c>
      <c r="AF685" s="380" t="str">
        <f>VLOOKUP($B685,'D7 - NDB Impacted SPRF''s'!$E$16:$O$9929,6,FALSE)</f>
        <v>KELLY LEONARD</v>
      </c>
      <c r="AG685" s="282" t="s">
        <v>6682</v>
      </c>
      <c r="AH685" s="311" t="e">
        <f>INDEX('D5 - Gatekeeper - Projects'!$A$4:$AF$1010,$AM685, 17)</f>
        <v>#N/A</v>
      </c>
      <c r="AI685" s="8"/>
      <c r="AJ685" s="57"/>
      <c r="AK685" s="105"/>
      <c r="AM685" s="6" t="e">
        <f>MATCH(D685,'D5 - Gatekeeper - Projects'!$C$4:$C$1010,0)</f>
        <v>#N/A</v>
      </c>
      <c r="AN685" s="6" t="b">
        <f t="shared" si="61"/>
        <v>1</v>
      </c>
      <c r="AO685" s="6" t="str">
        <f t="shared" si="64"/>
        <v>OK</v>
      </c>
      <c r="AQ685" s="6" t="e">
        <f>MATCH($D685,'D4 - Provider Council Unsched'!$C$11:$C$234,0)</f>
        <v>#N/A</v>
      </c>
      <c r="AR685" s="6" t="b">
        <f t="shared" si="62"/>
        <v>1</v>
      </c>
      <c r="AS685" s="6" t="str">
        <f t="shared" si="65"/>
        <v>OK</v>
      </c>
      <c r="AU685" s="202"/>
      <c r="AV685" s="262"/>
      <c r="AW685" s="274"/>
    </row>
    <row r="686" spans="1:49" s="13" customFormat="1" ht="22.5" x14ac:dyDescent="0.2">
      <c r="A686" s="14">
        <v>662</v>
      </c>
      <c r="B686" s="14">
        <v>400010681</v>
      </c>
      <c r="C686" s="8" t="s">
        <v>5197</v>
      </c>
      <c r="D686" s="4" t="str">
        <f t="shared" si="63"/>
        <v>400010681R1</v>
      </c>
      <c r="E686" s="309" t="str">
        <f>VLOOKUP($B686,'D7 - NDB Impacted SPRF''s'!$E$6:$O$9929,2,FALSE)</f>
        <v>B2B 276 Search - MPIN Not Required</v>
      </c>
      <c r="F686" s="8" t="s">
        <v>5536</v>
      </c>
      <c r="G686" s="8" t="s">
        <v>4758</v>
      </c>
      <c r="H686" s="8" t="s">
        <v>4246</v>
      </c>
      <c r="I686" s="20">
        <v>1.07</v>
      </c>
      <c r="J686" s="8" t="s">
        <v>4862</v>
      </c>
      <c r="K686" s="182">
        <v>39165</v>
      </c>
      <c r="L686" s="8" t="s">
        <v>5743</v>
      </c>
      <c r="M686" s="8" t="s">
        <v>5626</v>
      </c>
      <c r="N686" s="367"/>
      <c r="O686" s="8"/>
      <c r="P686" s="4" t="str">
        <f>VLOOKUP($B686,'D7 - NDB Impacted SPRF''s'!$E$16:$O$9929,9,FALSE)</f>
        <v>Y</v>
      </c>
      <c r="Q686" s="4" t="str">
        <f>VLOOKUP($B686,'D7 - NDB Impacted SPRF''s'!$E$16:$O$9929,10,FALSE)</f>
        <v>N</v>
      </c>
      <c r="R686" s="4" t="str">
        <f>VLOOKUP($B686,'D7 - NDB Impacted SPRF''s'!$E$16:$O$9929,11,FALSE)</f>
        <v>N</v>
      </c>
      <c r="S686" s="8"/>
      <c r="T686" s="310"/>
      <c r="U686" s="310"/>
      <c r="V686" s="4"/>
      <c r="W686" s="4"/>
      <c r="X686" s="4"/>
      <c r="Y686" s="4"/>
      <c r="Z686" s="4"/>
      <c r="AA686" s="4"/>
      <c r="AB686" s="380" t="str">
        <f>VLOOKUP($B686,'D7 - NDB Impacted SPRF''s'!$E$16:$O$9929,4,FALSE)</f>
        <v>Completed</v>
      </c>
      <c r="AC686" s="380" t="str">
        <f>VLOOKUP($B686,'D7 - NDB Impacted SPRF''s'!$E$16:$O$9929,3,FALSE)</f>
        <v>Uniprise</v>
      </c>
      <c r="AD686" s="380" t="str">
        <f>VLOOKUP($B686,'D7 - NDB Impacted SPRF''s'!$E$16:$O$9929,5,FALSE)</f>
        <v>Group Services - Capital Projects</v>
      </c>
      <c r="AE686" s="380" t="str">
        <f>VLOOKUP($B686,'D7 - NDB Impacted SPRF''s'!$E$16:$O$9929,7,FALSE)</f>
        <v>Bill Schofield</v>
      </c>
      <c r="AF686" s="380" t="str">
        <f>VLOOKUP($B686,'D7 - NDB Impacted SPRF''s'!$E$16:$O$9929,6,FALSE)</f>
        <v>Daniel Peters</v>
      </c>
      <c r="AG686" s="282" t="s">
        <v>7755</v>
      </c>
      <c r="AH686" s="311" t="e">
        <f>INDEX('D5 - Gatekeeper - Projects'!$A$4:$AF$1010,$AM686, 17)</f>
        <v>#N/A</v>
      </c>
      <c r="AI686" s="8"/>
      <c r="AJ686" s="57"/>
      <c r="AK686" s="105"/>
      <c r="AM686" s="6" t="e">
        <f>MATCH(D686,'D5 - Gatekeeper - Projects'!$C$4:$C$1010,0)</f>
        <v>#N/A</v>
      </c>
      <c r="AN686" s="6" t="b">
        <f t="shared" si="61"/>
        <v>1</v>
      </c>
      <c r="AO686" s="6" t="str">
        <f t="shared" si="64"/>
        <v>OK</v>
      </c>
      <c r="AQ686" s="6" t="e">
        <f>MATCH($D686,'D4 - Provider Council Unsched'!$C$11:$C$234,0)</f>
        <v>#N/A</v>
      </c>
      <c r="AR686" s="6" t="b">
        <f t="shared" si="62"/>
        <v>1</v>
      </c>
      <c r="AS686" s="6" t="str">
        <f t="shared" si="65"/>
        <v>OK</v>
      </c>
      <c r="AU686" s="202"/>
      <c r="AV686" s="262"/>
      <c r="AW686" s="274"/>
    </row>
    <row r="687" spans="1:49" s="13" customFormat="1" ht="33.75" x14ac:dyDescent="0.2">
      <c r="A687" s="14">
        <v>663</v>
      </c>
      <c r="B687" s="14">
        <v>400010721</v>
      </c>
      <c r="C687" s="8" t="s">
        <v>6724</v>
      </c>
      <c r="D687" s="4" t="str">
        <f t="shared" si="63"/>
        <v>400010721CC07</v>
      </c>
      <c r="E687" s="309" t="str">
        <f>VLOOKUP($B687,'D7 - NDB Impacted SPRF''s'!$E$6:$O$9929,2,FALSE)</f>
        <v>GHMO Analysis &amp; Design Phase V (Medica)</v>
      </c>
      <c r="F687" s="8" t="s">
        <v>4168</v>
      </c>
      <c r="G687" s="8" t="s">
        <v>4758</v>
      </c>
      <c r="H687" s="8" t="s">
        <v>4246</v>
      </c>
      <c r="I687" s="20">
        <v>3.18</v>
      </c>
      <c r="J687" s="8" t="s">
        <v>4862</v>
      </c>
      <c r="K687" s="182">
        <v>39165</v>
      </c>
      <c r="L687" s="8" t="s">
        <v>5743</v>
      </c>
      <c r="M687" s="8" t="s">
        <v>5786</v>
      </c>
      <c r="N687" s="367" t="s">
        <v>6796</v>
      </c>
      <c r="O687" s="8"/>
      <c r="P687" s="4" t="str">
        <f>VLOOKUP($B687,'D7 - NDB Impacted SPRF''s'!$E$16:$O$9929,9,FALSE)</f>
        <v>Y</v>
      </c>
      <c r="Q687" s="4" t="str">
        <f>VLOOKUP($B687,'D7 - NDB Impacted SPRF''s'!$E$16:$O$9929,10,FALSE)</f>
        <v>N</v>
      </c>
      <c r="R687" s="4" t="str">
        <f>VLOOKUP($B687,'D7 - NDB Impacted SPRF''s'!$E$16:$O$9929,11,FALSE)</f>
        <v>N</v>
      </c>
      <c r="S687" s="8" t="s">
        <v>3758</v>
      </c>
      <c r="T687" s="310"/>
      <c r="U687" s="310"/>
      <c r="V687" s="4"/>
      <c r="W687" s="4"/>
      <c r="X687" s="4"/>
      <c r="Y687" s="4"/>
      <c r="Z687" s="4"/>
      <c r="AA687" s="4"/>
      <c r="AB687" s="380" t="str">
        <f>VLOOKUP($B687,'D7 - NDB Impacted SPRF''s'!$E$16:$O$9929,4,FALSE)</f>
        <v>Completed</v>
      </c>
      <c r="AC687" s="380" t="str">
        <f>VLOOKUP($B687,'D7 - NDB Impacted SPRF''s'!$E$16:$O$9929,3,FALSE)</f>
        <v>UnitedHealthcare Employer &amp; Individual</v>
      </c>
      <c r="AD687" s="380" t="str">
        <f>VLOOKUP($B687,'D7 - NDB Impacted SPRF''s'!$E$16:$O$9929,5,FALSE)</f>
        <v>Gated HMO</v>
      </c>
      <c r="AE687" s="380" t="str">
        <f>VLOOKUP($B687,'D7 - NDB Impacted SPRF''s'!$E$16:$O$9929,7,FALSE)</f>
        <v>Diane Schofield</v>
      </c>
      <c r="AF687" s="380" t="str">
        <f>VLOOKUP($B687,'D7 - NDB Impacted SPRF''s'!$E$16:$O$9929,6,FALSE)</f>
        <v>SUSAN TONKIN</v>
      </c>
      <c r="AG687" s="282"/>
      <c r="AH687" s="311" t="e">
        <f>INDEX('D5 - Gatekeeper - Projects'!$A$4:$AF$1010,$AM687, 17)</f>
        <v>#N/A</v>
      </c>
      <c r="AI687" s="8"/>
      <c r="AJ687" s="57"/>
      <c r="AK687" s="105"/>
      <c r="AM687" s="6" t="e">
        <f>MATCH(D687,'D5 - Gatekeeper - Projects'!$C$4:$C$1010,0)</f>
        <v>#N/A</v>
      </c>
      <c r="AN687" s="6" t="b">
        <f t="shared" si="61"/>
        <v>1</v>
      </c>
      <c r="AO687" s="6" t="str">
        <f t="shared" si="64"/>
        <v>OK</v>
      </c>
      <c r="AQ687" s="6" t="e">
        <f>MATCH($D687,'D4 - Provider Council Unsched'!$C$11:$C$234,0)</f>
        <v>#N/A</v>
      </c>
      <c r="AR687" s="6" t="b">
        <f t="shared" si="62"/>
        <v>1</v>
      </c>
      <c r="AS687" s="6" t="str">
        <f t="shared" si="65"/>
        <v>OK</v>
      </c>
      <c r="AU687" s="202"/>
      <c r="AV687" s="262"/>
      <c r="AW687" s="274"/>
    </row>
    <row r="688" spans="1:49" s="13" customFormat="1" ht="67.5" x14ac:dyDescent="0.2">
      <c r="A688" s="14">
        <v>664</v>
      </c>
      <c r="B688" s="14">
        <v>400010721</v>
      </c>
      <c r="C688" s="8" t="s">
        <v>3763</v>
      </c>
      <c r="D688" s="4" t="str">
        <f t="shared" si="63"/>
        <v>400010721R2</v>
      </c>
      <c r="E688" s="309" t="str">
        <f>VLOOKUP($B688,'D7 - NDB Impacted SPRF''s'!$E$6:$O$9929,2,FALSE)</f>
        <v>GHMO Analysis &amp; Design Phase V (Medica)</v>
      </c>
      <c r="F688" s="8" t="s">
        <v>4168</v>
      </c>
      <c r="G688" s="8" t="s">
        <v>4758</v>
      </c>
      <c r="H688" s="8" t="s">
        <v>4246</v>
      </c>
      <c r="I688" s="20">
        <v>27</v>
      </c>
      <c r="J688" s="8" t="s">
        <v>4862</v>
      </c>
      <c r="K688" s="182">
        <v>39165</v>
      </c>
      <c r="L688" s="8" t="s">
        <v>5743</v>
      </c>
      <c r="M688" s="8" t="s">
        <v>2814</v>
      </c>
      <c r="N688" s="367" t="s">
        <v>3154</v>
      </c>
      <c r="O688" s="8"/>
      <c r="P688" s="4" t="str">
        <f>VLOOKUP($B688,'D7 - NDB Impacted SPRF''s'!$E$16:$O$9929,9,FALSE)</f>
        <v>Y</v>
      </c>
      <c r="Q688" s="4" t="str">
        <f>VLOOKUP($B688,'D7 - NDB Impacted SPRF''s'!$E$16:$O$9929,10,FALSE)</f>
        <v>N</v>
      </c>
      <c r="R688" s="4" t="str">
        <f>VLOOKUP($B688,'D7 - NDB Impacted SPRF''s'!$E$16:$O$9929,11,FALSE)</f>
        <v>N</v>
      </c>
      <c r="S688" s="8" t="s">
        <v>3758</v>
      </c>
      <c r="T688" s="310"/>
      <c r="U688" s="310"/>
      <c r="V688" s="4"/>
      <c r="W688" s="4"/>
      <c r="X688" s="4"/>
      <c r="Y688" s="4"/>
      <c r="Z688" s="4"/>
      <c r="AA688" s="4"/>
      <c r="AB688" s="380" t="str">
        <f>VLOOKUP($B688,'D7 - NDB Impacted SPRF''s'!$E$16:$O$9929,4,FALSE)</f>
        <v>Completed</v>
      </c>
      <c r="AC688" s="380" t="str">
        <f>VLOOKUP($B688,'D7 - NDB Impacted SPRF''s'!$E$16:$O$9929,3,FALSE)</f>
        <v>UnitedHealthcare Employer &amp; Individual</v>
      </c>
      <c r="AD688" s="380" t="str">
        <f>VLOOKUP($B688,'D7 - NDB Impacted SPRF''s'!$E$16:$O$9929,5,FALSE)</f>
        <v>Gated HMO</v>
      </c>
      <c r="AE688" s="380" t="str">
        <f>VLOOKUP($B688,'D7 - NDB Impacted SPRF''s'!$E$16:$O$9929,7,FALSE)</f>
        <v>Diane Schofield</v>
      </c>
      <c r="AF688" s="380" t="str">
        <f>VLOOKUP($B688,'D7 - NDB Impacted SPRF''s'!$E$16:$O$9929,6,FALSE)</f>
        <v>SUSAN TONKIN</v>
      </c>
      <c r="AG688" s="282"/>
      <c r="AH688" s="311" t="e">
        <f>INDEX('D5 - Gatekeeper - Projects'!$A$4:$AF$1010,$AM688, 17)</f>
        <v>#N/A</v>
      </c>
      <c r="AI688" s="8"/>
      <c r="AJ688" s="57"/>
      <c r="AK688" s="105"/>
      <c r="AM688" s="6" t="e">
        <f>MATCH(D688,'D5 - Gatekeeper - Projects'!$C$4:$C$1010,0)</f>
        <v>#N/A</v>
      </c>
      <c r="AN688" s="6" t="b">
        <f t="shared" si="61"/>
        <v>1</v>
      </c>
      <c r="AO688" s="6" t="str">
        <f t="shared" si="64"/>
        <v>OK</v>
      </c>
      <c r="AQ688" s="6" t="e">
        <f>MATCH($D688,'D4 - Provider Council Unsched'!$C$11:$C$234,0)</f>
        <v>#N/A</v>
      </c>
      <c r="AR688" s="6" t="b">
        <f t="shared" si="62"/>
        <v>1</v>
      </c>
      <c r="AS688" s="6" t="str">
        <f t="shared" si="65"/>
        <v>OK</v>
      </c>
      <c r="AU688" s="202"/>
      <c r="AV688" s="262"/>
      <c r="AW688" s="274"/>
    </row>
    <row r="689" spans="1:49" s="13" customFormat="1" ht="33.75" x14ac:dyDescent="0.2">
      <c r="A689" s="14">
        <v>665</v>
      </c>
      <c r="B689" s="14">
        <v>400010790</v>
      </c>
      <c r="C689" s="8" t="s">
        <v>5197</v>
      </c>
      <c r="D689" s="4" t="str">
        <f t="shared" si="63"/>
        <v>400010790R1</v>
      </c>
      <c r="E689" s="309" t="str">
        <f>VLOOKUP($B689,'D7 - NDB Impacted SPRF''s'!$E$6:$O$9929,2,FALSE)</f>
        <v>NPI Plan D Compliance</v>
      </c>
      <c r="F689" s="8" t="s">
        <v>1059</v>
      </c>
      <c r="G689" s="8" t="s">
        <v>4758</v>
      </c>
      <c r="H689" s="8" t="s">
        <v>4246</v>
      </c>
      <c r="I689" s="20">
        <v>2.65</v>
      </c>
      <c r="J689" s="8" t="s">
        <v>4862</v>
      </c>
      <c r="K689" s="182">
        <v>39165</v>
      </c>
      <c r="L689" s="8" t="s">
        <v>5743</v>
      </c>
      <c r="M689" s="8" t="s">
        <v>5626</v>
      </c>
      <c r="N689" s="367"/>
      <c r="O689" s="8"/>
      <c r="P689" s="4" t="str">
        <f>VLOOKUP($B689,'D7 - NDB Impacted SPRF''s'!$E$16:$O$9929,9,FALSE)</f>
        <v>Y</v>
      </c>
      <c r="Q689" s="4" t="str">
        <f>VLOOKUP($B689,'D7 - NDB Impacted SPRF''s'!$E$16:$O$9929,10,FALSE)</f>
        <v>N</v>
      </c>
      <c r="R689" s="4" t="str">
        <f>VLOOKUP($B689,'D7 - NDB Impacted SPRF''s'!$E$16:$O$9929,11,FALSE)</f>
        <v>N</v>
      </c>
      <c r="S689" s="8" t="s">
        <v>3758</v>
      </c>
      <c r="T689" s="310"/>
      <c r="U689" s="310"/>
      <c r="V689" s="4"/>
      <c r="W689" s="4"/>
      <c r="X689" s="4"/>
      <c r="Y689" s="4"/>
      <c r="Z689" s="4"/>
      <c r="AA689" s="4"/>
      <c r="AB689" s="380" t="str">
        <f>VLOOKUP($B689,'D7 - NDB Impacted SPRF''s'!$E$16:$O$9929,4,FALSE)</f>
        <v>Completed</v>
      </c>
      <c r="AC689" s="380" t="str">
        <f>VLOOKUP($B689,'D7 - NDB Impacted SPRF''s'!$E$16:$O$9929,3,FALSE)</f>
        <v>UnitedHealthcare Employer &amp; Individual</v>
      </c>
      <c r="AD689" s="380" t="str">
        <f>VLOOKUP($B689,'D7 - NDB Impacted SPRF''s'!$E$16:$O$9929,5,FALSE)</f>
        <v>Regulatory / Other</v>
      </c>
      <c r="AE689" s="380" t="str">
        <f>VLOOKUP($B689,'D7 - NDB Impacted SPRF''s'!$E$16:$O$9929,7,FALSE)</f>
        <v>Gerald Brockman</v>
      </c>
      <c r="AF689" s="380" t="str">
        <f>VLOOKUP($B689,'D7 - NDB Impacted SPRF''s'!$E$16:$O$9929,6,FALSE)</f>
        <v>KELLY LEONARD</v>
      </c>
      <c r="AG689" s="282" t="s">
        <v>6682</v>
      </c>
      <c r="AH689" s="311" t="e">
        <f>INDEX('D5 - Gatekeeper - Projects'!$A$4:$AF$1010,$AM689, 17)</f>
        <v>#N/A</v>
      </c>
      <c r="AI689" s="8"/>
      <c r="AJ689" s="57"/>
      <c r="AK689" s="105"/>
      <c r="AM689" s="6" t="e">
        <f>MATCH(D689,'D5 - Gatekeeper - Projects'!$C$4:$C$1010,0)</f>
        <v>#N/A</v>
      </c>
      <c r="AN689" s="6" t="b">
        <f t="shared" si="61"/>
        <v>1</v>
      </c>
      <c r="AO689" s="6" t="str">
        <f t="shared" si="64"/>
        <v>OK</v>
      </c>
      <c r="AQ689" s="6" t="e">
        <f>MATCH($D689,'D4 - Provider Council Unsched'!$C$11:$C$234,0)</f>
        <v>#N/A</v>
      </c>
      <c r="AR689" s="6" t="b">
        <f t="shared" si="62"/>
        <v>1</v>
      </c>
      <c r="AS689" s="6" t="str">
        <f>IF(AND(H689="2 - Not Scheduled",AR689=TRUE,C689="R1"),"Add","OK")</f>
        <v>OK</v>
      </c>
      <c r="AU689" s="202"/>
      <c r="AV689" s="262"/>
      <c r="AW689" s="274"/>
    </row>
    <row r="690" spans="1:49" s="13" customFormat="1" ht="33.75" x14ac:dyDescent="0.2">
      <c r="A690" s="14">
        <v>666</v>
      </c>
      <c r="B690" s="14">
        <v>400010852</v>
      </c>
      <c r="C690" s="8" t="s">
        <v>6626</v>
      </c>
      <c r="D690" s="4" t="str">
        <f t="shared" si="63"/>
        <v>400010852CC01R1</v>
      </c>
      <c r="E690" s="309" t="str">
        <f>VLOOKUP($B690,'D7 - NDB Impacted SPRF''s'!$E$6:$O$9929,2,FALSE)</f>
        <v>NPI UNET Checkwrite (835) Compliance</v>
      </c>
      <c r="F690" s="8" t="s">
        <v>1059</v>
      </c>
      <c r="G690" s="8" t="s">
        <v>4758</v>
      </c>
      <c r="H690" s="8" t="s">
        <v>4246</v>
      </c>
      <c r="I690" s="20">
        <f>0.53/2</f>
        <v>0.26500000000000001</v>
      </c>
      <c r="J690" s="8" t="s">
        <v>4862</v>
      </c>
      <c r="K690" s="182">
        <v>39165</v>
      </c>
      <c r="L690" s="8" t="s">
        <v>5743</v>
      </c>
      <c r="M690" s="8" t="s">
        <v>5626</v>
      </c>
      <c r="N690" s="367" t="s">
        <v>5534</v>
      </c>
      <c r="O690" s="8"/>
      <c r="P690" s="4" t="str">
        <f>VLOOKUP($B690,'D7 - NDB Impacted SPRF''s'!$E$16:$O$9929,9,FALSE)</f>
        <v>Y</v>
      </c>
      <c r="Q690" s="4" t="str">
        <f>VLOOKUP($B690,'D7 - NDB Impacted SPRF''s'!$E$16:$O$9929,10,FALSE)</f>
        <v>N</v>
      </c>
      <c r="R690" s="4" t="str">
        <f>VLOOKUP($B690,'D7 - NDB Impacted SPRF''s'!$E$16:$O$9929,11,FALSE)</f>
        <v>N</v>
      </c>
      <c r="S690" s="8" t="s">
        <v>3758</v>
      </c>
      <c r="T690" s="310"/>
      <c r="U690" s="310"/>
      <c r="V690" s="4"/>
      <c r="W690" s="4"/>
      <c r="X690" s="4"/>
      <c r="Y690" s="4"/>
      <c r="Z690" s="4"/>
      <c r="AA690" s="4"/>
      <c r="AB690" s="380" t="str">
        <f>VLOOKUP($B690,'D7 - NDB Impacted SPRF''s'!$E$16:$O$9929,4,FALSE)</f>
        <v>Completed</v>
      </c>
      <c r="AC690" s="380" t="str">
        <f>VLOOKUP($B690,'D7 - NDB Impacted SPRF''s'!$E$16:$O$9929,3,FALSE)</f>
        <v>UnitedHealthcare Employer &amp; Individual</v>
      </c>
      <c r="AD690" s="380" t="str">
        <f>VLOOKUP($B690,'D7 - NDB Impacted SPRF''s'!$E$16:$O$9929,5,FALSE)</f>
        <v>Regulatory / Other</v>
      </c>
      <c r="AE690" s="380" t="str">
        <f>VLOOKUP($B690,'D7 - NDB Impacted SPRF''s'!$E$16:$O$9929,7,FALSE)</f>
        <v>Gerald Brockman</v>
      </c>
      <c r="AF690" s="380" t="str">
        <f>VLOOKUP($B690,'D7 - NDB Impacted SPRF''s'!$E$16:$O$9929,6,FALSE)</f>
        <v>KELLY LEONARD</v>
      </c>
      <c r="AG690" s="282" t="s">
        <v>6682</v>
      </c>
      <c r="AH690" s="311" t="e">
        <f>INDEX('D5 - Gatekeeper - Projects'!$A$4:$AF$1010,$AM690, 17)</f>
        <v>#N/A</v>
      </c>
      <c r="AI690" s="8"/>
      <c r="AJ690" s="57"/>
      <c r="AK690" s="105"/>
      <c r="AM690" s="6" t="e">
        <f>MATCH(D690,'D5 - Gatekeeper - Projects'!$C$4:$C$1010,0)</f>
        <v>#N/A</v>
      </c>
      <c r="AN690" s="6" t="b">
        <f t="shared" si="61"/>
        <v>1</v>
      </c>
      <c r="AO690" s="6" t="str">
        <f t="shared" si="64"/>
        <v>OK</v>
      </c>
      <c r="AQ690" s="6" t="e">
        <f>MATCH($D690,'D4 - Provider Council Unsched'!$C$11:$C$234,0)</f>
        <v>#N/A</v>
      </c>
      <c r="AR690" s="6" t="b">
        <f t="shared" si="62"/>
        <v>1</v>
      </c>
      <c r="AS690" s="6" t="str">
        <f t="shared" ref="AS690:AS721" si="66">IF(AND(H690="2 - Not Scheduled",AR690=TRUE),"Add","OK")</f>
        <v>OK</v>
      </c>
      <c r="AU690" s="202"/>
      <c r="AV690" s="262"/>
      <c r="AW690" s="274"/>
    </row>
    <row r="691" spans="1:49" s="13" customFormat="1" ht="33.75" x14ac:dyDescent="0.2">
      <c r="A691" s="14">
        <v>667</v>
      </c>
      <c r="B691" s="14">
        <v>400010918</v>
      </c>
      <c r="C691" s="8" t="s">
        <v>5197</v>
      </c>
      <c r="D691" s="4" t="str">
        <f t="shared" si="63"/>
        <v>400010918R1</v>
      </c>
      <c r="E691" s="309" t="str">
        <f>VLOOKUP($B691,'D7 - NDB Impacted SPRF''s'!$E$6:$O$9929,2,FALSE)</f>
        <v>NPI Portals Compliance - B2B &amp; B2C</v>
      </c>
      <c r="F691" s="8" t="s">
        <v>1059</v>
      </c>
      <c r="G691" s="8" t="s">
        <v>4758</v>
      </c>
      <c r="H691" s="8" t="s">
        <v>4246</v>
      </c>
      <c r="I691" s="20">
        <v>4.63</v>
      </c>
      <c r="J691" s="8" t="s">
        <v>4862</v>
      </c>
      <c r="K691" s="182">
        <v>39165</v>
      </c>
      <c r="L691" s="8" t="s">
        <v>5743</v>
      </c>
      <c r="M691" s="8" t="s">
        <v>2814</v>
      </c>
      <c r="N691" s="367" t="s">
        <v>5809</v>
      </c>
      <c r="O691" s="8"/>
      <c r="P691" s="4" t="str">
        <f>VLOOKUP($B691,'D7 - NDB Impacted SPRF''s'!$E$16:$O$9929,9,FALSE)</f>
        <v>N</v>
      </c>
      <c r="Q691" s="4" t="str">
        <f>VLOOKUP($B691,'D7 - NDB Impacted SPRF''s'!$E$16:$O$9929,10,FALSE)</f>
        <v>N</v>
      </c>
      <c r="R691" s="4" t="str">
        <f>VLOOKUP($B691,'D7 - NDB Impacted SPRF''s'!$E$16:$O$9929,11,FALSE)</f>
        <v>N</v>
      </c>
      <c r="S691" s="8" t="s">
        <v>3758</v>
      </c>
      <c r="T691" s="310"/>
      <c r="U691" s="310"/>
      <c r="V691" s="4"/>
      <c r="W691" s="4"/>
      <c r="X691" s="4"/>
      <c r="Y691" s="4"/>
      <c r="Z691" s="4"/>
      <c r="AA691" s="4"/>
      <c r="AB691" s="380" t="str">
        <f>VLOOKUP($B691,'D7 - NDB Impacted SPRF''s'!$E$16:$O$9929,4,FALSE)</f>
        <v>Completed</v>
      </c>
      <c r="AC691" s="380" t="str">
        <f>VLOOKUP($B691,'D7 - NDB Impacted SPRF''s'!$E$16:$O$9929,3,FALSE)</f>
        <v>UnitedHealthcare Employer &amp; Individual</v>
      </c>
      <c r="AD691" s="380" t="str">
        <f>VLOOKUP($B691,'D7 - NDB Impacted SPRF''s'!$E$16:$O$9929,5,FALSE)</f>
        <v>Regulatory / Other</v>
      </c>
      <c r="AE691" s="380" t="str">
        <f>VLOOKUP($B691,'D7 - NDB Impacted SPRF''s'!$E$16:$O$9929,7,FALSE)</f>
        <v>Gerald Brockman</v>
      </c>
      <c r="AF691" s="380" t="str">
        <f>VLOOKUP($B691,'D7 - NDB Impacted SPRF''s'!$E$16:$O$9929,6,FALSE)</f>
        <v>KELLY LEONARD</v>
      </c>
      <c r="AG691" s="282" t="s">
        <v>6682</v>
      </c>
      <c r="AH691" s="311" t="e">
        <f>INDEX('D5 - Gatekeeper - Projects'!$A$4:$AF$1010,$AM691, 17)</f>
        <v>#N/A</v>
      </c>
      <c r="AI691" s="8"/>
      <c r="AJ691" s="57"/>
      <c r="AK691" s="105"/>
      <c r="AM691" s="6" t="e">
        <f>MATCH(D691,'D5 - Gatekeeper - Projects'!$C$4:$C$1010,0)</f>
        <v>#N/A</v>
      </c>
      <c r="AN691" s="6" t="b">
        <f t="shared" si="61"/>
        <v>1</v>
      </c>
      <c r="AO691" s="6" t="str">
        <f t="shared" si="64"/>
        <v>OK</v>
      </c>
      <c r="AQ691" s="6" t="e">
        <f>MATCH($D691,'D4 - Provider Council Unsched'!$C$11:$C$234,0)</f>
        <v>#N/A</v>
      </c>
      <c r="AR691" s="6" t="b">
        <f t="shared" si="62"/>
        <v>1</v>
      </c>
      <c r="AS691" s="6" t="str">
        <f t="shared" si="66"/>
        <v>OK</v>
      </c>
      <c r="AU691" s="202"/>
      <c r="AV691" s="262"/>
      <c r="AW691" s="274"/>
    </row>
    <row r="692" spans="1:49" s="13" customFormat="1" ht="33.75" x14ac:dyDescent="0.2">
      <c r="A692" s="14">
        <v>668</v>
      </c>
      <c r="B692" s="14">
        <v>400010920</v>
      </c>
      <c r="C692" s="8" t="s">
        <v>5197</v>
      </c>
      <c r="D692" s="4" t="str">
        <f t="shared" si="63"/>
        <v>400010920R1</v>
      </c>
      <c r="E692" s="309" t="str">
        <f>VLOOKUP($B692,'D7 - NDB Impacted SPRF''s'!$E$6:$O$9929,2,FALSE)</f>
        <v>NPI Services Compliance</v>
      </c>
      <c r="F692" s="8" t="s">
        <v>1059</v>
      </c>
      <c r="G692" s="8" t="s">
        <v>4758</v>
      </c>
      <c r="H692" s="8" t="s">
        <v>4246</v>
      </c>
      <c r="I692" s="20">
        <v>0.53</v>
      </c>
      <c r="J692" s="8" t="s">
        <v>4862</v>
      </c>
      <c r="K692" s="182">
        <v>39165</v>
      </c>
      <c r="L692" s="8" t="s">
        <v>5743</v>
      </c>
      <c r="M692" s="8" t="s">
        <v>5626</v>
      </c>
      <c r="N692" s="367" t="s">
        <v>6339</v>
      </c>
      <c r="O692" s="8"/>
      <c r="P692" s="4" t="str">
        <f>VLOOKUP($B692,'D7 - NDB Impacted SPRF''s'!$E$16:$O$9929,9,FALSE)</f>
        <v>Y</v>
      </c>
      <c r="Q692" s="4" t="str">
        <f>VLOOKUP($B692,'D7 - NDB Impacted SPRF''s'!$E$16:$O$9929,10,FALSE)</f>
        <v>N</v>
      </c>
      <c r="R692" s="4" t="str">
        <f>VLOOKUP($B692,'D7 - NDB Impacted SPRF''s'!$E$16:$O$9929,11,FALSE)</f>
        <v>N</v>
      </c>
      <c r="S692" s="8" t="s">
        <v>3758</v>
      </c>
      <c r="T692" s="310"/>
      <c r="U692" s="310"/>
      <c r="V692" s="4"/>
      <c r="W692" s="4"/>
      <c r="X692" s="4"/>
      <c r="Y692" s="4"/>
      <c r="Z692" s="4"/>
      <c r="AA692" s="4"/>
      <c r="AB692" s="380" t="str">
        <f>VLOOKUP($B692,'D7 - NDB Impacted SPRF''s'!$E$16:$O$9929,4,FALSE)</f>
        <v>Completed</v>
      </c>
      <c r="AC692" s="380" t="str">
        <f>VLOOKUP($B692,'D7 - NDB Impacted SPRF''s'!$E$16:$O$9929,3,FALSE)</f>
        <v>UnitedHealthcare Employer &amp; Individual</v>
      </c>
      <c r="AD692" s="380" t="str">
        <f>VLOOKUP($B692,'D7 - NDB Impacted SPRF''s'!$E$16:$O$9929,5,FALSE)</f>
        <v>Regulatory / Other</v>
      </c>
      <c r="AE692" s="380" t="str">
        <f>VLOOKUP($B692,'D7 - NDB Impacted SPRF''s'!$E$16:$O$9929,7,FALSE)</f>
        <v>Gerald Brockman</v>
      </c>
      <c r="AF692" s="380" t="str">
        <f>VLOOKUP($B692,'D7 - NDB Impacted SPRF''s'!$E$16:$O$9929,6,FALSE)</f>
        <v>KELLY LEONARD</v>
      </c>
      <c r="AG692" s="282" t="s">
        <v>6682</v>
      </c>
      <c r="AH692" s="311" t="e">
        <f>INDEX('D5 - Gatekeeper - Projects'!$A$4:$AF$1010,$AM692, 17)</f>
        <v>#N/A</v>
      </c>
      <c r="AI692" s="8"/>
      <c r="AJ692" s="57"/>
      <c r="AK692" s="105"/>
      <c r="AM692" s="6" t="e">
        <f>MATCH(D692,'D5 - Gatekeeper - Projects'!$C$4:$C$1010,0)</f>
        <v>#N/A</v>
      </c>
      <c r="AN692" s="6" t="b">
        <f t="shared" si="61"/>
        <v>1</v>
      </c>
      <c r="AO692" s="6" t="str">
        <f t="shared" si="64"/>
        <v>OK</v>
      </c>
      <c r="AQ692" s="6" t="e">
        <f>MATCH($D692,'D4 - Provider Council Unsched'!$C$11:$C$234,0)</f>
        <v>#N/A</v>
      </c>
      <c r="AR692" s="6" t="b">
        <f t="shared" si="62"/>
        <v>1</v>
      </c>
      <c r="AS692" s="6" t="str">
        <f t="shared" si="66"/>
        <v>OK</v>
      </c>
      <c r="AU692" s="202"/>
      <c r="AV692" s="262"/>
      <c r="AW692" s="274"/>
    </row>
    <row r="693" spans="1:49" s="13" customFormat="1" ht="33.75" x14ac:dyDescent="0.2">
      <c r="A693" s="14">
        <v>669</v>
      </c>
      <c r="B693" s="14">
        <v>400010982</v>
      </c>
      <c r="C693" s="8" t="s">
        <v>6291</v>
      </c>
      <c r="D693" s="4" t="str">
        <f t="shared" si="63"/>
        <v>400010982CC03</v>
      </c>
      <c r="E693" s="309" t="str">
        <f>VLOOKUP($B693,'D7 - NDB Impacted SPRF''s'!$E$6:$O$9929,2,FALSE)</f>
        <v>NPI PCP Directory</v>
      </c>
      <c r="F693" s="8" t="s">
        <v>1059</v>
      </c>
      <c r="G693" s="8" t="s">
        <v>4758</v>
      </c>
      <c r="H693" s="8" t="s">
        <v>4246</v>
      </c>
      <c r="I693" s="20">
        <v>2.83</v>
      </c>
      <c r="J693" s="8" t="s">
        <v>4862</v>
      </c>
      <c r="K693" s="182">
        <v>39165</v>
      </c>
      <c r="L693" s="8" t="s">
        <v>5743</v>
      </c>
      <c r="M693" s="8" t="s">
        <v>5786</v>
      </c>
      <c r="N693" s="368"/>
      <c r="O693" s="8"/>
      <c r="P693" s="4" t="str">
        <f>VLOOKUP($B693,'D7 - NDB Impacted SPRF''s'!$E$16:$O$9929,9,FALSE)</f>
        <v>N</v>
      </c>
      <c r="Q693" s="4" t="str">
        <f>VLOOKUP($B693,'D7 - NDB Impacted SPRF''s'!$E$16:$O$9929,10,FALSE)</f>
        <v>N</v>
      </c>
      <c r="R693" s="4" t="str">
        <f>VLOOKUP($B693,'D7 - NDB Impacted SPRF''s'!$E$16:$O$9929,11,FALSE)</f>
        <v>N</v>
      </c>
      <c r="S693" s="8" t="s">
        <v>3758</v>
      </c>
      <c r="T693" s="310"/>
      <c r="U693" s="310"/>
      <c r="V693" s="4"/>
      <c r="W693" s="4"/>
      <c r="X693" s="4"/>
      <c r="Y693" s="4"/>
      <c r="Z693" s="4"/>
      <c r="AA693" s="4"/>
      <c r="AB693" s="380" t="str">
        <f>VLOOKUP($B693,'D7 - NDB Impacted SPRF''s'!$E$16:$O$9929,4,FALSE)</f>
        <v>Completed</v>
      </c>
      <c r="AC693" s="380" t="str">
        <f>VLOOKUP($B693,'D7 - NDB Impacted SPRF''s'!$E$16:$O$9929,3,FALSE)</f>
        <v>UnitedHealthcare Employer &amp; Individual</v>
      </c>
      <c r="AD693" s="380" t="str">
        <f>VLOOKUP($B693,'D7 - NDB Impacted SPRF''s'!$E$16:$O$9929,5,FALSE)</f>
        <v>Regulatory / Other</v>
      </c>
      <c r="AE693" s="380" t="str">
        <f>VLOOKUP($B693,'D7 - NDB Impacted SPRF''s'!$E$16:$O$9929,7,FALSE)</f>
        <v>Gerald Brockman</v>
      </c>
      <c r="AF693" s="380" t="str">
        <f>VLOOKUP($B693,'D7 - NDB Impacted SPRF''s'!$E$16:$O$9929,6,FALSE)</f>
        <v>KELLY LEONARD</v>
      </c>
      <c r="AG693" s="282"/>
      <c r="AH693" s="311" t="e">
        <f>INDEX('D5 - Gatekeeper - Projects'!$A$4:$AF$1010,$AM693, 17)</f>
        <v>#N/A</v>
      </c>
      <c r="AI693" s="8"/>
      <c r="AJ693" s="57"/>
      <c r="AK693" s="105"/>
      <c r="AM693" s="6" t="e">
        <f>MATCH(D693,'D5 - Gatekeeper - Projects'!$C$4:$C$1010,0)</f>
        <v>#N/A</v>
      </c>
      <c r="AN693" s="6" t="b">
        <f t="shared" si="61"/>
        <v>1</v>
      </c>
      <c r="AO693" s="6" t="str">
        <f t="shared" si="64"/>
        <v>OK</v>
      </c>
      <c r="AQ693" s="6" t="e">
        <f>MATCH($D693,'D4 - Provider Council Unsched'!$C$11:$C$234,0)</f>
        <v>#N/A</v>
      </c>
      <c r="AR693" s="6" t="b">
        <f t="shared" si="62"/>
        <v>1</v>
      </c>
      <c r="AS693" s="6" t="str">
        <f t="shared" si="66"/>
        <v>OK</v>
      </c>
      <c r="AU693" s="202"/>
      <c r="AV693" s="262"/>
      <c r="AW693" s="274"/>
    </row>
    <row r="694" spans="1:49" s="13" customFormat="1" ht="33.75" x14ac:dyDescent="0.2">
      <c r="A694" s="14">
        <v>670</v>
      </c>
      <c r="B694" s="14">
        <v>400011181</v>
      </c>
      <c r="C694" s="8" t="s">
        <v>6884</v>
      </c>
      <c r="D694" s="4" t="str">
        <f t="shared" si="63"/>
        <v>400011181CC15</v>
      </c>
      <c r="E694" s="309" t="str">
        <f>VLOOKUP($B694,'D7 - NDB Impacted SPRF''s'!$E$6:$O$9929,2,FALSE)</f>
        <v>GHMO MAHP - Items Moved From Phases III &amp; IV</v>
      </c>
      <c r="F694" s="8" t="s">
        <v>4168</v>
      </c>
      <c r="G694" s="8" t="s">
        <v>4758</v>
      </c>
      <c r="H694" s="8" t="s">
        <v>4246</v>
      </c>
      <c r="I694" s="20">
        <v>1.07</v>
      </c>
      <c r="J694" s="8" t="s">
        <v>4862</v>
      </c>
      <c r="K694" s="182">
        <v>39165</v>
      </c>
      <c r="L694" s="8" t="s">
        <v>5743</v>
      </c>
      <c r="M694" s="8" t="s">
        <v>5626</v>
      </c>
      <c r="N694" s="38" t="s">
        <v>2117</v>
      </c>
      <c r="O694" s="8"/>
      <c r="P694" s="4" t="str">
        <f>VLOOKUP($B694,'D7 - NDB Impacted SPRF''s'!$E$16:$O$9929,9,FALSE)</f>
        <v>Y</v>
      </c>
      <c r="Q694" s="4" t="str">
        <f>VLOOKUP($B694,'D7 - NDB Impacted SPRF''s'!$E$16:$O$9929,10,FALSE)</f>
        <v>N</v>
      </c>
      <c r="R694" s="4" t="str">
        <f>VLOOKUP($B694,'D7 - NDB Impacted SPRF''s'!$E$16:$O$9929,11,FALSE)</f>
        <v>N</v>
      </c>
      <c r="S694" s="8"/>
      <c r="T694" s="310"/>
      <c r="U694" s="310"/>
      <c r="V694" s="4"/>
      <c r="W694" s="4"/>
      <c r="X694" s="4"/>
      <c r="Y694" s="4"/>
      <c r="Z694" s="4"/>
      <c r="AA694" s="4"/>
      <c r="AB694" s="380" t="str">
        <f>VLOOKUP($B694,'D7 - NDB Impacted SPRF''s'!$E$16:$O$9929,4,FALSE)</f>
        <v>Completed</v>
      </c>
      <c r="AC694" s="380" t="str">
        <f>VLOOKUP($B694,'D7 - NDB Impacted SPRF''s'!$E$16:$O$9929,3,FALSE)</f>
        <v>UnitedHealthcare Employer &amp; Individual</v>
      </c>
      <c r="AD694" s="380" t="str">
        <f>VLOOKUP($B694,'D7 - NDB Impacted SPRF''s'!$E$16:$O$9929,5,FALSE)</f>
        <v>Gated HMO</v>
      </c>
      <c r="AE694" s="380" t="str">
        <f>VLOOKUP($B694,'D7 - NDB Impacted SPRF''s'!$E$16:$O$9929,7,FALSE)</f>
        <v>Diane Schofield</v>
      </c>
      <c r="AF694" s="380" t="str">
        <f>VLOOKUP($B694,'D7 - NDB Impacted SPRF''s'!$E$16:$O$9929,6,FALSE)</f>
        <v>SUSAN TONKIN</v>
      </c>
      <c r="AG694" s="282"/>
      <c r="AH694" s="311" t="e">
        <f>INDEX('D5 - Gatekeeper - Projects'!$A$4:$AF$1010,$AM694, 17)</f>
        <v>#N/A</v>
      </c>
      <c r="AI694" s="8"/>
      <c r="AJ694" s="57"/>
      <c r="AK694" s="105"/>
      <c r="AM694" s="6" t="e">
        <f>MATCH(D694,'D5 - Gatekeeper - Projects'!$C$4:$C$1010,0)</f>
        <v>#N/A</v>
      </c>
      <c r="AN694" s="6" t="b">
        <f t="shared" si="61"/>
        <v>1</v>
      </c>
      <c r="AO694" s="6" t="str">
        <f t="shared" si="64"/>
        <v>OK</v>
      </c>
      <c r="AQ694" s="6" t="e">
        <f>MATCH($D694,'D4 - Provider Council Unsched'!$C$11:$C$234,0)</f>
        <v>#N/A</v>
      </c>
      <c r="AR694" s="6" t="b">
        <f t="shared" si="62"/>
        <v>1</v>
      </c>
      <c r="AS694" s="6" t="str">
        <f t="shared" si="66"/>
        <v>OK</v>
      </c>
      <c r="AU694" s="202"/>
      <c r="AV694" s="262"/>
      <c r="AW694" s="274"/>
    </row>
    <row r="695" spans="1:49" s="13" customFormat="1" ht="22.5" x14ac:dyDescent="0.2">
      <c r="A695" s="14">
        <v>671</v>
      </c>
      <c r="B695" s="14">
        <v>400011485</v>
      </c>
      <c r="C695" s="8" t="s">
        <v>5197</v>
      </c>
      <c r="D695" s="4" t="str">
        <f t="shared" si="63"/>
        <v>400011485R1</v>
      </c>
      <c r="E695" s="309" t="str">
        <f>VLOOKUP($B695,'D7 - NDB Impacted SPRF''s'!$E$6:$O$9929,2,FALSE)</f>
        <v>HPHC1 - Implement HPHC Multi-site on PRIME/UNET</v>
      </c>
      <c r="F695" s="8" t="s">
        <v>5196</v>
      </c>
      <c r="G695" s="8" t="s">
        <v>4758</v>
      </c>
      <c r="H695" s="8" t="s">
        <v>4246</v>
      </c>
      <c r="I695" s="20">
        <v>1.07</v>
      </c>
      <c r="J695" s="8" t="s">
        <v>4862</v>
      </c>
      <c r="K695" s="182">
        <v>39165</v>
      </c>
      <c r="L695" s="8" t="s">
        <v>5743</v>
      </c>
      <c r="M695" s="8" t="s">
        <v>5626</v>
      </c>
      <c r="N695" s="367" t="s">
        <v>3345</v>
      </c>
      <c r="O695" s="8"/>
      <c r="P695" s="4" t="str">
        <f>VLOOKUP($B695,'D7 - NDB Impacted SPRF''s'!$E$16:$O$9929,9,FALSE)</f>
        <v>Y</v>
      </c>
      <c r="Q695" s="4" t="str">
        <f>VLOOKUP($B695,'D7 - NDB Impacted SPRF''s'!$E$16:$O$9929,10,FALSE)</f>
        <v>N</v>
      </c>
      <c r="R695" s="4" t="str">
        <f>VLOOKUP($B695,'D7 - NDB Impacted SPRF''s'!$E$16:$O$9929,11,FALSE)</f>
        <v>N</v>
      </c>
      <c r="S695" s="8"/>
      <c r="T695" s="310"/>
      <c r="U695" s="310"/>
      <c r="V695" s="4"/>
      <c r="W695" s="4"/>
      <c r="X695" s="4"/>
      <c r="Y695" s="4"/>
      <c r="Z695" s="4"/>
      <c r="AA695" s="4"/>
      <c r="AB695" s="380" t="str">
        <f>VLOOKUP($B695,'D7 - NDB Impacted SPRF''s'!$E$16:$O$9929,4,FALSE)</f>
        <v>Completed</v>
      </c>
      <c r="AC695" s="380" t="str">
        <f>VLOOKUP($B695,'D7 - NDB Impacted SPRF''s'!$E$16:$O$9929,3,FALSE)</f>
        <v>Alliance</v>
      </c>
      <c r="AD695" s="380" t="str">
        <f>VLOOKUP($B695,'D7 - NDB Impacted SPRF''s'!$E$16:$O$9929,5,FALSE)</f>
        <v>Harvard Pilgrim Service Alliance</v>
      </c>
      <c r="AE695" s="380" t="str">
        <f>VLOOKUP($B695,'D7 - NDB Impacted SPRF''s'!$E$16:$O$9929,7,FALSE)</f>
        <v>Bev Nyce</v>
      </c>
      <c r="AF695" s="380" t="str">
        <f>VLOOKUP($B695,'D7 - NDB Impacted SPRF''s'!$E$16:$O$9929,6,FALSE)</f>
        <v>Chris Hock</v>
      </c>
      <c r="AG695" s="282" t="s">
        <v>6682</v>
      </c>
      <c r="AH695" s="311" t="e">
        <f>INDEX('D5 - Gatekeeper - Projects'!$A$4:$AF$1010,$AM695, 17)</f>
        <v>#N/A</v>
      </c>
      <c r="AI695" s="8"/>
      <c r="AJ695" s="57"/>
      <c r="AK695" s="105"/>
      <c r="AM695" s="6" t="e">
        <f>MATCH(D695,'D5 - Gatekeeper - Projects'!$C$4:$C$1010,0)</f>
        <v>#N/A</v>
      </c>
      <c r="AN695" s="6" t="b">
        <f t="shared" si="61"/>
        <v>1</v>
      </c>
      <c r="AO695" s="6" t="str">
        <f t="shared" si="64"/>
        <v>OK</v>
      </c>
      <c r="AQ695" s="6" t="e">
        <f>MATCH($D695,'D4 - Provider Council Unsched'!$C$11:$C$234,0)</f>
        <v>#N/A</v>
      </c>
      <c r="AR695" s="6" t="b">
        <f t="shared" si="62"/>
        <v>1</v>
      </c>
      <c r="AS695" s="6" t="str">
        <f t="shared" si="66"/>
        <v>OK</v>
      </c>
      <c r="AU695" s="202"/>
      <c r="AV695" s="262"/>
      <c r="AW695" s="274"/>
    </row>
    <row r="696" spans="1:49" s="13" customFormat="1" ht="33.75" x14ac:dyDescent="0.2">
      <c r="A696" s="14">
        <v>672</v>
      </c>
      <c r="B696" s="14">
        <v>400011899</v>
      </c>
      <c r="C696" s="8" t="s">
        <v>5197</v>
      </c>
      <c r="D696" s="4" t="str">
        <f t="shared" si="63"/>
        <v>400011899R1</v>
      </c>
      <c r="E696" s="309" t="str">
        <f>VLOOKUP($B696,'D7 - NDB Impacted SPRF''s'!$E$6:$O$9929,2,FALSE)</f>
        <v>Updates to Claims Repricing Statistical Report</v>
      </c>
      <c r="F696" s="8" t="s">
        <v>4304</v>
      </c>
      <c r="G696" s="8" t="s">
        <v>4758</v>
      </c>
      <c r="H696" s="8" t="s">
        <v>4246</v>
      </c>
      <c r="I696" s="20">
        <v>2.65</v>
      </c>
      <c r="J696" s="8" t="s">
        <v>4862</v>
      </c>
      <c r="K696" s="182">
        <v>39165</v>
      </c>
      <c r="L696" s="8" t="s">
        <v>5743</v>
      </c>
      <c r="M696" s="8" t="s">
        <v>5786</v>
      </c>
      <c r="N696" s="367" t="s">
        <v>5845</v>
      </c>
      <c r="O696" s="8"/>
      <c r="P696" s="4" t="str">
        <f>VLOOKUP($B696,'D7 - NDB Impacted SPRF''s'!$E$16:$O$9929,9,FALSE)</f>
        <v>N</v>
      </c>
      <c r="Q696" s="4" t="str">
        <f>VLOOKUP($B696,'D7 - NDB Impacted SPRF''s'!$E$16:$O$9929,10,FALSE)</f>
        <v>N</v>
      </c>
      <c r="R696" s="4" t="str">
        <f>VLOOKUP($B696,'D7 - NDB Impacted SPRF''s'!$E$16:$O$9929,11,FALSE)</f>
        <v>N</v>
      </c>
      <c r="S696" s="8"/>
      <c r="T696" s="310"/>
      <c r="U696" s="310"/>
      <c r="V696" s="4"/>
      <c r="W696" s="4"/>
      <c r="X696" s="4"/>
      <c r="Y696" s="4"/>
      <c r="Z696" s="4"/>
      <c r="AA696" s="4"/>
      <c r="AB696" s="380" t="str">
        <f>VLOOKUP($B696,'D7 - NDB Impacted SPRF''s'!$E$16:$O$9929,4,FALSE)</f>
        <v>Completed</v>
      </c>
      <c r="AC696" s="380" t="str">
        <f>VLOOKUP($B696,'D7 - NDB Impacted SPRF''s'!$E$16:$O$9929,3,FALSE)</f>
        <v>UnitedHealthcare Employer &amp; Individual</v>
      </c>
      <c r="AD696" s="380" t="str">
        <f>VLOOKUP($B696,'D7 - NDB Impacted SPRF''s'!$E$16:$O$9929,5,FALSE)</f>
        <v>Medical Cost Savings Programs</v>
      </c>
      <c r="AE696" s="380" t="str">
        <f>VLOOKUP($B696,'D7 - NDB Impacted SPRF''s'!$E$16:$O$9929,7,FALSE)</f>
        <v>Mike Mikan, Dirk McMahon</v>
      </c>
      <c r="AF696" s="380" t="str">
        <f>VLOOKUP($B696,'D7 - NDB Impacted SPRF''s'!$E$16:$O$9929,6,FALSE)</f>
        <v>JAMES SHELTON</v>
      </c>
      <c r="AG696" s="282" t="s">
        <v>6162</v>
      </c>
      <c r="AH696" s="311" t="e">
        <f>INDEX('D5 - Gatekeeper - Projects'!$A$4:$AF$1010,$AM696, 17)</f>
        <v>#N/A</v>
      </c>
      <c r="AI696" s="8"/>
      <c r="AJ696" s="57"/>
      <c r="AK696" s="105"/>
      <c r="AM696" s="6" t="e">
        <f>MATCH(D696,'D5 - Gatekeeper - Projects'!$C$4:$C$1010,0)</f>
        <v>#N/A</v>
      </c>
      <c r="AN696" s="6" t="b">
        <f t="shared" si="61"/>
        <v>1</v>
      </c>
      <c r="AO696" s="6" t="str">
        <f t="shared" si="64"/>
        <v>OK</v>
      </c>
      <c r="AQ696" s="6" t="e">
        <f>MATCH($D696,'D4 - Provider Council Unsched'!$C$11:$C$234,0)</f>
        <v>#N/A</v>
      </c>
      <c r="AR696" s="6" t="b">
        <f t="shared" si="62"/>
        <v>1</v>
      </c>
      <c r="AS696" s="6" t="str">
        <f t="shared" si="66"/>
        <v>OK</v>
      </c>
      <c r="AU696" s="202"/>
      <c r="AV696" s="262"/>
      <c r="AW696" s="274"/>
    </row>
    <row r="697" spans="1:49" s="13" customFormat="1" ht="33.75" x14ac:dyDescent="0.2">
      <c r="A697" s="14">
        <v>673</v>
      </c>
      <c r="B697" s="14">
        <v>400012672</v>
      </c>
      <c r="C697" s="8" t="s">
        <v>3763</v>
      </c>
      <c r="D697" s="4" t="str">
        <f t="shared" si="63"/>
        <v>400012672R2</v>
      </c>
      <c r="E697" s="309" t="str">
        <f>VLOOKUP($B697,'D7 - NDB Impacted SPRF''s'!$E$6:$O$9929,2,FALSE)</f>
        <v>Provider Timely Filing by Contract</v>
      </c>
      <c r="F697" s="8" t="s">
        <v>2114</v>
      </c>
      <c r="G697" s="8" t="s">
        <v>4758</v>
      </c>
      <c r="H697" s="8" t="s">
        <v>4246</v>
      </c>
      <c r="I697" s="20">
        <v>38.86</v>
      </c>
      <c r="J697" s="8" t="s">
        <v>4862</v>
      </c>
      <c r="K697" s="182">
        <v>39165</v>
      </c>
      <c r="L697" s="8" t="s">
        <v>5743</v>
      </c>
      <c r="M697" s="8" t="s">
        <v>2814</v>
      </c>
      <c r="N697" s="368"/>
      <c r="O697" s="8" t="s">
        <v>5042</v>
      </c>
      <c r="P697" s="4" t="str">
        <f>VLOOKUP($B697,'D7 - NDB Impacted SPRF''s'!$E$16:$O$9929,9,FALSE)</f>
        <v>Y</v>
      </c>
      <c r="Q697" s="4" t="str">
        <f>VLOOKUP($B697,'D7 - NDB Impacted SPRF''s'!$E$16:$O$9929,10,FALSE)</f>
        <v>N</v>
      </c>
      <c r="R697" s="4" t="str">
        <f>VLOOKUP($B697,'D7 - NDB Impacted SPRF''s'!$E$16:$O$9929,11,FALSE)</f>
        <v>Y</v>
      </c>
      <c r="S697" s="8" t="s">
        <v>7273</v>
      </c>
      <c r="T697" s="310"/>
      <c r="U697" s="310"/>
      <c r="V697" s="4"/>
      <c r="W697" s="4"/>
      <c r="X697" s="4"/>
      <c r="Y697" s="4"/>
      <c r="Z697" s="4"/>
      <c r="AA697" s="4"/>
      <c r="AB697" s="380" t="str">
        <f>VLOOKUP($B697,'D7 - NDB Impacted SPRF''s'!$E$16:$O$9929,4,FALSE)</f>
        <v>Completed</v>
      </c>
      <c r="AC697" s="380" t="str">
        <f>VLOOKUP($B697,'D7 - NDB Impacted SPRF''s'!$E$16:$O$9929,3,FALSE)</f>
        <v>UnitedHealthcare Employer &amp; Individual</v>
      </c>
      <c r="AD697" s="380" t="str">
        <f>VLOOKUP($B697,'D7 - NDB Impacted SPRF''s'!$E$16:$O$9929,5,FALSE)</f>
        <v>Medical Cost Savings Programs</v>
      </c>
      <c r="AE697" s="380" t="str">
        <f>VLOOKUP($B697,'D7 - NDB Impacted SPRF''s'!$E$16:$O$9929,7,FALSE)</f>
        <v>Michael Ile</v>
      </c>
      <c r="AF697" s="380" t="str">
        <f>VLOOKUP($B697,'D7 - NDB Impacted SPRF''s'!$E$16:$O$9929,6,FALSE)</f>
        <v>Susan Neal</v>
      </c>
      <c r="AG697" s="282"/>
      <c r="AH697" s="311" t="e">
        <f>INDEX('D5 - Gatekeeper - Projects'!$A$4:$AF$1010,$AM697, 17)</f>
        <v>#N/A</v>
      </c>
      <c r="AI697" s="8"/>
      <c r="AJ697" s="57"/>
      <c r="AK697" s="105"/>
      <c r="AM697" s="6" t="e">
        <f>MATCH(D697,'D5 - Gatekeeper - Projects'!$C$4:$C$1010,0)</f>
        <v>#N/A</v>
      </c>
      <c r="AN697" s="6" t="b">
        <f t="shared" si="61"/>
        <v>1</v>
      </c>
      <c r="AO697" s="6" t="str">
        <f t="shared" si="64"/>
        <v>OK</v>
      </c>
      <c r="AQ697" s="6" t="e">
        <f>MATCH($D697,'D4 - Provider Council Unsched'!$C$11:$C$234,0)</f>
        <v>#N/A</v>
      </c>
      <c r="AR697" s="6" t="b">
        <f t="shared" si="62"/>
        <v>1</v>
      </c>
      <c r="AS697" s="6" t="str">
        <f t="shared" si="66"/>
        <v>OK</v>
      </c>
      <c r="AU697" s="202"/>
      <c r="AV697" s="262"/>
      <c r="AW697" s="274"/>
    </row>
    <row r="698" spans="1:49" s="13" customFormat="1" ht="33.75" x14ac:dyDescent="0.2">
      <c r="A698" s="14">
        <v>674</v>
      </c>
      <c r="B698" s="14">
        <v>400013210</v>
      </c>
      <c r="C698" s="8" t="s">
        <v>5197</v>
      </c>
      <c r="D698" s="4" t="str">
        <f t="shared" si="63"/>
        <v>400013210R1</v>
      </c>
      <c r="E698" s="309" t="str">
        <f>VLOOKUP($B698,'D7 - NDB Impacted SPRF''s'!$E$6:$O$9929,2,FALSE)</f>
        <v>PDI -Update NDB fields to support AmeriChoice data</v>
      </c>
      <c r="F698" s="8" t="s">
        <v>4961</v>
      </c>
      <c r="G698" s="8" t="s">
        <v>4758</v>
      </c>
      <c r="H698" s="8" t="s">
        <v>4246</v>
      </c>
      <c r="I698" s="20">
        <v>159.21</v>
      </c>
      <c r="J698" s="8" t="s">
        <v>4862</v>
      </c>
      <c r="K698" s="182">
        <v>39165</v>
      </c>
      <c r="L698" s="8" t="s">
        <v>5743</v>
      </c>
      <c r="M698" s="8" t="s">
        <v>2814</v>
      </c>
      <c r="N698" s="367"/>
      <c r="O698" s="8" t="s">
        <v>4306</v>
      </c>
      <c r="P698" s="4" t="str">
        <f>VLOOKUP($B698,'D7 - NDB Impacted SPRF''s'!$E$16:$O$9929,9,FALSE)</f>
        <v>N</v>
      </c>
      <c r="Q698" s="4" t="str">
        <f>VLOOKUP($B698,'D7 - NDB Impacted SPRF''s'!$E$16:$O$9929,10,FALSE)</f>
        <v>N</v>
      </c>
      <c r="R698" s="4" t="str">
        <f>VLOOKUP($B698,'D7 - NDB Impacted SPRF''s'!$E$16:$O$9929,11,FALSE)</f>
        <v>N</v>
      </c>
      <c r="S698" s="8"/>
      <c r="T698" s="310"/>
      <c r="U698" s="310"/>
      <c r="V698" s="4"/>
      <c r="W698" s="4"/>
      <c r="X698" s="4"/>
      <c r="Y698" s="4"/>
      <c r="Z698" s="4"/>
      <c r="AA698" s="4"/>
      <c r="AB698" s="380" t="str">
        <f>VLOOKUP($B698,'D7 - NDB Impacted SPRF''s'!$E$16:$O$9929,4,FALSE)</f>
        <v>Completed</v>
      </c>
      <c r="AC698" s="380" t="str">
        <f>VLOOKUP($B698,'D7 - NDB Impacted SPRF''s'!$E$16:$O$9929,3,FALSE)</f>
        <v>UnitedHealthcare Employer &amp; Individual</v>
      </c>
      <c r="AD698" s="380" t="str">
        <f>VLOOKUP($B698,'D7 - NDB Impacted SPRF''s'!$E$16:$O$9929,5,FALSE)</f>
        <v>Network Growth / Enhancements</v>
      </c>
      <c r="AE698" s="380" t="str">
        <f>VLOOKUP($B698,'D7 - NDB Impacted SPRF''s'!$E$16:$O$9929,7,FALSE)</f>
        <v>Mike Mikan</v>
      </c>
      <c r="AF698" s="380" t="str">
        <f>VLOOKUP($B698,'D7 - NDB Impacted SPRF''s'!$E$16:$O$9929,6,FALSE)</f>
        <v>GREGORY MILLS</v>
      </c>
      <c r="AG698" s="282"/>
      <c r="AH698" s="311" t="e">
        <f>INDEX('D5 - Gatekeeper - Projects'!$A$4:$AF$1010,$AM698, 17)</f>
        <v>#N/A</v>
      </c>
      <c r="AI698" s="8"/>
      <c r="AJ698" s="57"/>
      <c r="AK698" s="105"/>
      <c r="AM698" s="6" t="e">
        <f>MATCH(D698,'D5 - Gatekeeper - Projects'!$C$4:$C$1010,0)</f>
        <v>#N/A</v>
      </c>
      <c r="AN698" s="6" t="b">
        <f t="shared" si="61"/>
        <v>1</v>
      </c>
      <c r="AO698" s="6" t="str">
        <f t="shared" si="64"/>
        <v>OK</v>
      </c>
      <c r="AQ698" s="6" t="e">
        <f>MATCH($D698,'D4 - Provider Council Unsched'!$C$11:$C$234,0)</f>
        <v>#N/A</v>
      </c>
      <c r="AR698" s="6" t="b">
        <f t="shared" si="62"/>
        <v>1</v>
      </c>
      <c r="AS698" s="6" t="str">
        <f t="shared" si="66"/>
        <v>OK</v>
      </c>
      <c r="AU698" s="202"/>
      <c r="AV698" s="262"/>
      <c r="AW698" s="274"/>
    </row>
    <row r="699" spans="1:49" s="13" customFormat="1" ht="33.75" x14ac:dyDescent="0.2">
      <c r="A699" s="14">
        <v>675</v>
      </c>
      <c r="B699" s="14">
        <v>400013376</v>
      </c>
      <c r="C699" s="8" t="s">
        <v>5197</v>
      </c>
      <c r="D699" s="4" t="str">
        <f t="shared" si="63"/>
        <v>400013376R1</v>
      </c>
      <c r="E699" s="309" t="str">
        <f>VLOOKUP($B699,'D7 - NDB Impacted SPRF''s'!$E$6:$O$9929,2,FALSE)</f>
        <v xml:space="preserve">ITI: August Commercial Release </v>
      </c>
      <c r="F699" s="8" t="s">
        <v>7989</v>
      </c>
      <c r="G699" s="8" t="s">
        <v>4758</v>
      </c>
      <c r="H699" s="8" t="s">
        <v>4246</v>
      </c>
      <c r="I699" s="20">
        <v>12</v>
      </c>
      <c r="J699" s="8" t="s">
        <v>4862</v>
      </c>
      <c r="K699" s="182">
        <v>39165</v>
      </c>
      <c r="L699" s="8" t="s">
        <v>5743</v>
      </c>
      <c r="M699" s="8" t="s">
        <v>2814</v>
      </c>
      <c r="N699" s="368"/>
      <c r="O699" s="8"/>
      <c r="P699" s="4" t="str">
        <f>VLOOKUP($B699,'D7 - NDB Impacted SPRF''s'!$E$16:$O$9929,9,FALSE)</f>
        <v>Y</v>
      </c>
      <c r="Q699" s="4" t="str">
        <f>VLOOKUP($B699,'D7 - NDB Impacted SPRF''s'!$E$16:$O$9929,10,FALSE)</f>
        <v>N</v>
      </c>
      <c r="R699" s="4" t="str">
        <f>VLOOKUP($B699,'D7 - NDB Impacted SPRF''s'!$E$16:$O$9929,11,FALSE)</f>
        <v>Y</v>
      </c>
      <c r="S699" s="8" t="s">
        <v>7273</v>
      </c>
      <c r="T699" s="310"/>
      <c r="U699" s="310"/>
      <c r="V699" s="4"/>
      <c r="W699" s="4"/>
      <c r="X699" s="4"/>
      <c r="Y699" s="4"/>
      <c r="Z699" s="4"/>
      <c r="AA699" s="4"/>
      <c r="AB699" s="380" t="str">
        <f>VLOOKUP($B699,'D7 - NDB Impacted SPRF''s'!$E$16:$O$9929,4,FALSE)</f>
        <v>Completed</v>
      </c>
      <c r="AC699" s="380" t="str">
        <f>VLOOKUP($B699,'D7 - NDB Impacted SPRF''s'!$E$16:$O$9929,3,FALSE)</f>
        <v>UnitedHealthcare Employer &amp; Individual</v>
      </c>
      <c r="AD699" s="380" t="str">
        <f>VLOOKUP($B699,'D7 - NDB Impacted SPRF''s'!$E$16:$O$9929,5,FALSE)</f>
        <v>Medical Cost Savings Programs</v>
      </c>
      <c r="AE699" s="380" t="str">
        <f>VLOOKUP($B699,'D7 - NDB Impacted SPRF''s'!$E$16:$O$9929,7,FALSE)</f>
        <v>Gino Tenace</v>
      </c>
      <c r="AF699" s="380" t="str">
        <f>VLOOKUP($B699,'D7 - NDB Impacted SPRF''s'!$E$16:$O$9929,6,FALSE)</f>
        <v>Nicolle Wollin</v>
      </c>
      <c r="AG699" s="282"/>
      <c r="AH699" s="311" t="e">
        <f>INDEX('D5 - Gatekeeper - Projects'!$A$4:$AF$1010,$AM699, 17)</f>
        <v>#N/A</v>
      </c>
      <c r="AI699" s="8"/>
      <c r="AJ699" s="57"/>
      <c r="AK699" s="105"/>
      <c r="AM699" s="6" t="e">
        <f>MATCH(D699,'D5 - Gatekeeper - Projects'!$C$4:$C$1010,0)</f>
        <v>#N/A</v>
      </c>
      <c r="AN699" s="6" t="b">
        <f t="shared" si="61"/>
        <v>1</v>
      </c>
      <c r="AO699" s="6" t="str">
        <f t="shared" si="64"/>
        <v>OK</v>
      </c>
      <c r="AQ699" s="6" t="e">
        <f>MATCH($D699,'D4 - Provider Council Unsched'!$C$11:$C$234,0)</f>
        <v>#N/A</v>
      </c>
      <c r="AR699" s="6" t="b">
        <f t="shared" si="62"/>
        <v>1</v>
      </c>
      <c r="AS699" s="6" t="str">
        <f t="shared" si="66"/>
        <v>OK</v>
      </c>
      <c r="AU699" s="202"/>
      <c r="AV699" s="262"/>
      <c r="AW699" s="274"/>
    </row>
    <row r="700" spans="1:49" s="13" customFormat="1" ht="33.75" x14ac:dyDescent="0.2">
      <c r="A700" s="14">
        <v>676</v>
      </c>
      <c r="B700" s="14">
        <v>400013376</v>
      </c>
      <c r="C700" s="8" t="s">
        <v>1992</v>
      </c>
      <c r="D700" s="4" t="str">
        <f t="shared" si="63"/>
        <v>400013376U1</v>
      </c>
      <c r="E700" s="309" t="str">
        <f>VLOOKUP($B700,'D7 - NDB Impacted SPRF''s'!$E$6:$O$9929,2,FALSE)</f>
        <v xml:space="preserve">ITI: August Commercial Release </v>
      </c>
      <c r="F700" s="8" t="s">
        <v>7989</v>
      </c>
      <c r="G700" s="8" t="s">
        <v>4758</v>
      </c>
      <c r="H700" s="8" t="s">
        <v>4246</v>
      </c>
      <c r="I700" s="20">
        <v>0.78</v>
      </c>
      <c r="J700" s="8" t="s">
        <v>4862</v>
      </c>
      <c r="K700" s="182">
        <v>39165</v>
      </c>
      <c r="L700" s="8" t="s">
        <v>5743</v>
      </c>
      <c r="M700" s="8" t="s">
        <v>2814</v>
      </c>
      <c r="N700" s="367"/>
      <c r="O700" s="8"/>
      <c r="P700" s="4" t="str">
        <f>VLOOKUP($B700,'D7 - NDB Impacted SPRF''s'!$E$16:$O$9929,9,FALSE)</f>
        <v>Y</v>
      </c>
      <c r="Q700" s="4" t="str">
        <f>VLOOKUP($B700,'D7 - NDB Impacted SPRF''s'!$E$16:$O$9929,10,FALSE)</f>
        <v>N</v>
      </c>
      <c r="R700" s="4" t="str">
        <f>VLOOKUP($B700,'D7 - NDB Impacted SPRF''s'!$E$16:$O$9929,11,FALSE)</f>
        <v>Y</v>
      </c>
      <c r="S700" s="8" t="s">
        <v>7273</v>
      </c>
      <c r="T700" s="310"/>
      <c r="U700" s="310"/>
      <c r="V700" s="4"/>
      <c r="W700" s="4"/>
      <c r="X700" s="4"/>
      <c r="Y700" s="4"/>
      <c r="Z700" s="4"/>
      <c r="AA700" s="4"/>
      <c r="AB700" s="380" t="str">
        <f>VLOOKUP($B700,'D7 - NDB Impacted SPRF''s'!$E$16:$O$9929,4,FALSE)</f>
        <v>Completed</v>
      </c>
      <c r="AC700" s="380" t="str">
        <f>VLOOKUP($B700,'D7 - NDB Impacted SPRF''s'!$E$16:$O$9929,3,FALSE)</f>
        <v>UnitedHealthcare Employer &amp; Individual</v>
      </c>
      <c r="AD700" s="380" t="str">
        <f>VLOOKUP($B700,'D7 - NDB Impacted SPRF''s'!$E$16:$O$9929,5,FALSE)</f>
        <v>Medical Cost Savings Programs</v>
      </c>
      <c r="AE700" s="380" t="str">
        <f>VLOOKUP($B700,'D7 - NDB Impacted SPRF''s'!$E$16:$O$9929,7,FALSE)</f>
        <v>Gino Tenace</v>
      </c>
      <c r="AF700" s="380" t="str">
        <f>VLOOKUP($B700,'D7 - NDB Impacted SPRF''s'!$E$16:$O$9929,6,FALSE)</f>
        <v>Nicolle Wollin</v>
      </c>
      <c r="AG700" s="282"/>
      <c r="AH700" s="311" t="e">
        <f>INDEX('D5 - Gatekeeper - Projects'!$A$4:$AF$1010,$AM700, 17)</f>
        <v>#N/A</v>
      </c>
      <c r="AI700" s="8"/>
      <c r="AJ700" s="57"/>
      <c r="AK700" s="105"/>
      <c r="AM700" s="6" t="e">
        <f>MATCH(D700,'D5 - Gatekeeper - Projects'!$C$4:$C$1010,0)</f>
        <v>#N/A</v>
      </c>
      <c r="AN700" s="6" t="b">
        <f t="shared" si="61"/>
        <v>1</v>
      </c>
      <c r="AO700" s="6" t="str">
        <f t="shared" si="64"/>
        <v>OK</v>
      </c>
      <c r="AQ700" s="6" t="e">
        <f>MATCH($D700,'D4 - Provider Council Unsched'!$C$11:$C$234,0)</f>
        <v>#N/A</v>
      </c>
      <c r="AR700" s="6" t="b">
        <f t="shared" si="62"/>
        <v>1</v>
      </c>
      <c r="AS700" s="6" t="str">
        <f t="shared" si="66"/>
        <v>OK</v>
      </c>
      <c r="AU700" s="202"/>
      <c r="AV700" s="262"/>
      <c r="AW700" s="274"/>
    </row>
    <row r="701" spans="1:49" s="13" customFormat="1" ht="22.5" x14ac:dyDescent="0.2">
      <c r="A701" s="14">
        <v>677</v>
      </c>
      <c r="B701" s="14">
        <v>400013640</v>
      </c>
      <c r="C701" s="8" t="s">
        <v>5197</v>
      </c>
      <c r="D701" s="4" t="str">
        <f t="shared" si="63"/>
        <v>400013640R1</v>
      </c>
      <c r="E701" s="309" t="str">
        <f>VLOOKUP($B701,'D7 - NDB Impacted SPRF''s'!$E$6:$O$9929,2,FALSE)</f>
        <v>HPHC-Enhance NDB extract files for NSD</v>
      </c>
      <c r="F701" s="8" t="s">
        <v>5196</v>
      </c>
      <c r="G701" s="8" t="s">
        <v>4758</v>
      </c>
      <c r="H701" s="8" t="s">
        <v>4246</v>
      </c>
      <c r="I701" s="20">
        <v>1.07</v>
      </c>
      <c r="J701" s="8" t="s">
        <v>4862</v>
      </c>
      <c r="K701" s="182">
        <v>39165</v>
      </c>
      <c r="L701" s="8" t="s">
        <v>5743</v>
      </c>
      <c r="M701" s="8" t="s">
        <v>6688</v>
      </c>
      <c r="N701" s="367"/>
      <c r="O701" s="8"/>
      <c r="P701" s="4" t="str">
        <f>VLOOKUP($B701,'D7 - NDB Impacted SPRF''s'!$E$16:$O$9929,9,FALSE)</f>
        <v>N</v>
      </c>
      <c r="Q701" s="4" t="str">
        <f>VLOOKUP($B701,'D7 - NDB Impacted SPRF''s'!$E$16:$O$9929,10,FALSE)</f>
        <v>N</v>
      </c>
      <c r="R701" s="4" t="str">
        <f>VLOOKUP($B701,'D7 - NDB Impacted SPRF''s'!$E$16:$O$9929,11,FALSE)</f>
        <v>N</v>
      </c>
      <c r="S701" s="8"/>
      <c r="T701" s="310"/>
      <c r="U701" s="310"/>
      <c r="V701" s="4"/>
      <c r="W701" s="4"/>
      <c r="X701" s="4"/>
      <c r="Y701" s="4"/>
      <c r="Z701" s="4"/>
      <c r="AA701" s="4"/>
      <c r="AB701" s="380" t="str">
        <f>VLOOKUP($B701,'D7 - NDB Impacted SPRF''s'!$E$16:$O$9929,4,FALSE)</f>
        <v>Completed</v>
      </c>
      <c r="AC701" s="380" t="str">
        <f>VLOOKUP($B701,'D7 - NDB Impacted SPRF''s'!$E$16:$O$9929,3,FALSE)</f>
        <v>Alliance</v>
      </c>
      <c r="AD701" s="380" t="str">
        <f>VLOOKUP($B701,'D7 - NDB Impacted SPRF''s'!$E$16:$O$9929,5,FALSE)</f>
        <v>Harvard Pilgrim Service Alliance</v>
      </c>
      <c r="AE701" s="380" t="str">
        <f>VLOOKUP($B701,'D7 - NDB Impacted SPRF''s'!$E$16:$O$9929,7,FALSE)</f>
        <v>Jim Cronin</v>
      </c>
      <c r="AF701" s="380" t="str">
        <f>VLOOKUP($B701,'D7 - NDB Impacted SPRF''s'!$E$16:$O$9929,6,FALSE)</f>
        <v>Dorman Sarah</v>
      </c>
      <c r="AG701" s="282"/>
      <c r="AH701" s="311" t="e">
        <f>INDEX('D5 - Gatekeeper - Projects'!$A$4:$AF$1010,$AM701, 17)</f>
        <v>#N/A</v>
      </c>
      <c r="AI701" s="8"/>
      <c r="AJ701" s="57"/>
      <c r="AK701" s="105"/>
      <c r="AM701" s="6" t="e">
        <f>MATCH(D701,'D5 - Gatekeeper - Projects'!$C$4:$C$1010,0)</f>
        <v>#N/A</v>
      </c>
      <c r="AN701" s="6" t="b">
        <f t="shared" si="61"/>
        <v>1</v>
      </c>
      <c r="AO701" s="6" t="str">
        <f t="shared" si="64"/>
        <v>OK</v>
      </c>
      <c r="AQ701" s="6" t="e">
        <f>MATCH($D701,'D4 - Provider Council Unsched'!$C$11:$C$234,0)</f>
        <v>#N/A</v>
      </c>
      <c r="AR701" s="6" t="b">
        <f t="shared" si="62"/>
        <v>1</v>
      </c>
      <c r="AS701" s="6" t="str">
        <f t="shared" si="66"/>
        <v>OK</v>
      </c>
      <c r="AU701" s="202"/>
      <c r="AV701" s="262"/>
      <c r="AW701" s="274"/>
    </row>
    <row r="702" spans="1:49" s="13" customFormat="1" ht="33.75" x14ac:dyDescent="0.2">
      <c r="A702" s="14">
        <v>678</v>
      </c>
      <c r="B702" s="14">
        <v>400013849</v>
      </c>
      <c r="C702" s="8" t="s">
        <v>5197</v>
      </c>
      <c r="D702" s="4" t="str">
        <f t="shared" si="63"/>
        <v>400013849R1</v>
      </c>
      <c r="E702" s="309" t="str">
        <f>VLOOKUP($B702,'D7 - NDB Impacted SPRF''s'!$E$6:$O$9929,2,FALSE)</f>
        <v>Medica Travel Benefit Administration</v>
      </c>
      <c r="F702" s="8" t="s">
        <v>5196</v>
      </c>
      <c r="G702" s="8" t="s">
        <v>4758</v>
      </c>
      <c r="H702" s="8" t="s">
        <v>4246</v>
      </c>
      <c r="I702" s="20">
        <v>1.07</v>
      </c>
      <c r="J702" s="8" t="s">
        <v>4862</v>
      </c>
      <c r="K702" s="182">
        <v>39165</v>
      </c>
      <c r="L702" s="8" t="s">
        <v>5743</v>
      </c>
      <c r="M702" s="8" t="s">
        <v>5626</v>
      </c>
      <c r="N702" s="367"/>
      <c r="O702" s="8"/>
      <c r="P702" s="4" t="str">
        <f>VLOOKUP($B702,'D7 - NDB Impacted SPRF''s'!$E$16:$O$9929,9,FALSE)</f>
        <v>Y</v>
      </c>
      <c r="Q702" s="4" t="str">
        <f>VLOOKUP($B702,'D7 - NDB Impacted SPRF''s'!$E$16:$O$9929,10,FALSE)</f>
        <v>N</v>
      </c>
      <c r="R702" s="4" t="str">
        <f>VLOOKUP($B702,'D7 - NDB Impacted SPRF''s'!$E$16:$O$9929,11,FALSE)</f>
        <v>N</v>
      </c>
      <c r="S702" s="8"/>
      <c r="T702" s="310"/>
      <c r="U702" s="310"/>
      <c r="V702" s="4"/>
      <c r="W702" s="4"/>
      <c r="X702" s="4"/>
      <c r="Y702" s="4"/>
      <c r="Z702" s="4"/>
      <c r="AA702" s="4"/>
      <c r="AB702" s="380" t="str">
        <f>VLOOKUP($B702,'D7 - NDB Impacted SPRF''s'!$E$16:$O$9929,4,FALSE)</f>
        <v>Completed</v>
      </c>
      <c r="AC702" s="380" t="str">
        <f>VLOOKUP($B702,'D7 - NDB Impacted SPRF''s'!$E$16:$O$9929,3,FALSE)</f>
        <v>UnitedHealthcare Employer &amp; Individual</v>
      </c>
      <c r="AD702" s="380" t="str">
        <f>VLOOKUP($B702,'D7 - NDB Impacted SPRF''s'!$E$16:$O$9929,5,FALSE)</f>
        <v>HCA - Medica UNET Conversion</v>
      </c>
      <c r="AE702" s="380" t="str">
        <f>VLOOKUP($B702,'D7 - NDB Impacted SPRF''s'!$E$16:$O$9929,7,FALSE)</f>
        <v>Diane Schofield</v>
      </c>
      <c r="AF702" s="380" t="str">
        <f>VLOOKUP($B702,'D7 - NDB Impacted SPRF''s'!$E$16:$O$9929,6,FALSE)</f>
        <v>SUSAN TONKIN</v>
      </c>
      <c r="AG702" s="282"/>
      <c r="AH702" s="311" t="e">
        <f>INDEX('D5 - Gatekeeper - Projects'!$A$4:$AF$1010,$AM702, 17)</f>
        <v>#N/A</v>
      </c>
      <c r="AI702" s="8"/>
      <c r="AJ702" s="57"/>
      <c r="AK702" s="105"/>
      <c r="AM702" s="6" t="e">
        <f>MATCH(D702,'D5 - Gatekeeper - Projects'!$C$4:$C$1010,0)</f>
        <v>#N/A</v>
      </c>
      <c r="AN702" s="6" t="b">
        <f t="shared" si="61"/>
        <v>1</v>
      </c>
      <c r="AO702" s="6" t="str">
        <f t="shared" si="64"/>
        <v>OK</v>
      </c>
      <c r="AQ702" s="6" t="e">
        <f>MATCH($D702,'D4 - Provider Council Unsched'!$C$11:$C$234,0)</f>
        <v>#N/A</v>
      </c>
      <c r="AR702" s="6" t="b">
        <f t="shared" si="62"/>
        <v>1</v>
      </c>
      <c r="AS702" s="6" t="str">
        <f t="shared" si="66"/>
        <v>OK</v>
      </c>
      <c r="AU702" s="202"/>
      <c r="AV702" s="262"/>
      <c r="AW702" s="274"/>
    </row>
    <row r="703" spans="1:49" s="13" customFormat="1" x14ac:dyDescent="0.2">
      <c r="A703" s="14">
        <v>679</v>
      </c>
      <c r="B703" s="14">
        <v>400014166</v>
      </c>
      <c r="C703" s="8" t="s">
        <v>5197</v>
      </c>
      <c r="D703" s="4" t="str">
        <f t="shared" si="63"/>
        <v>400014166R1</v>
      </c>
      <c r="E703" s="309" t="str">
        <f>VLOOKUP($B703,'D7 - NDB Impacted SPRF''s'!$E$6:$O$9929,2,FALSE)</f>
        <v>Medica DayOne-Phase 2 IDT Enhancements</v>
      </c>
      <c r="F703" s="8" t="s">
        <v>5196</v>
      </c>
      <c r="G703" s="8" t="s">
        <v>4758</v>
      </c>
      <c r="H703" s="8" t="s">
        <v>4246</v>
      </c>
      <c r="I703" s="20">
        <v>1.07</v>
      </c>
      <c r="J703" s="8" t="s">
        <v>4862</v>
      </c>
      <c r="K703" s="182">
        <v>39165</v>
      </c>
      <c r="L703" s="8" t="s">
        <v>5743</v>
      </c>
      <c r="M703" s="8" t="s">
        <v>5626</v>
      </c>
      <c r="N703" s="367"/>
      <c r="O703" s="8"/>
      <c r="P703" s="4" t="str">
        <f>VLOOKUP($B703,'D7 - NDB Impacted SPRF''s'!$E$16:$O$9929,9,FALSE)</f>
        <v>Y</v>
      </c>
      <c r="Q703" s="4" t="str">
        <f>VLOOKUP($B703,'D7 - NDB Impacted SPRF''s'!$E$16:$O$9929,10,FALSE)</f>
        <v>N</v>
      </c>
      <c r="R703" s="4" t="str">
        <f>VLOOKUP($B703,'D7 - NDB Impacted SPRF''s'!$E$16:$O$9929,11,FALSE)</f>
        <v>N</v>
      </c>
      <c r="S703" s="8"/>
      <c r="T703" s="310"/>
      <c r="U703" s="310"/>
      <c r="V703" s="4"/>
      <c r="W703" s="4"/>
      <c r="X703" s="4"/>
      <c r="Y703" s="4"/>
      <c r="Z703" s="4"/>
      <c r="AA703" s="4"/>
      <c r="AB703" s="380" t="str">
        <f>VLOOKUP($B703,'D7 - NDB Impacted SPRF''s'!$E$16:$O$9929,4,FALSE)</f>
        <v>Completed</v>
      </c>
      <c r="AC703" s="380" t="str">
        <f>VLOOKUP($B703,'D7 - NDB Impacted SPRF''s'!$E$16:$O$9929,3,FALSE)</f>
        <v>Alliance</v>
      </c>
      <c r="AD703" s="380" t="str">
        <f>VLOOKUP($B703,'D7 - NDB Impacted SPRF''s'!$E$16:$O$9929,5,FALSE)</f>
        <v>Medica UNET Conversion</v>
      </c>
      <c r="AE703" s="380" t="str">
        <f>VLOOKUP($B703,'D7 - NDB Impacted SPRF''s'!$E$16:$O$9929,7,FALSE)</f>
        <v>Claire Verity</v>
      </c>
      <c r="AF703" s="380" t="str">
        <f>VLOOKUP($B703,'D7 - NDB Impacted SPRF''s'!$E$16:$O$9929,6,FALSE)</f>
        <v>TODD COBBS</v>
      </c>
      <c r="AG703" s="282"/>
      <c r="AH703" s="311" t="e">
        <f>INDEX('D5 - Gatekeeper - Projects'!$A$4:$AF$1010,$AM703, 17)</f>
        <v>#N/A</v>
      </c>
      <c r="AI703" s="8"/>
      <c r="AJ703" s="57"/>
      <c r="AK703" s="105"/>
      <c r="AM703" s="6" t="e">
        <f>MATCH(D703,'D5 - Gatekeeper - Projects'!$C$4:$C$1010,0)</f>
        <v>#N/A</v>
      </c>
      <c r="AN703" s="6" t="b">
        <f t="shared" si="61"/>
        <v>1</v>
      </c>
      <c r="AO703" s="6" t="str">
        <f t="shared" si="64"/>
        <v>OK</v>
      </c>
      <c r="AQ703" s="6" t="e">
        <f>MATCH($D703,'D4 - Provider Council Unsched'!$C$11:$C$234,0)</f>
        <v>#N/A</v>
      </c>
      <c r="AR703" s="6" t="b">
        <f t="shared" si="62"/>
        <v>1</v>
      </c>
      <c r="AS703" s="6" t="str">
        <f t="shared" si="66"/>
        <v>OK</v>
      </c>
      <c r="AU703" s="202"/>
      <c r="AV703" s="262"/>
      <c r="AW703" s="274"/>
    </row>
    <row r="704" spans="1:49" s="13" customFormat="1" x14ac:dyDescent="0.2">
      <c r="A704" s="14">
        <v>680</v>
      </c>
      <c r="B704" s="14">
        <v>400014307</v>
      </c>
      <c r="C704" s="8" t="s">
        <v>5197</v>
      </c>
      <c r="D704" s="4" t="str">
        <f t="shared" si="63"/>
        <v>400014307R1</v>
      </c>
      <c r="E704" s="309" t="str">
        <f>VLOOKUP($B704,'D7 - NDB Impacted SPRF''s'!$E$6:$O$9929,2,FALSE)</f>
        <v>NDB Provider Pick process for Medica COSMOS claims</v>
      </c>
      <c r="F704" s="8" t="s">
        <v>1059</v>
      </c>
      <c r="G704" s="8" t="s">
        <v>4758</v>
      </c>
      <c r="H704" s="8" t="s">
        <v>4246</v>
      </c>
      <c r="I704" s="20">
        <v>0.53</v>
      </c>
      <c r="J704" s="8" t="s">
        <v>4862</v>
      </c>
      <c r="K704" s="182">
        <v>39165</v>
      </c>
      <c r="L704" s="8" t="s">
        <v>5743</v>
      </c>
      <c r="M704" s="8" t="s">
        <v>5626</v>
      </c>
      <c r="N704" s="367"/>
      <c r="O704" s="8"/>
      <c r="P704" s="4" t="str">
        <f>VLOOKUP($B704,'D7 - NDB Impacted SPRF''s'!$E$16:$O$9929,9,FALSE)</f>
        <v>N</v>
      </c>
      <c r="Q704" s="4" t="str">
        <f>VLOOKUP($B704,'D7 - NDB Impacted SPRF''s'!$E$16:$O$9929,10,FALSE)</f>
        <v>N</v>
      </c>
      <c r="R704" s="4" t="str">
        <f>VLOOKUP($B704,'D7 - NDB Impacted SPRF''s'!$E$16:$O$9929,11,FALSE)</f>
        <v>N</v>
      </c>
      <c r="S704" s="8"/>
      <c r="T704" s="310"/>
      <c r="U704" s="310"/>
      <c r="V704" s="4"/>
      <c r="W704" s="4"/>
      <c r="X704" s="4"/>
      <c r="Y704" s="4"/>
      <c r="Z704" s="4"/>
      <c r="AA704" s="4"/>
      <c r="AB704" s="380" t="str">
        <f>VLOOKUP($B704,'D7 - NDB Impacted SPRF''s'!$E$16:$O$9929,4,FALSE)</f>
        <v>Completed</v>
      </c>
      <c r="AC704" s="380" t="str">
        <f>VLOOKUP($B704,'D7 - NDB Impacted SPRF''s'!$E$16:$O$9929,3,FALSE)</f>
        <v>Uniprise</v>
      </c>
      <c r="AD704" s="380" t="str">
        <f>VLOOKUP($B704,'D7 - NDB Impacted SPRF''s'!$E$16:$O$9929,5,FALSE)</f>
        <v>UOS - DDC</v>
      </c>
      <c r="AE704" s="380" t="str">
        <f>VLOOKUP($B704,'D7 - NDB Impacted SPRF''s'!$E$16:$O$9929,7,FALSE)</f>
        <v>Joanne Houck</v>
      </c>
      <c r="AF704" s="380" t="str">
        <f>VLOOKUP($B704,'D7 - NDB Impacted SPRF''s'!$E$16:$O$9929,6,FALSE)</f>
        <v>Cathy Hanson</v>
      </c>
      <c r="AG704" s="282"/>
      <c r="AH704" s="311" t="e">
        <f>INDEX('D5 - Gatekeeper - Projects'!$A$4:$AF$1010,$AM704, 17)</f>
        <v>#N/A</v>
      </c>
      <c r="AI704" s="8"/>
      <c r="AJ704" s="57"/>
      <c r="AK704" s="105"/>
      <c r="AM704" s="6" t="e">
        <f>MATCH(D704,'D5 - Gatekeeper - Projects'!$C$4:$C$1010,0)</f>
        <v>#N/A</v>
      </c>
      <c r="AN704" s="6" t="b">
        <f t="shared" si="61"/>
        <v>1</v>
      </c>
      <c r="AO704" s="6" t="str">
        <f t="shared" si="64"/>
        <v>OK</v>
      </c>
      <c r="AQ704" s="6" t="e">
        <f>MATCH($D704,'D4 - Provider Council Unsched'!$C$11:$C$234,0)</f>
        <v>#N/A</v>
      </c>
      <c r="AR704" s="6" t="b">
        <f t="shared" si="62"/>
        <v>1</v>
      </c>
      <c r="AS704" s="6" t="str">
        <f t="shared" si="66"/>
        <v>OK</v>
      </c>
      <c r="AU704" s="202"/>
      <c r="AV704" s="262"/>
      <c r="AW704" s="274"/>
    </row>
    <row r="705" spans="1:49" s="13" customFormat="1" ht="33.75" x14ac:dyDescent="0.2">
      <c r="A705" s="14">
        <v>681</v>
      </c>
      <c r="B705" s="14">
        <v>400014888</v>
      </c>
      <c r="C705" s="8" t="s">
        <v>5197</v>
      </c>
      <c r="D705" s="4" t="str">
        <f t="shared" si="63"/>
        <v>400014888R1</v>
      </c>
      <c r="E705" s="309" t="str">
        <f>VLOOKUP($B705,'D7 - NDB Impacted SPRF''s'!$E$6:$O$9929,2,FALSE)</f>
        <v>NPI Phase 4 Implementation</v>
      </c>
      <c r="F705" s="8" t="s">
        <v>1059</v>
      </c>
      <c r="G705" s="8" t="s">
        <v>4758</v>
      </c>
      <c r="H705" s="8" t="s">
        <v>4246</v>
      </c>
      <c r="I705" s="20">
        <v>3.85</v>
      </c>
      <c r="J705" s="8" t="s">
        <v>4862</v>
      </c>
      <c r="K705" s="182">
        <v>39165</v>
      </c>
      <c r="L705" s="8" t="s">
        <v>5743</v>
      </c>
      <c r="M705" s="8" t="s">
        <v>2814</v>
      </c>
      <c r="N705" s="38" t="s">
        <v>5809</v>
      </c>
      <c r="O705" s="8"/>
      <c r="P705" s="4" t="str">
        <f>VLOOKUP($B705,'D7 - NDB Impacted SPRF''s'!$E$16:$O$9929,9,FALSE)</f>
        <v>Y</v>
      </c>
      <c r="Q705" s="4" t="str">
        <f>VLOOKUP($B705,'D7 - NDB Impacted SPRF''s'!$E$16:$O$9929,10,FALSE)</f>
        <v>N</v>
      </c>
      <c r="R705" s="4" t="str">
        <f>VLOOKUP($B705,'D7 - NDB Impacted SPRF''s'!$E$16:$O$9929,11,FALSE)</f>
        <v>N</v>
      </c>
      <c r="S705" s="8"/>
      <c r="T705" s="310"/>
      <c r="U705" s="310"/>
      <c r="V705" s="4"/>
      <c r="W705" s="4"/>
      <c r="X705" s="4"/>
      <c r="Y705" s="4"/>
      <c r="Z705" s="4"/>
      <c r="AA705" s="4"/>
      <c r="AB705" s="380" t="str">
        <f>VLOOKUP($B705,'D7 - NDB Impacted SPRF''s'!$E$16:$O$9929,4,FALSE)</f>
        <v>Completed</v>
      </c>
      <c r="AC705" s="380" t="str">
        <f>VLOOKUP($B705,'D7 - NDB Impacted SPRF''s'!$E$16:$O$9929,3,FALSE)</f>
        <v>UnitedHealthcare Employer &amp; Individual</v>
      </c>
      <c r="AD705" s="380" t="str">
        <f>VLOOKUP($B705,'D7 - NDB Impacted SPRF''s'!$E$16:$O$9929,5,FALSE)</f>
        <v>Regulatory / Other</v>
      </c>
      <c r="AE705" s="380" t="str">
        <f>VLOOKUP($B705,'D7 - NDB Impacted SPRF''s'!$E$16:$O$9929,7,FALSE)</f>
        <v>Tim Kaja</v>
      </c>
      <c r="AF705" s="380" t="str">
        <f>VLOOKUP($B705,'D7 - NDB Impacted SPRF''s'!$E$16:$O$9929,6,FALSE)</f>
        <v>KELLY LEONARD</v>
      </c>
      <c r="AG705" s="282"/>
      <c r="AH705" s="311" t="e">
        <f>INDEX('D5 - Gatekeeper - Projects'!$A$4:$AF$1010,$AM705, 17)</f>
        <v>#N/A</v>
      </c>
      <c r="AI705" s="8"/>
      <c r="AJ705" s="57"/>
      <c r="AK705" s="105"/>
      <c r="AM705" s="6" t="e">
        <f>MATCH(D705,'D5 - Gatekeeper - Projects'!$C$4:$C$1010,0)</f>
        <v>#N/A</v>
      </c>
      <c r="AN705" s="6" t="b">
        <f t="shared" si="61"/>
        <v>1</v>
      </c>
      <c r="AO705" s="6" t="str">
        <f t="shared" si="64"/>
        <v>OK</v>
      </c>
      <c r="AQ705" s="6" t="e">
        <f>MATCH($D705,'D4 - Provider Council Unsched'!$C$11:$C$234,0)</f>
        <v>#N/A</v>
      </c>
      <c r="AR705" s="6" t="b">
        <f t="shared" si="62"/>
        <v>1</v>
      </c>
      <c r="AS705" s="6" t="str">
        <f t="shared" si="66"/>
        <v>OK</v>
      </c>
      <c r="AU705" s="202"/>
      <c r="AV705" s="262"/>
      <c r="AW705" s="274"/>
    </row>
    <row r="706" spans="1:49" s="13" customFormat="1" ht="45" x14ac:dyDescent="0.2">
      <c r="A706" s="14">
        <v>682</v>
      </c>
      <c r="B706" s="14">
        <v>400014911</v>
      </c>
      <c r="C706" s="8" t="s">
        <v>5197</v>
      </c>
      <c r="D706" s="4" t="str">
        <f t="shared" si="63"/>
        <v>400014911R1</v>
      </c>
      <c r="E706" s="309" t="str">
        <f>VLOOKUP($B706,'D7 - NDB Impacted SPRF''s'!$E$6:$O$9929,2,FALSE)</f>
        <v>Fee Schedule Change Audit Report</v>
      </c>
      <c r="F706" s="8" t="s">
        <v>3235</v>
      </c>
      <c r="G706" s="8" t="s">
        <v>4758</v>
      </c>
      <c r="H706" s="8" t="s">
        <v>4246</v>
      </c>
      <c r="I706" s="20">
        <v>4.08</v>
      </c>
      <c r="J706" s="8" t="s">
        <v>4862</v>
      </c>
      <c r="K706" s="182">
        <v>39165</v>
      </c>
      <c r="L706" s="8" t="s">
        <v>5743</v>
      </c>
      <c r="M706" s="8" t="s">
        <v>5786</v>
      </c>
      <c r="N706" s="38" t="s">
        <v>2095</v>
      </c>
      <c r="O706" s="8"/>
      <c r="P706" s="4" t="str">
        <f>VLOOKUP($B706,'D7 - NDB Impacted SPRF''s'!$E$16:$O$9929,9,FALSE)</f>
        <v>N</v>
      </c>
      <c r="Q706" s="4" t="str">
        <f>VLOOKUP($B706,'D7 - NDB Impacted SPRF''s'!$E$16:$O$9929,10,FALSE)</f>
        <v>N</v>
      </c>
      <c r="R706" s="4" t="str">
        <f>VLOOKUP($B706,'D7 - NDB Impacted SPRF''s'!$E$16:$O$9929,11,FALSE)</f>
        <v>N</v>
      </c>
      <c r="S706" s="8"/>
      <c r="T706" s="310"/>
      <c r="U706" s="310"/>
      <c r="V706" s="4"/>
      <c r="W706" s="4"/>
      <c r="X706" s="4"/>
      <c r="Y706" s="4"/>
      <c r="Z706" s="4"/>
      <c r="AA706" s="4"/>
      <c r="AB706" s="380" t="str">
        <f>VLOOKUP($B706,'D7 - NDB Impacted SPRF''s'!$E$16:$O$9929,4,FALSE)</f>
        <v>Completed</v>
      </c>
      <c r="AC706" s="380" t="str">
        <f>VLOOKUP($B706,'D7 - NDB Impacted SPRF''s'!$E$16:$O$9929,3,FALSE)</f>
        <v>UnitedHealthcare Employer &amp; Individual</v>
      </c>
      <c r="AD706" s="380" t="str">
        <f>VLOOKUP($B706,'D7 - NDB Impacted SPRF''s'!$E$16:$O$9929,5,FALSE)</f>
        <v>Network Growth / Enhancements</v>
      </c>
      <c r="AE706" s="380" t="str">
        <f>VLOOKUP($B706,'D7 - NDB Impacted SPRF''s'!$E$16:$O$9929,7,FALSE)</f>
        <v>Tim Kaja</v>
      </c>
      <c r="AF706" s="380" t="str">
        <f>VLOOKUP($B706,'D7 - NDB Impacted SPRF''s'!$E$16:$O$9929,6,FALSE)</f>
        <v>JOHN HIEBERT</v>
      </c>
      <c r="AG706" s="282"/>
      <c r="AH706" s="311" t="e">
        <f>INDEX('D5 - Gatekeeper - Projects'!$A$4:$AF$1010,$AM706, 17)</f>
        <v>#N/A</v>
      </c>
      <c r="AI706" s="8"/>
      <c r="AJ706" s="57"/>
      <c r="AK706" s="105"/>
      <c r="AM706" s="6" t="e">
        <f>MATCH(D706,'D5 - Gatekeeper - Projects'!$C$4:$C$1010,0)</f>
        <v>#N/A</v>
      </c>
      <c r="AN706" s="6" t="b">
        <f t="shared" si="61"/>
        <v>1</v>
      </c>
      <c r="AO706" s="6" t="str">
        <f t="shared" si="64"/>
        <v>OK</v>
      </c>
      <c r="AQ706" s="6" t="e">
        <f>MATCH($D706,'D4 - Provider Council Unsched'!$C$11:$C$234,0)</f>
        <v>#N/A</v>
      </c>
      <c r="AR706" s="6" t="b">
        <f t="shared" si="62"/>
        <v>1</v>
      </c>
      <c r="AS706" s="6" t="str">
        <f t="shared" si="66"/>
        <v>OK</v>
      </c>
      <c r="AU706" s="202"/>
      <c r="AV706" s="262"/>
      <c r="AW706" s="274"/>
    </row>
    <row r="707" spans="1:49" s="13" customFormat="1" ht="22.5" x14ac:dyDescent="0.2">
      <c r="A707" s="14">
        <v>683</v>
      </c>
      <c r="B707" s="14">
        <v>400015462</v>
      </c>
      <c r="C707" s="8" t="s">
        <v>5197</v>
      </c>
      <c r="D707" s="4" t="str">
        <f t="shared" si="63"/>
        <v>400015462R1</v>
      </c>
      <c r="E707" s="309" t="str">
        <f>VLOOKUP($B707,'D7 - NDB Impacted SPRF''s'!$E$6:$O$9929,2,FALSE)</f>
        <v>HPHC1-WO- Update Logic for Weekly Provider Mailing</v>
      </c>
      <c r="F707" s="8" t="s">
        <v>5196</v>
      </c>
      <c r="G707" s="8" t="s">
        <v>4758</v>
      </c>
      <c r="H707" s="8" t="s">
        <v>4246</v>
      </c>
      <c r="I707" s="20">
        <v>1.07</v>
      </c>
      <c r="J707" s="8" t="s">
        <v>4862</v>
      </c>
      <c r="K707" s="182">
        <v>39165</v>
      </c>
      <c r="L707" s="8" t="s">
        <v>5743</v>
      </c>
      <c r="M707" s="8" t="s">
        <v>6007</v>
      </c>
      <c r="N707" s="38"/>
      <c r="O707" s="8"/>
      <c r="P707" s="4" t="str">
        <f>VLOOKUP($B707,'D7 - NDB Impacted SPRF''s'!$E$16:$O$9929,9,FALSE)</f>
        <v>N</v>
      </c>
      <c r="Q707" s="4" t="str">
        <f>VLOOKUP($B707,'D7 - NDB Impacted SPRF''s'!$E$16:$O$9929,10,FALSE)</f>
        <v>N</v>
      </c>
      <c r="R707" s="4" t="str">
        <f>VLOOKUP($B707,'D7 - NDB Impacted SPRF''s'!$E$16:$O$9929,11,FALSE)</f>
        <v>N</v>
      </c>
      <c r="S707" s="8"/>
      <c r="T707" s="310"/>
      <c r="U707" s="310"/>
      <c r="V707" s="4"/>
      <c r="W707" s="4"/>
      <c r="X707" s="4"/>
      <c r="Y707" s="4"/>
      <c r="Z707" s="4"/>
      <c r="AA707" s="4"/>
      <c r="AB707" s="380" t="str">
        <f>VLOOKUP($B707,'D7 - NDB Impacted SPRF''s'!$E$16:$O$9929,4,FALSE)</f>
        <v>Completed</v>
      </c>
      <c r="AC707" s="380" t="str">
        <f>VLOOKUP($B707,'D7 - NDB Impacted SPRF''s'!$E$16:$O$9929,3,FALSE)</f>
        <v>Alliance</v>
      </c>
      <c r="AD707" s="380" t="str">
        <f>VLOOKUP($B707,'D7 - NDB Impacted SPRF''s'!$E$16:$O$9929,5,FALSE)</f>
        <v>Harvard Pilgrim Service Alliance</v>
      </c>
      <c r="AE707" s="380" t="str">
        <f>VLOOKUP($B707,'D7 - NDB Impacted SPRF''s'!$E$16:$O$9929,7,FALSE)</f>
        <v>Bev Nyce</v>
      </c>
      <c r="AF707" s="380" t="str">
        <f>VLOOKUP($B707,'D7 - NDB Impacted SPRF''s'!$E$16:$O$9929,6,FALSE)</f>
        <v>DAWN WALTER</v>
      </c>
      <c r="AG707" s="282"/>
      <c r="AH707" s="311" t="e">
        <f>INDEX('D5 - Gatekeeper - Projects'!$A$4:$AF$1010,$AM707, 17)</f>
        <v>#N/A</v>
      </c>
      <c r="AI707" s="8"/>
      <c r="AJ707" s="57"/>
      <c r="AK707" s="105"/>
      <c r="AM707" s="6" t="e">
        <f>MATCH(D707,'D5 - Gatekeeper - Projects'!$C$4:$C$1010,0)</f>
        <v>#N/A</v>
      </c>
      <c r="AN707" s="6" t="b">
        <f t="shared" si="61"/>
        <v>1</v>
      </c>
      <c r="AO707" s="6" t="str">
        <f t="shared" si="64"/>
        <v>OK</v>
      </c>
      <c r="AQ707" s="6" t="e">
        <f>MATCH($D707,'D4 - Provider Council Unsched'!$C$11:$C$234,0)</f>
        <v>#N/A</v>
      </c>
      <c r="AR707" s="6" t="b">
        <f t="shared" si="62"/>
        <v>1</v>
      </c>
      <c r="AS707" s="6" t="str">
        <f t="shared" si="66"/>
        <v>OK</v>
      </c>
      <c r="AU707" s="202"/>
      <c r="AV707" s="262"/>
      <c r="AW707" s="274"/>
    </row>
    <row r="708" spans="1:49" s="13" customFormat="1" ht="33.75" x14ac:dyDescent="0.2">
      <c r="A708" s="14">
        <v>684</v>
      </c>
      <c r="B708" s="14">
        <v>400015484</v>
      </c>
      <c r="C708" s="8" t="s">
        <v>5197</v>
      </c>
      <c r="D708" s="4" t="str">
        <f t="shared" si="63"/>
        <v>400015484R1</v>
      </c>
      <c r="E708" s="309" t="str">
        <f>VLOOKUP($B708,'D7 - NDB Impacted SPRF''s'!$E$6:$O$9929,2,FALSE)</f>
        <v>UHPDp3.0 Implementation Support - NDB</v>
      </c>
      <c r="F708" s="8" t="s">
        <v>5443</v>
      </c>
      <c r="G708" s="8" t="s">
        <v>4758</v>
      </c>
      <c r="H708" s="8" t="s">
        <v>4246</v>
      </c>
      <c r="I708" s="20">
        <v>0.26</v>
      </c>
      <c r="J708" s="8" t="s">
        <v>4862</v>
      </c>
      <c r="K708" s="182">
        <v>39165</v>
      </c>
      <c r="L708" s="8" t="s">
        <v>5743</v>
      </c>
      <c r="M708" s="8" t="s">
        <v>6007</v>
      </c>
      <c r="N708" s="38"/>
      <c r="O708" s="8"/>
      <c r="P708" s="4" t="str">
        <f>VLOOKUP($B708,'D7 - NDB Impacted SPRF''s'!$E$16:$O$9929,9,FALSE)</f>
        <v>N</v>
      </c>
      <c r="Q708" s="4" t="str">
        <f>VLOOKUP($B708,'D7 - NDB Impacted SPRF''s'!$E$16:$O$9929,10,FALSE)</f>
        <v>N</v>
      </c>
      <c r="R708" s="4" t="str">
        <f>VLOOKUP($B708,'D7 - NDB Impacted SPRF''s'!$E$16:$O$9929,11,FALSE)</f>
        <v>N</v>
      </c>
      <c r="S708" s="8"/>
      <c r="T708" s="310"/>
      <c r="U708" s="310"/>
      <c r="V708" s="4"/>
      <c r="W708" s="4"/>
      <c r="X708" s="4"/>
      <c r="Y708" s="4"/>
      <c r="Z708" s="4"/>
      <c r="AA708" s="4"/>
      <c r="AB708" s="380" t="str">
        <f>VLOOKUP($B708,'D7 - NDB Impacted SPRF''s'!$E$16:$O$9929,4,FALSE)</f>
        <v>Completed</v>
      </c>
      <c r="AC708" s="380" t="str">
        <f>VLOOKUP($B708,'D7 - NDB Impacted SPRF''s'!$E$16:$O$9929,3,FALSE)</f>
        <v>UnitedHealthcare Employer &amp; Individual</v>
      </c>
      <c r="AD708" s="380" t="str">
        <f>VLOOKUP($B708,'D7 - NDB Impacted SPRF''s'!$E$16:$O$9929,5,FALSE)</f>
        <v>Medical Cost Savings Programs</v>
      </c>
      <c r="AE708" s="380" t="str">
        <f>VLOOKUP($B708,'D7 - NDB Impacted SPRF''s'!$E$16:$O$9929,7,FALSE)</f>
        <v>Chris Brown</v>
      </c>
      <c r="AF708" s="380" t="str">
        <f>VLOOKUP($B708,'D7 - NDB Impacted SPRF''s'!$E$16:$O$9929,6,FALSE)</f>
        <v>TEDD HAUSER</v>
      </c>
      <c r="AG708" s="282"/>
      <c r="AH708" s="311" t="e">
        <f>INDEX('D5 - Gatekeeper - Projects'!$A$4:$AF$1010,$AM708, 17)</f>
        <v>#N/A</v>
      </c>
      <c r="AI708" s="8"/>
      <c r="AJ708" s="57"/>
      <c r="AK708" s="105"/>
      <c r="AM708" s="6" t="e">
        <f>MATCH(D708,'D5 - Gatekeeper - Projects'!$C$4:$C$1010,0)</f>
        <v>#N/A</v>
      </c>
      <c r="AN708" s="6" t="b">
        <f t="shared" si="61"/>
        <v>1</v>
      </c>
      <c r="AO708" s="6" t="str">
        <f t="shared" si="64"/>
        <v>OK</v>
      </c>
      <c r="AQ708" s="6" t="e">
        <f>MATCH($D708,'D4 - Provider Council Unsched'!$C$11:$C$234,0)</f>
        <v>#N/A</v>
      </c>
      <c r="AR708" s="6" t="b">
        <f t="shared" si="62"/>
        <v>1</v>
      </c>
      <c r="AS708" s="6" t="str">
        <f t="shared" si="66"/>
        <v>OK</v>
      </c>
      <c r="AU708" s="202"/>
      <c r="AV708" s="262"/>
      <c r="AW708" s="274"/>
    </row>
    <row r="709" spans="1:49" s="13" customFormat="1" ht="33.75" x14ac:dyDescent="0.2">
      <c r="A709" s="14">
        <v>685</v>
      </c>
      <c r="B709" s="14">
        <v>400016092</v>
      </c>
      <c r="C709" s="8" t="s">
        <v>3763</v>
      </c>
      <c r="D709" s="4" t="str">
        <f t="shared" si="63"/>
        <v>400016092R2</v>
      </c>
      <c r="E709" s="309" t="str">
        <f>VLOOKUP($B709,'D7 - NDB Impacted SPRF''s'!$E$6:$O$9929,2,FALSE)</f>
        <v>2007 One Shot Requests</v>
      </c>
      <c r="F709" s="8" t="s">
        <v>2114</v>
      </c>
      <c r="G709" s="8" t="s">
        <v>4758</v>
      </c>
      <c r="H709" s="8" t="s">
        <v>4246</v>
      </c>
      <c r="I709" s="20">
        <v>1</v>
      </c>
      <c r="J709" s="8" t="s">
        <v>4862</v>
      </c>
      <c r="K709" s="182">
        <v>39165</v>
      </c>
      <c r="L709" s="8" t="s">
        <v>5743</v>
      </c>
      <c r="M709" s="8" t="s">
        <v>6007</v>
      </c>
      <c r="N709" s="38"/>
      <c r="O709" s="8"/>
      <c r="P709" s="4" t="str">
        <f>VLOOKUP($B709,'D7 - NDB Impacted SPRF''s'!$E$16:$O$9929,9,FALSE)</f>
        <v>N</v>
      </c>
      <c r="Q709" s="4" t="str">
        <f>VLOOKUP($B709,'D7 - NDB Impacted SPRF''s'!$E$16:$O$9929,10,FALSE)</f>
        <v>N</v>
      </c>
      <c r="R709" s="4" t="str">
        <f>VLOOKUP($B709,'D7 - NDB Impacted SPRF''s'!$E$16:$O$9929,11,FALSE)</f>
        <v>N</v>
      </c>
      <c r="S709" s="8"/>
      <c r="T709" s="310"/>
      <c r="U709" s="310"/>
      <c r="V709" s="4"/>
      <c r="W709" s="4"/>
      <c r="X709" s="4"/>
      <c r="Y709" s="4"/>
      <c r="Z709" s="4"/>
      <c r="AA709" s="4"/>
      <c r="AB709" s="380" t="str">
        <f>VLOOKUP($B709,'D7 - NDB Impacted SPRF''s'!$E$16:$O$9929,4,FALSE)</f>
        <v>Completed</v>
      </c>
      <c r="AC709" s="380" t="str">
        <f>VLOOKUP($B709,'D7 - NDB Impacted SPRF''s'!$E$16:$O$9929,3,FALSE)</f>
        <v>UnitedHealthcare Employer &amp; Individual</v>
      </c>
      <c r="AD709" s="380" t="str">
        <f>VLOOKUP($B709,'D7 - NDB Impacted SPRF''s'!$E$16:$O$9929,5,FALSE)</f>
        <v>Network Growth / Enhancements</v>
      </c>
      <c r="AE709" s="380" t="str">
        <f>VLOOKUP($B709,'D7 - NDB Impacted SPRF''s'!$E$16:$O$9929,7,FALSE)</f>
        <v>Tim Kaja</v>
      </c>
      <c r="AF709" s="380" t="str">
        <f>VLOOKUP($B709,'D7 - NDB Impacted SPRF''s'!$E$16:$O$9929,6,FALSE)</f>
        <v>Lisa Murphy</v>
      </c>
      <c r="AG709" s="282"/>
      <c r="AH709" s="311" t="e">
        <f>INDEX('D5 - Gatekeeper - Projects'!$A$4:$AF$1010,$AM709, 17)</f>
        <v>#N/A</v>
      </c>
      <c r="AI709" s="8"/>
      <c r="AJ709" s="57"/>
      <c r="AK709" s="105"/>
      <c r="AM709" s="6" t="e">
        <f>MATCH(D709,'D5 - Gatekeeper - Projects'!$C$4:$C$1010,0)</f>
        <v>#N/A</v>
      </c>
      <c r="AN709" s="6" t="b">
        <f t="shared" si="61"/>
        <v>1</v>
      </c>
      <c r="AO709" s="6" t="str">
        <f t="shared" si="64"/>
        <v>OK</v>
      </c>
      <c r="AQ709" s="6" t="e">
        <f>MATCH($D709,'D4 - Provider Council Unsched'!$C$11:$C$234,0)</f>
        <v>#N/A</v>
      </c>
      <c r="AR709" s="6" t="b">
        <f t="shared" si="62"/>
        <v>1</v>
      </c>
      <c r="AS709" s="6" t="str">
        <f t="shared" si="66"/>
        <v>OK</v>
      </c>
      <c r="AU709" s="202"/>
      <c r="AV709" s="262"/>
      <c r="AW709" s="274"/>
    </row>
    <row r="710" spans="1:49" s="13" customFormat="1" ht="33.75" x14ac:dyDescent="0.2">
      <c r="A710" s="14">
        <v>686</v>
      </c>
      <c r="B710" s="14">
        <v>400016578</v>
      </c>
      <c r="C710" s="8" t="s">
        <v>3763</v>
      </c>
      <c r="D710" s="4" t="str">
        <f t="shared" si="63"/>
        <v>400016578R2</v>
      </c>
      <c r="E710" s="309" t="str">
        <f>VLOOKUP($B710,'D7 - NDB Impacted SPRF''s'!$E$6:$O$9929,2,FALSE)</f>
        <v>Detailed Tuning Recommendations</v>
      </c>
      <c r="F710" s="8" t="s">
        <v>8133</v>
      </c>
      <c r="G710" s="8" t="s">
        <v>4758</v>
      </c>
      <c r="H710" s="8" t="s">
        <v>4246</v>
      </c>
      <c r="I710" s="20">
        <v>2</v>
      </c>
      <c r="J710" s="8" t="s">
        <v>4862</v>
      </c>
      <c r="K710" s="182">
        <v>39165</v>
      </c>
      <c r="L710" s="8" t="s">
        <v>5743</v>
      </c>
      <c r="M710" s="8" t="s">
        <v>2814</v>
      </c>
      <c r="N710" s="38"/>
      <c r="O710" s="8" t="s">
        <v>7755</v>
      </c>
      <c r="P710" s="4" t="str">
        <f>VLOOKUP($B710,'D7 - NDB Impacted SPRF''s'!$E$16:$O$9929,9,FALSE)</f>
        <v>Y</v>
      </c>
      <c r="Q710" s="4" t="str">
        <f>VLOOKUP($B710,'D7 - NDB Impacted SPRF''s'!$E$16:$O$9929,10,FALSE)</f>
        <v>N</v>
      </c>
      <c r="R710" s="4" t="str">
        <f>VLOOKUP($B710,'D7 - NDB Impacted SPRF''s'!$E$16:$O$9929,11,FALSE)</f>
        <v>N</v>
      </c>
      <c r="S710" s="8"/>
      <c r="T710" s="310"/>
      <c r="U710" s="310"/>
      <c r="V710" s="4"/>
      <c r="W710" s="4"/>
      <c r="X710" s="4"/>
      <c r="Y710" s="4"/>
      <c r="Z710" s="4"/>
      <c r="AA710" s="4"/>
      <c r="AB710" s="380" t="str">
        <f>VLOOKUP($B710,'D7 - NDB Impacted SPRF''s'!$E$16:$O$9929,4,FALSE)</f>
        <v>Completed</v>
      </c>
      <c r="AC710" s="380" t="str">
        <f>VLOOKUP($B710,'D7 - NDB Impacted SPRF''s'!$E$16:$O$9929,3,FALSE)</f>
        <v>UHG IT - Application Services Group</v>
      </c>
      <c r="AD710" s="380" t="str">
        <f>VLOOKUP($B710,'D7 - NDB Impacted SPRF''s'!$E$16:$O$9929,5,FALSE)</f>
        <v>ASG</v>
      </c>
      <c r="AE710" s="380" t="str">
        <f>VLOOKUP($B710,'D7 - NDB Impacted SPRF''s'!$E$16:$O$9929,7,FALSE)</f>
        <v>Jeff Hanas</v>
      </c>
      <c r="AF710" s="380" t="str">
        <f>VLOOKUP($B710,'D7 - NDB Impacted SPRF''s'!$E$16:$O$9929,6,FALSE)</f>
        <v>Jeffrey Jablonski</v>
      </c>
      <c r="AG710" s="282"/>
      <c r="AH710" s="311" t="e">
        <f>INDEX('D5 - Gatekeeper - Projects'!$A$4:$AF$1010,$AM710, 17)</f>
        <v>#N/A</v>
      </c>
      <c r="AI710" s="8"/>
      <c r="AJ710" s="57"/>
      <c r="AK710" s="105"/>
      <c r="AM710" s="6" t="e">
        <f>MATCH(D710,'D5 - Gatekeeper - Projects'!$C$4:$C$1010,0)</f>
        <v>#N/A</v>
      </c>
      <c r="AN710" s="6" t="b">
        <f t="shared" si="61"/>
        <v>1</v>
      </c>
      <c r="AO710" s="6" t="str">
        <f t="shared" si="64"/>
        <v>OK</v>
      </c>
      <c r="AQ710" s="6" t="e">
        <f>MATCH($D710,'D4 - Provider Council Unsched'!$C$11:$C$234,0)</f>
        <v>#N/A</v>
      </c>
      <c r="AR710" s="6" t="b">
        <f t="shared" si="62"/>
        <v>1</v>
      </c>
      <c r="AS710" s="6" t="str">
        <f t="shared" si="66"/>
        <v>OK</v>
      </c>
      <c r="AU710" s="202"/>
      <c r="AV710" s="262"/>
      <c r="AW710" s="274"/>
    </row>
    <row r="711" spans="1:49" s="13" customFormat="1" ht="33.75" x14ac:dyDescent="0.2">
      <c r="A711" s="14">
        <v>687</v>
      </c>
      <c r="B711" s="14">
        <v>400016845</v>
      </c>
      <c r="C711" s="8" t="s">
        <v>5197</v>
      </c>
      <c r="D711" s="4" t="str">
        <f t="shared" si="63"/>
        <v>400016845R1</v>
      </c>
      <c r="E711" s="309" t="str">
        <f>VLOOKUP($B711,'D7 - NDB Impacted SPRF''s'!$E$6:$O$9929,2,FALSE)</f>
        <v>PHS Product Release Delivery Planning and Analysis</v>
      </c>
      <c r="F711" s="8" t="s">
        <v>6071</v>
      </c>
      <c r="G711" s="8" t="s">
        <v>4758</v>
      </c>
      <c r="H711" s="8" t="s">
        <v>4246</v>
      </c>
      <c r="I711" s="20">
        <f>2000/150</f>
        <v>13.333333333333334</v>
      </c>
      <c r="J711" s="8" t="s">
        <v>4862</v>
      </c>
      <c r="K711" s="182">
        <v>39165</v>
      </c>
      <c r="L711" s="8" t="s">
        <v>4156</v>
      </c>
      <c r="M711" s="8" t="s">
        <v>6688</v>
      </c>
      <c r="N711" s="38" t="s">
        <v>5655</v>
      </c>
      <c r="O711" s="8"/>
      <c r="P711" s="4" t="str">
        <f>VLOOKUP($B711,'D7 - NDB Impacted SPRF''s'!$E$16:$O$9929,9,FALSE)</f>
        <v>Y</v>
      </c>
      <c r="Q711" s="4" t="str">
        <f>VLOOKUP($B711,'D7 - NDB Impacted SPRF''s'!$E$16:$O$9929,10,FALSE)</f>
        <v>N</v>
      </c>
      <c r="R711" s="4" t="str">
        <f>VLOOKUP($B711,'D7 - NDB Impacted SPRF''s'!$E$16:$O$9929,11,FALSE)</f>
        <v>N</v>
      </c>
      <c r="S711" s="8"/>
      <c r="T711" s="310"/>
      <c r="U711" s="310"/>
      <c r="V711" s="4"/>
      <c r="W711" s="4"/>
      <c r="X711" s="4"/>
      <c r="Y711" s="4"/>
      <c r="Z711" s="4"/>
      <c r="AA711" s="4"/>
      <c r="AB711" s="380" t="str">
        <f>VLOOKUP($B711,'D7 - NDB Impacted SPRF''s'!$E$16:$O$9929,4,FALSE)</f>
        <v>Completed</v>
      </c>
      <c r="AC711" s="380" t="str">
        <f>VLOOKUP($B711,'D7 - NDB Impacted SPRF''s'!$E$16:$O$9929,3,FALSE)</f>
        <v>UnitedHealthcare Employer &amp; Individual</v>
      </c>
      <c r="AD711" s="380" t="str">
        <f>VLOOKUP($B711,'D7 - NDB Impacted SPRF''s'!$E$16:$O$9929,5,FALSE)</f>
        <v>Integration Requirements</v>
      </c>
      <c r="AE711" s="380" t="str">
        <f>VLOOKUP($B711,'D7 - NDB Impacted SPRF''s'!$E$16:$O$9929,7,FALSE)</f>
        <v>Diane Schofield</v>
      </c>
      <c r="AF711" s="380" t="str">
        <f>VLOOKUP($B711,'D7 - NDB Impacted SPRF''s'!$E$16:$O$9929,6,FALSE)</f>
        <v>SUSAN TONKIN</v>
      </c>
      <c r="AG711" s="282"/>
      <c r="AH711" s="311" t="e">
        <f>INDEX('D5 - Gatekeeper - Projects'!$A$4:$AF$1010,$AM711, 17)</f>
        <v>#N/A</v>
      </c>
      <c r="AI711" s="8"/>
      <c r="AJ711" s="57"/>
      <c r="AK711" s="105"/>
      <c r="AM711" s="6" t="e">
        <f>MATCH(D711,'D5 - Gatekeeper - Projects'!$C$4:$C$1010,0)</f>
        <v>#N/A</v>
      </c>
      <c r="AN711" s="6" t="b">
        <f t="shared" si="61"/>
        <v>1</v>
      </c>
      <c r="AO711" s="6" t="str">
        <f t="shared" si="64"/>
        <v>OK</v>
      </c>
      <c r="AQ711" s="6" t="e">
        <f>MATCH($D711,'D4 - Provider Council Unsched'!$C$11:$C$234,0)</f>
        <v>#N/A</v>
      </c>
      <c r="AR711" s="6" t="b">
        <f t="shared" si="62"/>
        <v>1</v>
      </c>
      <c r="AS711" s="6" t="str">
        <f t="shared" si="66"/>
        <v>OK</v>
      </c>
      <c r="AU711" s="202"/>
      <c r="AV711" s="262"/>
      <c r="AW711" s="274"/>
    </row>
    <row r="712" spans="1:49" s="13" customFormat="1" ht="33.75" x14ac:dyDescent="0.2">
      <c r="A712" s="14">
        <v>688</v>
      </c>
      <c r="B712" s="14">
        <v>400017075</v>
      </c>
      <c r="C712" s="8" t="s">
        <v>6581</v>
      </c>
      <c r="D712" s="4" t="str">
        <f t="shared" si="63"/>
        <v>400017075L1</v>
      </c>
      <c r="E712" s="309" t="str">
        <f>VLOOKUP($B712,'D7 - NDB Impacted SPRF''s'!$E$6:$O$9929,2,FALSE)</f>
        <v>JDHE Scope Change for EPDE Feed</v>
      </c>
      <c r="F712" s="8" t="s">
        <v>4302</v>
      </c>
      <c r="G712" s="8" t="s">
        <v>4758</v>
      </c>
      <c r="H712" s="8" t="s">
        <v>4246</v>
      </c>
      <c r="I712" s="20">
        <v>1.07</v>
      </c>
      <c r="J712" s="8" t="s">
        <v>4862</v>
      </c>
      <c r="K712" s="182">
        <v>39165</v>
      </c>
      <c r="L712" s="8" t="s">
        <v>5743</v>
      </c>
      <c r="M712" s="8" t="s">
        <v>6007</v>
      </c>
      <c r="N712" s="38"/>
      <c r="O712" s="8"/>
      <c r="P712" s="4" t="str">
        <f>VLOOKUP($B712,'D7 - NDB Impacted SPRF''s'!$E$16:$O$9929,9,FALSE)</f>
        <v>N</v>
      </c>
      <c r="Q712" s="4" t="str">
        <f>VLOOKUP($B712,'D7 - NDB Impacted SPRF''s'!$E$16:$O$9929,10,FALSE)</f>
        <v>N</v>
      </c>
      <c r="R712" s="4" t="str">
        <f>VLOOKUP($B712,'D7 - NDB Impacted SPRF''s'!$E$16:$O$9929,11,FALSE)</f>
        <v>N</v>
      </c>
      <c r="S712" s="8"/>
      <c r="T712" s="310"/>
      <c r="U712" s="310"/>
      <c r="V712" s="4"/>
      <c r="W712" s="4"/>
      <c r="X712" s="4"/>
      <c r="Y712" s="4"/>
      <c r="Z712" s="4"/>
      <c r="AA712" s="4"/>
      <c r="AB712" s="380" t="str">
        <f>VLOOKUP($B712,'D7 - NDB Impacted SPRF''s'!$E$16:$O$9929,4,FALSE)</f>
        <v>Completed</v>
      </c>
      <c r="AC712" s="380" t="str">
        <f>VLOOKUP($B712,'D7 - NDB Impacted SPRF''s'!$E$16:$O$9929,3,FALSE)</f>
        <v>UnitedHealthcare Employer &amp; Individual</v>
      </c>
      <c r="AD712" s="380" t="str">
        <f>VLOOKUP($B712,'D7 - NDB Impacted SPRF''s'!$E$16:$O$9929,5,FALSE)</f>
        <v>Integration Requirements</v>
      </c>
      <c r="AE712" s="380" t="str">
        <f>VLOOKUP($B712,'D7 - NDB Impacted SPRF''s'!$E$16:$O$9929,7,FALSE)</f>
        <v>Tim Kaja</v>
      </c>
      <c r="AF712" s="380" t="str">
        <f>VLOOKUP($B712,'D7 - NDB Impacted SPRF''s'!$E$16:$O$9929,6,FALSE)</f>
        <v>MARCIA MONACO</v>
      </c>
      <c r="AG712" s="282"/>
      <c r="AH712" s="311" t="e">
        <f>INDEX('D5 - Gatekeeper - Projects'!$A$4:$AF$1010,$AM712, 17)</f>
        <v>#N/A</v>
      </c>
      <c r="AI712" s="8"/>
      <c r="AJ712" s="57"/>
      <c r="AK712" s="105"/>
      <c r="AM712" s="6" t="e">
        <f>MATCH(D712,'D5 - Gatekeeper - Projects'!$C$4:$C$1010,0)</f>
        <v>#N/A</v>
      </c>
      <c r="AN712" s="6" t="b">
        <f t="shared" si="61"/>
        <v>1</v>
      </c>
      <c r="AO712" s="6" t="str">
        <f t="shared" si="64"/>
        <v>OK</v>
      </c>
      <c r="AQ712" s="6" t="e">
        <f>MATCH($D712,'D4 - Provider Council Unsched'!$C$11:$C$234,0)</f>
        <v>#N/A</v>
      </c>
      <c r="AR712" s="6" t="b">
        <f t="shared" si="62"/>
        <v>1</v>
      </c>
      <c r="AS712" s="6" t="str">
        <f t="shared" si="66"/>
        <v>OK</v>
      </c>
      <c r="AU712" s="202"/>
      <c r="AV712" s="262"/>
      <c r="AW712" s="274"/>
    </row>
    <row r="713" spans="1:49" s="13" customFormat="1" ht="33.75" x14ac:dyDescent="0.2">
      <c r="A713" s="14">
        <v>689</v>
      </c>
      <c r="B713" s="14">
        <v>400017637</v>
      </c>
      <c r="C713" s="8" t="s">
        <v>5197</v>
      </c>
      <c r="D713" s="4" t="str">
        <f t="shared" si="63"/>
        <v>400017637R1</v>
      </c>
      <c r="E713" s="309" t="str">
        <f>VLOOKUP($B713,'D7 - NDB Impacted SPRF''s'!$E$6:$O$9929,2,FALSE)</f>
        <v>MHAP Funding Table Fixes</v>
      </c>
      <c r="F713" s="8" t="s">
        <v>5752</v>
      </c>
      <c r="G713" s="8" t="s">
        <v>4758</v>
      </c>
      <c r="H713" s="8" t="s">
        <v>4246</v>
      </c>
      <c r="I713" s="20">
        <v>3.43</v>
      </c>
      <c r="J713" s="8" t="s">
        <v>4862</v>
      </c>
      <c r="K713" s="182">
        <v>39165</v>
      </c>
      <c r="L713" s="8" t="s">
        <v>5743</v>
      </c>
      <c r="M713" s="8" t="s">
        <v>2814</v>
      </c>
      <c r="N713" s="38"/>
      <c r="O713" s="8"/>
      <c r="P713" s="4" t="str">
        <f>VLOOKUP($B713,'D7 - NDB Impacted SPRF''s'!$E$16:$O$9929,9,FALSE)</f>
        <v>Y</v>
      </c>
      <c r="Q713" s="4" t="str">
        <f>VLOOKUP($B713,'D7 - NDB Impacted SPRF''s'!$E$16:$O$9929,10,FALSE)</f>
        <v>N</v>
      </c>
      <c r="R713" s="4" t="str">
        <f>VLOOKUP($B713,'D7 - NDB Impacted SPRF''s'!$E$16:$O$9929,11,FALSE)</f>
        <v>N</v>
      </c>
      <c r="S713" s="8"/>
      <c r="T713" s="310"/>
      <c r="U713" s="310"/>
      <c r="V713" s="4"/>
      <c r="W713" s="4"/>
      <c r="X713" s="4"/>
      <c r="Y713" s="4"/>
      <c r="Z713" s="4"/>
      <c r="AA713" s="4"/>
      <c r="AB713" s="380" t="str">
        <f>VLOOKUP($B713,'D7 - NDB Impacted SPRF''s'!$E$16:$O$9929,4,FALSE)</f>
        <v>Completed</v>
      </c>
      <c r="AC713" s="380" t="str">
        <f>VLOOKUP($B713,'D7 - NDB Impacted SPRF''s'!$E$16:$O$9929,3,FALSE)</f>
        <v>UnitedHealthcare Employer &amp; Individual</v>
      </c>
      <c r="AD713" s="380" t="str">
        <f>VLOOKUP($B713,'D7 - NDB Impacted SPRF''s'!$E$16:$O$9929,5,FALSE)</f>
        <v>Integration Requirements</v>
      </c>
      <c r="AE713" s="380" t="str">
        <f>VLOOKUP($B713,'D7 - NDB Impacted SPRF''s'!$E$16:$O$9929,7,FALSE)</f>
        <v>Sean Watkins</v>
      </c>
      <c r="AF713" s="380" t="str">
        <f>VLOOKUP($B713,'D7 - NDB Impacted SPRF''s'!$E$16:$O$9929,6,FALSE)</f>
        <v>LETRICIA BEST</v>
      </c>
      <c r="AG713" s="282"/>
      <c r="AH713" s="311" t="e">
        <f>INDEX('D5 - Gatekeeper - Projects'!$A$4:$AF$1010,$AM713, 17)</f>
        <v>#N/A</v>
      </c>
      <c r="AI713" s="8"/>
      <c r="AJ713" s="57"/>
      <c r="AK713" s="105"/>
      <c r="AM713" s="6" t="e">
        <f>MATCH(D713,'D5 - Gatekeeper - Projects'!$C$4:$C$1010,0)</f>
        <v>#N/A</v>
      </c>
      <c r="AN713" s="6" t="b">
        <f t="shared" si="61"/>
        <v>1</v>
      </c>
      <c r="AO713" s="6" t="str">
        <f t="shared" si="64"/>
        <v>OK</v>
      </c>
      <c r="AQ713" s="6" t="e">
        <f>MATCH($D713,'D4 - Provider Council Unsched'!$C$11:$C$234,0)</f>
        <v>#N/A</v>
      </c>
      <c r="AR713" s="6" t="b">
        <f t="shared" si="62"/>
        <v>1</v>
      </c>
      <c r="AS713" s="6" t="str">
        <f t="shared" si="66"/>
        <v>OK</v>
      </c>
      <c r="AU713" s="202"/>
      <c r="AV713" s="262"/>
      <c r="AW713" s="274"/>
    </row>
    <row r="714" spans="1:49" s="13" customFormat="1" ht="33.75" x14ac:dyDescent="0.2">
      <c r="A714" s="14">
        <v>690</v>
      </c>
      <c r="B714" s="14">
        <v>400010731</v>
      </c>
      <c r="C714" s="8" t="s">
        <v>3763</v>
      </c>
      <c r="D714" s="4" t="str">
        <f t="shared" si="63"/>
        <v>400010731R2</v>
      </c>
      <c r="E714" s="309" t="str">
        <f>VLOOKUP($B714,'D7 - NDB Impacted SPRF''s'!$E$6:$O$9929,2,FALSE)</f>
        <v>NDB-EA Provider Data Integration Analysis Project</v>
      </c>
      <c r="F714" s="8" t="s">
        <v>4961</v>
      </c>
      <c r="G714" s="8" t="s">
        <v>4758</v>
      </c>
      <c r="H714" s="8" t="s">
        <v>4246</v>
      </c>
      <c r="I714" s="20">
        <v>1</v>
      </c>
      <c r="J714" s="8" t="s">
        <v>4862</v>
      </c>
      <c r="K714" s="182">
        <v>39193</v>
      </c>
      <c r="L714" s="8" t="s">
        <v>5743</v>
      </c>
      <c r="M714" s="8" t="s">
        <v>6688</v>
      </c>
      <c r="N714" s="38"/>
      <c r="O714" s="8"/>
      <c r="P714" s="4" t="str">
        <f>VLOOKUP($B714,'D7 - NDB Impacted SPRF''s'!$E$16:$O$9929,9,FALSE)</f>
        <v>N</v>
      </c>
      <c r="Q714" s="4" t="str">
        <f>VLOOKUP($B714,'D7 - NDB Impacted SPRF''s'!$E$16:$O$9929,10,FALSE)</f>
        <v>N</v>
      </c>
      <c r="R714" s="4" t="str">
        <f>VLOOKUP($B714,'D7 - NDB Impacted SPRF''s'!$E$16:$O$9929,11,FALSE)</f>
        <v>N</v>
      </c>
      <c r="S714" s="8"/>
      <c r="T714" s="310"/>
      <c r="U714" s="310"/>
      <c r="V714" s="4"/>
      <c r="W714" s="4"/>
      <c r="X714" s="4"/>
      <c r="Y714" s="4"/>
      <c r="Z714" s="4"/>
      <c r="AA714" s="4"/>
      <c r="AB714" s="380" t="str">
        <f>VLOOKUP($B714,'D7 - NDB Impacted SPRF''s'!$E$16:$O$9929,4,FALSE)</f>
        <v>Completed</v>
      </c>
      <c r="AC714" s="380" t="str">
        <f>VLOOKUP($B714,'D7 - NDB Impacted SPRF''s'!$E$16:$O$9929,3,FALSE)</f>
        <v>UnitedHealthcare Employer &amp; Individual</v>
      </c>
      <c r="AD714" s="380" t="str">
        <f>VLOOKUP($B714,'D7 - NDB Impacted SPRF''s'!$E$16:$O$9929,5,FALSE)</f>
        <v>Network Growth / Enhancements</v>
      </c>
      <c r="AE714" s="380" t="str">
        <f>VLOOKUP($B714,'D7 - NDB Impacted SPRF''s'!$E$16:$O$9929,7,FALSE)</f>
        <v>Steve Mueller</v>
      </c>
      <c r="AF714" s="380" t="str">
        <f>VLOOKUP($B714,'D7 - NDB Impacted SPRF''s'!$E$16:$O$9929,6,FALSE)</f>
        <v>Susan Neal</v>
      </c>
      <c r="AG714" s="282"/>
      <c r="AH714" s="311" t="e">
        <f>INDEX('D5 - Gatekeeper - Projects'!$A$4:$AF$1010,$AM714, 17)</f>
        <v>#N/A</v>
      </c>
      <c r="AI714" s="8"/>
      <c r="AJ714" s="57"/>
      <c r="AK714" s="105"/>
      <c r="AM714" s="6" t="e">
        <f>MATCH(D714,'D5 - Gatekeeper - Projects'!$C$4:$C$1010,0)</f>
        <v>#N/A</v>
      </c>
      <c r="AN714" s="6" t="b">
        <f t="shared" si="61"/>
        <v>1</v>
      </c>
      <c r="AO714" s="6" t="str">
        <f t="shared" si="64"/>
        <v>OK</v>
      </c>
      <c r="AQ714" s="6" t="e">
        <f>MATCH($D714,'D4 - Provider Council Unsched'!$C$11:$C$234,0)</f>
        <v>#N/A</v>
      </c>
      <c r="AR714" s="6" t="b">
        <f t="shared" si="62"/>
        <v>1</v>
      </c>
      <c r="AS714" s="6" t="str">
        <f t="shared" si="66"/>
        <v>OK</v>
      </c>
      <c r="AU714" s="202"/>
      <c r="AV714" s="262"/>
      <c r="AW714" s="274"/>
    </row>
    <row r="715" spans="1:49" s="13" customFormat="1" ht="45" x14ac:dyDescent="0.2">
      <c r="A715" s="14">
        <v>691</v>
      </c>
      <c r="B715" s="14">
        <v>400010803</v>
      </c>
      <c r="C715" s="8" t="s">
        <v>3812</v>
      </c>
      <c r="D715" s="4" t="str">
        <f t="shared" si="63"/>
        <v>400010803CC05</v>
      </c>
      <c r="E715" s="309" t="str">
        <f>VLOOKUP($B715,'D7 - NDB Impacted SPRF''s'!$E$6:$O$9929,2,FALSE)</f>
        <v>NPI Feeds Compliance</v>
      </c>
      <c r="F715" s="8" t="s">
        <v>1059</v>
      </c>
      <c r="G715" s="8" t="s">
        <v>4758</v>
      </c>
      <c r="H715" s="8" t="s">
        <v>4246</v>
      </c>
      <c r="I715" s="20">
        <v>7.03</v>
      </c>
      <c r="J715" s="8" t="s">
        <v>4862</v>
      </c>
      <c r="K715" s="182">
        <v>39193</v>
      </c>
      <c r="L715" s="8" t="s">
        <v>5743</v>
      </c>
      <c r="M715" s="8" t="s">
        <v>2814</v>
      </c>
      <c r="N715" s="38" t="s">
        <v>5761</v>
      </c>
      <c r="O715" s="8"/>
      <c r="P715" s="4" t="str">
        <f>VLOOKUP($B715,'D7 - NDB Impacted SPRF''s'!$E$16:$O$9929,9,FALSE)</f>
        <v>N</v>
      </c>
      <c r="Q715" s="4" t="str">
        <f>VLOOKUP($B715,'D7 - NDB Impacted SPRF''s'!$E$16:$O$9929,10,FALSE)</f>
        <v>N</v>
      </c>
      <c r="R715" s="4" t="str">
        <f>VLOOKUP($B715,'D7 - NDB Impacted SPRF''s'!$E$16:$O$9929,11,FALSE)</f>
        <v>N</v>
      </c>
      <c r="S715" s="8" t="s">
        <v>3758</v>
      </c>
      <c r="T715" s="310"/>
      <c r="U715" s="310"/>
      <c r="V715" s="4"/>
      <c r="W715" s="4"/>
      <c r="X715" s="4"/>
      <c r="Y715" s="4"/>
      <c r="Z715" s="4"/>
      <c r="AA715" s="4"/>
      <c r="AB715" s="380" t="str">
        <f>VLOOKUP($B715,'D7 - NDB Impacted SPRF''s'!$E$16:$O$9929,4,FALSE)</f>
        <v>Completed</v>
      </c>
      <c r="AC715" s="380" t="str">
        <f>VLOOKUP($B715,'D7 - NDB Impacted SPRF''s'!$E$16:$O$9929,3,FALSE)</f>
        <v>UnitedHealthcare Employer &amp; Individual</v>
      </c>
      <c r="AD715" s="380" t="str">
        <f>VLOOKUP($B715,'D7 - NDB Impacted SPRF''s'!$E$16:$O$9929,5,FALSE)</f>
        <v>Regulatory / Other</v>
      </c>
      <c r="AE715" s="380" t="str">
        <f>VLOOKUP($B715,'D7 - NDB Impacted SPRF''s'!$E$16:$O$9929,7,FALSE)</f>
        <v>Gerald Brockman</v>
      </c>
      <c r="AF715" s="380" t="str">
        <f>VLOOKUP($B715,'D7 - NDB Impacted SPRF''s'!$E$16:$O$9929,6,FALSE)</f>
        <v>KELLY LEONARD</v>
      </c>
      <c r="AG715" s="282"/>
      <c r="AH715" s="311" t="e">
        <f>INDEX('D5 - Gatekeeper - Projects'!$A$4:$AF$1010,$AM715, 17)</f>
        <v>#N/A</v>
      </c>
      <c r="AI715" s="8"/>
      <c r="AJ715" s="57"/>
      <c r="AK715" s="105"/>
      <c r="AM715" s="6" t="e">
        <f>MATCH(D715,'D5 - Gatekeeper - Projects'!$C$4:$C$1010,0)</f>
        <v>#N/A</v>
      </c>
      <c r="AN715" s="6" t="b">
        <f t="shared" si="61"/>
        <v>1</v>
      </c>
      <c r="AO715" s="6" t="str">
        <f t="shared" si="64"/>
        <v>OK</v>
      </c>
      <c r="AQ715" s="6" t="e">
        <f>MATCH($D715,'D4 - Provider Council Unsched'!$C$11:$C$234,0)</f>
        <v>#N/A</v>
      </c>
      <c r="AR715" s="6" t="b">
        <f t="shared" si="62"/>
        <v>1</v>
      </c>
      <c r="AS715" s="6" t="str">
        <f t="shared" si="66"/>
        <v>OK</v>
      </c>
      <c r="AU715" s="202"/>
      <c r="AV715" s="262"/>
      <c r="AW715" s="274"/>
    </row>
    <row r="716" spans="1:49" s="13" customFormat="1" ht="33.75" x14ac:dyDescent="0.2">
      <c r="A716" s="14">
        <v>692</v>
      </c>
      <c r="B716" s="14">
        <v>400011900</v>
      </c>
      <c r="C716" s="8" t="s">
        <v>5197</v>
      </c>
      <c r="D716" s="4" t="str">
        <f t="shared" si="63"/>
        <v>400011900R1</v>
      </c>
      <c r="E716" s="309" t="str">
        <f>VLOOKUP($B716,'D7 - NDB Impacted SPRF''s'!$E$6:$O$9929,2,FALSE)</f>
        <v>Update to Claims Repricing Claim Status Report</v>
      </c>
      <c r="F716" s="8" t="s">
        <v>4304</v>
      </c>
      <c r="G716" s="8" t="s">
        <v>4758</v>
      </c>
      <c r="H716" s="8" t="s">
        <v>4246</v>
      </c>
      <c r="I716" s="20">
        <v>2.65</v>
      </c>
      <c r="J716" s="8" t="s">
        <v>4862</v>
      </c>
      <c r="K716" s="182">
        <v>39193</v>
      </c>
      <c r="L716" s="8" t="s">
        <v>5743</v>
      </c>
      <c r="M716" s="8" t="s">
        <v>5786</v>
      </c>
      <c r="N716" s="367" t="s">
        <v>5845</v>
      </c>
      <c r="O716" s="8"/>
      <c r="P716" s="4" t="str">
        <f>VLOOKUP($B716,'D7 - NDB Impacted SPRF''s'!$E$16:$O$9929,9,FALSE)</f>
        <v>N</v>
      </c>
      <c r="Q716" s="4" t="str">
        <f>VLOOKUP($B716,'D7 - NDB Impacted SPRF''s'!$E$16:$O$9929,10,FALSE)</f>
        <v>N</v>
      </c>
      <c r="R716" s="4" t="str">
        <f>VLOOKUP($B716,'D7 - NDB Impacted SPRF''s'!$E$16:$O$9929,11,FALSE)</f>
        <v>N</v>
      </c>
      <c r="S716" s="8"/>
      <c r="T716" s="310"/>
      <c r="U716" s="310"/>
      <c r="V716" s="4"/>
      <c r="W716" s="4"/>
      <c r="X716" s="4"/>
      <c r="Y716" s="4"/>
      <c r="Z716" s="4"/>
      <c r="AA716" s="4"/>
      <c r="AB716" s="380" t="str">
        <f>VLOOKUP($B716,'D7 - NDB Impacted SPRF''s'!$E$16:$O$9929,4,FALSE)</f>
        <v>Completed</v>
      </c>
      <c r="AC716" s="380" t="str">
        <f>VLOOKUP($B716,'D7 - NDB Impacted SPRF''s'!$E$16:$O$9929,3,FALSE)</f>
        <v>UnitedHealthcare Employer &amp; Individual</v>
      </c>
      <c r="AD716" s="380" t="str">
        <f>VLOOKUP($B716,'D7 - NDB Impacted SPRF''s'!$E$16:$O$9929,5,FALSE)</f>
        <v>Medical Cost Savings Programs</v>
      </c>
      <c r="AE716" s="380" t="str">
        <f>VLOOKUP($B716,'D7 - NDB Impacted SPRF''s'!$E$16:$O$9929,7,FALSE)</f>
        <v>Mike Mikan, Dirk McMahon</v>
      </c>
      <c r="AF716" s="380" t="str">
        <f>VLOOKUP($B716,'D7 - NDB Impacted SPRF''s'!$E$16:$O$9929,6,FALSE)</f>
        <v>JAMES SHELTON</v>
      </c>
      <c r="AG716" s="282" t="s">
        <v>6162</v>
      </c>
      <c r="AH716" s="311" t="e">
        <f>INDEX('D5 - Gatekeeper - Projects'!$A$4:$AF$1010,$AM716, 17)</f>
        <v>#N/A</v>
      </c>
      <c r="AI716" s="8"/>
      <c r="AJ716" s="57"/>
      <c r="AK716" s="105"/>
      <c r="AM716" s="6" t="e">
        <f>MATCH(D716,'D5 - Gatekeeper - Projects'!$C$4:$C$1010,0)</f>
        <v>#N/A</v>
      </c>
      <c r="AN716" s="6" t="b">
        <f t="shared" si="61"/>
        <v>1</v>
      </c>
      <c r="AO716" s="6" t="str">
        <f t="shared" si="64"/>
        <v>OK</v>
      </c>
      <c r="AQ716" s="6" t="e">
        <f>MATCH($D716,'D4 - Provider Council Unsched'!$C$11:$C$234,0)</f>
        <v>#N/A</v>
      </c>
      <c r="AR716" s="6" t="b">
        <f t="shared" si="62"/>
        <v>1</v>
      </c>
      <c r="AS716" s="6" t="str">
        <f t="shared" si="66"/>
        <v>OK</v>
      </c>
      <c r="AU716" s="202"/>
      <c r="AV716" s="262"/>
      <c r="AW716" s="274"/>
    </row>
    <row r="717" spans="1:49" s="13" customFormat="1" ht="11.25" customHeight="1" x14ac:dyDescent="0.2">
      <c r="A717" s="14">
        <v>693</v>
      </c>
      <c r="B717" s="14">
        <v>400012672</v>
      </c>
      <c r="C717" s="8" t="s">
        <v>2449</v>
      </c>
      <c r="D717" s="4" t="str">
        <f t="shared" si="63"/>
        <v>400012672R3</v>
      </c>
      <c r="E717" s="309" t="str">
        <f>VLOOKUP($B717,'D7 - NDB Impacted SPRF''s'!$E$6:$O$9929,2,FALSE)</f>
        <v>Provider Timely Filing by Contract</v>
      </c>
      <c r="F717" s="8" t="s">
        <v>2114</v>
      </c>
      <c r="G717" s="8" t="s">
        <v>4758</v>
      </c>
      <c r="H717" s="8" t="s">
        <v>4246</v>
      </c>
      <c r="I717" s="20"/>
      <c r="J717" s="8" t="s">
        <v>4862</v>
      </c>
      <c r="K717" s="182">
        <v>39193</v>
      </c>
      <c r="L717" s="8" t="s">
        <v>5743</v>
      </c>
      <c r="M717" s="8" t="s">
        <v>2814</v>
      </c>
      <c r="N717" s="368"/>
      <c r="O717" s="8" t="s">
        <v>5042</v>
      </c>
      <c r="P717" s="4" t="str">
        <f>VLOOKUP($B717,'D7 - NDB Impacted SPRF''s'!$E$16:$O$9929,9,FALSE)</f>
        <v>Y</v>
      </c>
      <c r="Q717" s="4" t="str">
        <f>VLOOKUP($B717,'D7 - NDB Impacted SPRF''s'!$E$16:$O$9929,10,FALSE)</f>
        <v>N</v>
      </c>
      <c r="R717" s="4" t="str">
        <f>VLOOKUP($B717,'D7 - NDB Impacted SPRF''s'!$E$16:$O$9929,11,FALSE)</f>
        <v>Y</v>
      </c>
      <c r="S717" s="8"/>
      <c r="T717" s="310"/>
      <c r="U717" s="310"/>
      <c r="V717" s="4"/>
      <c r="W717" s="4"/>
      <c r="X717" s="4"/>
      <c r="Y717" s="4"/>
      <c r="Z717" s="4"/>
      <c r="AA717" s="4"/>
      <c r="AB717" s="380" t="str">
        <f>VLOOKUP($B717,'D7 - NDB Impacted SPRF''s'!$E$16:$O$9929,4,FALSE)</f>
        <v>Completed</v>
      </c>
      <c r="AC717" s="380" t="str">
        <f>VLOOKUP($B717,'D7 - NDB Impacted SPRF''s'!$E$16:$O$9929,3,FALSE)</f>
        <v>UnitedHealthcare Employer &amp; Individual</v>
      </c>
      <c r="AD717" s="380" t="str">
        <f>VLOOKUP($B717,'D7 - NDB Impacted SPRF''s'!$E$16:$O$9929,5,FALSE)</f>
        <v>Medical Cost Savings Programs</v>
      </c>
      <c r="AE717" s="380" t="str">
        <f>VLOOKUP($B717,'D7 - NDB Impacted SPRF''s'!$E$16:$O$9929,7,FALSE)</f>
        <v>Michael Ile</v>
      </c>
      <c r="AF717" s="380" t="str">
        <f>VLOOKUP($B717,'D7 - NDB Impacted SPRF''s'!$E$16:$O$9929,6,FALSE)</f>
        <v>Susan Neal</v>
      </c>
      <c r="AG717" s="282"/>
      <c r="AH717" s="311" t="e">
        <f>INDEX('D5 - Gatekeeper - Projects'!$A$4:$AF$1010,$AM717, 17)</f>
        <v>#N/A</v>
      </c>
      <c r="AI717" s="8"/>
      <c r="AJ717" s="57"/>
      <c r="AK717" s="105"/>
      <c r="AM717" s="6" t="e">
        <f>MATCH(D717,'D5 - Gatekeeper - Projects'!$C$4:$C$1010,0)</f>
        <v>#N/A</v>
      </c>
      <c r="AN717" s="6" t="b">
        <f t="shared" si="61"/>
        <v>1</v>
      </c>
      <c r="AO717" s="6" t="str">
        <f t="shared" si="64"/>
        <v>OK</v>
      </c>
      <c r="AQ717" s="6" t="e">
        <f>MATCH($D717,'D4 - Provider Council Unsched'!$C$11:$C$234,0)</f>
        <v>#N/A</v>
      </c>
      <c r="AR717" s="6" t="b">
        <f t="shared" si="62"/>
        <v>1</v>
      </c>
      <c r="AS717" s="6" t="str">
        <f t="shared" si="66"/>
        <v>OK</v>
      </c>
      <c r="AU717" s="202"/>
      <c r="AV717" s="262"/>
      <c r="AW717" s="274"/>
    </row>
    <row r="718" spans="1:49" s="13" customFormat="1" ht="11.25" customHeight="1" x14ac:dyDescent="0.2">
      <c r="A718" s="14">
        <v>694</v>
      </c>
      <c r="B718" s="14">
        <v>400013039</v>
      </c>
      <c r="C718" s="8" t="s">
        <v>5197</v>
      </c>
      <c r="D718" s="4" t="str">
        <f t="shared" si="63"/>
        <v>400013039R1</v>
      </c>
      <c r="E718" s="309" t="str">
        <f>VLOOKUP($B718,'D7 - NDB Impacted SPRF''s'!$E$6:$O$9929,2,FALSE)</f>
        <v>Medica-EPDL Enhancements for GHMO</v>
      </c>
      <c r="F718" s="8" t="s">
        <v>5196</v>
      </c>
      <c r="G718" s="8" t="s">
        <v>4758</v>
      </c>
      <c r="H718" s="8" t="s">
        <v>4246</v>
      </c>
      <c r="I718" s="20">
        <v>13.33</v>
      </c>
      <c r="J718" s="8" t="s">
        <v>4862</v>
      </c>
      <c r="K718" s="182">
        <v>39193</v>
      </c>
      <c r="L718" s="8" t="s">
        <v>5743</v>
      </c>
      <c r="M718" s="8" t="s">
        <v>2814</v>
      </c>
      <c r="N718" s="367" t="s">
        <v>5663</v>
      </c>
      <c r="O718" s="8"/>
      <c r="P718" s="4" t="str">
        <f>VLOOKUP($B718,'D7 - NDB Impacted SPRF''s'!$E$16:$O$9929,9,FALSE)</f>
        <v>N</v>
      </c>
      <c r="Q718" s="4" t="str">
        <f>VLOOKUP($B718,'D7 - NDB Impacted SPRF''s'!$E$16:$O$9929,10,FALSE)</f>
        <v>N</v>
      </c>
      <c r="R718" s="4" t="str">
        <f>VLOOKUP($B718,'D7 - NDB Impacted SPRF''s'!$E$16:$O$9929,11,FALSE)</f>
        <v>N</v>
      </c>
      <c r="S718" s="8" t="s">
        <v>3758</v>
      </c>
      <c r="T718" s="310"/>
      <c r="U718" s="310"/>
      <c r="V718" s="4"/>
      <c r="W718" s="4"/>
      <c r="X718" s="4"/>
      <c r="Y718" s="4"/>
      <c r="Z718" s="4"/>
      <c r="AA718" s="4"/>
      <c r="AB718" s="380" t="str">
        <f>VLOOKUP($B718,'D7 - NDB Impacted SPRF''s'!$E$16:$O$9929,4,FALSE)</f>
        <v>Completed</v>
      </c>
      <c r="AC718" s="380" t="str">
        <f>VLOOKUP($B718,'D7 - NDB Impacted SPRF''s'!$E$16:$O$9929,3,FALSE)</f>
        <v>Alliance</v>
      </c>
      <c r="AD718" s="380" t="str">
        <f>VLOOKUP($B718,'D7 - NDB Impacted SPRF''s'!$E$16:$O$9929,5,FALSE)</f>
        <v>Medica UNET Conversion</v>
      </c>
      <c r="AE718" s="380" t="str">
        <f>VLOOKUP($B718,'D7 - NDB Impacted SPRF''s'!$E$16:$O$9929,7,FALSE)</f>
        <v>Tim Kaja</v>
      </c>
      <c r="AF718" s="380" t="str">
        <f>VLOOKUP($B718,'D7 - NDB Impacted SPRF''s'!$E$16:$O$9929,6,FALSE)</f>
        <v>MARCIA MONACO</v>
      </c>
      <c r="AG718" s="282"/>
      <c r="AH718" s="311" t="e">
        <f>INDEX('D5 - Gatekeeper - Projects'!$A$4:$AF$1010,$AM718, 17)</f>
        <v>#N/A</v>
      </c>
      <c r="AI718" s="8"/>
      <c r="AJ718" s="57"/>
      <c r="AK718" s="105"/>
      <c r="AM718" s="6" t="e">
        <f>MATCH(D718,'D5 - Gatekeeper - Projects'!$C$4:$C$1010,0)</f>
        <v>#N/A</v>
      </c>
      <c r="AN718" s="6" t="b">
        <f t="shared" si="61"/>
        <v>1</v>
      </c>
      <c r="AO718" s="6" t="str">
        <f t="shared" si="64"/>
        <v>OK</v>
      </c>
      <c r="AQ718" s="6" t="e">
        <f>MATCH($D718,'D4 - Provider Council Unsched'!$C$11:$C$234,0)</f>
        <v>#N/A</v>
      </c>
      <c r="AR718" s="6" t="b">
        <f t="shared" si="62"/>
        <v>1</v>
      </c>
      <c r="AS718" s="6" t="str">
        <f t="shared" si="66"/>
        <v>OK</v>
      </c>
      <c r="AU718" s="202"/>
      <c r="AV718" s="262"/>
      <c r="AW718" s="274"/>
    </row>
    <row r="719" spans="1:49" s="13" customFormat="1" ht="33.75" x14ac:dyDescent="0.2">
      <c r="A719" s="14">
        <v>695</v>
      </c>
      <c r="B719" s="14">
        <v>400013210</v>
      </c>
      <c r="C719" s="8" t="s">
        <v>3763</v>
      </c>
      <c r="D719" s="4" t="str">
        <f t="shared" si="63"/>
        <v>400013210R2</v>
      </c>
      <c r="E719" s="309" t="str">
        <f>VLOOKUP($B719,'D7 - NDB Impacted SPRF''s'!$E$6:$O$9929,2,FALSE)</f>
        <v>PDI -Update NDB fields to support AmeriChoice data</v>
      </c>
      <c r="F719" s="8" t="s">
        <v>4961</v>
      </c>
      <c r="G719" s="8" t="s">
        <v>4758</v>
      </c>
      <c r="H719" s="8" t="s">
        <v>4246</v>
      </c>
      <c r="I719" s="20"/>
      <c r="J719" s="8" t="s">
        <v>4862</v>
      </c>
      <c r="K719" s="182">
        <v>39193</v>
      </c>
      <c r="L719" s="8" t="s">
        <v>5743</v>
      </c>
      <c r="M719" s="8" t="s">
        <v>2814</v>
      </c>
      <c r="N719" s="367" t="s">
        <v>7404</v>
      </c>
      <c r="O719" s="8" t="s">
        <v>4306</v>
      </c>
      <c r="P719" s="4" t="str">
        <f>VLOOKUP($B719,'D7 - NDB Impacted SPRF''s'!$E$16:$O$9929,9,FALSE)</f>
        <v>N</v>
      </c>
      <c r="Q719" s="4" t="str">
        <f>VLOOKUP($B719,'D7 - NDB Impacted SPRF''s'!$E$16:$O$9929,10,FALSE)</f>
        <v>N</v>
      </c>
      <c r="R719" s="4" t="str">
        <f>VLOOKUP($B719,'D7 - NDB Impacted SPRF''s'!$E$16:$O$9929,11,FALSE)</f>
        <v>N</v>
      </c>
      <c r="S719" s="8"/>
      <c r="T719" s="310"/>
      <c r="U719" s="310"/>
      <c r="V719" s="4"/>
      <c r="W719" s="4"/>
      <c r="X719" s="4"/>
      <c r="Y719" s="4"/>
      <c r="Z719" s="4"/>
      <c r="AA719" s="4"/>
      <c r="AB719" s="380" t="str">
        <f>VLOOKUP($B719,'D7 - NDB Impacted SPRF''s'!$E$16:$O$9929,4,FALSE)</f>
        <v>Completed</v>
      </c>
      <c r="AC719" s="380" t="str">
        <f>VLOOKUP($B719,'D7 - NDB Impacted SPRF''s'!$E$16:$O$9929,3,FALSE)</f>
        <v>UnitedHealthcare Employer &amp; Individual</v>
      </c>
      <c r="AD719" s="380" t="str">
        <f>VLOOKUP($B719,'D7 - NDB Impacted SPRF''s'!$E$16:$O$9929,5,FALSE)</f>
        <v>Network Growth / Enhancements</v>
      </c>
      <c r="AE719" s="380" t="str">
        <f>VLOOKUP($B719,'D7 - NDB Impacted SPRF''s'!$E$16:$O$9929,7,FALSE)</f>
        <v>Mike Mikan</v>
      </c>
      <c r="AF719" s="380" t="str">
        <f>VLOOKUP($B719,'D7 - NDB Impacted SPRF''s'!$E$16:$O$9929,6,FALSE)</f>
        <v>GREGORY MILLS</v>
      </c>
      <c r="AG719" s="282"/>
      <c r="AH719" s="311" t="e">
        <f>INDEX('D5 - Gatekeeper - Projects'!$A$4:$AF$1010,$AM719, 17)</f>
        <v>#N/A</v>
      </c>
      <c r="AI719" s="8"/>
      <c r="AJ719" s="57"/>
      <c r="AK719" s="105"/>
      <c r="AM719" s="6" t="e">
        <f>MATCH(D719,'D5 - Gatekeeper - Projects'!$C$4:$C$1010,0)</f>
        <v>#N/A</v>
      </c>
      <c r="AN719" s="6" t="b">
        <f t="shared" si="61"/>
        <v>1</v>
      </c>
      <c r="AO719" s="6" t="str">
        <f t="shared" si="64"/>
        <v>OK</v>
      </c>
      <c r="AQ719" s="6" t="e">
        <f>MATCH($D719,'D4 - Provider Council Unsched'!$C$11:$C$234,0)</f>
        <v>#N/A</v>
      </c>
      <c r="AR719" s="6" t="b">
        <f t="shared" si="62"/>
        <v>1</v>
      </c>
      <c r="AS719" s="6" t="str">
        <f t="shared" si="66"/>
        <v>OK</v>
      </c>
      <c r="AU719" s="202"/>
      <c r="AV719" s="262"/>
      <c r="AW719" s="274"/>
    </row>
    <row r="720" spans="1:49" s="13" customFormat="1" ht="33.75" x14ac:dyDescent="0.2">
      <c r="A720" s="14">
        <v>696</v>
      </c>
      <c r="B720" s="14">
        <v>400014888</v>
      </c>
      <c r="C720" s="8" t="s">
        <v>3763</v>
      </c>
      <c r="D720" s="4" t="str">
        <f t="shared" si="63"/>
        <v>400014888R2</v>
      </c>
      <c r="E720" s="309" t="str">
        <f>VLOOKUP($B720,'D7 - NDB Impacted SPRF''s'!$E$6:$O$9929,2,FALSE)</f>
        <v>NPI Phase 4 Implementation</v>
      </c>
      <c r="F720" s="8" t="s">
        <v>1059</v>
      </c>
      <c r="G720" s="8" t="s">
        <v>4758</v>
      </c>
      <c r="H720" s="8" t="s">
        <v>4246</v>
      </c>
      <c r="I720" s="20">
        <v>3.85</v>
      </c>
      <c r="J720" s="8" t="s">
        <v>4862</v>
      </c>
      <c r="K720" s="182">
        <v>39193</v>
      </c>
      <c r="L720" s="8" t="s">
        <v>5743</v>
      </c>
      <c r="M720" s="8" t="s">
        <v>2814</v>
      </c>
      <c r="N720" s="38"/>
      <c r="O720" s="8"/>
      <c r="P720" s="4" t="str">
        <f>VLOOKUP($B720,'D7 - NDB Impacted SPRF''s'!$E$16:$O$9929,9,FALSE)</f>
        <v>Y</v>
      </c>
      <c r="Q720" s="4" t="str">
        <f>VLOOKUP($B720,'D7 - NDB Impacted SPRF''s'!$E$16:$O$9929,10,FALSE)</f>
        <v>N</v>
      </c>
      <c r="R720" s="4" t="str">
        <f>VLOOKUP($B720,'D7 - NDB Impacted SPRF''s'!$E$16:$O$9929,11,FALSE)</f>
        <v>N</v>
      </c>
      <c r="S720" s="8"/>
      <c r="T720" s="310"/>
      <c r="U720" s="310"/>
      <c r="V720" s="4"/>
      <c r="W720" s="4"/>
      <c r="X720" s="4"/>
      <c r="Y720" s="4"/>
      <c r="Z720" s="4"/>
      <c r="AA720" s="4"/>
      <c r="AB720" s="380" t="str">
        <f>VLOOKUP($B720,'D7 - NDB Impacted SPRF''s'!$E$16:$O$9929,4,FALSE)</f>
        <v>Completed</v>
      </c>
      <c r="AC720" s="380" t="str">
        <f>VLOOKUP($B720,'D7 - NDB Impacted SPRF''s'!$E$16:$O$9929,3,FALSE)</f>
        <v>UnitedHealthcare Employer &amp; Individual</v>
      </c>
      <c r="AD720" s="380" t="str">
        <f>VLOOKUP($B720,'D7 - NDB Impacted SPRF''s'!$E$16:$O$9929,5,FALSE)</f>
        <v>Regulatory / Other</v>
      </c>
      <c r="AE720" s="380" t="str">
        <f>VLOOKUP($B720,'D7 - NDB Impacted SPRF''s'!$E$16:$O$9929,7,FALSE)</f>
        <v>Tim Kaja</v>
      </c>
      <c r="AF720" s="380" t="str">
        <f>VLOOKUP($B720,'D7 - NDB Impacted SPRF''s'!$E$16:$O$9929,6,FALSE)</f>
        <v>KELLY LEONARD</v>
      </c>
      <c r="AG720" s="282"/>
      <c r="AH720" s="311" t="e">
        <f>INDEX('D5 - Gatekeeper - Projects'!$A$4:$AF$1010,$AM720, 17)</f>
        <v>#N/A</v>
      </c>
      <c r="AI720" s="8"/>
      <c r="AJ720" s="57"/>
      <c r="AK720" s="105"/>
      <c r="AM720" s="6" t="e">
        <f>MATCH(D720,'D5 - Gatekeeper - Projects'!$C$4:$C$1010,0)</f>
        <v>#N/A</v>
      </c>
      <c r="AN720" s="6" t="b">
        <f t="shared" si="61"/>
        <v>1</v>
      </c>
      <c r="AO720" s="6" t="str">
        <f t="shared" si="64"/>
        <v>OK</v>
      </c>
      <c r="AQ720" s="6" t="e">
        <f>MATCH($D720,'D4 - Provider Council Unsched'!$C$11:$C$234,0)</f>
        <v>#N/A</v>
      </c>
      <c r="AR720" s="6" t="b">
        <f t="shared" si="62"/>
        <v>1</v>
      </c>
      <c r="AS720" s="6" t="str">
        <f t="shared" si="66"/>
        <v>OK</v>
      </c>
      <c r="AU720" s="202"/>
      <c r="AV720" s="262"/>
      <c r="AW720" s="274"/>
    </row>
    <row r="721" spans="1:49" s="13" customFormat="1" ht="33.75" x14ac:dyDescent="0.2">
      <c r="A721" s="14">
        <v>697</v>
      </c>
      <c r="B721" s="14">
        <v>400015126</v>
      </c>
      <c r="C721" s="8" t="s">
        <v>5197</v>
      </c>
      <c r="D721" s="4" t="str">
        <f t="shared" si="63"/>
        <v>400015126R1</v>
      </c>
      <c r="E721" s="309" t="str">
        <f>VLOOKUP($B721,'D7 - NDB Impacted SPRF''s'!$E$6:$O$9929,2,FALSE)</f>
        <v>Fee Schedule Error Clean-up</v>
      </c>
      <c r="F721" s="8" t="s">
        <v>4961</v>
      </c>
      <c r="G721" s="8" t="s">
        <v>4758</v>
      </c>
      <c r="H721" s="8" t="s">
        <v>4246</v>
      </c>
      <c r="I721" s="20">
        <v>1.54</v>
      </c>
      <c r="J721" s="8" t="s">
        <v>4862</v>
      </c>
      <c r="K721" s="182">
        <v>39193</v>
      </c>
      <c r="L721" s="8" t="s">
        <v>5743</v>
      </c>
      <c r="M721" s="8" t="s">
        <v>2814</v>
      </c>
      <c r="N721" s="38" t="s">
        <v>2851</v>
      </c>
      <c r="O721" s="8"/>
      <c r="P721" s="4" t="str">
        <f>VLOOKUP($B721,'D7 - NDB Impacted SPRF''s'!$E$16:$O$9929,9,FALSE)</f>
        <v>N</v>
      </c>
      <c r="Q721" s="4" t="str">
        <f>VLOOKUP($B721,'D7 - NDB Impacted SPRF''s'!$E$16:$O$9929,10,FALSE)</f>
        <v>N</v>
      </c>
      <c r="R721" s="4" t="str">
        <f>VLOOKUP($B721,'D7 - NDB Impacted SPRF''s'!$E$16:$O$9929,11,FALSE)</f>
        <v>N</v>
      </c>
      <c r="S721" s="8"/>
      <c r="T721" s="310"/>
      <c r="U721" s="310"/>
      <c r="V721" s="4"/>
      <c r="W721" s="4"/>
      <c r="X721" s="4"/>
      <c r="Y721" s="4"/>
      <c r="Z721" s="4"/>
      <c r="AA721" s="4"/>
      <c r="AB721" s="380" t="str">
        <f>VLOOKUP($B721,'D7 - NDB Impacted SPRF''s'!$E$16:$O$9929,4,FALSE)</f>
        <v>Completed</v>
      </c>
      <c r="AC721" s="380" t="str">
        <f>VLOOKUP($B721,'D7 - NDB Impacted SPRF''s'!$E$16:$O$9929,3,FALSE)</f>
        <v>UnitedHealthcare Employer &amp; Individual</v>
      </c>
      <c r="AD721" s="380" t="str">
        <f>VLOOKUP($B721,'D7 - NDB Impacted SPRF''s'!$E$16:$O$9929,5,FALSE)</f>
        <v>Network Growth / Enhancements</v>
      </c>
      <c r="AE721" s="380" t="str">
        <f>VLOOKUP($B721,'D7 - NDB Impacted SPRF''s'!$E$16:$O$9929,7,FALSE)</f>
        <v>Carol Pennington</v>
      </c>
      <c r="AF721" s="380" t="str">
        <f>VLOOKUP($B721,'D7 - NDB Impacted SPRF''s'!$E$16:$O$9929,6,FALSE)</f>
        <v>JOHN HIEBERT</v>
      </c>
      <c r="AG721" s="282"/>
      <c r="AH721" s="311" t="e">
        <f>INDEX('D5 - Gatekeeper - Projects'!$A$4:$AF$1010,$AM721, 17)</f>
        <v>#N/A</v>
      </c>
      <c r="AI721" s="8"/>
      <c r="AJ721" s="57"/>
      <c r="AK721" s="105"/>
      <c r="AM721" s="6" t="e">
        <f>MATCH(D721,'D5 - Gatekeeper - Projects'!$C$4:$C$1010,0)</f>
        <v>#N/A</v>
      </c>
      <c r="AN721" s="6" t="b">
        <f t="shared" ref="AN721:AN784" si="67">ISERROR(AM721)</f>
        <v>1</v>
      </c>
      <c r="AO721" s="6" t="str">
        <f t="shared" si="64"/>
        <v>OK</v>
      </c>
      <c r="AQ721" s="6" t="e">
        <f>MATCH($D721,'D4 - Provider Council Unsched'!$C$11:$C$234,0)</f>
        <v>#N/A</v>
      </c>
      <c r="AR721" s="6" t="b">
        <f t="shared" ref="AR721:AR784" si="68">ISERROR(AQ721)</f>
        <v>1</v>
      </c>
      <c r="AS721" s="6" t="str">
        <f t="shared" si="66"/>
        <v>OK</v>
      </c>
      <c r="AU721" s="202"/>
      <c r="AV721" s="262"/>
      <c r="AW721" s="274"/>
    </row>
    <row r="722" spans="1:49" s="13" customFormat="1" ht="33.75" x14ac:dyDescent="0.2">
      <c r="A722" s="14">
        <v>698</v>
      </c>
      <c r="B722" s="14">
        <v>400015184</v>
      </c>
      <c r="C722" s="8" t="s">
        <v>5197</v>
      </c>
      <c r="D722" s="4" t="str">
        <f t="shared" ref="D722:D785" si="69">CONCATENATE(B722,C722)</f>
        <v>400015184R1</v>
      </c>
      <c r="E722" s="309" t="str">
        <f>VLOOKUP($B722,'D7 - NDB Impacted SPRF''s'!$E$6:$O$9929,2,FALSE)</f>
        <v>New Manual Pick Queue Edits (P1-P4)</v>
      </c>
      <c r="F722" s="8" t="s">
        <v>4304</v>
      </c>
      <c r="G722" s="8" t="s">
        <v>4758</v>
      </c>
      <c r="H722" s="8" t="s">
        <v>4246</v>
      </c>
      <c r="I722" s="20">
        <v>6.12</v>
      </c>
      <c r="J722" s="8" t="s">
        <v>4862</v>
      </c>
      <c r="K722" s="182">
        <v>39193</v>
      </c>
      <c r="L722" s="8" t="s">
        <v>5743</v>
      </c>
      <c r="M722" s="8" t="s">
        <v>2814</v>
      </c>
      <c r="N722" s="38"/>
      <c r="O722" s="8"/>
      <c r="P722" s="4" t="str">
        <f>VLOOKUP($B722,'D7 - NDB Impacted SPRF''s'!$E$16:$O$9929,9,FALSE)</f>
        <v>N</v>
      </c>
      <c r="Q722" s="4" t="str">
        <f>VLOOKUP($B722,'D7 - NDB Impacted SPRF''s'!$E$16:$O$9929,10,FALSE)</f>
        <v>N</v>
      </c>
      <c r="R722" s="4" t="str">
        <f>VLOOKUP($B722,'D7 - NDB Impacted SPRF''s'!$E$16:$O$9929,11,FALSE)</f>
        <v>Y</v>
      </c>
      <c r="S722" s="8"/>
      <c r="T722" s="310"/>
      <c r="U722" s="310"/>
      <c r="V722" s="4"/>
      <c r="W722" s="4"/>
      <c r="X722" s="4"/>
      <c r="Y722" s="4"/>
      <c r="Z722" s="4"/>
      <c r="AA722" s="4"/>
      <c r="AB722" s="380" t="str">
        <f>VLOOKUP($B722,'D7 - NDB Impacted SPRF''s'!$E$16:$O$9929,4,FALSE)</f>
        <v>Completed</v>
      </c>
      <c r="AC722" s="380" t="str">
        <f>VLOOKUP($B722,'D7 - NDB Impacted SPRF''s'!$E$16:$O$9929,3,FALSE)</f>
        <v>UnitedHealthcare Employer &amp; Individual</v>
      </c>
      <c r="AD722" s="380" t="str">
        <f>VLOOKUP($B722,'D7 - NDB Impacted SPRF''s'!$E$16:$O$9929,5,FALSE)</f>
        <v>Medical Cost Savings Programs</v>
      </c>
      <c r="AE722" s="380" t="str">
        <f>VLOOKUP($B722,'D7 - NDB Impacted SPRF''s'!$E$16:$O$9929,7,FALSE)</f>
        <v>Mike Mikan, Dirk McMahon</v>
      </c>
      <c r="AF722" s="380" t="str">
        <f>VLOOKUP($B722,'D7 - NDB Impacted SPRF''s'!$E$16:$O$9929,6,FALSE)</f>
        <v>BREE CORDELL</v>
      </c>
      <c r="AG722" s="282"/>
      <c r="AH722" s="311" t="e">
        <f>INDEX('D5 - Gatekeeper - Projects'!$A$4:$AF$1010,$AM722, 17)</f>
        <v>#N/A</v>
      </c>
      <c r="AI722" s="8"/>
      <c r="AJ722" s="57"/>
      <c r="AK722" s="105"/>
      <c r="AM722" s="6" t="e">
        <f>MATCH(D722,'D5 - Gatekeeper - Projects'!$C$4:$C$1010,0)</f>
        <v>#N/A</v>
      </c>
      <c r="AN722" s="6" t="b">
        <f t="shared" si="67"/>
        <v>1</v>
      </c>
      <c r="AO722" s="6" t="str">
        <f t="shared" ref="AO722:AO785" si="70">IF(AND(H722="1 - Scheduled",AN722=TRUE),"Add","OK")</f>
        <v>OK</v>
      </c>
      <c r="AQ722" s="6" t="e">
        <f>MATCH($D722,'D4 - Provider Council Unsched'!$C$11:$C$234,0)</f>
        <v>#N/A</v>
      </c>
      <c r="AR722" s="6" t="b">
        <f t="shared" si="68"/>
        <v>1</v>
      </c>
      <c r="AS722" s="6" t="str">
        <f t="shared" ref="AS722:AS742" si="71">IF(AND(H722="2 - Not Scheduled",AR722=TRUE),"Add","OK")</f>
        <v>OK</v>
      </c>
      <c r="AU722" s="202"/>
      <c r="AV722" s="262"/>
      <c r="AW722" s="274"/>
    </row>
    <row r="723" spans="1:49" s="13" customFormat="1" ht="33.75" x14ac:dyDescent="0.2">
      <c r="A723" s="14">
        <v>699</v>
      </c>
      <c r="B723" s="14">
        <v>400015485</v>
      </c>
      <c r="C723" s="8" t="s">
        <v>5197</v>
      </c>
      <c r="D723" s="4" t="str">
        <f t="shared" si="69"/>
        <v>400015485R1</v>
      </c>
      <c r="E723" s="309" t="str">
        <f>VLOOKUP($B723,'D7 - NDB Impacted SPRF''s'!$E$6:$O$9929,2,FALSE)</f>
        <v>UnitedHealth Premium - Customer Svc Requirements</v>
      </c>
      <c r="F723" s="8" t="s">
        <v>5443</v>
      </c>
      <c r="G723" s="8" t="s">
        <v>4758</v>
      </c>
      <c r="H723" s="8" t="s">
        <v>4246</v>
      </c>
      <c r="I723" s="20">
        <f>104.47-86.97</f>
        <v>17.5</v>
      </c>
      <c r="J723" s="8" t="s">
        <v>4862</v>
      </c>
      <c r="K723" s="182">
        <v>39193</v>
      </c>
      <c r="L723" s="8" t="s">
        <v>4156</v>
      </c>
      <c r="M723" s="8" t="s">
        <v>2814</v>
      </c>
      <c r="N723" s="38" t="s">
        <v>1948</v>
      </c>
      <c r="O723" s="8"/>
      <c r="P723" s="4" t="str">
        <f>VLOOKUP($B723,'D7 - NDB Impacted SPRF''s'!$E$16:$O$9929,9,FALSE)</f>
        <v>N</v>
      </c>
      <c r="Q723" s="4" t="str">
        <f>VLOOKUP($B723,'D7 - NDB Impacted SPRF''s'!$E$16:$O$9929,10,FALSE)</f>
        <v>N</v>
      </c>
      <c r="R723" s="4" t="str">
        <f>VLOOKUP($B723,'D7 - NDB Impacted SPRF''s'!$E$16:$O$9929,11,FALSE)</f>
        <v>N</v>
      </c>
      <c r="S723" s="8"/>
      <c r="T723" s="310"/>
      <c r="U723" s="310"/>
      <c r="V723" s="4"/>
      <c r="W723" s="4"/>
      <c r="X723" s="4"/>
      <c r="Y723" s="4"/>
      <c r="Z723" s="4"/>
      <c r="AA723" s="4"/>
      <c r="AB723" s="380" t="str">
        <f>VLOOKUP($B723,'D7 - NDB Impacted SPRF''s'!$E$16:$O$9929,4,FALSE)</f>
        <v>Completed</v>
      </c>
      <c r="AC723" s="380" t="str">
        <f>VLOOKUP($B723,'D7 - NDB Impacted SPRF''s'!$E$16:$O$9929,3,FALSE)</f>
        <v>UnitedHealthcare Employer &amp; Individual</v>
      </c>
      <c r="AD723" s="380" t="str">
        <f>VLOOKUP($B723,'D7 - NDB Impacted SPRF''s'!$E$16:$O$9929,5,FALSE)</f>
        <v>Medical Cost Savings Programs</v>
      </c>
      <c r="AE723" s="380" t="str">
        <f>VLOOKUP($B723,'D7 - NDB Impacted SPRF''s'!$E$16:$O$9929,7,FALSE)</f>
        <v>Chris Brown</v>
      </c>
      <c r="AF723" s="380" t="str">
        <f>VLOOKUP($B723,'D7 - NDB Impacted SPRF''s'!$E$16:$O$9929,6,FALSE)</f>
        <v>TEDD HAUSER</v>
      </c>
      <c r="AG723" s="282"/>
      <c r="AH723" s="311" t="e">
        <f>INDEX('D5 - Gatekeeper - Projects'!$A$4:$AF$1010,$AM723, 17)</f>
        <v>#N/A</v>
      </c>
      <c r="AI723" s="8"/>
      <c r="AJ723" s="57"/>
      <c r="AK723" s="105"/>
      <c r="AM723" s="6" t="e">
        <f>MATCH(D723,'D5 - Gatekeeper - Projects'!$C$4:$C$1010,0)</f>
        <v>#N/A</v>
      </c>
      <c r="AN723" s="6" t="b">
        <f t="shared" si="67"/>
        <v>1</v>
      </c>
      <c r="AO723" s="6" t="str">
        <f t="shared" si="70"/>
        <v>OK</v>
      </c>
      <c r="AQ723" s="6" t="e">
        <f>MATCH($D723,'D4 - Provider Council Unsched'!$C$11:$C$234,0)</f>
        <v>#N/A</v>
      </c>
      <c r="AR723" s="6" t="b">
        <f t="shared" si="68"/>
        <v>1</v>
      </c>
      <c r="AS723" s="6" t="str">
        <f t="shared" si="71"/>
        <v>OK</v>
      </c>
      <c r="AU723" s="202"/>
      <c r="AV723" s="262"/>
      <c r="AW723" s="274"/>
    </row>
    <row r="724" spans="1:49" s="13" customFormat="1" ht="33.75" x14ac:dyDescent="0.2">
      <c r="A724" s="14">
        <v>700</v>
      </c>
      <c r="B724" s="14">
        <v>400015728</v>
      </c>
      <c r="C724" s="8" t="s">
        <v>3763</v>
      </c>
      <c r="D724" s="4" t="str">
        <f t="shared" si="69"/>
        <v>400015728R2</v>
      </c>
      <c r="E724" s="309" t="str">
        <f>VLOOKUP($B724,'D7 - NDB Impacted SPRF''s'!$E$6:$O$9929,2,FALSE)</f>
        <v>HPHC1 - Network-'G' Record Layout Phase II</v>
      </c>
      <c r="F724" s="8" t="s">
        <v>5196</v>
      </c>
      <c r="G724" s="8" t="s">
        <v>4758</v>
      </c>
      <c r="H724" s="8" t="s">
        <v>4246</v>
      </c>
      <c r="I724" s="20">
        <v>0.33</v>
      </c>
      <c r="J724" s="8" t="s">
        <v>4862</v>
      </c>
      <c r="K724" s="182">
        <v>39193</v>
      </c>
      <c r="L724" s="8" t="s">
        <v>5743</v>
      </c>
      <c r="M724" s="8" t="s">
        <v>2814</v>
      </c>
      <c r="N724" s="38" t="s">
        <v>1990</v>
      </c>
      <c r="O724" s="8"/>
      <c r="P724" s="4" t="str">
        <f>VLOOKUP($B724,'D7 - NDB Impacted SPRF''s'!$E$16:$O$9929,9,FALSE)</f>
        <v>N</v>
      </c>
      <c r="Q724" s="4" t="str">
        <f>VLOOKUP($B724,'D7 - NDB Impacted SPRF''s'!$E$16:$O$9929,10,FALSE)</f>
        <v>N</v>
      </c>
      <c r="R724" s="4" t="str">
        <f>VLOOKUP($B724,'D7 - NDB Impacted SPRF''s'!$E$16:$O$9929,11,FALSE)</f>
        <v>N</v>
      </c>
      <c r="S724" s="8"/>
      <c r="T724" s="310"/>
      <c r="U724" s="310"/>
      <c r="V724" s="4"/>
      <c r="W724" s="4"/>
      <c r="X724" s="4"/>
      <c r="Y724" s="4"/>
      <c r="Z724" s="4"/>
      <c r="AA724" s="4"/>
      <c r="AB724" s="380" t="str">
        <f>VLOOKUP($B724,'D7 - NDB Impacted SPRF''s'!$E$16:$O$9929,4,FALSE)</f>
        <v>Completed</v>
      </c>
      <c r="AC724" s="380" t="str">
        <f>VLOOKUP($B724,'D7 - NDB Impacted SPRF''s'!$E$16:$O$9929,3,FALSE)</f>
        <v>Alliance</v>
      </c>
      <c r="AD724" s="380" t="str">
        <f>VLOOKUP($B724,'D7 - NDB Impacted SPRF''s'!$E$16:$O$9929,5,FALSE)</f>
        <v>Harvard Pilgrim Service Alliance</v>
      </c>
      <c r="AE724" s="380" t="str">
        <f>VLOOKUP($B724,'D7 - NDB Impacted SPRF''s'!$E$16:$O$9929,7,FALSE)</f>
        <v>Diane Schofield, Deborah Streb</v>
      </c>
      <c r="AF724" s="380" t="str">
        <f>VLOOKUP($B724,'D7 - NDB Impacted SPRF''s'!$E$16:$O$9929,6,FALSE)</f>
        <v>GREGORY MILLS</v>
      </c>
      <c r="AG724" s="282"/>
      <c r="AH724" s="311" t="e">
        <f>INDEX('D5 - Gatekeeper - Projects'!$A$4:$AF$1010,$AM724, 17)</f>
        <v>#N/A</v>
      </c>
      <c r="AI724" s="8"/>
      <c r="AJ724" s="57"/>
      <c r="AK724" s="105"/>
      <c r="AM724" s="6" t="e">
        <f>MATCH(D724,'D5 - Gatekeeper - Projects'!$C$4:$C$1010,0)</f>
        <v>#N/A</v>
      </c>
      <c r="AN724" s="6" t="b">
        <f t="shared" si="67"/>
        <v>1</v>
      </c>
      <c r="AO724" s="6" t="str">
        <f t="shared" si="70"/>
        <v>OK</v>
      </c>
      <c r="AQ724" s="6" t="e">
        <f>MATCH($D724,'D4 - Provider Council Unsched'!$C$11:$C$234,0)</f>
        <v>#N/A</v>
      </c>
      <c r="AR724" s="6" t="b">
        <f t="shared" si="68"/>
        <v>1</v>
      </c>
      <c r="AS724" s="6" t="str">
        <f t="shared" si="71"/>
        <v>OK</v>
      </c>
      <c r="AU724" s="202"/>
      <c r="AV724" s="262"/>
      <c r="AW724" s="274"/>
    </row>
    <row r="725" spans="1:49" s="13" customFormat="1" ht="33.75" x14ac:dyDescent="0.2">
      <c r="A725" s="14">
        <v>701</v>
      </c>
      <c r="B725" s="14">
        <v>400015793</v>
      </c>
      <c r="C725" s="8" t="s">
        <v>5197</v>
      </c>
      <c r="D725" s="4" t="str">
        <f t="shared" si="69"/>
        <v>400015793R1</v>
      </c>
      <c r="E725" s="309" t="str">
        <f>VLOOKUP($B725,'D7 - NDB Impacted SPRF''s'!$E$6:$O$9929,2,FALSE)</f>
        <v>Description of Success/Error Messages from NDB</v>
      </c>
      <c r="F725" s="8" t="s">
        <v>2114</v>
      </c>
      <c r="G725" s="8" t="s">
        <v>4758</v>
      </c>
      <c r="H725" s="8" t="s">
        <v>4246</v>
      </c>
      <c r="I725" s="20">
        <v>2.4700000000000002</v>
      </c>
      <c r="J725" s="8" t="s">
        <v>4862</v>
      </c>
      <c r="K725" s="182">
        <v>39193</v>
      </c>
      <c r="L725" s="8" t="s">
        <v>5743</v>
      </c>
      <c r="M725" s="8" t="s">
        <v>6688</v>
      </c>
      <c r="N725" s="38"/>
      <c r="O725" s="8"/>
      <c r="P725" s="4" t="str">
        <f>VLOOKUP($B725,'D7 - NDB Impacted SPRF''s'!$E$16:$O$9929,9,FALSE)</f>
        <v>N</v>
      </c>
      <c r="Q725" s="4" t="str">
        <f>VLOOKUP($B725,'D7 - NDB Impacted SPRF''s'!$E$16:$O$9929,10,FALSE)</f>
        <v>N</v>
      </c>
      <c r="R725" s="4" t="str">
        <f>VLOOKUP($B725,'D7 - NDB Impacted SPRF''s'!$E$16:$O$9929,11,FALSE)</f>
        <v>N</v>
      </c>
      <c r="S725" s="8"/>
      <c r="T725" s="310"/>
      <c r="U725" s="310"/>
      <c r="V725" s="4"/>
      <c r="W725" s="4"/>
      <c r="X725" s="4"/>
      <c r="Y725" s="4"/>
      <c r="Z725" s="4"/>
      <c r="AA725" s="4"/>
      <c r="AB725" s="380" t="str">
        <f>VLOOKUP($B725,'D7 - NDB Impacted SPRF''s'!$E$16:$O$9929,4,FALSE)</f>
        <v>Completed</v>
      </c>
      <c r="AC725" s="380" t="str">
        <f>VLOOKUP($B725,'D7 - NDB Impacted SPRF''s'!$E$16:$O$9929,3,FALSE)</f>
        <v>UnitedHealthcare Employer &amp; Individual</v>
      </c>
      <c r="AD725" s="380" t="str">
        <f>VLOOKUP($B725,'D7 - NDB Impacted SPRF''s'!$E$16:$O$9929,5,FALSE)</f>
        <v>Network Growth / Enhancements</v>
      </c>
      <c r="AE725" s="380" t="str">
        <f>VLOOKUP($B725,'D7 - NDB Impacted SPRF''s'!$E$16:$O$9929,7,FALSE)</f>
        <v>Ed Novinski</v>
      </c>
      <c r="AF725" s="380" t="str">
        <f>VLOOKUP($B725,'D7 - NDB Impacted SPRF''s'!$E$16:$O$9929,6,FALSE)</f>
        <v>JOSHUA WOODRUM</v>
      </c>
      <c r="AG725" s="282"/>
      <c r="AH725" s="311" t="e">
        <f>INDEX('D5 - Gatekeeper - Projects'!$A$4:$AF$1010,$AM725, 17)</f>
        <v>#N/A</v>
      </c>
      <c r="AI725" s="8"/>
      <c r="AJ725" s="57"/>
      <c r="AK725" s="105"/>
      <c r="AM725" s="6" t="e">
        <f>MATCH(D725,'D5 - Gatekeeper - Projects'!$C$4:$C$1010,0)</f>
        <v>#N/A</v>
      </c>
      <c r="AN725" s="6" t="b">
        <f t="shared" si="67"/>
        <v>1</v>
      </c>
      <c r="AO725" s="6" t="str">
        <f t="shared" si="70"/>
        <v>OK</v>
      </c>
      <c r="AQ725" s="6" t="e">
        <f>MATCH($D725,'D4 - Provider Council Unsched'!$C$11:$C$234,0)</f>
        <v>#N/A</v>
      </c>
      <c r="AR725" s="6" t="b">
        <f t="shared" si="68"/>
        <v>1</v>
      </c>
      <c r="AS725" s="6" t="str">
        <f t="shared" si="71"/>
        <v>OK</v>
      </c>
      <c r="AU725" s="202"/>
      <c r="AV725" s="262"/>
      <c r="AW725" s="274"/>
    </row>
    <row r="726" spans="1:49" s="13" customFormat="1" ht="33.75" x14ac:dyDescent="0.2">
      <c r="A726" s="14">
        <v>702</v>
      </c>
      <c r="B726" s="14">
        <v>400016769</v>
      </c>
      <c r="C726" s="8" t="s">
        <v>5197</v>
      </c>
      <c r="D726" s="4" t="str">
        <f t="shared" si="69"/>
        <v>400016769R1</v>
      </c>
      <c r="E726" s="309" t="str">
        <f>VLOOKUP($B726,'D7 - NDB Impacted SPRF''s'!$E$6:$O$9929,2,FALSE)</f>
        <v>HEDIS 2007 Provider Measure</v>
      </c>
      <c r="F726" s="8" t="s">
        <v>2114</v>
      </c>
      <c r="G726" s="8" t="s">
        <v>4758</v>
      </c>
      <c r="H726" s="8" t="s">
        <v>4246</v>
      </c>
      <c r="I726" s="20">
        <v>1.07</v>
      </c>
      <c r="J726" s="8" t="s">
        <v>4862</v>
      </c>
      <c r="K726" s="182">
        <v>39193</v>
      </c>
      <c r="L726" s="8" t="s">
        <v>5743</v>
      </c>
      <c r="M726" s="8" t="s">
        <v>6007</v>
      </c>
      <c r="N726" s="38"/>
      <c r="O726" s="8"/>
      <c r="P726" s="4" t="str">
        <f>VLOOKUP($B726,'D7 - NDB Impacted SPRF''s'!$E$16:$O$9929,9,FALSE)</f>
        <v>N</v>
      </c>
      <c r="Q726" s="4" t="str">
        <f>VLOOKUP($B726,'D7 - NDB Impacted SPRF''s'!$E$16:$O$9929,10,FALSE)</f>
        <v>N</v>
      </c>
      <c r="R726" s="4" t="str">
        <f>VLOOKUP($B726,'D7 - NDB Impacted SPRF''s'!$E$16:$O$9929,11,FALSE)</f>
        <v>N</v>
      </c>
      <c r="S726" s="8"/>
      <c r="T726" s="310"/>
      <c r="U726" s="310"/>
      <c r="V726" s="4"/>
      <c r="W726" s="4"/>
      <c r="X726" s="4"/>
      <c r="Y726" s="4"/>
      <c r="Z726" s="4"/>
      <c r="AA726" s="4"/>
      <c r="AB726" s="380" t="str">
        <f>VLOOKUP($B726,'D7 - NDB Impacted SPRF''s'!$E$16:$O$9929,4,FALSE)</f>
        <v>Completed</v>
      </c>
      <c r="AC726" s="380" t="str">
        <f>VLOOKUP($B726,'D7 - NDB Impacted SPRF''s'!$E$16:$O$9929,3,FALSE)</f>
        <v>UnitedHealthcare Employer &amp; Individual</v>
      </c>
      <c r="AD726" s="380" t="str">
        <f>VLOOKUP($B726,'D7 - NDB Impacted SPRF''s'!$E$16:$O$9929,5,FALSE)</f>
        <v>Regulatory / Other</v>
      </c>
      <c r="AE726" s="380" t="str">
        <f>VLOOKUP($B726,'D7 - NDB Impacted SPRF''s'!$E$16:$O$9929,7,FALSE)</f>
        <v>Michael Curran</v>
      </c>
      <c r="AF726" s="380" t="str">
        <f>VLOOKUP($B726,'D7 - NDB Impacted SPRF''s'!$E$16:$O$9929,6,FALSE)</f>
        <v>Bertram Janet</v>
      </c>
      <c r="AG726" s="282"/>
      <c r="AH726" s="311" t="e">
        <f>INDEX('D5 - Gatekeeper - Projects'!$A$4:$AF$1010,$AM726, 17)</f>
        <v>#N/A</v>
      </c>
      <c r="AI726" s="8"/>
      <c r="AJ726" s="57"/>
      <c r="AK726" s="57"/>
      <c r="AM726" s="6" t="e">
        <f>MATCH(D726,'D5 - Gatekeeper - Projects'!$C$4:$C$1010,0)</f>
        <v>#N/A</v>
      </c>
      <c r="AN726" s="6" t="b">
        <f t="shared" si="67"/>
        <v>1</v>
      </c>
      <c r="AO726" s="6" t="str">
        <f t="shared" si="70"/>
        <v>OK</v>
      </c>
      <c r="AQ726" s="6" t="e">
        <f>MATCH($D726,'D4 - Provider Council Unsched'!$C$11:$C$234,0)</f>
        <v>#N/A</v>
      </c>
      <c r="AR726" s="6" t="b">
        <f t="shared" si="68"/>
        <v>1</v>
      </c>
      <c r="AS726" s="6" t="str">
        <f t="shared" si="71"/>
        <v>OK</v>
      </c>
      <c r="AU726" s="202"/>
      <c r="AV726" s="262"/>
      <c r="AW726" s="274"/>
    </row>
    <row r="727" spans="1:49" s="13" customFormat="1" x14ac:dyDescent="0.2">
      <c r="A727" s="14">
        <v>703</v>
      </c>
      <c r="B727" s="14">
        <v>400016775</v>
      </c>
      <c r="C727" s="8" t="s">
        <v>5197</v>
      </c>
      <c r="D727" s="4" t="str">
        <f t="shared" si="69"/>
        <v>400016775R1</v>
      </c>
      <c r="E727" s="309" t="str">
        <f>VLOOKUP($B727,'D7 - NDB Impacted SPRF''s'!$E$6:$O$9929,2,FALSE)</f>
        <v>Integrated Testing Environments Phase 2 Analysis</v>
      </c>
      <c r="F727" s="8" t="s">
        <v>2114</v>
      </c>
      <c r="G727" s="8" t="s">
        <v>4758</v>
      </c>
      <c r="H727" s="8" t="s">
        <v>4246</v>
      </c>
      <c r="I727" s="20">
        <v>1.6</v>
      </c>
      <c r="J727" s="8" t="s">
        <v>4862</v>
      </c>
      <c r="K727" s="182">
        <v>39193</v>
      </c>
      <c r="L727" s="8" t="s">
        <v>5743</v>
      </c>
      <c r="M727" s="8" t="s">
        <v>6688</v>
      </c>
      <c r="N727" s="38"/>
      <c r="O727" s="8"/>
      <c r="P727" s="4" t="str">
        <f>VLOOKUP($B727,'D7 - NDB Impacted SPRF''s'!$E$16:$O$9929,9,FALSE)</f>
        <v>Y</v>
      </c>
      <c r="Q727" s="4" t="str">
        <f>VLOOKUP($B727,'D7 - NDB Impacted SPRF''s'!$E$16:$O$9929,10,FALSE)</f>
        <v>N</v>
      </c>
      <c r="R727" s="4" t="str">
        <f>VLOOKUP($B727,'D7 - NDB Impacted SPRF''s'!$E$16:$O$9929,11,FALSE)</f>
        <v>N</v>
      </c>
      <c r="S727" s="8"/>
      <c r="T727" s="310"/>
      <c r="U727" s="310"/>
      <c r="V727" s="4"/>
      <c r="W727" s="4"/>
      <c r="X727" s="4"/>
      <c r="Y727" s="4"/>
      <c r="Z727" s="4"/>
      <c r="AA727" s="4"/>
      <c r="AB727" s="380" t="str">
        <f>VLOOKUP($B727,'D7 - NDB Impacted SPRF''s'!$E$16:$O$9929,4,FALSE)</f>
        <v>Completed</v>
      </c>
      <c r="AC727" s="380" t="str">
        <f>VLOOKUP($B727,'D7 - NDB Impacted SPRF''s'!$E$16:$O$9929,3,FALSE)</f>
        <v>Uniprise</v>
      </c>
      <c r="AD727" s="380" t="str">
        <f>VLOOKUP($B727,'D7 - NDB Impacted SPRF''s'!$E$16:$O$9929,5,FALSE)</f>
        <v>Uniprise Technologies - DDC</v>
      </c>
      <c r="AE727" s="380" t="str">
        <f>VLOOKUP($B727,'D7 - NDB Impacted SPRF''s'!$E$16:$O$9929,7,FALSE)</f>
        <v>John Doddy</v>
      </c>
      <c r="AF727" s="380" t="str">
        <f>VLOOKUP($B727,'D7 - NDB Impacted SPRF''s'!$E$16:$O$9929,6,FALSE)</f>
        <v>colleen meagher</v>
      </c>
      <c r="AG727" s="282"/>
      <c r="AH727" s="311" t="e">
        <f>INDEX('D5 - Gatekeeper - Projects'!$A$4:$AF$1010,$AM727, 17)</f>
        <v>#N/A</v>
      </c>
      <c r="AI727" s="8"/>
      <c r="AJ727" s="57"/>
      <c r="AK727" s="105"/>
      <c r="AM727" s="6" t="e">
        <f>MATCH(D727,'D5 - Gatekeeper - Projects'!$C$4:$C$1010,0)</f>
        <v>#N/A</v>
      </c>
      <c r="AN727" s="6" t="b">
        <f t="shared" si="67"/>
        <v>1</v>
      </c>
      <c r="AO727" s="6" t="str">
        <f t="shared" si="70"/>
        <v>OK</v>
      </c>
      <c r="AQ727" s="6" t="e">
        <f>MATCH($D727,'D4 - Provider Council Unsched'!$C$11:$C$234,0)</f>
        <v>#N/A</v>
      </c>
      <c r="AR727" s="6" t="b">
        <f t="shared" si="68"/>
        <v>1</v>
      </c>
      <c r="AS727" s="6" t="str">
        <f t="shared" si="71"/>
        <v>OK</v>
      </c>
      <c r="AU727" s="202"/>
      <c r="AV727" s="262"/>
      <c r="AW727" s="274"/>
    </row>
    <row r="728" spans="1:49" s="13" customFormat="1" ht="33.75" x14ac:dyDescent="0.2">
      <c r="A728" s="14">
        <v>704</v>
      </c>
      <c r="B728" s="14">
        <v>400016847</v>
      </c>
      <c r="C728" s="8" t="s">
        <v>5197</v>
      </c>
      <c r="D728" s="4" t="str">
        <f t="shared" si="69"/>
        <v>400016847R1</v>
      </c>
      <c r="E728" s="309" t="str">
        <f>VLOOKUP($B728,'D7 - NDB Impacted SPRF''s'!$E$6:$O$9929,2,FALSE)</f>
        <v>Fee Schedule: Parent/Child One Shot</v>
      </c>
      <c r="F728" s="8" t="s">
        <v>2114</v>
      </c>
      <c r="G728" s="8" t="s">
        <v>4758</v>
      </c>
      <c r="H728" s="8" t="s">
        <v>4246</v>
      </c>
      <c r="I728" s="20">
        <v>1.07</v>
      </c>
      <c r="J728" s="8" t="s">
        <v>4862</v>
      </c>
      <c r="K728" s="182">
        <v>39193</v>
      </c>
      <c r="L728" s="8" t="s">
        <v>5743</v>
      </c>
      <c r="M728" s="8" t="s">
        <v>6007</v>
      </c>
      <c r="N728" s="38"/>
      <c r="O728" s="8"/>
      <c r="P728" s="4" t="str">
        <f>VLOOKUP($B728,'D7 - NDB Impacted SPRF''s'!$E$16:$O$9929,9,FALSE)</f>
        <v>N</v>
      </c>
      <c r="Q728" s="4" t="str">
        <f>VLOOKUP($B728,'D7 - NDB Impacted SPRF''s'!$E$16:$O$9929,10,FALSE)</f>
        <v>N</v>
      </c>
      <c r="R728" s="4" t="str">
        <f>VLOOKUP($B728,'D7 - NDB Impacted SPRF''s'!$E$16:$O$9929,11,FALSE)</f>
        <v>Y</v>
      </c>
      <c r="S728" s="8"/>
      <c r="T728" s="310"/>
      <c r="U728" s="310"/>
      <c r="V728" s="4"/>
      <c r="W728" s="4"/>
      <c r="X728" s="4"/>
      <c r="Y728" s="4"/>
      <c r="Z728" s="4"/>
      <c r="AA728" s="4"/>
      <c r="AB728" s="380" t="str">
        <f>VLOOKUP($B728,'D7 - NDB Impacted SPRF''s'!$E$16:$O$9929,4,FALSE)</f>
        <v>Completed</v>
      </c>
      <c r="AC728" s="380" t="str">
        <f>VLOOKUP($B728,'D7 - NDB Impacted SPRF''s'!$E$16:$O$9929,3,FALSE)</f>
        <v>UnitedHealthcare Employer &amp; Individual</v>
      </c>
      <c r="AD728" s="380" t="str">
        <f>VLOOKUP($B728,'D7 - NDB Impacted SPRF''s'!$E$16:$O$9929,5,FALSE)</f>
        <v>Network Growth / Enhancements</v>
      </c>
      <c r="AE728" s="380" t="str">
        <f>VLOOKUP($B728,'D7 - NDB Impacted SPRF''s'!$E$16:$O$9929,7,FALSE)</f>
        <v>Carol Pennington</v>
      </c>
      <c r="AF728" s="380" t="str">
        <f>VLOOKUP($B728,'D7 - NDB Impacted SPRF''s'!$E$16:$O$9929,6,FALSE)</f>
        <v>JOHN HIEBERT</v>
      </c>
      <c r="AG728" s="282"/>
      <c r="AH728" s="311" t="e">
        <f>INDEX('D5 - Gatekeeper - Projects'!$A$4:$AF$1010,$AM728, 17)</f>
        <v>#N/A</v>
      </c>
      <c r="AI728" s="8"/>
      <c r="AJ728" s="57"/>
      <c r="AK728" s="105"/>
      <c r="AM728" s="6" t="e">
        <f>MATCH(D728,'D5 - Gatekeeper - Projects'!$C$4:$C$1010,0)</f>
        <v>#N/A</v>
      </c>
      <c r="AN728" s="6" t="b">
        <f t="shared" si="67"/>
        <v>1</v>
      </c>
      <c r="AO728" s="6" t="str">
        <f t="shared" si="70"/>
        <v>OK</v>
      </c>
      <c r="AQ728" s="6" t="e">
        <f>MATCH($D728,'D4 - Provider Council Unsched'!$C$11:$C$234,0)</f>
        <v>#N/A</v>
      </c>
      <c r="AR728" s="6" t="b">
        <f t="shared" si="68"/>
        <v>1</v>
      </c>
      <c r="AS728" s="6" t="str">
        <f t="shared" si="71"/>
        <v>OK</v>
      </c>
      <c r="AU728" s="202"/>
      <c r="AV728" s="262"/>
      <c r="AW728" s="274"/>
    </row>
    <row r="729" spans="1:49" s="13" customFormat="1" ht="33.75" x14ac:dyDescent="0.2">
      <c r="A729" s="14">
        <v>705</v>
      </c>
      <c r="B729" s="14">
        <v>400016879</v>
      </c>
      <c r="C729" s="8" t="s">
        <v>6581</v>
      </c>
      <c r="D729" s="4" t="str">
        <f t="shared" si="69"/>
        <v>400016879L1</v>
      </c>
      <c r="E729" s="309" t="str">
        <f>VLOOKUP($B729,'D7 - NDB Impacted SPRF''s'!$E$6:$O$9929,2,FALSE)</f>
        <v>EPDE for NGRC</v>
      </c>
      <c r="F729" s="8" t="s">
        <v>2114</v>
      </c>
      <c r="G729" s="8" t="s">
        <v>4758</v>
      </c>
      <c r="H729" s="8" t="s">
        <v>4246</v>
      </c>
      <c r="I729" s="20">
        <v>0.27</v>
      </c>
      <c r="J729" s="8" t="s">
        <v>4862</v>
      </c>
      <c r="K729" s="182">
        <v>39193</v>
      </c>
      <c r="L729" s="8" t="s">
        <v>5743</v>
      </c>
      <c r="M729" s="8" t="s">
        <v>6007</v>
      </c>
      <c r="N729" s="38"/>
      <c r="O729" s="8"/>
      <c r="P729" s="4" t="str">
        <f>VLOOKUP($B729,'D7 - NDB Impacted SPRF''s'!$E$16:$O$9929,9,FALSE)</f>
        <v>N</v>
      </c>
      <c r="Q729" s="4" t="str">
        <f>VLOOKUP($B729,'D7 - NDB Impacted SPRF''s'!$E$16:$O$9929,10,FALSE)</f>
        <v>N</v>
      </c>
      <c r="R729" s="4" t="str">
        <f>VLOOKUP($B729,'D7 - NDB Impacted SPRF''s'!$E$16:$O$9929,11,FALSE)</f>
        <v>N</v>
      </c>
      <c r="S729" s="8"/>
      <c r="T729" s="310"/>
      <c r="U729" s="310"/>
      <c r="V729" s="4"/>
      <c r="W729" s="4"/>
      <c r="X729" s="4"/>
      <c r="Y729" s="4"/>
      <c r="Z729" s="4"/>
      <c r="AA729" s="4"/>
      <c r="AB729" s="380" t="str">
        <f>VLOOKUP($B729,'D7 - NDB Impacted SPRF''s'!$E$16:$O$9929,4,FALSE)</f>
        <v>Completed</v>
      </c>
      <c r="AC729" s="380" t="str">
        <f>VLOOKUP($B729,'D7 - NDB Impacted SPRF''s'!$E$16:$O$9929,3,FALSE)</f>
        <v>UnitedHealthcare Employer &amp; Individual</v>
      </c>
      <c r="AD729" s="380" t="str">
        <f>VLOOKUP($B729,'D7 - NDB Impacted SPRF''s'!$E$16:$O$9929,5,FALSE)</f>
        <v>Network Growth / Enhancements</v>
      </c>
      <c r="AE729" s="380" t="str">
        <f>VLOOKUP($B729,'D7 - NDB Impacted SPRF''s'!$E$16:$O$9929,7,FALSE)</f>
        <v>Charles Jacoby</v>
      </c>
      <c r="AF729" s="380" t="str">
        <f>VLOOKUP($B729,'D7 - NDB Impacted SPRF''s'!$E$16:$O$9929,6,FALSE)</f>
        <v>RYAN VASKE</v>
      </c>
      <c r="AG729" s="282"/>
      <c r="AH729" s="311" t="e">
        <f>INDEX('D5 - Gatekeeper - Projects'!$A$4:$AF$1010,$AM729, 17)</f>
        <v>#N/A</v>
      </c>
      <c r="AI729" s="8"/>
      <c r="AJ729" s="57"/>
      <c r="AK729" s="105"/>
      <c r="AM729" s="6" t="e">
        <f>MATCH(D729,'D5 - Gatekeeper - Projects'!$C$4:$C$1010,0)</f>
        <v>#N/A</v>
      </c>
      <c r="AN729" s="6" t="b">
        <f t="shared" si="67"/>
        <v>1</v>
      </c>
      <c r="AO729" s="6" t="str">
        <f t="shared" si="70"/>
        <v>OK</v>
      </c>
      <c r="AQ729" s="6" t="e">
        <f>MATCH($D729,'D4 - Provider Council Unsched'!$C$11:$C$234,0)</f>
        <v>#N/A</v>
      </c>
      <c r="AR729" s="6" t="b">
        <f t="shared" si="68"/>
        <v>1</v>
      </c>
      <c r="AS729" s="6" t="str">
        <f t="shared" si="71"/>
        <v>OK</v>
      </c>
      <c r="AU729" s="202"/>
      <c r="AV729" s="262"/>
      <c r="AW729" s="274"/>
    </row>
    <row r="730" spans="1:49" s="13" customFormat="1" ht="33.75" x14ac:dyDescent="0.2">
      <c r="A730" s="14">
        <v>706</v>
      </c>
      <c r="B730" s="14">
        <v>400017123</v>
      </c>
      <c r="C730" s="8" t="s">
        <v>5197</v>
      </c>
      <c r="D730" s="4" t="str">
        <f t="shared" si="69"/>
        <v>400017123R1</v>
      </c>
      <c r="E730" s="309" t="str">
        <f>VLOOKUP($B730,'D7 - NDB Impacted SPRF''s'!$E$6:$O$9929,2,FALSE)</f>
        <v>Fee Schedule: MNRP Fix</v>
      </c>
      <c r="F730" s="8" t="s">
        <v>2114</v>
      </c>
      <c r="G730" s="8" t="s">
        <v>4758</v>
      </c>
      <c r="H730" s="8" t="s">
        <v>4246</v>
      </c>
      <c r="I730" s="20">
        <v>1.07</v>
      </c>
      <c r="J730" s="8" t="s">
        <v>4862</v>
      </c>
      <c r="K730" s="182">
        <v>39193</v>
      </c>
      <c r="L730" s="8" t="s">
        <v>5743</v>
      </c>
      <c r="M730" s="8" t="s">
        <v>6007</v>
      </c>
      <c r="N730" s="38"/>
      <c r="O730" s="8"/>
      <c r="P730" s="4" t="str">
        <f>VLOOKUP($B730,'D7 - NDB Impacted SPRF''s'!$E$16:$O$9929,9,FALSE)</f>
        <v>N</v>
      </c>
      <c r="Q730" s="4" t="str">
        <f>VLOOKUP($B730,'D7 - NDB Impacted SPRF''s'!$E$16:$O$9929,10,FALSE)</f>
        <v>N</v>
      </c>
      <c r="R730" s="4" t="str">
        <f>VLOOKUP($B730,'D7 - NDB Impacted SPRF''s'!$E$16:$O$9929,11,FALSE)</f>
        <v>N</v>
      </c>
      <c r="S730" s="8"/>
      <c r="T730" s="310"/>
      <c r="U730" s="310"/>
      <c r="V730" s="4"/>
      <c r="W730" s="4"/>
      <c r="X730" s="4"/>
      <c r="Y730" s="4"/>
      <c r="Z730" s="4"/>
      <c r="AA730" s="4"/>
      <c r="AB730" s="380" t="str">
        <f>VLOOKUP($B730,'D7 - NDB Impacted SPRF''s'!$E$16:$O$9929,4,FALSE)</f>
        <v>Completed</v>
      </c>
      <c r="AC730" s="380" t="str">
        <f>VLOOKUP($B730,'D7 - NDB Impacted SPRF''s'!$E$16:$O$9929,3,FALSE)</f>
        <v>UnitedHealthcare Employer &amp; Individual</v>
      </c>
      <c r="AD730" s="380" t="str">
        <f>VLOOKUP($B730,'D7 - NDB Impacted SPRF''s'!$E$16:$O$9929,5,FALSE)</f>
        <v>Network Growth / Enhancements</v>
      </c>
      <c r="AE730" s="380" t="str">
        <f>VLOOKUP($B730,'D7 - NDB Impacted SPRF''s'!$E$16:$O$9929,7,FALSE)</f>
        <v>Carol Pennington</v>
      </c>
      <c r="AF730" s="380" t="str">
        <f>VLOOKUP($B730,'D7 - NDB Impacted SPRF''s'!$E$16:$O$9929,6,FALSE)</f>
        <v>JOHN HIEBERT</v>
      </c>
      <c r="AG730" s="282"/>
      <c r="AH730" s="311" t="e">
        <f>INDEX('D5 - Gatekeeper - Projects'!$A$4:$AF$1010,$AM730, 17)</f>
        <v>#N/A</v>
      </c>
      <c r="AI730" s="8"/>
      <c r="AJ730" s="57"/>
      <c r="AK730" s="105"/>
      <c r="AM730" s="6" t="e">
        <f>MATCH(D730,'D5 - Gatekeeper - Projects'!$C$4:$C$1010,0)</f>
        <v>#N/A</v>
      </c>
      <c r="AN730" s="6" t="b">
        <f t="shared" si="67"/>
        <v>1</v>
      </c>
      <c r="AO730" s="6" t="str">
        <f t="shared" si="70"/>
        <v>OK</v>
      </c>
      <c r="AQ730" s="6" t="e">
        <f>MATCH($D730,'D4 - Provider Council Unsched'!$C$11:$C$234,0)</f>
        <v>#N/A</v>
      </c>
      <c r="AR730" s="6" t="b">
        <f t="shared" si="68"/>
        <v>1</v>
      </c>
      <c r="AS730" s="6" t="str">
        <f t="shared" si="71"/>
        <v>OK</v>
      </c>
      <c r="AU730" s="202"/>
      <c r="AV730" s="262"/>
      <c r="AW730" s="274"/>
    </row>
    <row r="731" spans="1:49" s="13" customFormat="1" ht="33.75" x14ac:dyDescent="0.2">
      <c r="A731" s="14">
        <v>707</v>
      </c>
      <c r="B731" s="14">
        <v>400017138</v>
      </c>
      <c r="C731" s="8" t="s">
        <v>5197</v>
      </c>
      <c r="D731" s="4" t="str">
        <f t="shared" si="69"/>
        <v>400017138R1</v>
      </c>
      <c r="E731" s="309" t="str">
        <f>VLOOKUP($B731,'D7 - NDB Impacted SPRF''s'!$E$6:$O$9929,2,FALSE)</f>
        <v>PPI Facility Rate Feed Enhancement for Nat Anc</v>
      </c>
      <c r="F731" s="8" t="s">
        <v>2114</v>
      </c>
      <c r="G731" s="8" t="s">
        <v>4758</v>
      </c>
      <c r="H731" s="8" t="s">
        <v>4246</v>
      </c>
      <c r="I731" s="20">
        <v>1.55</v>
      </c>
      <c r="J731" s="8" t="s">
        <v>4862</v>
      </c>
      <c r="K731" s="182">
        <v>39193</v>
      </c>
      <c r="L731" s="8" t="s">
        <v>5743</v>
      </c>
      <c r="M731" s="8" t="s">
        <v>2814</v>
      </c>
      <c r="N731" s="38" t="s">
        <v>4702</v>
      </c>
      <c r="O731" s="8"/>
      <c r="P731" s="4" t="str">
        <f>VLOOKUP($B731,'D7 - NDB Impacted SPRF''s'!$E$16:$O$9929,9,FALSE)</f>
        <v>Y</v>
      </c>
      <c r="Q731" s="4" t="str">
        <f>VLOOKUP($B731,'D7 - NDB Impacted SPRF''s'!$E$16:$O$9929,10,FALSE)</f>
        <v>N</v>
      </c>
      <c r="R731" s="4" t="str">
        <f>VLOOKUP($B731,'D7 - NDB Impacted SPRF''s'!$E$16:$O$9929,11,FALSE)</f>
        <v>N</v>
      </c>
      <c r="S731" s="8"/>
      <c r="T731" s="310"/>
      <c r="U731" s="310"/>
      <c r="V731" s="4"/>
      <c r="W731" s="4"/>
      <c r="X731" s="4"/>
      <c r="Y731" s="4"/>
      <c r="Z731" s="4"/>
      <c r="AA731" s="4"/>
      <c r="AB731" s="380" t="str">
        <f>VLOOKUP($B731,'D7 - NDB Impacted SPRF''s'!$E$16:$O$9929,4,FALSE)</f>
        <v>Completed</v>
      </c>
      <c r="AC731" s="380" t="str">
        <f>VLOOKUP($B731,'D7 - NDB Impacted SPRF''s'!$E$16:$O$9929,3,FALSE)</f>
        <v>UnitedHealthcare Employer &amp; Individual</v>
      </c>
      <c r="AD731" s="380" t="str">
        <f>VLOOKUP($B731,'D7 - NDB Impacted SPRF''s'!$E$16:$O$9929,5,FALSE)</f>
        <v>Medical Cost Savings Programs</v>
      </c>
      <c r="AE731" s="380" t="str">
        <f>VLOOKUP($B731,'D7 - NDB Impacted SPRF''s'!$E$16:$O$9929,7,FALSE)</f>
        <v xml:space="preserve">Matt Guisinger </v>
      </c>
      <c r="AF731" s="380" t="str">
        <f>VLOOKUP($B731,'D7 - NDB Impacted SPRF''s'!$E$16:$O$9929,6,FALSE)</f>
        <v>PENNINGTON CAROL</v>
      </c>
      <c r="AG731" s="282"/>
      <c r="AH731" s="311" t="e">
        <f>INDEX('D5 - Gatekeeper - Projects'!$A$4:$AF$1010,$AM731, 17)</f>
        <v>#N/A</v>
      </c>
      <c r="AI731" s="8"/>
      <c r="AJ731" s="57"/>
      <c r="AK731" s="105"/>
      <c r="AM731" s="6" t="e">
        <f>MATCH(D731,'D5 - Gatekeeper - Projects'!$C$4:$C$1010,0)</f>
        <v>#N/A</v>
      </c>
      <c r="AN731" s="6" t="b">
        <f t="shared" si="67"/>
        <v>1</v>
      </c>
      <c r="AO731" s="6" t="str">
        <f t="shared" si="70"/>
        <v>OK</v>
      </c>
      <c r="AQ731" s="6" t="e">
        <f>MATCH($D731,'D4 - Provider Council Unsched'!$C$11:$C$234,0)</f>
        <v>#N/A</v>
      </c>
      <c r="AR731" s="6" t="b">
        <f t="shared" si="68"/>
        <v>1</v>
      </c>
      <c r="AS731" s="6" t="str">
        <f t="shared" si="71"/>
        <v>OK</v>
      </c>
      <c r="AU731" s="202"/>
      <c r="AV731" s="262"/>
      <c r="AW731" s="274"/>
    </row>
    <row r="732" spans="1:49" s="13" customFormat="1" ht="22.5" x14ac:dyDescent="0.2">
      <c r="A732" s="14">
        <v>708</v>
      </c>
      <c r="B732" s="14">
        <v>400017888</v>
      </c>
      <c r="C732" s="8" t="s">
        <v>5197</v>
      </c>
      <c r="D732" s="4" t="str">
        <f t="shared" si="69"/>
        <v>400017888R1</v>
      </c>
      <c r="E732" s="309" t="str">
        <f>VLOOKUP($B732,'D7 - NDB Impacted SPRF''s'!$E$6:$O$9929,2,FALSE)</f>
        <v>Extract 835 from NDB</v>
      </c>
      <c r="F732" s="8" t="s">
        <v>2114</v>
      </c>
      <c r="G732" s="8" t="s">
        <v>4758</v>
      </c>
      <c r="H732" s="8" t="s">
        <v>4246</v>
      </c>
      <c r="I732" s="20">
        <v>1.07</v>
      </c>
      <c r="J732" s="8" t="s">
        <v>4862</v>
      </c>
      <c r="K732" s="182">
        <v>39193</v>
      </c>
      <c r="L732" s="8" t="s">
        <v>5743</v>
      </c>
      <c r="M732" s="8" t="s">
        <v>6007</v>
      </c>
      <c r="N732" s="38"/>
      <c r="O732" s="8"/>
      <c r="P732" s="4" t="str">
        <f>VLOOKUP($B732,'D7 - NDB Impacted SPRF''s'!$E$16:$O$9929,9,FALSE)</f>
        <v>N</v>
      </c>
      <c r="Q732" s="4" t="str">
        <f>VLOOKUP($B732,'D7 - NDB Impacted SPRF''s'!$E$16:$O$9929,10,FALSE)</f>
        <v>N</v>
      </c>
      <c r="R732" s="4" t="str">
        <f>VLOOKUP($B732,'D7 - NDB Impacted SPRF''s'!$E$16:$O$9929,11,FALSE)</f>
        <v>N</v>
      </c>
      <c r="S732" s="8"/>
      <c r="T732" s="310"/>
      <c r="U732" s="310"/>
      <c r="V732" s="4"/>
      <c r="W732" s="4"/>
      <c r="X732" s="4"/>
      <c r="Y732" s="4"/>
      <c r="Z732" s="4"/>
      <c r="AA732" s="4"/>
      <c r="AB732" s="380" t="str">
        <f>VLOOKUP($B732,'D7 - NDB Impacted SPRF''s'!$E$16:$O$9929,4,FALSE)</f>
        <v>Completed</v>
      </c>
      <c r="AC732" s="380" t="str">
        <f>VLOOKUP($B732,'D7 - NDB Impacted SPRF''s'!$E$16:$O$9929,3,FALSE)</f>
        <v>OptumInsight</v>
      </c>
      <c r="AD732" s="380" t="str">
        <f>VLOOKUP($B732,'D7 - NDB Impacted SPRF''s'!$E$16:$O$9929,5,FALSE)</f>
        <v>Ingenix</v>
      </c>
      <c r="AE732" s="380" t="str">
        <f>VLOOKUP($B732,'D7 - NDB Impacted SPRF''s'!$E$16:$O$9929,7,FALSE)</f>
        <v>AMY HINRICHS</v>
      </c>
      <c r="AF732" s="380" t="str">
        <f>VLOOKUP($B732,'D7 - NDB Impacted SPRF''s'!$E$16:$O$9929,6,FALSE)</f>
        <v>Deepa Ramanathen</v>
      </c>
      <c r="AG732" s="282"/>
      <c r="AH732" s="311" t="e">
        <f>INDEX('D5 - Gatekeeper - Projects'!$A$4:$AF$1010,$AM732, 17)</f>
        <v>#N/A</v>
      </c>
      <c r="AI732" s="8"/>
      <c r="AJ732" s="57"/>
      <c r="AK732" s="105"/>
      <c r="AM732" s="6" t="e">
        <f>MATCH(D732,'D5 - Gatekeeper - Projects'!$C$4:$C$1010,0)</f>
        <v>#N/A</v>
      </c>
      <c r="AN732" s="6" t="b">
        <f t="shared" si="67"/>
        <v>1</v>
      </c>
      <c r="AO732" s="6" t="str">
        <f t="shared" si="70"/>
        <v>OK</v>
      </c>
      <c r="AQ732" s="6" t="e">
        <f>MATCH($D732,'D4 - Provider Council Unsched'!$C$11:$C$234,0)</f>
        <v>#N/A</v>
      </c>
      <c r="AR732" s="6" t="b">
        <f t="shared" si="68"/>
        <v>1</v>
      </c>
      <c r="AS732" s="6" t="str">
        <f t="shared" si="71"/>
        <v>OK</v>
      </c>
      <c r="AU732" s="202"/>
      <c r="AV732" s="262"/>
      <c r="AW732" s="274"/>
    </row>
    <row r="733" spans="1:49" s="13" customFormat="1" ht="33.75" x14ac:dyDescent="0.2">
      <c r="A733" s="14">
        <v>709</v>
      </c>
      <c r="B733" s="14">
        <v>400018270</v>
      </c>
      <c r="C733" s="8" t="s">
        <v>5197</v>
      </c>
      <c r="D733" s="4" t="str">
        <f t="shared" si="69"/>
        <v>400018270R1</v>
      </c>
      <c r="E733" s="309" t="str">
        <f>VLOOKUP($B733,'D7 - NDB Impacted SPRF''s'!$E$6:$O$9929,2,FALSE)</f>
        <v>Harrington/Benesight Repricing - HCFAs</v>
      </c>
      <c r="F733" s="8" t="s">
        <v>4304</v>
      </c>
      <c r="G733" s="8" t="s">
        <v>4758</v>
      </c>
      <c r="H733" s="8" t="s">
        <v>4246</v>
      </c>
      <c r="I733" s="20">
        <v>1</v>
      </c>
      <c r="J733" s="8" t="s">
        <v>4862</v>
      </c>
      <c r="K733" s="182">
        <v>39193</v>
      </c>
      <c r="L733" s="8" t="s">
        <v>5743</v>
      </c>
      <c r="M733" s="8" t="s">
        <v>5626</v>
      </c>
      <c r="N733" s="38"/>
      <c r="O733" s="8"/>
      <c r="P733" s="4" t="str">
        <f>VLOOKUP($B733,'D7 - NDB Impacted SPRF''s'!$E$16:$O$9929,9,FALSE)</f>
        <v>N</v>
      </c>
      <c r="Q733" s="4" t="str">
        <f>VLOOKUP($B733,'D7 - NDB Impacted SPRF''s'!$E$16:$O$9929,10,FALSE)</f>
        <v>N</v>
      </c>
      <c r="R733" s="4" t="str">
        <f>VLOOKUP($B733,'D7 - NDB Impacted SPRF''s'!$E$16:$O$9929,11,FALSE)</f>
        <v>Y</v>
      </c>
      <c r="S733" s="8"/>
      <c r="T733" s="310"/>
      <c r="U733" s="310"/>
      <c r="V733" s="4"/>
      <c r="W733" s="4"/>
      <c r="X733" s="4"/>
      <c r="Y733" s="4"/>
      <c r="Z733" s="4"/>
      <c r="AA733" s="4"/>
      <c r="AB733" s="380" t="str">
        <f>VLOOKUP($B733,'D7 - NDB Impacted SPRF''s'!$E$16:$O$9929,4,FALSE)</f>
        <v>Completed</v>
      </c>
      <c r="AC733" s="380" t="str">
        <f>VLOOKUP($B733,'D7 - NDB Impacted SPRF''s'!$E$16:$O$9929,3,FALSE)</f>
        <v>UnitedHealthcare Employer &amp; Individual</v>
      </c>
      <c r="AD733" s="380" t="str">
        <f>VLOOKUP($B733,'D7 - NDB Impacted SPRF''s'!$E$16:$O$9929,5,FALSE)</f>
        <v>Network Growth / Enhancements</v>
      </c>
      <c r="AE733" s="380" t="str">
        <f>VLOOKUP($B733,'D7 - NDB Impacted SPRF''s'!$E$16:$O$9929,7,FALSE)</f>
        <v>John Haben</v>
      </c>
      <c r="AF733" s="380" t="str">
        <f>VLOOKUP($B733,'D7 - NDB Impacted SPRF''s'!$E$16:$O$9929,6,FALSE)</f>
        <v>SARAH PETERSON</v>
      </c>
      <c r="AG733" s="282"/>
      <c r="AH733" s="311" t="e">
        <f>INDEX('D5 - Gatekeeper - Projects'!$A$4:$AF$1010,$AM733, 17)</f>
        <v>#N/A</v>
      </c>
      <c r="AI733" s="8"/>
      <c r="AJ733" s="57"/>
      <c r="AK733" s="105"/>
      <c r="AM733" s="6" t="e">
        <f>MATCH(D733,'D5 - Gatekeeper - Projects'!$C$4:$C$1010,0)</f>
        <v>#N/A</v>
      </c>
      <c r="AN733" s="6" t="b">
        <f t="shared" si="67"/>
        <v>1</v>
      </c>
      <c r="AO733" s="6" t="str">
        <f t="shared" si="70"/>
        <v>OK</v>
      </c>
      <c r="AQ733" s="6" t="e">
        <f>MATCH($D733,'D4 - Provider Council Unsched'!$C$11:$C$234,0)</f>
        <v>#N/A</v>
      </c>
      <c r="AR733" s="6" t="b">
        <f t="shared" si="68"/>
        <v>1</v>
      </c>
      <c r="AS733" s="6" t="str">
        <f t="shared" si="71"/>
        <v>OK</v>
      </c>
      <c r="AU733" s="202"/>
      <c r="AV733" s="262"/>
      <c r="AW733" s="274"/>
    </row>
    <row r="734" spans="1:49" s="13" customFormat="1" ht="33.75" x14ac:dyDescent="0.2">
      <c r="A734" s="14">
        <v>710</v>
      </c>
      <c r="B734" s="14">
        <v>400018272</v>
      </c>
      <c r="C734" s="8" t="s">
        <v>5197</v>
      </c>
      <c r="D734" s="4" t="str">
        <f t="shared" si="69"/>
        <v>400018272R1</v>
      </c>
      <c r="E734" s="309" t="str">
        <f>VLOOKUP($B734,'D7 - NDB Impacted SPRF''s'!$E$6:$O$9929,2,FALSE)</f>
        <v>Harrington/Benesite UB Repricing</v>
      </c>
      <c r="F734" s="8" t="s">
        <v>4304</v>
      </c>
      <c r="G734" s="8" t="s">
        <v>4758</v>
      </c>
      <c r="H734" s="8" t="s">
        <v>4246</v>
      </c>
      <c r="I734" s="20">
        <v>1</v>
      </c>
      <c r="J734" s="8" t="s">
        <v>4862</v>
      </c>
      <c r="K734" s="182">
        <v>39193</v>
      </c>
      <c r="L734" s="8" t="s">
        <v>5743</v>
      </c>
      <c r="M734" s="8" t="s">
        <v>5626</v>
      </c>
      <c r="N734" s="38"/>
      <c r="O734" s="8"/>
      <c r="P734" s="4" t="str">
        <f>VLOOKUP($B734,'D7 - NDB Impacted SPRF''s'!$E$16:$O$9929,9,FALSE)</f>
        <v>N</v>
      </c>
      <c r="Q734" s="4" t="str">
        <f>VLOOKUP($B734,'D7 - NDB Impacted SPRF''s'!$E$16:$O$9929,10,FALSE)</f>
        <v>N</v>
      </c>
      <c r="R734" s="4" t="str">
        <f>VLOOKUP($B734,'D7 - NDB Impacted SPRF''s'!$E$16:$O$9929,11,FALSE)</f>
        <v>Y</v>
      </c>
      <c r="S734" s="8"/>
      <c r="T734" s="310"/>
      <c r="U734" s="310"/>
      <c r="V734" s="4"/>
      <c r="W734" s="4"/>
      <c r="X734" s="4"/>
      <c r="Y734" s="4"/>
      <c r="Z734" s="4"/>
      <c r="AA734" s="4"/>
      <c r="AB734" s="380" t="str">
        <f>VLOOKUP($B734,'D7 - NDB Impacted SPRF''s'!$E$16:$O$9929,4,FALSE)</f>
        <v>Completed</v>
      </c>
      <c r="AC734" s="380" t="str">
        <f>VLOOKUP($B734,'D7 - NDB Impacted SPRF''s'!$E$16:$O$9929,3,FALSE)</f>
        <v>UnitedHealthcare Employer &amp; Individual</v>
      </c>
      <c r="AD734" s="380" t="str">
        <f>VLOOKUP($B734,'D7 - NDB Impacted SPRF''s'!$E$16:$O$9929,5,FALSE)</f>
        <v>Network Growth / Enhancements</v>
      </c>
      <c r="AE734" s="380" t="str">
        <f>VLOOKUP($B734,'D7 - NDB Impacted SPRF''s'!$E$16:$O$9929,7,FALSE)</f>
        <v>John Haben</v>
      </c>
      <c r="AF734" s="380" t="str">
        <f>VLOOKUP($B734,'D7 - NDB Impacted SPRF''s'!$E$16:$O$9929,6,FALSE)</f>
        <v>SARAH PETERSON</v>
      </c>
      <c r="AG734" s="282"/>
      <c r="AH734" s="311" t="e">
        <f>INDEX('D5 - Gatekeeper - Projects'!$A$4:$AF$1010,$AM734, 17)</f>
        <v>#N/A</v>
      </c>
      <c r="AI734" s="8"/>
      <c r="AJ734" s="57"/>
      <c r="AK734" s="105"/>
      <c r="AM734" s="6" t="e">
        <f>MATCH(D734,'D5 - Gatekeeper - Projects'!$C$4:$C$1010,0)</f>
        <v>#N/A</v>
      </c>
      <c r="AN734" s="6" t="b">
        <f t="shared" si="67"/>
        <v>1</v>
      </c>
      <c r="AO734" s="6" t="str">
        <f t="shared" si="70"/>
        <v>OK</v>
      </c>
      <c r="AQ734" s="6" t="e">
        <f>MATCH($D734,'D4 - Provider Council Unsched'!$C$11:$C$234,0)</f>
        <v>#N/A</v>
      </c>
      <c r="AR734" s="6" t="b">
        <f t="shared" si="68"/>
        <v>1</v>
      </c>
      <c r="AS734" s="6" t="str">
        <f t="shared" si="71"/>
        <v>OK</v>
      </c>
      <c r="AU734" s="202"/>
      <c r="AV734" s="262"/>
      <c r="AW734" s="274"/>
    </row>
    <row r="735" spans="1:49" s="13" customFormat="1" ht="22.5" x14ac:dyDescent="0.2">
      <c r="A735" s="14">
        <v>711</v>
      </c>
      <c r="B735" s="14">
        <v>400008020</v>
      </c>
      <c r="C735" s="8" t="s">
        <v>6726</v>
      </c>
      <c r="D735" s="4" t="str">
        <f t="shared" si="69"/>
        <v>400008020CC06</v>
      </c>
      <c r="E735" s="309" t="str">
        <f>VLOOKUP($B735,'D7 - NDB Impacted SPRF''s'!$E$6:$O$9929,2,FALSE)</f>
        <v>CORP1 - Infrastructure - Capacity Growth</v>
      </c>
      <c r="F735" s="8" t="s">
        <v>5196</v>
      </c>
      <c r="G735" s="8" t="s">
        <v>4758</v>
      </c>
      <c r="H735" s="8" t="s">
        <v>4246</v>
      </c>
      <c r="I735" s="20">
        <v>25.4</v>
      </c>
      <c r="J735" s="8" t="s">
        <v>4862</v>
      </c>
      <c r="K735" s="182">
        <v>39249</v>
      </c>
      <c r="L735" s="8" t="s">
        <v>5743</v>
      </c>
      <c r="M735" s="8" t="s">
        <v>2814</v>
      </c>
      <c r="N735" s="367" t="s">
        <v>6276</v>
      </c>
      <c r="O735" s="8"/>
      <c r="P735" s="4" t="str">
        <f>VLOOKUP($B735,'D7 - NDB Impacted SPRF''s'!$E$16:$O$9929,9,FALSE)</f>
        <v>Y</v>
      </c>
      <c r="Q735" s="4" t="str">
        <f>VLOOKUP($B735,'D7 - NDB Impacted SPRF''s'!$E$16:$O$9929,10,FALSE)</f>
        <v>N</v>
      </c>
      <c r="R735" s="4" t="str">
        <f>VLOOKUP($B735,'D7 - NDB Impacted SPRF''s'!$E$16:$O$9929,11,FALSE)</f>
        <v>N</v>
      </c>
      <c r="S735" s="8"/>
      <c r="T735" s="310"/>
      <c r="U735" s="310"/>
      <c r="V735" s="4"/>
      <c r="W735" s="4"/>
      <c r="X735" s="4"/>
      <c r="Y735" s="4"/>
      <c r="Z735" s="4"/>
      <c r="AA735" s="4"/>
      <c r="AB735" s="380" t="str">
        <f>VLOOKUP($B735,'D7 - NDB Impacted SPRF''s'!$E$16:$O$9929,4,FALSE)</f>
        <v>Completed</v>
      </c>
      <c r="AC735" s="380" t="str">
        <f>VLOOKUP($B735,'D7 - NDB Impacted SPRF''s'!$E$16:$O$9929,3,FALSE)</f>
        <v>Alliance</v>
      </c>
      <c r="AD735" s="380" t="str">
        <f>VLOOKUP($B735,'D7 - NDB Impacted SPRF''s'!$E$16:$O$9929,5,FALSE)</f>
        <v>Healthcare Service Alliance</v>
      </c>
      <c r="AE735" s="380" t="str">
        <f>VLOOKUP($B735,'D7 - NDB Impacted SPRF''s'!$E$16:$O$9929,7,FALSE)</f>
        <v>Bev Nyce</v>
      </c>
      <c r="AF735" s="380" t="str">
        <f>VLOOKUP($B735,'D7 - NDB Impacted SPRF''s'!$E$16:$O$9929,6,FALSE)</f>
        <v>ALBERT PETRUNTI</v>
      </c>
      <c r="AG735" s="282" t="s">
        <v>7755</v>
      </c>
      <c r="AH735" s="311" t="e">
        <f>INDEX('D5 - Gatekeeper - Projects'!$A$4:$AF$1010,$AM735, 17)</f>
        <v>#N/A</v>
      </c>
      <c r="AI735" s="8"/>
      <c r="AJ735" s="57"/>
      <c r="AK735" s="105"/>
      <c r="AM735" s="6" t="e">
        <f>MATCH(D735,'D5 - Gatekeeper - Projects'!$C$4:$C$1010,0)</f>
        <v>#N/A</v>
      </c>
      <c r="AN735" s="6" t="b">
        <f t="shared" si="67"/>
        <v>1</v>
      </c>
      <c r="AO735" s="6" t="str">
        <f t="shared" si="70"/>
        <v>OK</v>
      </c>
      <c r="AQ735" s="6" t="e">
        <f>MATCH($D735,'D4 - Provider Council Unsched'!$C$11:$C$234,0)</f>
        <v>#N/A</v>
      </c>
      <c r="AR735" s="6" t="b">
        <f t="shared" si="68"/>
        <v>1</v>
      </c>
      <c r="AS735" s="6" t="str">
        <f t="shared" si="71"/>
        <v>OK</v>
      </c>
      <c r="AU735" s="202"/>
      <c r="AV735" s="262"/>
      <c r="AW735" s="274"/>
    </row>
    <row r="736" spans="1:49" s="13" customFormat="1" ht="78.75" x14ac:dyDescent="0.2">
      <c r="A736" s="14">
        <v>712</v>
      </c>
      <c r="B736" s="14">
        <v>400010721</v>
      </c>
      <c r="C736" s="8" t="s">
        <v>4926</v>
      </c>
      <c r="D736" s="4" t="str">
        <f t="shared" si="69"/>
        <v>400010721R4</v>
      </c>
      <c r="E736" s="309" t="str">
        <f>VLOOKUP($B736,'D7 - NDB Impacted SPRF''s'!$E$6:$O$9929,2,FALSE)</f>
        <v>GHMO Analysis &amp; Design Phase V (Medica)</v>
      </c>
      <c r="F736" s="8" t="s">
        <v>4168</v>
      </c>
      <c r="G736" s="8" t="s">
        <v>4758</v>
      </c>
      <c r="H736" s="8" t="s">
        <v>4246</v>
      </c>
      <c r="I736" s="20">
        <v>27</v>
      </c>
      <c r="J736" s="8" t="s">
        <v>4862</v>
      </c>
      <c r="K736" s="182">
        <v>39249</v>
      </c>
      <c r="L736" s="8" t="s">
        <v>5743</v>
      </c>
      <c r="M736" s="8" t="s">
        <v>2814</v>
      </c>
      <c r="N736" s="367" t="s">
        <v>4083</v>
      </c>
      <c r="O736" s="8"/>
      <c r="P736" s="4" t="str">
        <f>VLOOKUP($B736,'D7 - NDB Impacted SPRF''s'!$E$16:$O$9929,9,FALSE)</f>
        <v>Y</v>
      </c>
      <c r="Q736" s="4" t="str">
        <f>VLOOKUP($B736,'D7 - NDB Impacted SPRF''s'!$E$16:$O$9929,10,FALSE)</f>
        <v>N</v>
      </c>
      <c r="R736" s="4" t="str">
        <f>VLOOKUP($B736,'D7 - NDB Impacted SPRF''s'!$E$16:$O$9929,11,FALSE)</f>
        <v>N</v>
      </c>
      <c r="S736" s="8" t="s">
        <v>3758</v>
      </c>
      <c r="T736" s="310"/>
      <c r="U736" s="310"/>
      <c r="V736" s="4"/>
      <c r="W736" s="4"/>
      <c r="X736" s="4"/>
      <c r="Y736" s="4"/>
      <c r="Z736" s="4"/>
      <c r="AA736" s="4"/>
      <c r="AB736" s="380" t="str">
        <f>VLOOKUP($B736,'D7 - NDB Impacted SPRF''s'!$E$16:$O$9929,4,FALSE)</f>
        <v>Completed</v>
      </c>
      <c r="AC736" s="380" t="str">
        <f>VLOOKUP($B736,'D7 - NDB Impacted SPRF''s'!$E$16:$O$9929,3,FALSE)</f>
        <v>UnitedHealthcare Employer &amp; Individual</v>
      </c>
      <c r="AD736" s="380" t="str">
        <f>VLOOKUP($B736,'D7 - NDB Impacted SPRF''s'!$E$16:$O$9929,5,FALSE)</f>
        <v>Gated HMO</v>
      </c>
      <c r="AE736" s="380" t="str">
        <f>VLOOKUP($B736,'D7 - NDB Impacted SPRF''s'!$E$16:$O$9929,7,FALSE)</f>
        <v>Diane Schofield</v>
      </c>
      <c r="AF736" s="380" t="str">
        <f>VLOOKUP($B736,'D7 - NDB Impacted SPRF''s'!$E$16:$O$9929,6,FALSE)</f>
        <v>SUSAN TONKIN</v>
      </c>
      <c r="AG736" s="282"/>
      <c r="AH736" s="311" t="e">
        <f>INDEX('D5 - Gatekeeper - Projects'!$A$4:$AF$1010,$AM736, 17)</f>
        <v>#N/A</v>
      </c>
      <c r="AI736" s="8"/>
      <c r="AJ736" s="57"/>
      <c r="AK736" s="105"/>
      <c r="AM736" s="6" t="e">
        <f>MATCH(D736,'D5 - Gatekeeper - Projects'!$C$4:$C$1010,0)</f>
        <v>#N/A</v>
      </c>
      <c r="AN736" s="6" t="b">
        <f t="shared" si="67"/>
        <v>1</v>
      </c>
      <c r="AO736" s="6" t="str">
        <f t="shared" si="70"/>
        <v>OK</v>
      </c>
      <c r="AQ736" s="6" t="e">
        <f>MATCH($D736,'D4 - Provider Council Unsched'!$C$11:$C$234,0)</f>
        <v>#N/A</v>
      </c>
      <c r="AR736" s="6" t="b">
        <f t="shared" si="68"/>
        <v>1</v>
      </c>
      <c r="AS736" s="6" t="str">
        <f t="shared" si="71"/>
        <v>OK</v>
      </c>
      <c r="AU736" s="202"/>
      <c r="AV736" s="262"/>
      <c r="AW736" s="274"/>
    </row>
    <row r="737" spans="1:49" s="13" customFormat="1" ht="33.75" x14ac:dyDescent="0.2">
      <c r="A737" s="14">
        <v>713</v>
      </c>
      <c r="B737" s="14">
        <v>400012998</v>
      </c>
      <c r="C737" s="8" t="s">
        <v>5197</v>
      </c>
      <c r="D737" s="4" t="str">
        <f t="shared" si="69"/>
        <v>400012998R1</v>
      </c>
      <c r="E737" s="309" t="str">
        <f>VLOOKUP($B737,'D7 - NDB Impacted SPRF''s'!$E$6:$O$9929,2,FALSE)</f>
        <v>Enterprise Capitation - United Platform Integratio</v>
      </c>
      <c r="F737" s="8" t="s">
        <v>7593</v>
      </c>
      <c r="G737" s="8" t="s">
        <v>4758</v>
      </c>
      <c r="H737" s="8" t="s">
        <v>4246</v>
      </c>
      <c r="I737" s="20">
        <v>6.4</v>
      </c>
      <c r="J737" s="8" t="s">
        <v>4862</v>
      </c>
      <c r="K737" s="182">
        <v>39249</v>
      </c>
      <c r="L737" s="8" t="s">
        <v>5743</v>
      </c>
      <c r="M737" s="8" t="s">
        <v>5626</v>
      </c>
      <c r="N737" s="367" t="s">
        <v>3922</v>
      </c>
      <c r="O737" s="8"/>
      <c r="P737" s="4" t="str">
        <f>VLOOKUP($B737,'D7 - NDB Impacted SPRF''s'!$E$16:$O$9929,9,FALSE)</f>
        <v>Y</v>
      </c>
      <c r="Q737" s="4" t="str">
        <f>VLOOKUP($B737,'D7 - NDB Impacted SPRF''s'!$E$16:$O$9929,10,FALSE)</f>
        <v>N</v>
      </c>
      <c r="R737" s="4" t="str">
        <f>VLOOKUP($B737,'D7 - NDB Impacted SPRF''s'!$E$16:$O$9929,11,FALSE)</f>
        <v>N</v>
      </c>
      <c r="S737" s="8" t="s">
        <v>3758</v>
      </c>
      <c r="T737" s="310"/>
      <c r="U737" s="310"/>
      <c r="V737" s="4"/>
      <c r="W737" s="4"/>
      <c r="X737" s="4"/>
      <c r="Y737" s="4"/>
      <c r="Z737" s="4"/>
      <c r="AA737" s="4"/>
      <c r="AB737" s="380" t="str">
        <f>VLOOKUP($B737,'D7 - NDB Impacted SPRF''s'!$E$16:$O$9929,4,FALSE)</f>
        <v>Completed</v>
      </c>
      <c r="AC737" s="380" t="str">
        <f>VLOOKUP($B737,'D7 - NDB Impacted SPRF''s'!$E$16:$O$9929,3,FALSE)</f>
        <v>UnitedHealthcare Employer &amp; Individual</v>
      </c>
      <c r="AD737" s="380" t="str">
        <f>VLOOKUP($B737,'D7 - NDB Impacted SPRF''s'!$E$16:$O$9929,5,FALSE)</f>
        <v>Integration Requirements</v>
      </c>
      <c r="AE737" s="380" t="str">
        <f>VLOOKUP($B737,'D7 - NDB Impacted SPRF''s'!$E$16:$O$9929,7,FALSE)</f>
        <v>Todd Murr</v>
      </c>
      <c r="AF737" s="380" t="str">
        <f>VLOOKUP($B737,'D7 - NDB Impacted SPRF''s'!$E$16:$O$9929,6,FALSE)</f>
        <v>MELINDA BURWELL</v>
      </c>
      <c r="AG737" s="282"/>
      <c r="AH737" s="311" t="e">
        <f>INDEX('D5 - Gatekeeper - Projects'!$A$4:$AF$1010,$AM737, 17)</f>
        <v>#N/A</v>
      </c>
      <c r="AI737" s="8"/>
      <c r="AJ737" s="57"/>
      <c r="AK737" s="105"/>
      <c r="AM737" s="6" t="e">
        <f>MATCH(D737,'D5 - Gatekeeper - Projects'!$C$4:$C$1010,0)</f>
        <v>#N/A</v>
      </c>
      <c r="AN737" s="6" t="b">
        <f t="shared" si="67"/>
        <v>1</v>
      </c>
      <c r="AO737" s="6" t="str">
        <f t="shared" si="70"/>
        <v>OK</v>
      </c>
      <c r="AQ737" s="6" t="e">
        <f>MATCH($D737,'D4 - Provider Council Unsched'!$C$11:$C$234,0)</f>
        <v>#N/A</v>
      </c>
      <c r="AR737" s="6" t="b">
        <f t="shared" si="68"/>
        <v>1</v>
      </c>
      <c r="AS737" s="6" t="str">
        <f t="shared" si="71"/>
        <v>OK</v>
      </c>
      <c r="AU737" s="202"/>
      <c r="AV737" s="262"/>
      <c r="AW737" s="274"/>
    </row>
    <row r="738" spans="1:49" s="13" customFormat="1" ht="22.5" x14ac:dyDescent="0.2">
      <c r="A738" s="14">
        <v>714</v>
      </c>
      <c r="B738" s="14">
        <v>400009828</v>
      </c>
      <c r="C738" s="8" t="s">
        <v>6902</v>
      </c>
      <c r="D738" s="4" t="str">
        <f t="shared" si="69"/>
        <v>400009828CC31</v>
      </c>
      <c r="E738" s="309" t="str">
        <f>VLOOKUP($B738,'D7 - NDB Impacted SPRF''s'!$E$6:$O$9929,2,FALSE)</f>
        <v>Consumer Database (CDB) Release 1.2</v>
      </c>
      <c r="F738" s="8" t="s">
        <v>7243</v>
      </c>
      <c r="G738" s="8" t="s">
        <v>4758</v>
      </c>
      <c r="H738" s="8" t="s">
        <v>4246</v>
      </c>
      <c r="I738" s="20">
        <v>0.27</v>
      </c>
      <c r="J738" s="8" t="s">
        <v>4862</v>
      </c>
      <c r="K738" s="182">
        <v>39256</v>
      </c>
      <c r="L738" s="8" t="s">
        <v>5743</v>
      </c>
      <c r="M738" s="8" t="s">
        <v>2814</v>
      </c>
      <c r="N738" s="367"/>
      <c r="O738" s="8"/>
      <c r="P738" s="4" t="str">
        <f>VLOOKUP($B738,'D7 - NDB Impacted SPRF''s'!$E$16:$O$9929,9,FALSE)</f>
        <v>Y</v>
      </c>
      <c r="Q738" s="4" t="str">
        <f>VLOOKUP($B738,'D7 - NDB Impacted SPRF''s'!$E$16:$O$9929,10,FALSE)</f>
        <v>N</v>
      </c>
      <c r="R738" s="4" t="str">
        <f>VLOOKUP($B738,'D7 - NDB Impacted SPRF''s'!$E$16:$O$9929,11,FALSE)</f>
        <v>Y</v>
      </c>
      <c r="S738" s="8"/>
      <c r="T738" s="310"/>
      <c r="U738" s="310"/>
      <c r="V738" s="4"/>
      <c r="W738" s="4"/>
      <c r="X738" s="4"/>
      <c r="Y738" s="4"/>
      <c r="Z738" s="4"/>
      <c r="AA738" s="4"/>
      <c r="AB738" s="380" t="str">
        <f>VLOOKUP($B738,'D7 - NDB Impacted SPRF''s'!$E$16:$O$9929,4,FALSE)</f>
        <v>Completed</v>
      </c>
      <c r="AC738" s="380" t="str">
        <f>VLOOKUP($B738,'D7 - NDB Impacted SPRF''s'!$E$16:$O$9929,3,FALSE)</f>
        <v>Uniprise</v>
      </c>
      <c r="AD738" s="380" t="str">
        <f>VLOOKUP($B738,'D7 - NDB Impacted SPRF''s'!$E$16:$O$9929,5,FALSE)</f>
        <v>Group Services - Capital Projects</v>
      </c>
      <c r="AE738" s="380" t="str">
        <f>VLOOKUP($B738,'D7 - NDB Impacted SPRF''s'!$E$16:$O$9929,7,FALSE)</f>
        <v>Steven Auerbach</v>
      </c>
      <c r="AF738" s="380" t="str">
        <f>VLOOKUP($B738,'D7 - NDB Impacted SPRF''s'!$E$16:$O$9929,6,FALSE)</f>
        <v>ANDREW FELRICE</v>
      </c>
      <c r="AG738" s="282"/>
      <c r="AH738" s="311" t="e">
        <f>INDEX('D5 - Gatekeeper - Projects'!$A$4:$AF$1010,$AM738, 17)</f>
        <v>#N/A</v>
      </c>
      <c r="AI738" s="8"/>
      <c r="AJ738" s="57"/>
      <c r="AK738" s="105"/>
      <c r="AM738" s="6" t="e">
        <f>MATCH(D738,'D5 - Gatekeeper - Projects'!$C$4:$C$1010,0)</f>
        <v>#N/A</v>
      </c>
      <c r="AN738" s="6" t="b">
        <f t="shared" si="67"/>
        <v>1</v>
      </c>
      <c r="AO738" s="6" t="str">
        <f t="shared" si="70"/>
        <v>OK</v>
      </c>
      <c r="AQ738" s="6" t="e">
        <f>MATCH($D738,'D4 - Provider Council Unsched'!$C$11:$C$234,0)</f>
        <v>#N/A</v>
      </c>
      <c r="AR738" s="6" t="b">
        <f t="shared" si="68"/>
        <v>1</v>
      </c>
      <c r="AS738" s="6" t="str">
        <f t="shared" si="71"/>
        <v>OK</v>
      </c>
      <c r="AU738" s="202"/>
      <c r="AV738" s="262"/>
      <c r="AW738" s="274"/>
    </row>
    <row r="739" spans="1:49" s="13" customFormat="1" ht="33.75" x14ac:dyDescent="0.2">
      <c r="A739" s="14">
        <v>715</v>
      </c>
      <c r="B739" s="14">
        <v>400011181</v>
      </c>
      <c r="C739" s="8" t="s">
        <v>6726</v>
      </c>
      <c r="D739" s="4" t="str">
        <f t="shared" si="69"/>
        <v>400011181CC06</v>
      </c>
      <c r="E739" s="309" t="str">
        <f>VLOOKUP($B739,'D7 - NDB Impacted SPRF''s'!$E$6:$O$9929,2,FALSE)</f>
        <v>GHMO MAHP - Items Moved From Phases III &amp; IV</v>
      </c>
      <c r="F739" s="8" t="s">
        <v>4168</v>
      </c>
      <c r="G739" s="8" t="s">
        <v>4758</v>
      </c>
      <c r="H739" s="8" t="s">
        <v>4246</v>
      </c>
      <c r="I739" s="20">
        <v>1.07</v>
      </c>
      <c r="J739" s="8" t="s">
        <v>4862</v>
      </c>
      <c r="K739" s="182">
        <v>39256</v>
      </c>
      <c r="L739" s="8" t="s">
        <v>5743</v>
      </c>
      <c r="M739" s="8" t="s">
        <v>5626</v>
      </c>
      <c r="N739" s="367"/>
      <c r="O739" s="8"/>
      <c r="P739" s="4" t="str">
        <f>VLOOKUP($B739,'D7 - NDB Impacted SPRF''s'!$E$16:$O$9929,9,FALSE)</f>
        <v>Y</v>
      </c>
      <c r="Q739" s="4" t="str">
        <f>VLOOKUP($B739,'D7 - NDB Impacted SPRF''s'!$E$16:$O$9929,10,FALSE)</f>
        <v>N</v>
      </c>
      <c r="R739" s="4" t="str">
        <f>VLOOKUP($B739,'D7 - NDB Impacted SPRF''s'!$E$16:$O$9929,11,FALSE)</f>
        <v>N</v>
      </c>
      <c r="S739" s="8"/>
      <c r="T739" s="310"/>
      <c r="U739" s="310"/>
      <c r="V739" s="4"/>
      <c r="W739" s="4"/>
      <c r="X739" s="4"/>
      <c r="Y739" s="4"/>
      <c r="Z739" s="4"/>
      <c r="AA739" s="4"/>
      <c r="AB739" s="380" t="str">
        <f>VLOOKUP($B739,'D7 - NDB Impacted SPRF''s'!$E$16:$O$9929,4,FALSE)</f>
        <v>Completed</v>
      </c>
      <c r="AC739" s="380" t="str">
        <f>VLOOKUP($B739,'D7 - NDB Impacted SPRF''s'!$E$16:$O$9929,3,FALSE)</f>
        <v>UnitedHealthcare Employer &amp; Individual</v>
      </c>
      <c r="AD739" s="380" t="str">
        <f>VLOOKUP($B739,'D7 - NDB Impacted SPRF''s'!$E$16:$O$9929,5,FALSE)</f>
        <v>Gated HMO</v>
      </c>
      <c r="AE739" s="380" t="str">
        <f>VLOOKUP($B739,'D7 - NDB Impacted SPRF''s'!$E$16:$O$9929,7,FALSE)</f>
        <v>Diane Schofield</v>
      </c>
      <c r="AF739" s="380" t="str">
        <f>VLOOKUP($B739,'D7 - NDB Impacted SPRF''s'!$E$16:$O$9929,6,FALSE)</f>
        <v>SUSAN TONKIN</v>
      </c>
      <c r="AG739" s="282"/>
      <c r="AH739" s="311" t="e">
        <f>INDEX('D5 - Gatekeeper - Projects'!$A$4:$AF$1010,$AM739, 17)</f>
        <v>#N/A</v>
      </c>
      <c r="AI739" s="8"/>
      <c r="AJ739" s="57"/>
      <c r="AK739" s="105"/>
      <c r="AM739" s="6" t="e">
        <f>MATCH(D739,'D5 - Gatekeeper - Projects'!$C$4:$C$1010,0)</f>
        <v>#N/A</v>
      </c>
      <c r="AN739" s="6" t="b">
        <f t="shared" si="67"/>
        <v>1</v>
      </c>
      <c r="AO739" s="6" t="str">
        <f t="shared" si="70"/>
        <v>OK</v>
      </c>
      <c r="AQ739" s="6" t="e">
        <f>MATCH($D739,'D4 - Provider Council Unsched'!$C$11:$C$234,0)</f>
        <v>#N/A</v>
      </c>
      <c r="AR739" s="6" t="b">
        <f t="shared" si="68"/>
        <v>1</v>
      </c>
      <c r="AS739" s="6" t="str">
        <f t="shared" si="71"/>
        <v>OK</v>
      </c>
      <c r="AU739" s="202"/>
      <c r="AV739" s="262"/>
      <c r="AW739" s="274"/>
    </row>
    <row r="740" spans="1:49" s="13" customFormat="1" ht="22.5" x14ac:dyDescent="0.2">
      <c r="A740" s="14">
        <v>716</v>
      </c>
      <c r="B740" s="14">
        <v>400011185</v>
      </c>
      <c r="C740" s="8" t="s">
        <v>6725</v>
      </c>
      <c r="D740" s="4" t="str">
        <f t="shared" si="69"/>
        <v>400011185CC01</v>
      </c>
      <c r="E740" s="309" t="str">
        <f>VLOOKUP($B740,'D7 - NDB Impacted SPRF''s'!$E$6:$O$9929,2,FALSE)</f>
        <v>Medica-DataSharing-CCMS GHMO Ref/Auth/Not Integrat</v>
      </c>
      <c r="F740" s="8" t="s">
        <v>5196</v>
      </c>
      <c r="G740" s="8" t="s">
        <v>4758</v>
      </c>
      <c r="H740" s="8" t="s">
        <v>4246</v>
      </c>
      <c r="I740" s="20">
        <v>0.8</v>
      </c>
      <c r="J740" s="8" t="s">
        <v>4862</v>
      </c>
      <c r="K740" s="182">
        <v>39256</v>
      </c>
      <c r="L740" s="8" t="s">
        <v>5743</v>
      </c>
      <c r="M740" s="8" t="s">
        <v>5626</v>
      </c>
      <c r="N740" s="367" t="s">
        <v>7617</v>
      </c>
      <c r="O740" s="8"/>
      <c r="P740" s="4" t="str">
        <f>VLOOKUP($B740,'D7 - NDB Impacted SPRF''s'!$E$16:$O$9929,9,FALSE)</f>
        <v>Y</v>
      </c>
      <c r="Q740" s="4" t="str">
        <f>VLOOKUP($B740,'D7 - NDB Impacted SPRF''s'!$E$16:$O$9929,10,FALSE)</f>
        <v>N</v>
      </c>
      <c r="R740" s="4" t="str">
        <f>VLOOKUP($B740,'D7 - NDB Impacted SPRF''s'!$E$16:$O$9929,11,FALSE)</f>
        <v>N</v>
      </c>
      <c r="S740" s="8"/>
      <c r="T740" s="310"/>
      <c r="U740" s="310"/>
      <c r="V740" s="4"/>
      <c r="W740" s="4"/>
      <c r="X740" s="4"/>
      <c r="Y740" s="4"/>
      <c r="Z740" s="4"/>
      <c r="AA740" s="4"/>
      <c r="AB740" s="380" t="str">
        <f>VLOOKUP($B740,'D7 - NDB Impacted SPRF''s'!$E$16:$O$9929,4,FALSE)</f>
        <v>Completed</v>
      </c>
      <c r="AC740" s="380" t="str">
        <f>VLOOKUP($B740,'D7 - NDB Impacted SPRF''s'!$E$16:$O$9929,3,FALSE)</f>
        <v>Alliance</v>
      </c>
      <c r="AD740" s="380" t="str">
        <f>VLOOKUP($B740,'D7 - NDB Impacted SPRF''s'!$E$16:$O$9929,5,FALSE)</f>
        <v>Medica UNET Conversion</v>
      </c>
      <c r="AE740" s="380" t="str">
        <f>VLOOKUP($B740,'D7 - NDB Impacted SPRF''s'!$E$16:$O$9929,7,FALSE)</f>
        <v>Diane Schofield</v>
      </c>
      <c r="AF740" s="380" t="str">
        <f>VLOOKUP($B740,'D7 - NDB Impacted SPRF''s'!$E$16:$O$9929,6,FALSE)</f>
        <v>KIMBERLY ALEXANDER</v>
      </c>
      <c r="AG740" s="282" t="s">
        <v>7755</v>
      </c>
      <c r="AH740" s="311" t="e">
        <f>INDEX('D5 - Gatekeeper - Projects'!$A$4:$AF$1010,$AM740, 17)</f>
        <v>#N/A</v>
      </c>
      <c r="AI740" s="8"/>
      <c r="AJ740" s="57"/>
      <c r="AK740" s="105"/>
      <c r="AM740" s="6" t="e">
        <f>MATCH(D740,'D5 - Gatekeeper - Projects'!$C$4:$C$1010,0)</f>
        <v>#N/A</v>
      </c>
      <c r="AN740" s="6" t="b">
        <f t="shared" si="67"/>
        <v>1</v>
      </c>
      <c r="AO740" s="6" t="str">
        <f t="shared" si="70"/>
        <v>OK</v>
      </c>
      <c r="AQ740" s="6" t="e">
        <f>MATCH($D740,'D4 - Provider Council Unsched'!$C$11:$C$234,0)</f>
        <v>#N/A</v>
      </c>
      <c r="AR740" s="6" t="b">
        <f t="shared" si="68"/>
        <v>1</v>
      </c>
      <c r="AS740" s="6" t="str">
        <f t="shared" si="71"/>
        <v>OK</v>
      </c>
      <c r="AU740" s="202"/>
      <c r="AV740" s="262"/>
      <c r="AW740" s="274"/>
    </row>
    <row r="741" spans="1:49" s="13" customFormat="1" ht="33.75" x14ac:dyDescent="0.2">
      <c r="A741" s="14">
        <v>717</v>
      </c>
      <c r="B741" s="14">
        <v>400011666</v>
      </c>
      <c r="C741" s="8" t="s">
        <v>6581</v>
      </c>
      <c r="D741" s="4" t="str">
        <f t="shared" si="69"/>
        <v>400011666L1</v>
      </c>
      <c r="E741" s="309" t="str">
        <f>VLOOKUP($B741,'D7 - NDB Impacted SPRF''s'!$E$6:$O$9929,2,FALSE)</f>
        <v>HCA-Network - PTI EPDL Requirements</v>
      </c>
      <c r="F741" s="8" t="s">
        <v>5196</v>
      </c>
      <c r="G741" s="8" t="s">
        <v>4758</v>
      </c>
      <c r="H741" s="8" t="s">
        <v>4246</v>
      </c>
      <c r="I741" s="20">
        <v>3</v>
      </c>
      <c r="J741" s="8" t="s">
        <v>4862</v>
      </c>
      <c r="K741" s="182">
        <v>39256</v>
      </c>
      <c r="L741" s="8" t="s">
        <v>5743</v>
      </c>
      <c r="M741" s="8" t="s">
        <v>2814</v>
      </c>
      <c r="N741" s="367"/>
      <c r="O741" s="8" t="s">
        <v>5508</v>
      </c>
      <c r="P741" s="4" t="str">
        <f>VLOOKUP($B741,'D7 - NDB Impacted SPRF''s'!$E$16:$O$9929,9,FALSE)</f>
        <v>N</v>
      </c>
      <c r="Q741" s="4" t="str">
        <f>VLOOKUP($B741,'D7 - NDB Impacted SPRF''s'!$E$16:$O$9929,10,FALSE)</f>
        <v>N</v>
      </c>
      <c r="R741" s="4" t="str">
        <f>VLOOKUP($B741,'D7 - NDB Impacted SPRF''s'!$E$16:$O$9929,11,FALSE)</f>
        <v>N</v>
      </c>
      <c r="S741" s="8"/>
      <c r="T741" s="310"/>
      <c r="U741" s="310"/>
      <c r="V741" s="4"/>
      <c r="W741" s="4"/>
      <c r="X741" s="4"/>
      <c r="Y741" s="4"/>
      <c r="Z741" s="4"/>
      <c r="AA741" s="4"/>
      <c r="AB741" s="380" t="str">
        <f>VLOOKUP($B741,'D7 - NDB Impacted SPRF''s'!$E$16:$O$9929,4,FALSE)</f>
        <v>Completed</v>
      </c>
      <c r="AC741" s="380" t="str">
        <f>VLOOKUP($B741,'D7 - NDB Impacted SPRF''s'!$E$16:$O$9929,3,FALSE)</f>
        <v>UnitedHealthcare Employer &amp; Individual</v>
      </c>
      <c r="AD741" s="380" t="str">
        <f>VLOOKUP($B741,'D7 - NDB Impacted SPRF''s'!$E$16:$O$9929,5,FALSE)</f>
        <v>Healthcare Service Alliance</v>
      </c>
      <c r="AE741" s="380" t="str">
        <f>VLOOKUP($B741,'D7 - NDB Impacted SPRF''s'!$E$16:$O$9929,7,FALSE)</f>
        <v>Bev Nyce</v>
      </c>
      <c r="AF741" s="380" t="str">
        <f>VLOOKUP($B741,'D7 - NDB Impacted SPRF''s'!$E$16:$O$9929,6,FALSE)</f>
        <v>MARCIA MONACO</v>
      </c>
      <c r="AG741" s="282" t="s">
        <v>7755</v>
      </c>
      <c r="AH741" s="311" t="e">
        <f>INDEX('D5 - Gatekeeper - Projects'!$A$4:$AF$1010,$AM741, 17)</f>
        <v>#N/A</v>
      </c>
      <c r="AI741" s="8"/>
      <c r="AJ741" s="57"/>
      <c r="AK741" s="105"/>
      <c r="AM741" s="6" t="e">
        <f>MATCH(D741,'D5 - Gatekeeper - Projects'!$C$4:$C$1010,0)</f>
        <v>#N/A</v>
      </c>
      <c r="AN741" s="6" t="b">
        <f t="shared" si="67"/>
        <v>1</v>
      </c>
      <c r="AO741" s="6" t="str">
        <f t="shared" si="70"/>
        <v>OK</v>
      </c>
      <c r="AQ741" s="6" t="e">
        <f>MATCH($D741,'D4 - Provider Council Unsched'!$C$11:$C$234,0)</f>
        <v>#N/A</v>
      </c>
      <c r="AR741" s="6" t="b">
        <f t="shared" si="68"/>
        <v>1</v>
      </c>
      <c r="AS741" s="6" t="str">
        <f t="shared" si="71"/>
        <v>OK</v>
      </c>
      <c r="AU741" s="202"/>
      <c r="AV741" s="262"/>
      <c r="AW741" s="274"/>
    </row>
    <row r="742" spans="1:49" s="13" customFormat="1" ht="33.75" x14ac:dyDescent="0.2">
      <c r="A742" s="14">
        <v>718</v>
      </c>
      <c r="B742" s="14">
        <v>400011666</v>
      </c>
      <c r="C742" s="8" t="s">
        <v>5197</v>
      </c>
      <c r="D742" s="4" t="str">
        <f t="shared" si="69"/>
        <v>400011666R1</v>
      </c>
      <c r="E742" s="309" t="str">
        <f>VLOOKUP($B742,'D7 - NDB Impacted SPRF''s'!$E$6:$O$9929,2,FALSE)</f>
        <v>HCA-Network - PTI EPDL Requirements</v>
      </c>
      <c r="F742" s="8" t="s">
        <v>5196</v>
      </c>
      <c r="G742" s="8" t="s">
        <v>4758</v>
      </c>
      <c r="H742" s="8" t="s">
        <v>4246</v>
      </c>
      <c r="I742" s="20">
        <v>7.85</v>
      </c>
      <c r="J742" s="8" t="s">
        <v>4862</v>
      </c>
      <c r="K742" s="182">
        <v>39256</v>
      </c>
      <c r="L742" s="8" t="s">
        <v>5743</v>
      </c>
      <c r="M742" s="8" t="s">
        <v>2814</v>
      </c>
      <c r="N742" s="367"/>
      <c r="O742" s="8" t="s">
        <v>5508</v>
      </c>
      <c r="P742" s="4" t="str">
        <f>VLOOKUP($B742,'D7 - NDB Impacted SPRF''s'!$E$16:$O$9929,9,FALSE)</f>
        <v>N</v>
      </c>
      <c r="Q742" s="4" t="str">
        <f>VLOOKUP($B742,'D7 - NDB Impacted SPRF''s'!$E$16:$O$9929,10,FALSE)</f>
        <v>N</v>
      </c>
      <c r="R742" s="4" t="str">
        <f>VLOOKUP($B742,'D7 - NDB Impacted SPRF''s'!$E$16:$O$9929,11,FALSE)</f>
        <v>N</v>
      </c>
      <c r="S742" s="8"/>
      <c r="T742" s="310"/>
      <c r="U742" s="310"/>
      <c r="V742" s="4"/>
      <c r="W742" s="4"/>
      <c r="X742" s="4"/>
      <c r="Y742" s="4"/>
      <c r="Z742" s="4"/>
      <c r="AA742" s="4"/>
      <c r="AB742" s="380" t="str">
        <f>VLOOKUP($B742,'D7 - NDB Impacted SPRF''s'!$E$16:$O$9929,4,FALSE)</f>
        <v>Completed</v>
      </c>
      <c r="AC742" s="380" t="str">
        <f>VLOOKUP($B742,'D7 - NDB Impacted SPRF''s'!$E$16:$O$9929,3,FALSE)</f>
        <v>UnitedHealthcare Employer &amp; Individual</v>
      </c>
      <c r="AD742" s="380" t="str">
        <f>VLOOKUP($B742,'D7 - NDB Impacted SPRF''s'!$E$16:$O$9929,5,FALSE)</f>
        <v>Healthcare Service Alliance</v>
      </c>
      <c r="AE742" s="380" t="str">
        <f>VLOOKUP($B742,'D7 - NDB Impacted SPRF''s'!$E$16:$O$9929,7,FALSE)</f>
        <v>Bev Nyce</v>
      </c>
      <c r="AF742" s="380" t="str">
        <f>VLOOKUP($B742,'D7 - NDB Impacted SPRF''s'!$E$16:$O$9929,6,FALSE)</f>
        <v>MARCIA MONACO</v>
      </c>
      <c r="AG742" s="282" t="s">
        <v>7755</v>
      </c>
      <c r="AH742" s="311" t="e">
        <f>INDEX('D5 - Gatekeeper - Projects'!$A$4:$AF$1010,$AM742, 17)</f>
        <v>#N/A</v>
      </c>
      <c r="AI742" s="8"/>
      <c r="AJ742" s="57"/>
      <c r="AK742" s="105"/>
      <c r="AL742" s="91"/>
      <c r="AM742" s="6" t="e">
        <f>MATCH(D742,'D5 - Gatekeeper - Projects'!$C$4:$C$1010,0)</f>
        <v>#N/A</v>
      </c>
      <c r="AN742" s="6" t="b">
        <f t="shared" si="67"/>
        <v>1</v>
      </c>
      <c r="AO742" s="6" t="str">
        <f t="shared" si="70"/>
        <v>OK</v>
      </c>
      <c r="AQ742" s="6" t="e">
        <f>MATCH($D742,'D4 - Provider Council Unsched'!$C$11:$C$234,0)</f>
        <v>#N/A</v>
      </c>
      <c r="AR742" s="6" t="b">
        <f t="shared" si="68"/>
        <v>1</v>
      </c>
      <c r="AS742" s="6" t="str">
        <f t="shared" si="71"/>
        <v>OK</v>
      </c>
      <c r="AU742" s="202"/>
      <c r="AV742" s="262"/>
      <c r="AW742" s="274"/>
    </row>
    <row r="743" spans="1:49" s="13" customFormat="1" ht="33.75" x14ac:dyDescent="0.2">
      <c r="A743" s="14">
        <v>719</v>
      </c>
      <c r="B743" s="14">
        <v>400012672</v>
      </c>
      <c r="C743" s="8" t="s">
        <v>3286</v>
      </c>
      <c r="D743" s="4" t="str">
        <f t="shared" si="69"/>
        <v>400012672CC02</v>
      </c>
      <c r="E743" s="309" t="str">
        <f>VLOOKUP($B743,'D7 - NDB Impacted SPRF''s'!$E$6:$O$9929,2,FALSE)</f>
        <v>Provider Timely Filing by Contract</v>
      </c>
      <c r="F743" s="8" t="s">
        <v>2114</v>
      </c>
      <c r="G743" s="8" t="s">
        <v>4758</v>
      </c>
      <c r="H743" s="8" t="s">
        <v>4246</v>
      </c>
      <c r="I743" s="20">
        <v>0.97</v>
      </c>
      <c r="J743" s="8" t="s">
        <v>4862</v>
      </c>
      <c r="K743" s="182">
        <v>39256</v>
      </c>
      <c r="L743" s="8" t="s">
        <v>5743</v>
      </c>
      <c r="M743" s="8" t="s">
        <v>5786</v>
      </c>
      <c r="N743" s="38" t="s">
        <v>8079</v>
      </c>
      <c r="O743" s="8" t="s">
        <v>5042</v>
      </c>
      <c r="P743" s="4" t="str">
        <f>VLOOKUP($B743,'D7 - NDB Impacted SPRF''s'!$E$16:$O$9929,9,FALSE)</f>
        <v>Y</v>
      </c>
      <c r="Q743" s="4" t="str">
        <f>VLOOKUP($B743,'D7 - NDB Impacted SPRF''s'!$E$16:$O$9929,10,FALSE)</f>
        <v>N</v>
      </c>
      <c r="R743" s="4" t="str">
        <f>VLOOKUP($B743,'D7 - NDB Impacted SPRF''s'!$E$16:$O$9929,11,FALSE)</f>
        <v>Y</v>
      </c>
      <c r="S743" s="8"/>
      <c r="T743" s="310"/>
      <c r="U743" s="310"/>
      <c r="V743" s="4"/>
      <c r="W743" s="4"/>
      <c r="X743" s="4"/>
      <c r="Y743" s="4"/>
      <c r="Z743" s="4"/>
      <c r="AA743" s="4"/>
      <c r="AB743" s="380" t="str">
        <f>VLOOKUP($B743,'D7 - NDB Impacted SPRF''s'!$E$16:$O$9929,4,FALSE)</f>
        <v>Completed</v>
      </c>
      <c r="AC743" s="380" t="str">
        <f>VLOOKUP($B743,'D7 - NDB Impacted SPRF''s'!$E$16:$O$9929,3,FALSE)</f>
        <v>UnitedHealthcare Employer &amp; Individual</v>
      </c>
      <c r="AD743" s="380" t="str">
        <f>VLOOKUP($B743,'D7 - NDB Impacted SPRF''s'!$E$16:$O$9929,5,FALSE)</f>
        <v>Medical Cost Savings Programs</v>
      </c>
      <c r="AE743" s="380" t="str">
        <f>VLOOKUP($B743,'D7 - NDB Impacted SPRF''s'!$E$16:$O$9929,7,FALSE)</f>
        <v>Michael Ile</v>
      </c>
      <c r="AF743" s="380" t="str">
        <f>VLOOKUP($B743,'D7 - NDB Impacted SPRF''s'!$E$16:$O$9929,6,FALSE)</f>
        <v>Susan Neal</v>
      </c>
      <c r="AG743" s="282"/>
      <c r="AH743" s="311" t="e">
        <f>INDEX('D5 - Gatekeeper - Projects'!$A$4:$AF$1010,$AM743, 17)</f>
        <v>#N/A</v>
      </c>
      <c r="AI743" s="8"/>
      <c r="AJ743" s="57"/>
      <c r="AK743" s="105"/>
      <c r="AM743" s="6" t="e">
        <f>MATCH(D743,'D5 - Gatekeeper - Projects'!$C$4:$C$1010,0)</f>
        <v>#N/A</v>
      </c>
      <c r="AN743" s="6" t="b">
        <f t="shared" si="67"/>
        <v>1</v>
      </c>
      <c r="AO743" s="6" t="str">
        <f t="shared" si="70"/>
        <v>OK</v>
      </c>
      <c r="AQ743" s="6" t="e">
        <f>MATCH($D743,'D4 - Provider Council Unsched'!$C$11:$C$234,0)</f>
        <v>#N/A</v>
      </c>
      <c r="AR743" s="6" t="b">
        <f t="shared" si="68"/>
        <v>1</v>
      </c>
      <c r="AS743" s="6" t="str">
        <f>IF(AND(H743="2 - Not Scheduled",AR743=TRUE,C743="R1"),"Add","OK")</f>
        <v>OK</v>
      </c>
      <c r="AU743" s="202"/>
      <c r="AV743" s="262"/>
      <c r="AW743" s="274"/>
    </row>
    <row r="744" spans="1:49" s="13" customFormat="1" ht="33.75" x14ac:dyDescent="0.2">
      <c r="A744" s="14">
        <v>720</v>
      </c>
      <c r="B744" s="14">
        <v>400012672</v>
      </c>
      <c r="C744" s="8" t="s">
        <v>4926</v>
      </c>
      <c r="D744" s="4" t="str">
        <f t="shared" si="69"/>
        <v>400012672R4</v>
      </c>
      <c r="E744" s="309" t="str">
        <f>VLOOKUP($B744,'D7 - NDB Impacted SPRF''s'!$E$6:$O$9929,2,FALSE)</f>
        <v>Provider Timely Filing by Contract</v>
      </c>
      <c r="F744" s="8" t="s">
        <v>2114</v>
      </c>
      <c r="G744" s="8" t="s">
        <v>4758</v>
      </c>
      <c r="H744" s="8" t="s">
        <v>4246</v>
      </c>
      <c r="I744" s="20"/>
      <c r="J744" s="8" t="s">
        <v>4862</v>
      </c>
      <c r="K744" s="182">
        <v>39256</v>
      </c>
      <c r="L744" s="8" t="s">
        <v>5743</v>
      </c>
      <c r="M744" s="8" t="s">
        <v>2814</v>
      </c>
      <c r="N744" s="38"/>
      <c r="O744" s="8" t="s">
        <v>5042</v>
      </c>
      <c r="P744" s="4" t="str">
        <f>VLOOKUP($B744,'D7 - NDB Impacted SPRF''s'!$E$16:$O$9929,9,FALSE)</f>
        <v>Y</v>
      </c>
      <c r="Q744" s="4" t="str">
        <f>VLOOKUP($B744,'D7 - NDB Impacted SPRF''s'!$E$16:$O$9929,10,FALSE)</f>
        <v>N</v>
      </c>
      <c r="R744" s="4" t="str">
        <f>VLOOKUP($B744,'D7 - NDB Impacted SPRF''s'!$E$16:$O$9929,11,FALSE)</f>
        <v>Y</v>
      </c>
      <c r="S744" s="8"/>
      <c r="T744" s="310"/>
      <c r="U744" s="310"/>
      <c r="V744" s="4"/>
      <c r="W744" s="4"/>
      <c r="X744" s="4"/>
      <c r="Y744" s="4"/>
      <c r="Z744" s="4"/>
      <c r="AA744" s="4"/>
      <c r="AB744" s="380" t="str">
        <f>VLOOKUP($B744,'D7 - NDB Impacted SPRF''s'!$E$16:$O$9929,4,FALSE)</f>
        <v>Completed</v>
      </c>
      <c r="AC744" s="380" t="str">
        <f>VLOOKUP($B744,'D7 - NDB Impacted SPRF''s'!$E$16:$O$9929,3,FALSE)</f>
        <v>UnitedHealthcare Employer &amp; Individual</v>
      </c>
      <c r="AD744" s="380" t="str">
        <f>VLOOKUP($B744,'D7 - NDB Impacted SPRF''s'!$E$16:$O$9929,5,FALSE)</f>
        <v>Medical Cost Savings Programs</v>
      </c>
      <c r="AE744" s="380" t="str">
        <f>VLOOKUP($B744,'D7 - NDB Impacted SPRF''s'!$E$16:$O$9929,7,FALSE)</f>
        <v>Michael Ile</v>
      </c>
      <c r="AF744" s="380" t="str">
        <f>VLOOKUP($B744,'D7 - NDB Impacted SPRF''s'!$E$16:$O$9929,6,FALSE)</f>
        <v>Susan Neal</v>
      </c>
      <c r="AG744" s="282"/>
      <c r="AH744" s="311" t="e">
        <f>INDEX('D5 - Gatekeeper - Projects'!$A$4:$AF$1010,$AM744, 17)</f>
        <v>#N/A</v>
      </c>
      <c r="AI744" s="8"/>
      <c r="AJ744" s="57"/>
      <c r="AK744" s="105"/>
      <c r="AM744" s="6" t="e">
        <f>MATCH(D744,'D5 - Gatekeeper - Projects'!$C$4:$C$1010,0)</f>
        <v>#N/A</v>
      </c>
      <c r="AN744" s="6" t="b">
        <f t="shared" si="67"/>
        <v>1</v>
      </c>
      <c r="AO744" s="6" t="str">
        <f t="shared" si="70"/>
        <v>OK</v>
      </c>
      <c r="AQ744" s="6" t="e">
        <f>MATCH($D744,'D4 - Provider Council Unsched'!$C$11:$C$234,0)</f>
        <v>#N/A</v>
      </c>
      <c r="AR744" s="6" t="b">
        <f t="shared" si="68"/>
        <v>1</v>
      </c>
      <c r="AS744" s="6" t="str">
        <f t="shared" ref="AS744:AS775" si="72">IF(AND(H744="2 - Not Scheduled",AR744=TRUE),"Add","OK")</f>
        <v>OK</v>
      </c>
      <c r="AU744" s="202"/>
      <c r="AV744" s="262"/>
      <c r="AW744" s="274"/>
    </row>
    <row r="745" spans="1:49" s="13" customFormat="1" ht="33.75" x14ac:dyDescent="0.2">
      <c r="A745" s="14">
        <v>721</v>
      </c>
      <c r="B745" s="14">
        <v>400012978</v>
      </c>
      <c r="C745" s="8" t="s">
        <v>2449</v>
      </c>
      <c r="D745" s="4" t="str">
        <f t="shared" si="69"/>
        <v>400012978R3</v>
      </c>
      <c r="E745" s="309" t="str">
        <f>VLOOKUP($B745,'D7 - NDB Impacted SPRF''s'!$E$6:$O$9929,2,FALSE)</f>
        <v xml:space="preserve">Enterprise Capitation Solution - Provider </v>
      </c>
      <c r="F745" s="8" t="s">
        <v>7593</v>
      </c>
      <c r="G745" s="8" t="s">
        <v>4758</v>
      </c>
      <c r="H745" s="8" t="s">
        <v>4246</v>
      </c>
      <c r="I745" s="20">
        <v>128.19999999999999</v>
      </c>
      <c r="J745" s="8" t="s">
        <v>4862</v>
      </c>
      <c r="K745" s="182">
        <v>39256</v>
      </c>
      <c r="L745" s="8" t="s">
        <v>5743</v>
      </c>
      <c r="M745" s="8" t="s">
        <v>2814</v>
      </c>
      <c r="N745" s="367"/>
      <c r="O745" s="8"/>
      <c r="P745" s="4" t="str">
        <f>VLOOKUP($B745,'D7 - NDB Impacted SPRF''s'!$E$16:$O$9929,9,FALSE)</f>
        <v>N</v>
      </c>
      <c r="Q745" s="4" t="str">
        <f>VLOOKUP($B745,'D7 - NDB Impacted SPRF''s'!$E$16:$O$9929,10,FALSE)</f>
        <v>N</v>
      </c>
      <c r="R745" s="4" t="str">
        <f>VLOOKUP($B745,'D7 - NDB Impacted SPRF''s'!$E$16:$O$9929,11,FALSE)</f>
        <v>N</v>
      </c>
      <c r="S745" s="8" t="s">
        <v>3758</v>
      </c>
      <c r="T745" s="310"/>
      <c r="U745" s="310"/>
      <c r="V745" s="4"/>
      <c r="W745" s="4"/>
      <c r="X745" s="4"/>
      <c r="Y745" s="4"/>
      <c r="Z745" s="4"/>
      <c r="AA745" s="4"/>
      <c r="AB745" s="380" t="str">
        <f>VLOOKUP($B745,'D7 - NDB Impacted SPRF''s'!$E$16:$O$9929,4,FALSE)</f>
        <v>Completed</v>
      </c>
      <c r="AC745" s="380" t="str">
        <f>VLOOKUP($B745,'D7 - NDB Impacted SPRF''s'!$E$16:$O$9929,3,FALSE)</f>
        <v>UnitedHealthcare Employer &amp; Individual</v>
      </c>
      <c r="AD745" s="380" t="str">
        <f>VLOOKUP($B745,'D7 - NDB Impacted SPRF''s'!$E$16:$O$9929,5,FALSE)</f>
        <v>Integration Requirements</v>
      </c>
      <c r="AE745" s="380" t="str">
        <f>VLOOKUP($B745,'D7 - NDB Impacted SPRF''s'!$E$16:$O$9929,7,FALSE)</f>
        <v>Tim Kaja</v>
      </c>
      <c r="AF745" s="380" t="str">
        <f>VLOOKUP($B745,'D7 - NDB Impacted SPRF''s'!$E$16:$O$9929,6,FALSE)</f>
        <v>SEAN WATKINS</v>
      </c>
      <c r="AG745" s="282"/>
      <c r="AH745" s="311" t="e">
        <f>INDEX('D5 - Gatekeeper - Projects'!$A$4:$AF$1010,$AM745, 17)</f>
        <v>#N/A</v>
      </c>
      <c r="AI745" s="8"/>
      <c r="AJ745" s="57"/>
      <c r="AK745" s="105"/>
      <c r="AM745" s="6" t="e">
        <f>MATCH(D745,'D5 - Gatekeeper - Projects'!$C$4:$C$1010,0)</f>
        <v>#N/A</v>
      </c>
      <c r="AN745" s="6" t="b">
        <f t="shared" si="67"/>
        <v>1</v>
      </c>
      <c r="AO745" s="6" t="str">
        <f t="shared" si="70"/>
        <v>OK</v>
      </c>
      <c r="AQ745" s="6" t="e">
        <f>MATCH($D745,'D4 - Provider Council Unsched'!$C$11:$C$234,0)</f>
        <v>#N/A</v>
      </c>
      <c r="AR745" s="6" t="b">
        <f t="shared" si="68"/>
        <v>1</v>
      </c>
      <c r="AS745" s="6" t="str">
        <f t="shared" si="72"/>
        <v>OK</v>
      </c>
      <c r="AU745" s="202"/>
      <c r="AV745" s="262"/>
      <c r="AW745" s="274"/>
    </row>
    <row r="746" spans="1:49" s="13" customFormat="1" ht="33.75" x14ac:dyDescent="0.2">
      <c r="A746" s="14">
        <v>722</v>
      </c>
      <c r="B746" s="14">
        <v>400013376</v>
      </c>
      <c r="C746" s="8" t="s">
        <v>3763</v>
      </c>
      <c r="D746" s="4" t="str">
        <f t="shared" si="69"/>
        <v>400013376R2</v>
      </c>
      <c r="E746" s="309" t="str">
        <f>VLOOKUP($B746,'D7 - NDB Impacted SPRF''s'!$E$6:$O$9929,2,FALSE)</f>
        <v xml:space="preserve">ITI: August Commercial Release </v>
      </c>
      <c r="F746" s="8" t="s">
        <v>7989</v>
      </c>
      <c r="G746" s="8" t="s">
        <v>4758</v>
      </c>
      <c r="H746" s="8" t="s">
        <v>4246</v>
      </c>
      <c r="I746" s="20">
        <v>53</v>
      </c>
      <c r="J746" s="8" t="s">
        <v>4862</v>
      </c>
      <c r="K746" s="182">
        <v>39256</v>
      </c>
      <c r="L746" s="8" t="s">
        <v>5743</v>
      </c>
      <c r="M746" s="8" t="s">
        <v>2814</v>
      </c>
      <c r="N746" s="368"/>
      <c r="O746" s="8"/>
      <c r="P746" s="4" t="str">
        <f>VLOOKUP($B746,'D7 - NDB Impacted SPRF''s'!$E$16:$O$9929,9,FALSE)</f>
        <v>Y</v>
      </c>
      <c r="Q746" s="4" t="str">
        <f>VLOOKUP($B746,'D7 - NDB Impacted SPRF''s'!$E$16:$O$9929,10,FALSE)</f>
        <v>N</v>
      </c>
      <c r="R746" s="4" t="str">
        <f>VLOOKUP($B746,'D7 - NDB Impacted SPRF''s'!$E$16:$O$9929,11,FALSE)</f>
        <v>Y</v>
      </c>
      <c r="S746" s="8"/>
      <c r="T746" s="310"/>
      <c r="U746" s="310"/>
      <c r="V746" s="4"/>
      <c r="W746" s="4"/>
      <c r="X746" s="4"/>
      <c r="Y746" s="4"/>
      <c r="Z746" s="4"/>
      <c r="AA746" s="4"/>
      <c r="AB746" s="380" t="str">
        <f>VLOOKUP($B746,'D7 - NDB Impacted SPRF''s'!$E$16:$O$9929,4,FALSE)</f>
        <v>Completed</v>
      </c>
      <c r="AC746" s="380" t="str">
        <f>VLOOKUP($B746,'D7 - NDB Impacted SPRF''s'!$E$16:$O$9929,3,FALSE)</f>
        <v>UnitedHealthcare Employer &amp; Individual</v>
      </c>
      <c r="AD746" s="380" t="str">
        <f>VLOOKUP($B746,'D7 - NDB Impacted SPRF''s'!$E$16:$O$9929,5,FALSE)</f>
        <v>Medical Cost Savings Programs</v>
      </c>
      <c r="AE746" s="380" t="str">
        <f>VLOOKUP($B746,'D7 - NDB Impacted SPRF''s'!$E$16:$O$9929,7,FALSE)</f>
        <v>Gino Tenace</v>
      </c>
      <c r="AF746" s="380" t="str">
        <f>VLOOKUP($B746,'D7 - NDB Impacted SPRF''s'!$E$16:$O$9929,6,FALSE)</f>
        <v>Nicolle Wollin</v>
      </c>
      <c r="AG746" s="282"/>
      <c r="AH746" s="311" t="e">
        <f>INDEX('D5 - Gatekeeper - Projects'!$A$4:$AF$1010,$AM746, 17)</f>
        <v>#N/A</v>
      </c>
      <c r="AI746" s="8"/>
      <c r="AJ746" s="57"/>
      <c r="AK746" s="105"/>
      <c r="AM746" s="6" t="e">
        <f>MATCH(D746,'D5 - Gatekeeper - Projects'!$C$4:$C$1010,0)</f>
        <v>#N/A</v>
      </c>
      <c r="AN746" s="6" t="b">
        <f t="shared" si="67"/>
        <v>1</v>
      </c>
      <c r="AO746" s="6" t="str">
        <f t="shared" si="70"/>
        <v>OK</v>
      </c>
      <c r="AQ746" s="6" t="e">
        <f>MATCH($D746,'D4 - Provider Council Unsched'!$C$11:$C$234,0)</f>
        <v>#N/A</v>
      </c>
      <c r="AR746" s="6" t="b">
        <f t="shared" si="68"/>
        <v>1</v>
      </c>
      <c r="AS746" s="6" t="str">
        <f t="shared" si="72"/>
        <v>OK</v>
      </c>
      <c r="AU746" s="202"/>
      <c r="AV746" s="262"/>
      <c r="AW746" s="274"/>
    </row>
    <row r="747" spans="1:49" s="13" customFormat="1" ht="33.75" x14ac:dyDescent="0.2">
      <c r="A747" s="14">
        <v>723</v>
      </c>
      <c r="B747" s="14">
        <v>400013478</v>
      </c>
      <c r="C747" s="8" t="s">
        <v>5197</v>
      </c>
      <c r="D747" s="4" t="str">
        <f t="shared" si="69"/>
        <v>400013478R1</v>
      </c>
      <c r="E747" s="309" t="str">
        <f>VLOOKUP($B747,'D7 - NDB Impacted SPRF''s'!$E$6:$O$9929,2,FALSE)</f>
        <v>ERC Release 1.3 Analysis</v>
      </c>
      <c r="F747" s="8" t="s">
        <v>7106</v>
      </c>
      <c r="G747" s="8" t="s">
        <v>4758</v>
      </c>
      <c r="H747" s="8" t="s">
        <v>4246</v>
      </c>
      <c r="I747" s="20">
        <v>40</v>
      </c>
      <c r="J747" s="8" t="s">
        <v>4862</v>
      </c>
      <c r="K747" s="182">
        <v>39256</v>
      </c>
      <c r="L747" s="8" t="s">
        <v>5743</v>
      </c>
      <c r="M747" s="8" t="s">
        <v>2814</v>
      </c>
      <c r="N747" s="370" t="s">
        <v>1625</v>
      </c>
      <c r="O747" s="8"/>
      <c r="P747" s="4" t="str">
        <f>VLOOKUP($B747,'D7 - NDB Impacted SPRF''s'!$E$16:$O$9929,9,FALSE)</f>
        <v>Y</v>
      </c>
      <c r="Q747" s="4" t="str">
        <f>VLOOKUP($B747,'D7 - NDB Impacted SPRF''s'!$E$16:$O$9929,10,FALSE)</f>
        <v>N</v>
      </c>
      <c r="R747" s="4" t="str">
        <f>VLOOKUP($B747,'D7 - NDB Impacted SPRF''s'!$E$16:$O$9929,11,FALSE)</f>
        <v>N</v>
      </c>
      <c r="S747" s="8" t="s">
        <v>3758</v>
      </c>
      <c r="T747" s="310"/>
      <c r="U747" s="310"/>
      <c r="V747" s="4"/>
      <c r="W747" s="4"/>
      <c r="X747" s="4"/>
      <c r="Y747" s="4"/>
      <c r="Z747" s="4"/>
      <c r="AA747" s="4"/>
      <c r="AB747" s="380" t="str">
        <f>VLOOKUP($B747,'D7 - NDB Impacted SPRF''s'!$E$16:$O$9929,4,FALSE)</f>
        <v>Completed</v>
      </c>
      <c r="AC747" s="380" t="str">
        <f>VLOOKUP($B747,'D7 - NDB Impacted SPRF''s'!$E$16:$O$9929,3,FALSE)</f>
        <v>UnitedHealthcare Employer &amp; Individual</v>
      </c>
      <c r="AD747" s="380" t="str">
        <f>VLOOKUP($B747,'D7 - NDB Impacted SPRF''s'!$E$16:$O$9929,5,FALSE)</f>
        <v>Medical Cost Savings Programs</v>
      </c>
      <c r="AE747" s="380" t="str">
        <f>VLOOKUP($B747,'D7 - NDB Impacted SPRF''s'!$E$16:$O$9929,7,FALSE)</f>
        <v>Steven Mueller</v>
      </c>
      <c r="AF747" s="380" t="str">
        <f>VLOOKUP($B747,'D7 - NDB Impacted SPRF''s'!$E$16:$O$9929,6,FALSE)</f>
        <v>JEFFREY HUXLEY</v>
      </c>
      <c r="AG747" s="282" t="s">
        <v>6162</v>
      </c>
      <c r="AH747" s="311" t="e">
        <f>INDEX('D5 - Gatekeeper - Projects'!$A$4:$AF$1010,$AM747, 17)</f>
        <v>#N/A</v>
      </c>
      <c r="AI747" s="8"/>
      <c r="AJ747" s="57"/>
      <c r="AK747" s="105"/>
      <c r="AM747" s="6" t="e">
        <f>MATCH(D747,'D5 - Gatekeeper - Projects'!$C$4:$C$1010,0)</f>
        <v>#N/A</v>
      </c>
      <c r="AN747" s="6" t="b">
        <f t="shared" si="67"/>
        <v>1</v>
      </c>
      <c r="AO747" s="6" t="str">
        <f t="shared" si="70"/>
        <v>OK</v>
      </c>
      <c r="AQ747" s="6" t="e">
        <f>MATCH($D747,'D4 - Provider Council Unsched'!$C$11:$C$234,0)</f>
        <v>#N/A</v>
      </c>
      <c r="AR747" s="6" t="b">
        <f t="shared" si="68"/>
        <v>1</v>
      </c>
      <c r="AS747" s="6" t="str">
        <f t="shared" si="72"/>
        <v>OK</v>
      </c>
      <c r="AU747" s="202"/>
      <c r="AV747" s="262"/>
      <c r="AW747" s="274"/>
    </row>
    <row r="748" spans="1:49" s="13" customFormat="1" ht="33.75" x14ac:dyDescent="0.2">
      <c r="A748" s="14">
        <v>724</v>
      </c>
      <c r="B748" s="14">
        <v>400013859</v>
      </c>
      <c r="C748" s="8" t="s">
        <v>3286</v>
      </c>
      <c r="D748" s="4" t="str">
        <f t="shared" si="69"/>
        <v>400013859CC02</v>
      </c>
      <c r="E748" s="309" t="str">
        <f>VLOOKUP($B748,'D7 - NDB Impacted SPRF''s'!$E$6:$O$9929,2,FALSE)</f>
        <v>MN 62J Legislation for EOBs</v>
      </c>
      <c r="F748" s="8" t="s">
        <v>2114</v>
      </c>
      <c r="G748" s="8" t="s">
        <v>4758</v>
      </c>
      <c r="H748" s="8" t="s">
        <v>4246</v>
      </c>
      <c r="I748" s="20">
        <v>4.13</v>
      </c>
      <c r="J748" s="8" t="s">
        <v>4862</v>
      </c>
      <c r="K748" s="182">
        <v>39256</v>
      </c>
      <c r="L748" s="8" t="s">
        <v>5743</v>
      </c>
      <c r="M748" s="8" t="s">
        <v>2814</v>
      </c>
      <c r="N748" s="38" t="s">
        <v>5098</v>
      </c>
      <c r="O748" s="8"/>
      <c r="P748" s="4" t="str">
        <f>VLOOKUP($B748,'D7 - NDB Impacted SPRF''s'!$E$16:$O$9929,9,FALSE)</f>
        <v>Y</v>
      </c>
      <c r="Q748" s="4" t="str">
        <f>VLOOKUP($B748,'D7 - NDB Impacted SPRF''s'!$E$16:$O$9929,10,FALSE)</f>
        <v>N</v>
      </c>
      <c r="R748" s="4" t="str">
        <f>VLOOKUP($B748,'D7 - NDB Impacted SPRF''s'!$E$16:$O$9929,11,FALSE)</f>
        <v>N</v>
      </c>
      <c r="S748" s="8"/>
      <c r="T748" s="310"/>
      <c r="U748" s="310"/>
      <c r="V748" s="4"/>
      <c r="W748" s="4"/>
      <c r="X748" s="4"/>
      <c r="Y748" s="4"/>
      <c r="Z748" s="4"/>
      <c r="AA748" s="4"/>
      <c r="AB748" s="380" t="str">
        <f>VLOOKUP($B748,'D7 - NDB Impacted SPRF''s'!$E$16:$O$9929,4,FALSE)</f>
        <v>Completed</v>
      </c>
      <c r="AC748" s="380" t="str">
        <f>VLOOKUP($B748,'D7 - NDB Impacted SPRF''s'!$E$16:$O$9929,3,FALSE)</f>
        <v>UnitedHealthcare Employer &amp; Individual</v>
      </c>
      <c r="AD748" s="380" t="str">
        <f>VLOOKUP($B748,'D7 - NDB Impacted SPRF''s'!$E$16:$O$9929,5,FALSE)</f>
        <v>Regulatory / Other</v>
      </c>
      <c r="AE748" s="380" t="str">
        <f>VLOOKUP($B748,'D7 - NDB Impacted SPRF''s'!$E$16:$O$9929,7,FALSE)</f>
        <v>Mike Keeler</v>
      </c>
      <c r="AF748" s="380" t="str">
        <f>VLOOKUP($B748,'D7 - NDB Impacted SPRF''s'!$E$16:$O$9929,6,FALSE)</f>
        <v>NINA THOMPSON</v>
      </c>
      <c r="AG748" s="282"/>
      <c r="AH748" s="311" t="e">
        <f>INDEX('D5 - Gatekeeper - Projects'!$A$4:$AF$1010,$AM748, 17)</f>
        <v>#N/A</v>
      </c>
      <c r="AI748" s="8"/>
      <c r="AJ748" s="57"/>
      <c r="AK748" s="105"/>
      <c r="AM748" s="6" t="e">
        <f>MATCH(D748,'D5 - Gatekeeper - Projects'!$C$4:$C$1010,0)</f>
        <v>#N/A</v>
      </c>
      <c r="AN748" s="6" t="b">
        <f t="shared" si="67"/>
        <v>1</v>
      </c>
      <c r="AO748" s="6" t="str">
        <f t="shared" si="70"/>
        <v>OK</v>
      </c>
      <c r="AQ748" s="6" t="e">
        <f>MATCH($D748,'D4 - Provider Council Unsched'!$C$11:$C$234,0)</f>
        <v>#N/A</v>
      </c>
      <c r="AR748" s="6" t="b">
        <f t="shared" si="68"/>
        <v>1</v>
      </c>
      <c r="AS748" s="6" t="str">
        <f t="shared" si="72"/>
        <v>OK</v>
      </c>
      <c r="AU748" s="202"/>
      <c r="AV748" s="262"/>
      <c r="AW748" s="274"/>
    </row>
    <row r="749" spans="1:49" s="13" customFormat="1" ht="22.5" x14ac:dyDescent="0.2">
      <c r="A749" s="14">
        <v>725</v>
      </c>
      <c r="B749" s="14">
        <v>400014643</v>
      </c>
      <c r="C749" s="8" t="s">
        <v>5197</v>
      </c>
      <c r="D749" s="4" t="str">
        <f t="shared" si="69"/>
        <v>400014643R1</v>
      </c>
      <c r="E749" s="309" t="str">
        <f>VLOOKUP($B749,'D7 - NDB Impacted SPRF''s'!$E$6:$O$9929,2,FALSE)</f>
        <v>Empire Plan-Correct Orbit Report for Empire Use</v>
      </c>
      <c r="F749" s="8" t="s">
        <v>3235</v>
      </c>
      <c r="G749" s="8" t="s">
        <v>4758</v>
      </c>
      <c r="H749" s="8" t="s">
        <v>4246</v>
      </c>
      <c r="I749" s="20">
        <v>1.07</v>
      </c>
      <c r="J749" s="8" t="s">
        <v>4862</v>
      </c>
      <c r="K749" s="182">
        <v>39256</v>
      </c>
      <c r="L749" s="8" t="s">
        <v>5743</v>
      </c>
      <c r="M749" s="8" t="s">
        <v>5786</v>
      </c>
      <c r="N749" s="38" t="s">
        <v>3161</v>
      </c>
      <c r="O749" s="8"/>
      <c r="P749" s="4" t="str">
        <f>VLOOKUP($B749,'D7 - NDB Impacted SPRF''s'!$E$16:$O$9929,9,FALSE)</f>
        <v>N</v>
      </c>
      <c r="Q749" s="4" t="str">
        <f>VLOOKUP($B749,'D7 - NDB Impacted SPRF''s'!$E$16:$O$9929,10,FALSE)</f>
        <v>N</v>
      </c>
      <c r="R749" s="4" t="str">
        <f>VLOOKUP($B749,'D7 - NDB Impacted SPRF''s'!$E$16:$O$9929,11,FALSE)</f>
        <v>N</v>
      </c>
      <c r="S749" s="8"/>
      <c r="T749" s="310"/>
      <c r="U749" s="310"/>
      <c r="V749" s="4"/>
      <c r="W749" s="4"/>
      <c r="X749" s="4"/>
      <c r="Y749" s="4"/>
      <c r="Z749" s="4"/>
      <c r="AA749" s="4"/>
      <c r="AB749" s="380" t="str">
        <f>VLOOKUP($B749,'D7 - NDB Impacted SPRF''s'!$E$16:$O$9929,4,FALSE)</f>
        <v>Completed</v>
      </c>
      <c r="AC749" s="380" t="str">
        <f>VLOOKUP($B749,'D7 - NDB Impacted SPRF''s'!$E$16:$O$9929,3,FALSE)</f>
        <v>Uniprise</v>
      </c>
      <c r="AD749" s="380" t="str">
        <f>VLOOKUP($B749,'D7 - NDB Impacted SPRF''s'!$E$16:$O$9929,5,FALSE)</f>
        <v>USS - DDC</v>
      </c>
      <c r="AE749" s="380" t="str">
        <f>VLOOKUP($B749,'D7 - NDB Impacted SPRF''s'!$E$16:$O$9929,7,FALSE)</f>
        <v>Donna Pooley</v>
      </c>
      <c r="AF749" s="380" t="str">
        <f>VLOOKUP($B749,'D7 - NDB Impacted SPRF''s'!$E$16:$O$9929,6,FALSE)</f>
        <v>Laurie Torres</v>
      </c>
      <c r="AG749" s="282"/>
      <c r="AH749" s="311" t="e">
        <f>INDEX('D5 - Gatekeeper - Projects'!$A$4:$AF$1010,$AM749, 17)</f>
        <v>#N/A</v>
      </c>
      <c r="AI749" s="8"/>
      <c r="AJ749" s="57"/>
      <c r="AK749" s="105"/>
      <c r="AM749" s="6" t="e">
        <f>MATCH(D749,'D5 - Gatekeeper - Projects'!$C$4:$C$1010,0)</f>
        <v>#N/A</v>
      </c>
      <c r="AN749" s="6" t="b">
        <f t="shared" si="67"/>
        <v>1</v>
      </c>
      <c r="AO749" s="6" t="str">
        <f t="shared" si="70"/>
        <v>OK</v>
      </c>
      <c r="AQ749" s="6" t="e">
        <f>MATCH($D749,'D4 - Provider Council Unsched'!$C$11:$C$234,0)</f>
        <v>#N/A</v>
      </c>
      <c r="AR749" s="6" t="b">
        <f t="shared" si="68"/>
        <v>1</v>
      </c>
      <c r="AS749" s="6" t="str">
        <f t="shared" si="72"/>
        <v>OK</v>
      </c>
      <c r="AU749" s="202"/>
      <c r="AV749" s="262"/>
      <c r="AW749" s="274"/>
    </row>
    <row r="750" spans="1:49" s="13" customFormat="1" ht="33.75" x14ac:dyDescent="0.2">
      <c r="A750" s="14">
        <v>726</v>
      </c>
      <c r="B750" s="14">
        <v>400015564</v>
      </c>
      <c r="C750" s="8" t="s">
        <v>5197</v>
      </c>
      <c r="D750" s="4" t="str">
        <f t="shared" si="69"/>
        <v>400015564R1</v>
      </c>
      <c r="E750" s="309" t="str">
        <f>VLOOKUP($B750,'D7 - NDB Impacted SPRF''s'!$E$6:$O$9929,2,FALSE)</f>
        <v>NPI Radiology Compliance</v>
      </c>
      <c r="F750" s="8" t="s">
        <v>1059</v>
      </c>
      <c r="G750" s="8" t="s">
        <v>4758</v>
      </c>
      <c r="H750" s="8" t="s">
        <v>4246</v>
      </c>
      <c r="I750" s="20">
        <v>1.0900000000000001</v>
      </c>
      <c r="J750" s="8" t="s">
        <v>4862</v>
      </c>
      <c r="K750" s="182">
        <v>39256</v>
      </c>
      <c r="L750" s="8" t="s">
        <v>5743</v>
      </c>
      <c r="M750" s="8" t="s">
        <v>2814</v>
      </c>
      <c r="N750" s="38"/>
      <c r="O750" s="8"/>
      <c r="P750" s="4" t="str">
        <f>VLOOKUP($B750,'D7 - NDB Impacted SPRF''s'!$E$16:$O$9929,9,FALSE)</f>
        <v>Y</v>
      </c>
      <c r="Q750" s="4" t="str">
        <f>VLOOKUP($B750,'D7 - NDB Impacted SPRF''s'!$E$16:$O$9929,10,FALSE)</f>
        <v>N</v>
      </c>
      <c r="R750" s="4" t="str">
        <f>VLOOKUP($B750,'D7 - NDB Impacted SPRF''s'!$E$16:$O$9929,11,FALSE)</f>
        <v>N</v>
      </c>
      <c r="S750" s="8"/>
      <c r="T750" s="310"/>
      <c r="U750" s="310"/>
      <c r="V750" s="4"/>
      <c r="W750" s="4"/>
      <c r="X750" s="4"/>
      <c r="Y750" s="4"/>
      <c r="Z750" s="4"/>
      <c r="AA750" s="4"/>
      <c r="AB750" s="380" t="str">
        <f>VLOOKUP($B750,'D7 - NDB Impacted SPRF''s'!$E$16:$O$9929,4,FALSE)</f>
        <v>Completed</v>
      </c>
      <c r="AC750" s="380" t="str">
        <f>VLOOKUP($B750,'D7 - NDB Impacted SPRF''s'!$E$16:$O$9929,3,FALSE)</f>
        <v>UnitedHealthcare Employer &amp; Individual</v>
      </c>
      <c r="AD750" s="380" t="str">
        <f>VLOOKUP($B750,'D7 - NDB Impacted SPRF''s'!$E$16:$O$9929,5,FALSE)</f>
        <v>Medical Cost Savings Programs</v>
      </c>
      <c r="AE750" s="380" t="str">
        <f>VLOOKUP($B750,'D7 - NDB Impacted SPRF''s'!$E$16:$O$9929,7,FALSE)</f>
        <v>Tim Kaja</v>
      </c>
      <c r="AF750" s="380" t="str">
        <f>VLOOKUP($B750,'D7 - NDB Impacted SPRF''s'!$E$16:$O$9929,6,FALSE)</f>
        <v>KELLY LEONARD</v>
      </c>
      <c r="AG750" s="282"/>
      <c r="AH750" s="311" t="e">
        <f>INDEX('D5 - Gatekeeper - Projects'!$A$4:$AF$1010,$AM750, 17)</f>
        <v>#N/A</v>
      </c>
      <c r="AI750" s="8"/>
      <c r="AJ750" s="57"/>
      <c r="AK750" s="105"/>
      <c r="AM750" s="6" t="e">
        <f>MATCH(D750,'D5 - Gatekeeper - Projects'!$C$4:$C$1010,0)</f>
        <v>#N/A</v>
      </c>
      <c r="AN750" s="6" t="b">
        <f t="shared" si="67"/>
        <v>1</v>
      </c>
      <c r="AO750" s="6" t="str">
        <f t="shared" si="70"/>
        <v>OK</v>
      </c>
      <c r="AQ750" s="6" t="e">
        <f>MATCH($D750,'D4 - Provider Council Unsched'!$C$11:$C$234,0)</f>
        <v>#N/A</v>
      </c>
      <c r="AR750" s="6" t="b">
        <f t="shared" si="68"/>
        <v>1</v>
      </c>
      <c r="AS750" s="6" t="str">
        <f t="shared" si="72"/>
        <v>OK</v>
      </c>
      <c r="AU750" s="202"/>
      <c r="AV750" s="262"/>
      <c r="AW750" s="274"/>
    </row>
    <row r="751" spans="1:49" s="13" customFormat="1" x14ac:dyDescent="0.2">
      <c r="A751" s="14">
        <v>727</v>
      </c>
      <c r="B751" s="14">
        <v>400016157</v>
      </c>
      <c r="C751" s="8" t="s">
        <v>5197</v>
      </c>
      <c r="D751" s="4" t="str">
        <f t="shared" si="69"/>
        <v>400016157R1</v>
      </c>
      <c r="E751" s="309" t="str">
        <f>VLOOKUP($B751,'D7 - NDB Impacted SPRF''s'!$E$6:$O$9929,2,FALSE)</f>
        <v>Tenet - PTI by Contract Organization Report</v>
      </c>
      <c r="F751" s="8" t="s">
        <v>6007</v>
      </c>
      <c r="G751" s="8" t="s">
        <v>4758</v>
      </c>
      <c r="H751" s="8" t="s">
        <v>4246</v>
      </c>
      <c r="I751" s="20">
        <v>0.75</v>
      </c>
      <c r="J751" s="8" t="s">
        <v>4862</v>
      </c>
      <c r="K751" s="182">
        <v>39256</v>
      </c>
      <c r="L751" s="8" t="s">
        <v>5743</v>
      </c>
      <c r="M751" s="8" t="s">
        <v>6007</v>
      </c>
      <c r="N751" s="38"/>
      <c r="O751" s="8"/>
      <c r="P751" s="4" t="str">
        <f>VLOOKUP($B751,'D7 - NDB Impacted SPRF''s'!$E$16:$O$9929,9,FALSE)</f>
        <v>N</v>
      </c>
      <c r="Q751" s="4" t="str">
        <f>VLOOKUP($B751,'D7 - NDB Impacted SPRF''s'!$E$16:$O$9929,10,FALSE)</f>
        <v>N</v>
      </c>
      <c r="R751" s="4" t="str">
        <f>VLOOKUP($B751,'D7 - NDB Impacted SPRF''s'!$E$16:$O$9929,11,FALSE)</f>
        <v>N</v>
      </c>
      <c r="S751" s="8"/>
      <c r="T751" s="310"/>
      <c r="U751" s="310"/>
      <c r="V751" s="4"/>
      <c r="W751" s="4"/>
      <c r="X751" s="4"/>
      <c r="Y751" s="4"/>
      <c r="Z751" s="4"/>
      <c r="AA751" s="4"/>
      <c r="AB751" s="380" t="str">
        <f>VLOOKUP($B751,'D7 - NDB Impacted SPRF''s'!$E$16:$O$9929,4,FALSE)</f>
        <v>Completed</v>
      </c>
      <c r="AC751" s="380" t="str">
        <f>VLOOKUP($B751,'D7 - NDB Impacted SPRF''s'!$E$16:$O$9929,3,FALSE)</f>
        <v>Uniprise</v>
      </c>
      <c r="AD751" s="380" t="str">
        <f>VLOOKUP($B751,'D7 - NDB Impacted SPRF''s'!$E$16:$O$9929,5,FALSE)</f>
        <v>USS - DDC</v>
      </c>
      <c r="AE751" s="380" t="str">
        <f>VLOOKUP($B751,'D7 - NDB Impacted SPRF''s'!$E$16:$O$9929,7,FALSE)</f>
        <v>John Cravero</v>
      </c>
      <c r="AF751" s="380" t="str">
        <f>VLOOKUP($B751,'D7 - NDB Impacted SPRF''s'!$E$16:$O$9929,6,FALSE)</f>
        <v>RENEE SMITH</v>
      </c>
      <c r="AG751" s="282"/>
      <c r="AH751" s="311" t="e">
        <f>INDEX('D5 - Gatekeeper - Projects'!$A$4:$AF$1010,$AM751, 17)</f>
        <v>#N/A</v>
      </c>
      <c r="AI751" s="8"/>
      <c r="AJ751" s="57"/>
      <c r="AK751" s="105"/>
      <c r="AM751" s="6" t="e">
        <f>MATCH(D751,'D5 - Gatekeeper - Projects'!$C$4:$C$1010,0)</f>
        <v>#N/A</v>
      </c>
      <c r="AN751" s="6" t="b">
        <f t="shared" si="67"/>
        <v>1</v>
      </c>
      <c r="AO751" s="6" t="str">
        <f t="shared" si="70"/>
        <v>OK</v>
      </c>
      <c r="AQ751" s="6" t="e">
        <f>MATCH($D751,'D4 - Provider Council Unsched'!$C$11:$C$234,0)</f>
        <v>#N/A</v>
      </c>
      <c r="AR751" s="6" t="b">
        <f t="shared" si="68"/>
        <v>1</v>
      </c>
      <c r="AS751" s="6" t="str">
        <f t="shared" si="72"/>
        <v>OK</v>
      </c>
      <c r="AU751" s="202"/>
      <c r="AV751" s="262"/>
      <c r="AW751" s="274"/>
    </row>
    <row r="752" spans="1:49" s="13" customFormat="1" ht="33.75" x14ac:dyDescent="0.2">
      <c r="A752" s="14">
        <v>728</v>
      </c>
      <c r="B752" s="14">
        <v>400016267</v>
      </c>
      <c r="C752" s="8" t="s">
        <v>5197</v>
      </c>
      <c r="D752" s="4" t="str">
        <f t="shared" si="69"/>
        <v>400016267R1</v>
      </c>
      <c r="E752" s="309" t="str">
        <f>VLOOKUP($B752,'D7 - NDB Impacted SPRF''s'!$E$6:$O$9929,2,FALSE)</f>
        <v>NDB support for CLIA (SPRF 652)</v>
      </c>
      <c r="F752" s="8" t="s">
        <v>2114</v>
      </c>
      <c r="G752" s="8" t="s">
        <v>4758</v>
      </c>
      <c r="H752" s="8" t="s">
        <v>4246</v>
      </c>
      <c r="I752" s="20">
        <v>1.07</v>
      </c>
      <c r="J752" s="8" t="s">
        <v>4862</v>
      </c>
      <c r="K752" s="182">
        <v>39256</v>
      </c>
      <c r="L752" s="8" t="s">
        <v>5743</v>
      </c>
      <c r="M752" s="8" t="s">
        <v>6688</v>
      </c>
      <c r="N752" s="38"/>
      <c r="O752" s="8"/>
      <c r="P752" s="4" t="str">
        <f>VLOOKUP($B752,'D7 - NDB Impacted SPRF''s'!$E$16:$O$9929,9,FALSE)</f>
        <v>N</v>
      </c>
      <c r="Q752" s="4" t="str">
        <f>VLOOKUP($B752,'D7 - NDB Impacted SPRF''s'!$E$16:$O$9929,10,FALSE)</f>
        <v>N</v>
      </c>
      <c r="R752" s="4" t="str">
        <f>VLOOKUP($B752,'D7 - NDB Impacted SPRF''s'!$E$16:$O$9929,11,FALSE)</f>
        <v>N</v>
      </c>
      <c r="S752" s="8"/>
      <c r="T752" s="310"/>
      <c r="U752" s="310"/>
      <c r="V752" s="4"/>
      <c r="W752" s="4"/>
      <c r="X752" s="4"/>
      <c r="Y752" s="4"/>
      <c r="Z752" s="4"/>
      <c r="AA752" s="4"/>
      <c r="AB752" s="380" t="str">
        <f>VLOOKUP($B752,'D7 - NDB Impacted SPRF''s'!$E$16:$O$9929,4,FALSE)</f>
        <v>Completed</v>
      </c>
      <c r="AC752" s="380" t="str">
        <f>VLOOKUP($B752,'D7 - NDB Impacted SPRF''s'!$E$16:$O$9929,3,FALSE)</f>
        <v>UnitedHealthcare Employer &amp; Individual</v>
      </c>
      <c r="AD752" s="380" t="str">
        <f>VLOOKUP($B752,'D7 - NDB Impacted SPRF''s'!$E$16:$O$9929,5,FALSE)</f>
        <v>Medical Cost Savings Programs</v>
      </c>
      <c r="AE752" s="380" t="str">
        <f>VLOOKUP($B752,'D7 - NDB Impacted SPRF''s'!$E$16:$O$9929,7,FALSE)</f>
        <v>John Kohner</v>
      </c>
      <c r="AF752" s="380" t="str">
        <f>VLOOKUP($B752,'D7 - NDB Impacted SPRF''s'!$E$16:$O$9929,6,FALSE)</f>
        <v>LISA DOSCH</v>
      </c>
      <c r="AG752" s="282"/>
      <c r="AH752" s="311" t="e">
        <f>INDEX('D5 - Gatekeeper - Projects'!$A$4:$AF$1010,$AM752, 17)</f>
        <v>#N/A</v>
      </c>
      <c r="AI752" s="8"/>
      <c r="AJ752" s="57"/>
      <c r="AK752" s="105"/>
      <c r="AM752" s="6" t="e">
        <f>MATCH(D752,'D5 - Gatekeeper - Projects'!$C$4:$C$1010,0)</f>
        <v>#N/A</v>
      </c>
      <c r="AN752" s="6" t="b">
        <f t="shared" si="67"/>
        <v>1</v>
      </c>
      <c r="AO752" s="6" t="str">
        <f t="shared" si="70"/>
        <v>OK</v>
      </c>
      <c r="AQ752" s="6" t="e">
        <f>MATCH($D752,'D4 - Provider Council Unsched'!$C$11:$C$234,0)</f>
        <v>#N/A</v>
      </c>
      <c r="AR752" s="6" t="b">
        <f t="shared" si="68"/>
        <v>1</v>
      </c>
      <c r="AS752" s="6" t="str">
        <f t="shared" si="72"/>
        <v>OK</v>
      </c>
      <c r="AU752" s="202"/>
      <c r="AV752" s="262"/>
      <c r="AW752" s="274"/>
    </row>
    <row r="753" spans="1:49" s="13" customFormat="1" ht="22.5" x14ac:dyDescent="0.2">
      <c r="A753" s="14">
        <v>729</v>
      </c>
      <c r="B753" s="14">
        <v>400016424</v>
      </c>
      <c r="C753" s="8" t="s">
        <v>5197</v>
      </c>
      <c r="D753" s="4" t="str">
        <f t="shared" si="69"/>
        <v>400016424R1</v>
      </c>
      <c r="E753" s="309" t="str">
        <f>VLOOKUP($B753,'D7 - NDB Impacted SPRF''s'!$E$6:$O$9929,2,FALSE)</f>
        <v>HPHC1 - PTI Batch Edit Report</v>
      </c>
      <c r="F753" s="8" t="s">
        <v>4213</v>
      </c>
      <c r="G753" s="8" t="s">
        <v>4758</v>
      </c>
      <c r="H753" s="8" t="s">
        <v>4246</v>
      </c>
      <c r="I753" s="20">
        <v>2.99</v>
      </c>
      <c r="J753" s="8" t="s">
        <v>4862</v>
      </c>
      <c r="K753" s="182">
        <v>39256</v>
      </c>
      <c r="L753" s="8" t="s">
        <v>5743</v>
      </c>
      <c r="M753" s="8" t="s">
        <v>2814</v>
      </c>
      <c r="N753" s="38"/>
      <c r="O753" s="8"/>
      <c r="P753" s="4" t="str">
        <f>VLOOKUP($B753,'D7 - NDB Impacted SPRF''s'!$E$16:$O$9929,9,FALSE)</f>
        <v>N</v>
      </c>
      <c r="Q753" s="4" t="str">
        <f>VLOOKUP($B753,'D7 - NDB Impacted SPRF''s'!$E$16:$O$9929,10,FALSE)</f>
        <v>N</v>
      </c>
      <c r="R753" s="4" t="str">
        <f>VLOOKUP($B753,'D7 - NDB Impacted SPRF''s'!$E$16:$O$9929,11,FALSE)</f>
        <v>N</v>
      </c>
      <c r="S753" s="8"/>
      <c r="T753" s="310"/>
      <c r="U753" s="310"/>
      <c r="V753" s="4"/>
      <c r="W753" s="4"/>
      <c r="X753" s="4"/>
      <c r="Y753" s="4"/>
      <c r="Z753" s="4"/>
      <c r="AA753" s="4"/>
      <c r="AB753" s="380" t="str">
        <f>VLOOKUP($B753,'D7 - NDB Impacted SPRF''s'!$E$16:$O$9929,4,FALSE)</f>
        <v>Completed</v>
      </c>
      <c r="AC753" s="380" t="str">
        <f>VLOOKUP($B753,'D7 - NDB Impacted SPRF''s'!$E$16:$O$9929,3,FALSE)</f>
        <v>Alliance</v>
      </c>
      <c r="AD753" s="380" t="str">
        <f>VLOOKUP($B753,'D7 - NDB Impacted SPRF''s'!$E$16:$O$9929,5,FALSE)</f>
        <v>Harvard Pilgrim Service Alliance</v>
      </c>
      <c r="AE753" s="380" t="str">
        <f>VLOOKUP($B753,'D7 - NDB Impacted SPRF''s'!$E$16:$O$9929,7,FALSE)</f>
        <v>Freiheit, Kathy</v>
      </c>
      <c r="AF753" s="380" t="str">
        <f>VLOOKUP($B753,'D7 - NDB Impacted SPRF''s'!$E$16:$O$9929,6,FALSE)</f>
        <v>STEPHEN FINLEY</v>
      </c>
      <c r="AG753" s="282"/>
      <c r="AH753" s="311" t="e">
        <f>INDEX('D5 - Gatekeeper - Projects'!$A$4:$AF$1010,$AM753, 17)</f>
        <v>#N/A</v>
      </c>
      <c r="AI753" s="8"/>
      <c r="AJ753" s="57"/>
      <c r="AK753" s="105"/>
      <c r="AM753" s="6" t="e">
        <f>MATCH(D753,'D5 - Gatekeeper - Projects'!$C$4:$C$1010,0)</f>
        <v>#N/A</v>
      </c>
      <c r="AN753" s="6" t="b">
        <f t="shared" si="67"/>
        <v>1</v>
      </c>
      <c r="AO753" s="6" t="str">
        <f t="shared" si="70"/>
        <v>OK</v>
      </c>
      <c r="AQ753" s="6" t="e">
        <f>MATCH($D753,'D4 - Provider Council Unsched'!$C$11:$C$234,0)</f>
        <v>#N/A</v>
      </c>
      <c r="AR753" s="6" t="b">
        <f t="shared" si="68"/>
        <v>1</v>
      </c>
      <c r="AS753" s="6" t="str">
        <f t="shared" si="72"/>
        <v>OK</v>
      </c>
      <c r="AU753" s="202"/>
      <c r="AV753" s="262"/>
      <c r="AW753" s="274"/>
    </row>
    <row r="754" spans="1:49" s="13" customFormat="1" ht="33.75" x14ac:dyDescent="0.2">
      <c r="A754" s="14">
        <v>730</v>
      </c>
      <c r="B754" s="14">
        <v>400016578</v>
      </c>
      <c r="C754" s="8" t="s">
        <v>4926</v>
      </c>
      <c r="D754" s="4" t="str">
        <f t="shared" si="69"/>
        <v>400016578R4</v>
      </c>
      <c r="E754" s="309" t="str">
        <f>VLOOKUP($B754,'D7 - NDB Impacted SPRF''s'!$E$6:$O$9929,2,FALSE)</f>
        <v>Detailed Tuning Recommendations</v>
      </c>
      <c r="F754" s="8" t="s">
        <v>8133</v>
      </c>
      <c r="G754" s="8" t="s">
        <v>4758</v>
      </c>
      <c r="H754" s="8" t="s">
        <v>4246</v>
      </c>
      <c r="I754" s="20">
        <v>2</v>
      </c>
      <c r="J754" s="8" t="s">
        <v>4862</v>
      </c>
      <c r="K754" s="182">
        <v>39256</v>
      </c>
      <c r="L754" s="8" t="s">
        <v>5743</v>
      </c>
      <c r="M754" s="8" t="s">
        <v>2814</v>
      </c>
      <c r="N754" s="38"/>
      <c r="O754" s="8" t="s">
        <v>7755</v>
      </c>
      <c r="P754" s="4" t="str">
        <f>VLOOKUP($B754,'D7 - NDB Impacted SPRF''s'!$E$16:$O$9929,9,FALSE)</f>
        <v>Y</v>
      </c>
      <c r="Q754" s="4" t="str">
        <f>VLOOKUP($B754,'D7 - NDB Impacted SPRF''s'!$E$16:$O$9929,10,FALSE)</f>
        <v>N</v>
      </c>
      <c r="R754" s="4" t="str">
        <f>VLOOKUP($B754,'D7 - NDB Impacted SPRF''s'!$E$16:$O$9929,11,FALSE)</f>
        <v>N</v>
      </c>
      <c r="S754" s="8"/>
      <c r="T754" s="310"/>
      <c r="U754" s="310"/>
      <c r="V754" s="4"/>
      <c r="W754" s="4"/>
      <c r="X754" s="4"/>
      <c r="Y754" s="4"/>
      <c r="Z754" s="4"/>
      <c r="AA754" s="4"/>
      <c r="AB754" s="380" t="str">
        <f>VLOOKUP($B754,'D7 - NDB Impacted SPRF''s'!$E$16:$O$9929,4,FALSE)</f>
        <v>Completed</v>
      </c>
      <c r="AC754" s="380" t="str">
        <f>VLOOKUP($B754,'D7 - NDB Impacted SPRF''s'!$E$16:$O$9929,3,FALSE)</f>
        <v>UHG IT - Application Services Group</v>
      </c>
      <c r="AD754" s="380" t="str">
        <f>VLOOKUP($B754,'D7 - NDB Impacted SPRF''s'!$E$16:$O$9929,5,FALSE)</f>
        <v>ASG</v>
      </c>
      <c r="AE754" s="380" t="str">
        <f>VLOOKUP($B754,'D7 - NDB Impacted SPRF''s'!$E$16:$O$9929,7,FALSE)</f>
        <v>Jeff Hanas</v>
      </c>
      <c r="AF754" s="380" t="str">
        <f>VLOOKUP($B754,'D7 - NDB Impacted SPRF''s'!$E$16:$O$9929,6,FALSE)</f>
        <v>Jeffrey Jablonski</v>
      </c>
      <c r="AG754" s="282"/>
      <c r="AH754" s="311" t="e">
        <f>INDEX('D5 - Gatekeeper - Projects'!$A$4:$AF$1010,$AM754, 17)</f>
        <v>#N/A</v>
      </c>
      <c r="AI754" s="8"/>
      <c r="AJ754" s="57"/>
      <c r="AK754" s="105"/>
      <c r="AM754" s="6" t="e">
        <f>MATCH(D754,'D5 - Gatekeeper - Projects'!$C$4:$C$1010,0)</f>
        <v>#N/A</v>
      </c>
      <c r="AN754" s="6" t="b">
        <f t="shared" si="67"/>
        <v>1</v>
      </c>
      <c r="AO754" s="6" t="str">
        <f t="shared" si="70"/>
        <v>OK</v>
      </c>
      <c r="AQ754" s="6" t="e">
        <f>MATCH($D754,'D4 - Provider Council Unsched'!$C$11:$C$234,0)</f>
        <v>#N/A</v>
      </c>
      <c r="AR754" s="6" t="b">
        <f t="shared" si="68"/>
        <v>1</v>
      </c>
      <c r="AS754" s="6" t="str">
        <f t="shared" si="72"/>
        <v>OK</v>
      </c>
      <c r="AU754" s="202"/>
      <c r="AV754" s="262"/>
      <c r="AW754" s="274"/>
    </row>
    <row r="755" spans="1:49" s="13" customFormat="1" ht="33.75" x14ac:dyDescent="0.2">
      <c r="A755" s="14">
        <v>731</v>
      </c>
      <c r="B755" s="14">
        <v>400016661</v>
      </c>
      <c r="C755" s="8" t="s">
        <v>5197</v>
      </c>
      <c r="D755" s="4" t="str">
        <f t="shared" si="69"/>
        <v>400016661R1</v>
      </c>
      <c r="E755" s="309" t="str">
        <f>VLOOKUP($B755,'D7 - NDB Impacted SPRF''s'!$E$6:$O$9929,2,FALSE)</f>
        <v>Pre-Auth Table - Line Expansion</v>
      </c>
      <c r="F755" s="8" t="s">
        <v>5752</v>
      </c>
      <c r="G755" s="8" t="s">
        <v>4758</v>
      </c>
      <c r="H755" s="8" t="s">
        <v>4246</v>
      </c>
      <c r="I755" s="20">
        <v>12</v>
      </c>
      <c r="J755" s="8" t="s">
        <v>4862</v>
      </c>
      <c r="K755" s="182">
        <v>39256</v>
      </c>
      <c r="L755" s="8" t="s">
        <v>5743</v>
      </c>
      <c r="M755" s="8" t="s">
        <v>2814</v>
      </c>
      <c r="N755" s="38"/>
      <c r="O755" s="8"/>
      <c r="P755" s="4" t="str">
        <f>VLOOKUP($B755,'D7 - NDB Impacted SPRF''s'!$E$16:$O$9929,9,FALSE)</f>
        <v>Y</v>
      </c>
      <c r="Q755" s="4" t="str">
        <f>VLOOKUP($B755,'D7 - NDB Impacted SPRF''s'!$E$16:$O$9929,10,FALSE)</f>
        <v>N</v>
      </c>
      <c r="R755" s="4" t="str">
        <f>VLOOKUP($B755,'D7 - NDB Impacted SPRF''s'!$E$16:$O$9929,11,FALSE)</f>
        <v>N</v>
      </c>
      <c r="S755" s="8"/>
      <c r="T755" s="310"/>
      <c r="U755" s="310"/>
      <c r="V755" s="4"/>
      <c r="W755" s="4"/>
      <c r="X755" s="4"/>
      <c r="Y755" s="4"/>
      <c r="Z755" s="4"/>
      <c r="AA755" s="4"/>
      <c r="AB755" s="380" t="str">
        <f>VLOOKUP($B755,'D7 - NDB Impacted SPRF''s'!$E$16:$O$9929,4,FALSE)</f>
        <v>Completed</v>
      </c>
      <c r="AC755" s="380" t="str">
        <f>VLOOKUP($B755,'D7 - NDB Impacted SPRF''s'!$E$16:$O$9929,3,FALSE)</f>
        <v>UnitedHealthcare Employer &amp; Individual</v>
      </c>
      <c r="AD755" s="380" t="str">
        <f>VLOOKUP($B755,'D7 - NDB Impacted SPRF''s'!$E$16:$O$9929,5,FALSE)</f>
        <v>Integration Requirements</v>
      </c>
      <c r="AE755" s="380" t="str">
        <f>VLOOKUP($B755,'D7 - NDB Impacted SPRF''s'!$E$16:$O$9929,7,FALSE)</f>
        <v>Tim Kaja</v>
      </c>
      <c r="AF755" s="380" t="str">
        <f>VLOOKUP($B755,'D7 - NDB Impacted SPRF''s'!$E$16:$O$9929,6,FALSE)</f>
        <v>Sharon Childs</v>
      </c>
      <c r="AG755" s="282"/>
      <c r="AH755" s="311" t="e">
        <f>INDEX('D5 - Gatekeeper - Projects'!$A$4:$AF$1010,$AM755, 17)</f>
        <v>#N/A</v>
      </c>
      <c r="AI755" s="8"/>
      <c r="AJ755" s="57"/>
      <c r="AK755" s="105"/>
      <c r="AM755" s="6" t="e">
        <f>MATCH(D755,'D5 - Gatekeeper - Projects'!$C$4:$C$1010,0)</f>
        <v>#N/A</v>
      </c>
      <c r="AN755" s="6" t="b">
        <f t="shared" si="67"/>
        <v>1</v>
      </c>
      <c r="AO755" s="6" t="str">
        <f t="shared" si="70"/>
        <v>OK</v>
      </c>
      <c r="AQ755" s="6" t="e">
        <f>MATCH($D755,'D4 - Provider Council Unsched'!$C$11:$C$234,0)</f>
        <v>#N/A</v>
      </c>
      <c r="AR755" s="6" t="b">
        <f t="shared" si="68"/>
        <v>1</v>
      </c>
      <c r="AS755" s="6" t="str">
        <f t="shared" si="72"/>
        <v>OK</v>
      </c>
      <c r="AU755" s="202"/>
      <c r="AV755" s="262"/>
      <c r="AW755" s="274"/>
    </row>
    <row r="756" spans="1:49" s="13" customFormat="1" ht="33.75" x14ac:dyDescent="0.2">
      <c r="A756" s="14">
        <v>732</v>
      </c>
      <c r="B756" s="14">
        <v>400016662</v>
      </c>
      <c r="C756" s="8" t="s">
        <v>5197</v>
      </c>
      <c r="D756" s="4" t="str">
        <f t="shared" si="69"/>
        <v>400016662R1</v>
      </c>
      <c r="E756" s="309" t="str">
        <f>VLOOKUP($B756,'D7 - NDB Impacted SPRF''s'!$E$6:$O$9929,2,FALSE)</f>
        <v>Pre-Auth Table - Spec/Org Slotting Order</v>
      </c>
      <c r="F756" s="8" t="s">
        <v>5752</v>
      </c>
      <c r="G756" s="8" t="s">
        <v>4758</v>
      </c>
      <c r="H756" s="8" t="s">
        <v>4246</v>
      </c>
      <c r="I756" s="20">
        <v>2.5499999999999998</v>
      </c>
      <c r="J756" s="8" t="s">
        <v>4862</v>
      </c>
      <c r="K756" s="182">
        <v>39256</v>
      </c>
      <c r="L756" s="8" t="s">
        <v>5743</v>
      </c>
      <c r="M756" s="8" t="s">
        <v>2814</v>
      </c>
      <c r="N756" s="38"/>
      <c r="O756" s="8"/>
      <c r="P756" s="4" t="str">
        <f>VLOOKUP($B756,'D7 - NDB Impacted SPRF''s'!$E$16:$O$9929,9,FALSE)</f>
        <v>Y</v>
      </c>
      <c r="Q756" s="4" t="str">
        <f>VLOOKUP($B756,'D7 - NDB Impacted SPRF''s'!$E$16:$O$9929,10,FALSE)</f>
        <v>N</v>
      </c>
      <c r="R756" s="4" t="str">
        <f>VLOOKUP($B756,'D7 - NDB Impacted SPRF''s'!$E$16:$O$9929,11,FALSE)</f>
        <v>N</v>
      </c>
      <c r="S756" s="8"/>
      <c r="T756" s="310"/>
      <c r="U756" s="310"/>
      <c r="V756" s="4"/>
      <c r="W756" s="4"/>
      <c r="X756" s="4"/>
      <c r="Y756" s="4"/>
      <c r="Z756" s="4"/>
      <c r="AA756" s="4"/>
      <c r="AB756" s="380" t="str">
        <f>VLOOKUP($B756,'D7 - NDB Impacted SPRF''s'!$E$16:$O$9929,4,FALSE)</f>
        <v>Completed</v>
      </c>
      <c r="AC756" s="380" t="str">
        <f>VLOOKUP($B756,'D7 - NDB Impacted SPRF''s'!$E$16:$O$9929,3,FALSE)</f>
        <v>UnitedHealthcare Employer &amp; Individual</v>
      </c>
      <c r="AD756" s="380" t="str">
        <f>VLOOKUP($B756,'D7 - NDB Impacted SPRF''s'!$E$16:$O$9929,5,FALSE)</f>
        <v>Integration Requirements</v>
      </c>
      <c r="AE756" s="380" t="str">
        <f>VLOOKUP($B756,'D7 - NDB Impacted SPRF''s'!$E$16:$O$9929,7,FALSE)</f>
        <v>Tim Kaja</v>
      </c>
      <c r="AF756" s="380" t="str">
        <f>VLOOKUP($B756,'D7 - NDB Impacted SPRF''s'!$E$16:$O$9929,6,FALSE)</f>
        <v>Sharon Childs</v>
      </c>
      <c r="AG756" s="282"/>
      <c r="AH756" s="311" t="e">
        <f>INDEX('D5 - Gatekeeper - Projects'!$A$4:$AF$1010,$AM756, 17)</f>
        <v>#N/A</v>
      </c>
      <c r="AI756" s="8"/>
      <c r="AJ756" s="57"/>
      <c r="AK756" s="105"/>
      <c r="AM756" s="6" t="e">
        <f>MATCH(D756,'D5 - Gatekeeper - Projects'!$C$4:$C$1010,0)</f>
        <v>#N/A</v>
      </c>
      <c r="AN756" s="6" t="b">
        <f t="shared" si="67"/>
        <v>1</v>
      </c>
      <c r="AO756" s="6" t="str">
        <f t="shared" si="70"/>
        <v>OK</v>
      </c>
      <c r="AQ756" s="6" t="e">
        <f>MATCH($D756,'D4 - Provider Council Unsched'!$C$11:$C$234,0)</f>
        <v>#N/A</v>
      </c>
      <c r="AR756" s="6" t="b">
        <f t="shared" si="68"/>
        <v>1</v>
      </c>
      <c r="AS756" s="6" t="str">
        <f t="shared" si="72"/>
        <v>OK</v>
      </c>
      <c r="AU756" s="202"/>
      <c r="AV756" s="262"/>
      <c r="AW756" s="274"/>
    </row>
    <row r="757" spans="1:49" s="13" customFormat="1" ht="33.75" x14ac:dyDescent="0.2">
      <c r="A757" s="14">
        <v>733</v>
      </c>
      <c r="B757" s="14">
        <v>400016995</v>
      </c>
      <c r="C757" s="8" t="s">
        <v>5197</v>
      </c>
      <c r="D757" s="4" t="str">
        <f t="shared" si="69"/>
        <v>400016995R1</v>
      </c>
      <c r="E757" s="309" t="str">
        <f>VLOOKUP($B757,'D7 - NDB Impacted SPRF''s'!$E$6:$O$9929,2,FALSE)</f>
        <v xml:space="preserve">Ovations Load Status errors. </v>
      </c>
      <c r="F757" s="8" t="s">
        <v>5544</v>
      </c>
      <c r="G757" s="8" t="s">
        <v>4758</v>
      </c>
      <c r="H757" s="8" t="s">
        <v>4246</v>
      </c>
      <c r="I757" s="20">
        <v>1.07</v>
      </c>
      <c r="J757" s="8" t="s">
        <v>4862</v>
      </c>
      <c r="K757" s="182">
        <v>39256</v>
      </c>
      <c r="L757" s="8" t="s">
        <v>5743</v>
      </c>
      <c r="M757" s="8" t="s">
        <v>6688</v>
      </c>
      <c r="N757" s="38" t="s">
        <v>6283</v>
      </c>
      <c r="O757" s="8"/>
      <c r="P757" s="4" t="str">
        <f>VLOOKUP($B757,'D7 - NDB Impacted SPRF''s'!$E$16:$O$9929,9,FALSE)</f>
        <v>N</v>
      </c>
      <c r="Q757" s="4" t="str">
        <f>VLOOKUP($B757,'D7 - NDB Impacted SPRF''s'!$E$16:$O$9929,10,FALSE)</f>
        <v>N</v>
      </c>
      <c r="R757" s="4" t="str">
        <f>VLOOKUP($B757,'D7 - NDB Impacted SPRF''s'!$E$16:$O$9929,11,FALSE)</f>
        <v>N</v>
      </c>
      <c r="S757" s="8"/>
      <c r="T757" s="310"/>
      <c r="U757" s="310"/>
      <c r="V757" s="4"/>
      <c r="W757" s="4"/>
      <c r="X757" s="4"/>
      <c r="Y757" s="4"/>
      <c r="Z757" s="4"/>
      <c r="AA757" s="4"/>
      <c r="AB757" s="380" t="str">
        <f>VLOOKUP($B757,'D7 - NDB Impacted SPRF''s'!$E$16:$O$9929,4,FALSE)</f>
        <v>Completed</v>
      </c>
      <c r="AC757" s="380" t="str">
        <f>VLOOKUP($B757,'D7 - NDB Impacted SPRF''s'!$E$16:$O$9929,3,FALSE)</f>
        <v>UnitedHealthcare Medicare &amp; Retirement</v>
      </c>
      <c r="AD757" s="380" t="str">
        <f>VLOOKUP($B757,'D7 - NDB Impacted SPRF''s'!$E$16:$O$9929,5,FALSE)</f>
        <v>Ovations</v>
      </c>
      <c r="AE757" s="380" t="str">
        <f>VLOOKUP($B757,'D7 - NDB Impacted SPRF''s'!$E$16:$O$9929,7,FALSE)</f>
        <v>Jamie Reynoso</v>
      </c>
      <c r="AF757" s="380" t="str">
        <f>VLOOKUP($B757,'D7 - NDB Impacted SPRF''s'!$E$16:$O$9929,6,FALSE)</f>
        <v>Susan Gruwell</v>
      </c>
      <c r="AG757" s="282"/>
      <c r="AH757" s="311" t="e">
        <f>INDEX('D5 - Gatekeeper - Projects'!$A$4:$AF$1010,$AM757, 17)</f>
        <v>#N/A</v>
      </c>
      <c r="AI757" s="8"/>
      <c r="AJ757" s="57"/>
      <c r="AK757" s="105"/>
      <c r="AM757" s="6" t="e">
        <f>MATCH(D757,'D5 - Gatekeeper - Projects'!$C$4:$C$1010,0)</f>
        <v>#N/A</v>
      </c>
      <c r="AN757" s="6" t="b">
        <f t="shared" si="67"/>
        <v>1</v>
      </c>
      <c r="AO757" s="6" t="str">
        <f t="shared" si="70"/>
        <v>OK</v>
      </c>
      <c r="AQ757" s="6" t="e">
        <f>MATCH($D757,'D4 - Provider Council Unsched'!$C$11:$C$234,0)</f>
        <v>#N/A</v>
      </c>
      <c r="AR757" s="6" t="b">
        <f t="shared" si="68"/>
        <v>1</v>
      </c>
      <c r="AS757" s="6" t="str">
        <f t="shared" si="72"/>
        <v>OK</v>
      </c>
      <c r="AU757" s="202"/>
      <c r="AV757" s="262"/>
      <c r="AW757" s="274"/>
    </row>
    <row r="758" spans="1:49" s="13" customFormat="1" ht="33.75" x14ac:dyDescent="0.2">
      <c r="A758" s="14">
        <v>734</v>
      </c>
      <c r="B758" s="14">
        <v>400018029</v>
      </c>
      <c r="C758" s="8" t="s">
        <v>5197</v>
      </c>
      <c r="D758" s="4" t="str">
        <f t="shared" si="69"/>
        <v>400018029R1</v>
      </c>
      <c r="E758" s="309" t="str">
        <f>VLOOKUP($B758,'D7 - NDB Impacted SPRF''s'!$E$6:$O$9929,2,FALSE)</f>
        <v>Modify NDB F5938P Batch Process for Multiple Files</v>
      </c>
      <c r="F758" s="8" t="s">
        <v>6007</v>
      </c>
      <c r="G758" s="8" t="s">
        <v>4758</v>
      </c>
      <c r="H758" s="8" t="s">
        <v>4246</v>
      </c>
      <c r="I758" s="20">
        <v>1.07</v>
      </c>
      <c r="J758" s="8" t="s">
        <v>4862</v>
      </c>
      <c r="K758" s="182">
        <v>39256</v>
      </c>
      <c r="L758" s="8" t="s">
        <v>5743</v>
      </c>
      <c r="M758" s="8" t="s">
        <v>6007</v>
      </c>
      <c r="N758" s="38"/>
      <c r="O758" s="8"/>
      <c r="P758" s="4" t="str">
        <f>VLOOKUP($B758,'D7 - NDB Impacted SPRF''s'!$E$16:$O$9929,9,FALSE)</f>
        <v>N</v>
      </c>
      <c r="Q758" s="4" t="str">
        <f>VLOOKUP($B758,'D7 - NDB Impacted SPRF''s'!$E$16:$O$9929,10,FALSE)</f>
        <v>N</v>
      </c>
      <c r="R758" s="4" t="str">
        <f>VLOOKUP($B758,'D7 - NDB Impacted SPRF''s'!$E$16:$O$9929,11,FALSE)</f>
        <v>N</v>
      </c>
      <c r="S758" s="8"/>
      <c r="T758" s="310"/>
      <c r="U758" s="310"/>
      <c r="V758" s="4"/>
      <c r="W758" s="4"/>
      <c r="X758" s="4"/>
      <c r="Y758" s="4"/>
      <c r="Z758" s="4"/>
      <c r="AA758" s="4"/>
      <c r="AB758" s="380" t="str">
        <f>VLOOKUP($B758,'D7 - NDB Impacted SPRF''s'!$E$16:$O$9929,4,FALSE)</f>
        <v>Completed</v>
      </c>
      <c r="AC758" s="380" t="str">
        <f>VLOOKUP($B758,'D7 - NDB Impacted SPRF''s'!$E$16:$O$9929,3,FALSE)</f>
        <v>UnitedHealthcare Employer &amp; Individual</v>
      </c>
      <c r="AD758" s="380" t="str">
        <f>VLOOKUP($B758,'D7 - NDB Impacted SPRF''s'!$E$16:$O$9929,5,FALSE)</f>
        <v>Network Growth / Enhancements</v>
      </c>
      <c r="AE758" s="380" t="str">
        <f>VLOOKUP($B758,'D7 - NDB Impacted SPRF''s'!$E$16:$O$9929,7,FALSE)</f>
        <v>Ed Novinski</v>
      </c>
      <c r="AF758" s="380" t="str">
        <f>VLOOKUP($B758,'D7 - NDB Impacted SPRF''s'!$E$16:$O$9929,6,FALSE)</f>
        <v>JOSHUA WOODRUM</v>
      </c>
      <c r="AG758" s="282"/>
      <c r="AH758" s="311" t="e">
        <f>INDEX('D5 - Gatekeeper - Projects'!$A$4:$AF$1010,$AM758, 17)</f>
        <v>#N/A</v>
      </c>
      <c r="AI758" s="8"/>
      <c r="AJ758" s="57"/>
      <c r="AK758" s="105"/>
      <c r="AM758" s="6" t="e">
        <f>MATCH(D758,'D5 - Gatekeeper - Projects'!$C$4:$C$1010,0)</f>
        <v>#N/A</v>
      </c>
      <c r="AN758" s="6" t="b">
        <f t="shared" si="67"/>
        <v>1</v>
      </c>
      <c r="AO758" s="6" t="str">
        <f t="shared" si="70"/>
        <v>OK</v>
      </c>
      <c r="AQ758" s="6" t="e">
        <f>MATCH($D758,'D4 - Provider Council Unsched'!$C$11:$C$234,0)</f>
        <v>#N/A</v>
      </c>
      <c r="AR758" s="6" t="b">
        <f t="shared" si="68"/>
        <v>1</v>
      </c>
      <c r="AS758" s="6" t="str">
        <f t="shared" si="72"/>
        <v>OK</v>
      </c>
      <c r="AU758" s="202"/>
      <c r="AV758" s="262"/>
      <c r="AW758" s="274"/>
    </row>
    <row r="759" spans="1:49" s="13" customFormat="1" ht="33.75" x14ac:dyDescent="0.2">
      <c r="A759" s="14">
        <v>735</v>
      </c>
      <c r="B759" s="14">
        <v>400004925</v>
      </c>
      <c r="C759" s="8" t="s">
        <v>5197</v>
      </c>
      <c r="D759" s="4" t="str">
        <f t="shared" si="69"/>
        <v>400004925R1</v>
      </c>
      <c r="E759" s="309" t="str">
        <f>VLOOKUP($B759,'D7 - NDB Impacted SPRF''s'!$E$6:$O$9929,2,FALSE)</f>
        <v>ICD9 Diagnosis Code Extract from NDB</v>
      </c>
      <c r="F759" s="8" t="s">
        <v>3235</v>
      </c>
      <c r="G759" s="8" t="s">
        <v>4758</v>
      </c>
      <c r="H759" s="8" t="s">
        <v>4246</v>
      </c>
      <c r="I759" s="20">
        <v>0.53</v>
      </c>
      <c r="J759" s="8" t="s">
        <v>4862</v>
      </c>
      <c r="K759" s="182">
        <v>39284</v>
      </c>
      <c r="L759" s="8" t="s">
        <v>5743</v>
      </c>
      <c r="M759" s="8" t="s">
        <v>2814</v>
      </c>
      <c r="N759" s="367"/>
      <c r="O759" s="8"/>
      <c r="P759" s="4" t="str">
        <f>VLOOKUP($B759,'D7 - NDB Impacted SPRF''s'!$E$16:$O$9929,9,FALSE)</f>
        <v>N</v>
      </c>
      <c r="Q759" s="4" t="str">
        <f>VLOOKUP($B759,'D7 - NDB Impacted SPRF''s'!$E$16:$O$9929,10,FALSE)</f>
        <v>N</v>
      </c>
      <c r="R759" s="4" t="str">
        <f>VLOOKUP($B759,'D7 - NDB Impacted SPRF''s'!$E$16:$O$9929,11,FALSE)</f>
        <v>N</v>
      </c>
      <c r="S759" s="8"/>
      <c r="T759" s="310"/>
      <c r="U759" s="310"/>
      <c r="V759" s="4"/>
      <c r="W759" s="4"/>
      <c r="X759" s="4"/>
      <c r="Y759" s="4"/>
      <c r="Z759" s="4"/>
      <c r="AA759" s="4"/>
      <c r="AB759" s="380" t="str">
        <f>VLOOKUP($B759,'D7 - NDB Impacted SPRF''s'!$E$16:$O$9929,4,FALSE)</f>
        <v>Completed</v>
      </c>
      <c r="AC759" s="380" t="str">
        <f>VLOOKUP($B759,'D7 - NDB Impacted SPRF''s'!$E$16:$O$9929,3,FALSE)</f>
        <v>UnitedHealthcare Employer &amp; Individual</v>
      </c>
      <c r="AD759" s="380" t="str">
        <f>VLOOKUP($B759,'D7 - NDB Impacted SPRF''s'!$E$16:$O$9929,5,FALSE)</f>
        <v>Medical Cost Savings Programs</v>
      </c>
      <c r="AE759" s="380" t="str">
        <f>VLOOKUP($B759,'D7 - NDB Impacted SPRF''s'!$E$16:$O$9929,7,FALSE)</f>
        <v>Ruth Hufnagle</v>
      </c>
      <c r="AF759" s="380" t="str">
        <f>VLOOKUP($B759,'D7 - NDB Impacted SPRF''s'!$E$16:$O$9929,6,FALSE)</f>
        <v>Ruth Backlund</v>
      </c>
      <c r="AG759" s="282" t="s">
        <v>7755</v>
      </c>
      <c r="AH759" s="311" t="e">
        <f>INDEX('D5 - Gatekeeper - Projects'!$A$4:$AF$1010,$AM759, 17)</f>
        <v>#N/A</v>
      </c>
      <c r="AI759" s="8"/>
      <c r="AJ759" s="57"/>
      <c r="AK759" s="105"/>
      <c r="AM759" s="6" t="e">
        <f>MATCH(D759,'D5 - Gatekeeper - Projects'!$C$4:$C$1010,0)</f>
        <v>#N/A</v>
      </c>
      <c r="AN759" s="6" t="b">
        <f t="shared" si="67"/>
        <v>1</v>
      </c>
      <c r="AO759" s="6" t="str">
        <f t="shared" si="70"/>
        <v>OK</v>
      </c>
      <c r="AQ759" s="6" t="e">
        <f>MATCH($D759,'D4 - Provider Council Unsched'!$C$11:$C$234,0)</f>
        <v>#N/A</v>
      </c>
      <c r="AR759" s="6" t="b">
        <f t="shared" si="68"/>
        <v>1</v>
      </c>
      <c r="AS759" s="6" t="str">
        <f t="shared" si="72"/>
        <v>OK</v>
      </c>
      <c r="AU759" s="202"/>
      <c r="AV759" s="262"/>
      <c r="AW759" s="274"/>
    </row>
    <row r="760" spans="1:49" s="13" customFormat="1" ht="33.75" x14ac:dyDescent="0.2">
      <c r="A760" s="14">
        <v>736</v>
      </c>
      <c r="B760" s="14">
        <v>400012116</v>
      </c>
      <c r="C760" s="8" t="s">
        <v>5197</v>
      </c>
      <c r="D760" s="4" t="str">
        <f t="shared" si="69"/>
        <v>400012116R1</v>
      </c>
      <c r="E760" s="309" t="str">
        <f>VLOOKUP($B760,'D7 - NDB Impacted SPRF''s'!$E$6:$O$9929,2,FALSE)</f>
        <v>PacifiCare NICE Long Term HCFA ppoONE Repricing</v>
      </c>
      <c r="F760" s="8" t="s">
        <v>6071</v>
      </c>
      <c r="G760" s="8" t="s">
        <v>4758</v>
      </c>
      <c r="H760" s="8" t="s">
        <v>4246</v>
      </c>
      <c r="I760" s="20">
        <v>1</v>
      </c>
      <c r="J760" s="8" t="s">
        <v>4862</v>
      </c>
      <c r="K760" s="182">
        <v>39284</v>
      </c>
      <c r="L760" s="8" t="s">
        <v>5743</v>
      </c>
      <c r="M760" s="8" t="s">
        <v>2814</v>
      </c>
      <c r="N760" s="367"/>
      <c r="O760" s="8"/>
      <c r="P760" s="4" t="str">
        <f>VLOOKUP($B760,'D7 - NDB Impacted SPRF''s'!$E$16:$O$9929,9,FALSE)</f>
        <v>Y</v>
      </c>
      <c r="Q760" s="4" t="str">
        <f>VLOOKUP($B760,'D7 - NDB Impacted SPRF''s'!$E$16:$O$9929,10,FALSE)</f>
        <v>N</v>
      </c>
      <c r="R760" s="4" t="str">
        <f>VLOOKUP($B760,'D7 - NDB Impacted SPRF''s'!$E$16:$O$9929,11,FALSE)</f>
        <v>Y</v>
      </c>
      <c r="S760" s="8" t="s">
        <v>3758</v>
      </c>
      <c r="T760" s="310"/>
      <c r="U760" s="310"/>
      <c r="V760" s="4"/>
      <c r="W760" s="4"/>
      <c r="X760" s="4"/>
      <c r="Y760" s="4"/>
      <c r="Z760" s="4"/>
      <c r="AA760" s="4"/>
      <c r="AB760" s="380" t="str">
        <f>VLOOKUP($B760,'D7 - NDB Impacted SPRF''s'!$E$16:$O$9929,4,FALSE)</f>
        <v>Completed</v>
      </c>
      <c r="AC760" s="380" t="str">
        <f>VLOOKUP($B760,'D7 - NDB Impacted SPRF''s'!$E$16:$O$9929,3,FALSE)</f>
        <v>UnitedHealthcare Employer &amp; Individual</v>
      </c>
      <c r="AD760" s="380" t="str">
        <f>VLOOKUP($B760,'D7 - NDB Impacted SPRF''s'!$E$16:$O$9929,5,FALSE)</f>
        <v>Integration Requirements</v>
      </c>
      <c r="AE760" s="380" t="str">
        <f>VLOOKUP($B760,'D7 - NDB Impacted SPRF''s'!$E$16:$O$9929,7,FALSE)</f>
        <v>Shannon Nelson</v>
      </c>
      <c r="AF760" s="380" t="str">
        <f>VLOOKUP($B760,'D7 - NDB Impacted SPRF''s'!$E$16:$O$9929,6,FALSE)</f>
        <v>STACIE THOMAS</v>
      </c>
      <c r="AG760" s="282" t="s">
        <v>6162</v>
      </c>
      <c r="AH760" s="311" t="e">
        <f>INDEX('D5 - Gatekeeper - Projects'!$A$4:$AF$1010,$AM760, 17)</f>
        <v>#N/A</v>
      </c>
      <c r="AI760" s="8"/>
      <c r="AJ760" s="57"/>
      <c r="AK760" s="105"/>
      <c r="AM760" s="6" t="e">
        <f>MATCH(D760,'D5 - Gatekeeper - Projects'!$C$4:$C$1010,0)</f>
        <v>#N/A</v>
      </c>
      <c r="AN760" s="6" t="b">
        <f t="shared" si="67"/>
        <v>1</v>
      </c>
      <c r="AO760" s="6" t="str">
        <f t="shared" si="70"/>
        <v>OK</v>
      </c>
      <c r="AQ760" s="6" t="e">
        <f>MATCH($D760,'D4 - Provider Council Unsched'!$C$11:$C$234,0)</f>
        <v>#N/A</v>
      </c>
      <c r="AR760" s="6" t="b">
        <f t="shared" si="68"/>
        <v>1</v>
      </c>
      <c r="AS760" s="6" t="str">
        <f t="shared" si="72"/>
        <v>OK</v>
      </c>
      <c r="AU760" s="202"/>
      <c r="AV760" s="262"/>
      <c r="AW760" s="274"/>
    </row>
    <row r="761" spans="1:49" s="13" customFormat="1" ht="33.75" x14ac:dyDescent="0.2">
      <c r="A761" s="14">
        <v>737</v>
      </c>
      <c r="B761" s="14">
        <v>400012118</v>
      </c>
      <c r="C761" s="8" t="s">
        <v>5197</v>
      </c>
      <c r="D761" s="4" t="str">
        <f t="shared" si="69"/>
        <v>400012118R1</v>
      </c>
      <c r="E761" s="309" t="str">
        <f>VLOOKUP($B761,'D7 - NDB Impacted SPRF''s'!$E$6:$O$9929,2,FALSE)</f>
        <v>PacifiCare Iliad Long Term HCFA ppoONE Repricing</v>
      </c>
      <c r="F761" s="8" t="s">
        <v>6071</v>
      </c>
      <c r="G761" s="8" t="s">
        <v>4758</v>
      </c>
      <c r="H761" s="8" t="s">
        <v>4246</v>
      </c>
      <c r="I761" s="20">
        <v>1</v>
      </c>
      <c r="J761" s="8" t="s">
        <v>4862</v>
      </c>
      <c r="K761" s="182">
        <v>39284</v>
      </c>
      <c r="L761" s="8" t="s">
        <v>5743</v>
      </c>
      <c r="M761" s="8" t="s">
        <v>2814</v>
      </c>
      <c r="N761" s="367"/>
      <c r="O761" s="8"/>
      <c r="P761" s="4" t="str">
        <f>VLOOKUP($B761,'D7 - NDB Impacted SPRF''s'!$E$16:$O$9929,9,FALSE)</f>
        <v>Y</v>
      </c>
      <c r="Q761" s="4" t="str">
        <f>VLOOKUP($B761,'D7 - NDB Impacted SPRF''s'!$E$16:$O$9929,10,FALSE)</f>
        <v>N</v>
      </c>
      <c r="R761" s="4" t="str">
        <f>VLOOKUP($B761,'D7 - NDB Impacted SPRF''s'!$E$16:$O$9929,11,FALSE)</f>
        <v>Y</v>
      </c>
      <c r="S761" s="8" t="s">
        <v>3758</v>
      </c>
      <c r="T761" s="310"/>
      <c r="U761" s="310"/>
      <c r="V761" s="4"/>
      <c r="W761" s="4"/>
      <c r="X761" s="4"/>
      <c r="Y761" s="4"/>
      <c r="Z761" s="4"/>
      <c r="AA761" s="4"/>
      <c r="AB761" s="380" t="str">
        <f>VLOOKUP($B761,'D7 - NDB Impacted SPRF''s'!$E$16:$O$9929,4,FALSE)</f>
        <v>Completed</v>
      </c>
      <c r="AC761" s="380" t="str">
        <f>VLOOKUP($B761,'D7 - NDB Impacted SPRF''s'!$E$16:$O$9929,3,FALSE)</f>
        <v>UnitedHealthcare Employer &amp; Individual</v>
      </c>
      <c r="AD761" s="380" t="str">
        <f>VLOOKUP($B761,'D7 - NDB Impacted SPRF''s'!$E$16:$O$9929,5,FALSE)</f>
        <v>Integration Requirements</v>
      </c>
      <c r="AE761" s="380" t="str">
        <f>VLOOKUP($B761,'D7 - NDB Impacted SPRF''s'!$E$16:$O$9929,7,FALSE)</f>
        <v>Shannon Nelson</v>
      </c>
      <c r="AF761" s="380" t="str">
        <f>VLOOKUP($B761,'D7 - NDB Impacted SPRF''s'!$E$16:$O$9929,6,FALSE)</f>
        <v>STACIE THOMAS</v>
      </c>
      <c r="AG761" s="282" t="s">
        <v>6162</v>
      </c>
      <c r="AH761" s="311" t="e">
        <f>INDEX('D5 - Gatekeeper - Projects'!$A$4:$AF$1010,$AM761, 17)</f>
        <v>#N/A</v>
      </c>
      <c r="AI761" s="8"/>
      <c r="AJ761" s="57"/>
      <c r="AK761" s="105"/>
      <c r="AM761" s="6" t="e">
        <f>MATCH(D761,'D5 - Gatekeeper - Projects'!$C$4:$C$1010,0)</f>
        <v>#N/A</v>
      </c>
      <c r="AN761" s="6" t="b">
        <f t="shared" si="67"/>
        <v>1</v>
      </c>
      <c r="AO761" s="6" t="str">
        <f t="shared" si="70"/>
        <v>OK</v>
      </c>
      <c r="AQ761" s="6" t="e">
        <f>MATCH($D761,'D4 - Provider Council Unsched'!$C$11:$C$234,0)</f>
        <v>#N/A</v>
      </c>
      <c r="AR761" s="6" t="b">
        <f t="shared" si="68"/>
        <v>1</v>
      </c>
      <c r="AS761" s="6" t="str">
        <f t="shared" si="72"/>
        <v>OK</v>
      </c>
      <c r="AU761" s="202"/>
      <c r="AV761" s="262"/>
      <c r="AW761" s="274"/>
    </row>
    <row r="762" spans="1:49" s="13" customFormat="1" ht="33.75" x14ac:dyDescent="0.2">
      <c r="A762" s="14">
        <v>738</v>
      </c>
      <c r="B762" s="14">
        <v>400012830</v>
      </c>
      <c r="C762" s="8" t="s">
        <v>1981</v>
      </c>
      <c r="D762" s="4" t="str">
        <f t="shared" si="69"/>
        <v>400012830CC22</v>
      </c>
      <c r="E762" s="309" t="str">
        <f>VLOOKUP($B762,'D7 - NDB Impacted SPRF''s'!$E$6:$O$9929,2,FALSE)</f>
        <v>Alliances Data Exchange Platform</v>
      </c>
      <c r="F762" s="8" t="s">
        <v>5196</v>
      </c>
      <c r="G762" s="8" t="s">
        <v>4758</v>
      </c>
      <c r="H762" s="8" t="s">
        <v>4246</v>
      </c>
      <c r="I762" s="20">
        <v>1.07</v>
      </c>
      <c r="J762" s="8" t="s">
        <v>4862</v>
      </c>
      <c r="K762" s="182">
        <v>39284</v>
      </c>
      <c r="L762" s="8" t="s">
        <v>5743</v>
      </c>
      <c r="M762" s="8" t="s">
        <v>2814</v>
      </c>
      <c r="N762" s="38"/>
      <c r="O762" s="8"/>
      <c r="P762" s="4" t="str">
        <f>VLOOKUP($B762,'D7 - NDB Impacted SPRF''s'!$E$16:$O$9929,9,FALSE)</f>
        <v>Y</v>
      </c>
      <c r="Q762" s="4" t="str">
        <f>VLOOKUP($B762,'D7 - NDB Impacted SPRF''s'!$E$16:$O$9929,10,FALSE)</f>
        <v>N</v>
      </c>
      <c r="R762" s="4" t="str">
        <f>VLOOKUP($B762,'D7 - NDB Impacted SPRF''s'!$E$16:$O$9929,11,FALSE)</f>
        <v>N</v>
      </c>
      <c r="S762" s="8"/>
      <c r="T762" s="310"/>
      <c r="U762" s="310"/>
      <c r="V762" s="4"/>
      <c r="W762" s="4"/>
      <c r="X762" s="4"/>
      <c r="Y762" s="4"/>
      <c r="Z762" s="4"/>
      <c r="AA762" s="4"/>
      <c r="AB762" s="380" t="str">
        <f>VLOOKUP($B762,'D7 - NDB Impacted SPRF''s'!$E$16:$O$9929,4,FALSE)</f>
        <v>Completed</v>
      </c>
      <c r="AC762" s="380" t="str">
        <f>VLOOKUP($B762,'D7 - NDB Impacted SPRF''s'!$E$16:$O$9929,3,FALSE)</f>
        <v>UnitedHealthcare Employer &amp; Individual</v>
      </c>
      <c r="AD762" s="380" t="str">
        <f>VLOOKUP($B762,'D7 - NDB Impacted SPRF''s'!$E$16:$O$9929,5,FALSE)</f>
        <v>Healthcare Service Alliance</v>
      </c>
      <c r="AE762" s="380" t="str">
        <f>VLOOKUP($B762,'D7 - NDB Impacted SPRF''s'!$E$16:$O$9929,7,FALSE)</f>
        <v>Bev Nyce</v>
      </c>
      <c r="AF762" s="380" t="str">
        <f>VLOOKUP($B762,'D7 - NDB Impacted SPRF''s'!$E$16:$O$9929,6,FALSE)</f>
        <v>DONALD DEMARCO</v>
      </c>
      <c r="AG762" s="282"/>
      <c r="AH762" s="311" t="e">
        <f>INDEX('D5 - Gatekeeper - Projects'!$A$4:$AF$1010,$AM762, 17)</f>
        <v>#N/A</v>
      </c>
      <c r="AI762" s="8"/>
      <c r="AJ762" s="57"/>
      <c r="AK762" s="105"/>
      <c r="AM762" s="6" t="e">
        <f>MATCH(D762,'D5 - Gatekeeper - Projects'!$C$4:$C$1010,0)</f>
        <v>#N/A</v>
      </c>
      <c r="AN762" s="6" t="b">
        <f t="shared" si="67"/>
        <v>1</v>
      </c>
      <c r="AO762" s="6" t="str">
        <f t="shared" si="70"/>
        <v>OK</v>
      </c>
      <c r="AQ762" s="6" t="e">
        <f>MATCH($D762,'D4 - Provider Council Unsched'!$C$11:$C$234,0)</f>
        <v>#N/A</v>
      </c>
      <c r="AR762" s="6" t="b">
        <f t="shared" si="68"/>
        <v>1</v>
      </c>
      <c r="AS762" s="6" t="str">
        <f t="shared" si="72"/>
        <v>OK</v>
      </c>
      <c r="AU762" s="202"/>
      <c r="AV762" s="262"/>
      <c r="AW762" s="274"/>
    </row>
    <row r="763" spans="1:49" s="13" customFormat="1" ht="33.75" x14ac:dyDescent="0.2">
      <c r="A763" s="14">
        <v>739</v>
      </c>
      <c r="B763" s="14">
        <v>400012830</v>
      </c>
      <c r="C763" s="8" t="s">
        <v>1982</v>
      </c>
      <c r="D763" s="4" t="str">
        <f t="shared" si="69"/>
        <v>400012830CC23</v>
      </c>
      <c r="E763" s="309" t="str">
        <f>VLOOKUP($B763,'D7 - NDB Impacted SPRF''s'!$E$6:$O$9929,2,FALSE)</f>
        <v>Alliances Data Exchange Platform</v>
      </c>
      <c r="F763" s="8" t="s">
        <v>5196</v>
      </c>
      <c r="G763" s="8" t="s">
        <v>4758</v>
      </c>
      <c r="H763" s="8" t="s">
        <v>4246</v>
      </c>
      <c r="I763" s="20">
        <v>39</v>
      </c>
      <c r="J763" s="8" t="s">
        <v>4862</v>
      </c>
      <c r="K763" s="182">
        <v>39284</v>
      </c>
      <c r="L763" s="8" t="s">
        <v>5743</v>
      </c>
      <c r="M763" s="8" t="s">
        <v>2814</v>
      </c>
      <c r="N763" s="38"/>
      <c r="O763" s="8"/>
      <c r="P763" s="4" t="str">
        <f>VLOOKUP($B763,'D7 - NDB Impacted SPRF''s'!$E$16:$O$9929,9,FALSE)</f>
        <v>Y</v>
      </c>
      <c r="Q763" s="4" t="str">
        <f>VLOOKUP($B763,'D7 - NDB Impacted SPRF''s'!$E$16:$O$9929,10,FALSE)</f>
        <v>N</v>
      </c>
      <c r="R763" s="4" t="str">
        <f>VLOOKUP($B763,'D7 - NDB Impacted SPRF''s'!$E$16:$O$9929,11,FALSE)</f>
        <v>N</v>
      </c>
      <c r="S763" s="8"/>
      <c r="T763" s="310"/>
      <c r="U763" s="310"/>
      <c r="V763" s="4"/>
      <c r="W763" s="4"/>
      <c r="X763" s="4"/>
      <c r="Y763" s="4"/>
      <c r="Z763" s="4"/>
      <c r="AA763" s="4"/>
      <c r="AB763" s="380" t="str">
        <f>VLOOKUP($B763,'D7 - NDB Impacted SPRF''s'!$E$16:$O$9929,4,FALSE)</f>
        <v>Completed</v>
      </c>
      <c r="AC763" s="380" t="str">
        <f>VLOOKUP($B763,'D7 - NDB Impacted SPRF''s'!$E$16:$O$9929,3,FALSE)</f>
        <v>UnitedHealthcare Employer &amp; Individual</v>
      </c>
      <c r="AD763" s="380" t="str">
        <f>VLOOKUP($B763,'D7 - NDB Impacted SPRF''s'!$E$16:$O$9929,5,FALSE)</f>
        <v>Healthcare Service Alliance</v>
      </c>
      <c r="AE763" s="380" t="str">
        <f>VLOOKUP($B763,'D7 - NDB Impacted SPRF''s'!$E$16:$O$9929,7,FALSE)</f>
        <v>Bev Nyce</v>
      </c>
      <c r="AF763" s="380" t="str">
        <f>VLOOKUP($B763,'D7 - NDB Impacted SPRF''s'!$E$16:$O$9929,6,FALSE)</f>
        <v>DONALD DEMARCO</v>
      </c>
      <c r="AG763" s="282"/>
      <c r="AH763" s="311" t="e">
        <f>INDEX('D5 - Gatekeeper - Projects'!$A$4:$AF$1010,$AM763, 17)</f>
        <v>#N/A</v>
      </c>
      <c r="AI763" s="8"/>
      <c r="AJ763" s="57"/>
      <c r="AK763" s="105"/>
      <c r="AM763" s="6" t="e">
        <f>MATCH(D763,'D5 - Gatekeeper - Projects'!$C$4:$C$1010,0)</f>
        <v>#N/A</v>
      </c>
      <c r="AN763" s="6" t="b">
        <f t="shared" si="67"/>
        <v>1</v>
      </c>
      <c r="AO763" s="6" t="str">
        <f t="shared" si="70"/>
        <v>OK</v>
      </c>
      <c r="AQ763" s="6" t="e">
        <f>MATCH($D763,'D4 - Provider Council Unsched'!$C$11:$C$234,0)</f>
        <v>#N/A</v>
      </c>
      <c r="AR763" s="6" t="b">
        <f t="shared" si="68"/>
        <v>1</v>
      </c>
      <c r="AS763" s="6" t="str">
        <f t="shared" si="72"/>
        <v>OK</v>
      </c>
      <c r="AU763" s="202"/>
      <c r="AV763" s="262"/>
      <c r="AW763" s="274"/>
    </row>
    <row r="764" spans="1:49" s="13" customFormat="1" ht="33.75" x14ac:dyDescent="0.2">
      <c r="A764" s="14">
        <v>740</v>
      </c>
      <c r="B764" s="14">
        <v>400012978</v>
      </c>
      <c r="C764" s="8" t="s">
        <v>4926</v>
      </c>
      <c r="D764" s="4" t="str">
        <f t="shared" si="69"/>
        <v>400012978R4</v>
      </c>
      <c r="E764" s="309" t="str">
        <f>VLOOKUP($B764,'D7 - NDB Impacted SPRF''s'!$E$6:$O$9929,2,FALSE)</f>
        <v xml:space="preserve">Enterprise Capitation Solution - Provider </v>
      </c>
      <c r="F764" s="8" t="s">
        <v>7593</v>
      </c>
      <c r="G764" s="8" t="s">
        <v>4758</v>
      </c>
      <c r="H764" s="8" t="s">
        <v>4246</v>
      </c>
      <c r="I764" s="20">
        <v>35.36</v>
      </c>
      <c r="J764" s="8" t="s">
        <v>4862</v>
      </c>
      <c r="K764" s="182">
        <v>39284</v>
      </c>
      <c r="L764" s="8" t="s">
        <v>5743</v>
      </c>
      <c r="M764" s="8" t="s">
        <v>2814</v>
      </c>
      <c r="N764" s="367"/>
      <c r="O764" s="8"/>
      <c r="P764" s="4" t="str">
        <f>VLOOKUP($B764,'D7 - NDB Impacted SPRF''s'!$E$16:$O$9929,9,FALSE)</f>
        <v>N</v>
      </c>
      <c r="Q764" s="4" t="str">
        <f>VLOOKUP($B764,'D7 - NDB Impacted SPRF''s'!$E$16:$O$9929,10,FALSE)</f>
        <v>N</v>
      </c>
      <c r="R764" s="4" t="str">
        <f>VLOOKUP($B764,'D7 - NDB Impacted SPRF''s'!$E$16:$O$9929,11,FALSE)</f>
        <v>N</v>
      </c>
      <c r="S764" s="8" t="s">
        <v>3758</v>
      </c>
      <c r="T764" s="310"/>
      <c r="U764" s="310"/>
      <c r="V764" s="4"/>
      <c r="W764" s="4"/>
      <c r="X764" s="4"/>
      <c r="Y764" s="4"/>
      <c r="Z764" s="4"/>
      <c r="AA764" s="4"/>
      <c r="AB764" s="380" t="str">
        <f>VLOOKUP($B764,'D7 - NDB Impacted SPRF''s'!$E$16:$O$9929,4,FALSE)</f>
        <v>Completed</v>
      </c>
      <c r="AC764" s="380" t="str">
        <f>VLOOKUP($B764,'D7 - NDB Impacted SPRF''s'!$E$16:$O$9929,3,FALSE)</f>
        <v>UnitedHealthcare Employer &amp; Individual</v>
      </c>
      <c r="AD764" s="380" t="str">
        <f>VLOOKUP($B764,'D7 - NDB Impacted SPRF''s'!$E$16:$O$9929,5,FALSE)</f>
        <v>Integration Requirements</v>
      </c>
      <c r="AE764" s="380" t="str">
        <f>VLOOKUP($B764,'D7 - NDB Impacted SPRF''s'!$E$16:$O$9929,7,FALSE)</f>
        <v>Tim Kaja</v>
      </c>
      <c r="AF764" s="380" t="str">
        <f>VLOOKUP($B764,'D7 - NDB Impacted SPRF''s'!$E$16:$O$9929,6,FALSE)</f>
        <v>SEAN WATKINS</v>
      </c>
      <c r="AG764" s="282"/>
      <c r="AH764" s="311" t="e">
        <f>INDEX('D5 - Gatekeeper - Projects'!$A$4:$AF$1010,$AM764, 17)</f>
        <v>#N/A</v>
      </c>
      <c r="AI764" s="8"/>
      <c r="AJ764" s="57"/>
      <c r="AK764" s="105"/>
      <c r="AM764" s="6" t="e">
        <f>MATCH(D764,'D5 - Gatekeeper - Projects'!$C$4:$C$1010,0)</f>
        <v>#N/A</v>
      </c>
      <c r="AN764" s="6" t="b">
        <f t="shared" si="67"/>
        <v>1</v>
      </c>
      <c r="AO764" s="6" t="str">
        <f t="shared" si="70"/>
        <v>OK</v>
      </c>
      <c r="AQ764" s="6" t="e">
        <f>MATCH($D764,'D4 - Provider Council Unsched'!$C$11:$C$234,0)</f>
        <v>#N/A</v>
      </c>
      <c r="AR764" s="6" t="b">
        <f t="shared" si="68"/>
        <v>1</v>
      </c>
      <c r="AS764" s="6" t="str">
        <f t="shared" si="72"/>
        <v>OK</v>
      </c>
      <c r="AU764" s="202"/>
      <c r="AV764" s="262"/>
      <c r="AW764" s="274"/>
    </row>
    <row r="765" spans="1:49" s="13" customFormat="1" ht="33.75" x14ac:dyDescent="0.2">
      <c r="A765" s="14">
        <v>741</v>
      </c>
      <c r="B765" s="14">
        <v>400013434</v>
      </c>
      <c r="C765" s="8" t="s">
        <v>5197</v>
      </c>
      <c r="D765" s="4" t="str">
        <f t="shared" si="69"/>
        <v>400013434R1</v>
      </c>
      <c r="E765" s="309" t="str">
        <f>VLOOKUP($B765,'D7 - NDB Impacted SPRF''s'!$E$6:$O$9929,2,FALSE)</f>
        <v xml:space="preserve">PHS NICE_UPCT Cust-Elig </v>
      </c>
      <c r="F765" s="8" t="s">
        <v>6071</v>
      </c>
      <c r="G765" s="8" t="s">
        <v>4758</v>
      </c>
      <c r="H765" s="8" t="s">
        <v>4246</v>
      </c>
      <c r="I765" s="20">
        <v>0.8</v>
      </c>
      <c r="J765" s="8" t="s">
        <v>4862</v>
      </c>
      <c r="K765" s="182">
        <v>39284</v>
      </c>
      <c r="L765" s="8" t="s">
        <v>5743</v>
      </c>
      <c r="M765" s="8" t="s">
        <v>5626</v>
      </c>
      <c r="N765" s="367" t="s">
        <v>3752</v>
      </c>
      <c r="O765" s="8"/>
      <c r="P765" s="4" t="str">
        <f>VLOOKUP($B765,'D7 - NDB Impacted SPRF''s'!$E$16:$O$9929,9,FALSE)</f>
        <v>N</v>
      </c>
      <c r="Q765" s="4" t="str">
        <f>VLOOKUP($B765,'D7 - NDB Impacted SPRF''s'!$E$16:$O$9929,10,FALSE)</f>
        <v>N</v>
      </c>
      <c r="R765" s="4" t="str">
        <f>VLOOKUP($B765,'D7 - NDB Impacted SPRF''s'!$E$16:$O$9929,11,FALSE)</f>
        <v>N</v>
      </c>
      <c r="S765" s="8" t="s">
        <v>3758</v>
      </c>
      <c r="T765" s="310"/>
      <c r="U765" s="310"/>
      <c r="V765" s="4"/>
      <c r="W765" s="4"/>
      <c r="X765" s="4"/>
      <c r="Y765" s="4"/>
      <c r="Z765" s="4"/>
      <c r="AA765" s="4"/>
      <c r="AB765" s="380" t="str">
        <f>VLOOKUP($B765,'D7 - NDB Impacted SPRF''s'!$E$16:$O$9929,4,FALSE)</f>
        <v>Completed</v>
      </c>
      <c r="AC765" s="380" t="str">
        <f>VLOOKUP($B765,'D7 - NDB Impacted SPRF''s'!$E$16:$O$9929,3,FALSE)</f>
        <v>UnitedHealthcare Employer &amp; Individual</v>
      </c>
      <c r="AD765" s="380" t="str">
        <f>VLOOKUP($B765,'D7 - NDB Impacted SPRF''s'!$E$16:$O$9929,5,FALSE)</f>
        <v>Integration Requirements</v>
      </c>
      <c r="AE765" s="380" t="str">
        <f>VLOOKUP($B765,'D7 - NDB Impacted SPRF''s'!$E$16:$O$9929,7,FALSE)</f>
        <v>Diane Schofield/ Jason Greenberg</v>
      </c>
      <c r="AF765" s="380" t="str">
        <f>VLOOKUP($B765,'D7 - NDB Impacted SPRF''s'!$E$16:$O$9929,6,FALSE)</f>
        <v>NICOLE GEDATUS</v>
      </c>
      <c r="AG765" s="282"/>
      <c r="AH765" s="311" t="e">
        <f>INDEX('D5 - Gatekeeper - Projects'!$A$4:$AF$1010,$AM765, 17)</f>
        <v>#N/A</v>
      </c>
      <c r="AI765" s="8"/>
      <c r="AJ765" s="57"/>
      <c r="AK765" s="105"/>
      <c r="AM765" s="6" t="e">
        <f>MATCH(D765,'D5 - Gatekeeper - Projects'!$C$4:$C$1010,0)</f>
        <v>#N/A</v>
      </c>
      <c r="AN765" s="6" t="b">
        <f t="shared" si="67"/>
        <v>1</v>
      </c>
      <c r="AO765" s="6" t="str">
        <f t="shared" si="70"/>
        <v>OK</v>
      </c>
      <c r="AQ765" s="6" t="e">
        <f>MATCH($D765,'D4 - Provider Council Unsched'!$C$11:$C$234,0)</f>
        <v>#N/A</v>
      </c>
      <c r="AR765" s="6" t="b">
        <f t="shared" si="68"/>
        <v>1</v>
      </c>
      <c r="AS765" s="6" t="str">
        <f t="shared" si="72"/>
        <v>OK</v>
      </c>
      <c r="AU765" s="202"/>
      <c r="AV765" s="262"/>
      <c r="AW765" s="274"/>
    </row>
    <row r="766" spans="1:49" s="13" customFormat="1" ht="33.75" x14ac:dyDescent="0.2">
      <c r="A766" s="14">
        <v>742</v>
      </c>
      <c r="B766" s="14">
        <v>400013435</v>
      </c>
      <c r="C766" s="8" t="s">
        <v>5197</v>
      </c>
      <c r="D766" s="4" t="str">
        <f t="shared" si="69"/>
        <v>400013435R1</v>
      </c>
      <c r="E766" s="309" t="str">
        <f>VLOOKUP($B766,'D7 - NDB Impacted SPRF''s'!$E$6:$O$9929,2,FALSE)</f>
        <v>PHS RIMS_UPCT Cust-Elig</v>
      </c>
      <c r="F766" s="8" t="s">
        <v>6071</v>
      </c>
      <c r="G766" s="8" t="s">
        <v>4758</v>
      </c>
      <c r="H766" s="8" t="s">
        <v>4246</v>
      </c>
      <c r="I766" s="20">
        <v>0.8</v>
      </c>
      <c r="J766" s="8" t="s">
        <v>4862</v>
      </c>
      <c r="K766" s="182">
        <v>39284</v>
      </c>
      <c r="L766" s="8" t="s">
        <v>5743</v>
      </c>
      <c r="M766" s="8" t="s">
        <v>5626</v>
      </c>
      <c r="N766" s="367" t="s">
        <v>3752</v>
      </c>
      <c r="O766" s="8"/>
      <c r="P766" s="4" t="str">
        <f>VLOOKUP($B766,'D7 - NDB Impacted SPRF''s'!$E$16:$O$9929,9,FALSE)</f>
        <v>N</v>
      </c>
      <c r="Q766" s="4" t="str">
        <f>VLOOKUP($B766,'D7 - NDB Impacted SPRF''s'!$E$16:$O$9929,10,FALSE)</f>
        <v>N</v>
      </c>
      <c r="R766" s="4" t="str">
        <f>VLOOKUP($B766,'D7 - NDB Impacted SPRF''s'!$E$16:$O$9929,11,FALSE)</f>
        <v>N</v>
      </c>
      <c r="S766" s="8" t="s">
        <v>3758</v>
      </c>
      <c r="T766" s="310"/>
      <c r="U766" s="310"/>
      <c r="V766" s="4"/>
      <c r="W766" s="4"/>
      <c r="X766" s="4"/>
      <c r="Y766" s="4"/>
      <c r="Z766" s="4"/>
      <c r="AA766" s="4"/>
      <c r="AB766" s="380" t="str">
        <f>VLOOKUP($B766,'D7 - NDB Impacted SPRF''s'!$E$16:$O$9929,4,FALSE)</f>
        <v>Completed</v>
      </c>
      <c r="AC766" s="380" t="str">
        <f>VLOOKUP($B766,'D7 - NDB Impacted SPRF''s'!$E$16:$O$9929,3,FALSE)</f>
        <v>UnitedHealthcare Employer &amp; Individual</v>
      </c>
      <c r="AD766" s="380" t="str">
        <f>VLOOKUP($B766,'D7 - NDB Impacted SPRF''s'!$E$16:$O$9929,5,FALSE)</f>
        <v>Integration Requirements</v>
      </c>
      <c r="AE766" s="380" t="str">
        <f>VLOOKUP($B766,'D7 - NDB Impacted SPRF''s'!$E$16:$O$9929,7,FALSE)</f>
        <v>Diane Schofield/ Jason Greenberg</v>
      </c>
      <c r="AF766" s="380" t="str">
        <f>VLOOKUP($B766,'D7 - NDB Impacted SPRF''s'!$E$16:$O$9929,6,FALSE)</f>
        <v>NICOLE GEDATUS</v>
      </c>
      <c r="AG766" s="282"/>
      <c r="AH766" s="311" t="e">
        <f>INDEX('D5 - Gatekeeper - Projects'!$A$4:$AF$1010,$AM766, 17)</f>
        <v>#N/A</v>
      </c>
      <c r="AI766" s="8"/>
      <c r="AJ766" s="57"/>
      <c r="AK766" s="105"/>
      <c r="AM766" s="6" t="e">
        <f>MATCH(D766,'D5 - Gatekeeper - Projects'!$C$4:$C$1010,0)</f>
        <v>#N/A</v>
      </c>
      <c r="AN766" s="6" t="b">
        <f t="shared" si="67"/>
        <v>1</v>
      </c>
      <c r="AO766" s="6" t="str">
        <f t="shared" si="70"/>
        <v>OK</v>
      </c>
      <c r="AQ766" s="6" t="e">
        <f>MATCH($D766,'D4 - Provider Council Unsched'!$C$11:$C$234,0)</f>
        <v>#N/A</v>
      </c>
      <c r="AR766" s="6" t="b">
        <f t="shared" si="68"/>
        <v>1</v>
      </c>
      <c r="AS766" s="6" t="str">
        <f t="shared" si="72"/>
        <v>OK</v>
      </c>
      <c r="AU766" s="202"/>
      <c r="AV766" s="262"/>
      <c r="AW766" s="274"/>
    </row>
    <row r="767" spans="1:49" s="13" customFormat="1" ht="33.75" x14ac:dyDescent="0.2">
      <c r="A767" s="14">
        <v>743</v>
      </c>
      <c r="B767" s="14">
        <v>400013760</v>
      </c>
      <c r="C767" s="8" t="s">
        <v>5197</v>
      </c>
      <c r="D767" s="4" t="str">
        <f t="shared" si="69"/>
        <v>400013760R1</v>
      </c>
      <c r="E767" s="309" t="str">
        <f>VLOOKUP($B767,'D7 - NDB Impacted SPRF''s'!$E$6:$O$9929,2,FALSE)</f>
        <v>MEDecision to UP Contingency Integration</v>
      </c>
      <c r="F767" s="8" t="s">
        <v>6071</v>
      </c>
      <c r="G767" s="8" t="s">
        <v>4758</v>
      </c>
      <c r="H767" s="8" t="s">
        <v>4246</v>
      </c>
      <c r="I767" s="20">
        <v>7</v>
      </c>
      <c r="J767" s="8" t="s">
        <v>4862</v>
      </c>
      <c r="K767" s="182">
        <v>39284</v>
      </c>
      <c r="L767" s="8" t="s">
        <v>5743</v>
      </c>
      <c r="M767" s="8" t="s">
        <v>2814</v>
      </c>
      <c r="N767" s="367" t="s">
        <v>5052</v>
      </c>
      <c r="O767" s="8"/>
      <c r="P767" s="4" t="str">
        <f>VLOOKUP($B767,'D7 - NDB Impacted SPRF''s'!$E$16:$O$9929,9,FALSE)</f>
        <v>Y</v>
      </c>
      <c r="Q767" s="4" t="str">
        <f>VLOOKUP($B767,'D7 - NDB Impacted SPRF''s'!$E$16:$O$9929,10,FALSE)</f>
        <v>N</v>
      </c>
      <c r="R767" s="4" t="str">
        <f>VLOOKUP($B767,'D7 - NDB Impacted SPRF''s'!$E$16:$O$9929,11,FALSE)</f>
        <v>N</v>
      </c>
      <c r="S767" s="8"/>
      <c r="T767" s="310"/>
      <c r="U767" s="310"/>
      <c r="V767" s="4"/>
      <c r="W767" s="4"/>
      <c r="X767" s="4"/>
      <c r="Y767" s="4"/>
      <c r="Z767" s="4"/>
      <c r="AA767" s="4"/>
      <c r="AB767" s="380" t="str">
        <f>VLOOKUP($B767,'D7 - NDB Impacted SPRF''s'!$E$16:$O$9929,4,FALSE)</f>
        <v>Completed</v>
      </c>
      <c r="AC767" s="380" t="str">
        <f>VLOOKUP($B767,'D7 - NDB Impacted SPRF''s'!$E$16:$O$9929,3,FALSE)</f>
        <v>UnitedHealthcare Employer &amp; Individual</v>
      </c>
      <c r="AD767" s="380" t="str">
        <f>VLOOKUP($B767,'D7 - NDB Impacted SPRF''s'!$E$16:$O$9929,5,FALSE)</f>
        <v>Integration Requirements</v>
      </c>
      <c r="AE767" s="380" t="str">
        <f>VLOOKUP($B767,'D7 - NDB Impacted SPRF''s'!$E$16:$O$9929,7,FALSE)</f>
        <v>Elizabeth Corbin</v>
      </c>
      <c r="AF767" s="380" t="str">
        <f>VLOOKUP($B767,'D7 - NDB Impacted SPRF''s'!$E$16:$O$9929,6,FALSE)</f>
        <v>AIMEE ARANDA</v>
      </c>
      <c r="AG767" s="282"/>
      <c r="AH767" s="311" t="e">
        <f>INDEX('D5 - Gatekeeper - Projects'!$A$4:$AF$1010,$AM767, 17)</f>
        <v>#N/A</v>
      </c>
      <c r="AI767" s="8"/>
      <c r="AJ767" s="57"/>
      <c r="AK767" s="105"/>
      <c r="AM767" s="6" t="e">
        <f>MATCH(D767,'D5 - Gatekeeper - Projects'!$C$4:$C$1010,0)</f>
        <v>#N/A</v>
      </c>
      <c r="AN767" s="6" t="b">
        <f t="shared" si="67"/>
        <v>1</v>
      </c>
      <c r="AO767" s="6" t="str">
        <f t="shared" si="70"/>
        <v>OK</v>
      </c>
      <c r="AQ767" s="6" t="e">
        <f>MATCH($D767,'D4 - Provider Council Unsched'!$C$11:$C$234,0)</f>
        <v>#N/A</v>
      </c>
      <c r="AR767" s="6" t="b">
        <f t="shared" si="68"/>
        <v>1</v>
      </c>
      <c r="AS767" s="6" t="str">
        <f t="shared" si="72"/>
        <v>OK</v>
      </c>
      <c r="AU767" s="202"/>
      <c r="AV767" s="262"/>
      <c r="AW767" s="274"/>
    </row>
    <row r="768" spans="1:49" s="13" customFormat="1" ht="33.75" x14ac:dyDescent="0.2">
      <c r="A768" s="14">
        <v>744</v>
      </c>
      <c r="B768" s="14">
        <v>400015096</v>
      </c>
      <c r="C768" s="8" t="s">
        <v>5197</v>
      </c>
      <c r="D768" s="4" t="str">
        <f t="shared" si="69"/>
        <v>400015096R1</v>
      </c>
      <c r="E768" s="309" t="str">
        <f>VLOOKUP($B768,'D7 - NDB Impacted SPRF''s'!$E$6:$O$9929,2,FALSE)</f>
        <v>UMR Standard EPDE</v>
      </c>
      <c r="F768" s="8" t="s">
        <v>5846</v>
      </c>
      <c r="G768" s="8" t="s">
        <v>4758</v>
      </c>
      <c r="H768" s="8" t="s">
        <v>4246</v>
      </c>
      <c r="I768" s="20">
        <v>1.07</v>
      </c>
      <c r="J768" s="8" t="s">
        <v>4862</v>
      </c>
      <c r="K768" s="182">
        <v>39284</v>
      </c>
      <c r="L768" s="8" t="s">
        <v>5743</v>
      </c>
      <c r="M768" s="8" t="s">
        <v>6007</v>
      </c>
      <c r="N768" s="38"/>
      <c r="O768" s="8"/>
      <c r="P768" s="4" t="str">
        <f>VLOOKUP($B768,'D7 - NDB Impacted SPRF''s'!$E$16:$O$9929,9,FALSE)</f>
        <v>N</v>
      </c>
      <c r="Q768" s="4" t="str">
        <f>VLOOKUP($B768,'D7 - NDB Impacted SPRF''s'!$E$16:$O$9929,10,FALSE)</f>
        <v>N</v>
      </c>
      <c r="R768" s="4" t="str">
        <f>VLOOKUP($B768,'D7 - NDB Impacted SPRF''s'!$E$16:$O$9929,11,FALSE)</f>
        <v>N</v>
      </c>
      <c r="S768" s="8"/>
      <c r="T768" s="310"/>
      <c r="U768" s="310"/>
      <c r="V768" s="4"/>
      <c r="W768" s="4"/>
      <c r="X768" s="4"/>
      <c r="Y768" s="4"/>
      <c r="Z768" s="4"/>
      <c r="AA768" s="4"/>
      <c r="AB768" s="380" t="str">
        <f>VLOOKUP($B768,'D7 - NDB Impacted SPRF''s'!$E$16:$O$9929,4,FALSE)</f>
        <v>Completed</v>
      </c>
      <c r="AC768" s="380" t="str">
        <f>VLOOKUP($B768,'D7 - NDB Impacted SPRF''s'!$E$16:$O$9929,3,FALSE)</f>
        <v>UnitedHealthcare Employer &amp; Individual</v>
      </c>
      <c r="AD768" s="380" t="str">
        <f>VLOOKUP($B768,'D7 - NDB Impacted SPRF''s'!$E$16:$O$9929,5,FALSE)</f>
        <v>Integration Requirements</v>
      </c>
      <c r="AE768" s="380" t="str">
        <f>VLOOKUP($B768,'D7 - NDB Impacted SPRF''s'!$E$16:$O$9929,7,FALSE)</f>
        <v>Sally Verrilli</v>
      </c>
      <c r="AF768" s="380" t="str">
        <f>VLOOKUP($B768,'D7 - NDB Impacted SPRF''s'!$E$16:$O$9929,6,FALSE)</f>
        <v>WILLIAM DOBRANSKY</v>
      </c>
      <c r="AG768" s="282"/>
      <c r="AH768" s="311" t="e">
        <f>INDEX('D5 - Gatekeeper - Projects'!$A$4:$AF$1010,$AM768, 17)</f>
        <v>#N/A</v>
      </c>
      <c r="AI768" s="8"/>
      <c r="AJ768" s="57"/>
      <c r="AK768" s="105"/>
      <c r="AM768" s="6" t="e">
        <f>MATCH(D768,'D5 - Gatekeeper - Projects'!$C$4:$C$1010,0)</f>
        <v>#N/A</v>
      </c>
      <c r="AN768" s="6" t="b">
        <f t="shared" si="67"/>
        <v>1</v>
      </c>
      <c r="AO768" s="6" t="str">
        <f t="shared" si="70"/>
        <v>OK</v>
      </c>
      <c r="AQ768" s="6" t="e">
        <f>MATCH($D768,'D4 - Provider Council Unsched'!$C$11:$C$234,0)</f>
        <v>#N/A</v>
      </c>
      <c r="AR768" s="6" t="b">
        <f t="shared" si="68"/>
        <v>1</v>
      </c>
      <c r="AS768" s="6" t="str">
        <f t="shared" si="72"/>
        <v>OK</v>
      </c>
      <c r="AU768" s="202"/>
      <c r="AV768" s="262"/>
      <c r="AW768" s="274"/>
    </row>
    <row r="769" spans="1:49" s="13" customFormat="1" ht="33.75" x14ac:dyDescent="0.2">
      <c r="A769" s="14">
        <v>745</v>
      </c>
      <c r="B769" s="14">
        <v>400015205</v>
      </c>
      <c r="C769" s="8" t="s">
        <v>5197</v>
      </c>
      <c r="D769" s="4" t="str">
        <f t="shared" si="69"/>
        <v>400015205R1</v>
      </c>
      <c r="E769" s="309" t="str">
        <f>VLOOKUP($B769,'D7 - NDB Impacted SPRF''s'!$E$6:$O$9929,2,FALSE)</f>
        <v>NDB AMAV Table Conversion</v>
      </c>
      <c r="F769" s="8" t="s">
        <v>4069</v>
      </c>
      <c r="G769" s="8" t="s">
        <v>4758</v>
      </c>
      <c r="H769" s="8" t="s">
        <v>4246</v>
      </c>
      <c r="I769" s="20">
        <v>8.23</v>
      </c>
      <c r="J769" s="8" t="s">
        <v>4862</v>
      </c>
      <c r="K769" s="182">
        <v>39284</v>
      </c>
      <c r="L769" s="8" t="s">
        <v>5743</v>
      </c>
      <c r="M769" s="8" t="s">
        <v>2814</v>
      </c>
      <c r="N769" s="38" t="s">
        <v>7214</v>
      </c>
      <c r="O769" s="8"/>
      <c r="P769" s="4" t="str">
        <f>VLOOKUP($B769,'D7 - NDB Impacted SPRF''s'!$E$16:$O$9929,9,FALSE)</f>
        <v>N</v>
      </c>
      <c r="Q769" s="4" t="str">
        <f>VLOOKUP($B769,'D7 - NDB Impacted SPRF''s'!$E$16:$O$9929,10,FALSE)</f>
        <v>N</v>
      </c>
      <c r="R769" s="4" t="str">
        <f>VLOOKUP($B769,'D7 - NDB Impacted SPRF''s'!$E$16:$O$9929,11,FALSE)</f>
        <v>N</v>
      </c>
      <c r="S769" s="8"/>
      <c r="T769" s="310"/>
      <c r="U769" s="310"/>
      <c r="V769" s="4"/>
      <c r="W769" s="4"/>
      <c r="X769" s="4"/>
      <c r="Y769" s="4"/>
      <c r="Z769" s="4"/>
      <c r="AA769" s="4"/>
      <c r="AB769" s="380" t="str">
        <f>VLOOKUP($B769,'D7 - NDB Impacted SPRF''s'!$E$16:$O$9929,4,FALSE)</f>
        <v>Completed</v>
      </c>
      <c r="AC769" s="380" t="str">
        <f>VLOOKUP($B769,'D7 - NDB Impacted SPRF''s'!$E$16:$O$9929,3,FALSE)</f>
        <v>UnitedHealthcare Employer &amp; Individual</v>
      </c>
      <c r="AD769" s="380" t="str">
        <f>VLOOKUP($B769,'D7 - NDB Impacted SPRF''s'!$E$16:$O$9929,5,FALSE)</f>
        <v>Network Growth / Enhancements</v>
      </c>
      <c r="AE769" s="380" t="str">
        <f>VLOOKUP($B769,'D7 - NDB Impacted SPRF''s'!$E$16:$O$9929,7,FALSE)</f>
        <v>tim kaja</v>
      </c>
      <c r="AF769" s="380" t="str">
        <f>VLOOKUP($B769,'D7 - NDB Impacted SPRF''s'!$E$16:$O$9929,6,FALSE)</f>
        <v>MARCIA MONACO</v>
      </c>
      <c r="AG769" s="282"/>
      <c r="AH769" s="311" t="e">
        <f>INDEX('D5 - Gatekeeper - Projects'!$A$4:$AF$1010,$AM769, 17)</f>
        <v>#N/A</v>
      </c>
      <c r="AI769" s="8"/>
      <c r="AJ769" s="57"/>
      <c r="AK769" s="105"/>
      <c r="AM769" s="6" t="e">
        <f>MATCH(D769,'D5 - Gatekeeper - Projects'!$C$4:$C$1010,0)</f>
        <v>#N/A</v>
      </c>
      <c r="AN769" s="6" t="b">
        <f t="shared" si="67"/>
        <v>1</v>
      </c>
      <c r="AO769" s="6" t="str">
        <f t="shared" si="70"/>
        <v>OK</v>
      </c>
      <c r="AQ769" s="6" t="e">
        <f>MATCH($D769,'D4 - Provider Council Unsched'!$C$11:$C$234,0)</f>
        <v>#N/A</v>
      </c>
      <c r="AR769" s="6" t="b">
        <f t="shared" si="68"/>
        <v>1</v>
      </c>
      <c r="AS769" s="6" t="str">
        <f t="shared" si="72"/>
        <v>OK</v>
      </c>
      <c r="AU769" s="202"/>
      <c r="AV769" s="262"/>
      <c r="AW769" s="274"/>
    </row>
    <row r="770" spans="1:49" s="13" customFormat="1" ht="33.75" x14ac:dyDescent="0.2">
      <c r="A770" s="14">
        <v>746</v>
      </c>
      <c r="B770" s="14">
        <v>400015544</v>
      </c>
      <c r="C770" s="8" t="s">
        <v>5197</v>
      </c>
      <c r="D770" s="4" t="str">
        <f t="shared" si="69"/>
        <v>400015544R1</v>
      </c>
      <c r="E770" s="309" t="str">
        <f>VLOOKUP($B770,'D7 - NDB Impacted SPRF''s'!$E$6:$O$9929,2,FALSE)</f>
        <v>Claims Repricing - Enhanced Claim File Processing</v>
      </c>
      <c r="F770" s="8" t="s">
        <v>4304</v>
      </c>
      <c r="G770" s="8" t="s">
        <v>4758</v>
      </c>
      <c r="H770" s="8" t="s">
        <v>4246</v>
      </c>
      <c r="I770" s="20">
        <v>21</v>
      </c>
      <c r="J770" s="8" t="s">
        <v>4862</v>
      </c>
      <c r="K770" s="182">
        <v>39284</v>
      </c>
      <c r="L770" s="8" t="s">
        <v>5743</v>
      </c>
      <c r="M770" s="8" t="s">
        <v>2814</v>
      </c>
      <c r="N770" s="38" t="s">
        <v>1620</v>
      </c>
      <c r="O770" s="8"/>
      <c r="P770" s="4" t="str">
        <f>VLOOKUP($B770,'D7 - NDB Impacted SPRF''s'!$E$16:$O$9929,9,FALSE)</f>
        <v>N</v>
      </c>
      <c r="Q770" s="4" t="str">
        <f>VLOOKUP($B770,'D7 - NDB Impacted SPRF''s'!$E$16:$O$9929,10,FALSE)</f>
        <v>N</v>
      </c>
      <c r="R770" s="4" t="str">
        <f>VLOOKUP($B770,'D7 - NDB Impacted SPRF''s'!$E$16:$O$9929,11,FALSE)</f>
        <v>Y</v>
      </c>
      <c r="S770" s="8"/>
      <c r="T770" s="310"/>
      <c r="U770" s="310"/>
      <c r="V770" s="4"/>
      <c r="W770" s="4"/>
      <c r="X770" s="4"/>
      <c r="Y770" s="4"/>
      <c r="Z770" s="4"/>
      <c r="AA770" s="4"/>
      <c r="AB770" s="380" t="str">
        <f>VLOOKUP($B770,'D7 - NDB Impacted SPRF''s'!$E$16:$O$9929,4,FALSE)</f>
        <v>Completed</v>
      </c>
      <c r="AC770" s="380" t="str">
        <f>VLOOKUP($B770,'D7 - NDB Impacted SPRF''s'!$E$16:$O$9929,3,FALSE)</f>
        <v>UnitedHealthcare Employer &amp; Individual</v>
      </c>
      <c r="AD770" s="380" t="str">
        <f>VLOOKUP($B770,'D7 - NDB Impacted SPRF''s'!$E$16:$O$9929,5,FALSE)</f>
        <v>Medical Cost Savings Programs</v>
      </c>
      <c r="AE770" s="380" t="str">
        <f>VLOOKUP($B770,'D7 - NDB Impacted SPRF''s'!$E$16:$O$9929,7,FALSE)</f>
        <v>Steven Mueller</v>
      </c>
      <c r="AF770" s="380" t="str">
        <f>VLOOKUP($B770,'D7 - NDB Impacted SPRF''s'!$E$16:$O$9929,6,FALSE)</f>
        <v>JAMES SHELTON</v>
      </c>
      <c r="AG770" s="282"/>
      <c r="AH770" s="311" t="e">
        <f>INDEX('D5 - Gatekeeper - Projects'!$A$4:$AF$1010,$AM770, 17)</f>
        <v>#N/A</v>
      </c>
      <c r="AI770" s="8"/>
      <c r="AJ770" s="57"/>
      <c r="AK770" s="105"/>
      <c r="AM770" s="6" t="e">
        <f>MATCH(D770,'D5 - Gatekeeper - Projects'!$C$4:$C$1010,0)</f>
        <v>#N/A</v>
      </c>
      <c r="AN770" s="6" t="b">
        <f t="shared" si="67"/>
        <v>1</v>
      </c>
      <c r="AO770" s="6" t="str">
        <f t="shared" si="70"/>
        <v>OK</v>
      </c>
      <c r="AQ770" s="6" t="e">
        <f>MATCH($D770,'D4 - Provider Council Unsched'!$C$11:$C$234,0)</f>
        <v>#N/A</v>
      </c>
      <c r="AR770" s="6" t="b">
        <f t="shared" si="68"/>
        <v>1</v>
      </c>
      <c r="AS770" s="6" t="str">
        <f t="shared" si="72"/>
        <v>OK</v>
      </c>
      <c r="AU770" s="202"/>
      <c r="AV770" s="262"/>
      <c r="AW770" s="274"/>
    </row>
    <row r="771" spans="1:49" s="13" customFormat="1" ht="33.75" x14ac:dyDescent="0.2">
      <c r="A771" s="14">
        <v>747</v>
      </c>
      <c r="B771" s="14">
        <v>400016578</v>
      </c>
      <c r="C771" s="8" t="s">
        <v>5614</v>
      </c>
      <c r="D771" s="4" t="str">
        <f t="shared" si="69"/>
        <v>400016578R5</v>
      </c>
      <c r="E771" s="309" t="str">
        <f>VLOOKUP($B771,'D7 - NDB Impacted SPRF''s'!$E$6:$O$9929,2,FALSE)</f>
        <v>Detailed Tuning Recommendations</v>
      </c>
      <c r="F771" s="8" t="s">
        <v>8133</v>
      </c>
      <c r="G771" s="8" t="s">
        <v>4758</v>
      </c>
      <c r="H771" s="8" t="s">
        <v>4246</v>
      </c>
      <c r="I771" s="20">
        <v>1</v>
      </c>
      <c r="J771" s="8" t="s">
        <v>4862</v>
      </c>
      <c r="K771" s="182">
        <v>39284</v>
      </c>
      <c r="L771" s="8" t="s">
        <v>5743</v>
      </c>
      <c r="M771" s="8" t="s">
        <v>2814</v>
      </c>
      <c r="N771" s="38"/>
      <c r="O771" s="8" t="s">
        <v>7755</v>
      </c>
      <c r="P771" s="4" t="str">
        <f>VLOOKUP($B771,'D7 - NDB Impacted SPRF''s'!$E$16:$O$9929,9,FALSE)</f>
        <v>Y</v>
      </c>
      <c r="Q771" s="4" t="str">
        <f>VLOOKUP($B771,'D7 - NDB Impacted SPRF''s'!$E$16:$O$9929,10,FALSE)</f>
        <v>N</v>
      </c>
      <c r="R771" s="4" t="str">
        <f>VLOOKUP($B771,'D7 - NDB Impacted SPRF''s'!$E$16:$O$9929,11,FALSE)</f>
        <v>N</v>
      </c>
      <c r="S771" s="8"/>
      <c r="T771" s="310"/>
      <c r="U771" s="310"/>
      <c r="V771" s="4"/>
      <c r="W771" s="4"/>
      <c r="X771" s="4"/>
      <c r="Y771" s="4"/>
      <c r="Z771" s="4"/>
      <c r="AA771" s="4"/>
      <c r="AB771" s="380" t="str">
        <f>VLOOKUP($B771,'D7 - NDB Impacted SPRF''s'!$E$16:$O$9929,4,FALSE)</f>
        <v>Completed</v>
      </c>
      <c r="AC771" s="380" t="str">
        <f>VLOOKUP($B771,'D7 - NDB Impacted SPRF''s'!$E$16:$O$9929,3,FALSE)</f>
        <v>UHG IT - Application Services Group</v>
      </c>
      <c r="AD771" s="380" t="str">
        <f>VLOOKUP($B771,'D7 - NDB Impacted SPRF''s'!$E$16:$O$9929,5,FALSE)</f>
        <v>ASG</v>
      </c>
      <c r="AE771" s="380" t="str">
        <f>VLOOKUP($B771,'D7 - NDB Impacted SPRF''s'!$E$16:$O$9929,7,FALSE)</f>
        <v>Jeff Hanas</v>
      </c>
      <c r="AF771" s="380" t="str">
        <f>VLOOKUP($B771,'D7 - NDB Impacted SPRF''s'!$E$16:$O$9929,6,FALSE)</f>
        <v>Jeffrey Jablonski</v>
      </c>
      <c r="AG771" s="282"/>
      <c r="AH771" s="311" t="e">
        <f>INDEX('D5 - Gatekeeper - Projects'!$A$4:$AF$1010,$AM771, 17)</f>
        <v>#N/A</v>
      </c>
      <c r="AI771" s="8"/>
      <c r="AJ771" s="57"/>
      <c r="AK771" s="105"/>
      <c r="AM771" s="6" t="e">
        <f>MATCH(D771,'D5 - Gatekeeper - Projects'!$C$4:$C$1010,0)</f>
        <v>#N/A</v>
      </c>
      <c r="AN771" s="6" t="b">
        <f t="shared" si="67"/>
        <v>1</v>
      </c>
      <c r="AO771" s="6" t="str">
        <f t="shared" si="70"/>
        <v>OK</v>
      </c>
      <c r="AQ771" s="6" t="e">
        <f>MATCH($D771,'D4 - Provider Council Unsched'!$C$11:$C$234,0)</f>
        <v>#N/A</v>
      </c>
      <c r="AR771" s="6" t="b">
        <f t="shared" si="68"/>
        <v>1</v>
      </c>
      <c r="AS771" s="6" t="str">
        <f t="shared" si="72"/>
        <v>OK</v>
      </c>
      <c r="AU771" s="202"/>
      <c r="AV771" s="262"/>
      <c r="AW771" s="274"/>
    </row>
    <row r="772" spans="1:49" s="13" customFormat="1" ht="33.75" x14ac:dyDescent="0.2">
      <c r="A772" s="14">
        <v>748</v>
      </c>
      <c r="B772" s="14">
        <v>400016661</v>
      </c>
      <c r="C772" s="8" t="s">
        <v>1992</v>
      </c>
      <c r="D772" s="4" t="str">
        <f t="shared" si="69"/>
        <v>400016661U1</v>
      </c>
      <c r="E772" s="309" t="str">
        <f>VLOOKUP($B772,'D7 - NDB Impacted SPRF''s'!$E$6:$O$9929,2,FALSE)</f>
        <v>Pre-Auth Table - Line Expansion</v>
      </c>
      <c r="F772" s="8" t="s">
        <v>5752</v>
      </c>
      <c r="G772" s="8" t="s">
        <v>4758</v>
      </c>
      <c r="H772" s="8" t="s">
        <v>4246</v>
      </c>
      <c r="I772" s="20">
        <v>1.21</v>
      </c>
      <c r="J772" s="8" t="s">
        <v>4862</v>
      </c>
      <c r="K772" s="182">
        <v>39284</v>
      </c>
      <c r="L772" s="8" t="s">
        <v>5743</v>
      </c>
      <c r="M772" s="8" t="s">
        <v>2814</v>
      </c>
      <c r="N772" s="38"/>
      <c r="O772" s="8"/>
      <c r="P772" s="4" t="str">
        <f>VLOOKUP($B772,'D7 - NDB Impacted SPRF''s'!$E$16:$O$9929,9,FALSE)</f>
        <v>Y</v>
      </c>
      <c r="Q772" s="4" t="str">
        <f>VLOOKUP($B772,'D7 - NDB Impacted SPRF''s'!$E$16:$O$9929,10,FALSE)</f>
        <v>N</v>
      </c>
      <c r="R772" s="4" t="str">
        <f>VLOOKUP($B772,'D7 - NDB Impacted SPRF''s'!$E$16:$O$9929,11,FALSE)</f>
        <v>N</v>
      </c>
      <c r="S772" s="8"/>
      <c r="T772" s="310"/>
      <c r="U772" s="310"/>
      <c r="V772" s="4"/>
      <c r="W772" s="4"/>
      <c r="X772" s="4"/>
      <c r="Y772" s="4"/>
      <c r="Z772" s="4"/>
      <c r="AA772" s="4"/>
      <c r="AB772" s="380" t="str">
        <f>VLOOKUP($B772,'D7 - NDB Impacted SPRF''s'!$E$16:$O$9929,4,FALSE)</f>
        <v>Completed</v>
      </c>
      <c r="AC772" s="380" t="str">
        <f>VLOOKUP($B772,'D7 - NDB Impacted SPRF''s'!$E$16:$O$9929,3,FALSE)</f>
        <v>UnitedHealthcare Employer &amp; Individual</v>
      </c>
      <c r="AD772" s="380" t="str">
        <f>VLOOKUP($B772,'D7 - NDB Impacted SPRF''s'!$E$16:$O$9929,5,FALSE)</f>
        <v>Integration Requirements</v>
      </c>
      <c r="AE772" s="380" t="str">
        <f>VLOOKUP($B772,'D7 - NDB Impacted SPRF''s'!$E$16:$O$9929,7,FALSE)</f>
        <v>Tim Kaja</v>
      </c>
      <c r="AF772" s="380" t="str">
        <f>VLOOKUP($B772,'D7 - NDB Impacted SPRF''s'!$E$16:$O$9929,6,FALSE)</f>
        <v>Sharon Childs</v>
      </c>
      <c r="AG772" s="282"/>
      <c r="AH772" s="311" t="e">
        <f>INDEX('D5 - Gatekeeper - Projects'!$A$4:$AF$1010,$AM772, 17)</f>
        <v>#N/A</v>
      </c>
      <c r="AI772" s="8"/>
      <c r="AJ772" s="57"/>
      <c r="AK772" s="105"/>
      <c r="AM772" s="6" t="e">
        <f>MATCH(D772,'D5 - Gatekeeper - Projects'!$C$4:$C$1010,0)</f>
        <v>#N/A</v>
      </c>
      <c r="AN772" s="6" t="b">
        <f t="shared" si="67"/>
        <v>1</v>
      </c>
      <c r="AO772" s="6" t="str">
        <f t="shared" si="70"/>
        <v>OK</v>
      </c>
      <c r="AQ772" s="6" t="e">
        <f>MATCH($D772,'D4 - Provider Council Unsched'!$C$11:$C$234,0)</f>
        <v>#N/A</v>
      </c>
      <c r="AR772" s="6" t="b">
        <f t="shared" si="68"/>
        <v>1</v>
      </c>
      <c r="AS772" s="6" t="str">
        <f t="shared" si="72"/>
        <v>OK</v>
      </c>
      <c r="AU772" s="202"/>
      <c r="AV772" s="262"/>
      <c r="AW772" s="274"/>
    </row>
    <row r="773" spans="1:49" s="13" customFormat="1" ht="33.75" x14ac:dyDescent="0.2">
      <c r="A773" s="14">
        <v>749</v>
      </c>
      <c r="B773" s="14">
        <v>400017088</v>
      </c>
      <c r="C773" s="8" t="s">
        <v>5197</v>
      </c>
      <c r="D773" s="4" t="str">
        <f t="shared" si="69"/>
        <v>400017088R1</v>
      </c>
      <c r="E773" s="309" t="str">
        <f>VLOOKUP($B773,'D7 - NDB Impacted SPRF''s'!$E$6:$O$9929,2,FALSE)</f>
        <v>United StudentResources HCFA Claims Repricing Proj</v>
      </c>
      <c r="F773" s="8" t="s">
        <v>4304</v>
      </c>
      <c r="G773" s="8" t="s">
        <v>4758</v>
      </c>
      <c r="H773" s="8" t="s">
        <v>4246</v>
      </c>
      <c r="I773" s="20">
        <v>1</v>
      </c>
      <c r="J773" s="8" t="s">
        <v>4862</v>
      </c>
      <c r="K773" s="182">
        <v>39284</v>
      </c>
      <c r="L773" s="8" t="s">
        <v>5743</v>
      </c>
      <c r="M773" s="8" t="s">
        <v>5626</v>
      </c>
      <c r="N773" s="38" t="s">
        <v>7420</v>
      </c>
      <c r="O773" s="8"/>
      <c r="P773" s="4" t="str">
        <f>VLOOKUP($B773,'D7 - NDB Impacted SPRF''s'!$E$16:$O$9929,9,FALSE)</f>
        <v>N</v>
      </c>
      <c r="Q773" s="4" t="str">
        <f>VLOOKUP($B773,'D7 - NDB Impacted SPRF''s'!$E$16:$O$9929,10,FALSE)</f>
        <v>N</v>
      </c>
      <c r="R773" s="4" t="str">
        <f>VLOOKUP($B773,'D7 - NDB Impacted SPRF''s'!$E$16:$O$9929,11,FALSE)</f>
        <v>Y</v>
      </c>
      <c r="S773" s="8"/>
      <c r="T773" s="310"/>
      <c r="U773" s="310"/>
      <c r="V773" s="4"/>
      <c r="W773" s="4"/>
      <c r="X773" s="4"/>
      <c r="Y773" s="4"/>
      <c r="Z773" s="4"/>
      <c r="AA773" s="4"/>
      <c r="AB773" s="380" t="str">
        <f>VLOOKUP($B773,'D7 - NDB Impacted SPRF''s'!$E$16:$O$9929,4,FALSE)</f>
        <v>Completed</v>
      </c>
      <c r="AC773" s="380" t="str">
        <f>VLOOKUP($B773,'D7 - NDB Impacted SPRF''s'!$E$16:$O$9929,3,FALSE)</f>
        <v>UnitedHealthcare Employer &amp; Individual</v>
      </c>
      <c r="AD773" s="380" t="str">
        <f>VLOOKUP($B773,'D7 - NDB Impacted SPRF''s'!$E$16:$O$9929,5,FALSE)</f>
        <v>Integration Requirements</v>
      </c>
      <c r="AE773" s="380" t="str">
        <f>VLOOKUP($B773,'D7 - NDB Impacted SPRF''s'!$E$16:$O$9929,7,FALSE)</f>
        <v>Shannon Nelson</v>
      </c>
      <c r="AF773" s="380" t="str">
        <f>VLOOKUP($B773,'D7 - NDB Impacted SPRF''s'!$E$16:$O$9929,6,FALSE)</f>
        <v>William Coyle</v>
      </c>
      <c r="AG773" s="282"/>
      <c r="AH773" s="311" t="e">
        <f>INDEX('D5 - Gatekeeper - Projects'!$A$4:$AF$1010,$AM773, 17)</f>
        <v>#N/A</v>
      </c>
      <c r="AI773" s="8"/>
      <c r="AJ773" s="57"/>
      <c r="AK773" s="105"/>
      <c r="AM773" s="6" t="e">
        <f>MATCH(D773,'D5 - Gatekeeper - Projects'!$C$4:$C$1010,0)</f>
        <v>#N/A</v>
      </c>
      <c r="AN773" s="6" t="b">
        <f t="shared" si="67"/>
        <v>1</v>
      </c>
      <c r="AO773" s="6" t="str">
        <f t="shared" si="70"/>
        <v>OK</v>
      </c>
      <c r="AQ773" s="6" t="e">
        <f>MATCH($D773,'D4 - Provider Council Unsched'!$C$11:$C$234,0)</f>
        <v>#N/A</v>
      </c>
      <c r="AR773" s="6" t="b">
        <f t="shared" si="68"/>
        <v>1</v>
      </c>
      <c r="AS773" s="6" t="str">
        <f t="shared" si="72"/>
        <v>OK</v>
      </c>
      <c r="AU773" s="202"/>
      <c r="AV773" s="262"/>
      <c r="AW773" s="274"/>
    </row>
    <row r="774" spans="1:49" s="13" customFormat="1" ht="33.75" x14ac:dyDescent="0.2">
      <c r="A774" s="14">
        <v>750</v>
      </c>
      <c r="B774" s="14">
        <v>400017089</v>
      </c>
      <c r="C774" s="8" t="s">
        <v>6581</v>
      </c>
      <c r="D774" s="4" t="str">
        <f t="shared" si="69"/>
        <v>400017089L1</v>
      </c>
      <c r="E774" s="309" t="str">
        <f>VLOOKUP($B774,'D7 - NDB Impacted SPRF''s'!$E$6:$O$9929,2,FALSE)</f>
        <v>EPDL P3 Product Bypass Process Change</v>
      </c>
      <c r="F774" s="8" t="s">
        <v>2114</v>
      </c>
      <c r="G774" s="8" t="s">
        <v>4758</v>
      </c>
      <c r="H774" s="8" t="s">
        <v>4246</v>
      </c>
      <c r="I774" s="20">
        <v>1.07</v>
      </c>
      <c r="J774" s="8" t="s">
        <v>4862</v>
      </c>
      <c r="K774" s="182">
        <v>39284</v>
      </c>
      <c r="L774" s="8" t="s">
        <v>5743</v>
      </c>
      <c r="M774" s="8" t="s">
        <v>6007</v>
      </c>
      <c r="N774" s="38"/>
      <c r="O774" s="8"/>
      <c r="P774" s="4" t="str">
        <f>VLOOKUP($B774,'D7 - NDB Impacted SPRF''s'!$E$16:$O$9929,9,FALSE)</f>
        <v>N</v>
      </c>
      <c r="Q774" s="4" t="str">
        <f>VLOOKUP($B774,'D7 - NDB Impacted SPRF''s'!$E$16:$O$9929,10,FALSE)</f>
        <v>N</v>
      </c>
      <c r="R774" s="4" t="str">
        <f>VLOOKUP($B774,'D7 - NDB Impacted SPRF''s'!$E$16:$O$9929,11,FALSE)</f>
        <v>N</v>
      </c>
      <c r="S774" s="8"/>
      <c r="T774" s="310"/>
      <c r="U774" s="310"/>
      <c r="V774" s="4"/>
      <c r="W774" s="4"/>
      <c r="X774" s="4"/>
      <c r="Y774" s="4"/>
      <c r="Z774" s="4"/>
      <c r="AA774" s="4"/>
      <c r="AB774" s="380" t="str">
        <f>VLOOKUP($B774,'D7 - NDB Impacted SPRF''s'!$E$16:$O$9929,4,FALSE)</f>
        <v>Completed</v>
      </c>
      <c r="AC774" s="380" t="str">
        <f>VLOOKUP($B774,'D7 - NDB Impacted SPRF''s'!$E$16:$O$9929,3,FALSE)</f>
        <v>UnitedHealthcare Employer &amp; Individual</v>
      </c>
      <c r="AD774" s="380" t="str">
        <f>VLOOKUP($B774,'D7 - NDB Impacted SPRF''s'!$E$16:$O$9929,5,FALSE)</f>
        <v>Network Growth / Enhancements</v>
      </c>
      <c r="AE774" s="380" t="str">
        <f>VLOOKUP($B774,'D7 - NDB Impacted SPRF''s'!$E$16:$O$9929,7,FALSE)</f>
        <v>Tim Kaja</v>
      </c>
      <c r="AF774" s="380" t="str">
        <f>VLOOKUP($B774,'D7 - NDB Impacted SPRF''s'!$E$16:$O$9929,6,FALSE)</f>
        <v>MARCIA MONACO</v>
      </c>
      <c r="AG774" s="282"/>
      <c r="AH774" s="311" t="e">
        <f>INDEX('D5 - Gatekeeper - Projects'!$A$4:$AF$1010,$AM774, 17)</f>
        <v>#N/A</v>
      </c>
      <c r="AI774" s="8"/>
      <c r="AJ774" s="57"/>
      <c r="AK774" s="105"/>
      <c r="AM774" s="6" t="e">
        <f>MATCH(D774,'D5 - Gatekeeper - Projects'!$C$4:$C$1010,0)</f>
        <v>#N/A</v>
      </c>
      <c r="AN774" s="6" t="b">
        <f t="shared" si="67"/>
        <v>1</v>
      </c>
      <c r="AO774" s="6" t="str">
        <f t="shared" si="70"/>
        <v>OK</v>
      </c>
      <c r="AQ774" s="6" t="e">
        <f>MATCH($D774,'D4 - Provider Council Unsched'!$C$11:$C$234,0)</f>
        <v>#N/A</v>
      </c>
      <c r="AR774" s="6" t="b">
        <f t="shared" si="68"/>
        <v>1</v>
      </c>
      <c r="AS774" s="6" t="str">
        <f t="shared" si="72"/>
        <v>OK</v>
      </c>
      <c r="AU774" s="202"/>
      <c r="AV774" s="262"/>
      <c r="AW774" s="274"/>
    </row>
    <row r="775" spans="1:49" s="13" customFormat="1" ht="33.75" x14ac:dyDescent="0.2">
      <c r="A775" s="14">
        <v>751</v>
      </c>
      <c r="B775" s="14">
        <v>400017091</v>
      </c>
      <c r="C775" s="8" t="s">
        <v>5197</v>
      </c>
      <c r="D775" s="4" t="str">
        <f t="shared" si="69"/>
        <v>400017091R1</v>
      </c>
      <c r="E775" s="309" t="str">
        <f>VLOOKUP($B775,'D7 - NDB Impacted SPRF''s'!$E$6:$O$9929,2,FALSE)</f>
        <v>United StudentResource UB Claims Repricing Prjct</v>
      </c>
      <c r="F775" s="8" t="s">
        <v>4304</v>
      </c>
      <c r="G775" s="8" t="s">
        <v>4758</v>
      </c>
      <c r="H775" s="8" t="s">
        <v>4246</v>
      </c>
      <c r="I775" s="20">
        <v>1</v>
      </c>
      <c r="J775" s="8" t="s">
        <v>4862</v>
      </c>
      <c r="K775" s="182">
        <v>39284</v>
      </c>
      <c r="L775" s="8" t="s">
        <v>5743</v>
      </c>
      <c r="M775" s="8" t="s">
        <v>5626</v>
      </c>
      <c r="N775" s="38" t="s">
        <v>7420</v>
      </c>
      <c r="O775" s="8"/>
      <c r="P775" s="4" t="str">
        <f>VLOOKUP($B775,'D7 - NDB Impacted SPRF''s'!$E$16:$O$9929,9,FALSE)</f>
        <v>N</v>
      </c>
      <c r="Q775" s="4" t="str">
        <f>VLOOKUP($B775,'D7 - NDB Impacted SPRF''s'!$E$16:$O$9929,10,FALSE)</f>
        <v>N</v>
      </c>
      <c r="R775" s="4" t="str">
        <f>VLOOKUP($B775,'D7 - NDB Impacted SPRF''s'!$E$16:$O$9929,11,FALSE)</f>
        <v>Y</v>
      </c>
      <c r="S775" s="8"/>
      <c r="T775" s="310"/>
      <c r="U775" s="310"/>
      <c r="V775" s="4"/>
      <c r="W775" s="4"/>
      <c r="X775" s="4"/>
      <c r="Y775" s="4"/>
      <c r="Z775" s="4"/>
      <c r="AA775" s="4"/>
      <c r="AB775" s="380" t="str">
        <f>VLOOKUP($B775,'D7 - NDB Impacted SPRF''s'!$E$16:$O$9929,4,FALSE)</f>
        <v>Completed</v>
      </c>
      <c r="AC775" s="380" t="str">
        <f>VLOOKUP($B775,'D7 - NDB Impacted SPRF''s'!$E$16:$O$9929,3,FALSE)</f>
        <v>UnitedHealthcare Employer &amp; Individual</v>
      </c>
      <c r="AD775" s="380" t="str">
        <f>VLOOKUP($B775,'D7 - NDB Impacted SPRF''s'!$E$16:$O$9929,5,FALSE)</f>
        <v>Integration Requirements</v>
      </c>
      <c r="AE775" s="380" t="str">
        <f>VLOOKUP($B775,'D7 - NDB Impacted SPRF''s'!$E$16:$O$9929,7,FALSE)</f>
        <v>Shannon Nelson</v>
      </c>
      <c r="AF775" s="380" t="str">
        <f>VLOOKUP($B775,'D7 - NDB Impacted SPRF''s'!$E$16:$O$9929,6,FALSE)</f>
        <v>William Coyle</v>
      </c>
      <c r="AG775" s="282"/>
      <c r="AH775" s="311" t="e">
        <f>INDEX('D5 - Gatekeeper - Projects'!$A$4:$AF$1010,$AM775, 17)</f>
        <v>#N/A</v>
      </c>
      <c r="AI775" s="8"/>
      <c r="AJ775" s="57"/>
      <c r="AK775" s="105"/>
      <c r="AM775" s="6" t="e">
        <f>MATCH(D775,'D5 - Gatekeeper - Projects'!$C$4:$C$1010,0)</f>
        <v>#N/A</v>
      </c>
      <c r="AN775" s="6" t="b">
        <f t="shared" si="67"/>
        <v>1</v>
      </c>
      <c r="AO775" s="6" t="str">
        <f t="shared" si="70"/>
        <v>OK</v>
      </c>
      <c r="AQ775" s="6" t="e">
        <f>MATCH($D775,'D4 - Provider Council Unsched'!$C$11:$C$234,0)</f>
        <v>#N/A</v>
      </c>
      <c r="AR775" s="6" t="b">
        <f t="shared" si="68"/>
        <v>1</v>
      </c>
      <c r="AS775" s="6" t="str">
        <f t="shared" si="72"/>
        <v>OK</v>
      </c>
      <c r="AU775" s="202"/>
      <c r="AV775" s="262"/>
      <c r="AW775" s="274"/>
    </row>
    <row r="776" spans="1:49" s="13" customFormat="1" ht="33.75" x14ac:dyDescent="0.2">
      <c r="A776" s="14">
        <v>752</v>
      </c>
      <c r="B776" s="14">
        <v>400017901</v>
      </c>
      <c r="C776" s="8" t="s">
        <v>5197</v>
      </c>
      <c r="D776" s="4" t="str">
        <f t="shared" si="69"/>
        <v>400017901R1</v>
      </c>
      <c r="E776" s="309" t="str">
        <f>VLOOKUP($B776,'D7 - NDB Impacted SPRF''s'!$E$6:$O$9929,2,FALSE)</f>
        <v>NDB Parallel Sysplex</v>
      </c>
      <c r="F776" s="8" t="s">
        <v>5787</v>
      </c>
      <c r="G776" s="8" t="s">
        <v>4758</v>
      </c>
      <c r="H776" s="8" t="s">
        <v>4246</v>
      </c>
      <c r="I776" s="20">
        <v>20</v>
      </c>
      <c r="J776" s="8" t="s">
        <v>4862</v>
      </c>
      <c r="K776" s="182">
        <v>39284</v>
      </c>
      <c r="L776" s="8" t="s">
        <v>5743</v>
      </c>
      <c r="M776" s="8" t="s">
        <v>2814</v>
      </c>
      <c r="N776" s="38"/>
      <c r="O776" s="8" t="s">
        <v>1998</v>
      </c>
      <c r="P776" s="4" t="str">
        <f>VLOOKUP($B776,'D7 - NDB Impacted SPRF''s'!$E$16:$O$9929,9,FALSE)</f>
        <v>Y</v>
      </c>
      <c r="Q776" s="4" t="str">
        <f>VLOOKUP($B776,'D7 - NDB Impacted SPRF''s'!$E$16:$O$9929,10,FALSE)</f>
        <v>N</v>
      </c>
      <c r="R776" s="4" t="str">
        <f>VLOOKUP($B776,'D7 - NDB Impacted SPRF''s'!$E$16:$O$9929,11,FALSE)</f>
        <v>Y</v>
      </c>
      <c r="S776" s="8"/>
      <c r="T776" s="310"/>
      <c r="U776" s="310"/>
      <c r="V776" s="4"/>
      <c r="W776" s="4"/>
      <c r="X776" s="4"/>
      <c r="Y776" s="4"/>
      <c r="Z776" s="4"/>
      <c r="AA776" s="4"/>
      <c r="AB776" s="380" t="str">
        <f>VLOOKUP($B776,'D7 - NDB Impacted SPRF''s'!$E$16:$O$9929,4,FALSE)</f>
        <v>Completed</v>
      </c>
      <c r="AC776" s="380" t="str">
        <f>VLOOKUP($B776,'D7 - NDB Impacted SPRF''s'!$E$16:$O$9929,3,FALSE)</f>
        <v>UHG IT - Application Services Group</v>
      </c>
      <c r="AD776" s="380" t="str">
        <f>VLOOKUP($B776,'D7 - NDB Impacted SPRF''s'!$E$16:$O$9929,5,FALSE)</f>
        <v>ASG</v>
      </c>
      <c r="AE776" s="380" t="str">
        <f>VLOOKUP($B776,'D7 - NDB Impacted SPRF''s'!$E$16:$O$9929,7,FALSE)</f>
        <v>John Santelli</v>
      </c>
      <c r="AF776" s="380" t="str">
        <f>VLOOKUP($B776,'D7 - NDB Impacted SPRF''s'!$E$16:$O$9929,6,FALSE)</f>
        <v>Laura Levesque</v>
      </c>
      <c r="AG776" s="282"/>
      <c r="AH776" s="311" t="e">
        <f>INDEX('D5 - Gatekeeper - Projects'!$A$4:$AF$1010,$AM776, 17)</f>
        <v>#N/A</v>
      </c>
      <c r="AI776" s="8"/>
      <c r="AJ776" s="57"/>
      <c r="AK776" s="105"/>
      <c r="AM776" s="6" t="e">
        <f>MATCH(D776,'D5 - Gatekeeper - Projects'!$C$4:$C$1010,0)</f>
        <v>#N/A</v>
      </c>
      <c r="AN776" s="6" t="b">
        <f t="shared" si="67"/>
        <v>1</v>
      </c>
      <c r="AO776" s="6" t="str">
        <f t="shared" si="70"/>
        <v>OK</v>
      </c>
      <c r="AQ776" s="6" t="e">
        <f>MATCH($D776,'D4 - Provider Council Unsched'!$C$11:$C$234,0)</f>
        <v>#N/A</v>
      </c>
      <c r="AR776" s="6" t="b">
        <f t="shared" si="68"/>
        <v>1</v>
      </c>
      <c r="AS776" s="6" t="str">
        <f t="shared" ref="AS776:AS807" si="73">IF(AND(H776="2 - Not Scheduled",AR776=TRUE),"Add","OK")</f>
        <v>OK</v>
      </c>
      <c r="AU776" s="202"/>
      <c r="AV776" s="262"/>
      <c r="AW776" s="274"/>
    </row>
    <row r="777" spans="1:49" s="13" customFormat="1" ht="33.75" x14ac:dyDescent="0.2">
      <c r="A777" s="14">
        <v>753</v>
      </c>
      <c r="B777" s="14">
        <v>400017980</v>
      </c>
      <c r="C777" s="8" t="s">
        <v>5197</v>
      </c>
      <c r="D777" s="4" t="str">
        <f t="shared" si="69"/>
        <v>400017980R1</v>
      </c>
      <c r="E777" s="309" t="str">
        <f>VLOOKUP($B777,'D7 - NDB Impacted SPRF''s'!$E$6:$O$9929,2,FALSE)</f>
        <v>Claims Repricing - NDB Performance Enhancements</v>
      </c>
      <c r="F777" s="8" t="s">
        <v>4304</v>
      </c>
      <c r="G777" s="8" t="s">
        <v>4758</v>
      </c>
      <c r="H777" s="8" t="s">
        <v>4246</v>
      </c>
      <c r="I777" s="20">
        <v>4.01</v>
      </c>
      <c r="J777" s="8" t="s">
        <v>4862</v>
      </c>
      <c r="K777" s="182">
        <v>39284</v>
      </c>
      <c r="L777" s="8" t="s">
        <v>5743</v>
      </c>
      <c r="M777" s="8" t="s">
        <v>2814</v>
      </c>
      <c r="N777" s="38"/>
      <c r="O777" s="8"/>
      <c r="P777" s="4" t="str">
        <f>VLOOKUP($B777,'D7 - NDB Impacted SPRF''s'!$E$16:$O$9929,9,FALSE)</f>
        <v>N</v>
      </c>
      <c r="Q777" s="4" t="str">
        <f>VLOOKUP($B777,'D7 - NDB Impacted SPRF''s'!$E$16:$O$9929,10,FALSE)</f>
        <v>N</v>
      </c>
      <c r="R777" s="4" t="str">
        <f>VLOOKUP($B777,'D7 - NDB Impacted SPRF''s'!$E$16:$O$9929,11,FALSE)</f>
        <v>Y</v>
      </c>
      <c r="S777" s="8"/>
      <c r="T777" s="310"/>
      <c r="U777" s="310"/>
      <c r="V777" s="4"/>
      <c r="W777" s="4"/>
      <c r="X777" s="4"/>
      <c r="Y777" s="4"/>
      <c r="Z777" s="4"/>
      <c r="AA777" s="4"/>
      <c r="AB777" s="380" t="str">
        <f>VLOOKUP($B777,'D7 - NDB Impacted SPRF''s'!$E$16:$O$9929,4,FALSE)</f>
        <v>Completed</v>
      </c>
      <c r="AC777" s="380" t="str">
        <f>VLOOKUP($B777,'D7 - NDB Impacted SPRF''s'!$E$16:$O$9929,3,FALSE)</f>
        <v>UnitedHealthcare Employer &amp; Individual</v>
      </c>
      <c r="AD777" s="380" t="str">
        <f>VLOOKUP($B777,'D7 - NDB Impacted SPRF''s'!$E$16:$O$9929,5,FALSE)</f>
        <v>Medical Cost Savings Programs</v>
      </c>
      <c r="AE777" s="380" t="str">
        <f>VLOOKUP($B777,'D7 - NDB Impacted SPRF''s'!$E$16:$O$9929,7,FALSE)</f>
        <v>Steven Mueller</v>
      </c>
      <c r="AF777" s="380" t="str">
        <f>VLOOKUP($B777,'D7 - NDB Impacted SPRF''s'!$E$16:$O$9929,6,FALSE)</f>
        <v>JAMES SHELTON</v>
      </c>
      <c r="AG777" s="282"/>
      <c r="AH777" s="311" t="e">
        <f>INDEX('D5 - Gatekeeper - Projects'!$A$4:$AF$1010,$AM777, 17)</f>
        <v>#N/A</v>
      </c>
      <c r="AI777" s="8"/>
      <c r="AJ777" s="57"/>
      <c r="AK777" s="105"/>
      <c r="AM777" s="6" t="e">
        <f>MATCH(D777,'D5 - Gatekeeper - Projects'!$C$4:$C$1010,0)</f>
        <v>#N/A</v>
      </c>
      <c r="AN777" s="6" t="b">
        <f t="shared" si="67"/>
        <v>1</v>
      </c>
      <c r="AO777" s="6" t="str">
        <f t="shared" si="70"/>
        <v>OK</v>
      </c>
      <c r="AQ777" s="6" t="e">
        <f>MATCH($D777,'D4 - Provider Council Unsched'!$C$11:$C$234,0)</f>
        <v>#N/A</v>
      </c>
      <c r="AR777" s="6" t="b">
        <f t="shared" si="68"/>
        <v>1</v>
      </c>
      <c r="AS777" s="6" t="str">
        <f t="shared" si="73"/>
        <v>OK</v>
      </c>
      <c r="AU777" s="202"/>
      <c r="AV777" s="262"/>
      <c r="AW777" s="274"/>
    </row>
    <row r="778" spans="1:49" s="13" customFormat="1" ht="33.75" x14ac:dyDescent="0.2">
      <c r="A778" s="14">
        <v>754</v>
      </c>
      <c r="B778" s="14">
        <v>400018021</v>
      </c>
      <c r="C778" s="8" t="s">
        <v>6581</v>
      </c>
      <c r="D778" s="4" t="str">
        <f t="shared" si="69"/>
        <v>400018021L1</v>
      </c>
      <c r="E778" s="309" t="str">
        <f>VLOOKUP($B778,'D7 - NDB Impacted SPRF''s'!$E$6:$O$9929,2,FALSE)</f>
        <v>PHS Scope Change for EPDE Feeds</v>
      </c>
      <c r="F778" s="8" t="s">
        <v>6071</v>
      </c>
      <c r="G778" s="8" t="s">
        <v>4758</v>
      </c>
      <c r="H778" s="8" t="s">
        <v>4246</v>
      </c>
      <c r="I778" s="20">
        <v>1.07</v>
      </c>
      <c r="J778" s="8" t="s">
        <v>4862</v>
      </c>
      <c r="K778" s="182">
        <v>39284</v>
      </c>
      <c r="L778" s="8" t="s">
        <v>5743</v>
      </c>
      <c r="M778" s="8" t="s">
        <v>6007</v>
      </c>
      <c r="N778" s="38"/>
      <c r="O778" s="8"/>
      <c r="P778" s="4" t="str">
        <f>VLOOKUP($B778,'D7 - NDB Impacted SPRF''s'!$E$16:$O$9929,9,FALSE)</f>
        <v>N</v>
      </c>
      <c r="Q778" s="4" t="str">
        <f>VLOOKUP($B778,'D7 - NDB Impacted SPRF''s'!$E$16:$O$9929,10,FALSE)</f>
        <v>N</v>
      </c>
      <c r="R778" s="4" t="str">
        <f>VLOOKUP($B778,'D7 - NDB Impacted SPRF''s'!$E$16:$O$9929,11,FALSE)</f>
        <v>N</v>
      </c>
      <c r="S778" s="8"/>
      <c r="T778" s="310"/>
      <c r="U778" s="310"/>
      <c r="V778" s="4"/>
      <c r="W778" s="4"/>
      <c r="X778" s="4"/>
      <c r="Y778" s="4"/>
      <c r="Z778" s="4"/>
      <c r="AA778" s="4"/>
      <c r="AB778" s="380" t="str">
        <f>VLOOKUP($B778,'D7 - NDB Impacted SPRF''s'!$E$16:$O$9929,4,FALSE)</f>
        <v>Completed</v>
      </c>
      <c r="AC778" s="380" t="str">
        <f>VLOOKUP($B778,'D7 - NDB Impacted SPRF''s'!$E$16:$O$9929,3,FALSE)</f>
        <v>UnitedHealthcare Employer &amp; Individual</v>
      </c>
      <c r="AD778" s="380" t="str">
        <f>VLOOKUP($B778,'D7 - NDB Impacted SPRF''s'!$E$16:$O$9929,5,FALSE)</f>
        <v>Integration Requirements</v>
      </c>
      <c r="AE778" s="380" t="str">
        <f>VLOOKUP($B778,'D7 - NDB Impacted SPRF''s'!$E$16:$O$9929,7,FALSE)</f>
        <v>Tim Kaja</v>
      </c>
      <c r="AF778" s="380" t="str">
        <f>VLOOKUP($B778,'D7 - NDB Impacted SPRF''s'!$E$16:$O$9929,6,FALSE)</f>
        <v>MARCIA MONACO</v>
      </c>
      <c r="AG778" s="282"/>
      <c r="AH778" s="311" t="e">
        <f>INDEX('D5 - Gatekeeper - Projects'!$A$4:$AF$1010,$AM778, 17)</f>
        <v>#N/A</v>
      </c>
      <c r="AI778" s="8"/>
      <c r="AJ778" s="57"/>
      <c r="AK778" s="105"/>
      <c r="AM778" s="6" t="e">
        <f>MATCH(D778,'D5 - Gatekeeper - Projects'!$C$4:$C$1010,0)</f>
        <v>#N/A</v>
      </c>
      <c r="AN778" s="6" t="b">
        <f t="shared" si="67"/>
        <v>1</v>
      </c>
      <c r="AO778" s="6" t="str">
        <f t="shared" si="70"/>
        <v>OK</v>
      </c>
      <c r="AQ778" s="6" t="e">
        <f>MATCH($D778,'D4 - Provider Council Unsched'!$C$11:$C$234,0)</f>
        <v>#N/A</v>
      </c>
      <c r="AR778" s="6" t="b">
        <f t="shared" si="68"/>
        <v>1</v>
      </c>
      <c r="AS778" s="6" t="str">
        <f t="shared" si="73"/>
        <v>OK</v>
      </c>
      <c r="AU778" s="202"/>
      <c r="AV778" s="262"/>
      <c r="AW778" s="274"/>
    </row>
    <row r="779" spans="1:49" s="13" customFormat="1" ht="22.5" x14ac:dyDescent="0.2">
      <c r="A779" s="14">
        <v>755</v>
      </c>
      <c r="B779" s="14">
        <v>400019767</v>
      </c>
      <c r="C779" s="8" t="s">
        <v>1992</v>
      </c>
      <c r="D779" s="4" t="str">
        <f t="shared" si="69"/>
        <v>400019767U1</v>
      </c>
      <c r="E779" s="309" t="str">
        <f>VLOOKUP($B779,'D7 - NDB Impacted SPRF''s'!$E$6:$O$9929,2,FALSE)</f>
        <v>Create new SuperUser access level for SSO access</v>
      </c>
      <c r="F779" s="8" t="s">
        <v>2114</v>
      </c>
      <c r="G779" s="8" t="s">
        <v>4758</v>
      </c>
      <c r="H779" s="8" t="s">
        <v>4246</v>
      </c>
      <c r="I779" s="20">
        <v>1.07</v>
      </c>
      <c r="J779" s="8" t="s">
        <v>4862</v>
      </c>
      <c r="K779" s="182">
        <v>39284</v>
      </c>
      <c r="L779" s="8" t="s">
        <v>5743</v>
      </c>
      <c r="M779" s="8" t="s">
        <v>6007</v>
      </c>
      <c r="N779" s="38"/>
      <c r="O779" s="8"/>
      <c r="P779" s="4" t="str">
        <f>VLOOKUP($B779,'D7 - NDB Impacted SPRF''s'!$E$16:$O$9929,9,FALSE)</f>
        <v>N</v>
      </c>
      <c r="Q779" s="4" t="str">
        <f>VLOOKUP($B779,'D7 - NDB Impacted SPRF''s'!$E$16:$O$9929,10,FALSE)</f>
        <v>N</v>
      </c>
      <c r="R779" s="4" t="str">
        <f>VLOOKUP($B779,'D7 - NDB Impacted SPRF''s'!$E$16:$O$9929,11,FALSE)</f>
        <v>N</v>
      </c>
      <c r="S779" s="8"/>
      <c r="T779" s="310"/>
      <c r="U779" s="310"/>
      <c r="V779" s="4"/>
      <c r="W779" s="4"/>
      <c r="X779" s="4"/>
      <c r="Y779" s="4"/>
      <c r="Z779" s="4"/>
      <c r="AA779" s="4"/>
      <c r="AB779" s="380" t="str">
        <f>VLOOKUP($B779,'D7 - NDB Impacted SPRF''s'!$E$16:$O$9929,4,FALSE)</f>
        <v>Completed</v>
      </c>
      <c r="AC779" s="380" t="str">
        <f>VLOOKUP($B779,'D7 - NDB Impacted SPRF''s'!$E$16:$O$9929,3,FALSE)</f>
        <v>Uniprise</v>
      </c>
      <c r="AD779" s="380" t="str">
        <f>VLOOKUP($B779,'D7 - NDB Impacted SPRF''s'!$E$16:$O$9929,5,FALSE)</f>
        <v>Group Services - DDC</v>
      </c>
      <c r="AE779" s="380" t="str">
        <f>VLOOKUP($B779,'D7 - NDB Impacted SPRF''s'!$E$16:$O$9929,7,FALSE)</f>
        <v>Giulia Pogers</v>
      </c>
      <c r="AF779" s="380" t="str">
        <f>VLOOKUP($B779,'D7 - NDB Impacted SPRF''s'!$E$16:$O$9929,6,FALSE)</f>
        <v>STANLEY CROUGHTER</v>
      </c>
      <c r="AG779" s="282"/>
      <c r="AH779" s="311" t="e">
        <f>INDEX('D5 - Gatekeeper - Projects'!$A$4:$AF$1010,$AM779, 17)</f>
        <v>#N/A</v>
      </c>
      <c r="AI779" s="8"/>
      <c r="AJ779" s="57"/>
      <c r="AK779" s="105"/>
      <c r="AM779" s="6" t="e">
        <f>MATCH(D779,'D5 - Gatekeeper - Projects'!$C$4:$C$1010,0)</f>
        <v>#N/A</v>
      </c>
      <c r="AN779" s="6" t="b">
        <f t="shared" si="67"/>
        <v>1</v>
      </c>
      <c r="AO779" s="6" t="str">
        <f t="shared" si="70"/>
        <v>OK</v>
      </c>
      <c r="AQ779" s="6" t="e">
        <f>MATCH($D779,'D4 - Provider Council Unsched'!$C$11:$C$234,0)</f>
        <v>#N/A</v>
      </c>
      <c r="AR779" s="6" t="b">
        <f t="shared" si="68"/>
        <v>1</v>
      </c>
      <c r="AS779" s="6" t="str">
        <f t="shared" si="73"/>
        <v>OK</v>
      </c>
      <c r="AU779" s="202"/>
      <c r="AV779" s="262"/>
      <c r="AW779" s="274"/>
    </row>
    <row r="780" spans="1:49" s="13" customFormat="1" x14ac:dyDescent="0.2">
      <c r="A780" s="14">
        <v>756</v>
      </c>
      <c r="B780" s="14" t="s">
        <v>4339</v>
      </c>
      <c r="C780" s="8" t="s">
        <v>5197</v>
      </c>
      <c r="D780" s="4" t="str">
        <f t="shared" si="69"/>
        <v>TBDOB05R1</v>
      </c>
      <c r="E780" s="309" t="s">
        <v>5203</v>
      </c>
      <c r="F780" s="8" t="s">
        <v>4304</v>
      </c>
      <c r="G780" s="8" t="s">
        <v>4758</v>
      </c>
      <c r="H780" s="8" t="s">
        <v>4246</v>
      </c>
      <c r="I780" s="20">
        <v>1</v>
      </c>
      <c r="J780" s="8" t="s">
        <v>7113</v>
      </c>
      <c r="K780" s="182">
        <v>39284</v>
      </c>
      <c r="L780" s="8" t="s">
        <v>5743</v>
      </c>
      <c r="M780" s="8" t="s">
        <v>5626</v>
      </c>
      <c r="N780" s="38" t="s">
        <v>6128</v>
      </c>
      <c r="O780" s="8"/>
      <c r="P780" s="4" t="e">
        <f>VLOOKUP($B780,'D7 - NDB Impacted SPRF''s'!$E$16:$O$9929,9,FALSE)</f>
        <v>#N/A</v>
      </c>
      <c r="Q780" s="4" t="e">
        <f>VLOOKUP($B780,'D7 - NDB Impacted SPRF''s'!$E$16:$O$9929,10,FALSE)</f>
        <v>#N/A</v>
      </c>
      <c r="R780" s="4" t="e">
        <f>VLOOKUP($B780,'D7 - NDB Impacted SPRF''s'!$E$16:$O$9929,11,FALSE)</f>
        <v>#N/A</v>
      </c>
      <c r="S780" s="8"/>
      <c r="T780" s="310"/>
      <c r="U780" s="310"/>
      <c r="V780" s="4"/>
      <c r="W780" s="4"/>
      <c r="X780" s="4"/>
      <c r="Y780" s="4"/>
      <c r="Z780" s="4"/>
      <c r="AA780" s="4"/>
      <c r="AB780" s="380" t="e">
        <f>VLOOKUP($B780,'D7 - NDB Impacted SPRF''s'!$E$16:$O$9929,4,FALSE)</f>
        <v>#N/A</v>
      </c>
      <c r="AC780" s="380" t="e">
        <f>VLOOKUP($B780,'D7 - NDB Impacted SPRF''s'!$E$16:$O$9929,3,FALSE)</f>
        <v>#N/A</v>
      </c>
      <c r="AD780" s="380" t="e">
        <f>VLOOKUP($B780,'D7 - NDB Impacted SPRF''s'!$E$16:$O$9929,5,FALSE)</f>
        <v>#N/A</v>
      </c>
      <c r="AE780" s="380" t="e">
        <f>VLOOKUP($B780,'D7 - NDB Impacted SPRF''s'!$E$16:$O$9929,7,FALSE)</f>
        <v>#N/A</v>
      </c>
      <c r="AF780" s="380" t="e">
        <f>VLOOKUP($B780,'D7 - NDB Impacted SPRF''s'!$E$16:$O$9929,6,FALSE)</f>
        <v>#N/A</v>
      </c>
      <c r="AG780" s="282"/>
      <c r="AH780" s="311" t="e">
        <f>INDEX('D5 - Gatekeeper - Projects'!$A$4:$AF$1010,$AM780, 17)</f>
        <v>#N/A</v>
      </c>
      <c r="AI780" s="8"/>
      <c r="AJ780" s="57"/>
      <c r="AK780" s="105"/>
      <c r="AM780" s="6" t="e">
        <f>MATCH(D780,'D5 - Gatekeeper - Projects'!$C$4:$C$1010,0)</f>
        <v>#N/A</v>
      </c>
      <c r="AN780" s="6" t="b">
        <f t="shared" si="67"/>
        <v>1</v>
      </c>
      <c r="AO780" s="6" t="str">
        <f t="shared" si="70"/>
        <v>OK</v>
      </c>
      <c r="AQ780" s="6" t="e">
        <f>MATCH($D780,'D4 - Provider Council Unsched'!$C$11:$C$234,0)</f>
        <v>#N/A</v>
      </c>
      <c r="AR780" s="6" t="b">
        <f t="shared" si="68"/>
        <v>1</v>
      </c>
      <c r="AS780" s="6" t="str">
        <f t="shared" si="73"/>
        <v>OK</v>
      </c>
      <c r="AU780" s="202"/>
      <c r="AV780" s="262"/>
      <c r="AW780" s="274"/>
    </row>
    <row r="781" spans="1:49" s="13" customFormat="1" x14ac:dyDescent="0.2">
      <c r="A781" s="14">
        <v>757</v>
      </c>
      <c r="B781" s="14" t="s">
        <v>5599</v>
      </c>
      <c r="C781" s="8" t="s">
        <v>5197</v>
      </c>
      <c r="D781" s="4" t="str">
        <f t="shared" si="69"/>
        <v>TBDOB06R1</v>
      </c>
      <c r="E781" s="309" t="s">
        <v>5203</v>
      </c>
      <c r="F781" s="8" t="s">
        <v>4304</v>
      </c>
      <c r="G781" s="8" t="s">
        <v>4758</v>
      </c>
      <c r="H781" s="8" t="s">
        <v>4246</v>
      </c>
      <c r="I781" s="20">
        <v>1</v>
      </c>
      <c r="J781" s="8" t="s">
        <v>7113</v>
      </c>
      <c r="K781" s="182">
        <v>39284</v>
      </c>
      <c r="L781" s="8" t="s">
        <v>5743</v>
      </c>
      <c r="M781" s="8" t="s">
        <v>5626</v>
      </c>
      <c r="N781" s="38" t="s">
        <v>7753</v>
      </c>
      <c r="O781" s="8"/>
      <c r="P781" s="4" t="e">
        <f>VLOOKUP($B781,'D7 - NDB Impacted SPRF''s'!$E$16:$O$9929,9,FALSE)</f>
        <v>#N/A</v>
      </c>
      <c r="Q781" s="4" t="e">
        <f>VLOOKUP($B781,'D7 - NDB Impacted SPRF''s'!$E$16:$O$9929,10,FALSE)</f>
        <v>#N/A</v>
      </c>
      <c r="R781" s="4" t="e">
        <f>VLOOKUP($B781,'D7 - NDB Impacted SPRF''s'!$E$16:$O$9929,11,FALSE)</f>
        <v>#N/A</v>
      </c>
      <c r="S781" s="8"/>
      <c r="T781" s="310"/>
      <c r="U781" s="310"/>
      <c r="V781" s="4"/>
      <c r="W781" s="4"/>
      <c r="X781" s="4"/>
      <c r="Y781" s="4"/>
      <c r="Z781" s="4"/>
      <c r="AA781" s="4"/>
      <c r="AB781" s="380" t="e">
        <f>VLOOKUP($B781,'D7 - NDB Impacted SPRF''s'!$E$16:$O$9929,4,FALSE)</f>
        <v>#N/A</v>
      </c>
      <c r="AC781" s="380" t="e">
        <f>VLOOKUP($B781,'D7 - NDB Impacted SPRF''s'!$E$16:$O$9929,3,FALSE)</f>
        <v>#N/A</v>
      </c>
      <c r="AD781" s="380" t="e">
        <f>VLOOKUP($B781,'D7 - NDB Impacted SPRF''s'!$E$16:$O$9929,5,FALSE)</f>
        <v>#N/A</v>
      </c>
      <c r="AE781" s="380" t="e">
        <f>VLOOKUP($B781,'D7 - NDB Impacted SPRF''s'!$E$16:$O$9929,7,FALSE)</f>
        <v>#N/A</v>
      </c>
      <c r="AF781" s="380" t="e">
        <f>VLOOKUP($B781,'D7 - NDB Impacted SPRF''s'!$E$16:$O$9929,6,FALSE)</f>
        <v>#N/A</v>
      </c>
      <c r="AG781" s="282"/>
      <c r="AH781" s="311" t="e">
        <f>INDEX('D5 - Gatekeeper - Projects'!$A$4:$AF$1010,$AM781, 17)</f>
        <v>#N/A</v>
      </c>
      <c r="AI781" s="8"/>
      <c r="AJ781" s="57"/>
      <c r="AK781" s="105"/>
      <c r="AM781" s="6" t="e">
        <f>MATCH(D781,'D5 - Gatekeeper - Projects'!$C$4:$C$1010,0)</f>
        <v>#N/A</v>
      </c>
      <c r="AN781" s="6" t="b">
        <f t="shared" si="67"/>
        <v>1</v>
      </c>
      <c r="AO781" s="6" t="str">
        <f t="shared" si="70"/>
        <v>OK</v>
      </c>
      <c r="AQ781" s="6" t="e">
        <f>MATCH($D781,'D4 - Provider Council Unsched'!$C$11:$C$234,0)</f>
        <v>#N/A</v>
      </c>
      <c r="AR781" s="6" t="b">
        <f t="shared" si="68"/>
        <v>1</v>
      </c>
      <c r="AS781" s="6" t="str">
        <f t="shared" si="73"/>
        <v>OK</v>
      </c>
      <c r="AU781" s="202"/>
      <c r="AV781" s="262"/>
      <c r="AW781" s="274"/>
    </row>
    <row r="782" spans="1:49" s="13" customFormat="1" ht="33.75" x14ac:dyDescent="0.2">
      <c r="A782" s="14">
        <v>758</v>
      </c>
      <c r="B782" s="14">
        <v>400015308</v>
      </c>
      <c r="C782" s="8" t="s">
        <v>1992</v>
      </c>
      <c r="D782" s="4" t="str">
        <f t="shared" si="69"/>
        <v>400015308U1</v>
      </c>
      <c r="E782" s="309" t="str">
        <f>VLOOKUP($B782,'D7 - NDB Impacted SPRF''s'!$E$6:$O$9929,2,FALSE)</f>
        <v>Shared Services Model - External Security Access</v>
      </c>
      <c r="F782" s="8" t="s">
        <v>2114</v>
      </c>
      <c r="G782" s="8" t="s">
        <v>4758</v>
      </c>
      <c r="H782" s="8" t="s">
        <v>4246</v>
      </c>
      <c r="I782" s="20">
        <v>12.83</v>
      </c>
      <c r="J782" s="8" t="s">
        <v>4862</v>
      </c>
      <c r="K782" s="182">
        <v>39319</v>
      </c>
      <c r="L782" s="8" t="s">
        <v>5743</v>
      </c>
      <c r="M782" s="8" t="s">
        <v>2814</v>
      </c>
      <c r="N782" s="38" t="s">
        <v>5798</v>
      </c>
      <c r="O782" s="8"/>
      <c r="P782" s="4" t="str">
        <f>VLOOKUP($B782,'D7 - NDB Impacted SPRF''s'!$E$16:$O$9929,9,FALSE)</f>
        <v>Y</v>
      </c>
      <c r="Q782" s="4" t="str">
        <f>VLOOKUP($B782,'D7 - NDB Impacted SPRF''s'!$E$16:$O$9929,10,FALSE)</f>
        <v>N</v>
      </c>
      <c r="R782" s="4" t="str">
        <f>VLOOKUP($B782,'D7 - NDB Impacted SPRF''s'!$E$16:$O$9929,11,FALSE)</f>
        <v>N</v>
      </c>
      <c r="S782" s="8"/>
      <c r="T782" s="310"/>
      <c r="U782" s="310"/>
      <c r="V782" s="4"/>
      <c r="W782" s="4"/>
      <c r="X782" s="4"/>
      <c r="Y782" s="4"/>
      <c r="Z782" s="4"/>
      <c r="AA782" s="4"/>
      <c r="AB782" s="380" t="str">
        <f>VLOOKUP($B782,'D7 - NDB Impacted SPRF''s'!$E$16:$O$9929,4,FALSE)</f>
        <v>Completed</v>
      </c>
      <c r="AC782" s="380" t="str">
        <f>VLOOKUP($B782,'D7 - NDB Impacted SPRF''s'!$E$16:$O$9929,3,FALSE)</f>
        <v>UnitedHealthcare Employer &amp; Individual</v>
      </c>
      <c r="AD782" s="380" t="str">
        <f>VLOOKUP($B782,'D7 - NDB Impacted SPRF''s'!$E$16:$O$9929,5,FALSE)</f>
        <v>Membership Growth / Revenue Programs</v>
      </c>
      <c r="AE782" s="380" t="str">
        <f>VLOOKUP($B782,'D7 - NDB Impacted SPRF''s'!$E$16:$O$9929,7,FALSE)</f>
        <v>Thomas Mafale</v>
      </c>
      <c r="AF782" s="380" t="str">
        <f>VLOOKUP($B782,'D7 - NDB Impacted SPRF''s'!$E$16:$O$9929,6,FALSE)</f>
        <v>Daniel Gauthier</v>
      </c>
      <c r="AG782" s="282"/>
      <c r="AH782" s="311" t="e">
        <f>INDEX('D5 - Gatekeeper - Projects'!$A$4:$AF$1010,$AM782, 17)</f>
        <v>#N/A</v>
      </c>
      <c r="AI782" s="8"/>
      <c r="AJ782" s="57"/>
      <c r="AK782" s="105"/>
      <c r="AM782" s="6" t="e">
        <f>MATCH(D782,'D5 - Gatekeeper - Projects'!$C$4:$C$1010,0)</f>
        <v>#N/A</v>
      </c>
      <c r="AN782" s="6" t="b">
        <f t="shared" si="67"/>
        <v>1</v>
      </c>
      <c r="AO782" s="6" t="str">
        <f t="shared" si="70"/>
        <v>OK</v>
      </c>
      <c r="AQ782" s="6" t="e">
        <f>MATCH($D782,'D4 - Provider Council Unsched'!$C$11:$C$234,0)</f>
        <v>#N/A</v>
      </c>
      <c r="AR782" s="6" t="b">
        <f t="shared" si="68"/>
        <v>1</v>
      </c>
      <c r="AS782" s="6" t="str">
        <f t="shared" si="73"/>
        <v>OK</v>
      </c>
      <c r="AU782" s="202"/>
      <c r="AV782" s="262"/>
      <c r="AW782" s="274"/>
    </row>
    <row r="783" spans="1:49" s="13" customFormat="1" x14ac:dyDescent="0.2">
      <c r="A783" s="14">
        <v>759</v>
      </c>
      <c r="B783" s="14" t="s">
        <v>6476</v>
      </c>
      <c r="C783" s="8" t="s">
        <v>5197</v>
      </c>
      <c r="D783" s="4" t="str">
        <f t="shared" si="69"/>
        <v>TBDOB07R1</v>
      </c>
      <c r="E783" s="309" t="s">
        <v>5203</v>
      </c>
      <c r="F783" s="8" t="s">
        <v>4304</v>
      </c>
      <c r="G783" s="8" t="s">
        <v>4758</v>
      </c>
      <c r="H783" s="8" t="s">
        <v>4246</v>
      </c>
      <c r="I783" s="20">
        <v>1</v>
      </c>
      <c r="J783" s="8" t="s">
        <v>7113</v>
      </c>
      <c r="K783" s="182">
        <v>39319</v>
      </c>
      <c r="L783" s="8" t="s">
        <v>5743</v>
      </c>
      <c r="M783" s="8" t="s">
        <v>5626</v>
      </c>
      <c r="N783" s="38" t="s">
        <v>2524</v>
      </c>
      <c r="O783" s="8"/>
      <c r="P783" s="4" t="e">
        <f>VLOOKUP($B783,'D7 - NDB Impacted SPRF''s'!$E$16:$O$9929,9,FALSE)</f>
        <v>#N/A</v>
      </c>
      <c r="Q783" s="4" t="e">
        <f>VLOOKUP($B783,'D7 - NDB Impacted SPRF''s'!$E$16:$O$9929,10,FALSE)</f>
        <v>#N/A</v>
      </c>
      <c r="R783" s="4" t="e">
        <f>VLOOKUP($B783,'D7 - NDB Impacted SPRF''s'!$E$16:$O$9929,11,FALSE)</f>
        <v>#N/A</v>
      </c>
      <c r="S783" s="8"/>
      <c r="T783" s="310"/>
      <c r="U783" s="310"/>
      <c r="V783" s="4"/>
      <c r="W783" s="4"/>
      <c r="X783" s="4"/>
      <c r="Y783" s="4"/>
      <c r="Z783" s="4"/>
      <c r="AA783" s="4"/>
      <c r="AB783" s="380" t="e">
        <f>VLOOKUP($B783,'D7 - NDB Impacted SPRF''s'!$E$16:$O$9929,4,FALSE)</f>
        <v>#N/A</v>
      </c>
      <c r="AC783" s="380" t="e">
        <f>VLOOKUP($B783,'D7 - NDB Impacted SPRF''s'!$E$16:$O$9929,3,FALSE)</f>
        <v>#N/A</v>
      </c>
      <c r="AD783" s="380" t="e">
        <f>VLOOKUP($B783,'D7 - NDB Impacted SPRF''s'!$E$16:$O$9929,5,FALSE)</f>
        <v>#N/A</v>
      </c>
      <c r="AE783" s="380" t="e">
        <f>VLOOKUP($B783,'D7 - NDB Impacted SPRF''s'!$E$16:$O$9929,7,FALSE)</f>
        <v>#N/A</v>
      </c>
      <c r="AF783" s="380" t="e">
        <f>VLOOKUP($B783,'D7 - NDB Impacted SPRF''s'!$E$16:$O$9929,6,FALSE)</f>
        <v>#N/A</v>
      </c>
      <c r="AG783" s="282"/>
      <c r="AH783" s="311" t="e">
        <f>INDEX('D5 - Gatekeeper - Projects'!$A$4:$AF$1010,$AM783, 17)</f>
        <v>#N/A</v>
      </c>
      <c r="AI783" s="8"/>
      <c r="AJ783" s="57"/>
      <c r="AK783" s="105"/>
      <c r="AM783" s="6" t="e">
        <f>MATCH(D783,'D5 - Gatekeeper - Projects'!$C$4:$C$1010,0)</f>
        <v>#N/A</v>
      </c>
      <c r="AN783" s="6" t="b">
        <f t="shared" si="67"/>
        <v>1</v>
      </c>
      <c r="AO783" s="6" t="str">
        <f t="shared" si="70"/>
        <v>OK</v>
      </c>
      <c r="AQ783" s="6" t="e">
        <f>MATCH($D783,'D4 - Provider Council Unsched'!$C$11:$C$234,0)</f>
        <v>#N/A</v>
      </c>
      <c r="AR783" s="6" t="b">
        <f t="shared" si="68"/>
        <v>1</v>
      </c>
      <c r="AS783" s="6" t="str">
        <f t="shared" si="73"/>
        <v>OK</v>
      </c>
      <c r="AU783" s="202"/>
      <c r="AV783" s="262"/>
      <c r="AW783" s="274"/>
    </row>
    <row r="784" spans="1:49" s="13" customFormat="1" x14ac:dyDescent="0.2">
      <c r="A784" s="14">
        <v>760</v>
      </c>
      <c r="B784" s="14" t="s">
        <v>7875</v>
      </c>
      <c r="C784" s="8" t="s">
        <v>5197</v>
      </c>
      <c r="D784" s="4" t="str">
        <f t="shared" si="69"/>
        <v>TBDOB08R1</v>
      </c>
      <c r="E784" s="309" t="s">
        <v>5203</v>
      </c>
      <c r="F784" s="8" t="s">
        <v>4304</v>
      </c>
      <c r="G784" s="8" t="s">
        <v>4758</v>
      </c>
      <c r="H784" s="8" t="s">
        <v>4246</v>
      </c>
      <c r="I784" s="20">
        <v>1</v>
      </c>
      <c r="J784" s="8" t="s">
        <v>7113</v>
      </c>
      <c r="K784" s="182">
        <v>39319</v>
      </c>
      <c r="L784" s="8" t="s">
        <v>5743</v>
      </c>
      <c r="M784" s="8" t="s">
        <v>5626</v>
      </c>
      <c r="N784" s="38" t="s">
        <v>7945</v>
      </c>
      <c r="O784" s="8"/>
      <c r="P784" s="4" t="e">
        <f>VLOOKUP($B784,'D7 - NDB Impacted SPRF''s'!$E$16:$O$9929,9,FALSE)</f>
        <v>#N/A</v>
      </c>
      <c r="Q784" s="4" t="e">
        <f>VLOOKUP($B784,'D7 - NDB Impacted SPRF''s'!$E$16:$O$9929,10,FALSE)</f>
        <v>#N/A</v>
      </c>
      <c r="R784" s="4" t="e">
        <f>VLOOKUP($B784,'D7 - NDB Impacted SPRF''s'!$E$16:$O$9929,11,FALSE)</f>
        <v>#N/A</v>
      </c>
      <c r="S784" s="8"/>
      <c r="T784" s="310"/>
      <c r="U784" s="310"/>
      <c r="V784" s="4"/>
      <c r="W784" s="4"/>
      <c r="X784" s="4"/>
      <c r="Y784" s="4"/>
      <c r="Z784" s="4"/>
      <c r="AA784" s="4"/>
      <c r="AB784" s="380" t="e">
        <f>VLOOKUP($B784,'D7 - NDB Impacted SPRF''s'!$E$16:$O$9929,4,FALSE)</f>
        <v>#N/A</v>
      </c>
      <c r="AC784" s="380" t="e">
        <f>VLOOKUP($B784,'D7 - NDB Impacted SPRF''s'!$E$16:$O$9929,3,FALSE)</f>
        <v>#N/A</v>
      </c>
      <c r="AD784" s="380" t="e">
        <f>VLOOKUP($B784,'D7 - NDB Impacted SPRF''s'!$E$16:$O$9929,5,FALSE)</f>
        <v>#N/A</v>
      </c>
      <c r="AE784" s="380" t="e">
        <f>VLOOKUP($B784,'D7 - NDB Impacted SPRF''s'!$E$16:$O$9929,7,FALSE)</f>
        <v>#N/A</v>
      </c>
      <c r="AF784" s="380" t="e">
        <f>VLOOKUP($B784,'D7 - NDB Impacted SPRF''s'!$E$16:$O$9929,6,FALSE)</f>
        <v>#N/A</v>
      </c>
      <c r="AG784" s="282"/>
      <c r="AH784" s="311" t="e">
        <f>INDEX('D5 - Gatekeeper - Projects'!$A$4:$AF$1010,$AM784, 17)</f>
        <v>#N/A</v>
      </c>
      <c r="AI784" s="8"/>
      <c r="AJ784" s="57"/>
      <c r="AK784" s="105"/>
      <c r="AM784" s="6" t="e">
        <f>MATCH(D784,'D5 - Gatekeeper - Projects'!$C$4:$C$1010,0)</f>
        <v>#N/A</v>
      </c>
      <c r="AN784" s="6" t="b">
        <f t="shared" si="67"/>
        <v>1</v>
      </c>
      <c r="AO784" s="6" t="str">
        <f t="shared" si="70"/>
        <v>OK</v>
      </c>
      <c r="AQ784" s="6" t="e">
        <f>MATCH($D784,'D4 - Provider Council Unsched'!$C$11:$C$234,0)</f>
        <v>#N/A</v>
      </c>
      <c r="AR784" s="6" t="b">
        <f t="shared" si="68"/>
        <v>1</v>
      </c>
      <c r="AS784" s="6" t="str">
        <f t="shared" si="73"/>
        <v>OK</v>
      </c>
      <c r="AU784" s="202"/>
      <c r="AV784" s="262"/>
      <c r="AW784" s="274"/>
    </row>
    <row r="785" spans="1:49" s="13" customFormat="1" ht="33.75" x14ac:dyDescent="0.2">
      <c r="A785" s="14">
        <v>761</v>
      </c>
      <c r="B785" s="14">
        <v>400010721</v>
      </c>
      <c r="C785" s="8" t="s">
        <v>6723</v>
      </c>
      <c r="D785" s="4" t="str">
        <f t="shared" si="69"/>
        <v>400010721CC09</v>
      </c>
      <c r="E785" s="309" t="str">
        <f>VLOOKUP($B785,'D7 - NDB Impacted SPRF''s'!$E$6:$O$9929,2,FALSE)</f>
        <v>GHMO Analysis &amp; Design Phase V (Medica)</v>
      </c>
      <c r="F785" s="8" t="s">
        <v>4168</v>
      </c>
      <c r="G785" s="8" t="s">
        <v>4758</v>
      </c>
      <c r="H785" s="8" t="s">
        <v>4246</v>
      </c>
      <c r="I785" s="20">
        <v>1.82</v>
      </c>
      <c r="J785" s="8" t="s">
        <v>4862</v>
      </c>
      <c r="K785" s="182">
        <v>39340</v>
      </c>
      <c r="L785" s="8" t="s">
        <v>5743</v>
      </c>
      <c r="M785" s="8" t="s">
        <v>2814</v>
      </c>
      <c r="N785" s="368"/>
      <c r="O785" s="8"/>
      <c r="P785" s="4" t="str">
        <f>VLOOKUP($B785,'D7 - NDB Impacted SPRF''s'!$E$16:$O$9929,9,FALSE)</f>
        <v>Y</v>
      </c>
      <c r="Q785" s="4" t="str">
        <f>VLOOKUP($B785,'D7 - NDB Impacted SPRF''s'!$E$16:$O$9929,10,FALSE)</f>
        <v>N</v>
      </c>
      <c r="R785" s="4" t="str">
        <f>VLOOKUP($B785,'D7 - NDB Impacted SPRF''s'!$E$16:$O$9929,11,FALSE)</f>
        <v>N</v>
      </c>
      <c r="S785" s="8" t="s">
        <v>3758</v>
      </c>
      <c r="T785" s="310"/>
      <c r="U785" s="310"/>
      <c r="V785" s="4"/>
      <c r="W785" s="4"/>
      <c r="X785" s="4"/>
      <c r="Y785" s="4"/>
      <c r="Z785" s="4"/>
      <c r="AA785" s="4"/>
      <c r="AB785" s="380" t="str">
        <f>VLOOKUP($B785,'D7 - NDB Impacted SPRF''s'!$E$16:$O$9929,4,FALSE)</f>
        <v>Completed</v>
      </c>
      <c r="AC785" s="380" t="str">
        <f>VLOOKUP($B785,'D7 - NDB Impacted SPRF''s'!$E$16:$O$9929,3,FALSE)</f>
        <v>UnitedHealthcare Employer &amp; Individual</v>
      </c>
      <c r="AD785" s="380" t="str">
        <f>VLOOKUP($B785,'D7 - NDB Impacted SPRF''s'!$E$16:$O$9929,5,FALSE)</f>
        <v>Gated HMO</v>
      </c>
      <c r="AE785" s="380" t="str">
        <f>VLOOKUP($B785,'D7 - NDB Impacted SPRF''s'!$E$16:$O$9929,7,FALSE)</f>
        <v>Diane Schofield</v>
      </c>
      <c r="AF785" s="380" t="str">
        <f>VLOOKUP($B785,'D7 - NDB Impacted SPRF''s'!$E$16:$O$9929,6,FALSE)</f>
        <v>SUSAN TONKIN</v>
      </c>
      <c r="AG785" s="282"/>
      <c r="AH785" s="311" t="e">
        <f>INDEX('D5 - Gatekeeper - Projects'!$A$4:$AF$1010,$AM785, 17)</f>
        <v>#N/A</v>
      </c>
      <c r="AI785" s="8"/>
      <c r="AJ785" s="57"/>
      <c r="AK785" s="105"/>
      <c r="AM785" s="6" t="e">
        <f>MATCH(D785,'D5 - Gatekeeper - Projects'!$C$4:$C$1010,0)</f>
        <v>#N/A</v>
      </c>
      <c r="AN785" s="6" t="b">
        <f t="shared" ref="AN785:AN848" si="74">ISERROR(AM785)</f>
        <v>1</v>
      </c>
      <c r="AO785" s="6" t="str">
        <f t="shared" si="70"/>
        <v>OK</v>
      </c>
      <c r="AQ785" s="6" t="e">
        <f>MATCH($D785,'D4 - Provider Council Unsched'!$C$11:$C$234,0)</f>
        <v>#N/A</v>
      </c>
      <c r="AR785" s="6" t="b">
        <f t="shared" ref="AR785:AR848" si="75">ISERROR(AQ785)</f>
        <v>1</v>
      </c>
      <c r="AS785" s="6" t="str">
        <f t="shared" si="73"/>
        <v>OK</v>
      </c>
      <c r="AU785" s="202"/>
      <c r="AV785" s="262"/>
      <c r="AW785" s="274"/>
    </row>
    <row r="786" spans="1:49" s="13" customFormat="1" ht="33.75" x14ac:dyDescent="0.2">
      <c r="A786" s="14">
        <v>762</v>
      </c>
      <c r="B786" s="14">
        <v>400012672</v>
      </c>
      <c r="C786" s="8" t="s">
        <v>6884</v>
      </c>
      <c r="D786" s="4" t="str">
        <f t="shared" ref="D786:D849" si="76">CONCATENATE(B786,C786)</f>
        <v>400012672CC15</v>
      </c>
      <c r="E786" s="309" t="str">
        <f>VLOOKUP($B786,'D7 - NDB Impacted SPRF''s'!$E$6:$O$9929,2,FALSE)</f>
        <v>Provider Timely Filing by Contract</v>
      </c>
      <c r="F786" s="8" t="s">
        <v>2114</v>
      </c>
      <c r="G786" s="8" t="s">
        <v>4758</v>
      </c>
      <c r="H786" s="8" t="s">
        <v>4246</v>
      </c>
      <c r="I786" s="20">
        <v>0.4</v>
      </c>
      <c r="J786" s="8" t="s">
        <v>4862</v>
      </c>
      <c r="K786" s="182">
        <v>39340</v>
      </c>
      <c r="L786" s="8" t="s">
        <v>5743</v>
      </c>
      <c r="M786" s="8" t="s">
        <v>2814</v>
      </c>
      <c r="N786" s="38"/>
      <c r="O786" s="8" t="s">
        <v>2852</v>
      </c>
      <c r="P786" s="4" t="str">
        <f>VLOOKUP($B786,'D7 - NDB Impacted SPRF''s'!$E$16:$O$9929,9,FALSE)</f>
        <v>Y</v>
      </c>
      <c r="Q786" s="4" t="str">
        <f>VLOOKUP($B786,'D7 - NDB Impacted SPRF''s'!$E$16:$O$9929,10,FALSE)</f>
        <v>N</v>
      </c>
      <c r="R786" s="4" t="str">
        <f>VLOOKUP($B786,'D7 - NDB Impacted SPRF''s'!$E$16:$O$9929,11,FALSE)</f>
        <v>Y</v>
      </c>
      <c r="S786" s="8"/>
      <c r="T786" s="310"/>
      <c r="U786" s="310"/>
      <c r="V786" s="4"/>
      <c r="W786" s="4"/>
      <c r="X786" s="4"/>
      <c r="Y786" s="4"/>
      <c r="Z786" s="4"/>
      <c r="AA786" s="4"/>
      <c r="AB786" s="380" t="str">
        <f>VLOOKUP($B786,'D7 - NDB Impacted SPRF''s'!$E$16:$O$9929,4,FALSE)</f>
        <v>Completed</v>
      </c>
      <c r="AC786" s="380" t="str">
        <f>VLOOKUP($B786,'D7 - NDB Impacted SPRF''s'!$E$16:$O$9929,3,FALSE)</f>
        <v>UnitedHealthcare Employer &amp; Individual</v>
      </c>
      <c r="AD786" s="380" t="str">
        <f>VLOOKUP($B786,'D7 - NDB Impacted SPRF''s'!$E$16:$O$9929,5,FALSE)</f>
        <v>Medical Cost Savings Programs</v>
      </c>
      <c r="AE786" s="380" t="str">
        <f>VLOOKUP($B786,'D7 - NDB Impacted SPRF''s'!$E$16:$O$9929,7,FALSE)</f>
        <v>Michael Ile</v>
      </c>
      <c r="AF786" s="380" t="str">
        <f>VLOOKUP($B786,'D7 - NDB Impacted SPRF''s'!$E$16:$O$9929,6,FALSE)</f>
        <v>Susan Neal</v>
      </c>
      <c r="AG786" s="282"/>
      <c r="AH786" s="311" t="e">
        <f>INDEX('D5 - Gatekeeper - Projects'!$A$4:$AF$1010,$AM786, 17)</f>
        <v>#N/A</v>
      </c>
      <c r="AI786" s="8"/>
      <c r="AJ786" s="57"/>
      <c r="AK786" s="105"/>
      <c r="AM786" s="6" t="e">
        <f>MATCH(D786,'D5 - Gatekeeper - Projects'!$C$4:$C$1010,0)</f>
        <v>#N/A</v>
      </c>
      <c r="AN786" s="6" t="b">
        <f t="shared" si="74"/>
        <v>1</v>
      </c>
      <c r="AO786" s="6" t="str">
        <f t="shared" ref="AO786:AO849" si="77">IF(AND(H786="1 - Scheduled",AN786=TRUE),"Add","OK")</f>
        <v>OK</v>
      </c>
      <c r="AQ786" s="6" t="e">
        <f>MATCH($D786,'D4 - Provider Council Unsched'!$C$11:$C$234,0)</f>
        <v>#N/A</v>
      </c>
      <c r="AR786" s="6" t="b">
        <f t="shared" si="75"/>
        <v>1</v>
      </c>
      <c r="AS786" s="6" t="str">
        <f t="shared" si="73"/>
        <v>OK</v>
      </c>
      <c r="AU786" s="202"/>
      <c r="AV786" s="262"/>
      <c r="AW786" s="274"/>
    </row>
    <row r="787" spans="1:49" s="13" customFormat="1" ht="33.75" x14ac:dyDescent="0.2">
      <c r="A787" s="14">
        <v>763</v>
      </c>
      <c r="B787" s="14">
        <v>400012830</v>
      </c>
      <c r="C787" s="8" t="s">
        <v>5358</v>
      </c>
      <c r="D787" s="4" t="str">
        <f t="shared" si="76"/>
        <v>400012830CC23R2</v>
      </c>
      <c r="E787" s="309" t="str">
        <f>VLOOKUP($B787,'D7 - NDB Impacted SPRF''s'!$E$6:$O$9929,2,FALSE)</f>
        <v>Alliances Data Exchange Platform</v>
      </c>
      <c r="F787" s="8" t="s">
        <v>5196</v>
      </c>
      <c r="G787" s="8" t="s">
        <v>4758</v>
      </c>
      <c r="H787" s="8" t="s">
        <v>4246</v>
      </c>
      <c r="I787" s="20">
        <v>39</v>
      </c>
      <c r="J787" s="8" t="s">
        <v>4862</v>
      </c>
      <c r="K787" s="182">
        <v>39340</v>
      </c>
      <c r="L787" s="8" t="s">
        <v>5743</v>
      </c>
      <c r="M787" s="8" t="s">
        <v>6688</v>
      </c>
      <c r="N787" s="38"/>
      <c r="O787" s="8"/>
      <c r="P787" s="4" t="str">
        <f>VLOOKUP($B787,'D7 - NDB Impacted SPRF''s'!$E$16:$O$9929,9,FALSE)</f>
        <v>Y</v>
      </c>
      <c r="Q787" s="4" t="str">
        <f>VLOOKUP($B787,'D7 - NDB Impacted SPRF''s'!$E$16:$O$9929,10,FALSE)</f>
        <v>N</v>
      </c>
      <c r="R787" s="4" t="str">
        <f>VLOOKUP($B787,'D7 - NDB Impacted SPRF''s'!$E$16:$O$9929,11,FALSE)</f>
        <v>N</v>
      </c>
      <c r="S787" s="8"/>
      <c r="T787" s="310"/>
      <c r="U787" s="310"/>
      <c r="V787" s="4"/>
      <c r="W787" s="4"/>
      <c r="X787" s="4"/>
      <c r="Y787" s="4"/>
      <c r="Z787" s="4"/>
      <c r="AA787" s="4"/>
      <c r="AB787" s="380" t="str">
        <f>VLOOKUP($B787,'D7 - NDB Impacted SPRF''s'!$E$16:$O$9929,4,FALSE)</f>
        <v>Completed</v>
      </c>
      <c r="AC787" s="380" t="str">
        <f>VLOOKUP($B787,'D7 - NDB Impacted SPRF''s'!$E$16:$O$9929,3,FALSE)</f>
        <v>UnitedHealthcare Employer &amp; Individual</v>
      </c>
      <c r="AD787" s="380" t="str">
        <f>VLOOKUP($B787,'D7 - NDB Impacted SPRF''s'!$E$16:$O$9929,5,FALSE)</f>
        <v>Healthcare Service Alliance</v>
      </c>
      <c r="AE787" s="380" t="str">
        <f>VLOOKUP($B787,'D7 - NDB Impacted SPRF''s'!$E$16:$O$9929,7,FALSE)</f>
        <v>Bev Nyce</v>
      </c>
      <c r="AF787" s="380" t="str">
        <f>VLOOKUP($B787,'D7 - NDB Impacted SPRF''s'!$E$16:$O$9929,6,FALSE)</f>
        <v>DONALD DEMARCO</v>
      </c>
      <c r="AG787" s="282"/>
      <c r="AH787" s="311" t="e">
        <f>INDEX('D5 - Gatekeeper - Projects'!$A$4:$AF$1010,$AM787, 17)</f>
        <v>#N/A</v>
      </c>
      <c r="AI787" s="8"/>
      <c r="AJ787" s="57"/>
      <c r="AK787" s="105"/>
      <c r="AM787" s="6" t="e">
        <f>MATCH(D787,'D5 - Gatekeeper - Projects'!$C$4:$C$1010,0)</f>
        <v>#N/A</v>
      </c>
      <c r="AN787" s="6" t="b">
        <f t="shared" si="74"/>
        <v>1</v>
      </c>
      <c r="AO787" s="6" t="str">
        <f t="shared" si="77"/>
        <v>OK</v>
      </c>
      <c r="AQ787" s="6" t="e">
        <f>MATCH($D787,'D4 - Provider Council Unsched'!$C$11:$C$234,0)</f>
        <v>#N/A</v>
      </c>
      <c r="AR787" s="6" t="b">
        <f t="shared" si="75"/>
        <v>1</v>
      </c>
      <c r="AS787" s="6" t="str">
        <f t="shared" si="73"/>
        <v>OK</v>
      </c>
      <c r="AU787" s="202"/>
      <c r="AV787" s="262"/>
      <c r="AW787" s="274"/>
    </row>
    <row r="788" spans="1:49" s="13" customFormat="1" ht="33.75" x14ac:dyDescent="0.2">
      <c r="A788" s="14">
        <v>764</v>
      </c>
      <c r="B788" s="14">
        <v>400013002</v>
      </c>
      <c r="C788" s="8" t="s">
        <v>5197</v>
      </c>
      <c r="D788" s="4" t="str">
        <f t="shared" si="76"/>
        <v>400013002R1</v>
      </c>
      <c r="E788" s="309" t="str">
        <f>VLOOKUP($B788,'D7 - NDB Impacted SPRF''s'!$E$6:$O$9929,2,FALSE)</f>
        <v>Medica Data Sharing/Exchange - support</v>
      </c>
      <c r="F788" s="8" t="s">
        <v>5196</v>
      </c>
      <c r="G788" s="8" t="s">
        <v>4758</v>
      </c>
      <c r="H788" s="8" t="s">
        <v>4246</v>
      </c>
      <c r="I788" s="20">
        <v>23.33</v>
      </c>
      <c r="J788" s="8" t="s">
        <v>4862</v>
      </c>
      <c r="K788" s="182">
        <v>39340</v>
      </c>
      <c r="L788" s="8" t="s">
        <v>5743</v>
      </c>
      <c r="M788" s="8" t="s">
        <v>6688</v>
      </c>
      <c r="N788" s="367" t="s">
        <v>4303</v>
      </c>
      <c r="O788" s="8"/>
      <c r="P788" s="4" t="str">
        <f>VLOOKUP($B788,'D7 - NDB Impacted SPRF''s'!$E$16:$O$9929,9,FALSE)</f>
        <v>Y</v>
      </c>
      <c r="Q788" s="4" t="str">
        <f>VLOOKUP($B788,'D7 - NDB Impacted SPRF''s'!$E$16:$O$9929,10,FALSE)</f>
        <v>N</v>
      </c>
      <c r="R788" s="4" t="str">
        <f>VLOOKUP($B788,'D7 - NDB Impacted SPRF''s'!$E$16:$O$9929,11,FALSE)</f>
        <v>N</v>
      </c>
      <c r="S788" s="8" t="s">
        <v>3758</v>
      </c>
      <c r="T788" s="310"/>
      <c r="U788" s="310"/>
      <c r="V788" s="4"/>
      <c r="W788" s="4"/>
      <c r="X788" s="4"/>
      <c r="Y788" s="4"/>
      <c r="Z788" s="4"/>
      <c r="AA788" s="4"/>
      <c r="AB788" s="380" t="str">
        <f>VLOOKUP($B788,'D7 - NDB Impacted SPRF''s'!$E$16:$O$9929,4,FALSE)</f>
        <v>Completed</v>
      </c>
      <c r="AC788" s="380" t="str">
        <f>VLOOKUP($B788,'D7 - NDB Impacted SPRF''s'!$E$16:$O$9929,3,FALSE)</f>
        <v>UnitedHealthcare Employer &amp; Individual</v>
      </c>
      <c r="AD788" s="380" t="str">
        <f>VLOOKUP($B788,'D7 - NDB Impacted SPRF''s'!$E$16:$O$9929,5,FALSE)</f>
        <v>HCA - Medica UNET Conversion</v>
      </c>
      <c r="AE788" s="380" t="str">
        <f>VLOOKUP($B788,'D7 - NDB Impacted SPRF''s'!$E$16:$O$9929,7,FALSE)</f>
        <v>Bev Nyce</v>
      </c>
      <c r="AF788" s="380" t="str">
        <f>VLOOKUP($B788,'D7 - NDB Impacted SPRF''s'!$E$16:$O$9929,6,FALSE)</f>
        <v>KELLY HANDLEY</v>
      </c>
      <c r="AG788" s="282"/>
      <c r="AH788" s="311" t="e">
        <f>INDEX('D5 - Gatekeeper - Projects'!$A$4:$AF$1010,$AM788, 17)</f>
        <v>#N/A</v>
      </c>
      <c r="AI788" s="8"/>
      <c r="AJ788" s="57"/>
      <c r="AK788" s="105"/>
      <c r="AM788" s="6" t="e">
        <f>MATCH(D788,'D5 - Gatekeeper - Projects'!$C$4:$C$1010,0)</f>
        <v>#N/A</v>
      </c>
      <c r="AN788" s="6" t="b">
        <f t="shared" si="74"/>
        <v>1</v>
      </c>
      <c r="AO788" s="6" t="str">
        <f t="shared" si="77"/>
        <v>OK</v>
      </c>
      <c r="AQ788" s="6" t="e">
        <f>MATCH($D788,'D4 - Provider Council Unsched'!$C$11:$C$234,0)</f>
        <v>#N/A</v>
      </c>
      <c r="AR788" s="6" t="b">
        <f t="shared" si="75"/>
        <v>1</v>
      </c>
      <c r="AS788" s="6" t="str">
        <f t="shared" si="73"/>
        <v>OK</v>
      </c>
      <c r="AU788" s="202"/>
      <c r="AV788" s="262"/>
      <c r="AW788" s="274"/>
    </row>
    <row r="789" spans="1:49" s="13" customFormat="1" ht="33.75" x14ac:dyDescent="0.2">
      <c r="A789" s="14">
        <v>765</v>
      </c>
      <c r="B789" s="14">
        <v>400013422</v>
      </c>
      <c r="C789" s="8" t="s">
        <v>5197</v>
      </c>
      <c r="D789" s="4" t="str">
        <f t="shared" si="76"/>
        <v>400013422R1</v>
      </c>
      <c r="E789" s="309" t="str">
        <f>VLOOKUP($B789,'D7 - NDB Impacted SPRF''s'!$E$6:$O$9929,2,FALSE)</f>
        <v>Tiered Conditional Benefits</v>
      </c>
      <c r="F789" s="8" t="s">
        <v>7989</v>
      </c>
      <c r="G789" s="8" t="s">
        <v>4758</v>
      </c>
      <c r="H789" s="8" t="s">
        <v>4246</v>
      </c>
      <c r="I789" s="20">
        <v>2.7</v>
      </c>
      <c r="J789" s="8" t="s">
        <v>4862</v>
      </c>
      <c r="K789" s="182">
        <v>39340</v>
      </c>
      <c r="L789" s="8" t="s">
        <v>5743</v>
      </c>
      <c r="M789" s="8" t="s">
        <v>2814</v>
      </c>
      <c r="N789" s="368"/>
      <c r="O789" s="8"/>
      <c r="P789" s="4" t="str">
        <f>VLOOKUP($B789,'D7 - NDB Impacted SPRF''s'!$E$16:$O$9929,9,FALSE)</f>
        <v>Y</v>
      </c>
      <c r="Q789" s="4" t="str">
        <f>VLOOKUP($B789,'D7 - NDB Impacted SPRF''s'!$E$16:$O$9929,10,FALSE)</f>
        <v>N</v>
      </c>
      <c r="R789" s="4" t="str">
        <f>VLOOKUP($B789,'D7 - NDB Impacted SPRF''s'!$E$16:$O$9929,11,FALSE)</f>
        <v>N</v>
      </c>
      <c r="S789" s="8" t="s">
        <v>7273</v>
      </c>
      <c r="T789" s="310"/>
      <c r="U789" s="310"/>
      <c r="V789" s="4"/>
      <c r="W789" s="4"/>
      <c r="X789" s="4"/>
      <c r="Y789" s="4"/>
      <c r="Z789" s="4"/>
      <c r="AA789" s="4"/>
      <c r="AB789" s="380" t="str">
        <f>VLOOKUP($B789,'D7 - NDB Impacted SPRF''s'!$E$16:$O$9929,4,FALSE)</f>
        <v>Completed</v>
      </c>
      <c r="AC789" s="380" t="str">
        <f>VLOOKUP($B789,'D7 - NDB Impacted SPRF''s'!$E$16:$O$9929,3,FALSE)</f>
        <v>UnitedHealthcare Employer &amp; Individual</v>
      </c>
      <c r="AD789" s="380" t="str">
        <f>VLOOKUP($B789,'D7 - NDB Impacted SPRF''s'!$E$16:$O$9929,5,FALSE)</f>
        <v>Medical Cost Savings Programs</v>
      </c>
      <c r="AE789" s="380" t="str">
        <f>VLOOKUP($B789,'D7 - NDB Impacted SPRF''s'!$E$16:$O$9929,7,FALSE)</f>
        <v>Gno Tenace</v>
      </c>
      <c r="AF789" s="380" t="str">
        <f>VLOOKUP($B789,'D7 - NDB Impacted SPRF''s'!$E$16:$O$9929,6,FALSE)</f>
        <v>LOVE JUDY</v>
      </c>
      <c r="AG789" s="282"/>
      <c r="AH789" s="311" t="e">
        <f>INDEX('D5 - Gatekeeper - Projects'!$A$4:$AF$1010,$AM789, 17)</f>
        <v>#N/A</v>
      </c>
      <c r="AI789" s="8"/>
      <c r="AJ789" s="57"/>
      <c r="AK789" s="105"/>
      <c r="AM789" s="6" t="e">
        <f>MATCH(D789,'D5 - Gatekeeper - Projects'!$C$4:$C$1010,0)</f>
        <v>#N/A</v>
      </c>
      <c r="AN789" s="6" t="b">
        <f t="shared" si="74"/>
        <v>1</v>
      </c>
      <c r="AO789" s="6" t="str">
        <f t="shared" si="77"/>
        <v>OK</v>
      </c>
      <c r="AQ789" s="6" t="e">
        <f>MATCH($D789,'D4 - Provider Council Unsched'!$C$11:$C$234,0)</f>
        <v>#N/A</v>
      </c>
      <c r="AR789" s="6" t="b">
        <f t="shared" si="75"/>
        <v>1</v>
      </c>
      <c r="AS789" s="6" t="str">
        <f t="shared" si="73"/>
        <v>OK</v>
      </c>
      <c r="AU789" s="202"/>
      <c r="AV789" s="262"/>
      <c r="AW789" s="274"/>
    </row>
    <row r="790" spans="1:49" s="13" customFormat="1" ht="33.75" x14ac:dyDescent="0.2">
      <c r="A790" s="14">
        <v>766</v>
      </c>
      <c r="B790" s="14">
        <v>400013849</v>
      </c>
      <c r="C790" s="8" t="s">
        <v>6723</v>
      </c>
      <c r="D790" s="4" t="str">
        <f t="shared" si="76"/>
        <v>400013849CC09</v>
      </c>
      <c r="E790" s="309" t="str">
        <f>VLOOKUP($B790,'D7 - NDB Impacted SPRF''s'!$E$6:$O$9929,2,FALSE)</f>
        <v>Medica Travel Benefit Administration</v>
      </c>
      <c r="F790" s="8" t="s">
        <v>5196</v>
      </c>
      <c r="G790" s="8" t="s">
        <v>4758</v>
      </c>
      <c r="H790" s="8" t="s">
        <v>4246</v>
      </c>
      <c r="I790" s="20">
        <v>2.25</v>
      </c>
      <c r="J790" s="8" t="s">
        <v>4862</v>
      </c>
      <c r="K790" s="182">
        <v>39340</v>
      </c>
      <c r="L790" s="8" t="s">
        <v>5743</v>
      </c>
      <c r="M790" s="8" t="s">
        <v>2814</v>
      </c>
      <c r="N790" s="38"/>
      <c r="O790" s="8"/>
      <c r="P790" s="4" t="str">
        <f>VLOOKUP($B790,'D7 - NDB Impacted SPRF''s'!$E$16:$O$9929,9,FALSE)</f>
        <v>Y</v>
      </c>
      <c r="Q790" s="4" t="str">
        <f>VLOOKUP($B790,'D7 - NDB Impacted SPRF''s'!$E$16:$O$9929,10,FALSE)</f>
        <v>N</v>
      </c>
      <c r="R790" s="4" t="str">
        <f>VLOOKUP($B790,'D7 - NDB Impacted SPRF''s'!$E$16:$O$9929,11,FALSE)</f>
        <v>N</v>
      </c>
      <c r="S790" s="8"/>
      <c r="T790" s="310"/>
      <c r="U790" s="310"/>
      <c r="V790" s="4"/>
      <c r="W790" s="4"/>
      <c r="X790" s="4"/>
      <c r="Y790" s="4"/>
      <c r="Z790" s="4"/>
      <c r="AA790" s="4"/>
      <c r="AB790" s="380" t="str">
        <f>VLOOKUP($B790,'D7 - NDB Impacted SPRF''s'!$E$16:$O$9929,4,FALSE)</f>
        <v>Completed</v>
      </c>
      <c r="AC790" s="380" t="str">
        <f>VLOOKUP($B790,'D7 - NDB Impacted SPRF''s'!$E$16:$O$9929,3,FALSE)</f>
        <v>UnitedHealthcare Employer &amp; Individual</v>
      </c>
      <c r="AD790" s="380" t="str">
        <f>VLOOKUP($B790,'D7 - NDB Impacted SPRF''s'!$E$16:$O$9929,5,FALSE)</f>
        <v>HCA - Medica UNET Conversion</v>
      </c>
      <c r="AE790" s="380" t="str">
        <f>VLOOKUP($B790,'D7 - NDB Impacted SPRF''s'!$E$16:$O$9929,7,FALSE)</f>
        <v>Diane Schofield</v>
      </c>
      <c r="AF790" s="380" t="str">
        <f>VLOOKUP($B790,'D7 - NDB Impacted SPRF''s'!$E$16:$O$9929,6,FALSE)</f>
        <v>SUSAN TONKIN</v>
      </c>
      <c r="AG790" s="282"/>
      <c r="AH790" s="311" t="e">
        <f>INDEX('D5 - Gatekeeper - Projects'!$A$4:$AF$1010,$AM790, 17)</f>
        <v>#N/A</v>
      </c>
      <c r="AI790" s="8"/>
      <c r="AJ790" s="57"/>
      <c r="AK790" s="105"/>
      <c r="AM790" s="6" t="e">
        <f>MATCH(D790,'D5 - Gatekeeper - Projects'!$C$4:$C$1010,0)</f>
        <v>#N/A</v>
      </c>
      <c r="AN790" s="6" t="b">
        <f t="shared" si="74"/>
        <v>1</v>
      </c>
      <c r="AO790" s="6" t="str">
        <f t="shared" si="77"/>
        <v>OK</v>
      </c>
      <c r="AQ790" s="6" t="e">
        <f>MATCH($D790,'D4 - Provider Council Unsched'!$C$11:$C$234,0)</f>
        <v>#N/A</v>
      </c>
      <c r="AR790" s="6" t="b">
        <f t="shared" si="75"/>
        <v>1</v>
      </c>
      <c r="AS790" s="6" t="str">
        <f t="shared" si="73"/>
        <v>OK</v>
      </c>
      <c r="AU790" s="202"/>
      <c r="AV790" s="262"/>
      <c r="AW790" s="274"/>
    </row>
    <row r="791" spans="1:49" s="13" customFormat="1" ht="33.75" x14ac:dyDescent="0.2">
      <c r="A791" s="14">
        <v>767</v>
      </c>
      <c r="B791" s="14">
        <v>400014056</v>
      </c>
      <c r="C791" s="8" t="s">
        <v>5227</v>
      </c>
      <c r="D791" s="4" t="str">
        <f t="shared" si="76"/>
        <v>400014056CC10</v>
      </c>
      <c r="E791" s="309" t="str">
        <f>VLOOKUP($B791,'D7 - NDB Impacted SPRF''s'!$E$6:$O$9929,2,FALSE)</f>
        <v xml:space="preserve">SAM Application Enhancement </v>
      </c>
      <c r="F791" s="8" t="s">
        <v>2114</v>
      </c>
      <c r="G791" s="8" t="s">
        <v>4758</v>
      </c>
      <c r="H791" s="8" t="s">
        <v>4246</v>
      </c>
      <c r="I791" s="20">
        <v>10.029999999999999</v>
      </c>
      <c r="J791" s="8" t="s">
        <v>4862</v>
      </c>
      <c r="K791" s="182">
        <v>39340</v>
      </c>
      <c r="L791" s="8" t="s">
        <v>5743</v>
      </c>
      <c r="M791" s="8" t="s">
        <v>2814</v>
      </c>
      <c r="N791" s="38" t="s">
        <v>4230</v>
      </c>
      <c r="O791" s="8"/>
      <c r="P791" s="4" t="str">
        <f>VLOOKUP($B791,'D7 - NDB Impacted SPRF''s'!$E$16:$O$9929,9,FALSE)</f>
        <v>Y</v>
      </c>
      <c r="Q791" s="4" t="str">
        <f>VLOOKUP($B791,'D7 - NDB Impacted SPRF''s'!$E$16:$O$9929,10,FALSE)</f>
        <v>N</v>
      </c>
      <c r="R791" s="4" t="str">
        <f>VLOOKUP($B791,'D7 - NDB Impacted SPRF''s'!$E$16:$O$9929,11,FALSE)</f>
        <v>Y</v>
      </c>
      <c r="S791" s="8"/>
      <c r="T791" s="310"/>
      <c r="U791" s="310"/>
      <c r="V791" s="4"/>
      <c r="W791" s="4"/>
      <c r="X791" s="4"/>
      <c r="Y791" s="4"/>
      <c r="Z791" s="4"/>
      <c r="AA791" s="4"/>
      <c r="AB791" s="380" t="str">
        <f>VLOOKUP($B791,'D7 - NDB Impacted SPRF''s'!$E$16:$O$9929,4,FALSE)</f>
        <v>Completed</v>
      </c>
      <c r="AC791" s="380" t="str">
        <f>VLOOKUP($B791,'D7 - NDB Impacted SPRF''s'!$E$16:$O$9929,3,FALSE)</f>
        <v>UnitedHealthcare Employer &amp; Individual</v>
      </c>
      <c r="AD791" s="380" t="str">
        <f>VLOOKUP($B791,'D7 - NDB Impacted SPRF''s'!$E$16:$O$9929,5,FALSE)</f>
        <v>Medical Cost Savings Programs</v>
      </c>
      <c r="AE791" s="380" t="str">
        <f>VLOOKUP($B791,'D7 - NDB Impacted SPRF''s'!$E$16:$O$9929,7,FALSE)</f>
        <v>Tim Kaja</v>
      </c>
      <c r="AF791" s="380" t="str">
        <f>VLOOKUP($B791,'D7 - NDB Impacted SPRF''s'!$E$16:$O$9929,6,FALSE)</f>
        <v>CHERYL STAUFFER</v>
      </c>
      <c r="AG791" s="282"/>
      <c r="AH791" s="311" t="e">
        <f>INDEX('D5 - Gatekeeper - Projects'!$A$4:$AF$1010,$AM791, 17)</f>
        <v>#N/A</v>
      </c>
      <c r="AI791" s="8"/>
      <c r="AJ791" s="57"/>
      <c r="AK791" s="105"/>
      <c r="AM791" s="6" t="e">
        <f>MATCH(D791,'D5 - Gatekeeper - Projects'!$C$4:$C$1010,0)</f>
        <v>#N/A</v>
      </c>
      <c r="AN791" s="6" t="b">
        <f t="shared" si="74"/>
        <v>1</v>
      </c>
      <c r="AO791" s="6" t="str">
        <f t="shared" si="77"/>
        <v>OK</v>
      </c>
      <c r="AQ791" s="6" t="e">
        <f>MATCH($D791,'D4 - Provider Council Unsched'!$C$11:$C$234,0)</f>
        <v>#N/A</v>
      </c>
      <c r="AR791" s="6" t="b">
        <f t="shared" si="75"/>
        <v>1</v>
      </c>
      <c r="AS791" s="6" t="str">
        <f t="shared" si="73"/>
        <v>OK</v>
      </c>
      <c r="AU791" s="202"/>
      <c r="AV791" s="262"/>
      <c r="AW791" s="274"/>
    </row>
    <row r="792" spans="1:49" s="13" customFormat="1" ht="33.75" x14ac:dyDescent="0.2">
      <c r="A792" s="14">
        <v>768</v>
      </c>
      <c r="B792" s="14">
        <v>400014794</v>
      </c>
      <c r="C792" s="8" t="s">
        <v>5197</v>
      </c>
      <c r="D792" s="4" t="str">
        <f t="shared" si="76"/>
        <v>400014794R1</v>
      </c>
      <c r="E792" s="309" t="str">
        <f>VLOOKUP($B792,'D7 - NDB Impacted SPRF''s'!$E$6:$O$9929,2,FALSE)</f>
        <v>Ovations Electronic Payments and Statements (EPS)</v>
      </c>
      <c r="F792" s="8" t="s">
        <v>2114</v>
      </c>
      <c r="G792" s="8" t="s">
        <v>4758</v>
      </c>
      <c r="H792" s="8" t="s">
        <v>4246</v>
      </c>
      <c r="I792" s="20">
        <v>5.5</v>
      </c>
      <c r="J792" s="8" t="s">
        <v>4862</v>
      </c>
      <c r="K792" s="182">
        <v>39340</v>
      </c>
      <c r="L792" s="8" t="s">
        <v>5743</v>
      </c>
      <c r="M792" s="8" t="s">
        <v>2814</v>
      </c>
      <c r="N792" s="38"/>
      <c r="O792" s="8" t="s">
        <v>2547</v>
      </c>
      <c r="P792" s="4" t="str">
        <f>VLOOKUP($B792,'D7 - NDB Impacted SPRF''s'!$E$16:$O$9929,9,FALSE)</f>
        <v>N</v>
      </c>
      <c r="Q792" s="4" t="str">
        <f>VLOOKUP($B792,'D7 - NDB Impacted SPRF''s'!$E$16:$O$9929,10,FALSE)</f>
        <v>N</v>
      </c>
      <c r="R792" s="4" t="str">
        <f>VLOOKUP($B792,'D7 - NDB Impacted SPRF''s'!$E$16:$O$9929,11,FALSE)</f>
        <v>N</v>
      </c>
      <c r="S792" s="8"/>
      <c r="T792" s="310"/>
      <c r="U792" s="310"/>
      <c r="V792" s="4"/>
      <c r="W792" s="4"/>
      <c r="X792" s="4"/>
      <c r="Y792" s="4"/>
      <c r="Z792" s="4"/>
      <c r="AA792" s="4"/>
      <c r="AB792" s="380" t="str">
        <f>VLOOKUP($B792,'D7 - NDB Impacted SPRF''s'!$E$16:$O$9929,4,FALSE)</f>
        <v>Completed</v>
      </c>
      <c r="AC792" s="380" t="str">
        <f>VLOOKUP($B792,'D7 - NDB Impacted SPRF''s'!$E$16:$O$9929,3,FALSE)</f>
        <v>UnitedHealthcare Medicare &amp; Retirement</v>
      </c>
      <c r="AD792" s="380" t="str">
        <f>VLOOKUP($B792,'D7 - NDB Impacted SPRF''s'!$E$16:$O$9929,5,FALSE)</f>
        <v>Ovations</v>
      </c>
      <c r="AE792" s="380" t="str">
        <f>VLOOKUP($B792,'D7 - NDB Impacted SPRF''s'!$E$16:$O$9929,7,FALSE)</f>
        <v>Mark Pontliana</v>
      </c>
      <c r="AF792" s="380" t="str">
        <f>VLOOKUP($B792,'D7 - NDB Impacted SPRF''s'!$E$16:$O$9929,6,FALSE)</f>
        <v>CHRISTOPHER EMPSON</v>
      </c>
      <c r="AG792" s="282"/>
      <c r="AH792" s="311" t="e">
        <f>INDEX('D5 - Gatekeeper - Projects'!$A$4:$AF$1010,$AM792, 17)</f>
        <v>#N/A</v>
      </c>
      <c r="AI792" s="8"/>
      <c r="AJ792" s="57"/>
      <c r="AK792" s="105"/>
      <c r="AM792" s="6" t="e">
        <f>MATCH(D792,'D5 - Gatekeeper - Projects'!$C$4:$C$1010,0)</f>
        <v>#N/A</v>
      </c>
      <c r="AN792" s="6" t="b">
        <f t="shared" si="74"/>
        <v>1</v>
      </c>
      <c r="AO792" s="6" t="str">
        <f t="shared" si="77"/>
        <v>OK</v>
      </c>
      <c r="AQ792" s="6" t="e">
        <f>MATCH($D792,'D4 - Provider Council Unsched'!$C$11:$C$234,0)</f>
        <v>#N/A</v>
      </c>
      <c r="AR792" s="6" t="b">
        <f t="shared" si="75"/>
        <v>1</v>
      </c>
      <c r="AS792" s="6" t="str">
        <f t="shared" si="73"/>
        <v>OK</v>
      </c>
      <c r="AU792" s="202"/>
      <c r="AV792" s="262"/>
      <c r="AW792" s="274"/>
    </row>
    <row r="793" spans="1:49" s="13" customFormat="1" ht="33.75" x14ac:dyDescent="0.2">
      <c r="A793" s="14">
        <v>769</v>
      </c>
      <c r="B793" s="14">
        <v>400015075</v>
      </c>
      <c r="C793" s="8" t="s">
        <v>5197</v>
      </c>
      <c r="D793" s="4" t="str">
        <f t="shared" si="76"/>
        <v>400015075R1</v>
      </c>
      <c r="E793" s="309" t="str">
        <f>VLOOKUP($B793,'D7 - NDB Impacted SPRF''s'!$E$6:$O$9929,2,FALSE)</f>
        <v>Medica Non-Notification Penalty</v>
      </c>
      <c r="F793" s="8" t="s">
        <v>5196</v>
      </c>
      <c r="G793" s="8" t="s">
        <v>4758</v>
      </c>
      <c r="H793" s="8" t="s">
        <v>4246</v>
      </c>
      <c r="I793" s="20">
        <v>25</v>
      </c>
      <c r="J793" s="8" t="s">
        <v>4862</v>
      </c>
      <c r="K793" s="182">
        <v>39340</v>
      </c>
      <c r="L793" s="8" t="s">
        <v>5743</v>
      </c>
      <c r="M793" s="8" t="s">
        <v>2814</v>
      </c>
      <c r="N793" s="38" t="s">
        <v>7040</v>
      </c>
      <c r="O793" s="8"/>
      <c r="P793" s="4" t="str">
        <f>VLOOKUP($B793,'D7 - NDB Impacted SPRF''s'!$E$16:$O$9929,9,FALSE)</f>
        <v>Y</v>
      </c>
      <c r="Q793" s="4" t="str">
        <f>VLOOKUP($B793,'D7 - NDB Impacted SPRF''s'!$E$16:$O$9929,10,FALSE)</f>
        <v>N</v>
      </c>
      <c r="R793" s="4" t="str">
        <f>VLOOKUP($B793,'D7 - NDB Impacted SPRF''s'!$E$16:$O$9929,11,FALSE)</f>
        <v>N</v>
      </c>
      <c r="S793" s="8"/>
      <c r="T793" s="310"/>
      <c r="U793" s="310"/>
      <c r="V793" s="4"/>
      <c r="W793" s="4"/>
      <c r="X793" s="4"/>
      <c r="Y793" s="4"/>
      <c r="Z793" s="4"/>
      <c r="AA793" s="4"/>
      <c r="AB793" s="380" t="str">
        <f>VLOOKUP($B793,'D7 - NDB Impacted SPRF''s'!$E$16:$O$9929,4,FALSE)</f>
        <v>Completed</v>
      </c>
      <c r="AC793" s="380" t="str">
        <f>VLOOKUP($B793,'D7 - NDB Impacted SPRF''s'!$E$16:$O$9929,3,FALSE)</f>
        <v>UnitedHealthcare Employer &amp; Individual</v>
      </c>
      <c r="AD793" s="380" t="str">
        <f>VLOOKUP($B793,'D7 - NDB Impacted SPRF''s'!$E$16:$O$9929,5,FALSE)</f>
        <v>HCA - Medica UNET Conversion</v>
      </c>
      <c r="AE793" s="380" t="str">
        <f>VLOOKUP($B793,'D7 - NDB Impacted SPRF''s'!$E$16:$O$9929,7,FALSE)</f>
        <v>Diane Schofield</v>
      </c>
      <c r="AF793" s="380" t="str">
        <f>VLOOKUP($B793,'D7 - NDB Impacted SPRF''s'!$E$16:$O$9929,6,FALSE)</f>
        <v>KELLY Valentine</v>
      </c>
      <c r="AG793" s="282"/>
      <c r="AH793" s="311" t="e">
        <f>INDEX('D5 - Gatekeeper - Projects'!$A$4:$AF$1010,$AM793, 17)</f>
        <v>#N/A</v>
      </c>
      <c r="AI793" s="8"/>
      <c r="AJ793" s="57"/>
      <c r="AK793" s="105"/>
      <c r="AM793" s="6" t="e">
        <f>MATCH(D793,'D5 - Gatekeeper - Projects'!$C$4:$C$1010,0)</f>
        <v>#N/A</v>
      </c>
      <c r="AN793" s="6" t="b">
        <f t="shared" si="74"/>
        <v>1</v>
      </c>
      <c r="AO793" s="6" t="str">
        <f t="shared" si="77"/>
        <v>OK</v>
      </c>
      <c r="AQ793" s="6" t="e">
        <f>MATCH($D793,'D4 - Provider Council Unsched'!$C$11:$C$234,0)</f>
        <v>#N/A</v>
      </c>
      <c r="AR793" s="6" t="b">
        <f t="shared" si="75"/>
        <v>1</v>
      </c>
      <c r="AS793" s="6" t="str">
        <f t="shared" si="73"/>
        <v>OK</v>
      </c>
      <c r="AU793" s="202"/>
      <c r="AV793" s="262"/>
      <c r="AW793" s="274"/>
    </row>
    <row r="794" spans="1:49" s="13" customFormat="1" ht="33.75" x14ac:dyDescent="0.2">
      <c r="A794" s="14">
        <v>770</v>
      </c>
      <c r="B794" s="14">
        <v>400016013</v>
      </c>
      <c r="C794" s="8" t="s">
        <v>5197</v>
      </c>
      <c r="D794" s="4" t="str">
        <f t="shared" si="76"/>
        <v>400016013R1</v>
      </c>
      <c r="E794" s="309" t="str">
        <f>VLOOKUP($B794,'D7 - NDB Impacted SPRF''s'!$E$6:$O$9929,2,FALSE)</f>
        <v>Consolidated NDB Extract Fix</v>
      </c>
      <c r="F794" s="8" t="s">
        <v>3235</v>
      </c>
      <c r="G794" s="8" t="s">
        <v>4758</v>
      </c>
      <c r="H794" s="8" t="s">
        <v>4246</v>
      </c>
      <c r="I794" s="20">
        <v>2.93</v>
      </c>
      <c r="J794" s="8" t="s">
        <v>4862</v>
      </c>
      <c r="K794" s="182">
        <v>39340</v>
      </c>
      <c r="L794" s="8" t="s">
        <v>5743</v>
      </c>
      <c r="M794" s="8" t="s">
        <v>2814</v>
      </c>
      <c r="N794" s="38" t="s">
        <v>1932</v>
      </c>
      <c r="O794" s="8" t="s">
        <v>4306</v>
      </c>
      <c r="P794" s="4" t="str">
        <f>VLOOKUP($B794,'D7 - NDB Impacted SPRF''s'!$E$16:$O$9929,9,FALSE)</f>
        <v>N</v>
      </c>
      <c r="Q794" s="4" t="str">
        <f>VLOOKUP($B794,'D7 - NDB Impacted SPRF''s'!$E$16:$O$9929,10,FALSE)</f>
        <v>N</v>
      </c>
      <c r="R794" s="4" t="str">
        <f>VLOOKUP($B794,'D7 - NDB Impacted SPRF''s'!$E$16:$O$9929,11,FALSE)</f>
        <v>N</v>
      </c>
      <c r="S794" s="8"/>
      <c r="T794" s="310"/>
      <c r="U794" s="310"/>
      <c r="V794" s="4"/>
      <c r="W794" s="4"/>
      <c r="X794" s="4"/>
      <c r="Y794" s="4"/>
      <c r="Z794" s="4"/>
      <c r="AA794" s="4"/>
      <c r="AB794" s="380" t="str">
        <f>VLOOKUP($B794,'D7 - NDB Impacted SPRF''s'!$E$16:$O$9929,4,FALSE)</f>
        <v>Completed</v>
      </c>
      <c r="AC794" s="380" t="str">
        <f>VLOOKUP($B794,'D7 - NDB Impacted SPRF''s'!$E$16:$O$9929,3,FALSE)</f>
        <v>UnitedHealthcare Employer &amp; Individual</v>
      </c>
      <c r="AD794" s="380" t="str">
        <f>VLOOKUP($B794,'D7 - NDB Impacted SPRF''s'!$E$16:$O$9929,5,FALSE)</f>
        <v>Network Growth / Enhancements</v>
      </c>
      <c r="AE794" s="380" t="str">
        <f>VLOOKUP($B794,'D7 - NDB Impacted SPRF''s'!$E$16:$O$9929,7,FALSE)</f>
        <v>Ross Lippincott</v>
      </c>
      <c r="AF794" s="380" t="str">
        <f>VLOOKUP($B794,'D7 - NDB Impacted SPRF''s'!$E$16:$O$9929,6,FALSE)</f>
        <v>Pamela Nash</v>
      </c>
      <c r="AG794" s="282"/>
      <c r="AH794" s="311" t="e">
        <f>INDEX('D5 - Gatekeeper - Projects'!$A$4:$AF$1010,$AM794, 17)</f>
        <v>#N/A</v>
      </c>
      <c r="AI794" s="8"/>
      <c r="AJ794" s="57"/>
      <c r="AK794" s="105"/>
      <c r="AM794" s="6" t="e">
        <f>MATCH(D794,'D5 - Gatekeeper - Projects'!$C$4:$C$1010,0)</f>
        <v>#N/A</v>
      </c>
      <c r="AN794" s="6" t="b">
        <f t="shared" si="74"/>
        <v>1</v>
      </c>
      <c r="AO794" s="6" t="str">
        <f t="shared" si="77"/>
        <v>OK</v>
      </c>
      <c r="AQ794" s="6" t="e">
        <f>MATCH($D794,'D4 - Provider Council Unsched'!$C$11:$C$234,0)</f>
        <v>#N/A</v>
      </c>
      <c r="AR794" s="6" t="b">
        <f t="shared" si="75"/>
        <v>1</v>
      </c>
      <c r="AS794" s="6" t="str">
        <f t="shared" si="73"/>
        <v>OK</v>
      </c>
      <c r="AU794" s="202"/>
      <c r="AV794" s="262"/>
      <c r="AW794" s="274"/>
    </row>
    <row r="795" spans="1:49" s="13" customFormat="1" ht="33.75" x14ac:dyDescent="0.2">
      <c r="A795" s="14">
        <v>771</v>
      </c>
      <c r="B795" s="14">
        <v>400016069</v>
      </c>
      <c r="C795" s="8" t="s">
        <v>5197</v>
      </c>
      <c r="D795" s="4" t="str">
        <f t="shared" si="76"/>
        <v>400016069R1</v>
      </c>
      <c r="E795" s="309" t="str">
        <f>VLOOKUP($B795,'D7 - NDB Impacted SPRF''s'!$E$6:$O$9929,2,FALSE)</f>
        <v>UHPD Facility Designation Program v2.0</v>
      </c>
      <c r="F795" s="8" t="s">
        <v>5443</v>
      </c>
      <c r="G795" s="8" t="s">
        <v>4758</v>
      </c>
      <c r="H795" s="8" t="s">
        <v>4246</v>
      </c>
      <c r="I795" s="20">
        <v>74.989999999999995</v>
      </c>
      <c r="J795" s="8" t="s">
        <v>4862</v>
      </c>
      <c r="K795" s="182">
        <v>39340</v>
      </c>
      <c r="L795" s="8" t="s">
        <v>5743</v>
      </c>
      <c r="M795" s="8" t="s">
        <v>2814</v>
      </c>
      <c r="N795" s="38"/>
      <c r="O795" s="8"/>
      <c r="P795" s="4" t="str">
        <f>VLOOKUP($B795,'D7 - NDB Impacted SPRF''s'!$E$16:$O$9929,9,FALSE)</f>
        <v>Y</v>
      </c>
      <c r="Q795" s="4" t="str">
        <f>VLOOKUP($B795,'D7 - NDB Impacted SPRF''s'!$E$16:$O$9929,10,FALSE)</f>
        <v>N</v>
      </c>
      <c r="R795" s="4" t="str">
        <f>VLOOKUP($B795,'D7 - NDB Impacted SPRF''s'!$E$16:$O$9929,11,FALSE)</f>
        <v>N</v>
      </c>
      <c r="S795" s="8"/>
      <c r="T795" s="310"/>
      <c r="U795" s="310"/>
      <c r="V795" s="4"/>
      <c r="W795" s="4"/>
      <c r="X795" s="4"/>
      <c r="Y795" s="4"/>
      <c r="Z795" s="4"/>
      <c r="AA795" s="4"/>
      <c r="AB795" s="380" t="str">
        <f>VLOOKUP($B795,'D7 - NDB Impacted SPRF''s'!$E$16:$O$9929,4,FALSE)</f>
        <v>Completed</v>
      </c>
      <c r="AC795" s="380" t="str">
        <f>VLOOKUP($B795,'D7 - NDB Impacted SPRF''s'!$E$16:$O$9929,3,FALSE)</f>
        <v>UnitedHealthcare Employer &amp; Individual</v>
      </c>
      <c r="AD795" s="380" t="str">
        <f>VLOOKUP($B795,'D7 - NDB Impacted SPRF''s'!$E$16:$O$9929,5,FALSE)</f>
        <v>Medical Cost Savings Programs</v>
      </c>
      <c r="AE795" s="380" t="str">
        <f>VLOOKUP($B795,'D7 - NDB Impacted SPRF''s'!$E$16:$O$9929,7,FALSE)</f>
        <v>Gino Tenace</v>
      </c>
      <c r="AF795" s="380" t="str">
        <f>VLOOKUP($B795,'D7 - NDB Impacted SPRF''s'!$E$16:$O$9929,6,FALSE)</f>
        <v>BRUCE CARVER</v>
      </c>
      <c r="AG795" s="282"/>
      <c r="AH795" s="311" t="e">
        <f>INDEX('D5 - Gatekeeper - Projects'!$A$4:$AF$1010,$AM795, 17)</f>
        <v>#N/A</v>
      </c>
      <c r="AI795" s="8"/>
      <c r="AJ795" s="57"/>
      <c r="AK795" s="105"/>
      <c r="AM795" s="6" t="e">
        <f>MATCH(D795,'D5 - Gatekeeper - Projects'!$C$4:$C$1010,0)</f>
        <v>#N/A</v>
      </c>
      <c r="AN795" s="6" t="b">
        <f t="shared" si="74"/>
        <v>1</v>
      </c>
      <c r="AO795" s="6" t="str">
        <f t="shared" si="77"/>
        <v>OK</v>
      </c>
      <c r="AQ795" s="6" t="e">
        <f>MATCH($D795,'D4 - Provider Council Unsched'!$C$11:$C$234,0)</f>
        <v>#N/A</v>
      </c>
      <c r="AR795" s="6" t="b">
        <f t="shared" si="75"/>
        <v>1</v>
      </c>
      <c r="AS795" s="6" t="str">
        <f t="shared" si="73"/>
        <v>OK</v>
      </c>
      <c r="AU795" s="202"/>
      <c r="AV795" s="262"/>
      <c r="AW795" s="274"/>
    </row>
    <row r="796" spans="1:49" s="13" customFormat="1" x14ac:dyDescent="0.2">
      <c r="A796" s="14">
        <v>772</v>
      </c>
      <c r="B796" s="14">
        <v>400016500</v>
      </c>
      <c r="C796" s="8" t="s">
        <v>5197</v>
      </c>
      <c r="D796" s="4" t="str">
        <f t="shared" si="76"/>
        <v>400016500R1</v>
      </c>
      <c r="E796" s="309" t="str">
        <f>VLOOKUP($B796,'D7 - NDB Impacted SPRF''s'!$E$6:$O$9929,2,FALSE)</f>
        <v>Empire Plan - Add NPI on to OOC Extract</v>
      </c>
      <c r="F796" s="8" t="s">
        <v>2114</v>
      </c>
      <c r="G796" s="8" t="s">
        <v>4758</v>
      </c>
      <c r="H796" s="8" t="s">
        <v>4246</v>
      </c>
      <c r="I796" s="20">
        <v>3.69</v>
      </c>
      <c r="J796" s="8" t="s">
        <v>4862</v>
      </c>
      <c r="K796" s="182">
        <v>39340</v>
      </c>
      <c r="L796" s="8" t="s">
        <v>5743</v>
      </c>
      <c r="M796" s="8" t="s">
        <v>2814</v>
      </c>
      <c r="N796" s="38"/>
      <c r="O796" s="8"/>
      <c r="P796" s="4" t="str">
        <f>VLOOKUP($B796,'D7 - NDB Impacted SPRF''s'!$E$16:$O$9929,9,FALSE)</f>
        <v>Y</v>
      </c>
      <c r="Q796" s="4" t="str">
        <f>VLOOKUP($B796,'D7 - NDB Impacted SPRF''s'!$E$16:$O$9929,10,FALSE)</f>
        <v>N</v>
      </c>
      <c r="R796" s="4" t="str">
        <f>VLOOKUP($B796,'D7 - NDB Impacted SPRF''s'!$E$16:$O$9929,11,FALSE)</f>
        <v>N</v>
      </c>
      <c r="S796" s="8"/>
      <c r="T796" s="310"/>
      <c r="U796" s="310"/>
      <c r="V796" s="4"/>
      <c r="W796" s="4"/>
      <c r="X796" s="4"/>
      <c r="Y796" s="4"/>
      <c r="Z796" s="4"/>
      <c r="AA796" s="4"/>
      <c r="AB796" s="380" t="str">
        <f>VLOOKUP($B796,'D7 - NDB Impacted SPRF''s'!$E$16:$O$9929,4,FALSE)</f>
        <v>Completed</v>
      </c>
      <c r="AC796" s="380" t="str">
        <f>VLOOKUP($B796,'D7 - NDB Impacted SPRF''s'!$E$16:$O$9929,3,FALSE)</f>
        <v>Uniprise</v>
      </c>
      <c r="AD796" s="380" t="str">
        <f>VLOOKUP($B796,'D7 - NDB Impacted SPRF''s'!$E$16:$O$9929,5,FALSE)</f>
        <v>USS - DDC</v>
      </c>
      <c r="AE796" s="380" t="str">
        <f>VLOOKUP($B796,'D7 - NDB Impacted SPRF''s'!$E$16:$O$9929,7,FALSE)</f>
        <v>Donna Pooley</v>
      </c>
      <c r="AF796" s="380" t="str">
        <f>VLOOKUP($B796,'D7 - NDB Impacted SPRF''s'!$E$16:$O$9929,6,FALSE)</f>
        <v>Laurie Torres</v>
      </c>
      <c r="AG796" s="282"/>
      <c r="AH796" s="311" t="e">
        <f>INDEX('D5 - Gatekeeper - Projects'!$A$4:$AF$1010,$AM796, 17)</f>
        <v>#N/A</v>
      </c>
      <c r="AI796" s="8"/>
      <c r="AJ796" s="57"/>
      <c r="AK796" s="105"/>
      <c r="AM796" s="6" t="e">
        <f>MATCH(D796,'D5 - Gatekeeper - Projects'!$C$4:$C$1010,0)</f>
        <v>#N/A</v>
      </c>
      <c r="AN796" s="6" t="b">
        <f t="shared" si="74"/>
        <v>1</v>
      </c>
      <c r="AO796" s="6" t="str">
        <f t="shared" si="77"/>
        <v>OK</v>
      </c>
      <c r="AQ796" s="6" t="e">
        <f>MATCH($D796,'D4 - Provider Council Unsched'!$C$11:$C$234,0)</f>
        <v>#N/A</v>
      </c>
      <c r="AR796" s="6" t="b">
        <f t="shared" si="75"/>
        <v>1</v>
      </c>
      <c r="AS796" s="6" t="str">
        <f t="shared" si="73"/>
        <v>OK</v>
      </c>
      <c r="AU796" s="202"/>
      <c r="AV796" s="262"/>
      <c r="AW796" s="274"/>
    </row>
    <row r="797" spans="1:49" s="13" customFormat="1" ht="33.75" x14ac:dyDescent="0.2">
      <c r="A797" s="14">
        <v>773</v>
      </c>
      <c r="B797" s="14">
        <v>400016767</v>
      </c>
      <c r="C797" s="8" t="s">
        <v>5197</v>
      </c>
      <c r="D797" s="4" t="str">
        <f t="shared" si="76"/>
        <v>400016767R1</v>
      </c>
      <c r="E797" s="309" t="str">
        <f>VLOOKUP($B797,'D7 - NDB Impacted SPRF''s'!$E$6:$O$9929,2,FALSE)</f>
        <v>Add NPI to Galaxy Provider Subject Area</v>
      </c>
      <c r="F797" s="8" t="s">
        <v>2114</v>
      </c>
      <c r="G797" s="8" t="s">
        <v>4758</v>
      </c>
      <c r="H797" s="8" t="s">
        <v>4246</v>
      </c>
      <c r="I797" s="20">
        <v>3.69</v>
      </c>
      <c r="J797" s="8" t="s">
        <v>4862</v>
      </c>
      <c r="K797" s="182">
        <v>39340</v>
      </c>
      <c r="L797" s="8" t="s">
        <v>5743</v>
      </c>
      <c r="M797" s="8" t="s">
        <v>2814</v>
      </c>
      <c r="N797" s="38"/>
      <c r="O797" s="8"/>
      <c r="P797" s="4" t="str">
        <f>VLOOKUP($B797,'D7 - NDB Impacted SPRF''s'!$E$16:$O$9929,9,FALSE)</f>
        <v>N</v>
      </c>
      <c r="Q797" s="4" t="str">
        <f>VLOOKUP($B797,'D7 - NDB Impacted SPRF''s'!$E$16:$O$9929,10,FALSE)</f>
        <v>N</v>
      </c>
      <c r="R797" s="4" t="str">
        <f>VLOOKUP($B797,'D7 - NDB Impacted SPRF''s'!$E$16:$O$9929,11,FALSE)</f>
        <v>N</v>
      </c>
      <c r="S797" s="8"/>
      <c r="T797" s="310"/>
      <c r="U797" s="310"/>
      <c r="V797" s="4"/>
      <c r="W797" s="4"/>
      <c r="X797" s="4"/>
      <c r="Y797" s="4"/>
      <c r="Z797" s="4"/>
      <c r="AA797" s="4"/>
      <c r="AB797" s="380" t="str">
        <f>VLOOKUP($B797,'D7 - NDB Impacted SPRF''s'!$E$16:$O$9929,4,FALSE)</f>
        <v>Completed</v>
      </c>
      <c r="AC797" s="380" t="str">
        <f>VLOOKUP($B797,'D7 - NDB Impacted SPRF''s'!$E$16:$O$9929,3,FALSE)</f>
        <v>UnitedHealthcare Employer &amp; Individual</v>
      </c>
      <c r="AD797" s="380" t="str">
        <f>VLOOKUP($B797,'D7 - NDB Impacted SPRF''s'!$E$16:$O$9929,5,FALSE)</f>
        <v>Regulatory / Other</v>
      </c>
      <c r="AE797" s="380" t="str">
        <f>VLOOKUP($B797,'D7 - NDB Impacted SPRF''s'!$E$16:$O$9929,7,FALSE)</f>
        <v>Tim Kaja</v>
      </c>
      <c r="AF797" s="380" t="str">
        <f>VLOOKUP($B797,'D7 - NDB Impacted SPRF''s'!$E$16:$O$9929,6,FALSE)</f>
        <v>KELLY LEONARD</v>
      </c>
      <c r="AG797" s="282"/>
      <c r="AH797" s="311" t="e">
        <f>INDEX('D5 - Gatekeeper - Projects'!$A$4:$AF$1010,$AM797, 17)</f>
        <v>#N/A</v>
      </c>
      <c r="AI797" s="8"/>
      <c r="AJ797" s="57"/>
      <c r="AK797" s="105"/>
      <c r="AM797" s="6" t="e">
        <f>MATCH(D797,'D5 - Gatekeeper - Projects'!$C$4:$C$1010,0)</f>
        <v>#N/A</v>
      </c>
      <c r="AN797" s="6" t="b">
        <f t="shared" si="74"/>
        <v>1</v>
      </c>
      <c r="AO797" s="6" t="str">
        <f t="shared" si="77"/>
        <v>OK</v>
      </c>
      <c r="AQ797" s="6" t="e">
        <f>MATCH($D797,'D4 - Provider Council Unsched'!$C$11:$C$234,0)</f>
        <v>#N/A</v>
      </c>
      <c r="AR797" s="6" t="b">
        <f t="shared" si="75"/>
        <v>1</v>
      </c>
      <c r="AS797" s="6" t="str">
        <f t="shared" si="73"/>
        <v>OK</v>
      </c>
      <c r="AU797" s="202"/>
      <c r="AV797" s="262"/>
      <c r="AW797" s="274"/>
    </row>
    <row r="798" spans="1:49" s="13" customFormat="1" ht="33.75" x14ac:dyDescent="0.2">
      <c r="A798" s="14">
        <v>774</v>
      </c>
      <c r="B798" s="14">
        <v>400017901</v>
      </c>
      <c r="C798" s="8" t="s">
        <v>3763</v>
      </c>
      <c r="D798" s="4" t="str">
        <f t="shared" si="76"/>
        <v>400017901R2</v>
      </c>
      <c r="E798" s="309" t="str">
        <f>VLOOKUP($B798,'D7 - NDB Impacted SPRF''s'!$E$6:$O$9929,2,FALSE)</f>
        <v>NDB Parallel Sysplex</v>
      </c>
      <c r="F798" s="8" t="s">
        <v>5787</v>
      </c>
      <c r="G798" s="8" t="s">
        <v>4758</v>
      </c>
      <c r="H798" s="8" t="s">
        <v>4246</v>
      </c>
      <c r="I798" s="20">
        <v>4</v>
      </c>
      <c r="J798" s="8" t="s">
        <v>4862</v>
      </c>
      <c r="K798" s="182">
        <v>39340</v>
      </c>
      <c r="L798" s="8" t="s">
        <v>5743</v>
      </c>
      <c r="M798" s="8" t="s">
        <v>2814</v>
      </c>
      <c r="N798" s="38"/>
      <c r="O798" s="8" t="s">
        <v>1998</v>
      </c>
      <c r="P798" s="4" t="str">
        <f>VLOOKUP($B798,'D7 - NDB Impacted SPRF''s'!$E$16:$O$9929,9,FALSE)</f>
        <v>Y</v>
      </c>
      <c r="Q798" s="4" t="str">
        <f>VLOOKUP($B798,'D7 - NDB Impacted SPRF''s'!$E$16:$O$9929,10,FALSE)</f>
        <v>N</v>
      </c>
      <c r="R798" s="4" t="str">
        <f>VLOOKUP($B798,'D7 - NDB Impacted SPRF''s'!$E$16:$O$9929,11,FALSE)</f>
        <v>Y</v>
      </c>
      <c r="S798" s="8"/>
      <c r="T798" s="310"/>
      <c r="U798" s="310"/>
      <c r="V798" s="4"/>
      <c r="W798" s="4"/>
      <c r="X798" s="4"/>
      <c r="Y798" s="4"/>
      <c r="Z798" s="4"/>
      <c r="AA798" s="4"/>
      <c r="AB798" s="380" t="str">
        <f>VLOOKUP($B798,'D7 - NDB Impacted SPRF''s'!$E$16:$O$9929,4,FALSE)</f>
        <v>Completed</v>
      </c>
      <c r="AC798" s="380" t="str">
        <f>VLOOKUP($B798,'D7 - NDB Impacted SPRF''s'!$E$16:$O$9929,3,FALSE)</f>
        <v>UHG IT - Application Services Group</v>
      </c>
      <c r="AD798" s="380" t="str">
        <f>VLOOKUP($B798,'D7 - NDB Impacted SPRF''s'!$E$16:$O$9929,5,FALSE)</f>
        <v>ASG</v>
      </c>
      <c r="AE798" s="380" t="str">
        <f>VLOOKUP($B798,'D7 - NDB Impacted SPRF''s'!$E$16:$O$9929,7,FALSE)</f>
        <v>John Santelli</v>
      </c>
      <c r="AF798" s="380" t="str">
        <f>VLOOKUP($B798,'D7 - NDB Impacted SPRF''s'!$E$16:$O$9929,6,FALSE)</f>
        <v>Laura Levesque</v>
      </c>
      <c r="AG798" s="282"/>
      <c r="AH798" s="311" t="e">
        <f>INDEX('D5 - Gatekeeper - Projects'!$A$4:$AF$1010,$AM798, 17)</f>
        <v>#N/A</v>
      </c>
      <c r="AI798" s="8"/>
      <c r="AJ798" s="57"/>
      <c r="AK798" s="105"/>
      <c r="AM798" s="6" t="e">
        <f>MATCH(D798,'D5 - Gatekeeper - Projects'!$C$4:$C$1010,0)</f>
        <v>#N/A</v>
      </c>
      <c r="AN798" s="6" t="b">
        <f t="shared" si="74"/>
        <v>1</v>
      </c>
      <c r="AO798" s="6" t="str">
        <f t="shared" si="77"/>
        <v>OK</v>
      </c>
      <c r="AQ798" s="6" t="e">
        <f>MATCH($D798,'D4 - Provider Council Unsched'!$C$11:$C$234,0)</f>
        <v>#N/A</v>
      </c>
      <c r="AR798" s="6" t="b">
        <f t="shared" si="75"/>
        <v>1</v>
      </c>
      <c r="AS798" s="6" t="str">
        <f t="shared" si="73"/>
        <v>OK</v>
      </c>
      <c r="AU798" s="202"/>
      <c r="AV798" s="262"/>
      <c r="AW798" s="274"/>
    </row>
    <row r="799" spans="1:49" s="13" customFormat="1" ht="33.75" x14ac:dyDescent="0.2">
      <c r="A799" s="14">
        <v>775</v>
      </c>
      <c r="B799" s="14">
        <v>400017959</v>
      </c>
      <c r="C799" s="8" t="s">
        <v>5197</v>
      </c>
      <c r="D799" s="4" t="str">
        <f t="shared" si="76"/>
        <v>400017959R1</v>
      </c>
      <c r="E799" s="309" t="str">
        <f>VLOOKUP($B799,'D7 - NDB Impacted SPRF''s'!$E$6:$O$9929,2,FALSE)</f>
        <v>API_AMI_EUI Test Capability</v>
      </c>
      <c r="F799" s="8" t="s">
        <v>5752</v>
      </c>
      <c r="G799" s="8" t="s">
        <v>4758</v>
      </c>
      <c r="H799" s="8" t="s">
        <v>4246</v>
      </c>
      <c r="I799" s="20">
        <v>1.07</v>
      </c>
      <c r="J799" s="8" t="s">
        <v>4862</v>
      </c>
      <c r="K799" s="182">
        <v>39340</v>
      </c>
      <c r="L799" s="8" t="s">
        <v>5743</v>
      </c>
      <c r="M799" s="8" t="s">
        <v>5626</v>
      </c>
      <c r="N799" s="38"/>
      <c r="O799" s="8"/>
      <c r="P799" s="4" t="str">
        <f>VLOOKUP($B799,'D7 - NDB Impacted SPRF''s'!$E$16:$O$9929,9,FALSE)</f>
        <v>Y</v>
      </c>
      <c r="Q799" s="4" t="str">
        <f>VLOOKUP($B799,'D7 - NDB Impacted SPRF''s'!$E$16:$O$9929,10,FALSE)</f>
        <v>N</v>
      </c>
      <c r="R799" s="4" t="str">
        <f>VLOOKUP($B799,'D7 - NDB Impacted SPRF''s'!$E$16:$O$9929,11,FALSE)</f>
        <v>N</v>
      </c>
      <c r="S799" s="8"/>
      <c r="T799" s="310"/>
      <c r="U799" s="310"/>
      <c r="V799" s="4"/>
      <c r="W799" s="4"/>
      <c r="X799" s="4"/>
      <c r="Y799" s="4"/>
      <c r="Z799" s="4"/>
      <c r="AA799" s="4"/>
      <c r="AB799" s="380" t="str">
        <f>VLOOKUP($B799,'D7 - NDB Impacted SPRF''s'!$E$16:$O$9929,4,FALSE)</f>
        <v>Completed</v>
      </c>
      <c r="AC799" s="380" t="str">
        <f>VLOOKUP($B799,'D7 - NDB Impacted SPRF''s'!$E$16:$O$9929,3,FALSE)</f>
        <v>UnitedHealthcare Employer &amp; Individual</v>
      </c>
      <c r="AD799" s="380" t="str">
        <f>VLOOKUP($B799,'D7 - NDB Impacted SPRF''s'!$E$16:$O$9929,5,FALSE)</f>
        <v>Integration Requirements</v>
      </c>
      <c r="AE799" s="380" t="str">
        <f>VLOOKUP($B799,'D7 - NDB Impacted SPRF''s'!$E$16:$O$9929,7,FALSE)</f>
        <v>Diane Schofield</v>
      </c>
      <c r="AF799" s="380" t="str">
        <f>VLOOKUP($B799,'D7 - NDB Impacted SPRF''s'!$E$16:$O$9929,6,FALSE)</f>
        <v>SUSAN TONKIN</v>
      </c>
      <c r="AG799" s="282"/>
      <c r="AH799" s="311" t="e">
        <f>INDEX('D5 - Gatekeeper - Projects'!$A$4:$AF$1010,$AM799, 17)</f>
        <v>#N/A</v>
      </c>
      <c r="AI799" s="8"/>
      <c r="AJ799" s="57"/>
      <c r="AK799" s="105"/>
      <c r="AM799" s="6" t="e">
        <f>MATCH(D799,'D5 - Gatekeeper - Projects'!$C$4:$C$1010,0)</f>
        <v>#N/A</v>
      </c>
      <c r="AN799" s="6" t="b">
        <f t="shared" si="74"/>
        <v>1</v>
      </c>
      <c r="AO799" s="6" t="str">
        <f t="shared" si="77"/>
        <v>OK</v>
      </c>
      <c r="AQ799" s="6" t="e">
        <f>MATCH($D799,'D4 - Provider Council Unsched'!$C$11:$C$234,0)</f>
        <v>#N/A</v>
      </c>
      <c r="AR799" s="6" t="b">
        <f t="shared" si="75"/>
        <v>1</v>
      </c>
      <c r="AS799" s="6" t="str">
        <f t="shared" si="73"/>
        <v>OK</v>
      </c>
      <c r="AU799" s="202"/>
      <c r="AV799" s="262"/>
      <c r="AW799" s="274"/>
    </row>
    <row r="800" spans="1:49" s="13" customFormat="1" ht="33.75" x14ac:dyDescent="0.2">
      <c r="A800" s="14">
        <v>776</v>
      </c>
      <c r="B800" s="14">
        <v>400017961</v>
      </c>
      <c r="C800" s="8" t="s">
        <v>5197</v>
      </c>
      <c r="D800" s="4" t="str">
        <f t="shared" si="76"/>
        <v>400017961R1</v>
      </c>
      <c r="E800" s="309" t="str">
        <f>VLOOKUP($B800,'D7 - NDB Impacted SPRF''s'!$E$6:$O$9929,2,FALSE)</f>
        <v>MAHP Outpatient Auth Matching vs. Inpatient</v>
      </c>
      <c r="F800" s="8" t="s">
        <v>5752</v>
      </c>
      <c r="G800" s="8" t="s">
        <v>4758</v>
      </c>
      <c r="H800" s="8" t="s">
        <v>4246</v>
      </c>
      <c r="I800" s="20">
        <v>1.07</v>
      </c>
      <c r="J800" s="8" t="s">
        <v>4862</v>
      </c>
      <c r="K800" s="182">
        <v>39340</v>
      </c>
      <c r="L800" s="8" t="s">
        <v>5743</v>
      </c>
      <c r="M800" s="8" t="s">
        <v>5626</v>
      </c>
      <c r="N800" s="38"/>
      <c r="O800" s="8"/>
      <c r="P800" s="4" t="str">
        <f>VLOOKUP($B800,'D7 - NDB Impacted SPRF''s'!$E$16:$O$9929,9,FALSE)</f>
        <v>Y</v>
      </c>
      <c r="Q800" s="4" t="str">
        <f>VLOOKUP($B800,'D7 - NDB Impacted SPRF''s'!$E$16:$O$9929,10,FALSE)</f>
        <v>N</v>
      </c>
      <c r="R800" s="4" t="str">
        <f>VLOOKUP($B800,'D7 - NDB Impacted SPRF''s'!$E$16:$O$9929,11,FALSE)</f>
        <v>N</v>
      </c>
      <c r="S800" s="8"/>
      <c r="T800" s="310"/>
      <c r="U800" s="310"/>
      <c r="V800" s="4"/>
      <c r="W800" s="4"/>
      <c r="X800" s="4"/>
      <c r="Y800" s="4"/>
      <c r="Z800" s="4"/>
      <c r="AA800" s="4"/>
      <c r="AB800" s="380" t="str">
        <f>VLOOKUP($B800,'D7 - NDB Impacted SPRF''s'!$E$16:$O$9929,4,FALSE)</f>
        <v>Completed</v>
      </c>
      <c r="AC800" s="380" t="str">
        <f>VLOOKUP($B800,'D7 - NDB Impacted SPRF''s'!$E$16:$O$9929,3,FALSE)</f>
        <v>UnitedHealthcare Employer &amp; Individual</v>
      </c>
      <c r="AD800" s="380" t="str">
        <f>VLOOKUP($B800,'D7 - NDB Impacted SPRF''s'!$E$16:$O$9929,5,FALSE)</f>
        <v>Integration Requirements</v>
      </c>
      <c r="AE800" s="380" t="str">
        <f>VLOOKUP($B800,'D7 - NDB Impacted SPRF''s'!$E$16:$O$9929,7,FALSE)</f>
        <v>Diane Schofield</v>
      </c>
      <c r="AF800" s="380" t="str">
        <f>VLOOKUP($B800,'D7 - NDB Impacted SPRF''s'!$E$16:$O$9929,6,FALSE)</f>
        <v>SUSAN TONKIN</v>
      </c>
      <c r="AG800" s="282"/>
      <c r="AH800" s="311" t="e">
        <f>INDEX('D5 - Gatekeeper - Projects'!$A$4:$AF$1010,$AM800, 17)</f>
        <v>#N/A</v>
      </c>
      <c r="AI800" s="8"/>
      <c r="AJ800" s="57"/>
      <c r="AK800" s="105"/>
      <c r="AM800" s="6" t="e">
        <f>MATCH(D800,'D5 - Gatekeeper - Projects'!$C$4:$C$1010,0)</f>
        <v>#N/A</v>
      </c>
      <c r="AN800" s="6" t="b">
        <f t="shared" si="74"/>
        <v>1</v>
      </c>
      <c r="AO800" s="6" t="str">
        <f t="shared" si="77"/>
        <v>OK</v>
      </c>
      <c r="AQ800" s="6" t="e">
        <f>MATCH($D800,'D4 - Provider Council Unsched'!$C$11:$C$234,0)</f>
        <v>#N/A</v>
      </c>
      <c r="AR800" s="6" t="b">
        <f t="shared" si="75"/>
        <v>1</v>
      </c>
      <c r="AS800" s="6" t="str">
        <f t="shared" si="73"/>
        <v>OK</v>
      </c>
      <c r="AU800" s="202"/>
      <c r="AV800" s="262"/>
      <c r="AW800" s="274"/>
    </row>
    <row r="801" spans="1:49" s="13" customFormat="1" ht="33.75" x14ac:dyDescent="0.2">
      <c r="A801" s="14">
        <v>777</v>
      </c>
      <c r="B801" s="14">
        <v>400018040</v>
      </c>
      <c r="C801" s="8" t="s">
        <v>3286</v>
      </c>
      <c r="D801" s="4" t="str">
        <f t="shared" si="76"/>
        <v>400018040CC02</v>
      </c>
      <c r="E801" s="309" t="str">
        <f>VLOOKUP($B801,'D7 - NDB Impacted SPRF''s'!$E$6:$O$9929,2,FALSE)</f>
        <v>CON ARR 4 TOPS Logic Fix</v>
      </c>
      <c r="F801" s="8"/>
      <c r="G801" s="8" t="s">
        <v>4758</v>
      </c>
      <c r="H801" s="8" t="s">
        <v>4246</v>
      </c>
      <c r="I801" s="20">
        <v>1.07</v>
      </c>
      <c r="J801" s="8" t="s">
        <v>4862</v>
      </c>
      <c r="K801" s="182">
        <v>39340</v>
      </c>
      <c r="L801" s="8" t="s">
        <v>5743</v>
      </c>
      <c r="M801" s="8" t="s">
        <v>5626</v>
      </c>
      <c r="N801" s="38"/>
      <c r="O801" s="8"/>
      <c r="P801" s="4" t="str">
        <f>VLOOKUP($B801,'D7 - NDB Impacted SPRF''s'!$E$16:$O$9929,9,FALSE)</f>
        <v>Y</v>
      </c>
      <c r="Q801" s="4" t="str">
        <f>VLOOKUP($B801,'D7 - NDB Impacted SPRF''s'!$E$16:$O$9929,10,FALSE)</f>
        <v>N</v>
      </c>
      <c r="R801" s="4" t="str">
        <f>VLOOKUP($B801,'D7 - NDB Impacted SPRF''s'!$E$16:$O$9929,11,FALSE)</f>
        <v>N</v>
      </c>
      <c r="S801" s="8"/>
      <c r="T801" s="310"/>
      <c r="U801" s="310"/>
      <c r="V801" s="4"/>
      <c r="W801" s="4"/>
      <c r="X801" s="4"/>
      <c r="Y801" s="4"/>
      <c r="Z801" s="4"/>
      <c r="AA801" s="4"/>
      <c r="AB801" s="380" t="str">
        <f>VLOOKUP($B801,'D7 - NDB Impacted SPRF''s'!$E$16:$O$9929,4,FALSE)</f>
        <v>Completed</v>
      </c>
      <c r="AC801" s="380" t="str">
        <f>VLOOKUP($B801,'D7 - NDB Impacted SPRF''s'!$E$16:$O$9929,3,FALSE)</f>
        <v>UnitedHealthcare Employer &amp; Individual</v>
      </c>
      <c r="AD801" s="380" t="str">
        <f>VLOOKUP($B801,'D7 - NDB Impacted SPRF''s'!$E$16:$O$9929,5,FALSE)</f>
        <v>Medical Cost Savings Programs</v>
      </c>
      <c r="AE801" s="380" t="str">
        <f>VLOOKUP($B801,'D7 - NDB Impacted SPRF''s'!$E$16:$O$9929,7,FALSE)</f>
        <v>Timothy Kaja</v>
      </c>
      <c r="AF801" s="380" t="str">
        <f>VLOOKUP($B801,'D7 - NDB Impacted SPRF''s'!$E$16:$O$9929,6,FALSE)</f>
        <v>JESSICA BROWER</v>
      </c>
      <c r="AG801" s="282"/>
      <c r="AH801" s="311" t="e">
        <f>INDEX('D5 - Gatekeeper - Projects'!$A$4:$AF$1010,$AM801, 17)</f>
        <v>#N/A</v>
      </c>
      <c r="AI801" s="8"/>
      <c r="AJ801" s="57"/>
      <c r="AK801" s="105"/>
      <c r="AM801" s="6" t="e">
        <f>MATCH(D801,'D5 - Gatekeeper - Projects'!$C$4:$C$1010,0)</f>
        <v>#N/A</v>
      </c>
      <c r="AN801" s="6" t="b">
        <f t="shared" si="74"/>
        <v>1</v>
      </c>
      <c r="AO801" s="6" t="str">
        <f t="shared" si="77"/>
        <v>OK</v>
      </c>
      <c r="AQ801" s="6" t="e">
        <f>MATCH($D801,'D4 - Provider Council Unsched'!$C$11:$C$234,0)</f>
        <v>#N/A</v>
      </c>
      <c r="AR801" s="6" t="b">
        <f t="shared" si="75"/>
        <v>1</v>
      </c>
      <c r="AS801" s="6" t="str">
        <f t="shared" si="73"/>
        <v>OK</v>
      </c>
      <c r="AU801" s="202"/>
      <c r="AV801" s="262"/>
      <c r="AW801" s="274"/>
    </row>
    <row r="802" spans="1:49" s="13" customFormat="1" x14ac:dyDescent="0.2">
      <c r="A802" s="14">
        <v>778</v>
      </c>
      <c r="B802" s="14">
        <v>400020622</v>
      </c>
      <c r="C802" s="8" t="s">
        <v>5197</v>
      </c>
      <c r="D802" s="4" t="str">
        <f t="shared" si="76"/>
        <v>400020622R1</v>
      </c>
      <c r="E802" s="309" t="str">
        <f>VLOOKUP($B802,'D7 - NDB Impacted SPRF''s'!$E$6:$O$9929,2,FALSE)</f>
        <v>DDS Data Reconciliation -- Reevaluate design</v>
      </c>
      <c r="F802" s="8" t="s">
        <v>5196</v>
      </c>
      <c r="G802" s="8" t="s">
        <v>4758</v>
      </c>
      <c r="H802" s="8" t="s">
        <v>4246</v>
      </c>
      <c r="I802" s="20">
        <v>2.31</v>
      </c>
      <c r="J802" s="8" t="s">
        <v>4862</v>
      </c>
      <c r="K802" s="182">
        <v>39340</v>
      </c>
      <c r="L802" s="8" t="s">
        <v>5743</v>
      </c>
      <c r="M802" s="8" t="s">
        <v>6688</v>
      </c>
      <c r="N802" s="38" t="s">
        <v>6248</v>
      </c>
      <c r="O802" s="8" t="s">
        <v>2547</v>
      </c>
      <c r="P802" s="4" t="str">
        <f>VLOOKUP($B802,'D7 - NDB Impacted SPRF''s'!$E$16:$O$9929,9,FALSE)</f>
        <v>Y</v>
      </c>
      <c r="Q802" s="4" t="str">
        <f>VLOOKUP($B802,'D7 - NDB Impacted SPRF''s'!$E$16:$O$9929,10,FALSE)</f>
        <v>N</v>
      </c>
      <c r="R802" s="4" t="str">
        <f>VLOOKUP($B802,'D7 - NDB Impacted SPRF''s'!$E$16:$O$9929,11,FALSE)</f>
        <v>N</v>
      </c>
      <c r="S802" s="8"/>
      <c r="T802" s="310"/>
      <c r="U802" s="310"/>
      <c r="V802" s="4"/>
      <c r="W802" s="4"/>
      <c r="X802" s="4"/>
      <c r="Y802" s="4"/>
      <c r="Z802" s="4"/>
      <c r="AA802" s="4"/>
      <c r="AB802" s="380" t="str">
        <f>VLOOKUP($B802,'D7 - NDB Impacted SPRF''s'!$E$16:$O$9929,4,FALSE)</f>
        <v>Completed</v>
      </c>
      <c r="AC802" s="380" t="str">
        <f>VLOOKUP($B802,'D7 - NDB Impacted SPRF''s'!$E$16:$O$9929,3,FALSE)</f>
        <v>Alliance</v>
      </c>
      <c r="AD802" s="380" t="str">
        <f>VLOOKUP($B802,'D7 - NDB Impacted SPRF''s'!$E$16:$O$9929,5,FALSE)</f>
        <v>Medica UNET Conversion</v>
      </c>
      <c r="AE802" s="380" t="str">
        <f>VLOOKUP($B802,'D7 - NDB Impacted SPRF''s'!$E$16:$O$9929,7,FALSE)</f>
        <v>Diane Schofield</v>
      </c>
      <c r="AF802" s="380" t="str">
        <f>VLOOKUP($B802,'D7 - NDB Impacted SPRF''s'!$E$16:$O$9929,6,FALSE)</f>
        <v>Kardock Elaine</v>
      </c>
      <c r="AG802" s="282"/>
      <c r="AH802" s="311" t="e">
        <f>INDEX('D5 - Gatekeeper - Projects'!$A$4:$AF$1010,$AM802, 17)</f>
        <v>#N/A</v>
      </c>
      <c r="AI802" s="8"/>
      <c r="AJ802" s="57"/>
      <c r="AK802" s="105"/>
      <c r="AM802" s="6" t="e">
        <f>MATCH(D802,'D5 - Gatekeeper - Projects'!$C$4:$C$1010,0)</f>
        <v>#N/A</v>
      </c>
      <c r="AN802" s="6" t="b">
        <f t="shared" si="74"/>
        <v>1</v>
      </c>
      <c r="AO802" s="6" t="str">
        <f t="shared" si="77"/>
        <v>OK</v>
      </c>
      <c r="AQ802" s="6" t="e">
        <f>MATCH($D802,'D4 - Provider Council Unsched'!$C$11:$C$234,0)</f>
        <v>#N/A</v>
      </c>
      <c r="AR802" s="6" t="b">
        <f t="shared" si="75"/>
        <v>1</v>
      </c>
      <c r="AS802" s="6" t="str">
        <f t="shared" si="73"/>
        <v>OK</v>
      </c>
      <c r="AU802" s="202"/>
      <c r="AV802" s="262"/>
      <c r="AW802" s="274"/>
    </row>
    <row r="803" spans="1:49" s="13" customFormat="1" ht="22.5" x14ac:dyDescent="0.2">
      <c r="A803" s="14">
        <v>779</v>
      </c>
      <c r="B803" s="14">
        <v>400020858</v>
      </c>
      <c r="C803" s="8" t="s">
        <v>5197</v>
      </c>
      <c r="D803" s="4" t="str">
        <f t="shared" si="76"/>
        <v>400020858R1</v>
      </c>
      <c r="E803" s="309" t="str">
        <f>VLOOKUP($B803,'D7 - NDB Impacted SPRF''s'!$E$6:$O$9929,2,FALSE)</f>
        <v>MEDICA - Testing effort to support Copis 4.5</v>
      </c>
      <c r="F803" s="8" t="s">
        <v>4069</v>
      </c>
      <c r="G803" s="8" t="s">
        <v>4758</v>
      </c>
      <c r="H803" s="8" t="s">
        <v>4246</v>
      </c>
      <c r="I803" s="20">
        <v>0.27</v>
      </c>
      <c r="J803" s="8" t="s">
        <v>4862</v>
      </c>
      <c r="K803" s="182">
        <v>39340</v>
      </c>
      <c r="L803" s="8" t="s">
        <v>5743</v>
      </c>
      <c r="M803" s="8" t="s">
        <v>4450</v>
      </c>
      <c r="N803" s="38" t="s">
        <v>5758</v>
      </c>
      <c r="O803" s="8" t="s">
        <v>5898</v>
      </c>
      <c r="P803" s="4" t="str">
        <f>VLOOKUP($B803,'D7 - NDB Impacted SPRF''s'!$E$16:$O$9929,9,FALSE)</f>
        <v>N</v>
      </c>
      <c r="Q803" s="4" t="str">
        <f>VLOOKUP($B803,'D7 - NDB Impacted SPRF''s'!$E$16:$O$9929,10,FALSE)</f>
        <v>N</v>
      </c>
      <c r="R803" s="4" t="str">
        <f>VLOOKUP($B803,'D7 - NDB Impacted SPRF''s'!$E$16:$O$9929,11,FALSE)</f>
        <v>N</v>
      </c>
      <c r="S803" s="8"/>
      <c r="T803" s="310"/>
      <c r="U803" s="310"/>
      <c r="V803" s="4"/>
      <c r="W803" s="4"/>
      <c r="X803" s="4"/>
      <c r="Y803" s="4"/>
      <c r="Z803" s="4"/>
      <c r="AA803" s="4"/>
      <c r="AB803" s="380" t="str">
        <f>VLOOKUP($B803,'D7 - NDB Impacted SPRF''s'!$E$16:$O$9929,4,FALSE)</f>
        <v>Completed</v>
      </c>
      <c r="AC803" s="380" t="str">
        <f>VLOOKUP($B803,'D7 - NDB Impacted SPRF''s'!$E$16:$O$9929,3,FALSE)</f>
        <v>Alliance</v>
      </c>
      <c r="AD803" s="380" t="str">
        <f>VLOOKUP($B803,'D7 - NDB Impacted SPRF''s'!$E$16:$O$9929,5,FALSE)</f>
        <v>Medica UNET Conversion</v>
      </c>
      <c r="AE803" s="380" t="str">
        <f>VLOOKUP($B803,'D7 - NDB Impacted SPRF''s'!$E$16:$O$9929,7,FALSE)</f>
        <v>Mark Garrity</v>
      </c>
      <c r="AF803" s="380" t="str">
        <f>VLOOKUP($B803,'D7 - NDB Impacted SPRF''s'!$E$16:$O$9929,6,FALSE)</f>
        <v>James Genovese</v>
      </c>
      <c r="AG803" s="282"/>
      <c r="AH803" s="311" t="e">
        <f>INDEX('D5 - Gatekeeper - Projects'!$A$4:$AF$1010,$AM803, 17)</f>
        <v>#N/A</v>
      </c>
      <c r="AI803" s="8"/>
      <c r="AJ803" s="57"/>
      <c r="AK803" s="105"/>
      <c r="AM803" s="6" t="e">
        <f>MATCH(D803,'D5 - Gatekeeper - Projects'!$C$4:$C$1010,0)</f>
        <v>#N/A</v>
      </c>
      <c r="AN803" s="6" t="b">
        <f t="shared" si="74"/>
        <v>1</v>
      </c>
      <c r="AO803" s="6" t="str">
        <f t="shared" si="77"/>
        <v>OK</v>
      </c>
      <c r="AQ803" s="6" t="e">
        <f>MATCH($D803,'D4 - Provider Council Unsched'!$C$11:$C$234,0)</f>
        <v>#N/A</v>
      </c>
      <c r="AR803" s="6" t="b">
        <f t="shared" si="75"/>
        <v>1</v>
      </c>
      <c r="AS803" s="6" t="str">
        <f t="shared" si="73"/>
        <v>OK</v>
      </c>
      <c r="AU803" s="202"/>
      <c r="AV803" s="262"/>
      <c r="AW803" s="274"/>
    </row>
    <row r="804" spans="1:49" s="13" customFormat="1" ht="33.75" x14ac:dyDescent="0.2">
      <c r="A804" s="14">
        <v>780</v>
      </c>
      <c r="B804" s="14">
        <v>400020870</v>
      </c>
      <c r="C804" s="8" t="s">
        <v>5197</v>
      </c>
      <c r="D804" s="4" t="str">
        <f t="shared" si="76"/>
        <v>400020870R1</v>
      </c>
      <c r="E804" s="309" t="str">
        <f>VLOOKUP($B804,'D7 - NDB Impacted SPRF''s'!$E$6:$O$9929,2,FALSE)</f>
        <v>EPDE Full File Pull for JDHC Auto-Load</v>
      </c>
      <c r="F804" s="8" t="s">
        <v>4302</v>
      </c>
      <c r="G804" s="8" t="s">
        <v>4758</v>
      </c>
      <c r="H804" s="8" t="s">
        <v>4246</v>
      </c>
      <c r="I804" s="20">
        <v>0.31</v>
      </c>
      <c r="J804" s="8" t="s">
        <v>4862</v>
      </c>
      <c r="K804" s="182">
        <v>39340</v>
      </c>
      <c r="L804" s="8" t="s">
        <v>5743</v>
      </c>
      <c r="M804" s="8" t="s">
        <v>7402</v>
      </c>
      <c r="N804" s="38" t="s">
        <v>1225</v>
      </c>
      <c r="O804" s="8"/>
      <c r="P804" s="4" t="str">
        <f>VLOOKUP($B804,'D7 - NDB Impacted SPRF''s'!$E$16:$O$9929,9,FALSE)</f>
        <v>N</v>
      </c>
      <c r="Q804" s="4" t="str">
        <f>VLOOKUP($B804,'D7 - NDB Impacted SPRF''s'!$E$16:$O$9929,10,FALSE)</f>
        <v>N</v>
      </c>
      <c r="R804" s="4" t="str">
        <f>VLOOKUP($B804,'D7 - NDB Impacted SPRF''s'!$E$16:$O$9929,11,FALSE)</f>
        <v>N</v>
      </c>
      <c r="S804" s="8"/>
      <c r="T804" s="310"/>
      <c r="U804" s="310"/>
      <c r="V804" s="4"/>
      <c r="W804" s="4"/>
      <c r="X804" s="4"/>
      <c r="Y804" s="4"/>
      <c r="Z804" s="4"/>
      <c r="AA804" s="4"/>
      <c r="AB804" s="380" t="str">
        <f>VLOOKUP($B804,'D7 - NDB Impacted SPRF''s'!$E$16:$O$9929,4,FALSE)</f>
        <v>Completed</v>
      </c>
      <c r="AC804" s="380" t="str">
        <f>VLOOKUP($B804,'D7 - NDB Impacted SPRF''s'!$E$16:$O$9929,3,FALSE)</f>
        <v>UnitedHealthcare Employer &amp; Individual</v>
      </c>
      <c r="AD804" s="380" t="str">
        <f>VLOOKUP($B804,'D7 - NDB Impacted SPRF''s'!$E$16:$O$9929,5,FALSE)</f>
        <v>Integration Requirements</v>
      </c>
      <c r="AE804" s="380" t="str">
        <f>VLOOKUP($B804,'D7 - NDB Impacted SPRF''s'!$E$16:$O$9929,7,FALSE)</f>
        <v>tim kaja</v>
      </c>
      <c r="AF804" s="380" t="str">
        <f>VLOOKUP($B804,'D7 - NDB Impacted SPRF''s'!$E$16:$O$9929,6,FALSE)</f>
        <v>MARCIA MONACO</v>
      </c>
      <c r="AG804" s="282"/>
      <c r="AH804" s="311" t="e">
        <f>INDEX('D5 - Gatekeeper - Projects'!$A$4:$AF$1010,$AM804, 17)</f>
        <v>#N/A</v>
      </c>
      <c r="AI804" s="8"/>
      <c r="AJ804" s="57"/>
      <c r="AK804" s="105"/>
      <c r="AM804" s="6" t="e">
        <f>MATCH(D804,'D5 - Gatekeeper - Projects'!$C$4:$C$1010,0)</f>
        <v>#N/A</v>
      </c>
      <c r="AN804" s="6" t="b">
        <f t="shared" si="74"/>
        <v>1</v>
      </c>
      <c r="AO804" s="6" t="str">
        <f t="shared" si="77"/>
        <v>OK</v>
      </c>
      <c r="AQ804" s="6" t="e">
        <f>MATCH($D804,'D4 - Provider Council Unsched'!$C$11:$C$234,0)</f>
        <v>#N/A</v>
      </c>
      <c r="AR804" s="6" t="b">
        <f t="shared" si="75"/>
        <v>1</v>
      </c>
      <c r="AS804" s="6" t="str">
        <f t="shared" si="73"/>
        <v>OK</v>
      </c>
      <c r="AU804" s="202"/>
      <c r="AV804" s="262"/>
      <c r="AW804" s="274"/>
    </row>
    <row r="805" spans="1:49" s="13" customFormat="1" ht="33.75" x14ac:dyDescent="0.2">
      <c r="A805" s="14">
        <v>781</v>
      </c>
      <c r="B805" s="14">
        <v>400021008</v>
      </c>
      <c r="C805" s="8" t="s">
        <v>5197</v>
      </c>
      <c r="D805" s="4" t="str">
        <f t="shared" si="76"/>
        <v>400021008R1</v>
      </c>
      <c r="E805" s="309" t="str">
        <f>VLOOKUP($B805,'D7 - NDB Impacted SPRF''s'!$E$6:$O$9929,2,FALSE)</f>
        <v>EPDE Full File Pull for PHS Auto-Load - Oregon</v>
      </c>
      <c r="F805" s="8" t="s">
        <v>6071</v>
      </c>
      <c r="G805" s="8" t="s">
        <v>4758</v>
      </c>
      <c r="H805" s="8" t="s">
        <v>4246</v>
      </c>
      <c r="I805" s="20">
        <v>1.07</v>
      </c>
      <c r="J805" s="8"/>
      <c r="K805" s="182">
        <v>39340</v>
      </c>
      <c r="L805" s="8" t="s">
        <v>4156</v>
      </c>
      <c r="M805" s="8" t="s">
        <v>6007</v>
      </c>
      <c r="N805" s="38" t="s">
        <v>7964</v>
      </c>
      <c r="O805" s="8"/>
      <c r="P805" s="4" t="str">
        <f>VLOOKUP($B805,'D7 - NDB Impacted SPRF''s'!$E$16:$O$9929,9,FALSE)</f>
        <v>N</v>
      </c>
      <c r="Q805" s="4" t="str">
        <f>VLOOKUP($B805,'D7 - NDB Impacted SPRF''s'!$E$16:$O$9929,10,FALSE)</f>
        <v>N</v>
      </c>
      <c r="R805" s="4" t="str">
        <f>VLOOKUP($B805,'D7 - NDB Impacted SPRF''s'!$E$16:$O$9929,11,FALSE)</f>
        <v>N</v>
      </c>
      <c r="S805" s="8"/>
      <c r="T805" s="310"/>
      <c r="U805" s="310"/>
      <c r="V805" s="4"/>
      <c r="W805" s="4"/>
      <c r="X805" s="4"/>
      <c r="Y805" s="4"/>
      <c r="Z805" s="4"/>
      <c r="AA805" s="4"/>
      <c r="AB805" s="380" t="str">
        <f>VLOOKUP($B805,'D7 - NDB Impacted SPRF''s'!$E$16:$O$9929,4,FALSE)</f>
        <v>Completed</v>
      </c>
      <c r="AC805" s="380" t="str">
        <f>VLOOKUP($B805,'D7 - NDB Impacted SPRF''s'!$E$16:$O$9929,3,FALSE)</f>
        <v>UnitedHealthcare Employer &amp; Individual</v>
      </c>
      <c r="AD805" s="380" t="str">
        <f>VLOOKUP($B805,'D7 - NDB Impacted SPRF''s'!$E$16:$O$9929,5,FALSE)</f>
        <v>Integration Requirements</v>
      </c>
      <c r="AE805" s="380" t="str">
        <f>VLOOKUP($B805,'D7 - NDB Impacted SPRF''s'!$E$16:$O$9929,7,FALSE)</f>
        <v>Tim Kaja</v>
      </c>
      <c r="AF805" s="380" t="str">
        <f>VLOOKUP($B805,'D7 - NDB Impacted SPRF''s'!$E$16:$O$9929,6,FALSE)</f>
        <v>MARCIA MONACO</v>
      </c>
      <c r="AG805" s="282"/>
      <c r="AH805" s="311" t="e">
        <f>INDEX('D5 - Gatekeeper - Projects'!$A$4:$AF$1010,$AM805, 17)</f>
        <v>#N/A</v>
      </c>
      <c r="AI805" s="8"/>
      <c r="AJ805" s="57"/>
      <c r="AK805" s="105"/>
      <c r="AM805" s="6" t="e">
        <f>MATCH(D805,'D5 - Gatekeeper - Projects'!$C$4:$C$1010,0)</f>
        <v>#N/A</v>
      </c>
      <c r="AN805" s="6" t="b">
        <f t="shared" si="74"/>
        <v>1</v>
      </c>
      <c r="AO805" s="6" t="str">
        <f t="shared" si="77"/>
        <v>OK</v>
      </c>
      <c r="AQ805" s="6" t="e">
        <f>MATCH($D805,'D4 - Provider Council Unsched'!$C$11:$C$234,0)</f>
        <v>#N/A</v>
      </c>
      <c r="AR805" s="6" t="b">
        <f t="shared" si="75"/>
        <v>1</v>
      </c>
      <c r="AS805" s="6" t="str">
        <f t="shared" si="73"/>
        <v>OK</v>
      </c>
      <c r="AU805" s="202"/>
      <c r="AV805" s="262"/>
      <c r="AW805" s="274"/>
    </row>
    <row r="806" spans="1:49" s="13" customFormat="1" ht="33.75" x14ac:dyDescent="0.2">
      <c r="A806" s="14">
        <v>782</v>
      </c>
      <c r="B806" s="14">
        <v>400013198</v>
      </c>
      <c r="C806" s="8" t="s">
        <v>5197</v>
      </c>
      <c r="D806" s="4" t="str">
        <f t="shared" si="76"/>
        <v>400013198R1</v>
      </c>
      <c r="E806" s="309" t="str">
        <f>VLOOKUP($B806,'D7 - NDB Impacted SPRF''s'!$E$6:$O$9929,2,FALSE)</f>
        <v>HPHC Data Sharing/ Exchange - support</v>
      </c>
      <c r="F806" s="8" t="s">
        <v>5196</v>
      </c>
      <c r="G806" s="8" t="s">
        <v>4758</v>
      </c>
      <c r="H806" s="8" t="s">
        <v>4246</v>
      </c>
      <c r="I806" s="20">
        <v>23.33</v>
      </c>
      <c r="J806" s="8" t="s">
        <v>4862</v>
      </c>
      <c r="K806" s="182">
        <v>39361</v>
      </c>
      <c r="L806" s="8" t="s">
        <v>5743</v>
      </c>
      <c r="M806" s="8" t="s">
        <v>6688</v>
      </c>
      <c r="N806" s="367" t="s">
        <v>2059</v>
      </c>
      <c r="O806" s="8" t="s">
        <v>2547</v>
      </c>
      <c r="P806" s="4" t="str">
        <f>VLOOKUP($B806,'D7 - NDB Impacted SPRF''s'!$E$16:$O$9929,9,FALSE)</f>
        <v>Y</v>
      </c>
      <c r="Q806" s="4" t="str">
        <f>VLOOKUP($B806,'D7 - NDB Impacted SPRF''s'!$E$16:$O$9929,10,FALSE)</f>
        <v>N</v>
      </c>
      <c r="R806" s="4" t="str">
        <f>VLOOKUP($B806,'D7 - NDB Impacted SPRF''s'!$E$16:$O$9929,11,FALSE)</f>
        <v>N</v>
      </c>
      <c r="S806" s="8" t="s">
        <v>3758</v>
      </c>
      <c r="T806" s="310"/>
      <c r="U806" s="310"/>
      <c r="V806" s="4"/>
      <c r="W806" s="4"/>
      <c r="X806" s="4"/>
      <c r="Y806" s="4"/>
      <c r="Z806" s="4"/>
      <c r="AA806" s="4"/>
      <c r="AB806" s="380" t="str">
        <f>VLOOKUP($B806,'D7 - NDB Impacted SPRF''s'!$E$16:$O$9929,4,FALSE)</f>
        <v>Completed</v>
      </c>
      <c r="AC806" s="380" t="str">
        <f>VLOOKUP($B806,'D7 - NDB Impacted SPRF''s'!$E$16:$O$9929,3,FALSE)</f>
        <v>Alliance</v>
      </c>
      <c r="AD806" s="380" t="str">
        <f>VLOOKUP($B806,'D7 - NDB Impacted SPRF''s'!$E$16:$O$9929,5,FALSE)</f>
        <v>Harvard Pilgrim Service Alliance</v>
      </c>
      <c r="AE806" s="380" t="str">
        <f>VLOOKUP($B806,'D7 - NDB Impacted SPRF''s'!$E$16:$O$9929,7,FALSE)</f>
        <v>Bev Nyce</v>
      </c>
      <c r="AF806" s="380" t="str">
        <f>VLOOKUP($B806,'D7 - NDB Impacted SPRF''s'!$E$16:$O$9929,6,FALSE)</f>
        <v>Kardock Elaine</v>
      </c>
      <c r="AG806" s="282"/>
      <c r="AH806" s="311" t="e">
        <f>INDEX('D5 - Gatekeeper - Projects'!$A$4:$AF$1010,$AM806, 17)</f>
        <v>#N/A</v>
      </c>
      <c r="AI806" s="8"/>
      <c r="AJ806" s="57"/>
      <c r="AK806" s="105"/>
      <c r="AM806" s="6" t="e">
        <f>MATCH(D806,'D5 - Gatekeeper - Projects'!$C$4:$C$1010,0)</f>
        <v>#N/A</v>
      </c>
      <c r="AN806" s="6" t="b">
        <f t="shared" si="74"/>
        <v>1</v>
      </c>
      <c r="AO806" s="6" t="str">
        <f t="shared" si="77"/>
        <v>OK</v>
      </c>
      <c r="AQ806" s="6" t="e">
        <f>MATCH($D806,'D4 - Provider Council Unsched'!$C$11:$C$234,0)</f>
        <v>#N/A</v>
      </c>
      <c r="AR806" s="6" t="b">
        <f t="shared" si="75"/>
        <v>1</v>
      </c>
      <c r="AS806" s="6" t="str">
        <f t="shared" si="73"/>
        <v>OK</v>
      </c>
      <c r="AU806" s="202"/>
      <c r="AV806" s="262"/>
      <c r="AW806" s="274"/>
    </row>
    <row r="807" spans="1:49" s="13" customFormat="1" ht="33.75" x14ac:dyDescent="0.2">
      <c r="A807" s="14">
        <v>783</v>
      </c>
      <c r="B807" s="14">
        <v>400012672</v>
      </c>
      <c r="C807" s="8" t="s">
        <v>3447</v>
      </c>
      <c r="D807" s="4" t="str">
        <f t="shared" si="76"/>
        <v>400012672CC16</v>
      </c>
      <c r="E807" s="309" t="str">
        <f>VLOOKUP($B807,'D7 - NDB Impacted SPRF''s'!$E$6:$O$9929,2,FALSE)</f>
        <v>Provider Timely Filing by Contract</v>
      </c>
      <c r="F807" s="8" t="s">
        <v>2114</v>
      </c>
      <c r="G807" s="8" t="s">
        <v>4758</v>
      </c>
      <c r="H807" s="8" t="s">
        <v>4246</v>
      </c>
      <c r="I807" s="20">
        <v>7.93</v>
      </c>
      <c r="J807" s="8" t="s">
        <v>4862</v>
      </c>
      <c r="K807" s="182">
        <v>39375</v>
      </c>
      <c r="L807" s="8" t="s">
        <v>5743</v>
      </c>
      <c r="M807" s="8" t="s">
        <v>2814</v>
      </c>
      <c r="N807" s="38"/>
      <c r="O807" s="8" t="s">
        <v>5042</v>
      </c>
      <c r="P807" s="4" t="str">
        <f>VLOOKUP($B807,'D7 - NDB Impacted SPRF''s'!$E$16:$O$9929,9,FALSE)</f>
        <v>Y</v>
      </c>
      <c r="Q807" s="4" t="str">
        <f>VLOOKUP($B807,'D7 - NDB Impacted SPRF''s'!$E$16:$O$9929,10,FALSE)</f>
        <v>N</v>
      </c>
      <c r="R807" s="4" t="str">
        <f>VLOOKUP($B807,'D7 - NDB Impacted SPRF''s'!$E$16:$O$9929,11,FALSE)</f>
        <v>Y</v>
      </c>
      <c r="S807" s="8"/>
      <c r="T807" s="310"/>
      <c r="U807" s="310"/>
      <c r="V807" s="4"/>
      <c r="W807" s="4"/>
      <c r="X807" s="4"/>
      <c r="Y807" s="4"/>
      <c r="Z807" s="4"/>
      <c r="AA807" s="4"/>
      <c r="AB807" s="380" t="str">
        <f>VLOOKUP($B807,'D7 - NDB Impacted SPRF''s'!$E$16:$O$9929,4,FALSE)</f>
        <v>Completed</v>
      </c>
      <c r="AC807" s="380" t="str">
        <f>VLOOKUP($B807,'D7 - NDB Impacted SPRF''s'!$E$16:$O$9929,3,FALSE)</f>
        <v>UnitedHealthcare Employer &amp; Individual</v>
      </c>
      <c r="AD807" s="380" t="str">
        <f>VLOOKUP($B807,'D7 - NDB Impacted SPRF''s'!$E$16:$O$9929,5,FALSE)</f>
        <v>Medical Cost Savings Programs</v>
      </c>
      <c r="AE807" s="380" t="str">
        <f>VLOOKUP($B807,'D7 - NDB Impacted SPRF''s'!$E$16:$O$9929,7,FALSE)</f>
        <v>Michael Ile</v>
      </c>
      <c r="AF807" s="380" t="str">
        <f>VLOOKUP($B807,'D7 - NDB Impacted SPRF''s'!$E$16:$O$9929,6,FALSE)</f>
        <v>Susan Neal</v>
      </c>
      <c r="AG807" s="282"/>
      <c r="AH807" s="311" t="e">
        <f>INDEX('D5 - Gatekeeper - Projects'!$A$4:$AF$1010,$AM807, 17)</f>
        <v>#N/A</v>
      </c>
      <c r="AI807" s="8"/>
      <c r="AJ807" s="57"/>
      <c r="AK807" s="105"/>
      <c r="AM807" s="6" t="e">
        <f>MATCH(D807,'D5 - Gatekeeper - Projects'!$C$4:$C$1010,0)</f>
        <v>#N/A</v>
      </c>
      <c r="AN807" s="6" t="b">
        <f t="shared" si="74"/>
        <v>1</v>
      </c>
      <c r="AO807" s="6" t="str">
        <f t="shared" si="77"/>
        <v>OK</v>
      </c>
      <c r="AQ807" s="6" t="e">
        <f>MATCH($D807,'D4 - Provider Council Unsched'!$C$11:$C$234,0)</f>
        <v>#N/A</v>
      </c>
      <c r="AR807" s="6" t="b">
        <f t="shared" si="75"/>
        <v>1</v>
      </c>
      <c r="AS807" s="6" t="str">
        <f t="shared" si="73"/>
        <v>OK</v>
      </c>
      <c r="AU807" s="202"/>
      <c r="AV807" s="262"/>
      <c r="AW807" s="274"/>
    </row>
    <row r="808" spans="1:49" s="13" customFormat="1" ht="33.75" x14ac:dyDescent="0.2">
      <c r="A808" s="14">
        <v>784</v>
      </c>
      <c r="B808" s="14">
        <v>400012883</v>
      </c>
      <c r="C808" s="8" t="s">
        <v>7134</v>
      </c>
      <c r="D808" s="4" t="str">
        <f t="shared" si="76"/>
        <v>400012883CC18</v>
      </c>
      <c r="E808" s="309" t="str">
        <f>VLOOKUP($B808,'D7 - NDB Impacted SPRF''s'!$E$6:$O$9929,2,FALSE)</f>
        <v>PHS RIMS to Galaxy and Downstream Data Marts</v>
      </c>
      <c r="F808" s="8" t="s">
        <v>6071</v>
      </c>
      <c r="G808" s="8" t="s">
        <v>4758</v>
      </c>
      <c r="H808" s="8" t="s">
        <v>4246</v>
      </c>
      <c r="I808" s="20">
        <v>1.07</v>
      </c>
      <c r="J808" s="8" t="s">
        <v>4862</v>
      </c>
      <c r="K808" s="182">
        <v>39375</v>
      </c>
      <c r="L808" s="8" t="s">
        <v>5743</v>
      </c>
      <c r="M808" s="8" t="s">
        <v>2814</v>
      </c>
      <c r="N808" s="38" t="s">
        <v>7420</v>
      </c>
      <c r="O808" s="8"/>
      <c r="P808" s="4" t="str">
        <f>VLOOKUP($B808,'D7 - NDB Impacted SPRF''s'!$E$16:$O$9929,9,FALSE)</f>
        <v>N</v>
      </c>
      <c r="Q808" s="4" t="str">
        <f>VLOOKUP($B808,'D7 - NDB Impacted SPRF''s'!$E$16:$O$9929,10,FALSE)</f>
        <v>N</v>
      </c>
      <c r="R808" s="4" t="str">
        <f>VLOOKUP($B808,'D7 - NDB Impacted SPRF''s'!$E$16:$O$9929,11,FALSE)</f>
        <v>N</v>
      </c>
      <c r="S808" s="8"/>
      <c r="T808" s="310"/>
      <c r="U808" s="310"/>
      <c r="V808" s="4"/>
      <c r="W808" s="4"/>
      <c r="X808" s="4"/>
      <c r="Y808" s="4"/>
      <c r="Z808" s="4"/>
      <c r="AA808" s="4"/>
      <c r="AB808" s="380" t="str">
        <f>VLOOKUP($B808,'D7 - NDB Impacted SPRF''s'!$E$16:$O$9929,4,FALSE)</f>
        <v>Completed</v>
      </c>
      <c r="AC808" s="380" t="str">
        <f>VLOOKUP($B808,'D7 - NDB Impacted SPRF''s'!$E$16:$O$9929,3,FALSE)</f>
        <v>UnitedHealthcare Employer &amp; Individual</v>
      </c>
      <c r="AD808" s="380" t="str">
        <f>VLOOKUP($B808,'D7 - NDB Impacted SPRF''s'!$E$16:$O$9929,5,FALSE)</f>
        <v>Integration Requirements</v>
      </c>
      <c r="AE808" s="380" t="str">
        <f>VLOOKUP($B808,'D7 - NDB Impacted SPRF''s'!$E$16:$O$9929,7,FALSE)</f>
        <v>Patrick McIntyre</v>
      </c>
      <c r="AF808" s="380" t="str">
        <f>VLOOKUP($B808,'D7 - NDB Impacted SPRF''s'!$E$16:$O$9929,6,FALSE)</f>
        <v>PATRICK TIMA</v>
      </c>
      <c r="AG808" s="282"/>
      <c r="AH808" s="311" t="e">
        <f>INDEX('D5 - Gatekeeper - Projects'!$A$4:$AF$1010,$AM808, 17)</f>
        <v>#N/A</v>
      </c>
      <c r="AI808" s="8"/>
      <c r="AJ808" s="57"/>
      <c r="AK808" s="105"/>
      <c r="AM808" s="6" t="e">
        <f>MATCH(D808,'D5 - Gatekeeper - Projects'!$C$4:$C$1010,0)</f>
        <v>#N/A</v>
      </c>
      <c r="AN808" s="6" t="b">
        <f t="shared" si="74"/>
        <v>1</v>
      </c>
      <c r="AO808" s="6" t="str">
        <f t="shared" si="77"/>
        <v>OK</v>
      </c>
      <c r="AQ808" s="6" t="e">
        <f>MATCH($D808,'D4 - Provider Council Unsched'!$C$11:$C$234,0)</f>
        <v>#N/A</v>
      </c>
      <c r="AR808" s="6" t="b">
        <f t="shared" si="75"/>
        <v>1</v>
      </c>
      <c r="AS808" s="6" t="str">
        <f t="shared" ref="AS808:AS813" si="78">IF(AND(H808="2 - Not Scheduled",AR808=TRUE),"Add","OK")</f>
        <v>OK</v>
      </c>
      <c r="AU808" s="202"/>
      <c r="AV808" s="262"/>
      <c r="AW808" s="274"/>
    </row>
    <row r="809" spans="1:49" s="13" customFormat="1" ht="33.75" x14ac:dyDescent="0.2">
      <c r="A809" s="14">
        <v>785</v>
      </c>
      <c r="B809" s="14">
        <v>400013210</v>
      </c>
      <c r="C809" s="8" t="s">
        <v>2449</v>
      </c>
      <c r="D809" s="4" t="str">
        <f t="shared" si="76"/>
        <v>400013210R3</v>
      </c>
      <c r="E809" s="309" t="str">
        <f>VLOOKUP($B809,'D7 - NDB Impacted SPRF''s'!$E$6:$O$9929,2,FALSE)</f>
        <v>PDI -Update NDB fields to support AmeriChoice data</v>
      </c>
      <c r="F809" s="8" t="s">
        <v>4961</v>
      </c>
      <c r="G809" s="8" t="s">
        <v>4758</v>
      </c>
      <c r="H809" s="8" t="s">
        <v>4246</v>
      </c>
      <c r="I809" s="20">
        <v>159.21</v>
      </c>
      <c r="J809" s="8" t="s">
        <v>4862</v>
      </c>
      <c r="K809" s="182">
        <v>39375</v>
      </c>
      <c r="L809" s="8" t="s">
        <v>5743</v>
      </c>
      <c r="M809" s="8" t="s">
        <v>2814</v>
      </c>
      <c r="N809" s="367" t="s">
        <v>7404</v>
      </c>
      <c r="O809" s="8" t="s">
        <v>4306</v>
      </c>
      <c r="P809" s="4" t="str">
        <f>VLOOKUP($B809,'D7 - NDB Impacted SPRF''s'!$E$16:$O$9929,9,FALSE)</f>
        <v>N</v>
      </c>
      <c r="Q809" s="4" t="str">
        <f>VLOOKUP($B809,'D7 - NDB Impacted SPRF''s'!$E$16:$O$9929,10,FALSE)</f>
        <v>N</v>
      </c>
      <c r="R809" s="4" t="str">
        <f>VLOOKUP($B809,'D7 - NDB Impacted SPRF''s'!$E$16:$O$9929,11,FALSE)</f>
        <v>N</v>
      </c>
      <c r="S809" s="8"/>
      <c r="T809" s="310"/>
      <c r="U809" s="310"/>
      <c r="V809" s="4"/>
      <c r="W809" s="4"/>
      <c r="X809" s="4"/>
      <c r="Y809" s="4"/>
      <c r="Z809" s="4"/>
      <c r="AA809" s="4"/>
      <c r="AB809" s="380" t="str">
        <f>VLOOKUP($B809,'D7 - NDB Impacted SPRF''s'!$E$16:$O$9929,4,FALSE)</f>
        <v>Completed</v>
      </c>
      <c r="AC809" s="380" t="str">
        <f>VLOOKUP($B809,'D7 - NDB Impacted SPRF''s'!$E$16:$O$9929,3,FALSE)</f>
        <v>UnitedHealthcare Employer &amp; Individual</v>
      </c>
      <c r="AD809" s="380" t="str">
        <f>VLOOKUP($B809,'D7 - NDB Impacted SPRF''s'!$E$16:$O$9929,5,FALSE)</f>
        <v>Network Growth / Enhancements</v>
      </c>
      <c r="AE809" s="380" t="str">
        <f>VLOOKUP($B809,'D7 - NDB Impacted SPRF''s'!$E$16:$O$9929,7,FALSE)</f>
        <v>Mike Mikan</v>
      </c>
      <c r="AF809" s="380" t="str">
        <f>VLOOKUP($B809,'D7 - NDB Impacted SPRF''s'!$E$16:$O$9929,6,FALSE)</f>
        <v>GREGORY MILLS</v>
      </c>
      <c r="AG809" s="282"/>
      <c r="AH809" s="311" t="e">
        <f>INDEX('D5 - Gatekeeper - Projects'!$A$4:$AF$1010,$AM809, 17)</f>
        <v>#N/A</v>
      </c>
      <c r="AI809" s="8"/>
      <c r="AJ809" s="57"/>
      <c r="AK809" s="105"/>
      <c r="AM809" s="6" t="e">
        <f>MATCH(D809,'D5 - Gatekeeper - Projects'!$C$4:$C$1010,0)</f>
        <v>#N/A</v>
      </c>
      <c r="AN809" s="6" t="b">
        <f t="shared" si="74"/>
        <v>1</v>
      </c>
      <c r="AO809" s="6" t="str">
        <f t="shared" si="77"/>
        <v>OK</v>
      </c>
      <c r="AQ809" s="6" t="e">
        <f>MATCH($D809,'D4 - Provider Council Unsched'!$C$11:$C$234,0)</f>
        <v>#N/A</v>
      </c>
      <c r="AR809" s="6" t="b">
        <f t="shared" si="75"/>
        <v>1</v>
      </c>
      <c r="AS809" s="6" t="str">
        <f t="shared" si="78"/>
        <v>OK</v>
      </c>
      <c r="AU809" s="202"/>
      <c r="AV809" s="262"/>
      <c r="AW809" s="274"/>
    </row>
    <row r="810" spans="1:49" s="13" customFormat="1" ht="33.75" x14ac:dyDescent="0.2">
      <c r="A810" s="14">
        <v>786</v>
      </c>
      <c r="B810" s="14">
        <v>400013210</v>
      </c>
      <c r="C810" s="8" t="s">
        <v>2934</v>
      </c>
      <c r="D810" s="4" t="str">
        <f t="shared" si="76"/>
        <v>400013210U3</v>
      </c>
      <c r="E810" s="309" t="str">
        <f>VLOOKUP($B810,'D7 - NDB Impacted SPRF''s'!$E$6:$O$9929,2,FALSE)</f>
        <v>PDI -Update NDB fields to support AmeriChoice data</v>
      </c>
      <c r="F810" s="8" t="s">
        <v>4961</v>
      </c>
      <c r="G810" s="8" t="s">
        <v>4758</v>
      </c>
      <c r="H810" s="8" t="s">
        <v>4246</v>
      </c>
      <c r="I810" s="20">
        <v>0.28000000000000003</v>
      </c>
      <c r="J810" s="8" t="s">
        <v>4862</v>
      </c>
      <c r="K810" s="182">
        <v>39375</v>
      </c>
      <c r="L810" s="8" t="s">
        <v>5743</v>
      </c>
      <c r="M810" s="8" t="s">
        <v>2814</v>
      </c>
      <c r="N810" s="367" t="s">
        <v>7404</v>
      </c>
      <c r="O810" s="8" t="s">
        <v>4306</v>
      </c>
      <c r="P810" s="4" t="str">
        <f>VLOOKUP($B810,'D7 - NDB Impacted SPRF''s'!$E$16:$O$9929,9,FALSE)</f>
        <v>N</v>
      </c>
      <c r="Q810" s="4" t="str">
        <f>VLOOKUP($B810,'D7 - NDB Impacted SPRF''s'!$E$16:$O$9929,10,FALSE)</f>
        <v>N</v>
      </c>
      <c r="R810" s="4" t="str">
        <f>VLOOKUP($B810,'D7 - NDB Impacted SPRF''s'!$E$16:$O$9929,11,FALSE)</f>
        <v>N</v>
      </c>
      <c r="S810" s="8"/>
      <c r="T810" s="310"/>
      <c r="U810" s="310"/>
      <c r="V810" s="4"/>
      <c r="W810" s="4"/>
      <c r="X810" s="4"/>
      <c r="Y810" s="4"/>
      <c r="Z810" s="4"/>
      <c r="AA810" s="4"/>
      <c r="AB810" s="380" t="str">
        <f>VLOOKUP($B810,'D7 - NDB Impacted SPRF''s'!$E$16:$O$9929,4,FALSE)</f>
        <v>Completed</v>
      </c>
      <c r="AC810" s="380" t="str">
        <f>VLOOKUP($B810,'D7 - NDB Impacted SPRF''s'!$E$16:$O$9929,3,FALSE)</f>
        <v>UnitedHealthcare Employer &amp; Individual</v>
      </c>
      <c r="AD810" s="380" t="str">
        <f>VLOOKUP($B810,'D7 - NDB Impacted SPRF''s'!$E$16:$O$9929,5,FALSE)</f>
        <v>Network Growth / Enhancements</v>
      </c>
      <c r="AE810" s="380" t="str">
        <f>VLOOKUP($B810,'D7 - NDB Impacted SPRF''s'!$E$16:$O$9929,7,FALSE)</f>
        <v>Mike Mikan</v>
      </c>
      <c r="AF810" s="380" t="str">
        <f>VLOOKUP($B810,'D7 - NDB Impacted SPRF''s'!$E$16:$O$9929,6,FALSE)</f>
        <v>GREGORY MILLS</v>
      </c>
      <c r="AG810" s="282"/>
      <c r="AH810" s="311" t="e">
        <f>INDEX('D5 - Gatekeeper - Projects'!$A$4:$AF$1010,$AM810, 17)</f>
        <v>#N/A</v>
      </c>
      <c r="AI810" s="8"/>
      <c r="AJ810" s="57"/>
      <c r="AK810" s="105"/>
      <c r="AM810" s="6" t="e">
        <f>MATCH(D810,'D5 - Gatekeeper - Projects'!$C$4:$C$1010,0)</f>
        <v>#N/A</v>
      </c>
      <c r="AN810" s="6" t="b">
        <f t="shared" si="74"/>
        <v>1</v>
      </c>
      <c r="AO810" s="6" t="str">
        <f t="shared" si="77"/>
        <v>OK</v>
      </c>
      <c r="AQ810" s="6" t="e">
        <f>MATCH($D810,'D4 - Provider Council Unsched'!$C$11:$C$234,0)</f>
        <v>#N/A</v>
      </c>
      <c r="AR810" s="6" t="b">
        <f t="shared" si="75"/>
        <v>1</v>
      </c>
      <c r="AS810" s="6" t="str">
        <f t="shared" si="78"/>
        <v>OK</v>
      </c>
      <c r="AU810" s="202"/>
      <c r="AV810" s="262"/>
      <c r="AW810" s="274"/>
    </row>
    <row r="811" spans="1:49" s="13" customFormat="1" ht="33.75" x14ac:dyDescent="0.2">
      <c r="A811" s="14">
        <v>787</v>
      </c>
      <c r="B811" s="14">
        <v>400013376</v>
      </c>
      <c r="C811" s="8" t="s">
        <v>2449</v>
      </c>
      <c r="D811" s="4" t="str">
        <f t="shared" si="76"/>
        <v>400013376R3</v>
      </c>
      <c r="E811" s="309" t="str">
        <f>VLOOKUP($B811,'D7 - NDB Impacted SPRF''s'!$E$6:$O$9929,2,FALSE)</f>
        <v xml:space="preserve">ITI: August Commercial Release </v>
      </c>
      <c r="F811" s="8" t="s">
        <v>7989</v>
      </c>
      <c r="G811" s="8" t="s">
        <v>4758</v>
      </c>
      <c r="H811" s="8" t="s">
        <v>4246</v>
      </c>
      <c r="I811" s="20">
        <v>34</v>
      </c>
      <c r="J811" s="8" t="s">
        <v>4862</v>
      </c>
      <c r="K811" s="182">
        <v>39375</v>
      </c>
      <c r="L811" s="8" t="s">
        <v>5743</v>
      </c>
      <c r="M811" s="8" t="s">
        <v>2814</v>
      </c>
      <c r="N811" s="38"/>
      <c r="O811" s="8" t="s">
        <v>1998</v>
      </c>
      <c r="P811" s="4" t="str">
        <f>VLOOKUP($B811,'D7 - NDB Impacted SPRF''s'!$E$16:$O$9929,9,FALSE)</f>
        <v>Y</v>
      </c>
      <c r="Q811" s="4" t="str">
        <f>VLOOKUP($B811,'D7 - NDB Impacted SPRF''s'!$E$16:$O$9929,10,FALSE)</f>
        <v>N</v>
      </c>
      <c r="R811" s="4" t="str">
        <f>VLOOKUP($B811,'D7 - NDB Impacted SPRF''s'!$E$16:$O$9929,11,FALSE)</f>
        <v>Y</v>
      </c>
      <c r="S811" s="8"/>
      <c r="T811" s="310"/>
      <c r="U811" s="310"/>
      <c r="V811" s="4"/>
      <c r="W811" s="4"/>
      <c r="X811" s="4"/>
      <c r="Y811" s="4"/>
      <c r="Z811" s="4"/>
      <c r="AA811" s="4"/>
      <c r="AB811" s="380" t="str">
        <f>VLOOKUP($B811,'D7 - NDB Impacted SPRF''s'!$E$16:$O$9929,4,FALSE)</f>
        <v>Completed</v>
      </c>
      <c r="AC811" s="380" t="str">
        <f>VLOOKUP($B811,'D7 - NDB Impacted SPRF''s'!$E$16:$O$9929,3,FALSE)</f>
        <v>UnitedHealthcare Employer &amp; Individual</v>
      </c>
      <c r="AD811" s="380" t="str">
        <f>VLOOKUP($B811,'D7 - NDB Impacted SPRF''s'!$E$16:$O$9929,5,FALSE)</f>
        <v>Medical Cost Savings Programs</v>
      </c>
      <c r="AE811" s="380" t="str">
        <f>VLOOKUP($B811,'D7 - NDB Impacted SPRF''s'!$E$16:$O$9929,7,FALSE)</f>
        <v>Gino Tenace</v>
      </c>
      <c r="AF811" s="380" t="str">
        <f>VLOOKUP($B811,'D7 - NDB Impacted SPRF''s'!$E$16:$O$9929,6,FALSE)</f>
        <v>Nicolle Wollin</v>
      </c>
      <c r="AG811" s="282"/>
      <c r="AH811" s="311" t="e">
        <f>INDEX('D5 - Gatekeeper - Projects'!$A$4:$AF$1010,$AM811, 17)</f>
        <v>#N/A</v>
      </c>
      <c r="AI811" s="8"/>
      <c r="AJ811" s="57"/>
      <c r="AK811" s="105"/>
      <c r="AM811" s="6" t="e">
        <f>MATCH(D811,'D5 - Gatekeeper - Projects'!$C$4:$C$1010,0)</f>
        <v>#N/A</v>
      </c>
      <c r="AN811" s="6" t="b">
        <f t="shared" si="74"/>
        <v>1</v>
      </c>
      <c r="AO811" s="6" t="str">
        <f t="shared" si="77"/>
        <v>OK</v>
      </c>
      <c r="AQ811" s="6" t="e">
        <f>MATCH($D811,'D4 - Provider Council Unsched'!$C$11:$C$234,0)</f>
        <v>#N/A</v>
      </c>
      <c r="AR811" s="6" t="b">
        <f t="shared" si="75"/>
        <v>1</v>
      </c>
      <c r="AS811" s="6" t="str">
        <f t="shared" si="78"/>
        <v>OK</v>
      </c>
      <c r="AU811" s="202"/>
      <c r="AV811" s="262"/>
      <c r="AW811" s="274"/>
    </row>
    <row r="812" spans="1:49" s="13" customFormat="1" ht="33.75" x14ac:dyDescent="0.2">
      <c r="A812" s="14">
        <v>788</v>
      </c>
      <c r="B812" s="14">
        <v>400014653</v>
      </c>
      <c r="C812" s="8" t="s">
        <v>5197</v>
      </c>
      <c r="D812" s="4" t="str">
        <f t="shared" si="76"/>
        <v>400014653R1</v>
      </c>
      <c r="E812" s="309" t="str">
        <f>VLOOKUP($B812,'D7 - NDB Impacted SPRF''s'!$E$6:$O$9929,2,FALSE)</f>
        <v>EPDE Expansion &amp; Supporting Table Conversions</v>
      </c>
      <c r="F812" s="8" t="s">
        <v>4069</v>
      </c>
      <c r="G812" s="8" t="s">
        <v>4758</v>
      </c>
      <c r="H812" s="8" t="s">
        <v>4246</v>
      </c>
      <c r="I812" s="20">
        <v>2.92</v>
      </c>
      <c r="J812" s="8" t="s">
        <v>4862</v>
      </c>
      <c r="K812" s="182">
        <v>39375</v>
      </c>
      <c r="L812" s="8" t="s">
        <v>5743</v>
      </c>
      <c r="M812" s="8" t="s">
        <v>2814</v>
      </c>
      <c r="N812" s="38"/>
      <c r="O812" s="8" t="s">
        <v>7086</v>
      </c>
      <c r="P812" s="4" t="str">
        <f>VLOOKUP($B812,'D7 - NDB Impacted SPRF''s'!$E$16:$O$9929,9,FALSE)</f>
        <v>N</v>
      </c>
      <c r="Q812" s="4" t="str">
        <f>VLOOKUP($B812,'D7 - NDB Impacted SPRF''s'!$E$16:$O$9929,10,FALSE)</f>
        <v>N</v>
      </c>
      <c r="R812" s="4" t="str">
        <f>VLOOKUP($B812,'D7 - NDB Impacted SPRF''s'!$E$16:$O$9929,11,FALSE)</f>
        <v>N</v>
      </c>
      <c r="S812" s="8"/>
      <c r="T812" s="310"/>
      <c r="U812" s="310"/>
      <c r="V812" s="4"/>
      <c r="W812" s="4"/>
      <c r="X812" s="4"/>
      <c r="Y812" s="4"/>
      <c r="Z812" s="4"/>
      <c r="AA812" s="4"/>
      <c r="AB812" s="380" t="str">
        <f>VLOOKUP($B812,'D7 - NDB Impacted SPRF''s'!$E$16:$O$9929,4,FALSE)</f>
        <v>Completed</v>
      </c>
      <c r="AC812" s="380" t="str">
        <f>VLOOKUP($B812,'D7 - NDB Impacted SPRF''s'!$E$16:$O$9929,3,FALSE)</f>
        <v>UnitedHealthcare Employer &amp; Individual</v>
      </c>
      <c r="AD812" s="380" t="str">
        <f>VLOOKUP($B812,'D7 - NDB Impacted SPRF''s'!$E$16:$O$9929,5,FALSE)</f>
        <v>Medical Cost Savings Programs</v>
      </c>
      <c r="AE812" s="380" t="str">
        <f>VLOOKUP($B812,'D7 - NDB Impacted SPRF''s'!$E$16:$O$9929,7,FALSE)</f>
        <v>Tim Kaja</v>
      </c>
      <c r="AF812" s="380" t="str">
        <f>VLOOKUP($B812,'D7 - NDB Impacted SPRF''s'!$E$16:$O$9929,6,FALSE)</f>
        <v>MARCIA MONACO</v>
      </c>
      <c r="AG812" s="282"/>
      <c r="AH812" s="311" t="e">
        <f>INDEX('D5 - Gatekeeper - Projects'!$A$4:$AF$1010,$AM812, 17)</f>
        <v>#N/A</v>
      </c>
      <c r="AI812" s="8"/>
      <c r="AJ812" s="57"/>
      <c r="AK812" s="105"/>
      <c r="AM812" s="6" t="e">
        <f>MATCH(D812,'D5 - Gatekeeper - Projects'!$C$4:$C$1010,0)</f>
        <v>#N/A</v>
      </c>
      <c r="AN812" s="6" t="b">
        <f t="shared" si="74"/>
        <v>1</v>
      </c>
      <c r="AO812" s="6" t="str">
        <f t="shared" si="77"/>
        <v>OK</v>
      </c>
      <c r="AQ812" s="6" t="e">
        <f>MATCH($D812,'D4 - Provider Council Unsched'!$C$11:$C$234,0)</f>
        <v>#N/A</v>
      </c>
      <c r="AR812" s="6" t="b">
        <f t="shared" si="75"/>
        <v>1</v>
      </c>
      <c r="AS812" s="6" t="str">
        <f t="shared" si="78"/>
        <v>OK</v>
      </c>
      <c r="AU812" s="202"/>
      <c r="AV812" s="262"/>
      <c r="AW812" s="274"/>
    </row>
    <row r="813" spans="1:49" s="13" customFormat="1" ht="45" x14ac:dyDescent="0.2">
      <c r="A813" s="14">
        <v>789</v>
      </c>
      <c r="B813" s="14">
        <v>400014794</v>
      </c>
      <c r="C813" s="8" t="s">
        <v>3740</v>
      </c>
      <c r="D813" s="4" t="str">
        <f t="shared" si="76"/>
        <v>400014794CC11</v>
      </c>
      <c r="E813" s="309" t="str">
        <f>VLOOKUP($B813,'D7 - NDB Impacted SPRF''s'!$E$6:$O$9929,2,FALSE)</f>
        <v>Ovations Electronic Payments and Statements (EPS)</v>
      </c>
      <c r="F813" s="8" t="s">
        <v>2114</v>
      </c>
      <c r="G813" s="8" t="s">
        <v>4758</v>
      </c>
      <c r="H813" s="8" t="s">
        <v>4246</v>
      </c>
      <c r="I813" s="20">
        <v>4.96</v>
      </c>
      <c r="J813" s="8" t="s">
        <v>4862</v>
      </c>
      <c r="K813" s="182">
        <v>39375</v>
      </c>
      <c r="L813" s="8" t="s">
        <v>5743</v>
      </c>
      <c r="M813" s="8" t="s">
        <v>2814</v>
      </c>
      <c r="N813" s="38" t="s">
        <v>5916</v>
      </c>
      <c r="O813" s="8" t="s">
        <v>2547</v>
      </c>
      <c r="P813" s="4" t="str">
        <f>VLOOKUP($B813,'D7 - NDB Impacted SPRF''s'!$E$16:$O$9929,9,FALSE)</f>
        <v>N</v>
      </c>
      <c r="Q813" s="4" t="str">
        <f>VLOOKUP($B813,'D7 - NDB Impacted SPRF''s'!$E$16:$O$9929,10,FALSE)</f>
        <v>N</v>
      </c>
      <c r="R813" s="4" t="str">
        <f>VLOOKUP($B813,'D7 - NDB Impacted SPRF''s'!$E$16:$O$9929,11,FALSE)</f>
        <v>N</v>
      </c>
      <c r="S813" s="8"/>
      <c r="T813" s="310"/>
      <c r="U813" s="310"/>
      <c r="V813" s="4"/>
      <c r="W813" s="4"/>
      <c r="X813" s="4"/>
      <c r="Y813" s="4"/>
      <c r="Z813" s="4"/>
      <c r="AA813" s="4"/>
      <c r="AB813" s="380" t="str">
        <f>VLOOKUP($B813,'D7 - NDB Impacted SPRF''s'!$E$16:$O$9929,4,FALSE)</f>
        <v>Completed</v>
      </c>
      <c r="AC813" s="380" t="str">
        <f>VLOOKUP($B813,'D7 - NDB Impacted SPRF''s'!$E$16:$O$9929,3,FALSE)</f>
        <v>UnitedHealthcare Medicare &amp; Retirement</v>
      </c>
      <c r="AD813" s="380" t="str">
        <f>VLOOKUP($B813,'D7 - NDB Impacted SPRF''s'!$E$16:$O$9929,5,FALSE)</f>
        <v>Ovations</v>
      </c>
      <c r="AE813" s="380" t="str">
        <f>VLOOKUP($B813,'D7 - NDB Impacted SPRF''s'!$E$16:$O$9929,7,FALSE)</f>
        <v>Mark Pontliana</v>
      </c>
      <c r="AF813" s="380" t="str">
        <f>VLOOKUP($B813,'D7 - NDB Impacted SPRF''s'!$E$16:$O$9929,6,FALSE)</f>
        <v>CHRISTOPHER EMPSON</v>
      </c>
      <c r="AG813" s="282"/>
      <c r="AH813" s="311" t="e">
        <f>INDEX('D5 - Gatekeeper - Projects'!$A$4:$AF$1010,$AM813, 17)</f>
        <v>#N/A</v>
      </c>
      <c r="AI813" s="8"/>
      <c r="AJ813" s="57"/>
      <c r="AK813" s="105"/>
      <c r="AM813" s="6" t="e">
        <f>MATCH(D813,'D5 - Gatekeeper - Projects'!$C$4:$C$1010,0)</f>
        <v>#N/A</v>
      </c>
      <c r="AN813" s="6" t="b">
        <f t="shared" si="74"/>
        <v>1</v>
      </c>
      <c r="AO813" s="6" t="str">
        <f t="shared" si="77"/>
        <v>OK</v>
      </c>
      <c r="AQ813" s="6" t="e">
        <f>MATCH($D813,'D4 - Provider Council Unsched'!$C$11:$C$234,0)</f>
        <v>#N/A</v>
      </c>
      <c r="AR813" s="6" t="b">
        <f t="shared" si="75"/>
        <v>1</v>
      </c>
      <c r="AS813" s="6" t="str">
        <f t="shared" si="78"/>
        <v>OK</v>
      </c>
      <c r="AU813" s="202"/>
      <c r="AV813" s="262"/>
      <c r="AW813" s="274"/>
    </row>
    <row r="814" spans="1:49" s="13" customFormat="1" ht="22.5" x14ac:dyDescent="0.2">
      <c r="A814" s="14">
        <v>790</v>
      </c>
      <c r="B814" s="338">
        <v>400015470</v>
      </c>
      <c r="C814" s="8" t="s">
        <v>5197</v>
      </c>
      <c r="D814" s="4" t="str">
        <f t="shared" si="76"/>
        <v>400015470R1</v>
      </c>
      <c r="E814" s="309" t="str">
        <f>VLOOKUP($B814,'D7 - NDB Impacted SPRF''s'!$E$6:$O$9929,2,FALSE)</f>
        <v>HPHC Fee Schedule Metric Report</v>
      </c>
      <c r="F814" s="8" t="s">
        <v>5196</v>
      </c>
      <c r="G814" s="8" t="s">
        <v>4758</v>
      </c>
      <c r="H814" s="8" t="s">
        <v>4246</v>
      </c>
      <c r="I814" s="20">
        <v>4.08</v>
      </c>
      <c r="J814" s="8" t="s">
        <v>4862</v>
      </c>
      <c r="K814" s="182">
        <v>39375</v>
      </c>
      <c r="L814" s="8" t="s">
        <v>5743</v>
      </c>
      <c r="M814" s="8" t="s">
        <v>2814</v>
      </c>
      <c r="N814" s="38"/>
      <c r="O814" s="8" t="s">
        <v>5042</v>
      </c>
      <c r="P814" s="4" t="str">
        <f>VLOOKUP($B814,'D7 - NDB Impacted SPRF''s'!$E$16:$O$9929,9,FALSE)</f>
        <v>N</v>
      </c>
      <c r="Q814" s="4" t="str">
        <f>VLOOKUP($B814,'D7 - NDB Impacted SPRF''s'!$E$16:$O$9929,10,FALSE)</f>
        <v>N</v>
      </c>
      <c r="R814" s="4" t="str">
        <f>VLOOKUP($B814,'D7 - NDB Impacted SPRF''s'!$E$16:$O$9929,11,FALSE)</f>
        <v>N</v>
      </c>
      <c r="S814" s="8"/>
      <c r="T814" s="310"/>
      <c r="U814" s="310"/>
      <c r="V814" s="4"/>
      <c r="W814" s="4"/>
      <c r="X814" s="4"/>
      <c r="Y814" s="4"/>
      <c r="Z814" s="4"/>
      <c r="AA814" s="4"/>
      <c r="AB814" s="380" t="str">
        <f>VLOOKUP($B814,'D7 - NDB Impacted SPRF''s'!$E$16:$O$9929,4,FALSE)</f>
        <v>Completed</v>
      </c>
      <c r="AC814" s="380" t="str">
        <f>VLOOKUP($B814,'D7 - NDB Impacted SPRF''s'!$E$16:$O$9929,3,FALSE)</f>
        <v>Alliance</v>
      </c>
      <c r="AD814" s="380" t="str">
        <f>VLOOKUP($B814,'D7 - NDB Impacted SPRF''s'!$E$16:$O$9929,5,FALSE)</f>
        <v>Harvard Pilgrim Service Alliance</v>
      </c>
      <c r="AE814" s="380" t="str">
        <f>VLOOKUP($B814,'D7 - NDB Impacted SPRF''s'!$E$16:$O$9929,7,FALSE)</f>
        <v>Ross Lund</v>
      </c>
      <c r="AF814" s="380" t="str">
        <f>VLOOKUP($B814,'D7 - NDB Impacted SPRF''s'!$E$16:$O$9929,6,FALSE)</f>
        <v>JOHN HIEBERT</v>
      </c>
      <c r="AG814" s="282"/>
      <c r="AH814" s="311" t="e">
        <f>INDEX('D5 - Gatekeeper - Projects'!$A$4:$AF$1010,$AM814, 17)</f>
        <v>#N/A</v>
      </c>
      <c r="AI814" s="8"/>
      <c r="AJ814" s="57"/>
      <c r="AK814" s="105"/>
      <c r="AM814" s="6" t="e">
        <f>MATCH(D814,'D5 - Gatekeeper - Projects'!$C$4:$C$1010,0)</f>
        <v>#N/A</v>
      </c>
      <c r="AN814" s="6" t="b">
        <f t="shared" si="74"/>
        <v>1</v>
      </c>
      <c r="AO814" s="6" t="str">
        <f t="shared" si="77"/>
        <v>OK</v>
      </c>
      <c r="AQ814" s="6" t="e">
        <f>MATCH($D814,'D4 - Provider Council Unsched'!$C$11:$C$234,0)</f>
        <v>#N/A</v>
      </c>
      <c r="AR814" s="6" t="b">
        <f t="shared" si="75"/>
        <v>1</v>
      </c>
      <c r="AS814" s="6" t="str">
        <f>IF(AND(H814="2 - Not Scheduled",AR814=TRUE,C814="R1"),"Add","OK")</f>
        <v>OK</v>
      </c>
      <c r="AU814" s="202"/>
      <c r="AV814" s="262"/>
      <c r="AW814" s="274"/>
    </row>
    <row r="815" spans="1:49" s="13" customFormat="1" ht="33.75" x14ac:dyDescent="0.2">
      <c r="A815" s="14">
        <v>791</v>
      </c>
      <c r="B815" s="14">
        <v>400015510</v>
      </c>
      <c r="C815" s="8" t="s">
        <v>5197</v>
      </c>
      <c r="D815" s="4" t="str">
        <f t="shared" si="76"/>
        <v>400015510R1</v>
      </c>
      <c r="E815" s="309" t="str">
        <f>VLOOKUP($B815,'D7 - NDB Impacted SPRF''s'!$E$6:$O$9929,2,FALSE)</f>
        <v>Medica Commercial ET/PC Operational Readiness Test</v>
      </c>
      <c r="F815" s="8" t="s">
        <v>5196</v>
      </c>
      <c r="G815" s="8" t="s">
        <v>4758</v>
      </c>
      <c r="H815" s="8" t="s">
        <v>4246</v>
      </c>
      <c r="I815" s="20">
        <v>7</v>
      </c>
      <c r="J815" s="8" t="s">
        <v>4862</v>
      </c>
      <c r="K815" s="182">
        <v>39375</v>
      </c>
      <c r="L815" s="8" t="s">
        <v>5743</v>
      </c>
      <c r="M815" s="8" t="s">
        <v>5626</v>
      </c>
      <c r="N815" s="38" t="s">
        <v>5747</v>
      </c>
      <c r="O815" s="8"/>
      <c r="P815" s="4" t="str">
        <f>VLOOKUP($B815,'D7 - NDB Impacted SPRF''s'!$E$16:$O$9929,9,FALSE)</f>
        <v>Y</v>
      </c>
      <c r="Q815" s="4" t="str">
        <f>VLOOKUP($B815,'D7 - NDB Impacted SPRF''s'!$E$16:$O$9929,10,FALSE)</f>
        <v>N</v>
      </c>
      <c r="R815" s="4" t="str">
        <f>VLOOKUP($B815,'D7 - NDB Impacted SPRF''s'!$E$16:$O$9929,11,FALSE)</f>
        <v>N</v>
      </c>
      <c r="S815" s="8"/>
      <c r="T815" s="310"/>
      <c r="U815" s="310"/>
      <c r="V815" s="4"/>
      <c r="W815" s="4"/>
      <c r="X815" s="4"/>
      <c r="Y815" s="4"/>
      <c r="Z815" s="4"/>
      <c r="AA815" s="4"/>
      <c r="AB815" s="380" t="str">
        <f>VLOOKUP($B815,'D7 - NDB Impacted SPRF''s'!$E$16:$O$9929,4,FALSE)</f>
        <v>Completed</v>
      </c>
      <c r="AC815" s="380" t="str">
        <f>VLOOKUP($B815,'D7 - NDB Impacted SPRF''s'!$E$16:$O$9929,3,FALSE)</f>
        <v>UnitedHealthcare Employer &amp; Individual</v>
      </c>
      <c r="AD815" s="380" t="str">
        <f>VLOOKUP($B815,'D7 - NDB Impacted SPRF''s'!$E$16:$O$9929,5,FALSE)</f>
        <v>HCA - Medica UNET Conversion</v>
      </c>
      <c r="AE815" s="380" t="str">
        <f>VLOOKUP($B815,'D7 - NDB Impacted SPRF''s'!$E$16:$O$9929,7,FALSE)</f>
        <v>Diane Schofield</v>
      </c>
      <c r="AF815" s="380" t="str">
        <f>VLOOKUP($B815,'D7 - NDB Impacted SPRF''s'!$E$16:$O$9929,6,FALSE)</f>
        <v>Cindy Griggs</v>
      </c>
      <c r="AG815" s="282"/>
      <c r="AH815" s="311" t="e">
        <f>INDEX('D5 - Gatekeeper - Projects'!$A$4:$AF$1010,$AM815, 17)</f>
        <v>#N/A</v>
      </c>
      <c r="AI815" s="8"/>
      <c r="AJ815" s="57"/>
      <c r="AK815" s="105"/>
      <c r="AM815" s="6" t="e">
        <f>MATCH(D815,'D5 - Gatekeeper - Projects'!$C$4:$C$1010,0)</f>
        <v>#N/A</v>
      </c>
      <c r="AN815" s="6" t="b">
        <f t="shared" si="74"/>
        <v>1</v>
      </c>
      <c r="AO815" s="6" t="str">
        <f t="shared" si="77"/>
        <v>OK</v>
      </c>
      <c r="AQ815" s="6" t="e">
        <f>MATCH($D815,'D4 - Provider Council Unsched'!$C$11:$C$234,0)</f>
        <v>#N/A</v>
      </c>
      <c r="AR815" s="6" t="b">
        <f t="shared" si="75"/>
        <v>1</v>
      </c>
      <c r="AS815" s="6" t="str">
        <f t="shared" ref="AS815:AS878" si="79">IF(AND(H815="2 - Not Scheduled",AR815=TRUE),"Add","OK")</f>
        <v>OK</v>
      </c>
      <c r="AU815" s="202"/>
      <c r="AV815" s="262"/>
      <c r="AW815" s="274"/>
    </row>
    <row r="816" spans="1:49" s="13" customFormat="1" ht="22.5" x14ac:dyDescent="0.2">
      <c r="A816" s="14">
        <v>792</v>
      </c>
      <c r="B816" s="14">
        <v>400015728</v>
      </c>
      <c r="C816" s="8" t="s">
        <v>2449</v>
      </c>
      <c r="D816" s="4" t="str">
        <f t="shared" si="76"/>
        <v>400015728R3</v>
      </c>
      <c r="E816" s="309" t="str">
        <f>VLOOKUP($B816,'D7 - NDB Impacted SPRF''s'!$E$6:$O$9929,2,FALSE)</f>
        <v>HPHC1 - Network-'G' Record Layout Phase II</v>
      </c>
      <c r="F816" s="8" t="s">
        <v>5196</v>
      </c>
      <c r="G816" s="8" t="s">
        <v>4758</v>
      </c>
      <c r="H816" s="8" t="s">
        <v>4246</v>
      </c>
      <c r="I816" s="20">
        <f>9.09+7.19</f>
        <v>16.28</v>
      </c>
      <c r="J816" s="8" t="s">
        <v>4862</v>
      </c>
      <c r="K816" s="182">
        <v>39375</v>
      </c>
      <c r="L816" s="8" t="s">
        <v>5743</v>
      </c>
      <c r="M816" s="8" t="s">
        <v>2814</v>
      </c>
      <c r="N816" s="38" t="s">
        <v>3896</v>
      </c>
      <c r="O816" s="8" t="s">
        <v>2547</v>
      </c>
      <c r="P816" s="4" t="str">
        <f>VLOOKUP($B816,'D7 - NDB Impacted SPRF''s'!$E$16:$O$9929,9,FALSE)</f>
        <v>N</v>
      </c>
      <c r="Q816" s="4" t="str">
        <f>VLOOKUP($B816,'D7 - NDB Impacted SPRF''s'!$E$16:$O$9929,10,FALSE)</f>
        <v>N</v>
      </c>
      <c r="R816" s="4" t="str">
        <f>VLOOKUP($B816,'D7 - NDB Impacted SPRF''s'!$E$16:$O$9929,11,FALSE)</f>
        <v>N</v>
      </c>
      <c r="S816" s="8"/>
      <c r="T816" s="310"/>
      <c r="U816" s="310"/>
      <c r="V816" s="4"/>
      <c r="W816" s="4"/>
      <c r="X816" s="4"/>
      <c r="Y816" s="4"/>
      <c r="Z816" s="4"/>
      <c r="AA816" s="4"/>
      <c r="AB816" s="380" t="str">
        <f>VLOOKUP($B816,'D7 - NDB Impacted SPRF''s'!$E$16:$O$9929,4,FALSE)</f>
        <v>Completed</v>
      </c>
      <c r="AC816" s="380" t="str">
        <f>VLOOKUP($B816,'D7 - NDB Impacted SPRF''s'!$E$16:$O$9929,3,FALSE)</f>
        <v>Alliance</v>
      </c>
      <c r="AD816" s="380" t="str">
        <f>VLOOKUP($B816,'D7 - NDB Impacted SPRF''s'!$E$16:$O$9929,5,FALSE)</f>
        <v>Harvard Pilgrim Service Alliance</v>
      </c>
      <c r="AE816" s="380" t="str">
        <f>VLOOKUP($B816,'D7 - NDB Impacted SPRF''s'!$E$16:$O$9929,7,FALSE)</f>
        <v>Diane Schofield, Deborah Streb</v>
      </c>
      <c r="AF816" s="380" t="str">
        <f>VLOOKUP($B816,'D7 - NDB Impacted SPRF''s'!$E$16:$O$9929,6,FALSE)</f>
        <v>GREGORY MILLS</v>
      </c>
      <c r="AG816" s="282"/>
      <c r="AH816" s="311" t="e">
        <f>INDEX('D5 - Gatekeeper - Projects'!$A$4:$AF$1010,$AM816, 17)</f>
        <v>#N/A</v>
      </c>
      <c r="AI816" s="8"/>
      <c r="AJ816" s="57"/>
      <c r="AK816" s="105"/>
      <c r="AM816" s="6" t="e">
        <f>MATCH(D816,'D5 - Gatekeeper - Projects'!$C$4:$C$1010,0)</f>
        <v>#N/A</v>
      </c>
      <c r="AN816" s="6" t="b">
        <f t="shared" si="74"/>
        <v>1</v>
      </c>
      <c r="AO816" s="6" t="str">
        <f t="shared" si="77"/>
        <v>OK</v>
      </c>
      <c r="AQ816" s="6" t="e">
        <f>MATCH($D816,'D4 - Provider Council Unsched'!$C$11:$C$234,0)</f>
        <v>#N/A</v>
      </c>
      <c r="AR816" s="6" t="b">
        <f t="shared" si="75"/>
        <v>1</v>
      </c>
      <c r="AS816" s="6" t="str">
        <f t="shared" si="79"/>
        <v>OK</v>
      </c>
      <c r="AU816" s="202"/>
      <c r="AV816" s="262"/>
      <c r="AW816" s="274"/>
    </row>
    <row r="817" spans="1:49" s="13" customFormat="1" ht="33.75" x14ac:dyDescent="0.2">
      <c r="A817" s="14">
        <v>793</v>
      </c>
      <c r="B817" s="14">
        <v>400016578</v>
      </c>
      <c r="C817" s="8" t="s">
        <v>6445</v>
      </c>
      <c r="D817" s="4" t="str">
        <f t="shared" si="76"/>
        <v>400016578R7</v>
      </c>
      <c r="E817" s="309" t="str">
        <f>VLOOKUP($B817,'D7 - NDB Impacted SPRF''s'!$E$6:$O$9929,2,FALSE)</f>
        <v>Detailed Tuning Recommendations</v>
      </c>
      <c r="F817" s="8" t="s">
        <v>8133</v>
      </c>
      <c r="G817" s="8" t="s">
        <v>4758</v>
      </c>
      <c r="H817" s="8" t="s">
        <v>4246</v>
      </c>
      <c r="I817" s="20">
        <v>1.5</v>
      </c>
      <c r="J817" s="8" t="s">
        <v>4862</v>
      </c>
      <c r="K817" s="182">
        <v>39375</v>
      </c>
      <c r="L817" s="8" t="s">
        <v>5743</v>
      </c>
      <c r="M817" s="8" t="s">
        <v>2814</v>
      </c>
      <c r="N817" s="38"/>
      <c r="O817" s="8" t="s">
        <v>7755</v>
      </c>
      <c r="P817" s="4" t="str">
        <f>VLOOKUP($B817,'D7 - NDB Impacted SPRF''s'!$E$16:$O$9929,9,FALSE)</f>
        <v>Y</v>
      </c>
      <c r="Q817" s="4" t="str">
        <f>VLOOKUP($B817,'D7 - NDB Impacted SPRF''s'!$E$16:$O$9929,10,FALSE)</f>
        <v>N</v>
      </c>
      <c r="R817" s="4" t="str">
        <f>VLOOKUP($B817,'D7 - NDB Impacted SPRF''s'!$E$16:$O$9929,11,FALSE)</f>
        <v>N</v>
      </c>
      <c r="S817" s="8"/>
      <c r="T817" s="310"/>
      <c r="U817" s="310"/>
      <c r="V817" s="4"/>
      <c r="W817" s="4"/>
      <c r="X817" s="4"/>
      <c r="Y817" s="4"/>
      <c r="Z817" s="4"/>
      <c r="AA817" s="4"/>
      <c r="AB817" s="380" t="str">
        <f>VLOOKUP($B817,'D7 - NDB Impacted SPRF''s'!$E$16:$O$9929,4,FALSE)</f>
        <v>Completed</v>
      </c>
      <c r="AC817" s="380" t="str">
        <f>VLOOKUP($B817,'D7 - NDB Impacted SPRF''s'!$E$16:$O$9929,3,FALSE)</f>
        <v>UHG IT - Application Services Group</v>
      </c>
      <c r="AD817" s="380" t="str">
        <f>VLOOKUP($B817,'D7 - NDB Impacted SPRF''s'!$E$16:$O$9929,5,FALSE)</f>
        <v>ASG</v>
      </c>
      <c r="AE817" s="380" t="str">
        <f>VLOOKUP($B817,'D7 - NDB Impacted SPRF''s'!$E$16:$O$9929,7,FALSE)</f>
        <v>Jeff Hanas</v>
      </c>
      <c r="AF817" s="380" t="str">
        <f>VLOOKUP($B817,'D7 - NDB Impacted SPRF''s'!$E$16:$O$9929,6,FALSE)</f>
        <v>Jeffrey Jablonski</v>
      </c>
      <c r="AG817" s="282"/>
      <c r="AH817" s="311" t="e">
        <f>INDEX('D5 - Gatekeeper - Projects'!$A$4:$AF$1010,$AM817, 17)</f>
        <v>#N/A</v>
      </c>
      <c r="AI817" s="8"/>
      <c r="AJ817" s="57"/>
      <c r="AK817" s="105"/>
      <c r="AM817" s="6" t="e">
        <f>MATCH(D817,'D5 - Gatekeeper - Projects'!$C$4:$C$1010,0)</f>
        <v>#N/A</v>
      </c>
      <c r="AN817" s="6" t="b">
        <f t="shared" si="74"/>
        <v>1</v>
      </c>
      <c r="AO817" s="6" t="str">
        <f t="shared" si="77"/>
        <v>OK</v>
      </c>
      <c r="AQ817" s="6" t="e">
        <f>MATCH($D817,'D4 - Provider Council Unsched'!$C$11:$C$234,0)</f>
        <v>#N/A</v>
      </c>
      <c r="AR817" s="6" t="b">
        <f t="shared" si="75"/>
        <v>1</v>
      </c>
      <c r="AS817" s="6" t="str">
        <f t="shared" si="79"/>
        <v>OK</v>
      </c>
      <c r="AU817" s="202"/>
      <c r="AV817" s="262"/>
      <c r="AW817" s="274"/>
    </row>
    <row r="818" spans="1:49" s="13" customFormat="1" ht="33.75" x14ac:dyDescent="0.2">
      <c r="A818" s="14">
        <v>794</v>
      </c>
      <c r="B818" s="14">
        <v>400017901</v>
      </c>
      <c r="C818" s="8" t="s">
        <v>2449</v>
      </c>
      <c r="D818" s="4" t="str">
        <f t="shared" si="76"/>
        <v>400017901R3</v>
      </c>
      <c r="E818" s="309" t="str">
        <f>VLOOKUP($B818,'D7 - NDB Impacted SPRF''s'!$E$6:$O$9929,2,FALSE)</f>
        <v>NDB Parallel Sysplex</v>
      </c>
      <c r="F818" s="8" t="s">
        <v>5787</v>
      </c>
      <c r="G818" s="8" t="s">
        <v>4758</v>
      </c>
      <c r="H818" s="8" t="s">
        <v>4246</v>
      </c>
      <c r="I818" s="20"/>
      <c r="J818" s="8" t="s">
        <v>4862</v>
      </c>
      <c r="K818" s="182">
        <v>39375</v>
      </c>
      <c r="L818" s="8" t="s">
        <v>5743</v>
      </c>
      <c r="M818" s="8" t="s">
        <v>2814</v>
      </c>
      <c r="N818" s="38"/>
      <c r="O818" s="8" t="s">
        <v>1998</v>
      </c>
      <c r="P818" s="4" t="str">
        <f>VLOOKUP($B818,'D7 - NDB Impacted SPRF''s'!$E$16:$O$9929,9,FALSE)</f>
        <v>Y</v>
      </c>
      <c r="Q818" s="4" t="str">
        <f>VLOOKUP($B818,'D7 - NDB Impacted SPRF''s'!$E$16:$O$9929,10,FALSE)</f>
        <v>N</v>
      </c>
      <c r="R818" s="4" t="str">
        <f>VLOOKUP($B818,'D7 - NDB Impacted SPRF''s'!$E$16:$O$9929,11,FALSE)</f>
        <v>Y</v>
      </c>
      <c r="S818" s="8"/>
      <c r="T818" s="310"/>
      <c r="U818" s="310"/>
      <c r="V818" s="4"/>
      <c r="W818" s="4"/>
      <c r="X818" s="4"/>
      <c r="Y818" s="4"/>
      <c r="Z818" s="4"/>
      <c r="AA818" s="4"/>
      <c r="AB818" s="380" t="str">
        <f>VLOOKUP($B818,'D7 - NDB Impacted SPRF''s'!$E$16:$O$9929,4,FALSE)</f>
        <v>Completed</v>
      </c>
      <c r="AC818" s="380" t="str">
        <f>VLOOKUP($B818,'D7 - NDB Impacted SPRF''s'!$E$16:$O$9929,3,FALSE)</f>
        <v>UHG IT - Application Services Group</v>
      </c>
      <c r="AD818" s="380" t="str">
        <f>VLOOKUP($B818,'D7 - NDB Impacted SPRF''s'!$E$16:$O$9929,5,FALSE)</f>
        <v>ASG</v>
      </c>
      <c r="AE818" s="380" t="str">
        <f>VLOOKUP($B818,'D7 - NDB Impacted SPRF''s'!$E$16:$O$9929,7,FALSE)</f>
        <v>John Santelli</v>
      </c>
      <c r="AF818" s="380" t="str">
        <f>VLOOKUP($B818,'D7 - NDB Impacted SPRF''s'!$E$16:$O$9929,6,FALSE)</f>
        <v>Laura Levesque</v>
      </c>
      <c r="AG818" s="282"/>
      <c r="AH818" s="311" t="e">
        <f>INDEX('D5 - Gatekeeper - Projects'!$A$4:$AF$1010,$AM818, 17)</f>
        <v>#N/A</v>
      </c>
      <c r="AI818" s="8"/>
      <c r="AJ818" s="57"/>
      <c r="AK818" s="105"/>
      <c r="AM818" s="6" t="e">
        <f>MATCH(D818,'D5 - Gatekeeper - Projects'!$C$4:$C$1010,0)</f>
        <v>#N/A</v>
      </c>
      <c r="AN818" s="6" t="b">
        <f t="shared" si="74"/>
        <v>1</v>
      </c>
      <c r="AO818" s="6" t="str">
        <f t="shared" si="77"/>
        <v>OK</v>
      </c>
      <c r="AQ818" s="6" t="e">
        <f>MATCH($D818,'D4 - Provider Council Unsched'!$C$11:$C$234,0)</f>
        <v>#N/A</v>
      </c>
      <c r="AR818" s="6" t="b">
        <f t="shared" si="75"/>
        <v>1</v>
      </c>
      <c r="AS818" s="6" t="str">
        <f t="shared" si="79"/>
        <v>OK</v>
      </c>
      <c r="AU818" s="202"/>
      <c r="AV818" s="262"/>
      <c r="AW818" s="274"/>
    </row>
    <row r="819" spans="1:49" s="13" customFormat="1" ht="33.75" x14ac:dyDescent="0.2">
      <c r="A819" s="14">
        <v>795</v>
      </c>
      <c r="B819" s="134">
        <v>400018524</v>
      </c>
      <c r="C819" s="8" t="s">
        <v>6726</v>
      </c>
      <c r="D819" s="4" t="str">
        <f t="shared" si="76"/>
        <v>400018524CC06</v>
      </c>
      <c r="E819" s="309" t="str">
        <f>VLOOKUP($B819,'D7 - NDB Impacted SPRF''s'!$E$6:$O$9929,2,FALSE)</f>
        <v>ITI: October Government Release</v>
      </c>
      <c r="F819" s="8" t="s">
        <v>7989</v>
      </c>
      <c r="G819" s="8" t="s">
        <v>4758</v>
      </c>
      <c r="H819" s="8" t="s">
        <v>4246</v>
      </c>
      <c r="I819" s="20">
        <v>6.32</v>
      </c>
      <c r="J819" s="8" t="s">
        <v>4862</v>
      </c>
      <c r="K819" s="182">
        <v>39375</v>
      </c>
      <c r="L819" s="8" t="s">
        <v>5743</v>
      </c>
      <c r="M819" s="8" t="s">
        <v>2814</v>
      </c>
      <c r="N819" s="38"/>
      <c r="O819" s="8" t="s">
        <v>1998</v>
      </c>
      <c r="P819" s="4" t="str">
        <f>VLOOKUP($B819,'D7 - NDB Impacted SPRF''s'!$E$16:$O$9929,9,FALSE)</f>
        <v>N</v>
      </c>
      <c r="Q819" s="4" t="str">
        <f>VLOOKUP($B819,'D7 - NDB Impacted SPRF''s'!$E$16:$O$9929,10,FALSE)</f>
        <v>N</v>
      </c>
      <c r="R819" s="4" t="str">
        <f>VLOOKUP($B819,'D7 - NDB Impacted SPRF''s'!$E$16:$O$9929,11,FALSE)</f>
        <v>N</v>
      </c>
      <c r="S819" s="8"/>
      <c r="T819" s="310"/>
      <c r="U819" s="310"/>
      <c r="V819" s="4"/>
      <c r="W819" s="4"/>
      <c r="X819" s="4"/>
      <c r="Y819" s="4"/>
      <c r="Z819" s="4"/>
      <c r="AA819" s="4"/>
      <c r="AB819" s="380" t="str">
        <f>VLOOKUP($B819,'D7 - NDB Impacted SPRF''s'!$E$16:$O$9929,4,FALSE)</f>
        <v>Completed</v>
      </c>
      <c r="AC819" s="380" t="str">
        <f>VLOOKUP($B819,'D7 - NDB Impacted SPRF''s'!$E$16:$O$9929,3,FALSE)</f>
        <v>UnitedHealthcare Medicare &amp; Retirement</v>
      </c>
      <c r="AD819" s="380" t="str">
        <f>VLOOKUP($B819,'D7 - NDB Impacted SPRF''s'!$E$16:$O$9929,5,FALSE)</f>
        <v>Clinical-Ovations</v>
      </c>
      <c r="AE819" s="380" t="str">
        <f>VLOOKUP($B819,'D7 - NDB Impacted SPRF''s'!$E$16:$O$9929,7,FALSE)</f>
        <v>Gino Tenance</v>
      </c>
      <c r="AF819" s="380" t="str">
        <f>VLOOKUP($B819,'D7 - NDB Impacted SPRF''s'!$E$16:$O$9929,6,FALSE)</f>
        <v>Nicolle Wollin</v>
      </c>
      <c r="AG819" s="282"/>
      <c r="AH819" s="311" t="e">
        <f>INDEX('D5 - Gatekeeper - Projects'!$A$4:$AF$1010,$AM819, 17)</f>
        <v>#N/A</v>
      </c>
      <c r="AI819" s="8"/>
      <c r="AJ819" s="57"/>
      <c r="AK819" s="105"/>
      <c r="AM819" s="6" t="e">
        <f>MATCH(D819,'D5 - Gatekeeper - Projects'!$C$4:$C$1010,0)</f>
        <v>#N/A</v>
      </c>
      <c r="AN819" s="6" t="b">
        <f t="shared" si="74"/>
        <v>1</v>
      </c>
      <c r="AO819" s="6" t="str">
        <f t="shared" si="77"/>
        <v>OK</v>
      </c>
      <c r="AQ819" s="6" t="e">
        <f>MATCH($D819,'D4 - Provider Council Unsched'!$C$11:$C$234,0)</f>
        <v>#N/A</v>
      </c>
      <c r="AR819" s="6" t="b">
        <f t="shared" si="75"/>
        <v>1</v>
      </c>
      <c r="AS819" s="6" t="str">
        <f t="shared" si="79"/>
        <v>OK</v>
      </c>
      <c r="AU819" s="202"/>
      <c r="AV819" s="262"/>
      <c r="AW819" s="274"/>
    </row>
    <row r="820" spans="1:49" s="13" customFormat="1" ht="33.75" x14ac:dyDescent="0.2">
      <c r="A820" s="14">
        <v>796</v>
      </c>
      <c r="B820" s="134">
        <v>400018524</v>
      </c>
      <c r="C820" s="8" t="s">
        <v>5197</v>
      </c>
      <c r="D820" s="4" t="str">
        <f t="shared" si="76"/>
        <v>400018524R1</v>
      </c>
      <c r="E820" s="309" t="str">
        <f>VLOOKUP($B820,'D7 - NDB Impacted SPRF''s'!$E$6:$O$9929,2,FALSE)</f>
        <v>ITI: October Government Release</v>
      </c>
      <c r="F820" s="8" t="s">
        <v>7989</v>
      </c>
      <c r="G820" s="8" t="s">
        <v>4758</v>
      </c>
      <c r="H820" s="8" t="s">
        <v>4246</v>
      </c>
      <c r="I820" s="20">
        <v>2</v>
      </c>
      <c r="J820" s="8" t="s">
        <v>4862</v>
      </c>
      <c r="K820" s="182">
        <v>39375</v>
      </c>
      <c r="L820" s="8" t="s">
        <v>5743</v>
      </c>
      <c r="M820" s="8" t="s">
        <v>2814</v>
      </c>
      <c r="N820" s="38"/>
      <c r="O820" s="8" t="s">
        <v>1998</v>
      </c>
      <c r="P820" s="4" t="str">
        <f>VLOOKUP($B820,'D7 - NDB Impacted SPRF''s'!$E$16:$O$9929,9,FALSE)</f>
        <v>N</v>
      </c>
      <c r="Q820" s="4" t="str">
        <f>VLOOKUP($B820,'D7 - NDB Impacted SPRF''s'!$E$16:$O$9929,10,FALSE)</f>
        <v>N</v>
      </c>
      <c r="R820" s="4" t="str">
        <f>VLOOKUP($B820,'D7 - NDB Impacted SPRF''s'!$E$16:$O$9929,11,FALSE)</f>
        <v>N</v>
      </c>
      <c r="S820" s="8"/>
      <c r="T820" s="310"/>
      <c r="U820" s="310"/>
      <c r="V820" s="4"/>
      <c r="W820" s="4"/>
      <c r="X820" s="4"/>
      <c r="Y820" s="4"/>
      <c r="Z820" s="4"/>
      <c r="AA820" s="4"/>
      <c r="AB820" s="380" t="str">
        <f>VLOOKUP($B820,'D7 - NDB Impacted SPRF''s'!$E$16:$O$9929,4,FALSE)</f>
        <v>Completed</v>
      </c>
      <c r="AC820" s="380" t="str">
        <f>VLOOKUP($B820,'D7 - NDB Impacted SPRF''s'!$E$16:$O$9929,3,FALSE)</f>
        <v>UnitedHealthcare Medicare &amp; Retirement</v>
      </c>
      <c r="AD820" s="380" t="str">
        <f>VLOOKUP($B820,'D7 - NDB Impacted SPRF''s'!$E$16:$O$9929,5,FALSE)</f>
        <v>Clinical-Ovations</v>
      </c>
      <c r="AE820" s="380" t="str">
        <f>VLOOKUP($B820,'D7 - NDB Impacted SPRF''s'!$E$16:$O$9929,7,FALSE)</f>
        <v>Gino Tenance</v>
      </c>
      <c r="AF820" s="380" t="str">
        <f>VLOOKUP($B820,'D7 - NDB Impacted SPRF''s'!$E$16:$O$9929,6,FALSE)</f>
        <v>Nicolle Wollin</v>
      </c>
      <c r="AG820" s="282"/>
      <c r="AH820" s="311" t="e">
        <f>INDEX('D5 - Gatekeeper - Projects'!$A$4:$AF$1010,$AM820, 17)</f>
        <v>#N/A</v>
      </c>
      <c r="AI820" s="8"/>
      <c r="AJ820" s="57"/>
      <c r="AK820" s="105"/>
      <c r="AM820" s="6" t="e">
        <f>MATCH(D820,'D5 - Gatekeeper - Projects'!$C$4:$C$1010,0)</f>
        <v>#N/A</v>
      </c>
      <c r="AN820" s="6" t="b">
        <f t="shared" si="74"/>
        <v>1</v>
      </c>
      <c r="AO820" s="6" t="str">
        <f t="shared" si="77"/>
        <v>OK</v>
      </c>
      <c r="AQ820" s="6" t="e">
        <f>MATCH($D820,'D4 - Provider Council Unsched'!$C$11:$C$234,0)</f>
        <v>#N/A</v>
      </c>
      <c r="AR820" s="6" t="b">
        <f t="shared" si="75"/>
        <v>1</v>
      </c>
      <c r="AS820" s="6" t="str">
        <f t="shared" si="79"/>
        <v>OK</v>
      </c>
      <c r="AU820" s="202"/>
      <c r="AV820" s="262"/>
      <c r="AW820" s="274"/>
    </row>
    <row r="821" spans="1:49" s="13" customFormat="1" ht="33.75" x14ac:dyDescent="0.2">
      <c r="A821" s="14">
        <v>797</v>
      </c>
      <c r="B821" s="14">
        <v>400018805</v>
      </c>
      <c r="C821" s="8" t="s">
        <v>5197</v>
      </c>
      <c r="D821" s="4" t="str">
        <f t="shared" si="76"/>
        <v>400018805R1</v>
      </c>
      <c r="E821" s="309" t="str">
        <f>VLOOKUP($B821,'D7 - NDB Impacted SPRF''s'!$E$6:$O$9929,2,FALSE)</f>
        <v>Remove filter from NDB-Geo directory feed process</v>
      </c>
      <c r="F821" s="8" t="s">
        <v>5443</v>
      </c>
      <c r="G821" s="8" t="s">
        <v>4758</v>
      </c>
      <c r="H821" s="8" t="s">
        <v>4246</v>
      </c>
      <c r="I821" s="20">
        <v>3.11</v>
      </c>
      <c r="J821" s="8" t="s">
        <v>4862</v>
      </c>
      <c r="K821" s="182">
        <v>39375</v>
      </c>
      <c r="L821" s="8" t="s">
        <v>5743</v>
      </c>
      <c r="M821" s="8" t="s">
        <v>2814</v>
      </c>
      <c r="N821" s="38" t="s">
        <v>4742</v>
      </c>
      <c r="O821" s="8" t="s">
        <v>4099</v>
      </c>
      <c r="P821" s="4" t="str">
        <f>VLOOKUP($B821,'D7 - NDB Impacted SPRF''s'!$E$16:$O$9929,9,FALSE)</f>
        <v>N</v>
      </c>
      <c r="Q821" s="4" t="str">
        <f>VLOOKUP($B821,'D7 - NDB Impacted SPRF''s'!$E$16:$O$9929,10,FALSE)</f>
        <v>N</v>
      </c>
      <c r="R821" s="4" t="str">
        <f>VLOOKUP($B821,'D7 - NDB Impacted SPRF''s'!$E$16:$O$9929,11,FALSE)</f>
        <v>N</v>
      </c>
      <c r="S821" s="8"/>
      <c r="T821" s="310"/>
      <c r="U821" s="310"/>
      <c r="V821" s="4"/>
      <c r="W821" s="4"/>
      <c r="X821" s="4"/>
      <c r="Y821" s="4"/>
      <c r="Z821" s="4"/>
      <c r="AA821" s="4"/>
      <c r="AB821" s="380" t="str">
        <f>VLOOKUP($B821,'D7 - NDB Impacted SPRF''s'!$E$16:$O$9929,4,FALSE)</f>
        <v>Completed</v>
      </c>
      <c r="AC821" s="380" t="str">
        <f>VLOOKUP($B821,'D7 - NDB Impacted SPRF''s'!$E$16:$O$9929,3,FALSE)</f>
        <v>UnitedHealthcare Employer &amp; Individual</v>
      </c>
      <c r="AD821" s="380" t="str">
        <f>VLOOKUP($B821,'D7 - NDB Impacted SPRF''s'!$E$16:$O$9929,5,FALSE)</f>
        <v>Medical Cost Savings Programs</v>
      </c>
      <c r="AE821" s="380" t="str">
        <f>VLOOKUP($B821,'D7 - NDB Impacted SPRF''s'!$E$16:$O$9929,7,FALSE)</f>
        <v>Christopher Brown</v>
      </c>
      <c r="AF821" s="380" t="str">
        <f>VLOOKUP($B821,'D7 - NDB Impacted SPRF''s'!$E$16:$O$9929,6,FALSE)</f>
        <v>Lee Solheim</v>
      </c>
      <c r="AG821" s="282"/>
      <c r="AH821" s="311" t="e">
        <f>INDEX('D5 - Gatekeeper - Projects'!$A$4:$AF$1010,$AM821, 17)</f>
        <v>#N/A</v>
      </c>
      <c r="AI821" s="8"/>
      <c r="AJ821" s="57"/>
      <c r="AK821" s="105"/>
      <c r="AM821" s="6" t="e">
        <f>MATCH(D821,'D5 - Gatekeeper - Projects'!$C$4:$C$1010,0)</f>
        <v>#N/A</v>
      </c>
      <c r="AN821" s="6" t="b">
        <f t="shared" si="74"/>
        <v>1</v>
      </c>
      <c r="AO821" s="6" t="str">
        <f t="shared" si="77"/>
        <v>OK</v>
      </c>
      <c r="AQ821" s="6" t="e">
        <f>MATCH($D821,'D4 - Provider Council Unsched'!$C$11:$C$234,0)</f>
        <v>#N/A</v>
      </c>
      <c r="AR821" s="6" t="b">
        <f t="shared" si="75"/>
        <v>1</v>
      </c>
      <c r="AS821" s="6" t="str">
        <f t="shared" si="79"/>
        <v>OK</v>
      </c>
      <c r="AU821" s="202"/>
      <c r="AV821" s="262"/>
      <c r="AW821" s="274"/>
    </row>
    <row r="822" spans="1:49" s="13" customFormat="1" ht="33.75" x14ac:dyDescent="0.2">
      <c r="A822" s="14">
        <v>798</v>
      </c>
      <c r="B822" s="14">
        <v>400020097</v>
      </c>
      <c r="C822" s="8" t="s">
        <v>5197</v>
      </c>
      <c r="D822" s="4" t="str">
        <f t="shared" si="76"/>
        <v>400020097R1</v>
      </c>
      <c r="E822" s="309" t="str">
        <f>VLOOKUP($B822,'D7 - NDB Impacted SPRF''s'!$E$6:$O$9929,2,FALSE)</f>
        <v>DDS Final Reconciliation Feeds to Source Apps</v>
      </c>
      <c r="F822" s="8" t="s">
        <v>5196</v>
      </c>
      <c r="G822" s="8" t="s">
        <v>4758</v>
      </c>
      <c r="H822" s="8" t="s">
        <v>4246</v>
      </c>
      <c r="I822" s="20">
        <v>2.2999999999999998</v>
      </c>
      <c r="J822" s="8" t="s">
        <v>4862</v>
      </c>
      <c r="K822" s="182">
        <v>39375</v>
      </c>
      <c r="L822" s="8" t="s">
        <v>5743</v>
      </c>
      <c r="M822" s="8" t="s">
        <v>6688</v>
      </c>
      <c r="N822" s="38" t="s">
        <v>2966</v>
      </c>
      <c r="O822" s="8" t="s">
        <v>7086</v>
      </c>
      <c r="P822" s="4" t="str">
        <f>VLOOKUP($B822,'D7 - NDB Impacted SPRF''s'!$E$16:$O$9929,9,FALSE)</f>
        <v>Y</v>
      </c>
      <c r="Q822" s="4" t="str">
        <f>VLOOKUP($B822,'D7 - NDB Impacted SPRF''s'!$E$16:$O$9929,10,FALSE)</f>
        <v>N</v>
      </c>
      <c r="R822" s="4" t="str">
        <f>VLOOKUP($B822,'D7 - NDB Impacted SPRF''s'!$E$16:$O$9929,11,FALSE)</f>
        <v>N</v>
      </c>
      <c r="S822" s="8"/>
      <c r="T822" s="310"/>
      <c r="U822" s="310"/>
      <c r="V822" s="4"/>
      <c r="W822" s="4"/>
      <c r="X822" s="4"/>
      <c r="Y822" s="4"/>
      <c r="Z822" s="4"/>
      <c r="AA822" s="4"/>
      <c r="AB822" s="380" t="str">
        <f>VLOOKUP($B822,'D7 - NDB Impacted SPRF''s'!$E$16:$O$9929,4,FALSE)</f>
        <v>Completed</v>
      </c>
      <c r="AC822" s="380" t="str">
        <f>VLOOKUP($B822,'D7 - NDB Impacted SPRF''s'!$E$16:$O$9929,3,FALSE)</f>
        <v>UnitedHealthcare Employer &amp; Individual</v>
      </c>
      <c r="AD822" s="380" t="str">
        <f>VLOOKUP($B822,'D7 - NDB Impacted SPRF''s'!$E$16:$O$9929,5,FALSE)</f>
        <v>Healthcare Service Alliance</v>
      </c>
      <c r="AE822" s="380" t="str">
        <f>VLOOKUP($B822,'D7 - NDB Impacted SPRF''s'!$E$16:$O$9929,7,FALSE)</f>
        <v>Diane Schofield</v>
      </c>
      <c r="AF822" s="380" t="str">
        <f>VLOOKUP($B822,'D7 - NDB Impacted SPRF''s'!$E$16:$O$9929,6,FALSE)</f>
        <v>DECEMBER WALKER</v>
      </c>
      <c r="AG822" s="282"/>
      <c r="AH822" s="311" t="e">
        <f>INDEX('D5 - Gatekeeper - Projects'!$A$4:$AF$1010,$AM822, 17)</f>
        <v>#N/A</v>
      </c>
      <c r="AI822" s="8"/>
      <c r="AJ822" s="57"/>
      <c r="AK822" s="105"/>
      <c r="AM822" s="6" t="e">
        <f>MATCH(D822,'D5 - Gatekeeper - Projects'!$C$4:$C$1010,0)</f>
        <v>#N/A</v>
      </c>
      <c r="AN822" s="6" t="b">
        <f t="shared" si="74"/>
        <v>1</v>
      </c>
      <c r="AO822" s="6" t="str">
        <f t="shared" si="77"/>
        <v>OK</v>
      </c>
      <c r="AQ822" s="6" t="e">
        <f>MATCH($D822,'D4 - Provider Council Unsched'!$C$11:$C$234,0)</f>
        <v>#N/A</v>
      </c>
      <c r="AR822" s="6" t="b">
        <f t="shared" si="75"/>
        <v>1</v>
      </c>
      <c r="AS822" s="6" t="str">
        <f t="shared" si="79"/>
        <v>OK</v>
      </c>
      <c r="AU822" s="202"/>
      <c r="AV822" s="262"/>
      <c r="AW822" s="274"/>
    </row>
    <row r="823" spans="1:49" s="13" customFormat="1" ht="33.75" x14ac:dyDescent="0.2">
      <c r="A823" s="14">
        <v>799</v>
      </c>
      <c r="B823" s="14">
        <v>400021069</v>
      </c>
      <c r="C823" s="8" t="s">
        <v>5197</v>
      </c>
      <c r="D823" s="4" t="str">
        <f t="shared" si="76"/>
        <v>400021069R1</v>
      </c>
      <c r="E823" s="309" t="str">
        <f>VLOOKUP($B823,'D7 - NDB Impacted SPRF''s'!$E$6:$O$9929,2,FALSE)</f>
        <v>EPDE Full File Pull for PHS Auto-Load - AZ/CO</v>
      </c>
      <c r="F823" s="8" t="s">
        <v>6071</v>
      </c>
      <c r="G823" s="8" t="s">
        <v>4758</v>
      </c>
      <c r="H823" s="8" t="s">
        <v>4246</v>
      </c>
      <c r="I823" s="20">
        <v>0.31</v>
      </c>
      <c r="J823" s="8" t="s">
        <v>4862</v>
      </c>
      <c r="K823" s="182">
        <v>39375</v>
      </c>
      <c r="L823" s="8" t="s">
        <v>5743</v>
      </c>
      <c r="M823" s="8" t="s">
        <v>7402</v>
      </c>
      <c r="N823" s="38" t="s">
        <v>1225</v>
      </c>
      <c r="O823" s="8"/>
      <c r="P823" s="4" t="str">
        <f>VLOOKUP($B823,'D7 - NDB Impacted SPRF''s'!$E$16:$O$9929,9,FALSE)</f>
        <v>N</v>
      </c>
      <c r="Q823" s="4" t="str">
        <f>VLOOKUP($B823,'D7 - NDB Impacted SPRF''s'!$E$16:$O$9929,10,FALSE)</f>
        <v>N</v>
      </c>
      <c r="R823" s="4" t="str">
        <f>VLOOKUP($B823,'D7 - NDB Impacted SPRF''s'!$E$16:$O$9929,11,FALSE)</f>
        <v>N</v>
      </c>
      <c r="S823" s="8"/>
      <c r="T823" s="310"/>
      <c r="U823" s="310"/>
      <c r="V823" s="4"/>
      <c r="W823" s="4"/>
      <c r="X823" s="4"/>
      <c r="Y823" s="4"/>
      <c r="Z823" s="4"/>
      <c r="AA823" s="4"/>
      <c r="AB823" s="380" t="str">
        <f>VLOOKUP($B823,'D7 - NDB Impacted SPRF''s'!$E$16:$O$9929,4,FALSE)</f>
        <v>Completed</v>
      </c>
      <c r="AC823" s="380" t="str">
        <f>VLOOKUP($B823,'D7 - NDB Impacted SPRF''s'!$E$16:$O$9929,3,FALSE)</f>
        <v>UnitedHealthcare Employer &amp; Individual</v>
      </c>
      <c r="AD823" s="380" t="str">
        <f>VLOOKUP($B823,'D7 - NDB Impacted SPRF''s'!$E$16:$O$9929,5,FALSE)</f>
        <v>Integration Requirements</v>
      </c>
      <c r="AE823" s="380" t="str">
        <f>VLOOKUP($B823,'D7 - NDB Impacted SPRF''s'!$E$16:$O$9929,7,FALSE)</f>
        <v>Tim Kaja</v>
      </c>
      <c r="AF823" s="380" t="str">
        <f>VLOOKUP($B823,'D7 - NDB Impacted SPRF''s'!$E$16:$O$9929,6,FALSE)</f>
        <v>MARCIA MONACO</v>
      </c>
      <c r="AG823" s="282"/>
      <c r="AH823" s="311" t="e">
        <f>INDEX('D5 - Gatekeeper - Projects'!$A$4:$AF$1010,$AM823, 17)</f>
        <v>#N/A</v>
      </c>
      <c r="AI823" s="8"/>
      <c r="AJ823" s="57"/>
      <c r="AK823" s="105"/>
      <c r="AM823" s="6" t="e">
        <f>MATCH(D823,'D5 - Gatekeeper - Projects'!$C$4:$C$1010,0)</f>
        <v>#N/A</v>
      </c>
      <c r="AN823" s="6" t="b">
        <f t="shared" si="74"/>
        <v>1</v>
      </c>
      <c r="AO823" s="6" t="str">
        <f t="shared" si="77"/>
        <v>OK</v>
      </c>
      <c r="AQ823" s="6" t="e">
        <f>MATCH($D823,'D4 - Provider Council Unsched'!$C$11:$C$234,0)</f>
        <v>#N/A</v>
      </c>
      <c r="AR823" s="6" t="b">
        <f t="shared" si="75"/>
        <v>1</v>
      </c>
      <c r="AS823" s="6" t="str">
        <f t="shared" si="79"/>
        <v>OK</v>
      </c>
      <c r="AU823" s="202"/>
      <c r="AV823" s="262"/>
      <c r="AW823" s="274"/>
    </row>
    <row r="824" spans="1:49" s="13" customFormat="1" ht="33.75" x14ac:dyDescent="0.2">
      <c r="A824" s="14">
        <v>800</v>
      </c>
      <c r="B824" s="14">
        <v>400021103</v>
      </c>
      <c r="C824" s="8" t="s">
        <v>5197</v>
      </c>
      <c r="D824" s="4" t="str">
        <f t="shared" si="76"/>
        <v>400021103R1</v>
      </c>
      <c r="E824" s="309" t="str">
        <f>VLOOKUP($B824,'D7 - NDB Impacted SPRF''s'!$E$6:$O$9929,2,FALSE)</f>
        <v>PHS - Update Specialty Exclusion Table</v>
      </c>
      <c r="F824" s="8" t="s">
        <v>6071</v>
      </c>
      <c r="G824" s="8" t="s">
        <v>4758</v>
      </c>
      <c r="H824" s="8" t="s">
        <v>4246</v>
      </c>
      <c r="I824" s="20">
        <v>0.27</v>
      </c>
      <c r="J824" s="8" t="s">
        <v>4862</v>
      </c>
      <c r="K824" s="182">
        <v>39375</v>
      </c>
      <c r="L824" s="8" t="s">
        <v>5743</v>
      </c>
      <c r="M824" s="8" t="s">
        <v>7402</v>
      </c>
      <c r="N824" s="38" t="s">
        <v>1225</v>
      </c>
      <c r="O824" s="8"/>
      <c r="P824" s="4" t="str">
        <f>VLOOKUP($B824,'D7 - NDB Impacted SPRF''s'!$E$16:$O$9929,9,FALSE)</f>
        <v>N</v>
      </c>
      <c r="Q824" s="4" t="str">
        <f>VLOOKUP($B824,'D7 - NDB Impacted SPRF''s'!$E$16:$O$9929,10,FALSE)</f>
        <v>N</v>
      </c>
      <c r="R824" s="4" t="str">
        <f>VLOOKUP($B824,'D7 - NDB Impacted SPRF''s'!$E$16:$O$9929,11,FALSE)</f>
        <v>N</v>
      </c>
      <c r="S824" s="8"/>
      <c r="T824" s="310"/>
      <c r="U824" s="310"/>
      <c r="V824" s="4"/>
      <c r="W824" s="4"/>
      <c r="X824" s="4"/>
      <c r="Y824" s="4"/>
      <c r="Z824" s="4"/>
      <c r="AA824" s="4"/>
      <c r="AB824" s="380" t="str">
        <f>VLOOKUP($B824,'D7 - NDB Impacted SPRF''s'!$E$16:$O$9929,4,FALSE)</f>
        <v>Completed</v>
      </c>
      <c r="AC824" s="380" t="str">
        <f>VLOOKUP($B824,'D7 - NDB Impacted SPRF''s'!$E$16:$O$9929,3,FALSE)</f>
        <v>UnitedHealthcare Employer &amp; Individual</v>
      </c>
      <c r="AD824" s="380" t="str">
        <f>VLOOKUP($B824,'D7 - NDB Impacted SPRF''s'!$E$16:$O$9929,5,FALSE)</f>
        <v>Integration Requirements</v>
      </c>
      <c r="AE824" s="380" t="str">
        <f>VLOOKUP($B824,'D7 - NDB Impacted SPRF''s'!$E$16:$O$9929,7,FALSE)</f>
        <v>Tim Kaja</v>
      </c>
      <c r="AF824" s="380" t="str">
        <f>VLOOKUP($B824,'D7 - NDB Impacted SPRF''s'!$E$16:$O$9929,6,FALSE)</f>
        <v>MARCIA MONACO</v>
      </c>
      <c r="AG824" s="282"/>
      <c r="AH824" s="311" t="e">
        <f>INDEX('D5 - Gatekeeper - Projects'!$A$4:$AF$1010,$AM824, 17)</f>
        <v>#N/A</v>
      </c>
      <c r="AI824" s="8"/>
      <c r="AJ824" s="57"/>
      <c r="AK824" s="105"/>
      <c r="AM824" s="6" t="e">
        <f>MATCH(D824,'D5 - Gatekeeper - Projects'!$C$4:$C$1010,0)</f>
        <v>#N/A</v>
      </c>
      <c r="AN824" s="6" t="b">
        <f t="shared" si="74"/>
        <v>1</v>
      </c>
      <c r="AO824" s="6" t="str">
        <f t="shared" si="77"/>
        <v>OK</v>
      </c>
      <c r="AQ824" s="6" t="e">
        <f>MATCH($D824,'D4 - Provider Council Unsched'!$C$11:$C$234,0)</f>
        <v>#N/A</v>
      </c>
      <c r="AR824" s="6" t="b">
        <f t="shared" si="75"/>
        <v>1</v>
      </c>
      <c r="AS824" s="6" t="str">
        <f t="shared" si="79"/>
        <v>OK</v>
      </c>
      <c r="AU824" s="202"/>
      <c r="AV824" s="262"/>
      <c r="AW824" s="274"/>
    </row>
    <row r="825" spans="1:49" s="13" customFormat="1" ht="33.75" x14ac:dyDescent="0.2">
      <c r="A825" s="14">
        <v>801</v>
      </c>
      <c r="B825" s="14">
        <v>400021215</v>
      </c>
      <c r="C825" s="8" t="s">
        <v>5197</v>
      </c>
      <c r="D825" s="4" t="str">
        <f t="shared" si="76"/>
        <v>400021215R1</v>
      </c>
      <c r="E825" s="309" t="str">
        <f>VLOOKUP($B825,'D7 - NDB Impacted SPRF''s'!$E$6:$O$9929,2,FALSE)</f>
        <v>NDB-CES PCP TIN Validation Interface Issue</v>
      </c>
      <c r="F825" s="8" t="s">
        <v>5752</v>
      </c>
      <c r="G825" s="8" t="s">
        <v>4758</v>
      </c>
      <c r="H825" s="8" t="s">
        <v>4246</v>
      </c>
      <c r="I825" s="20">
        <v>1.6</v>
      </c>
      <c r="J825" s="8" t="s">
        <v>4862</v>
      </c>
      <c r="K825" s="182">
        <v>39375</v>
      </c>
      <c r="L825" s="8" t="s">
        <v>5743</v>
      </c>
      <c r="M825" s="8" t="s">
        <v>2814</v>
      </c>
      <c r="N825" s="38" t="s">
        <v>5996</v>
      </c>
      <c r="O825" s="8" t="s">
        <v>2547</v>
      </c>
      <c r="P825" s="4" t="str">
        <f>VLOOKUP($B825,'D7 - NDB Impacted SPRF''s'!$E$16:$O$9929,9,FALSE)</f>
        <v>N</v>
      </c>
      <c r="Q825" s="4" t="str">
        <f>VLOOKUP($B825,'D7 - NDB Impacted SPRF''s'!$E$16:$O$9929,10,FALSE)</f>
        <v>N</v>
      </c>
      <c r="R825" s="4" t="str">
        <f>VLOOKUP($B825,'D7 - NDB Impacted SPRF''s'!$E$16:$O$9929,11,FALSE)</f>
        <v>N</v>
      </c>
      <c r="S825" s="8"/>
      <c r="T825" s="310"/>
      <c r="U825" s="310"/>
      <c r="V825" s="4"/>
      <c r="W825" s="4"/>
      <c r="X825" s="4"/>
      <c r="Y825" s="4"/>
      <c r="Z825" s="4"/>
      <c r="AA825" s="4"/>
      <c r="AB825" s="380" t="str">
        <f>VLOOKUP($B825,'D7 - NDB Impacted SPRF''s'!$E$16:$O$9929,4,FALSE)</f>
        <v>Completed</v>
      </c>
      <c r="AC825" s="380" t="str">
        <f>VLOOKUP($B825,'D7 - NDB Impacted SPRF''s'!$E$16:$O$9929,3,FALSE)</f>
        <v>UnitedHealthcare Employer &amp; Individual</v>
      </c>
      <c r="AD825" s="380" t="str">
        <f>VLOOKUP($B825,'D7 - NDB Impacted SPRF''s'!$E$16:$O$9929,5,FALSE)</f>
        <v>Integration Requirements</v>
      </c>
      <c r="AE825" s="380" t="str">
        <f>VLOOKUP($B825,'D7 - NDB Impacted SPRF''s'!$E$16:$O$9929,7,FALSE)</f>
        <v>Eileen Dock</v>
      </c>
      <c r="AF825" s="380" t="str">
        <f>VLOOKUP($B825,'D7 - NDB Impacted SPRF''s'!$E$16:$O$9929,6,FALSE)</f>
        <v>Ali Fiad</v>
      </c>
      <c r="AG825" s="282"/>
      <c r="AH825" s="311" t="e">
        <f>INDEX('D5 - Gatekeeper - Projects'!$A$4:$AF$1010,$AM825, 17)</f>
        <v>#N/A</v>
      </c>
      <c r="AI825" s="8"/>
      <c r="AJ825" s="57"/>
      <c r="AK825" s="105"/>
      <c r="AM825" s="6" t="e">
        <f>MATCH(D825,'D5 - Gatekeeper - Projects'!$C$4:$C$1010,0)</f>
        <v>#N/A</v>
      </c>
      <c r="AN825" s="6" t="b">
        <f t="shared" si="74"/>
        <v>1</v>
      </c>
      <c r="AO825" s="6" t="str">
        <f t="shared" si="77"/>
        <v>OK</v>
      </c>
      <c r="AQ825" s="6" t="e">
        <f>MATCH($D825,'D4 - Provider Council Unsched'!$C$11:$C$234,0)</f>
        <v>#N/A</v>
      </c>
      <c r="AR825" s="6" t="b">
        <f t="shared" si="75"/>
        <v>1</v>
      </c>
      <c r="AS825" s="6" t="str">
        <f t="shared" si="79"/>
        <v>OK</v>
      </c>
      <c r="AU825" s="202"/>
      <c r="AV825" s="262"/>
      <c r="AW825" s="274"/>
    </row>
    <row r="826" spans="1:49" s="13" customFormat="1" ht="33.75" x14ac:dyDescent="0.2">
      <c r="A826" s="14">
        <v>802</v>
      </c>
      <c r="B826" s="14">
        <v>400015390</v>
      </c>
      <c r="C826" s="8" t="s">
        <v>5197</v>
      </c>
      <c r="D826" s="4" t="str">
        <f t="shared" si="76"/>
        <v>400015390R1</v>
      </c>
      <c r="E826" s="309" t="str">
        <f>VLOOKUP($B826,'D7 - NDB Impacted SPRF''s'!$E$6:$O$9929,2,FALSE)</f>
        <v>Work Order - Network Management PTI Report</v>
      </c>
      <c r="F826" s="8" t="s">
        <v>5196</v>
      </c>
      <c r="G826" s="8" t="s">
        <v>4758</v>
      </c>
      <c r="H826" s="8" t="s">
        <v>4246</v>
      </c>
      <c r="I826" s="20">
        <v>1.21</v>
      </c>
      <c r="J826" s="8" t="s">
        <v>4862</v>
      </c>
      <c r="K826" s="182">
        <v>39379</v>
      </c>
      <c r="L826" s="8" t="s">
        <v>5743</v>
      </c>
      <c r="M826" s="8" t="s">
        <v>5786</v>
      </c>
      <c r="N826" s="38"/>
      <c r="O826" s="8" t="s">
        <v>4306</v>
      </c>
      <c r="P826" s="4" t="str">
        <f>VLOOKUP($B826,'D7 - NDB Impacted SPRF''s'!$E$16:$O$9929,9,FALSE)</f>
        <v>N</v>
      </c>
      <c r="Q826" s="4" t="str">
        <f>VLOOKUP($B826,'D7 - NDB Impacted SPRF''s'!$E$16:$O$9929,10,FALSE)</f>
        <v>N</v>
      </c>
      <c r="R826" s="4" t="str">
        <f>VLOOKUP($B826,'D7 - NDB Impacted SPRF''s'!$E$16:$O$9929,11,FALSE)</f>
        <v>N</v>
      </c>
      <c r="S826" s="8"/>
      <c r="T826" s="310"/>
      <c r="U826" s="310"/>
      <c r="V826" s="4"/>
      <c r="W826" s="4"/>
      <c r="X826" s="4"/>
      <c r="Y826" s="4"/>
      <c r="Z826" s="4"/>
      <c r="AA826" s="4"/>
      <c r="AB826" s="380" t="str">
        <f>VLOOKUP($B826,'D7 - NDB Impacted SPRF''s'!$E$16:$O$9929,4,FALSE)</f>
        <v>Completed</v>
      </c>
      <c r="AC826" s="380" t="str">
        <f>VLOOKUP($B826,'D7 - NDB Impacted SPRF''s'!$E$16:$O$9929,3,FALSE)</f>
        <v>UnitedHealthcare Employer &amp; Individual</v>
      </c>
      <c r="AD826" s="380" t="str">
        <f>VLOOKUP($B826,'D7 - NDB Impacted SPRF''s'!$E$16:$O$9929,5,FALSE)</f>
        <v>Network Growth / Enhancements</v>
      </c>
      <c r="AE826" s="380" t="str">
        <f>VLOOKUP($B826,'D7 - NDB Impacted SPRF''s'!$E$16:$O$9929,7,FALSE)</f>
        <v>Peter Bompane</v>
      </c>
      <c r="AF826" s="380" t="str">
        <f>VLOOKUP($B826,'D7 - NDB Impacted SPRF''s'!$E$16:$O$9929,6,FALSE)</f>
        <v>Susan Neal</v>
      </c>
      <c r="AG826" s="282"/>
      <c r="AH826" s="311" t="e">
        <f>INDEX('D5 - Gatekeeper - Projects'!$A$4:$AF$1010,$AM826, 17)</f>
        <v>#N/A</v>
      </c>
      <c r="AI826" s="8"/>
      <c r="AJ826" s="57"/>
      <c r="AK826" s="105"/>
      <c r="AM826" s="6" t="e">
        <f>MATCH(D826,'D5 - Gatekeeper - Projects'!$C$4:$C$1010,0)</f>
        <v>#N/A</v>
      </c>
      <c r="AN826" s="6" t="b">
        <f t="shared" si="74"/>
        <v>1</v>
      </c>
      <c r="AO826" s="6" t="str">
        <f t="shared" si="77"/>
        <v>OK</v>
      </c>
      <c r="AQ826" s="6" t="e">
        <f>MATCH($D826,'D4 - Provider Council Unsched'!$C$11:$C$234,0)</f>
        <v>#N/A</v>
      </c>
      <c r="AR826" s="6" t="b">
        <f t="shared" si="75"/>
        <v>1</v>
      </c>
      <c r="AS826" s="6" t="str">
        <f t="shared" si="79"/>
        <v>OK</v>
      </c>
      <c r="AU826" s="202"/>
      <c r="AV826" s="262"/>
      <c r="AW826" s="274"/>
    </row>
    <row r="827" spans="1:49" s="13" customFormat="1" ht="33.75" x14ac:dyDescent="0.2">
      <c r="A827" s="14">
        <v>803</v>
      </c>
      <c r="B827" s="14">
        <v>400015003</v>
      </c>
      <c r="C827" s="8" t="s">
        <v>5197</v>
      </c>
      <c r="D827" s="4" t="str">
        <f t="shared" si="76"/>
        <v>400015003R1</v>
      </c>
      <c r="E827" s="309" t="str">
        <f>VLOOKUP($B827,'D7 - NDB Impacted SPRF''s'!$E$6:$O$9929,2,FALSE)</f>
        <v>2007 DRG Annual Updates - UNET</v>
      </c>
      <c r="F827" s="8" t="s">
        <v>4471</v>
      </c>
      <c r="G827" s="8" t="s">
        <v>4758</v>
      </c>
      <c r="H827" s="8" t="s">
        <v>4246</v>
      </c>
      <c r="I827" s="20">
        <v>10.5</v>
      </c>
      <c r="J827" s="8" t="s">
        <v>4862</v>
      </c>
      <c r="K827" s="182">
        <v>39389</v>
      </c>
      <c r="L827" s="8" t="s">
        <v>5743</v>
      </c>
      <c r="M827" s="8" t="s">
        <v>2814</v>
      </c>
      <c r="N827" s="38"/>
      <c r="O827" s="8" t="s">
        <v>4173</v>
      </c>
      <c r="P827" s="4" t="str">
        <f>VLOOKUP($B827,'D7 - NDB Impacted SPRF''s'!$E$16:$O$9929,9,FALSE)</f>
        <v>Y</v>
      </c>
      <c r="Q827" s="4" t="str">
        <f>VLOOKUP($B827,'D7 - NDB Impacted SPRF''s'!$E$16:$O$9929,10,FALSE)</f>
        <v>N</v>
      </c>
      <c r="R827" s="4" t="str">
        <f>VLOOKUP($B827,'D7 - NDB Impacted SPRF''s'!$E$16:$O$9929,11,FALSE)</f>
        <v>N</v>
      </c>
      <c r="S827" s="8"/>
      <c r="T827" s="310"/>
      <c r="U827" s="310"/>
      <c r="V827" s="4"/>
      <c r="W827" s="4"/>
      <c r="X827" s="4"/>
      <c r="Y827" s="4"/>
      <c r="Z827" s="4"/>
      <c r="AA827" s="4"/>
      <c r="AB827" s="380" t="str">
        <f>VLOOKUP($B827,'D7 - NDB Impacted SPRF''s'!$E$16:$O$9929,4,FALSE)</f>
        <v>Completed</v>
      </c>
      <c r="AC827" s="380" t="str">
        <f>VLOOKUP($B827,'D7 - NDB Impacted SPRF''s'!$E$16:$O$9929,3,FALSE)</f>
        <v>UnitedHealthcare Employer &amp; Individual</v>
      </c>
      <c r="AD827" s="380" t="str">
        <f>VLOOKUP($B827,'D7 - NDB Impacted SPRF''s'!$E$16:$O$9929,5,FALSE)</f>
        <v>Operational Requirements</v>
      </c>
      <c r="AE827" s="380" t="str">
        <f>VLOOKUP($B827,'D7 - NDB Impacted SPRF''s'!$E$16:$O$9929,7,FALSE)</f>
        <v>Belinda Jones</v>
      </c>
      <c r="AF827" s="380" t="str">
        <f>VLOOKUP($B827,'D7 - NDB Impacted SPRF''s'!$E$16:$O$9929,6,FALSE)</f>
        <v>Belinda Jackson</v>
      </c>
      <c r="AG827" s="282"/>
      <c r="AH827" s="311" t="e">
        <f>INDEX('D5 - Gatekeeper - Projects'!$A$4:$AF$1010,$AM827, 17)</f>
        <v>#N/A</v>
      </c>
      <c r="AI827" s="8"/>
      <c r="AJ827" s="57"/>
      <c r="AK827" s="105"/>
      <c r="AM827" s="6" t="e">
        <f>MATCH(D827,'D5 - Gatekeeper - Projects'!$C$4:$C$1010,0)</f>
        <v>#N/A</v>
      </c>
      <c r="AN827" s="6" t="b">
        <f t="shared" si="74"/>
        <v>1</v>
      </c>
      <c r="AO827" s="6" t="str">
        <f t="shared" si="77"/>
        <v>OK</v>
      </c>
      <c r="AQ827" s="6" t="e">
        <f>MATCH($D827,'D4 - Provider Council Unsched'!$C$11:$C$234,0)</f>
        <v>#N/A</v>
      </c>
      <c r="AR827" s="6" t="b">
        <f t="shared" si="75"/>
        <v>1</v>
      </c>
      <c r="AS827" s="6" t="str">
        <f t="shared" si="79"/>
        <v>OK</v>
      </c>
      <c r="AU827" s="202"/>
      <c r="AV827" s="262"/>
      <c r="AW827" s="274"/>
    </row>
    <row r="828" spans="1:49" s="13" customFormat="1" ht="33.75" x14ac:dyDescent="0.2">
      <c r="A828" s="14">
        <v>804</v>
      </c>
      <c r="B828" s="14">
        <v>400017992</v>
      </c>
      <c r="C828" s="8" t="s">
        <v>6726</v>
      </c>
      <c r="D828" s="4" t="str">
        <f t="shared" si="76"/>
        <v>400017992CC06</v>
      </c>
      <c r="E828" s="309" t="str">
        <f>VLOOKUP($B828,'D7 - NDB Impacted SPRF''s'!$E$6:$O$9929,2,FALSE)</f>
        <v>DDS Reconciliation Feeds to Source</v>
      </c>
      <c r="F828" s="8" t="s">
        <v>5196</v>
      </c>
      <c r="G828" s="8" t="s">
        <v>4758</v>
      </c>
      <c r="H828" s="8" t="s">
        <v>4246</v>
      </c>
      <c r="I828" s="20">
        <v>7.53</v>
      </c>
      <c r="J828" s="8" t="s">
        <v>4862</v>
      </c>
      <c r="K828" s="182">
        <v>39403</v>
      </c>
      <c r="L828" s="8" t="s">
        <v>5743</v>
      </c>
      <c r="M828" s="8" t="s">
        <v>2814</v>
      </c>
      <c r="N828" s="38" t="s">
        <v>5472</v>
      </c>
      <c r="O828" s="8" t="s">
        <v>7962</v>
      </c>
      <c r="P828" s="4" t="str">
        <f>VLOOKUP($B828,'D7 - NDB Impacted SPRF''s'!$E$16:$O$9929,9,FALSE)</f>
        <v>Y</v>
      </c>
      <c r="Q828" s="4" t="str">
        <f>VLOOKUP($B828,'D7 - NDB Impacted SPRF''s'!$E$16:$O$9929,10,FALSE)</f>
        <v>N</v>
      </c>
      <c r="R828" s="4" t="str">
        <f>VLOOKUP($B828,'D7 - NDB Impacted SPRF''s'!$E$16:$O$9929,11,FALSE)</f>
        <v>N</v>
      </c>
      <c r="S828" s="8"/>
      <c r="T828" s="310"/>
      <c r="U828" s="310"/>
      <c r="V828" s="4"/>
      <c r="W828" s="4"/>
      <c r="X828" s="4"/>
      <c r="Y828" s="4"/>
      <c r="Z828" s="4"/>
      <c r="AA828" s="4"/>
      <c r="AB828" s="380" t="str">
        <f>VLOOKUP($B828,'D7 - NDB Impacted SPRF''s'!$E$16:$O$9929,4,FALSE)</f>
        <v>Completed</v>
      </c>
      <c r="AC828" s="380" t="str">
        <f>VLOOKUP($B828,'D7 - NDB Impacted SPRF''s'!$E$16:$O$9929,3,FALSE)</f>
        <v>UnitedHealthcare Employer &amp; Individual</v>
      </c>
      <c r="AD828" s="380" t="str">
        <f>VLOOKUP($B828,'D7 - NDB Impacted SPRF''s'!$E$16:$O$9929,5,FALSE)</f>
        <v>Healthcare Service Alliance</v>
      </c>
      <c r="AE828" s="380" t="str">
        <f>VLOOKUP($B828,'D7 - NDB Impacted SPRF''s'!$E$16:$O$9929,7,FALSE)</f>
        <v>Diane Schofield</v>
      </c>
      <c r="AF828" s="380" t="str">
        <f>VLOOKUP($B828,'D7 - NDB Impacted SPRF''s'!$E$16:$O$9929,6,FALSE)</f>
        <v>KIMBERLY ALEXANDER</v>
      </c>
      <c r="AG828" s="282"/>
      <c r="AH828" s="311" t="e">
        <f>INDEX('D5 - Gatekeeper - Projects'!$A$4:$AF$1010,$AM828, 17)</f>
        <v>#N/A</v>
      </c>
      <c r="AI828" s="8"/>
      <c r="AJ828" s="57"/>
      <c r="AK828" s="105"/>
      <c r="AM828" s="6" t="e">
        <f>MATCH(D828,'D5 - Gatekeeper - Projects'!$C$4:$C$1010,0)</f>
        <v>#N/A</v>
      </c>
      <c r="AN828" s="6" t="b">
        <f t="shared" si="74"/>
        <v>1</v>
      </c>
      <c r="AO828" s="6" t="str">
        <f t="shared" si="77"/>
        <v>OK</v>
      </c>
      <c r="AQ828" s="6" t="e">
        <f>MATCH($D828,'D4 - Provider Council Unsched'!$C$11:$C$234,0)</f>
        <v>#N/A</v>
      </c>
      <c r="AR828" s="6" t="b">
        <f t="shared" si="75"/>
        <v>1</v>
      </c>
      <c r="AS828" s="6" t="str">
        <f t="shared" si="79"/>
        <v>OK</v>
      </c>
      <c r="AU828" s="202"/>
      <c r="AV828" s="262"/>
      <c r="AW828" s="274"/>
    </row>
    <row r="829" spans="1:49" s="13" customFormat="1" ht="22.5" x14ac:dyDescent="0.2">
      <c r="A829" s="14">
        <v>805</v>
      </c>
      <c r="B829" s="14">
        <v>400018987</v>
      </c>
      <c r="C829" s="8" t="s">
        <v>5197</v>
      </c>
      <c r="D829" s="4" t="str">
        <f t="shared" si="76"/>
        <v>400018987R1</v>
      </c>
      <c r="E829" s="309" t="str">
        <f>VLOOKUP($B829,'D7 - NDB Impacted SPRF''s'!$E$6:$O$9929,2,FALSE)</f>
        <v>NDB Provider Pick: RTA Defect Rate Analysis</v>
      </c>
      <c r="F829" s="8" t="s">
        <v>2114</v>
      </c>
      <c r="G829" s="8" t="s">
        <v>4758</v>
      </c>
      <c r="H829" s="8" t="s">
        <v>4246</v>
      </c>
      <c r="I829" s="20">
        <v>11.96</v>
      </c>
      <c r="J829" s="8" t="s">
        <v>4862</v>
      </c>
      <c r="K829" s="182">
        <v>39403</v>
      </c>
      <c r="L829" s="8" t="s">
        <v>5743</v>
      </c>
      <c r="M829" s="8" t="s">
        <v>6688</v>
      </c>
      <c r="N829" s="38" t="s">
        <v>5241</v>
      </c>
      <c r="O829" s="8"/>
      <c r="P829" s="4" t="str">
        <f>VLOOKUP($B829,'D7 - NDB Impacted SPRF''s'!$E$16:$O$9929,9,FALSE)</f>
        <v>N</v>
      </c>
      <c r="Q829" s="4" t="str">
        <f>VLOOKUP($B829,'D7 - NDB Impacted SPRF''s'!$E$16:$O$9929,10,FALSE)</f>
        <v>N</v>
      </c>
      <c r="R829" s="4" t="str">
        <f>VLOOKUP($B829,'D7 - NDB Impacted SPRF''s'!$E$16:$O$9929,11,FALSE)</f>
        <v>N</v>
      </c>
      <c r="S829" s="8"/>
      <c r="T829" s="310"/>
      <c r="U829" s="310"/>
      <c r="V829" s="4"/>
      <c r="W829" s="4"/>
      <c r="X829" s="4"/>
      <c r="Y829" s="4"/>
      <c r="Z829" s="4"/>
      <c r="AA829" s="4"/>
      <c r="AB829" s="380" t="str">
        <f>VLOOKUP($B829,'D7 - NDB Impacted SPRF''s'!$E$16:$O$9929,4,FALSE)</f>
        <v>Completed</v>
      </c>
      <c r="AC829" s="380" t="str">
        <f>VLOOKUP($B829,'D7 - NDB Impacted SPRF''s'!$E$16:$O$9929,3,FALSE)</f>
        <v>Uniprise</v>
      </c>
      <c r="AD829" s="380" t="str">
        <f>VLOOKUP($B829,'D7 - NDB Impacted SPRF''s'!$E$16:$O$9929,5,FALSE)</f>
        <v>Group Services - Capital Projects</v>
      </c>
      <c r="AE829" s="380" t="str">
        <f>VLOOKUP($B829,'D7 - NDB Impacted SPRF''s'!$E$16:$O$9929,7,FALSE)</f>
        <v>William Schofield</v>
      </c>
      <c r="AF829" s="380" t="str">
        <f>VLOOKUP($B829,'D7 - NDB Impacted SPRF''s'!$E$16:$O$9929,6,FALSE)</f>
        <v>MICHAEL BAKER</v>
      </c>
      <c r="AG829" s="282"/>
      <c r="AH829" s="311" t="e">
        <f>INDEX('D5 - Gatekeeper - Projects'!$A$4:$AF$1010,$AM829, 17)</f>
        <v>#N/A</v>
      </c>
      <c r="AI829" s="8"/>
      <c r="AJ829" s="57"/>
      <c r="AK829" s="105"/>
      <c r="AM829" s="6" t="e">
        <f>MATCH(D829,'D5 - Gatekeeper - Projects'!$C$4:$C$1010,0)</f>
        <v>#N/A</v>
      </c>
      <c r="AN829" s="6" t="b">
        <f t="shared" si="74"/>
        <v>1</v>
      </c>
      <c r="AO829" s="6" t="str">
        <f t="shared" si="77"/>
        <v>OK</v>
      </c>
      <c r="AQ829" s="6" t="e">
        <f>MATCH($D829,'D4 - Provider Council Unsched'!$C$11:$C$234,0)</f>
        <v>#N/A</v>
      </c>
      <c r="AR829" s="6" t="b">
        <f t="shared" si="75"/>
        <v>1</v>
      </c>
      <c r="AS829" s="6" t="str">
        <f t="shared" si="79"/>
        <v>OK</v>
      </c>
      <c r="AU829" s="202"/>
      <c r="AV829" s="262"/>
      <c r="AW829" s="274"/>
    </row>
    <row r="830" spans="1:49" s="13" customFormat="1" ht="33.75" x14ac:dyDescent="0.2">
      <c r="A830" s="14">
        <v>806</v>
      </c>
      <c r="B830" s="14">
        <v>400020443</v>
      </c>
      <c r="C830" s="8" t="s">
        <v>5197</v>
      </c>
      <c r="D830" s="4" t="str">
        <f t="shared" si="76"/>
        <v>400020443R1</v>
      </c>
      <c r="E830" s="309" t="str">
        <f>VLOOKUP($B830,'D7 - NDB Impacted SPRF''s'!$E$6:$O$9929,2,FALSE)</f>
        <v>Medica - NDB modify initial load process</v>
      </c>
      <c r="F830" s="8" t="s">
        <v>5196</v>
      </c>
      <c r="G830" s="8" t="s">
        <v>4758</v>
      </c>
      <c r="H830" s="8" t="s">
        <v>4246</v>
      </c>
      <c r="I830" s="20">
        <v>43.53</v>
      </c>
      <c r="J830" s="8" t="s">
        <v>4862</v>
      </c>
      <c r="K830" s="182">
        <v>39403</v>
      </c>
      <c r="L830" s="8" t="s">
        <v>5743</v>
      </c>
      <c r="M830" s="8" t="s">
        <v>2814</v>
      </c>
      <c r="N830" s="38"/>
      <c r="O830" s="8" t="s">
        <v>2547</v>
      </c>
      <c r="P830" s="4" t="str">
        <f>VLOOKUP($B830,'D7 - NDB Impacted SPRF''s'!$E$16:$O$9929,9,FALSE)</f>
        <v>N</v>
      </c>
      <c r="Q830" s="4" t="str">
        <f>VLOOKUP($B830,'D7 - NDB Impacted SPRF''s'!$E$16:$O$9929,10,FALSE)</f>
        <v>N</v>
      </c>
      <c r="R830" s="4" t="str">
        <f>VLOOKUP($B830,'D7 - NDB Impacted SPRF''s'!$E$16:$O$9929,11,FALSE)</f>
        <v>N</v>
      </c>
      <c r="S830" s="8"/>
      <c r="T830" s="310"/>
      <c r="U830" s="310"/>
      <c r="V830" s="4"/>
      <c r="W830" s="4"/>
      <c r="X830" s="4"/>
      <c r="Y830" s="4"/>
      <c r="Z830" s="4"/>
      <c r="AA830" s="4"/>
      <c r="AB830" s="380" t="str">
        <f>VLOOKUP($B830,'D7 - NDB Impacted SPRF''s'!$E$16:$O$9929,4,FALSE)</f>
        <v>Completed</v>
      </c>
      <c r="AC830" s="380" t="str">
        <f>VLOOKUP($B830,'D7 - NDB Impacted SPRF''s'!$E$16:$O$9929,3,FALSE)</f>
        <v>UnitedHealthcare Employer &amp; Individual</v>
      </c>
      <c r="AD830" s="380" t="str">
        <f>VLOOKUP($B830,'D7 - NDB Impacted SPRF''s'!$E$16:$O$9929,5,FALSE)</f>
        <v>HCA - Medica UNET Conversion</v>
      </c>
      <c r="AE830" s="380" t="str">
        <f>VLOOKUP($B830,'D7 - NDB Impacted SPRF''s'!$E$16:$O$9929,7,FALSE)</f>
        <v>Diane Schofield</v>
      </c>
      <c r="AF830" s="380" t="str">
        <f>VLOOKUP($B830,'D7 - NDB Impacted SPRF''s'!$E$16:$O$9929,6,FALSE)</f>
        <v>DECEMBER WALKER</v>
      </c>
      <c r="AG830" s="282"/>
      <c r="AH830" s="311" t="e">
        <f>INDEX('D5 - Gatekeeper - Projects'!$A$4:$AF$1010,$AM830, 17)</f>
        <v>#N/A</v>
      </c>
      <c r="AI830" s="8"/>
      <c r="AJ830" s="57"/>
      <c r="AK830" s="105"/>
      <c r="AM830" s="6" t="e">
        <f>MATCH(D830,'D5 - Gatekeeper - Projects'!$C$4:$C$1010,0)</f>
        <v>#N/A</v>
      </c>
      <c r="AN830" s="6" t="b">
        <f t="shared" si="74"/>
        <v>1</v>
      </c>
      <c r="AO830" s="6" t="str">
        <f t="shared" si="77"/>
        <v>OK</v>
      </c>
      <c r="AQ830" s="6" t="e">
        <f>MATCH($D830,'D4 - Provider Council Unsched'!$C$11:$C$234,0)</f>
        <v>#N/A</v>
      </c>
      <c r="AR830" s="6" t="b">
        <f t="shared" si="75"/>
        <v>1</v>
      </c>
      <c r="AS830" s="6" t="str">
        <f t="shared" si="79"/>
        <v>OK</v>
      </c>
      <c r="AU830" s="202"/>
      <c r="AV830" s="262"/>
      <c r="AW830" s="274"/>
    </row>
    <row r="831" spans="1:49" s="13" customFormat="1" ht="33.75" x14ac:dyDescent="0.2">
      <c r="A831" s="14">
        <v>807</v>
      </c>
      <c r="B831" s="14">
        <v>400021363</v>
      </c>
      <c r="C831" s="8" t="s">
        <v>5197</v>
      </c>
      <c r="D831" s="4" t="str">
        <f t="shared" si="76"/>
        <v>400021363R1</v>
      </c>
      <c r="E831" s="309" t="str">
        <f>VLOOKUP($B831,'D7 - NDB Impacted SPRF''s'!$E$6:$O$9929,2,FALSE)</f>
        <v>NGRC Full EPDE File Pull</v>
      </c>
      <c r="F831" s="8" t="s">
        <v>4985</v>
      </c>
      <c r="G831" s="8" t="s">
        <v>4758</v>
      </c>
      <c r="H831" s="8" t="s">
        <v>4246</v>
      </c>
      <c r="I831" s="20">
        <v>0.73</v>
      </c>
      <c r="J831" s="8" t="s">
        <v>4862</v>
      </c>
      <c r="K831" s="182">
        <v>39403</v>
      </c>
      <c r="L831" s="8" t="s">
        <v>5743</v>
      </c>
      <c r="M831" s="8" t="s">
        <v>6007</v>
      </c>
      <c r="N831" s="38"/>
      <c r="O831" s="8" t="s">
        <v>5898</v>
      </c>
      <c r="P831" s="4" t="str">
        <f>VLOOKUP($B831,'D7 - NDB Impacted SPRF''s'!$E$16:$O$9929,9,FALSE)</f>
        <v>N</v>
      </c>
      <c r="Q831" s="4" t="str">
        <f>VLOOKUP($B831,'D7 - NDB Impacted SPRF''s'!$E$16:$O$9929,10,FALSE)</f>
        <v>N</v>
      </c>
      <c r="R831" s="4" t="str">
        <f>VLOOKUP($B831,'D7 - NDB Impacted SPRF''s'!$E$16:$O$9929,11,FALSE)</f>
        <v>N</v>
      </c>
      <c r="S831" s="8"/>
      <c r="T831" s="310"/>
      <c r="U831" s="310"/>
      <c r="V831" s="4"/>
      <c r="W831" s="4"/>
      <c r="X831" s="4"/>
      <c r="Y831" s="4"/>
      <c r="Z831" s="4"/>
      <c r="AA831" s="4"/>
      <c r="AB831" s="380" t="str">
        <f>VLOOKUP($B831,'D7 - NDB Impacted SPRF''s'!$E$16:$O$9929,4,FALSE)</f>
        <v>Completed</v>
      </c>
      <c r="AC831" s="380" t="str">
        <f>VLOOKUP($B831,'D7 - NDB Impacted SPRF''s'!$E$16:$O$9929,3,FALSE)</f>
        <v>UnitedHealthcare Employer &amp; Individual</v>
      </c>
      <c r="AD831" s="380" t="str">
        <f>VLOOKUP($B831,'D7 - NDB Impacted SPRF''s'!$E$16:$O$9929,5,FALSE)</f>
        <v>Process Improvement</v>
      </c>
      <c r="AE831" s="380" t="str">
        <f>VLOOKUP($B831,'D7 - NDB Impacted SPRF''s'!$E$16:$O$9929,7,FALSE)</f>
        <v>Tim Kaja</v>
      </c>
      <c r="AF831" s="380" t="str">
        <f>VLOOKUP($B831,'D7 - NDB Impacted SPRF''s'!$E$16:$O$9929,6,FALSE)</f>
        <v>MARCIA MONACO</v>
      </c>
      <c r="AG831" s="282"/>
      <c r="AH831" s="311" t="e">
        <f>INDEX('D5 - Gatekeeper - Projects'!$A$4:$AF$1010,$AM831, 17)</f>
        <v>#N/A</v>
      </c>
      <c r="AI831" s="8"/>
      <c r="AJ831" s="57"/>
      <c r="AK831" s="105"/>
      <c r="AM831" s="6" t="e">
        <f>MATCH(D831,'D5 - Gatekeeper - Projects'!$C$4:$C$1010,0)</f>
        <v>#N/A</v>
      </c>
      <c r="AN831" s="6" t="b">
        <f t="shared" si="74"/>
        <v>1</v>
      </c>
      <c r="AO831" s="6" t="str">
        <f t="shared" si="77"/>
        <v>OK</v>
      </c>
      <c r="AQ831" s="6" t="e">
        <f>MATCH($D831,'D4 - Provider Council Unsched'!$C$11:$C$234,0)</f>
        <v>#N/A</v>
      </c>
      <c r="AR831" s="6" t="b">
        <f t="shared" si="75"/>
        <v>1</v>
      </c>
      <c r="AS831" s="6" t="str">
        <f t="shared" si="79"/>
        <v>OK</v>
      </c>
      <c r="AU831" s="202"/>
      <c r="AV831" s="262"/>
      <c r="AW831" s="274"/>
    </row>
    <row r="832" spans="1:49" s="13" customFormat="1" x14ac:dyDescent="0.2">
      <c r="A832" s="14">
        <v>808</v>
      </c>
      <c r="B832" s="14">
        <v>400021609</v>
      </c>
      <c r="C832" s="8" t="s">
        <v>5197</v>
      </c>
      <c r="D832" s="4" t="str">
        <f t="shared" si="76"/>
        <v>400021609R1</v>
      </c>
      <c r="E832" s="309" t="str">
        <f>VLOOKUP($B832,'D7 - NDB Impacted SPRF''s'!$E$6:$O$9929,2,FALSE)</f>
        <v>Work Order NDB 835 Extract Update</v>
      </c>
      <c r="F832" s="8" t="s">
        <v>2114</v>
      </c>
      <c r="G832" s="8" t="s">
        <v>4758</v>
      </c>
      <c r="H832" s="8" t="s">
        <v>4246</v>
      </c>
      <c r="I832" s="20">
        <v>1.07</v>
      </c>
      <c r="J832" s="8" t="s">
        <v>4862</v>
      </c>
      <c r="K832" s="182">
        <v>39403</v>
      </c>
      <c r="L832" s="8" t="s">
        <v>5743</v>
      </c>
      <c r="M832" s="8" t="s">
        <v>6007</v>
      </c>
      <c r="N832" s="38"/>
      <c r="O832" s="8" t="s">
        <v>4099</v>
      </c>
      <c r="P832" s="4" t="str">
        <f>VLOOKUP($B832,'D7 - NDB Impacted SPRF''s'!$E$16:$O$9929,9,FALSE)</f>
        <v>N</v>
      </c>
      <c r="Q832" s="4" t="str">
        <f>VLOOKUP($B832,'D7 - NDB Impacted SPRF''s'!$E$16:$O$9929,10,FALSE)</f>
        <v>N</v>
      </c>
      <c r="R832" s="4" t="str">
        <f>VLOOKUP($B832,'D7 - NDB Impacted SPRF''s'!$E$16:$O$9929,11,FALSE)</f>
        <v>N</v>
      </c>
      <c r="S832" s="8"/>
      <c r="T832" s="310"/>
      <c r="U832" s="310"/>
      <c r="V832" s="4"/>
      <c r="W832" s="4"/>
      <c r="X832" s="4"/>
      <c r="Y832" s="4"/>
      <c r="Z832" s="4"/>
      <c r="AA832" s="4"/>
      <c r="AB832" s="380" t="str">
        <f>VLOOKUP($B832,'D7 - NDB Impacted SPRF''s'!$E$16:$O$9929,4,FALSE)</f>
        <v>Cancelled</v>
      </c>
      <c r="AC832" s="380" t="str">
        <f>VLOOKUP($B832,'D7 - NDB Impacted SPRF''s'!$E$16:$O$9929,3,FALSE)</f>
        <v>OptumInsight</v>
      </c>
      <c r="AD832" s="380" t="str">
        <f>VLOOKUP($B832,'D7 - NDB Impacted SPRF''s'!$E$16:$O$9929,5,FALSE)</f>
        <v>Ingenix</v>
      </c>
      <c r="AE832" s="380" t="str">
        <f>VLOOKUP($B832,'D7 - NDB Impacted SPRF''s'!$E$16:$O$9929,7,FALSE)</f>
        <v>Karen Creedon</v>
      </c>
      <c r="AF832" s="380" t="str">
        <f>VLOOKUP($B832,'D7 - NDB Impacted SPRF''s'!$E$16:$O$9929,6,FALSE)</f>
        <v>DAWN WALTER</v>
      </c>
      <c r="AG832" s="282"/>
      <c r="AH832" s="311" t="e">
        <f>INDEX('D5 - Gatekeeper - Projects'!$A$4:$AF$1010,$AM832, 17)</f>
        <v>#N/A</v>
      </c>
      <c r="AI832" s="8"/>
      <c r="AJ832" s="57"/>
      <c r="AK832" s="105"/>
      <c r="AM832" s="6" t="e">
        <f>MATCH(D832,'D5 - Gatekeeper - Projects'!$C$4:$C$1010,0)</f>
        <v>#N/A</v>
      </c>
      <c r="AN832" s="6" t="b">
        <f t="shared" si="74"/>
        <v>1</v>
      </c>
      <c r="AO832" s="6" t="str">
        <f t="shared" si="77"/>
        <v>OK</v>
      </c>
      <c r="AQ832" s="6" t="e">
        <f>MATCH($D832,'D4 - Provider Council Unsched'!$C$11:$C$234,0)</f>
        <v>#N/A</v>
      </c>
      <c r="AR832" s="6" t="b">
        <f t="shared" si="75"/>
        <v>1</v>
      </c>
      <c r="AS832" s="6" t="str">
        <f t="shared" si="79"/>
        <v>OK</v>
      </c>
      <c r="AU832" s="202"/>
      <c r="AV832" s="262"/>
      <c r="AW832" s="274"/>
    </row>
    <row r="833" spans="1:49" s="13" customFormat="1" ht="33.75" x14ac:dyDescent="0.2">
      <c r="A833" s="14">
        <v>809</v>
      </c>
      <c r="B833" s="14">
        <v>400018092</v>
      </c>
      <c r="C833" s="8" t="s">
        <v>5197</v>
      </c>
      <c r="D833" s="4" t="str">
        <f t="shared" si="76"/>
        <v>400018092R1</v>
      </c>
      <c r="E833" s="309" t="str">
        <f>VLOOKUP($B833,'D7 - NDB Impacted SPRF''s'!$E$6:$O$9929,2,FALSE)</f>
        <v>Provider Termination Detail Report (Orbit/NDB)</v>
      </c>
      <c r="F833" s="8" t="s">
        <v>2114</v>
      </c>
      <c r="G833" s="8" t="s">
        <v>4758</v>
      </c>
      <c r="H833" s="8" t="s">
        <v>4246</v>
      </c>
      <c r="I833" s="20">
        <v>2.5</v>
      </c>
      <c r="J833" s="8" t="s">
        <v>4862</v>
      </c>
      <c r="K833" s="182">
        <v>39413</v>
      </c>
      <c r="L833" s="8" t="s">
        <v>5743</v>
      </c>
      <c r="M833" s="8" t="s">
        <v>5786</v>
      </c>
      <c r="N833" s="38"/>
      <c r="O833" s="8" t="s">
        <v>4306</v>
      </c>
      <c r="P833" s="4" t="str">
        <f>VLOOKUP($B833,'D7 - NDB Impacted SPRF''s'!$E$16:$O$9929,9,FALSE)</f>
        <v>N</v>
      </c>
      <c r="Q833" s="4" t="str">
        <f>VLOOKUP($B833,'D7 - NDB Impacted SPRF''s'!$E$16:$O$9929,10,FALSE)</f>
        <v>N</v>
      </c>
      <c r="R833" s="4" t="str">
        <f>VLOOKUP($B833,'D7 - NDB Impacted SPRF''s'!$E$16:$O$9929,11,FALSE)</f>
        <v>N</v>
      </c>
      <c r="S833" s="8"/>
      <c r="T833" s="310"/>
      <c r="U833" s="310"/>
      <c r="V833" s="4"/>
      <c r="W833" s="4"/>
      <c r="X833" s="4"/>
      <c r="Y833" s="4"/>
      <c r="Z833" s="4"/>
      <c r="AA833" s="4"/>
      <c r="AB833" s="380" t="str">
        <f>VLOOKUP($B833,'D7 - NDB Impacted SPRF''s'!$E$16:$O$9929,4,FALSE)</f>
        <v>Completed</v>
      </c>
      <c r="AC833" s="380" t="str">
        <f>VLOOKUP($B833,'D7 - NDB Impacted SPRF''s'!$E$16:$O$9929,3,FALSE)</f>
        <v>UnitedHealthcare Employer &amp; Individual</v>
      </c>
      <c r="AD833" s="380" t="str">
        <f>VLOOKUP($B833,'D7 - NDB Impacted SPRF''s'!$E$16:$O$9929,5,FALSE)</f>
        <v>Network Growth / Enhancements</v>
      </c>
      <c r="AE833" s="380" t="str">
        <f>VLOOKUP($B833,'D7 - NDB Impacted SPRF''s'!$E$16:$O$9929,7,FALSE)</f>
        <v>Kevin Carlson</v>
      </c>
      <c r="AF833" s="380" t="str">
        <f>VLOOKUP($B833,'D7 - NDB Impacted SPRF''s'!$E$16:$O$9929,6,FALSE)</f>
        <v>Diana Brown</v>
      </c>
      <c r="AG833" s="282"/>
      <c r="AH833" s="311" t="e">
        <f>INDEX('D5 - Gatekeeper - Projects'!$A$4:$AF$1010,$AM833, 17)</f>
        <v>#N/A</v>
      </c>
      <c r="AI833" s="8"/>
      <c r="AJ833" s="57"/>
      <c r="AK833" s="105"/>
      <c r="AM833" s="6" t="e">
        <f>MATCH(D833,'D5 - Gatekeeper - Projects'!$C$4:$C$1010,0)</f>
        <v>#N/A</v>
      </c>
      <c r="AN833" s="6" t="b">
        <f t="shared" si="74"/>
        <v>1</v>
      </c>
      <c r="AO833" s="6" t="str">
        <f t="shared" si="77"/>
        <v>OK</v>
      </c>
      <c r="AQ833" s="6" t="e">
        <f>MATCH($D833,'D4 - Provider Council Unsched'!$C$11:$C$234,0)</f>
        <v>#N/A</v>
      </c>
      <c r="AR833" s="6" t="b">
        <f t="shared" si="75"/>
        <v>1</v>
      </c>
      <c r="AS833" s="6" t="str">
        <f t="shared" si="79"/>
        <v>OK</v>
      </c>
      <c r="AU833" s="202"/>
      <c r="AV833" s="262"/>
      <c r="AW833" s="274"/>
    </row>
    <row r="834" spans="1:49" s="13" customFormat="1" ht="33.75" x14ac:dyDescent="0.2">
      <c r="A834" s="14">
        <v>810</v>
      </c>
      <c r="B834" s="14">
        <v>400019587</v>
      </c>
      <c r="C834" s="8" t="s">
        <v>5197</v>
      </c>
      <c r="D834" s="4" t="str">
        <f t="shared" si="76"/>
        <v>400019587R1</v>
      </c>
      <c r="E834" s="309" t="str">
        <f>VLOOKUP($B834,'D7 - NDB Impacted SPRF''s'!$E$6:$O$9929,2,FALSE)</f>
        <v>Fee Schedule: DME Parent/Child Oneshot</v>
      </c>
      <c r="F834" s="8" t="s">
        <v>2114</v>
      </c>
      <c r="G834" s="8" t="s">
        <v>4758</v>
      </c>
      <c r="H834" s="8" t="s">
        <v>4246</v>
      </c>
      <c r="I834" s="20">
        <f>321/150</f>
        <v>2.14</v>
      </c>
      <c r="J834" s="8" t="s">
        <v>4862</v>
      </c>
      <c r="K834" s="182">
        <v>39417</v>
      </c>
      <c r="L834" s="8" t="s">
        <v>5743</v>
      </c>
      <c r="M834" s="8" t="s">
        <v>2814</v>
      </c>
      <c r="N834" s="38"/>
      <c r="O834" s="8" t="s">
        <v>5042</v>
      </c>
      <c r="P834" s="4" t="str">
        <f>VLOOKUP($B834,'D7 - NDB Impacted SPRF''s'!$E$16:$O$9929,9,FALSE)</f>
        <v>Y</v>
      </c>
      <c r="Q834" s="4" t="str">
        <f>VLOOKUP($B834,'D7 - NDB Impacted SPRF''s'!$E$16:$O$9929,10,FALSE)</f>
        <v>N</v>
      </c>
      <c r="R834" s="4" t="str">
        <f>VLOOKUP($B834,'D7 - NDB Impacted SPRF''s'!$E$16:$O$9929,11,FALSE)</f>
        <v>Y</v>
      </c>
      <c r="S834" s="8"/>
      <c r="T834" s="310"/>
      <c r="U834" s="310"/>
      <c r="V834" s="4"/>
      <c r="W834" s="4"/>
      <c r="X834" s="4"/>
      <c r="Y834" s="4"/>
      <c r="Z834" s="4"/>
      <c r="AA834" s="4"/>
      <c r="AB834" s="380" t="str">
        <f>VLOOKUP($B834,'D7 - NDB Impacted SPRF''s'!$E$16:$O$9929,4,FALSE)</f>
        <v>Completed</v>
      </c>
      <c r="AC834" s="380" t="str">
        <f>VLOOKUP($B834,'D7 - NDB Impacted SPRF''s'!$E$16:$O$9929,3,FALSE)</f>
        <v>UnitedHealthcare Employer &amp; Individual</v>
      </c>
      <c r="AD834" s="380" t="str">
        <f>VLOOKUP($B834,'D7 - NDB Impacted SPRF''s'!$E$16:$O$9929,5,FALSE)</f>
        <v>Process Improvement</v>
      </c>
      <c r="AE834" s="380" t="str">
        <f>VLOOKUP($B834,'D7 - NDB Impacted SPRF''s'!$E$16:$O$9929,7,FALSE)</f>
        <v>Carol Pennington</v>
      </c>
      <c r="AF834" s="380" t="str">
        <f>VLOOKUP($B834,'D7 - NDB Impacted SPRF''s'!$E$16:$O$9929,6,FALSE)</f>
        <v>JOHN HIEBERT</v>
      </c>
      <c r="AG834" s="282"/>
      <c r="AH834" s="311" t="e">
        <f>INDEX('D5 - Gatekeeper - Projects'!$A$4:$AF$1010,$AM834, 17)</f>
        <v>#N/A</v>
      </c>
      <c r="AI834" s="8"/>
      <c r="AJ834" s="57"/>
      <c r="AK834" s="105"/>
      <c r="AM834" s="6" t="e">
        <f>MATCH(D834,'D5 - Gatekeeper - Projects'!$C$4:$C$1010,0)</f>
        <v>#N/A</v>
      </c>
      <c r="AN834" s="6" t="b">
        <f t="shared" si="74"/>
        <v>1</v>
      </c>
      <c r="AO834" s="6" t="str">
        <f t="shared" si="77"/>
        <v>OK</v>
      </c>
      <c r="AQ834" s="6" t="e">
        <f>MATCH($D834,'D4 - Provider Council Unsched'!$C$11:$C$234,0)</f>
        <v>#N/A</v>
      </c>
      <c r="AR834" s="6" t="b">
        <f t="shared" si="75"/>
        <v>1</v>
      </c>
      <c r="AS834" s="6" t="str">
        <f t="shared" si="79"/>
        <v>OK</v>
      </c>
      <c r="AU834" s="202"/>
      <c r="AV834" s="262"/>
      <c r="AW834" s="274"/>
    </row>
    <row r="835" spans="1:49" s="13" customFormat="1" ht="45" x14ac:dyDescent="0.2">
      <c r="A835" s="14">
        <v>811</v>
      </c>
      <c r="B835" s="14">
        <v>400013376</v>
      </c>
      <c r="C835" s="8" t="s">
        <v>4926</v>
      </c>
      <c r="D835" s="4" t="str">
        <f t="shared" si="76"/>
        <v>400013376R4</v>
      </c>
      <c r="E835" s="309" t="str">
        <f>VLOOKUP($B835,'D7 - NDB Impacted SPRF''s'!$E$6:$O$9929,2,FALSE)</f>
        <v xml:space="preserve">ITI: August Commercial Release </v>
      </c>
      <c r="F835" s="8" t="s">
        <v>7989</v>
      </c>
      <c r="G835" s="8" t="s">
        <v>4758</v>
      </c>
      <c r="H835" s="8" t="s">
        <v>4246</v>
      </c>
      <c r="I835" s="20"/>
      <c r="J835" s="8" t="s">
        <v>4862</v>
      </c>
      <c r="K835" s="182">
        <v>39424</v>
      </c>
      <c r="L835" s="8" t="s">
        <v>5743</v>
      </c>
      <c r="M835" s="8" t="s">
        <v>2814</v>
      </c>
      <c r="N835" s="38" t="s">
        <v>7775</v>
      </c>
      <c r="O835" s="8" t="s">
        <v>1998</v>
      </c>
      <c r="P835" s="4" t="str">
        <f>VLOOKUP($B835,'D7 - NDB Impacted SPRF''s'!$E$16:$O$9929,9,FALSE)</f>
        <v>Y</v>
      </c>
      <c r="Q835" s="4" t="str">
        <f>VLOOKUP($B835,'D7 - NDB Impacted SPRF''s'!$E$16:$O$9929,10,FALSE)</f>
        <v>N</v>
      </c>
      <c r="R835" s="4" t="str">
        <f>VLOOKUP($B835,'D7 - NDB Impacted SPRF''s'!$E$16:$O$9929,11,FALSE)</f>
        <v>Y</v>
      </c>
      <c r="S835" s="8"/>
      <c r="T835" s="310"/>
      <c r="U835" s="310"/>
      <c r="V835" s="4"/>
      <c r="W835" s="4"/>
      <c r="X835" s="4"/>
      <c r="Y835" s="4"/>
      <c r="Z835" s="4"/>
      <c r="AA835" s="4"/>
      <c r="AB835" s="380" t="str">
        <f>VLOOKUP($B835,'D7 - NDB Impacted SPRF''s'!$E$16:$O$9929,4,FALSE)</f>
        <v>Completed</v>
      </c>
      <c r="AC835" s="380" t="str">
        <f>VLOOKUP($B835,'D7 - NDB Impacted SPRF''s'!$E$16:$O$9929,3,FALSE)</f>
        <v>UnitedHealthcare Employer &amp; Individual</v>
      </c>
      <c r="AD835" s="380" t="str">
        <f>VLOOKUP($B835,'D7 - NDB Impacted SPRF''s'!$E$16:$O$9929,5,FALSE)</f>
        <v>Medical Cost Savings Programs</v>
      </c>
      <c r="AE835" s="380" t="str">
        <f>VLOOKUP($B835,'D7 - NDB Impacted SPRF''s'!$E$16:$O$9929,7,FALSE)</f>
        <v>Gino Tenace</v>
      </c>
      <c r="AF835" s="380" t="str">
        <f>VLOOKUP($B835,'D7 - NDB Impacted SPRF''s'!$E$16:$O$9929,6,FALSE)</f>
        <v>Nicolle Wollin</v>
      </c>
      <c r="AG835" s="282"/>
      <c r="AH835" s="311" t="e">
        <f>INDEX('D5 - Gatekeeper - Projects'!$A$4:$AF$1010,$AM835, 17)</f>
        <v>#N/A</v>
      </c>
      <c r="AI835" s="8"/>
      <c r="AJ835" s="57"/>
      <c r="AK835" s="105"/>
      <c r="AM835" s="6" t="e">
        <f>MATCH(D835,'D5 - Gatekeeper - Projects'!$C$4:$C$1010,0)</f>
        <v>#N/A</v>
      </c>
      <c r="AN835" s="6" t="b">
        <f t="shared" si="74"/>
        <v>1</v>
      </c>
      <c r="AO835" s="6" t="str">
        <f t="shared" si="77"/>
        <v>OK</v>
      </c>
      <c r="AQ835" s="6" t="e">
        <f>MATCH($D835,'D4 - Provider Council Unsched'!$C$11:$C$234,0)</f>
        <v>#N/A</v>
      </c>
      <c r="AR835" s="6" t="b">
        <f t="shared" si="75"/>
        <v>1</v>
      </c>
      <c r="AS835" s="6" t="str">
        <f t="shared" si="79"/>
        <v>OK</v>
      </c>
      <c r="AU835" s="202"/>
      <c r="AV835" s="262"/>
      <c r="AW835" s="274"/>
    </row>
    <row r="836" spans="1:49" s="13" customFormat="1" ht="22.5" x14ac:dyDescent="0.2">
      <c r="A836" s="14">
        <v>812</v>
      </c>
      <c r="B836" s="14">
        <v>400014699</v>
      </c>
      <c r="C836" s="8" t="s">
        <v>5197</v>
      </c>
      <c r="D836" s="4" t="str">
        <f t="shared" si="76"/>
        <v>400014699R1</v>
      </c>
      <c r="E836" s="309" t="str">
        <f>VLOOKUP($B836,'D7 - NDB Impacted SPRF''s'!$E$6:$O$9929,2,FALSE)</f>
        <v>UBH G-Record Transition Initiative</v>
      </c>
      <c r="F836" s="8" t="s">
        <v>4069</v>
      </c>
      <c r="G836" s="8" t="s">
        <v>4758</v>
      </c>
      <c r="H836" s="8" t="s">
        <v>4246</v>
      </c>
      <c r="I836" s="20">
        <v>7.49</v>
      </c>
      <c r="J836" s="8" t="s">
        <v>4862</v>
      </c>
      <c r="K836" s="182">
        <v>39424</v>
      </c>
      <c r="L836" s="8" t="s">
        <v>5743</v>
      </c>
      <c r="M836" s="8" t="s">
        <v>2814</v>
      </c>
      <c r="N836" s="367"/>
      <c r="O836" s="8" t="s">
        <v>5898</v>
      </c>
      <c r="P836" s="4" t="str">
        <f>VLOOKUP($B836,'D7 - NDB Impacted SPRF''s'!$E$16:$O$9929,9,FALSE)</f>
        <v>N</v>
      </c>
      <c r="Q836" s="4" t="str">
        <f>VLOOKUP($B836,'D7 - NDB Impacted SPRF''s'!$E$16:$O$9929,10,FALSE)</f>
        <v>N</v>
      </c>
      <c r="R836" s="4" t="str">
        <f>VLOOKUP($B836,'D7 - NDB Impacted SPRF''s'!$E$16:$O$9929,11,FALSE)</f>
        <v>N</v>
      </c>
      <c r="S836" s="8"/>
      <c r="T836" s="310"/>
      <c r="U836" s="310"/>
      <c r="V836" s="4"/>
      <c r="W836" s="4"/>
      <c r="X836" s="4"/>
      <c r="Y836" s="4"/>
      <c r="Z836" s="4"/>
      <c r="AA836" s="4"/>
      <c r="AB836" s="380" t="str">
        <f>VLOOKUP($B836,'D7 - NDB Impacted SPRF''s'!$E$16:$O$9929,4,FALSE)</f>
        <v>Completed</v>
      </c>
      <c r="AC836" s="380" t="str">
        <f>VLOOKUP($B836,'D7 - NDB Impacted SPRF''s'!$E$16:$O$9929,3,FALSE)</f>
        <v>OptumHealth</v>
      </c>
      <c r="AD836" s="380" t="str">
        <f>VLOOKUP($B836,'D7 - NDB Impacted SPRF''s'!$E$16:$O$9929,5,FALSE)</f>
        <v>Behavioral Solutions</v>
      </c>
      <c r="AE836" s="380" t="str">
        <f>VLOOKUP($B836,'D7 - NDB Impacted SPRF''s'!$E$16:$O$9929,7,FALSE)</f>
        <v>Tim Kaja</v>
      </c>
      <c r="AF836" s="380" t="str">
        <f>VLOOKUP($B836,'D7 - NDB Impacted SPRF''s'!$E$16:$O$9929,6,FALSE)</f>
        <v>MARCIA MONACO</v>
      </c>
      <c r="AG836" s="282"/>
      <c r="AH836" s="311" t="e">
        <f>INDEX('D5 - Gatekeeper - Projects'!$A$4:$AF$1010,$AM836, 17)</f>
        <v>#N/A</v>
      </c>
      <c r="AI836" s="8"/>
      <c r="AJ836" s="57"/>
      <c r="AK836" s="105"/>
      <c r="AM836" s="6" t="e">
        <f>MATCH(D836,'D5 - Gatekeeper - Projects'!$C$4:$C$1010,0)</f>
        <v>#N/A</v>
      </c>
      <c r="AN836" s="6" t="b">
        <f t="shared" si="74"/>
        <v>1</v>
      </c>
      <c r="AO836" s="6" t="str">
        <f t="shared" si="77"/>
        <v>OK</v>
      </c>
      <c r="AQ836" s="6" t="e">
        <f>MATCH($D836,'D4 - Provider Council Unsched'!$C$11:$C$234,0)</f>
        <v>#N/A</v>
      </c>
      <c r="AR836" s="6" t="b">
        <f t="shared" si="75"/>
        <v>1</v>
      </c>
      <c r="AS836" s="6" t="str">
        <f t="shared" si="79"/>
        <v>OK</v>
      </c>
      <c r="AU836" s="202"/>
      <c r="AV836" s="262"/>
      <c r="AW836" s="274"/>
    </row>
    <row r="837" spans="1:49" s="13" customFormat="1" ht="33.75" x14ac:dyDescent="0.2">
      <c r="A837" s="14">
        <v>813</v>
      </c>
      <c r="B837" s="14">
        <v>400014830</v>
      </c>
      <c r="C837" s="8" t="s">
        <v>5197</v>
      </c>
      <c r="D837" s="4" t="str">
        <f t="shared" si="76"/>
        <v>400014830R1</v>
      </c>
      <c r="E837" s="309" t="str">
        <f>VLOOKUP($B837,'D7 - NDB Impacted SPRF''s'!$E$6:$O$9929,2,FALSE)</f>
        <v>Medica data sharing/exchange - UAT/production load</v>
      </c>
      <c r="F837" s="8" t="s">
        <v>5196</v>
      </c>
      <c r="G837" s="8" t="s">
        <v>4758</v>
      </c>
      <c r="H837" s="8" t="s">
        <v>4246</v>
      </c>
      <c r="I837" s="20">
        <v>29</v>
      </c>
      <c r="J837" s="8" t="s">
        <v>4862</v>
      </c>
      <c r="K837" s="182">
        <v>39424</v>
      </c>
      <c r="L837" s="8" t="s">
        <v>5743</v>
      </c>
      <c r="M837" s="8" t="s">
        <v>5626</v>
      </c>
      <c r="N837" s="38" t="s">
        <v>6450</v>
      </c>
      <c r="O837" s="8" t="s">
        <v>2547</v>
      </c>
      <c r="P837" s="4" t="str">
        <f>VLOOKUP($B837,'D7 - NDB Impacted SPRF''s'!$E$16:$O$9929,9,FALSE)</f>
        <v>Y</v>
      </c>
      <c r="Q837" s="4" t="str">
        <f>VLOOKUP($B837,'D7 - NDB Impacted SPRF''s'!$E$16:$O$9929,10,FALSE)</f>
        <v>N</v>
      </c>
      <c r="R837" s="4" t="str">
        <f>VLOOKUP($B837,'D7 - NDB Impacted SPRF''s'!$E$16:$O$9929,11,FALSE)</f>
        <v>N</v>
      </c>
      <c r="S837" s="8"/>
      <c r="T837" s="310"/>
      <c r="U837" s="310"/>
      <c r="V837" s="4"/>
      <c r="W837" s="4"/>
      <c r="X837" s="4"/>
      <c r="Y837" s="4"/>
      <c r="Z837" s="4"/>
      <c r="AA837" s="4"/>
      <c r="AB837" s="380" t="str">
        <f>VLOOKUP($B837,'D7 - NDB Impacted SPRF''s'!$E$16:$O$9929,4,FALSE)</f>
        <v>Completed</v>
      </c>
      <c r="AC837" s="380" t="str">
        <f>VLOOKUP($B837,'D7 - NDB Impacted SPRF''s'!$E$16:$O$9929,3,FALSE)</f>
        <v>UnitedHealthcare Employer &amp; Individual</v>
      </c>
      <c r="AD837" s="380" t="str">
        <f>VLOOKUP($B837,'D7 - NDB Impacted SPRF''s'!$E$16:$O$9929,5,FALSE)</f>
        <v>HCA - Medica UNET Conversion</v>
      </c>
      <c r="AE837" s="380" t="str">
        <f>VLOOKUP($B837,'D7 - NDB Impacted SPRF''s'!$E$16:$O$9929,7,FALSE)</f>
        <v>Diane Schofield</v>
      </c>
      <c r="AF837" s="380" t="str">
        <f>VLOOKUP($B837,'D7 - NDB Impacted SPRF''s'!$E$16:$O$9929,6,FALSE)</f>
        <v>Cindy Griggs</v>
      </c>
      <c r="AG837" s="282"/>
      <c r="AH837" s="311" t="e">
        <f>INDEX('D5 - Gatekeeper - Projects'!$A$4:$AF$1010,$AM837, 17)</f>
        <v>#N/A</v>
      </c>
      <c r="AI837" s="8"/>
      <c r="AJ837" s="57"/>
      <c r="AK837" s="105"/>
      <c r="AM837" s="6" t="e">
        <f>MATCH(D837,'D5 - Gatekeeper - Projects'!$C$4:$C$1010,0)</f>
        <v>#N/A</v>
      </c>
      <c r="AN837" s="6" t="b">
        <f t="shared" si="74"/>
        <v>1</v>
      </c>
      <c r="AO837" s="6" t="str">
        <f t="shared" si="77"/>
        <v>OK</v>
      </c>
      <c r="AQ837" s="6" t="e">
        <f>MATCH($D837,'D4 - Provider Council Unsched'!$C$11:$C$234,0)</f>
        <v>#N/A</v>
      </c>
      <c r="AR837" s="6" t="b">
        <f t="shared" si="75"/>
        <v>1</v>
      </c>
      <c r="AS837" s="6" t="str">
        <f t="shared" si="79"/>
        <v>OK</v>
      </c>
      <c r="AU837" s="202"/>
      <c r="AV837" s="262"/>
      <c r="AW837" s="274"/>
    </row>
    <row r="838" spans="1:49" s="13" customFormat="1" ht="33.75" x14ac:dyDescent="0.2">
      <c r="A838" s="14">
        <v>814</v>
      </c>
      <c r="B838" s="14">
        <v>400014975</v>
      </c>
      <c r="C838" s="8" t="s">
        <v>5197</v>
      </c>
      <c r="D838" s="4" t="str">
        <f t="shared" si="76"/>
        <v>400014975R1</v>
      </c>
      <c r="E838" s="309" t="str">
        <f>VLOOKUP($B838,'D7 - NDB Impacted SPRF''s'!$E$6:$O$9929,2,FALSE)</f>
        <v>Medica Specific Grouper Table</v>
      </c>
      <c r="F838" s="8" t="s">
        <v>5196</v>
      </c>
      <c r="G838" s="8" t="s">
        <v>4758</v>
      </c>
      <c r="H838" s="8" t="s">
        <v>4246</v>
      </c>
      <c r="I838" s="20">
        <v>9.7100000000000009</v>
      </c>
      <c r="J838" s="8" t="s">
        <v>4862</v>
      </c>
      <c r="K838" s="182">
        <v>39424</v>
      </c>
      <c r="L838" s="8" t="s">
        <v>5743</v>
      </c>
      <c r="M838" s="8" t="s">
        <v>2814</v>
      </c>
      <c r="N838" s="38"/>
      <c r="O838" s="8" t="s">
        <v>4173</v>
      </c>
      <c r="P838" s="4" t="str">
        <f>VLOOKUP($B838,'D7 - NDB Impacted SPRF''s'!$E$16:$O$9929,9,FALSE)</f>
        <v>Y</v>
      </c>
      <c r="Q838" s="4" t="str">
        <f>VLOOKUP($B838,'D7 - NDB Impacted SPRF''s'!$E$16:$O$9929,10,FALSE)</f>
        <v>N</v>
      </c>
      <c r="R838" s="4" t="str">
        <f>VLOOKUP($B838,'D7 - NDB Impacted SPRF''s'!$E$16:$O$9929,11,FALSE)</f>
        <v>N</v>
      </c>
      <c r="S838" s="8"/>
      <c r="T838" s="310"/>
      <c r="U838" s="310"/>
      <c r="V838" s="4"/>
      <c r="W838" s="4"/>
      <c r="X838" s="4"/>
      <c r="Y838" s="4"/>
      <c r="Z838" s="4"/>
      <c r="AA838" s="4"/>
      <c r="AB838" s="380" t="str">
        <f>VLOOKUP($B838,'D7 - NDB Impacted SPRF''s'!$E$16:$O$9929,4,FALSE)</f>
        <v>Completed</v>
      </c>
      <c r="AC838" s="380" t="str">
        <f>VLOOKUP($B838,'D7 - NDB Impacted SPRF''s'!$E$16:$O$9929,3,FALSE)</f>
        <v>UnitedHealthcare Employer &amp; Individual</v>
      </c>
      <c r="AD838" s="380" t="str">
        <f>VLOOKUP($B838,'D7 - NDB Impacted SPRF''s'!$E$16:$O$9929,5,FALSE)</f>
        <v>HCA - Medica UNET Conversion</v>
      </c>
      <c r="AE838" s="380" t="str">
        <f>VLOOKUP($B838,'D7 - NDB Impacted SPRF''s'!$E$16:$O$9929,7,FALSE)</f>
        <v>Beverly Nyce</v>
      </c>
      <c r="AF838" s="380" t="str">
        <f>VLOOKUP($B838,'D7 - NDB Impacted SPRF''s'!$E$16:$O$9929,6,FALSE)</f>
        <v>James Genovese</v>
      </c>
      <c r="AG838" s="282"/>
      <c r="AH838" s="311" t="e">
        <f>INDEX('D5 - Gatekeeper - Projects'!$A$4:$AF$1010,$AM838, 17)</f>
        <v>#N/A</v>
      </c>
      <c r="AI838" s="8"/>
      <c r="AJ838" s="57"/>
      <c r="AK838" s="105"/>
      <c r="AM838" s="6" t="e">
        <f>MATCH(D838,'D5 - Gatekeeper - Projects'!$C$4:$C$1010,0)</f>
        <v>#N/A</v>
      </c>
      <c r="AN838" s="6" t="b">
        <f t="shared" si="74"/>
        <v>1</v>
      </c>
      <c r="AO838" s="6" t="str">
        <f t="shared" si="77"/>
        <v>OK</v>
      </c>
      <c r="AQ838" s="6" t="e">
        <f>MATCH($D838,'D4 - Provider Council Unsched'!$C$11:$C$234,0)</f>
        <v>#N/A</v>
      </c>
      <c r="AR838" s="6" t="b">
        <f t="shared" si="75"/>
        <v>1</v>
      </c>
      <c r="AS838" s="6" t="str">
        <f t="shared" si="79"/>
        <v>OK</v>
      </c>
      <c r="AU838" s="202"/>
      <c r="AV838" s="262"/>
      <c r="AW838" s="274"/>
    </row>
    <row r="839" spans="1:49" s="13" customFormat="1" ht="33.75" x14ac:dyDescent="0.2">
      <c r="A839" s="14">
        <v>815</v>
      </c>
      <c r="B839" s="14">
        <v>400015084</v>
      </c>
      <c r="C839" s="8" t="s">
        <v>5197</v>
      </c>
      <c r="D839" s="4" t="str">
        <f t="shared" si="76"/>
        <v>400015084R1</v>
      </c>
      <c r="E839" s="309" t="str">
        <f>VLOOKUP($B839,'D7 - NDB Impacted SPRF''s'!$E$6:$O$9929,2,FALSE)</f>
        <v>Empire Plan-Correct IVR Directory Information</v>
      </c>
      <c r="F839" s="8" t="s">
        <v>5054</v>
      </c>
      <c r="G839" s="8" t="s">
        <v>4758</v>
      </c>
      <c r="H839" s="8" t="s">
        <v>4246</v>
      </c>
      <c r="I839" s="20">
        <v>1.6</v>
      </c>
      <c r="J839" s="8" t="s">
        <v>4862</v>
      </c>
      <c r="K839" s="182">
        <v>39424</v>
      </c>
      <c r="L839" s="8" t="s">
        <v>5743</v>
      </c>
      <c r="M839" s="8" t="s">
        <v>2814</v>
      </c>
      <c r="N839" s="38"/>
      <c r="O839" s="8" t="s">
        <v>5723</v>
      </c>
      <c r="P839" s="4" t="str">
        <f>VLOOKUP($B839,'D7 - NDB Impacted SPRF''s'!$E$16:$O$9929,9,FALSE)</f>
        <v>N</v>
      </c>
      <c r="Q839" s="4" t="str">
        <f>VLOOKUP($B839,'D7 - NDB Impacted SPRF''s'!$E$16:$O$9929,10,FALSE)</f>
        <v>N</v>
      </c>
      <c r="R839" s="4" t="str">
        <f>VLOOKUP($B839,'D7 - NDB Impacted SPRF''s'!$E$16:$O$9929,11,FALSE)</f>
        <v>N</v>
      </c>
      <c r="S839" s="8"/>
      <c r="T839" s="310"/>
      <c r="U839" s="310"/>
      <c r="V839" s="4"/>
      <c r="W839" s="4"/>
      <c r="X839" s="4"/>
      <c r="Y839" s="4"/>
      <c r="Z839" s="4"/>
      <c r="AA839" s="4"/>
      <c r="AB839" s="380" t="str">
        <f>VLOOKUP($B839,'D7 - NDB Impacted SPRF''s'!$E$16:$O$9929,4,FALSE)</f>
        <v>Completed</v>
      </c>
      <c r="AC839" s="380" t="str">
        <f>VLOOKUP($B839,'D7 - NDB Impacted SPRF''s'!$E$16:$O$9929,3,FALSE)</f>
        <v>UnitedHealthcare Employer &amp; Individual</v>
      </c>
      <c r="AD839" s="380" t="str">
        <f>VLOOKUP($B839,'D7 - NDB Impacted SPRF''s'!$E$16:$O$9929,5,FALSE)</f>
        <v>Membership Growth / Revenue Programs</v>
      </c>
      <c r="AE839" s="380" t="str">
        <f>VLOOKUP($B839,'D7 - NDB Impacted SPRF''s'!$E$16:$O$9929,7,FALSE)</f>
        <v>Michael Costa</v>
      </c>
      <c r="AF839" s="380" t="str">
        <f>VLOOKUP($B839,'D7 - NDB Impacted SPRF''s'!$E$16:$O$9929,6,FALSE)</f>
        <v>Laurie Torres</v>
      </c>
      <c r="AG839" s="282"/>
      <c r="AH839" s="311" t="e">
        <f>INDEX('D5 - Gatekeeper - Projects'!$A$4:$AF$1010,$AM839, 17)</f>
        <v>#N/A</v>
      </c>
      <c r="AI839" s="8"/>
      <c r="AJ839" s="57"/>
      <c r="AK839" s="105"/>
      <c r="AM839" s="6" t="e">
        <f>MATCH(D839,'D5 - Gatekeeper - Projects'!$C$4:$C$1010,0)</f>
        <v>#N/A</v>
      </c>
      <c r="AN839" s="6" t="b">
        <f t="shared" si="74"/>
        <v>1</v>
      </c>
      <c r="AO839" s="6" t="str">
        <f t="shared" si="77"/>
        <v>OK</v>
      </c>
      <c r="AQ839" s="6" t="e">
        <f>MATCH($D839,'D4 - Provider Council Unsched'!$C$11:$C$234,0)</f>
        <v>#N/A</v>
      </c>
      <c r="AR839" s="6" t="b">
        <f t="shared" si="75"/>
        <v>1</v>
      </c>
      <c r="AS839" s="6" t="str">
        <f t="shared" si="79"/>
        <v>OK</v>
      </c>
      <c r="AU839" s="202"/>
      <c r="AV839" s="262"/>
      <c r="AW839" s="274"/>
    </row>
    <row r="840" spans="1:49" s="13" customFormat="1" ht="33.75" x14ac:dyDescent="0.2">
      <c r="A840" s="14">
        <v>816</v>
      </c>
      <c r="B840" s="14">
        <v>400015364</v>
      </c>
      <c r="C840" s="8" t="s">
        <v>5197</v>
      </c>
      <c r="D840" s="4" t="str">
        <f t="shared" si="76"/>
        <v>400015364R1</v>
      </c>
      <c r="E840" s="309" t="str">
        <f>VLOOKUP($B840,'D7 - NDB Impacted SPRF''s'!$E$6:$O$9929,2,FALSE)</f>
        <v>By Pass Premium For Accreditation</v>
      </c>
      <c r="F840" s="8" t="s">
        <v>7989</v>
      </c>
      <c r="G840" s="8" t="s">
        <v>4758</v>
      </c>
      <c r="H840" s="8" t="s">
        <v>4246</v>
      </c>
      <c r="I840" s="20">
        <v>1.07</v>
      </c>
      <c r="J840" s="8" t="s">
        <v>4862</v>
      </c>
      <c r="K840" s="182">
        <v>39424</v>
      </c>
      <c r="L840" s="8" t="s">
        <v>5743</v>
      </c>
      <c r="M840" s="8" t="s">
        <v>5626</v>
      </c>
      <c r="N840" s="38"/>
      <c r="O840" s="8" t="s">
        <v>2000</v>
      </c>
      <c r="P840" s="4" t="str">
        <f>VLOOKUP($B840,'D7 - NDB Impacted SPRF''s'!$E$16:$O$9929,9,FALSE)</f>
        <v>Y</v>
      </c>
      <c r="Q840" s="4" t="str">
        <f>VLOOKUP($B840,'D7 - NDB Impacted SPRF''s'!$E$16:$O$9929,10,FALSE)</f>
        <v>N</v>
      </c>
      <c r="R840" s="4" t="str">
        <f>VLOOKUP($B840,'D7 - NDB Impacted SPRF''s'!$E$16:$O$9929,11,FALSE)</f>
        <v>N</v>
      </c>
      <c r="S840" s="8"/>
      <c r="T840" s="310"/>
      <c r="U840" s="310"/>
      <c r="V840" s="4"/>
      <c r="W840" s="4"/>
      <c r="X840" s="4"/>
      <c r="Y840" s="4"/>
      <c r="Z840" s="4"/>
      <c r="AA840" s="4"/>
      <c r="AB840" s="380" t="str">
        <f>VLOOKUP($B840,'D7 - NDB Impacted SPRF''s'!$E$16:$O$9929,4,FALSE)</f>
        <v>Completed</v>
      </c>
      <c r="AC840" s="380" t="str">
        <f>VLOOKUP($B840,'D7 - NDB Impacted SPRF''s'!$E$16:$O$9929,3,FALSE)</f>
        <v>UnitedHealthcare Employer &amp; Individual</v>
      </c>
      <c r="AD840" s="380" t="str">
        <f>VLOOKUP($B840,'D7 - NDB Impacted SPRF''s'!$E$16:$O$9929,5,FALSE)</f>
        <v>Medical Cost Savings Programs</v>
      </c>
      <c r="AE840" s="380" t="str">
        <f>VLOOKUP($B840,'D7 - NDB Impacted SPRF''s'!$E$16:$O$9929,7,FALSE)</f>
        <v>Laurie Paidosh</v>
      </c>
      <c r="AF840" s="380" t="str">
        <f>VLOOKUP($B840,'D7 - NDB Impacted SPRF''s'!$E$16:$O$9929,6,FALSE)</f>
        <v>Lori West</v>
      </c>
      <c r="AG840" s="282"/>
      <c r="AH840" s="311" t="e">
        <f>INDEX('D5 - Gatekeeper - Projects'!$A$4:$AF$1010,$AM840, 17)</f>
        <v>#N/A</v>
      </c>
      <c r="AI840" s="8"/>
      <c r="AJ840" s="57"/>
      <c r="AK840" s="105"/>
      <c r="AM840" s="6" t="e">
        <f>MATCH(D840,'D5 - Gatekeeper - Projects'!$C$4:$C$1010,0)</f>
        <v>#N/A</v>
      </c>
      <c r="AN840" s="6" t="b">
        <f t="shared" si="74"/>
        <v>1</v>
      </c>
      <c r="AO840" s="6" t="str">
        <f t="shared" si="77"/>
        <v>OK</v>
      </c>
      <c r="AQ840" s="6" t="e">
        <f>MATCH($D840,'D4 - Provider Council Unsched'!$C$11:$C$234,0)</f>
        <v>#N/A</v>
      </c>
      <c r="AR840" s="6" t="b">
        <f t="shared" si="75"/>
        <v>1</v>
      </c>
      <c r="AS840" s="6" t="str">
        <f t="shared" si="79"/>
        <v>OK</v>
      </c>
      <c r="AU840" s="202"/>
      <c r="AV840" s="262"/>
      <c r="AW840" s="274"/>
    </row>
    <row r="841" spans="1:49" s="13" customFormat="1" ht="22.5" x14ac:dyDescent="0.2">
      <c r="A841" s="14">
        <v>817</v>
      </c>
      <c r="B841" s="14">
        <v>400015728</v>
      </c>
      <c r="C841" s="8" t="s">
        <v>4926</v>
      </c>
      <c r="D841" s="4" t="str">
        <f t="shared" si="76"/>
        <v>400015728R4</v>
      </c>
      <c r="E841" s="309" t="str">
        <f>VLOOKUP($B841,'D7 - NDB Impacted SPRF''s'!$E$6:$O$9929,2,FALSE)</f>
        <v>HPHC1 - Network-'G' Record Layout Phase II</v>
      </c>
      <c r="F841" s="8" t="s">
        <v>5196</v>
      </c>
      <c r="G841" s="8" t="s">
        <v>4758</v>
      </c>
      <c r="H841" s="8" t="s">
        <v>4246</v>
      </c>
      <c r="I841" s="20"/>
      <c r="J841" s="8" t="s">
        <v>4862</v>
      </c>
      <c r="K841" s="182">
        <v>39424</v>
      </c>
      <c r="L841" s="8" t="s">
        <v>5743</v>
      </c>
      <c r="M841" s="8" t="s">
        <v>2814</v>
      </c>
      <c r="N841" s="38" t="s">
        <v>3896</v>
      </c>
      <c r="O841" s="8" t="s">
        <v>2547</v>
      </c>
      <c r="P841" s="4" t="str">
        <f>VLOOKUP($B841,'D7 - NDB Impacted SPRF''s'!$E$16:$O$9929,9,FALSE)</f>
        <v>N</v>
      </c>
      <c r="Q841" s="4" t="str">
        <f>VLOOKUP($B841,'D7 - NDB Impacted SPRF''s'!$E$16:$O$9929,10,FALSE)</f>
        <v>N</v>
      </c>
      <c r="R841" s="4" t="str">
        <f>VLOOKUP($B841,'D7 - NDB Impacted SPRF''s'!$E$16:$O$9929,11,FALSE)</f>
        <v>N</v>
      </c>
      <c r="S841" s="8"/>
      <c r="T841" s="310"/>
      <c r="U841" s="310"/>
      <c r="V841" s="4"/>
      <c r="W841" s="4"/>
      <c r="X841" s="4"/>
      <c r="Y841" s="4"/>
      <c r="Z841" s="4"/>
      <c r="AA841" s="4"/>
      <c r="AB841" s="380" t="str">
        <f>VLOOKUP($B841,'D7 - NDB Impacted SPRF''s'!$E$16:$O$9929,4,FALSE)</f>
        <v>Completed</v>
      </c>
      <c r="AC841" s="380" t="str">
        <f>VLOOKUP($B841,'D7 - NDB Impacted SPRF''s'!$E$16:$O$9929,3,FALSE)</f>
        <v>Alliance</v>
      </c>
      <c r="AD841" s="380" t="str">
        <f>VLOOKUP($B841,'D7 - NDB Impacted SPRF''s'!$E$16:$O$9929,5,FALSE)</f>
        <v>Harvard Pilgrim Service Alliance</v>
      </c>
      <c r="AE841" s="380" t="str">
        <f>VLOOKUP($B841,'D7 - NDB Impacted SPRF''s'!$E$16:$O$9929,7,FALSE)</f>
        <v>Diane Schofield, Deborah Streb</v>
      </c>
      <c r="AF841" s="380" t="str">
        <f>VLOOKUP($B841,'D7 - NDB Impacted SPRF''s'!$E$16:$O$9929,6,FALSE)</f>
        <v>GREGORY MILLS</v>
      </c>
      <c r="AG841" s="282"/>
      <c r="AH841" s="311" t="e">
        <f>INDEX('D5 - Gatekeeper - Projects'!$A$4:$AF$1010,$AM841, 17)</f>
        <v>#N/A</v>
      </c>
      <c r="AI841" s="8"/>
      <c r="AJ841" s="57"/>
      <c r="AK841" s="105"/>
      <c r="AM841" s="6" t="e">
        <f>MATCH(D841,'D5 - Gatekeeper - Projects'!$C$4:$C$1010,0)</f>
        <v>#N/A</v>
      </c>
      <c r="AN841" s="6" t="b">
        <f t="shared" si="74"/>
        <v>1</v>
      </c>
      <c r="AO841" s="6" t="str">
        <f t="shared" si="77"/>
        <v>OK</v>
      </c>
      <c r="AQ841" s="6" t="e">
        <f>MATCH($D841,'D4 - Provider Council Unsched'!$C$11:$C$234,0)</f>
        <v>#N/A</v>
      </c>
      <c r="AR841" s="6" t="b">
        <f t="shared" si="75"/>
        <v>1</v>
      </c>
      <c r="AS841" s="6" t="str">
        <f t="shared" si="79"/>
        <v>OK</v>
      </c>
      <c r="AU841" s="202"/>
      <c r="AV841" s="262"/>
      <c r="AW841" s="274"/>
    </row>
    <row r="842" spans="1:49" s="13" customFormat="1" ht="33.75" x14ac:dyDescent="0.2">
      <c r="A842" s="14">
        <v>818</v>
      </c>
      <c r="B842" s="14">
        <v>400015771</v>
      </c>
      <c r="C842" s="8" t="s">
        <v>5197</v>
      </c>
      <c r="D842" s="4" t="str">
        <f t="shared" si="76"/>
        <v>400015771R1</v>
      </c>
      <c r="E842" s="309" t="str">
        <f>VLOOKUP($B842,'D7 - NDB Impacted SPRF''s'!$E$6:$O$9929,2,FALSE)</f>
        <v>HPHC1 - Expired Codes Report for HPHC VR#s</v>
      </c>
      <c r="F842" s="8" t="s">
        <v>5196</v>
      </c>
      <c r="G842" s="8" t="s">
        <v>4758</v>
      </c>
      <c r="H842" s="8" t="s">
        <v>4246</v>
      </c>
      <c r="I842" s="20">
        <v>1.07</v>
      </c>
      <c r="J842" s="8" t="s">
        <v>4862</v>
      </c>
      <c r="K842" s="182">
        <v>39424</v>
      </c>
      <c r="L842" s="8" t="s">
        <v>5743</v>
      </c>
      <c r="M842" s="8" t="s">
        <v>2814</v>
      </c>
      <c r="N842" s="38" t="s">
        <v>3727</v>
      </c>
      <c r="O842" s="8" t="s">
        <v>5042</v>
      </c>
      <c r="P842" s="4" t="str">
        <f>VLOOKUP($B842,'D7 - NDB Impacted SPRF''s'!$E$16:$O$9929,9,FALSE)</f>
        <v>N</v>
      </c>
      <c r="Q842" s="4" t="str">
        <f>VLOOKUP($B842,'D7 - NDB Impacted SPRF''s'!$E$16:$O$9929,10,FALSE)</f>
        <v>N</v>
      </c>
      <c r="R842" s="4" t="str">
        <f>VLOOKUP($B842,'D7 - NDB Impacted SPRF''s'!$E$16:$O$9929,11,FALSE)</f>
        <v>N</v>
      </c>
      <c r="S842" s="8"/>
      <c r="T842" s="310"/>
      <c r="U842" s="310"/>
      <c r="V842" s="4"/>
      <c r="W842" s="4"/>
      <c r="X842" s="4"/>
      <c r="Y842" s="4"/>
      <c r="Z842" s="4"/>
      <c r="AA842" s="4"/>
      <c r="AB842" s="380" t="str">
        <f>VLOOKUP($B842,'D7 - NDB Impacted SPRF''s'!$E$16:$O$9929,4,FALSE)</f>
        <v>Completed</v>
      </c>
      <c r="AC842" s="380" t="str">
        <f>VLOOKUP($B842,'D7 - NDB Impacted SPRF''s'!$E$16:$O$9929,3,FALSE)</f>
        <v>UnitedHealthcare Employer &amp; Individual</v>
      </c>
      <c r="AD842" s="380" t="str">
        <f>VLOOKUP($B842,'D7 - NDB Impacted SPRF''s'!$E$16:$O$9929,5,FALSE)</f>
        <v>Process Improvement</v>
      </c>
      <c r="AE842" s="380" t="str">
        <f>VLOOKUP($B842,'D7 - NDB Impacted SPRF''s'!$E$16:$O$9929,7,FALSE)</f>
        <v>Kathy Freiheit</v>
      </c>
      <c r="AF842" s="380" t="str">
        <f>VLOOKUP($B842,'D7 - NDB Impacted SPRF''s'!$E$16:$O$9929,6,FALSE)</f>
        <v>Susan Neal</v>
      </c>
      <c r="AG842" s="282"/>
      <c r="AH842" s="311" t="e">
        <f>INDEX('D5 - Gatekeeper - Projects'!$A$4:$AF$1010,$AM842, 17)</f>
        <v>#N/A</v>
      </c>
      <c r="AI842" s="8"/>
      <c r="AJ842" s="57"/>
      <c r="AK842" s="105"/>
      <c r="AM842" s="6" t="e">
        <f>MATCH(D842,'D5 - Gatekeeper - Projects'!$C$4:$C$1010,0)</f>
        <v>#N/A</v>
      </c>
      <c r="AN842" s="6" t="b">
        <f t="shared" si="74"/>
        <v>1</v>
      </c>
      <c r="AO842" s="6" t="str">
        <f t="shared" si="77"/>
        <v>OK</v>
      </c>
      <c r="AQ842" s="6" t="e">
        <f>MATCH($D842,'D4 - Provider Council Unsched'!$C$11:$C$234,0)</f>
        <v>#N/A</v>
      </c>
      <c r="AR842" s="6" t="b">
        <f t="shared" si="75"/>
        <v>1</v>
      </c>
      <c r="AS842" s="6" t="str">
        <f t="shared" si="79"/>
        <v>OK</v>
      </c>
      <c r="AU842" s="202"/>
      <c r="AV842" s="262"/>
      <c r="AW842" s="274"/>
    </row>
    <row r="843" spans="1:49" s="13" customFormat="1" ht="33.75" x14ac:dyDescent="0.2">
      <c r="A843" s="14">
        <v>819</v>
      </c>
      <c r="B843" s="14">
        <v>400016069</v>
      </c>
      <c r="C843" s="8" t="s">
        <v>3763</v>
      </c>
      <c r="D843" s="4" t="str">
        <f t="shared" si="76"/>
        <v>400016069R2</v>
      </c>
      <c r="E843" s="309" t="str">
        <f>VLOOKUP($B843,'D7 - NDB Impacted SPRF''s'!$E$6:$O$9929,2,FALSE)</f>
        <v>UHPD Facility Designation Program v2.0</v>
      </c>
      <c r="F843" s="8" t="s">
        <v>5443</v>
      </c>
      <c r="G843" s="8" t="s">
        <v>4758</v>
      </c>
      <c r="H843" s="8" t="s">
        <v>4246</v>
      </c>
      <c r="I843" s="20">
        <v>48</v>
      </c>
      <c r="J843" s="8" t="s">
        <v>4862</v>
      </c>
      <c r="K843" s="182">
        <v>39424</v>
      </c>
      <c r="L843" s="8" t="s">
        <v>5743</v>
      </c>
      <c r="M843" s="8" t="s">
        <v>2814</v>
      </c>
      <c r="N843" s="38" t="s">
        <v>3747</v>
      </c>
      <c r="O843" s="8" t="s">
        <v>4099</v>
      </c>
      <c r="P843" s="4" t="str">
        <f>VLOOKUP($B843,'D7 - NDB Impacted SPRF''s'!$E$16:$O$9929,9,FALSE)</f>
        <v>Y</v>
      </c>
      <c r="Q843" s="4" t="str">
        <f>VLOOKUP($B843,'D7 - NDB Impacted SPRF''s'!$E$16:$O$9929,10,FALSE)</f>
        <v>N</v>
      </c>
      <c r="R843" s="4" t="str">
        <f>VLOOKUP($B843,'D7 - NDB Impacted SPRF''s'!$E$16:$O$9929,11,FALSE)</f>
        <v>N</v>
      </c>
      <c r="S843" s="8"/>
      <c r="T843" s="310"/>
      <c r="U843" s="310"/>
      <c r="V843" s="4"/>
      <c r="W843" s="4"/>
      <c r="X843" s="4"/>
      <c r="Y843" s="4"/>
      <c r="Z843" s="4"/>
      <c r="AA843" s="4"/>
      <c r="AB843" s="380" t="str">
        <f>VLOOKUP($B843,'D7 - NDB Impacted SPRF''s'!$E$16:$O$9929,4,FALSE)</f>
        <v>Completed</v>
      </c>
      <c r="AC843" s="380" t="str">
        <f>VLOOKUP($B843,'D7 - NDB Impacted SPRF''s'!$E$16:$O$9929,3,FALSE)</f>
        <v>UnitedHealthcare Employer &amp; Individual</v>
      </c>
      <c r="AD843" s="380" t="str">
        <f>VLOOKUP($B843,'D7 - NDB Impacted SPRF''s'!$E$16:$O$9929,5,FALSE)</f>
        <v>Medical Cost Savings Programs</v>
      </c>
      <c r="AE843" s="380" t="str">
        <f>VLOOKUP($B843,'D7 - NDB Impacted SPRF''s'!$E$16:$O$9929,7,FALSE)</f>
        <v>Gino Tenace</v>
      </c>
      <c r="AF843" s="380" t="str">
        <f>VLOOKUP($B843,'D7 - NDB Impacted SPRF''s'!$E$16:$O$9929,6,FALSE)</f>
        <v>BRUCE CARVER</v>
      </c>
      <c r="AG843" s="282"/>
      <c r="AH843" s="311" t="e">
        <f>INDEX('D5 - Gatekeeper - Projects'!$A$4:$AF$1010,$AM843, 17)</f>
        <v>#N/A</v>
      </c>
      <c r="AI843" s="8"/>
      <c r="AJ843" s="57"/>
      <c r="AK843" s="105"/>
      <c r="AM843" s="6" t="e">
        <f>MATCH(D843,'D5 - Gatekeeper - Projects'!$C$4:$C$1010,0)</f>
        <v>#N/A</v>
      </c>
      <c r="AN843" s="6" t="b">
        <f t="shared" si="74"/>
        <v>1</v>
      </c>
      <c r="AO843" s="6" t="str">
        <f t="shared" si="77"/>
        <v>OK</v>
      </c>
      <c r="AQ843" s="6" t="e">
        <f>MATCH($D843,'D4 - Provider Council Unsched'!$C$11:$C$234,0)</f>
        <v>#N/A</v>
      </c>
      <c r="AR843" s="6" t="b">
        <f t="shared" si="75"/>
        <v>1</v>
      </c>
      <c r="AS843" s="6" t="str">
        <f t="shared" si="79"/>
        <v>OK</v>
      </c>
      <c r="AU843" s="202"/>
      <c r="AV843" s="262"/>
      <c r="AW843" s="274"/>
    </row>
    <row r="844" spans="1:49" s="13" customFormat="1" ht="33.75" x14ac:dyDescent="0.2">
      <c r="A844" s="14">
        <v>820</v>
      </c>
      <c r="B844" s="14">
        <v>400016125</v>
      </c>
      <c r="C844" s="8" t="s">
        <v>5197</v>
      </c>
      <c r="D844" s="4" t="str">
        <f t="shared" si="76"/>
        <v>400016125R1</v>
      </c>
      <c r="E844" s="309" t="str">
        <f>VLOOKUP($B844,'D7 - NDB Impacted SPRF''s'!$E$6:$O$9929,2,FALSE)</f>
        <v>Emptoris to NDB Physician Interface Match on IPA</v>
      </c>
      <c r="F844" s="8" t="s">
        <v>4695</v>
      </c>
      <c r="G844" s="8" t="s">
        <v>4758</v>
      </c>
      <c r="H844" s="8" t="s">
        <v>4246</v>
      </c>
      <c r="I844" s="20">
        <v>8</v>
      </c>
      <c r="J844" s="8" t="s">
        <v>4862</v>
      </c>
      <c r="K844" s="182">
        <v>39424</v>
      </c>
      <c r="L844" s="8" t="s">
        <v>5743</v>
      </c>
      <c r="M844" s="8" t="s">
        <v>2814</v>
      </c>
      <c r="N844" s="38" t="s">
        <v>4684</v>
      </c>
      <c r="O844" s="8" t="s">
        <v>8148</v>
      </c>
      <c r="P844" s="4" t="str">
        <f>VLOOKUP($B844,'D7 - NDB Impacted SPRF''s'!$E$16:$O$9929,9,FALSE)</f>
        <v>N</v>
      </c>
      <c r="Q844" s="4" t="str">
        <f>VLOOKUP($B844,'D7 - NDB Impacted SPRF''s'!$E$16:$O$9929,10,FALSE)</f>
        <v>N</v>
      </c>
      <c r="R844" s="4" t="str">
        <f>VLOOKUP($B844,'D7 - NDB Impacted SPRF''s'!$E$16:$O$9929,11,FALSE)</f>
        <v>N</v>
      </c>
      <c r="S844" s="8"/>
      <c r="T844" s="310"/>
      <c r="U844" s="310"/>
      <c r="V844" s="4"/>
      <c r="W844" s="4"/>
      <c r="X844" s="4"/>
      <c r="Y844" s="4"/>
      <c r="Z844" s="4"/>
      <c r="AA844" s="4"/>
      <c r="AB844" s="380" t="str">
        <f>VLOOKUP($B844,'D7 - NDB Impacted SPRF''s'!$E$16:$O$9929,4,FALSE)</f>
        <v>Completed</v>
      </c>
      <c r="AC844" s="380" t="str">
        <f>VLOOKUP($B844,'D7 - NDB Impacted SPRF''s'!$E$16:$O$9929,3,FALSE)</f>
        <v>UnitedHealthcare Employer &amp; Individual</v>
      </c>
      <c r="AD844" s="380" t="str">
        <f>VLOOKUP($B844,'D7 - NDB Impacted SPRF''s'!$E$16:$O$9929,5,FALSE)</f>
        <v>Network Growth / Enhancements</v>
      </c>
      <c r="AE844" s="380" t="str">
        <f>VLOOKUP($B844,'D7 - NDB Impacted SPRF''s'!$E$16:$O$9929,7,FALSE)</f>
        <v>Ed Novinski</v>
      </c>
      <c r="AF844" s="380" t="str">
        <f>VLOOKUP($B844,'D7 - NDB Impacted SPRF''s'!$E$16:$O$9929,6,FALSE)</f>
        <v>JOSHUA WOODRUM</v>
      </c>
      <c r="AG844" s="282"/>
      <c r="AH844" s="311" t="e">
        <f>INDEX('D5 - Gatekeeper - Projects'!$A$4:$AF$1010,$AM844, 17)</f>
        <v>#N/A</v>
      </c>
      <c r="AI844" s="8"/>
      <c r="AJ844" s="57"/>
      <c r="AK844" s="105"/>
      <c r="AM844" s="6" t="e">
        <f>MATCH(D844,'D5 - Gatekeeper - Projects'!$C$4:$C$1010,0)</f>
        <v>#N/A</v>
      </c>
      <c r="AN844" s="6" t="b">
        <f t="shared" si="74"/>
        <v>1</v>
      </c>
      <c r="AO844" s="6" t="str">
        <f t="shared" si="77"/>
        <v>OK</v>
      </c>
      <c r="AQ844" s="6" t="e">
        <f>MATCH($D844,'D4 - Provider Council Unsched'!$C$11:$C$234,0)</f>
        <v>#N/A</v>
      </c>
      <c r="AR844" s="6" t="b">
        <f t="shared" si="75"/>
        <v>1</v>
      </c>
      <c r="AS844" s="6" t="str">
        <f t="shared" si="79"/>
        <v>OK</v>
      </c>
      <c r="AU844" s="202"/>
      <c r="AV844" s="262"/>
      <c r="AW844" s="274"/>
    </row>
    <row r="845" spans="1:49" s="13" customFormat="1" ht="33.75" x14ac:dyDescent="0.2">
      <c r="A845" s="14">
        <v>821</v>
      </c>
      <c r="B845" s="14">
        <v>400016387</v>
      </c>
      <c r="C845" s="8" t="s">
        <v>5197</v>
      </c>
      <c r="D845" s="4" t="str">
        <f t="shared" si="76"/>
        <v>400016387R1</v>
      </c>
      <c r="E845" s="309" t="str">
        <f>VLOOKUP($B845,'D7 - NDB Impacted SPRF''s'!$E$6:$O$9929,2,FALSE)</f>
        <v>Emptoris and NDB Contract Master/Doc ID Sync</v>
      </c>
      <c r="F845" s="8" t="s">
        <v>6277</v>
      </c>
      <c r="G845" s="8" t="s">
        <v>4758</v>
      </c>
      <c r="H845" s="8" t="s">
        <v>4246</v>
      </c>
      <c r="I845" s="20">
        <v>13.03</v>
      </c>
      <c r="J845" s="8" t="s">
        <v>4862</v>
      </c>
      <c r="K845" s="182">
        <v>39424</v>
      </c>
      <c r="L845" s="8" t="s">
        <v>5743</v>
      </c>
      <c r="M845" s="8" t="s">
        <v>2814</v>
      </c>
      <c r="N845" s="38"/>
      <c r="O845" s="8" t="s">
        <v>4173</v>
      </c>
      <c r="P845" s="4" t="str">
        <f>VLOOKUP($B845,'D7 - NDB Impacted SPRF''s'!$E$16:$O$9929,9,FALSE)</f>
        <v>N</v>
      </c>
      <c r="Q845" s="4" t="str">
        <f>VLOOKUP($B845,'D7 - NDB Impacted SPRF''s'!$E$16:$O$9929,10,FALSE)</f>
        <v>N</v>
      </c>
      <c r="R845" s="4" t="str">
        <f>VLOOKUP($B845,'D7 - NDB Impacted SPRF''s'!$E$16:$O$9929,11,FALSE)</f>
        <v>N</v>
      </c>
      <c r="S845" s="8"/>
      <c r="T845" s="310"/>
      <c r="U845" s="310"/>
      <c r="V845" s="4"/>
      <c r="W845" s="4"/>
      <c r="X845" s="4"/>
      <c r="Y845" s="4"/>
      <c r="Z845" s="4"/>
      <c r="AA845" s="4"/>
      <c r="AB845" s="380" t="str">
        <f>VLOOKUP($B845,'D7 - NDB Impacted SPRF''s'!$E$16:$O$9929,4,FALSE)</f>
        <v>Completed</v>
      </c>
      <c r="AC845" s="380" t="str">
        <f>VLOOKUP($B845,'D7 - NDB Impacted SPRF''s'!$E$16:$O$9929,3,FALSE)</f>
        <v>UnitedHealthcare Employer &amp; Individual</v>
      </c>
      <c r="AD845" s="380" t="str">
        <f>VLOOKUP($B845,'D7 - NDB Impacted SPRF''s'!$E$16:$O$9929,5,FALSE)</f>
        <v>Network Growth / Enhancements</v>
      </c>
      <c r="AE845" s="380" t="str">
        <f>VLOOKUP($B845,'D7 - NDB Impacted SPRF''s'!$E$16:$O$9929,7,FALSE)</f>
        <v>Ed Novinski</v>
      </c>
      <c r="AF845" s="380" t="str">
        <f>VLOOKUP($B845,'D7 - NDB Impacted SPRF''s'!$E$16:$O$9929,6,FALSE)</f>
        <v>JOSHUA WOODRUM</v>
      </c>
      <c r="AG845" s="282"/>
      <c r="AH845" s="311" t="e">
        <f>INDEX('D5 - Gatekeeper - Projects'!$A$4:$AF$1010,$AM845, 17)</f>
        <v>#N/A</v>
      </c>
      <c r="AI845" s="8"/>
      <c r="AJ845" s="57"/>
      <c r="AK845" s="105"/>
      <c r="AM845" s="6" t="e">
        <f>MATCH(D845,'D5 - Gatekeeper - Projects'!$C$4:$C$1010,0)</f>
        <v>#N/A</v>
      </c>
      <c r="AN845" s="6" t="b">
        <f t="shared" si="74"/>
        <v>1</v>
      </c>
      <c r="AO845" s="6" t="str">
        <f t="shared" si="77"/>
        <v>OK</v>
      </c>
      <c r="AQ845" s="6" t="e">
        <f>MATCH($D845,'D4 - Provider Council Unsched'!$C$11:$C$234,0)</f>
        <v>#N/A</v>
      </c>
      <c r="AR845" s="6" t="b">
        <f t="shared" si="75"/>
        <v>1</v>
      </c>
      <c r="AS845" s="6" t="str">
        <f t="shared" si="79"/>
        <v>OK</v>
      </c>
      <c r="AU845" s="202"/>
      <c r="AV845" s="262"/>
      <c r="AW845" s="274"/>
    </row>
    <row r="846" spans="1:49" s="13" customFormat="1" ht="33.75" x14ac:dyDescent="0.2">
      <c r="A846" s="14">
        <v>822</v>
      </c>
      <c r="B846" s="14">
        <v>400016516</v>
      </c>
      <c r="C846" s="8" t="s">
        <v>5197</v>
      </c>
      <c r="D846" s="4" t="str">
        <f t="shared" si="76"/>
        <v>400016516R1</v>
      </c>
      <c r="E846" s="309" t="str">
        <f>VLOOKUP($B846,'D7 - NDB Impacted SPRF''s'!$E$6:$O$9929,2,FALSE)</f>
        <v>DEA ‘F’ Data Load</v>
      </c>
      <c r="F846" s="8" t="s">
        <v>4471</v>
      </c>
      <c r="G846" s="8" t="s">
        <v>4758</v>
      </c>
      <c r="H846" s="8" t="s">
        <v>4246</v>
      </c>
      <c r="I846" s="20">
        <v>4.3499999999999996</v>
      </c>
      <c r="J846" s="8" t="s">
        <v>4862</v>
      </c>
      <c r="K846" s="182">
        <v>39424</v>
      </c>
      <c r="L846" s="8" t="s">
        <v>5743</v>
      </c>
      <c r="M846" s="8" t="s">
        <v>2814</v>
      </c>
      <c r="N846" s="38"/>
      <c r="O846" s="8" t="s">
        <v>4306</v>
      </c>
      <c r="P846" s="4" t="str">
        <f>VLOOKUP($B846,'D7 - NDB Impacted SPRF''s'!$E$16:$O$9929,9,FALSE)</f>
        <v>N</v>
      </c>
      <c r="Q846" s="4" t="str">
        <f>VLOOKUP($B846,'D7 - NDB Impacted SPRF''s'!$E$16:$O$9929,10,FALSE)</f>
        <v>N</v>
      </c>
      <c r="R846" s="4" t="str">
        <f>VLOOKUP($B846,'D7 - NDB Impacted SPRF''s'!$E$16:$O$9929,11,FALSE)</f>
        <v>N</v>
      </c>
      <c r="S846" s="8"/>
      <c r="T846" s="310"/>
      <c r="U846" s="310"/>
      <c r="V846" s="4"/>
      <c r="W846" s="4"/>
      <c r="X846" s="4"/>
      <c r="Y846" s="4"/>
      <c r="Z846" s="4"/>
      <c r="AA846" s="4"/>
      <c r="AB846" s="380" t="str">
        <f>VLOOKUP($B846,'D7 - NDB Impacted SPRF''s'!$E$16:$O$9929,4,FALSE)</f>
        <v>Completed</v>
      </c>
      <c r="AC846" s="380" t="str">
        <f>VLOOKUP($B846,'D7 - NDB Impacted SPRF''s'!$E$16:$O$9929,3,FALSE)</f>
        <v>UnitedHealthcare Employer &amp; Individual</v>
      </c>
      <c r="AD846" s="380" t="str">
        <f>VLOOKUP($B846,'D7 - NDB Impacted SPRF''s'!$E$16:$O$9929,5,FALSE)</f>
        <v>Regulatory / Other</v>
      </c>
      <c r="AE846" s="380" t="str">
        <f>VLOOKUP($B846,'D7 - NDB Impacted SPRF''s'!$E$16:$O$9929,7,FALSE)</f>
        <v>Paul McCarthy</v>
      </c>
      <c r="AF846" s="380" t="str">
        <f>VLOOKUP($B846,'D7 - NDB Impacted SPRF''s'!$E$16:$O$9929,6,FALSE)</f>
        <v>PARK CHRISTINE</v>
      </c>
      <c r="AG846" s="282"/>
      <c r="AH846" s="311" t="e">
        <f>INDEX('D5 - Gatekeeper - Projects'!$A$4:$AF$1010,$AM846, 17)</f>
        <v>#N/A</v>
      </c>
      <c r="AI846" s="8"/>
      <c r="AJ846" s="57"/>
      <c r="AK846" s="105"/>
      <c r="AM846" s="6" t="e">
        <f>MATCH(D846,'D5 - Gatekeeper - Projects'!$C$4:$C$1010,0)</f>
        <v>#N/A</v>
      </c>
      <c r="AN846" s="6" t="b">
        <f t="shared" si="74"/>
        <v>1</v>
      </c>
      <c r="AO846" s="6" t="str">
        <f t="shared" si="77"/>
        <v>OK</v>
      </c>
      <c r="AQ846" s="6" t="e">
        <f>MATCH($D846,'D4 - Provider Council Unsched'!$C$11:$C$234,0)</f>
        <v>#N/A</v>
      </c>
      <c r="AR846" s="6" t="b">
        <f t="shared" si="75"/>
        <v>1</v>
      </c>
      <c r="AS846" s="6" t="str">
        <f t="shared" si="79"/>
        <v>OK</v>
      </c>
      <c r="AU846" s="202"/>
      <c r="AV846" s="262"/>
      <c r="AW846" s="274"/>
    </row>
    <row r="847" spans="1:49" s="13" customFormat="1" ht="33.75" x14ac:dyDescent="0.2">
      <c r="A847" s="14">
        <v>823</v>
      </c>
      <c r="B847" s="14">
        <v>400016578</v>
      </c>
      <c r="C847" s="8" t="s">
        <v>7912</v>
      </c>
      <c r="D847" s="4" t="str">
        <f t="shared" si="76"/>
        <v>400016578R8</v>
      </c>
      <c r="E847" s="309" t="str">
        <f>VLOOKUP($B847,'D7 - NDB Impacted SPRF''s'!$E$6:$O$9929,2,FALSE)</f>
        <v>Detailed Tuning Recommendations</v>
      </c>
      <c r="F847" s="8" t="s">
        <v>8133</v>
      </c>
      <c r="G847" s="8" t="s">
        <v>4758</v>
      </c>
      <c r="H847" s="8" t="s">
        <v>4246</v>
      </c>
      <c r="I847" s="20">
        <v>1.5</v>
      </c>
      <c r="J847" s="8" t="s">
        <v>4862</v>
      </c>
      <c r="K847" s="182">
        <v>39424</v>
      </c>
      <c r="L847" s="8" t="s">
        <v>5743</v>
      </c>
      <c r="M847" s="8" t="s">
        <v>2814</v>
      </c>
      <c r="N847" s="38"/>
      <c r="O847" s="8" t="s">
        <v>7755</v>
      </c>
      <c r="P847" s="4" t="str">
        <f>VLOOKUP($B847,'D7 - NDB Impacted SPRF''s'!$E$16:$O$9929,9,FALSE)</f>
        <v>Y</v>
      </c>
      <c r="Q847" s="4" t="str">
        <f>VLOOKUP($B847,'D7 - NDB Impacted SPRF''s'!$E$16:$O$9929,10,FALSE)</f>
        <v>N</v>
      </c>
      <c r="R847" s="4" t="str">
        <f>VLOOKUP($B847,'D7 - NDB Impacted SPRF''s'!$E$16:$O$9929,11,FALSE)</f>
        <v>N</v>
      </c>
      <c r="S847" s="8"/>
      <c r="T847" s="310"/>
      <c r="U847" s="310"/>
      <c r="V847" s="4"/>
      <c r="W847" s="4"/>
      <c r="X847" s="4"/>
      <c r="Y847" s="4"/>
      <c r="Z847" s="4"/>
      <c r="AA847" s="4"/>
      <c r="AB847" s="380" t="str">
        <f>VLOOKUP($B847,'D7 - NDB Impacted SPRF''s'!$E$16:$O$9929,4,FALSE)</f>
        <v>Completed</v>
      </c>
      <c r="AC847" s="380" t="str">
        <f>VLOOKUP($B847,'D7 - NDB Impacted SPRF''s'!$E$16:$O$9929,3,FALSE)</f>
        <v>UHG IT - Application Services Group</v>
      </c>
      <c r="AD847" s="380" t="str">
        <f>VLOOKUP($B847,'D7 - NDB Impacted SPRF''s'!$E$16:$O$9929,5,FALSE)</f>
        <v>ASG</v>
      </c>
      <c r="AE847" s="380" t="str">
        <f>VLOOKUP($B847,'D7 - NDB Impacted SPRF''s'!$E$16:$O$9929,7,FALSE)</f>
        <v>Jeff Hanas</v>
      </c>
      <c r="AF847" s="380" t="str">
        <f>VLOOKUP($B847,'D7 - NDB Impacted SPRF''s'!$E$16:$O$9929,6,FALSE)</f>
        <v>Jeffrey Jablonski</v>
      </c>
      <c r="AG847" s="282"/>
      <c r="AH847" s="311" t="e">
        <f>INDEX('D5 - Gatekeeper - Projects'!$A$4:$AF$1010,$AM847, 17)</f>
        <v>#N/A</v>
      </c>
      <c r="AI847" s="8"/>
      <c r="AJ847" s="57"/>
      <c r="AK847" s="105"/>
      <c r="AM847" s="6" t="e">
        <f>MATCH(D847,'D5 - Gatekeeper - Projects'!$C$4:$C$1010,0)</f>
        <v>#N/A</v>
      </c>
      <c r="AN847" s="6" t="b">
        <f t="shared" si="74"/>
        <v>1</v>
      </c>
      <c r="AO847" s="6" t="str">
        <f t="shared" si="77"/>
        <v>OK</v>
      </c>
      <c r="AQ847" s="6" t="e">
        <f>MATCH($D847,'D4 - Provider Council Unsched'!$C$11:$C$234,0)</f>
        <v>#N/A</v>
      </c>
      <c r="AR847" s="6" t="b">
        <f t="shared" si="75"/>
        <v>1</v>
      </c>
      <c r="AS847" s="6" t="str">
        <f t="shared" si="79"/>
        <v>OK</v>
      </c>
      <c r="AU847" s="202"/>
      <c r="AV847" s="262"/>
      <c r="AW847" s="274"/>
    </row>
    <row r="848" spans="1:49" s="13" customFormat="1" x14ac:dyDescent="0.2">
      <c r="A848" s="14">
        <v>824</v>
      </c>
      <c r="B848" s="14">
        <v>400016644</v>
      </c>
      <c r="C848" s="8" t="s">
        <v>5197</v>
      </c>
      <c r="D848" s="4" t="str">
        <f t="shared" si="76"/>
        <v>400016644R1</v>
      </c>
      <c r="E848" s="309" t="str">
        <f>VLOOKUP($B848,'D7 - NDB Impacted SPRF''s'!$E$6:$O$9929,2,FALSE)</f>
        <v>Sarbanes-Oxley Compliance Activities 2007</v>
      </c>
      <c r="F848" s="8" t="s">
        <v>8133</v>
      </c>
      <c r="G848" s="8" t="s">
        <v>4758</v>
      </c>
      <c r="H848" s="8" t="s">
        <v>4246</v>
      </c>
      <c r="I848" s="20">
        <v>1.39</v>
      </c>
      <c r="J848" s="8" t="s">
        <v>4862</v>
      </c>
      <c r="K848" s="182">
        <v>39424</v>
      </c>
      <c r="L848" s="8" t="s">
        <v>5743</v>
      </c>
      <c r="M848" s="8" t="s">
        <v>6688</v>
      </c>
      <c r="N848" s="38"/>
      <c r="O848" s="8" t="s">
        <v>7755</v>
      </c>
      <c r="P848" s="4" t="str">
        <f>VLOOKUP($B848,'D7 - NDB Impacted SPRF''s'!$E$16:$O$9929,9,FALSE)</f>
        <v>Y</v>
      </c>
      <c r="Q848" s="4" t="str">
        <f>VLOOKUP($B848,'D7 - NDB Impacted SPRF''s'!$E$16:$O$9929,10,FALSE)</f>
        <v>N</v>
      </c>
      <c r="R848" s="4" t="str">
        <f>VLOOKUP($B848,'D7 - NDB Impacted SPRF''s'!$E$16:$O$9929,11,FALSE)</f>
        <v>N</v>
      </c>
      <c r="S848" s="8"/>
      <c r="T848" s="310"/>
      <c r="U848" s="310"/>
      <c r="V848" s="4"/>
      <c r="W848" s="4"/>
      <c r="X848" s="4"/>
      <c r="Y848" s="4"/>
      <c r="Z848" s="4"/>
      <c r="AA848" s="4"/>
      <c r="AB848" s="380" t="str">
        <f>VLOOKUP($B848,'D7 - NDB Impacted SPRF''s'!$E$16:$O$9929,4,FALSE)</f>
        <v>Completed</v>
      </c>
      <c r="AC848" s="380" t="str">
        <f>VLOOKUP($B848,'D7 - NDB Impacted SPRF''s'!$E$16:$O$9929,3,FALSE)</f>
        <v>Uniprise</v>
      </c>
      <c r="AD848" s="380" t="str">
        <f>VLOOKUP($B848,'D7 - NDB Impacted SPRF''s'!$E$16:$O$9929,5,FALSE)</f>
        <v>Uniprise Technologies - DDC</v>
      </c>
      <c r="AE848" s="380" t="str">
        <f>VLOOKUP($B848,'D7 - NDB Impacted SPRF''s'!$E$16:$O$9929,7,FALSE)</f>
        <v>John Santelli</v>
      </c>
      <c r="AF848" s="380" t="str">
        <f>VLOOKUP($B848,'D7 - NDB Impacted SPRF''s'!$E$16:$O$9929,6,FALSE)</f>
        <v>Stacy Dennis</v>
      </c>
      <c r="AG848" s="282"/>
      <c r="AH848" s="311" t="e">
        <f>INDEX('D5 - Gatekeeper - Projects'!$A$4:$AF$1010,$AM848, 17)</f>
        <v>#N/A</v>
      </c>
      <c r="AI848" s="8"/>
      <c r="AJ848" s="57"/>
      <c r="AK848" s="105"/>
      <c r="AM848" s="6" t="e">
        <f>MATCH(D848,'D5 - Gatekeeper - Projects'!$C$4:$C$1010,0)</f>
        <v>#N/A</v>
      </c>
      <c r="AN848" s="6" t="b">
        <f t="shared" si="74"/>
        <v>1</v>
      </c>
      <c r="AO848" s="6" t="str">
        <f t="shared" si="77"/>
        <v>OK</v>
      </c>
      <c r="AQ848" s="6" t="e">
        <f>MATCH($D848,'D4 - Provider Council Unsched'!$C$11:$C$234,0)</f>
        <v>#N/A</v>
      </c>
      <c r="AR848" s="6" t="b">
        <f t="shared" si="75"/>
        <v>1</v>
      </c>
      <c r="AS848" s="6" t="str">
        <f t="shared" si="79"/>
        <v>OK</v>
      </c>
      <c r="AU848" s="202"/>
      <c r="AV848" s="262"/>
      <c r="AW848" s="274"/>
    </row>
    <row r="849" spans="1:49" s="13" customFormat="1" ht="33.75" x14ac:dyDescent="0.2">
      <c r="A849" s="14">
        <v>825</v>
      </c>
      <c r="B849" s="14">
        <v>400017060</v>
      </c>
      <c r="C849" s="8" t="s">
        <v>4963</v>
      </c>
      <c r="D849" s="4" t="str">
        <f t="shared" si="76"/>
        <v>400017060P1</v>
      </c>
      <c r="E849" s="309" t="str">
        <f>VLOOKUP($B849,'D7 - NDB Impacted SPRF''s'!$E$6:$O$9929,2,FALSE)</f>
        <v>ERC Proof of Concept</v>
      </c>
      <c r="F849" s="8" t="s">
        <v>7106</v>
      </c>
      <c r="G849" s="8" t="s">
        <v>4758</v>
      </c>
      <c r="H849" s="8" t="s">
        <v>4246</v>
      </c>
      <c r="I849" s="20">
        <v>23.63</v>
      </c>
      <c r="J849" s="8" t="s">
        <v>4862</v>
      </c>
      <c r="K849" s="182">
        <v>39424</v>
      </c>
      <c r="L849" s="8" t="s">
        <v>5743</v>
      </c>
      <c r="M849" s="8" t="s">
        <v>2814</v>
      </c>
      <c r="N849" s="38"/>
      <c r="O849" s="8" t="s">
        <v>6642</v>
      </c>
      <c r="P849" s="4" t="str">
        <f>VLOOKUP($B849,'D7 - NDB Impacted SPRF''s'!$E$16:$O$9929,9,FALSE)</f>
        <v>Y</v>
      </c>
      <c r="Q849" s="4" t="str">
        <f>VLOOKUP($B849,'D7 - NDB Impacted SPRF''s'!$E$16:$O$9929,10,FALSE)</f>
        <v>N</v>
      </c>
      <c r="R849" s="4" t="str">
        <f>VLOOKUP($B849,'D7 - NDB Impacted SPRF''s'!$E$16:$O$9929,11,FALSE)</f>
        <v>Y</v>
      </c>
      <c r="S849" s="8"/>
      <c r="T849" s="310"/>
      <c r="U849" s="310"/>
      <c r="V849" s="4"/>
      <c r="W849" s="4"/>
      <c r="X849" s="4"/>
      <c r="Y849" s="4"/>
      <c r="Z849" s="4"/>
      <c r="AA849" s="4"/>
      <c r="AB849" s="380" t="str">
        <f>VLOOKUP($B849,'D7 - NDB Impacted SPRF''s'!$E$16:$O$9929,4,FALSE)</f>
        <v>Completed</v>
      </c>
      <c r="AC849" s="380" t="str">
        <f>VLOOKUP($B849,'D7 - NDB Impacted SPRF''s'!$E$16:$O$9929,3,FALSE)</f>
        <v>UnitedHealthcare Employer &amp; Individual</v>
      </c>
      <c r="AD849" s="380" t="str">
        <f>VLOOKUP($B849,'D7 - NDB Impacted SPRF''s'!$E$16:$O$9929,5,FALSE)</f>
        <v>Medical Cost Savings Programs</v>
      </c>
      <c r="AE849" s="380" t="str">
        <f>VLOOKUP($B849,'D7 - NDB Impacted SPRF''s'!$E$16:$O$9929,7,FALSE)</f>
        <v>Steven Mueller</v>
      </c>
      <c r="AF849" s="380" t="str">
        <f>VLOOKUP($B849,'D7 - NDB Impacted SPRF''s'!$E$16:$O$9929,6,FALSE)</f>
        <v>JEFFREY HUXLEY</v>
      </c>
      <c r="AG849" s="282"/>
      <c r="AH849" s="311" t="e">
        <f>INDEX('D5 - Gatekeeper - Projects'!$A$4:$AF$1010,$AM849, 17)</f>
        <v>#N/A</v>
      </c>
      <c r="AI849" s="8"/>
      <c r="AJ849" s="57"/>
      <c r="AK849" s="105"/>
      <c r="AM849" s="6" t="e">
        <f>MATCH(D849,'D5 - Gatekeeper - Projects'!$C$4:$C$1010,0)</f>
        <v>#N/A</v>
      </c>
      <c r="AN849" s="6" t="b">
        <f t="shared" ref="AN849:AN912" si="80">ISERROR(AM849)</f>
        <v>1</v>
      </c>
      <c r="AO849" s="6" t="str">
        <f t="shared" si="77"/>
        <v>OK</v>
      </c>
      <c r="AQ849" s="6" t="e">
        <f>MATCH($D849,'D4 - Provider Council Unsched'!$C$11:$C$234,0)</f>
        <v>#N/A</v>
      </c>
      <c r="AR849" s="6" t="b">
        <f t="shared" ref="AR849:AR912" si="81">ISERROR(AQ849)</f>
        <v>1</v>
      </c>
      <c r="AS849" s="6" t="str">
        <f t="shared" si="79"/>
        <v>OK</v>
      </c>
      <c r="AU849" s="202"/>
      <c r="AV849" s="262"/>
      <c r="AW849" s="274"/>
    </row>
    <row r="850" spans="1:49" s="13" customFormat="1" ht="33.75" x14ac:dyDescent="0.2">
      <c r="A850" s="14">
        <v>826</v>
      </c>
      <c r="B850" s="14">
        <v>400017125</v>
      </c>
      <c r="C850" s="8" t="s">
        <v>5197</v>
      </c>
      <c r="D850" s="4" t="str">
        <f t="shared" ref="D850:D913" si="82">CONCATENATE(B850,C850)</f>
        <v>400017125R1</v>
      </c>
      <c r="E850" s="309" t="str">
        <f>VLOOKUP($B850,'D7 - NDB Impacted SPRF''s'!$E$6:$O$9929,2,FALSE)</f>
        <v>Network Changes Application Re-Architecture</v>
      </c>
      <c r="F850" s="8" t="s">
        <v>2114</v>
      </c>
      <c r="G850" s="8" t="s">
        <v>4758</v>
      </c>
      <c r="H850" s="8" t="s">
        <v>4246</v>
      </c>
      <c r="I850" s="20">
        <v>6.12</v>
      </c>
      <c r="J850" s="8" t="s">
        <v>4862</v>
      </c>
      <c r="K850" s="182">
        <v>39424</v>
      </c>
      <c r="L850" s="8" t="s">
        <v>5743</v>
      </c>
      <c r="M850" s="8" t="s">
        <v>2814</v>
      </c>
      <c r="N850" s="38"/>
      <c r="O850" s="8" t="s">
        <v>2547</v>
      </c>
      <c r="P850" s="4" t="str">
        <f>VLOOKUP($B850,'D7 - NDB Impacted SPRF''s'!$E$16:$O$9929,9,FALSE)</f>
        <v>N</v>
      </c>
      <c r="Q850" s="4" t="str">
        <f>VLOOKUP($B850,'D7 - NDB Impacted SPRF''s'!$E$16:$O$9929,10,FALSE)</f>
        <v>N</v>
      </c>
      <c r="R850" s="4" t="str">
        <f>VLOOKUP($B850,'D7 - NDB Impacted SPRF''s'!$E$16:$O$9929,11,FALSE)</f>
        <v>N</v>
      </c>
      <c r="S850" s="8"/>
      <c r="T850" s="310"/>
      <c r="U850" s="310"/>
      <c r="V850" s="4"/>
      <c r="W850" s="4"/>
      <c r="X850" s="4"/>
      <c r="Y850" s="4"/>
      <c r="Z850" s="4"/>
      <c r="AA850" s="4"/>
      <c r="AB850" s="380" t="str">
        <f>VLOOKUP($B850,'D7 - NDB Impacted SPRF''s'!$E$16:$O$9929,4,FALSE)</f>
        <v>Completed</v>
      </c>
      <c r="AC850" s="380" t="str">
        <f>VLOOKUP($B850,'D7 - NDB Impacted SPRF''s'!$E$16:$O$9929,3,FALSE)</f>
        <v>UnitedHealthcare Employer &amp; Individual</v>
      </c>
      <c r="AD850" s="380" t="str">
        <f>VLOOKUP($B850,'D7 - NDB Impacted SPRF''s'!$E$16:$O$9929,5,FALSE)</f>
        <v>Process Improvement</v>
      </c>
      <c r="AE850" s="380" t="str">
        <f>VLOOKUP($B850,'D7 - NDB Impacted SPRF''s'!$E$16:$O$9929,7,FALSE)</f>
        <v>Cathy Ball</v>
      </c>
      <c r="AF850" s="380" t="str">
        <f>VLOOKUP($B850,'D7 - NDB Impacted SPRF''s'!$E$16:$O$9929,6,FALSE)</f>
        <v>Brendan Griggs</v>
      </c>
      <c r="AG850" s="282"/>
      <c r="AH850" s="311" t="e">
        <f>INDEX('D5 - Gatekeeper - Projects'!$A$4:$AF$1010,$AM850, 17)</f>
        <v>#N/A</v>
      </c>
      <c r="AI850" s="8"/>
      <c r="AJ850" s="57"/>
      <c r="AK850" s="105"/>
      <c r="AM850" s="6" t="e">
        <f>MATCH(D850,'D5 - Gatekeeper - Projects'!$C$4:$C$1010,0)</f>
        <v>#N/A</v>
      </c>
      <c r="AN850" s="6" t="b">
        <f t="shared" si="80"/>
        <v>1</v>
      </c>
      <c r="AO850" s="6" t="str">
        <f t="shared" ref="AO850:AO913" si="83">IF(AND(H850="1 - Scheduled",AN850=TRUE),"Add","OK")</f>
        <v>OK</v>
      </c>
      <c r="AQ850" s="6" t="e">
        <f>MATCH($D850,'D4 - Provider Council Unsched'!$C$11:$C$234,0)</f>
        <v>#N/A</v>
      </c>
      <c r="AR850" s="6" t="b">
        <f t="shared" si="81"/>
        <v>1</v>
      </c>
      <c r="AS850" s="6" t="str">
        <f t="shared" si="79"/>
        <v>OK</v>
      </c>
      <c r="AU850" s="202"/>
      <c r="AV850" s="262"/>
      <c r="AW850" s="274"/>
    </row>
    <row r="851" spans="1:49" s="13" customFormat="1" ht="33.75" x14ac:dyDescent="0.2">
      <c r="A851" s="14">
        <v>827</v>
      </c>
      <c r="B851" s="14">
        <v>400017788</v>
      </c>
      <c r="C851" s="8" t="s">
        <v>5197</v>
      </c>
      <c r="D851" s="4" t="str">
        <f t="shared" si="82"/>
        <v>400017788R1</v>
      </c>
      <c r="E851" s="309" t="str">
        <f>VLOOKUP($B851,'D7 - NDB Impacted SPRF''s'!$E$6:$O$9929,2,FALSE)</f>
        <v>Implement EPDE feed to ElDorado including NPI Data</v>
      </c>
      <c r="F851" s="8" t="s">
        <v>6007</v>
      </c>
      <c r="G851" s="8" t="s">
        <v>4758</v>
      </c>
      <c r="H851" s="8" t="s">
        <v>4246</v>
      </c>
      <c r="I851" s="20">
        <v>1.07</v>
      </c>
      <c r="J851" s="8" t="s">
        <v>4862</v>
      </c>
      <c r="K851" s="182">
        <v>39424</v>
      </c>
      <c r="L851" s="8" t="s">
        <v>5743</v>
      </c>
      <c r="M851" s="8" t="s">
        <v>6007</v>
      </c>
      <c r="N851" s="38"/>
      <c r="O851" s="8" t="s">
        <v>5898</v>
      </c>
      <c r="P851" s="4" t="str">
        <f>VLOOKUP($B851,'D7 - NDB Impacted SPRF''s'!$E$16:$O$9929,9,FALSE)</f>
        <v>N</v>
      </c>
      <c r="Q851" s="4" t="str">
        <f>VLOOKUP($B851,'D7 - NDB Impacted SPRF''s'!$E$16:$O$9929,10,FALSE)</f>
        <v>N</v>
      </c>
      <c r="R851" s="4" t="str">
        <f>VLOOKUP($B851,'D7 - NDB Impacted SPRF''s'!$E$16:$O$9929,11,FALSE)</f>
        <v>N</v>
      </c>
      <c r="S851" s="8"/>
      <c r="T851" s="310"/>
      <c r="U851" s="310"/>
      <c r="V851" s="4"/>
      <c r="W851" s="4"/>
      <c r="X851" s="4"/>
      <c r="Y851" s="4"/>
      <c r="Z851" s="4"/>
      <c r="AA851" s="4"/>
      <c r="AB851" s="380" t="str">
        <f>VLOOKUP($B851,'D7 - NDB Impacted SPRF''s'!$E$16:$O$9929,4,FALSE)</f>
        <v>Completed</v>
      </c>
      <c r="AC851" s="380" t="str">
        <f>VLOOKUP($B851,'D7 - NDB Impacted SPRF''s'!$E$16:$O$9929,3,FALSE)</f>
        <v>UnitedHealthcare Employer &amp; Individual</v>
      </c>
      <c r="AD851" s="380" t="str">
        <f>VLOOKUP($B851,'D7 - NDB Impacted SPRF''s'!$E$16:$O$9929,5,FALSE)</f>
        <v>Operational Requirements</v>
      </c>
      <c r="AE851" s="380" t="str">
        <f>VLOOKUP($B851,'D7 - NDB Impacted SPRF''s'!$E$16:$O$9929,7,FALSE)</f>
        <v>Tim Kaja</v>
      </c>
      <c r="AF851" s="380" t="str">
        <f>VLOOKUP($B851,'D7 - NDB Impacted SPRF''s'!$E$16:$O$9929,6,FALSE)</f>
        <v>MARCIA MONACO</v>
      </c>
      <c r="AG851" s="282"/>
      <c r="AH851" s="311" t="e">
        <f>INDEX('D5 - Gatekeeper - Projects'!$A$4:$AF$1010,$AM851, 17)</f>
        <v>#N/A</v>
      </c>
      <c r="AI851" s="8"/>
      <c r="AJ851" s="57"/>
      <c r="AK851" s="105"/>
      <c r="AM851" s="6" t="e">
        <f>MATCH(D851,'D5 - Gatekeeper - Projects'!$C$4:$C$1010,0)</f>
        <v>#N/A</v>
      </c>
      <c r="AN851" s="6" t="b">
        <f t="shared" si="80"/>
        <v>1</v>
      </c>
      <c r="AO851" s="6" t="str">
        <f t="shared" si="83"/>
        <v>OK</v>
      </c>
      <c r="AQ851" s="6" t="e">
        <f>MATCH($D851,'D4 - Provider Council Unsched'!$C$11:$C$234,0)</f>
        <v>#N/A</v>
      </c>
      <c r="AR851" s="6" t="b">
        <f t="shared" si="81"/>
        <v>1</v>
      </c>
      <c r="AS851" s="6" t="str">
        <f t="shared" si="79"/>
        <v>OK</v>
      </c>
      <c r="AU851" s="202"/>
      <c r="AV851" s="262"/>
      <c r="AW851" s="274"/>
    </row>
    <row r="852" spans="1:49" s="13" customFormat="1" ht="33.75" x14ac:dyDescent="0.2">
      <c r="A852" s="14">
        <v>828</v>
      </c>
      <c r="B852" s="14">
        <v>400017901</v>
      </c>
      <c r="C852" s="8" t="s">
        <v>4926</v>
      </c>
      <c r="D852" s="4" t="str">
        <f t="shared" si="82"/>
        <v>400017901R4</v>
      </c>
      <c r="E852" s="309" t="str">
        <f>VLOOKUP($B852,'D7 - NDB Impacted SPRF''s'!$E$6:$O$9929,2,FALSE)</f>
        <v>NDB Parallel Sysplex</v>
      </c>
      <c r="F852" s="8" t="s">
        <v>5787</v>
      </c>
      <c r="G852" s="8" t="s">
        <v>4758</v>
      </c>
      <c r="H852" s="8" t="s">
        <v>4246</v>
      </c>
      <c r="I852" s="20">
        <v>2.06</v>
      </c>
      <c r="J852" s="8" t="s">
        <v>4862</v>
      </c>
      <c r="K852" s="182">
        <v>39424</v>
      </c>
      <c r="L852" s="8" t="s">
        <v>5743</v>
      </c>
      <c r="M852" s="8" t="s">
        <v>2814</v>
      </c>
      <c r="N852" s="38"/>
      <c r="O852" s="8" t="s">
        <v>1998</v>
      </c>
      <c r="P852" s="4" t="str">
        <f>VLOOKUP($B852,'D7 - NDB Impacted SPRF''s'!$E$16:$O$9929,9,FALSE)</f>
        <v>Y</v>
      </c>
      <c r="Q852" s="4" t="str">
        <f>VLOOKUP($B852,'D7 - NDB Impacted SPRF''s'!$E$16:$O$9929,10,FALSE)</f>
        <v>N</v>
      </c>
      <c r="R852" s="4" t="str">
        <f>VLOOKUP($B852,'D7 - NDB Impacted SPRF''s'!$E$16:$O$9929,11,FALSE)</f>
        <v>Y</v>
      </c>
      <c r="S852" s="8"/>
      <c r="T852" s="310"/>
      <c r="U852" s="310"/>
      <c r="V852" s="4"/>
      <c r="W852" s="4"/>
      <c r="X852" s="4"/>
      <c r="Y852" s="4"/>
      <c r="Z852" s="4"/>
      <c r="AA852" s="4"/>
      <c r="AB852" s="380" t="str">
        <f>VLOOKUP($B852,'D7 - NDB Impacted SPRF''s'!$E$16:$O$9929,4,FALSE)</f>
        <v>Completed</v>
      </c>
      <c r="AC852" s="380" t="str">
        <f>VLOOKUP($B852,'D7 - NDB Impacted SPRF''s'!$E$16:$O$9929,3,FALSE)</f>
        <v>UHG IT - Application Services Group</v>
      </c>
      <c r="AD852" s="380" t="str">
        <f>VLOOKUP($B852,'D7 - NDB Impacted SPRF''s'!$E$16:$O$9929,5,FALSE)</f>
        <v>ASG</v>
      </c>
      <c r="AE852" s="380" t="str">
        <f>VLOOKUP($B852,'D7 - NDB Impacted SPRF''s'!$E$16:$O$9929,7,FALSE)</f>
        <v>John Santelli</v>
      </c>
      <c r="AF852" s="380" t="str">
        <f>VLOOKUP($B852,'D7 - NDB Impacted SPRF''s'!$E$16:$O$9929,6,FALSE)</f>
        <v>Laura Levesque</v>
      </c>
      <c r="AG852" s="282"/>
      <c r="AH852" s="311" t="e">
        <f>INDEX('D5 - Gatekeeper - Projects'!$A$4:$AF$1010,$AM852, 17)</f>
        <v>#N/A</v>
      </c>
      <c r="AI852" s="8"/>
      <c r="AJ852" s="57"/>
      <c r="AK852" s="105"/>
      <c r="AM852" s="6" t="e">
        <f>MATCH(D852,'D5 - Gatekeeper - Projects'!$C$4:$C$1010,0)</f>
        <v>#N/A</v>
      </c>
      <c r="AN852" s="6" t="b">
        <f t="shared" si="80"/>
        <v>1</v>
      </c>
      <c r="AO852" s="6" t="str">
        <f t="shared" si="83"/>
        <v>OK</v>
      </c>
      <c r="AQ852" s="6" t="e">
        <f>MATCH($D852,'D4 - Provider Council Unsched'!$C$11:$C$234,0)</f>
        <v>#N/A</v>
      </c>
      <c r="AR852" s="6" t="b">
        <f t="shared" si="81"/>
        <v>1</v>
      </c>
      <c r="AS852" s="6" t="str">
        <f t="shared" si="79"/>
        <v>OK</v>
      </c>
      <c r="AU852" s="202"/>
      <c r="AV852" s="262"/>
      <c r="AW852" s="274"/>
    </row>
    <row r="853" spans="1:49" s="13" customFormat="1" ht="33.75" x14ac:dyDescent="0.2">
      <c r="A853" s="14">
        <v>829</v>
      </c>
      <c r="B853" s="14">
        <v>400017964</v>
      </c>
      <c r="C853" s="8" t="s">
        <v>5197</v>
      </c>
      <c r="D853" s="4" t="str">
        <f t="shared" si="82"/>
        <v>400017964R1</v>
      </c>
      <c r="E853" s="309" t="str">
        <f>VLOOKUP($B853,'D7 - NDB Impacted SPRF''s'!$E$6:$O$9929,2,FALSE)</f>
        <v>MAHP Well Woman Copay</v>
      </c>
      <c r="F853" s="8" t="s">
        <v>5752</v>
      </c>
      <c r="G853" s="8" t="s">
        <v>4758</v>
      </c>
      <c r="H853" s="8" t="s">
        <v>4246</v>
      </c>
      <c r="I853" s="20">
        <v>1.07</v>
      </c>
      <c r="J853" s="8" t="s">
        <v>4862</v>
      </c>
      <c r="K853" s="182">
        <v>39424</v>
      </c>
      <c r="L853" s="8" t="s">
        <v>5743</v>
      </c>
      <c r="M853" s="8" t="s">
        <v>5626</v>
      </c>
      <c r="N853" s="38"/>
      <c r="O853" s="8" t="s">
        <v>2000</v>
      </c>
      <c r="P853" s="4" t="str">
        <f>VLOOKUP($B853,'D7 - NDB Impacted SPRF''s'!$E$16:$O$9929,9,FALSE)</f>
        <v>Y</v>
      </c>
      <c r="Q853" s="4" t="str">
        <f>VLOOKUP($B853,'D7 - NDB Impacted SPRF''s'!$E$16:$O$9929,10,FALSE)</f>
        <v>N</v>
      </c>
      <c r="R853" s="4" t="str">
        <f>VLOOKUP($B853,'D7 - NDB Impacted SPRF''s'!$E$16:$O$9929,11,FALSE)</f>
        <v>N</v>
      </c>
      <c r="S853" s="8"/>
      <c r="T853" s="310"/>
      <c r="U853" s="310"/>
      <c r="V853" s="4"/>
      <c r="W853" s="4"/>
      <c r="X853" s="4"/>
      <c r="Y853" s="4"/>
      <c r="Z853" s="4"/>
      <c r="AA853" s="4"/>
      <c r="AB853" s="380" t="str">
        <f>VLOOKUP($B853,'D7 - NDB Impacted SPRF''s'!$E$16:$O$9929,4,FALSE)</f>
        <v>Completed</v>
      </c>
      <c r="AC853" s="380" t="str">
        <f>VLOOKUP($B853,'D7 - NDB Impacted SPRF''s'!$E$16:$O$9929,3,FALSE)</f>
        <v>UnitedHealthcare Employer &amp; Individual</v>
      </c>
      <c r="AD853" s="380" t="str">
        <f>VLOOKUP($B853,'D7 - NDB Impacted SPRF''s'!$E$16:$O$9929,5,FALSE)</f>
        <v>Integration Requirements</v>
      </c>
      <c r="AE853" s="380" t="str">
        <f>VLOOKUP($B853,'D7 - NDB Impacted SPRF''s'!$E$16:$O$9929,7,FALSE)</f>
        <v>Diane Schofield</v>
      </c>
      <c r="AF853" s="380" t="str">
        <f>VLOOKUP($B853,'D7 - NDB Impacted SPRF''s'!$E$16:$O$9929,6,FALSE)</f>
        <v>SUSAN TONKIN</v>
      </c>
      <c r="AG853" s="282"/>
      <c r="AH853" s="311" t="e">
        <f>INDEX('D5 - Gatekeeper - Projects'!$A$4:$AF$1010,$AM853, 17)</f>
        <v>#N/A</v>
      </c>
      <c r="AI853" s="8"/>
      <c r="AJ853" s="57"/>
      <c r="AK853" s="105"/>
      <c r="AM853" s="6" t="e">
        <f>MATCH(D853,'D5 - Gatekeeper - Projects'!$C$4:$C$1010,0)</f>
        <v>#N/A</v>
      </c>
      <c r="AN853" s="6" t="b">
        <f t="shared" si="80"/>
        <v>1</v>
      </c>
      <c r="AO853" s="6" t="str">
        <f t="shared" si="83"/>
        <v>OK</v>
      </c>
      <c r="AQ853" s="6" t="e">
        <f>MATCH($D853,'D4 - Provider Council Unsched'!$C$11:$C$234,0)</f>
        <v>#N/A</v>
      </c>
      <c r="AR853" s="6" t="b">
        <f t="shared" si="81"/>
        <v>1</v>
      </c>
      <c r="AS853" s="6" t="str">
        <f t="shared" si="79"/>
        <v>OK</v>
      </c>
      <c r="AU853" s="202"/>
      <c r="AV853" s="262"/>
      <c r="AW853" s="274"/>
    </row>
    <row r="854" spans="1:49" s="13" customFormat="1" ht="33.75" x14ac:dyDescent="0.2">
      <c r="A854" s="14">
        <v>830</v>
      </c>
      <c r="B854" s="14">
        <v>400018045</v>
      </c>
      <c r="C854" s="8" t="s">
        <v>5197</v>
      </c>
      <c r="D854" s="4" t="str">
        <f t="shared" si="82"/>
        <v>400018045R1</v>
      </c>
      <c r="E854" s="309" t="str">
        <f>VLOOKUP($B854,'D7 - NDB Impacted SPRF''s'!$E$6:$O$9929,2,FALSE)</f>
        <v xml:space="preserve">Xcel Energy - Single Experince Consumer Portal </v>
      </c>
      <c r="F854" s="8" t="s">
        <v>2114</v>
      </c>
      <c r="G854" s="8" t="s">
        <v>4758</v>
      </c>
      <c r="H854" s="8" t="s">
        <v>4246</v>
      </c>
      <c r="I854" s="20">
        <v>1.07</v>
      </c>
      <c r="J854" s="8" t="s">
        <v>4862</v>
      </c>
      <c r="K854" s="182">
        <v>39424</v>
      </c>
      <c r="L854" s="8" t="s">
        <v>5743</v>
      </c>
      <c r="M854" s="8" t="s">
        <v>5626</v>
      </c>
      <c r="N854" s="38"/>
      <c r="O854" s="8" t="s">
        <v>5510</v>
      </c>
      <c r="P854" s="4" t="str">
        <f>VLOOKUP($B854,'D7 - NDB Impacted SPRF''s'!$E$16:$O$9929,9,FALSE)</f>
        <v>Y</v>
      </c>
      <c r="Q854" s="4" t="str">
        <f>VLOOKUP($B854,'D7 - NDB Impacted SPRF''s'!$E$16:$O$9929,10,FALSE)</f>
        <v>N</v>
      </c>
      <c r="R854" s="4" t="str">
        <f>VLOOKUP($B854,'D7 - NDB Impacted SPRF''s'!$E$16:$O$9929,11,FALSE)</f>
        <v>N</v>
      </c>
      <c r="S854" s="8"/>
      <c r="T854" s="310"/>
      <c r="U854" s="310"/>
      <c r="V854" s="4"/>
      <c r="W854" s="4"/>
      <c r="X854" s="4"/>
      <c r="Y854" s="4"/>
      <c r="Z854" s="4"/>
      <c r="AA854" s="4"/>
      <c r="AB854" s="380" t="str">
        <f>VLOOKUP($B854,'D7 - NDB Impacted SPRF''s'!$E$16:$O$9929,4,FALSE)</f>
        <v>Completed</v>
      </c>
      <c r="AC854" s="380" t="str">
        <f>VLOOKUP($B854,'D7 - NDB Impacted SPRF''s'!$E$16:$O$9929,3,FALSE)</f>
        <v>UnitedHealthcare Employer &amp; Individual</v>
      </c>
      <c r="AD854" s="380" t="str">
        <f>VLOOKUP($B854,'D7 - NDB Impacted SPRF''s'!$E$16:$O$9929,5,FALSE)</f>
        <v>Membership Growth / Revenue Programs</v>
      </c>
      <c r="AE854" s="380" t="str">
        <f>VLOOKUP($B854,'D7 - NDB Impacted SPRF''s'!$E$16:$O$9929,7,FALSE)</f>
        <v>Diane Schofield</v>
      </c>
      <c r="AF854" s="380" t="str">
        <f>VLOOKUP($B854,'D7 - NDB Impacted SPRF''s'!$E$16:$O$9929,6,FALSE)</f>
        <v>ANNMARIE LEWIS</v>
      </c>
      <c r="AG854" s="282"/>
      <c r="AH854" s="311" t="e">
        <f>INDEX('D5 - Gatekeeper - Projects'!$A$4:$AF$1010,$AM854, 17)</f>
        <v>#N/A</v>
      </c>
      <c r="AI854" s="8"/>
      <c r="AJ854" s="57"/>
      <c r="AK854" s="105"/>
      <c r="AM854" s="6" t="e">
        <f>MATCH(D854,'D5 - Gatekeeper - Projects'!$C$4:$C$1010,0)</f>
        <v>#N/A</v>
      </c>
      <c r="AN854" s="6" t="b">
        <f t="shared" si="80"/>
        <v>1</v>
      </c>
      <c r="AO854" s="6" t="str">
        <f t="shared" si="83"/>
        <v>OK</v>
      </c>
      <c r="AQ854" s="6" t="e">
        <f>MATCH($D854,'D4 - Provider Council Unsched'!$C$11:$C$234,0)</f>
        <v>#N/A</v>
      </c>
      <c r="AR854" s="6" t="b">
        <f t="shared" si="81"/>
        <v>1</v>
      </c>
      <c r="AS854" s="6" t="str">
        <f t="shared" si="79"/>
        <v>OK</v>
      </c>
      <c r="AU854" s="202"/>
      <c r="AV854" s="262"/>
      <c r="AW854" s="274"/>
    </row>
    <row r="855" spans="1:49" s="13" customFormat="1" ht="33.75" x14ac:dyDescent="0.2">
      <c r="A855" s="14">
        <v>831</v>
      </c>
      <c r="B855" s="14">
        <v>400018088</v>
      </c>
      <c r="C855" s="8" t="s">
        <v>5197</v>
      </c>
      <c r="D855" s="4" t="str">
        <f t="shared" si="82"/>
        <v>400018088R1</v>
      </c>
      <c r="E855" s="309" t="str">
        <f>VLOOKUP($B855,'D7 - NDB Impacted SPRF''s'!$E$6:$O$9929,2,FALSE)</f>
        <v>CMS DRG Enhancements</v>
      </c>
      <c r="F855" s="8" t="s">
        <v>2114</v>
      </c>
      <c r="G855" s="8" t="s">
        <v>4758</v>
      </c>
      <c r="H855" s="8" t="s">
        <v>4246</v>
      </c>
      <c r="I855" s="20">
        <v>1.07</v>
      </c>
      <c r="J855" s="8" t="s">
        <v>4862</v>
      </c>
      <c r="K855" s="182">
        <v>39424</v>
      </c>
      <c r="L855" s="8" t="s">
        <v>5743</v>
      </c>
      <c r="M855" s="8" t="s">
        <v>6688</v>
      </c>
      <c r="N855" s="38"/>
      <c r="O855" s="8" t="s">
        <v>5042</v>
      </c>
      <c r="P855" s="4" t="str">
        <f>VLOOKUP($B855,'D7 - NDB Impacted SPRF''s'!$E$16:$O$9929,9,FALSE)</f>
        <v>Y</v>
      </c>
      <c r="Q855" s="4" t="str">
        <f>VLOOKUP($B855,'D7 - NDB Impacted SPRF''s'!$E$16:$O$9929,10,FALSE)</f>
        <v>N</v>
      </c>
      <c r="R855" s="4" t="str">
        <f>VLOOKUP($B855,'D7 - NDB Impacted SPRF''s'!$E$16:$O$9929,11,FALSE)</f>
        <v>Y</v>
      </c>
      <c r="S855" s="8"/>
      <c r="T855" s="310"/>
      <c r="U855" s="310"/>
      <c r="V855" s="4"/>
      <c r="W855" s="4"/>
      <c r="X855" s="4"/>
      <c r="Y855" s="4"/>
      <c r="Z855" s="4"/>
      <c r="AA855" s="4"/>
      <c r="AB855" s="380" t="str">
        <f>VLOOKUP($B855,'D7 - NDB Impacted SPRF''s'!$E$16:$O$9929,4,FALSE)</f>
        <v>Completed</v>
      </c>
      <c r="AC855" s="380" t="str">
        <f>VLOOKUP($B855,'D7 - NDB Impacted SPRF''s'!$E$16:$O$9929,3,FALSE)</f>
        <v>UnitedHealthcare Employer &amp; Individual</v>
      </c>
      <c r="AD855" s="380" t="str">
        <f>VLOOKUP($B855,'D7 - NDB Impacted SPRF''s'!$E$16:$O$9929,5,FALSE)</f>
        <v>Medical Cost Savings Programs</v>
      </c>
      <c r="AE855" s="380" t="str">
        <f>VLOOKUP($B855,'D7 - NDB Impacted SPRF''s'!$E$16:$O$9929,7,FALSE)</f>
        <v>Steven Mueller</v>
      </c>
      <c r="AF855" s="380" t="str">
        <f>VLOOKUP($B855,'D7 - NDB Impacted SPRF''s'!$E$16:$O$9929,6,FALSE)</f>
        <v>JEFFREY HUXLEY</v>
      </c>
      <c r="AG855" s="282"/>
      <c r="AH855" s="311" t="e">
        <f>INDEX('D5 - Gatekeeper - Projects'!$A$4:$AF$1010,$AM855, 17)</f>
        <v>#N/A</v>
      </c>
      <c r="AI855" s="8"/>
      <c r="AJ855" s="57"/>
      <c r="AK855" s="105"/>
      <c r="AM855" s="6" t="e">
        <f>MATCH(D855,'D5 - Gatekeeper - Projects'!$C$4:$C$1010,0)</f>
        <v>#N/A</v>
      </c>
      <c r="AN855" s="6" t="b">
        <f t="shared" si="80"/>
        <v>1</v>
      </c>
      <c r="AO855" s="6" t="str">
        <f t="shared" si="83"/>
        <v>OK</v>
      </c>
      <c r="AQ855" s="6" t="e">
        <f>MATCH($D855,'D4 - Provider Council Unsched'!$C$11:$C$234,0)</f>
        <v>#N/A</v>
      </c>
      <c r="AR855" s="6" t="b">
        <f t="shared" si="81"/>
        <v>1</v>
      </c>
      <c r="AS855" s="6" t="str">
        <f t="shared" si="79"/>
        <v>OK</v>
      </c>
      <c r="AU855" s="202"/>
      <c r="AV855" s="262"/>
      <c r="AW855" s="274"/>
    </row>
    <row r="856" spans="1:49" s="13" customFormat="1" ht="33.75" x14ac:dyDescent="0.2">
      <c r="A856" s="14">
        <v>832</v>
      </c>
      <c r="B856" s="14">
        <v>400018429</v>
      </c>
      <c r="C856" s="8" t="s">
        <v>5197</v>
      </c>
      <c r="D856" s="4" t="str">
        <f t="shared" si="82"/>
        <v>400018429R1</v>
      </c>
      <c r="E856" s="309" t="str">
        <f>VLOOKUP($B856,'D7 - NDB Impacted SPRF''s'!$E$6:$O$9929,2,FALSE)</f>
        <v>PCP Indicator Assignment at Contract Level</v>
      </c>
      <c r="F856" s="8" t="s">
        <v>2114</v>
      </c>
      <c r="G856" s="8" t="s">
        <v>4758</v>
      </c>
      <c r="H856" s="8" t="s">
        <v>4246</v>
      </c>
      <c r="I856" s="20">
        <f>1470/160-5.64</f>
        <v>3.5475000000000003</v>
      </c>
      <c r="J856" s="8" t="s">
        <v>4862</v>
      </c>
      <c r="K856" s="182">
        <v>39424</v>
      </c>
      <c r="L856" s="8" t="s">
        <v>4156</v>
      </c>
      <c r="M856" s="8" t="s">
        <v>2814</v>
      </c>
      <c r="N856" s="38"/>
      <c r="O856" s="8" t="s">
        <v>5042</v>
      </c>
      <c r="P856" s="4" t="str">
        <f>VLOOKUP($B856,'D7 - NDB Impacted SPRF''s'!$E$16:$O$9929,9,FALSE)</f>
        <v>Y</v>
      </c>
      <c r="Q856" s="4" t="str">
        <f>VLOOKUP($B856,'D7 - NDB Impacted SPRF''s'!$E$16:$O$9929,10,FALSE)</f>
        <v>N</v>
      </c>
      <c r="R856" s="4" t="str">
        <f>VLOOKUP($B856,'D7 - NDB Impacted SPRF''s'!$E$16:$O$9929,11,FALSE)</f>
        <v>Y</v>
      </c>
      <c r="S856" s="8"/>
      <c r="T856" s="310"/>
      <c r="U856" s="310"/>
      <c r="V856" s="4"/>
      <c r="W856" s="4"/>
      <c r="X856" s="4"/>
      <c r="Y856" s="4"/>
      <c r="Z856" s="4"/>
      <c r="AA856" s="4"/>
      <c r="AB856" s="380" t="str">
        <f>VLOOKUP($B856,'D7 - NDB Impacted SPRF''s'!$E$16:$O$9929,4,FALSE)</f>
        <v>Completed</v>
      </c>
      <c r="AC856" s="380" t="str">
        <f>VLOOKUP($B856,'D7 - NDB Impacted SPRF''s'!$E$16:$O$9929,3,FALSE)</f>
        <v>UnitedHealthcare Employer &amp; Individual</v>
      </c>
      <c r="AD856" s="380" t="str">
        <f>VLOOKUP($B856,'D7 - NDB Impacted SPRF''s'!$E$16:$O$9929,5,FALSE)</f>
        <v>Medical Cost Savings Programs</v>
      </c>
      <c r="AE856" s="380" t="str">
        <f>VLOOKUP($B856,'D7 - NDB Impacted SPRF''s'!$E$16:$O$9929,7,FALSE)</f>
        <v>Ross Lippincott</v>
      </c>
      <c r="AF856" s="380" t="str">
        <f>VLOOKUP($B856,'D7 - NDB Impacted SPRF''s'!$E$16:$O$9929,6,FALSE)</f>
        <v>Southerland SHERRY</v>
      </c>
      <c r="AG856" s="282"/>
      <c r="AH856" s="311" t="e">
        <f>INDEX('D5 - Gatekeeper - Projects'!$A$4:$AF$1010,$AM856, 17)</f>
        <v>#N/A</v>
      </c>
      <c r="AI856" s="8"/>
      <c r="AJ856" s="57"/>
      <c r="AK856" s="105"/>
      <c r="AM856" s="6" t="e">
        <f>MATCH(D856,'D5 - Gatekeeper - Projects'!$C$4:$C$1010,0)</f>
        <v>#N/A</v>
      </c>
      <c r="AN856" s="6" t="b">
        <f t="shared" si="80"/>
        <v>1</v>
      </c>
      <c r="AO856" s="6" t="str">
        <f t="shared" si="83"/>
        <v>OK</v>
      </c>
      <c r="AQ856" s="6" t="e">
        <f>MATCH($D856,'D4 - Provider Council Unsched'!$C$11:$C$234,0)</f>
        <v>#N/A</v>
      </c>
      <c r="AR856" s="6" t="b">
        <f t="shared" si="81"/>
        <v>1</v>
      </c>
      <c r="AS856" s="6" t="str">
        <f t="shared" si="79"/>
        <v>OK</v>
      </c>
      <c r="AU856" s="202"/>
      <c r="AV856" s="262"/>
      <c r="AW856" s="274"/>
    </row>
    <row r="857" spans="1:49" s="13" customFormat="1" ht="33.75" x14ac:dyDescent="0.2">
      <c r="A857" s="14">
        <v>833</v>
      </c>
      <c r="B857" s="14">
        <v>400018432</v>
      </c>
      <c r="C857" s="8" t="s">
        <v>5197</v>
      </c>
      <c r="D857" s="4" t="str">
        <f t="shared" si="82"/>
        <v>400018432R1</v>
      </c>
      <c r="E857" s="309" t="str">
        <f>VLOOKUP($B857,'D7 - NDB Impacted SPRF''s'!$E$6:$O$9929,2,FALSE)</f>
        <v>OXHP Scope Change for EPDE Feed</v>
      </c>
      <c r="F857" s="8" t="s">
        <v>6138</v>
      </c>
      <c r="G857" s="8" t="s">
        <v>4758</v>
      </c>
      <c r="H857" s="8" t="s">
        <v>4246</v>
      </c>
      <c r="I857" s="20">
        <v>0.67</v>
      </c>
      <c r="J857" s="8" t="s">
        <v>4862</v>
      </c>
      <c r="K857" s="182">
        <v>39424</v>
      </c>
      <c r="L857" s="8" t="s">
        <v>5743</v>
      </c>
      <c r="M857" s="8" t="s">
        <v>6007</v>
      </c>
      <c r="N857" s="38"/>
      <c r="O857" s="8" t="s">
        <v>5898</v>
      </c>
      <c r="P857" s="4" t="str">
        <f>VLOOKUP($B857,'D7 - NDB Impacted SPRF''s'!$E$16:$O$9929,9,FALSE)</f>
        <v>N</v>
      </c>
      <c r="Q857" s="4" t="str">
        <f>VLOOKUP($B857,'D7 - NDB Impacted SPRF''s'!$E$16:$O$9929,10,FALSE)</f>
        <v>N</v>
      </c>
      <c r="R857" s="4" t="str">
        <f>VLOOKUP($B857,'D7 - NDB Impacted SPRF''s'!$E$16:$O$9929,11,FALSE)</f>
        <v>N</v>
      </c>
      <c r="S857" s="8"/>
      <c r="T857" s="310"/>
      <c r="U857" s="310"/>
      <c r="V857" s="4"/>
      <c r="W857" s="4"/>
      <c r="X857" s="4"/>
      <c r="Y857" s="4"/>
      <c r="Z857" s="4"/>
      <c r="AA857" s="4"/>
      <c r="AB857" s="380" t="str">
        <f>VLOOKUP($B857,'D7 - NDB Impacted SPRF''s'!$E$16:$O$9929,4,FALSE)</f>
        <v>Completed</v>
      </c>
      <c r="AC857" s="380" t="str">
        <f>VLOOKUP($B857,'D7 - NDB Impacted SPRF''s'!$E$16:$O$9929,3,FALSE)</f>
        <v>UnitedHealthcare Employer &amp; Individual</v>
      </c>
      <c r="AD857" s="380" t="str">
        <f>VLOOKUP($B857,'D7 - NDB Impacted SPRF''s'!$E$16:$O$9929,5,FALSE)</f>
        <v>Integration Requirements</v>
      </c>
      <c r="AE857" s="380" t="str">
        <f>VLOOKUP($B857,'D7 - NDB Impacted SPRF''s'!$E$16:$O$9929,7,FALSE)</f>
        <v>Tim Kaja</v>
      </c>
      <c r="AF857" s="380" t="str">
        <f>VLOOKUP($B857,'D7 - NDB Impacted SPRF''s'!$E$16:$O$9929,6,FALSE)</f>
        <v>MARCIA MONACO</v>
      </c>
      <c r="AG857" s="282"/>
      <c r="AH857" s="311" t="e">
        <f>INDEX('D5 - Gatekeeper - Projects'!$A$4:$AF$1010,$AM857, 17)</f>
        <v>#N/A</v>
      </c>
      <c r="AI857" s="8"/>
      <c r="AJ857" s="57"/>
      <c r="AK857" s="105"/>
      <c r="AM857" s="6" t="e">
        <f>MATCH(D857,'D5 - Gatekeeper - Projects'!$C$4:$C$1010,0)</f>
        <v>#N/A</v>
      </c>
      <c r="AN857" s="6" t="b">
        <f t="shared" si="80"/>
        <v>1</v>
      </c>
      <c r="AO857" s="6" t="str">
        <f t="shared" si="83"/>
        <v>OK</v>
      </c>
      <c r="AQ857" s="6" t="e">
        <f>MATCH($D857,'D4 - Provider Council Unsched'!$C$11:$C$234,0)</f>
        <v>#N/A</v>
      </c>
      <c r="AR857" s="6" t="b">
        <f t="shared" si="81"/>
        <v>1</v>
      </c>
      <c r="AS857" s="6" t="str">
        <f t="shared" si="79"/>
        <v>OK</v>
      </c>
      <c r="AU857" s="202"/>
      <c r="AV857" s="262"/>
      <c r="AW857" s="274"/>
    </row>
    <row r="858" spans="1:49" s="13" customFormat="1" ht="33.75" x14ac:dyDescent="0.2">
      <c r="A858" s="14">
        <v>834</v>
      </c>
      <c r="B858" s="14">
        <v>400019199</v>
      </c>
      <c r="C858" s="8" t="s">
        <v>5197</v>
      </c>
      <c r="D858" s="4" t="str">
        <f t="shared" si="82"/>
        <v>400019199R1</v>
      </c>
      <c r="E858" s="309" t="str">
        <f>VLOOKUP($B858,'D7 - NDB Impacted SPRF''s'!$E$6:$O$9929,2,FALSE)</f>
        <v>Myuhc Migration to Portal Server</v>
      </c>
      <c r="F858" s="8" t="s">
        <v>2114</v>
      </c>
      <c r="G858" s="8" t="s">
        <v>4758</v>
      </c>
      <c r="H858" s="8" t="s">
        <v>4246</v>
      </c>
      <c r="I858" s="20">
        <v>1.07</v>
      </c>
      <c r="J858" s="8" t="s">
        <v>4862</v>
      </c>
      <c r="K858" s="182">
        <v>39424</v>
      </c>
      <c r="L858" s="8" t="s">
        <v>5743</v>
      </c>
      <c r="M858" s="8" t="s">
        <v>5626</v>
      </c>
      <c r="N858" s="38"/>
      <c r="O858" s="8"/>
      <c r="P858" s="4" t="str">
        <f>VLOOKUP($B858,'D7 - NDB Impacted SPRF''s'!$E$16:$O$9929,9,FALSE)</f>
        <v>N</v>
      </c>
      <c r="Q858" s="4" t="str">
        <f>VLOOKUP($B858,'D7 - NDB Impacted SPRF''s'!$E$16:$O$9929,10,FALSE)</f>
        <v>N</v>
      </c>
      <c r="R858" s="4" t="str">
        <f>VLOOKUP($B858,'D7 - NDB Impacted SPRF''s'!$E$16:$O$9929,11,FALSE)</f>
        <v>N</v>
      </c>
      <c r="S858" s="8"/>
      <c r="T858" s="310"/>
      <c r="U858" s="310"/>
      <c r="V858" s="4"/>
      <c r="W858" s="4"/>
      <c r="X858" s="4"/>
      <c r="Y858" s="4"/>
      <c r="Z858" s="4"/>
      <c r="AA858" s="4"/>
      <c r="AB858" s="380" t="str">
        <f>VLOOKUP($B858,'D7 - NDB Impacted SPRF''s'!$E$16:$O$9929,4,FALSE)</f>
        <v>Completed</v>
      </c>
      <c r="AC858" s="380" t="str">
        <f>VLOOKUP($B858,'D7 - NDB Impacted SPRF''s'!$E$16:$O$9929,3,FALSE)</f>
        <v>UnitedHealthcare Employer &amp; Individual</v>
      </c>
      <c r="AD858" s="380" t="str">
        <f>VLOOKUP($B858,'D7 - NDB Impacted SPRF''s'!$E$16:$O$9929,5,FALSE)</f>
        <v>Membership Growth / Revenue Programs</v>
      </c>
      <c r="AE858" s="380" t="str">
        <f>VLOOKUP($B858,'D7 - NDB Impacted SPRF''s'!$E$16:$O$9929,7,FALSE)</f>
        <v>Mark Gennerman/Giulia Pogers</v>
      </c>
      <c r="AF858" s="380" t="str">
        <f>VLOOKUP($B858,'D7 - NDB Impacted SPRF''s'!$E$16:$O$9929,6,FALSE)</f>
        <v>FRED CAMACHO</v>
      </c>
      <c r="AG858" s="282"/>
      <c r="AH858" s="311" t="e">
        <f>INDEX('D5 - Gatekeeper - Projects'!$A$4:$AF$1010,$AM858, 17)</f>
        <v>#N/A</v>
      </c>
      <c r="AI858" s="8"/>
      <c r="AJ858" s="57"/>
      <c r="AK858" s="105"/>
      <c r="AM858" s="6" t="e">
        <f>MATCH(D858,'D5 - Gatekeeper - Projects'!$C$4:$C$1010,0)</f>
        <v>#N/A</v>
      </c>
      <c r="AN858" s="6" t="b">
        <f t="shared" si="80"/>
        <v>1</v>
      </c>
      <c r="AO858" s="6" t="str">
        <f t="shared" si="83"/>
        <v>OK</v>
      </c>
      <c r="AQ858" s="6" t="e">
        <f>MATCH($D858,'D4 - Provider Council Unsched'!$C$11:$C$234,0)</f>
        <v>#N/A</v>
      </c>
      <c r="AR858" s="6" t="b">
        <f t="shared" si="81"/>
        <v>1</v>
      </c>
      <c r="AS858" s="6" t="str">
        <f t="shared" si="79"/>
        <v>OK</v>
      </c>
      <c r="AU858" s="202"/>
      <c r="AV858" s="262"/>
      <c r="AW858" s="274"/>
    </row>
    <row r="859" spans="1:49" s="13" customFormat="1" ht="33.75" x14ac:dyDescent="0.2">
      <c r="A859" s="14">
        <v>835</v>
      </c>
      <c r="B859" s="14">
        <v>400019613</v>
      </c>
      <c r="C859" s="8" t="s">
        <v>5197</v>
      </c>
      <c r="D859" s="4" t="str">
        <f t="shared" si="82"/>
        <v>400019613R1</v>
      </c>
      <c r="E859" s="309" t="str">
        <f>VLOOKUP($B859,'D7 - NDB Impacted SPRF''s'!$E$6:$O$9929,2,FALSE)</f>
        <v>WO - FTP mailbox setup</v>
      </c>
      <c r="F859" s="8"/>
      <c r="G859" s="8" t="s">
        <v>4758</v>
      </c>
      <c r="H859" s="8" t="s">
        <v>4246</v>
      </c>
      <c r="I859" s="20">
        <v>0.88</v>
      </c>
      <c r="J859" s="8" t="s">
        <v>4862</v>
      </c>
      <c r="K859" s="182">
        <v>39424</v>
      </c>
      <c r="L859" s="8" t="s">
        <v>5743</v>
      </c>
      <c r="M859" s="8" t="s">
        <v>4450</v>
      </c>
      <c r="N859" s="38" t="s">
        <v>2513</v>
      </c>
      <c r="O859" s="8" t="s">
        <v>5042</v>
      </c>
      <c r="P859" s="4" t="str">
        <f>VLOOKUP($B859,'D7 - NDB Impacted SPRF''s'!$E$16:$O$9929,9,FALSE)</f>
        <v>N</v>
      </c>
      <c r="Q859" s="4" t="str">
        <f>VLOOKUP($B859,'D7 - NDB Impacted SPRF''s'!$E$16:$O$9929,10,FALSE)</f>
        <v>N</v>
      </c>
      <c r="R859" s="4" t="str">
        <f>VLOOKUP($B859,'D7 - NDB Impacted SPRF''s'!$E$16:$O$9929,11,FALSE)</f>
        <v>N</v>
      </c>
      <c r="S859" s="8"/>
      <c r="T859" s="310"/>
      <c r="U859" s="310"/>
      <c r="V859" s="4"/>
      <c r="W859" s="4"/>
      <c r="X859" s="4"/>
      <c r="Y859" s="4"/>
      <c r="Z859" s="4"/>
      <c r="AA859" s="4"/>
      <c r="AB859" s="380" t="str">
        <f>VLOOKUP($B859,'D7 - NDB Impacted SPRF''s'!$E$16:$O$9929,4,FALSE)</f>
        <v>Completed</v>
      </c>
      <c r="AC859" s="380" t="str">
        <f>VLOOKUP($B859,'D7 - NDB Impacted SPRF''s'!$E$16:$O$9929,3,FALSE)</f>
        <v>UnitedHealthcare Employer &amp; Individual</v>
      </c>
      <c r="AD859" s="380" t="str">
        <f>VLOOKUP($B859,'D7 - NDB Impacted SPRF''s'!$E$16:$O$9929,5,FALSE)</f>
        <v>Regulatory / Other</v>
      </c>
      <c r="AE859" s="380" t="str">
        <f>VLOOKUP($B859,'D7 - NDB Impacted SPRF''s'!$E$16:$O$9929,7,FALSE)</f>
        <v>Roxanne Hanus</v>
      </c>
      <c r="AF859" s="380" t="str">
        <f>VLOOKUP($B859,'D7 - NDB Impacted SPRF''s'!$E$16:$O$9929,6,FALSE)</f>
        <v>BRAHMBHATT LIBBY</v>
      </c>
      <c r="AG859" s="282"/>
      <c r="AH859" s="311" t="e">
        <f>INDEX('D5 - Gatekeeper - Projects'!$A$4:$AF$1010,$AM859, 17)</f>
        <v>#N/A</v>
      </c>
      <c r="AI859" s="8"/>
      <c r="AJ859" s="57"/>
      <c r="AK859" s="105"/>
      <c r="AM859" s="6" t="e">
        <f>MATCH(D859,'D5 - Gatekeeper - Projects'!$C$4:$C$1010,0)</f>
        <v>#N/A</v>
      </c>
      <c r="AN859" s="6" t="b">
        <f t="shared" si="80"/>
        <v>1</v>
      </c>
      <c r="AO859" s="6" t="str">
        <f t="shared" si="83"/>
        <v>OK</v>
      </c>
      <c r="AQ859" s="6" t="e">
        <f>MATCH($D859,'D4 - Provider Council Unsched'!$C$11:$C$234,0)</f>
        <v>#N/A</v>
      </c>
      <c r="AR859" s="6" t="b">
        <f t="shared" si="81"/>
        <v>1</v>
      </c>
      <c r="AS859" s="6" t="str">
        <f t="shared" si="79"/>
        <v>OK</v>
      </c>
      <c r="AU859" s="202"/>
      <c r="AV859" s="262"/>
      <c r="AW859" s="274"/>
    </row>
    <row r="860" spans="1:49" s="13" customFormat="1" ht="33.75" x14ac:dyDescent="0.2">
      <c r="A860" s="14">
        <v>836</v>
      </c>
      <c r="B860" s="14">
        <v>400019956</v>
      </c>
      <c r="C860" s="8" t="s">
        <v>5197</v>
      </c>
      <c r="D860" s="4" t="str">
        <f t="shared" si="82"/>
        <v>400019956R1</v>
      </c>
      <c r="E860" s="309" t="str">
        <f>VLOOKUP($B860,'D7 - NDB Impacted SPRF''s'!$E$6:$O$9929,2,FALSE)</f>
        <v>Analysis to reject HIPAA transactions</v>
      </c>
      <c r="F860" s="8" t="s">
        <v>4471</v>
      </c>
      <c r="G860" s="8" t="s">
        <v>4758</v>
      </c>
      <c r="H860" s="8" t="s">
        <v>4246</v>
      </c>
      <c r="I860" s="20">
        <v>0.39</v>
      </c>
      <c r="J860" s="8" t="s">
        <v>4862</v>
      </c>
      <c r="K860" s="182">
        <v>39424</v>
      </c>
      <c r="L860" s="8" t="s">
        <v>5743</v>
      </c>
      <c r="M860" s="8" t="s">
        <v>6688</v>
      </c>
      <c r="N860" s="38" t="s">
        <v>7963</v>
      </c>
      <c r="O860" s="8" t="s">
        <v>5898</v>
      </c>
      <c r="P860" s="4" t="str">
        <f>VLOOKUP($B860,'D7 - NDB Impacted SPRF''s'!$E$16:$O$9929,9,FALSE)</f>
        <v>Y</v>
      </c>
      <c r="Q860" s="4" t="str">
        <f>VLOOKUP($B860,'D7 - NDB Impacted SPRF''s'!$E$16:$O$9929,10,FALSE)</f>
        <v>N</v>
      </c>
      <c r="R860" s="4" t="str">
        <f>VLOOKUP($B860,'D7 - NDB Impacted SPRF''s'!$E$16:$O$9929,11,FALSE)</f>
        <v>N</v>
      </c>
      <c r="S860" s="8"/>
      <c r="T860" s="310"/>
      <c r="U860" s="310"/>
      <c r="V860" s="4"/>
      <c r="W860" s="4"/>
      <c r="X860" s="4"/>
      <c r="Y860" s="4"/>
      <c r="Z860" s="4"/>
      <c r="AA860" s="4"/>
      <c r="AB860" s="380" t="str">
        <f>VLOOKUP($B860,'D7 - NDB Impacted SPRF''s'!$E$16:$O$9929,4,FALSE)</f>
        <v>Completed</v>
      </c>
      <c r="AC860" s="380" t="str">
        <f>VLOOKUP($B860,'D7 - NDB Impacted SPRF''s'!$E$16:$O$9929,3,FALSE)</f>
        <v>UnitedHealthcare Employer &amp; Individual</v>
      </c>
      <c r="AD860" s="380" t="str">
        <f>VLOOKUP($B860,'D7 - NDB Impacted SPRF''s'!$E$16:$O$9929,5,FALSE)</f>
        <v>Regulatory / Other</v>
      </c>
      <c r="AE860" s="380" t="str">
        <f>VLOOKUP($B860,'D7 - NDB Impacted SPRF''s'!$E$16:$O$9929,7,FALSE)</f>
        <v>Ross Lippincott</v>
      </c>
      <c r="AF860" s="380" t="str">
        <f>VLOOKUP($B860,'D7 - NDB Impacted SPRF''s'!$E$16:$O$9929,6,FALSE)</f>
        <v>Roderica Morris</v>
      </c>
      <c r="AG860" s="282"/>
      <c r="AH860" s="311" t="e">
        <f>INDEX('D5 - Gatekeeper - Projects'!$A$4:$AF$1010,$AM860, 17)</f>
        <v>#N/A</v>
      </c>
      <c r="AI860" s="8"/>
      <c r="AJ860" s="57"/>
      <c r="AK860" s="105"/>
      <c r="AM860" s="6" t="e">
        <f>MATCH(D860,'D5 - Gatekeeper - Projects'!$C$4:$C$1010,0)</f>
        <v>#N/A</v>
      </c>
      <c r="AN860" s="6" t="b">
        <f t="shared" si="80"/>
        <v>1</v>
      </c>
      <c r="AO860" s="6" t="str">
        <f t="shared" si="83"/>
        <v>OK</v>
      </c>
      <c r="AQ860" s="6" t="e">
        <f>MATCH($D860,'D4 - Provider Council Unsched'!$C$11:$C$234,0)</f>
        <v>#N/A</v>
      </c>
      <c r="AR860" s="6" t="b">
        <f t="shared" si="81"/>
        <v>1</v>
      </c>
      <c r="AS860" s="6" t="str">
        <f t="shared" si="79"/>
        <v>OK</v>
      </c>
      <c r="AU860" s="202"/>
      <c r="AV860" s="262"/>
      <c r="AW860" s="274"/>
    </row>
    <row r="861" spans="1:49" s="13" customFormat="1" ht="33.75" x14ac:dyDescent="0.2">
      <c r="A861" s="14">
        <v>837</v>
      </c>
      <c r="B861" s="14">
        <v>400021024</v>
      </c>
      <c r="C861" s="8" t="s">
        <v>5197</v>
      </c>
      <c r="D861" s="4" t="str">
        <f t="shared" si="82"/>
        <v>400021024R1</v>
      </c>
      <c r="E861" s="309" t="str">
        <f>VLOOKUP($B861,'D7 - NDB Impacted SPRF''s'!$E$6:$O$9929,2,FALSE)</f>
        <v xml:space="preserve">NDB Modifier Exception Tbl Reporting for ppoONE </v>
      </c>
      <c r="F861" s="8" t="s">
        <v>2114</v>
      </c>
      <c r="G861" s="8" t="s">
        <v>4758</v>
      </c>
      <c r="H861" s="8" t="s">
        <v>4246</v>
      </c>
      <c r="I861" s="20">
        <v>0.97</v>
      </c>
      <c r="J861" s="8" t="s">
        <v>4862</v>
      </c>
      <c r="K861" s="182">
        <v>39424</v>
      </c>
      <c r="L861" s="8" t="s">
        <v>5743</v>
      </c>
      <c r="M861" s="8" t="s">
        <v>6007</v>
      </c>
      <c r="N861" s="38"/>
      <c r="O861" s="8" t="s">
        <v>2547</v>
      </c>
      <c r="P861" s="4" t="str">
        <f>VLOOKUP($B861,'D7 - NDB Impacted SPRF''s'!$E$16:$O$9929,9,FALSE)</f>
        <v>N</v>
      </c>
      <c r="Q861" s="4" t="str">
        <f>VLOOKUP($B861,'D7 - NDB Impacted SPRF''s'!$E$16:$O$9929,10,FALSE)</f>
        <v>N</v>
      </c>
      <c r="R861" s="4" t="str">
        <f>VLOOKUP($B861,'D7 - NDB Impacted SPRF''s'!$E$16:$O$9929,11,FALSE)</f>
        <v>N</v>
      </c>
      <c r="S861" s="8"/>
      <c r="T861" s="310"/>
      <c r="U861" s="310"/>
      <c r="V861" s="4"/>
      <c r="W861" s="4"/>
      <c r="X861" s="4"/>
      <c r="Y861" s="4"/>
      <c r="Z861" s="4"/>
      <c r="AA861" s="4"/>
      <c r="AB861" s="380" t="str">
        <f>VLOOKUP($B861,'D7 - NDB Impacted SPRF''s'!$E$16:$O$9929,4,FALSE)</f>
        <v>Completed</v>
      </c>
      <c r="AC861" s="380" t="str">
        <f>VLOOKUP($B861,'D7 - NDB Impacted SPRF''s'!$E$16:$O$9929,3,FALSE)</f>
        <v>UnitedHealthcare Employer &amp; Individual</v>
      </c>
      <c r="AD861" s="380" t="str">
        <f>VLOOKUP($B861,'D7 - NDB Impacted SPRF''s'!$E$16:$O$9929,5,FALSE)</f>
        <v>Medical Cost Savings Programs</v>
      </c>
      <c r="AE861" s="380" t="str">
        <f>VLOOKUP($B861,'D7 - NDB Impacted SPRF''s'!$E$16:$O$9929,7,FALSE)</f>
        <v xml:space="preserve">Matt Guisinger </v>
      </c>
      <c r="AF861" s="380" t="str">
        <f>VLOOKUP($B861,'D7 - NDB Impacted SPRF''s'!$E$16:$O$9929,6,FALSE)</f>
        <v>PENNINGTON CAROL</v>
      </c>
      <c r="AG861" s="282"/>
      <c r="AH861" s="311" t="e">
        <f>INDEX('D5 - Gatekeeper - Projects'!$A$4:$AF$1010,$AM861, 17)</f>
        <v>#N/A</v>
      </c>
      <c r="AI861" s="8"/>
      <c r="AJ861" s="57"/>
      <c r="AK861" s="105"/>
      <c r="AM861" s="6" t="e">
        <f>MATCH(D861,'D5 - Gatekeeper - Projects'!$C$4:$C$1010,0)</f>
        <v>#N/A</v>
      </c>
      <c r="AN861" s="6" t="b">
        <f t="shared" si="80"/>
        <v>1</v>
      </c>
      <c r="AO861" s="6" t="str">
        <f t="shared" si="83"/>
        <v>OK</v>
      </c>
      <c r="AQ861" s="6" t="e">
        <f>MATCH($D861,'D4 - Provider Council Unsched'!$C$11:$C$234,0)</f>
        <v>#N/A</v>
      </c>
      <c r="AR861" s="6" t="b">
        <f t="shared" si="81"/>
        <v>1</v>
      </c>
      <c r="AS861" s="6" t="str">
        <f t="shared" si="79"/>
        <v>OK</v>
      </c>
      <c r="AU861" s="202"/>
      <c r="AV861" s="262"/>
      <c r="AW861" s="274"/>
    </row>
    <row r="862" spans="1:49" s="13" customFormat="1" ht="33.75" x14ac:dyDescent="0.2">
      <c r="A862" s="14">
        <v>838</v>
      </c>
      <c r="B862" s="14">
        <v>400021070</v>
      </c>
      <c r="C862" s="8" t="s">
        <v>5197</v>
      </c>
      <c r="D862" s="4" t="str">
        <f t="shared" si="82"/>
        <v>400021070R1</v>
      </c>
      <c r="E862" s="309" t="str">
        <f>VLOOKUP($B862,'D7 - NDB Impacted SPRF''s'!$E$6:$O$9929,2,FALSE)</f>
        <v>EPDE Full File Pull for PHS Auto-Load - TX</v>
      </c>
      <c r="F862" s="8" t="s">
        <v>6071</v>
      </c>
      <c r="G862" s="8" t="s">
        <v>4758</v>
      </c>
      <c r="H862" s="8" t="s">
        <v>4246</v>
      </c>
      <c r="I862" s="20">
        <v>0.31</v>
      </c>
      <c r="J862" s="8" t="s">
        <v>4862</v>
      </c>
      <c r="K862" s="182">
        <v>39424</v>
      </c>
      <c r="L862" s="8" t="s">
        <v>5743</v>
      </c>
      <c r="M862" s="8" t="s">
        <v>4450</v>
      </c>
      <c r="N862" s="38" t="s">
        <v>1225</v>
      </c>
      <c r="O862" s="8" t="s">
        <v>5723</v>
      </c>
      <c r="P862" s="4" t="str">
        <f>VLOOKUP($B862,'D7 - NDB Impacted SPRF''s'!$E$16:$O$9929,9,FALSE)</f>
        <v>N</v>
      </c>
      <c r="Q862" s="4" t="str">
        <f>VLOOKUP($B862,'D7 - NDB Impacted SPRF''s'!$E$16:$O$9929,10,FALSE)</f>
        <v>N</v>
      </c>
      <c r="R862" s="4" t="str">
        <f>VLOOKUP($B862,'D7 - NDB Impacted SPRF''s'!$E$16:$O$9929,11,FALSE)</f>
        <v>N</v>
      </c>
      <c r="S862" s="8"/>
      <c r="T862" s="310"/>
      <c r="U862" s="310"/>
      <c r="V862" s="4"/>
      <c r="W862" s="4"/>
      <c r="X862" s="4"/>
      <c r="Y862" s="4"/>
      <c r="Z862" s="4"/>
      <c r="AA862" s="4"/>
      <c r="AB862" s="380" t="str">
        <f>VLOOKUP($B862,'D7 - NDB Impacted SPRF''s'!$E$16:$O$9929,4,FALSE)</f>
        <v>Completed</v>
      </c>
      <c r="AC862" s="380" t="str">
        <f>VLOOKUP($B862,'D7 - NDB Impacted SPRF''s'!$E$16:$O$9929,3,FALSE)</f>
        <v>UnitedHealthcare Employer &amp; Individual</v>
      </c>
      <c r="AD862" s="380" t="str">
        <f>VLOOKUP($B862,'D7 - NDB Impacted SPRF''s'!$E$16:$O$9929,5,FALSE)</f>
        <v>Integration Requirements</v>
      </c>
      <c r="AE862" s="380" t="str">
        <f>VLOOKUP($B862,'D7 - NDB Impacted SPRF''s'!$E$16:$O$9929,7,FALSE)</f>
        <v>Tim Kaja</v>
      </c>
      <c r="AF862" s="380" t="str">
        <f>VLOOKUP($B862,'D7 - NDB Impacted SPRF''s'!$E$16:$O$9929,6,FALSE)</f>
        <v>MARCIA MONACO</v>
      </c>
      <c r="AG862" s="282"/>
      <c r="AH862" s="311" t="e">
        <f>INDEX('D5 - Gatekeeper - Projects'!$A$4:$AF$1010,$AM862, 17)</f>
        <v>#N/A</v>
      </c>
      <c r="AI862" s="8"/>
      <c r="AJ862" s="57"/>
      <c r="AK862" s="105"/>
      <c r="AM862" s="6" t="e">
        <f>MATCH(D862,'D5 - Gatekeeper - Projects'!$C$4:$C$1010,0)</f>
        <v>#N/A</v>
      </c>
      <c r="AN862" s="6" t="b">
        <f t="shared" si="80"/>
        <v>1</v>
      </c>
      <c r="AO862" s="6" t="str">
        <f t="shared" si="83"/>
        <v>OK</v>
      </c>
      <c r="AQ862" s="6" t="e">
        <f>MATCH($D862,'D4 - Provider Council Unsched'!$C$11:$C$234,0)</f>
        <v>#N/A</v>
      </c>
      <c r="AR862" s="6" t="b">
        <f t="shared" si="81"/>
        <v>1</v>
      </c>
      <c r="AS862" s="6" t="str">
        <f t="shared" si="79"/>
        <v>OK</v>
      </c>
      <c r="AU862" s="202"/>
      <c r="AV862" s="262"/>
      <c r="AW862" s="274"/>
    </row>
    <row r="863" spans="1:49" s="13" customFormat="1" ht="33.75" x14ac:dyDescent="0.2">
      <c r="A863" s="14">
        <v>839</v>
      </c>
      <c r="B863" s="14">
        <v>400021224</v>
      </c>
      <c r="C863" s="8" t="s">
        <v>5197</v>
      </c>
      <c r="D863" s="4" t="str">
        <f t="shared" si="82"/>
        <v>400021224R1</v>
      </c>
      <c r="E863" s="309" t="str">
        <f>VLOOKUP($B863,'D7 - NDB Impacted SPRF''s'!$E$6:$O$9929,2,FALSE)</f>
        <v>MAMSI Repricing Access - HMO APC contracts (UBs)</v>
      </c>
      <c r="F863" s="8" t="s">
        <v>5752</v>
      </c>
      <c r="G863" s="8" t="s">
        <v>4758</v>
      </c>
      <c r="H863" s="8" t="s">
        <v>4246</v>
      </c>
      <c r="I863" s="20">
        <v>1.01</v>
      </c>
      <c r="J863" s="8" t="s">
        <v>4862</v>
      </c>
      <c r="K863" s="182">
        <v>39424</v>
      </c>
      <c r="L863" s="8" t="s">
        <v>5743</v>
      </c>
      <c r="M863" s="8" t="s">
        <v>5626</v>
      </c>
      <c r="N863" s="38"/>
      <c r="O863" s="8" t="s">
        <v>2000</v>
      </c>
      <c r="P863" s="4" t="str">
        <f>VLOOKUP($B863,'D7 - NDB Impacted SPRF''s'!$E$16:$O$9929,9,FALSE)</f>
        <v>N</v>
      </c>
      <c r="Q863" s="4" t="str">
        <f>VLOOKUP($B863,'D7 - NDB Impacted SPRF''s'!$E$16:$O$9929,10,FALSE)</f>
        <v>N</v>
      </c>
      <c r="R863" s="4" t="str">
        <f>VLOOKUP($B863,'D7 - NDB Impacted SPRF''s'!$E$16:$O$9929,11,FALSE)</f>
        <v>N</v>
      </c>
      <c r="S863" s="8"/>
      <c r="T863" s="310"/>
      <c r="U863" s="310"/>
      <c r="V863" s="4"/>
      <c r="W863" s="4"/>
      <c r="X863" s="4"/>
      <c r="Y863" s="4"/>
      <c r="Z863" s="4"/>
      <c r="AA863" s="4"/>
      <c r="AB863" s="380" t="str">
        <f>VLOOKUP($B863,'D7 - NDB Impacted SPRF''s'!$E$16:$O$9929,4,FALSE)</f>
        <v>Completed</v>
      </c>
      <c r="AC863" s="380" t="str">
        <f>VLOOKUP($B863,'D7 - NDB Impacted SPRF''s'!$E$16:$O$9929,3,FALSE)</f>
        <v>UnitedHealthcare Employer &amp; Individual</v>
      </c>
      <c r="AD863" s="380" t="str">
        <f>VLOOKUP($B863,'D7 - NDB Impacted SPRF''s'!$E$16:$O$9929,5,FALSE)</f>
        <v>Medical Cost Savings Programs</v>
      </c>
      <c r="AE863" s="380" t="str">
        <f>VLOOKUP($B863,'D7 - NDB Impacted SPRF''s'!$E$16:$O$9929,7,FALSE)</f>
        <v>Gary Simmons</v>
      </c>
      <c r="AF863" s="380" t="str">
        <f>VLOOKUP($B863,'D7 - NDB Impacted SPRF''s'!$E$16:$O$9929,6,FALSE)</f>
        <v>SARAH PETERSON</v>
      </c>
      <c r="AG863" s="282"/>
      <c r="AH863" s="311" t="e">
        <f>INDEX('D5 - Gatekeeper - Projects'!$A$4:$AF$1010,$AM863, 17)</f>
        <v>#N/A</v>
      </c>
      <c r="AI863" s="8"/>
      <c r="AJ863" s="57"/>
      <c r="AK863" s="105"/>
      <c r="AM863" s="6" t="e">
        <f>MATCH(D863,'D5 - Gatekeeper - Projects'!$C$4:$C$1010,0)</f>
        <v>#N/A</v>
      </c>
      <c r="AN863" s="6" t="b">
        <f t="shared" si="80"/>
        <v>1</v>
      </c>
      <c r="AO863" s="6" t="str">
        <f t="shared" si="83"/>
        <v>OK</v>
      </c>
      <c r="AQ863" s="6" t="e">
        <f>MATCH($D863,'D4 - Provider Council Unsched'!$C$11:$C$234,0)</f>
        <v>#N/A</v>
      </c>
      <c r="AR863" s="6" t="b">
        <f t="shared" si="81"/>
        <v>1</v>
      </c>
      <c r="AS863" s="6" t="str">
        <f t="shared" si="79"/>
        <v>OK</v>
      </c>
      <c r="AU863" s="202"/>
      <c r="AV863" s="262"/>
      <c r="AW863" s="274"/>
    </row>
    <row r="864" spans="1:49" s="13" customFormat="1" ht="33.75" x14ac:dyDescent="0.2">
      <c r="A864" s="14">
        <v>840</v>
      </c>
      <c r="B864" s="14">
        <v>400021818</v>
      </c>
      <c r="C864" s="8" t="s">
        <v>5197</v>
      </c>
      <c r="D864" s="4" t="str">
        <f t="shared" si="82"/>
        <v>400021818R1</v>
      </c>
      <c r="E864" s="309" t="str">
        <f>VLOOKUP($B864,'D7 - NDB Impacted SPRF''s'!$E$6:$O$9929,2,FALSE)</f>
        <v>Emptoris to NDB Physician - COSMOS Master Match</v>
      </c>
      <c r="F864" s="8" t="s">
        <v>2114</v>
      </c>
      <c r="G864" s="8" t="s">
        <v>4758</v>
      </c>
      <c r="H864" s="8" t="s">
        <v>4246</v>
      </c>
      <c r="I864" s="20">
        <v>1.05</v>
      </c>
      <c r="J864" s="8" t="s">
        <v>4862</v>
      </c>
      <c r="K864" s="182">
        <v>39424</v>
      </c>
      <c r="L864" s="8" t="s">
        <v>5743</v>
      </c>
      <c r="M864" s="8" t="s">
        <v>6007</v>
      </c>
      <c r="N864" s="38"/>
      <c r="O864" s="8"/>
      <c r="P864" s="4" t="str">
        <f>VLOOKUP($B864,'D7 - NDB Impacted SPRF''s'!$E$16:$O$9929,9,FALSE)</f>
        <v>N</v>
      </c>
      <c r="Q864" s="4" t="str">
        <f>VLOOKUP($B864,'D7 - NDB Impacted SPRF''s'!$E$16:$O$9929,10,FALSE)</f>
        <v>N</v>
      </c>
      <c r="R864" s="4" t="str">
        <f>VLOOKUP($B864,'D7 - NDB Impacted SPRF''s'!$E$16:$O$9929,11,FALSE)</f>
        <v>N</v>
      </c>
      <c r="S864" s="8"/>
      <c r="T864" s="310"/>
      <c r="U864" s="310"/>
      <c r="V864" s="4"/>
      <c r="W864" s="4"/>
      <c r="X864" s="4"/>
      <c r="Y864" s="4"/>
      <c r="Z864" s="4"/>
      <c r="AA864" s="4"/>
      <c r="AB864" s="380" t="str">
        <f>VLOOKUP($B864,'D7 - NDB Impacted SPRF''s'!$E$16:$O$9929,4,FALSE)</f>
        <v>Completed</v>
      </c>
      <c r="AC864" s="380" t="str">
        <f>VLOOKUP($B864,'D7 - NDB Impacted SPRF''s'!$E$16:$O$9929,3,FALSE)</f>
        <v>UnitedHealthcare Employer &amp; Individual</v>
      </c>
      <c r="AD864" s="380" t="str">
        <f>VLOOKUP($B864,'D7 - NDB Impacted SPRF''s'!$E$16:$O$9929,5,FALSE)</f>
        <v>Network Growth / Enhancements</v>
      </c>
      <c r="AE864" s="380" t="str">
        <f>VLOOKUP($B864,'D7 - NDB Impacted SPRF''s'!$E$16:$O$9929,7,FALSE)</f>
        <v>Ed Novinski</v>
      </c>
      <c r="AF864" s="380" t="str">
        <f>VLOOKUP($B864,'D7 - NDB Impacted SPRF''s'!$E$16:$O$9929,6,FALSE)</f>
        <v>JOSHUA WOODRUM</v>
      </c>
      <c r="AG864" s="282"/>
      <c r="AH864" s="311" t="e">
        <f>INDEX('D5 - Gatekeeper - Projects'!$A$4:$AF$1010,$AM864, 17)</f>
        <v>#N/A</v>
      </c>
      <c r="AI864" s="8"/>
      <c r="AJ864" s="57"/>
      <c r="AK864" s="105"/>
      <c r="AM864" s="6" t="e">
        <f>MATCH(D864,'D5 - Gatekeeper - Projects'!$C$4:$C$1010,0)</f>
        <v>#N/A</v>
      </c>
      <c r="AN864" s="6" t="b">
        <f t="shared" si="80"/>
        <v>1</v>
      </c>
      <c r="AO864" s="6" t="str">
        <f t="shared" si="83"/>
        <v>OK</v>
      </c>
      <c r="AQ864" s="6" t="e">
        <f>MATCH($D864,'D4 - Provider Council Unsched'!$C$11:$C$234,0)</f>
        <v>#N/A</v>
      </c>
      <c r="AR864" s="6" t="b">
        <f t="shared" si="81"/>
        <v>1</v>
      </c>
      <c r="AS864" s="6" t="str">
        <f t="shared" si="79"/>
        <v>OK</v>
      </c>
      <c r="AU864" s="202"/>
      <c r="AV864" s="262"/>
      <c r="AW864" s="274"/>
    </row>
    <row r="865" spans="1:49" s="13" customFormat="1" ht="33.75" x14ac:dyDescent="0.2">
      <c r="A865" s="14">
        <v>841</v>
      </c>
      <c r="B865" s="14">
        <v>400021936</v>
      </c>
      <c r="C865" s="8" t="s">
        <v>5197</v>
      </c>
      <c r="D865" s="4" t="str">
        <f t="shared" si="82"/>
        <v>400021936R1</v>
      </c>
      <c r="E865" s="309" t="str">
        <f>VLOOKUP($B865,'D7 - NDB Impacted SPRF''s'!$E$6:$O$9929,2,FALSE)</f>
        <v>HPHC - HPI DIRIGO product</v>
      </c>
      <c r="F865" s="8" t="s">
        <v>5196</v>
      </c>
      <c r="G865" s="8" t="s">
        <v>4758</v>
      </c>
      <c r="H865" s="8" t="s">
        <v>4246</v>
      </c>
      <c r="I865" s="20">
        <v>1.07</v>
      </c>
      <c r="J865" s="8" t="s">
        <v>4862</v>
      </c>
      <c r="K865" s="182">
        <v>39424</v>
      </c>
      <c r="L865" s="8" t="s">
        <v>5743</v>
      </c>
      <c r="M865" s="8" t="s">
        <v>5626</v>
      </c>
      <c r="N865" s="38"/>
      <c r="O865" s="8" t="s">
        <v>2000</v>
      </c>
      <c r="P865" s="4" t="str">
        <f>VLOOKUP($B865,'D7 - NDB Impacted SPRF''s'!$E$16:$O$9929,9,FALSE)</f>
        <v>N</v>
      </c>
      <c r="Q865" s="4" t="str">
        <f>VLOOKUP($B865,'D7 - NDB Impacted SPRF''s'!$E$16:$O$9929,10,FALSE)</f>
        <v>N</v>
      </c>
      <c r="R865" s="4" t="str">
        <f>VLOOKUP($B865,'D7 - NDB Impacted SPRF''s'!$E$16:$O$9929,11,FALSE)</f>
        <v>Y</v>
      </c>
      <c r="S865" s="8"/>
      <c r="T865" s="310"/>
      <c r="U865" s="310"/>
      <c r="V865" s="4"/>
      <c r="W865" s="4"/>
      <c r="X865" s="4"/>
      <c r="Y865" s="4"/>
      <c r="Z865" s="4"/>
      <c r="AA865" s="4"/>
      <c r="AB865" s="380" t="str">
        <f>VLOOKUP($B865,'D7 - NDB Impacted SPRF''s'!$E$16:$O$9929,4,FALSE)</f>
        <v>Completed</v>
      </c>
      <c r="AC865" s="380" t="str">
        <f>VLOOKUP($B865,'D7 - NDB Impacted SPRF''s'!$E$16:$O$9929,3,FALSE)</f>
        <v>UnitedHealthcare Employer &amp; Individual</v>
      </c>
      <c r="AD865" s="380" t="str">
        <f>VLOOKUP($B865,'D7 - NDB Impacted SPRF''s'!$E$16:$O$9929,5,FALSE)</f>
        <v>Healthcare Service Alliance</v>
      </c>
      <c r="AE865" s="380" t="str">
        <f>VLOOKUP($B865,'D7 - NDB Impacted SPRF''s'!$E$16:$O$9929,7,FALSE)</f>
        <v>Sally Verilli</v>
      </c>
      <c r="AF865" s="380" t="str">
        <f>VLOOKUP($B865,'D7 - NDB Impacted SPRF''s'!$E$16:$O$9929,6,FALSE)</f>
        <v>William Coyle</v>
      </c>
      <c r="AG865" s="282"/>
      <c r="AH865" s="311" t="e">
        <f>INDEX('D5 - Gatekeeper - Projects'!$A$4:$AF$1010,$AM865, 17)</f>
        <v>#N/A</v>
      </c>
      <c r="AI865" s="8"/>
      <c r="AJ865" s="57"/>
      <c r="AK865" s="105"/>
      <c r="AM865" s="6" t="e">
        <f>MATCH(D865,'D5 - Gatekeeper - Projects'!$C$4:$C$1010,0)</f>
        <v>#N/A</v>
      </c>
      <c r="AN865" s="6" t="b">
        <f t="shared" si="80"/>
        <v>1</v>
      </c>
      <c r="AO865" s="6" t="str">
        <f t="shared" si="83"/>
        <v>OK</v>
      </c>
      <c r="AQ865" s="6" t="e">
        <f>MATCH($D865,'D4 - Provider Council Unsched'!$C$11:$C$234,0)</f>
        <v>#N/A</v>
      </c>
      <c r="AR865" s="6" t="b">
        <f t="shared" si="81"/>
        <v>1</v>
      </c>
      <c r="AS865" s="6" t="str">
        <f t="shared" si="79"/>
        <v>OK</v>
      </c>
      <c r="AU865" s="202"/>
      <c r="AV865" s="262"/>
      <c r="AW865" s="274"/>
    </row>
    <row r="866" spans="1:49" s="13" customFormat="1" ht="33.75" x14ac:dyDescent="0.2">
      <c r="A866" s="14">
        <v>842</v>
      </c>
      <c r="B866" s="14">
        <v>400016960</v>
      </c>
      <c r="C866" s="8" t="s">
        <v>5197</v>
      </c>
      <c r="D866" s="4" t="str">
        <f t="shared" si="82"/>
        <v>400016960R1</v>
      </c>
      <c r="E866" s="309" t="str">
        <f>VLOOKUP($B866,'D7 - NDB Impacted SPRF''s'!$E$6:$O$9929,2,FALSE)</f>
        <v xml:space="preserve">2007 Business Continuity Planning </v>
      </c>
      <c r="F866" s="8" t="s">
        <v>2114</v>
      </c>
      <c r="G866" s="8" t="s">
        <v>4758</v>
      </c>
      <c r="H866" s="8" t="s">
        <v>4246</v>
      </c>
      <c r="I866" s="20">
        <v>0.13</v>
      </c>
      <c r="J866" s="8" t="s">
        <v>4862</v>
      </c>
      <c r="K866" s="182">
        <v>39447</v>
      </c>
      <c r="L866" s="8" t="s">
        <v>6919</v>
      </c>
      <c r="M866" s="8" t="s">
        <v>6688</v>
      </c>
      <c r="N866" s="38" t="s">
        <v>4573</v>
      </c>
      <c r="O866" s="8"/>
      <c r="P866" s="4" t="str">
        <f>VLOOKUP($B866,'D7 - NDB Impacted SPRF''s'!$E$16:$O$9929,9,FALSE)</f>
        <v>N</v>
      </c>
      <c r="Q866" s="4" t="str">
        <f>VLOOKUP($B866,'D7 - NDB Impacted SPRF''s'!$E$16:$O$9929,10,FALSE)</f>
        <v>N</v>
      </c>
      <c r="R866" s="4" t="str">
        <f>VLOOKUP($B866,'D7 - NDB Impacted SPRF''s'!$E$16:$O$9929,11,FALSE)</f>
        <v>N</v>
      </c>
      <c r="S866" s="8"/>
      <c r="T866" s="310"/>
      <c r="U866" s="310"/>
      <c r="V866" s="4"/>
      <c r="W866" s="4"/>
      <c r="X866" s="4"/>
      <c r="Y866" s="4"/>
      <c r="Z866" s="4"/>
      <c r="AA866" s="4"/>
      <c r="AB866" s="380" t="str">
        <f>VLOOKUP($B866,'D7 - NDB Impacted SPRF''s'!$E$16:$O$9929,4,FALSE)</f>
        <v>Cancelled</v>
      </c>
      <c r="AC866" s="380" t="str">
        <f>VLOOKUP($B866,'D7 - NDB Impacted SPRF''s'!$E$16:$O$9929,3,FALSE)</f>
        <v>Uniprise</v>
      </c>
      <c r="AD866" s="380" t="str">
        <f>VLOOKUP($B866,'D7 - NDB Impacted SPRF''s'!$E$16:$O$9929,5,FALSE)</f>
        <v>Uniprise Technologies - DDC</v>
      </c>
      <c r="AE866" s="380" t="str">
        <f>VLOOKUP($B866,'D7 - NDB Impacted SPRF''s'!$E$16:$O$9929,7,FALSE)</f>
        <v>John Doddy</v>
      </c>
      <c r="AF866" s="380" t="str">
        <f>VLOOKUP($B866,'D7 - NDB Impacted SPRF''s'!$E$16:$O$9929,6,FALSE)</f>
        <v>Ron Bakowski</v>
      </c>
      <c r="AG866" s="282"/>
      <c r="AH866" s="311" t="e">
        <f>INDEX('D5 - Gatekeeper - Projects'!$A$4:$AF$1010,$AM866, 17)</f>
        <v>#N/A</v>
      </c>
      <c r="AI866" s="8"/>
      <c r="AJ866" s="57"/>
      <c r="AK866" s="105"/>
      <c r="AM866" s="6" t="e">
        <f>MATCH(D866,'D5 - Gatekeeper - Projects'!$C$4:$C$1010,0)</f>
        <v>#N/A</v>
      </c>
      <c r="AN866" s="6" t="b">
        <f t="shared" si="80"/>
        <v>1</v>
      </c>
      <c r="AO866" s="6" t="str">
        <f t="shared" si="83"/>
        <v>OK</v>
      </c>
      <c r="AQ866" s="6" t="e">
        <f>MATCH($D866,'D4 - Provider Council Unsched'!$C$11:$C$234,0)</f>
        <v>#N/A</v>
      </c>
      <c r="AR866" s="6" t="b">
        <f t="shared" si="81"/>
        <v>1</v>
      </c>
      <c r="AS866" s="6" t="str">
        <f t="shared" si="79"/>
        <v>OK</v>
      </c>
      <c r="AU866" s="202"/>
      <c r="AV866" s="262"/>
      <c r="AW866" s="274"/>
    </row>
    <row r="867" spans="1:49" s="13" customFormat="1" ht="22.5" x14ac:dyDescent="0.2">
      <c r="A867" s="14">
        <v>843</v>
      </c>
      <c r="B867" s="14" t="s">
        <v>6627</v>
      </c>
      <c r="C867" s="8" t="s">
        <v>5197</v>
      </c>
      <c r="D867" s="4" t="str">
        <f t="shared" si="82"/>
        <v>COGDECR1</v>
      </c>
      <c r="E867" s="309" t="s">
        <v>3361</v>
      </c>
      <c r="F867" s="8" t="s">
        <v>5196</v>
      </c>
      <c r="G867" s="8" t="s">
        <v>4758</v>
      </c>
      <c r="H867" s="8" t="s">
        <v>4246</v>
      </c>
      <c r="I867" s="20">
        <v>16.8</v>
      </c>
      <c r="J867" s="8" t="s">
        <v>4862</v>
      </c>
      <c r="K867" s="182">
        <v>39447</v>
      </c>
      <c r="L867" s="8" t="s">
        <v>5743</v>
      </c>
      <c r="M867" s="8" t="s">
        <v>4450</v>
      </c>
      <c r="N867" s="38" t="s">
        <v>3565</v>
      </c>
      <c r="O867" s="8" t="s">
        <v>3572</v>
      </c>
      <c r="P867" s="4" t="e">
        <f>VLOOKUP($B867,'D7 - NDB Impacted SPRF''s'!$E$16:$O$9929,9,FALSE)</f>
        <v>#N/A</v>
      </c>
      <c r="Q867" s="4" t="e">
        <f>VLOOKUP($B867,'D7 - NDB Impacted SPRF''s'!$E$16:$O$9929,10,FALSE)</f>
        <v>#N/A</v>
      </c>
      <c r="R867" s="4" t="e">
        <f>VLOOKUP($B867,'D7 - NDB Impacted SPRF''s'!$E$16:$O$9929,11,FALSE)</f>
        <v>#N/A</v>
      </c>
      <c r="S867" s="8"/>
      <c r="T867" s="310"/>
      <c r="U867" s="310"/>
      <c r="V867" s="4"/>
      <c r="W867" s="4"/>
      <c r="X867" s="4"/>
      <c r="Y867" s="4"/>
      <c r="Z867" s="4"/>
      <c r="AA867" s="4"/>
      <c r="AB867" s="380" t="e">
        <f>VLOOKUP($B867,'D7 - NDB Impacted SPRF''s'!$E$16:$O$9929,4,FALSE)</f>
        <v>#N/A</v>
      </c>
      <c r="AC867" s="380" t="e">
        <f>VLOOKUP($B867,'D7 - NDB Impacted SPRF''s'!$E$16:$O$9929,3,FALSE)</f>
        <v>#N/A</v>
      </c>
      <c r="AD867" s="380" t="e">
        <f>VLOOKUP($B867,'D7 - NDB Impacted SPRF''s'!$E$16:$O$9929,5,FALSE)</f>
        <v>#N/A</v>
      </c>
      <c r="AE867" s="380" t="e">
        <f>VLOOKUP($B867,'D7 - NDB Impacted SPRF''s'!$E$16:$O$9929,7,FALSE)</f>
        <v>#N/A</v>
      </c>
      <c r="AF867" s="380" t="e">
        <f>VLOOKUP($B867,'D7 - NDB Impacted SPRF''s'!$E$16:$O$9929,6,FALSE)</f>
        <v>#N/A</v>
      </c>
      <c r="AG867" s="282"/>
      <c r="AH867" s="311" t="e">
        <f>INDEX('D5 - Gatekeeper - Projects'!$A$4:$AF$1010,$AM867, 17)</f>
        <v>#N/A</v>
      </c>
      <c r="AI867" s="8"/>
      <c r="AJ867" s="57"/>
      <c r="AK867" s="105"/>
      <c r="AM867" s="6" t="e">
        <f>MATCH(D867,'D5 - Gatekeeper - Projects'!$C$4:$C$1010,0)</f>
        <v>#N/A</v>
      </c>
      <c r="AN867" s="6" t="b">
        <f t="shared" si="80"/>
        <v>1</v>
      </c>
      <c r="AO867" s="6" t="str">
        <f t="shared" si="83"/>
        <v>OK</v>
      </c>
      <c r="AQ867" s="6" t="e">
        <f>MATCH($D867,'D4 - Provider Council Unsched'!$C$11:$C$234,0)</f>
        <v>#N/A</v>
      </c>
      <c r="AR867" s="6" t="b">
        <f t="shared" si="81"/>
        <v>1</v>
      </c>
      <c r="AS867" s="6" t="str">
        <f t="shared" si="79"/>
        <v>OK</v>
      </c>
      <c r="AU867" s="202"/>
      <c r="AV867" s="262"/>
      <c r="AW867" s="274"/>
    </row>
    <row r="868" spans="1:49" s="13" customFormat="1" ht="33.75" x14ac:dyDescent="0.2">
      <c r="A868" s="14">
        <v>844</v>
      </c>
      <c r="B868" s="14">
        <v>400017901</v>
      </c>
      <c r="C868" s="8" t="s">
        <v>5614</v>
      </c>
      <c r="D868" s="4" t="str">
        <f t="shared" si="82"/>
        <v>400017901R5</v>
      </c>
      <c r="E868" s="309" t="str">
        <f>VLOOKUP($B868,'D7 - NDB Impacted SPRF''s'!$E$6:$O$9929,2,FALSE)</f>
        <v>NDB Parallel Sysplex</v>
      </c>
      <c r="F868" s="8" t="s">
        <v>5787</v>
      </c>
      <c r="G868" s="8" t="s">
        <v>4758</v>
      </c>
      <c r="H868" s="8" t="s">
        <v>4246</v>
      </c>
      <c r="I868" s="20">
        <v>8</v>
      </c>
      <c r="J868" s="8" t="s">
        <v>4862</v>
      </c>
      <c r="K868" s="182">
        <v>39480</v>
      </c>
      <c r="L868" s="8" t="s">
        <v>5743</v>
      </c>
      <c r="M868" s="8" t="s">
        <v>2814</v>
      </c>
      <c r="N868" s="38"/>
      <c r="O868" s="8" t="s">
        <v>1998</v>
      </c>
      <c r="P868" s="4" t="str">
        <f>VLOOKUP($B868,'D7 - NDB Impacted SPRF''s'!$E$16:$O$9929,9,FALSE)</f>
        <v>Y</v>
      </c>
      <c r="Q868" s="4" t="str">
        <f>VLOOKUP($B868,'D7 - NDB Impacted SPRF''s'!$E$16:$O$9929,10,FALSE)</f>
        <v>N</v>
      </c>
      <c r="R868" s="4" t="str">
        <f>VLOOKUP($B868,'D7 - NDB Impacted SPRF''s'!$E$16:$O$9929,11,FALSE)</f>
        <v>Y</v>
      </c>
      <c r="S868" s="8"/>
      <c r="T868" s="310"/>
      <c r="U868" s="310"/>
      <c r="V868" s="4"/>
      <c r="W868" s="4"/>
      <c r="X868" s="4"/>
      <c r="Y868" s="4"/>
      <c r="Z868" s="4"/>
      <c r="AA868" s="4"/>
      <c r="AB868" s="380" t="str">
        <f>VLOOKUP($B868,'D7 - NDB Impacted SPRF''s'!$E$16:$O$9929,4,FALSE)</f>
        <v>Completed</v>
      </c>
      <c r="AC868" s="380" t="str">
        <f>VLOOKUP($B868,'D7 - NDB Impacted SPRF''s'!$E$16:$O$9929,3,FALSE)</f>
        <v>UHG IT - Application Services Group</v>
      </c>
      <c r="AD868" s="380" t="str">
        <f>VLOOKUP($B868,'D7 - NDB Impacted SPRF''s'!$E$16:$O$9929,5,FALSE)</f>
        <v>ASG</v>
      </c>
      <c r="AE868" s="380" t="str">
        <f>VLOOKUP($B868,'D7 - NDB Impacted SPRF''s'!$E$16:$O$9929,7,FALSE)</f>
        <v>John Santelli</v>
      </c>
      <c r="AF868" s="380" t="str">
        <f>VLOOKUP($B868,'D7 - NDB Impacted SPRF''s'!$E$16:$O$9929,6,FALSE)</f>
        <v>Laura Levesque</v>
      </c>
      <c r="AG868" s="282"/>
      <c r="AH868" s="311" t="e">
        <f>INDEX('D5 - Gatekeeper - Projects'!$A$4:$AF$1010,$AM868, 17)</f>
        <v>#N/A</v>
      </c>
      <c r="AI868" s="8"/>
      <c r="AJ868" s="57"/>
      <c r="AK868" s="105"/>
      <c r="AM868" s="6" t="e">
        <f>MATCH(D868,'D5 - Gatekeeper - Projects'!$C$4:$C$1010,0)</f>
        <v>#N/A</v>
      </c>
      <c r="AN868" s="6" t="b">
        <f t="shared" si="80"/>
        <v>1</v>
      </c>
      <c r="AO868" s="6" t="str">
        <f t="shared" si="83"/>
        <v>OK</v>
      </c>
      <c r="AQ868" s="6" t="e">
        <f>MATCH($D868,'D4 - Provider Council Unsched'!$C$11:$C$234,0)</f>
        <v>#N/A</v>
      </c>
      <c r="AR868" s="6" t="b">
        <f t="shared" si="81"/>
        <v>1</v>
      </c>
      <c r="AS868" s="6" t="str">
        <f t="shared" si="79"/>
        <v>OK</v>
      </c>
      <c r="AU868" s="202"/>
      <c r="AV868" s="262"/>
      <c r="AW868" s="274"/>
    </row>
    <row r="869" spans="1:49" s="13" customFormat="1" ht="33.75" x14ac:dyDescent="0.2">
      <c r="A869" s="14">
        <v>845</v>
      </c>
      <c r="B869" s="14">
        <v>400011082</v>
      </c>
      <c r="C869" s="8" t="s">
        <v>5197</v>
      </c>
      <c r="D869" s="4" t="str">
        <f t="shared" si="82"/>
        <v>400011082R1</v>
      </c>
      <c r="E869" s="309" t="str">
        <f>VLOOKUP($B869,'D7 - NDB Impacted SPRF''s'!$E$6:$O$9929,2,FALSE)</f>
        <v>Pacificare QicLink -HCFA ppoONE Repricing</v>
      </c>
      <c r="F869" s="8" t="s">
        <v>6071</v>
      </c>
      <c r="G869" s="8" t="s">
        <v>4758</v>
      </c>
      <c r="H869" s="8" t="s">
        <v>4246</v>
      </c>
      <c r="I869" s="20">
        <v>1.05</v>
      </c>
      <c r="J869" s="8" t="s">
        <v>4862</v>
      </c>
      <c r="K869" s="182">
        <v>39494</v>
      </c>
      <c r="L869" s="8" t="s">
        <v>5743</v>
      </c>
      <c r="M869" s="8" t="s">
        <v>5626</v>
      </c>
      <c r="N869" s="38"/>
      <c r="O869" s="8" t="s">
        <v>2000</v>
      </c>
      <c r="P869" s="4" t="str">
        <f>VLOOKUP($B869,'D7 - NDB Impacted SPRF''s'!$E$16:$O$9929,9,FALSE)</f>
        <v>N</v>
      </c>
      <c r="Q869" s="4" t="str">
        <f>VLOOKUP($B869,'D7 - NDB Impacted SPRF''s'!$E$16:$O$9929,10,FALSE)</f>
        <v>N</v>
      </c>
      <c r="R869" s="4" t="str">
        <f>VLOOKUP($B869,'D7 - NDB Impacted SPRF''s'!$E$16:$O$9929,11,FALSE)</f>
        <v>Y</v>
      </c>
      <c r="S869" s="8"/>
      <c r="T869" s="310"/>
      <c r="U869" s="310"/>
      <c r="V869" s="4"/>
      <c r="W869" s="4"/>
      <c r="X869" s="4"/>
      <c r="Y869" s="4"/>
      <c r="Z869" s="4"/>
      <c r="AA869" s="4"/>
      <c r="AB869" s="380" t="str">
        <f>VLOOKUP($B869,'D7 - NDB Impacted SPRF''s'!$E$16:$O$9929,4,FALSE)</f>
        <v>Completed</v>
      </c>
      <c r="AC869" s="380" t="str">
        <f>VLOOKUP($B869,'D7 - NDB Impacted SPRF''s'!$E$16:$O$9929,3,FALSE)</f>
        <v>UnitedHealthcare Employer &amp; Individual</v>
      </c>
      <c r="AD869" s="380" t="str">
        <f>VLOOKUP($B869,'D7 - NDB Impacted SPRF''s'!$E$16:$O$9929,5,FALSE)</f>
        <v>Integration Requirements</v>
      </c>
      <c r="AE869" s="380" t="str">
        <f>VLOOKUP($B869,'D7 - NDB Impacted SPRF''s'!$E$16:$O$9929,7,FALSE)</f>
        <v>Shannon Nelson</v>
      </c>
      <c r="AF869" s="380" t="str">
        <f>VLOOKUP($B869,'D7 - NDB Impacted SPRF''s'!$E$16:$O$9929,6,FALSE)</f>
        <v>STACIE THOMAS</v>
      </c>
      <c r="AG869" s="282" t="s">
        <v>6162</v>
      </c>
      <c r="AH869" s="311" t="e">
        <f>INDEX('D5 - Gatekeeper - Projects'!$A$4:$AF$1010,$AM869, 17)</f>
        <v>#N/A</v>
      </c>
      <c r="AI869" s="8"/>
      <c r="AJ869" s="57"/>
      <c r="AK869" s="105"/>
      <c r="AM869" s="6" t="e">
        <f>MATCH(D869,'D5 - Gatekeeper - Projects'!$C$4:$C$1010,0)</f>
        <v>#N/A</v>
      </c>
      <c r="AN869" s="6" t="b">
        <f t="shared" si="80"/>
        <v>1</v>
      </c>
      <c r="AO869" s="6" t="str">
        <f t="shared" si="83"/>
        <v>OK</v>
      </c>
      <c r="AQ869" s="6" t="e">
        <f>MATCH($D869,'D4 - Provider Council Unsched'!$C$11:$C$234,0)</f>
        <v>#N/A</v>
      </c>
      <c r="AR869" s="6" t="b">
        <f t="shared" si="81"/>
        <v>1</v>
      </c>
      <c r="AS869" s="6" t="str">
        <f t="shared" si="79"/>
        <v>OK</v>
      </c>
      <c r="AU869" s="202"/>
      <c r="AV869" s="262"/>
      <c r="AW869" s="274"/>
    </row>
    <row r="870" spans="1:49" s="13" customFormat="1" ht="33.75" x14ac:dyDescent="0.2">
      <c r="A870" s="14">
        <v>846</v>
      </c>
      <c r="B870" s="14">
        <v>400011083</v>
      </c>
      <c r="C870" s="8" t="s">
        <v>5197</v>
      </c>
      <c r="D870" s="4" t="str">
        <f t="shared" si="82"/>
        <v>400011083R1</v>
      </c>
      <c r="E870" s="309" t="str">
        <f>VLOOKUP($B870,'D7 - NDB Impacted SPRF''s'!$E$6:$O$9929,2,FALSE)</f>
        <v>Pacificare QicLink UB ppoONE repricing</v>
      </c>
      <c r="F870" s="8" t="s">
        <v>6071</v>
      </c>
      <c r="G870" s="8" t="s">
        <v>4758</v>
      </c>
      <c r="H870" s="8" t="s">
        <v>4246</v>
      </c>
      <c r="I870" s="20">
        <v>1.05</v>
      </c>
      <c r="J870" s="8" t="s">
        <v>4862</v>
      </c>
      <c r="K870" s="182">
        <v>39494</v>
      </c>
      <c r="L870" s="8" t="s">
        <v>5743</v>
      </c>
      <c r="M870" s="8" t="s">
        <v>5626</v>
      </c>
      <c r="N870" s="367" t="s">
        <v>1902</v>
      </c>
      <c r="O870" s="8" t="s">
        <v>2000</v>
      </c>
      <c r="P870" s="4" t="str">
        <f>VLOOKUP($B870,'D7 - NDB Impacted SPRF''s'!$E$16:$O$9929,9,FALSE)</f>
        <v>N</v>
      </c>
      <c r="Q870" s="4" t="str">
        <f>VLOOKUP($B870,'D7 - NDB Impacted SPRF''s'!$E$16:$O$9929,10,FALSE)</f>
        <v>N</v>
      </c>
      <c r="R870" s="4" t="str">
        <f>VLOOKUP($B870,'D7 - NDB Impacted SPRF''s'!$E$16:$O$9929,11,FALSE)</f>
        <v>Y</v>
      </c>
      <c r="S870" s="8"/>
      <c r="T870" s="310"/>
      <c r="U870" s="310"/>
      <c r="V870" s="4"/>
      <c r="W870" s="4"/>
      <c r="X870" s="4"/>
      <c r="Y870" s="4"/>
      <c r="Z870" s="4"/>
      <c r="AA870" s="4"/>
      <c r="AB870" s="380" t="str">
        <f>VLOOKUP($B870,'D7 - NDB Impacted SPRF''s'!$E$16:$O$9929,4,FALSE)</f>
        <v>Completed</v>
      </c>
      <c r="AC870" s="380" t="str">
        <f>VLOOKUP($B870,'D7 - NDB Impacted SPRF''s'!$E$16:$O$9929,3,FALSE)</f>
        <v>UnitedHealthcare Employer &amp; Individual</v>
      </c>
      <c r="AD870" s="380" t="str">
        <f>VLOOKUP($B870,'D7 - NDB Impacted SPRF''s'!$E$16:$O$9929,5,FALSE)</f>
        <v>Integration Requirements</v>
      </c>
      <c r="AE870" s="380" t="str">
        <f>VLOOKUP($B870,'D7 - NDB Impacted SPRF''s'!$E$16:$O$9929,7,FALSE)</f>
        <v>Shannon Nelson</v>
      </c>
      <c r="AF870" s="380" t="str">
        <f>VLOOKUP($B870,'D7 - NDB Impacted SPRF''s'!$E$16:$O$9929,6,FALSE)</f>
        <v>STACIE THOMAS</v>
      </c>
      <c r="AG870" s="282"/>
      <c r="AH870" s="311" t="e">
        <f>INDEX('D5 - Gatekeeper - Projects'!$A$4:$AF$1010,$AM870, 17)</f>
        <v>#N/A</v>
      </c>
      <c r="AI870" s="8"/>
      <c r="AJ870" s="57"/>
      <c r="AK870" s="105"/>
      <c r="AM870" s="6" t="e">
        <f>MATCH(D870,'D5 - Gatekeeper - Projects'!$C$4:$C$1010,0)</f>
        <v>#N/A</v>
      </c>
      <c r="AN870" s="6" t="b">
        <f t="shared" si="80"/>
        <v>1</v>
      </c>
      <c r="AO870" s="6" t="str">
        <f t="shared" si="83"/>
        <v>OK</v>
      </c>
      <c r="AQ870" s="6" t="e">
        <f>MATCH($D870,'D4 - Provider Council Unsched'!$C$11:$C$234,0)</f>
        <v>#N/A</v>
      </c>
      <c r="AR870" s="6" t="b">
        <f t="shared" si="81"/>
        <v>1</v>
      </c>
      <c r="AS870" s="6" t="str">
        <f t="shared" si="79"/>
        <v>OK</v>
      </c>
      <c r="AU870" s="202"/>
      <c r="AV870" s="262"/>
      <c r="AW870" s="274"/>
    </row>
    <row r="871" spans="1:49" s="13" customFormat="1" ht="56.25" x14ac:dyDescent="0.2">
      <c r="A871" s="14">
        <v>847</v>
      </c>
      <c r="B871" s="14">
        <v>400014790</v>
      </c>
      <c r="C871" s="8" t="s">
        <v>5197</v>
      </c>
      <c r="D871" s="4" t="str">
        <f t="shared" si="82"/>
        <v>400014790R1</v>
      </c>
      <c r="E871" s="309" t="str">
        <f>VLOOKUP($B871,'D7 - NDB Impacted SPRF''s'!$E$6:$O$9929,2,FALSE)</f>
        <v>Medica Electronic Payments and Statements (EPS)</v>
      </c>
      <c r="F871" s="8" t="s">
        <v>5196</v>
      </c>
      <c r="G871" s="8" t="s">
        <v>4758</v>
      </c>
      <c r="H871" s="8" t="s">
        <v>4246</v>
      </c>
      <c r="I871" s="20">
        <v>62.58</v>
      </c>
      <c r="J871" s="8" t="s">
        <v>4862</v>
      </c>
      <c r="K871" s="182">
        <v>39494</v>
      </c>
      <c r="L871" s="8" t="s">
        <v>5743</v>
      </c>
      <c r="M871" s="8" t="s">
        <v>2814</v>
      </c>
      <c r="N871" s="38" t="s">
        <v>4413</v>
      </c>
      <c r="O871" s="8"/>
      <c r="P871" s="4" t="str">
        <f>VLOOKUP($B871,'D7 - NDB Impacted SPRF''s'!$E$16:$O$9929,9,FALSE)</f>
        <v>Y</v>
      </c>
      <c r="Q871" s="4" t="str">
        <f>VLOOKUP($B871,'D7 - NDB Impacted SPRF''s'!$E$16:$O$9929,10,FALSE)</f>
        <v>N</v>
      </c>
      <c r="R871" s="4" t="str">
        <f>VLOOKUP($B871,'D7 - NDB Impacted SPRF''s'!$E$16:$O$9929,11,FALSE)</f>
        <v>N</v>
      </c>
      <c r="S871" s="8"/>
      <c r="T871" s="310"/>
      <c r="U871" s="310"/>
      <c r="V871" s="4"/>
      <c r="W871" s="4"/>
      <c r="X871" s="4"/>
      <c r="Y871" s="4"/>
      <c r="Z871" s="4"/>
      <c r="AA871" s="4"/>
      <c r="AB871" s="380" t="str">
        <f>VLOOKUP($B871,'D7 - NDB Impacted SPRF''s'!$E$16:$O$9929,4,FALSE)</f>
        <v>Completed</v>
      </c>
      <c r="AC871" s="380" t="str">
        <f>VLOOKUP($B871,'D7 - NDB Impacted SPRF''s'!$E$16:$O$9929,3,FALSE)</f>
        <v>UnitedHealthcare Employer &amp; Individual</v>
      </c>
      <c r="AD871" s="380" t="str">
        <f>VLOOKUP($B871,'D7 - NDB Impacted SPRF''s'!$E$16:$O$9929,5,FALSE)</f>
        <v>HCA - Medica UNET Conversion</v>
      </c>
      <c r="AE871" s="380" t="str">
        <f>VLOOKUP($B871,'D7 - NDB Impacted SPRF''s'!$E$16:$O$9929,7,FALSE)</f>
        <v>Mark Pontliana</v>
      </c>
      <c r="AF871" s="380" t="str">
        <f>VLOOKUP($B871,'D7 - NDB Impacted SPRF''s'!$E$16:$O$9929,6,FALSE)</f>
        <v>JEFFREY ZIEL</v>
      </c>
      <c r="AG871" s="282"/>
      <c r="AH871" s="311" t="e">
        <f>INDEX('D5 - Gatekeeper - Projects'!$A$4:$AF$1010,$AM871, 17)</f>
        <v>#N/A</v>
      </c>
      <c r="AI871" s="8"/>
      <c r="AJ871" s="57"/>
      <c r="AK871" s="105"/>
      <c r="AM871" s="6" t="e">
        <f>MATCH(D871,'D5 - Gatekeeper - Projects'!$C$4:$C$1010,0)</f>
        <v>#N/A</v>
      </c>
      <c r="AN871" s="6" t="b">
        <f t="shared" si="80"/>
        <v>1</v>
      </c>
      <c r="AO871" s="6" t="str">
        <f t="shared" si="83"/>
        <v>OK</v>
      </c>
      <c r="AQ871" s="6" t="e">
        <f>MATCH($D871,'D4 - Provider Council Unsched'!$C$11:$C$234,0)</f>
        <v>#N/A</v>
      </c>
      <c r="AR871" s="6" t="b">
        <f t="shared" si="81"/>
        <v>1</v>
      </c>
      <c r="AS871" s="6" t="str">
        <f t="shared" si="79"/>
        <v>OK</v>
      </c>
      <c r="AU871" s="202"/>
      <c r="AV871" s="262"/>
      <c r="AW871" s="274"/>
    </row>
    <row r="872" spans="1:49" s="13" customFormat="1" ht="33.75" x14ac:dyDescent="0.2">
      <c r="A872" s="14">
        <v>848</v>
      </c>
      <c r="B872" s="14">
        <v>400016790</v>
      </c>
      <c r="C872" s="8" t="s">
        <v>1992</v>
      </c>
      <c r="D872" s="4" t="str">
        <f t="shared" si="82"/>
        <v>400016790U1</v>
      </c>
      <c r="E872" s="309" t="str">
        <f>VLOOKUP($B872,'D7 - NDB Impacted SPRF''s'!$E$6:$O$9929,2,FALSE)</f>
        <v>Security Track Analysis and Development</v>
      </c>
      <c r="F872" s="8" t="s">
        <v>5158</v>
      </c>
      <c r="G872" s="8" t="s">
        <v>4758</v>
      </c>
      <c r="H872" s="8" t="s">
        <v>4246</v>
      </c>
      <c r="I872" s="20">
        <v>14.82</v>
      </c>
      <c r="J872" s="8" t="s">
        <v>4862</v>
      </c>
      <c r="K872" s="182">
        <v>39494</v>
      </c>
      <c r="L872" s="8" t="s">
        <v>5743</v>
      </c>
      <c r="M872" s="8" t="s">
        <v>2814</v>
      </c>
      <c r="N872" s="38"/>
      <c r="O872" s="8" t="s">
        <v>7086</v>
      </c>
      <c r="P872" s="4" t="str">
        <f>VLOOKUP($B872,'D7 - NDB Impacted SPRF''s'!$E$16:$O$9929,9,FALSE)</f>
        <v>N</v>
      </c>
      <c r="Q872" s="4" t="str">
        <f>VLOOKUP($B872,'D7 - NDB Impacted SPRF''s'!$E$16:$O$9929,10,FALSE)</f>
        <v>N</v>
      </c>
      <c r="R872" s="4" t="str">
        <f>VLOOKUP($B872,'D7 - NDB Impacted SPRF''s'!$E$16:$O$9929,11,FALSE)</f>
        <v>N</v>
      </c>
      <c r="S872" s="8"/>
      <c r="T872" s="310"/>
      <c r="U872" s="310"/>
      <c r="V872" s="4"/>
      <c r="W872" s="4"/>
      <c r="X872" s="4"/>
      <c r="Y872" s="4"/>
      <c r="Z872" s="4"/>
      <c r="AA872" s="4"/>
      <c r="AB872" s="380" t="str">
        <f>VLOOKUP($B872,'D7 - NDB Impacted SPRF''s'!$E$16:$O$9929,4,FALSE)</f>
        <v>Completed</v>
      </c>
      <c r="AC872" s="380" t="str">
        <f>VLOOKUP($B872,'D7 - NDB Impacted SPRF''s'!$E$16:$O$9929,3,FALSE)</f>
        <v>UnitedHealthcare Employer &amp; Individual</v>
      </c>
      <c r="AD872" s="380" t="str">
        <f>VLOOKUP($B872,'D7 - NDB Impacted SPRF''s'!$E$16:$O$9929,5,FALSE)</f>
        <v>Membership Growth / Revenue Programs</v>
      </c>
      <c r="AE872" s="380" t="str">
        <f>VLOOKUP($B872,'D7 - NDB Impacted SPRF''s'!$E$16:$O$9929,7,FALSE)</f>
        <v>Mark Gennerman</v>
      </c>
      <c r="AF872" s="380" t="str">
        <f>VLOOKUP($B872,'D7 - NDB Impacted SPRF''s'!$E$16:$O$9929,6,FALSE)</f>
        <v>Margaret Kershner</v>
      </c>
      <c r="AG872" s="282"/>
      <c r="AH872" s="311" t="e">
        <f>INDEX('D5 - Gatekeeper - Projects'!$A$4:$AF$1010,$AM872, 17)</f>
        <v>#N/A</v>
      </c>
      <c r="AI872" s="8"/>
      <c r="AJ872" s="57"/>
      <c r="AK872" s="105"/>
      <c r="AM872" s="6" t="e">
        <f>MATCH(D872,'D5 - Gatekeeper - Projects'!$C$4:$C$1010,0)</f>
        <v>#N/A</v>
      </c>
      <c r="AN872" s="6" t="b">
        <f t="shared" si="80"/>
        <v>1</v>
      </c>
      <c r="AO872" s="6" t="str">
        <f t="shared" si="83"/>
        <v>OK</v>
      </c>
      <c r="AQ872" s="6" t="e">
        <f>MATCH($D872,'D4 - Provider Council Unsched'!$C$11:$C$234,0)</f>
        <v>#N/A</v>
      </c>
      <c r="AR872" s="6" t="b">
        <f t="shared" si="81"/>
        <v>1</v>
      </c>
      <c r="AS872" s="6" t="str">
        <f t="shared" si="79"/>
        <v>OK</v>
      </c>
      <c r="AU872" s="202"/>
      <c r="AV872" s="262"/>
      <c r="AW872" s="274"/>
    </row>
    <row r="873" spans="1:49" s="13" customFormat="1" ht="33.75" x14ac:dyDescent="0.2">
      <c r="A873" s="14">
        <v>849</v>
      </c>
      <c r="B873" s="14">
        <v>400018168</v>
      </c>
      <c r="C873" s="8" t="s">
        <v>5197</v>
      </c>
      <c r="D873" s="4" t="str">
        <f t="shared" si="82"/>
        <v>400018168R1</v>
      </c>
      <c r="E873" s="309" t="str">
        <f>VLOOKUP($B873,'D7 - NDB Impacted SPRF''s'!$E$6:$O$9929,2,FALSE)</f>
        <v>Empire Plan - NDB Extract Changes</v>
      </c>
      <c r="F873" s="8" t="s">
        <v>5787</v>
      </c>
      <c r="G873" s="8" t="s">
        <v>4758</v>
      </c>
      <c r="H873" s="8" t="s">
        <v>4246</v>
      </c>
      <c r="I873" s="20">
        <v>1.07</v>
      </c>
      <c r="J873" s="8" t="s">
        <v>4862</v>
      </c>
      <c r="K873" s="182">
        <v>39494</v>
      </c>
      <c r="L873" s="8" t="s">
        <v>5743</v>
      </c>
      <c r="M873" s="8" t="s">
        <v>6007</v>
      </c>
      <c r="N873" s="38"/>
      <c r="O873" s="8" t="s">
        <v>2547</v>
      </c>
      <c r="P873" s="4" t="str">
        <f>VLOOKUP($B873,'D7 - NDB Impacted SPRF''s'!$E$16:$O$9929,9,FALSE)</f>
        <v>N</v>
      </c>
      <c r="Q873" s="4" t="str">
        <f>VLOOKUP($B873,'D7 - NDB Impacted SPRF''s'!$E$16:$O$9929,10,FALSE)</f>
        <v>N</v>
      </c>
      <c r="R873" s="4" t="str">
        <f>VLOOKUP($B873,'D7 - NDB Impacted SPRF''s'!$E$16:$O$9929,11,FALSE)</f>
        <v>N</v>
      </c>
      <c r="S873" s="8"/>
      <c r="T873" s="310"/>
      <c r="U873" s="310"/>
      <c r="V873" s="4"/>
      <c r="W873" s="4"/>
      <c r="X873" s="4"/>
      <c r="Y873" s="4"/>
      <c r="Z873" s="4"/>
      <c r="AA873" s="4"/>
      <c r="AB873" s="380" t="str">
        <f>VLOOKUP($B873,'D7 - NDB Impacted SPRF''s'!$E$16:$O$9929,4,FALSE)</f>
        <v>Completed</v>
      </c>
      <c r="AC873" s="380" t="str">
        <f>VLOOKUP($B873,'D7 - NDB Impacted SPRF''s'!$E$16:$O$9929,3,FALSE)</f>
        <v>UnitedHealthcare Employer &amp; Individual</v>
      </c>
      <c r="AD873" s="380" t="str">
        <f>VLOOKUP($B873,'D7 - NDB Impacted SPRF''s'!$E$16:$O$9929,5,FALSE)</f>
        <v>Membership Growth / Revenue Programs</v>
      </c>
      <c r="AE873" s="380" t="str">
        <f>VLOOKUP($B873,'D7 - NDB Impacted SPRF''s'!$E$16:$O$9929,7,FALSE)</f>
        <v>Michael Costa</v>
      </c>
      <c r="AF873" s="380" t="str">
        <f>VLOOKUP($B873,'D7 - NDB Impacted SPRF''s'!$E$16:$O$9929,6,FALSE)</f>
        <v>Laurie Torres</v>
      </c>
      <c r="AG873" s="282"/>
      <c r="AH873" s="311" t="e">
        <f>INDEX('D5 - Gatekeeper - Projects'!$A$4:$AF$1010,$AM873, 17)</f>
        <v>#N/A</v>
      </c>
      <c r="AI873" s="8"/>
      <c r="AJ873" s="57"/>
      <c r="AK873" s="105"/>
      <c r="AM873" s="6" t="e">
        <f>MATCH(D873,'D5 - Gatekeeper - Projects'!$C$4:$C$1010,0)</f>
        <v>#N/A</v>
      </c>
      <c r="AN873" s="6" t="b">
        <f t="shared" si="80"/>
        <v>1</v>
      </c>
      <c r="AO873" s="6" t="str">
        <f t="shared" si="83"/>
        <v>OK</v>
      </c>
      <c r="AQ873" s="6" t="e">
        <f>MATCH($D873,'D4 - Provider Council Unsched'!$C$11:$C$234,0)</f>
        <v>#N/A</v>
      </c>
      <c r="AR873" s="6" t="b">
        <f t="shared" si="81"/>
        <v>1</v>
      </c>
      <c r="AS873" s="6" t="str">
        <f t="shared" si="79"/>
        <v>OK</v>
      </c>
      <c r="AU873" s="202"/>
      <c r="AV873" s="262"/>
      <c r="AW873" s="274"/>
    </row>
    <row r="874" spans="1:49" s="13" customFormat="1" ht="33.75" x14ac:dyDescent="0.2">
      <c r="A874" s="14">
        <v>850</v>
      </c>
      <c r="B874" s="14">
        <v>400018250</v>
      </c>
      <c r="C874" s="8" t="s">
        <v>5197</v>
      </c>
      <c r="D874" s="4" t="str">
        <f t="shared" si="82"/>
        <v>400018250R1</v>
      </c>
      <c r="E874" s="309" t="str">
        <f>VLOOKUP($B874,'D7 - NDB Impacted SPRF''s'!$E$6:$O$9929,2,FALSE)</f>
        <v>Daily EPDE Volume Metrics</v>
      </c>
      <c r="F874" s="8" t="s">
        <v>2114</v>
      </c>
      <c r="G874" s="8" t="s">
        <v>4758</v>
      </c>
      <c r="H874" s="8" t="s">
        <v>4246</v>
      </c>
      <c r="I874" s="20">
        <v>1.07</v>
      </c>
      <c r="J874" s="8" t="s">
        <v>4862</v>
      </c>
      <c r="K874" s="182">
        <v>39494</v>
      </c>
      <c r="L874" s="8" t="s">
        <v>5743</v>
      </c>
      <c r="M874" s="8" t="s">
        <v>6007</v>
      </c>
      <c r="N874" s="38"/>
      <c r="O874" s="8" t="s">
        <v>4094</v>
      </c>
      <c r="P874" s="4" t="str">
        <f>VLOOKUP($B874,'D7 - NDB Impacted SPRF''s'!$E$16:$O$9929,9,FALSE)</f>
        <v>N</v>
      </c>
      <c r="Q874" s="4" t="str">
        <f>VLOOKUP($B874,'D7 - NDB Impacted SPRF''s'!$E$16:$O$9929,10,FALSE)</f>
        <v>N</v>
      </c>
      <c r="R874" s="4" t="str">
        <f>VLOOKUP($B874,'D7 - NDB Impacted SPRF''s'!$E$16:$O$9929,11,FALSE)</f>
        <v>N</v>
      </c>
      <c r="S874" s="8"/>
      <c r="T874" s="310"/>
      <c r="U874" s="310"/>
      <c r="V874" s="4"/>
      <c r="W874" s="4"/>
      <c r="X874" s="4"/>
      <c r="Y874" s="4"/>
      <c r="Z874" s="4"/>
      <c r="AA874" s="4"/>
      <c r="AB874" s="380" t="str">
        <f>VLOOKUP($B874,'D7 - NDB Impacted SPRF''s'!$E$16:$O$9929,4,FALSE)</f>
        <v>Completed</v>
      </c>
      <c r="AC874" s="380" t="str">
        <f>VLOOKUP($B874,'D7 - NDB Impacted SPRF''s'!$E$16:$O$9929,3,FALSE)</f>
        <v>UnitedHealthcare Employer &amp; Individual</v>
      </c>
      <c r="AD874" s="380" t="str">
        <f>VLOOKUP($B874,'D7 - NDB Impacted SPRF''s'!$E$16:$O$9929,5,FALSE)</f>
        <v>Medical Cost Savings Programs</v>
      </c>
      <c r="AE874" s="380" t="str">
        <f>VLOOKUP($B874,'D7 - NDB Impacted SPRF''s'!$E$16:$O$9929,7,FALSE)</f>
        <v>Tim Kaja</v>
      </c>
      <c r="AF874" s="380" t="str">
        <f>VLOOKUP($B874,'D7 - NDB Impacted SPRF''s'!$E$16:$O$9929,6,FALSE)</f>
        <v>MARCIA MONACO</v>
      </c>
      <c r="AG874" s="282"/>
      <c r="AH874" s="311" t="e">
        <f>INDEX('D5 - Gatekeeper - Projects'!$A$4:$AF$1010,$AM874, 17)</f>
        <v>#N/A</v>
      </c>
      <c r="AI874" s="8"/>
      <c r="AJ874" s="57"/>
      <c r="AK874" s="105"/>
      <c r="AM874" s="6" t="e">
        <f>MATCH(D874,'D5 - Gatekeeper - Projects'!$C$4:$C$1010,0)</f>
        <v>#N/A</v>
      </c>
      <c r="AN874" s="6" t="b">
        <f t="shared" si="80"/>
        <v>1</v>
      </c>
      <c r="AO874" s="6" t="str">
        <f t="shared" si="83"/>
        <v>OK</v>
      </c>
      <c r="AQ874" s="6" t="e">
        <f>MATCH($D874,'D4 - Provider Council Unsched'!$C$11:$C$234,0)</f>
        <v>#N/A</v>
      </c>
      <c r="AR874" s="6" t="b">
        <f t="shared" si="81"/>
        <v>1</v>
      </c>
      <c r="AS874" s="6" t="str">
        <f t="shared" si="79"/>
        <v>OK</v>
      </c>
      <c r="AU874" s="202"/>
      <c r="AV874" s="262"/>
      <c r="AW874" s="274"/>
    </row>
    <row r="875" spans="1:49" s="13" customFormat="1" ht="33.75" x14ac:dyDescent="0.2">
      <c r="A875" s="14">
        <v>851</v>
      </c>
      <c r="B875" s="14">
        <v>400019720</v>
      </c>
      <c r="C875" s="8" t="s">
        <v>5197</v>
      </c>
      <c r="D875" s="4" t="str">
        <f t="shared" si="82"/>
        <v>400019720R1</v>
      </c>
      <c r="E875" s="309" t="str">
        <f>VLOOKUP($B875,'D7 - NDB Impacted SPRF''s'!$E$6:$O$9929,2,FALSE)</f>
        <v>Regression Automation Architecture and Scripts</v>
      </c>
      <c r="F875" s="8" t="s">
        <v>2114</v>
      </c>
      <c r="G875" s="8" t="s">
        <v>4758</v>
      </c>
      <c r="H875" s="8" t="s">
        <v>4246</v>
      </c>
      <c r="I875" s="20">
        <v>18</v>
      </c>
      <c r="J875" s="8" t="s">
        <v>4862</v>
      </c>
      <c r="K875" s="182">
        <v>39494</v>
      </c>
      <c r="L875" s="8" t="s">
        <v>5743</v>
      </c>
      <c r="M875" s="8" t="s">
        <v>2814</v>
      </c>
      <c r="N875" s="38" t="s">
        <v>6242</v>
      </c>
      <c r="O875" s="8" t="s">
        <v>2000</v>
      </c>
      <c r="P875" s="4" t="str">
        <f>VLOOKUP($B875,'D7 - NDB Impacted SPRF''s'!$E$16:$O$9929,9,FALSE)</f>
        <v>Y</v>
      </c>
      <c r="Q875" s="4" t="str">
        <f>VLOOKUP($B875,'D7 - NDB Impacted SPRF''s'!$E$16:$O$9929,10,FALSE)</f>
        <v>N</v>
      </c>
      <c r="R875" s="4" t="str">
        <f>VLOOKUP($B875,'D7 - NDB Impacted SPRF''s'!$E$16:$O$9929,11,FALSE)</f>
        <v>N</v>
      </c>
      <c r="S875" s="8"/>
      <c r="T875" s="310"/>
      <c r="U875" s="310"/>
      <c r="V875" s="4"/>
      <c r="W875" s="4"/>
      <c r="X875" s="4"/>
      <c r="Y875" s="4"/>
      <c r="Z875" s="4"/>
      <c r="AA875" s="4"/>
      <c r="AB875" s="380" t="str">
        <f>VLOOKUP($B875,'D7 - NDB Impacted SPRF''s'!$E$16:$O$9929,4,FALSE)</f>
        <v>Completed</v>
      </c>
      <c r="AC875" s="380" t="str">
        <f>VLOOKUP($B875,'D7 - NDB Impacted SPRF''s'!$E$16:$O$9929,3,FALSE)</f>
        <v>UHG IT - Application Services Group</v>
      </c>
      <c r="AD875" s="380" t="str">
        <f>VLOOKUP($B875,'D7 - NDB Impacted SPRF''s'!$E$16:$O$9929,5,FALSE)</f>
        <v>ASG</v>
      </c>
      <c r="AE875" s="380" t="str">
        <f>VLOOKUP($B875,'D7 - NDB Impacted SPRF''s'!$E$16:$O$9929,7,FALSE)</f>
        <v>Bob Preston</v>
      </c>
      <c r="AF875" s="380" t="str">
        <f>VLOOKUP($B875,'D7 - NDB Impacted SPRF''s'!$E$16:$O$9929,6,FALSE)</f>
        <v>CURT SCHROEDERS</v>
      </c>
      <c r="AG875" s="282"/>
      <c r="AH875" s="311" t="e">
        <f>INDEX('D5 - Gatekeeper - Projects'!$A$4:$AF$1010,$AM875, 17)</f>
        <v>#N/A</v>
      </c>
      <c r="AI875" s="8"/>
      <c r="AJ875" s="57"/>
      <c r="AK875" s="105"/>
      <c r="AM875" s="6" t="e">
        <f>MATCH(D875,'D5 - Gatekeeper - Projects'!$C$4:$C$1010,0)</f>
        <v>#N/A</v>
      </c>
      <c r="AN875" s="6" t="b">
        <f t="shared" si="80"/>
        <v>1</v>
      </c>
      <c r="AO875" s="6" t="str">
        <f t="shared" si="83"/>
        <v>OK</v>
      </c>
      <c r="AQ875" s="6" t="e">
        <f>MATCH($D875,'D4 - Provider Council Unsched'!$C$11:$C$234,0)</f>
        <v>#N/A</v>
      </c>
      <c r="AR875" s="6" t="b">
        <f t="shared" si="81"/>
        <v>1</v>
      </c>
      <c r="AS875" s="6" t="str">
        <f t="shared" si="79"/>
        <v>OK</v>
      </c>
      <c r="AU875" s="202"/>
      <c r="AV875" s="262"/>
      <c r="AW875" s="274"/>
    </row>
    <row r="876" spans="1:49" s="13" customFormat="1" ht="33.75" x14ac:dyDescent="0.2">
      <c r="A876" s="14">
        <v>852</v>
      </c>
      <c r="B876" s="14">
        <v>400019723</v>
      </c>
      <c r="C876" s="8" t="s">
        <v>5197</v>
      </c>
      <c r="D876" s="4" t="str">
        <f t="shared" si="82"/>
        <v>400019723R1</v>
      </c>
      <c r="E876" s="309" t="str">
        <f>VLOOKUP($B876,'D7 - NDB Impacted SPRF''s'!$E$6:$O$9929,2,FALSE)</f>
        <v>Integrated Test Env. Phase II BUILD - 1</v>
      </c>
      <c r="F876" s="8" t="s">
        <v>2114</v>
      </c>
      <c r="G876" s="8" t="s">
        <v>4758</v>
      </c>
      <c r="H876" s="8" t="s">
        <v>4246</v>
      </c>
      <c r="I876" s="20">
        <v>5.27</v>
      </c>
      <c r="J876" s="8" t="s">
        <v>4862</v>
      </c>
      <c r="K876" s="182">
        <v>39494</v>
      </c>
      <c r="L876" s="8" t="s">
        <v>5743</v>
      </c>
      <c r="M876" s="8" t="s">
        <v>4450</v>
      </c>
      <c r="N876" s="38"/>
      <c r="O876" s="8" t="s">
        <v>7086</v>
      </c>
      <c r="P876" s="4" t="str">
        <f>VLOOKUP($B876,'D7 - NDB Impacted SPRF''s'!$E$16:$O$9929,9,FALSE)</f>
        <v>Y</v>
      </c>
      <c r="Q876" s="4" t="str">
        <f>VLOOKUP($B876,'D7 - NDB Impacted SPRF''s'!$E$16:$O$9929,10,FALSE)</f>
        <v>N</v>
      </c>
      <c r="R876" s="4" t="str">
        <f>VLOOKUP($B876,'D7 - NDB Impacted SPRF''s'!$E$16:$O$9929,11,FALSE)</f>
        <v>N</v>
      </c>
      <c r="S876" s="8"/>
      <c r="T876" s="310"/>
      <c r="U876" s="310"/>
      <c r="V876" s="4"/>
      <c r="W876" s="4"/>
      <c r="X876" s="4"/>
      <c r="Y876" s="4"/>
      <c r="Z876" s="4"/>
      <c r="AA876" s="4"/>
      <c r="AB876" s="380" t="str">
        <f>VLOOKUP($B876,'D7 - NDB Impacted SPRF''s'!$E$16:$O$9929,4,FALSE)</f>
        <v>Completed</v>
      </c>
      <c r="AC876" s="380" t="str">
        <f>VLOOKUP($B876,'D7 - NDB Impacted SPRF''s'!$E$16:$O$9929,3,FALSE)</f>
        <v>UHG IT - Application Services Group</v>
      </c>
      <c r="AD876" s="380" t="str">
        <f>VLOOKUP($B876,'D7 - NDB Impacted SPRF''s'!$E$16:$O$9929,5,FALSE)</f>
        <v>ASG</v>
      </c>
      <c r="AE876" s="380" t="str">
        <f>VLOOKUP($B876,'D7 - NDB Impacted SPRF''s'!$E$16:$O$9929,7,FALSE)</f>
        <v>Jessica Kozlowski</v>
      </c>
      <c r="AF876" s="380" t="str">
        <f>VLOOKUP($B876,'D7 - NDB Impacted SPRF''s'!$E$16:$O$9929,6,FALSE)</f>
        <v>JACQUELYN LOTTER</v>
      </c>
      <c r="AG876" s="282"/>
      <c r="AH876" s="311" t="e">
        <f>INDEX('D5 - Gatekeeper - Projects'!$A$4:$AF$1010,$AM876, 17)</f>
        <v>#N/A</v>
      </c>
      <c r="AI876" s="8"/>
      <c r="AJ876" s="57"/>
      <c r="AK876" s="105"/>
      <c r="AM876" s="6" t="e">
        <f>MATCH(D876,'D5 - Gatekeeper - Projects'!$C$4:$C$1010,0)</f>
        <v>#N/A</v>
      </c>
      <c r="AN876" s="6" t="b">
        <f t="shared" si="80"/>
        <v>1</v>
      </c>
      <c r="AO876" s="6" t="str">
        <f t="shared" si="83"/>
        <v>OK</v>
      </c>
      <c r="AQ876" s="6" t="e">
        <f>MATCH($D876,'D4 - Provider Council Unsched'!$C$11:$C$234,0)</f>
        <v>#N/A</v>
      </c>
      <c r="AR876" s="6" t="b">
        <f t="shared" si="81"/>
        <v>1</v>
      </c>
      <c r="AS876" s="6" t="str">
        <f t="shared" si="79"/>
        <v>OK</v>
      </c>
      <c r="AU876" s="202"/>
      <c r="AV876" s="262"/>
      <c r="AW876" s="274"/>
    </row>
    <row r="877" spans="1:49" s="13" customFormat="1" ht="33.75" x14ac:dyDescent="0.2">
      <c r="A877" s="14">
        <v>853</v>
      </c>
      <c r="B877" s="14">
        <v>400019916</v>
      </c>
      <c r="C877" s="8" t="s">
        <v>5197</v>
      </c>
      <c r="D877" s="4" t="str">
        <f t="shared" si="82"/>
        <v>400019916R1</v>
      </c>
      <c r="E877" s="309" t="str">
        <f>VLOOKUP($B877,'D7 - NDB Impacted SPRF''s'!$E$6:$O$9929,2,FALSE)</f>
        <v>Radiology Accreditaiton NDB Report Change</v>
      </c>
      <c r="F877" s="8" t="s">
        <v>5188</v>
      </c>
      <c r="G877" s="8" t="s">
        <v>4758</v>
      </c>
      <c r="H877" s="8" t="s">
        <v>4246</v>
      </c>
      <c r="I877" s="20">
        <v>1.85</v>
      </c>
      <c r="J877" s="8" t="s">
        <v>4862</v>
      </c>
      <c r="K877" s="182">
        <v>39494</v>
      </c>
      <c r="L877" s="8" t="s">
        <v>5743</v>
      </c>
      <c r="M877" s="8" t="s">
        <v>2814</v>
      </c>
      <c r="N877" s="38"/>
      <c r="O877" s="8" t="s">
        <v>6470</v>
      </c>
      <c r="P877" s="4" t="str">
        <f>VLOOKUP($B877,'D7 - NDB Impacted SPRF''s'!$E$16:$O$9929,9,FALSE)</f>
        <v>N</v>
      </c>
      <c r="Q877" s="4" t="str">
        <f>VLOOKUP($B877,'D7 - NDB Impacted SPRF''s'!$E$16:$O$9929,10,FALSE)</f>
        <v>N</v>
      </c>
      <c r="R877" s="4" t="str">
        <f>VLOOKUP($B877,'D7 - NDB Impacted SPRF''s'!$E$16:$O$9929,11,FALSE)</f>
        <v>N</v>
      </c>
      <c r="S877" s="8"/>
      <c r="T877" s="310"/>
      <c r="U877" s="310"/>
      <c r="V877" s="4"/>
      <c r="W877" s="4"/>
      <c r="X877" s="4"/>
      <c r="Y877" s="4"/>
      <c r="Z877" s="4"/>
      <c r="AA877" s="4"/>
      <c r="AB877" s="380" t="str">
        <f>VLOOKUP($B877,'D7 - NDB Impacted SPRF''s'!$E$16:$O$9929,4,FALSE)</f>
        <v>Completed</v>
      </c>
      <c r="AC877" s="380" t="str">
        <f>VLOOKUP($B877,'D7 - NDB Impacted SPRF''s'!$E$16:$O$9929,3,FALSE)</f>
        <v>UnitedHealthcare Employer &amp; Individual</v>
      </c>
      <c r="AD877" s="380" t="str">
        <f>VLOOKUP($B877,'D7 - NDB Impacted SPRF''s'!$E$16:$O$9929,5,FALSE)</f>
        <v>Medical Cost Savings Programs</v>
      </c>
      <c r="AE877" s="380" t="str">
        <f>VLOOKUP($B877,'D7 - NDB Impacted SPRF''s'!$E$16:$O$9929,7,FALSE)</f>
        <v>Laurie Paidosh</v>
      </c>
      <c r="AF877" s="380" t="str">
        <f>VLOOKUP($B877,'D7 - NDB Impacted SPRF''s'!$E$16:$O$9929,6,FALSE)</f>
        <v>Lori West</v>
      </c>
      <c r="AG877" s="282"/>
      <c r="AH877" s="311" t="e">
        <f>INDEX('D5 - Gatekeeper - Projects'!$A$4:$AF$1010,$AM877, 17)</f>
        <v>#N/A</v>
      </c>
      <c r="AI877" s="8"/>
      <c r="AJ877" s="57"/>
      <c r="AK877" s="105"/>
      <c r="AM877" s="6" t="e">
        <f>MATCH(D877,'D5 - Gatekeeper - Projects'!$C$4:$C$1010,0)</f>
        <v>#N/A</v>
      </c>
      <c r="AN877" s="6" t="b">
        <f t="shared" si="80"/>
        <v>1</v>
      </c>
      <c r="AO877" s="6" t="str">
        <f t="shared" si="83"/>
        <v>OK</v>
      </c>
      <c r="AQ877" s="6" t="e">
        <f>MATCH($D877,'D4 - Provider Council Unsched'!$C$11:$C$234,0)</f>
        <v>#N/A</v>
      </c>
      <c r="AR877" s="6" t="b">
        <f t="shared" si="81"/>
        <v>1</v>
      </c>
      <c r="AS877" s="6" t="str">
        <f t="shared" si="79"/>
        <v>OK</v>
      </c>
      <c r="AU877" s="202"/>
      <c r="AV877" s="262"/>
      <c r="AW877" s="274"/>
    </row>
    <row r="878" spans="1:49" s="13" customFormat="1" ht="33.75" x14ac:dyDescent="0.2">
      <c r="A878" s="14">
        <v>854</v>
      </c>
      <c r="B878" s="14">
        <v>400020078</v>
      </c>
      <c r="C878" s="8" t="s">
        <v>5197</v>
      </c>
      <c r="D878" s="4" t="str">
        <f t="shared" si="82"/>
        <v>400020078R1</v>
      </c>
      <c r="E878" s="309" t="str">
        <f>VLOOKUP($B878,'D7 - NDB Impacted SPRF''s'!$E$6:$O$9929,2,FALSE)</f>
        <v>iCES February 2008 Maintenance Release</v>
      </c>
      <c r="F878" s="8" t="s">
        <v>4471</v>
      </c>
      <c r="G878" s="8" t="s">
        <v>4758</v>
      </c>
      <c r="H878" s="8" t="s">
        <v>4246</v>
      </c>
      <c r="I878" s="20">
        <v>0.53</v>
      </c>
      <c r="J878" s="8" t="s">
        <v>4862</v>
      </c>
      <c r="K878" s="182">
        <v>39494</v>
      </c>
      <c r="L878" s="8" t="s">
        <v>5743</v>
      </c>
      <c r="M878" s="8" t="s">
        <v>5626</v>
      </c>
      <c r="N878" s="38"/>
      <c r="O878" s="8" t="s">
        <v>2000</v>
      </c>
      <c r="P878" s="4" t="str">
        <f>VLOOKUP($B878,'D7 - NDB Impacted SPRF''s'!$E$16:$O$9929,9,FALSE)</f>
        <v>Y</v>
      </c>
      <c r="Q878" s="4" t="str">
        <f>VLOOKUP($B878,'D7 - NDB Impacted SPRF''s'!$E$16:$O$9929,10,FALSE)</f>
        <v>N</v>
      </c>
      <c r="R878" s="4" t="str">
        <f>VLOOKUP($B878,'D7 - NDB Impacted SPRF''s'!$E$16:$O$9929,11,FALSE)</f>
        <v>Y</v>
      </c>
      <c r="S878" s="8"/>
      <c r="T878" s="310"/>
      <c r="U878" s="310"/>
      <c r="V878" s="4"/>
      <c r="W878" s="4"/>
      <c r="X878" s="4"/>
      <c r="Y878" s="4"/>
      <c r="Z878" s="4"/>
      <c r="AA878" s="4"/>
      <c r="AB878" s="380" t="str">
        <f>VLOOKUP($B878,'D7 - NDB Impacted SPRF''s'!$E$16:$O$9929,4,FALSE)</f>
        <v>Completed</v>
      </c>
      <c r="AC878" s="380" t="str">
        <f>VLOOKUP($B878,'D7 - NDB Impacted SPRF''s'!$E$16:$O$9929,3,FALSE)</f>
        <v>UnitedHealthcare Employer &amp; Individual</v>
      </c>
      <c r="AD878" s="380" t="str">
        <f>VLOOKUP($B878,'D7 - NDB Impacted SPRF''s'!$E$16:$O$9929,5,FALSE)</f>
        <v>Operational Requirements</v>
      </c>
      <c r="AE878" s="380" t="str">
        <f>VLOOKUP($B878,'D7 - NDB Impacted SPRF''s'!$E$16:$O$9929,7,FALSE)</f>
        <v>Sally Verrilli</v>
      </c>
      <c r="AF878" s="380" t="str">
        <f>VLOOKUP($B878,'D7 - NDB Impacted SPRF''s'!$E$16:$O$9929,6,FALSE)</f>
        <v>KATHRYN LEARST</v>
      </c>
      <c r="AG878" s="282"/>
      <c r="AH878" s="311" t="e">
        <f>INDEX('D5 - Gatekeeper - Projects'!$A$4:$AF$1010,$AM878, 17)</f>
        <v>#N/A</v>
      </c>
      <c r="AI878" s="8"/>
      <c r="AJ878" s="57"/>
      <c r="AK878" s="105"/>
      <c r="AM878" s="6" t="e">
        <f>MATCH(D878,'D5 - Gatekeeper - Projects'!$C$4:$C$1010,0)</f>
        <v>#N/A</v>
      </c>
      <c r="AN878" s="6" t="b">
        <f t="shared" si="80"/>
        <v>1</v>
      </c>
      <c r="AO878" s="6" t="str">
        <f t="shared" si="83"/>
        <v>OK</v>
      </c>
      <c r="AQ878" s="6" t="e">
        <f>MATCH($D878,'D4 - Provider Council Unsched'!$C$11:$C$234,0)</f>
        <v>#N/A</v>
      </c>
      <c r="AR878" s="6" t="b">
        <f t="shared" si="81"/>
        <v>1</v>
      </c>
      <c r="AS878" s="6" t="str">
        <f t="shared" si="79"/>
        <v>OK</v>
      </c>
      <c r="AU878" s="202"/>
      <c r="AV878" s="262"/>
      <c r="AW878" s="274"/>
    </row>
    <row r="879" spans="1:49" s="13" customFormat="1" x14ac:dyDescent="0.2">
      <c r="A879" s="14">
        <v>855</v>
      </c>
      <c r="B879" s="14">
        <v>400020867</v>
      </c>
      <c r="C879" s="8" t="s">
        <v>5197</v>
      </c>
      <c r="D879" s="4" t="str">
        <f t="shared" si="82"/>
        <v>400020867R1</v>
      </c>
      <c r="E879" s="309" t="str">
        <f>VLOOKUP($B879,'D7 - NDB Impacted SPRF''s'!$E$6:$O$9929,2,FALSE)</f>
        <v>HPI Behavioral Health Claims Submission</v>
      </c>
      <c r="F879" s="8" t="s">
        <v>2114</v>
      </c>
      <c r="G879" s="8" t="s">
        <v>4758</v>
      </c>
      <c r="H879" s="8" t="s">
        <v>4246</v>
      </c>
      <c r="I879" s="20">
        <v>1.07</v>
      </c>
      <c r="J879" s="8" t="s">
        <v>4862</v>
      </c>
      <c r="K879" s="182">
        <v>39494</v>
      </c>
      <c r="L879" s="8" t="s">
        <v>5743</v>
      </c>
      <c r="M879" s="8" t="s">
        <v>5626</v>
      </c>
      <c r="N879" s="38"/>
      <c r="O879" s="8" t="s">
        <v>2000</v>
      </c>
      <c r="P879" s="4" t="str">
        <f>VLOOKUP($B879,'D7 - NDB Impacted SPRF''s'!$E$16:$O$9929,9,FALSE)</f>
        <v>N</v>
      </c>
      <c r="Q879" s="4" t="str">
        <f>VLOOKUP($B879,'D7 - NDB Impacted SPRF''s'!$E$16:$O$9929,10,FALSE)</f>
        <v>N</v>
      </c>
      <c r="R879" s="4" t="str">
        <f>VLOOKUP($B879,'D7 - NDB Impacted SPRF''s'!$E$16:$O$9929,11,FALSE)</f>
        <v>N</v>
      </c>
      <c r="S879" s="8"/>
      <c r="T879" s="310"/>
      <c r="U879" s="310"/>
      <c r="V879" s="4"/>
      <c r="W879" s="4"/>
      <c r="X879" s="4"/>
      <c r="Y879" s="4"/>
      <c r="Z879" s="4"/>
      <c r="AA879" s="4"/>
      <c r="AB879" s="380" t="str">
        <f>VLOOKUP($B879,'D7 - NDB Impacted SPRF''s'!$E$16:$O$9929,4,FALSE)</f>
        <v>Completed</v>
      </c>
      <c r="AC879" s="380" t="str">
        <f>VLOOKUP($B879,'D7 - NDB Impacted SPRF''s'!$E$16:$O$9929,3,FALSE)</f>
        <v>OptumHealth</v>
      </c>
      <c r="AD879" s="380" t="str">
        <f>VLOOKUP($B879,'D7 - NDB Impacted SPRF''s'!$E$16:$O$9929,5,FALSE)</f>
        <v>Behavioral Solutions</v>
      </c>
      <c r="AE879" s="380" t="str">
        <f>VLOOKUP($B879,'D7 - NDB Impacted SPRF''s'!$E$16:$O$9929,7,FALSE)</f>
        <v>John White</v>
      </c>
      <c r="AF879" s="380" t="str">
        <f>VLOOKUP($B879,'D7 - NDB Impacted SPRF''s'!$E$16:$O$9929,6,FALSE)</f>
        <v>Brian Beharry</v>
      </c>
      <c r="AG879" s="282"/>
      <c r="AH879" s="311" t="e">
        <f>INDEX('D5 - Gatekeeper - Projects'!$A$4:$AF$1010,$AM879, 17)</f>
        <v>#N/A</v>
      </c>
      <c r="AI879" s="8"/>
      <c r="AJ879" s="57"/>
      <c r="AK879" s="105"/>
      <c r="AM879" s="6" t="e">
        <f>MATCH(D879,'D5 - Gatekeeper - Projects'!$C$4:$C$1010,0)</f>
        <v>#N/A</v>
      </c>
      <c r="AN879" s="6" t="b">
        <f t="shared" si="80"/>
        <v>1</v>
      </c>
      <c r="AO879" s="6" t="str">
        <f t="shared" si="83"/>
        <v>OK</v>
      </c>
      <c r="AQ879" s="6" t="e">
        <f>MATCH($D879,'D4 - Provider Council Unsched'!$C$11:$C$234,0)</f>
        <v>#N/A</v>
      </c>
      <c r="AR879" s="6" t="b">
        <f t="shared" si="81"/>
        <v>1</v>
      </c>
      <c r="AS879" s="6" t="str">
        <f t="shared" ref="AS879:AS942" si="84">IF(AND(H879="2 - Not Scheduled",AR879=TRUE),"Add","OK")</f>
        <v>OK</v>
      </c>
      <c r="AU879" s="202"/>
      <c r="AV879" s="262"/>
      <c r="AW879" s="274"/>
    </row>
    <row r="880" spans="1:49" s="13" customFormat="1" ht="33.75" x14ac:dyDescent="0.2">
      <c r="A880" s="14">
        <v>856</v>
      </c>
      <c r="B880" s="14">
        <v>400021295</v>
      </c>
      <c r="C880" s="8" t="s">
        <v>1992</v>
      </c>
      <c r="D880" s="4" t="str">
        <f t="shared" si="82"/>
        <v>400021295U1</v>
      </c>
      <c r="E880" s="309" t="str">
        <f>VLOOKUP($B880,'D7 - NDB Impacted SPRF''s'!$E$6:$O$9929,2,FALSE)</f>
        <v xml:space="preserve">Enhancement to USEC and SATS interface to improve </v>
      </c>
      <c r="F880" s="8" t="s">
        <v>2114</v>
      </c>
      <c r="G880" s="8" t="s">
        <v>4758</v>
      </c>
      <c r="H880" s="8" t="s">
        <v>4246</v>
      </c>
      <c r="I880" s="20">
        <v>4.9800000000000004</v>
      </c>
      <c r="J880" s="8" t="s">
        <v>4862</v>
      </c>
      <c r="K880" s="182">
        <v>39494</v>
      </c>
      <c r="L880" s="8" t="s">
        <v>5743</v>
      </c>
      <c r="M880" s="8" t="s">
        <v>2814</v>
      </c>
      <c r="N880" s="38" t="s">
        <v>3446</v>
      </c>
      <c r="O880" s="8" t="s">
        <v>7086</v>
      </c>
      <c r="P880" s="4" t="str">
        <f>VLOOKUP($B880,'D7 - NDB Impacted SPRF''s'!$E$16:$O$9929,9,FALSE)</f>
        <v>N</v>
      </c>
      <c r="Q880" s="4" t="str">
        <f>VLOOKUP($B880,'D7 - NDB Impacted SPRF''s'!$E$16:$O$9929,10,FALSE)</f>
        <v>N</v>
      </c>
      <c r="R880" s="4" t="str">
        <f>VLOOKUP($B880,'D7 - NDB Impacted SPRF''s'!$E$16:$O$9929,11,FALSE)</f>
        <v>N</v>
      </c>
      <c r="S880" s="8"/>
      <c r="T880" s="310"/>
      <c r="U880" s="310"/>
      <c r="V880" s="4"/>
      <c r="W880" s="4"/>
      <c r="X880" s="4"/>
      <c r="Y880" s="4"/>
      <c r="Z880" s="4"/>
      <c r="AA880" s="4"/>
      <c r="AB880" s="380" t="str">
        <f>VLOOKUP($B880,'D7 - NDB Impacted SPRF''s'!$E$16:$O$9929,4,FALSE)</f>
        <v>Completed</v>
      </c>
      <c r="AC880" s="380" t="str">
        <f>VLOOKUP($B880,'D7 - NDB Impacted SPRF''s'!$E$16:$O$9929,3,FALSE)</f>
        <v>UnitedHealthcare Employer &amp; Individual</v>
      </c>
      <c r="AD880" s="380" t="str">
        <f>VLOOKUP($B880,'D7 - NDB Impacted SPRF''s'!$E$16:$O$9929,5,FALSE)</f>
        <v>Membership Growth / Revenue Programs</v>
      </c>
      <c r="AE880" s="380" t="str">
        <f>VLOOKUP($B880,'D7 - NDB Impacted SPRF''s'!$E$16:$O$9929,7,FALSE)</f>
        <v>Giulia Pogers</v>
      </c>
      <c r="AF880" s="380" t="str">
        <f>VLOOKUP($B880,'D7 - NDB Impacted SPRF''s'!$E$16:$O$9929,6,FALSE)</f>
        <v>STANLEY CROUGHTER</v>
      </c>
      <c r="AG880" s="282"/>
      <c r="AH880" s="311" t="e">
        <f>INDEX('D5 - Gatekeeper - Projects'!$A$4:$AF$1010,$AM880, 17)</f>
        <v>#N/A</v>
      </c>
      <c r="AI880" s="8"/>
      <c r="AJ880" s="57"/>
      <c r="AK880" s="105"/>
      <c r="AM880" s="6" t="e">
        <f>MATCH(D880,'D5 - Gatekeeper - Projects'!$C$4:$C$1010,0)</f>
        <v>#N/A</v>
      </c>
      <c r="AN880" s="6" t="b">
        <f t="shared" si="80"/>
        <v>1</v>
      </c>
      <c r="AO880" s="6" t="str">
        <f t="shared" si="83"/>
        <v>OK</v>
      </c>
      <c r="AQ880" s="6" t="e">
        <f>MATCH($D880,'D4 - Provider Council Unsched'!$C$11:$C$234,0)</f>
        <v>#N/A</v>
      </c>
      <c r="AR880" s="6" t="b">
        <f t="shared" si="81"/>
        <v>1</v>
      </c>
      <c r="AS880" s="6" t="str">
        <f t="shared" si="84"/>
        <v>OK</v>
      </c>
      <c r="AU880" s="202"/>
      <c r="AV880" s="262"/>
      <c r="AW880" s="274"/>
    </row>
    <row r="881" spans="1:49" s="13" customFormat="1" ht="33.75" x14ac:dyDescent="0.2">
      <c r="A881" s="14">
        <v>857</v>
      </c>
      <c r="B881" s="14">
        <v>400017892</v>
      </c>
      <c r="C881" s="8" t="s">
        <v>5197</v>
      </c>
      <c r="D881" s="4" t="str">
        <f t="shared" si="82"/>
        <v>400017892R1</v>
      </c>
      <c r="E881" s="309" t="str">
        <f>VLOOKUP($B881,'D7 - NDB Impacted SPRF''s'!$E$6:$O$9929,2,FALSE)</f>
        <v>Hospital Listing Orbit Report</v>
      </c>
      <c r="F881" s="8" t="s">
        <v>6007</v>
      </c>
      <c r="G881" s="8" t="s">
        <v>4758</v>
      </c>
      <c r="H881" s="8" t="s">
        <v>4246</v>
      </c>
      <c r="I881" s="20">
        <v>0.93</v>
      </c>
      <c r="J881" s="8" t="s">
        <v>4862</v>
      </c>
      <c r="K881" s="182">
        <v>39505</v>
      </c>
      <c r="L881" s="8" t="s">
        <v>5743</v>
      </c>
      <c r="M881" s="8" t="s">
        <v>5786</v>
      </c>
      <c r="N881" s="38"/>
      <c r="O881" s="8" t="s">
        <v>5042</v>
      </c>
      <c r="P881" s="4" t="str">
        <f>VLOOKUP($B881,'D7 - NDB Impacted SPRF''s'!$E$16:$O$9929,9,FALSE)</f>
        <v>N</v>
      </c>
      <c r="Q881" s="4" t="str">
        <f>VLOOKUP($B881,'D7 - NDB Impacted SPRF''s'!$E$16:$O$9929,10,FALSE)</f>
        <v>N</v>
      </c>
      <c r="R881" s="4" t="str">
        <f>VLOOKUP($B881,'D7 - NDB Impacted SPRF''s'!$E$16:$O$9929,11,FALSE)</f>
        <v>N</v>
      </c>
      <c r="S881" s="8"/>
      <c r="T881" s="310"/>
      <c r="U881" s="310"/>
      <c r="V881" s="4"/>
      <c r="W881" s="4"/>
      <c r="X881" s="4"/>
      <c r="Y881" s="4"/>
      <c r="Z881" s="4"/>
      <c r="AA881" s="4"/>
      <c r="AB881" s="380" t="str">
        <f>VLOOKUP($B881,'D7 - NDB Impacted SPRF''s'!$E$16:$O$9929,4,FALSE)</f>
        <v>Completed</v>
      </c>
      <c r="AC881" s="380" t="str">
        <f>VLOOKUP($B881,'D7 - NDB Impacted SPRF''s'!$E$16:$O$9929,3,FALSE)</f>
        <v>UnitedHealthcare Employer &amp; Individual</v>
      </c>
      <c r="AD881" s="380" t="str">
        <f>VLOOKUP($B881,'D7 - NDB Impacted SPRF''s'!$E$16:$O$9929,5,FALSE)</f>
        <v>Network Growth / Enhancements</v>
      </c>
      <c r="AE881" s="380" t="str">
        <f>VLOOKUP($B881,'D7 - NDB Impacted SPRF''s'!$E$16:$O$9929,7,FALSE)</f>
        <v>Dom Furfari</v>
      </c>
      <c r="AF881" s="380" t="str">
        <f>VLOOKUP($B881,'D7 - NDB Impacted SPRF''s'!$E$16:$O$9929,6,FALSE)</f>
        <v>Joyce Valentukonis</v>
      </c>
      <c r="AG881" s="282"/>
      <c r="AH881" s="311" t="e">
        <f>INDEX('D5 - Gatekeeper - Projects'!$A$4:$AF$1010,$AM881, 17)</f>
        <v>#N/A</v>
      </c>
      <c r="AI881" s="8"/>
      <c r="AJ881" s="57"/>
      <c r="AK881" s="105"/>
      <c r="AM881" s="6" t="e">
        <f>MATCH(D881,'D5 - Gatekeeper - Projects'!$C$4:$C$1010,0)</f>
        <v>#N/A</v>
      </c>
      <c r="AN881" s="6" t="b">
        <f t="shared" si="80"/>
        <v>1</v>
      </c>
      <c r="AO881" s="6" t="str">
        <f t="shared" si="83"/>
        <v>OK</v>
      </c>
      <c r="AQ881" s="6" t="e">
        <f>MATCH($D881,'D4 - Provider Council Unsched'!$C$11:$C$234,0)</f>
        <v>#N/A</v>
      </c>
      <c r="AR881" s="6" t="b">
        <f t="shared" si="81"/>
        <v>1</v>
      </c>
      <c r="AS881" s="6" t="str">
        <f t="shared" si="84"/>
        <v>OK</v>
      </c>
      <c r="AU881" s="202"/>
      <c r="AV881" s="262"/>
      <c r="AW881" s="274"/>
    </row>
    <row r="882" spans="1:49" s="13" customFormat="1" ht="33.75" x14ac:dyDescent="0.2">
      <c r="A882" s="14">
        <v>858</v>
      </c>
      <c r="B882" s="14">
        <v>400019643</v>
      </c>
      <c r="C882" s="8" t="s">
        <v>5197</v>
      </c>
      <c r="D882" s="4" t="str">
        <f t="shared" si="82"/>
        <v>400019643R1</v>
      </c>
      <c r="E882" s="309" t="str">
        <f>VLOOKUP($B882,'D7 - NDB Impacted SPRF''s'!$E$6:$O$9929,2,FALSE)</f>
        <v>Radiology Accreditation Status Reporting</v>
      </c>
      <c r="F882" s="8" t="s">
        <v>7989</v>
      </c>
      <c r="G882" s="8" t="s">
        <v>4758</v>
      </c>
      <c r="H882" s="8" t="s">
        <v>4246</v>
      </c>
      <c r="I882" s="20">
        <v>1.31</v>
      </c>
      <c r="J882" s="8" t="s">
        <v>4862</v>
      </c>
      <c r="K882" s="182">
        <v>39505</v>
      </c>
      <c r="L882" s="8" t="s">
        <v>5743</v>
      </c>
      <c r="M882" s="8" t="s">
        <v>2814</v>
      </c>
      <c r="N882" s="38"/>
      <c r="O882" s="8" t="s">
        <v>6470</v>
      </c>
      <c r="P882" s="4" t="str">
        <f>VLOOKUP($B882,'D7 - NDB Impacted SPRF''s'!$E$16:$O$9929,9,FALSE)</f>
        <v>N</v>
      </c>
      <c r="Q882" s="4" t="str">
        <f>VLOOKUP($B882,'D7 - NDB Impacted SPRF''s'!$E$16:$O$9929,10,FALSE)</f>
        <v>N</v>
      </c>
      <c r="R882" s="4" t="str">
        <f>VLOOKUP($B882,'D7 - NDB Impacted SPRF''s'!$E$16:$O$9929,11,FALSE)</f>
        <v>N</v>
      </c>
      <c r="S882" s="8"/>
      <c r="T882" s="310"/>
      <c r="U882" s="310"/>
      <c r="V882" s="4"/>
      <c r="W882" s="4"/>
      <c r="X882" s="4"/>
      <c r="Y882" s="4"/>
      <c r="Z882" s="4"/>
      <c r="AA882" s="4"/>
      <c r="AB882" s="380" t="str">
        <f>VLOOKUP($B882,'D7 - NDB Impacted SPRF''s'!$E$16:$O$9929,4,FALSE)</f>
        <v>Completed</v>
      </c>
      <c r="AC882" s="380" t="str">
        <f>VLOOKUP($B882,'D7 - NDB Impacted SPRF''s'!$E$16:$O$9929,3,FALSE)</f>
        <v>UnitedHealthcare Employer &amp; Individual</v>
      </c>
      <c r="AD882" s="380" t="str">
        <f>VLOOKUP($B882,'D7 - NDB Impacted SPRF''s'!$E$16:$O$9929,5,FALSE)</f>
        <v>Medical Cost Savings Programs</v>
      </c>
      <c r="AE882" s="380" t="str">
        <f>VLOOKUP($B882,'D7 - NDB Impacted SPRF''s'!$E$16:$O$9929,7,FALSE)</f>
        <v>Laurie Paidosh</v>
      </c>
      <c r="AF882" s="380" t="str">
        <f>VLOOKUP($B882,'D7 - NDB Impacted SPRF''s'!$E$16:$O$9929,6,FALSE)</f>
        <v>Lori West</v>
      </c>
      <c r="AG882" s="282"/>
      <c r="AH882" s="311" t="e">
        <f>INDEX('D5 - Gatekeeper - Projects'!$A$4:$AF$1010,$AM882, 17)</f>
        <v>#N/A</v>
      </c>
      <c r="AI882" s="8"/>
      <c r="AJ882" s="57"/>
      <c r="AK882" s="105"/>
      <c r="AM882" s="6" t="e">
        <f>MATCH(D882,'D5 - Gatekeeper - Projects'!$C$4:$C$1010,0)</f>
        <v>#N/A</v>
      </c>
      <c r="AN882" s="6" t="b">
        <f t="shared" si="80"/>
        <v>1</v>
      </c>
      <c r="AO882" s="6" t="str">
        <f t="shared" si="83"/>
        <v>OK</v>
      </c>
      <c r="AQ882" s="6" t="e">
        <f>MATCH($D882,'D4 - Provider Council Unsched'!$C$11:$C$234,0)</f>
        <v>#N/A</v>
      </c>
      <c r="AR882" s="6" t="b">
        <f t="shared" si="81"/>
        <v>1</v>
      </c>
      <c r="AS882" s="6" t="str">
        <f t="shared" si="84"/>
        <v>OK</v>
      </c>
      <c r="AU882" s="202"/>
      <c r="AV882" s="262"/>
      <c r="AW882" s="274"/>
    </row>
    <row r="883" spans="1:49" s="13" customFormat="1" ht="33.75" x14ac:dyDescent="0.2">
      <c r="A883" s="14">
        <v>859</v>
      </c>
      <c r="B883" s="14">
        <v>400013461</v>
      </c>
      <c r="C883" s="8" t="s">
        <v>5197</v>
      </c>
      <c r="D883" s="4" t="str">
        <f t="shared" si="82"/>
        <v>400013461R1</v>
      </c>
      <c r="E883" s="309" t="str">
        <f>VLOOKUP($B883,'D7 - NDB Impacted SPRF''s'!$E$6:$O$9929,2,FALSE)</f>
        <v>MAHP Provider Directory Long-Term Solution</v>
      </c>
      <c r="F883" s="8" t="s">
        <v>4168</v>
      </c>
      <c r="G883" s="8" t="s">
        <v>4758</v>
      </c>
      <c r="H883" s="8" t="s">
        <v>4246</v>
      </c>
      <c r="I883" s="20">
        <v>14.94</v>
      </c>
      <c r="J883" s="8" t="s">
        <v>4862</v>
      </c>
      <c r="K883" s="182">
        <v>39522</v>
      </c>
      <c r="L883" s="8" t="s">
        <v>5743</v>
      </c>
      <c r="M883" s="8" t="s">
        <v>2814</v>
      </c>
      <c r="N883" s="367"/>
      <c r="O883" s="8" t="s">
        <v>3757</v>
      </c>
      <c r="P883" s="4" t="str">
        <f>VLOOKUP($B883,'D7 - NDB Impacted SPRF''s'!$E$16:$O$9929,9,FALSE)</f>
        <v>N</v>
      </c>
      <c r="Q883" s="4" t="str">
        <f>VLOOKUP($B883,'D7 - NDB Impacted SPRF''s'!$E$16:$O$9929,10,FALSE)</f>
        <v>N</v>
      </c>
      <c r="R883" s="4" t="str">
        <f>VLOOKUP($B883,'D7 - NDB Impacted SPRF''s'!$E$16:$O$9929,11,FALSE)</f>
        <v>N</v>
      </c>
      <c r="S883" s="8"/>
      <c r="T883" s="310"/>
      <c r="U883" s="310"/>
      <c r="V883" s="4"/>
      <c r="W883" s="4"/>
      <c r="X883" s="4"/>
      <c r="Y883" s="4"/>
      <c r="Z883" s="4"/>
      <c r="AA883" s="4"/>
      <c r="AB883" s="380" t="str">
        <f>VLOOKUP($B883,'D7 - NDB Impacted SPRF''s'!$E$16:$O$9929,4,FALSE)</f>
        <v>Completed</v>
      </c>
      <c r="AC883" s="380" t="str">
        <f>VLOOKUP($B883,'D7 - NDB Impacted SPRF''s'!$E$16:$O$9929,3,FALSE)</f>
        <v>UnitedHealthcare Employer &amp; Individual</v>
      </c>
      <c r="AD883" s="380" t="str">
        <f>VLOOKUP($B883,'D7 - NDB Impacted SPRF''s'!$E$16:$O$9929,5,FALSE)</f>
        <v>Integration Requirements</v>
      </c>
      <c r="AE883" s="380" t="str">
        <f>VLOOKUP($B883,'D7 - NDB Impacted SPRF''s'!$E$16:$O$9929,7,FALSE)</f>
        <v>Diane Schofield</v>
      </c>
      <c r="AF883" s="380" t="str">
        <f>VLOOKUP($B883,'D7 - NDB Impacted SPRF''s'!$E$16:$O$9929,6,FALSE)</f>
        <v>SHARION WILTON</v>
      </c>
      <c r="AG883" s="282"/>
      <c r="AH883" s="311" t="e">
        <f>INDEX('D5 - Gatekeeper - Projects'!$A$4:$AF$1010,$AM883, 17)</f>
        <v>#N/A</v>
      </c>
      <c r="AI883" s="8"/>
      <c r="AJ883" s="57"/>
      <c r="AK883" s="105"/>
      <c r="AM883" s="6" t="e">
        <f>MATCH(D883,'D5 - Gatekeeper - Projects'!$C$4:$C$1010,0)</f>
        <v>#N/A</v>
      </c>
      <c r="AN883" s="6" t="b">
        <f t="shared" si="80"/>
        <v>1</v>
      </c>
      <c r="AO883" s="6" t="str">
        <f t="shared" si="83"/>
        <v>OK</v>
      </c>
      <c r="AQ883" s="6" t="e">
        <f>MATCH($D883,'D4 - Provider Council Unsched'!$C$11:$C$234,0)</f>
        <v>#N/A</v>
      </c>
      <c r="AR883" s="6" t="b">
        <f t="shared" si="81"/>
        <v>1</v>
      </c>
      <c r="AS883" s="6" t="str">
        <f t="shared" si="84"/>
        <v>OK</v>
      </c>
      <c r="AU883" s="202"/>
      <c r="AV883" s="262"/>
      <c r="AW883" s="274"/>
    </row>
    <row r="884" spans="1:49" s="13" customFormat="1" ht="33.75" x14ac:dyDescent="0.2">
      <c r="A884" s="14">
        <v>860</v>
      </c>
      <c r="B884" s="14">
        <v>400014494</v>
      </c>
      <c r="C884" s="8" t="s">
        <v>5197</v>
      </c>
      <c r="D884" s="4" t="str">
        <f t="shared" si="82"/>
        <v>400014494R1</v>
      </c>
      <c r="E884" s="309" t="str">
        <f>VLOOKUP($B884,'D7 - NDB Impacted SPRF''s'!$E$6:$O$9929,2,FALSE)</f>
        <v>On line provider search enhancements</v>
      </c>
      <c r="F884" s="8" t="s">
        <v>2114</v>
      </c>
      <c r="G884" s="8" t="s">
        <v>4758</v>
      </c>
      <c r="H884" s="8" t="s">
        <v>4246</v>
      </c>
      <c r="I884" s="20">
        <v>5.56</v>
      </c>
      <c r="J884" s="8" t="s">
        <v>4862</v>
      </c>
      <c r="K884" s="182">
        <v>39522</v>
      </c>
      <c r="L884" s="8" t="s">
        <v>5743</v>
      </c>
      <c r="M884" s="8" t="s">
        <v>2814</v>
      </c>
      <c r="N884" s="367"/>
      <c r="O884" s="8" t="s">
        <v>4099</v>
      </c>
      <c r="P884" s="4" t="str">
        <f>VLOOKUP($B884,'D7 - NDB Impacted SPRF''s'!$E$16:$O$9929,9,FALSE)</f>
        <v>N</v>
      </c>
      <c r="Q884" s="4" t="str">
        <f>VLOOKUP($B884,'D7 - NDB Impacted SPRF''s'!$E$16:$O$9929,10,FALSE)</f>
        <v>N</v>
      </c>
      <c r="R884" s="4" t="str">
        <f>VLOOKUP($B884,'D7 - NDB Impacted SPRF''s'!$E$16:$O$9929,11,FALSE)</f>
        <v>N</v>
      </c>
      <c r="S884" s="8"/>
      <c r="T884" s="310"/>
      <c r="U884" s="310"/>
      <c r="V884" s="4"/>
      <c r="W884" s="4"/>
      <c r="X884" s="4"/>
      <c r="Y884" s="4"/>
      <c r="Z884" s="4"/>
      <c r="AA884" s="4"/>
      <c r="AB884" s="380" t="str">
        <f>VLOOKUP($B884,'D7 - NDB Impacted SPRF''s'!$E$16:$O$9929,4,FALSE)</f>
        <v>Completed</v>
      </c>
      <c r="AC884" s="380" t="str">
        <f>VLOOKUP($B884,'D7 - NDB Impacted SPRF''s'!$E$16:$O$9929,3,FALSE)</f>
        <v>UnitedHealthcare Employer &amp; Individual</v>
      </c>
      <c r="AD884" s="380" t="str">
        <f>VLOOKUP($B884,'D7 - NDB Impacted SPRF''s'!$E$16:$O$9929,5,FALSE)</f>
        <v>Regulatory / Other</v>
      </c>
      <c r="AE884" s="380" t="str">
        <f>VLOOKUP($B884,'D7 - NDB Impacted SPRF''s'!$E$16:$O$9929,7,FALSE)</f>
        <v>Patricia Stream</v>
      </c>
      <c r="AF884" s="380" t="str">
        <f>VLOOKUP($B884,'D7 - NDB Impacted SPRF''s'!$E$16:$O$9929,6,FALSE)</f>
        <v>NICOLE TRAN</v>
      </c>
      <c r="AG884" s="282"/>
      <c r="AH884" s="311" t="e">
        <f>INDEX('D5 - Gatekeeper - Projects'!$A$4:$AF$1010,$AM884, 17)</f>
        <v>#N/A</v>
      </c>
      <c r="AI884" s="8"/>
      <c r="AJ884" s="57"/>
      <c r="AK884" s="105"/>
      <c r="AM884" s="6" t="e">
        <f>MATCH(D884,'D5 - Gatekeeper - Projects'!$C$4:$C$1010,0)</f>
        <v>#N/A</v>
      </c>
      <c r="AN884" s="6" t="b">
        <f t="shared" si="80"/>
        <v>1</v>
      </c>
      <c r="AO884" s="6" t="str">
        <f t="shared" si="83"/>
        <v>OK</v>
      </c>
      <c r="AQ884" s="6" t="e">
        <f>MATCH($D884,'D4 - Provider Council Unsched'!$C$11:$C$234,0)</f>
        <v>#N/A</v>
      </c>
      <c r="AR884" s="6" t="b">
        <f t="shared" si="81"/>
        <v>1</v>
      </c>
      <c r="AS884" s="6" t="str">
        <f t="shared" si="84"/>
        <v>OK</v>
      </c>
      <c r="AU884" s="202"/>
      <c r="AV884" s="262"/>
      <c r="AW884" s="274"/>
    </row>
    <row r="885" spans="1:49" s="13" customFormat="1" ht="33.75" x14ac:dyDescent="0.2">
      <c r="A885" s="14">
        <v>861</v>
      </c>
      <c r="B885" s="14">
        <v>400014653</v>
      </c>
      <c r="C885" s="8" t="s">
        <v>2449</v>
      </c>
      <c r="D885" s="4" t="str">
        <f t="shared" si="82"/>
        <v>400014653R3</v>
      </c>
      <c r="E885" s="309" t="str">
        <f>VLOOKUP($B885,'D7 - NDB Impacted SPRF''s'!$E$6:$O$9929,2,FALSE)</f>
        <v>EPDE Expansion &amp; Supporting Table Conversions</v>
      </c>
      <c r="F885" s="8" t="s">
        <v>4069</v>
      </c>
      <c r="G885" s="8" t="s">
        <v>4758</v>
      </c>
      <c r="H885" s="8" t="s">
        <v>4246</v>
      </c>
      <c r="I885" s="20">
        <v>15.67</v>
      </c>
      <c r="J885" s="8" t="s">
        <v>4862</v>
      </c>
      <c r="K885" s="182">
        <v>39522</v>
      </c>
      <c r="L885" s="8" t="s">
        <v>5743</v>
      </c>
      <c r="M885" s="8" t="s">
        <v>2814</v>
      </c>
      <c r="N885" s="38"/>
      <c r="O885" s="8" t="s">
        <v>7086</v>
      </c>
      <c r="P885" s="4" t="str">
        <f>VLOOKUP($B885,'D7 - NDB Impacted SPRF''s'!$E$16:$O$9929,9,FALSE)</f>
        <v>N</v>
      </c>
      <c r="Q885" s="4" t="str">
        <f>VLOOKUP($B885,'D7 - NDB Impacted SPRF''s'!$E$16:$O$9929,10,FALSE)</f>
        <v>N</v>
      </c>
      <c r="R885" s="4" t="str">
        <f>VLOOKUP($B885,'D7 - NDB Impacted SPRF''s'!$E$16:$O$9929,11,FALSE)</f>
        <v>N</v>
      </c>
      <c r="S885" s="8"/>
      <c r="T885" s="310"/>
      <c r="U885" s="310"/>
      <c r="V885" s="4"/>
      <c r="W885" s="4"/>
      <c r="X885" s="4"/>
      <c r="Y885" s="4"/>
      <c r="Z885" s="4"/>
      <c r="AA885" s="4"/>
      <c r="AB885" s="380" t="str">
        <f>VLOOKUP($B885,'D7 - NDB Impacted SPRF''s'!$E$16:$O$9929,4,FALSE)</f>
        <v>Completed</v>
      </c>
      <c r="AC885" s="380" t="str">
        <f>VLOOKUP($B885,'D7 - NDB Impacted SPRF''s'!$E$16:$O$9929,3,FALSE)</f>
        <v>UnitedHealthcare Employer &amp; Individual</v>
      </c>
      <c r="AD885" s="380" t="str">
        <f>VLOOKUP($B885,'D7 - NDB Impacted SPRF''s'!$E$16:$O$9929,5,FALSE)</f>
        <v>Medical Cost Savings Programs</v>
      </c>
      <c r="AE885" s="380" t="str">
        <f>VLOOKUP($B885,'D7 - NDB Impacted SPRF''s'!$E$16:$O$9929,7,FALSE)</f>
        <v>Tim Kaja</v>
      </c>
      <c r="AF885" s="380" t="str">
        <f>VLOOKUP($B885,'D7 - NDB Impacted SPRF''s'!$E$16:$O$9929,6,FALSE)</f>
        <v>MARCIA MONACO</v>
      </c>
      <c r="AG885" s="282"/>
      <c r="AH885" s="311" t="e">
        <f>INDEX('D5 - Gatekeeper - Projects'!$A$4:$AF$1010,$AM885, 17)</f>
        <v>#N/A</v>
      </c>
      <c r="AI885" s="8"/>
      <c r="AJ885" s="57"/>
      <c r="AK885" s="105"/>
      <c r="AM885" s="6" t="e">
        <f>MATCH(D885,'D5 - Gatekeeper - Projects'!$C$4:$C$1010,0)</f>
        <v>#N/A</v>
      </c>
      <c r="AN885" s="6" t="b">
        <f t="shared" si="80"/>
        <v>1</v>
      </c>
      <c r="AO885" s="6" t="str">
        <f t="shared" si="83"/>
        <v>OK</v>
      </c>
      <c r="AQ885" s="6" t="e">
        <f>MATCH($D885,'D4 - Provider Council Unsched'!$C$11:$C$234,0)</f>
        <v>#N/A</v>
      </c>
      <c r="AR885" s="6" t="b">
        <f t="shared" si="81"/>
        <v>1</v>
      </c>
      <c r="AS885" s="6" t="str">
        <f t="shared" si="84"/>
        <v>OK</v>
      </c>
      <c r="AU885" s="202"/>
      <c r="AV885" s="262"/>
      <c r="AW885" s="274"/>
    </row>
    <row r="886" spans="1:49" s="13" customFormat="1" ht="33.75" x14ac:dyDescent="0.2">
      <c r="A886" s="14">
        <v>862</v>
      </c>
      <c r="B886" s="14">
        <v>400014653</v>
      </c>
      <c r="C886" s="8" t="s">
        <v>1992</v>
      </c>
      <c r="D886" s="4" t="str">
        <f t="shared" si="82"/>
        <v>400014653U1</v>
      </c>
      <c r="E886" s="309" t="str">
        <f>VLOOKUP($B886,'D7 - NDB Impacted SPRF''s'!$E$6:$O$9929,2,FALSE)</f>
        <v>EPDE Expansion &amp; Supporting Table Conversions</v>
      </c>
      <c r="F886" s="8" t="s">
        <v>4069</v>
      </c>
      <c r="G886" s="8" t="s">
        <v>4758</v>
      </c>
      <c r="H886" s="8" t="s">
        <v>4246</v>
      </c>
      <c r="I886" s="20">
        <f>146/160</f>
        <v>0.91249999999999998</v>
      </c>
      <c r="J886" s="8" t="s">
        <v>4862</v>
      </c>
      <c r="K886" s="182">
        <v>39522</v>
      </c>
      <c r="L886" s="8" t="s">
        <v>5743</v>
      </c>
      <c r="M886" s="8" t="s">
        <v>2814</v>
      </c>
      <c r="N886" s="38"/>
      <c r="O886" s="8" t="s">
        <v>7086</v>
      </c>
      <c r="P886" s="4" t="str">
        <f>VLOOKUP($B886,'D7 - NDB Impacted SPRF''s'!$E$16:$O$9929,9,FALSE)</f>
        <v>N</v>
      </c>
      <c r="Q886" s="4" t="str">
        <f>VLOOKUP($B886,'D7 - NDB Impacted SPRF''s'!$E$16:$O$9929,10,FALSE)</f>
        <v>N</v>
      </c>
      <c r="R886" s="4" t="str">
        <f>VLOOKUP($B886,'D7 - NDB Impacted SPRF''s'!$E$16:$O$9929,11,FALSE)</f>
        <v>N</v>
      </c>
      <c r="S886" s="8"/>
      <c r="T886" s="310"/>
      <c r="U886" s="310"/>
      <c r="V886" s="4"/>
      <c r="W886" s="4"/>
      <c r="X886" s="4"/>
      <c r="Y886" s="4"/>
      <c r="Z886" s="4"/>
      <c r="AA886" s="4"/>
      <c r="AB886" s="380" t="str">
        <f>VLOOKUP($B886,'D7 - NDB Impacted SPRF''s'!$E$16:$O$9929,4,FALSE)</f>
        <v>Completed</v>
      </c>
      <c r="AC886" s="380" t="str">
        <f>VLOOKUP($B886,'D7 - NDB Impacted SPRF''s'!$E$16:$O$9929,3,FALSE)</f>
        <v>UnitedHealthcare Employer &amp; Individual</v>
      </c>
      <c r="AD886" s="380" t="str">
        <f>VLOOKUP($B886,'D7 - NDB Impacted SPRF''s'!$E$16:$O$9929,5,FALSE)</f>
        <v>Medical Cost Savings Programs</v>
      </c>
      <c r="AE886" s="380" t="str">
        <f>VLOOKUP($B886,'D7 - NDB Impacted SPRF''s'!$E$16:$O$9929,7,FALSE)</f>
        <v>Tim Kaja</v>
      </c>
      <c r="AF886" s="380" t="str">
        <f>VLOOKUP($B886,'D7 - NDB Impacted SPRF''s'!$E$16:$O$9929,6,FALSE)</f>
        <v>MARCIA MONACO</v>
      </c>
      <c r="AG886" s="282"/>
      <c r="AH886" s="311" t="e">
        <f>INDEX('D5 - Gatekeeper - Projects'!$A$4:$AF$1010,$AM886, 17)</f>
        <v>#N/A</v>
      </c>
      <c r="AI886" s="8"/>
      <c r="AJ886" s="57"/>
      <c r="AK886" s="105"/>
      <c r="AM886" s="6" t="e">
        <f>MATCH(D886,'D5 - Gatekeeper - Projects'!$C$4:$C$1010,0)</f>
        <v>#N/A</v>
      </c>
      <c r="AN886" s="6" t="b">
        <f t="shared" si="80"/>
        <v>1</v>
      </c>
      <c r="AO886" s="6" t="str">
        <f t="shared" si="83"/>
        <v>OK</v>
      </c>
      <c r="AQ886" s="6" t="e">
        <f>MATCH($D886,'D4 - Provider Council Unsched'!$C$11:$C$234,0)</f>
        <v>#N/A</v>
      </c>
      <c r="AR886" s="6" t="b">
        <f t="shared" si="81"/>
        <v>1</v>
      </c>
      <c r="AS886" s="6" t="str">
        <f t="shared" si="84"/>
        <v>OK</v>
      </c>
      <c r="AU886" s="202"/>
      <c r="AV886" s="262"/>
      <c r="AW886" s="274"/>
    </row>
    <row r="887" spans="1:49" s="13" customFormat="1" ht="33.75" x14ac:dyDescent="0.2">
      <c r="A887" s="14">
        <v>863</v>
      </c>
      <c r="B887" s="14">
        <v>400015075</v>
      </c>
      <c r="C887" s="8" t="s">
        <v>3763</v>
      </c>
      <c r="D887" s="4" t="str">
        <f t="shared" si="82"/>
        <v>400015075R2</v>
      </c>
      <c r="E887" s="309" t="str">
        <f>VLOOKUP($B887,'D7 - NDB Impacted SPRF''s'!$E$6:$O$9929,2,FALSE)</f>
        <v>Medica Non-Notification Penalty</v>
      </c>
      <c r="F887" s="8" t="s">
        <v>5196</v>
      </c>
      <c r="G887" s="8" t="s">
        <v>4758</v>
      </c>
      <c r="H887" s="8" t="s">
        <v>4246</v>
      </c>
      <c r="I887" s="20">
        <v>10</v>
      </c>
      <c r="J887" s="8" t="s">
        <v>4862</v>
      </c>
      <c r="K887" s="182">
        <v>39522</v>
      </c>
      <c r="L887" s="8" t="s">
        <v>5743</v>
      </c>
      <c r="M887" s="8" t="s">
        <v>2814</v>
      </c>
      <c r="N887" s="38"/>
      <c r="O887" s="8" t="s">
        <v>2547</v>
      </c>
      <c r="P887" s="4" t="str">
        <f>VLOOKUP($B887,'D7 - NDB Impacted SPRF''s'!$E$16:$O$9929,9,FALSE)</f>
        <v>Y</v>
      </c>
      <c r="Q887" s="4" t="str">
        <f>VLOOKUP($B887,'D7 - NDB Impacted SPRF''s'!$E$16:$O$9929,10,FALSE)</f>
        <v>N</v>
      </c>
      <c r="R887" s="4" t="str">
        <f>VLOOKUP($B887,'D7 - NDB Impacted SPRF''s'!$E$16:$O$9929,11,FALSE)</f>
        <v>N</v>
      </c>
      <c r="S887" s="8"/>
      <c r="T887" s="310"/>
      <c r="U887" s="310"/>
      <c r="V887" s="4"/>
      <c r="W887" s="4"/>
      <c r="X887" s="4"/>
      <c r="Y887" s="4"/>
      <c r="Z887" s="4"/>
      <c r="AA887" s="4"/>
      <c r="AB887" s="380" t="str">
        <f>VLOOKUP($B887,'D7 - NDB Impacted SPRF''s'!$E$16:$O$9929,4,FALSE)</f>
        <v>Completed</v>
      </c>
      <c r="AC887" s="380" t="str">
        <f>VLOOKUP($B887,'D7 - NDB Impacted SPRF''s'!$E$16:$O$9929,3,FALSE)</f>
        <v>UnitedHealthcare Employer &amp; Individual</v>
      </c>
      <c r="AD887" s="380" t="str">
        <f>VLOOKUP($B887,'D7 - NDB Impacted SPRF''s'!$E$16:$O$9929,5,FALSE)</f>
        <v>HCA - Medica UNET Conversion</v>
      </c>
      <c r="AE887" s="380" t="str">
        <f>VLOOKUP($B887,'D7 - NDB Impacted SPRF''s'!$E$16:$O$9929,7,FALSE)</f>
        <v>Diane Schofield</v>
      </c>
      <c r="AF887" s="380" t="str">
        <f>VLOOKUP($B887,'D7 - NDB Impacted SPRF''s'!$E$16:$O$9929,6,FALSE)</f>
        <v>KELLY Valentine</v>
      </c>
      <c r="AG887" s="282"/>
      <c r="AH887" s="311" t="e">
        <f>INDEX('D5 - Gatekeeper - Projects'!$A$4:$AF$1010,$AM887, 17)</f>
        <v>#N/A</v>
      </c>
      <c r="AI887" s="8"/>
      <c r="AJ887" s="57"/>
      <c r="AK887" s="105"/>
      <c r="AM887" s="6" t="e">
        <f>MATCH(D887,'D5 - Gatekeeper - Projects'!$C$4:$C$1010,0)</f>
        <v>#N/A</v>
      </c>
      <c r="AN887" s="6" t="b">
        <f t="shared" si="80"/>
        <v>1</v>
      </c>
      <c r="AO887" s="6" t="str">
        <f t="shared" si="83"/>
        <v>OK</v>
      </c>
      <c r="AQ887" s="6" t="e">
        <f>MATCH($D887,'D4 - Provider Council Unsched'!$C$11:$C$234,0)</f>
        <v>#N/A</v>
      </c>
      <c r="AR887" s="6" t="b">
        <f t="shared" si="81"/>
        <v>1</v>
      </c>
      <c r="AS887" s="6" t="str">
        <f t="shared" si="84"/>
        <v>OK</v>
      </c>
      <c r="AU887" s="202"/>
      <c r="AV887" s="262"/>
      <c r="AW887" s="274"/>
    </row>
    <row r="888" spans="1:49" s="13" customFormat="1" ht="33.75" x14ac:dyDescent="0.2">
      <c r="A888" s="14">
        <v>864</v>
      </c>
      <c r="B888" s="14">
        <v>400015305</v>
      </c>
      <c r="C888" s="8" t="s">
        <v>5197</v>
      </c>
      <c r="D888" s="4" t="str">
        <f t="shared" si="82"/>
        <v>400015305R1</v>
      </c>
      <c r="E888" s="309" t="str">
        <f>VLOOKUP($B888,'D7 - NDB Impacted SPRF''s'!$E$6:$O$9929,2,FALSE)</f>
        <v>PHS Rx Solutions Connectivity</v>
      </c>
      <c r="F888" s="8" t="s">
        <v>6071</v>
      </c>
      <c r="G888" s="8" t="s">
        <v>4758</v>
      </c>
      <c r="H888" s="8" t="s">
        <v>4246</v>
      </c>
      <c r="I888" s="20">
        <v>1.07</v>
      </c>
      <c r="J888" s="8" t="s">
        <v>4862</v>
      </c>
      <c r="K888" s="182">
        <v>39522</v>
      </c>
      <c r="L888" s="8" t="s">
        <v>5743</v>
      </c>
      <c r="M888" s="8" t="s">
        <v>5626</v>
      </c>
      <c r="N888" s="38" t="s">
        <v>2075</v>
      </c>
      <c r="O888" s="8" t="s">
        <v>2000</v>
      </c>
      <c r="P888" s="4" t="str">
        <f>VLOOKUP($B888,'D7 - NDB Impacted SPRF''s'!$E$16:$O$9929,9,FALSE)</f>
        <v>Y</v>
      </c>
      <c r="Q888" s="4" t="str">
        <f>VLOOKUP($B888,'D7 - NDB Impacted SPRF''s'!$E$16:$O$9929,10,FALSE)</f>
        <v>N</v>
      </c>
      <c r="R888" s="4" t="str">
        <f>VLOOKUP($B888,'D7 - NDB Impacted SPRF''s'!$E$16:$O$9929,11,FALSE)</f>
        <v>N</v>
      </c>
      <c r="S888" s="8"/>
      <c r="T888" s="310"/>
      <c r="U888" s="310"/>
      <c r="V888" s="4"/>
      <c r="W888" s="4"/>
      <c r="X888" s="4"/>
      <c r="Y888" s="4"/>
      <c r="Z888" s="4"/>
      <c r="AA888" s="4"/>
      <c r="AB888" s="380" t="str">
        <f>VLOOKUP($B888,'D7 - NDB Impacted SPRF''s'!$E$16:$O$9929,4,FALSE)</f>
        <v>Completed</v>
      </c>
      <c r="AC888" s="380" t="str">
        <f>VLOOKUP($B888,'D7 - NDB Impacted SPRF''s'!$E$16:$O$9929,3,FALSE)</f>
        <v>UnitedHealthcare Employer &amp; Individual</v>
      </c>
      <c r="AD888" s="380" t="str">
        <f>VLOOKUP($B888,'D7 - NDB Impacted SPRF''s'!$E$16:$O$9929,5,FALSE)</f>
        <v>Integration Requirements</v>
      </c>
      <c r="AE888" s="380" t="str">
        <f>VLOOKUP($B888,'D7 - NDB Impacted SPRF''s'!$E$16:$O$9929,7,FALSE)</f>
        <v>Diane Schofield</v>
      </c>
      <c r="AF888" s="380" t="str">
        <f>VLOOKUP($B888,'D7 - NDB Impacted SPRF''s'!$E$16:$O$9929,6,FALSE)</f>
        <v>JORDAN TAYLOR</v>
      </c>
      <c r="AG888" s="282"/>
      <c r="AH888" s="311" t="e">
        <f>INDEX('D5 - Gatekeeper - Projects'!$A$4:$AF$1010,$AM888, 17)</f>
        <v>#N/A</v>
      </c>
      <c r="AI888" s="8"/>
      <c r="AJ888" s="57"/>
      <c r="AK888" s="105"/>
      <c r="AM888" s="6" t="e">
        <f>MATCH(D888,'D5 - Gatekeeper - Projects'!$C$4:$C$1010,0)</f>
        <v>#N/A</v>
      </c>
      <c r="AN888" s="6" t="b">
        <f t="shared" si="80"/>
        <v>1</v>
      </c>
      <c r="AO888" s="6" t="str">
        <f t="shared" si="83"/>
        <v>OK</v>
      </c>
      <c r="AQ888" s="6" t="e">
        <f>MATCH($D888,'D4 - Provider Council Unsched'!$C$11:$C$234,0)</f>
        <v>#N/A</v>
      </c>
      <c r="AR888" s="6" t="b">
        <f t="shared" si="81"/>
        <v>1</v>
      </c>
      <c r="AS888" s="6" t="str">
        <f t="shared" si="84"/>
        <v>OK</v>
      </c>
      <c r="AU888" s="202"/>
      <c r="AV888" s="262"/>
      <c r="AW888" s="274"/>
    </row>
    <row r="889" spans="1:49" s="13" customFormat="1" ht="33.75" x14ac:dyDescent="0.2">
      <c r="A889" s="14">
        <v>865</v>
      </c>
      <c r="B889" s="14">
        <v>400015364</v>
      </c>
      <c r="C889" s="8" t="s">
        <v>3763</v>
      </c>
      <c r="D889" s="4" t="str">
        <f t="shared" si="82"/>
        <v>400015364R2</v>
      </c>
      <c r="E889" s="309" t="str">
        <f>VLOOKUP($B889,'D7 - NDB Impacted SPRF''s'!$E$6:$O$9929,2,FALSE)</f>
        <v>By Pass Premium For Accreditation</v>
      </c>
      <c r="F889" s="8" t="s">
        <v>7989</v>
      </c>
      <c r="G889" s="8" t="s">
        <v>4758</v>
      </c>
      <c r="H889" s="8" t="s">
        <v>4246</v>
      </c>
      <c r="I889" s="20">
        <v>1.07</v>
      </c>
      <c r="J889" s="8" t="s">
        <v>4862</v>
      </c>
      <c r="K889" s="182">
        <v>39522</v>
      </c>
      <c r="L889" s="8" t="s">
        <v>5743</v>
      </c>
      <c r="M889" s="8" t="s">
        <v>5626</v>
      </c>
      <c r="N889" s="38"/>
      <c r="O889" s="8" t="s">
        <v>2000</v>
      </c>
      <c r="P889" s="4" t="str">
        <f>VLOOKUP($B889,'D7 - NDB Impacted SPRF''s'!$E$16:$O$9929,9,FALSE)</f>
        <v>Y</v>
      </c>
      <c r="Q889" s="4" t="str">
        <f>VLOOKUP($B889,'D7 - NDB Impacted SPRF''s'!$E$16:$O$9929,10,FALSE)</f>
        <v>N</v>
      </c>
      <c r="R889" s="4" t="str">
        <f>VLOOKUP($B889,'D7 - NDB Impacted SPRF''s'!$E$16:$O$9929,11,FALSE)</f>
        <v>N</v>
      </c>
      <c r="S889" s="8"/>
      <c r="T889" s="310"/>
      <c r="U889" s="310"/>
      <c r="V889" s="4"/>
      <c r="W889" s="4"/>
      <c r="X889" s="4"/>
      <c r="Y889" s="4"/>
      <c r="Z889" s="4"/>
      <c r="AA889" s="4"/>
      <c r="AB889" s="380" t="str">
        <f>VLOOKUP($B889,'D7 - NDB Impacted SPRF''s'!$E$16:$O$9929,4,FALSE)</f>
        <v>Completed</v>
      </c>
      <c r="AC889" s="380" t="str">
        <f>VLOOKUP($B889,'D7 - NDB Impacted SPRF''s'!$E$16:$O$9929,3,FALSE)</f>
        <v>UnitedHealthcare Employer &amp; Individual</v>
      </c>
      <c r="AD889" s="380" t="str">
        <f>VLOOKUP($B889,'D7 - NDB Impacted SPRF''s'!$E$16:$O$9929,5,FALSE)</f>
        <v>Medical Cost Savings Programs</v>
      </c>
      <c r="AE889" s="380" t="str">
        <f>VLOOKUP($B889,'D7 - NDB Impacted SPRF''s'!$E$16:$O$9929,7,FALSE)</f>
        <v>Laurie Paidosh</v>
      </c>
      <c r="AF889" s="380" t="str">
        <f>VLOOKUP($B889,'D7 - NDB Impacted SPRF''s'!$E$16:$O$9929,6,FALSE)</f>
        <v>Lori West</v>
      </c>
      <c r="AG889" s="282"/>
      <c r="AH889" s="311" t="e">
        <f>INDEX('D5 - Gatekeeper - Projects'!$A$4:$AF$1010,$AM889, 17)</f>
        <v>#N/A</v>
      </c>
      <c r="AI889" s="8"/>
      <c r="AJ889" s="57"/>
      <c r="AK889" s="105"/>
      <c r="AM889" s="6" t="e">
        <f>MATCH(D889,'D5 - Gatekeeper - Projects'!$C$4:$C$1010,0)</f>
        <v>#N/A</v>
      </c>
      <c r="AN889" s="6" t="b">
        <f t="shared" si="80"/>
        <v>1</v>
      </c>
      <c r="AO889" s="6" t="str">
        <f t="shared" si="83"/>
        <v>OK</v>
      </c>
      <c r="AQ889" s="6" t="e">
        <f>MATCH($D889,'D4 - Provider Council Unsched'!$C$11:$C$234,0)</f>
        <v>#N/A</v>
      </c>
      <c r="AR889" s="6" t="b">
        <f t="shared" si="81"/>
        <v>1</v>
      </c>
      <c r="AS889" s="6" t="str">
        <f t="shared" si="84"/>
        <v>OK</v>
      </c>
      <c r="AU889" s="202"/>
      <c r="AV889" s="262"/>
      <c r="AW889" s="274"/>
    </row>
    <row r="890" spans="1:49" s="13" customFormat="1" ht="33.75" x14ac:dyDescent="0.2">
      <c r="A890" s="14">
        <v>866</v>
      </c>
      <c r="B890" s="14">
        <v>400015771</v>
      </c>
      <c r="C890" s="8" t="s">
        <v>3763</v>
      </c>
      <c r="D890" s="4" t="str">
        <f t="shared" si="82"/>
        <v>400015771R2</v>
      </c>
      <c r="E890" s="309" t="str">
        <f>VLOOKUP($B890,'D7 - NDB Impacted SPRF''s'!$E$6:$O$9929,2,FALSE)</f>
        <v>HPHC1 - Expired Codes Report for HPHC VR#s</v>
      </c>
      <c r="F890" s="8" t="s">
        <v>5196</v>
      </c>
      <c r="G890" s="8" t="s">
        <v>4758</v>
      </c>
      <c r="H890" s="8" t="s">
        <v>4246</v>
      </c>
      <c r="I890" s="20">
        <v>0.86</v>
      </c>
      <c r="J890" s="8" t="s">
        <v>4862</v>
      </c>
      <c r="K890" s="182">
        <v>39522</v>
      </c>
      <c r="L890" s="8" t="s">
        <v>5743</v>
      </c>
      <c r="M890" s="8" t="s">
        <v>2814</v>
      </c>
      <c r="N890" s="38" t="s">
        <v>3727</v>
      </c>
      <c r="O890" s="8" t="s">
        <v>5042</v>
      </c>
      <c r="P890" s="4" t="str">
        <f>VLOOKUP($B890,'D7 - NDB Impacted SPRF''s'!$E$16:$O$9929,9,FALSE)</f>
        <v>N</v>
      </c>
      <c r="Q890" s="4" t="str">
        <f>VLOOKUP($B890,'D7 - NDB Impacted SPRF''s'!$E$16:$O$9929,10,FALSE)</f>
        <v>N</v>
      </c>
      <c r="R890" s="4" t="str">
        <f>VLOOKUP($B890,'D7 - NDB Impacted SPRF''s'!$E$16:$O$9929,11,FALSE)</f>
        <v>N</v>
      </c>
      <c r="S890" s="8"/>
      <c r="T890" s="310"/>
      <c r="U890" s="310"/>
      <c r="V890" s="4"/>
      <c r="W890" s="4"/>
      <c r="X890" s="4"/>
      <c r="Y890" s="4"/>
      <c r="Z890" s="4"/>
      <c r="AA890" s="4"/>
      <c r="AB890" s="380" t="str">
        <f>VLOOKUP($B890,'D7 - NDB Impacted SPRF''s'!$E$16:$O$9929,4,FALSE)</f>
        <v>Completed</v>
      </c>
      <c r="AC890" s="380" t="str">
        <f>VLOOKUP($B890,'D7 - NDB Impacted SPRF''s'!$E$16:$O$9929,3,FALSE)</f>
        <v>UnitedHealthcare Employer &amp; Individual</v>
      </c>
      <c r="AD890" s="380" t="str">
        <f>VLOOKUP($B890,'D7 - NDB Impacted SPRF''s'!$E$16:$O$9929,5,FALSE)</f>
        <v>Process Improvement</v>
      </c>
      <c r="AE890" s="380" t="str">
        <f>VLOOKUP($B890,'D7 - NDB Impacted SPRF''s'!$E$16:$O$9929,7,FALSE)</f>
        <v>Kathy Freiheit</v>
      </c>
      <c r="AF890" s="380" t="str">
        <f>VLOOKUP($B890,'D7 - NDB Impacted SPRF''s'!$E$16:$O$9929,6,FALSE)</f>
        <v>Susan Neal</v>
      </c>
      <c r="AG890" s="282"/>
      <c r="AH890" s="311" t="e">
        <f>INDEX('D5 - Gatekeeper - Projects'!$A$4:$AF$1010,$AM890, 17)</f>
        <v>#N/A</v>
      </c>
      <c r="AI890" s="8"/>
      <c r="AJ890" s="57"/>
      <c r="AK890" s="105"/>
      <c r="AM890" s="6" t="e">
        <f>MATCH(D890,'D5 - Gatekeeper - Projects'!$C$4:$C$1010,0)</f>
        <v>#N/A</v>
      </c>
      <c r="AN890" s="6" t="b">
        <f t="shared" si="80"/>
        <v>1</v>
      </c>
      <c r="AO890" s="6" t="str">
        <f t="shared" si="83"/>
        <v>OK</v>
      </c>
      <c r="AQ890" s="6" t="e">
        <f>MATCH($D890,'D4 - Provider Council Unsched'!$C$11:$C$234,0)</f>
        <v>#N/A</v>
      </c>
      <c r="AR890" s="6" t="b">
        <f t="shared" si="81"/>
        <v>1</v>
      </c>
      <c r="AS890" s="6" t="str">
        <f t="shared" si="84"/>
        <v>OK</v>
      </c>
      <c r="AU890" s="202"/>
      <c r="AV890" s="262"/>
      <c r="AW890" s="274"/>
    </row>
    <row r="891" spans="1:49" s="13" customFormat="1" ht="33.75" x14ac:dyDescent="0.2">
      <c r="A891" s="14">
        <v>867</v>
      </c>
      <c r="B891" s="14">
        <v>400016788</v>
      </c>
      <c r="C891" s="8" t="s">
        <v>5197</v>
      </c>
      <c r="D891" s="4" t="str">
        <f t="shared" si="82"/>
        <v>400016788R1</v>
      </c>
      <c r="E891" s="309" t="str">
        <f>VLOOKUP($B891,'D7 - NDB Impacted SPRF''s'!$E$6:$O$9929,2,FALSE)</f>
        <v xml:space="preserve">Build "C" Environment for Integrated Test    </v>
      </c>
      <c r="F891" s="8" t="s">
        <v>2114</v>
      </c>
      <c r="G891" s="8" t="s">
        <v>4758</v>
      </c>
      <c r="H891" s="8" t="s">
        <v>4246</v>
      </c>
      <c r="I891" s="20">
        <v>42.67</v>
      </c>
      <c r="J891" s="8" t="s">
        <v>4862</v>
      </c>
      <c r="K891" s="182">
        <v>39522</v>
      </c>
      <c r="L891" s="8" t="s">
        <v>5743</v>
      </c>
      <c r="M891" s="8" t="s">
        <v>4450</v>
      </c>
      <c r="N891" s="38"/>
      <c r="O891" s="8" t="s">
        <v>7086</v>
      </c>
      <c r="P891" s="4" t="str">
        <f>VLOOKUP($B891,'D7 - NDB Impacted SPRF''s'!$E$16:$O$9929,9,FALSE)</f>
        <v>N</v>
      </c>
      <c r="Q891" s="4" t="str">
        <f>VLOOKUP($B891,'D7 - NDB Impacted SPRF''s'!$E$16:$O$9929,10,FALSE)</f>
        <v>N</v>
      </c>
      <c r="R891" s="4" t="str">
        <f>VLOOKUP($B891,'D7 - NDB Impacted SPRF''s'!$E$16:$O$9929,11,FALSE)</f>
        <v>N</v>
      </c>
      <c r="S891" s="8"/>
      <c r="T891" s="310"/>
      <c r="U891" s="310"/>
      <c r="V891" s="4"/>
      <c r="W891" s="4"/>
      <c r="X891" s="4"/>
      <c r="Y891" s="4"/>
      <c r="Z891" s="4"/>
      <c r="AA891" s="4"/>
      <c r="AB891" s="380" t="str">
        <f>VLOOKUP($B891,'D7 - NDB Impacted SPRF''s'!$E$16:$O$9929,4,FALSE)</f>
        <v>Completed</v>
      </c>
      <c r="AC891" s="380" t="str">
        <f>VLOOKUP($B891,'D7 - NDB Impacted SPRF''s'!$E$16:$O$9929,3,FALSE)</f>
        <v>UHG IT - Application Services Group</v>
      </c>
      <c r="AD891" s="380" t="str">
        <f>VLOOKUP($B891,'D7 - NDB Impacted SPRF''s'!$E$16:$O$9929,5,FALSE)</f>
        <v>ASG</v>
      </c>
      <c r="AE891" s="380" t="str">
        <f>VLOOKUP($B891,'D7 - NDB Impacted SPRF''s'!$E$16:$O$9929,7,FALSE)</f>
        <v>Jessica Kozlowski</v>
      </c>
      <c r="AF891" s="380" t="str">
        <f>VLOOKUP($B891,'D7 - NDB Impacted SPRF''s'!$E$16:$O$9929,6,FALSE)</f>
        <v>colleen meagher</v>
      </c>
      <c r="AG891" s="282"/>
      <c r="AH891" s="311" t="e">
        <f>INDEX('D5 - Gatekeeper - Projects'!$A$4:$AF$1010,$AM891, 17)</f>
        <v>#N/A</v>
      </c>
      <c r="AI891" s="8"/>
      <c r="AJ891" s="57"/>
      <c r="AK891" s="105"/>
      <c r="AM891" s="6" t="e">
        <f>MATCH(D891,'D5 - Gatekeeper - Projects'!$C$4:$C$1010,0)</f>
        <v>#N/A</v>
      </c>
      <c r="AN891" s="6" t="b">
        <f t="shared" si="80"/>
        <v>1</v>
      </c>
      <c r="AO891" s="6" t="str">
        <f t="shared" si="83"/>
        <v>OK</v>
      </c>
      <c r="AQ891" s="6" t="e">
        <f>MATCH($D891,'D4 - Provider Council Unsched'!$C$11:$C$234,0)</f>
        <v>#N/A</v>
      </c>
      <c r="AR891" s="6" t="b">
        <f t="shared" si="81"/>
        <v>1</v>
      </c>
      <c r="AS891" s="6" t="str">
        <f t="shared" si="84"/>
        <v>OK</v>
      </c>
      <c r="AU891" s="202"/>
      <c r="AV891" s="262"/>
      <c r="AW891" s="274"/>
    </row>
    <row r="892" spans="1:49" s="13" customFormat="1" ht="33.75" x14ac:dyDescent="0.2">
      <c r="A892" s="14">
        <v>868</v>
      </c>
      <c r="B892" s="14">
        <v>400017623</v>
      </c>
      <c r="C892" s="8" t="s">
        <v>5197</v>
      </c>
      <c r="D892" s="4" t="str">
        <f t="shared" si="82"/>
        <v>400017623R1</v>
      </c>
      <c r="E892" s="309" t="str">
        <f>VLOOKUP($B892,'D7 - NDB Impacted SPRF''s'!$E$6:$O$9929,2,FALSE)</f>
        <v>Alliance - DDS Recon - UP Source to Partner Target</v>
      </c>
      <c r="F892" s="8" t="s">
        <v>5196</v>
      </c>
      <c r="G892" s="8" t="s">
        <v>4758</v>
      </c>
      <c r="H892" s="8" t="s">
        <v>4246</v>
      </c>
      <c r="I892" s="20">
        <v>10.69</v>
      </c>
      <c r="J892" s="8" t="s">
        <v>4862</v>
      </c>
      <c r="K892" s="182">
        <v>39522</v>
      </c>
      <c r="L892" s="8" t="s">
        <v>5743</v>
      </c>
      <c r="M892" s="8" t="s">
        <v>2814</v>
      </c>
      <c r="N892" s="38"/>
      <c r="O892" s="8" t="s">
        <v>2547</v>
      </c>
      <c r="P892" s="4" t="str">
        <f>VLOOKUP($B892,'D7 - NDB Impacted SPRF''s'!$E$16:$O$9929,9,FALSE)</f>
        <v>Y</v>
      </c>
      <c r="Q892" s="4" t="str">
        <f>VLOOKUP($B892,'D7 - NDB Impacted SPRF''s'!$E$16:$O$9929,10,FALSE)</f>
        <v>N</v>
      </c>
      <c r="R892" s="4" t="str">
        <f>VLOOKUP($B892,'D7 - NDB Impacted SPRF''s'!$E$16:$O$9929,11,FALSE)</f>
        <v>N</v>
      </c>
      <c r="S892" s="8"/>
      <c r="T892" s="310"/>
      <c r="U892" s="310"/>
      <c r="V892" s="4"/>
      <c r="W892" s="4"/>
      <c r="X892" s="4"/>
      <c r="Y892" s="4"/>
      <c r="Z892" s="4"/>
      <c r="AA892" s="4"/>
      <c r="AB892" s="380" t="str">
        <f>VLOOKUP($B892,'D7 - NDB Impacted SPRF''s'!$E$16:$O$9929,4,FALSE)</f>
        <v>Completed</v>
      </c>
      <c r="AC892" s="380" t="str">
        <f>VLOOKUP($B892,'D7 - NDB Impacted SPRF''s'!$E$16:$O$9929,3,FALSE)</f>
        <v>UnitedHealthcare Employer &amp; Individual</v>
      </c>
      <c r="AD892" s="380" t="str">
        <f>VLOOKUP($B892,'D7 - NDB Impacted SPRF''s'!$E$16:$O$9929,5,FALSE)</f>
        <v>Healthcare Service Alliance</v>
      </c>
      <c r="AE892" s="380" t="str">
        <f>VLOOKUP($B892,'D7 - NDB Impacted SPRF''s'!$E$16:$O$9929,7,FALSE)</f>
        <v>Diane Schofield</v>
      </c>
      <c r="AF892" s="380" t="str">
        <f>VLOOKUP($B892,'D7 - NDB Impacted SPRF''s'!$E$16:$O$9929,6,FALSE)</f>
        <v>DECEMBER WALKER</v>
      </c>
      <c r="AG892" s="282"/>
      <c r="AH892" s="311" t="e">
        <f>INDEX('D5 - Gatekeeper - Projects'!$A$4:$AF$1010,$AM892, 17)</f>
        <v>#N/A</v>
      </c>
      <c r="AI892" s="8"/>
      <c r="AJ892" s="57"/>
      <c r="AK892" s="105"/>
      <c r="AM892" s="6" t="e">
        <f>MATCH(D892,'D5 - Gatekeeper - Projects'!$C$4:$C$1010,0)</f>
        <v>#N/A</v>
      </c>
      <c r="AN892" s="6" t="b">
        <f t="shared" si="80"/>
        <v>1</v>
      </c>
      <c r="AO892" s="6" t="str">
        <f t="shared" si="83"/>
        <v>OK</v>
      </c>
      <c r="AQ892" s="6" t="e">
        <f>MATCH($D892,'D4 - Provider Council Unsched'!$C$11:$C$234,0)</f>
        <v>#N/A</v>
      </c>
      <c r="AR892" s="6" t="b">
        <f t="shared" si="81"/>
        <v>1</v>
      </c>
      <c r="AS892" s="6" t="str">
        <f t="shared" si="84"/>
        <v>OK</v>
      </c>
      <c r="AU892" s="202"/>
      <c r="AV892" s="262"/>
      <c r="AW892" s="274"/>
    </row>
    <row r="893" spans="1:49" s="13" customFormat="1" ht="33.75" x14ac:dyDescent="0.2">
      <c r="A893" s="14">
        <v>869</v>
      </c>
      <c r="B893" s="14">
        <v>400017901</v>
      </c>
      <c r="C893" s="8" t="s">
        <v>6895</v>
      </c>
      <c r="D893" s="4" t="str">
        <f t="shared" si="82"/>
        <v>400017901R6</v>
      </c>
      <c r="E893" s="309" t="str">
        <f>VLOOKUP($B893,'D7 - NDB Impacted SPRF''s'!$E$6:$O$9929,2,FALSE)</f>
        <v>NDB Parallel Sysplex</v>
      </c>
      <c r="F893" s="8" t="s">
        <v>5787</v>
      </c>
      <c r="G893" s="8" t="s">
        <v>4758</v>
      </c>
      <c r="H893" s="8" t="s">
        <v>4246</v>
      </c>
      <c r="I893" s="20">
        <v>0.5</v>
      </c>
      <c r="J893" s="8" t="s">
        <v>4862</v>
      </c>
      <c r="K893" s="182">
        <v>39522</v>
      </c>
      <c r="L893" s="8" t="s">
        <v>5743</v>
      </c>
      <c r="M893" s="8" t="s">
        <v>2814</v>
      </c>
      <c r="N893" s="38"/>
      <c r="O893" s="8" t="s">
        <v>1998</v>
      </c>
      <c r="P893" s="4" t="str">
        <f>VLOOKUP($B893,'D7 - NDB Impacted SPRF''s'!$E$16:$O$9929,9,FALSE)</f>
        <v>Y</v>
      </c>
      <c r="Q893" s="4" t="str">
        <f>VLOOKUP($B893,'D7 - NDB Impacted SPRF''s'!$E$16:$O$9929,10,FALSE)</f>
        <v>N</v>
      </c>
      <c r="R893" s="4" t="str">
        <f>VLOOKUP($B893,'D7 - NDB Impacted SPRF''s'!$E$16:$O$9929,11,FALSE)</f>
        <v>Y</v>
      </c>
      <c r="S893" s="8"/>
      <c r="T893" s="310"/>
      <c r="U893" s="310"/>
      <c r="V893" s="4"/>
      <c r="W893" s="4"/>
      <c r="X893" s="4"/>
      <c r="Y893" s="4"/>
      <c r="Z893" s="4"/>
      <c r="AA893" s="4"/>
      <c r="AB893" s="380" t="str">
        <f>VLOOKUP($B893,'D7 - NDB Impacted SPRF''s'!$E$16:$O$9929,4,FALSE)</f>
        <v>Completed</v>
      </c>
      <c r="AC893" s="380" t="str">
        <f>VLOOKUP($B893,'D7 - NDB Impacted SPRF''s'!$E$16:$O$9929,3,FALSE)</f>
        <v>UHG IT - Application Services Group</v>
      </c>
      <c r="AD893" s="380" t="str">
        <f>VLOOKUP($B893,'D7 - NDB Impacted SPRF''s'!$E$16:$O$9929,5,FALSE)</f>
        <v>ASG</v>
      </c>
      <c r="AE893" s="380" t="str">
        <f>VLOOKUP($B893,'D7 - NDB Impacted SPRF''s'!$E$16:$O$9929,7,FALSE)</f>
        <v>John Santelli</v>
      </c>
      <c r="AF893" s="380" t="str">
        <f>VLOOKUP($B893,'D7 - NDB Impacted SPRF''s'!$E$16:$O$9929,6,FALSE)</f>
        <v>Laura Levesque</v>
      </c>
      <c r="AG893" s="282"/>
      <c r="AH893" s="311" t="e">
        <f>INDEX('D5 - Gatekeeper - Projects'!$A$4:$AF$1010,$AM893, 17)</f>
        <v>#N/A</v>
      </c>
      <c r="AI893" s="8"/>
      <c r="AJ893" s="57"/>
      <c r="AK893" s="105"/>
      <c r="AM893" s="6" t="e">
        <f>MATCH(D893,'D5 - Gatekeeper - Projects'!$C$4:$C$1010,0)</f>
        <v>#N/A</v>
      </c>
      <c r="AN893" s="6" t="b">
        <f t="shared" si="80"/>
        <v>1</v>
      </c>
      <c r="AO893" s="6" t="str">
        <f t="shared" si="83"/>
        <v>OK</v>
      </c>
      <c r="AQ893" s="6" t="e">
        <f>MATCH($D893,'D4 - Provider Council Unsched'!$C$11:$C$234,0)</f>
        <v>#N/A</v>
      </c>
      <c r="AR893" s="6" t="b">
        <f t="shared" si="81"/>
        <v>1</v>
      </c>
      <c r="AS893" s="6" t="str">
        <f t="shared" si="84"/>
        <v>OK</v>
      </c>
      <c r="AU893" s="202"/>
      <c r="AV893" s="262"/>
      <c r="AW893" s="274"/>
    </row>
    <row r="894" spans="1:49" s="13" customFormat="1" ht="33.75" x14ac:dyDescent="0.2">
      <c r="A894" s="14">
        <v>870</v>
      </c>
      <c r="B894" s="14">
        <v>400017992</v>
      </c>
      <c r="C894" s="8" t="s">
        <v>3763</v>
      </c>
      <c r="D894" s="4" t="str">
        <f t="shared" si="82"/>
        <v>400017992R2</v>
      </c>
      <c r="E894" s="309" t="str">
        <f>VLOOKUP($B894,'D7 - NDB Impacted SPRF''s'!$E$6:$O$9929,2,FALSE)</f>
        <v>DDS Reconciliation Feeds to Source</v>
      </c>
      <c r="F894" s="8" t="s">
        <v>5196</v>
      </c>
      <c r="G894" s="8" t="s">
        <v>4758</v>
      </c>
      <c r="H894" s="8" t="s">
        <v>4246</v>
      </c>
      <c r="I894" s="20">
        <f>13.18+6.71</f>
        <v>19.89</v>
      </c>
      <c r="J894" s="8" t="s">
        <v>4862</v>
      </c>
      <c r="K894" s="182">
        <v>39522</v>
      </c>
      <c r="L894" s="8" t="s">
        <v>5743</v>
      </c>
      <c r="M894" s="8" t="s">
        <v>2814</v>
      </c>
      <c r="N894" s="38" t="s">
        <v>6686</v>
      </c>
      <c r="O894" s="8" t="s">
        <v>7962</v>
      </c>
      <c r="P894" s="4" t="str">
        <f>VLOOKUP($B894,'D7 - NDB Impacted SPRF''s'!$E$16:$O$9929,9,FALSE)</f>
        <v>Y</v>
      </c>
      <c r="Q894" s="4" t="str">
        <f>VLOOKUP($B894,'D7 - NDB Impacted SPRF''s'!$E$16:$O$9929,10,FALSE)</f>
        <v>N</v>
      </c>
      <c r="R894" s="4" t="str">
        <f>VLOOKUP($B894,'D7 - NDB Impacted SPRF''s'!$E$16:$O$9929,11,FALSE)</f>
        <v>N</v>
      </c>
      <c r="S894" s="8"/>
      <c r="T894" s="310"/>
      <c r="U894" s="310"/>
      <c r="V894" s="4"/>
      <c r="W894" s="4"/>
      <c r="X894" s="4"/>
      <c r="Y894" s="4"/>
      <c r="Z894" s="4"/>
      <c r="AA894" s="4"/>
      <c r="AB894" s="380" t="str">
        <f>VLOOKUP($B894,'D7 - NDB Impacted SPRF''s'!$E$16:$O$9929,4,FALSE)</f>
        <v>Completed</v>
      </c>
      <c r="AC894" s="380" t="str">
        <f>VLOOKUP($B894,'D7 - NDB Impacted SPRF''s'!$E$16:$O$9929,3,FALSE)</f>
        <v>UnitedHealthcare Employer &amp; Individual</v>
      </c>
      <c r="AD894" s="380" t="str">
        <f>VLOOKUP($B894,'D7 - NDB Impacted SPRF''s'!$E$16:$O$9929,5,FALSE)</f>
        <v>Healthcare Service Alliance</v>
      </c>
      <c r="AE894" s="380" t="str">
        <f>VLOOKUP($B894,'D7 - NDB Impacted SPRF''s'!$E$16:$O$9929,7,FALSE)</f>
        <v>Diane Schofield</v>
      </c>
      <c r="AF894" s="380" t="str">
        <f>VLOOKUP($B894,'D7 - NDB Impacted SPRF''s'!$E$16:$O$9929,6,FALSE)</f>
        <v>KIMBERLY ALEXANDER</v>
      </c>
      <c r="AG894" s="282"/>
      <c r="AH894" s="311" t="e">
        <f>INDEX('D5 - Gatekeeper - Projects'!$A$4:$AF$1010,$AM894, 17)</f>
        <v>#N/A</v>
      </c>
      <c r="AI894" s="8"/>
      <c r="AJ894" s="57"/>
      <c r="AK894" s="105"/>
      <c r="AM894" s="6" t="e">
        <f>MATCH(D894,'D5 - Gatekeeper - Projects'!$C$4:$C$1010,0)</f>
        <v>#N/A</v>
      </c>
      <c r="AN894" s="6" t="b">
        <f t="shared" si="80"/>
        <v>1</v>
      </c>
      <c r="AO894" s="6" t="str">
        <f t="shared" si="83"/>
        <v>OK</v>
      </c>
      <c r="AQ894" s="6" t="e">
        <f>MATCH($D894,'D4 - Provider Council Unsched'!$C$11:$C$234,0)</f>
        <v>#N/A</v>
      </c>
      <c r="AR894" s="6" t="b">
        <f t="shared" si="81"/>
        <v>1</v>
      </c>
      <c r="AS894" s="6" t="str">
        <f t="shared" si="84"/>
        <v>OK</v>
      </c>
      <c r="AU894" s="202"/>
      <c r="AV894" s="262"/>
      <c r="AW894" s="274"/>
    </row>
    <row r="895" spans="1:49" s="13" customFormat="1" ht="33.75" x14ac:dyDescent="0.2">
      <c r="A895" s="14">
        <v>871</v>
      </c>
      <c r="B895" s="14">
        <v>400018000</v>
      </c>
      <c r="C895" s="8" t="s">
        <v>5197</v>
      </c>
      <c r="D895" s="4" t="str">
        <f t="shared" si="82"/>
        <v>400018000R1</v>
      </c>
      <c r="E895" s="309" t="str">
        <f>VLOOKUP($B895,'D7 - NDB Impacted SPRF''s'!$E$6:$O$9929,2,FALSE)</f>
        <v>Pacificare ASI -HCFA ppoONE Repricing</v>
      </c>
      <c r="F895" s="8" t="s">
        <v>6071</v>
      </c>
      <c r="G895" s="8" t="s">
        <v>4758</v>
      </c>
      <c r="H895" s="8" t="s">
        <v>4246</v>
      </c>
      <c r="I895" s="20">
        <v>1</v>
      </c>
      <c r="J895" s="8" t="s">
        <v>4862</v>
      </c>
      <c r="K895" s="182">
        <v>39522</v>
      </c>
      <c r="L895" s="8" t="s">
        <v>5743</v>
      </c>
      <c r="M895" s="8" t="s">
        <v>5626</v>
      </c>
      <c r="N895" s="38"/>
      <c r="O895" s="8" t="s">
        <v>2000</v>
      </c>
      <c r="P895" s="4" t="str">
        <f>VLOOKUP($B895,'D7 - NDB Impacted SPRF''s'!$E$16:$O$9929,9,FALSE)</f>
        <v>N</v>
      </c>
      <c r="Q895" s="4" t="str">
        <f>VLOOKUP($B895,'D7 - NDB Impacted SPRF''s'!$E$16:$O$9929,10,FALSE)</f>
        <v>N</v>
      </c>
      <c r="R895" s="4" t="str">
        <f>VLOOKUP($B895,'D7 - NDB Impacted SPRF''s'!$E$16:$O$9929,11,FALSE)</f>
        <v>Y</v>
      </c>
      <c r="S895" s="8"/>
      <c r="T895" s="310"/>
      <c r="U895" s="310"/>
      <c r="V895" s="4"/>
      <c r="W895" s="4"/>
      <c r="X895" s="4"/>
      <c r="Y895" s="4"/>
      <c r="Z895" s="4"/>
      <c r="AA895" s="4"/>
      <c r="AB895" s="380" t="str">
        <f>VLOOKUP($B895,'D7 - NDB Impacted SPRF''s'!$E$16:$O$9929,4,FALSE)</f>
        <v>Completed</v>
      </c>
      <c r="AC895" s="380" t="str">
        <f>VLOOKUP($B895,'D7 - NDB Impacted SPRF''s'!$E$16:$O$9929,3,FALSE)</f>
        <v>UnitedHealthcare Employer &amp; Individual</v>
      </c>
      <c r="AD895" s="380" t="str">
        <f>VLOOKUP($B895,'D7 - NDB Impacted SPRF''s'!$E$16:$O$9929,5,FALSE)</f>
        <v>Integration Requirements</v>
      </c>
      <c r="AE895" s="380" t="str">
        <f>VLOOKUP($B895,'D7 - NDB Impacted SPRF''s'!$E$16:$O$9929,7,FALSE)</f>
        <v>Shannon Nelson</v>
      </c>
      <c r="AF895" s="380" t="str">
        <f>VLOOKUP($B895,'D7 - NDB Impacted SPRF''s'!$E$16:$O$9929,6,FALSE)</f>
        <v>STACIE THOMAS</v>
      </c>
      <c r="AG895" s="282"/>
      <c r="AH895" s="311" t="e">
        <f>INDEX('D5 - Gatekeeper - Projects'!$A$4:$AF$1010,$AM895, 17)</f>
        <v>#N/A</v>
      </c>
      <c r="AI895" s="8"/>
      <c r="AJ895" s="57"/>
      <c r="AK895" s="105"/>
      <c r="AM895" s="6" t="e">
        <f>MATCH(D895,'D5 - Gatekeeper - Projects'!$C$4:$C$1010,0)</f>
        <v>#N/A</v>
      </c>
      <c r="AN895" s="6" t="b">
        <f t="shared" si="80"/>
        <v>1</v>
      </c>
      <c r="AO895" s="6" t="str">
        <f t="shared" si="83"/>
        <v>OK</v>
      </c>
      <c r="AQ895" s="6" t="e">
        <f>MATCH($D895,'D4 - Provider Council Unsched'!$C$11:$C$234,0)</f>
        <v>#N/A</v>
      </c>
      <c r="AR895" s="6" t="b">
        <f t="shared" si="81"/>
        <v>1</v>
      </c>
      <c r="AS895" s="6" t="str">
        <f t="shared" si="84"/>
        <v>OK</v>
      </c>
      <c r="AU895" s="202"/>
      <c r="AV895" s="262"/>
      <c r="AW895" s="274"/>
    </row>
    <row r="896" spans="1:49" s="13" customFormat="1" ht="33.75" x14ac:dyDescent="0.2">
      <c r="A896" s="14">
        <v>872</v>
      </c>
      <c r="B896" s="14">
        <v>400018003</v>
      </c>
      <c r="C896" s="8" t="s">
        <v>5197</v>
      </c>
      <c r="D896" s="4" t="str">
        <f t="shared" si="82"/>
        <v>400018003R1</v>
      </c>
      <c r="E896" s="309" t="str">
        <f>VLOOKUP($B896,'D7 - NDB Impacted SPRF''s'!$E$6:$O$9929,2,FALSE)</f>
        <v>Pacificare ASI UB ppoONE repricing</v>
      </c>
      <c r="F896" s="8" t="s">
        <v>6071</v>
      </c>
      <c r="G896" s="8" t="s">
        <v>4758</v>
      </c>
      <c r="H896" s="8" t="s">
        <v>4246</v>
      </c>
      <c r="I896" s="20">
        <v>1</v>
      </c>
      <c r="J896" s="8" t="s">
        <v>4862</v>
      </c>
      <c r="K896" s="182">
        <v>39522</v>
      </c>
      <c r="L896" s="8" t="s">
        <v>5743</v>
      </c>
      <c r="M896" s="8" t="s">
        <v>5626</v>
      </c>
      <c r="N896" s="38"/>
      <c r="O896" s="8" t="s">
        <v>2000</v>
      </c>
      <c r="P896" s="4" t="str">
        <f>VLOOKUP($B896,'D7 - NDB Impacted SPRF''s'!$E$16:$O$9929,9,FALSE)</f>
        <v>N</v>
      </c>
      <c r="Q896" s="4" t="str">
        <f>VLOOKUP($B896,'D7 - NDB Impacted SPRF''s'!$E$16:$O$9929,10,FALSE)</f>
        <v>N</v>
      </c>
      <c r="R896" s="4" t="str">
        <f>VLOOKUP($B896,'D7 - NDB Impacted SPRF''s'!$E$16:$O$9929,11,FALSE)</f>
        <v>Y</v>
      </c>
      <c r="S896" s="8"/>
      <c r="T896" s="310"/>
      <c r="U896" s="310"/>
      <c r="V896" s="4"/>
      <c r="W896" s="4"/>
      <c r="X896" s="4"/>
      <c r="Y896" s="4"/>
      <c r="Z896" s="4"/>
      <c r="AA896" s="4"/>
      <c r="AB896" s="380" t="str">
        <f>VLOOKUP($B896,'D7 - NDB Impacted SPRF''s'!$E$16:$O$9929,4,FALSE)</f>
        <v>Completed</v>
      </c>
      <c r="AC896" s="380" t="str">
        <f>VLOOKUP($B896,'D7 - NDB Impacted SPRF''s'!$E$16:$O$9929,3,FALSE)</f>
        <v>UnitedHealthcare Employer &amp; Individual</v>
      </c>
      <c r="AD896" s="380" t="str">
        <f>VLOOKUP($B896,'D7 - NDB Impacted SPRF''s'!$E$16:$O$9929,5,FALSE)</f>
        <v>Integration Requirements</v>
      </c>
      <c r="AE896" s="380" t="str">
        <f>VLOOKUP($B896,'D7 - NDB Impacted SPRF''s'!$E$16:$O$9929,7,FALSE)</f>
        <v>Shannon Nelson</v>
      </c>
      <c r="AF896" s="380" t="str">
        <f>VLOOKUP($B896,'D7 - NDB Impacted SPRF''s'!$E$16:$O$9929,6,FALSE)</f>
        <v>STACIE THOMAS</v>
      </c>
      <c r="AG896" s="282"/>
      <c r="AH896" s="311" t="e">
        <f>INDEX('D5 - Gatekeeper - Projects'!$A$4:$AF$1010,$AM896, 17)</f>
        <v>#N/A</v>
      </c>
      <c r="AI896" s="8"/>
      <c r="AJ896" s="57"/>
      <c r="AK896" s="105"/>
      <c r="AM896" s="6" t="e">
        <f>MATCH(D896,'D5 - Gatekeeper - Projects'!$C$4:$C$1010,0)</f>
        <v>#N/A</v>
      </c>
      <c r="AN896" s="6" t="b">
        <f t="shared" si="80"/>
        <v>1</v>
      </c>
      <c r="AO896" s="6" t="str">
        <f t="shared" si="83"/>
        <v>OK</v>
      </c>
      <c r="AQ896" s="6" t="e">
        <f>MATCH($D896,'D4 - Provider Council Unsched'!$C$11:$C$234,0)</f>
        <v>#N/A</v>
      </c>
      <c r="AR896" s="6" t="b">
        <f t="shared" si="81"/>
        <v>1</v>
      </c>
      <c r="AS896" s="6" t="str">
        <f t="shared" si="84"/>
        <v>OK</v>
      </c>
      <c r="AU896" s="202"/>
      <c r="AV896" s="262"/>
      <c r="AW896" s="274"/>
    </row>
    <row r="897" spans="1:49" s="13" customFormat="1" ht="33.75" x14ac:dyDescent="0.2">
      <c r="A897" s="14">
        <v>873</v>
      </c>
      <c r="B897" s="14">
        <v>400018247</v>
      </c>
      <c r="C897" s="8" t="s">
        <v>5197</v>
      </c>
      <c r="D897" s="4" t="str">
        <f t="shared" si="82"/>
        <v>400018247R1</v>
      </c>
      <c r="E897" s="309" t="str">
        <f>VLOOKUP($B897,'D7 - NDB Impacted SPRF''s'!$E$6:$O$9929,2,FALSE)</f>
        <v>Gated HMO Non-Par In-Network Reimbursement Change</v>
      </c>
      <c r="F897" s="8" t="s">
        <v>4168</v>
      </c>
      <c r="G897" s="8" t="s">
        <v>4758</v>
      </c>
      <c r="H897" s="8" t="s">
        <v>4246</v>
      </c>
      <c r="I897" s="20">
        <v>3.69</v>
      </c>
      <c r="J897" s="8" t="s">
        <v>4862</v>
      </c>
      <c r="K897" s="182">
        <v>39522</v>
      </c>
      <c r="L897" s="8" t="s">
        <v>5743</v>
      </c>
      <c r="M897" s="8" t="s">
        <v>2814</v>
      </c>
      <c r="N897" s="38"/>
      <c r="O897" s="8" t="s">
        <v>1998</v>
      </c>
      <c r="P897" s="4" t="str">
        <f>VLOOKUP($B897,'D7 - NDB Impacted SPRF''s'!$E$16:$O$9929,9,FALSE)</f>
        <v>Y</v>
      </c>
      <c r="Q897" s="4" t="str">
        <f>VLOOKUP($B897,'D7 - NDB Impacted SPRF''s'!$E$16:$O$9929,10,FALSE)</f>
        <v>N</v>
      </c>
      <c r="R897" s="4" t="str">
        <f>VLOOKUP($B897,'D7 - NDB Impacted SPRF''s'!$E$16:$O$9929,11,FALSE)</f>
        <v>N</v>
      </c>
      <c r="S897" s="8"/>
      <c r="T897" s="310"/>
      <c r="U897" s="310"/>
      <c r="V897" s="4"/>
      <c r="W897" s="4"/>
      <c r="X897" s="4"/>
      <c r="Y897" s="4"/>
      <c r="Z897" s="4"/>
      <c r="AA897" s="4"/>
      <c r="AB897" s="380" t="str">
        <f>VLOOKUP($B897,'D7 - NDB Impacted SPRF''s'!$E$16:$O$9929,4,FALSE)</f>
        <v>Completed</v>
      </c>
      <c r="AC897" s="380" t="str">
        <f>VLOOKUP($B897,'D7 - NDB Impacted SPRF''s'!$E$16:$O$9929,3,FALSE)</f>
        <v>UnitedHealthcare Employer &amp; Individual</v>
      </c>
      <c r="AD897" s="380" t="str">
        <f>VLOOKUP($B897,'D7 - NDB Impacted SPRF''s'!$E$16:$O$9929,5,FALSE)</f>
        <v>Integration Requirements</v>
      </c>
      <c r="AE897" s="380" t="str">
        <f>VLOOKUP($B897,'D7 - NDB Impacted SPRF''s'!$E$16:$O$9929,7,FALSE)</f>
        <v>MAHP</v>
      </c>
      <c r="AF897" s="380" t="str">
        <f>VLOOKUP($B897,'D7 - NDB Impacted SPRF''s'!$E$16:$O$9929,6,FALSE)</f>
        <v>Gizelle Chrisafis</v>
      </c>
      <c r="AG897" s="282"/>
      <c r="AH897" s="311" t="e">
        <f>INDEX('D5 - Gatekeeper - Projects'!$A$4:$AF$1010,$AM897, 17)</f>
        <v>#N/A</v>
      </c>
      <c r="AI897" s="8"/>
      <c r="AJ897" s="57"/>
      <c r="AK897" s="105"/>
      <c r="AM897" s="6" t="e">
        <f>MATCH(D897,'D5 - Gatekeeper - Projects'!$C$4:$C$1010,0)</f>
        <v>#N/A</v>
      </c>
      <c r="AN897" s="6" t="b">
        <f t="shared" si="80"/>
        <v>1</v>
      </c>
      <c r="AO897" s="6" t="str">
        <f t="shared" si="83"/>
        <v>OK</v>
      </c>
      <c r="AQ897" s="6" t="e">
        <f>MATCH($D897,'D4 - Provider Council Unsched'!$C$11:$C$234,0)</f>
        <v>#N/A</v>
      </c>
      <c r="AR897" s="6" t="b">
        <f t="shared" si="81"/>
        <v>1</v>
      </c>
      <c r="AS897" s="6" t="str">
        <f t="shared" si="84"/>
        <v>OK</v>
      </c>
      <c r="AU897" s="202"/>
      <c r="AV897" s="262"/>
      <c r="AW897" s="274"/>
    </row>
    <row r="898" spans="1:49" s="13" customFormat="1" ht="33.75" x14ac:dyDescent="0.2">
      <c r="A898" s="14">
        <v>874</v>
      </c>
      <c r="B898" s="14">
        <v>400018368</v>
      </c>
      <c r="C898" s="8" t="s">
        <v>5197</v>
      </c>
      <c r="D898" s="4" t="str">
        <f t="shared" si="82"/>
        <v>400018368R1</v>
      </c>
      <c r="E898" s="309" t="str">
        <f>VLOOKUP($B898,'D7 - NDB Impacted SPRF''s'!$E$6:$O$9929,2,FALSE)</f>
        <v>Medica- 2006 Final IDT Enhancements</v>
      </c>
      <c r="F898" s="8" t="s">
        <v>5196</v>
      </c>
      <c r="G898" s="8" t="s">
        <v>4758</v>
      </c>
      <c r="H898" s="8" t="s">
        <v>4246</v>
      </c>
      <c r="I898" s="20">
        <v>1.07</v>
      </c>
      <c r="J898" s="8" t="s">
        <v>4862</v>
      </c>
      <c r="K898" s="182">
        <v>39522</v>
      </c>
      <c r="L898" s="8" t="s">
        <v>5743</v>
      </c>
      <c r="M898" s="8" t="s">
        <v>5626</v>
      </c>
      <c r="N898" s="38"/>
      <c r="O898" s="8" t="s">
        <v>5510</v>
      </c>
      <c r="P898" s="4" t="str">
        <f>VLOOKUP($B898,'D7 - NDB Impacted SPRF''s'!$E$16:$O$9929,9,FALSE)</f>
        <v>Y</v>
      </c>
      <c r="Q898" s="4" t="str">
        <f>VLOOKUP($B898,'D7 - NDB Impacted SPRF''s'!$E$16:$O$9929,10,FALSE)</f>
        <v>N</v>
      </c>
      <c r="R898" s="4" t="str">
        <f>VLOOKUP($B898,'D7 - NDB Impacted SPRF''s'!$E$16:$O$9929,11,FALSE)</f>
        <v>N</v>
      </c>
      <c r="S898" s="8"/>
      <c r="T898" s="310"/>
      <c r="U898" s="310"/>
      <c r="V898" s="4"/>
      <c r="W898" s="4"/>
      <c r="X898" s="4"/>
      <c r="Y898" s="4"/>
      <c r="Z898" s="4"/>
      <c r="AA898" s="4"/>
      <c r="AB898" s="380" t="str">
        <f>VLOOKUP($B898,'D7 - NDB Impacted SPRF''s'!$E$16:$O$9929,4,FALSE)</f>
        <v>Completed</v>
      </c>
      <c r="AC898" s="380" t="str">
        <f>VLOOKUP($B898,'D7 - NDB Impacted SPRF''s'!$E$16:$O$9929,3,FALSE)</f>
        <v>UnitedHealthcare Employer &amp; Individual</v>
      </c>
      <c r="AD898" s="380" t="str">
        <f>VLOOKUP($B898,'D7 - NDB Impacted SPRF''s'!$E$16:$O$9929,5,FALSE)</f>
        <v>HCA - Medica UNET Conversion</v>
      </c>
      <c r="AE898" s="380" t="str">
        <f>VLOOKUP($B898,'D7 - NDB Impacted SPRF''s'!$E$16:$O$9929,7,FALSE)</f>
        <v>Claire Verity</v>
      </c>
      <c r="AF898" s="380" t="str">
        <f>VLOOKUP($B898,'D7 - NDB Impacted SPRF''s'!$E$16:$O$9929,6,FALSE)</f>
        <v>PAM JOHNSON</v>
      </c>
      <c r="AG898" s="282"/>
      <c r="AH898" s="311" t="e">
        <f>INDEX('D5 - Gatekeeper - Projects'!$A$4:$AF$1010,$AM898, 17)</f>
        <v>#N/A</v>
      </c>
      <c r="AI898" s="8"/>
      <c r="AJ898" s="57"/>
      <c r="AK898" s="105"/>
      <c r="AM898" s="6" t="e">
        <f>MATCH(D898,'D5 - Gatekeeper - Projects'!$C$4:$C$1010,0)</f>
        <v>#N/A</v>
      </c>
      <c r="AN898" s="6" t="b">
        <f t="shared" si="80"/>
        <v>1</v>
      </c>
      <c r="AO898" s="6" t="str">
        <f t="shared" si="83"/>
        <v>OK</v>
      </c>
      <c r="AQ898" s="6" t="e">
        <f>MATCH($D898,'D4 - Provider Council Unsched'!$C$11:$C$234,0)</f>
        <v>#N/A</v>
      </c>
      <c r="AR898" s="6" t="b">
        <f t="shared" si="81"/>
        <v>1</v>
      </c>
      <c r="AS898" s="6" t="str">
        <f t="shared" si="84"/>
        <v>OK</v>
      </c>
      <c r="AU898" s="202"/>
      <c r="AV898" s="262"/>
      <c r="AW898" s="274"/>
    </row>
    <row r="899" spans="1:49" s="13" customFormat="1" ht="33.75" x14ac:dyDescent="0.2">
      <c r="A899" s="14">
        <v>875</v>
      </c>
      <c r="B899" s="14">
        <v>400018429</v>
      </c>
      <c r="C899" s="8" t="s">
        <v>3763</v>
      </c>
      <c r="D899" s="4" t="str">
        <f t="shared" si="82"/>
        <v>400018429R2</v>
      </c>
      <c r="E899" s="309" t="str">
        <f>VLOOKUP($B899,'D7 - NDB Impacted SPRF''s'!$E$6:$O$9929,2,FALSE)</f>
        <v>PCP Indicator Assignment at Contract Level</v>
      </c>
      <c r="F899" s="8" t="s">
        <v>2114</v>
      </c>
      <c r="G899" s="8" t="s">
        <v>4758</v>
      </c>
      <c r="H899" s="8" t="s">
        <v>4246</v>
      </c>
      <c r="I899" s="20">
        <v>5.64</v>
      </c>
      <c r="J899" s="8" t="s">
        <v>4862</v>
      </c>
      <c r="K899" s="182">
        <v>39522</v>
      </c>
      <c r="L899" s="8" t="s">
        <v>5743</v>
      </c>
      <c r="M899" s="8" t="s">
        <v>2814</v>
      </c>
      <c r="N899" s="38"/>
      <c r="O899" s="8" t="s">
        <v>5042</v>
      </c>
      <c r="P899" s="4" t="str">
        <f>VLOOKUP($B899,'D7 - NDB Impacted SPRF''s'!$E$16:$O$9929,9,FALSE)</f>
        <v>Y</v>
      </c>
      <c r="Q899" s="4" t="str">
        <f>VLOOKUP($B899,'D7 - NDB Impacted SPRF''s'!$E$16:$O$9929,10,FALSE)</f>
        <v>N</v>
      </c>
      <c r="R899" s="4" t="str">
        <f>VLOOKUP($B899,'D7 - NDB Impacted SPRF''s'!$E$16:$O$9929,11,FALSE)</f>
        <v>Y</v>
      </c>
      <c r="S899" s="8"/>
      <c r="T899" s="310"/>
      <c r="U899" s="310"/>
      <c r="V899" s="4"/>
      <c r="W899" s="4"/>
      <c r="X899" s="4"/>
      <c r="Y899" s="4"/>
      <c r="Z899" s="4"/>
      <c r="AA899" s="4"/>
      <c r="AB899" s="380" t="str">
        <f>VLOOKUP($B899,'D7 - NDB Impacted SPRF''s'!$E$16:$O$9929,4,FALSE)</f>
        <v>Completed</v>
      </c>
      <c r="AC899" s="380" t="str">
        <f>VLOOKUP($B899,'D7 - NDB Impacted SPRF''s'!$E$16:$O$9929,3,FALSE)</f>
        <v>UnitedHealthcare Employer &amp; Individual</v>
      </c>
      <c r="AD899" s="380" t="str">
        <f>VLOOKUP($B899,'D7 - NDB Impacted SPRF''s'!$E$16:$O$9929,5,FALSE)</f>
        <v>Medical Cost Savings Programs</v>
      </c>
      <c r="AE899" s="380" t="str">
        <f>VLOOKUP($B899,'D7 - NDB Impacted SPRF''s'!$E$16:$O$9929,7,FALSE)</f>
        <v>Ross Lippincott</v>
      </c>
      <c r="AF899" s="380" t="str">
        <f>VLOOKUP($B899,'D7 - NDB Impacted SPRF''s'!$E$16:$O$9929,6,FALSE)</f>
        <v>Southerland SHERRY</v>
      </c>
      <c r="AG899" s="282"/>
      <c r="AH899" s="311" t="e">
        <f>INDEX('D5 - Gatekeeper - Projects'!$A$4:$AF$1010,$AM899, 17)</f>
        <v>#N/A</v>
      </c>
      <c r="AI899" s="8"/>
      <c r="AJ899" s="57"/>
      <c r="AK899" s="105"/>
      <c r="AM899" s="6" t="e">
        <f>MATCH(D899,'D5 - Gatekeeper - Projects'!$C$4:$C$1010,0)</f>
        <v>#N/A</v>
      </c>
      <c r="AN899" s="6" t="b">
        <f t="shared" si="80"/>
        <v>1</v>
      </c>
      <c r="AO899" s="6" t="str">
        <f t="shared" si="83"/>
        <v>OK</v>
      </c>
      <c r="AQ899" s="6" t="e">
        <f>MATCH($D899,'D4 - Provider Council Unsched'!$C$11:$C$234,0)</f>
        <v>#N/A</v>
      </c>
      <c r="AR899" s="6" t="b">
        <f t="shared" si="81"/>
        <v>1</v>
      </c>
      <c r="AS899" s="6" t="str">
        <f t="shared" si="84"/>
        <v>OK</v>
      </c>
      <c r="AU899" s="202"/>
      <c r="AV899" s="262"/>
      <c r="AW899" s="274"/>
    </row>
    <row r="900" spans="1:49" s="13" customFormat="1" ht="33.75" x14ac:dyDescent="0.2">
      <c r="A900" s="14">
        <v>876</v>
      </c>
      <c r="B900" s="14">
        <v>400018532</v>
      </c>
      <c r="C900" s="8" t="s">
        <v>5197</v>
      </c>
      <c r="D900" s="4" t="str">
        <f t="shared" si="82"/>
        <v>400018532R1</v>
      </c>
      <c r="E900" s="309" t="str">
        <f>VLOOKUP($B900,'D7 - NDB Impacted SPRF''s'!$E$6:$O$9929,2,FALSE)</f>
        <v>NDB WO - Provider Newletter Extract Updates</v>
      </c>
      <c r="F900" s="8" t="s">
        <v>2114</v>
      </c>
      <c r="G900" s="8" t="s">
        <v>4758</v>
      </c>
      <c r="H900" s="8" t="s">
        <v>4246</v>
      </c>
      <c r="I900" s="20">
        <v>0.96</v>
      </c>
      <c r="J900" s="8" t="s">
        <v>4862</v>
      </c>
      <c r="K900" s="182">
        <v>39522</v>
      </c>
      <c r="L900" s="8" t="s">
        <v>5743</v>
      </c>
      <c r="M900" s="8" t="s">
        <v>6007</v>
      </c>
      <c r="N900" s="38"/>
      <c r="O900" s="8" t="s">
        <v>4306</v>
      </c>
      <c r="P900" s="4" t="str">
        <f>VLOOKUP($B900,'D7 - NDB Impacted SPRF''s'!$E$16:$O$9929,9,FALSE)</f>
        <v>N</v>
      </c>
      <c r="Q900" s="4" t="str">
        <f>VLOOKUP($B900,'D7 - NDB Impacted SPRF''s'!$E$16:$O$9929,10,FALSE)</f>
        <v>N</v>
      </c>
      <c r="R900" s="4" t="str">
        <f>VLOOKUP($B900,'D7 - NDB Impacted SPRF''s'!$E$16:$O$9929,11,FALSE)</f>
        <v>N</v>
      </c>
      <c r="S900" s="8"/>
      <c r="T900" s="310"/>
      <c r="U900" s="310"/>
      <c r="V900" s="4"/>
      <c r="W900" s="4"/>
      <c r="X900" s="4"/>
      <c r="Y900" s="4"/>
      <c r="Z900" s="4"/>
      <c r="AA900" s="4"/>
      <c r="AB900" s="380" t="str">
        <f>VLOOKUP($B900,'D7 - NDB Impacted SPRF''s'!$E$16:$O$9929,4,FALSE)</f>
        <v>Completed</v>
      </c>
      <c r="AC900" s="380" t="str">
        <f>VLOOKUP($B900,'D7 - NDB Impacted SPRF''s'!$E$16:$O$9929,3,FALSE)</f>
        <v>UnitedHealthcare Employer &amp; Individual</v>
      </c>
      <c r="AD900" s="380" t="str">
        <f>VLOOKUP($B900,'D7 - NDB Impacted SPRF''s'!$E$16:$O$9929,5,FALSE)</f>
        <v>Network Growth / Enhancements</v>
      </c>
      <c r="AE900" s="380" t="str">
        <f>VLOOKUP($B900,'D7 - NDB Impacted SPRF''s'!$E$16:$O$9929,7,FALSE)</f>
        <v>Pamela Stahl</v>
      </c>
      <c r="AF900" s="380" t="str">
        <f>VLOOKUP($B900,'D7 - NDB Impacted SPRF''s'!$E$16:$O$9929,6,FALSE)</f>
        <v>JOHN HIEBERT</v>
      </c>
      <c r="AG900" s="282"/>
      <c r="AH900" s="311" t="e">
        <f>INDEX('D5 - Gatekeeper - Projects'!$A$4:$AF$1010,$AM900, 17)</f>
        <v>#N/A</v>
      </c>
      <c r="AI900" s="8"/>
      <c r="AJ900" s="57"/>
      <c r="AK900" s="105"/>
      <c r="AM900" s="6" t="e">
        <f>MATCH(D900,'D5 - Gatekeeper - Projects'!$C$4:$C$1010,0)</f>
        <v>#N/A</v>
      </c>
      <c r="AN900" s="6" t="b">
        <f t="shared" si="80"/>
        <v>1</v>
      </c>
      <c r="AO900" s="6" t="str">
        <f t="shared" si="83"/>
        <v>OK</v>
      </c>
      <c r="AQ900" s="6" t="e">
        <f>MATCH($D900,'D4 - Provider Council Unsched'!$C$11:$C$234,0)</f>
        <v>#N/A</v>
      </c>
      <c r="AR900" s="6" t="b">
        <f t="shared" si="81"/>
        <v>1</v>
      </c>
      <c r="AS900" s="6" t="str">
        <f t="shared" si="84"/>
        <v>OK</v>
      </c>
      <c r="AU900" s="202"/>
      <c r="AV900" s="262"/>
      <c r="AW900" s="274"/>
    </row>
    <row r="901" spans="1:49" s="13" customFormat="1" ht="33.75" x14ac:dyDescent="0.2">
      <c r="A901" s="14">
        <v>877</v>
      </c>
      <c r="B901" s="14">
        <v>400018712</v>
      </c>
      <c r="C901" s="8" t="s">
        <v>5197</v>
      </c>
      <c r="D901" s="4" t="str">
        <f t="shared" si="82"/>
        <v>400018712R1</v>
      </c>
      <c r="E901" s="309" t="str">
        <f>VLOOKUP($B901,'D7 - NDB Impacted SPRF''s'!$E$6:$O$9929,2,FALSE)</f>
        <v>NDB weekly EPDE Feed for MNOC</v>
      </c>
      <c r="F901" s="8" t="s">
        <v>7976</v>
      </c>
      <c r="G901" s="8" t="s">
        <v>4758</v>
      </c>
      <c r="H901" s="8" t="s">
        <v>4246</v>
      </c>
      <c r="I901" s="20">
        <v>1.07</v>
      </c>
      <c r="J901" s="8" t="s">
        <v>4862</v>
      </c>
      <c r="K901" s="182">
        <v>39522</v>
      </c>
      <c r="L901" s="8" t="s">
        <v>5743</v>
      </c>
      <c r="M901" s="8" t="s">
        <v>6007</v>
      </c>
      <c r="N901" s="38"/>
      <c r="O901" s="8" t="s">
        <v>7086</v>
      </c>
      <c r="P901" s="4" t="str">
        <f>VLOOKUP($B901,'D7 - NDB Impacted SPRF''s'!$E$16:$O$9929,9,FALSE)</f>
        <v>N</v>
      </c>
      <c r="Q901" s="4" t="str">
        <f>VLOOKUP($B901,'D7 - NDB Impacted SPRF''s'!$E$16:$O$9929,10,FALSE)</f>
        <v>N</v>
      </c>
      <c r="R901" s="4" t="str">
        <f>VLOOKUP($B901,'D7 - NDB Impacted SPRF''s'!$E$16:$O$9929,11,FALSE)</f>
        <v>N</v>
      </c>
      <c r="S901" s="8"/>
      <c r="T901" s="310"/>
      <c r="U901" s="310"/>
      <c r="V901" s="4"/>
      <c r="W901" s="4"/>
      <c r="X901" s="4"/>
      <c r="Y901" s="4"/>
      <c r="Z901" s="4"/>
      <c r="AA901" s="4"/>
      <c r="AB901" s="380" t="str">
        <f>VLOOKUP($B901,'D7 - NDB Impacted SPRF''s'!$E$16:$O$9929,4,FALSE)</f>
        <v>Completed</v>
      </c>
      <c r="AC901" s="380" t="str">
        <f>VLOOKUP($B901,'D7 - NDB Impacted SPRF''s'!$E$16:$O$9929,3,FALSE)</f>
        <v>UnitedHealthcare Employer &amp; Individual</v>
      </c>
      <c r="AD901" s="380" t="str">
        <f>VLOOKUP($B901,'D7 - NDB Impacted SPRF''s'!$E$16:$O$9929,5,FALSE)</f>
        <v>Medical Cost Savings Programs</v>
      </c>
      <c r="AE901" s="380" t="str">
        <f>VLOOKUP($B901,'D7 - NDB Impacted SPRF''s'!$E$16:$O$9929,7,FALSE)</f>
        <v>Gino Tenace</v>
      </c>
      <c r="AF901" s="380" t="str">
        <f>VLOOKUP($B901,'D7 - NDB Impacted SPRF''s'!$E$16:$O$9929,6,FALSE)</f>
        <v>Rebecca Noreen</v>
      </c>
      <c r="AG901" s="282"/>
      <c r="AH901" s="311" t="e">
        <f>INDEX('D5 - Gatekeeper - Projects'!$A$4:$AF$1010,$AM901, 17)</f>
        <v>#N/A</v>
      </c>
      <c r="AI901" s="8"/>
      <c r="AJ901" s="57"/>
      <c r="AK901" s="105"/>
      <c r="AM901" s="6" t="e">
        <f>MATCH(D901,'D5 - Gatekeeper - Projects'!$C$4:$C$1010,0)</f>
        <v>#N/A</v>
      </c>
      <c r="AN901" s="6" t="b">
        <f t="shared" si="80"/>
        <v>1</v>
      </c>
      <c r="AO901" s="6" t="str">
        <f t="shared" si="83"/>
        <v>OK</v>
      </c>
      <c r="AQ901" s="6" t="e">
        <f>MATCH($D901,'D4 - Provider Council Unsched'!$C$11:$C$234,0)</f>
        <v>#N/A</v>
      </c>
      <c r="AR901" s="6" t="b">
        <f t="shared" si="81"/>
        <v>1</v>
      </c>
      <c r="AS901" s="6" t="str">
        <f t="shared" si="84"/>
        <v>OK</v>
      </c>
      <c r="AU901" s="202"/>
      <c r="AV901" s="262"/>
      <c r="AW901" s="274"/>
    </row>
    <row r="902" spans="1:49" s="13" customFormat="1" ht="33.75" x14ac:dyDescent="0.2">
      <c r="A902" s="14">
        <v>878</v>
      </c>
      <c r="B902" s="14">
        <v>400019846</v>
      </c>
      <c r="C902" s="8" t="s">
        <v>3763</v>
      </c>
      <c r="D902" s="4" t="str">
        <f t="shared" si="82"/>
        <v>400019846R2</v>
      </c>
      <c r="E902" s="339" t="s">
        <v>4606</v>
      </c>
      <c r="F902" s="8" t="s">
        <v>7989</v>
      </c>
      <c r="G902" s="8" t="s">
        <v>4758</v>
      </c>
      <c r="H902" s="8" t="s">
        <v>4246</v>
      </c>
      <c r="I902" s="20">
        <f>435/150</f>
        <v>2.9</v>
      </c>
      <c r="J902" s="8" t="s">
        <v>4862</v>
      </c>
      <c r="K902" s="182">
        <v>39522</v>
      </c>
      <c r="L902" s="8" t="s">
        <v>5743</v>
      </c>
      <c r="M902" s="8" t="s">
        <v>2814</v>
      </c>
      <c r="N902" s="38"/>
      <c r="O902" s="8" t="s">
        <v>1998</v>
      </c>
      <c r="P902" s="4" t="str">
        <f>VLOOKUP($B902,'D7 - NDB Impacted SPRF''s'!$E$16:$O$9929,9,FALSE)</f>
        <v>Y</v>
      </c>
      <c r="Q902" s="4" t="str">
        <f>VLOOKUP($B902,'D7 - NDB Impacted SPRF''s'!$E$16:$O$9929,10,FALSE)</f>
        <v>N</v>
      </c>
      <c r="R902" s="4" t="str">
        <f>VLOOKUP($B902,'D7 - NDB Impacted SPRF''s'!$E$16:$O$9929,11,FALSE)</f>
        <v>N</v>
      </c>
      <c r="S902" s="8"/>
      <c r="T902" s="310"/>
      <c r="U902" s="310"/>
      <c r="V902" s="4"/>
      <c r="W902" s="4"/>
      <c r="X902" s="4"/>
      <c r="Y902" s="4"/>
      <c r="Z902" s="4"/>
      <c r="AA902" s="4"/>
      <c r="AB902" s="380" t="str">
        <f>VLOOKUP($B902,'D7 - NDB Impacted SPRF''s'!$E$16:$O$9929,4,FALSE)</f>
        <v>Completed</v>
      </c>
      <c r="AC902" s="380" t="str">
        <f>VLOOKUP($B902,'D7 - NDB Impacted SPRF''s'!$E$16:$O$9929,3,FALSE)</f>
        <v>UnitedHealthcare Employer &amp; Individual</v>
      </c>
      <c r="AD902" s="380" t="str">
        <f>VLOOKUP($B902,'D7 - NDB Impacted SPRF''s'!$E$16:$O$9929,5,FALSE)</f>
        <v>Medical Cost Savings Programs</v>
      </c>
      <c r="AE902" s="380" t="str">
        <f>VLOOKUP($B902,'D7 - NDB Impacted SPRF''s'!$E$16:$O$9929,7,FALSE)</f>
        <v>Gino Tenance</v>
      </c>
      <c r="AF902" s="380" t="str">
        <f>VLOOKUP($B902,'D7 - NDB Impacted SPRF''s'!$E$16:$O$9929,6,FALSE)</f>
        <v>Mark Duquesnoy</v>
      </c>
      <c r="AG902" s="282"/>
      <c r="AH902" s="311" t="e">
        <f>INDEX('D5 - Gatekeeper - Projects'!$A$4:$AF$1010,$AM902, 17)</f>
        <v>#N/A</v>
      </c>
      <c r="AI902" s="8"/>
      <c r="AJ902" s="57"/>
      <c r="AK902" s="105"/>
      <c r="AM902" s="6" t="e">
        <f>MATCH(D902,'D5 - Gatekeeper - Projects'!$C$4:$C$1010,0)</f>
        <v>#N/A</v>
      </c>
      <c r="AN902" s="6" t="b">
        <f t="shared" si="80"/>
        <v>1</v>
      </c>
      <c r="AO902" s="6" t="str">
        <f t="shared" si="83"/>
        <v>OK</v>
      </c>
      <c r="AQ902" s="6" t="e">
        <f>MATCH($D902,'D4 - Provider Council Unsched'!$C$11:$C$234,0)</f>
        <v>#N/A</v>
      </c>
      <c r="AR902" s="6" t="b">
        <f t="shared" si="81"/>
        <v>1</v>
      </c>
      <c r="AS902" s="6" t="str">
        <f t="shared" si="84"/>
        <v>OK</v>
      </c>
      <c r="AU902" s="202"/>
      <c r="AV902" s="262"/>
      <c r="AW902" s="274"/>
    </row>
    <row r="903" spans="1:49" s="13" customFormat="1" ht="33.75" x14ac:dyDescent="0.2">
      <c r="A903" s="14">
        <v>879</v>
      </c>
      <c r="B903" s="14">
        <v>400020686</v>
      </c>
      <c r="C903" s="8" t="s">
        <v>5197</v>
      </c>
      <c r="D903" s="4" t="str">
        <f t="shared" si="82"/>
        <v>400020686R1</v>
      </c>
      <c r="E903" s="309" t="str">
        <f>VLOOKUP($B903,'D7 - NDB Impacted SPRF''s'!$E$6:$O$9929,2,FALSE)</f>
        <v>PRIME Auto-Assign IPA Number for Migrations</v>
      </c>
      <c r="F903" s="8" t="s">
        <v>5752</v>
      </c>
      <c r="G903" s="8" t="s">
        <v>4758</v>
      </c>
      <c r="H903" s="8" t="s">
        <v>4246</v>
      </c>
      <c r="I903" s="20">
        <f>172/150</f>
        <v>1.1466666666666667</v>
      </c>
      <c r="J903" s="8" t="s">
        <v>4862</v>
      </c>
      <c r="K903" s="182">
        <v>39522</v>
      </c>
      <c r="L903" s="8" t="s">
        <v>5743</v>
      </c>
      <c r="M903" s="8" t="s">
        <v>5626</v>
      </c>
      <c r="N903" s="38"/>
      <c r="O903" s="8" t="s">
        <v>2000</v>
      </c>
      <c r="P903" s="4" t="str">
        <f>VLOOKUP($B903,'D7 - NDB Impacted SPRF''s'!$E$16:$O$9929,9,FALSE)</f>
        <v>N</v>
      </c>
      <c r="Q903" s="4" t="str">
        <f>VLOOKUP($B903,'D7 - NDB Impacted SPRF''s'!$E$16:$O$9929,10,FALSE)</f>
        <v>N</v>
      </c>
      <c r="R903" s="4" t="str">
        <f>VLOOKUP($B903,'D7 - NDB Impacted SPRF''s'!$E$16:$O$9929,11,FALSE)</f>
        <v>N</v>
      </c>
      <c r="S903" s="8"/>
      <c r="T903" s="310"/>
      <c r="U903" s="310"/>
      <c r="V903" s="4"/>
      <c r="W903" s="4"/>
      <c r="X903" s="4"/>
      <c r="Y903" s="4"/>
      <c r="Z903" s="4"/>
      <c r="AA903" s="4"/>
      <c r="AB903" s="380" t="str">
        <f>VLOOKUP($B903,'D7 - NDB Impacted SPRF''s'!$E$16:$O$9929,4,FALSE)</f>
        <v>Completed</v>
      </c>
      <c r="AC903" s="380" t="str">
        <f>VLOOKUP($B903,'D7 - NDB Impacted SPRF''s'!$E$16:$O$9929,3,FALSE)</f>
        <v>UnitedHealthcare Employer &amp; Individual</v>
      </c>
      <c r="AD903" s="380" t="str">
        <f>VLOOKUP($B903,'D7 - NDB Impacted SPRF''s'!$E$16:$O$9929,5,FALSE)</f>
        <v>Integration Requirements</v>
      </c>
      <c r="AE903" s="380" t="str">
        <f>VLOOKUP($B903,'D7 - NDB Impacted SPRF''s'!$E$16:$O$9929,7,FALSE)</f>
        <v>Diane Schofield</v>
      </c>
      <c r="AF903" s="380" t="str">
        <f>VLOOKUP($B903,'D7 - NDB Impacted SPRF''s'!$E$16:$O$9929,6,FALSE)</f>
        <v>Craig Johnson</v>
      </c>
      <c r="AG903" s="282"/>
      <c r="AH903" s="311" t="e">
        <f>INDEX('D5 - Gatekeeper - Projects'!$A$4:$AF$1010,$AM903, 17)</f>
        <v>#N/A</v>
      </c>
      <c r="AI903" s="8"/>
      <c r="AJ903" s="57"/>
      <c r="AK903" s="105"/>
      <c r="AM903" s="6" t="e">
        <f>MATCH(D903,'D5 - Gatekeeper - Projects'!$C$4:$C$1010,0)</f>
        <v>#N/A</v>
      </c>
      <c r="AN903" s="6" t="b">
        <f t="shared" si="80"/>
        <v>1</v>
      </c>
      <c r="AO903" s="6" t="str">
        <f t="shared" si="83"/>
        <v>OK</v>
      </c>
      <c r="AQ903" s="6" t="e">
        <f>MATCH($D903,'D4 - Provider Council Unsched'!$C$11:$C$234,0)</f>
        <v>#N/A</v>
      </c>
      <c r="AR903" s="6" t="b">
        <f t="shared" si="81"/>
        <v>1</v>
      </c>
      <c r="AS903" s="6" t="str">
        <f t="shared" si="84"/>
        <v>OK</v>
      </c>
      <c r="AU903" s="202"/>
      <c r="AV903" s="262"/>
      <c r="AW903" s="274"/>
    </row>
    <row r="904" spans="1:49" s="13" customFormat="1" ht="33.75" x14ac:dyDescent="0.2">
      <c r="A904" s="14">
        <v>880</v>
      </c>
      <c r="B904" s="14">
        <v>400021036</v>
      </c>
      <c r="C904" s="8" t="s">
        <v>5197</v>
      </c>
      <c r="D904" s="4" t="str">
        <f t="shared" si="82"/>
        <v>400021036R1</v>
      </c>
      <c r="E904" s="309" t="str">
        <f>VLOOKUP($B904,'D7 - NDB Impacted SPRF''s'!$E$6:$O$9929,2,FALSE)</f>
        <v>Medica Data Sharing - NDB Reference Tables</v>
      </c>
      <c r="F904" s="8" t="s">
        <v>5196</v>
      </c>
      <c r="G904" s="8" t="s">
        <v>4758</v>
      </c>
      <c r="H904" s="8" t="s">
        <v>4246</v>
      </c>
      <c r="I904" s="20">
        <v>2.68</v>
      </c>
      <c r="J904" s="8" t="s">
        <v>4862</v>
      </c>
      <c r="K904" s="182">
        <v>39522</v>
      </c>
      <c r="L904" s="8" t="s">
        <v>5743</v>
      </c>
      <c r="M904" s="8" t="s">
        <v>2814</v>
      </c>
      <c r="N904" s="38"/>
      <c r="O904" s="8" t="s">
        <v>7086</v>
      </c>
      <c r="P904" s="4" t="str">
        <f>VLOOKUP($B904,'D7 - NDB Impacted SPRF''s'!$E$16:$O$9929,9,FALSE)</f>
        <v>N</v>
      </c>
      <c r="Q904" s="4" t="str">
        <f>VLOOKUP($B904,'D7 - NDB Impacted SPRF''s'!$E$16:$O$9929,10,FALSE)</f>
        <v>N</v>
      </c>
      <c r="R904" s="4" t="str">
        <f>VLOOKUP($B904,'D7 - NDB Impacted SPRF''s'!$E$16:$O$9929,11,FALSE)</f>
        <v>N</v>
      </c>
      <c r="S904" s="8"/>
      <c r="T904" s="310"/>
      <c r="U904" s="310"/>
      <c r="V904" s="4"/>
      <c r="W904" s="4"/>
      <c r="X904" s="4"/>
      <c r="Y904" s="4"/>
      <c r="Z904" s="4"/>
      <c r="AA904" s="4"/>
      <c r="AB904" s="380" t="str">
        <f>VLOOKUP($B904,'D7 - NDB Impacted SPRF''s'!$E$16:$O$9929,4,FALSE)</f>
        <v>Completed</v>
      </c>
      <c r="AC904" s="380" t="str">
        <f>VLOOKUP($B904,'D7 - NDB Impacted SPRF''s'!$E$16:$O$9929,3,FALSE)</f>
        <v>UnitedHealthcare Employer &amp; Individual</v>
      </c>
      <c r="AD904" s="380" t="str">
        <f>VLOOKUP($B904,'D7 - NDB Impacted SPRF''s'!$E$16:$O$9929,5,FALSE)</f>
        <v>HCA - Medica UNET Conversion</v>
      </c>
      <c r="AE904" s="380" t="str">
        <f>VLOOKUP($B904,'D7 - NDB Impacted SPRF''s'!$E$16:$O$9929,7,FALSE)</f>
        <v>Diane Schofield</v>
      </c>
      <c r="AF904" s="380" t="str">
        <f>VLOOKUP($B904,'D7 - NDB Impacted SPRF''s'!$E$16:$O$9929,6,FALSE)</f>
        <v>KIMBERLY ALEXANDER</v>
      </c>
      <c r="AG904" s="282"/>
      <c r="AH904" s="311" t="e">
        <f>INDEX('D5 - Gatekeeper - Projects'!$A$4:$AF$1010,$AM904, 17)</f>
        <v>#N/A</v>
      </c>
      <c r="AI904" s="8"/>
      <c r="AJ904" s="57"/>
      <c r="AK904" s="105"/>
      <c r="AM904" s="6" t="e">
        <f>MATCH(D904,'D5 - Gatekeeper - Projects'!$C$4:$C$1010,0)</f>
        <v>#N/A</v>
      </c>
      <c r="AN904" s="6" t="b">
        <f t="shared" si="80"/>
        <v>1</v>
      </c>
      <c r="AO904" s="6" t="str">
        <f t="shared" si="83"/>
        <v>OK</v>
      </c>
      <c r="AQ904" s="6" t="e">
        <f>MATCH($D904,'D4 - Provider Council Unsched'!$C$11:$C$234,0)</f>
        <v>#N/A</v>
      </c>
      <c r="AR904" s="6" t="b">
        <f t="shared" si="81"/>
        <v>1</v>
      </c>
      <c r="AS904" s="6" t="str">
        <f t="shared" si="84"/>
        <v>OK</v>
      </c>
      <c r="AU904" s="202"/>
      <c r="AV904" s="262"/>
      <c r="AW904" s="274"/>
    </row>
    <row r="905" spans="1:49" s="13" customFormat="1" ht="33.75" x14ac:dyDescent="0.2">
      <c r="A905" s="14">
        <v>881</v>
      </c>
      <c r="B905" s="14">
        <v>400021249</v>
      </c>
      <c r="C905" s="8" t="s">
        <v>5197</v>
      </c>
      <c r="D905" s="4" t="str">
        <f t="shared" si="82"/>
        <v>400021249R1</v>
      </c>
      <c r="E905" s="309" t="str">
        <f>VLOOKUP($B905,'D7 - NDB Impacted SPRF''s'!$E$6:$O$9929,2,FALSE)</f>
        <v>Accreditation NDB File Processing Frequency Change</v>
      </c>
      <c r="F905" s="8" t="s">
        <v>7989</v>
      </c>
      <c r="G905" s="8" t="s">
        <v>4758</v>
      </c>
      <c r="H905" s="8" t="s">
        <v>4246</v>
      </c>
      <c r="I905" s="20">
        <v>1.06</v>
      </c>
      <c r="J905" s="8" t="s">
        <v>4862</v>
      </c>
      <c r="K905" s="182">
        <v>39522</v>
      </c>
      <c r="L905" s="8" t="s">
        <v>5743</v>
      </c>
      <c r="M905" s="8" t="s">
        <v>6007</v>
      </c>
      <c r="N905" s="38"/>
      <c r="O905" s="8" t="s">
        <v>4173</v>
      </c>
      <c r="P905" s="4" t="str">
        <f>VLOOKUP($B905,'D7 - NDB Impacted SPRF''s'!$E$16:$O$9929,9,FALSE)</f>
        <v>N</v>
      </c>
      <c r="Q905" s="4" t="str">
        <f>VLOOKUP($B905,'D7 - NDB Impacted SPRF''s'!$E$16:$O$9929,10,FALSE)</f>
        <v>N</v>
      </c>
      <c r="R905" s="4" t="str">
        <f>VLOOKUP($B905,'D7 - NDB Impacted SPRF''s'!$E$16:$O$9929,11,FALSE)</f>
        <v>N</v>
      </c>
      <c r="S905" s="8"/>
      <c r="T905" s="310"/>
      <c r="U905" s="310"/>
      <c r="V905" s="4"/>
      <c r="W905" s="4"/>
      <c r="X905" s="4"/>
      <c r="Y905" s="4"/>
      <c r="Z905" s="4"/>
      <c r="AA905" s="4"/>
      <c r="AB905" s="380" t="str">
        <f>VLOOKUP($B905,'D7 - NDB Impacted SPRF''s'!$E$16:$O$9929,4,FALSE)</f>
        <v>Completed</v>
      </c>
      <c r="AC905" s="380" t="str">
        <f>VLOOKUP($B905,'D7 - NDB Impacted SPRF''s'!$E$16:$O$9929,3,FALSE)</f>
        <v>UnitedHealthcare Employer &amp; Individual</v>
      </c>
      <c r="AD905" s="380" t="str">
        <f>VLOOKUP($B905,'D7 - NDB Impacted SPRF''s'!$E$16:$O$9929,5,FALSE)</f>
        <v>Medical Cost Savings Programs</v>
      </c>
      <c r="AE905" s="380" t="str">
        <f>VLOOKUP($B905,'D7 - NDB Impacted SPRF''s'!$E$16:$O$9929,7,FALSE)</f>
        <v>Laurie Paidosh</v>
      </c>
      <c r="AF905" s="380" t="str">
        <f>VLOOKUP($B905,'D7 - NDB Impacted SPRF''s'!$E$16:$O$9929,6,FALSE)</f>
        <v>Lori West</v>
      </c>
      <c r="AG905" s="282"/>
      <c r="AH905" s="311" t="e">
        <f>INDEX('D5 - Gatekeeper - Projects'!$A$4:$AF$1010,$AM905, 17)</f>
        <v>#N/A</v>
      </c>
      <c r="AI905" s="8"/>
      <c r="AJ905" s="57"/>
      <c r="AK905" s="105"/>
      <c r="AM905" s="6" t="e">
        <f>MATCH(D905,'D5 - Gatekeeper - Projects'!$C$4:$C$1010,0)</f>
        <v>#N/A</v>
      </c>
      <c r="AN905" s="6" t="b">
        <f t="shared" si="80"/>
        <v>1</v>
      </c>
      <c r="AO905" s="6" t="str">
        <f t="shared" si="83"/>
        <v>OK</v>
      </c>
      <c r="AQ905" s="6" t="e">
        <f>MATCH($D905,'D4 - Provider Council Unsched'!$C$11:$C$234,0)</f>
        <v>#N/A</v>
      </c>
      <c r="AR905" s="6" t="b">
        <f t="shared" si="81"/>
        <v>1</v>
      </c>
      <c r="AS905" s="6" t="str">
        <f t="shared" si="84"/>
        <v>OK</v>
      </c>
      <c r="AU905" s="202"/>
      <c r="AV905" s="262"/>
      <c r="AW905" s="274"/>
    </row>
    <row r="906" spans="1:49" s="13" customFormat="1" ht="45" x14ac:dyDescent="0.2">
      <c r="A906" s="14">
        <v>882</v>
      </c>
      <c r="B906" s="14">
        <v>400021582</v>
      </c>
      <c r="C906" s="8" t="s">
        <v>5197</v>
      </c>
      <c r="D906" s="4" t="str">
        <f t="shared" si="82"/>
        <v>400021582R1</v>
      </c>
      <c r="E906" s="309" t="str">
        <f>VLOOKUP($B906,'D7 - NDB Impacted SPRF''s'!$E$6:$O$9929,2,FALSE)</f>
        <v>UPCSA - Source Of Truth - NDB</v>
      </c>
      <c r="F906" s="8" t="s">
        <v>4762</v>
      </c>
      <c r="G906" s="8" t="s">
        <v>4758</v>
      </c>
      <c r="H906" s="8" t="s">
        <v>4246</v>
      </c>
      <c r="I906" s="20">
        <v>10</v>
      </c>
      <c r="J906" s="8" t="s">
        <v>4862</v>
      </c>
      <c r="K906" s="182">
        <v>39522</v>
      </c>
      <c r="L906" s="8" t="s">
        <v>5743</v>
      </c>
      <c r="M906" s="8" t="s">
        <v>6688</v>
      </c>
      <c r="N906" s="38" t="s">
        <v>5603</v>
      </c>
      <c r="O906" s="8" t="s">
        <v>4599</v>
      </c>
      <c r="P906" s="4" t="str">
        <f>VLOOKUP($B906,'D7 - NDB Impacted SPRF''s'!$E$16:$O$9929,9,FALSE)</f>
        <v>N</v>
      </c>
      <c r="Q906" s="4" t="str">
        <f>VLOOKUP($B906,'D7 - NDB Impacted SPRF''s'!$E$16:$O$9929,10,FALSE)</f>
        <v>N</v>
      </c>
      <c r="R906" s="4" t="str">
        <f>VLOOKUP($B906,'D7 - NDB Impacted SPRF''s'!$E$16:$O$9929,11,FALSE)</f>
        <v>N</v>
      </c>
      <c r="S906" s="8"/>
      <c r="T906" s="310"/>
      <c r="U906" s="310"/>
      <c r="V906" s="4"/>
      <c r="W906" s="4"/>
      <c r="X906" s="4"/>
      <c r="Y906" s="4"/>
      <c r="Z906" s="4"/>
      <c r="AA906" s="4"/>
      <c r="AB906" s="380" t="str">
        <f>VLOOKUP($B906,'D7 - NDB Impacted SPRF''s'!$E$16:$O$9929,4,FALSE)</f>
        <v>Completed</v>
      </c>
      <c r="AC906" s="380" t="str">
        <f>VLOOKUP($B906,'D7 - NDB Impacted SPRF''s'!$E$16:$O$9929,3,FALSE)</f>
        <v>UnitedHealthcare Employer &amp; Individual</v>
      </c>
      <c r="AD906" s="380" t="str">
        <f>VLOOKUP($B906,'D7 - NDB Impacted SPRF''s'!$E$16:$O$9929,5,FALSE)</f>
        <v>Process Improvement</v>
      </c>
      <c r="AE906" s="380" t="str">
        <f>VLOOKUP($B906,'D7 - NDB Impacted SPRF''s'!$E$16:$O$9929,7,FALSE)</f>
        <v>Jeffrey Hanas</v>
      </c>
      <c r="AF906" s="380" t="str">
        <f>VLOOKUP($B906,'D7 - NDB Impacted SPRF''s'!$E$16:$O$9929,6,FALSE)</f>
        <v>Gabriela ZZZZZZRapp</v>
      </c>
      <c r="AG906" s="282"/>
      <c r="AH906" s="311" t="e">
        <f>INDEX('D5 - Gatekeeper - Projects'!$A$4:$AF$1010,$AM906, 17)</f>
        <v>#N/A</v>
      </c>
      <c r="AI906" s="8"/>
      <c r="AJ906" s="57"/>
      <c r="AK906" s="105"/>
      <c r="AM906" s="6" t="e">
        <f>MATCH(D906,'D5 - Gatekeeper - Projects'!$C$4:$C$1010,0)</f>
        <v>#N/A</v>
      </c>
      <c r="AN906" s="6" t="b">
        <f t="shared" si="80"/>
        <v>1</v>
      </c>
      <c r="AO906" s="6" t="str">
        <f t="shared" si="83"/>
        <v>OK</v>
      </c>
      <c r="AQ906" s="6" t="e">
        <f>MATCH($D906,'D4 - Provider Council Unsched'!$C$11:$C$234,0)</f>
        <v>#N/A</v>
      </c>
      <c r="AR906" s="6" t="b">
        <f t="shared" si="81"/>
        <v>1</v>
      </c>
      <c r="AS906" s="6" t="str">
        <f t="shared" si="84"/>
        <v>OK</v>
      </c>
      <c r="AU906" s="202"/>
      <c r="AV906" s="262"/>
      <c r="AW906" s="274"/>
    </row>
    <row r="907" spans="1:49" s="13" customFormat="1" ht="33.75" x14ac:dyDescent="0.2">
      <c r="A907" s="14">
        <v>883</v>
      </c>
      <c r="B907" s="14">
        <v>400023089</v>
      </c>
      <c r="C907" s="8" t="s">
        <v>5197</v>
      </c>
      <c r="D907" s="4" t="str">
        <f t="shared" si="82"/>
        <v>400023089R1</v>
      </c>
      <c r="E907" s="309" t="str">
        <f>VLOOKUP($B907,'D7 - NDB Impacted SPRF''s'!$E$6:$O$9929,2,FALSE)</f>
        <v xml:space="preserve"> ITI Oneshot for LaborCare and MedNet Contracts</v>
      </c>
      <c r="F907" s="8" t="s">
        <v>7989</v>
      </c>
      <c r="G907" s="8" t="s">
        <v>4758</v>
      </c>
      <c r="H907" s="8" t="s">
        <v>4246</v>
      </c>
      <c r="I907" s="20">
        <v>1.07</v>
      </c>
      <c r="J907" s="8" t="s">
        <v>4862</v>
      </c>
      <c r="K907" s="182">
        <v>39522</v>
      </c>
      <c r="L907" s="8" t="s">
        <v>5743</v>
      </c>
      <c r="M907" s="8" t="s">
        <v>6007</v>
      </c>
      <c r="N907" s="38"/>
      <c r="O907" s="8" t="s">
        <v>4599</v>
      </c>
      <c r="P907" s="4" t="str">
        <f>VLOOKUP($B907,'D7 - NDB Impacted SPRF''s'!$E$16:$O$9929,9,FALSE)</f>
        <v>N</v>
      </c>
      <c r="Q907" s="4" t="str">
        <f>VLOOKUP($B907,'D7 - NDB Impacted SPRF''s'!$E$16:$O$9929,10,FALSE)</f>
        <v>N</v>
      </c>
      <c r="R907" s="4" t="str">
        <f>VLOOKUP($B907,'D7 - NDB Impacted SPRF''s'!$E$16:$O$9929,11,FALSE)</f>
        <v>N</v>
      </c>
      <c r="S907" s="8"/>
      <c r="T907" s="310"/>
      <c r="U907" s="310"/>
      <c r="V907" s="4"/>
      <c r="W907" s="4"/>
      <c r="X907" s="4"/>
      <c r="Y907" s="4"/>
      <c r="Z907" s="4"/>
      <c r="AA907" s="4"/>
      <c r="AB907" s="380" t="str">
        <f>VLOOKUP($B907,'D7 - NDB Impacted SPRF''s'!$E$16:$O$9929,4,FALSE)</f>
        <v>Completed</v>
      </c>
      <c r="AC907" s="380" t="str">
        <f>VLOOKUP($B907,'D7 - NDB Impacted SPRF''s'!$E$16:$O$9929,3,FALSE)</f>
        <v>UnitedHealthcare Employer &amp; Individual</v>
      </c>
      <c r="AD907" s="380" t="str">
        <f>VLOOKUP($B907,'D7 - NDB Impacted SPRF''s'!$E$16:$O$9929,5,FALSE)</f>
        <v>Medical Cost Savings Programs</v>
      </c>
      <c r="AE907" s="380" t="str">
        <f>VLOOKUP($B907,'D7 - NDB Impacted SPRF''s'!$E$16:$O$9929,7,FALSE)</f>
        <v>Gino Tenace</v>
      </c>
      <c r="AF907" s="380" t="str">
        <f>VLOOKUP($B907,'D7 - NDB Impacted SPRF''s'!$E$16:$O$9929,6,FALSE)</f>
        <v>Nicolle Wollin</v>
      </c>
      <c r="AG907" s="282"/>
      <c r="AH907" s="311" t="e">
        <f>INDEX('D5 - Gatekeeper - Projects'!$A$4:$AF$1010,$AM907, 17)</f>
        <v>#N/A</v>
      </c>
      <c r="AI907" s="8"/>
      <c r="AJ907" s="57"/>
      <c r="AK907" s="105"/>
      <c r="AM907" s="6" t="e">
        <f>MATCH(D907,'D5 - Gatekeeper - Projects'!$C$4:$C$1010,0)</f>
        <v>#N/A</v>
      </c>
      <c r="AN907" s="6" t="b">
        <f t="shared" si="80"/>
        <v>1</v>
      </c>
      <c r="AO907" s="6" t="str">
        <f t="shared" si="83"/>
        <v>OK</v>
      </c>
      <c r="AQ907" s="6" t="e">
        <f>MATCH($D907,'D4 - Provider Council Unsched'!$C$11:$C$234,0)</f>
        <v>#N/A</v>
      </c>
      <c r="AR907" s="6" t="b">
        <f t="shared" si="81"/>
        <v>1</v>
      </c>
      <c r="AS907" s="6" t="str">
        <f t="shared" si="84"/>
        <v>OK</v>
      </c>
      <c r="AU907" s="202"/>
      <c r="AV907" s="262"/>
      <c r="AW907" s="274"/>
    </row>
    <row r="908" spans="1:49" s="13" customFormat="1" x14ac:dyDescent="0.2">
      <c r="A908" s="14">
        <v>884</v>
      </c>
      <c r="B908" s="14" t="s">
        <v>2171</v>
      </c>
      <c r="C908" s="8" t="s">
        <v>5197</v>
      </c>
      <c r="D908" s="4" t="str">
        <f t="shared" si="82"/>
        <v>TBDOB13R1</v>
      </c>
      <c r="E908" s="309" t="s">
        <v>5203</v>
      </c>
      <c r="F908" s="8" t="s">
        <v>4304</v>
      </c>
      <c r="G908" s="8" t="s">
        <v>4758</v>
      </c>
      <c r="H908" s="8" t="s">
        <v>4246</v>
      </c>
      <c r="I908" s="20">
        <v>1</v>
      </c>
      <c r="J908" s="8" t="s">
        <v>7113</v>
      </c>
      <c r="K908" s="182">
        <v>39522</v>
      </c>
      <c r="L908" s="8" t="s">
        <v>5743</v>
      </c>
      <c r="M908" s="8" t="s">
        <v>5626</v>
      </c>
      <c r="N908" s="38" t="s">
        <v>2524</v>
      </c>
      <c r="O908" s="8"/>
      <c r="P908" s="4" t="e">
        <f>VLOOKUP($B908,'D7 - NDB Impacted SPRF''s'!$E$16:$O$9929,9,FALSE)</f>
        <v>#N/A</v>
      </c>
      <c r="Q908" s="4" t="e">
        <f>VLOOKUP($B908,'D7 - NDB Impacted SPRF''s'!$E$16:$O$9929,10,FALSE)</f>
        <v>#N/A</v>
      </c>
      <c r="R908" s="4" t="e">
        <f>VLOOKUP($B908,'D7 - NDB Impacted SPRF''s'!$E$16:$O$9929,11,FALSE)</f>
        <v>#N/A</v>
      </c>
      <c r="S908" s="8"/>
      <c r="T908" s="310"/>
      <c r="U908" s="310"/>
      <c r="V908" s="4"/>
      <c r="W908" s="4"/>
      <c r="X908" s="4"/>
      <c r="Y908" s="4"/>
      <c r="Z908" s="4"/>
      <c r="AA908" s="4"/>
      <c r="AB908" s="380" t="e">
        <f>VLOOKUP($B908,'D7 - NDB Impacted SPRF''s'!$E$16:$O$9929,4,FALSE)</f>
        <v>#N/A</v>
      </c>
      <c r="AC908" s="380" t="e">
        <f>VLOOKUP($B908,'D7 - NDB Impacted SPRF''s'!$E$16:$O$9929,3,FALSE)</f>
        <v>#N/A</v>
      </c>
      <c r="AD908" s="380" t="e">
        <f>VLOOKUP($B908,'D7 - NDB Impacted SPRF''s'!$E$16:$O$9929,5,FALSE)</f>
        <v>#N/A</v>
      </c>
      <c r="AE908" s="380" t="e">
        <f>VLOOKUP($B908,'D7 - NDB Impacted SPRF''s'!$E$16:$O$9929,7,FALSE)</f>
        <v>#N/A</v>
      </c>
      <c r="AF908" s="380" t="e">
        <f>VLOOKUP($B908,'D7 - NDB Impacted SPRF''s'!$E$16:$O$9929,6,FALSE)</f>
        <v>#N/A</v>
      </c>
      <c r="AG908" s="282"/>
      <c r="AH908" s="311" t="e">
        <f>INDEX('D5 - Gatekeeper - Projects'!$A$4:$AF$1010,$AM908, 17)</f>
        <v>#N/A</v>
      </c>
      <c r="AI908" s="8"/>
      <c r="AJ908" s="57"/>
      <c r="AK908" s="105"/>
      <c r="AM908" s="6" t="e">
        <f>MATCH(D908,'D5 - Gatekeeper - Projects'!$C$4:$C$1010,0)</f>
        <v>#N/A</v>
      </c>
      <c r="AN908" s="6" t="b">
        <f t="shared" si="80"/>
        <v>1</v>
      </c>
      <c r="AO908" s="6" t="str">
        <f t="shared" si="83"/>
        <v>OK</v>
      </c>
      <c r="AQ908" s="6" t="e">
        <f>MATCH($D908,'D4 - Provider Council Unsched'!$C$11:$C$234,0)</f>
        <v>#N/A</v>
      </c>
      <c r="AR908" s="6" t="b">
        <f t="shared" si="81"/>
        <v>1</v>
      </c>
      <c r="AS908" s="6" t="str">
        <f t="shared" si="84"/>
        <v>OK</v>
      </c>
      <c r="AU908" s="202"/>
      <c r="AV908" s="262"/>
      <c r="AW908" s="274"/>
    </row>
    <row r="909" spans="1:49" s="13" customFormat="1" x14ac:dyDescent="0.2">
      <c r="A909" s="14">
        <v>885</v>
      </c>
      <c r="B909" s="14" t="s">
        <v>5043</v>
      </c>
      <c r="C909" s="8" t="s">
        <v>5197</v>
      </c>
      <c r="D909" s="4" t="str">
        <f t="shared" si="82"/>
        <v>TBDOB14R1</v>
      </c>
      <c r="E909" s="309" t="s">
        <v>5203</v>
      </c>
      <c r="F909" s="8" t="s">
        <v>4304</v>
      </c>
      <c r="G909" s="8" t="s">
        <v>4758</v>
      </c>
      <c r="H909" s="8" t="s">
        <v>4246</v>
      </c>
      <c r="I909" s="20">
        <v>1</v>
      </c>
      <c r="J909" s="8" t="s">
        <v>7113</v>
      </c>
      <c r="K909" s="182">
        <v>39522</v>
      </c>
      <c r="L909" s="8" t="s">
        <v>5743</v>
      </c>
      <c r="M909" s="8" t="s">
        <v>5626</v>
      </c>
      <c r="N909" s="38" t="s">
        <v>1999</v>
      </c>
      <c r="O909" s="8"/>
      <c r="P909" s="4" t="e">
        <f>VLOOKUP($B909,'D7 - NDB Impacted SPRF''s'!$E$16:$O$9929,9,FALSE)</f>
        <v>#N/A</v>
      </c>
      <c r="Q909" s="4" t="e">
        <f>VLOOKUP($B909,'D7 - NDB Impacted SPRF''s'!$E$16:$O$9929,10,FALSE)</f>
        <v>#N/A</v>
      </c>
      <c r="R909" s="4" t="e">
        <f>VLOOKUP($B909,'D7 - NDB Impacted SPRF''s'!$E$16:$O$9929,11,FALSE)</f>
        <v>#N/A</v>
      </c>
      <c r="S909" s="8"/>
      <c r="T909" s="310"/>
      <c r="U909" s="310"/>
      <c r="V909" s="4"/>
      <c r="W909" s="4"/>
      <c r="X909" s="4"/>
      <c r="Y909" s="4"/>
      <c r="Z909" s="4"/>
      <c r="AA909" s="4"/>
      <c r="AB909" s="380" t="e">
        <f>VLOOKUP($B909,'D7 - NDB Impacted SPRF''s'!$E$16:$O$9929,4,FALSE)</f>
        <v>#N/A</v>
      </c>
      <c r="AC909" s="380" t="e">
        <f>VLOOKUP($B909,'D7 - NDB Impacted SPRF''s'!$E$16:$O$9929,3,FALSE)</f>
        <v>#N/A</v>
      </c>
      <c r="AD909" s="380" t="e">
        <f>VLOOKUP($B909,'D7 - NDB Impacted SPRF''s'!$E$16:$O$9929,5,FALSE)</f>
        <v>#N/A</v>
      </c>
      <c r="AE909" s="380" t="e">
        <f>VLOOKUP($B909,'D7 - NDB Impacted SPRF''s'!$E$16:$O$9929,7,FALSE)</f>
        <v>#N/A</v>
      </c>
      <c r="AF909" s="380" t="e">
        <f>VLOOKUP($B909,'D7 - NDB Impacted SPRF''s'!$E$16:$O$9929,6,FALSE)</f>
        <v>#N/A</v>
      </c>
      <c r="AG909" s="282"/>
      <c r="AH909" s="311" t="e">
        <f>INDEX('D5 - Gatekeeper - Projects'!$A$4:$AF$1010,$AM909, 17)</f>
        <v>#N/A</v>
      </c>
      <c r="AI909" s="8"/>
      <c r="AJ909" s="57"/>
      <c r="AK909" s="105"/>
      <c r="AM909" s="6" t="e">
        <f>MATCH(D909,'D5 - Gatekeeper - Projects'!$C$4:$C$1010,0)</f>
        <v>#N/A</v>
      </c>
      <c r="AN909" s="6" t="b">
        <f t="shared" si="80"/>
        <v>1</v>
      </c>
      <c r="AO909" s="6" t="str">
        <f t="shared" si="83"/>
        <v>OK</v>
      </c>
      <c r="AQ909" s="6" t="e">
        <f>MATCH($D909,'D4 - Provider Council Unsched'!$C$11:$C$234,0)</f>
        <v>#N/A</v>
      </c>
      <c r="AR909" s="6" t="b">
        <f t="shared" si="81"/>
        <v>1</v>
      </c>
      <c r="AS909" s="6" t="str">
        <f t="shared" si="84"/>
        <v>OK</v>
      </c>
      <c r="AU909" s="202"/>
      <c r="AV909" s="262"/>
      <c r="AW909" s="274"/>
    </row>
    <row r="910" spans="1:49" s="13" customFormat="1" ht="33.75" x14ac:dyDescent="0.2">
      <c r="A910" s="14">
        <v>886</v>
      </c>
      <c r="B910" s="14">
        <v>400016069</v>
      </c>
      <c r="C910" s="8" t="s">
        <v>4965</v>
      </c>
      <c r="D910" s="4" t="str">
        <f t="shared" si="82"/>
        <v>400016069CC13</v>
      </c>
      <c r="E910" s="309" t="str">
        <f>VLOOKUP($B910,'D7 - NDB Impacted SPRF''s'!$E$6:$O$9929,2,FALSE)</f>
        <v>UHPD Facility Designation Program v2.0</v>
      </c>
      <c r="F910" s="8" t="s">
        <v>5443</v>
      </c>
      <c r="G910" s="8" t="s">
        <v>4758</v>
      </c>
      <c r="H910" s="8" t="s">
        <v>4246</v>
      </c>
      <c r="I910" s="20">
        <v>1.34</v>
      </c>
      <c r="J910" s="8" t="s">
        <v>4862</v>
      </c>
      <c r="K910" s="182">
        <v>39535</v>
      </c>
      <c r="L910" s="8" t="s">
        <v>5743</v>
      </c>
      <c r="M910" s="8" t="s">
        <v>2814</v>
      </c>
      <c r="N910" s="38"/>
      <c r="O910" s="8" t="s">
        <v>2547</v>
      </c>
      <c r="P910" s="4" t="str">
        <f>VLOOKUP($B910,'D7 - NDB Impacted SPRF''s'!$E$16:$O$9929,9,FALSE)</f>
        <v>Y</v>
      </c>
      <c r="Q910" s="4" t="str">
        <f>VLOOKUP($B910,'D7 - NDB Impacted SPRF''s'!$E$16:$O$9929,10,FALSE)</f>
        <v>N</v>
      </c>
      <c r="R910" s="4" t="str">
        <f>VLOOKUP($B910,'D7 - NDB Impacted SPRF''s'!$E$16:$O$9929,11,FALSE)</f>
        <v>N</v>
      </c>
      <c r="S910" s="8"/>
      <c r="T910" s="310"/>
      <c r="U910" s="310"/>
      <c r="V910" s="4"/>
      <c r="W910" s="4"/>
      <c r="X910" s="4"/>
      <c r="Y910" s="4"/>
      <c r="Z910" s="4"/>
      <c r="AA910" s="4"/>
      <c r="AB910" s="380" t="str">
        <f>VLOOKUP($B910,'D7 - NDB Impacted SPRF''s'!$E$16:$O$9929,4,FALSE)</f>
        <v>Completed</v>
      </c>
      <c r="AC910" s="380" t="str">
        <f>VLOOKUP($B910,'D7 - NDB Impacted SPRF''s'!$E$16:$O$9929,3,FALSE)</f>
        <v>UnitedHealthcare Employer &amp; Individual</v>
      </c>
      <c r="AD910" s="380" t="str">
        <f>VLOOKUP($B910,'D7 - NDB Impacted SPRF''s'!$E$16:$O$9929,5,FALSE)</f>
        <v>Medical Cost Savings Programs</v>
      </c>
      <c r="AE910" s="380" t="str">
        <f>VLOOKUP($B910,'D7 - NDB Impacted SPRF''s'!$E$16:$O$9929,7,FALSE)</f>
        <v>Gino Tenace</v>
      </c>
      <c r="AF910" s="380" t="str">
        <f>VLOOKUP($B910,'D7 - NDB Impacted SPRF''s'!$E$16:$O$9929,6,FALSE)</f>
        <v>BRUCE CARVER</v>
      </c>
      <c r="AG910" s="282"/>
      <c r="AH910" s="311" t="e">
        <f>INDEX('D5 - Gatekeeper - Projects'!$A$4:$AF$1010,$AM910, 17)</f>
        <v>#N/A</v>
      </c>
      <c r="AI910" s="8"/>
      <c r="AJ910" s="57"/>
      <c r="AK910" s="105"/>
      <c r="AM910" s="6" t="e">
        <f>MATCH(D910,'D5 - Gatekeeper - Projects'!$C$4:$C$1010,0)</f>
        <v>#N/A</v>
      </c>
      <c r="AN910" s="6" t="b">
        <f t="shared" si="80"/>
        <v>1</v>
      </c>
      <c r="AO910" s="6" t="str">
        <f t="shared" si="83"/>
        <v>OK</v>
      </c>
      <c r="AQ910" s="6" t="e">
        <f>MATCH($D910,'D4 - Provider Council Unsched'!$C$11:$C$234,0)</f>
        <v>#N/A</v>
      </c>
      <c r="AR910" s="6" t="b">
        <f t="shared" si="81"/>
        <v>1</v>
      </c>
      <c r="AS910" s="6" t="str">
        <f t="shared" si="84"/>
        <v>OK</v>
      </c>
      <c r="AU910" s="202"/>
      <c r="AV910" s="262"/>
      <c r="AW910" s="274"/>
    </row>
    <row r="911" spans="1:49" s="13" customFormat="1" ht="33.75" x14ac:dyDescent="0.2">
      <c r="A911" s="14">
        <v>887</v>
      </c>
      <c r="B911" s="14">
        <v>400019846</v>
      </c>
      <c r="C911" s="8" t="s">
        <v>4926</v>
      </c>
      <c r="D911" s="4" t="str">
        <f t="shared" si="82"/>
        <v>400019846R4</v>
      </c>
      <c r="E911" s="339" t="s">
        <v>4606</v>
      </c>
      <c r="F911" s="8" t="s">
        <v>7989</v>
      </c>
      <c r="G911" s="8" t="s">
        <v>4758</v>
      </c>
      <c r="H911" s="8" t="s">
        <v>4246</v>
      </c>
      <c r="I911" s="20">
        <v>1.5</v>
      </c>
      <c r="J911" s="8" t="s">
        <v>4862</v>
      </c>
      <c r="K911" s="182">
        <v>39582</v>
      </c>
      <c r="L911" s="8" t="s">
        <v>5743</v>
      </c>
      <c r="M911" s="8" t="s">
        <v>5786</v>
      </c>
      <c r="N911" s="38" t="s">
        <v>3750</v>
      </c>
      <c r="O911" s="8" t="s">
        <v>1998</v>
      </c>
      <c r="P911" s="4" t="str">
        <f>VLOOKUP($B911,'D7 - NDB Impacted SPRF''s'!$E$16:$O$9929,9,FALSE)</f>
        <v>Y</v>
      </c>
      <c r="Q911" s="4" t="str">
        <f>VLOOKUP($B911,'D7 - NDB Impacted SPRF''s'!$E$16:$O$9929,10,FALSE)</f>
        <v>N</v>
      </c>
      <c r="R911" s="4" t="str">
        <f>VLOOKUP($B911,'D7 - NDB Impacted SPRF''s'!$E$16:$O$9929,11,FALSE)</f>
        <v>N</v>
      </c>
      <c r="S911" s="8"/>
      <c r="T911" s="310"/>
      <c r="U911" s="310"/>
      <c r="V911" s="4"/>
      <c r="W911" s="4"/>
      <c r="X911" s="4"/>
      <c r="Y911" s="4"/>
      <c r="Z911" s="4"/>
      <c r="AA911" s="4"/>
      <c r="AB911" s="380" t="str">
        <f>VLOOKUP($B911,'D7 - NDB Impacted SPRF''s'!$E$16:$O$9929,4,FALSE)</f>
        <v>Completed</v>
      </c>
      <c r="AC911" s="380" t="str">
        <f>VLOOKUP($B911,'D7 - NDB Impacted SPRF''s'!$E$16:$O$9929,3,FALSE)</f>
        <v>UnitedHealthcare Employer &amp; Individual</v>
      </c>
      <c r="AD911" s="380" t="str">
        <f>VLOOKUP($B911,'D7 - NDB Impacted SPRF''s'!$E$16:$O$9929,5,FALSE)</f>
        <v>Medical Cost Savings Programs</v>
      </c>
      <c r="AE911" s="380" t="str">
        <f>VLOOKUP($B911,'D7 - NDB Impacted SPRF''s'!$E$16:$O$9929,7,FALSE)</f>
        <v>Gino Tenance</v>
      </c>
      <c r="AF911" s="380" t="str">
        <f>VLOOKUP($B911,'D7 - NDB Impacted SPRF''s'!$E$16:$O$9929,6,FALSE)</f>
        <v>Mark Duquesnoy</v>
      </c>
      <c r="AG911" s="282"/>
      <c r="AH911" s="311" t="e">
        <f>INDEX('D5 - Gatekeeper - Projects'!$A$4:$AF$1010,$AM911, 17)</f>
        <v>#N/A</v>
      </c>
      <c r="AI911" s="8"/>
      <c r="AJ911" s="57"/>
      <c r="AK911" s="105"/>
      <c r="AM911" s="6" t="e">
        <f>MATCH(D911,'D5 - Gatekeeper - Projects'!$C$4:$C$1010,0)</f>
        <v>#N/A</v>
      </c>
      <c r="AN911" s="6" t="b">
        <f t="shared" si="80"/>
        <v>1</v>
      </c>
      <c r="AO911" s="6" t="str">
        <f t="shared" si="83"/>
        <v>OK</v>
      </c>
      <c r="AQ911" s="6" t="e">
        <f>MATCH($D911,'D4 - Provider Council Unsched'!$C$11:$C$234,0)</f>
        <v>#N/A</v>
      </c>
      <c r="AR911" s="6" t="b">
        <f t="shared" si="81"/>
        <v>1</v>
      </c>
      <c r="AS911" s="6" t="str">
        <f t="shared" si="84"/>
        <v>OK</v>
      </c>
      <c r="AU911" s="202"/>
      <c r="AV911" s="262"/>
      <c r="AW911" s="274"/>
    </row>
    <row r="912" spans="1:49" s="13" customFormat="1" ht="33.75" x14ac:dyDescent="0.2">
      <c r="A912" s="14">
        <v>888</v>
      </c>
      <c r="B912" s="14">
        <v>400013461</v>
      </c>
      <c r="C912" s="8" t="s">
        <v>6724</v>
      </c>
      <c r="D912" s="4" t="str">
        <f t="shared" si="82"/>
        <v>400013461CC07</v>
      </c>
      <c r="E912" s="309" t="str">
        <f>VLOOKUP($B912,'D7 - NDB Impacted SPRF''s'!$E$6:$O$9929,2,FALSE)</f>
        <v>MAHP Provider Directory Long-Term Solution</v>
      </c>
      <c r="F912" s="8" t="s">
        <v>4168</v>
      </c>
      <c r="G912" s="8" t="s">
        <v>4758</v>
      </c>
      <c r="H912" s="8" t="s">
        <v>4246</v>
      </c>
      <c r="I912" s="20">
        <v>11.39</v>
      </c>
      <c r="J912" s="8" t="s">
        <v>4862</v>
      </c>
      <c r="K912" s="182">
        <v>39585</v>
      </c>
      <c r="L912" s="8" t="s">
        <v>5743</v>
      </c>
      <c r="M912" s="8" t="s">
        <v>2814</v>
      </c>
      <c r="N912" s="367"/>
      <c r="O912" s="8" t="s">
        <v>3757</v>
      </c>
      <c r="P912" s="4" t="str">
        <f>VLOOKUP($B912,'D7 - NDB Impacted SPRF''s'!$E$16:$O$9929,9,FALSE)</f>
        <v>N</v>
      </c>
      <c r="Q912" s="4" t="str">
        <f>VLOOKUP($B912,'D7 - NDB Impacted SPRF''s'!$E$16:$O$9929,10,FALSE)</f>
        <v>N</v>
      </c>
      <c r="R912" s="4" t="str">
        <f>VLOOKUP($B912,'D7 - NDB Impacted SPRF''s'!$E$16:$O$9929,11,FALSE)</f>
        <v>N</v>
      </c>
      <c r="S912" s="8"/>
      <c r="T912" s="310"/>
      <c r="U912" s="310"/>
      <c r="V912" s="4"/>
      <c r="W912" s="4"/>
      <c r="X912" s="4"/>
      <c r="Y912" s="4"/>
      <c r="Z912" s="4"/>
      <c r="AA912" s="4"/>
      <c r="AB912" s="380" t="str">
        <f>VLOOKUP($B912,'D7 - NDB Impacted SPRF''s'!$E$16:$O$9929,4,FALSE)</f>
        <v>Completed</v>
      </c>
      <c r="AC912" s="380" t="str">
        <f>VLOOKUP($B912,'D7 - NDB Impacted SPRF''s'!$E$16:$O$9929,3,FALSE)</f>
        <v>UnitedHealthcare Employer &amp; Individual</v>
      </c>
      <c r="AD912" s="380" t="str">
        <f>VLOOKUP($B912,'D7 - NDB Impacted SPRF''s'!$E$16:$O$9929,5,FALSE)</f>
        <v>Integration Requirements</v>
      </c>
      <c r="AE912" s="380" t="str">
        <f>VLOOKUP($B912,'D7 - NDB Impacted SPRF''s'!$E$16:$O$9929,7,FALSE)</f>
        <v>Diane Schofield</v>
      </c>
      <c r="AF912" s="380" t="str">
        <f>VLOOKUP($B912,'D7 - NDB Impacted SPRF''s'!$E$16:$O$9929,6,FALSE)</f>
        <v>SHARION WILTON</v>
      </c>
      <c r="AG912" s="282"/>
      <c r="AH912" s="311" t="e">
        <f>INDEX('D5 - Gatekeeper - Projects'!$A$4:$AF$1010,$AM912, 17)</f>
        <v>#N/A</v>
      </c>
      <c r="AI912" s="8"/>
      <c r="AJ912" s="57"/>
      <c r="AK912" s="105"/>
      <c r="AM912" s="6" t="e">
        <f>MATCH(D912,'D5 - Gatekeeper - Projects'!$C$4:$C$1010,0)</f>
        <v>#N/A</v>
      </c>
      <c r="AN912" s="6" t="b">
        <f t="shared" si="80"/>
        <v>1</v>
      </c>
      <c r="AO912" s="6" t="str">
        <f t="shared" si="83"/>
        <v>OK</v>
      </c>
      <c r="AQ912" s="6" t="e">
        <f>MATCH($D912,'D4 - Provider Council Unsched'!$C$11:$C$234,0)</f>
        <v>#N/A</v>
      </c>
      <c r="AR912" s="6" t="b">
        <f t="shared" si="81"/>
        <v>1</v>
      </c>
      <c r="AS912" s="6" t="str">
        <f t="shared" si="84"/>
        <v>OK</v>
      </c>
      <c r="AU912" s="202"/>
      <c r="AV912" s="262"/>
      <c r="AW912" s="274"/>
    </row>
    <row r="913" spans="1:49" s="13" customFormat="1" ht="33.75" x14ac:dyDescent="0.2">
      <c r="A913" s="14">
        <v>889</v>
      </c>
      <c r="B913" s="14">
        <v>400014653</v>
      </c>
      <c r="C913" s="8" t="s">
        <v>4926</v>
      </c>
      <c r="D913" s="4" t="str">
        <f t="shared" si="82"/>
        <v>400014653R4</v>
      </c>
      <c r="E913" s="309" t="str">
        <f>VLOOKUP($B913,'D7 - NDB Impacted SPRF''s'!$E$6:$O$9929,2,FALSE)</f>
        <v>EPDE Expansion &amp; Supporting Table Conversions</v>
      </c>
      <c r="F913" s="8" t="s">
        <v>4069</v>
      </c>
      <c r="G913" s="8" t="s">
        <v>4758</v>
      </c>
      <c r="H913" s="8" t="s">
        <v>4246</v>
      </c>
      <c r="I913" s="20">
        <v>15.67</v>
      </c>
      <c r="J913" s="8" t="s">
        <v>4862</v>
      </c>
      <c r="K913" s="182">
        <v>39585</v>
      </c>
      <c r="L913" s="8" t="s">
        <v>5743</v>
      </c>
      <c r="M913" s="8" t="s">
        <v>2814</v>
      </c>
      <c r="N913" s="38"/>
      <c r="O913" s="8" t="s">
        <v>7086</v>
      </c>
      <c r="P913" s="4" t="str">
        <f>VLOOKUP($B913,'D7 - NDB Impacted SPRF''s'!$E$16:$O$9929,9,FALSE)</f>
        <v>N</v>
      </c>
      <c r="Q913" s="4" t="str">
        <f>VLOOKUP($B913,'D7 - NDB Impacted SPRF''s'!$E$16:$O$9929,10,FALSE)</f>
        <v>N</v>
      </c>
      <c r="R913" s="4" t="str">
        <f>VLOOKUP($B913,'D7 - NDB Impacted SPRF''s'!$E$16:$O$9929,11,FALSE)</f>
        <v>N</v>
      </c>
      <c r="S913" s="8"/>
      <c r="T913" s="310"/>
      <c r="U913" s="310"/>
      <c r="V913" s="4"/>
      <c r="W913" s="4"/>
      <c r="X913" s="4"/>
      <c r="Y913" s="4"/>
      <c r="Z913" s="4"/>
      <c r="AA913" s="4"/>
      <c r="AB913" s="380" t="str">
        <f>VLOOKUP($B913,'D7 - NDB Impacted SPRF''s'!$E$16:$O$9929,4,FALSE)</f>
        <v>Completed</v>
      </c>
      <c r="AC913" s="380" t="str">
        <f>VLOOKUP($B913,'D7 - NDB Impacted SPRF''s'!$E$16:$O$9929,3,FALSE)</f>
        <v>UnitedHealthcare Employer &amp; Individual</v>
      </c>
      <c r="AD913" s="380" t="str">
        <f>VLOOKUP($B913,'D7 - NDB Impacted SPRF''s'!$E$16:$O$9929,5,FALSE)</f>
        <v>Medical Cost Savings Programs</v>
      </c>
      <c r="AE913" s="380" t="str">
        <f>VLOOKUP($B913,'D7 - NDB Impacted SPRF''s'!$E$16:$O$9929,7,FALSE)</f>
        <v>Tim Kaja</v>
      </c>
      <c r="AF913" s="380" t="str">
        <f>VLOOKUP($B913,'D7 - NDB Impacted SPRF''s'!$E$16:$O$9929,6,FALSE)</f>
        <v>MARCIA MONACO</v>
      </c>
      <c r="AG913" s="282"/>
      <c r="AH913" s="311" t="e">
        <f>INDEX('D5 - Gatekeeper - Projects'!$A$4:$AF$1010,$AM913, 17)</f>
        <v>#N/A</v>
      </c>
      <c r="AI913" s="8"/>
      <c r="AJ913" s="57"/>
      <c r="AK913" s="105"/>
      <c r="AM913" s="6" t="e">
        <f>MATCH(D913,'D5 - Gatekeeper - Projects'!$C$4:$C$1010,0)</f>
        <v>#N/A</v>
      </c>
      <c r="AN913" s="6" t="b">
        <f t="shared" ref="AN913:AN976" si="85">ISERROR(AM913)</f>
        <v>1</v>
      </c>
      <c r="AO913" s="6" t="str">
        <f t="shared" si="83"/>
        <v>OK</v>
      </c>
      <c r="AQ913" s="6" t="e">
        <f>MATCH($D913,'D4 - Provider Council Unsched'!$C$11:$C$234,0)</f>
        <v>#N/A</v>
      </c>
      <c r="AR913" s="6" t="b">
        <f t="shared" ref="AR913:AR976" si="86">ISERROR(AQ913)</f>
        <v>1</v>
      </c>
      <c r="AS913" s="6" t="str">
        <f t="shared" si="84"/>
        <v>OK</v>
      </c>
      <c r="AU913" s="202"/>
      <c r="AV913" s="262"/>
      <c r="AW913" s="274"/>
    </row>
    <row r="914" spans="1:49" s="13" customFormat="1" ht="33.75" x14ac:dyDescent="0.2">
      <c r="A914" s="14">
        <v>890</v>
      </c>
      <c r="B914" s="14">
        <v>400015073</v>
      </c>
      <c r="C914" s="8" t="s">
        <v>5197</v>
      </c>
      <c r="D914" s="4" t="str">
        <f t="shared" ref="D914:D977" si="87">CONCATENATE(B914,C914)</f>
        <v>400015073R1</v>
      </c>
      <c r="E914" s="309" t="str">
        <f>VLOOKUP($B914,'D7 - NDB Impacted SPRF''s'!$E$6:$O$9929,2,FALSE)</f>
        <v>Add APC Information to Portal Claim Status Display</v>
      </c>
      <c r="F914" s="8" t="s">
        <v>7106</v>
      </c>
      <c r="G914" s="8" t="s">
        <v>4758</v>
      </c>
      <c r="H914" s="8" t="s">
        <v>4246</v>
      </c>
      <c r="I914" s="20">
        <v>1.07</v>
      </c>
      <c r="J914" s="8" t="s">
        <v>4862</v>
      </c>
      <c r="K914" s="182">
        <v>39585</v>
      </c>
      <c r="L914" s="8" t="s">
        <v>5743</v>
      </c>
      <c r="M914" s="8" t="s">
        <v>5626</v>
      </c>
      <c r="N914" s="38"/>
      <c r="O914" s="8" t="s">
        <v>2000</v>
      </c>
      <c r="P914" s="4" t="str">
        <f>VLOOKUP($B914,'D7 - NDB Impacted SPRF''s'!$E$16:$O$9929,9,FALSE)</f>
        <v>Y</v>
      </c>
      <c r="Q914" s="4" t="str">
        <f>VLOOKUP($B914,'D7 - NDB Impacted SPRF''s'!$E$16:$O$9929,10,FALSE)</f>
        <v>N</v>
      </c>
      <c r="R914" s="4" t="str">
        <f>VLOOKUP($B914,'D7 - NDB Impacted SPRF''s'!$E$16:$O$9929,11,FALSE)</f>
        <v>N</v>
      </c>
      <c r="S914" s="8"/>
      <c r="T914" s="310"/>
      <c r="U914" s="310"/>
      <c r="V914" s="4"/>
      <c r="W914" s="4"/>
      <c r="X914" s="4"/>
      <c r="Y914" s="4"/>
      <c r="Z914" s="4"/>
      <c r="AA914" s="4"/>
      <c r="AB914" s="380" t="str">
        <f>VLOOKUP($B914,'D7 - NDB Impacted SPRF''s'!$E$16:$O$9929,4,FALSE)</f>
        <v>Completed</v>
      </c>
      <c r="AC914" s="380" t="str">
        <f>VLOOKUP($B914,'D7 - NDB Impacted SPRF''s'!$E$16:$O$9929,3,FALSE)</f>
        <v>UnitedHealthcare Employer &amp; Individual</v>
      </c>
      <c r="AD914" s="380" t="str">
        <f>VLOOKUP($B914,'D7 - NDB Impacted SPRF''s'!$E$16:$O$9929,5,FALSE)</f>
        <v>Medical Cost Savings Programs</v>
      </c>
      <c r="AE914" s="380" t="str">
        <f>VLOOKUP($B914,'D7 - NDB Impacted SPRF''s'!$E$16:$O$9929,7,FALSE)</f>
        <v>Steven Mueller</v>
      </c>
      <c r="AF914" s="380" t="str">
        <f>VLOOKUP($B914,'D7 - NDB Impacted SPRF''s'!$E$16:$O$9929,6,FALSE)</f>
        <v>JEFFREY HUXLEY</v>
      </c>
      <c r="AG914" s="282"/>
      <c r="AH914" s="311" t="e">
        <f>INDEX('D5 - Gatekeeper - Projects'!$A$4:$AF$1010,$AM914, 17)</f>
        <v>#N/A</v>
      </c>
      <c r="AI914" s="8"/>
      <c r="AJ914" s="57"/>
      <c r="AK914" s="105"/>
      <c r="AM914" s="6" t="e">
        <f>MATCH(D914,'D5 - Gatekeeper - Projects'!$C$4:$C$1010,0)</f>
        <v>#N/A</v>
      </c>
      <c r="AN914" s="6" t="b">
        <f t="shared" si="85"/>
        <v>1</v>
      </c>
      <c r="AO914" s="6" t="str">
        <f t="shared" ref="AO914:AO977" si="88">IF(AND(H914="1 - Scheduled",AN914=TRUE),"Add","OK")</f>
        <v>OK</v>
      </c>
      <c r="AQ914" s="6" t="e">
        <f>MATCH($D914,'D4 - Provider Council Unsched'!$C$11:$C$234,0)</f>
        <v>#N/A</v>
      </c>
      <c r="AR914" s="6" t="b">
        <f t="shared" si="86"/>
        <v>1</v>
      </c>
      <c r="AS914" s="6" t="str">
        <f t="shared" si="84"/>
        <v>OK</v>
      </c>
      <c r="AU914" s="202"/>
      <c r="AV914" s="262"/>
      <c r="AW914" s="274"/>
    </row>
    <row r="915" spans="1:49" s="13" customFormat="1" ht="33.75" x14ac:dyDescent="0.2">
      <c r="A915" s="14">
        <v>891</v>
      </c>
      <c r="B915" s="14">
        <v>400016578</v>
      </c>
      <c r="C915" s="8" t="s">
        <v>6553</v>
      </c>
      <c r="D915" s="4" t="str">
        <f t="shared" si="87"/>
        <v>400016578R9</v>
      </c>
      <c r="E915" s="309" t="str">
        <f>VLOOKUP($B915,'D7 - NDB Impacted SPRF''s'!$E$6:$O$9929,2,FALSE)</f>
        <v>Detailed Tuning Recommendations</v>
      </c>
      <c r="F915" s="8" t="s">
        <v>8133</v>
      </c>
      <c r="G915" s="8" t="s">
        <v>4758</v>
      </c>
      <c r="H915" s="8" t="s">
        <v>4246</v>
      </c>
      <c r="I915" s="20">
        <v>2</v>
      </c>
      <c r="J915" s="8" t="s">
        <v>4862</v>
      </c>
      <c r="K915" s="182">
        <v>39585</v>
      </c>
      <c r="L915" s="8" t="s">
        <v>5743</v>
      </c>
      <c r="M915" s="8" t="s">
        <v>4450</v>
      </c>
      <c r="N915" s="38"/>
      <c r="O915" s="8" t="s">
        <v>7299</v>
      </c>
      <c r="P915" s="4" t="str">
        <f>VLOOKUP($B915,'D7 - NDB Impacted SPRF''s'!$E$16:$O$9929,9,FALSE)</f>
        <v>Y</v>
      </c>
      <c r="Q915" s="4" t="str">
        <f>VLOOKUP($B915,'D7 - NDB Impacted SPRF''s'!$E$16:$O$9929,10,FALSE)</f>
        <v>N</v>
      </c>
      <c r="R915" s="4" t="str">
        <f>VLOOKUP($B915,'D7 - NDB Impacted SPRF''s'!$E$16:$O$9929,11,FALSE)</f>
        <v>N</v>
      </c>
      <c r="S915" s="8"/>
      <c r="T915" s="310"/>
      <c r="U915" s="310"/>
      <c r="V915" s="4"/>
      <c r="W915" s="4"/>
      <c r="X915" s="4"/>
      <c r="Y915" s="4"/>
      <c r="Z915" s="4"/>
      <c r="AA915" s="4"/>
      <c r="AB915" s="380" t="str">
        <f>VLOOKUP($B915,'D7 - NDB Impacted SPRF''s'!$E$16:$O$9929,4,FALSE)</f>
        <v>Completed</v>
      </c>
      <c r="AC915" s="380" t="str">
        <f>VLOOKUP($B915,'D7 - NDB Impacted SPRF''s'!$E$16:$O$9929,3,FALSE)</f>
        <v>UHG IT - Application Services Group</v>
      </c>
      <c r="AD915" s="380" t="str">
        <f>VLOOKUP($B915,'D7 - NDB Impacted SPRF''s'!$E$16:$O$9929,5,FALSE)</f>
        <v>ASG</v>
      </c>
      <c r="AE915" s="380" t="str">
        <f>VLOOKUP($B915,'D7 - NDB Impacted SPRF''s'!$E$16:$O$9929,7,FALSE)</f>
        <v>Jeff Hanas</v>
      </c>
      <c r="AF915" s="380" t="str">
        <f>VLOOKUP($B915,'D7 - NDB Impacted SPRF''s'!$E$16:$O$9929,6,FALSE)</f>
        <v>Jeffrey Jablonski</v>
      </c>
      <c r="AG915" s="282"/>
      <c r="AH915" s="311" t="e">
        <f>INDEX('D5 - Gatekeeper - Projects'!$A$4:$AF$1010,$AM915, 17)</f>
        <v>#N/A</v>
      </c>
      <c r="AI915" s="8"/>
      <c r="AJ915" s="57"/>
      <c r="AK915" s="105"/>
      <c r="AM915" s="6" t="e">
        <f>MATCH(D915,'D5 - Gatekeeper - Projects'!$C$4:$C$1010,0)</f>
        <v>#N/A</v>
      </c>
      <c r="AN915" s="6" t="b">
        <f t="shared" si="85"/>
        <v>1</v>
      </c>
      <c r="AO915" s="6" t="str">
        <f t="shared" si="88"/>
        <v>OK</v>
      </c>
      <c r="AQ915" s="6" t="e">
        <f>MATCH($D915,'D4 - Provider Council Unsched'!$C$11:$C$234,0)</f>
        <v>#N/A</v>
      </c>
      <c r="AR915" s="6" t="b">
        <f t="shared" si="86"/>
        <v>1</v>
      </c>
      <c r="AS915" s="6" t="str">
        <f t="shared" si="84"/>
        <v>OK</v>
      </c>
      <c r="AU915" s="202"/>
      <c r="AV915" s="262"/>
      <c r="AW915" s="274"/>
    </row>
    <row r="916" spans="1:49" s="13" customFormat="1" ht="33.75" x14ac:dyDescent="0.2">
      <c r="A916" s="14">
        <v>892</v>
      </c>
      <c r="B916" s="14">
        <v>400018977</v>
      </c>
      <c r="C916" s="8" t="s">
        <v>5197</v>
      </c>
      <c r="D916" s="4" t="str">
        <f t="shared" si="87"/>
        <v>400018977R1</v>
      </c>
      <c r="E916" s="309" t="str">
        <f>VLOOKUP($B916,'D7 - NDB Impacted SPRF''s'!$E$6:$O$9929,2,FALSE)</f>
        <v xml:space="preserve">GHMO-Automate QL, Take in POS Zip, Id Lab/Rad </v>
      </c>
      <c r="F916" s="8" t="s">
        <v>5752</v>
      </c>
      <c r="G916" s="8" t="s">
        <v>4758</v>
      </c>
      <c r="H916" s="8" t="s">
        <v>4246</v>
      </c>
      <c r="I916" s="20">
        <v>1.0900000000000001</v>
      </c>
      <c r="J916" s="8" t="s">
        <v>4862</v>
      </c>
      <c r="K916" s="182">
        <v>39585</v>
      </c>
      <c r="L916" s="8" t="s">
        <v>5743</v>
      </c>
      <c r="M916" s="8" t="s">
        <v>5626</v>
      </c>
      <c r="N916" s="38" t="s">
        <v>7420</v>
      </c>
      <c r="O916" s="8" t="s">
        <v>2000</v>
      </c>
      <c r="P916" s="4" t="str">
        <f>VLOOKUP($B916,'D7 - NDB Impacted SPRF''s'!$E$16:$O$9929,9,FALSE)</f>
        <v>Y</v>
      </c>
      <c r="Q916" s="4" t="str">
        <f>VLOOKUP($B916,'D7 - NDB Impacted SPRF''s'!$E$16:$O$9929,10,FALSE)</f>
        <v>N</v>
      </c>
      <c r="R916" s="4" t="str">
        <f>VLOOKUP($B916,'D7 - NDB Impacted SPRF''s'!$E$16:$O$9929,11,FALSE)</f>
        <v>N</v>
      </c>
      <c r="S916" s="8"/>
      <c r="T916" s="310"/>
      <c r="U916" s="310"/>
      <c r="V916" s="4"/>
      <c r="W916" s="4"/>
      <c r="X916" s="4"/>
      <c r="Y916" s="4"/>
      <c r="Z916" s="4"/>
      <c r="AA916" s="4"/>
      <c r="AB916" s="380" t="str">
        <f>VLOOKUP($B916,'D7 - NDB Impacted SPRF''s'!$E$16:$O$9929,4,FALSE)</f>
        <v>Completed</v>
      </c>
      <c r="AC916" s="380" t="str">
        <f>VLOOKUP($B916,'D7 - NDB Impacted SPRF''s'!$E$16:$O$9929,3,FALSE)</f>
        <v>UnitedHealthcare Employer &amp; Individual</v>
      </c>
      <c r="AD916" s="380" t="str">
        <f>VLOOKUP($B916,'D7 - NDB Impacted SPRF''s'!$E$16:$O$9929,5,FALSE)</f>
        <v>Integration Requirements</v>
      </c>
      <c r="AE916" s="380" t="str">
        <f>VLOOKUP($B916,'D7 - NDB Impacted SPRF''s'!$E$16:$O$9929,7,FALSE)</f>
        <v>Diane Schofield</v>
      </c>
      <c r="AF916" s="380" t="str">
        <f>VLOOKUP($B916,'D7 - NDB Impacted SPRF''s'!$E$16:$O$9929,6,FALSE)</f>
        <v>SUSAN TONKIN</v>
      </c>
      <c r="AG916" s="282"/>
      <c r="AH916" s="311" t="e">
        <f>INDEX('D5 - Gatekeeper - Projects'!$A$4:$AF$1010,$AM916, 17)</f>
        <v>#N/A</v>
      </c>
      <c r="AI916" s="8"/>
      <c r="AJ916" s="57"/>
      <c r="AK916" s="105"/>
      <c r="AM916" s="6" t="e">
        <f>MATCH(D916,'D5 - Gatekeeper - Projects'!$C$4:$C$1010,0)</f>
        <v>#N/A</v>
      </c>
      <c r="AN916" s="6" t="b">
        <f t="shared" si="85"/>
        <v>1</v>
      </c>
      <c r="AO916" s="6" t="str">
        <f t="shared" si="88"/>
        <v>OK</v>
      </c>
      <c r="AQ916" s="6" t="e">
        <f>MATCH($D916,'D4 - Provider Council Unsched'!$C$11:$C$234,0)</f>
        <v>#N/A</v>
      </c>
      <c r="AR916" s="6" t="b">
        <f t="shared" si="86"/>
        <v>1</v>
      </c>
      <c r="AS916" s="6" t="str">
        <f t="shared" si="84"/>
        <v>OK</v>
      </c>
      <c r="AU916" s="202"/>
      <c r="AV916" s="262"/>
      <c r="AW916" s="274"/>
    </row>
    <row r="917" spans="1:49" s="13" customFormat="1" ht="33.75" x14ac:dyDescent="0.2">
      <c r="A917" s="14">
        <v>893</v>
      </c>
      <c r="B917" s="14">
        <v>400019600</v>
      </c>
      <c r="C917" s="8" t="s">
        <v>5197</v>
      </c>
      <c r="D917" s="4" t="str">
        <f t="shared" si="87"/>
        <v>400019600R1</v>
      </c>
      <c r="E917" s="309" t="str">
        <f>VLOOKUP($B917,'D7 - NDB Impacted SPRF''s'!$E$6:$O$9929,2,FALSE)</f>
        <v>PHS Work Package 1 Release 1 - Install and Admin</v>
      </c>
      <c r="F917" s="8" t="s">
        <v>4384</v>
      </c>
      <c r="G917" s="8" t="s">
        <v>4758</v>
      </c>
      <c r="H917" s="8" t="s">
        <v>4246</v>
      </c>
      <c r="I917" s="20">
        <v>125</v>
      </c>
      <c r="J917" s="8" t="s">
        <v>4862</v>
      </c>
      <c r="K917" s="182">
        <v>39585</v>
      </c>
      <c r="L917" s="8" t="s">
        <v>5743</v>
      </c>
      <c r="M917" s="8" t="s">
        <v>2814</v>
      </c>
      <c r="N917" s="38"/>
      <c r="O917" s="8" t="s">
        <v>2547</v>
      </c>
      <c r="P917" s="4" t="str">
        <f>VLOOKUP($B917,'D7 - NDB Impacted SPRF''s'!$E$16:$O$9929,9,FALSE)</f>
        <v>Y</v>
      </c>
      <c r="Q917" s="4" t="str">
        <f>VLOOKUP($B917,'D7 - NDB Impacted SPRF''s'!$E$16:$O$9929,10,FALSE)</f>
        <v>N</v>
      </c>
      <c r="R917" s="4" t="str">
        <f>VLOOKUP($B917,'D7 - NDB Impacted SPRF''s'!$E$16:$O$9929,11,FALSE)</f>
        <v>N</v>
      </c>
      <c r="S917" s="8"/>
      <c r="T917" s="310"/>
      <c r="U917" s="310"/>
      <c r="V917" s="4"/>
      <c r="W917" s="4"/>
      <c r="X917" s="4"/>
      <c r="Y917" s="4"/>
      <c r="Z917" s="4"/>
      <c r="AA917" s="4"/>
      <c r="AB917" s="380" t="str">
        <f>VLOOKUP($B917,'D7 - NDB Impacted SPRF''s'!$E$16:$O$9929,4,FALSE)</f>
        <v>Completed</v>
      </c>
      <c r="AC917" s="380" t="str">
        <f>VLOOKUP($B917,'D7 - NDB Impacted SPRF''s'!$E$16:$O$9929,3,FALSE)</f>
        <v>UnitedHealthcare Employer &amp; Individual</v>
      </c>
      <c r="AD917" s="380" t="str">
        <f>VLOOKUP($B917,'D7 - NDB Impacted SPRF''s'!$E$16:$O$9929,5,FALSE)</f>
        <v>Integration Requirements</v>
      </c>
      <c r="AE917" s="380" t="str">
        <f>VLOOKUP($B917,'D7 - NDB Impacted SPRF''s'!$E$16:$O$9929,7,FALSE)</f>
        <v>Diane Schofield</v>
      </c>
      <c r="AF917" s="380" t="str">
        <f>VLOOKUP($B917,'D7 - NDB Impacted SPRF''s'!$E$16:$O$9929,6,FALSE)</f>
        <v>Rebecca Gent</v>
      </c>
      <c r="AG917" s="282"/>
      <c r="AH917" s="311" t="e">
        <f>INDEX('D5 - Gatekeeper - Projects'!$A$4:$AF$1010,$AM917, 17)</f>
        <v>#N/A</v>
      </c>
      <c r="AI917" s="8"/>
      <c r="AJ917" s="57"/>
      <c r="AK917" s="105"/>
      <c r="AM917" s="6" t="e">
        <f>MATCH(D917,'D5 - Gatekeeper - Projects'!$C$4:$C$1010,0)</f>
        <v>#N/A</v>
      </c>
      <c r="AN917" s="6" t="b">
        <f t="shared" si="85"/>
        <v>1</v>
      </c>
      <c r="AO917" s="6" t="str">
        <f t="shared" si="88"/>
        <v>OK</v>
      </c>
      <c r="AQ917" s="6" t="e">
        <f>MATCH($D917,'D4 - Provider Council Unsched'!$C$11:$C$234,0)</f>
        <v>#N/A</v>
      </c>
      <c r="AR917" s="6" t="b">
        <f t="shared" si="86"/>
        <v>1</v>
      </c>
      <c r="AS917" s="6" t="str">
        <f t="shared" si="84"/>
        <v>OK</v>
      </c>
      <c r="AU917" s="202"/>
      <c r="AV917" s="262"/>
      <c r="AW917" s="274"/>
    </row>
    <row r="918" spans="1:49" s="13" customFormat="1" ht="33.75" x14ac:dyDescent="0.2">
      <c r="A918" s="14">
        <v>894</v>
      </c>
      <c r="B918" s="14">
        <v>400019720</v>
      </c>
      <c r="C918" s="8" t="s">
        <v>3763</v>
      </c>
      <c r="D918" s="4" t="str">
        <f t="shared" si="87"/>
        <v>400019720R2</v>
      </c>
      <c r="E918" s="309" t="str">
        <f>VLOOKUP($B918,'D7 - NDB Impacted SPRF''s'!$E$6:$O$9929,2,FALSE)</f>
        <v>Regression Automation Architecture and Scripts</v>
      </c>
      <c r="F918" s="8" t="s">
        <v>2114</v>
      </c>
      <c r="G918" s="8" t="s">
        <v>4758</v>
      </c>
      <c r="H918" s="8" t="s">
        <v>4246</v>
      </c>
      <c r="I918" s="20">
        <v>18</v>
      </c>
      <c r="J918" s="8" t="s">
        <v>4862</v>
      </c>
      <c r="K918" s="182">
        <v>39585</v>
      </c>
      <c r="L918" s="8" t="s">
        <v>5743</v>
      </c>
      <c r="M918" s="8" t="s">
        <v>2814</v>
      </c>
      <c r="N918" s="38" t="s">
        <v>6242</v>
      </c>
      <c r="O918" s="8" t="s">
        <v>2000</v>
      </c>
      <c r="P918" s="4" t="str">
        <f>VLOOKUP($B918,'D7 - NDB Impacted SPRF''s'!$E$16:$O$9929,9,FALSE)</f>
        <v>Y</v>
      </c>
      <c r="Q918" s="4" t="str">
        <f>VLOOKUP($B918,'D7 - NDB Impacted SPRF''s'!$E$16:$O$9929,10,FALSE)</f>
        <v>N</v>
      </c>
      <c r="R918" s="4" t="str">
        <f>VLOOKUP($B918,'D7 - NDB Impacted SPRF''s'!$E$16:$O$9929,11,FALSE)</f>
        <v>N</v>
      </c>
      <c r="S918" s="8"/>
      <c r="T918" s="310"/>
      <c r="U918" s="310"/>
      <c r="V918" s="4"/>
      <c r="W918" s="4"/>
      <c r="X918" s="4"/>
      <c r="Y918" s="4"/>
      <c r="Z918" s="4"/>
      <c r="AA918" s="4"/>
      <c r="AB918" s="380" t="str">
        <f>VLOOKUP($B918,'D7 - NDB Impacted SPRF''s'!$E$16:$O$9929,4,FALSE)</f>
        <v>Completed</v>
      </c>
      <c r="AC918" s="380" t="str">
        <f>VLOOKUP($B918,'D7 - NDB Impacted SPRF''s'!$E$16:$O$9929,3,FALSE)</f>
        <v>UHG IT - Application Services Group</v>
      </c>
      <c r="AD918" s="380" t="str">
        <f>VLOOKUP($B918,'D7 - NDB Impacted SPRF''s'!$E$16:$O$9929,5,FALSE)</f>
        <v>ASG</v>
      </c>
      <c r="AE918" s="380" t="str">
        <f>VLOOKUP($B918,'D7 - NDB Impacted SPRF''s'!$E$16:$O$9929,7,FALSE)</f>
        <v>Bob Preston</v>
      </c>
      <c r="AF918" s="380" t="str">
        <f>VLOOKUP($B918,'D7 - NDB Impacted SPRF''s'!$E$16:$O$9929,6,FALSE)</f>
        <v>CURT SCHROEDERS</v>
      </c>
      <c r="AG918" s="282"/>
      <c r="AH918" s="311" t="e">
        <f>INDEX('D5 - Gatekeeper - Projects'!$A$4:$AF$1010,$AM918, 17)</f>
        <v>#N/A</v>
      </c>
      <c r="AI918" s="8"/>
      <c r="AJ918" s="57"/>
      <c r="AK918" s="105"/>
      <c r="AM918" s="6" t="e">
        <f>MATCH(D918,'D5 - Gatekeeper - Projects'!$C$4:$C$1010,0)</f>
        <v>#N/A</v>
      </c>
      <c r="AN918" s="6" t="b">
        <f t="shared" si="85"/>
        <v>1</v>
      </c>
      <c r="AO918" s="6" t="str">
        <f t="shared" si="88"/>
        <v>OK</v>
      </c>
      <c r="AQ918" s="6" t="e">
        <f>MATCH($D918,'D4 - Provider Council Unsched'!$C$11:$C$234,0)</f>
        <v>#N/A</v>
      </c>
      <c r="AR918" s="6" t="b">
        <f t="shared" si="86"/>
        <v>1</v>
      </c>
      <c r="AS918" s="6" t="str">
        <f t="shared" si="84"/>
        <v>OK</v>
      </c>
      <c r="AU918" s="202"/>
      <c r="AV918" s="262"/>
      <c r="AW918" s="274"/>
    </row>
    <row r="919" spans="1:49" s="13" customFormat="1" ht="33.75" x14ac:dyDescent="0.2">
      <c r="A919" s="14">
        <v>895</v>
      </c>
      <c r="B919" s="14">
        <v>400019899</v>
      </c>
      <c r="C919" s="8" t="s">
        <v>5197</v>
      </c>
      <c r="D919" s="4" t="str">
        <f t="shared" si="87"/>
        <v>400019899R1</v>
      </c>
      <c r="E919" s="309" t="str">
        <f>VLOOKUP($B919,'D7 - NDB Impacted SPRF''s'!$E$6:$O$9929,2,FALSE)</f>
        <v>EPDE for Radiology Notification (CCN)</v>
      </c>
      <c r="F919" s="8" t="s">
        <v>5188</v>
      </c>
      <c r="G919" s="8" t="s">
        <v>4758</v>
      </c>
      <c r="H919" s="8" t="s">
        <v>4246</v>
      </c>
      <c r="I919" s="20">
        <v>1.07</v>
      </c>
      <c r="J919" s="8" t="s">
        <v>4862</v>
      </c>
      <c r="K919" s="182">
        <v>39585</v>
      </c>
      <c r="L919" s="8" t="s">
        <v>5743</v>
      </c>
      <c r="M919" s="8" t="s">
        <v>5626</v>
      </c>
      <c r="N919" s="38" t="s">
        <v>6292</v>
      </c>
      <c r="O919" s="8" t="s">
        <v>4094</v>
      </c>
      <c r="P919" s="4" t="str">
        <f>VLOOKUP($B919,'D7 - NDB Impacted SPRF''s'!$E$16:$O$9929,9,FALSE)</f>
        <v>N</v>
      </c>
      <c r="Q919" s="4" t="str">
        <f>VLOOKUP($B919,'D7 - NDB Impacted SPRF''s'!$E$16:$O$9929,10,FALSE)</f>
        <v>N</v>
      </c>
      <c r="R919" s="4" t="str">
        <f>VLOOKUP($B919,'D7 - NDB Impacted SPRF''s'!$E$16:$O$9929,11,FALSE)</f>
        <v>N</v>
      </c>
      <c r="S919" s="8"/>
      <c r="T919" s="310"/>
      <c r="U919" s="310"/>
      <c r="V919" s="4"/>
      <c r="W919" s="4"/>
      <c r="X919" s="4"/>
      <c r="Y919" s="4"/>
      <c r="Z919" s="4"/>
      <c r="AA919" s="4"/>
      <c r="AB919" s="380" t="str">
        <f>VLOOKUP($B919,'D7 - NDB Impacted SPRF''s'!$E$16:$O$9929,4,FALSE)</f>
        <v>Completed</v>
      </c>
      <c r="AC919" s="380" t="str">
        <f>VLOOKUP($B919,'D7 - NDB Impacted SPRF''s'!$E$16:$O$9929,3,FALSE)</f>
        <v>UnitedHealthcare Employer &amp; Individual</v>
      </c>
      <c r="AD919" s="380" t="str">
        <f>VLOOKUP($B919,'D7 - NDB Impacted SPRF''s'!$E$16:$O$9929,5,FALSE)</f>
        <v>Medical Cost Savings Programs</v>
      </c>
      <c r="AE919" s="380" t="str">
        <f>VLOOKUP($B919,'D7 - NDB Impacted SPRF''s'!$E$16:$O$9929,7,FALSE)</f>
        <v>Laurie Paidosh</v>
      </c>
      <c r="AF919" s="380" t="str">
        <f>VLOOKUP($B919,'D7 - NDB Impacted SPRF''s'!$E$16:$O$9929,6,FALSE)</f>
        <v>Steven Schweigert</v>
      </c>
      <c r="AG919" s="282"/>
      <c r="AH919" s="311" t="e">
        <f>INDEX('D5 - Gatekeeper - Projects'!$A$4:$AF$1010,$AM919, 17)</f>
        <v>#N/A</v>
      </c>
      <c r="AI919" s="8"/>
      <c r="AJ919" s="57"/>
      <c r="AK919" s="105"/>
      <c r="AM919" s="6" t="e">
        <f>MATCH(D919,'D5 - Gatekeeper - Projects'!$C$4:$C$1010,0)</f>
        <v>#N/A</v>
      </c>
      <c r="AN919" s="6" t="b">
        <f t="shared" si="85"/>
        <v>1</v>
      </c>
      <c r="AO919" s="6" t="str">
        <f t="shared" si="88"/>
        <v>OK</v>
      </c>
      <c r="AQ919" s="6" t="e">
        <f>MATCH($D919,'D4 - Provider Council Unsched'!$C$11:$C$234,0)</f>
        <v>#N/A</v>
      </c>
      <c r="AR919" s="6" t="b">
        <f t="shared" si="86"/>
        <v>1</v>
      </c>
      <c r="AS919" s="6" t="str">
        <f t="shared" si="84"/>
        <v>OK</v>
      </c>
      <c r="AU919" s="202"/>
      <c r="AV919" s="262"/>
      <c r="AW919" s="274"/>
    </row>
    <row r="920" spans="1:49" s="13" customFormat="1" ht="33.75" x14ac:dyDescent="0.2">
      <c r="A920" s="14">
        <v>896</v>
      </c>
      <c r="B920" s="14">
        <v>400020077</v>
      </c>
      <c r="C920" s="8" t="s">
        <v>5197</v>
      </c>
      <c r="D920" s="4" t="str">
        <f t="shared" si="87"/>
        <v>400020077R1</v>
      </c>
      <c r="E920" s="309" t="str">
        <f>VLOOKUP($B920,'D7 - NDB Impacted SPRF''s'!$E$6:$O$9929,2,FALSE)</f>
        <v>iCES May 2008 Maintenance Release</v>
      </c>
      <c r="F920" s="8" t="s">
        <v>4471</v>
      </c>
      <c r="G920" s="8" t="s">
        <v>4758</v>
      </c>
      <c r="H920" s="8" t="s">
        <v>4246</v>
      </c>
      <c r="I920" s="20">
        <v>0.53</v>
      </c>
      <c r="J920" s="8" t="s">
        <v>4862</v>
      </c>
      <c r="K920" s="182">
        <v>39585</v>
      </c>
      <c r="L920" s="8" t="s">
        <v>5743</v>
      </c>
      <c r="M920" s="8" t="s">
        <v>5626</v>
      </c>
      <c r="N920" s="38"/>
      <c r="O920" s="8" t="s">
        <v>2000</v>
      </c>
      <c r="P920" s="4" t="str">
        <f>VLOOKUP($B920,'D7 - NDB Impacted SPRF''s'!$E$16:$O$9929,9,FALSE)</f>
        <v>Y</v>
      </c>
      <c r="Q920" s="4" t="str">
        <f>VLOOKUP($B920,'D7 - NDB Impacted SPRF''s'!$E$16:$O$9929,10,FALSE)</f>
        <v>N</v>
      </c>
      <c r="R920" s="4" t="str">
        <f>VLOOKUP($B920,'D7 - NDB Impacted SPRF''s'!$E$16:$O$9929,11,FALSE)</f>
        <v>Y</v>
      </c>
      <c r="S920" s="8"/>
      <c r="T920" s="310"/>
      <c r="U920" s="310"/>
      <c r="V920" s="4"/>
      <c r="W920" s="4"/>
      <c r="X920" s="4"/>
      <c r="Y920" s="4"/>
      <c r="Z920" s="4"/>
      <c r="AA920" s="4"/>
      <c r="AB920" s="380" t="str">
        <f>VLOOKUP($B920,'D7 - NDB Impacted SPRF''s'!$E$16:$O$9929,4,FALSE)</f>
        <v>Completed</v>
      </c>
      <c r="AC920" s="380" t="str">
        <f>VLOOKUP($B920,'D7 - NDB Impacted SPRF''s'!$E$16:$O$9929,3,FALSE)</f>
        <v>UnitedHealthcare Employer &amp; Individual</v>
      </c>
      <c r="AD920" s="380" t="str">
        <f>VLOOKUP($B920,'D7 - NDB Impacted SPRF''s'!$E$16:$O$9929,5,FALSE)</f>
        <v>Operational Requirements</v>
      </c>
      <c r="AE920" s="380" t="str">
        <f>VLOOKUP($B920,'D7 - NDB Impacted SPRF''s'!$E$16:$O$9929,7,FALSE)</f>
        <v>Sally Verrilli</v>
      </c>
      <c r="AF920" s="380" t="str">
        <f>VLOOKUP($B920,'D7 - NDB Impacted SPRF''s'!$E$16:$O$9929,6,FALSE)</f>
        <v>KATHRYN LEARST</v>
      </c>
      <c r="AG920" s="282"/>
      <c r="AH920" s="311" t="e">
        <f>INDEX('D5 - Gatekeeper - Projects'!$A$4:$AF$1010,$AM920, 17)</f>
        <v>#N/A</v>
      </c>
      <c r="AI920" s="8"/>
      <c r="AJ920" s="57"/>
      <c r="AK920" s="105"/>
      <c r="AM920" s="6" t="e">
        <f>MATCH(D920,'D5 - Gatekeeper - Projects'!$C$4:$C$1010,0)</f>
        <v>#N/A</v>
      </c>
      <c r="AN920" s="6" t="b">
        <f t="shared" si="85"/>
        <v>1</v>
      </c>
      <c r="AO920" s="6" t="str">
        <f t="shared" si="88"/>
        <v>OK</v>
      </c>
      <c r="AQ920" s="6" t="e">
        <f>MATCH($D920,'D4 - Provider Council Unsched'!$C$11:$C$234,0)</f>
        <v>#N/A</v>
      </c>
      <c r="AR920" s="6" t="b">
        <f t="shared" si="86"/>
        <v>1</v>
      </c>
      <c r="AS920" s="6" t="str">
        <f t="shared" si="84"/>
        <v>OK</v>
      </c>
      <c r="AU920" s="202"/>
      <c r="AV920" s="262"/>
      <c r="AW920" s="274"/>
    </row>
    <row r="921" spans="1:49" s="13" customFormat="1" ht="33.75" x14ac:dyDescent="0.2">
      <c r="A921" s="14">
        <v>897</v>
      </c>
      <c r="B921" s="14">
        <v>400020097</v>
      </c>
      <c r="C921" s="8" t="s">
        <v>6726</v>
      </c>
      <c r="D921" s="4" t="str">
        <f t="shared" si="87"/>
        <v>400020097CC06</v>
      </c>
      <c r="E921" s="309" t="str">
        <f>VLOOKUP($B921,'D7 - NDB Impacted SPRF''s'!$E$6:$O$9929,2,FALSE)</f>
        <v>DDS Final Reconciliation Feeds to Source Apps</v>
      </c>
      <c r="F921" s="8" t="s">
        <v>5196</v>
      </c>
      <c r="G921" s="8" t="s">
        <v>4758</v>
      </c>
      <c r="H921" s="8" t="s">
        <v>4246</v>
      </c>
      <c r="I921" s="20">
        <v>16.989999999999998</v>
      </c>
      <c r="J921" s="8" t="s">
        <v>4862</v>
      </c>
      <c r="K921" s="182">
        <v>39585</v>
      </c>
      <c r="L921" s="8" t="s">
        <v>5743</v>
      </c>
      <c r="M921" s="8" t="s">
        <v>2814</v>
      </c>
      <c r="N921" s="38"/>
      <c r="O921" s="8" t="s">
        <v>7086</v>
      </c>
      <c r="P921" s="4" t="str">
        <f>VLOOKUP($B921,'D7 - NDB Impacted SPRF''s'!$E$16:$O$9929,9,FALSE)</f>
        <v>Y</v>
      </c>
      <c r="Q921" s="4" t="str">
        <f>VLOOKUP($B921,'D7 - NDB Impacted SPRF''s'!$E$16:$O$9929,10,FALSE)</f>
        <v>N</v>
      </c>
      <c r="R921" s="4" t="str">
        <f>VLOOKUP($B921,'D7 - NDB Impacted SPRF''s'!$E$16:$O$9929,11,FALSE)</f>
        <v>N</v>
      </c>
      <c r="S921" s="8"/>
      <c r="T921" s="310"/>
      <c r="U921" s="310"/>
      <c r="V921" s="4"/>
      <c r="W921" s="4"/>
      <c r="X921" s="4"/>
      <c r="Y921" s="4"/>
      <c r="Z921" s="4"/>
      <c r="AA921" s="4"/>
      <c r="AB921" s="380" t="str">
        <f>VLOOKUP($B921,'D7 - NDB Impacted SPRF''s'!$E$16:$O$9929,4,FALSE)</f>
        <v>Completed</v>
      </c>
      <c r="AC921" s="380" t="str">
        <f>VLOOKUP($B921,'D7 - NDB Impacted SPRF''s'!$E$16:$O$9929,3,FALSE)</f>
        <v>UnitedHealthcare Employer &amp; Individual</v>
      </c>
      <c r="AD921" s="380" t="str">
        <f>VLOOKUP($B921,'D7 - NDB Impacted SPRF''s'!$E$16:$O$9929,5,FALSE)</f>
        <v>Healthcare Service Alliance</v>
      </c>
      <c r="AE921" s="380" t="str">
        <f>VLOOKUP($B921,'D7 - NDB Impacted SPRF''s'!$E$16:$O$9929,7,FALSE)</f>
        <v>Diane Schofield</v>
      </c>
      <c r="AF921" s="380" t="str">
        <f>VLOOKUP($B921,'D7 - NDB Impacted SPRF''s'!$E$16:$O$9929,6,FALSE)</f>
        <v>DECEMBER WALKER</v>
      </c>
      <c r="AG921" s="282"/>
      <c r="AH921" s="311" t="e">
        <f>INDEX('D5 - Gatekeeper - Projects'!$A$4:$AF$1010,$AM921, 17)</f>
        <v>#N/A</v>
      </c>
      <c r="AI921" s="8"/>
      <c r="AJ921" s="57"/>
      <c r="AK921" s="105"/>
      <c r="AM921" s="6" t="e">
        <f>MATCH(D921,'D5 - Gatekeeper - Projects'!$C$4:$C$1010,0)</f>
        <v>#N/A</v>
      </c>
      <c r="AN921" s="6" t="b">
        <f t="shared" si="85"/>
        <v>1</v>
      </c>
      <c r="AO921" s="6" t="str">
        <f t="shared" si="88"/>
        <v>OK</v>
      </c>
      <c r="AQ921" s="6" t="e">
        <f>MATCH($D921,'D4 - Provider Council Unsched'!$C$11:$C$234,0)</f>
        <v>#N/A</v>
      </c>
      <c r="AR921" s="6" t="b">
        <f t="shared" si="86"/>
        <v>1</v>
      </c>
      <c r="AS921" s="6" t="str">
        <f t="shared" si="84"/>
        <v>OK</v>
      </c>
      <c r="AU921" s="202"/>
      <c r="AV921" s="262"/>
      <c r="AW921" s="274"/>
    </row>
    <row r="922" spans="1:49" s="13" customFormat="1" ht="33.75" x14ac:dyDescent="0.2">
      <c r="A922" s="14">
        <v>898</v>
      </c>
      <c r="B922" s="14">
        <v>400020118</v>
      </c>
      <c r="C922" s="8" t="s">
        <v>5197</v>
      </c>
      <c r="D922" s="4" t="str">
        <f t="shared" si="87"/>
        <v>400020118R1</v>
      </c>
      <c r="E922" s="309" t="str">
        <f>VLOOKUP($B922,'D7 - NDB Impacted SPRF''s'!$E$6:$O$9929,2,FALSE)</f>
        <v>Medica - Additional NDB Data to DDS/Medica DW feed</v>
      </c>
      <c r="F922" s="8" t="s">
        <v>5196</v>
      </c>
      <c r="G922" s="8" t="s">
        <v>4758</v>
      </c>
      <c r="H922" s="8" t="s">
        <v>4246</v>
      </c>
      <c r="I922" s="20">
        <v>18.89</v>
      </c>
      <c r="J922" s="8" t="s">
        <v>4862</v>
      </c>
      <c r="K922" s="182">
        <v>39585</v>
      </c>
      <c r="L922" s="8" t="s">
        <v>5743</v>
      </c>
      <c r="M922" s="8" t="s">
        <v>2814</v>
      </c>
      <c r="N922" s="38"/>
      <c r="O922" s="8" t="s">
        <v>2547</v>
      </c>
      <c r="P922" s="4" t="str">
        <f>VLOOKUP($B922,'D7 - NDB Impacted SPRF''s'!$E$16:$O$9929,9,FALSE)</f>
        <v>N</v>
      </c>
      <c r="Q922" s="4" t="str">
        <f>VLOOKUP($B922,'D7 - NDB Impacted SPRF''s'!$E$16:$O$9929,10,FALSE)</f>
        <v>N</v>
      </c>
      <c r="R922" s="4" t="str">
        <f>VLOOKUP($B922,'D7 - NDB Impacted SPRF''s'!$E$16:$O$9929,11,FALSE)</f>
        <v>N</v>
      </c>
      <c r="S922" s="8"/>
      <c r="T922" s="310"/>
      <c r="U922" s="310"/>
      <c r="V922" s="4"/>
      <c r="W922" s="4"/>
      <c r="X922" s="4"/>
      <c r="Y922" s="4"/>
      <c r="Z922" s="4"/>
      <c r="AA922" s="4"/>
      <c r="AB922" s="380" t="str">
        <f>VLOOKUP($B922,'D7 - NDB Impacted SPRF''s'!$E$16:$O$9929,4,FALSE)</f>
        <v>Completed</v>
      </c>
      <c r="AC922" s="380" t="str">
        <f>VLOOKUP($B922,'D7 - NDB Impacted SPRF''s'!$E$16:$O$9929,3,FALSE)</f>
        <v>UnitedHealthcare Employer &amp; Individual</v>
      </c>
      <c r="AD922" s="380" t="str">
        <f>VLOOKUP($B922,'D7 - NDB Impacted SPRF''s'!$E$16:$O$9929,5,FALSE)</f>
        <v>HCA - Medica UNET Conversion</v>
      </c>
      <c r="AE922" s="380" t="str">
        <f>VLOOKUP($B922,'D7 - NDB Impacted SPRF''s'!$E$16:$O$9929,7,FALSE)</f>
        <v>Diane Schofield</v>
      </c>
      <c r="AF922" s="380" t="str">
        <f>VLOOKUP($B922,'D7 - NDB Impacted SPRF''s'!$E$16:$O$9929,6,FALSE)</f>
        <v>KIMBERLY ALEXANDER</v>
      </c>
      <c r="AG922" s="282"/>
      <c r="AH922" s="311" t="e">
        <f>INDEX('D5 - Gatekeeper - Projects'!$A$4:$AF$1010,$AM922, 17)</f>
        <v>#N/A</v>
      </c>
      <c r="AI922" s="8"/>
      <c r="AJ922" s="57"/>
      <c r="AK922" s="105"/>
      <c r="AM922" s="6" t="e">
        <f>MATCH(D922,'D5 - Gatekeeper - Projects'!$C$4:$C$1010,0)</f>
        <v>#N/A</v>
      </c>
      <c r="AN922" s="6" t="b">
        <f t="shared" si="85"/>
        <v>1</v>
      </c>
      <c r="AO922" s="6" t="str">
        <f t="shared" si="88"/>
        <v>OK</v>
      </c>
      <c r="AQ922" s="6" t="e">
        <f>MATCH($D922,'D4 - Provider Council Unsched'!$C$11:$C$234,0)</f>
        <v>#N/A</v>
      </c>
      <c r="AR922" s="6" t="b">
        <f t="shared" si="86"/>
        <v>1</v>
      </c>
      <c r="AS922" s="6" t="str">
        <f t="shared" si="84"/>
        <v>OK</v>
      </c>
      <c r="AU922" s="202"/>
      <c r="AV922" s="262"/>
      <c r="AW922" s="274"/>
    </row>
    <row r="923" spans="1:49" s="13" customFormat="1" ht="33.75" x14ac:dyDescent="0.2">
      <c r="A923" s="14">
        <v>899</v>
      </c>
      <c r="B923" s="14">
        <v>400020418</v>
      </c>
      <c r="C923" s="8" t="s">
        <v>5197</v>
      </c>
      <c r="D923" s="4" t="str">
        <f t="shared" si="87"/>
        <v>400020418R1</v>
      </c>
      <c r="E923" s="309" t="str">
        <f>VLOOKUP($B923,'D7 - NDB Impacted SPRF''s'!$E$6:$O$9929,2,FALSE)</f>
        <v>Medica - Expand PCC Data on PRIME</v>
      </c>
      <c r="F923" s="8" t="s">
        <v>5196</v>
      </c>
      <c r="G923" s="8" t="s">
        <v>4758</v>
      </c>
      <c r="H923" s="8" t="s">
        <v>4246</v>
      </c>
      <c r="I923" s="20">
        <f>452/150</f>
        <v>3.0133333333333332</v>
      </c>
      <c r="J923" s="8" t="s">
        <v>4862</v>
      </c>
      <c r="K923" s="182">
        <v>39585</v>
      </c>
      <c r="L923" s="8" t="s">
        <v>5743</v>
      </c>
      <c r="M923" s="8" t="s">
        <v>2814</v>
      </c>
      <c r="N923" s="38"/>
      <c r="O923" s="8" t="s">
        <v>5042</v>
      </c>
      <c r="P923" s="4" t="str">
        <f>VLOOKUP($B923,'D7 - NDB Impacted SPRF''s'!$E$16:$O$9929,9,FALSE)</f>
        <v>N</v>
      </c>
      <c r="Q923" s="4" t="str">
        <f>VLOOKUP($B923,'D7 - NDB Impacted SPRF''s'!$E$16:$O$9929,10,FALSE)</f>
        <v>N</v>
      </c>
      <c r="R923" s="4" t="str">
        <f>VLOOKUP($B923,'D7 - NDB Impacted SPRF''s'!$E$16:$O$9929,11,FALSE)</f>
        <v>N</v>
      </c>
      <c r="S923" s="8"/>
      <c r="T923" s="310"/>
      <c r="U923" s="310"/>
      <c r="V923" s="4"/>
      <c r="W923" s="4"/>
      <c r="X923" s="4"/>
      <c r="Y923" s="4"/>
      <c r="Z923" s="4"/>
      <c r="AA923" s="4"/>
      <c r="AB923" s="380" t="str">
        <f>VLOOKUP($B923,'D7 - NDB Impacted SPRF''s'!$E$16:$O$9929,4,FALSE)</f>
        <v>Completed</v>
      </c>
      <c r="AC923" s="380" t="str">
        <f>VLOOKUP($B923,'D7 - NDB Impacted SPRF''s'!$E$16:$O$9929,3,FALSE)</f>
        <v>UnitedHealthcare Employer &amp; Individual</v>
      </c>
      <c r="AD923" s="380" t="str">
        <f>VLOOKUP($B923,'D7 - NDB Impacted SPRF''s'!$E$16:$O$9929,5,FALSE)</f>
        <v>HCA - Medica UNET Conversion</v>
      </c>
      <c r="AE923" s="380" t="str">
        <f>VLOOKUP($B923,'D7 - NDB Impacted SPRF''s'!$E$16:$O$9929,7,FALSE)</f>
        <v>Laura Decker</v>
      </c>
      <c r="AF923" s="380" t="str">
        <f>VLOOKUP($B923,'D7 - NDB Impacted SPRF''s'!$E$16:$O$9929,6,FALSE)</f>
        <v>Scott Thompson CT</v>
      </c>
      <c r="AG923" s="282"/>
      <c r="AH923" s="311" t="e">
        <f>INDEX('D5 - Gatekeeper - Projects'!$A$4:$AF$1010,$AM923, 17)</f>
        <v>#N/A</v>
      </c>
      <c r="AI923" s="8"/>
      <c r="AJ923" s="57"/>
      <c r="AK923" s="105"/>
      <c r="AM923" s="6" t="e">
        <f>MATCH(D923,'D5 - Gatekeeper - Projects'!$C$4:$C$1010,0)</f>
        <v>#N/A</v>
      </c>
      <c r="AN923" s="6" t="b">
        <f t="shared" si="85"/>
        <v>1</v>
      </c>
      <c r="AO923" s="6" t="str">
        <f t="shared" si="88"/>
        <v>OK</v>
      </c>
      <c r="AQ923" s="6" t="e">
        <f>MATCH($D923,'D4 - Provider Council Unsched'!$C$11:$C$234,0)</f>
        <v>#N/A</v>
      </c>
      <c r="AR923" s="6" t="b">
        <f t="shared" si="86"/>
        <v>1</v>
      </c>
      <c r="AS923" s="6" t="str">
        <f t="shared" si="84"/>
        <v>OK</v>
      </c>
      <c r="AU923" s="202"/>
      <c r="AV923" s="262"/>
      <c r="AW923" s="274"/>
    </row>
    <row r="924" spans="1:49" s="13" customFormat="1" ht="22.5" x14ac:dyDescent="0.2">
      <c r="A924" s="14">
        <v>900</v>
      </c>
      <c r="B924" s="14">
        <v>400020527</v>
      </c>
      <c r="C924" s="8" t="s">
        <v>5197</v>
      </c>
      <c r="D924" s="4" t="str">
        <f t="shared" si="87"/>
        <v>400020527R1</v>
      </c>
      <c r="E924" s="309" t="str">
        <f>VLOOKUP($B924,'D7 - NDB Impacted SPRF''s'!$E$6:$O$9929,2,FALSE)</f>
        <v>UFE Provider Selection Routing Improvements</v>
      </c>
      <c r="F924" s="8" t="s">
        <v>2114</v>
      </c>
      <c r="G924" s="8" t="s">
        <v>4758</v>
      </c>
      <c r="H924" s="8" t="s">
        <v>4246</v>
      </c>
      <c r="I924" s="20">
        <v>12.34</v>
      </c>
      <c r="J924" s="8" t="s">
        <v>4862</v>
      </c>
      <c r="K924" s="182">
        <v>39585</v>
      </c>
      <c r="L924" s="8" t="s">
        <v>5743</v>
      </c>
      <c r="M924" s="8" t="s">
        <v>2814</v>
      </c>
      <c r="N924" s="38"/>
      <c r="O924" s="8" t="s">
        <v>3756</v>
      </c>
      <c r="P924" s="4" t="str">
        <f>VLOOKUP($B924,'D7 - NDB Impacted SPRF''s'!$E$16:$O$9929,9,FALSE)</f>
        <v>N</v>
      </c>
      <c r="Q924" s="4" t="str">
        <f>VLOOKUP($B924,'D7 - NDB Impacted SPRF''s'!$E$16:$O$9929,10,FALSE)</f>
        <v>N</v>
      </c>
      <c r="R924" s="4" t="str">
        <f>VLOOKUP($B924,'D7 - NDB Impacted SPRF''s'!$E$16:$O$9929,11,FALSE)</f>
        <v>N</v>
      </c>
      <c r="S924" s="8"/>
      <c r="T924" s="310"/>
      <c r="U924" s="310"/>
      <c r="V924" s="4"/>
      <c r="W924" s="4"/>
      <c r="X924" s="4"/>
      <c r="Y924" s="4"/>
      <c r="Z924" s="4"/>
      <c r="AA924" s="4"/>
      <c r="AB924" s="380" t="str">
        <f>VLOOKUP($B924,'D7 - NDB Impacted SPRF''s'!$E$16:$O$9929,4,FALSE)</f>
        <v>Completed</v>
      </c>
      <c r="AC924" s="380" t="str">
        <f>VLOOKUP($B924,'D7 - NDB Impacted SPRF''s'!$E$16:$O$9929,3,FALSE)</f>
        <v>OptumHealth</v>
      </c>
      <c r="AD924" s="380" t="str">
        <f>VLOOKUP($B924,'D7 - NDB Impacted SPRF''s'!$E$16:$O$9929,5,FALSE)</f>
        <v>Behavioral Solutions</v>
      </c>
      <c r="AE924" s="380" t="str">
        <f>VLOOKUP($B924,'D7 - NDB Impacted SPRF''s'!$E$16:$O$9929,7,FALSE)</f>
        <v>Lloyd Dyer</v>
      </c>
      <c r="AF924" s="380" t="str">
        <f>VLOOKUP($B924,'D7 - NDB Impacted SPRF''s'!$E$16:$O$9929,6,FALSE)</f>
        <v>MELISSA SUTHERLAND</v>
      </c>
      <c r="AG924" s="282"/>
      <c r="AH924" s="311" t="e">
        <f>INDEX('D5 - Gatekeeper - Projects'!$A$4:$AF$1010,$AM924, 17)</f>
        <v>#N/A</v>
      </c>
      <c r="AI924" s="8"/>
      <c r="AJ924" s="57"/>
      <c r="AK924" s="105"/>
      <c r="AM924" s="6" t="e">
        <f>MATCH(D924,'D5 - Gatekeeper - Projects'!$C$4:$C$1010,0)</f>
        <v>#N/A</v>
      </c>
      <c r="AN924" s="6" t="b">
        <f t="shared" si="85"/>
        <v>1</v>
      </c>
      <c r="AO924" s="6" t="str">
        <f t="shared" si="88"/>
        <v>OK</v>
      </c>
      <c r="AQ924" s="6" t="e">
        <f>MATCH($D924,'D4 - Provider Council Unsched'!$C$11:$C$234,0)</f>
        <v>#N/A</v>
      </c>
      <c r="AR924" s="6" t="b">
        <f t="shared" si="86"/>
        <v>1</v>
      </c>
      <c r="AS924" s="6" t="str">
        <f t="shared" si="84"/>
        <v>OK</v>
      </c>
      <c r="AU924" s="202"/>
      <c r="AV924" s="262"/>
      <c r="AW924" s="274"/>
    </row>
    <row r="925" spans="1:49" s="13" customFormat="1" ht="33.75" x14ac:dyDescent="0.2">
      <c r="A925" s="14">
        <v>901</v>
      </c>
      <c r="B925" s="14">
        <v>400021487</v>
      </c>
      <c r="C925" s="8" t="s">
        <v>5197</v>
      </c>
      <c r="D925" s="4" t="str">
        <f t="shared" si="87"/>
        <v>400021487R1</v>
      </c>
      <c r="E925" s="309" t="str">
        <f>VLOOKUP($B925,'D7 - NDB Impacted SPRF''s'!$E$6:$O$9929,2,FALSE)</f>
        <v>PHS Work Package 2, Release 1</v>
      </c>
      <c r="F925" s="8" t="s">
        <v>6071</v>
      </c>
      <c r="G925" s="8" t="s">
        <v>4758</v>
      </c>
      <c r="H925" s="8" t="s">
        <v>4246</v>
      </c>
      <c r="I925" s="20">
        <v>1.07</v>
      </c>
      <c r="J925" s="8" t="s">
        <v>4862</v>
      </c>
      <c r="K925" s="182">
        <v>39585</v>
      </c>
      <c r="L925" s="8" t="s">
        <v>5743</v>
      </c>
      <c r="M925" s="8" t="s">
        <v>5626</v>
      </c>
      <c r="N925" s="38"/>
      <c r="O925" s="8" t="s">
        <v>2000</v>
      </c>
      <c r="P925" s="4" t="str">
        <f>VLOOKUP($B925,'D7 - NDB Impacted SPRF''s'!$E$16:$O$9929,9,FALSE)</f>
        <v>N</v>
      </c>
      <c r="Q925" s="4" t="str">
        <f>VLOOKUP($B925,'D7 - NDB Impacted SPRF''s'!$E$16:$O$9929,10,FALSE)</f>
        <v>N</v>
      </c>
      <c r="R925" s="4" t="str">
        <f>VLOOKUP($B925,'D7 - NDB Impacted SPRF''s'!$E$16:$O$9929,11,FALSE)</f>
        <v>N</v>
      </c>
      <c r="S925" s="8"/>
      <c r="T925" s="310"/>
      <c r="U925" s="310"/>
      <c r="V925" s="4"/>
      <c r="W925" s="4"/>
      <c r="X925" s="4"/>
      <c r="Y925" s="4"/>
      <c r="Z925" s="4"/>
      <c r="AA925" s="4"/>
      <c r="AB925" s="380" t="str">
        <f>VLOOKUP($B925,'D7 - NDB Impacted SPRF''s'!$E$16:$O$9929,4,FALSE)</f>
        <v>Completed</v>
      </c>
      <c r="AC925" s="380" t="str">
        <f>VLOOKUP($B925,'D7 - NDB Impacted SPRF''s'!$E$16:$O$9929,3,FALSE)</f>
        <v>UnitedHealthcare Employer &amp; Individual</v>
      </c>
      <c r="AD925" s="380" t="str">
        <f>VLOOKUP($B925,'D7 - NDB Impacted SPRF''s'!$E$16:$O$9929,5,FALSE)</f>
        <v>Integration Requirements</v>
      </c>
      <c r="AE925" s="380" t="str">
        <f>VLOOKUP($B925,'D7 - NDB Impacted SPRF''s'!$E$16:$O$9929,7,FALSE)</f>
        <v>Diane Schofield</v>
      </c>
      <c r="AF925" s="380" t="str">
        <f>VLOOKUP($B925,'D7 - NDB Impacted SPRF''s'!$E$16:$O$9929,6,FALSE)</f>
        <v>Rebecca Gent</v>
      </c>
      <c r="AG925" s="282"/>
      <c r="AH925" s="311" t="e">
        <f>INDEX('D5 - Gatekeeper - Projects'!$A$4:$AF$1010,$AM925, 17)</f>
        <v>#N/A</v>
      </c>
      <c r="AI925" s="8"/>
      <c r="AJ925" s="57"/>
      <c r="AK925" s="105"/>
      <c r="AM925" s="6" t="e">
        <f>MATCH(D925,'D5 - Gatekeeper - Projects'!$C$4:$C$1010,0)</f>
        <v>#N/A</v>
      </c>
      <c r="AN925" s="6" t="b">
        <f t="shared" si="85"/>
        <v>1</v>
      </c>
      <c r="AO925" s="6" t="str">
        <f t="shared" si="88"/>
        <v>OK</v>
      </c>
      <c r="AQ925" s="6" t="e">
        <f>MATCH($D925,'D4 - Provider Council Unsched'!$C$11:$C$234,0)</f>
        <v>#N/A</v>
      </c>
      <c r="AR925" s="6" t="b">
        <f t="shared" si="86"/>
        <v>1</v>
      </c>
      <c r="AS925" s="6" t="str">
        <f t="shared" si="84"/>
        <v>OK</v>
      </c>
      <c r="AU925" s="202"/>
      <c r="AV925" s="262"/>
      <c r="AW925" s="274"/>
    </row>
    <row r="926" spans="1:49" s="13" customFormat="1" ht="33.75" x14ac:dyDescent="0.2">
      <c r="A926" s="14">
        <v>902</v>
      </c>
      <c r="B926" s="14">
        <v>400021601</v>
      </c>
      <c r="C926" s="8" t="s">
        <v>5197</v>
      </c>
      <c r="D926" s="4" t="str">
        <f t="shared" si="87"/>
        <v>400021601R1</v>
      </c>
      <c r="E926" s="309" t="str">
        <f>VLOOKUP($B926,'D7 - NDB Impacted SPRF''s'!$E$6:$O$9929,2,FALSE)</f>
        <v>NDB to ECap Provdr Demo &amp; Contract Full File Feed</v>
      </c>
      <c r="F926" s="8" t="s">
        <v>7593</v>
      </c>
      <c r="G926" s="8" t="s">
        <v>4758</v>
      </c>
      <c r="H926" s="8" t="s">
        <v>4246</v>
      </c>
      <c r="I926" s="20">
        <v>11.32</v>
      </c>
      <c r="J926" s="8" t="s">
        <v>4862</v>
      </c>
      <c r="K926" s="182">
        <v>39585</v>
      </c>
      <c r="L926" s="8" t="s">
        <v>5743</v>
      </c>
      <c r="M926" s="8" t="s">
        <v>2814</v>
      </c>
      <c r="N926" s="38"/>
      <c r="O926" s="8" t="s">
        <v>4599</v>
      </c>
      <c r="P926" s="4" t="str">
        <f>VLOOKUP($B926,'D7 - NDB Impacted SPRF''s'!$E$16:$O$9929,9,FALSE)</f>
        <v>N</v>
      </c>
      <c r="Q926" s="4" t="str">
        <f>VLOOKUP($B926,'D7 - NDB Impacted SPRF''s'!$E$16:$O$9929,10,FALSE)</f>
        <v>N</v>
      </c>
      <c r="R926" s="4" t="str">
        <f>VLOOKUP($B926,'D7 - NDB Impacted SPRF''s'!$E$16:$O$9929,11,FALSE)</f>
        <v>N</v>
      </c>
      <c r="S926" s="8"/>
      <c r="T926" s="310"/>
      <c r="U926" s="310"/>
      <c r="V926" s="4"/>
      <c r="W926" s="4"/>
      <c r="X926" s="4"/>
      <c r="Y926" s="4"/>
      <c r="Z926" s="4"/>
      <c r="AA926" s="4"/>
      <c r="AB926" s="380" t="str">
        <f>VLOOKUP($B926,'D7 - NDB Impacted SPRF''s'!$E$16:$O$9929,4,FALSE)</f>
        <v>Completed</v>
      </c>
      <c r="AC926" s="380" t="str">
        <f>VLOOKUP($B926,'D7 - NDB Impacted SPRF''s'!$E$16:$O$9929,3,FALSE)</f>
        <v>UnitedHealthcare Employer &amp; Individual</v>
      </c>
      <c r="AD926" s="380" t="str">
        <f>VLOOKUP($B926,'D7 - NDB Impacted SPRF''s'!$E$16:$O$9929,5,FALSE)</f>
        <v>Integration Requirements</v>
      </c>
      <c r="AE926" s="380" t="str">
        <f>VLOOKUP($B926,'D7 - NDB Impacted SPRF''s'!$E$16:$O$9929,7,FALSE)</f>
        <v>Sue Berkel</v>
      </c>
      <c r="AF926" s="380" t="str">
        <f>VLOOKUP($B926,'D7 - NDB Impacted SPRF''s'!$E$16:$O$9929,6,FALSE)</f>
        <v>MELINDA BURWELL</v>
      </c>
      <c r="AG926" s="282"/>
      <c r="AH926" s="311" t="e">
        <f>INDEX('D5 - Gatekeeper - Projects'!$A$4:$AF$1010,$AM926, 17)</f>
        <v>#N/A</v>
      </c>
      <c r="AI926" s="8"/>
      <c r="AJ926" s="57"/>
      <c r="AK926" s="105"/>
      <c r="AM926" s="6" t="e">
        <f>MATCH(D926,'D5 - Gatekeeper - Projects'!$C$4:$C$1010,0)</f>
        <v>#N/A</v>
      </c>
      <c r="AN926" s="6" t="b">
        <f t="shared" si="85"/>
        <v>1</v>
      </c>
      <c r="AO926" s="6" t="str">
        <f t="shared" si="88"/>
        <v>OK</v>
      </c>
      <c r="AQ926" s="6" t="e">
        <f>MATCH($D926,'D4 - Provider Council Unsched'!$C$11:$C$234,0)</f>
        <v>#N/A</v>
      </c>
      <c r="AR926" s="6" t="b">
        <f t="shared" si="86"/>
        <v>1</v>
      </c>
      <c r="AS926" s="6" t="str">
        <f t="shared" si="84"/>
        <v>OK</v>
      </c>
      <c r="AU926" s="202"/>
      <c r="AV926" s="262"/>
      <c r="AW926" s="274"/>
    </row>
    <row r="927" spans="1:49" s="13" customFormat="1" ht="33.75" x14ac:dyDescent="0.2">
      <c r="A927" s="14">
        <v>903</v>
      </c>
      <c r="B927" s="14">
        <v>400021741</v>
      </c>
      <c r="C927" s="8" t="s">
        <v>5197</v>
      </c>
      <c r="D927" s="4" t="str">
        <f t="shared" si="87"/>
        <v>400021741R1</v>
      </c>
      <c r="E927" s="309" t="str">
        <f>VLOOKUP($B927,'D7 - NDB Impacted SPRF''s'!$E$6:$O$9929,2,FALSE)</f>
        <v>United Hygeia HCFA Claims Repricing Project</v>
      </c>
      <c r="F927" s="8" t="s">
        <v>4304</v>
      </c>
      <c r="G927" s="8" t="s">
        <v>4758</v>
      </c>
      <c r="H927" s="8" t="s">
        <v>4246</v>
      </c>
      <c r="I927" s="20">
        <v>1.07</v>
      </c>
      <c r="J927" s="8" t="s">
        <v>4862</v>
      </c>
      <c r="K927" s="182">
        <v>39585</v>
      </c>
      <c r="L927" s="8" t="s">
        <v>5743</v>
      </c>
      <c r="M927" s="8" t="s">
        <v>5626</v>
      </c>
      <c r="N927" s="38" t="s">
        <v>3362</v>
      </c>
      <c r="O927" s="8" t="s">
        <v>2000</v>
      </c>
      <c r="P927" s="4" t="str">
        <f>VLOOKUP($B927,'D7 - NDB Impacted SPRF''s'!$E$16:$O$9929,9,FALSE)</f>
        <v>N</v>
      </c>
      <c r="Q927" s="4" t="str">
        <f>VLOOKUP($B927,'D7 - NDB Impacted SPRF''s'!$E$16:$O$9929,10,FALSE)</f>
        <v>N</v>
      </c>
      <c r="R927" s="4" t="str">
        <f>VLOOKUP($B927,'D7 - NDB Impacted SPRF''s'!$E$16:$O$9929,11,FALSE)</f>
        <v>Y</v>
      </c>
      <c r="S927" s="8"/>
      <c r="T927" s="310"/>
      <c r="U927" s="310"/>
      <c r="V927" s="4"/>
      <c r="W927" s="4"/>
      <c r="X927" s="4"/>
      <c r="Y927" s="4"/>
      <c r="Z927" s="4"/>
      <c r="AA927" s="4"/>
      <c r="AB927" s="380" t="str">
        <f>VLOOKUP($B927,'D7 - NDB Impacted SPRF''s'!$E$16:$O$9929,4,FALSE)</f>
        <v>Completed</v>
      </c>
      <c r="AC927" s="380" t="str">
        <f>VLOOKUP($B927,'D7 - NDB Impacted SPRF''s'!$E$16:$O$9929,3,FALSE)</f>
        <v>UnitedHealthcare Employer &amp; Individual</v>
      </c>
      <c r="AD927" s="380" t="str">
        <f>VLOOKUP($B927,'D7 - NDB Impacted SPRF''s'!$E$16:$O$9929,5,FALSE)</f>
        <v>Integration Requirements</v>
      </c>
      <c r="AE927" s="380" t="str">
        <f>VLOOKUP($B927,'D7 - NDB Impacted SPRF''s'!$E$16:$O$9929,7,FALSE)</f>
        <v>Sally Verilli</v>
      </c>
      <c r="AF927" s="380" t="str">
        <f>VLOOKUP($B927,'D7 - NDB Impacted SPRF''s'!$E$16:$O$9929,6,FALSE)</f>
        <v>Ellis Miller</v>
      </c>
      <c r="AG927" s="282"/>
      <c r="AH927" s="311" t="e">
        <f>INDEX('D5 - Gatekeeper - Projects'!$A$4:$AF$1010,$AM927, 17)</f>
        <v>#N/A</v>
      </c>
      <c r="AI927" s="8"/>
      <c r="AJ927" s="57"/>
      <c r="AK927" s="105"/>
      <c r="AM927" s="6" t="e">
        <f>MATCH(D927,'D5 - Gatekeeper - Projects'!$C$4:$C$1010,0)</f>
        <v>#N/A</v>
      </c>
      <c r="AN927" s="6" t="b">
        <f t="shared" si="85"/>
        <v>1</v>
      </c>
      <c r="AO927" s="6" t="str">
        <f t="shared" si="88"/>
        <v>OK</v>
      </c>
      <c r="AQ927" s="6" t="e">
        <f>MATCH($D927,'D4 - Provider Council Unsched'!$C$11:$C$234,0)</f>
        <v>#N/A</v>
      </c>
      <c r="AR927" s="6" t="b">
        <f t="shared" si="86"/>
        <v>1</v>
      </c>
      <c r="AS927" s="6" t="str">
        <f t="shared" si="84"/>
        <v>OK</v>
      </c>
      <c r="AU927" s="202"/>
      <c r="AV927" s="262"/>
      <c r="AW927" s="274"/>
    </row>
    <row r="928" spans="1:49" s="13" customFormat="1" ht="33.75" x14ac:dyDescent="0.2">
      <c r="A928" s="14">
        <v>904</v>
      </c>
      <c r="B928" s="14">
        <v>400021743</v>
      </c>
      <c r="C928" s="8" t="s">
        <v>5197</v>
      </c>
      <c r="D928" s="4" t="str">
        <f t="shared" si="87"/>
        <v>400021743R1</v>
      </c>
      <c r="E928" s="309" t="str">
        <f>VLOOKUP($B928,'D7 - NDB Impacted SPRF''s'!$E$6:$O$9929,2,FALSE)</f>
        <v>United Hygeia UB Claims Repricing Project</v>
      </c>
      <c r="F928" s="8" t="s">
        <v>4304</v>
      </c>
      <c r="G928" s="8" t="s">
        <v>4758</v>
      </c>
      <c r="H928" s="8" t="s">
        <v>4246</v>
      </c>
      <c r="I928" s="20">
        <v>1.07</v>
      </c>
      <c r="J928" s="8" t="s">
        <v>4862</v>
      </c>
      <c r="K928" s="182">
        <v>39585</v>
      </c>
      <c r="L928" s="8" t="s">
        <v>5743</v>
      </c>
      <c r="M928" s="8" t="s">
        <v>5626</v>
      </c>
      <c r="N928" s="38" t="s">
        <v>3362</v>
      </c>
      <c r="O928" s="8" t="s">
        <v>2000</v>
      </c>
      <c r="P928" s="4" t="str">
        <f>VLOOKUP($B928,'D7 - NDB Impacted SPRF''s'!$E$16:$O$9929,9,FALSE)</f>
        <v>N</v>
      </c>
      <c r="Q928" s="4" t="str">
        <f>VLOOKUP($B928,'D7 - NDB Impacted SPRF''s'!$E$16:$O$9929,10,FALSE)</f>
        <v>N</v>
      </c>
      <c r="R928" s="4" t="str">
        <f>VLOOKUP($B928,'D7 - NDB Impacted SPRF''s'!$E$16:$O$9929,11,FALSE)</f>
        <v>Y</v>
      </c>
      <c r="S928" s="8"/>
      <c r="T928" s="310"/>
      <c r="U928" s="310"/>
      <c r="V928" s="4"/>
      <c r="W928" s="4"/>
      <c r="X928" s="4"/>
      <c r="Y928" s="4"/>
      <c r="Z928" s="4"/>
      <c r="AA928" s="4"/>
      <c r="AB928" s="380" t="str">
        <f>VLOOKUP($B928,'D7 - NDB Impacted SPRF''s'!$E$16:$O$9929,4,FALSE)</f>
        <v>Completed</v>
      </c>
      <c r="AC928" s="380" t="str">
        <f>VLOOKUP($B928,'D7 - NDB Impacted SPRF''s'!$E$16:$O$9929,3,FALSE)</f>
        <v>UnitedHealthcare Employer &amp; Individual</v>
      </c>
      <c r="AD928" s="380" t="str">
        <f>VLOOKUP($B928,'D7 - NDB Impacted SPRF''s'!$E$16:$O$9929,5,FALSE)</f>
        <v>Integration Requirements</v>
      </c>
      <c r="AE928" s="380" t="str">
        <f>VLOOKUP($B928,'D7 - NDB Impacted SPRF''s'!$E$16:$O$9929,7,FALSE)</f>
        <v>Sally Verilli</v>
      </c>
      <c r="AF928" s="380" t="str">
        <f>VLOOKUP($B928,'D7 - NDB Impacted SPRF''s'!$E$16:$O$9929,6,FALSE)</f>
        <v>Ellis Miller</v>
      </c>
      <c r="AG928" s="282"/>
      <c r="AH928" s="311" t="e">
        <f>INDEX('D5 - Gatekeeper - Projects'!$A$4:$AF$1010,$AM928, 17)</f>
        <v>#N/A</v>
      </c>
      <c r="AI928" s="8"/>
      <c r="AJ928" s="57"/>
      <c r="AK928" s="105"/>
      <c r="AM928" s="6" t="e">
        <f>MATCH(D928,'D5 - Gatekeeper - Projects'!$C$4:$C$1010,0)</f>
        <v>#N/A</v>
      </c>
      <c r="AN928" s="6" t="b">
        <f t="shared" si="85"/>
        <v>1</v>
      </c>
      <c r="AO928" s="6" t="str">
        <f t="shared" si="88"/>
        <v>OK</v>
      </c>
      <c r="AQ928" s="6" t="e">
        <f>MATCH($D928,'D4 - Provider Council Unsched'!$C$11:$C$234,0)</f>
        <v>#N/A</v>
      </c>
      <c r="AR928" s="6" t="b">
        <f t="shared" si="86"/>
        <v>1</v>
      </c>
      <c r="AS928" s="6" t="str">
        <f t="shared" si="84"/>
        <v>OK</v>
      </c>
      <c r="AU928" s="202"/>
      <c r="AV928" s="262"/>
      <c r="AW928" s="274"/>
    </row>
    <row r="929" spans="1:49" s="13" customFormat="1" ht="33.75" x14ac:dyDescent="0.2">
      <c r="A929" s="14">
        <v>905</v>
      </c>
      <c r="B929" s="14">
        <v>400023392</v>
      </c>
      <c r="C929" s="8" t="s">
        <v>5197</v>
      </c>
      <c r="D929" s="4" t="str">
        <f t="shared" si="87"/>
        <v>400023392R1</v>
      </c>
      <c r="E929" s="309" t="str">
        <f>VLOOKUP($B929,'D7 - NDB Impacted SPRF''s'!$E$6:$O$9929,2,FALSE)</f>
        <v>WO NDB Investigate Best Apprach to Alias Cities</v>
      </c>
      <c r="F929" s="8" t="s">
        <v>2114</v>
      </c>
      <c r="G929" s="8" t="s">
        <v>4758</v>
      </c>
      <c r="H929" s="8" t="s">
        <v>4246</v>
      </c>
      <c r="I929" s="20">
        <v>0.4</v>
      </c>
      <c r="J929" s="8" t="s">
        <v>4862</v>
      </c>
      <c r="K929" s="182">
        <v>39585</v>
      </c>
      <c r="L929" s="8" t="s">
        <v>5743</v>
      </c>
      <c r="M929" s="8" t="s">
        <v>6688</v>
      </c>
      <c r="N929" s="38"/>
      <c r="O929" s="8" t="s">
        <v>4599</v>
      </c>
      <c r="P929" s="4" t="str">
        <f>VLOOKUP($B929,'D7 - NDB Impacted SPRF''s'!$E$16:$O$9929,9,FALSE)</f>
        <v>N</v>
      </c>
      <c r="Q929" s="4" t="str">
        <f>VLOOKUP($B929,'D7 - NDB Impacted SPRF''s'!$E$16:$O$9929,10,FALSE)</f>
        <v>N</v>
      </c>
      <c r="R929" s="4" t="str">
        <f>VLOOKUP($B929,'D7 - NDB Impacted SPRF''s'!$E$16:$O$9929,11,FALSE)</f>
        <v>N</v>
      </c>
      <c r="S929" s="8"/>
      <c r="T929" s="310"/>
      <c r="U929" s="310"/>
      <c r="V929" s="4"/>
      <c r="W929" s="4"/>
      <c r="X929" s="4"/>
      <c r="Y929" s="4"/>
      <c r="Z929" s="4"/>
      <c r="AA929" s="4"/>
      <c r="AB929" s="380" t="str">
        <f>VLOOKUP($B929,'D7 - NDB Impacted SPRF''s'!$E$16:$O$9929,4,FALSE)</f>
        <v>Completed</v>
      </c>
      <c r="AC929" s="380" t="str">
        <f>VLOOKUP($B929,'D7 - NDB Impacted SPRF''s'!$E$16:$O$9929,3,FALSE)</f>
        <v>UnitedHealthcare Employer &amp; Individual</v>
      </c>
      <c r="AD929" s="380" t="str">
        <f>VLOOKUP($B929,'D7 - NDB Impacted SPRF''s'!$E$16:$O$9929,5,FALSE)</f>
        <v>Process Improvement</v>
      </c>
      <c r="AE929" s="380" t="str">
        <f>VLOOKUP($B929,'D7 - NDB Impacted SPRF''s'!$E$16:$O$9929,7,FALSE)</f>
        <v>Matt Guisinger</v>
      </c>
      <c r="AF929" s="380" t="str">
        <f>VLOOKUP($B929,'D7 - NDB Impacted SPRF''s'!$E$16:$O$9929,6,FALSE)</f>
        <v>STEPHEN FINLEY</v>
      </c>
      <c r="AG929" s="282"/>
      <c r="AH929" s="311" t="e">
        <f>INDEX('D5 - Gatekeeper - Projects'!$A$4:$AF$1010,$AM929, 17)</f>
        <v>#N/A</v>
      </c>
      <c r="AI929" s="8"/>
      <c r="AJ929" s="57"/>
      <c r="AK929" s="105"/>
      <c r="AM929" s="6" t="e">
        <f>MATCH(D929,'D5 - Gatekeeper - Projects'!$C$4:$C$1010,0)</f>
        <v>#N/A</v>
      </c>
      <c r="AN929" s="6" t="b">
        <f t="shared" si="85"/>
        <v>1</v>
      </c>
      <c r="AO929" s="6" t="str">
        <f t="shared" si="88"/>
        <v>OK</v>
      </c>
      <c r="AQ929" s="6" t="e">
        <f>MATCH($D929,'D4 - Provider Council Unsched'!$C$11:$C$234,0)</f>
        <v>#N/A</v>
      </c>
      <c r="AR929" s="6" t="b">
        <f t="shared" si="86"/>
        <v>1</v>
      </c>
      <c r="AS929" s="6" t="str">
        <f t="shared" si="84"/>
        <v>OK</v>
      </c>
      <c r="AU929" s="202"/>
      <c r="AV929" s="262"/>
      <c r="AW929" s="274"/>
    </row>
    <row r="930" spans="1:49" s="13" customFormat="1" ht="33.75" x14ac:dyDescent="0.2">
      <c r="A930" s="14">
        <v>906</v>
      </c>
      <c r="B930" s="14">
        <v>400024515</v>
      </c>
      <c r="C930" s="8" t="s">
        <v>5197</v>
      </c>
      <c r="D930" s="4" t="str">
        <f t="shared" si="87"/>
        <v>400024515R1</v>
      </c>
      <c r="E930" s="309" t="str">
        <f>VLOOKUP($B930,'D7 - NDB Impacted SPRF''s'!$E$6:$O$9929,2,FALSE)</f>
        <v>PHS EPDE File Pulls for RePricing Projects</v>
      </c>
      <c r="F930" s="8" t="s">
        <v>6071</v>
      </c>
      <c r="G930" s="8" t="s">
        <v>4758</v>
      </c>
      <c r="H930" s="8" t="s">
        <v>4246</v>
      </c>
      <c r="I930" s="20">
        <v>1.07</v>
      </c>
      <c r="J930" s="8" t="s">
        <v>4862</v>
      </c>
      <c r="K930" s="182">
        <v>39585</v>
      </c>
      <c r="L930" s="8" t="s">
        <v>5743</v>
      </c>
      <c r="M930" s="8" t="s">
        <v>4450</v>
      </c>
      <c r="N930" s="38"/>
      <c r="O930" s="8" t="s">
        <v>7086</v>
      </c>
      <c r="P930" s="4" t="str">
        <f>VLOOKUP($B930,'D7 - NDB Impacted SPRF''s'!$E$16:$O$9929,9,FALSE)</f>
        <v>N</v>
      </c>
      <c r="Q930" s="4" t="str">
        <f>VLOOKUP($B930,'D7 - NDB Impacted SPRF''s'!$E$16:$O$9929,10,FALSE)</f>
        <v>N</v>
      </c>
      <c r="R930" s="4" t="str">
        <f>VLOOKUP($B930,'D7 - NDB Impacted SPRF''s'!$E$16:$O$9929,11,FALSE)</f>
        <v>N</v>
      </c>
      <c r="S930" s="8"/>
      <c r="T930" s="310"/>
      <c r="U930" s="310"/>
      <c r="V930" s="4"/>
      <c r="W930" s="4"/>
      <c r="X930" s="4"/>
      <c r="Y930" s="4"/>
      <c r="Z930" s="4"/>
      <c r="AA930" s="4"/>
      <c r="AB930" s="380" t="str">
        <f>VLOOKUP($B930,'D7 - NDB Impacted SPRF''s'!$E$16:$O$9929,4,FALSE)</f>
        <v>Completed</v>
      </c>
      <c r="AC930" s="380" t="str">
        <f>VLOOKUP($B930,'D7 - NDB Impacted SPRF''s'!$E$16:$O$9929,3,FALSE)</f>
        <v>UnitedHealthcare Employer &amp; Individual</v>
      </c>
      <c r="AD930" s="380" t="str">
        <f>VLOOKUP($B930,'D7 - NDB Impacted SPRF''s'!$E$16:$O$9929,5,FALSE)</f>
        <v>Integration Requirements</v>
      </c>
      <c r="AE930" s="380" t="str">
        <f>VLOOKUP($B930,'D7 - NDB Impacted SPRF''s'!$E$16:$O$9929,7,FALSE)</f>
        <v>Congleton, Jim</v>
      </c>
      <c r="AF930" s="380" t="str">
        <f>VLOOKUP($B930,'D7 - NDB Impacted SPRF''s'!$E$16:$O$9929,6,FALSE)</f>
        <v>MARCIA MONACO</v>
      </c>
      <c r="AG930" s="282"/>
      <c r="AH930" s="311" t="e">
        <f>INDEX('D5 - Gatekeeper - Projects'!$A$4:$AF$1010,$AM930, 17)</f>
        <v>#N/A</v>
      </c>
      <c r="AI930" s="8"/>
      <c r="AJ930" s="57"/>
      <c r="AK930" s="105"/>
      <c r="AM930" s="6" t="e">
        <f>MATCH(D930,'D5 - Gatekeeper - Projects'!$C$4:$C$1010,0)</f>
        <v>#N/A</v>
      </c>
      <c r="AN930" s="6" t="b">
        <f t="shared" si="85"/>
        <v>1</v>
      </c>
      <c r="AO930" s="6" t="str">
        <f t="shared" si="88"/>
        <v>OK</v>
      </c>
      <c r="AQ930" s="6" t="e">
        <f>MATCH($D930,'D4 - Provider Council Unsched'!$C$11:$C$234,0)</f>
        <v>#N/A</v>
      </c>
      <c r="AR930" s="6" t="b">
        <f t="shared" si="86"/>
        <v>1</v>
      </c>
      <c r="AS930" s="6" t="str">
        <f t="shared" si="84"/>
        <v>OK</v>
      </c>
      <c r="AU930" s="202"/>
      <c r="AV930" s="262"/>
      <c r="AW930" s="274"/>
    </row>
    <row r="931" spans="1:49" s="13" customFormat="1" ht="33.75" x14ac:dyDescent="0.2">
      <c r="A931" s="14">
        <v>907</v>
      </c>
      <c r="B931" s="14">
        <v>400021395</v>
      </c>
      <c r="C931" s="8" t="s">
        <v>5197</v>
      </c>
      <c r="D931" s="4" t="str">
        <f t="shared" si="87"/>
        <v>400021395R1</v>
      </c>
      <c r="E931" s="309" t="str">
        <f>VLOOKUP($B931,'D7 - NDB Impacted SPRF''s'!$E$6:$O$9929,2,FALSE)</f>
        <v>HPHC Provider PTI Reporting Needs</v>
      </c>
      <c r="F931" s="8" t="s">
        <v>5196</v>
      </c>
      <c r="G931" s="8" t="s">
        <v>4758</v>
      </c>
      <c r="H931" s="8" t="s">
        <v>4246</v>
      </c>
      <c r="I931" s="20">
        <f>385/150</f>
        <v>2.5666666666666669</v>
      </c>
      <c r="J931" s="8" t="s">
        <v>4862</v>
      </c>
      <c r="K931" s="182">
        <v>39624</v>
      </c>
      <c r="L931" s="8" t="s">
        <v>5743</v>
      </c>
      <c r="M931" s="8" t="s">
        <v>5786</v>
      </c>
      <c r="N931" s="38"/>
      <c r="O931" s="8" t="s">
        <v>2547</v>
      </c>
      <c r="P931" s="4" t="str">
        <f>VLOOKUP($B931,'D7 - NDB Impacted SPRF''s'!$E$16:$O$9929,9,FALSE)</f>
        <v>N</v>
      </c>
      <c r="Q931" s="4" t="str">
        <f>VLOOKUP($B931,'D7 - NDB Impacted SPRF''s'!$E$16:$O$9929,10,FALSE)</f>
        <v>N</v>
      </c>
      <c r="R931" s="4" t="str">
        <f>VLOOKUP($B931,'D7 - NDB Impacted SPRF''s'!$E$16:$O$9929,11,FALSE)</f>
        <v>N</v>
      </c>
      <c r="S931" s="8"/>
      <c r="T931" s="310"/>
      <c r="U931" s="310"/>
      <c r="V931" s="4"/>
      <c r="W931" s="4"/>
      <c r="X931" s="4"/>
      <c r="Y931" s="4"/>
      <c r="Z931" s="4"/>
      <c r="AA931" s="4"/>
      <c r="AB931" s="380" t="str">
        <f>VLOOKUP($B931,'D7 - NDB Impacted SPRF''s'!$E$16:$O$9929,4,FALSE)</f>
        <v>Completed</v>
      </c>
      <c r="AC931" s="380" t="str">
        <f>VLOOKUP($B931,'D7 - NDB Impacted SPRF''s'!$E$16:$O$9929,3,FALSE)</f>
        <v>UnitedHealthcare Employer &amp; Individual</v>
      </c>
      <c r="AD931" s="380" t="str">
        <f>VLOOKUP($B931,'D7 - NDB Impacted SPRF''s'!$E$16:$O$9929,5,FALSE)</f>
        <v>HCA - HPHC Operational Support</v>
      </c>
      <c r="AE931" s="380" t="str">
        <f>VLOOKUP($B931,'D7 - NDB Impacted SPRF''s'!$E$16:$O$9929,7,FALSE)</f>
        <v>Schafer, Kelly</v>
      </c>
      <c r="AF931" s="380" t="str">
        <f>VLOOKUP($B931,'D7 - NDB Impacted SPRF''s'!$E$16:$O$9929,6,FALSE)</f>
        <v>LUND ROSS</v>
      </c>
      <c r="AG931" s="282"/>
      <c r="AH931" s="311" t="e">
        <f>INDEX('D5 - Gatekeeper - Projects'!$A$4:$AF$1010,$AM931, 17)</f>
        <v>#N/A</v>
      </c>
      <c r="AI931" s="8"/>
      <c r="AJ931" s="57"/>
      <c r="AK931" s="105"/>
      <c r="AM931" s="6" t="e">
        <f>MATCH(D931,'D5 - Gatekeeper - Projects'!$C$4:$C$1010,0)</f>
        <v>#N/A</v>
      </c>
      <c r="AN931" s="6" t="b">
        <f t="shared" si="85"/>
        <v>1</v>
      </c>
      <c r="AO931" s="6" t="str">
        <f t="shared" si="88"/>
        <v>OK</v>
      </c>
      <c r="AQ931" s="6" t="e">
        <f>MATCH($D931,'D4 - Provider Council Unsched'!$C$11:$C$234,0)</f>
        <v>#N/A</v>
      </c>
      <c r="AR931" s="6" t="b">
        <f t="shared" si="86"/>
        <v>1</v>
      </c>
      <c r="AS931" s="6" t="str">
        <f t="shared" si="84"/>
        <v>OK</v>
      </c>
      <c r="AU931" s="202"/>
      <c r="AV931" s="262"/>
      <c r="AW931" s="274"/>
    </row>
    <row r="932" spans="1:49" s="13" customFormat="1" ht="33.75" x14ac:dyDescent="0.2">
      <c r="A932" s="14">
        <v>908</v>
      </c>
      <c r="B932" s="14">
        <v>400021299</v>
      </c>
      <c r="C932" s="8" t="s">
        <v>1992</v>
      </c>
      <c r="D932" s="4" t="str">
        <f t="shared" si="87"/>
        <v>400021299U1</v>
      </c>
      <c r="E932" s="309" t="str">
        <f>VLOOKUP($B932,'D7 - NDB Impacted SPRF''s'!$E$6:$O$9929,2,FALSE)</f>
        <v>ELGS Provider Electronic Messaging</v>
      </c>
      <c r="F932" s="8" t="s">
        <v>2114</v>
      </c>
      <c r="G932" s="8" t="s">
        <v>4758</v>
      </c>
      <c r="H932" s="8" t="s">
        <v>4246</v>
      </c>
      <c r="I932" s="20">
        <f>175/150</f>
        <v>1.1666666666666667</v>
      </c>
      <c r="J932" s="8" t="s">
        <v>4862</v>
      </c>
      <c r="K932" s="182">
        <v>39625</v>
      </c>
      <c r="L932" s="8" t="s">
        <v>5743</v>
      </c>
      <c r="M932" s="8" t="s">
        <v>2814</v>
      </c>
      <c r="N932" s="38"/>
      <c r="O932" s="8" t="s">
        <v>3757</v>
      </c>
      <c r="P932" s="4" t="str">
        <f>VLOOKUP($B932,'D7 - NDB Impacted SPRF''s'!$E$16:$O$9929,9,FALSE)</f>
        <v>N</v>
      </c>
      <c r="Q932" s="4" t="str">
        <f>VLOOKUP($B932,'D7 - NDB Impacted SPRF''s'!$E$16:$O$9929,10,FALSE)</f>
        <v>N</v>
      </c>
      <c r="R932" s="4" t="str">
        <f>VLOOKUP($B932,'D7 - NDB Impacted SPRF''s'!$E$16:$O$9929,11,FALSE)</f>
        <v>N</v>
      </c>
      <c r="S932" s="8"/>
      <c r="T932" s="310"/>
      <c r="U932" s="310"/>
      <c r="V932" s="4"/>
      <c r="W932" s="4"/>
      <c r="X932" s="4"/>
      <c r="Y932" s="4"/>
      <c r="Z932" s="4"/>
      <c r="AA932" s="4"/>
      <c r="AB932" s="380" t="str">
        <f>VLOOKUP($B932,'D7 - NDB Impacted SPRF''s'!$E$16:$O$9929,4,FALSE)</f>
        <v>Completed</v>
      </c>
      <c r="AC932" s="380" t="str">
        <f>VLOOKUP($B932,'D7 - NDB Impacted SPRF''s'!$E$16:$O$9929,3,FALSE)</f>
        <v>UnitedHealthcare Employer &amp; Individual</v>
      </c>
      <c r="AD932" s="380" t="str">
        <f>VLOOKUP($B932,'D7 - NDB Impacted SPRF''s'!$E$16:$O$9929,5,FALSE)</f>
        <v>Membership Growth / Revenue Programs</v>
      </c>
      <c r="AE932" s="380" t="str">
        <f>VLOOKUP($B932,'D7 - NDB Impacted SPRF''s'!$E$16:$O$9929,7,FALSE)</f>
        <v>Steve Auerback</v>
      </c>
      <c r="AF932" s="380" t="str">
        <f>VLOOKUP($B932,'D7 - NDB Impacted SPRF''s'!$E$16:$O$9929,6,FALSE)</f>
        <v>DOUG TROTT</v>
      </c>
      <c r="AG932" s="282"/>
      <c r="AH932" s="311" t="e">
        <f>INDEX('D5 - Gatekeeper - Projects'!$A$4:$AF$1010,$AM932, 17)</f>
        <v>#N/A</v>
      </c>
      <c r="AI932" s="8"/>
      <c r="AJ932" s="57"/>
      <c r="AK932" s="105"/>
      <c r="AM932" s="6" t="e">
        <f>MATCH(D932,'D5 - Gatekeeper - Projects'!$C$4:$C$1010,0)</f>
        <v>#N/A</v>
      </c>
      <c r="AN932" s="6" t="b">
        <f t="shared" si="85"/>
        <v>1</v>
      </c>
      <c r="AO932" s="6" t="str">
        <f t="shared" si="88"/>
        <v>OK</v>
      </c>
      <c r="AQ932" s="6" t="e">
        <f>MATCH($D932,'D4 - Provider Council Unsched'!$C$11:$C$234,0)</f>
        <v>#N/A</v>
      </c>
      <c r="AR932" s="6" t="b">
        <f t="shared" si="86"/>
        <v>1</v>
      </c>
      <c r="AS932" s="6" t="str">
        <f t="shared" si="84"/>
        <v>OK</v>
      </c>
      <c r="AU932" s="202"/>
      <c r="AV932" s="262"/>
      <c r="AW932" s="274"/>
    </row>
    <row r="933" spans="1:49" s="13" customFormat="1" ht="33.75" x14ac:dyDescent="0.2">
      <c r="A933" s="14">
        <v>909</v>
      </c>
      <c r="B933" s="14">
        <v>400014653</v>
      </c>
      <c r="C933" s="8" t="s">
        <v>5614</v>
      </c>
      <c r="D933" s="4" t="str">
        <f t="shared" si="87"/>
        <v>400014653R5</v>
      </c>
      <c r="E933" s="309" t="str">
        <f>VLOOKUP($B933,'D7 - NDB Impacted SPRF''s'!$E$6:$O$9929,2,FALSE)</f>
        <v>EPDE Expansion &amp; Supporting Table Conversions</v>
      </c>
      <c r="F933" s="8" t="s">
        <v>4069</v>
      </c>
      <c r="G933" s="8" t="s">
        <v>4758</v>
      </c>
      <c r="H933" s="8" t="s">
        <v>4246</v>
      </c>
      <c r="I933" s="20">
        <v>1.07</v>
      </c>
      <c r="J933" s="8" t="s">
        <v>4862</v>
      </c>
      <c r="K933" s="182">
        <v>39627</v>
      </c>
      <c r="L933" s="8" t="s">
        <v>5743</v>
      </c>
      <c r="M933" s="8" t="s">
        <v>5626</v>
      </c>
      <c r="N933" s="38"/>
      <c r="O933" s="8" t="s">
        <v>7086</v>
      </c>
      <c r="P933" s="4" t="str">
        <f>VLOOKUP($B933,'D7 - NDB Impacted SPRF''s'!$E$16:$O$9929,9,FALSE)</f>
        <v>N</v>
      </c>
      <c r="Q933" s="4" t="str">
        <f>VLOOKUP($B933,'D7 - NDB Impacted SPRF''s'!$E$16:$O$9929,10,FALSE)</f>
        <v>N</v>
      </c>
      <c r="R933" s="4" t="str">
        <f>VLOOKUP($B933,'D7 - NDB Impacted SPRF''s'!$E$16:$O$9929,11,FALSE)</f>
        <v>N</v>
      </c>
      <c r="S933" s="8"/>
      <c r="T933" s="310"/>
      <c r="U933" s="310"/>
      <c r="V933" s="4"/>
      <c r="W933" s="4"/>
      <c r="X933" s="4"/>
      <c r="Y933" s="4"/>
      <c r="Z933" s="4"/>
      <c r="AA933" s="4"/>
      <c r="AB933" s="380" t="str">
        <f>VLOOKUP($B933,'D7 - NDB Impacted SPRF''s'!$E$16:$O$9929,4,FALSE)</f>
        <v>Completed</v>
      </c>
      <c r="AC933" s="380" t="str">
        <f>VLOOKUP($B933,'D7 - NDB Impacted SPRF''s'!$E$16:$O$9929,3,FALSE)</f>
        <v>UnitedHealthcare Employer &amp; Individual</v>
      </c>
      <c r="AD933" s="380" t="str">
        <f>VLOOKUP($B933,'D7 - NDB Impacted SPRF''s'!$E$16:$O$9929,5,FALSE)</f>
        <v>Medical Cost Savings Programs</v>
      </c>
      <c r="AE933" s="380" t="str">
        <f>VLOOKUP($B933,'D7 - NDB Impacted SPRF''s'!$E$16:$O$9929,7,FALSE)</f>
        <v>Tim Kaja</v>
      </c>
      <c r="AF933" s="380" t="str">
        <f>VLOOKUP($B933,'D7 - NDB Impacted SPRF''s'!$E$16:$O$9929,6,FALSE)</f>
        <v>MARCIA MONACO</v>
      </c>
      <c r="AG933" s="282"/>
      <c r="AH933" s="311" t="e">
        <f>INDEX('D5 - Gatekeeper - Projects'!$A$4:$AF$1010,$AM933, 17)</f>
        <v>#N/A</v>
      </c>
      <c r="AI933" s="8"/>
      <c r="AJ933" s="57"/>
      <c r="AK933" s="105"/>
      <c r="AM933" s="6" t="e">
        <f>MATCH(D933,'D5 - Gatekeeper - Projects'!$C$4:$C$1010,0)</f>
        <v>#N/A</v>
      </c>
      <c r="AN933" s="6" t="b">
        <f t="shared" si="85"/>
        <v>1</v>
      </c>
      <c r="AO933" s="6" t="str">
        <f t="shared" si="88"/>
        <v>OK</v>
      </c>
      <c r="AQ933" s="6" t="e">
        <f>MATCH($D933,'D4 - Provider Council Unsched'!$C$11:$C$234,0)</f>
        <v>#N/A</v>
      </c>
      <c r="AR933" s="6" t="b">
        <f t="shared" si="86"/>
        <v>1</v>
      </c>
      <c r="AS933" s="6" t="str">
        <f t="shared" si="84"/>
        <v>OK</v>
      </c>
      <c r="AU933" s="202"/>
      <c r="AV933" s="262"/>
      <c r="AW933" s="274"/>
    </row>
    <row r="934" spans="1:49" s="13" customFormat="1" ht="33.75" x14ac:dyDescent="0.2">
      <c r="A934" s="14">
        <v>910</v>
      </c>
      <c r="B934" s="14">
        <v>400015075</v>
      </c>
      <c r="C934" s="8" t="s">
        <v>2449</v>
      </c>
      <c r="D934" s="4" t="str">
        <f t="shared" si="87"/>
        <v>400015075R3</v>
      </c>
      <c r="E934" s="309" t="str">
        <f>VLOOKUP($B934,'D7 - NDB Impacted SPRF''s'!$E$6:$O$9929,2,FALSE)</f>
        <v>Medica Non-Notification Penalty</v>
      </c>
      <c r="F934" s="8" t="s">
        <v>5196</v>
      </c>
      <c r="G934" s="8" t="s">
        <v>4758</v>
      </c>
      <c r="H934" s="8" t="s">
        <v>4246</v>
      </c>
      <c r="I934" s="20">
        <f>9.07</f>
        <v>9.07</v>
      </c>
      <c r="J934" s="8" t="s">
        <v>4862</v>
      </c>
      <c r="K934" s="182">
        <v>39627</v>
      </c>
      <c r="L934" s="8" t="s">
        <v>5743</v>
      </c>
      <c r="M934" s="8" t="s">
        <v>2814</v>
      </c>
      <c r="N934" s="38"/>
      <c r="O934" s="8" t="s">
        <v>2547</v>
      </c>
      <c r="P934" s="4" t="str">
        <f>VLOOKUP($B934,'D7 - NDB Impacted SPRF''s'!$E$16:$O$9929,9,FALSE)</f>
        <v>Y</v>
      </c>
      <c r="Q934" s="4" t="str">
        <f>VLOOKUP($B934,'D7 - NDB Impacted SPRF''s'!$E$16:$O$9929,10,FALSE)</f>
        <v>N</v>
      </c>
      <c r="R934" s="4" t="str">
        <f>VLOOKUP($B934,'D7 - NDB Impacted SPRF''s'!$E$16:$O$9929,11,FALSE)</f>
        <v>N</v>
      </c>
      <c r="S934" s="8"/>
      <c r="T934" s="310"/>
      <c r="U934" s="310"/>
      <c r="V934" s="4"/>
      <c r="W934" s="4"/>
      <c r="X934" s="4"/>
      <c r="Y934" s="4"/>
      <c r="Z934" s="4"/>
      <c r="AA934" s="4"/>
      <c r="AB934" s="380" t="str">
        <f>VLOOKUP($B934,'D7 - NDB Impacted SPRF''s'!$E$16:$O$9929,4,FALSE)</f>
        <v>Completed</v>
      </c>
      <c r="AC934" s="380" t="str">
        <f>VLOOKUP($B934,'D7 - NDB Impacted SPRF''s'!$E$16:$O$9929,3,FALSE)</f>
        <v>UnitedHealthcare Employer &amp; Individual</v>
      </c>
      <c r="AD934" s="380" t="str">
        <f>VLOOKUP($B934,'D7 - NDB Impacted SPRF''s'!$E$16:$O$9929,5,FALSE)</f>
        <v>HCA - Medica UNET Conversion</v>
      </c>
      <c r="AE934" s="380" t="str">
        <f>VLOOKUP($B934,'D7 - NDB Impacted SPRF''s'!$E$16:$O$9929,7,FALSE)</f>
        <v>Diane Schofield</v>
      </c>
      <c r="AF934" s="380" t="str">
        <f>VLOOKUP($B934,'D7 - NDB Impacted SPRF''s'!$E$16:$O$9929,6,FALSE)</f>
        <v>KELLY Valentine</v>
      </c>
      <c r="AG934" s="282"/>
      <c r="AH934" s="311" t="e">
        <f>INDEX('D5 - Gatekeeper - Projects'!$A$4:$AF$1010,$AM934, 17)</f>
        <v>#N/A</v>
      </c>
      <c r="AI934" s="8"/>
      <c r="AJ934" s="57"/>
      <c r="AK934" s="105"/>
      <c r="AM934" s="6" t="e">
        <f>MATCH(D934,'D5 - Gatekeeper - Projects'!$C$4:$C$1010,0)</f>
        <v>#N/A</v>
      </c>
      <c r="AN934" s="6" t="b">
        <f t="shared" si="85"/>
        <v>1</v>
      </c>
      <c r="AO934" s="6" t="str">
        <f t="shared" si="88"/>
        <v>OK</v>
      </c>
      <c r="AQ934" s="6" t="e">
        <f>MATCH($D934,'D4 - Provider Council Unsched'!$C$11:$C$234,0)</f>
        <v>#N/A</v>
      </c>
      <c r="AR934" s="6" t="b">
        <f t="shared" si="86"/>
        <v>1</v>
      </c>
      <c r="AS934" s="6" t="str">
        <f t="shared" si="84"/>
        <v>OK</v>
      </c>
      <c r="AU934" s="202"/>
      <c r="AV934" s="262"/>
      <c r="AW934" s="274"/>
    </row>
    <row r="935" spans="1:49" s="13" customFormat="1" ht="33.75" x14ac:dyDescent="0.2">
      <c r="A935" s="14">
        <v>911</v>
      </c>
      <c r="B935" s="14">
        <v>400015927</v>
      </c>
      <c r="C935" s="8" t="s">
        <v>5197</v>
      </c>
      <c r="D935" s="4" t="str">
        <f t="shared" si="87"/>
        <v>400015927R1</v>
      </c>
      <c r="E935" s="309" t="str">
        <f>VLOOKUP($B935,'D7 - NDB Impacted SPRF''s'!$E$6:$O$9929,2,FALSE)</f>
        <v>HCA Pass/Prime integration with IDT</v>
      </c>
      <c r="F935" s="8" t="s">
        <v>5196</v>
      </c>
      <c r="G935" s="8" t="s">
        <v>4758</v>
      </c>
      <c r="H935" s="8" t="s">
        <v>4246</v>
      </c>
      <c r="I935" s="20">
        <v>1.07</v>
      </c>
      <c r="J935" s="8" t="s">
        <v>4862</v>
      </c>
      <c r="K935" s="182">
        <v>39627</v>
      </c>
      <c r="L935" s="8" t="s">
        <v>5743</v>
      </c>
      <c r="M935" s="8" t="s">
        <v>5626</v>
      </c>
      <c r="N935" s="38"/>
      <c r="O935" s="8" t="s">
        <v>2000</v>
      </c>
      <c r="P935" s="4" t="str">
        <f>VLOOKUP($B935,'D7 - NDB Impacted SPRF''s'!$E$16:$O$9929,9,FALSE)</f>
        <v>N</v>
      </c>
      <c r="Q935" s="4" t="str">
        <f>VLOOKUP($B935,'D7 - NDB Impacted SPRF''s'!$E$16:$O$9929,10,FALSE)</f>
        <v>N</v>
      </c>
      <c r="R935" s="4" t="str">
        <f>VLOOKUP($B935,'D7 - NDB Impacted SPRF''s'!$E$16:$O$9929,11,FALSE)</f>
        <v>N</v>
      </c>
      <c r="S935" s="8"/>
      <c r="T935" s="310"/>
      <c r="U935" s="310"/>
      <c r="V935" s="4"/>
      <c r="W935" s="4"/>
      <c r="X935" s="4"/>
      <c r="Y935" s="4"/>
      <c r="Z935" s="4"/>
      <c r="AA935" s="4"/>
      <c r="AB935" s="380" t="str">
        <f>VLOOKUP($B935,'D7 - NDB Impacted SPRF''s'!$E$16:$O$9929,4,FALSE)</f>
        <v>Completed</v>
      </c>
      <c r="AC935" s="380" t="str">
        <f>VLOOKUP($B935,'D7 - NDB Impacted SPRF''s'!$E$16:$O$9929,3,FALSE)</f>
        <v>UnitedHealthcare Employer &amp; Individual</v>
      </c>
      <c r="AD935" s="380" t="str">
        <f>VLOOKUP($B935,'D7 - NDB Impacted SPRF''s'!$E$16:$O$9929,5,FALSE)</f>
        <v>Healthcare Service Alliance</v>
      </c>
      <c r="AE935" s="380" t="str">
        <f>VLOOKUP($B935,'D7 - NDB Impacted SPRF''s'!$E$16:$O$9929,7,FALSE)</f>
        <v>Claire Verity</v>
      </c>
      <c r="AF935" s="380" t="str">
        <f>VLOOKUP($B935,'D7 - NDB Impacted SPRF''s'!$E$16:$O$9929,6,FALSE)</f>
        <v>Jodie Mckie</v>
      </c>
      <c r="AG935" s="282"/>
      <c r="AH935" s="311" t="e">
        <f>INDEX('D5 - Gatekeeper - Projects'!$A$4:$AF$1010,$AM935, 17)</f>
        <v>#N/A</v>
      </c>
      <c r="AI935" s="8"/>
      <c r="AJ935" s="57"/>
      <c r="AK935" s="105"/>
      <c r="AM935" s="6" t="e">
        <f>MATCH(D935,'D5 - Gatekeeper - Projects'!$C$4:$C$1010,0)</f>
        <v>#N/A</v>
      </c>
      <c r="AN935" s="6" t="b">
        <f t="shared" si="85"/>
        <v>1</v>
      </c>
      <c r="AO935" s="6" t="str">
        <f t="shared" si="88"/>
        <v>OK</v>
      </c>
      <c r="AQ935" s="6" t="e">
        <f>MATCH($D935,'D4 - Provider Council Unsched'!$C$11:$C$234,0)</f>
        <v>#N/A</v>
      </c>
      <c r="AR935" s="6" t="b">
        <f t="shared" si="86"/>
        <v>1</v>
      </c>
      <c r="AS935" s="6" t="str">
        <f t="shared" si="84"/>
        <v>OK</v>
      </c>
      <c r="AU935" s="202"/>
      <c r="AV935" s="262"/>
      <c r="AW935" s="274"/>
    </row>
    <row r="936" spans="1:49" s="13" customFormat="1" ht="33.75" x14ac:dyDescent="0.2">
      <c r="A936" s="14">
        <v>912</v>
      </c>
      <c r="B936" s="14">
        <v>400016058</v>
      </c>
      <c r="C936" s="8" t="s">
        <v>5197</v>
      </c>
      <c r="D936" s="4" t="str">
        <f t="shared" si="87"/>
        <v>400016058R1</v>
      </c>
      <c r="E936" s="309" t="str">
        <f>VLOOKUP($B936,'D7 - NDB Impacted SPRF''s'!$E$6:$O$9929,2,FALSE)</f>
        <v>ACN G-Record Transition Initiative</v>
      </c>
      <c r="F936" s="8" t="s">
        <v>2114</v>
      </c>
      <c r="G936" s="8" t="s">
        <v>4758</v>
      </c>
      <c r="H936" s="8" t="s">
        <v>4246</v>
      </c>
      <c r="I936" s="20">
        <v>1.07</v>
      </c>
      <c r="J936" s="8" t="s">
        <v>4862</v>
      </c>
      <c r="K936" s="182">
        <v>39627</v>
      </c>
      <c r="L936" s="8" t="s">
        <v>5743</v>
      </c>
      <c r="M936" s="8" t="s">
        <v>6007</v>
      </c>
      <c r="N936" s="38"/>
      <c r="O936" s="8" t="s">
        <v>5898</v>
      </c>
      <c r="P936" s="4" t="str">
        <f>VLOOKUP($B936,'D7 - NDB Impacted SPRF''s'!$E$16:$O$9929,9,FALSE)</f>
        <v>N</v>
      </c>
      <c r="Q936" s="4" t="str">
        <f>VLOOKUP($B936,'D7 - NDB Impacted SPRF''s'!$E$16:$O$9929,10,FALSE)</f>
        <v>N</v>
      </c>
      <c r="R936" s="4" t="str">
        <f>VLOOKUP($B936,'D7 - NDB Impacted SPRF''s'!$E$16:$O$9929,11,FALSE)</f>
        <v>N</v>
      </c>
      <c r="S936" s="8"/>
      <c r="T936" s="310"/>
      <c r="U936" s="310"/>
      <c r="V936" s="4"/>
      <c r="W936" s="4"/>
      <c r="X936" s="4"/>
      <c r="Y936" s="4"/>
      <c r="Z936" s="4"/>
      <c r="AA936" s="4"/>
      <c r="AB936" s="380" t="str">
        <f>VLOOKUP($B936,'D7 - NDB Impacted SPRF''s'!$E$16:$O$9929,4,FALSE)</f>
        <v>Completed</v>
      </c>
      <c r="AC936" s="380" t="str">
        <f>VLOOKUP($B936,'D7 - NDB Impacted SPRF''s'!$E$16:$O$9929,3,FALSE)</f>
        <v>UnitedHealthcare Employer &amp; Individual</v>
      </c>
      <c r="AD936" s="380" t="str">
        <f>VLOOKUP($B936,'D7 - NDB Impacted SPRF''s'!$E$16:$O$9929,5,FALSE)</f>
        <v>Medical Cost Savings Programs</v>
      </c>
      <c r="AE936" s="380" t="str">
        <f>VLOOKUP($B936,'D7 - NDB Impacted SPRF''s'!$E$16:$O$9929,7,FALSE)</f>
        <v>Tim Kaja</v>
      </c>
      <c r="AF936" s="380" t="str">
        <f>VLOOKUP($B936,'D7 - NDB Impacted SPRF''s'!$E$16:$O$9929,6,FALSE)</f>
        <v>MARCIA MONACO</v>
      </c>
      <c r="AG936" s="282"/>
      <c r="AH936" s="311" t="e">
        <f>INDEX('D5 - Gatekeeper - Projects'!$A$4:$AF$1010,$AM936, 17)</f>
        <v>#N/A</v>
      </c>
      <c r="AI936" s="8"/>
      <c r="AJ936" s="57"/>
      <c r="AK936" s="105"/>
      <c r="AM936" s="6" t="e">
        <f>MATCH(D936,'D5 - Gatekeeper - Projects'!$C$4:$C$1010,0)</f>
        <v>#N/A</v>
      </c>
      <c r="AN936" s="6" t="b">
        <f t="shared" si="85"/>
        <v>1</v>
      </c>
      <c r="AO936" s="6" t="str">
        <f t="shared" si="88"/>
        <v>OK</v>
      </c>
      <c r="AQ936" s="6" t="e">
        <f>MATCH($D936,'D4 - Provider Council Unsched'!$C$11:$C$234,0)</f>
        <v>#N/A</v>
      </c>
      <c r="AR936" s="6" t="b">
        <f t="shared" si="86"/>
        <v>1</v>
      </c>
      <c r="AS936" s="6" t="str">
        <f t="shared" si="84"/>
        <v>OK</v>
      </c>
      <c r="AU936" s="202"/>
      <c r="AV936" s="262"/>
      <c r="AW936" s="274"/>
    </row>
    <row r="937" spans="1:49" s="13" customFormat="1" ht="33.75" x14ac:dyDescent="0.2">
      <c r="A937" s="14">
        <v>913</v>
      </c>
      <c r="B937" s="14">
        <v>400016210</v>
      </c>
      <c r="C937" s="8" t="s">
        <v>5197</v>
      </c>
      <c r="D937" s="4" t="str">
        <f t="shared" si="87"/>
        <v>400016210R1</v>
      </c>
      <c r="E937" s="309" t="str">
        <f>VLOOKUP($B937,'D7 - NDB Impacted SPRF''s'!$E$6:$O$9929,2,FALSE)</f>
        <v>NPI Data Load and Matching Process</v>
      </c>
      <c r="F937" s="8" t="s">
        <v>1059</v>
      </c>
      <c r="G937" s="8" t="s">
        <v>4758</v>
      </c>
      <c r="H937" s="8" t="s">
        <v>4246</v>
      </c>
      <c r="I937" s="20">
        <v>10.11</v>
      </c>
      <c r="J937" s="8" t="s">
        <v>4862</v>
      </c>
      <c r="K937" s="182">
        <v>39627</v>
      </c>
      <c r="L937" s="8" t="s">
        <v>5743</v>
      </c>
      <c r="M937" s="8" t="s">
        <v>2814</v>
      </c>
      <c r="N937" s="38" t="s">
        <v>7983</v>
      </c>
      <c r="O937" s="8" t="s">
        <v>7086</v>
      </c>
      <c r="P937" s="4" t="str">
        <f>VLOOKUP($B937,'D7 - NDB Impacted SPRF''s'!$E$16:$O$9929,9,FALSE)</f>
        <v>N</v>
      </c>
      <c r="Q937" s="4" t="str">
        <f>VLOOKUP($B937,'D7 - NDB Impacted SPRF''s'!$E$16:$O$9929,10,FALSE)</f>
        <v>N</v>
      </c>
      <c r="R937" s="4" t="str">
        <f>VLOOKUP($B937,'D7 - NDB Impacted SPRF''s'!$E$16:$O$9929,11,FALSE)</f>
        <v>N</v>
      </c>
      <c r="S937" s="8"/>
      <c r="T937" s="310"/>
      <c r="U937" s="310"/>
      <c r="V937" s="4"/>
      <c r="W937" s="4"/>
      <c r="X937" s="4"/>
      <c r="Y937" s="4"/>
      <c r="Z937" s="4"/>
      <c r="AA937" s="4"/>
      <c r="AB937" s="380" t="str">
        <f>VLOOKUP($B937,'D7 - NDB Impacted SPRF''s'!$E$16:$O$9929,4,FALSE)</f>
        <v>Completed</v>
      </c>
      <c r="AC937" s="380" t="str">
        <f>VLOOKUP($B937,'D7 - NDB Impacted SPRF''s'!$E$16:$O$9929,3,FALSE)</f>
        <v>UnitedHealthcare Employer &amp; Individual</v>
      </c>
      <c r="AD937" s="380" t="str">
        <f>VLOOKUP($B937,'D7 - NDB Impacted SPRF''s'!$E$16:$O$9929,5,FALSE)</f>
        <v>Regulatory / Other</v>
      </c>
      <c r="AE937" s="380" t="str">
        <f>VLOOKUP($B937,'D7 - NDB Impacted SPRF''s'!$E$16:$O$9929,7,FALSE)</f>
        <v>Tim Kaja</v>
      </c>
      <c r="AF937" s="380" t="str">
        <f>VLOOKUP($B937,'D7 - NDB Impacted SPRF''s'!$E$16:$O$9929,6,FALSE)</f>
        <v>PARK CHRISTINE</v>
      </c>
      <c r="AG937" s="282"/>
      <c r="AH937" s="311" t="e">
        <f>INDEX('D5 - Gatekeeper - Projects'!$A$4:$AF$1010,$AM937, 17)</f>
        <v>#N/A</v>
      </c>
      <c r="AI937" s="8"/>
      <c r="AJ937" s="57"/>
      <c r="AK937" s="105"/>
      <c r="AM937" s="6" t="e">
        <f>MATCH(D937,'D5 - Gatekeeper - Projects'!$C$4:$C$1010,0)</f>
        <v>#N/A</v>
      </c>
      <c r="AN937" s="6" t="b">
        <f t="shared" si="85"/>
        <v>1</v>
      </c>
      <c r="AO937" s="6" t="str">
        <f t="shared" si="88"/>
        <v>OK</v>
      </c>
      <c r="AQ937" s="6" t="e">
        <f>MATCH($D937,'D4 - Provider Council Unsched'!$C$11:$C$234,0)</f>
        <v>#N/A</v>
      </c>
      <c r="AR937" s="6" t="b">
        <f t="shared" si="86"/>
        <v>1</v>
      </c>
      <c r="AS937" s="6" t="str">
        <f t="shared" si="84"/>
        <v>OK</v>
      </c>
      <c r="AU937" s="202"/>
      <c r="AV937" s="262"/>
      <c r="AW937" s="274"/>
    </row>
    <row r="938" spans="1:49" s="13" customFormat="1" ht="33.75" x14ac:dyDescent="0.2">
      <c r="A938" s="14">
        <v>914</v>
      </c>
      <c r="B938" s="14">
        <v>400016367</v>
      </c>
      <c r="C938" s="8" t="s">
        <v>5197</v>
      </c>
      <c r="D938" s="4" t="str">
        <f t="shared" si="87"/>
        <v>400016367R1</v>
      </c>
      <c r="E938" s="309" t="str">
        <f>VLOOKUP($B938,'D7 - NDB Impacted SPRF''s'!$E$6:$O$9929,2,FALSE)</f>
        <v>Enhance Notifications for Ancillary(uhconline.com)</v>
      </c>
      <c r="F938" s="8" t="s">
        <v>2114</v>
      </c>
      <c r="G938" s="8" t="s">
        <v>4758</v>
      </c>
      <c r="H938" s="8" t="s">
        <v>4246</v>
      </c>
      <c r="I938" s="20">
        <f>50/150</f>
        <v>0.33333333333333331</v>
      </c>
      <c r="J938" s="8" t="s">
        <v>4862</v>
      </c>
      <c r="K938" s="182">
        <v>39627</v>
      </c>
      <c r="L938" s="8" t="s">
        <v>4156</v>
      </c>
      <c r="M938" s="8" t="s">
        <v>5626</v>
      </c>
      <c r="N938" s="38" t="s">
        <v>3628</v>
      </c>
      <c r="O938" s="8" t="s">
        <v>2000</v>
      </c>
      <c r="P938" s="4" t="str">
        <f>VLOOKUP($B938,'D7 - NDB Impacted SPRF''s'!$E$16:$O$9929,9,FALSE)</f>
        <v>N</v>
      </c>
      <c r="Q938" s="4" t="str">
        <f>VLOOKUP($B938,'D7 - NDB Impacted SPRF''s'!$E$16:$O$9929,10,FALSE)</f>
        <v>N</v>
      </c>
      <c r="R938" s="4" t="str">
        <f>VLOOKUP($B938,'D7 - NDB Impacted SPRF''s'!$E$16:$O$9929,11,FALSE)</f>
        <v>N</v>
      </c>
      <c r="S938" s="8"/>
      <c r="T938" s="310"/>
      <c r="U938" s="310"/>
      <c r="V938" s="4"/>
      <c r="W938" s="4"/>
      <c r="X938" s="4"/>
      <c r="Y938" s="4"/>
      <c r="Z938" s="4"/>
      <c r="AA938" s="4"/>
      <c r="AB938" s="380" t="str">
        <f>VLOOKUP($B938,'D7 - NDB Impacted SPRF''s'!$E$16:$O$9929,4,FALSE)</f>
        <v>Completed</v>
      </c>
      <c r="AC938" s="380" t="str">
        <f>VLOOKUP($B938,'D7 - NDB Impacted SPRF''s'!$E$16:$O$9929,3,FALSE)</f>
        <v>UnitedHealthcare Employer &amp; Individual</v>
      </c>
      <c r="AD938" s="380" t="str">
        <f>VLOOKUP($B938,'D7 - NDB Impacted SPRF''s'!$E$16:$O$9929,5,FALSE)</f>
        <v>Process Improvement</v>
      </c>
      <c r="AE938" s="380" t="str">
        <f>VLOOKUP($B938,'D7 - NDB Impacted SPRF''s'!$E$16:$O$9929,7,FALSE)</f>
        <v>Karen Cain-VP Home Services</v>
      </c>
      <c r="AF938" s="380" t="str">
        <f>VLOOKUP($B938,'D7 - NDB Impacted SPRF''s'!$E$16:$O$9929,6,FALSE)</f>
        <v>Karmen Anderson</v>
      </c>
      <c r="AG938" s="282"/>
      <c r="AH938" s="311" t="e">
        <f>INDEX('D5 - Gatekeeper - Projects'!$A$4:$AF$1010,$AM938, 17)</f>
        <v>#N/A</v>
      </c>
      <c r="AI938" s="8"/>
      <c r="AJ938" s="57"/>
      <c r="AK938" s="105"/>
      <c r="AM938" s="6" t="e">
        <f>MATCH(D938,'D5 - Gatekeeper - Projects'!$C$4:$C$1010,0)</f>
        <v>#N/A</v>
      </c>
      <c r="AN938" s="6" t="b">
        <f t="shared" si="85"/>
        <v>1</v>
      </c>
      <c r="AO938" s="6" t="str">
        <f t="shared" si="88"/>
        <v>OK</v>
      </c>
      <c r="AQ938" s="6" t="e">
        <f>MATCH($D938,'D4 - Provider Council Unsched'!$C$11:$C$234,0)</f>
        <v>#N/A</v>
      </c>
      <c r="AR938" s="6" t="b">
        <f t="shared" si="86"/>
        <v>1</v>
      </c>
      <c r="AS938" s="6" t="str">
        <f t="shared" si="84"/>
        <v>OK</v>
      </c>
      <c r="AU938" s="202"/>
      <c r="AV938" s="262"/>
      <c r="AW938" s="274"/>
    </row>
    <row r="939" spans="1:49" s="13" customFormat="1" ht="33.75" x14ac:dyDescent="0.2">
      <c r="A939" s="14">
        <v>915</v>
      </c>
      <c r="B939" s="14">
        <v>400016578</v>
      </c>
      <c r="C939" s="8" t="s">
        <v>6554</v>
      </c>
      <c r="D939" s="4" t="str">
        <f t="shared" si="87"/>
        <v>400016578R10</v>
      </c>
      <c r="E939" s="309" t="str">
        <f>VLOOKUP($B939,'D7 - NDB Impacted SPRF''s'!$E$6:$O$9929,2,FALSE)</f>
        <v>Detailed Tuning Recommendations</v>
      </c>
      <c r="F939" s="8" t="s">
        <v>8133</v>
      </c>
      <c r="G939" s="8" t="s">
        <v>4758</v>
      </c>
      <c r="H939" s="8" t="s">
        <v>4246</v>
      </c>
      <c r="I939" s="20">
        <v>1.4</v>
      </c>
      <c r="J939" s="8" t="s">
        <v>4862</v>
      </c>
      <c r="K939" s="182">
        <v>39627</v>
      </c>
      <c r="L939" s="8" t="s">
        <v>5743</v>
      </c>
      <c r="M939" s="8" t="s">
        <v>4450</v>
      </c>
      <c r="N939" s="38"/>
      <c r="O939" s="8" t="s">
        <v>7299</v>
      </c>
      <c r="P939" s="4" t="str">
        <f>VLOOKUP($B939,'D7 - NDB Impacted SPRF''s'!$E$16:$O$9929,9,FALSE)</f>
        <v>Y</v>
      </c>
      <c r="Q939" s="4" t="str">
        <f>VLOOKUP($B939,'D7 - NDB Impacted SPRF''s'!$E$16:$O$9929,10,FALSE)</f>
        <v>N</v>
      </c>
      <c r="R939" s="4" t="str">
        <f>VLOOKUP($B939,'D7 - NDB Impacted SPRF''s'!$E$16:$O$9929,11,FALSE)</f>
        <v>N</v>
      </c>
      <c r="S939" s="8"/>
      <c r="T939" s="310"/>
      <c r="U939" s="310"/>
      <c r="V939" s="4"/>
      <c r="W939" s="4"/>
      <c r="X939" s="4"/>
      <c r="Y939" s="4"/>
      <c r="Z939" s="4"/>
      <c r="AA939" s="4"/>
      <c r="AB939" s="380" t="str">
        <f>VLOOKUP($B939,'D7 - NDB Impacted SPRF''s'!$E$16:$O$9929,4,FALSE)</f>
        <v>Completed</v>
      </c>
      <c r="AC939" s="380" t="str">
        <f>VLOOKUP($B939,'D7 - NDB Impacted SPRF''s'!$E$16:$O$9929,3,FALSE)</f>
        <v>UHG IT - Application Services Group</v>
      </c>
      <c r="AD939" s="380" t="str">
        <f>VLOOKUP($B939,'D7 - NDB Impacted SPRF''s'!$E$16:$O$9929,5,FALSE)</f>
        <v>ASG</v>
      </c>
      <c r="AE939" s="380" t="str">
        <f>VLOOKUP($B939,'D7 - NDB Impacted SPRF''s'!$E$16:$O$9929,7,FALSE)</f>
        <v>Jeff Hanas</v>
      </c>
      <c r="AF939" s="380" t="str">
        <f>VLOOKUP($B939,'D7 - NDB Impacted SPRF''s'!$E$16:$O$9929,6,FALSE)</f>
        <v>Jeffrey Jablonski</v>
      </c>
      <c r="AG939" s="282"/>
      <c r="AH939" s="311" t="e">
        <f>INDEX('D5 - Gatekeeper - Projects'!$A$4:$AF$1010,$AM939, 17)</f>
        <v>#N/A</v>
      </c>
      <c r="AI939" s="8"/>
      <c r="AJ939" s="57"/>
      <c r="AK939" s="105"/>
      <c r="AM939" s="6" t="e">
        <f>MATCH(D939,'D5 - Gatekeeper - Projects'!$C$4:$C$1010,0)</f>
        <v>#N/A</v>
      </c>
      <c r="AN939" s="6" t="b">
        <f t="shared" si="85"/>
        <v>1</v>
      </c>
      <c r="AO939" s="6" t="str">
        <f t="shared" si="88"/>
        <v>OK</v>
      </c>
      <c r="AQ939" s="6" t="e">
        <f>MATCH($D939,'D4 - Provider Council Unsched'!$C$11:$C$234,0)</f>
        <v>#N/A</v>
      </c>
      <c r="AR939" s="6" t="b">
        <f t="shared" si="86"/>
        <v>1</v>
      </c>
      <c r="AS939" s="6" t="str">
        <f t="shared" si="84"/>
        <v>OK</v>
      </c>
      <c r="AU939" s="202"/>
      <c r="AV939" s="262"/>
      <c r="AW939" s="274"/>
    </row>
    <row r="940" spans="1:49" s="13" customFormat="1" ht="33.75" x14ac:dyDescent="0.2">
      <c r="A940" s="14">
        <v>916</v>
      </c>
      <c r="B940" s="14">
        <v>400019686</v>
      </c>
      <c r="C940" s="8" t="s">
        <v>5197</v>
      </c>
      <c r="D940" s="4" t="str">
        <f t="shared" si="87"/>
        <v>400019686R1</v>
      </c>
      <c r="E940" s="309" t="str">
        <f>VLOOKUP($B940,'D7 - NDB Impacted SPRF''s'!$E$6:$O$9929,2,FALSE)</f>
        <v>ECap Testing - Extended Support by NDB</v>
      </c>
      <c r="F940" s="8" t="s">
        <v>7593</v>
      </c>
      <c r="G940" s="8" t="s">
        <v>4758</v>
      </c>
      <c r="H940" s="8" t="s">
        <v>4246</v>
      </c>
      <c r="I940" s="20">
        <v>11.5</v>
      </c>
      <c r="J940" s="8" t="s">
        <v>4862</v>
      </c>
      <c r="K940" s="182">
        <v>39627</v>
      </c>
      <c r="L940" s="8" t="s">
        <v>5743</v>
      </c>
      <c r="M940" s="8" t="s">
        <v>6688</v>
      </c>
      <c r="N940" s="38"/>
      <c r="O940" s="8" t="s">
        <v>7086</v>
      </c>
      <c r="P940" s="4" t="str">
        <f>VLOOKUP($B940,'D7 - NDB Impacted SPRF''s'!$E$16:$O$9929,9,FALSE)</f>
        <v>N</v>
      </c>
      <c r="Q940" s="4" t="str">
        <f>VLOOKUP($B940,'D7 - NDB Impacted SPRF''s'!$E$16:$O$9929,10,FALSE)</f>
        <v>N</v>
      </c>
      <c r="R940" s="4" t="str">
        <f>VLOOKUP($B940,'D7 - NDB Impacted SPRF''s'!$E$16:$O$9929,11,FALSE)</f>
        <v>N</v>
      </c>
      <c r="S940" s="8"/>
      <c r="T940" s="310"/>
      <c r="U940" s="310"/>
      <c r="V940" s="4"/>
      <c r="W940" s="4"/>
      <c r="X940" s="4"/>
      <c r="Y940" s="4"/>
      <c r="Z940" s="4"/>
      <c r="AA940" s="4"/>
      <c r="AB940" s="380" t="str">
        <f>VLOOKUP($B940,'D7 - NDB Impacted SPRF''s'!$E$16:$O$9929,4,FALSE)</f>
        <v>Completed</v>
      </c>
      <c r="AC940" s="380" t="str">
        <f>VLOOKUP($B940,'D7 - NDB Impacted SPRF''s'!$E$16:$O$9929,3,FALSE)</f>
        <v>UnitedHealthcare Employer &amp; Individual</v>
      </c>
      <c r="AD940" s="380" t="str">
        <f>VLOOKUP($B940,'D7 - NDB Impacted SPRF''s'!$E$16:$O$9929,5,FALSE)</f>
        <v>Integration Requirements</v>
      </c>
      <c r="AE940" s="380" t="str">
        <f>VLOOKUP($B940,'D7 - NDB Impacted SPRF''s'!$E$16:$O$9929,7,FALSE)</f>
        <v>Sue Berkel</v>
      </c>
      <c r="AF940" s="380" t="str">
        <f>VLOOKUP($B940,'D7 - NDB Impacted SPRF''s'!$E$16:$O$9929,6,FALSE)</f>
        <v>MELINDA BURWELL</v>
      </c>
      <c r="AG940" s="282"/>
      <c r="AH940" s="311" t="e">
        <f>INDEX('D5 - Gatekeeper - Projects'!$A$4:$AF$1010,$AM940, 17)</f>
        <v>#N/A</v>
      </c>
      <c r="AI940" s="8"/>
      <c r="AJ940" s="57"/>
      <c r="AK940" s="105"/>
      <c r="AM940" s="6" t="e">
        <f>MATCH(D940,'D5 - Gatekeeper - Projects'!$C$4:$C$1010,0)</f>
        <v>#N/A</v>
      </c>
      <c r="AN940" s="6" t="b">
        <f t="shared" si="85"/>
        <v>1</v>
      </c>
      <c r="AO940" s="6" t="str">
        <f t="shared" si="88"/>
        <v>OK</v>
      </c>
      <c r="AQ940" s="6" t="e">
        <f>MATCH($D940,'D4 - Provider Council Unsched'!$C$11:$C$234,0)</f>
        <v>#N/A</v>
      </c>
      <c r="AR940" s="6" t="b">
        <f t="shared" si="86"/>
        <v>1</v>
      </c>
      <c r="AS940" s="6" t="str">
        <f t="shared" si="84"/>
        <v>OK</v>
      </c>
      <c r="AU940" s="202"/>
      <c r="AV940" s="262"/>
      <c r="AW940" s="274"/>
    </row>
    <row r="941" spans="1:49" s="13" customFormat="1" ht="33.75" x14ac:dyDescent="0.2">
      <c r="A941" s="14">
        <v>917</v>
      </c>
      <c r="B941" s="14">
        <v>400019848</v>
      </c>
      <c r="C941" s="8" t="s">
        <v>5197</v>
      </c>
      <c r="D941" s="4" t="str">
        <f t="shared" si="87"/>
        <v>400019848R1</v>
      </c>
      <c r="E941" s="339" t="s">
        <v>1971</v>
      </c>
      <c r="F941" s="8" t="s">
        <v>7989</v>
      </c>
      <c r="G941" s="8" t="s">
        <v>4758</v>
      </c>
      <c r="H941" s="8" t="s">
        <v>4246</v>
      </c>
      <c r="I941" s="20">
        <v>16.89</v>
      </c>
      <c r="J941" s="8" t="s">
        <v>4862</v>
      </c>
      <c r="K941" s="182">
        <v>39627</v>
      </c>
      <c r="L941" s="8" t="s">
        <v>5743</v>
      </c>
      <c r="M941" s="8" t="s">
        <v>2814</v>
      </c>
      <c r="N941" s="38"/>
      <c r="O941" s="8" t="s">
        <v>1998</v>
      </c>
      <c r="P941" s="4" t="str">
        <f>VLOOKUP($B941,'D7 - NDB Impacted SPRF''s'!$E$16:$O$9929,9,FALSE)</f>
        <v>N</v>
      </c>
      <c r="Q941" s="4" t="str">
        <f>VLOOKUP($B941,'D7 - NDB Impacted SPRF''s'!$E$16:$O$9929,10,FALSE)</f>
        <v>N</v>
      </c>
      <c r="R941" s="4" t="str">
        <f>VLOOKUP($B941,'D7 - NDB Impacted SPRF''s'!$E$16:$O$9929,11,FALSE)</f>
        <v>N</v>
      </c>
      <c r="S941" s="8"/>
      <c r="T941" s="310"/>
      <c r="U941" s="310"/>
      <c r="V941" s="4"/>
      <c r="W941" s="4"/>
      <c r="X941" s="4"/>
      <c r="Y941" s="4"/>
      <c r="Z941" s="4"/>
      <c r="AA941" s="4"/>
      <c r="AB941" s="380" t="str">
        <f>VLOOKUP($B941,'D7 - NDB Impacted SPRF''s'!$E$16:$O$9929,4,FALSE)</f>
        <v>Completed</v>
      </c>
      <c r="AC941" s="380" t="str">
        <f>VLOOKUP($B941,'D7 - NDB Impacted SPRF''s'!$E$16:$O$9929,3,FALSE)</f>
        <v>UnitedHealthcare Medicare &amp; Retirement</v>
      </c>
      <c r="AD941" s="380" t="str">
        <f>VLOOKUP($B941,'D7 - NDB Impacted SPRF''s'!$E$16:$O$9929,5,FALSE)</f>
        <v>Clinical-Ovations</v>
      </c>
      <c r="AE941" s="380" t="str">
        <f>VLOOKUP($B941,'D7 - NDB Impacted SPRF''s'!$E$16:$O$9929,7,FALSE)</f>
        <v>Gino Tenance</v>
      </c>
      <c r="AF941" s="380" t="str">
        <f>VLOOKUP($B941,'D7 - NDB Impacted SPRF''s'!$E$16:$O$9929,6,FALSE)</f>
        <v>Nicolle Wollin</v>
      </c>
      <c r="AG941" s="282"/>
      <c r="AH941" s="311" t="e">
        <f>INDEX('D5 - Gatekeeper - Projects'!$A$4:$AF$1010,$AM941, 17)</f>
        <v>#N/A</v>
      </c>
      <c r="AI941" s="8"/>
      <c r="AJ941" s="57"/>
      <c r="AK941" s="105"/>
      <c r="AM941" s="6" t="e">
        <f>MATCH(D941,'D5 - Gatekeeper - Projects'!$C$4:$C$1010,0)</f>
        <v>#N/A</v>
      </c>
      <c r="AN941" s="6" t="b">
        <f t="shared" si="85"/>
        <v>1</v>
      </c>
      <c r="AO941" s="6" t="str">
        <f t="shared" si="88"/>
        <v>OK</v>
      </c>
      <c r="AQ941" s="6" t="e">
        <f>MATCH($D941,'D4 - Provider Council Unsched'!$C$11:$C$234,0)</f>
        <v>#N/A</v>
      </c>
      <c r="AR941" s="6" t="b">
        <f t="shared" si="86"/>
        <v>1</v>
      </c>
      <c r="AS941" s="6" t="str">
        <f t="shared" si="84"/>
        <v>OK</v>
      </c>
      <c r="AU941" s="202"/>
      <c r="AV941" s="262"/>
      <c r="AW941" s="274"/>
    </row>
    <row r="942" spans="1:49" s="13" customFormat="1" ht="33.75" x14ac:dyDescent="0.2">
      <c r="A942" s="14">
        <v>918</v>
      </c>
      <c r="B942" s="14">
        <v>400020317</v>
      </c>
      <c r="C942" s="8" t="s">
        <v>5197</v>
      </c>
      <c r="D942" s="4" t="str">
        <f t="shared" si="87"/>
        <v>400020317R1</v>
      </c>
      <c r="E942" s="309" t="str">
        <f>VLOOKUP($B942,'D7 - NDB Impacted SPRF''s'!$E$6:$O$9929,2,FALSE)</f>
        <v>Medica-PSIT 3 (Partner Specific Integration Test)</v>
      </c>
      <c r="F942" s="8" t="s">
        <v>5196</v>
      </c>
      <c r="G942" s="8" t="s">
        <v>4758</v>
      </c>
      <c r="H942" s="8" t="s">
        <v>4246</v>
      </c>
      <c r="I942" s="20">
        <v>1.07</v>
      </c>
      <c r="J942" s="8" t="s">
        <v>4862</v>
      </c>
      <c r="K942" s="182">
        <v>39627</v>
      </c>
      <c r="L942" s="8" t="s">
        <v>5743</v>
      </c>
      <c r="M942" s="8" t="s">
        <v>5626</v>
      </c>
      <c r="N942" s="38"/>
      <c r="O942" s="8" t="s">
        <v>2000</v>
      </c>
      <c r="P942" s="4" t="str">
        <f>VLOOKUP($B942,'D7 - NDB Impacted SPRF''s'!$E$16:$O$9929,9,FALSE)</f>
        <v>Y</v>
      </c>
      <c r="Q942" s="4" t="str">
        <f>VLOOKUP($B942,'D7 - NDB Impacted SPRF''s'!$E$16:$O$9929,10,FALSE)</f>
        <v>N</v>
      </c>
      <c r="R942" s="4" t="str">
        <f>VLOOKUP($B942,'D7 - NDB Impacted SPRF''s'!$E$16:$O$9929,11,FALSE)</f>
        <v>N</v>
      </c>
      <c r="S942" s="8"/>
      <c r="T942" s="310"/>
      <c r="U942" s="310"/>
      <c r="V942" s="4"/>
      <c r="W942" s="4"/>
      <c r="X942" s="4"/>
      <c r="Y942" s="4"/>
      <c r="Z942" s="4"/>
      <c r="AA942" s="4"/>
      <c r="AB942" s="380" t="str">
        <f>VLOOKUP($B942,'D7 - NDB Impacted SPRF''s'!$E$16:$O$9929,4,FALSE)</f>
        <v>Completed</v>
      </c>
      <c r="AC942" s="380" t="str">
        <f>VLOOKUP($B942,'D7 - NDB Impacted SPRF''s'!$E$16:$O$9929,3,FALSE)</f>
        <v>UnitedHealthcare Employer &amp; Individual</v>
      </c>
      <c r="AD942" s="380" t="str">
        <f>VLOOKUP($B942,'D7 - NDB Impacted SPRF''s'!$E$16:$O$9929,5,FALSE)</f>
        <v>HCA - Medica UNET Conversion</v>
      </c>
      <c r="AE942" s="380" t="str">
        <f>VLOOKUP($B942,'D7 - NDB Impacted SPRF''s'!$E$16:$O$9929,7,FALSE)</f>
        <v>Diane Schofield</v>
      </c>
      <c r="AF942" s="380" t="str">
        <f>VLOOKUP($B942,'D7 - NDB Impacted SPRF''s'!$E$16:$O$9929,6,FALSE)</f>
        <v>Cindy Griggs</v>
      </c>
      <c r="AG942" s="282"/>
      <c r="AH942" s="311" t="e">
        <f>INDEX('D5 - Gatekeeper - Projects'!$A$4:$AF$1010,$AM942, 17)</f>
        <v>#N/A</v>
      </c>
      <c r="AI942" s="8"/>
      <c r="AJ942" s="57"/>
      <c r="AK942" s="105"/>
      <c r="AM942" s="6" t="e">
        <f>MATCH(D942,'D5 - Gatekeeper - Projects'!$C$4:$C$1010,0)</f>
        <v>#N/A</v>
      </c>
      <c r="AN942" s="6" t="b">
        <f t="shared" si="85"/>
        <v>1</v>
      </c>
      <c r="AO942" s="6" t="str">
        <f t="shared" si="88"/>
        <v>OK</v>
      </c>
      <c r="AQ942" s="6" t="e">
        <f>MATCH($D942,'D4 - Provider Council Unsched'!$C$11:$C$234,0)</f>
        <v>#N/A</v>
      </c>
      <c r="AR942" s="6" t="b">
        <f t="shared" si="86"/>
        <v>1</v>
      </c>
      <c r="AS942" s="6" t="str">
        <f t="shared" si="84"/>
        <v>OK</v>
      </c>
      <c r="AU942" s="202"/>
      <c r="AV942" s="262"/>
      <c r="AW942" s="274"/>
    </row>
    <row r="943" spans="1:49" s="13" customFormat="1" ht="33.75" x14ac:dyDescent="0.2">
      <c r="A943" s="14">
        <v>919</v>
      </c>
      <c r="B943" s="14">
        <v>400020494</v>
      </c>
      <c r="C943" s="8" t="s">
        <v>5197</v>
      </c>
      <c r="D943" s="4" t="str">
        <f t="shared" si="87"/>
        <v>400020494R1</v>
      </c>
      <c r="E943" s="309" t="str">
        <f>VLOOKUP($B943,'D7 - NDB Impacted SPRF''s'!$E$6:$O$9929,2,FALSE)</f>
        <v>UMR Choice Repricing Addition</v>
      </c>
      <c r="F943" s="8" t="s">
        <v>4213</v>
      </c>
      <c r="G943" s="8" t="s">
        <v>4758</v>
      </c>
      <c r="H943" s="8" t="s">
        <v>4246</v>
      </c>
      <c r="I943" s="20">
        <v>1.07</v>
      </c>
      <c r="J943" s="8" t="s">
        <v>4862</v>
      </c>
      <c r="K943" s="182">
        <v>39627</v>
      </c>
      <c r="L943" s="8" t="s">
        <v>5743</v>
      </c>
      <c r="M943" s="8" t="s">
        <v>5626</v>
      </c>
      <c r="N943" s="38"/>
      <c r="O943" s="8" t="s">
        <v>2000</v>
      </c>
      <c r="P943" s="4" t="str">
        <f>VLOOKUP($B943,'D7 - NDB Impacted SPRF''s'!$E$16:$O$9929,9,FALSE)</f>
        <v>N</v>
      </c>
      <c r="Q943" s="4" t="str">
        <f>VLOOKUP($B943,'D7 - NDB Impacted SPRF''s'!$E$16:$O$9929,10,FALSE)</f>
        <v>N</v>
      </c>
      <c r="R943" s="4" t="str">
        <f>VLOOKUP($B943,'D7 - NDB Impacted SPRF''s'!$E$16:$O$9929,11,FALSE)</f>
        <v>Y</v>
      </c>
      <c r="S943" s="8"/>
      <c r="T943" s="310"/>
      <c r="U943" s="310"/>
      <c r="V943" s="4"/>
      <c r="W943" s="4"/>
      <c r="X943" s="4"/>
      <c r="Y943" s="4"/>
      <c r="Z943" s="4"/>
      <c r="AA943" s="4"/>
      <c r="AB943" s="380" t="str">
        <f>VLOOKUP($B943,'D7 - NDB Impacted SPRF''s'!$E$16:$O$9929,4,FALSE)</f>
        <v>Completed</v>
      </c>
      <c r="AC943" s="380" t="str">
        <f>VLOOKUP($B943,'D7 - NDB Impacted SPRF''s'!$E$16:$O$9929,3,FALSE)</f>
        <v>UnitedHealthcare Employer &amp; Individual</v>
      </c>
      <c r="AD943" s="380" t="str">
        <f>VLOOKUP($B943,'D7 - NDB Impacted SPRF''s'!$E$16:$O$9929,5,FALSE)</f>
        <v>Integration Requirements</v>
      </c>
      <c r="AE943" s="380" t="str">
        <f>VLOOKUP($B943,'D7 - NDB Impacted SPRF''s'!$E$16:$O$9929,7,FALSE)</f>
        <v>Mike McDonnell</v>
      </c>
      <c r="AF943" s="380" t="str">
        <f>VLOOKUP($B943,'D7 - NDB Impacted SPRF''s'!$E$16:$O$9929,6,FALSE)</f>
        <v>Ellis Miller</v>
      </c>
      <c r="AG943" s="282"/>
      <c r="AH943" s="311" t="e">
        <f>INDEX('D5 - Gatekeeper - Projects'!$A$4:$AF$1010,$AM943, 17)</f>
        <v>#N/A</v>
      </c>
      <c r="AI943" s="8"/>
      <c r="AJ943" s="57"/>
      <c r="AK943" s="105"/>
      <c r="AM943" s="6" t="e">
        <f>MATCH(D943,'D5 - Gatekeeper - Projects'!$C$4:$C$1010,0)</f>
        <v>#N/A</v>
      </c>
      <c r="AN943" s="6" t="b">
        <f t="shared" si="85"/>
        <v>1</v>
      </c>
      <c r="AO943" s="6" t="str">
        <f t="shared" si="88"/>
        <v>OK</v>
      </c>
      <c r="AQ943" s="6" t="e">
        <f>MATCH($D943,'D4 - Provider Council Unsched'!$C$11:$C$234,0)</f>
        <v>#N/A</v>
      </c>
      <c r="AR943" s="6" t="b">
        <f t="shared" si="86"/>
        <v>1</v>
      </c>
      <c r="AS943" s="6" t="str">
        <f t="shared" ref="AS943:AS1006" si="89">IF(AND(H943="2 - Not Scheduled",AR943=TRUE),"Add","OK")</f>
        <v>OK</v>
      </c>
      <c r="AU943" s="202"/>
      <c r="AV943" s="262"/>
      <c r="AW943" s="274"/>
    </row>
    <row r="944" spans="1:49" s="13" customFormat="1" ht="33.75" x14ac:dyDescent="0.2">
      <c r="A944" s="14">
        <v>920</v>
      </c>
      <c r="B944" s="14">
        <v>400021299</v>
      </c>
      <c r="C944" s="8" t="s">
        <v>5197</v>
      </c>
      <c r="D944" s="4" t="str">
        <f t="shared" si="87"/>
        <v>400021299R1</v>
      </c>
      <c r="E944" s="309" t="str">
        <f>VLOOKUP($B944,'D7 - NDB Impacted SPRF''s'!$E$6:$O$9929,2,FALSE)</f>
        <v>ELGS Provider Electronic Messaging</v>
      </c>
      <c r="F944" s="8" t="s">
        <v>2114</v>
      </c>
      <c r="G944" s="8" t="s">
        <v>4758</v>
      </c>
      <c r="H944" s="8" t="s">
        <v>4246</v>
      </c>
      <c r="I944" s="20">
        <v>23.1</v>
      </c>
      <c r="J944" s="8" t="s">
        <v>4862</v>
      </c>
      <c r="K944" s="182">
        <v>39627</v>
      </c>
      <c r="L944" s="8" t="s">
        <v>5743</v>
      </c>
      <c r="M944" s="8" t="s">
        <v>2814</v>
      </c>
      <c r="N944" s="38"/>
      <c r="O944" s="8" t="s">
        <v>3757</v>
      </c>
      <c r="P944" s="4" t="str">
        <f>VLOOKUP($B944,'D7 - NDB Impacted SPRF''s'!$E$16:$O$9929,9,FALSE)</f>
        <v>N</v>
      </c>
      <c r="Q944" s="4" t="str">
        <f>VLOOKUP($B944,'D7 - NDB Impacted SPRF''s'!$E$16:$O$9929,10,FALSE)</f>
        <v>N</v>
      </c>
      <c r="R944" s="4" t="str">
        <f>VLOOKUP($B944,'D7 - NDB Impacted SPRF''s'!$E$16:$O$9929,11,FALSE)</f>
        <v>N</v>
      </c>
      <c r="S944" s="8"/>
      <c r="T944" s="310"/>
      <c r="U944" s="310"/>
      <c r="V944" s="4"/>
      <c r="W944" s="4"/>
      <c r="X944" s="4"/>
      <c r="Y944" s="4"/>
      <c r="Z944" s="4"/>
      <c r="AA944" s="4"/>
      <c r="AB944" s="380" t="str">
        <f>VLOOKUP($B944,'D7 - NDB Impacted SPRF''s'!$E$16:$O$9929,4,FALSE)</f>
        <v>Completed</v>
      </c>
      <c r="AC944" s="380" t="str">
        <f>VLOOKUP($B944,'D7 - NDB Impacted SPRF''s'!$E$16:$O$9929,3,FALSE)</f>
        <v>UnitedHealthcare Employer &amp; Individual</v>
      </c>
      <c r="AD944" s="380" t="str">
        <f>VLOOKUP($B944,'D7 - NDB Impacted SPRF''s'!$E$16:$O$9929,5,FALSE)</f>
        <v>Membership Growth / Revenue Programs</v>
      </c>
      <c r="AE944" s="380" t="str">
        <f>VLOOKUP($B944,'D7 - NDB Impacted SPRF''s'!$E$16:$O$9929,7,FALSE)</f>
        <v>Steve Auerback</v>
      </c>
      <c r="AF944" s="380" t="str">
        <f>VLOOKUP($B944,'D7 - NDB Impacted SPRF''s'!$E$16:$O$9929,6,FALSE)</f>
        <v>DOUG TROTT</v>
      </c>
      <c r="AG944" s="282"/>
      <c r="AH944" s="311" t="e">
        <f>INDEX('D5 - Gatekeeper - Projects'!$A$4:$AF$1010,$AM944, 17)</f>
        <v>#N/A</v>
      </c>
      <c r="AI944" s="8"/>
      <c r="AJ944" s="57"/>
      <c r="AK944" s="105"/>
      <c r="AM944" s="6" t="e">
        <f>MATCH(D944,'D5 - Gatekeeper - Projects'!$C$4:$C$1010,0)</f>
        <v>#N/A</v>
      </c>
      <c r="AN944" s="6" t="b">
        <f t="shared" si="85"/>
        <v>1</v>
      </c>
      <c r="AO944" s="6" t="str">
        <f t="shared" si="88"/>
        <v>OK</v>
      </c>
      <c r="AQ944" s="6" t="e">
        <f>MATCH($D944,'D4 - Provider Council Unsched'!$C$11:$C$234,0)</f>
        <v>#N/A</v>
      </c>
      <c r="AR944" s="6" t="b">
        <f t="shared" si="86"/>
        <v>1</v>
      </c>
      <c r="AS944" s="6" t="str">
        <f t="shared" si="89"/>
        <v>OK</v>
      </c>
      <c r="AU944" s="202"/>
      <c r="AV944" s="262"/>
      <c r="AW944" s="274"/>
    </row>
    <row r="945" spans="1:49" s="13" customFormat="1" ht="33.75" x14ac:dyDescent="0.2">
      <c r="A945" s="14">
        <v>921</v>
      </c>
      <c r="B945" s="14">
        <v>400021620</v>
      </c>
      <c r="C945" s="8" t="s">
        <v>5197</v>
      </c>
      <c r="D945" s="4" t="str">
        <f t="shared" si="87"/>
        <v>400021620R1</v>
      </c>
      <c r="E945" s="309" t="str">
        <f>VLOOKUP($B945,'D7 - NDB Impacted SPRF''s'!$E$6:$O$9929,2,FALSE)</f>
        <v>Rad Accreditation-Add fields to Error reports</v>
      </c>
      <c r="F945" s="8" t="s">
        <v>5188</v>
      </c>
      <c r="G945" s="8" t="s">
        <v>4758</v>
      </c>
      <c r="H945" s="8" t="s">
        <v>4246</v>
      </c>
      <c r="I945" s="20">
        <v>3.73</v>
      </c>
      <c r="J945" s="8" t="s">
        <v>4862</v>
      </c>
      <c r="K945" s="182">
        <v>39627</v>
      </c>
      <c r="L945" s="8" t="s">
        <v>5743</v>
      </c>
      <c r="M945" s="8" t="s">
        <v>2814</v>
      </c>
      <c r="N945" s="38" t="s">
        <v>5155</v>
      </c>
      <c r="O945" s="8" t="s">
        <v>2547</v>
      </c>
      <c r="P945" s="4" t="str">
        <f>VLOOKUP($B945,'D7 - NDB Impacted SPRF''s'!$E$16:$O$9929,9,FALSE)</f>
        <v>N</v>
      </c>
      <c r="Q945" s="4" t="str">
        <f>VLOOKUP($B945,'D7 - NDB Impacted SPRF''s'!$E$16:$O$9929,10,FALSE)</f>
        <v>N</v>
      </c>
      <c r="R945" s="4" t="str">
        <f>VLOOKUP($B945,'D7 - NDB Impacted SPRF''s'!$E$16:$O$9929,11,FALSE)</f>
        <v>N</v>
      </c>
      <c r="S945" s="8"/>
      <c r="T945" s="310"/>
      <c r="U945" s="310"/>
      <c r="V945" s="4"/>
      <c r="W945" s="4"/>
      <c r="X945" s="4"/>
      <c r="Y945" s="4"/>
      <c r="Z945" s="4"/>
      <c r="AA945" s="4"/>
      <c r="AB945" s="380" t="str">
        <f>VLOOKUP($B945,'D7 - NDB Impacted SPRF''s'!$E$16:$O$9929,4,FALSE)</f>
        <v>Completed</v>
      </c>
      <c r="AC945" s="380" t="str">
        <f>VLOOKUP($B945,'D7 - NDB Impacted SPRF''s'!$E$16:$O$9929,3,FALSE)</f>
        <v>UnitedHealthcare Employer &amp; Individual</v>
      </c>
      <c r="AD945" s="380" t="str">
        <f>VLOOKUP($B945,'D7 - NDB Impacted SPRF''s'!$E$16:$O$9929,5,FALSE)</f>
        <v>Medical Cost Savings Programs</v>
      </c>
      <c r="AE945" s="380" t="str">
        <f>VLOOKUP($B945,'D7 - NDB Impacted SPRF''s'!$E$16:$O$9929,7,FALSE)</f>
        <v>Laurie Paidosh</v>
      </c>
      <c r="AF945" s="380" t="str">
        <f>VLOOKUP($B945,'D7 - NDB Impacted SPRF''s'!$E$16:$O$9929,6,FALSE)</f>
        <v>Lori West</v>
      </c>
      <c r="AG945" s="282"/>
      <c r="AH945" s="311" t="e">
        <f>INDEX('D5 - Gatekeeper - Projects'!$A$4:$AF$1010,$AM945, 17)</f>
        <v>#N/A</v>
      </c>
      <c r="AI945" s="8"/>
      <c r="AJ945" s="57"/>
      <c r="AK945" s="105"/>
      <c r="AM945" s="6" t="e">
        <f>MATCH(D945,'D5 - Gatekeeper - Projects'!$C$4:$C$1010,0)</f>
        <v>#N/A</v>
      </c>
      <c r="AN945" s="6" t="b">
        <f t="shared" si="85"/>
        <v>1</v>
      </c>
      <c r="AO945" s="6" t="str">
        <f t="shared" si="88"/>
        <v>OK</v>
      </c>
      <c r="AQ945" s="6" t="e">
        <f>MATCH($D945,'D4 - Provider Council Unsched'!$C$11:$C$234,0)</f>
        <v>#N/A</v>
      </c>
      <c r="AR945" s="6" t="b">
        <f t="shared" si="86"/>
        <v>1</v>
      </c>
      <c r="AS945" s="6" t="str">
        <f t="shared" si="89"/>
        <v>OK</v>
      </c>
      <c r="AU945" s="202"/>
      <c r="AV945" s="262"/>
      <c r="AW945" s="274"/>
    </row>
    <row r="946" spans="1:49" s="13" customFormat="1" ht="33.75" x14ac:dyDescent="0.2">
      <c r="A946" s="14">
        <v>922</v>
      </c>
      <c r="B946" s="14">
        <v>400022108</v>
      </c>
      <c r="C946" s="8" t="s">
        <v>5197</v>
      </c>
      <c r="D946" s="4" t="str">
        <f t="shared" si="87"/>
        <v>400022108R1</v>
      </c>
      <c r="E946" s="309" t="str">
        <f>VLOOKUP($B946,'D7 - NDB Impacted SPRF''s'!$E$6:$O$9929,2,FALSE)</f>
        <v>Harrington-Benesight HCFA w iCES and Choice Plus</v>
      </c>
      <c r="F946" s="8" t="s">
        <v>2114</v>
      </c>
      <c r="G946" s="8" t="s">
        <v>4758</v>
      </c>
      <c r="H946" s="8" t="s">
        <v>4246</v>
      </c>
      <c r="I946" s="20">
        <v>1.07</v>
      </c>
      <c r="J946" s="8" t="s">
        <v>4862</v>
      </c>
      <c r="K946" s="182">
        <v>39627</v>
      </c>
      <c r="L946" s="8" t="s">
        <v>5743</v>
      </c>
      <c r="M946" s="8" t="s">
        <v>5626</v>
      </c>
      <c r="N946" s="38"/>
      <c r="O946" s="8" t="s">
        <v>2000</v>
      </c>
      <c r="P946" s="4" t="str">
        <f>VLOOKUP($B946,'D7 - NDB Impacted SPRF''s'!$E$16:$O$9929,9,FALSE)</f>
        <v>N</v>
      </c>
      <c r="Q946" s="4" t="str">
        <f>VLOOKUP($B946,'D7 - NDB Impacted SPRF''s'!$E$16:$O$9929,10,FALSE)</f>
        <v>N</v>
      </c>
      <c r="R946" s="4" t="str">
        <f>VLOOKUP($B946,'D7 - NDB Impacted SPRF''s'!$E$16:$O$9929,11,FALSE)</f>
        <v>Y</v>
      </c>
      <c r="S946" s="8"/>
      <c r="T946" s="310"/>
      <c r="U946" s="310"/>
      <c r="V946" s="4"/>
      <c r="W946" s="4"/>
      <c r="X946" s="4"/>
      <c r="Y946" s="4"/>
      <c r="Z946" s="4"/>
      <c r="AA946" s="4"/>
      <c r="AB946" s="380" t="str">
        <f>VLOOKUP($B946,'D7 - NDB Impacted SPRF''s'!$E$16:$O$9929,4,FALSE)</f>
        <v>Completed</v>
      </c>
      <c r="AC946" s="380" t="str">
        <f>VLOOKUP($B946,'D7 - NDB Impacted SPRF''s'!$E$16:$O$9929,3,FALSE)</f>
        <v>UnitedHealthcare Employer &amp; Individual</v>
      </c>
      <c r="AD946" s="380" t="str">
        <f>VLOOKUP($B946,'D7 - NDB Impacted SPRF''s'!$E$16:$O$9929,5,FALSE)</f>
        <v>Operational Requirements</v>
      </c>
      <c r="AE946" s="380" t="str">
        <f>VLOOKUP($B946,'D7 - NDB Impacted SPRF''s'!$E$16:$O$9929,7,FALSE)</f>
        <v>Sally Verilli</v>
      </c>
      <c r="AF946" s="380" t="str">
        <f>VLOOKUP($B946,'D7 - NDB Impacted SPRF''s'!$E$16:$O$9929,6,FALSE)</f>
        <v>STACIE THOMAS</v>
      </c>
      <c r="AG946" s="282"/>
      <c r="AH946" s="311" t="e">
        <f>INDEX('D5 - Gatekeeper - Projects'!$A$4:$AF$1010,$AM946, 17)</f>
        <v>#N/A</v>
      </c>
      <c r="AI946" s="8"/>
      <c r="AJ946" s="57"/>
      <c r="AK946" s="105"/>
      <c r="AM946" s="6" t="e">
        <f>MATCH(D946,'D5 - Gatekeeper - Projects'!$C$4:$C$1010,0)</f>
        <v>#N/A</v>
      </c>
      <c r="AN946" s="6" t="b">
        <f t="shared" si="85"/>
        <v>1</v>
      </c>
      <c r="AO946" s="6" t="str">
        <f t="shared" si="88"/>
        <v>OK</v>
      </c>
      <c r="AQ946" s="6" t="e">
        <f>MATCH($D946,'D4 - Provider Council Unsched'!$C$11:$C$234,0)</f>
        <v>#N/A</v>
      </c>
      <c r="AR946" s="6" t="b">
        <f t="shared" si="86"/>
        <v>1</v>
      </c>
      <c r="AS946" s="6" t="str">
        <f t="shared" si="89"/>
        <v>OK</v>
      </c>
      <c r="AU946" s="202"/>
      <c r="AV946" s="262"/>
      <c r="AW946" s="274"/>
    </row>
    <row r="947" spans="1:49" s="13" customFormat="1" ht="33.75" x14ac:dyDescent="0.2">
      <c r="A947" s="14">
        <v>923</v>
      </c>
      <c r="B947" s="14">
        <v>400022682</v>
      </c>
      <c r="C947" s="8" t="s">
        <v>5197</v>
      </c>
      <c r="D947" s="4" t="str">
        <f t="shared" si="87"/>
        <v>400022682R1</v>
      </c>
      <c r="E947" s="309" t="str">
        <f>VLOOKUP($B947,'D7 - NDB Impacted SPRF''s'!$E$6:$O$9929,2,FALSE)</f>
        <v>Data load of AmeriChoice States into NDB</v>
      </c>
      <c r="F947" s="8" t="s">
        <v>4961</v>
      </c>
      <c r="G947" s="8" t="s">
        <v>4758</v>
      </c>
      <c r="H947" s="8" t="s">
        <v>4246</v>
      </c>
      <c r="I947" s="20">
        <f>897/150</f>
        <v>5.98</v>
      </c>
      <c r="J947" s="8" t="s">
        <v>4862</v>
      </c>
      <c r="K947" s="182">
        <v>39627</v>
      </c>
      <c r="L947" s="8" t="s">
        <v>5743</v>
      </c>
      <c r="M947" s="8" t="s">
        <v>2814</v>
      </c>
      <c r="N947" s="38" t="s">
        <v>8062</v>
      </c>
      <c r="O947" s="8" t="s">
        <v>4599</v>
      </c>
      <c r="P947" s="4" t="str">
        <f>VLOOKUP($B947,'D7 - NDB Impacted SPRF''s'!$E$16:$O$9929,9,FALSE)</f>
        <v>N</v>
      </c>
      <c r="Q947" s="4" t="str">
        <f>VLOOKUP($B947,'D7 - NDB Impacted SPRF''s'!$E$16:$O$9929,10,FALSE)</f>
        <v>N</v>
      </c>
      <c r="R947" s="4" t="str">
        <f>VLOOKUP($B947,'D7 - NDB Impacted SPRF''s'!$E$16:$O$9929,11,FALSE)</f>
        <v>N</v>
      </c>
      <c r="S947" s="8"/>
      <c r="T947" s="310"/>
      <c r="U947" s="310"/>
      <c r="V947" s="4"/>
      <c r="W947" s="4"/>
      <c r="X947" s="4"/>
      <c r="Y947" s="4"/>
      <c r="Z947" s="4"/>
      <c r="AA947" s="4"/>
      <c r="AB947" s="380" t="str">
        <f>VLOOKUP($B947,'D7 - NDB Impacted SPRF''s'!$E$16:$O$9929,4,FALSE)</f>
        <v>Completed</v>
      </c>
      <c r="AC947" s="380" t="str">
        <f>VLOOKUP($B947,'D7 - NDB Impacted SPRF''s'!$E$16:$O$9929,3,FALSE)</f>
        <v>UnitedHealthcare Employer &amp; Individual</v>
      </c>
      <c r="AD947" s="380" t="str">
        <f>VLOOKUP($B947,'D7 - NDB Impacted SPRF''s'!$E$16:$O$9929,5,FALSE)</f>
        <v>Membership Growth / Revenue Programs</v>
      </c>
      <c r="AE947" s="380" t="str">
        <f>VLOOKUP($B947,'D7 - NDB Impacted SPRF''s'!$E$16:$O$9929,7,FALSE)</f>
        <v>MIke Mikan</v>
      </c>
      <c r="AF947" s="380" t="str">
        <f>VLOOKUP($B947,'D7 - NDB Impacted SPRF''s'!$E$16:$O$9929,6,FALSE)</f>
        <v>GREGORY MILLS</v>
      </c>
      <c r="AG947" s="282"/>
      <c r="AH947" s="311" t="e">
        <f>INDEX('D5 - Gatekeeper - Projects'!$A$4:$AF$1010,$AM947, 17)</f>
        <v>#N/A</v>
      </c>
      <c r="AI947" s="8"/>
      <c r="AJ947" s="57"/>
      <c r="AK947" s="105"/>
      <c r="AM947" s="6" t="e">
        <f>MATCH(D947,'D5 - Gatekeeper - Projects'!$C$4:$C$1010,0)</f>
        <v>#N/A</v>
      </c>
      <c r="AN947" s="6" t="b">
        <f t="shared" si="85"/>
        <v>1</v>
      </c>
      <c r="AO947" s="6" t="str">
        <f t="shared" si="88"/>
        <v>OK</v>
      </c>
      <c r="AQ947" s="6" t="e">
        <f>MATCH($D947,'D4 - Provider Council Unsched'!$C$11:$C$234,0)</f>
        <v>#N/A</v>
      </c>
      <c r="AR947" s="6" t="b">
        <f t="shared" si="86"/>
        <v>1</v>
      </c>
      <c r="AS947" s="6" t="str">
        <f t="shared" si="89"/>
        <v>OK</v>
      </c>
      <c r="AU947" s="202"/>
      <c r="AV947" s="262"/>
      <c r="AW947" s="274"/>
    </row>
    <row r="948" spans="1:49" s="13" customFormat="1" ht="33.75" x14ac:dyDescent="0.2">
      <c r="A948" s="14">
        <v>924</v>
      </c>
      <c r="B948" s="14">
        <v>400022981</v>
      </c>
      <c r="C948" s="8" t="s">
        <v>5197</v>
      </c>
      <c r="D948" s="4" t="str">
        <f t="shared" si="87"/>
        <v>400022981R1</v>
      </c>
      <c r="E948" s="309" t="str">
        <f>VLOOKUP($B948,'D7 - NDB Impacted SPRF''s'!$E$6:$O$9929,2,FALSE)</f>
        <v>Sierra HCFA Claims Repricing Project</v>
      </c>
      <c r="F948" s="8" t="s">
        <v>7834</v>
      </c>
      <c r="G948" s="8" t="s">
        <v>4758</v>
      </c>
      <c r="H948" s="8" t="s">
        <v>4246</v>
      </c>
      <c r="I948" s="20">
        <v>1.07</v>
      </c>
      <c r="J948" s="8" t="s">
        <v>4862</v>
      </c>
      <c r="K948" s="182">
        <v>39627</v>
      </c>
      <c r="L948" s="8" t="s">
        <v>5743</v>
      </c>
      <c r="M948" s="8" t="s">
        <v>5626</v>
      </c>
      <c r="N948" s="38"/>
      <c r="O948" s="8" t="s">
        <v>2000</v>
      </c>
      <c r="P948" s="4" t="str">
        <f>VLOOKUP($B948,'D7 - NDB Impacted SPRF''s'!$E$16:$O$9929,9,FALSE)</f>
        <v>N</v>
      </c>
      <c r="Q948" s="4" t="str">
        <f>VLOOKUP($B948,'D7 - NDB Impacted SPRF''s'!$E$16:$O$9929,10,FALSE)</f>
        <v>N</v>
      </c>
      <c r="R948" s="4" t="str">
        <f>VLOOKUP($B948,'D7 - NDB Impacted SPRF''s'!$E$16:$O$9929,11,FALSE)</f>
        <v>N</v>
      </c>
      <c r="S948" s="8"/>
      <c r="T948" s="310"/>
      <c r="U948" s="310"/>
      <c r="V948" s="4"/>
      <c r="W948" s="4"/>
      <c r="X948" s="4"/>
      <c r="Y948" s="4"/>
      <c r="Z948" s="4"/>
      <c r="AA948" s="4"/>
      <c r="AB948" s="380" t="str">
        <f>VLOOKUP($B948,'D7 - NDB Impacted SPRF''s'!$E$16:$O$9929,4,FALSE)</f>
        <v>Completed</v>
      </c>
      <c r="AC948" s="380" t="str">
        <f>VLOOKUP($B948,'D7 - NDB Impacted SPRF''s'!$E$16:$O$9929,3,FALSE)</f>
        <v>UnitedHealthcare Employer &amp; Individual</v>
      </c>
      <c r="AD948" s="380" t="str">
        <f>VLOOKUP($B948,'D7 - NDB Impacted SPRF''s'!$E$16:$O$9929,5,FALSE)</f>
        <v>Integration Requirements</v>
      </c>
      <c r="AE948" s="380" t="str">
        <f>VLOOKUP($B948,'D7 - NDB Impacted SPRF''s'!$E$16:$O$9929,7,FALSE)</f>
        <v>Sally Verrilli</v>
      </c>
      <c r="AF948" s="380" t="str">
        <f>VLOOKUP($B948,'D7 - NDB Impacted SPRF''s'!$E$16:$O$9929,6,FALSE)</f>
        <v>Ellis Miller</v>
      </c>
      <c r="AG948" s="282"/>
      <c r="AH948" s="311" t="e">
        <f>INDEX('D5 - Gatekeeper - Projects'!$A$4:$AF$1010,$AM948, 17)</f>
        <v>#N/A</v>
      </c>
      <c r="AI948" s="8"/>
      <c r="AJ948" s="57"/>
      <c r="AK948" s="105"/>
      <c r="AM948" s="6" t="e">
        <f>MATCH(D948,'D5 - Gatekeeper - Projects'!$C$4:$C$1010,0)</f>
        <v>#N/A</v>
      </c>
      <c r="AN948" s="6" t="b">
        <f t="shared" si="85"/>
        <v>1</v>
      </c>
      <c r="AO948" s="6" t="str">
        <f t="shared" si="88"/>
        <v>OK</v>
      </c>
      <c r="AQ948" s="6" t="e">
        <f>MATCH($D948,'D4 - Provider Council Unsched'!$C$11:$C$234,0)</f>
        <v>#N/A</v>
      </c>
      <c r="AR948" s="6" t="b">
        <f t="shared" si="86"/>
        <v>1</v>
      </c>
      <c r="AS948" s="6" t="str">
        <f t="shared" si="89"/>
        <v>OK</v>
      </c>
      <c r="AU948" s="202"/>
      <c r="AV948" s="262"/>
      <c r="AW948" s="274"/>
    </row>
    <row r="949" spans="1:49" s="13" customFormat="1" ht="33.75" x14ac:dyDescent="0.2">
      <c r="A949" s="14">
        <v>925</v>
      </c>
      <c r="B949" s="14">
        <v>400022982</v>
      </c>
      <c r="C949" s="8" t="s">
        <v>5197</v>
      </c>
      <c r="D949" s="4" t="str">
        <f t="shared" si="87"/>
        <v>400022982R1</v>
      </c>
      <c r="E949" s="309" t="str">
        <f>VLOOKUP($B949,'D7 - NDB Impacted SPRF''s'!$E$6:$O$9929,2,FALSE)</f>
        <v>Sierra UB Claims Repricing Project</v>
      </c>
      <c r="F949" s="8" t="s">
        <v>7834</v>
      </c>
      <c r="G949" s="8" t="s">
        <v>4758</v>
      </c>
      <c r="H949" s="8" t="s">
        <v>4246</v>
      </c>
      <c r="I949" s="20">
        <v>1.07</v>
      </c>
      <c r="J949" s="8" t="s">
        <v>4862</v>
      </c>
      <c r="K949" s="182">
        <v>39627</v>
      </c>
      <c r="L949" s="8" t="s">
        <v>5743</v>
      </c>
      <c r="M949" s="8" t="s">
        <v>5626</v>
      </c>
      <c r="N949" s="38"/>
      <c r="O949" s="8" t="s">
        <v>2000</v>
      </c>
      <c r="P949" s="4" t="str">
        <f>VLOOKUP($B949,'D7 - NDB Impacted SPRF''s'!$E$16:$O$9929,9,FALSE)</f>
        <v>N</v>
      </c>
      <c r="Q949" s="4" t="str">
        <f>VLOOKUP($B949,'D7 - NDB Impacted SPRF''s'!$E$16:$O$9929,10,FALSE)</f>
        <v>N</v>
      </c>
      <c r="R949" s="4" t="str">
        <f>VLOOKUP($B949,'D7 - NDB Impacted SPRF''s'!$E$16:$O$9929,11,FALSE)</f>
        <v>N</v>
      </c>
      <c r="S949" s="8"/>
      <c r="T949" s="310"/>
      <c r="U949" s="310"/>
      <c r="V949" s="4"/>
      <c r="W949" s="4"/>
      <c r="X949" s="4"/>
      <c r="Y949" s="4"/>
      <c r="Z949" s="4"/>
      <c r="AA949" s="4"/>
      <c r="AB949" s="380" t="str">
        <f>VLOOKUP($B949,'D7 - NDB Impacted SPRF''s'!$E$16:$O$9929,4,FALSE)</f>
        <v>Completed</v>
      </c>
      <c r="AC949" s="380" t="str">
        <f>VLOOKUP($B949,'D7 - NDB Impacted SPRF''s'!$E$16:$O$9929,3,FALSE)</f>
        <v>UnitedHealthcare Employer &amp; Individual</v>
      </c>
      <c r="AD949" s="380" t="str">
        <f>VLOOKUP($B949,'D7 - NDB Impacted SPRF''s'!$E$16:$O$9929,5,FALSE)</f>
        <v>Integration Requirements</v>
      </c>
      <c r="AE949" s="380" t="str">
        <f>VLOOKUP($B949,'D7 - NDB Impacted SPRF''s'!$E$16:$O$9929,7,FALSE)</f>
        <v>Sally Verrilli</v>
      </c>
      <c r="AF949" s="380" t="str">
        <f>VLOOKUP($B949,'D7 - NDB Impacted SPRF''s'!$E$16:$O$9929,6,FALSE)</f>
        <v>Ellis Miller</v>
      </c>
      <c r="AG949" s="282"/>
      <c r="AH949" s="311" t="e">
        <f>INDEX('D5 - Gatekeeper - Projects'!$A$4:$AF$1010,$AM949, 17)</f>
        <v>#N/A</v>
      </c>
      <c r="AI949" s="8"/>
      <c r="AJ949" s="57"/>
      <c r="AK949" s="105"/>
      <c r="AM949" s="6" t="e">
        <f>MATCH(D949,'D5 - Gatekeeper - Projects'!$C$4:$C$1010,0)</f>
        <v>#N/A</v>
      </c>
      <c r="AN949" s="6" t="b">
        <f t="shared" si="85"/>
        <v>1</v>
      </c>
      <c r="AO949" s="6" t="str">
        <f t="shared" si="88"/>
        <v>OK</v>
      </c>
      <c r="AQ949" s="6" t="e">
        <f>MATCH($D949,'D4 - Provider Council Unsched'!$C$11:$C$234,0)</f>
        <v>#N/A</v>
      </c>
      <c r="AR949" s="6" t="b">
        <f t="shared" si="86"/>
        <v>1</v>
      </c>
      <c r="AS949" s="6" t="str">
        <f t="shared" si="89"/>
        <v>OK</v>
      </c>
      <c r="AU949" s="202"/>
      <c r="AV949" s="262"/>
      <c r="AW949" s="274"/>
    </row>
    <row r="950" spans="1:49" s="13" customFormat="1" ht="33.75" x14ac:dyDescent="0.2">
      <c r="A950" s="14">
        <v>926</v>
      </c>
      <c r="B950" s="14">
        <v>400023340</v>
      </c>
      <c r="C950" s="8" t="s">
        <v>5197</v>
      </c>
      <c r="D950" s="4" t="str">
        <f t="shared" si="87"/>
        <v>400023340R1</v>
      </c>
      <c r="E950" s="309" t="str">
        <f>VLOOKUP($B950,'D7 - NDB Impacted SPRF''s'!$E$6:$O$9929,2,FALSE)</f>
        <v>NDB Refresh of Radiology Accreditation Data</v>
      </c>
      <c r="F950" s="8" t="s">
        <v>7989</v>
      </c>
      <c r="G950" s="8" t="s">
        <v>4758</v>
      </c>
      <c r="H950" s="8" t="s">
        <v>4246</v>
      </c>
      <c r="I950" s="20">
        <v>0.79</v>
      </c>
      <c r="J950" s="8" t="s">
        <v>4862</v>
      </c>
      <c r="K950" s="182">
        <v>39627</v>
      </c>
      <c r="L950" s="8" t="s">
        <v>5743</v>
      </c>
      <c r="M950" s="8" t="s">
        <v>6007</v>
      </c>
      <c r="N950" s="38"/>
      <c r="O950" s="8" t="s">
        <v>1998</v>
      </c>
      <c r="P950" s="4" t="str">
        <f>VLOOKUP($B950,'D7 - NDB Impacted SPRF''s'!$E$16:$O$9929,9,FALSE)</f>
        <v>N</v>
      </c>
      <c r="Q950" s="4" t="str">
        <f>VLOOKUP($B950,'D7 - NDB Impacted SPRF''s'!$E$16:$O$9929,10,FALSE)</f>
        <v>N</v>
      </c>
      <c r="R950" s="4" t="str">
        <f>VLOOKUP($B950,'D7 - NDB Impacted SPRF''s'!$E$16:$O$9929,11,FALSE)</f>
        <v>N</v>
      </c>
      <c r="S950" s="8"/>
      <c r="T950" s="310"/>
      <c r="U950" s="310"/>
      <c r="V950" s="4"/>
      <c r="W950" s="4"/>
      <c r="X950" s="4"/>
      <c r="Y950" s="4"/>
      <c r="Z950" s="4"/>
      <c r="AA950" s="4"/>
      <c r="AB950" s="380" t="str">
        <f>VLOOKUP($B950,'D7 - NDB Impacted SPRF''s'!$E$16:$O$9929,4,FALSE)</f>
        <v>Completed</v>
      </c>
      <c r="AC950" s="380" t="str">
        <f>VLOOKUP($B950,'D7 - NDB Impacted SPRF''s'!$E$16:$O$9929,3,FALSE)</f>
        <v>UnitedHealthcare Employer &amp; Individual</v>
      </c>
      <c r="AD950" s="380" t="str">
        <f>VLOOKUP($B950,'D7 - NDB Impacted SPRF''s'!$E$16:$O$9929,5,FALSE)</f>
        <v>Medical Cost Savings Programs</v>
      </c>
      <c r="AE950" s="380" t="str">
        <f>VLOOKUP($B950,'D7 - NDB Impacted SPRF''s'!$E$16:$O$9929,7,FALSE)</f>
        <v>Laurie Paidosh</v>
      </c>
      <c r="AF950" s="380" t="str">
        <f>VLOOKUP($B950,'D7 - NDB Impacted SPRF''s'!$E$16:$O$9929,6,FALSE)</f>
        <v>Charity Torguson</v>
      </c>
      <c r="AG950" s="282"/>
      <c r="AH950" s="311" t="e">
        <f>INDEX('D5 - Gatekeeper - Projects'!$A$4:$AF$1010,$AM950, 17)</f>
        <v>#N/A</v>
      </c>
      <c r="AI950" s="8"/>
      <c r="AJ950" s="57"/>
      <c r="AK950" s="105"/>
      <c r="AM950" s="6" t="e">
        <f>MATCH(D950,'D5 - Gatekeeper - Projects'!$C$4:$C$1010,0)</f>
        <v>#N/A</v>
      </c>
      <c r="AN950" s="6" t="b">
        <f t="shared" si="85"/>
        <v>1</v>
      </c>
      <c r="AO950" s="6" t="str">
        <f t="shared" si="88"/>
        <v>OK</v>
      </c>
      <c r="AQ950" s="6" t="e">
        <f>MATCH($D950,'D4 - Provider Council Unsched'!$C$11:$C$234,0)</f>
        <v>#N/A</v>
      </c>
      <c r="AR950" s="6" t="b">
        <f t="shared" si="86"/>
        <v>1</v>
      </c>
      <c r="AS950" s="6" t="str">
        <f t="shared" si="89"/>
        <v>OK</v>
      </c>
      <c r="AU950" s="202"/>
      <c r="AV950" s="262"/>
      <c r="AW950" s="274"/>
    </row>
    <row r="951" spans="1:49" s="13" customFormat="1" ht="33.75" x14ac:dyDescent="0.2">
      <c r="A951" s="14">
        <v>927</v>
      </c>
      <c r="B951" s="14">
        <v>400023438</v>
      </c>
      <c r="C951" s="8" t="s">
        <v>5197</v>
      </c>
      <c r="D951" s="4" t="str">
        <f t="shared" si="87"/>
        <v>400023438R1</v>
      </c>
      <c r="E951" s="309" t="str">
        <f>VLOOKUP($B951,'D7 - NDB Impacted SPRF''s'!$E$6:$O$9929,2,FALSE)</f>
        <v>MAHP FELRA Customer Commitment</v>
      </c>
      <c r="F951" s="8" t="s">
        <v>2114</v>
      </c>
      <c r="G951" s="8" t="s">
        <v>4758</v>
      </c>
      <c r="H951" s="8" t="s">
        <v>4246</v>
      </c>
      <c r="I951" s="20">
        <v>1.07</v>
      </c>
      <c r="J951" s="8" t="s">
        <v>4862</v>
      </c>
      <c r="K951" s="182">
        <v>39627</v>
      </c>
      <c r="L951" s="8" t="s">
        <v>5743</v>
      </c>
      <c r="M951" s="8" t="s">
        <v>5626</v>
      </c>
      <c r="N951" s="38"/>
      <c r="O951" s="8" t="s">
        <v>2000</v>
      </c>
      <c r="P951" s="4" t="str">
        <f>VLOOKUP($B951,'D7 - NDB Impacted SPRF''s'!$E$16:$O$9929,9,FALSE)</f>
        <v>N</v>
      </c>
      <c r="Q951" s="4" t="str">
        <f>VLOOKUP($B951,'D7 - NDB Impacted SPRF''s'!$E$16:$O$9929,10,FALSE)</f>
        <v>N</v>
      </c>
      <c r="R951" s="4" t="str">
        <f>VLOOKUP($B951,'D7 - NDB Impacted SPRF''s'!$E$16:$O$9929,11,FALSE)</f>
        <v>N</v>
      </c>
      <c r="S951" s="8"/>
      <c r="T951" s="310"/>
      <c r="U951" s="310"/>
      <c r="V951" s="4"/>
      <c r="W951" s="4"/>
      <c r="X951" s="4"/>
      <c r="Y951" s="4"/>
      <c r="Z951" s="4"/>
      <c r="AA951" s="4"/>
      <c r="AB951" s="380" t="str">
        <f>VLOOKUP($B951,'D7 - NDB Impacted SPRF''s'!$E$16:$O$9929,4,FALSE)</f>
        <v>Cancelled</v>
      </c>
      <c r="AC951" s="380" t="str">
        <f>VLOOKUP($B951,'D7 - NDB Impacted SPRF''s'!$E$16:$O$9929,3,FALSE)</f>
        <v>UnitedHealthcare Employer &amp; Individual</v>
      </c>
      <c r="AD951" s="380" t="str">
        <f>VLOOKUP($B951,'D7 - NDB Impacted SPRF''s'!$E$16:$O$9929,5,FALSE)</f>
        <v>Membership Growth / Revenue Programs</v>
      </c>
      <c r="AE951" s="380" t="str">
        <f>VLOOKUP($B951,'D7 - NDB Impacted SPRF''s'!$E$16:$O$9929,7,FALSE)</f>
        <v>Kevin Ruth</v>
      </c>
      <c r="AF951" s="380" t="str">
        <f>VLOOKUP($B951,'D7 - NDB Impacted SPRF''s'!$E$16:$O$9929,6,FALSE)</f>
        <v>Jeanne Wittig</v>
      </c>
      <c r="AG951" s="282"/>
      <c r="AH951" s="311" t="e">
        <f>INDEX('D5 - Gatekeeper - Projects'!$A$4:$AF$1010,$AM951, 17)</f>
        <v>#N/A</v>
      </c>
      <c r="AI951" s="8"/>
      <c r="AJ951" s="57"/>
      <c r="AK951" s="105"/>
      <c r="AM951" s="6" t="e">
        <f>MATCH(D951,'D5 - Gatekeeper - Projects'!$C$4:$C$1010,0)</f>
        <v>#N/A</v>
      </c>
      <c r="AN951" s="6" t="b">
        <f t="shared" si="85"/>
        <v>1</v>
      </c>
      <c r="AO951" s="6" t="str">
        <f t="shared" si="88"/>
        <v>OK</v>
      </c>
      <c r="AQ951" s="6" t="e">
        <f>MATCH($D951,'D4 - Provider Council Unsched'!$C$11:$C$234,0)</f>
        <v>#N/A</v>
      </c>
      <c r="AR951" s="6" t="b">
        <f t="shared" si="86"/>
        <v>1</v>
      </c>
      <c r="AS951" s="6" t="str">
        <f t="shared" si="89"/>
        <v>OK</v>
      </c>
      <c r="AU951" s="202"/>
      <c r="AV951" s="262"/>
      <c r="AW951" s="274"/>
    </row>
    <row r="952" spans="1:49" s="13" customFormat="1" ht="33.75" x14ac:dyDescent="0.2">
      <c r="A952" s="14">
        <v>928</v>
      </c>
      <c r="B952" s="14">
        <v>400023797</v>
      </c>
      <c r="C952" s="8" t="s">
        <v>5197</v>
      </c>
      <c r="D952" s="4" t="str">
        <f t="shared" si="87"/>
        <v>400023797R1</v>
      </c>
      <c r="E952" s="309" t="str">
        <f>VLOOKUP($B952,'D7 - NDB Impacted SPRF''s'!$E$6:$O$9929,2,FALSE)</f>
        <v>IT BPM – Common Operating Model Phase I</v>
      </c>
      <c r="F952" s="8" t="s">
        <v>8133</v>
      </c>
      <c r="G952" s="8" t="s">
        <v>4758</v>
      </c>
      <c r="H952" s="8" t="s">
        <v>4246</v>
      </c>
      <c r="I952" s="20">
        <f>421/150</f>
        <v>2.8066666666666666</v>
      </c>
      <c r="J952" s="8" t="s">
        <v>4862</v>
      </c>
      <c r="K952" s="182">
        <v>39627</v>
      </c>
      <c r="L952" s="8" t="s">
        <v>4156</v>
      </c>
      <c r="M952" s="8" t="s">
        <v>6688</v>
      </c>
      <c r="N952" s="38" t="s">
        <v>5132</v>
      </c>
      <c r="O952" s="8" t="s">
        <v>5509</v>
      </c>
      <c r="P952" s="4" t="str">
        <f>VLOOKUP($B952,'D7 - NDB Impacted SPRF''s'!$E$16:$O$9929,9,FALSE)</f>
        <v>Y</v>
      </c>
      <c r="Q952" s="4" t="str">
        <f>VLOOKUP($B952,'D7 - NDB Impacted SPRF''s'!$E$16:$O$9929,10,FALSE)</f>
        <v>N</v>
      </c>
      <c r="R952" s="4" t="str">
        <f>VLOOKUP($B952,'D7 - NDB Impacted SPRF''s'!$E$16:$O$9929,11,FALSE)</f>
        <v>N</v>
      </c>
      <c r="S952" s="8"/>
      <c r="T952" s="310"/>
      <c r="U952" s="310"/>
      <c r="V952" s="4"/>
      <c r="W952" s="4"/>
      <c r="X952" s="4"/>
      <c r="Y952" s="4"/>
      <c r="Z952" s="4"/>
      <c r="AA952" s="4"/>
      <c r="AB952" s="380" t="str">
        <f>VLOOKUP($B952,'D7 - NDB Impacted SPRF''s'!$E$16:$O$9929,4,FALSE)</f>
        <v>Completed</v>
      </c>
      <c r="AC952" s="380" t="str">
        <f>VLOOKUP($B952,'D7 - NDB Impacted SPRF''s'!$E$16:$O$9929,3,FALSE)</f>
        <v>UHG IT - Application Services Group</v>
      </c>
      <c r="AD952" s="380" t="str">
        <f>VLOOKUP($B952,'D7 - NDB Impacted SPRF''s'!$E$16:$O$9929,5,FALSE)</f>
        <v>ASG</v>
      </c>
      <c r="AE952" s="380" t="str">
        <f>VLOOKUP($B952,'D7 - NDB Impacted SPRF''s'!$E$16:$O$9929,7,FALSE)</f>
        <v>John Silva</v>
      </c>
      <c r="AF952" s="380" t="str">
        <f>VLOOKUP($B952,'D7 - NDB Impacted SPRF''s'!$E$16:$O$9929,6,FALSE)</f>
        <v>Sharon Au</v>
      </c>
      <c r="AG952" s="282"/>
      <c r="AH952" s="311" t="e">
        <f>INDEX('D5 - Gatekeeper - Projects'!$A$4:$AF$1010,$AM952, 17)</f>
        <v>#N/A</v>
      </c>
      <c r="AI952" s="8"/>
      <c r="AJ952" s="57"/>
      <c r="AK952" s="105"/>
      <c r="AM952" s="6" t="e">
        <f>MATCH(D952,'D5 - Gatekeeper - Projects'!$C$4:$C$1010,0)</f>
        <v>#N/A</v>
      </c>
      <c r="AN952" s="6" t="b">
        <f t="shared" si="85"/>
        <v>1</v>
      </c>
      <c r="AO952" s="6" t="str">
        <f t="shared" si="88"/>
        <v>OK</v>
      </c>
      <c r="AQ952" s="6" t="e">
        <f>MATCH($D952,'D4 - Provider Council Unsched'!$C$11:$C$234,0)</f>
        <v>#N/A</v>
      </c>
      <c r="AR952" s="6" t="b">
        <f t="shared" si="86"/>
        <v>1</v>
      </c>
      <c r="AS952" s="6" t="str">
        <f t="shared" si="89"/>
        <v>OK</v>
      </c>
      <c r="AU952" s="202"/>
      <c r="AV952" s="262"/>
      <c r="AW952" s="274"/>
    </row>
    <row r="953" spans="1:49" s="13" customFormat="1" ht="33.75" x14ac:dyDescent="0.2">
      <c r="A953" s="14">
        <v>929</v>
      </c>
      <c r="B953" s="14">
        <v>400025176</v>
      </c>
      <c r="C953" s="8" t="s">
        <v>5197</v>
      </c>
      <c r="D953" s="4" t="str">
        <f t="shared" si="87"/>
        <v>400025176R1</v>
      </c>
      <c r="E953" s="309" t="str">
        <f>VLOOKUP($B953,'D7 - NDB Impacted SPRF''s'!$E$6:$O$9929,2,FALSE)</f>
        <v>Timely Filing One-Shot</v>
      </c>
      <c r="F953" s="8" t="s">
        <v>2114</v>
      </c>
      <c r="G953" s="8" t="s">
        <v>4758</v>
      </c>
      <c r="H953" s="8" t="s">
        <v>4246</v>
      </c>
      <c r="I953" s="20">
        <f>160/150</f>
        <v>1.0666666666666667</v>
      </c>
      <c r="J953" s="8" t="s">
        <v>4862</v>
      </c>
      <c r="K953" s="182">
        <v>39627</v>
      </c>
      <c r="L953" s="8" t="s">
        <v>5743</v>
      </c>
      <c r="M953" s="8" t="s">
        <v>6007</v>
      </c>
      <c r="N953" s="38"/>
      <c r="O953" s="8" t="s">
        <v>4599</v>
      </c>
      <c r="P953" s="4" t="str">
        <f>VLOOKUP($B953,'D7 - NDB Impacted SPRF''s'!$E$16:$O$9929,9,FALSE)</f>
        <v>N</v>
      </c>
      <c r="Q953" s="4" t="str">
        <f>VLOOKUP($B953,'D7 - NDB Impacted SPRF''s'!$E$16:$O$9929,10,FALSE)</f>
        <v>N</v>
      </c>
      <c r="R953" s="4" t="str">
        <f>VLOOKUP($B953,'D7 - NDB Impacted SPRF''s'!$E$16:$O$9929,11,FALSE)</f>
        <v>N</v>
      </c>
      <c r="S953" s="8"/>
      <c r="T953" s="310"/>
      <c r="U953" s="310"/>
      <c r="V953" s="4"/>
      <c r="W953" s="4"/>
      <c r="X953" s="4"/>
      <c r="Y953" s="4"/>
      <c r="Z953" s="4"/>
      <c r="AA953" s="4"/>
      <c r="AB953" s="380" t="str">
        <f>VLOOKUP($B953,'D7 - NDB Impacted SPRF''s'!$E$16:$O$9929,4,FALSE)</f>
        <v>Completed</v>
      </c>
      <c r="AC953" s="380" t="str">
        <f>VLOOKUP($B953,'D7 - NDB Impacted SPRF''s'!$E$16:$O$9929,3,FALSE)</f>
        <v>UnitedHealthcare Employer &amp; Individual</v>
      </c>
      <c r="AD953" s="380" t="str">
        <f>VLOOKUP($B953,'D7 - NDB Impacted SPRF''s'!$E$16:$O$9929,5,FALSE)</f>
        <v>Operational Requirements</v>
      </c>
      <c r="AE953" s="380" t="str">
        <f>VLOOKUP($B953,'D7 - NDB Impacted SPRF''s'!$E$16:$O$9929,7,FALSE)</f>
        <v>Jeff Huxley</v>
      </c>
      <c r="AF953" s="380" t="str">
        <f>VLOOKUP($B953,'D7 - NDB Impacted SPRF''s'!$E$16:$O$9929,6,FALSE)</f>
        <v>JOHN HIEBERT</v>
      </c>
      <c r="AG953" s="282"/>
      <c r="AH953" s="311" t="e">
        <f>INDEX('D5 - Gatekeeper - Projects'!$A$4:$AF$1010,$AM953, 17)</f>
        <v>#N/A</v>
      </c>
      <c r="AI953" s="8"/>
      <c r="AJ953" s="57"/>
      <c r="AK953" s="105"/>
      <c r="AM953" s="6" t="e">
        <f>MATCH(D953,'D5 - Gatekeeper - Projects'!$C$4:$C$1010,0)</f>
        <v>#N/A</v>
      </c>
      <c r="AN953" s="6" t="b">
        <f t="shared" si="85"/>
        <v>1</v>
      </c>
      <c r="AO953" s="6" t="str">
        <f t="shared" si="88"/>
        <v>OK</v>
      </c>
      <c r="AQ953" s="6" t="e">
        <f>MATCH($D953,'D4 - Provider Council Unsched'!$C$11:$C$234,0)</f>
        <v>#N/A</v>
      </c>
      <c r="AR953" s="6" t="b">
        <f t="shared" si="86"/>
        <v>1</v>
      </c>
      <c r="AS953" s="6" t="str">
        <f t="shared" si="89"/>
        <v>OK</v>
      </c>
      <c r="AU953" s="202"/>
      <c r="AV953" s="262"/>
      <c r="AW953" s="274"/>
    </row>
    <row r="954" spans="1:49" s="13" customFormat="1" ht="33.75" x14ac:dyDescent="0.2">
      <c r="A954" s="14">
        <v>930</v>
      </c>
      <c r="B954" s="14">
        <v>400025422</v>
      </c>
      <c r="C954" s="8" t="s">
        <v>5197</v>
      </c>
      <c r="D954" s="4" t="str">
        <f t="shared" si="87"/>
        <v>400025422R1</v>
      </c>
      <c r="E954" s="309" t="str">
        <f>VLOOKUP($B954,'D7 - NDB Impacted SPRF''s'!$E$6:$O$9929,2,FALSE)</f>
        <v>WO: Modification to X-Walk Updates</v>
      </c>
      <c r="F954" s="8" t="s">
        <v>2464</v>
      </c>
      <c r="G954" s="8" t="s">
        <v>4758</v>
      </c>
      <c r="H954" s="8" t="s">
        <v>4246</v>
      </c>
      <c r="I954" s="20">
        <v>1.07</v>
      </c>
      <c r="J954" s="8" t="s">
        <v>4862</v>
      </c>
      <c r="K954" s="182">
        <v>39627</v>
      </c>
      <c r="L954" s="8" t="s">
        <v>5743</v>
      </c>
      <c r="M954" s="8" t="s">
        <v>6007</v>
      </c>
      <c r="N954" s="38"/>
      <c r="O954" s="8"/>
      <c r="P954" s="4" t="str">
        <f>VLOOKUP($B954,'D7 - NDB Impacted SPRF''s'!$E$16:$O$9929,9,FALSE)</f>
        <v>N</v>
      </c>
      <c r="Q954" s="4" t="str">
        <f>VLOOKUP($B954,'D7 - NDB Impacted SPRF''s'!$E$16:$O$9929,10,FALSE)</f>
        <v>N</v>
      </c>
      <c r="R954" s="4" t="str">
        <f>VLOOKUP($B954,'D7 - NDB Impacted SPRF''s'!$E$16:$O$9929,11,FALSE)</f>
        <v>Y</v>
      </c>
      <c r="S954" s="8"/>
      <c r="T954" s="310"/>
      <c r="U954" s="310"/>
      <c r="V954" s="4"/>
      <c r="W954" s="4"/>
      <c r="X954" s="4"/>
      <c r="Y954" s="4"/>
      <c r="Z954" s="4"/>
      <c r="AA954" s="4"/>
      <c r="AB954" s="380" t="str">
        <f>VLOOKUP($B954,'D7 - NDB Impacted SPRF''s'!$E$16:$O$9929,4,FALSE)</f>
        <v>Completed</v>
      </c>
      <c r="AC954" s="380" t="str">
        <f>VLOOKUP($B954,'D7 - NDB Impacted SPRF''s'!$E$16:$O$9929,3,FALSE)</f>
        <v>UnitedHealthcare Community &amp; State</v>
      </c>
      <c r="AD954" s="380" t="str">
        <f>VLOOKUP($B954,'D7 - NDB Impacted SPRF''s'!$E$16:$O$9929,5,FALSE)</f>
        <v>AmeriChoice</v>
      </c>
      <c r="AE954" s="380" t="str">
        <f>VLOOKUP($B954,'D7 - NDB Impacted SPRF''s'!$E$16:$O$9929,7,FALSE)</f>
        <v>Garfield Collins</v>
      </c>
      <c r="AF954" s="380" t="str">
        <f>VLOOKUP($B954,'D7 - NDB Impacted SPRF''s'!$E$16:$O$9929,6,FALSE)</f>
        <v>GREGORY MILLS</v>
      </c>
      <c r="AG954" s="282"/>
      <c r="AH954" s="311" t="e">
        <f>INDEX('D5 - Gatekeeper - Projects'!$A$4:$AF$1010,$AM954, 17)</f>
        <v>#N/A</v>
      </c>
      <c r="AI954" s="8"/>
      <c r="AJ954" s="57"/>
      <c r="AK954" s="105"/>
      <c r="AM954" s="6" t="e">
        <f>MATCH(D954,'D5 - Gatekeeper - Projects'!$C$4:$C$1010,0)</f>
        <v>#N/A</v>
      </c>
      <c r="AN954" s="6" t="b">
        <f t="shared" si="85"/>
        <v>1</v>
      </c>
      <c r="AO954" s="6" t="str">
        <f t="shared" si="88"/>
        <v>OK</v>
      </c>
      <c r="AQ954" s="6" t="e">
        <f>MATCH($D954,'D4 - Provider Council Unsched'!$C$11:$C$234,0)</f>
        <v>#N/A</v>
      </c>
      <c r="AR954" s="6" t="b">
        <f t="shared" si="86"/>
        <v>1</v>
      </c>
      <c r="AS954" s="6" t="str">
        <f t="shared" si="89"/>
        <v>OK</v>
      </c>
      <c r="AU954" s="202"/>
      <c r="AV954" s="262"/>
      <c r="AW954" s="274"/>
    </row>
    <row r="955" spans="1:49" s="13" customFormat="1" ht="33.75" x14ac:dyDescent="0.2">
      <c r="A955" s="14">
        <v>931</v>
      </c>
      <c r="B955" s="14">
        <v>400015245</v>
      </c>
      <c r="C955" s="8" t="s">
        <v>5197</v>
      </c>
      <c r="D955" s="4" t="str">
        <f t="shared" si="87"/>
        <v>400015245R1</v>
      </c>
      <c r="E955" s="309" t="str">
        <f>VLOOKUP($B955,'D7 - NDB Impacted SPRF''s'!$E$6:$O$9929,2,FALSE)</f>
        <v>Credentialing ORBIT Report Enhancements</v>
      </c>
      <c r="F955" s="8" t="s">
        <v>2114</v>
      </c>
      <c r="G955" s="8" t="s">
        <v>4758</v>
      </c>
      <c r="H955" s="8" t="s">
        <v>4246</v>
      </c>
      <c r="I955" s="20">
        <v>10.210000000000001</v>
      </c>
      <c r="J955" s="8" t="s">
        <v>4862</v>
      </c>
      <c r="K955" s="182">
        <v>39673</v>
      </c>
      <c r="L955" s="8" t="s">
        <v>5743</v>
      </c>
      <c r="M955" s="8" t="s">
        <v>5786</v>
      </c>
      <c r="N955" s="38"/>
      <c r="O955" s="8" t="s">
        <v>5898</v>
      </c>
      <c r="P955" s="4" t="str">
        <f>VLOOKUP($B955,'D7 - NDB Impacted SPRF''s'!$E$16:$O$9929,9,FALSE)</f>
        <v>N</v>
      </c>
      <c r="Q955" s="4" t="str">
        <f>VLOOKUP($B955,'D7 - NDB Impacted SPRF''s'!$E$16:$O$9929,10,FALSE)</f>
        <v>N</v>
      </c>
      <c r="R955" s="4" t="str">
        <f>VLOOKUP($B955,'D7 - NDB Impacted SPRF''s'!$E$16:$O$9929,11,FALSE)</f>
        <v>N</v>
      </c>
      <c r="S955" s="8"/>
      <c r="T955" s="310"/>
      <c r="U955" s="310"/>
      <c r="V955" s="4"/>
      <c r="W955" s="4"/>
      <c r="X955" s="4"/>
      <c r="Y955" s="4"/>
      <c r="Z955" s="4"/>
      <c r="AA955" s="4"/>
      <c r="AB955" s="380" t="str">
        <f>VLOOKUP($B955,'D7 - NDB Impacted SPRF''s'!$E$16:$O$9929,4,FALSE)</f>
        <v>Completed</v>
      </c>
      <c r="AC955" s="380" t="str">
        <f>VLOOKUP($B955,'D7 - NDB Impacted SPRF''s'!$E$16:$O$9929,3,FALSE)</f>
        <v>UnitedHealthcare Employer &amp; Individual</v>
      </c>
      <c r="AD955" s="380" t="str">
        <f>VLOOKUP($B955,'D7 - NDB Impacted SPRF''s'!$E$16:$O$9929,5,FALSE)</f>
        <v>Process Improvement</v>
      </c>
      <c r="AE955" s="380" t="str">
        <f>VLOOKUP($B955,'D7 - NDB Impacted SPRF''s'!$E$16:$O$9929,7,FALSE)</f>
        <v>Unkown</v>
      </c>
      <c r="AF955" s="380" t="str">
        <f>VLOOKUP($B955,'D7 - NDB Impacted SPRF''s'!$E$16:$O$9929,6,FALSE)</f>
        <v>BRYAN ANDERSON</v>
      </c>
      <c r="AG955" s="282"/>
      <c r="AH955" s="311" t="e">
        <f>INDEX('D5 - Gatekeeper - Projects'!$A$4:$AF$1010,$AM955, 17)</f>
        <v>#N/A</v>
      </c>
      <c r="AI955" s="8"/>
      <c r="AJ955" s="57"/>
      <c r="AK955" s="105"/>
      <c r="AM955" s="6" t="e">
        <f>MATCH(D955,'D5 - Gatekeeper - Projects'!$C$4:$C$1010,0)</f>
        <v>#N/A</v>
      </c>
      <c r="AN955" s="6" t="b">
        <f t="shared" si="85"/>
        <v>1</v>
      </c>
      <c r="AO955" s="6" t="str">
        <f t="shared" si="88"/>
        <v>OK</v>
      </c>
      <c r="AQ955" s="6" t="e">
        <f>MATCH($D955,'D4 - Provider Council Unsched'!$C$11:$C$234,0)</f>
        <v>#N/A</v>
      </c>
      <c r="AR955" s="6" t="b">
        <f t="shared" si="86"/>
        <v>1</v>
      </c>
      <c r="AS955" s="6" t="str">
        <f t="shared" si="89"/>
        <v>OK</v>
      </c>
      <c r="AU955" s="202"/>
      <c r="AV955" s="262"/>
      <c r="AW955" s="274"/>
    </row>
    <row r="956" spans="1:49" s="13" customFormat="1" ht="33.75" x14ac:dyDescent="0.2">
      <c r="A956" s="14">
        <v>932</v>
      </c>
      <c r="B956" s="14">
        <v>400011666</v>
      </c>
      <c r="C956" s="8" t="s">
        <v>6725</v>
      </c>
      <c r="D956" s="4" t="str">
        <f t="shared" si="87"/>
        <v>400011666CC01</v>
      </c>
      <c r="E956" s="309" t="str">
        <f>VLOOKUP($B956,'D7 - NDB Impacted SPRF''s'!$E$6:$O$9929,2,FALSE)</f>
        <v>HCA-Network - PTI EPDL Requirements</v>
      </c>
      <c r="F956" s="8" t="s">
        <v>5196</v>
      </c>
      <c r="G956" s="8" t="s">
        <v>4758</v>
      </c>
      <c r="H956" s="8" t="s">
        <v>4246</v>
      </c>
      <c r="I956" s="20">
        <v>1.07</v>
      </c>
      <c r="J956" s="8" t="s">
        <v>4862</v>
      </c>
      <c r="K956" s="182">
        <v>39676</v>
      </c>
      <c r="L956" s="8" t="s">
        <v>5743</v>
      </c>
      <c r="M956" s="8" t="s">
        <v>5626</v>
      </c>
      <c r="N956" s="367" t="s">
        <v>6788</v>
      </c>
      <c r="O956" s="8" t="s">
        <v>5508</v>
      </c>
      <c r="P956" s="4" t="str">
        <f>VLOOKUP($B956,'D7 - NDB Impacted SPRF''s'!$E$16:$O$9929,9,FALSE)</f>
        <v>N</v>
      </c>
      <c r="Q956" s="4" t="str">
        <f>VLOOKUP($B956,'D7 - NDB Impacted SPRF''s'!$E$16:$O$9929,10,FALSE)</f>
        <v>N</v>
      </c>
      <c r="R956" s="4" t="str">
        <f>VLOOKUP($B956,'D7 - NDB Impacted SPRF''s'!$E$16:$O$9929,11,FALSE)</f>
        <v>N</v>
      </c>
      <c r="S956" s="8"/>
      <c r="T956" s="310"/>
      <c r="U956" s="310"/>
      <c r="V956" s="4"/>
      <c r="W956" s="4"/>
      <c r="X956" s="4"/>
      <c r="Y956" s="4"/>
      <c r="Z956" s="4"/>
      <c r="AA956" s="4"/>
      <c r="AB956" s="380" t="str">
        <f>VLOOKUP($B956,'D7 - NDB Impacted SPRF''s'!$E$16:$O$9929,4,FALSE)</f>
        <v>Completed</v>
      </c>
      <c r="AC956" s="380" t="str">
        <f>VLOOKUP($B956,'D7 - NDB Impacted SPRF''s'!$E$16:$O$9929,3,FALSE)</f>
        <v>UnitedHealthcare Employer &amp; Individual</v>
      </c>
      <c r="AD956" s="380" t="str">
        <f>VLOOKUP($B956,'D7 - NDB Impacted SPRF''s'!$E$16:$O$9929,5,FALSE)</f>
        <v>Healthcare Service Alliance</v>
      </c>
      <c r="AE956" s="380" t="str">
        <f>VLOOKUP($B956,'D7 - NDB Impacted SPRF''s'!$E$16:$O$9929,7,FALSE)</f>
        <v>Bev Nyce</v>
      </c>
      <c r="AF956" s="380" t="str">
        <f>VLOOKUP($B956,'D7 - NDB Impacted SPRF''s'!$E$16:$O$9929,6,FALSE)</f>
        <v>MARCIA MONACO</v>
      </c>
      <c r="AG956" s="282" t="s">
        <v>7755</v>
      </c>
      <c r="AH956" s="311" t="e">
        <f>INDEX('D5 - Gatekeeper - Projects'!$A$4:$AF$1010,$AM956, 17)</f>
        <v>#N/A</v>
      </c>
      <c r="AI956" s="8"/>
      <c r="AJ956" s="57"/>
      <c r="AK956" s="105"/>
      <c r="AM956" s="6" t="e">
        <f>MATCH(D956,'D5 - Gatekeeper - Projects'!$C$4:$C$1010,0)</f>
        <v>#N/A</v>
      </c>
      <c r="AN956" s="6" t="b">
        <f t="shared" si="85"/>
        <v>1</v>
      </c>
      <c r="AO956" s="6" t="str">
        <f t="shared" si="88"/>
        <v>OK</v>
      </c>
      <c r="AQ956" s="6" t="e">
        <f>MATCH($D956,'D4 - Provider Council Unsched'!$C$11:$C$234,0)</f>
        <v>#N/A</v>
      </c>
      <c r="AR956" s="6" t="b">
        <f t="shared" si="86"/>
        <v>1</v>
      </c>
      <c r="AS956" s="6" t="str">
        <f t="shared" si="89"/>
        <v>OK</v>
      </c>
      <c r="AU956" s="202"/>
      <c r="AV956" s="262"/>
      <c r="AW956" s="274"/>
    </row>
    <row r="957" spans="1:49" s="13" customFormat="1" ht="33.75" x14ac:dyDescent="0.2">
      <c r="A957" s="14">
        <v>933</v>
      </c>
      <c r="B957" s="14">
        <v>400014494</v>
      </c>
      <c r="C957" s="8" t="s">
        <v>3763</v>
      </c>
      <c r="D957" s="4" t="str">
        <f t="shared" si="87"/>
        <v>400014494R2</v>
      </c>
      <c r="E957" s="309" t="str">
        <f>VLOOKUP($B957,'D7 - NDB Impacted SPRF''s'!$E$6:$O$9929,2,FALSE)</f>
        <v>On line provider search enhancements</v>
      </c>
      <c r="F957" s="8" t="s">
        <v>2114</v>
      </c>
      <c r="G957" s="8" t="s">
        <v>4758</v>
      </c>
      <c r="H957" s="8" t="s">
        <v>4246</v>
      </c>
      <c r="I957" s="20">
        <v>11.12</v>
      </c>
      <c r="J957" s="8" t="s">
        <v>4862</v>
      </c>
      <c r="K957" s="182">
        <v>39676</v>
      </c>
      <c r="L957" s="8" t="s">
        <v>5743</v>
      </c>
      <c r="M957" s="8" t="s">
        <v>2814</v>
      </c>
      <c r="N957" s="367"/>
      <c r="O957" s="8" t="s">
        <v>4099</v>
      </c>
      <c r="P957" s="4" t="str">
        <f>VLOOKUP($B957,'D7 - NDB Impacted SPRF''s'!$E$16:$O$9929,9,FALSE)</f>
        <v>N</v>
      </c>
      <c r="Q957" s="4" t="str">
        <f>VLOOKUP($B957,'D7 - NDB Impacted SPRF''s'!$E$16:$O$9929,10,FALSE)</f>
        <v>N</v>
      </c>
      <c r="R957" s="4" t="str">
        <f>VLOOKUP($B957,'D7 - NDB Impacted SPRF''s'!$E$16:$O$9929,11,FALSE)</f>
        <v>N</v>
      </c>
      <c r="S957" s="8"/>
      <c r="T957" s="310"/>
      <c r="U957" s="310"/>
      <c r="V957" s="4"/>
      <c r="W957" s="4"/>
      <c r="X957" s="4"/>
      <c r="Y957" s="4"/>
      <c r="Z957" s="4"/>
      <c r="AA957" s="4"/>
      <c r="AB957" s="380" t="str">
        <f>VLOOKUP($B957,'D7 - NDB Impacted SPRF''s'!$E$16:$O$9929,4,FALSE)</f>
        <v>Completed</v>
      </c>
      <c r="AC957" s="380" t="str">
        <f>VLOOKUP($B957,'D7 - NDB Impacted SPRF''s'!$E$16:$O$9929,3,FALSE)</f>
        <v>UnitedHealthcare Employer &amp; Individual</v>
      </c>
      <c r="AD957" s="380" t="str">
        <f>VLOOKUP($B957,'D7 - NDB Impacted SPRF''s'!$E$16:$O$9929,5,FALSE)</f>
        <v>Regulatory / Other</v>
      </c>
      <c r="AE957" s="380" t="str">
        <f>VLOOKUP($B957,'D7 - NDB Impacted SPRF''s'!$E$16:$O$9929,7,FALSE)</f>
        <v>Patricia Stream</v>
      </c>
      <c r="AF957" s="380" t="str">
        <f>VLOOKUP($B957,'D7 - NDB Impacted SPRF''s'!$E$16:$O$9929,6,FALSE)</f>
        <v>NICOLE TRAN</v>
      </c>
      <c r="AG957" s="282"/>
      <c r="AH957" s="311" t="e">
        <f>INDEX('D5 - Gatekeeper - Projects'!$A$4:$AF$1010,$AM957, 17)</f>
        <v>#N/A</v>
      </c>
      <c r="AI957" s="8"/>
      <c r="AJ957" s="57"/>
      <c r="AK957" s="105"/>
      <c r="AM957" s="6" t="e">
        <f>MATCH(D957,'D5 - Gatekeeper - Projects'!$C$4:$C$1010,0)</f>
        <v>#N/A</v>
      </c>
      <c r="AN957" s="6" t="b">
        <f t="shared" si="85"/>
        <v>1</v>
      </c>
      <c r="AO957" s="6" t="str">
        <f t="shared" si="88"/>
        <v>OK</v>
      </c>
      <c r="AQ957" s="6" t="e">
        <f>MATCH($D957,'D4 - Provider Council Unsched'!$C$11:$C$234,0)</f>
        <v>#N/A</v>
      </c>
      <c r="AR957" s="6" t="b">
        <f t="shared" si="86"/>
        <v>1</v>
      </c>
      <c r="AS957" s="6" t="str">
        <f t="shared" si="89"/>
        <v>OK</v>
      </c>
      <c r="AU957" s="202"/>
      <c r="AV957" s="262"/>
      <c r="AW957" s="274"/>
    </row>
    <row r="958" spans="1:49" s="13" customFormat="1" ht="33.75" x14ac:dyDescent="0.2">
      <c r="A958" s="14">
        <v>934</v>
      </c>
      <c r="B958" s="14">
        <v>400014987</v>
      </c>
      <c r="C958" s="8" t="s">
        <v>5197</v>
      </c>
      <c r="D958" s="4" t="str">
        <f t="shared" si="87"/>
        <v>400014987R1</v>
      </c>
      <c r="E958" s="309" t="str">
        <f>VLOOKUP($B958,'D7 - NDB Impacted SPRF''s'!$E$6:$O$9929,2,FALSE)</f>
        <v>Medica Ancillary/Facility Providers Load via EPDL</v>
      </c>
      <c r="F958" s="8" t="s">
        <v>5196</v>
      </c>
      <c r="G958" s="8" t="s">
        <v>4758</v>
      </c>
      <c r="H958" s="8" t="s">
        <v>4246</v>
      </c>
      <c r="I958" s="20">
        <v>21.89</v>
      </c>
      <c r="J958" s="8" t="s">
        <v>4862</v>
      </c>
      <c r="K958" s="182">
        <v>39676</v>
      </c>
      <c r="L958" s="8" t="s">
        <v>5743</v>
      </c>
      <c r="M958" s="8" t="s">
        <v>2814</v>
      </c>
      <c r="N958" s="38"/>
      <c r="O958" s="8" t="s">
        <v>5898</v>
      </c>
      <c r="P958" s="4" t="str">
        <f>VLOOKUP($B958,'D7 - NDB Impacted SPRF''s'!$E$16:$O$9929,9,FALSE)</f>
        <v>N</v>
      </c>
      <c r="Q958" s="4" t="str">
        <f>VLOOKUP($B958,'D7 - NDB Impacted SPRF''s'!$E$16:$O$9929,10,FALSE)</f>
        <v>N</v>
      </c>
      <c r="R958" s="4" t="str">
        <f>VLOOKUP($B958,'D7 - NDB Impacted SPRF''s'!$E$16:$O$9929,11,FALSE)</f>
        <v>N</v>
      </c>
      <c r="S958" s="8"/>
      <c r="T958" s="310"/>
      <c r="U958" s="310"/>
      <c r="V958" s="4"/>
      <c r="W958" s="4"/>
      <c r="X958" s="4"/>
      <c r="Y958" s="4"/>
      <c r="Z958" s="4"/>
      <c r="AA958" s="4"/>
      <c r="AB958" s="380" t="str">
        <f>VLOOKUP($B958,'D7 - NDB Impacted SPRF''s'!$E$16:$O$9929,4,FALSE)</f>
        <v>Completed</v>
      </c>
      <c r="AC958" s="380" t="str">
        <f>VLOOKUP($B958,'D7 - NDB Impacted SPRF''s'!$E$16:$O$9929,3,FALSE)</f>
        <v>UnitedHealthcare Employer &amp; Individual</v>
      </c>
      <c r="AD958" s="380" t="str">
        <f>VLOOKUP($B958,'D7 - NDB Impacted SPRF''s'!$E$16:$O$9929,5,FALSE)</f>
        <v>HCA - Medica UNET Conversion</v>
      </c>
      <c r="AE958" s="380" t="str">
        <f>VLOOKUP($B958,'D7 - NDB Impacted SPRF''s'!$E$16:$O$9929,7,FALSE)</f>
        <v>Beverly Nyce</v>
      </c>
      <c r="AF958" s="380" t="str">
        <f>VLOOKUP($B958,'D7 - NDB Impacted SPRF''s'!$E$16:$O$9929,6,FALSE)</f>
        <v>Frances Walls</v>
      </c>
      <c r="AG958" s="282"/>
      <c r="AH958" s="311" t="e">
        <f>INDEX('D5 - Gatekeeper - Projects'!$A$4:$AF$1010,$AM958, 17)</f>
        <v>#N/A</v>
      </c>
      <c r="AI958" s="8"/>
      <c r="AJ958" s="57"/>
      <c r="AK958" s="105"/>
      <c r="AM958" s="6" t="e">
        <f>MATCH(D958,'D5 - Gatekeeper - Projects'!$C$4:$C$1010,0)</f>
        <v>#N/A</v>
      </c>
      <c r="AN958" s="6" t="b">
        <f t="shared" si="85"/>
        <v>1</v>
      </c>
      <c r="AO958" s="6" t="str">
        <f t="shared" si="88"/>
        <v>OK</v>
      </c>
      <c r="AQ958" s="6" t="e">
        <f>MATCH($D958,'D4 - Provider Council Unsched'!$C$11:$C$234,0)</f>
        <v>#N/A</v>
      </c>
      <c r="AR958" s="6" t="b">
        <f t="shared" si="86"/>
        <v>1</v>
      </c>
      <c r="AS958" s="6" t="str">
        <f t="shared" si="89"/>
        <v>OK</v>
      </c>
      <c r="AU958" s="202"/>
      <c r="AV958" s="262"/>
      <c r="AW958" s="274"/>
    </row>
    <row r="959" spans="1:49" s="13" customFormat="1" ht="33.75" x14ac:dyDescent="0.2">
      <c r="A959" s="14">
        <v>935</v>
      </c>
      <c r="B959" s="14">
        <v>400017134</v>
      </c>
      <c r="C959" s="8" t="s">
        <v>5197</v>
      </c>
      <c r="D959" s="4" t="str">
        <f t="shared" si="87"/>
        <v>400017134R1</v>
      </c>
      <c r="E959" s="309" t="s">
        <v>6778</v>
      </c>
      <c r="F959" s="8" t="s">
        <v>5196</v>
      </c>
      <c r="G959" s="8" t="s">
        <v>4758</v>
      </c>
      <c r="H959" s="8" t="s">
        <v>4246</v>
      </c>
      <c r="I959" s="20">
        <v>12.14</v>
      </c>
      <c r="J959" s="8" t="s">
        <v>4862</v>
      </c>
      <c r="K959" s="182">
        <v>39676</v>
      </c>
      <c r="L959" s="8" t="s">
        <v>5743</v>
      </c>
      <c r="M959" s="8" t="s">
        <v>2814</v>
      </c>
      <c r="N959" s="38"/>
      <c r="O959" s="8" t="s">
        <v>4599</v>
      </c>
      <c r="P959" s="4" t="str">
        <f>VLOOKUP($B959,'D7 - NDB Impacted SPRF''s'!$E$16:$O$9929,9,FALSE)</f>
        <v>Y</v>
      </c>
      <c r="Q959" s="4" t="str">
        <f>VLOOKUP($B959,'D7 - NDB Impacted SPRF''s'!$E$16:$O$9929,10,FALSE)</f>
        <v>N</v>
      </c>
      <c r="R959" s="4" t="str">
        <f>VLOOKUP($B959,'D7 - NDB Impacted SPRF''s'!$E$16:$O$9929,11,FALSE)</f>
        <v>Y</v>
      </c>
      <c r="S959" s="8"/>
      <c r="T959" s="310"/>
      <c r="U959" s="310"/>
      <c r="V959" s="4"/>
      <c r="W959" s="4"/>
      <c r="X959" s="4"/>
      <c r="Y959" s="4"/>
      <c r="Z959" s="4"/>
      <c r="AA959" s="4"/>
      <c r="AB959" s="380" t="str">
        <f>VLOOKUP($B959,'D7 - NDB Impacted SPRF''s'!$E$16:$O$9929,4,FALSE)</f>
        <v>Completed</v>
      </c>
      <c r="AC959" s="380" t="str">
        <f>VLOOKUP($B959,'D7 - NDB Impacted SPRF''s'!$E$16:$O$9929,3,FALSE)</f>
        <v>UnitedHealthcare Employer &amp; Individual</v>
      </c>
      <c r="AD959" s="380" t="str">
        <f>VLOOKUP($B959,'D7 - NDB Impacted SPRF''s'!$E$16:$O$9929,5,FALSE)</f>
        <v>Healthcare Service Alliance</v>
      </c>
      <c r="AE959" s="380" t="str">
        <f>VLOOKUP($B959,'D7 - NDB Impacted SPRF''s'!$E$16:$O$9929,7,FALSE)</f>
        <v>Guinan, Kathy</v>
      </c>
      <c r="AF959" s="380" t="str">
        <f>VLOOKUP($B959,'D7 - NDB Impacted SPRF''s'!$E$16:$O$9929,6,FALSE)</f>
        <v>JOHN HIEBERT</v>
      </c>
      <c r="AG959" s="282"/>
      <c r="AH959" s="311" t="e">
        <f>INDEX('D5 - Gatekeeper - Projects'!$A$4:$AF$1010,$AM959, 17)</f>
        <v>#N/A</v>
      </c>
      <c r="AI959" s="8"/>
      <c r="AJ959" s="57"/>
      <c r="AK959" s="105"/>
      <c r="AM959" s="6" t="e">
        <f>MATCH(D959,'D5 - Gatekeeper - Projects'!$C$4:$C$1010,0)</f>
        <v>#N/A</v>
      </c>
      <c r="AN959" s="6" t="b">
        <f t="shared" si="85"/>
        <v>1</v>
      </c>
      <c r="AO959" s="6" t="str">
        <f t="shared" si="88"/>
        <v>OK</v>
      </c>
      <c r="AQ959" s="6" t="e">
        <f>MATCH($D959,'D4 - Provider Council Unsched'!$C$11:$C$234,0)</f>
        <v>#N/A</v>
      </c>
      <c r="AR959" s="6" t="b">
        <f t="shared" si="86"/>
        <v>1</v>
      </c>
      <c r="AS959" s="6" t="str">
        <f t="shared" si="89"/>
        <v>OK</v>
      </c>
      <c r="AU959" s="202"/>
      <c r="AV959" s="262"/>
      <c r="AW959" s="274"/>
    </row>
    <row r="960" spans="1:49" s="13" customFormat="1" ht="33.75" x14ac:dyDescent="0.2">
      <c r="A960" s="14">
        <v>936</v>
      </c>
      <c r="B960" s="14">
        <v>400019582</v>
      </c>
      <c r="C960" s="8" t="s">
        <v>5197</v>
      </c>
      <c r="D960" s="4" t="str">
        <f t="shared" si="87"/>
        <v>400019582R1</v>
      </c>
      <c r="E960" s="309" t="str">
        <f>VLOOKUP($B960,'D7 - NDB Impacted SPRF''s'!$E$6:$O$9929,2,FALSE)</f>
        <v>Radiology Accreditation Search Functionality</v>
      </c>
      <c r="F960" s="8" t="s">
        <v>7989</v>
      </c>
      <c r="G960" s="8" t="s">
        <v>4758</v>
      </c>
      <c r="H960" s="8" t="s">
        <v>4246</v>
      </c>
      <c r="I960" s="20">
        <v>36.53</v>
      </c>
      <c r="J960" s="8" t="s">
        <v>4862</v>
      </c>
      <c r="K960" s="182">
        <v>39676</v>
      </c>
      <c r="L960" s="8" t="s">
        <v>5743</v>
      </c>
      <c r="M960" s="8" t="s">
        <v>2814</v>
      </c>
      <c r="N960" s="38" t="s">
        <v>6077</v>
      </c>
      <c r="O960" s="8" t="s">
        <v>4599</v>
      </c>
      <c r="P960" s="4" t="str">
        <f>VLOOKUP($B960,'D7 - NDB Impacted SPRF''s'!$E$16:$O$9929,9,FALSE)</f>
        <v>Y</v>
      </c>
      <c r="Q960" s="4" t="str">
        <f>VLOOKUP($B960,'D7 - NDB Impacted SPRF''s'!$E$16:$O$9929,10,FALSE)</f>
        <v>N</v>
      </c>
      <c r="R960" s="4" t="str">
        <f>VLOOKUP($B960,'D7 - NDB Impacted SPRF''s'!$E$16:$O$9929,11,FALSE)</f>
        <v>N</v>
      </c>
      <c r="S960" s="8"/>
      <c r="T960" s="310"/>
      <c r="U960" s="310"/>
      <c r="V960" s="4"/>
      <c r="W960" s="4"/>
      <c r="X960" s="4"/>
      <c r="Y960" s="4"/>
      <c r="Z960" s="4"/>
      <c r="AA960" s="4"/>
      <c r="AB960" s="380" t="str">
        <f>VLOOKUP($B960,'D7 - NDB Impacted SPRF''s'!$E$16:$O$9929,4,FALSE)</f>
        <v>Cancelled</v>
      </c>
      <c r="AC960" s="380" t="str">
        <f>VLOOKUP($B960,'D7 - NDB Impacted SPRF''s'!$E$16:$O$9929,3,FALSE)</f>
        <v>UnitedHealthcare Employer &amp; Individual</v>
      </c>
      <c r="AD960" s="380" t="str">
        <f>VLOOKUP($B960,'D7 - NDB Impacted SPRF''s'!$E$16:$O$9929,5,FALSE)</f>
        <v>Medical Cost Savings Programs</v>
      </c>
      <c r="AE960" s="380" t="str">
        <f>VLOOKUP($B960,'D7 - NDB Impacted SPRF''s'!$E$16:$O$9929,7,FALSE)</f>
        <v>Laurie Paidosh</v>
      </c>
      <c r="AF960" s="380" t="str">
        <f>VLOOKUP($B960,'D7 - NDB Impacted SPRF''s'!$E$16:$O$9929,6,FALSE)</f>
        <v>Lori West</v>
      </c>
      <c r="AG960" s="282"/>
      <c r="AH960" s="311" t="e">
        <f>INDEX('D5 - Gatekeeper - Projects'!$A$4:$AF$1010,$AM960, 17)</f>
        <v>#N/A</v>
      </c>
      <c r="AI960" s="8"/>
      <c r="AJ960" s="57"/>
      <c r="AK960" s="105"/>
      <c r="AM960" s="6" t="e">
        <f>MATCH(D960,'D5 - Gatekeeper - Projects'!$C$4:$C$1010,0)</f>
        <v>#N/A</v>
      </c>
      <c r="AN960" s="6" t="b">
        <f t="shared" si="85"/>
        <v>1</v>
      </c>
      <c r="AO960" s="6" t="str">
        <f t="shared" si="88"/>
        <v>OK</v>
      </c>
      <c r="AQ960" s="6" t="e">
        <f>MATCH($D960,'D4 - Provider Council Unsched'!$C$11:$C$234,0)</f>
        <v>#N/A</v>
      </c>
      <c r="AR960" s="6" t="b">
        <f t="shared" si="86"/>
        <v>1</v>
      </c>
      <c r="AS960" s="6" t="str">
        <f t="shared" si="89"/>
        <v>OK</v>
      </c>
      <c r="AU960" s="202"/>
      <c r="AV960" s="262"/>
      <c r="AW960" s="274"/>
    </row>
    <row r="961" spans="1:49" s="13" customFormat="1" ht="33.75" x14ac:dyDescent="0.2">
      <c r="A961" s="14">
        <v>937</v>
      </c>
      <c r="B961" s="14">
        <v>400019600</v>
      </c>
      <c r="C961" s="8" t="s">
        <v>3763</v>
      </c>
      <c r="D961" s="4" t="str">
        <f t="shared" si="87"/>
        <v>400019600R2</v>
      </c>
      <c r="E961" s="309" t="str">
        <f>VLOOKUP($B961,'D7 - NDB Impacted SPRF''s'!$E$6:$O$9929,2,FALSE)</f>
        <v>PHS Work Package 1 Release 1 - Install and Admin</v>
      </c>
      <c r="F961" s="8" t="s">
        <v>4384</v>
      </c>
      <c r="G961" s="8" t="s">
        <v>4758</v>
      </c>
      <c r="H961" s="8" t="s">
        <v>4246</v>
      </c>
      <c r="I961" s="20"/>
      <c r="J961" s="8" t="s">
        <v>4862</v>
      </c>
      <c r="K961" s="182">
        <v>39676</v>
      </c>
      <c r="L961" s="8" t="s">
        <v>5743</v>
      </c>
      <c r="M961" s="8" t="s">
        <v>2814</v>
      </c>
      <c r="N961" s="38"/>
      <c r="O961" s="8" t="s">
        <v>2547</v>
      </c>
      <c r="P961" s="4" t="str">
        <f>VLOOKUP($B961,'D7 - NDB Impacted SPRF''s'!$E$16:$O$9929,9,FALSE)</f>
        <v>Y</v>
      </c>
      <c r="Q961" s="4" t="str">
        <f>VLOOKUP($B961,'D7 - NDB Impacted SPRF''s'!$E$16:$O$9929,10,FALSE)</f>
        <v>N</v>
      </c>
      <c r="R961" s="4" t="str">
        <f>VLOOKUP($B961,'D7 - NDB Impacted SPRF''s'!$E$16:$O$9929,11,FALSE)</f>
        <v>N</v>
      </c>
      <c r="S961" s="8"/>
      <c r="T961" s="310"/>
      <c r="U961" s="310"/>
      <c r="V961" s="4"/>
      <c r="W961" s="4"/>
      <c r="X961" s="4"/>
      <c r="Y961" s="4"/>
      <c r="Z961" s="4"/>
      <c r="AA961" s="4"/>
      <c r="AB961" s="380" t="str">
        <f>VLOOKUP($B961,'D7 - NDB Impacted SPRF''s'!$E$16:$O$9929,4,FALSE)</f>
        <v>Completed</v>
      </c>
      <c r="AC961" s="380" t="str">
        <f>VLOOKUP($B961,'D7 - NDB Impacted SPRF''s'!$E$16:$O$9929,3,FALSE)</f>
        <v>UnitedHealthcare Employer &amp; Individual</v>
      </c>
      <c r="AD961" s="380" t="str">
        <f>VLOOKUP($B961,'D7 - NDB Impacted SPRF''s'!$E$16:$O$9929,5,FALSE)</f>
        <v>Integration Requirements</v>
      </c>
      <c r="AE961" s="380" t="str">
        <f>VLOOKUP($B961,'D7 - NDB Impacted SPRF''s'!$E$16:$O$9929,7,FALSE)</f>
        <v>Diane Schofield</v>
      </c>
      <c r="AF961" s="380" t="str">
        <f>VLOOKUP($B961,'D7 - NDB Impacted SPRF''s'!$E$16:$O$9929,6,FALSE)</f>
        <v>Rebecca Gent</v>
      </c>
      <c r="AG961" s="282"/>
      <c r="AH961" s="311" t="e">
        <f>INDEX('D5 - Gatekeeper - Projects'!$A$4:$AF$1010,$AM961, 17)</f>
        <v>#N/A</v>
      </c>
      <c r="AI961" s="8"/>
      <c r="AJ961" s="57"/>
      <c r="AK961" s="105"/>
      <c r="AM961" s="6" t="e">
        <f>MATCH(D961,'D5 - Gatekeeper - Projects'!$C$4:$C$1010,0)</f>
        <v>#N/A</v>
      </c>
      <c r="AN961" s="6" t="b">
        <f t="shared" si="85"/>
        <v>1</v>
      </c>
      <c r="AO961" s="6" t="str">
        <f t="shared" si="88"/>
        <v>OK</v>
      </c>
      <c r="AQ961" s="6" t="e">
        <f>MATCH($D961,'D4 - Provider Council Unsched'!$C$11:$C$234,0)</f>
        <v>#N/A</v>
      </c>
      <c r="AR961" s="6" t="b">
        <f t="shared" si="86"/>
        <v>1</v>
      </c>
      <c r="AS961" s="6" t="str">
        <f t="shared" si="89"/>
        <v>OK</v>
      </c>
      <c r="AU961" s="202"/>
      <c r="AV961" s="262"/>
      <c r="AW961" s="274"/>
    </row>
    <row r="962" spans="1:49" s="13" customFormat="1" ht="33.75" x14ac:dyDescent="0.2">
      <c r="A962" s="14">
        <v>938</v>
      </c>
      <c r="B962" s="14">
        <v>400019720</v>
      </c>
      <c r="C962" s="8" t="s">
        <v>2449</v>
      </c>
      <c r="D962" s="4" t="str">
        <f t="shared" si="87"/>
        <v>400019720R3</v>
      </c>
      <c r="E962" s="309" t="str">
        <f>VLOOKUP($B962,'D7 - NDB Impacted SPRF''s'!$E$6:$O$9929,2,FALSE)</f>
        <v>Regression Automation Architecture and Scripts</v>
      </c>
      <c r="F962" s="8" t="s">
        <v>2114</v>
      </c>
      <c r="G962" s="8" t="s">
        <v>4758</v>
      </c>
      <c r="H962" s="8" t="s">
        <v>4246</v>
      </c>
      <c r="I962" s="20">
        <v>18</v>
      </c>
      <c r="J962" s="8" t="s">
        <v>4862</v>
      </c>
      <c r="K962" s="182">
        <v>39676</v>
      </c>
      <c r="L962" s="8" t="s">
        <v>5743</v>
      </c>
      <c r="M962" s="8" t="s">
        <v>2814</v>
      </c>
      <c r="N962" s="38" t="s">
        <v>6242</v>
      </c>
      <c r="O962" s="8" t="s">
        <v>2000</v>
      </c>
      <c r="P962" s="4" t="str">
        <f>VLOOKUP($B962,'D7 - NDB Impacted SPRF''s'!$E$16:$O$9929,9,FALSE)</f>
        <v>Y</v>
      </c>
      <c r="Q962" s="4" t="str">
        <f>VLOOKUP($B962,'D7 - NDB Impacted SPRF''s'!$E$16:$O$9929,10,FALSE)</f>
        <v>N</v>
      </c>
      <c r="R962" s="4" t="str">
        <f>VLOOKUP($B962,'D7 - NDB Impacted SPRF''s'!$E$16:$O$9929,11,FALSE)</f>
        <v>N</v>
      </c>
      <c r="S962" s="8"/>
      <c r="T962" s="310"/>
      <c r="U962" s="310"/>
      <c r="V962" s="4"/>
      <c r="W962" s="4"/>
      <c r="X962" s="4"/>
      <c r="Y962" s="4"/>
      <c r="Z962" s="4"/>
      <c r="AA962" s="4"/>
      <c r="AB962" s="380" t="str">
        <f>VLOOKUP($B962,'D7 - NDB Impacted SPRF''s'!$E$16:$O$9929,4,FALSE)</f>
        <v>Completed</v>
      </c>
      <c r="AC962" s="380" t="str">
        <f>VLOOKUP($B962,'D7 - NDB Impacted SPRF''s'!$E$16:$O$9929,3,FALSE)</f>
        <v>UHG IT - Application Services Group</v>
      </c>
      <c r="AD962" s="380" t="str">
        <f>VLOOKUP($B962,'D7 - NDB Impacted SPRF''s'!$E$16:$O$9929,5,FALSE)</f>
        <v>ASG</v>
      </c>
      <c r="AE962" s="380" t="str">
        <f>VLOOKUP($B962,'D7 - NDB Impacted SPRF''s'!$E$16:$O$9929,7,FALSE)</f>
        <v>Bob Preston</v>
      </c>
      <c r="AF962" s="380" t="str">
        <f>VLOOKUP($B962,'D7 - NDB Impacted SPRF''s'!$E$16:$O$9929,6,FALSE)</f>
        <v>CURT SCHROEDERS</v>
      </c>
      <c r="AG962" s="282"/>
      <c r="AH962" s="311" t="e">
        <f>INDEX('D5 - Gatekeeper - Projects'!$A$4:$AF$1010,$AM962, 17)</f>
        <v>#N/A</v>
      </c>
      <c r="AI962" s="8"/>
      <c r="AJ962" s="57"/>
      <c r="AK962" s="105"/>
      <c r="AM962" s="6" t="e">
        <f>MATCH(D962,'D5 - Gatekeeper - Projects'!$C$4:$C$1010,0)</f>
        <v>#N/A</v>
      </c>
      <c r="AN962" s="6" t="b">
        <f t="shared" si="85"/>
        <v>1</v>
      </c>
      <c r="AO962" s="6" t="str">
        <f t="shared" si="88"/>
        <v>OK</v>
      </c>
      <c r="AQ962" s="6" t="e">
        <f>MATCH($D962,'D4 - Provider Council Unsched'!$C$11:$C$234,0)</f>
        <v>#N/A</v>
      </c>
      <c r="AR962" s="6" t="b">
        <f t="shared" si="86"/>
        <v>1</v>
      </c>
      <c r="AS962" s="6" t="str">
        <f t="shared" si="89"/>
        <v>OK</v>
      </c>
      <c r="AU962" s="202"/>
      <c r="AV962" s="262"/>
      <c r="AW962" s="274"/>
    </row>
    <row r="963" spans="1:49" s="13" customFormat="1" ht="33.75" x14ac:dyDescent="0.2">
      <c r="A963" s="14">
        <v>939</v>
      </c>
      <c r="B963" s="14">
        <v>400019846</v>
      </c>
      <c r="C963" s="8" t="s">
        <v>5197</v>
      </c>
      <c r="D963" s="4" t="str">
        <f t="shared" si="87"/>
        <v>400019846R1</v>
      </c>
      <c r="E963" s="339" t="s">
        <v>4606</v>
      </c>
      <c r="F963" s="8" t="s">
        <v>7989</v>
      </c>
      <c r="G963" s="8" t="s">
        <v>4758</v>
      </c>
      <c r="H963" s="8" t="s">
        <v>4246</v>
      </c>
      <c r="I963" s="20">
        <v>23.71</v>
      </c>
      <c r="J963" s="8" t="s">
        <v>4862</v>
      </c>
      <c r="K963" s="182">
        <v>39676</v>
      </c>
      <c r="L963" s="8" t="s">
        <v>5743</v>
      </c>
      <c r="M963" s="8" t="s">
        <v>2814</v>
      </c>
      <c r="N963" s="38" t="s">
        <v>3750</v>
      </c>
      <c r="O963" s="8" t="s">
        <v>1998</v>
      </c>
      <c r="P963" s="4" t="str">
        <f>VLOOKUP($B963,'D7 - NDB Impacted SPRF''s'!$E$16:$O$9929,9,FALSE)</f>
        <v>Y</v>
      </c>
      <c r="Q963" s="4" t="str">
        <f>VLOOKUP($B963,'D7 - NDB Impacted SPRF''s'!$E$16:$O$9929,10,FALSE)</f>
        <v>N</v>
      </c>
      <c r="R963" s="4" t="str">
        <f>VLOOKUP($B963,'D7 - NDB Impacted SPRF''s'!$E$16:$O$9929,11,FALSE)</f>
        <v>N</v>
      </c>
      <c r="S963" s="8"/>
      <c r="T963" s="310"/>
      <c r="U963" s="310"/>
      <c r="V963" s="4"/>
      <c r="W963" s="4"/>
      <c r="X963" s="4"/>
      <c r="Y963" s="4"/>
      <c r="Z963" s="4"/>
      <c r="AA963" s="4"/>
      <c r="AB963" s="380" t="str">
        <f>VLOOKUP($B963,'D7 - NDB Impacted SPRF''s'!$E$16:$O$9929,4,FALSE)</f>
        <v>Completed</v>
      </c>
      <c r="AC963" s="380" t="str">
        <f>VLOOKUP($B963,'D7 - NDB Impacted SPRF''s'!$E$16:$O$9929,3,FALSE)</f>
        <v>UnitedHealthcare Employer &amp; Individual</v>
      </c>
      <c r="AD963" s="380" t="str">
        <f>VLOOKUP($B963,'D7 - NDB Impacted SPRF''s'!$E$16:$O$9929,5,FALSE)</f>
        <v>Medical Cost Savings Programs</v>
      </c>
      <c r="AE963" s="380" t="str">
        <f>VLOOKUP($B963,'D7 - NDB Impacted SPRF''s'!$E$16:$O$9929,7,FALSE)</f>
        <v>Gino Tenance</v>
      </c>
      <c r="AF963" s="380" t="str">
        <f>VLOOKUP($B963,'D7 - NDB Impacted SPRF''s'!$E$16:$O$9929,6,FALSE)</f>
        <v>Mark Duquesnoy</v>
      </c>
      <c r="AG963" s="282"/>
      <c r="AH963" s="311" t="e">
        <f>INDEX('D5 - Gatekeeper - Projects'!$A$4:$AF$1010,$AM963, 17)</f>
        <v>#N/A</v>
      </c>
      <c r="AI963" s="8"/>
      <c r="AJ963" s="57"/>
      <c r="AK963" s="105"/>
      <c r="AM963" s="6" t="e">
        <f>MATCH(D963,'D5 - Gatekeeper - Projects'!$C$4:$C$1010,0)</f>
        <v>#N/A</v>
      </c>
      <c r="AN963" s="6" t="b">
        <f t="shared" si="85"/>
        <v>1</v>
      </c>
      <c r="AO963" s="6" t="str">
        <f t="shared" si="88"/>
        <v>OK</v>
      </c>
      <c r="AQ963" s="6" t="e">
        <f>MATCH($D963,'D4 - Provider Council Unsched'!$C$11:$C$234,0)</f>
        <v>#N/A</v>
      </c>
      <c r="AR963" s="6" t="b">
        <f t="shared" si="86"/>
        <v>1</v>
      </c>
      <c r="AS963" s="6" t="str">
        <f t="shared" si="89"/>
        <v>OK</v>
      </c>
      <c r="AU963" s="202"/>
      <c r="AV963" s="262"/>
      <c r="AW963" s="274"/>
    </row>
    <row r="964" spans="1:49" s="13" customFormat="1" ht="33.75" x14ac:dyDescent="0.2">
      <c r="A964" s="14">
        <v>940</v>
      </c>
      <c r="B964" s="14">
        <v>400019848</v>
      </c>
      <c r="C964" s="8" t="s">
        <v>3763</v>
      </c>
      <c r="D964" s="4" t="str">
        <f t="shared" si="87"/>
        <v>400019848R2</v>
      </c>
      <c r="E964" s="339" t="s">
        <v>1971</v>
      </c>
      <c r="F964" s="8" t="s">
        <v>7989</v>
      </c>
      <c r="G964" s="8" t="s">
        <v>4758</v>
      </c>
      <c r="H964" s="8" t="s">
        <v>4246</v>
      </c>
      <c r="I964" s="20">
        <v>16.89</v>
      </c>
      <c r="J964" s="8" t="s">
        <v>4862</v>
      </c>
      <c r="K964" s="182">
        <v>39676</v>
      </c>
      <c r="L964" s="8" t="s">
        <v>4156</v>
      </c>
      <c r="M964" s="8" t="s">
        <v>2814</v>
      </c>
      <c r="N964" s="38" t="s">
        <v>6336</v>
      </c>
      <c r="O964" s="8" t="s">
        <v>1998</v>
      </c>
      <c r="P964" s="4" t="str">
        <f>VLOOKUP($B964,'D7 - NDB Impacted SPRF''s'!$E$16:$O$9929,9,FALSE)</f>
        <v>N</v>
      </c>
      <c r="Q964" s="4" t="str">
        <f>VLOOKUP($B964,'D7 - NDB Impacted SPRF''s'!$E$16:$O$9929,10,FALSE)</f>
        <v>N</v>
      </c>
      <c r="R964" s="4" t="str">
        <f>VLOOKUP($B964,'D7 - NDB Impacted SPRF''s'!$E$16:$O$9929,11,FALSE)</f>
        <v>N</v>
      </c>
      <c r="S964" s="8"/>
      <c r="T964" s="310"/>
      <c r="U964" s="310"/>
      <c r="V964" s="4"/>
      <c r="W964" s="4"/>
      <c r="X964" s="4"/>
      <c r="Y964" s="4"/>
      <c r="Z964" s="4"/>
      <c r="AA964" s="4"/>
      <c r="AB964" s="380" t="str">
        <f>VLOOKUP($B964,'D7 - NDB Impacted SPRF''s'!$E$16:$O$9929,4,FALSE)</f>
        <v>Completed</v>
      </c>
      <c r="AC964" s="380" t="str">
        <f>VLOOKUP($B964,'D7 - NDB Impacted SPRF''s'!$E$16:$O$9929,3,FALSE)</f>
        <v>UnitedHealthcare Medicare &amp; Retirement</v>
      </c>
      <c r="AD964" s="380" t="str">
        <f>VLOOKUP($B964,'D7 - NDB Impacted SPRF''s'!$E$16:$O$9929,5,FALSE)</f>
        <v>Clinical-Ovations</v>
      </c>
      <c r="AE964" s="380" t="str">
        <f>VLOOKUP($B964,'D7 - NDB Impacted SPRF''s'!$E$16:$O$9929,7,FALSE)</f>
        <v>Gino Tenance</v>
      </c>
      <c r="AF964" s="380" t="str">
        <f>VLOOKUP($B964,'D7 - NDB Impacted SPRF''s'!$E$16:$O$9929,6,FALSE)</f>
        <v>Nicolle Wollin</v>
      </c>
      <c r="AG964" s="282"/>
      <c r="AH964" s="311" t="e">
        <f>INDEX('D5 - Gatekeeper - Projects'!$A$4:$AF$1010,$AM964, 17)</f>
        <v>#N/A</v>
      </c>
      <c r="AI964" s="8"/>
      <c r="AJ964" s="57"/>
      <c r="AK964" s="105"/>
      <c r="AM964" s="6" t="e">
        <f>MATCH(D964,'D5 - Gatekeeper - Projects'!$C$4:$C$1010,0)</f>
        <v>#N/A</v>
      </c>
      <c r="AN964" s="6" t="b">
        <f t="shared" si="85"/>
        <v>1</v>
      </c>
      <c r="AO964" s="6" t="str">
        <f t="shared" si="88"/>
        <v>OK</v>
      </c>
      <c r="AQ964" s="6" t="e">
        <f>MATCH($D964,'D4 - Provider Council Unsched'!$C$11:$C$234,0)</f>
        <v>#N/A</v>
      </c>
      <c r="AR964" s="6" t="b">
        <f t="shared" si="86"/>
        <v>1</v>
      </c>
      <c r="AS964" s="6" t="str">
        <f t="shared" si="89"/>
        <v>OK</v>
      </c>
      <c r="AU964" s="202"/>
      <c r="AV964" s="262"/>
      <c r="AW964" s="274"/>
    </row>
    <row r="965" spans="1:49" s="13" customFormat="1" ht="33.75" x14ac:dyDescent="0.2">
      <c r="A965" s="14">
        <v>941</v>
      </c>
      <c r="B965" s="14">
        <v>400020079</v>
      </c>
      <c r="C965" s="8" t="s">
        <v>5197</v>
      </c>
      <c r="D965" s="4" t="str">
        <f t="shared" si="87"/>
        <v>400020079R1</v>
      </c>
      <c r="E965" s="309" t="str">
        <f>VLOOKUP($B965,'D7 - NDB Impacted SPRF''s'!$E$6:$O$9929,2,FALSE)</f>
        <v>iCES August 2008 Maintenance Release</v>
      </c>
      <c r="F965" s="8" t="s">
        <v>4471</v>
      </c>
      <c r="G965" s="8" t="s">
        <v>4758</v>
      </c>
      <c r="H965" s="8" t="s">
        <v>4246</v>
      </c>
      <c r="I965" s="20">
        <v>0.53</v>
      </c>
      <c r="J965" s="8" t="s">
        <v>4862</v>
      </c>
      <c r="K965" s="182">
        <v>39676</v>
      </c>
      <c r="L965" s="8" t="s">
        <v>5743</v>
      </c>
      <c r="M965" s="8" t="s">
        <v>4850</v>
      </c>
      <c r="N965" s="38"/>
      <c r="O965" s="8" t="s">
        <v>2000</v>
      </c>
      <c r="P965" s="4" t="str">
        <f>VLOOKUP($B965,'D7 - NDB Impacted SPRF''s'!$E$16:$O$9929,9,FALSE)</f>
        <v>Y</v>
      </c>
      <c r="Q965" s="4" t="str">
        <f>VLOOKUP($B965,'D7 - NDB Impacted SPRF''s'!$E$16:$O$9929,10,FALSE)</f>
        <v>N</v>
      </c>
      <c r="R965" s="4" t="str">
        <f>VLOOKUP($B965,'D7 - NDB Impacted SPRF''s'!$E$16:$O$9929,11,FALSE)</f>
        <v>Y</v>
      </c>
      <c r="S965" s="8"/>
      <c r="T965" s="310"/>
      <c r="U965" s="310"/>
      <c r="V965" s="4"/>
      <c r="W965" s="4"/>
      <c r="X965" s="4"/>
      <c r="Y965" s="4"/>
      <c r="Z965" s="4"/>
      <c r="AA965" s="4"/>
      <c r="AB965" s="380" t="str">
        <f>VLOOKUP($B965,'D7 - NDB Impacted SPRF''s'!$E$16:$O$9929,4,FALSE)</f>
        <v>Completed</v>
      </c>
      <c r="AC965" s="380" t="str">
        <f>VLOOKUP($B965,'D7 - NDB Impacted SPRF''s'!$E$16:$O$9929,3,FALSE)</f>
        <v>UnitedHealthcare Employer &amp; Individual</v>
      </c>
      <c r="AD965" s="380" t="str">
        <f>VLOOKUP($B965,'D7 - NDB Impacted SPRF''s'!$E$16:$O$9929,5,FALSE)</f>
        <v>Operational Requirements</v>
      </c>
      <c r="AE965" s="380" t="str">
        <f>VLOOKUP($B965,'D7 - NDB Impacted SPRF''s'!$E$16:$O$9929,7,FALSE)</f>
        <v>Sally Verrilli</v>
      </c>
      <c r="AF965" s="380" t="str">
        <f>VLOOKUP($B965,'D7 - NDB Impacted SPRF''s'!$E$16:$O$9929,6,FALSE)</f>
        <v>KATHRYN LEARST</v>
      </c>
      <c r="AG965" s="282"/>
      <c r="AH965" s="311" t="e">
        <f>INDEX('D5 - Gatekeeper - Projects'!$A$4:$AF$1010,$AM965, 17)</f>
        <v>#N/A</v>
      </c>
      <c r="AI965" s="8"/>
      <c r="AJ965" s="57"/>
      <c r="AK965" s="105"/>
      <c r="AM965" s="6" t="e">
        <f>MATCH(D965,'D5 - Gatekeeper - Projects'!$C$4:$C$1010,0)</f>
        <v>#N/A</v>
      </c>
      <c r="AN965" s="6" t="b">
        <f t="shared" si="85"/>
        <v>1</v>
      </c>
      <c r="AO965" s="6" t="str">
        <f t="shared" si="88"/>
        <v>OK</v>
      </c>
      <c r="AQ965" s="6" t="e">
        <f>MATCH($D965,'D4 - Provider Council Unsched'!$C$11:$C$234,0)</f>
        <v>#N/A</v>
      </c>
      <c r="AR965" s="6" t="b">
        <f t="shared" si="86"/>
        <v>1</v>
      </c>
      <c r="AS965" s="6" t="str">
        <f t="shared" si="89"/>
        <v>OK</v>
      </c>
      <c r="AU965" s="202"/>
      <c r="AV965" s="262"/>
      <c r="AW965" s="274"/>
    </row>
    <row r="966" spans="1:49" s="13" customFormat="1" ht="33.75" x14ac:dyDescent="0.2">
      <c r="A966" s="14">
        <v>942</v>
      </c>
      <c r="B966" s="14">
        <v>400020629</v>
      </c>
      <c r="C966" s="8" t="s">
        <v>5197</v>
      </c>
      <c r="D966" s="4" t="str">
        <f t="shared" si="87"/>
        <v>400020629R1</v>
      </c>
      <c r="E966" s="309" t="str">
        <f>VLOOKUP($B966,'D7 - NDB Impacted SPRF''s'!$E$6:$O$9929,2,FALSE)</f>
        <v xml:space="preserve">Funding Table Redesign </v>
      </c>
      <c r="F966" s="8" t="s">
        <v>5752</v>
      </c>
      <c r="G966" s="8" t="s">
        <v>4758</v>
      </c>
      <c r="H966" s="8" t="s">
        <v>4246</v>
      </c>
      <c r="I966" s="20">
        <v>15</v>
      </c>
      <c r="J966" s="8" t="s">
        <v>4862</v>
      </c>
      <c r="K966" s="182">
        <v>39676</v>
      </c>
      <c r="L966" s="8" t="s">
        <v>5743</v>
      </c>
      <c r="M966" s="8" t="s">
        <v>2814</v>
      </c>
      <c r="N966" s="38"/>
      <c r="O966" s="8" t="s">
        <v>5042</v>
      </c>
      <c r="P966" s="4" t="str">
        <f>VLOOKUP($B966,'D7 - NDB Impacted SPRF''s'!$E$16:$O$9929,9,FALSE)</f>
        <v>Y</v>
      </c>
      <c r="Q966" s="4" t="str">
        <f>VLOOKUP($B966,'D7 - NDB Impacted SPRF''s'!$E$16:$O$9929,10,FALSE)</f>
        <v>N</v>
      </c>
      <c r="R966" s="4" t="str">
        <f>VLOOKUP($B966,'D7 - NDB Impacted SPRF''s'!$E$16:$O$9929,11,FALSE)</f>
        <v>N</v>
      </c>
      <c r="S966" s="8"/>
      <c r="T966" s="310"/>
      <c r="U966" s="310"/>
      <c r="V966" s="4"/>
      <c r="W966" s="4"/>
      <c r="X966" s="4"/>
      <c r="Y966" s="4"/>
      <c r="Z966" s="4"/>
      <c r="AA966" s="4"/>
      <c r="AB966" s="380" t="str">
        <f>VLOOKUP($B966,'D7 - NDB Impacted SPRF''s'!$E$16:$O$9929,4,FALSE)</f>
        <v>Completed</v>
      </c>
      <c r="AC966" s="380" t="str">
        <f>VLOOKUP($B966,'D7 - NDB Impacted SPRF''s'!$E$16:$O$9929,3,FALSE)</f>
        <v>UnitedHealthcare Employer &amp; Individual</v>
      </c>
      <c r="AD966" s="380" t="str">
        <f>VLOOKUP($B966,'D7 - NDB Impacted SPRF''s'!$E$16:$O$9929,5,FALSE)</f>
        <v>Integration Requirements</v>
      </c>
      <c r="AE966" s="380" t="str">
        <f>VLOOKUP($B966,'D7 - NDB Impacted SPRF''s'!$E$16:$O$9929,7,FALSE)</f>
        <v>Jim Cronin</v>
      </c>
      <c r="AF966" s="380" t="str">
        <f>VLOOKUP($B966,'D7 - NDB Impacted SPRF''s'!$E$16:$O$9929,6,FALSE)</f>
        <v>LETRICIA BEST</v>
      </c>
      <c r="AG966" s="282"/>
      <c r="AH966" s="311" t="e">
        <f>INDEX('D5 - Gatekeeper - Projects'!$A$4:$AF$1010,$AM966, 17)</f>
        <v>#N/A</v>
      </c>
      <c r="AI966" s="8"/>
      <c r="AJ966" s="57"/>
      <c r="AK966" s="105"/>
      <c r="AM966" s="6" t="e">
        <f>MATCH(D966,'D5 - Gatekeeper - Projects'!$C$4:$C$1010,0)</f>
        <v>#N/A</v>
      </c>
      <c r="AN966" s="6" t="b">
        <f t="shared" si="85"/>
        <v>1</v>
      </c>
      <c r="AO966" s="6" t="str">
        <f t="shared" si="88"/>
        <v>OK</v>
      </c>
      <c r="AQ966" s="6" t="e">
        <f>MATCH($D966,'D4 - Provider Council Unsched'!$C$11:$C$234,0)</f>
        <v>#N/A</v>
      </c>
      <c r="AR966" s="6" t="b">
        <f t="shared" si="86"/>
        <v>1</v>
      </c>
      <c r="AS966" s="6" t="str">
        <f t="shared" si="89"/>
        <v>OK</v>
      </c>
      <c r="AU966" s="202"/>
      <c r="AV966" s="262"/>
      <c r="AW966" s="274"/>
    </row>
    <row r="967" spans="1:49" s="13" customFormat="1" ht="33.75" x14ac:dyDescent="0.2">
      <c r="A967" s="14">
        <v>943</v>
      </c>
      <c r="B967" s="14">
        <v>400021299</v>
      </c>
      <c r="C967" s="8" t="s">
        <v>3763</v>
      </c>
      <c r="D967" s="4" t="str">
        <f t="shared" si="87"/>
        <v>400021299R2</v>
      </c>
      <c r="E967" s="309" t="str">
        <f>VLOOKUP($B967,'D7 - NDB Impacted SPRF''s'!$E$6:$O$9929,2,FALSE)</f>
        <v>ELGS Provider Electronic Messaging</v>
      </c>
      <c r="F967" s="8" t="s">
        <v>2114</v>
      </c>
      <c r="G967" s="8" t="s">
        <v>4758</v>
      </c>
      <c r="H967" s="8" t="s">
        <v>4246</v>
      </c>
      <c r="I967" s="20">
        <v>23.1</v>
      </c>
      <c r="J967" s="8" t="s">
        <v>4862</v>
      </c>
      <c r="K967" s="182">
        <v>39676</v>
      </c>
      <c r="L967" s="8" t="s">
        <v>5743</v>
      </c>
      <c r="M967" s="8" t="s">
        <v>2814</v>
      </c>
      <c r="N967" s="38"/>
      <c r="O967" s="8" t="s">
        <v>3757</v>
      </c>
      <c r="P967" s="4" t="str">
        <f>VLOOKUP($B967,'D7 - NDB Impacted SPRF''s'!$E$16:$O$9929,9,FALSE)</f>
        <v>N</v>
      </c>
      <c r="Q967" s="4" t="str">
        <f>VLOOKUP($B967,'D7 - NDB Impacted SPRF''s'!$E$16:$O$9929,10,FALSE)</f>
        <v>N</v>
      </c>
      <c r="R967" s="4" t="str">
        <f>VLOOKUP($B967,'D7 - NDB Impacted SPRF''s'!$E$16:$O$9929,11,FALSE)</f>
        <v>N</v>
      </c>
      <c r="S967" s="8"/>
      <c r="T967" s="310"/>
      <c r="U967" s="310"/>
      <c r="V967" s="4"/>
      <c r="W967" s="4"/>
      <c r="X967" s="4"/>
      <c r="Y967" s="4"/>
      <c r="Z967" s="4"/>
      <c r="AA967" s="4"/>
      <c r="AB967" s="380" t="str">
        <f>VLOOKUP($B967,'D7 - NDB Impacted SPRF''s'!$E$16:$O$9929,4,FALSE)</f>
        <v>Completed</v>
      </c>
      <c r="AC967" s="380" t="str">
        <f>VLOOKUP($B967,'D7 - NDB Impacted SPRF''s'!$E$16:$O$9929,3,FALSE)</f>
        <v>UnitedHealthcare Employer &amp; Individual</v>
      </c>
      <c r="AD967" s="380" t="str">
        <f>VLOOKUP($B967,'D7 - NDB Impacted SPRF''s'!$E$16:$O$9929,5,FALSE)</f>
        <v>Membership Growth / Revenue Programs</v>
      </c>
      <c r="AE967" s="380" t="str">
        <f>VLOOKUP($B967,'D7 - NDB Impacted SPRF''s'!$E$16:$O$9929,7,FALSE)</f>
        <v>Steve Auerback</v>
      </c>
      <c r="AF967" s="380" t="str">
        <f>VLOOKUP($B967,'D7 - NDB Impacted SPRF''s'!$E$16:$O$9929,6,FALSE)</f>
        <v>DOUG TROTT</v>
      </c>
      <c r="AG967" s="282"/>
      <c r="AH967" s="311" t="e">
        <f>INDEX('D5 - Gatekeeper - Projects'!$A$4:$AF$1010,$AM967, 17)</f>
        <v>#N/A</v>
      </c>
      <c r="AI967" s="8"/>
      <c r="AJ967" s="57"/>
      <c r="AK967" s="105"/>
      <c r="AM967" s="6" t="e">
        <f>MATCH(D967,'D5 - Gatekeeper - Projects'!$C$4:$C$1010,0)</f>
        <v>#N/A</v>
      </c>
      <c r="AN967" s="6" t="b">
        <f t="shared" si="85"/>
        <v>1</v>
      </c>
      <c r="AO967" s="6" t="str">
        <f t="shared" si="88"/>
        <v>OK</v>
      </c>
      <c r="AQ967" s="6" t="e">
        <f>MATCH($D967,'D4 - Provider Council Unsched'!$C$11:$C$234,0)</f>
        <v>#N/A</v>
      </c>
      <c r="AR967" s="6" t="b">
        <f t="shared" si="86"/>
        <v>1</v>
      </c>
      <c r="AS967" s="6" t="str">
        <f t="shared" si="89"/>
        <v>OK</v>
      </c>
      <c r="AU967" s="202"/>
      <c r="AV967" s="262"/>
      <c r="AW967" s="274"/>
    </row>
    <row r="968" spans="1:49" s="13" customFormat="1" ht="33.75" x14ac:dyDescent="0.2">
      <c r="A968" s="14">
        <v>944</v>
      </c>
      <c r="B968" s="14">
        <v>400021898</v>
      </c>
      <c r="C968" s="8" t="s">
        <v>5197</v>
      </c>
      <c r="D968" s="4" t="str">
        <f t="shared" si="87"/>
        <v>400021898R1</v>
      </c>
      <c r="E968" s="309" t="str">
        <f>VLOOKUP($B968,'D7 - NDB Impacted SPRF''s'!$E$6:$O$9929,2,FALSE)</f>
        <v>Fee Schedule Audit Report</v>
      </c>
      <c r="F968" s="8" t="s">
        <v>2114</v>
      </c>
      <c r="G968" s="8" t="s">
        <v>4758</v>
      </c>
      <c r="H968" s="8" t="s">
        <v>4246</v>
      </c>
      <c r="I968" s="20">
        <v>5.7</v>
      </c>
      <c r="J968" s="8" t="s">
        <v>4862</v>
      </c>
      <c r="K968" s="182">
        <v>39676</v>
      </c>
      <c r="L968" s="8" t="s">
        <v>5743</v>
      </c>
      <c r="M968" s="8" t="s">
        <v>2814</v>
      </c>
      <c r="N968" s="38"/>
      <c r="O968" s="8" t="s">
        <v>4599</v>
      </c>
      <c r="P968" s="4" t="str">
        <f>VLOOKUP($B968,'D7 - NDB Impacted SPRF''s'!$E$16:$O$9929,9,FALSE)</f>
        <v>N</v>
      </c>
      <c r="Q968" s="4" t="str">
        <f>VLOOKUP($B968,'D7 - NDB Impacted SPRF''s'!$E$16:$O$9929,10,FALSE)</f>
        <v>N</v>
      </c>
      <c r="R968" s="4" t="str">
        <f>VLOOKUP($B968,'D7 - NDB Impacted SPRF''s'!$E$16:$O$9929,11,FALSE)</f>
        <v>N</v>
      </c>
      <c r="S968" s="8"/>
      <c r="T968" s="310"/>
      <c r="U968" s="310"/>
      <c r="V968" s="4"/>
      <c r="W968" s="4"/>
      <c r="X968" s="4"/>
      <c r="Y968" s="4"/>
      <c r="Z968" s="4"/>
      <c r="AA968" s="4"/>
      <c r="AB968" s="380" t="str">
        <f>VLOOKUP($B968,'D7 - NDB Impacted SPRF''s'!$E$16:$O$9929,4,FALSE)</f>
        <v>Completed</v>
      </c>
      <c r="AC968" s="380" t="str">
        <f>VLOOKUP($B968,'D7 - NDB Impacted SPRF''s'!$E$16:$O$9929,3,FALSE)</f>
        <v>UnitedHealthcare Employer &amp; Individual</v>
      </c>
      <c r="AD968" s="380" t="str">
        <f>VLOOKUP($B968,'D7 - NDB Impacted SPRF''s'!$E$16:$O$9929,5,FALSE)</f>
        <v>HCA - HPHC Operational Support</v>
      </c>
      <c r="AE968" s="380" t="str">
        <f>VLOOKUP($B968,'D7 - NDB Impacted SPRF''s'!$E$16:$O$9929,7,FALSE)</f>
        <v>Schafer, Kelly</v>
      </c>
      <c r="AF968" s="380" t="str">
        <f>VLOOKUP($B968,'D7 - NDB Impacted SPRF''s'!$E$16:$O$9929,6,FALSE)</f>
        <v>LUND ROSS</v>
      </c>
      <c r="AG968" s="282"/>
      <c r="AH968" s="311" t="e">
        <f>INDEX('D5 - Gatekeeper - Projects'!$A$4:$AF$1010,$AM968, 17)</f>
        <v>#N/A</v>
      </c>
      <c r="AI968" s="8"/>
      <c r="AJ968" s="57"/>
      <c r="AK968" s="105"/>
      <c r="AM968" s="6" t="e">
        <f>MATCH(D968,'D5 - Gatekeeper - Projects'!$C$4:$C$1010,0)</f>
        <v>#N/A</v>
      </c>
      <c r="AN968" s="6" t="b">
        <f t="shared" si="85"/>
        <v>1</v>
      </c>
      <c r="AO968" s="6" t="str">
        <f t="shared" si="88"/>
        <v>OK</v>
      </c>
      <c r="AQ968" s="6" t="e">
        <f>MATCH($D968,'D4 - Provider Council Unsched'!$C$11:$C$234,0)</f>
        <v>#N/A</v>
      </c>
      <c r="AR968" s="6" t="b">
        <f t="shared" si="86"/>
        <v>1</v>
      </c>
      <c r="AS968" s="6" t="str">
        <f t="shared" si="89"/>
        <v>OK</v>
      </c>
      <c r="AU968" s="202"/>
      <c r="AV968" s="262"/>
      <c r="AW968" s="274"/>
    </row>
    <row r="969" spans="1:49" s="13" customFormat="1" ht="33.75" x14ac:dyDescent="0.2">
      <c r="A969" s="14">
        <v>945</v>
      </c>
      <c r="B969" s="14">
        <v>400021977</v>
      </c>
      <c r="C969" s="8" t="s">
        <v>5197</v>
      </c>
      <c r="D969" s="4" t="str">
        <f t="shared" si="87"/>
        <v>400021977R1</v>
      </c>
      <c r="E969" s="309" t="str">
        <f>VLOOKUP($B969,'D7 - NDB Impacted SPRF''s'!$E$6:$O$9929,2,FALSE)</f>
        <v>HPHC -- DDS Reference Files</v>
      </c>
      <c r="F969" s="8" t="s">
        <v>5196</v>
      </c>
      <c r="G969" s="8" t="s">
        <v>4758</v>
      </c>
      <c r="H969" s="8" t="s">
        <v>4246</v>
      </c>
      <c r="I969" s="20">
        <v>0.33</v>
      </c>
      <c r="J969" s="8" t="s">
        <v>4862</v>
      </c>
      <c r="K969" s="182">
        <v>39676</v>
      </c>
      <c r="L969" s="8" t="s">
        <v>5743</v>
      </c>
      <c r="M969" s="8" t="s">
        <v>6007</v>
      </c>
      <c r="N969" s="38" t="s">
        <v>8067</v>
      </c>
      <c r="O969" s="8" t="s">
        <v>7086</v>
      </c>
      <c r="P969" s="4" t="str">
        <f>VLOOKUP($B969,'D7 - NDB Impacted SPRF''s'!$E$16:$O$9929,9,FALSE)</f>
        <v>Y</v>
      </c>
      <c r="Q969" s="4" t="str">
        <f>VLOOKUP($B969,'D7 - NDB Impacted SPRF''s'!$E$16:$O$9929,10,FALSE)</f>
        <v>N</v>
      </c>
      <c r="R969" s="4" t="str">
        <f>VLOOKUP($B969,'D7 - NDB Impacted SPRF''s'!$E$16:$O$9929,11,FALSE)</f>
        <v>N</v>
      </c>
      <c r="S969" s="8"/>
      <c r="T969" s="310"/>
      <c r="U969" s="310"/>
      <c r="V969" s="4"/>
      <c r="W969" s="4"/>
      <c r="X969" s="4"/>
      <c r="Y969" s="4"/>
      <c r="Z969" s="4"/>
      <c r="AA969" s="4"/>
      <c r="AB969" s="380" t="str">
        <f>VLOOKUP($B969,'D7 - NDB Impacted SPRF''s'!$E$16:$O$9929,4,FALSE)</f>
        <v>Completed</v>
      </c>
      <c r="AC969" s="380" t="str">
        <f>VLOOKUP($B969,'D7 - NDB Impacted SPRF''s'!$E$16:$O$9929,3,FALSE)</f>
        <v>UnitedHealthcare Employer &amp; Individual</v>
      </c>
      <c r="AD969" s="380" t="str">
        <f>VLOOKUP($B969,'D7 - NDB Impacted SPRF''s'!$E$16:$O$9929,5,FALSE)</f>
        <v>HCA - HPHC Operational Support</v>
      </c>
      <c r="AE969" s="380" t="str">
        <f>VLOOKUP($B969,'D7 - NDB Impacted SPRF''s'!$E$16:$O$9929,7,FALSE)</f>
        <v>Diane Schofield</v>
      </c>
      <c r="AF969" s="380" t="str">
        <f>VLOOKUP($B969,'D7 - NDB Impacted SPRF''s'!$E$16:$O$9929,6,FALSE)</f>
        <v>DECEMBER WALKER</v>
      </c>
      <c r="AG969" s="282"/>
      <c r="AH969" s="311" t="e">
        <f>INDEX('D5 - Gatekeeper - Projects'!$A$4:$AF$1010,$AM969, 17)</f>
        <v>#N/A</v>
      </c>
      <c r="AI969" s="8"/>
      <c r="AJ969" s="57"/>
      <c r="AK969" s="105"/>
      <c r="AM969" s="6" t="e">
        <f>MATCH(D969,'D5 - Gatekeeper - Projects'!$C$4:$C$1010,0)</f>
        <v>#N/A</v>
      </c>
      <c r="AN969" s="6" t="b">
        <f t="shared" si="85"/>
        <v>1</v>
      </c>
      <c r="AO969" s="6" t="str">
        <f t="shared" si="88"/>
        <v>OK</v>
      </c>
      <c r="AQ969" s="6" t="e">
        <f>MATCH($D969,'D4 - Provider Council Unsched'!$C$11:$C$234,0)</f>
        <v>#N/A</v>
      </c>
      <c r="AR969" s="6" t="b">
        <f t="shared" si="86"/>
        <v>1</v>
      </c>
      <c r="AS969" s="6" t="str">
        <f t="shared" si="89"/>
        <v>OK</v>
      </c>
      <c r="AU969" s="202"/>
      <c r="AV969" s="262"/>
      <c r="AW969" s="274"/>
    </row>
    <row r="970" spans="1:49" s="13" customFormat="1" ht="45" x14ac:dyDescent="0.2">
      <c r="A970" s="14">
        <v>946</v>
      </c>
      <c r="B970" s="14">
        <v>400023210</v>
      </c>
      <c r="C970" s="8" t="s">
        <v>5197</v>
      </c>
      <c r="D970" s="4" t="str">
        <f t="shared" si="87"/>
        <v>400023210R1</v>
      </c>
      <c r="E970" s="309" t="str">
        <f>VLOOKUP($B970,'D7 - NDB Impacted SPRF''s'!$E$6:$O$9929,2,FALSE)</f>
        <v>CSS Phase 2 Release 1</v>
      </c>
      <c r="F970" s="8" t="s">
        <v>2114</v>
      </c>
      <c r="G970" s="8" t="s">
        <v>4758</v>
      </c>
      <c r="H970" s="8" t="s">
        <v>4246</v>
      </c>
      <c r="I970" s="20">
        <f>160/150</f>
        <v>1.0666666666666667</v>
      </c>
      <c r="J970" s="8" t="s">
        <v>4862</v>
      </c>
      <c r="K970" s="182">
        <v>39676</v>
      </c>
      <c r="L970" s="8" t="s">
        <v>5743</v>
      </c>
      <c r="M970" s="8" t="s">
        <v>6688</v>
      </c>
      <c r="N970" s="38" t="s">
        <v>7017</v>
      </c>
      <c r="O970" s="8" t="s">
        <v>7299</v>
      </c>
      <c r="P970" s="4" t="str">
        <f>VLOOKUP($B970,'D7 - NDB Impacted SPRF''s'!$E$16:$O$9929,9,FALSE)</f>
        <v>N</v>
      </c>
      <c r="Q970" s="4" t="str">
        <f>VLOOKUP($B970,'D7 - NDB Impacted SPRF''s'!$E$16:$O$9929,10,FALSE)</f>
        <v>N</v>
      </c>
      <c r="R970" s="4" t="str">
        <f>VLOOKUP($B970,'D7 - NDB Impacted SPRF''s'!$E$16:$O$9929,11,FALSE)</f>
        <v>N</v>
      </c>
      <c r="S970" s="8"/>
      <c r="T970" s="310"/>
      <c r="U970" s="310"/>
      <c r="V970" s="4"/>
      <c r="W970" s="4"/>
      <c r="X970" s="4"/>
      <c r="Y970" s="4"/>
      <c r="Z970" s="4"/>
      <c r="AA970" s="4"/>
      <c r="AB970" s="380" t="str">
        <f>VLOOKUP($B970,'D7 - NDB Impacted SPRF''s'!$E$16:$O$9929,4,FALSE)</f>
        <v>Cancelled</v>
      </c>
      <c r="AC970" s="380" t="str">
        <f>VLOOKUP($B970,'D7 - NDB Impacted SPRF''s'!$E$16:$O$9929,3,FALSE)</f>
        <v>UnitedHealthcare Medicare &amp; Retirement</v>
      </c>
      <c r="AD970" s="380" t="str">
        <f>VLOOKUP($B970,'D7 - NDB Impacted SPRF''s'!$E$16:$O$9929,5,FALSE)</f>
        <v>Enterprise Clinical</v>
      </c>
      <c r="AE970" s="380" t="str">
        <f>VLOOKUP($B970,'D7 - NDB Impacted SPRF''s'!$E$16:$O$9929,7,FALSE)</f>
        <v>Bob Shandley</v>
      </c>
      <c r="AF970" s="380" t="str">
        <f>VLOOKUP($B970,'D7 - NDB Impacted SPRF''s'!$E$16:$O$9929,6,FALSE)</f>
        <v>Steve Frankel</v>
      </c>
      <c r="AG970" s="282"/>
      <c r="AH970" s="311" t="e">
        <f>INDEX('D5 - Gatekeeper - Projects'!$A$4:$AF$1010,$AM970, 17)</f>
        <v>#N/A</v>
      </c>
      <c r="AI970" s="8"/>
      <c r="AJ970" s="57"/>
      <c r="AK970" s="105"/>
      <c r="AM970" s="6" t="e">
        <f>MATCH(D970,'D5 - Gatekeeper - Projects'!$C$4:$C$1010,0)</f>
        <v>#N/A</v>
      </c>
      <c r="AN970" s="6" t="b">
        <f t="shared" si="85"/>
        <v>1</v>
      </c>
      <c r="AO970" s="6" t="str">
        <f t="shared" si="88"/>
        <v>OK</v>
      </c>
      <c r="AQ970" s="6" t="e">
        <f>MATCH($D970,'D4 - Provider Council Unsched'!$C$11:$C$234,0)</f>
        <v>#N/A</v>
      </c>
      <c r="AR970" s="6" t="b">
        <f t="shared" si="86"/>
        <v>1</v>
      </c>
      <c r="AS970" s="6" t="str">
        <f t="shared" si="89"/>
        <v>OK</v>
      </c>
      <c r="AU970" s="202"/>
      <c r="AV970" s="262"/>
      <c r="AW970" s="274"/>
    </row>
    <row r="971" spans="1:49" s="13" customFormat="1" ht="33.75" x14ac:dyDescent="0.2">
      <c r="A971" s="14">
        <v>947</v>
      </c>
      <c r="B971" s="14">
        <v>400025357</v>
      </c>
      <c r="C971" s="8" t="s">
        <v>5197</v>
      </c>
      <c r="D971" s="4" t="str">
        <f t="shared" si="87"/>
        <v>400025357R1</v>
      </c>
      <c r="E971" s="309" t="str">
        <f>VLOOKUP($B971,'D7 - NDB Impacted SPRF''s'!$E$6:$O$9929,2,FALSE)</f>
        <v>Medica - NDB/DDS Data Dictionary Enhancements - WO</v>
      </c>
      <c r="F971" s="8" t="s">
        <v>5196</v>
      </c>
      <c r="G971" s="8" t="s">
        <v>4758</v>
      </c>
      <c r="H971" s="8" t="s">
        <v>4246</v>
      </c>
      <c r="I971" s="20">
        <v>2.19</v>
      </c>
      <c r="J971" s="8" t="s">
        <v>4862</v>
      </c>
      <c r="K971" s="182">
        <v>39676</v>
      </c>
      <c r="L971" s="8" t="s">
        <v>5743</v>
      </c>
      <c r="M971" s="8" t="s">
        <v>6007</v>
      </c>
      <c r="N971" s="38"/>
      <c r="O971" s="8" t="s">
        <v>7086</v>
      </c>
      <c r="P971" s="4" t="str">
        <f>VLOOKUP($B971,'D7 - NDB Impacted SPRF''s'!$E$16:$O$9929,9,FALSE)</f>
        <v>N</v>
      </c>
      <c r="Q971" s="4" t="str">
        <f>VLOOKUP($B971,'D7 - NDB Impacted SPRF''s'!$E$16:$O$9929,10,FALSE)</f>
        <v>N</v>
      </c>
      <c r="R971" s="4" t="str">
        <f>VLOOKUP($B971,'D7 - NDB Impacted SPRF''s'!$E$16:$O$9929,11,FALSE)</f>
        <v>N</v>
      </c>
      <c r="S971" s="8"/>
      <c r="T971" s="310"/>
      <c r="U971" s="310"/>
      <c r="V971" s="4"/>
      <c r="W971" s="4"/>
      <c r="X971" s="4"/>
      <c r="Y971" s="4"/>
      <c r="Z971" s="4"/>
      <c r="AA971" s="4"/>
      <c r="AB971" s="380" t="str">
        <f>VLOOKUP($B971,'D7 - NDB Impacted SPRF''s'!$E$16:$O$9929,4,FALSE)</f>
        <v>Completed</v>
      </c>
      <c r="AC971" s="380" t="str">
        <f>VLOOKUP($B971,'D7 - NDB Impacted SPRF''s'!$E$16:$O$9929,3,FALSE)</f>
        <v>UnitedHealthcare Employer &amp; Individual</v>
      </c>
      <c r="AD971" s="380" t="str">
        <f>VLOOKUP($B971,'D7 - NDB Impacted SPRF''s'!$E$16:$O$9929,5,FALSE)</f>
        <v>HCA - Medica UNET Conversion</v>
      </c>
      <c r="AE971" s="380" t="str">
        <f>VLOOKUP($B971,'D7 - NDB Impacted SPRF''s'!$E$16:$O$9929,7,FALSE)</f>
        <v>Diane Schofield</v>
      </c>
      <c r="AF971" s="380" t="str">
        <f>VLOOKUP($B971,'D7 - NDB Impacted SPRF''s'!$E$16:$O$9929,6,FALSE)</f>
        <v>DONALD DEMARCO</v>
      </c>
      <c r="AG971" s="282"/>
      <c r="AH971" s="311" t="e">
        <f>INDEX('D5 - Gatekeeper - Projects'!$A$4:$AF$1010,$AM971, 17)</f>
        <v>#N/A</v>
      </c>
      <c r="AI971" s="8"/>
      <c r="AJ971" s="57"/>
      <c r="AK971" s="105"/>
      <c r="AM971" s="6" t="e">
        <f>MATCH(D971,'D5 - Gatekeeper - Projects'!$C$4:$C$1010,0)</f>
        <v>#N/A</v>
      </c>
      <c r="AN971" s="6" t="b">
        <f t="shared" si="85"/>
        <v>1</v>
      </c>
      <c r="AO971" s="6" t="str">
        <f t="shared" si="88"/>
        <v>OK</v>
      </c>
      <c r="AQ971" s="6" t="e">
        <f>MATCH($D971,'D4 - Provider Council Unsched'!$C$11:$C$234,0)</f>
        <v>#N/A</v>
      </c>
      <c r="AR971" s="6" t="b">
        <f t="shared" si="86"/>
        <v>1</v>
      </c>
      <c r="AS971" s="6" t="str">
        <f t="shared" si="89"/>
        <v>OK</v>
      </c>
      <c r="AU971" s="202"/>
      <c r="AV971" s="262"/>
      <c r="AW971" s="274"/>
    </row>
    <row r="972" spans="1:49" s="13" customFormat="1" ht="33.75" x14ac:dyDescent="0.2">
      <c r="A972" s="14">
        <v>948</v>
      </c>
      <c r="B972" s="14">
        <v>400025395</v>
      </c>
      <c r="C972" s="8" t="s">
        <v>5197</v>
      </c>
      <c r="D972" s="4" t="str">
        <f t="shared" si="87"/>
        <v>400025395R1</v>
      </c>
      <c r="E972" s="309" t="str">
        <f>VLOOKUP($B972,'D7 - NDB Impacted SPRF''s'!$E$6:$O$9929,2,FALSE)</f>
        <v xml:space="preserve">COSMOS Port - Unisys to IBM - May 2008  </v>
      </c>
      <c r="F972" s="8" t="s">
        <v>5787</v>
      </c>
      <c r="G972" s="8" t="s">
        <v>4758</v>
      </c>
      <c r="H972" s="8" t="s">
        <v>4246</v>
      </c>
      <c r="I972" s="20">
        <v>1.28</v>
      </c>
      <c r="J972" s="8" t="s">
        <v>4862</v>
      </c>
      <c r="K972" s="182">
        <v>39676</v>
      </c>
      <c r="L972" s="8" t="s">
        <v>5743</v>
      </c>
      <c r="M972" s="8" t="s">
        <v>4450</v>
      </c>
      <c r="N972" s="38"/>
      <c r="O972" s="8" t="s">
        <v>4599</v>
      </c>
      <c r="P972" s="4" t="str">
        <f>VLOOKUP($B972,'D7 - NDB Impacted SPRF''s'!$E$16:$O$9929,9,FALSE)</f>
        <v>Y</v>
      </c>
      <c r="Q972" s="4" t="str">
        <f>VLOOKUP($B972,'D7 - NDB Impacted SPRF''s'!$E$16:$O$9929,10,FALSE)</f>
        <v>N</v>
      </c>
      <c r="R972" s="4" t="str">
        <f>VLOOKUP($B972,'D7 - NDB Impacted SPRF''s'!$E$16:$O$9929,11,FALSE)</f>
        <v>N</v>
      </c>
      <c r="S972" s="8"/>
      <c r="T972" s="310"/>
      <c r="U972" s="310"/>
      <c r="V972" s="4"/>
      <c r="W972" s="4"/>
      <c r="X972" s="4"/>
      <c r="Y972" s="4"/>
      <c r="Z972" s="4"/>
      <c r="AA972" s="4"/>
      <c r="AB972" s="380" t="str">
        <f>VLOOKUP($B972,'D7 - NDB Impacted SPRF''s'!$E$16:$O$9929,4,FALSE)</f>
        <v>Completed</v>
      </c>
      <c r="AC972" s="380" t="str">
        <f>VLOOKUP($B972,'D7 - NDB Impacted SPRF''s'!$E$16:$O$9929,3,FALSE)</f>
        <v>UHG IT - Application Services Group</v>
      </c>
      <c r="AD972" s="380" t="str">
        <f>VLOOKUP($B972,'D7 - NDB Impacted SPRF''s'!$E$16:$O$9929,5,FALSE)</f>
        <v>ASG</v>
      </c>
      <c r="AE972" s="380" t="str">
        <f>VLOOKUP($B972,'D7 - NDB Impacted SPRF''s'!$E$16:$O$9929,7,FALSE)</f>
        <v>John Santelli</v>
      </c>
      <c r="AF972" s="380" t="str">
        <f>VLOOKUP($B972,'D7 - NDB Impacted SPRF''s'!$E$16:$O$9929,6,FALSE)</f>
        <v>CHRISTINE VU</v>
      </c>
      <c r="AG972" s="282"/>
      <c r="AH972" s="311" t="e">
        <f>INDEX('D5 - Gatekeeper - Projects'!$A$4:$AF$1010,$AM972, 17)</f>
        <v>#N/A</v>
      </c>
      <c r="AI972" s="8"/>
      <c r="AJ972" s="57"/>
      <c r="AK972" s="105"/>
      <c r="AM972" s="6" t="e">
        <f>MATCH(D972,'D5 - Gatekeeper - Projects'!$C$4:$C$1010,0)</f>
        <v>#N/A</v>
      </c>
      <c r="AN972" s="6" t="b">
        <f t="shared" si="85"/>
        <v>1</v>
      </c>
      <c r="AO972" s="6" t="str">
        <f t="shared" si="88"/>
        <v>OK</v>
      </c>
      <c r="AQ972" s="6" t="e">
        <f>MATCH($D972,'D4 - Provider Council Unsched'!$C$11:$C$234,0)</f>
        <v>#N/A</v>
      </c>
      <c r="AR972" s="6" t="b">
        <f t="shared" si="86"/>
        <v>1</v>
      </c>
      <c r="AS972" s="6" t="str">
        <f t="shared" si="89"/>
        <v>OK</v>
      </c>
      <c r="AU972" s="202"/>
      <c r="AV972" s="262"/>
      <c r="AW972" s="274"/>
    </row>
    <row r="973" spans="1:49" s="13" customFormat="1" ht="33.75" x14ac:dyDescent="0.2">
      <c r="A973" s="14">
        <v>949</v>
      </c>
      <c r="B973" s="14">
        <v>400025534</v>
      </c>
      <c r="C973" s="8" t="s">
        <v>5197</v>
      </c>
      <c r="D973" s="4" t="str">
        <f t="shared" si="87"/>
        <v>400025534R1</v>
      </c>
      <c r="E973" s="309" t="str">
        <f>VLOOKUP($B973,'D7 - NDB Impacted SPRF''s'!$E$6:$O$9929,2,FALSE)</f>
        <v>Expanded EPDE Onboardings for August 2008</v>
      </c>
      <c r="F973" s="8" t="s">
        <v>4069</v>
      </c>
      <c r="G973" s="8" t="s">
        <v>4758</v>
      </c>
      <c r="H973" s="8" t="s">
        <v>4246</v>
      </c>
      <c r="I973" s="20">
        <v>1.07</v>
      </c>
      <c r="J973" s="8" t="s">
        <v>4862</v>
      </c>
      <c r="K973" s="182">
        <v>39676</v>
      </c>
      <c r="L973" s="8" t="s">
        <v>5743</v>
      </c>
      <c r="M973" s="8" t="s">
        <v>6007</v>
      </c>
      <c r="N973" s="38"/>
      <c r="O973" s="8" t="s">
        <v>7086</v>
      </c>
      <c r="P973" s="4" t="str">
        <f>VLOOKUP($B973,'D7 - NDB Impacted SPRF''s'!$E$16:$O$9929,9,FALSE)</f>
        <v>N</v>
      </c>
      <c r="Q973" s="4" t="str">
        <f>VLOOKUP($B973,'D7 - NDB Impacted SPRF''s'!$E$16:$O$9929,10,FALSE)</f>
        <v>N</v>
      </c>
      <c r="R973" s="4" t="str">
        <f>VLOOKUP($B973,'D7 - NDB Impacted SPRF''s'!$E$16:$O$9929,11,FALSE)</f>
        <v>N</v>
      </c>
      <c r="S973" s="8"/>
      <c r="T973" s="310"/>
      <c r="U973" s="310"/>
      <c r="V973" s="4"/>
      <c r="W973" s="4"/>
      <c r="X973" s="4"/>
      <c r="Y973" s="4"/>
      <c r="Z973" s="4"/>
      <c r="AA973" s="4"/>
      <c r="AB973" s="380" t="str">
        <f>VLOOKUP($B973,'D7 - NDB Impacted SPRF''s'!$E$16:$O$9929,4,FALSE)</f>
        <v>Completed</v>
      </c>
      <c r="AC973" s="380" t="str">
        <f>VLOOKUP($B973,'D7 - NDB Impacted SPRF''s'!$E$16:$O$9929,3,FALSE)</f>
        <v>UnitedHealthcare Employer &amp; Individual</v>
      </c>
      <c r="AD973" s="380" t="str">
        <f>VLOOKUP($B973,'D7 - NDB Impacted SPRF''s'!$E$16:$O$9929,5,FALSE)</f>
        <v>Medical Cost Savings Programs</v>
      </c>
      <c r="AE973" s="380" t="str">
        <f>VLOOKUP($B973,'D7 - NDB Impacted SPRF''s'!$E$16:$O$9929,7,FALSE)</f>
        <v>Jill Foucre</v>
      </c>
      <c r="AF973" s="380" t="str">
        <f>VLOOKUP($B973,'D7 - NDB Impacted SPRF''s'!$E$16:$O$9929,6,FALSE)</f>
        <v>MARCIA MONACO</v>
      </c>
      <c r="AG973" s="282"/>
      <c r="AH973" s="311" t="e">
        <f>INDEX('D5 - Gatekeeper - Projects'!$A$4:$AF$1010,$AM973, 17)</f>
        <v>#N/A</v>
      </c>
      <c r="AI973" s="8"/>
      <c r="AJ973" s="57"/>
      <c r="AK973" s="105"/>
      <c r="AM973" s="6" t="e">
        <f>MATCH(D973,'D5 - Gatekeeper - Projects'!$C$4:$C$1010,0)</f>
        <v>#N/A</v>
      </c>
      <c r="AN973" s="6" t="b">
        <f t="shared" si="85"/>
        <v>1</v>
      </c>
      <c r="AO973" s="6" t="str">
        <f t="shared" si="88"/>
        <v>OK</v>
      </c>
      <c r="AQ973" s="6" t="e">
        <f>MATCH($D973,'D4 - Provider Council Unsched'!$C$11:$C$234,0)</f>
        <v>#N/A</v>
      </c>
      <c r="AR973" s="6" t="b">
        <f t="shared" si="86"/>
        <v>1</v>
      </c>
      <c r="AS973" s="6" t="str">
        <f t="shared" si="89"/>
        <v>OK</v>
      </c>
      <c r="AU973" s="202"/>
      <c r="AV973" s="262"/>
      <c r="AW973" s="274"/>
    </row>
    <row r="974" spans="1:49" s="13" customFormat="1" ht="22.5" x14ac:dyDescent="0.2">
      <c r="A974" s="14">
        <v>950</v>
      </c>
      <c r="B974" s="14" t="s">
        <v>6645</v>
      </c>
      <c r="C974" s="8" t="s">
        <v>5197</v>
      </c>
      <c r="D974" s="4" t="str">
        <f t="shared" si="87"/>
        <v>TBDOB19R1</v>
      </c>
      <c r="E974" s="309" t="s">
        <v>5203</v>
      </c>
      <c r="F974" s="8" t="s">
        <v>4304</v>
      </c>
      <c r="G974" s="8" t="s">
        <v>4758</v>
      </c>
      <c r="H974" s="8" t="s">
        <v>4246</v>
      </c>
      <c r="I974" s="20">
        <v>1</v>
      </c>
      <c r="J974" s="8" t="s">
        <v>7113</v>
      </c>
      <c r="K974" s="182">
        <v>39676</v>
      </c>
      <c r="L974" s="8" t="s">
        <v>5743</v>
      </c>
      <c r="M974" s="8" t="s">
        <v>5626</v>
      </c>
      <c r="N974" s="38" t="s">
        <v>3781</v>
      </c>
      <c r="O974" s="8"/>
      <c r="P974" s="4" t="e">
        <f>VLOOKUP($B974,'D7 - NDB Impacted SPRF''s'!$E$16:$O$9929,9,FALSE)</f>
        <v>#N/A</v>
      </c>
      <c r="Q974" s="4" t="e">
        <f>VLOOKUP($B974,'D7 - NDB Impacted SPRF''s'!$E$16:$O$9929,10,FALSE)</f>
        <v>#N/A</v>
      </c>
      <c r="R974" s="4" t="e">
        <f>VLOOKUP($B974,'D7 - NDB Impacted SPRF''s'!$E$16:$O$9929,11,FALSE)</f>
        <v>#N/A</v>
      </c>
      <c r="S974" s="8"/>
      <c r="T974" s="310"/>
      <c r="U974" s="310"/>
      <c r="V974" s="4"/>
      <c r="W974" s="4"/>
      <c r="X974" s="4"/>
      <c r="Y974" s="4"/>
      <c r="Z974" s="4"/>
      <c r="AA974" s="4"/>
      <c r="AB974" s="380" t="e">
        <f>VLOOKUP($B974,'D7 - NDB Impacted SPRF''s'!$E$16:$O$9929,4,FALSE)</f>
        <v>#N/A</v>
      </c>
      <c r="AC974" s="380" t="e">
        <f>VLOOKUP($B974,'D7 - NDB Impacted SPRF''s'!$E$16:$O$9929,3,FALSE)</f>
        <v>#N/A</v>
      </c>
      <c r="AD974" s="380" t="e">
        <f>VLOOKUP($B974,'D7 - NDB Impacted SPRF''s'!$E$16:$O$9929,5,FALSE)</f>
        <v>#N/A</v>
      </c>
      <c r="AE974" s="380" t="e">
        <f>VLOOKUP($B974,'D7 - NDB Impacted SPRF''s'!$E$16:$O$9929,7,FALSE)</f>
        <v>#N/A</v>
      </c>
      <c r="AF974" s="380" t="e">
        <f>VLOOKUP($B974,'D7 - NDB Impacted SPRF''s'!$E$16:$O$9929,6,FALSE)</f>
        <v>#N/A</v>
      </c>
      <c r="AG974" s="282"/>
      <c r="AH974" s="311" t="e">
        <f>INDEX('D5 - Gatekeeper - Projects'!$A$4:$AF$1010,$AM974, 17)</f>
        <v>#N/A</v>
      </c>
      <c r="AI974" s="8"/>
      <c r="AJ974" s="57"/>
      <c r="AK974" s="105"/>
      <c r="AM974" s="6" t="e">
        <f>MATCH(D974,'D5 - Gatekeeper - Projects'!$C$4:$C$1010,0)</f>
        <v>#N/A</v>
      </c>
      <c r="AN974" s="6" t="b">
        <f t="shared" si="85"/>
        <v>1</v>
      </c>
      <c r="AO974" s="6" t="str">
        <f t="shared" si="88"/>
        <v>OK</v>
      </c>
      <c r="AQ974" s="6" t="e">
        <f>MATCH($D974,'D4 - Provider Council Unsched'!$C$11:$C$234,0)</f>
        <v>#N/A</v>
      </c>
      <c r="AR974" s="6" t="b">
        <f t="shared" si="86"/>
        <v>1</v>
      </c>
      <c r="AS974" s="6" t="str">
        <f t="shared" si="89"/>
        <v>OK</v>
      </c>
      <c r="AU974" s="202"/>
      <c r="AV974" s="262"/>
      <c r="AW974" s="274"/>
    </row>
    <row r="975" spans="1:49" s="13" customFormat="1" ht="22.5" x14ac:dyDescent="0.2">
      <c r="A975" s="14">
        <v>951</v>
      </c>
      <c r="B975" s="14" t="s">
        <v>6646</v>
      </c>
      <c r="C975" s="8" t="s">
        <v>5197</v>
      </c>
      <c r="D975" s="4" t="str">
        <f t="shared" si="87"/>
        <v>TBDOB20R1</v>
      </c>
      <c r="E975" s="309" t="s">
        <v>5203</v>
      </c>
      <c r="F975" s="8" t="s">
        <v>4304</v>
      </c>
      <c r="G975" s="8" t="s">
        <v>4758</v>
      </c>
      <c r="H975" s="8" t="s">
        <v>4246</v>
      </c>
      <c r="I975" s="20">
        <v>1</v>
      </c>
      <c r="J975" s="8" t="s">
        <v>7113</v>
      </c>
      <c r="K975" s="182">
        <v>39676</v>
      </c>
      <c r="L975" s="8" t="s">
        <v>5743</v>
      </c>
      <c r="M975" s="8" t="s">
        <v>5626</v>
      </c>
      <c r="N975" s="38" t="s">
        <v>3781</v>
      </c>
      <c r="O975" s="8"/>
      <c r="P975" s="4" t="e">
        <f>VLOOKUP($B975,'D7 - NDB Impacted SPRF''s'!$E$16:$O$9929,9,FALSE)</f>
        <v>#N/A</v>
      </c>
      <c r="Q975" s="4" t="e">
        <f>VLOOKUP($B975,'D7 - NDB Impacted SPRF''s'!$E$16:$O$9929,10,FALSE)</f>
        <v>#N/A</v>
      </c>
      <c r="R975" s="4" t="e">
        <f>VLOOKUP($B975,'D7 - NDB Impacted SPRF''s'!$E$16:$O$9929,11,FALSE)</f>
        <v>#N/A</v>
      </c>
      <c r="S975" s="8"/>
      <c r="T975" s="310"/>
      <c r="U975" s="310"/>
      <c r="V975" s="4"/>
      <c r="W975" s="4"/>
      <c r="X975" s="4"/>
      <c r="Y975" s="4"/>
      <c r="Z975" s="4"/>
      <c r="AA975" s="4"/>
      <c r="AB975" s="380" t="e">
        <f>VLOOKUP($B975,'D7 - NDB Impacted SPRF''s'!$E$16:$O$9929,4,FALSE)</f>
        <v>#N/A</v>
      </c>
      <c r="AC975" s="380" t="e">
        <f>VLOOKUP($B975,'D7 - NDB Impacted SPRF''s'!$E$16:$O$9929,3,FALSE)</f>
        <v>#N/A</v>
      </c>
      <c r="AD975" s="380" t="e">
        <f>VLOOKUP($B975,'D7 - NDB Impacted SPRF''s'!$E$16:$O$9929,5,FALSE)</f>
        <v>#N/A</v>
      </c>
      <c r="AE975" s="380" t="e">
        <f>VLOOKUP($B975,'D7 - NDB Impacted SPRF''s'!$E$16:$O$9929,7,FALSE)</f>
        <v>#N/A</v>
      </c>
      <c r="AF975" s="380" t="e">
        <f>VLOOKUP($B975,'D7 - NDB Impacted SPRF''s'!$E$16:$O$9929,6,FALSE)</f>
        <v>#N/A</v>
      </c>
      <c r="AG975" s="282"/>
      <c r="AH975" s="311" t="e">
        <f>INDEX('D5 - Gatekeeper - Projects'!$A$4:$AF$1010,$AM975, 17)</f>
        <v>#N/A</v>
      </c>
      <c r="AI975" s="8"/>
      <c r="AJ975" s="57"/>
      <c r="AK975" s="105"/>
      <c r="AM975" s="6" t="e">
        <f>MATCH(D975,'D5 - Gatekeeper - Projects'!$C$4:$C$1010,0)</f>
        <v>#N/A</v>
      </c>
      <c r="AN975" s="6" t="b">
        <f t="shared" si="85"/>
        <v>1</v>
      </c>
      <c r="AO975" s="6" t="str">
        <f t="shared" si="88"/>
        <v>OK</v>
      </c>
      <c r="AQ975" s="6" t="e">
        <f>MATCH($D975,'D4 - Provider Council Unsched'!$C$11:$C$234,0)</f>
        <v>#N/A</v>
      </c>
      <c r="AR975" s="6" t="b">
        <f t="shared" si="86"/>
        <v>1</v>
      </c>
      <c r="AS975" s="6" t="str">
        <f t="shared" si="89"/>
        <v>OK</v>
      </c>
      <c r="AU975" s="202"/>
      <c r="AV975" s="262"/>
      <c r="AW975" s="274"/>
    </row>
    <row r="976" spans="1:49" s="13" customFormat="1" ht="33.75" x14ac:dyDescent="0.2">
      <c r="A976" s="14">
        <v>952</v>
      </c>
      <c r="B976" s="14">
        <v>400019681</v>
      </c>
      <c r="C976" s="8" t="s">
        <v>1992</v>
      </c>
      <c r="D976" s="4" t="str">
        <f t="shared" si="87"/>
        <v>400019681U1</v>
      </c>
      <c r="E976" s="309" t="str">
        <f>VLOOKUP($B976,'D7 - NDB Impacted SPRF''s'!$E$6:$O$9929,2,FALSE)</f>
        <v>PHS Work Package 1 Release 2 - Provider Crosswalk</v>
      </c>
      <c r="F976" s="8" t="s">
        <v>6071</v>
      </c>
      <c r="G976" s="8" t="s">
        <v>4758</v>
      </c>
      <c r="H976" s="8" t="s">
        <v>4246</v>
      </c>
      <c r="I976" s="20">
        <v>0.97</v>
      </c>
      <c r="J976" s="8" t="s">
        <v>4862</v>
      </c>
      <c r="K976" s="182">
        <v>39716</v>
      </c>
      <c r="L976" s="8" t="s">
        <v>5743</v>
      </c>
      <c r="M976" s="8" t="s">
        <v>2814</v>
      </c>
      <c r="N976" s="38"/>
      <c r="O976" s="8" t="s">
        <v>2547</v>
      </c>
      <c r="P976" s="4" t="str">
        <f>VLOOKUP($B976,'D7 - NDB Impacted SPRF''s'!$E$16:$O$9929,9,FALSE)</f>
        <v>N</v>
      </c>
      <c r="Q976" s="4" t="str">
        <f>VLOOKUP($B976,'D7 - NDB Impacted SPRF''s'!$E$16:$O$9929,10,FALSE)</f>
        <v>N</v>
      </c>
      <c r="R976" s="4" t="str">
        <f>VLOOKUP($B976,'D7 - NDB Impacted SPRF''s'!$E$16:$O$9929,11,FALSE)</f>
        <v>N</v>
      </c>
      <c r="S976" s="8"/>
      <c r="T976" s="310"/>
      <c r="U976" s="310"/>
      <c r="V976" s="4"/>
      <c r="W976" s="4"/>
      <c r="X976" s="4"/>
      <c r="Y976" s="4"/>
      <c r="Z976" s="4"/>
      <c r="AA976" s="4"/>
      <c r="AB976" s="380" t="str">
        <f>VLOOKUP($B976,'D7 - NDB Impacted SPRF''s'!$E$16:$O$9929,4,FALSE)</f>
        <v>Completed</v>
      </c>
      <c r="AC976" s="380" t="str">
        <f>VLOOKUP($B976,'D7 - NDB Impacted SPRF''s'!$E$16:$O$9929,3,FALSE)</f>
        <v>UnitedHealthcare Employer &amp; Individual</v>
      </c>
      <c r="AD976" s="380" t="str">
        <f>VLOOKUP($B976,'D7 - NDB Impacted SPRF''s'!$E$16:$O$9929,5,FALSE)</f>
        <v>Integration Requirements</v>
      </c>
      <c r="AE976" s="380" t="str">
        <f>VLOOKUP($B976,'D7 - NDB Impacted SPRF''s'!$E$16:$O$9929,7,FALSE)</f>
        <v>Diane Schofield</v>
      </c>
      <c r="AF976" s="380" t="str">
        <f>VLOOKUP($B976,'D7 - NDB Impacted SPRF''s'!$E$16:$O$9929,6,FALSE)</f>
        <v>KAREN MCKINNEY</v>
      </c>
      <c r="AG976" s="282"/>
      <c r="AH976" s="311" t="e">
        <f>INDEX('D5 - Gatekeeper - Projects'!$A$4:$AF$1010,$AM976, 17)</f>
        <v>#N/A</v>
      </c>
      <c r="AI976" s="8"/>
      <c r="AJ976" s="57"/>
      <c r="AK976" s="105"/>
      <c r="AM976" s="6" t="e">
        <f>MATCH(D976,'D5 - Gatekeeper - Projects'!$C$4:$C$1010,0)</f>
        <v>#N/A</v>
      </c>
      <c r="AN976" s="6" t="b">
        <f t="shared" si="85"/>
        <v>1</v>
      </c>
      <c r="AO976" s="6" t="str">
        <f t="shared" si="88"/>
        <v>OK</v>
      </c>
      <c r="AQ976" s="6" t="e">
        <f>MATCH($D976,'D4 - Provider Council Unsched'!$C$11:$C$234,0)</f>
        <v>#N/A</v>
      </c>
      <c r="AR976" s="6" t="b">
        <f t="shared" si="86"/>
        <v>1</v>
      </c>
      <c r="AS976" s="6" t="str">
        <f t="shared" si="89"/>
        <v>OK</v>
      </c>
      <c r="AU976" s="202"/>
      <c r="AV976" s="262"/>
      <c r="AW976" s="274"/>
    </row>
    <row r="977" spans="1:49" s="13" customFormat="1" ht="33.75" x14ac:dyDescent="0.2">
      <c r="A977" s="14">
        <v>953</v>
      </c>
      <c r="B977" s="14">
        <v>400014830</v>
      </c>
      <c r="C977" s="8" t="s">
        <v>3763</v>
      </c>
      <c r="D977" s="4" t="str">
        <f t="shared" si="87"/>
        <v>400014830R2</v>
      </c>
      <c r="E977" s="309" t="str">
        <f>VLOOKUP($B977,'D7 - NDB Impacted SPRF''s'!$E$6:$O$9929,2,FALSE)</f>
        <v>Medica data sharing/exchange - UAT/production load</v>
      </c>
      <c r="F977" s="8" t="s">
        <v>5196</v>
      </c>
      <c r="G977" s="8" t="s">
        <v>4758</v>
      </c>
      <c r="H977" s="8" t="s">
        <v>4246</v>
      </c>
      <c r="I977" s="20">
        <v>12</v>
      </c>
      <c r="J977" s="8" t="s">
        <v>4862</v>
      </c>
      <c r="K977" s="182">
        <v>39718</v>
      </c>
      <c r="L977" s="8" t="s">
        <v>5743</v>
      </c>
      <c r="M977" s="8" t="s">
        <v>4450</v>
      </c>
      <c r="N977" s="38" t="s">
        <v>4962</v>
      </c>
      <c r="O977" s="8" t="s">
        <v>2547</v>
      </c>
      <c r="P977" s="4" t="str">
        <f>VLOOKUP($B977,'D7 - NDB Impacted SPRF''s'!$E$16:$O$9929,9,FALSE)</f>
        <v>Y</v>
      </c>
      <c r="Q977" s="4" t="str">
        <f>VLOOKUP($B977,'D7 - NDB Impacted SPRF''s'!$E$16:$O$9929,10,FALSE)</f>
        <v>N</v>
      </c>
      <c r="R977" s="4" t="str">
        <f>VLOOKUP($B977,'D7 - NDB Impacted SPRF''s'!$E$16:$O$9929,11,FALSE)</f>
        <v>N</v>
      </c>
      <c r="S977" s="8"/>
      <c r="T977" s="310"/>
      <c r="U977" s="310"/>
      <c r="V977" s="4"/>
      <c r="W977" s="4"/>
      <c r="X977" s="4"/>
      <c r="Y977" s="4"/>
      <c r="Z977" s="4"/>
      <c r="AA977" s="4"/>
      <c r="AB977" s="380" t="str">
        <f>VLOOKUP($B977,'D7 - NDB Impacted SPRF''s'!$E$16:$O$9929,4,FALSE)</f>
        <v>Completed</v>
      </c>
      <c r="AC977" s="380" t="str">
        <f>VLOOKUP($B977,'D7 - NDB Impacted SPRF''s'!$E$16:$O$9929,3,FALSE)</f>
        <v>UnitedHealthcare Employer &amp; Individual</v>
      </c>
      <c r="AD977" s="380" t="str">
        <f>VLOOKUP($B977,'D7 - NDB Impacted SPRF''s'!$E$16:$O$9929,5,FALSE)</f>
        <v>HCA - Medica UNET Conversion</v>
      </c>
      <c r="AE977" s="380" t="str">
        <f>VLOOKUP($B977,'D7 - NDB Impacted SPRF''s'!$E$16:$O$9929,7,FALSE)</f>
        <v>Diane Schofield</v>
      </c>
      <c r="AF977" s="380" t="str">
        <f>VLOOKUP($B977,'D7 - NDB Impacted SPRF''s'!$E$16:$O$9929,6,FALSE)</f>
        <v>Cindy Griggs</v>
      </c>
      <c r="AG977" s="282"/>
      <c r="AH977" s="311" t="e">
        <f>INDEX('D5 - Gatekeeper - Projects'!$A$4:$AF$1010,$AM977, 17)</f>
        <v>#N/A</v>
      </c>
      <c r="AI977" s="8"/>
      <c r="AJ977" s="57"/>
      <c r="AK977" s="105"/>
      <c r="AM977" s="6" t="e">
        <f>MATCH(D977,'D5 - Gatekeeper - Projects'!$C$4:$C$1010,0)</f>
        <v>#N/A</v>
      </c>
      <c r="AN977" s="6" t="b">
        <f t="shared" ref="AN977:AN1040" si="90">ISERROR(AM977)</f>
        <v>1</v>
      </c>
      <c r="AO977" s="6" t="str">
        <f t="shared" si="88"/>
        <v>OK</v>
      </c>
      <c r="AQ977" s="6" t="e">
        <f>MATCH($D977,'D4 - Provider Council Unsched'!$C$11:$C$234,0)</f>
        <v>#N/A</v>
      </c>
      <c r="AR977" s="6" t="b">
        <f t="shared" ref="AR977:AR1040" si="91">ISERROR(AQ977)</f>
        <v>1</v>
      </c>
      <c r="AS977" s="6" t="str">
        <f t="shared" si="89"/>
        <v>OK</v>
      </c>
      <c r="AU977" s="202"/>
      <c r="AV977" s="262"/>
      <c r="AW977" s="274"/>
    </row>
    <row r="978" spans="1:49" s="13" customFormat="1" ht="33.75" x14ac:dyDescent="0.2">
      <c r="A978" s="14">
        <v>954</v>
      </c>
      <c r="B978" s="14">
        <v>400015927</v>
      </c>
      <c r="C978" s="8" t="s">
        <v>3763</v>
      </c>
      <c r="D978" s="4" t="str">
        <f t="shared" ref="D978:D1041" si="92">CONCATENATE(B978,C978)</f>
        <v>400015927R2</v>
      </c>
      <c r="E978" s="309" t="str">
        <f>VLOOKUP($B978,'D7 - NDB Impacted SPRF''s'!$E$6:$O$9929,2,FALSE)</f>
        <v>HCA Pass/Prime integration with IDT</v>
      </c>
      <c r="F978" s="8" t="s">
        <v>5196</v>
      </c>
      <c r="G978" s="8" t="s">
        <v>4758</v>
      </c>
      <c r="H978" s="8" t="s">
        <v>4246</v>
      </c>
      <c r="I978" s="20">
        <f>8.27-1.07</f>
        <v>7.1999999999999993</v>
      </c>
      <c r="J978" s="8" t="s">
        <v>4862</v>
      </c>
      <c r="K978" s="182">
        <v>39718</v>
      </c>
      <c r="L978" s="8" t="s">
        <v>5743</v>
      </c>
      <c r="M978" s="8" t="s">
        <v>2814</v>
      </c>
      <c r="N978" s="38" t="s">
        <v>7390</v>
      </c>
      <c r="O978" s="8" t="s">
        <v>4599</v>
      </c>
      <c r="P978" s="4" t="str">
        <f>VLOOKUP($B978,'D7 - NDB Impacted SPRF''s'!$E$16:$O$9929,9,FALSE)</f>
        <v>N</v>
      </c>
      <c r="Q978" s="4" t="str">
        <f>VLOOKUP($B978,'D7 - NDB Impacted SPRF''s'!$E$16:$O$9929,10,FALSE)</f>
        <v>N</v>
      </c>
      <c r="R978" s="4" t="str">
        <f>VLOOKUP($B978,'D7 - NDB Impacted SPRF''s'!$E$16:$O$9929,11,FALSE)</f>
        <v>N</v>
      </c>
      <c r="S978" s="8"/>
      <c r="T978" s="310"/>
      <c r="U978" s="310"/>
      <c r="V978" s="4"/>
      <c r="W978" s="4"/>
      <c r="X978" s="4"/>
      <c r="Y978" s="4"/>
      <c r="Z978" s="4"/>
      <c r="AA978" s="4"/>
      <c r="AB978" s="380" t="str">
        <f>VLOOKUP($B978,'D7 - NDB Impacted SPRF''s'!$E$16:$O$9929,4,FALSE)</f>
        <v>Completed</v>
      </c>
      <c r="AC978" s="380" t="str">
        <f>VLOOKUP($B978,'D7 - NDB Impacted SPRF''s'!$E$16:$O$9929,3,FALSE)</f>
        <v>UnitedHealthcare Employer &amp; Individual</v>
      </c>
      <c r="AD978" s="380" t="str">
        <f>VLOOKUP($B978,'D7 - NDB Impacted SPRF''s'!$E$16:$O$9929,5,FALSE)</f>
        <v>Healthcare Service Alliance</v>
      </c>
      <c r="AE978" s="380" t="str">
        <f>VLOOKUP($B978,'D7 - NDB Impacted SPRF''s'!$E$16:$O$9929,7,FALSE)</f>
        <v>Claire Verity</v>
      </c>
      <c r="AF978" s="380" t="str">
        <f>VLOOKUP($B978,'D7 - NDB Impacted SPRF''s'!$E$16:$O$9929,6,FALSE)</f>
        <v>Jodie Mckie</v>
      </c>
      <c r="AG978" s="282"/>
      <c r="AH978" s="311" t="e">
        <f>INDEX('D5 - Gatekeeper - Projects'!$A$4:$AF$1010,$AM978, 17)</f>
        <v>#N/A</v>
      </c>
      <c r="AI978" s="8"/>
      <c r="AJ978" s="57"/>
      <c r="AK978" s="105"/>
      <c r="AM978" s="6" t="e">
        <f>MATCH(D978,'D5 - Gatekeeper - Projects'!$C$4:$C$1010,0)</f>
        <v>#N/A</v>
      </c>
      <c r="AN978" s="6" t="b">
        <f t="shared" si="90"/>
        <v>1</v>
      </c>
      <c r="AO978" s="6" t="str">
        <f t="shared" ref="AO978:AO1041" si="93">IF(AND(H978="1 - Scheduled",AN978=TRUE),"Add","OK")</f>
        <v>OK</v>
      </c>
      <c r="AQ978" s="6" t="e">
        <f>MATCH($D978,'D4 - Provider Council Unsched'!$C$11:$C$234,0)</f>
        <v>#N/A</v>
      </c>
      <c r="AR978" s="6" t="b">
        <f t="shared" si="91"/>
        <v>1</v>
      </c>
      <c r="AS978" s="6" t="str">
        <f t="shared" si="89"/>
        <v>OK</v>
      </c>
      <c r="AU978" s="202"/>
      <c r="AV978" s="262"/>
      <c r="AW978" s="274"/>
    </row>
    <row r="979" spans="1:49" s="13" customFormat="1" ht="33.75" x14ac:dyDescent="0.2">
      <c r="A979" s="14">
        <v>955</v>
      </c>
      <c r="B979" s="14">
        <v>400016578</v>
      </c>
      <c r="C979" s="8" t="s">
        <v>6556</v>
      </c>
      <c r="D979" s="4" t="str">
        <f t="shared" si="92"/>
        <v>400016578R12</v>
      </c>
      <c r="E979" s="309" t="str">
        <f>VLOOKUP($B979,'D7 - NDB Impacted SPRF''s'!$E$6:$O$9929,2,FALSE)</f>
        <v>Detailed Tuning Recommendations</v>
      </c>
      <c r="F979" s="8" t="s">
        <v>8133</v>
      </c>
      <c r="G979" s="8" t="s">
        <v>4758</v>
      </c>
      <c r="H979" s="8" t="s">
        <v>4246</v>
      </c>
      <c r="I979" s="20">
        <v>1.4</v>
      </c>
      <c r="J979" s="8" t="s">
        <v>4862</v>
      </c>
      <c r="K979" s="182">
        <v>39718</v>
      </c>
      <c r="L979" s="8" t="s">
        <v>5743</v>
      </c>
      <c r="M979" s="8" t="s">
        <v>4450</v>
      </c>
      <c r="N979" s="38"/>
      <c r="O979" s="8" t="s">
        <v>7299</v>
      </c>
      <c r="P979" s="4" t="str">
        <f>VLOOKUP($B979,'D7 - NDB Impacted SPRF''s'!$E$16:$O$9929,9,FALSE)</f>
        <v>Y</v>
      </c>
      <c r="Q979" s="4" t="str">
        <f>VLOOKUP($B979,'D7 - NDB Impacted SPRF''s'!$E$16:$O$9929,10,FALSE)</f>
        <v>N</v>
      </c>
      <c r="R979" s="4" t="str">
        <f>VLOOKUP($B979,'D7 - NDB Impacted SPRF''s'!$E$16:$O$9929,11,FALSE)</f>
        <v>N</v>
      </c>
      <c r="S979" s="8"/>
      <c r="T979" s="310"/>
      <c r="U979" s="310"/>
      <c r="V979" s="4"/>
      <c r="W979" s="4"/>
      <c r="X979" s="4"/>
      <c r="Y979" s="4"/>
      <c r="Z979" s="4"/>
      <c r="AA979" s="4"/>
      <c r="AB979" s="380" t="str">
        <f>VLOOKUP($B979,'D7 - NDB Impacted SPRF''s'!$E$16:$O$9929,4,FALSE)</f>
        <v>Completed</v>
      </c>
      <c r="AC979" s="380" t="str">
        <f>VLOOKUP($B979,'D7 - NDB Impacted SPRF''s'!$E$16:$O$9929,3,FALSE)</f>
        <v>UHG IT - Application Services Group</v>
      </c>
      <c r="AD979" s="380" t="str">
        <f>VLOOKUP($B979,'D7 - NDB Impacted SPRF''s'!$E$16:$O$9929,5,FALSE)</f>
        <v>ASG</v>
      </c>
      <c r="AE979" s="380" t="str">
        <f>VLOOKUP($B979,'D7 - NDB Impacted SPRF''s'!$E$16:$O$9929,7,FALSE)</f>
        <v>Jeff Hanas</v>
      </c>
      <c r="AF979" s="380" t="str">
        <f>VLOOKUP($B979,'D7 - NDB Impacted SPRF''s'!$E$16:$O$9929,6,FALSE)</f>
        <v>Jeffrey Jablonski</v>
      </c>
      <c r="AG979" s="282"/>
      <c r="AH979" s="311" t="e">
        <f>INDEX('D5 - Gatekeeper - Projects'!$A$4:$AF$1010,$AM979, 17)</f>
        <v>#N/A</v>
      </c>
      <c r="AI979" s="8"/>
      <c r="AJ979" s="57"/>
      <c r="AK979" s="105"/>
      <c r="AM979" s="6" t="e">
        <f>MATCH(D979,'D5 - Gatekeeper - Projects'!$C$4:$C$1010,0)</f>
        <v>#N/A</v>
      </c>
      <c r="AN979" s="6" t="b">
        <f t="shared" si="90"/>
        <v>1</v>
      </c>
      <c r="AO979" s="6" t="str">
        <f t="shared" si="93"/>
        <v>OK</v>
      </c>
      <c r="AQ979" s="6" t="e">
        <f>MATCH($D979,'D4 - Provider Council Unsched'!$C$11:$C$234,0)</f>
        <v>#N/A</v>
      </c>
      <c r="AR979" s="6" t="b">
        <f t="shared" si="91"/>
        <v>1</v>
      </c>
      <c r="AS979" s="6" t="str">
        <f t="shared" si="89"/>
        <v>OK</v>
      </c>
      <c r="AU979" s="202"/>
      <c r="AV979" s="262"/>
      <c r="AW979" s="274"/>
    </row>
    <row r="980" spans="1:49" s="13" customFormat="1" x14ac:dyDescent="0.2">
      <c r="A980" s="14">
        <v>956</v>
      </c>
      <c r="B980" s="14">
        <v>400016644</v>
      </c>
      <c r="C980" s="8" t="s">
        <v>1992</v>
      </c>
      <c r="D980" s="4" t="str">
        <f t="shared" si="92"/>
        <v>400016644U1</v>
      </c>
      <c r="E980" s="309" t="str">
        <f>VLOOKUP($B980,'D7 - NDB Impacted SPRF''s'!$E$6:$O$9929,2,FALSE)</f>
        <v>Sarbanes-Oxley Compliance Activities 2007</v>
      </c>
      <c r="F980" s="8" t="s">
        <v>8133</v>
      </c>
      <c r="G980" s="8" t="s">
        <v>4758</v>
      </c>
      <c r="H980" s="8" t="s">
        <v>4246</v>
      </c>
      <c r="I980" s="20">
        <v>2.2200000000000002</v>
      </c>
      <c r="J980" s="8" t="s">
        <v>4862</v>
      </c>
      <c r="K980" s="182">
        <v>39718</v>
      </c>
      <c r="L980" s="8" t="s">
        <v>5743</v>
      </c>
      <c r="M980" s="8" t="s">
        <v>2814</v>
      </c>
      <c r="N980" s="38"/>
      <c r="O980" s="8" t="s">
        <v>7755</v>
      </c>
      <c r="P980" s="4" t="str">
        <f>VLOOKUP($B980,'D7 - NDB Impacted SPRF''s'!$E$16:$O$9929,9,FALSE)</f>
        <v>Y</v>
      </c>
      <c r="Q980" s="4" t="str">
        <f>VLOOKUP($B980,'D7 - NDB Impacted SPRF''s'!$E$16:$O$9929,10,FALSE)</f>
        <v>N</v>
      </c>
      <c r="R980" s="4" t="str">
        <f>VLOOKUP($B980,'D7 - NDB Impacted SPRF''s'!$E$16:$O$9929,11,FALSE)</f>
        <v>N</v>
      </c>
      <c r="S980" s="8"/>
      <c r="T980" s="310"/>
      <c r="U980" s="310"/>
      <c r="V980" s="4"/>
      <c r="W980" s="4"/>
      <c r="X980" s="4"/>
      <c r="Y980" s="4"/>
      <c r="Z980" s="4"/>
      <c r="AA980" s="4"/>
      <c r="AB980" s="380" t="str">
        <f>VLOOKUP($B980,'D7 - NDB Impacted SPRF''s'!$E$16:$O$9929,4,FALSE)</f>
        <v>Completed</v>
      </c>
      <c r="AC980" s="380" t="str">
        <f>VLOOKUP($B980,'D7 - NDB Impacted SPRF''s'!$E$16:$O$9929,3,FALSE)</f>
        <v>Uniprise</v>
      </c>
      <c r="AD980" s="380" t="str">
        <f>VLOOKUP($B980,'D7 - NDB Impacted SPRF''s'!$E$16:$O$9929,5,FALSE)</f>
        <v>Uniprise Technologies - DDC</v>
      </c>
      <c r="AE980" s="380" t="str">
        <f>VLOOKUP($B980,'D7 - NDB Impacted SPRF''s'!$E$16:$O$9929,7,FALSE)</f>
        <v>John Santelli</v>
      </c>
      <c r="AF980" s="380" t="str">
        <f>VLOOKUP($B980,'D7 - NDB Impacted SPRF''s'!$E$16:$O$9929,6,FALSE)</f>
        <v>Stacy Dennis</v>
      </c>
      <c r="AG980" s="282"/>
      <c r="AH980" s="311" t="e">
        <f>INDEX('D5 - Gatekeeper - Projects'!$A$4:$AF$1010,$AM980, 17)</f>
        <v>#N/A</v>
      </c>
      <c r="AI980" s="8"/>
      <c r="AJ980" s="57"/>
      <c r="AK980" s="105"/>
      <c r="AM980" s="6" t="e">
        <f>MATCH(D980,'D5 - Gatekeeper - Projects'!$C$4:$C$1010,0)</f>
        <v>#N/A</v>
      </c>
      <c r="AN980" s="6" t="b">
        <f t="shared" si="90"/>
        <v>1</v>
      </c>
      <c r="AO980" s="6" t="str">
        <f t="shared" si="93"/>
        <v>OK</v>
      </c>
      <c r="AQ980" s="6" t="e">
        <f>MATCH($D980,'D4 - Provider Council Unsched'!$C$11:$C$234,0)</f>
        <v>#N/A</v>
      </c>
      <c r="AR980" s="6" t="b">
        <f t="shared" si="91"/>
        <v>1</v>
      </c>
      <c r="AS980" s="6" t="str">
        <f t="shared" si="89"/>
        <v>OK</v>
      </c>
      <c r="AU980" s="202"/>
      <c r="AV980" s="262"/>
      <c r="AW980" s="274"/>
    </row>
    <row r="981" spans="1:49" s="13" customFormat="1" ht="33.75" x14ac:dyDescent="0.2">
      <c r="A981" s="14">
        <v>957</v>
      </c>
      <c r="B981" s="14">
        <v>400019681</v>
      </c>
      <c r="C981" s="8" t="s">
        <v>5197</v>
      </c>
      <c r="D981" s="4" t="str">
        <f t="shared" si="92"/>
        <v>400019681R1</v>
      </c>
      <c r="E981" s="309" t="str">
        <f>VLOOKUP($B981,'D7 - NDB Impacted SPRF''s'!$E$6:$O$9929,2,FALSE)</f>
        <v>PHS Work Package 1 Release 2 - Provider Crosswalk</v>
      </c>
      <c r="F981" s="8" t="s">
        <v>6071</v>
      </c>
      <c r="G981" s="8" t="s">
        <v>4758</v>
      </c>
      <c r="H981" s="8" t="s">
        <v>4246</v>
      </c>
      <c r="I981" s="20">
        <v>57.04</v>
      </c>
      <c r="J981" s="8" t="s">
        <v>4862</v>
      </c>
      <c r="K981" s="182">
        <v>39718</v>
      </c>
      <c r="L981" s="8" t="s">
        <v>5743</v>
      </c>
      <c r="M981" s="8" t="s">
        <v>2814</v>
      </c>
      <c r="N981" s="38"/>
      <c r="O981" s="8" t="s">
        <v>2547</v>
      </c>
      <c r="P981" s="4" t="str">
        <f>VLOOKUP($B981,'D7 - NDB Impacted SPRF''s'!$E$16:$O$9929,9,FALSE)</f>
        <v>N</v>
      </c>
      <c r="Q981" s="4" t="str">
        <f>VLOOKUP($B981,'D7 - NDB Impacted SPRF''s'!$E$16:$O$9929,10,FALSE)</f>
        <v>N</v>
      </c>
      <c r="R981" s="4" t="str">
        <f>VLOOKUP($B981,'D7 - NDB Impacted SPRF''s'!$E$16:$O$9929,11,FALSE)</f>
        <v>N</v>
      </c>
      <c r="S981" s="8"/>
      <c r="T981" s="310"/>
      <c r="U981" s="310"/>
      <c r="V981" s="4"/>
      <c r="W981" s="4"/>
      <c r="X981" s="4"/>
      <c r="Y981" s="4"/>
      <c r="Z981" s="4"/>
      <c r="AA981" s="4"/>
      <c r="AB981" s="380" t="str">
        <f>VLOOKUP($B981,'D7 - NDB Impacted SPRF''s'!$E$16:$O$9929,4,FALSE)</f>
        <v>Completed</v>
      </c>
      <c r="AC981" s="380" t="str">
        <f>VLOOKUP($B981,'D7 - NDB Impacted SPRF''s'!$E$16:$O$9929,3,FALSE)</f>
        <v>UnitedHealthcare Employer &amp; Individual</v>
      </c>
      <c r="AD981" s="380" t="str">
        <f>VLOOKUP($B981,'D7 - NDB Impacted SPRF''s'!$E$16:$O$9929,5,FALSE)</f>
        <v>Integration Requirements</v>
      </c>
      <c r="AE981" s="380" t="str">
        <f>VLOOKUP($B981,'D7 - NDB Impacted SPRF''s'!$E$16:$O$9929,7,FALSE)</f>
        <v>Diane Schofield</v>
      </c>
      <c r="AF981" s="380" t="str">
        <f>VLOOKUP($B981,'D7 - NDB Impacted SPRF''s'!$E$16:$O$9929,6,FALSE)</f>
        <v>KAREN MCKINNEY</v>
      </c>
      <c r="AG981" s="282"/>
      <c r="AH981" s="311" t="e">
        <f>INDEX('D5 - Gatekeeper - Projects'!$A$4:$AF$1010,$AM981, 17)</f>
        <v>#N/A</v>
      </c>
      <c r="AI981" s="8"/>
      <c r="AJ981" s="57"/>
      <c r="AK981" s="105"/>
      <c r="AM981" s="6" t="e">
        <f>MATCH(D981,'D5 - Gatekeeper - Projects'!$C$4:$C$1010,0)</f>
        <v>#N/A</v>
      </c>
      <c r="AN981" s="6" t="b">
        <f t="shared" si="90"/>
        <v>1</v>
      </c>
      <c r="AO981" s="6" t="str">
        <f t="shared" si="93"/>
        <v>OK</v>
      </c>
      <c r="AQ981" s="6" t="e">
        <f>MATCH($D981,'D4 - Provider Council Unsched'!$C$11:$C$234,0)</f>
        <v>#N/A</v>
      </c>
      <c r="AR981" s="6" t="b">
        <f t="shared" si="91"/>
        <v>1</v>
      </c>
      <c r="AS981" s="6" t="str">
        <f t="shared" si="89"/>
        <v>OK</v>
      </c>
      <c r="AU981" s="202"/>
      <c r="AV981" s="262"/>
      <c r="AW981" s="274"/>
    </row>
    <row r="982" spans="1:49" s="13" customFormat="1" ht="33.75" x14ac:dyDescent="0.2">
      <c r="A982" s="14">
        <v>958</v>
      </c>
      <c r="B982" s="14">
        <v>400020355</v>
      </c>
      <c r="C982" s="8" t="s">
        <v>5197</v>
      </c>
      <c r="D982" s="4" t="str">
        <f t="shared" si="92"/>
        <v>400020355R1</v>
      </c>
      <c r="E982" s="309" t="str">
        <f>VLOOKUP($B982,'D7 - NDB Impacted SPRF''s'!$E$6:$O$9929,2,FALSE)</f>
        <v>Consumer Experience - Health Advisor Desktop R2</v>
      </c>
      <c r="F982" s="8" t="s">
        <v>2114</v>
      </c>
      <c r="G982" s="8" t="s">
        <v>4758</v>
      </c>
      <c r="H982" s="8" t="s">
        <v>4246</v>
      </c>
      <c r="I982" s="20">
        <f>1336/150</f>
        <v>8.9066666666666663</v>
      </c>
      <c r="J982" s="8" t="s">
        <v>4862</v>
      </c>
      <c r="K982" s="182">
        <v>39718</v>
      </c>
      <c r="L982" s="8" t="s">
        <v>5743</v>
      </c>
      <c r="M982" s="8" t="s">
        <v>4850</v>
      </c>
      <c r="N982" s="38"/>
      <c r="O982" s="8" t="s">
        <v>2000</v>
      </c>
      <c r="P982" s="4" t="str">
        <f>VLOOKUP($B982,'D7 - NDB Impacted SPRF''s'!$E$16:$O$9929,9,FALSE)</f>
        <v>Y</v>
      </c>
      <c r="Q982" s="4" t="str">
        <f>VLOOKUP($B982,'D7 - NDB Impacted SPRF''s'!$E$16:$O$9929,10,FALSE)</f>
        <v>N</v>
      </c>
      <c r="R982" s="4" t="str">
        <f>VLOOKUP($B982,'D7 - NDB Impacted SPRF''s'!$E$16:$O$9929,11,FALSE)</f>
        <v>N</v>
      </c>
      <c r="S982" s="8"/>
      <c r="T982" s="310"/>
      <c r="U982" s="310"/>
      <c r="V982" s="4"/>
      <c r="W982" s="4"/>
      <c r="X982" s="4"/>
      <c r="Y982" s="4"/>
      <c r="Z982" s="4"/>
      <c r="AA982" s="4"/>
      <c r="AB982" s="380" t="str">
        <f>VLOOKUP($B982,'D7 - NDB Impacted SPRF''s'!$E$16:$O$9929,4,FALSE)</f>
        <v>Completed</v>
      </c>
      <c r="AC982" s="380" t="str">
        <f>VLOOKUP($B982,'D7 - NDB Impacted SPRF''s'!$E$16:$O$9929,3,FALSE)</f>
        <v>UnitedHealthcare Employer &amp; Individual</v>
      </c>
      <c r="AD982" s="380" t="str">
        <f>VLOOKUP($B982,'D7 - NDB Impacted SPRF''s'!$E$16:$O$9929,5,FALSE)</f>
        <v>Membership Growth / Revenue Programs</v>
      </c>
      <c r="AE982" s="380" t="str">
        <f>VLOOKUP($B982,'D7 - NDB Impacted SPRF''s'!$E$16:$O$9929,7,FALSE)</f>
        <v>Charles (Chuck) Betts</v>
      </c>
      <c r="AF982" s="380" t="str">
        <f>VLOOKUP($B982,'D7 - NDB Impacted SPRF''s'!$E$16:$O$9929,6,FALSE)</f>
        <v>Joseph Dwyer</v>
      </c>
      <c r="AG982" s="282"/>
      <c r="AH982" s="311" t="e">
        <f>INDEX('D5 - Gatekeeper - Projects'!$A$4:$AF$1010,$AM982, 17)</f>
        <v>#N/A</v>
      </c>
      <c r="AI982" s="8"/>
      <c r="AJ982" s="57"/>
      <c r="AK982" s="105"/>
      <c r="AM982" s="6" t="e">
        <f>MATCH(D982,'D5 - Gatekeeper - Projects'!$C$4:$C$1010,0)</f>
        <v>#N/A</v>
      </c>
      <c r="AN982" s="6" t="b">
        <f t="shared" si="90"/>
        <v>1</v>
      </c>
      <c r="AO982" s="6" t="str">
        <f t="shared" si="93"/>
        <v>OK</v>
      </c>
      <c r="AQ982" s="6" t="e">
        <f>MATCH($D982,'D4 - Provider Council Unsched'!$C$11:$C$234,0)</f>
        <v>#N/A</v>
      </c>
      <c r="AR982" s="6" t="b">
        <f t="shared" si="91"/>
        <v>1</v>
      </c>
      <c r="AS982" s="6" t="str">
        <f t="shared" si="89"/>
        <v>OK</v>
      </c>
      <c r="AU982" s="202"/>
      <c r="AV982" s="262"/>
      <c r="AW982" s="274"/>
    </row>
    <row r="983" spans="1:49" s="13" customFormat="1" ht="33.75" x14ac:dyDescent="0.2">
      <c r="A983" s="14">
        <v>959</v>
      </c>
      <c r="B983" s="14">
        <v>400021244</v>
      </c>
      <c r="C983" s="8" t="s">
        <v>5197</v>
      </c>
      <c r="D983" s="4" t="str">
        <f t="shared" si="92"/>
        <v>400021244R1</v>
      </c>
      <c r="E983" s="309" t="str">
        <f>VLOOKUP($B983,'D7 - NDB Impacted SPRF''s'!$E$6:$O$9929,2,FALSE)</f>
        <v>4-21244 EPS and Payables Merge</v>
      </c>
      <c r="F983" s="8" t="s">
        <v>2114</v>
      </c>
      <c r="G983" s="8" t="s">
        <v>4758</v>
      </c>
      <c r="H983" s="8" t="s">
        <v>4246</v>
      </c>
      <c r="I983" s="20">
        <v>8.36</v>
      </c>
      <c r="J983" s="8" t="s">
        <v>4862</v>
      </c>
      <c r="K983" s="182">
        <v>39718</v>
      </c>
      <c r="L983" s="8" t="s">
        <v>5743</v>
      </c>
      <c r="M983" s="8" t="s">
        <v>2814</v>
      </c>
      <c r="N983" s="38"/>
      <c r="O983" s="8" t="s">
        <v>2875</v>
      </c>
      <c r="P983" s="4" t="str">
        <f>VLOOKUP($B983,'D7 - NDB Impacted SPRF''s'!$E$16:$O$9929,9,FALSE)</f>
        <v>Y</v>
      </c>
      <c r="Q983" s="4" t="str">
        <f>VLOOKUP($B983,'D7 - NDB Impacted SPRF''s'!$E$16:$O$9929,10,FALSE)</f>
        <v>N</v>
      </c>
      <c r="R983" s="4" t="str">
        <f>VLOOKUP($B983,'D7 - NDB Impacted SPRF''s'!$E$16:$O$9929,11,FALSE)</f>
        <v>N</v>
      </c>
      <c r="S983" s="8"/>
      <c r="T983" s="310"/>
      <c r="U983" s="310"/>
      <c r="V983" s="4"/>
      <c r="W983" s="4"/>
      <c r="X983" s="4"/>
      <c r="Y983" s="4"/>
      <c r="Z983" s="4"/>
      <c r="AA983" s="4"/>
      <c r="AB983" s="380" t="str">
        <f>VLOOKUP($B983,'D7 - NDB Impacted SPRF''s'!$E$16:$O$9929,4,FALSE)</f>
        <v>Completed</v>
      </c>
      <c r="AC983" s="380" t="str">
        <f>VLOOKUP($B983,'D7 - NDB Impacted SPRF''s'!$E$16:$O$9929,3,FALSE)</f>
        <v>OptumHealth Financial Services</v>
      </c>
      <c r="AD983" s="380" t="str">
        <f>VLOOKUP($B983,'D7 - NDB Impacted SPRF''s'!$E$16:$O$9929,5,FALSE)</f>
        <v>EPS/Payables Merge</v>
      </c>
      <c r="AE983" s="380" t="str">
        <f>VLOOKUP($B983,'D7 - NDB Impacted SPRF''s'!$E$16:$O$9929,7,FALSE)</f>
        <v>James Koji</v>
      </c>
      <c r="AF983" s="380" t="str">
        <f>VLOOKUP($B983,'D7 - NDB Impacted SPRF''s'!$E$16:$O$9929,6,FALSE)</f>
        <v>Bouwe Hamersma</v>
      </c>
      <c r="AG983" s="282"/>
      <c r="AH983" s="311" t="e">
        <f>INDEX('D5 - Gatekeeper - Projects'!$A$4:$AF$1010,$AM983, 17)</f>
        <v>#N/A</v>
      </c>
      <c r="AI983" s="8"/>
      <c r="AJ983" s="57"/>
      <c r="AK983" s="105"/>
      <c r="AM983" s="6" t="e">
        <f>MATCH(D983,'D5 - Gatekeeper - Projects'!$C$4:$C$1010,0)</f>
        <v>#N/A</v>
      </c>
      <c r="AN983" s="6" t="b">
        <f t="shared" si="90"/>
        <v>1</v>
      </c>
      <c r="AO983" s="6" t="str">
        <f t="shared" si="93"/>
        <v>OK</v>
      </c>
      <c r="AQ983" s="6" t="e">
        <f>MATCH($D983,'D4 - Provider Council Unsched'!$C$11:$C$234,0)</f>
        <v>#N/A</v>
      </c>
      <c r="AR983" s="6" t="b">
        <f t="shared" si="91"/>
        <v>1</v>
      </c>
      <c r="AS983" s="6" t="str">
        <f t="shared" si="89"/>
        <v>OK</v>
      </c>
      <c r="AU983" s="202"/>
      <c r="AV983" s="262"/>
      <c r="AW983" s="274"/>
    </row>
    <row r="984" spans="1:49" s="13" customFormat="1" ht="33.75" x14ac:dyDescent="0.2">
      <c r="A984" s="14">
        <v>960</v>
      </c>
      <c r="B984" s="14">
        <v>400023051</v>
      </c>
      <c r="C984" s="8" t="s">
        <v>5197</v>
      </c>
      <c r="D984" s="4" t="str">
        <f t="shared" si="92"/>
        <v>400023051R1</v>
      </c>
      <c r="E984" s="309" t="str">
        <f>VLOOKUP($B984,'D7 - NDB Impacted SPRF''s'!$E$6:$O$9929,2,FALSE)</f>
        <v xml:space="preserve">UBH/ACN Product-Contract Data </v>
      </c>
      <c r="F984" s="8" t="s">
        <v>5196</v>
      </c>
      <c r="G984" s="8" t="s">
        <v>4758</v>
      </c>
      <c r="H984" s="8" t="s">
        <v>4246</v>
      </c>
      <c r="I984" s="20">
        <v>12.94</v>
      </c>
      <c r="J984" s="8" t="s">
        <v>4862</v>
      </c>
      <c r="K984" s="182">
        <v>39718</v>
      </c>
      <c r="L984" s="8" t="s">
        <v>5743</v>
      </c>
      <c r="M984" s="8" t="s">
        <v>2814</v>
      </c>
      <c r="N984" s="38"/>
      <c r="O984" s="8" t="s">
        <v>7086</v>
      </c>
      <c r="P984" s="4" t="str">
        <f>VLOOKUP($B984,'D7 - NDB Impacted SPRF''s'!$E$16:$O$9929,9,FALSE)</f>
        <v>N</v>
      </c>
      <c r="Q984" s="4" t="str">
        <f>VLOOKUP($B984,'D7 - NDB Impacted SPRF''s'!$E$16:$O$9929,10,FALSE)</f>
        <v>N</v>
      </c>
      <c r="R984" s="4" t="str">
        <f>VLOOKUP($B984,'D7 - NDB Impacted SPRF''s'!$E$16:$O$9929,11,FALSE)</f>
        <v>N</v>
      </c>
      <c r="S984" s="8"/>
      <c r="T984" s="310"/>
      <c r="U984" s="310"/>
      <c r="V984" s="4"/>
      <c r="W984" s="4"/>
      <c r="X984" s="4"/>
      <c r="Y984" s="4"/>
      <c r="Z984" s="4"/>
      <c r="AA984" s="4"/>
      <c r="AB984" s="380" t="str">
        <f>VLOOKUP($B984,'D7 - NDB Impacted SPRF''s'!$E$16:$O$9929,4,FALSE)</f>
        <v>Completed</v>
      </c>
      <c r="AC984" s="380" t="str">
        <f>VLOOKUP($B984,'D7 - NDB Impacted SPRF''s'!$E$16:$O$9929,3,FALSE)</f>
        <v>UnitedHealthcare Employer &amp; Individual</v>
      </c>
      <c r="AD984" s="380" t="str">
        <f>VLOOKUP($B984,'D7 - NDB Impacted SPRF''s'!$E$16:$O$9929,5,FALSE)</f>
        <v>HCA - Medica UNET Conversion</v>
      </c>
      <c r="AE984" s="380" t="str">
        <f>VLOOKUP($B984,'D7 - NDB Impacted SPRF''s'!$E$16:$O$9929,7,FALSE)</f>
        <v>Diane Schofield</v>
      </c>
      <c r="AF984" s="380" t="str">
        <f>VLOOKUP($B984,'D7 - NDB Impacted SPRF''s'!$E$16:$O$9929,6,FALSE)</f>
        <v>DECEMBER WALKER</v>
      </c>
      <c r="AG984" s="282"/>
      <c r="AH984" s="311" t="e">
        <f>INDEX('D5 - Gatekeeper - Projects'!$A$4:$AF$1010,$AM984, 17)</f>
        <v>#N/A</v>
      </c>
      <c r="AI984" s="8"/>
      <c r="AJ984" s="57"/>
      <c r="AK984" s="105"/>
      <c r="AM984" s="6" t="e">
        <f>MATCH(D984,'D5 - Gatekeeper - Projects'!$C$4:$C$1010,0)</f>
        <v>#N/A</v>
      </c>
      <c r="AN984" s="6" t="b">
        <f t="shared" si="90"/>
        <v>1</v>
      </c>
      <c r="AO984" s="6" t="str">
        <f t="shared" si="93"/>
        <v>OK</v>
      </c>
      <c r="AQ984" s="6" t="e">
        <f>MATCH($D984,'D4 - Provider Council Unsched'!$C$11:$C$234,0)</f>
        <v>#N/A</v>
      </c>
      <c r="AR984" s="6" t="b">
        <f t="shared" si="91"/>
        <v>1</v>
      </c>
      <c r="AS984" s="6" t="str">
        <f t="shared" si="89"/>
        <v>OK</v>
      </c>
      <c r="AU984" s="202"/>
      <c r="AV984" s="262"/>
      <c r="AW984" s="274"/>
    </row>
    <row r="985" spans="1:49" s="13" customFormat="1" ht="33.75" x14ac:dyDescent="0.2">
      <c r="A985" s="14">
        <v>961</v>
      </c>
      <c r="B985" s="14">
        <v>400023056</v>
      </c>
      <c r="C985" s="8" t="s">
        <v>5197</v>
      </c>
      <c r="D985" s="4" t="str">
        <f t="shared" si="92"/>
        <v>400023056R1</v>
      </c>
      <c r="E985" s="309" t="str">
        <f>VLOOKUP($B985,'D7 - NDB Impacted SPRF''s'!$E$6:$O$9929,2,FALSE)</f>
        <v>Medica - Non-Par Provider Demographics</v>
      </c>
      <c r="F985" s="8" t="s">
        <v>5196</v>
      </c>
      <c r="G985" s="8" t="s">
        <v>4758</v>
      </c>
      <c r="H985" s="8" t="s">
        <v>4246</v>
      </c>
      <c r="I985" s="20">
        <v>17.55</v>
      </c>
      <c r="J985" s="8" t="s">
        <v>4862</v>
      </c>
      <c r="K985" s="182">
        <v>39718</v>
      </c>
      <c r="L985" s="8" t="s">
        <v>5743</v>
      </c>
      <c r="M985" s="8" t="s">
        <v>2814</v>
      </c>
      <c r="N985" s="38"/>
      <c r="O985" s="8" t="s">
        <v>7086</v>
      </c>
      <c r="P985" s="4" t="str">
        <f>VLOOKUP($B985,'D7 - NDB Impacted SPRF''s'!$E$16:$O$9929,9,FALSE)</f>
        <v>N</v>
      </c>
      <c r="Q985" s="4" t="str">
        <f>VLOOKUP($B985,'D7 - NDB Impacted SPRF''s'!$E$16:$O$9929,10,FALSE)</f>
        <v>N</v>
      </c>
      <c r="R985" s="4" t="str">
        <f>VLOOKUP($B985,'D7 - NDB Impacted SPRF''s'!$E$16:$O$9929,11,FALSE)</f>
        <v>N</v>
      </c>
      <c r="S985" s="8"/>
      <c r="T985" s="310"/>
      <c r="U985" s="310"/>
      <c r="V985" s="4"/>
      <c r="W985" s="4"/>
      <c r="X985" s="4"/>
      <c r="Y985" s="4"/>
      <c r="Z985" s="4"/>
      <c r="AA985" s="4"/>
      <c r="AB985" s="380" t="str">
        <f>VLOOKUP($B985,'D7 - NDB Impacted SPRF''s'!$E$16:$O$9929,4,FALSE)</f>
        <v>Completed</v>
      </c>
      <c r="AC985" s="380" t="str">
        <f>VLOOKUP($B985,'D7 - NDB Impacted SPRF''s'!$E$16:$O$9929,3,FALSE)</f>
        <v>UnitedHealthcare Employer &amp; Individual</v>
      </c>
      <c r="AD985" s="380" t="str">
        <f>VLOOKUP($B985,'D7 - NDB Impacted SPRF''s'!$E$16:$O$9929,5,FALSE)</f>
        <v>HCA - Medica UNET Conversion</v>
      </c>
      <c r="AE985" s="380" t="str">
        <f>VLOOKUP($B985,'D7 - NDB Impacted SPRF''s'!$E$16:$O$9929,7,FALSE)</f>
        <v>Diane Schofield</v>
      </c>
      <c r="AF985" s="380" t="str">
        <f>VLOOKUP($B985,'D7 - NDB Impacted SPRF''s'!$E$16:$O$9929,6,FALSE)</f>
        <v>DECEMBER WALKER</v>
      </c>
      <c r="AG985" s="282"/>
      <c r="AH985" s="311" t="e">
        <f>INDEX('D5 - Gatekeeper - Projects'!$A$4:$AF$1010,$AM985, 17)</f>
        <v>#N/A</v>
      </c>
      <c r="AI985" s="8"/>
      <c r="AJ985" s="57"/>
      <c r="AK985" s="105"/>
      <c r="AM985" s="6" t="e">
        <f>MATCH(D985,'D5 - Gatekeeper - Projects'!$C$4:$C$1010,0)</f>
        <v>#N/A</v>
      </c>
      <c r="AN985" s="6" t="b">
        <f t="shared" si="90"/>
        <v>1</v>
      </c>
      <c r="AO985" s="6" t="str">
        <f t="shared" si="93"/>
        <v>OK</v>
      </c>
      <c r="AQ985" s="6" t="e">
        <f>MATCH($D985,'D4 - Provider Council Unsched'!$C$11:$C$234,0)</f>
        <v>#N/A</v>
      </c>
      <c r="AR985" s="6" t="b">
        <f t="shared" si="91"/>
        <v>1</v>
      </c>
      <c r="AS985" s="6" t="str">
        <f t="shared" si="89"/>
        <v>OK</v>
      </c>
      <c r="AU985" s="202"/>
      <c r="AV985" s="262"/>
      <c r="AW985" s="274"/>
    </row>
    <row r="986" spans="1:49" s="13" customFormat="1" ht="33.75" x14ac:dyDescent="0.2">
      <c r="A986" s="14">
        <v>962</v>
      </c>
      <c r="B986" s="14">
        <v>400025351</v>
      </c>
      <c r="C986" s="8" t="s">
        <v>5197</v>
      </c>
      <c r="D986" s="4" t="str">
        <f t="shared" si="92"/>
        <v>400025351R1</v>
      </c>
      <c r="E986" s="309" t="str">
        <f>VLOOKUP($B986,'D7 - NDB Impacted SPRF''s'!$E$6:$O$9929,2,FALSE)</f>
        <v>Empire Plan - Conversion to UVP - Phase 1</v>
      </c>
      <c r="F986" s="8"/>
      <c r="G986" s="8" t="s">
        <v>4758</v>
      </c>
      <c r="H986" s="8" t="s">
        <v>4246</v>
      </c>
      <c r="I986" s="20">
        <v>1.07</v>
      </c>
      <c r="J986" s="8" t="s">
        <v>4862</v>
      </c>
      <c r="K986" s="182">
        <v>39718</v>
      </c>
      <c r="L986" s="8" t="s">
        <v>5743</v>
      </c>
      <c r="M986" s="8" t="s">
        <v>4850</v>
      </c>
      <c r="N986" s="38"/>
      <c r="O986" s="8" t="s">
        <v>2000</v>
      </c>
      <c r="P986" s="4" t="str">
        <f>VLOOKUP($B986,'D7 - NDB Impacted SPRF''s'!$E$16:$O$9929,9,FALSE)</f>
        <v>N</v>
      </c>
      <c r="Q986" s="4" t="str">
        <f>VLOOKUP($B986,'D7 - NDB Impacted SPRF''s'!$E$16:$O$9929,10,FALSE)</f>
        <v>N</v>
      </c>
      <c r="R986" s="4" t="str">
        <f>VLOOKUP($B986,'D7 - NDB Impacted SPRF''s'!$E$16:$O$9929,11,FALSE)</f>
        <v>N</v>
      </c>
      <c r="S986" s="8"/>
      <c r="T986" s="310"/>
      <c r="U986" s="310"/>
      <c r="V986" s="4"/>
      <c r="W986" s="4"/>
      <c r="X986" s="4"/>
      <c r="Y986" s="4"/>
      <c r="Z986" s="4"/>
      <c r="AA986" s="4"/>
      <c r="AB986" s="380" t="str">
        <f>VLOOKUP($B986,'D7 - NDB Impacted SPRF''s'!$E$16:$O$9929,4,FALSE)</f>
        <v>Completed</v>
      </c>
      <c r="AC986" s="380" t="str">
        <f>VLOOKUP($B986,'D7 - NDB Impacted SPRF''s'!$E$16:$O$9929,3,FALSE)</f>
        <v>UnitedHealthcare Employer &amp; Individual</v>
      </c>
      <c r="AD986" s="380" t="str">
        <f>VLOOKUP($B986,'D7 - NDB Impacted SPRF''s'!$E$16:$O$9929,5,FALSE)</f>
        <v>Membership Growth / Revenue Programs</v>
      </c>
      <c r="AE986" s="380" t="str">
        <f>VLOOKUP($B986,'D7 - NDB Impacted SPRF''s'!$E$16:$O$9929,7,FALSE)</f>
        <v>Donna Pooley</v>
      </c>
      <c r="AF986" s="380" t="str">
        <f>VLOOKUP($B986,'D7 - NDB Impacted SPRF''s'!$E$16:$O$9929,6,FALSE)</f>
        <v>Melinda Dukat</v>
      </c>
      <c r="AG986" s="282"/>
      <c r="AH986" s="311" t="e">
        <f>INDEX('D5 - Gatekeeper - Projects'!$A$4:$AF$1010,$AM986, 17)</f>
        <v>#N/A</v>
      </c>
      <c r="AI986" s="8"/>
      <c r="AJ986" s="57"/>
      <c r="AK986" s="105"/>
      <c r="AM986" s="6" t="e">
        <f>MATCH(D986,'D5 - Gatekeeper - Projects'!$C$4:$C$1010,0)</f>
        <v>#N/A</v>
      </c>
      <c r="AN986" s="6" t="b">
        <f t="shared" si="90"/>
        <v>1</v>
      </c>
      <c r="AO986" s="6" t="str">
        <f t="shared" si="93"/>
        <v>OK</v>
      </c>
      <c r="AQ986" s="6" t="e">
        <f>MATCH($D986,'D4 - Provider Council Unsched'!$C$11:$C$234,0)</f>
        <v>#N/A</v>
      </c>
      <c r="AR986" s="6" t="b">
        <f t="shared" si="91"/>
        <v>1</v>
      </c>
      <c r="AS986" s="6" t="str">
        <f t="shared" si="89"/>
        <v>OK</v>
      </c>
      <c r="AU986" s="202"/>
      <c r="AV986" s="262"/>
      <c r="AW986" s="274"/>
    </row>
    <row r="987" spans="1:49" s="13" customFormat="1" ht="33.75" x14ac:dyDescent="0.2">
      <c r="A987" s="14">
        <v>963</v>
      </c>
      <c r="B987" s="14">
        <v>400025580</v>
      </c>
      <c r="C987" s="8" t="s">
        <v>5197</v>
      </c>
      <c r="D987" s="4" t="str">
        <f t="shared" si="92"/>
        <v>400025580R1</v>
      </c>
      <c r="E987" s="309" t="str">
        <f>VLOOKUP($B987,'D7 - NDB Impacted SPRF''s'!$E$6:$O$9929,2,FALSE)</f>
        <v>Expanded EPDE Onboardings for September 2008</v>
      </c>
      <c r="F987" s="8" t="s">
        <v>4069</v>
      </c>
      <c r="G987" s="8" t="s">
        <v>4758</v>
      </c>
      <c r="H987" s="8" t="s">
        <v>4246</v>
      </c>
      <c r="I987" s="20">
        <v>1.07</v>
      </c>
      <c r="J987" s="8" t="s">
        <v>4862</v>
      </c>
      <c r="K987" s="182">
        <v>39718</v>
      </c>
      <c r="L987" s="8" t="s">
        <v>5743</v>
      </c>
      <c r="M987" s="8" t="s">
        <v>6007</v>
      </c>
      <c r="N987" s="38"/>
      <c r="O987" s="8" t="s">
        <v>7086</v>
      </c>
      <c r="P987" s="4" t="str">
        <f>VLOOKUP($B987,'D7 - NDB Impacted SPRF''s'!$E$16:$O$9929,9,FALSE)</f>
        <v>N</v>
      </c>
      <c r="Q987" s="4" t="str">
        <f>VLOOKUP($B987,'D7 - NDB Impacted SPRF''s'!$E$16:$O$9929,10,FALSE)</f>
        <v>N</v>
      </c>
      <c r="R987" s="4" t="str">
        <f>VLOOKUP($B987,'D7 - NDB Impacted SPRF''s'!$E$16:$O$9929,11,FALSE)</f>
        <v>N</v>
      </c>
      <c r="S987" s="8"/>
      <c r="T987" s="310"/>
      <c r="U987" s="310"/>
      <c r="V987" s="4"/>
      <c r="W987" s="4"/>
      <c r="X987" s="4"/>
      <c r="Y987" s="4"/>
      <c r="Z987" s="4"/>
      <c r="AA987" s="4"/>
      <c r="AB987" s="380" t="str">
        <f>VLOOKUP($B987,'D7 - NDB Impacted SPRF''s'!$E$16:$O$9929,4,FALSE)</f>
        <v>Completed</v>
      </c>
      <c r="AC987" s="380" t="str">
        <f>VLOOKUP($B987,'D7 - NDB Impacted SPRF''s'!$E$16:$O$9929,3,FALSE)</f>
        <v>UnitedHealthcare Employer &amp; Individual</v>
      </c>
      <c r="AD987" s="380" t="str">
        <f>VLOOKUP($B987,'D7 - NDB Impacted SPRF''s'!$E$16:$O$9929,5,FALSE)</f>
        <v>Medical Cost Savings Programs</v>
      </c>
      <c r="AE987" s="380" t="str">
        <f>VLOOKUP($B987,'D7 - NDB Impacted SPRF''s'!$E$16:$O$9929,7,FALSE)</f>
        <v>Jill Foucre</v>
      </c>
      <c r="AF987" s="380" t="str">
        <f>VLOOKUP($B987,'D7 - NDB Impacted SPRF''s'!$E$16:$O$9929,6,FALSE)</f>
        <v>MARCIA MONACO</v>
      </c>
      <c r="AG987" s="282"/>
      <c r="AH987" s="311" t="e">
        <f>INDEX('D5 - Gatekeeper - Projects'!$A$4:$AF$1010,$AM987, 17)</f>
        <v>#N/A</v>
      </c>
      <c r="AI987" s="8"/>
      <c r="AJ987" s="57"/>
      <c r="AK987" s="105"/>
      <c r="AM987" s="6" t="e">
        <f>MATCH(D987,'D5 - Gatekeeper - Projects'!$C$4:$C$1010,0)</f>
        <v>#N/A</v>
      </c>
      <c r="AN987" s="6" t="b">
        <f t="shared" si="90"/>
        <v>1</v>
      </c>
      <c r="AO987" s="6" t="str">
        <f t="shared" si="93"/>
        <v>OK</v>
      </c>
      <c r="AQ987" s="6" t="e">
        <f>MATCH($D987,'D4 - Provider Council Unsched'!$C$11:$C$234,0)</f>
        <v>#N/A</v>
      </c>
      <c r="AR987" s="6" t="b">
        <f t="shared" si="91"/>
        <v>1</v>
      </c>
      <c r="AS987" s="6" t="str">
        <f t="shared" si="89"/>
        <v>OK</v>
      </c>
      <c r="AU987" s="202"/>
      <c r="AV987" s="262"/>
      <c r="AW987" s="274"/>
    </row>
    <row r="988" spans="1:49" s="13" customFormat="1" ht="33.75" x14ac:dyDescent="0.2">
      <c r="A988" s="14">
        <v>964</v>
      </c>
      <c r="B988" s="14">
        <v>400026041</v>
      </c>
      <c r="C988" s="8" t="s">
        <v>5197</v>
      </c>
      <c r="D988" s="4" t="str">
        <f t="shared" si="92"/>
        <v>400026041R1</v>
      </c>
      <c r="E988" s="309" t="str">
        <f>VLOOKUP($B988,'D7 - NDB Impacted SPRF''s'!$E$6:$O$9929,2,FALSE)</f>
        <v>CDHP E2E Pre-Implementation Testing Process</v>
      </c>
      <c r="F988" s="8" t="s">
        <v>2114</v>
      </c>
      <c r="G988" s="8" t="s">
        <v>4758</v>
      </c>
      <c r="H988" s="8" t="s">
        <v>4246</v>
      </c>
      <c r="I988" s="20">
        <v>1.07</v>
      </c>
      <c r="J988" s="8" t="s">
        <v>4862</v>
      </c>
      <c r="K988" s="182">
        <v>39718</v>
      </c>
      <c r="L988" s="8" t="s">
        <v>5743</v>
      </c>
      <c r="M988" s="8" t="s">
        <v>5626</v>
      </c>
      <c r="N988" s="38" t="s">
        <v>7069</v>
      </c>
      <c r="O988" s="8" t="s">
        <v>2000</v>
      </c>
      <c r="P988" s="4" t="str">
        <f>VLOOKUP($B988,'D7 - NDB Impacted SPRF''s'!$E$16:$O$9929,9,FALSE)</f>
        <v>N</v>
      </c>
      <c r="Q988" s="4" t="str">
        <f>VLOOKUP($B988,'D7 - NDB Impacted SPRF''s'!$E$16:$O$9929,10,FALSE)</f>
        <v>N</v>
      </c>
      <c r="R988" s="4" t="str">
        <f>VLOOKUP($B988,'D7 - NDB Impacted SPRF''s'!$E$16:$O$9929,11,FALSE)</f>
        <v>N</v>
      </c>
      <c r="S988" s="8"/>
      <c r="T988" s="310"/>
      <c r="U988" s="310"/>
      <c r="V988" s="4"/>
      <c r="W988" s="4"/>
      <c r="X988" s="4"/>
      <c r="Y988" s="4"/>
      <c r="Z988" s="4"/>
      <c r="AA988" s="4"/>
      <c r="AB988" s="380" t="str">
        <f>VLOOKUP($B988,'D7 - NDB Impacted SPRF''s'!$E$16:$O$9929,4,FALSE)</f>
        <v>Completed</v>
      </c>
      <c r="AC988" s="380" t="str">
        <f>VLOOKUP($B988,'D7 - NDB Impacted SPRF''s'!$E$16:$O$9929,3,FALSE)</f>
        <v>OptumHealth Financial Services</v>
      </c>
      <c r="AD988" s="380" t="str">
        <f>VLOOKUP($B988,'D7 - NDB Impacted SPRF''s'!$E$16:$O$9929,5,FALSE)</f>
        <v>FS-DDC 2010 05-49570-000</v>
      </c>
      <c r="AE988" s="380" t="str">
        <f>VLOOKUP($B988,'D7 - NDB Impacted SPRF''s'!$E$16:$O$9929,7,FALSE)</f>
        <v>Peter Bompane</v>
      </c>
      <c r="AF988" s="380" t="str">
        <f>VLOOKUP($B988,'D7 - NDB Impacted SPRF''s'!$E$16:$O$9929,6,FALSE)</f>
        <v>MARK ALMETER</v>
      </c>
      <c r="AG988" s="282"/>
      <c r="AH988" s="311" t="e">
        <f>INDEX('D5 - Gatekeeper - Projects'!$A$4:$AF$1010,$AM988, 17)</f>
        <v>#N/A</v>
      </c>
      <c r="AI988" s="8"/>
      <c r="AJ988" s="57"/>
      <c r="AK988" s="105"/>
      <c r="AM988" s="6" t="e">
        <f>MATCH(D988,'D5 - Gatekeeper - Projects'!$C$4:$C$1010,0)</f>
        <v>#N/A</v>
      </c>
      <c r="AN988" s="6" t="b">
        <f t="shared" si="90"/>
        <v>1</v>
      </c>
      <c r="AO988" s="6" t="str">
        <f t="shared" si="93"/>
        <v>OK</v>
      </c>
      <c r="AQ988" s="6" t="e">
        <f>MATCH($D988,'D4 - Provider Council Unsched'!$C$11:$C$234,0)</f>
        <v>#N/A</v>
      </c>
      <c r="AR988" s="6" t="b">
        <f t="shared" si="91"/>
        <v>1</v>
      </c>
      <c r="AS988" s="6" t="str">
        <f t="shared" si="89"/>
        <v>OK</v>
      </c>
      <c r="AU988" s="202"/>
      <c r="AV988" s="262"/>
      <c r="AW988" s="274"/>
    </row>
    <row r="989" spans="1:49" s="13" customFormat="1" ht="33.75" x14ac:dyDescent="0.2">
      <c r="A989" s="14">
        <v>965</v>
      </c>
      <c r="B989" s="14">
        <v>400022158</v>
      </c>
      <c r="C989" s="8" t="s">
        <v>1992</v>
      </c>
      <c r="D989" s="4" t="str">
        <f t="shared" si="92"/>
        <v>400022158U1</v>
      </c>
      <c r="E989" s="309" t="str">
        <f>VLOOKUP($B989,'D7 - NDB Impacted SPRF''s'!$E$6:$O$9929,2,FALSE)</f>
        <v>PHS Work Package 1 Rel 2 - PCP Call Service/Select</v>
      </c>
      <c r="F989" s="8" t="s">
        <v>6071</v>
      </c>
      <c r="G989" s="8" t="s">
        <v>4758</v>
      </c>
      <c r="H989" s="8" t="s">
        <v>4246</v>
      </c>
      <c r="I989" s="20">
        <f>146/150</f>
        <v>0.97333333333333338</v>
      </c>
      <c r="J989" s="8" t="s">
        <v>4862</v>
      </c>
      <c r="K989" s="182">
        <v>39751</v>
      </c>
      <c r="L989" s="8" t="s">
        <v>5743</v>
      </c>
      <c r="M989" s="8" t="s">
        <v>2814</v>
      </c>
      <c r="N989" s="38"/>
      <c r="O989" s="8" t="s">
        <v>2547</v>
      </c>
      <c r="P989" s="4" t="str">
        <f>VLOOKUP($B989,'D7 - NDB Impacted SPRF''s'!$E$16:$O$9929,9,FALSE)</f>
        <v>Y</v>
      </c>
      <c r="Q989" s="4" t="str">
        <f>VLOOKUP($B989,'D7 - NDB Impacted SPRF''s'!$E$16:$O$9929,10,FALSE)</f>
        <v>N</v>
      </c>
      <c r="R989" s="4" t="str">
        <f>VLOOKUP($B989,'D7 - NDB Impacted SPRF''s'!$E$16:$O$9929,11,FALSE)</f>
        <v>N</v>
      </c>
      <c r="S989" s="8"/>
      <c r="T989" s="310"/>
      <c r="U989" s="310"/>
      <c r="V989" s="4"/>
      <c r="W989" s="4"/>
      <c r="X989" s="4"/>
      <c r="Y989" s="4"/>
      <c r="Z989" s="4"/>
      <c r="AA989" s="4"/>
      <c r="AB989" s="380" t="str">
        <f>VLOOKUP($B989,'D7 - NDB Impacted SPRF''s'!$E$16:$O$9929,4,FALSE)</f>
        <v>Completed</v>
      </c>
      <c r="AC989" s="380" t="str">
        <f>VLOOKUP($B989,'D7 - NDB Impacted SPRF''s'!$E$16:$O$9929,3,FALSE)</f>
        <v>UnitedHealthcare Employer &amp; Individual</v>
      </c>
      <c r="AD989" s="380" t="str">
        <f>VLOOKUP($B989,'D7 - NDB Impacted SPRF''s'!$E$16:$O$9929,5,FALSE)</f>
        <v>Integration Requirements</v>
      </c>
      <c r="AE989" s="380" t="str">
        <f>VLOOKUP($B989,'D7 - NDB Impacted SPRF''s'!$E$16:$O$9929,7,FALSE)</f>
        <v>Diane Schofield</v>
      </c>
      <c r="AF989" s="380" t="str">
        <f>VLOOKUP($B989,'D7 - NDB Impacted SPRF''s'!$E$16:$O$9929,6,FALSE)</f>
        <v>KAREN MCKINNEY</v>
      </c>
      <c r="AG989" s="282"/>
      <c r="AH989" s="311" t="e">
        <f>INDEX('D5 - Gatekeeper - Projects'!$A$4:$AF$1010,$AM989, 17)</f>
        <v>#N/A</v>
      </c>
      <c r="AI989" s="8"/>
      <c r="AJ989" s="57"/>
      <c r="AK989" s="105"/>
      <c r="AM989" s="6" t="e">
        <f>MATCH(D989,'D5 - Gatekeeper - Projects'!$C$4:$C$1010,0)</f>
        <v>#N/A</v>
      </c>
      <c r="AN989" s="6" t="b">
        <f t="shared" si="90"/>
        <v>1</v>
      </c>
      <c r="AO989" s="6" t="str">
        <f t="shared" si="93"/>
        <v>OK</v>
      </c>
      <c r="AQ989" s="6" t="e">
        <f>MATCH($D989,'D4 - Provider Council Unsched'!$C$11:$C$234,0)</f>
        <v>#N/A</v>
      </c>
      <c r="AR989" s="6" t="b">
        <f t="shared" si="91"/>
        <v>1</v>
      </c>
      <c r="AS989" s="6" t="str">
        <f t="shared" si="89"/>
        <v>OK</v>
      </c>
      <c r="AU989" s="202"/>
      <c r="AV989" s="262"/>
      <c r="AW989" s="274"/>
    </row>
    <row r="990" spans="1:49" s="13" customFormat="1" ht="33.75" x14ac:dyDescent="0.2">
      <c r="A990" s="14">
        <v>966</v>
      </c>
      <c r="B990" s="14">
        <v>400019681</v>
      </c>
      <c r="C990" s="8" t="s">
        <v>3763</v>
      </c>
      <c r="D990" s="4" t="str">
        <f t="shared" si="92"/>
        <v>400019681R2</v>
      </c>
      <c r="E990" s="309" t="str">
        <f>VLOOKUP($B990,'D7 - NDB Impacted SPRF''s'!$E$6:$O$9929,2,FALSE)</f>
        <v>PHS Work Package 1 Release 2 - Provider Crosswalk</v>
      </c>
      <c r="F990" s="8" t="s">
        <v>6071</v>
      </c>
      <c r="G990" s="8" t="s">
        <v>4758</v>
      </c>
      <c r="H990" s="8" t="s">
        <v>4246</v>
      </c>
      <c r="I990" s="20"/>
      <c r="J990" s="8" t="s">
        <v>4862</v>
      </c>
      <c r="K990" s="182">
        <v>39753</v>
      </c>
      <c r="L990" s="8" t="s">
        <v>5743</v>
      </c>
      <c r="M990" s="8" t="s">
        <v>2814</v>
      </c>
      <c r="N990" s="38"/>
      <c r="O990" s="8" t="s">
        <v>2547</v>
      </c>
      <c r="P990" s="4" t="str">
        <f>VLOOKUP($B990,'D7 - NDB Impacted SPRF''s'!$E$16:$O$9929,9,FALSE)</f>
        <v>N</v>
      </c>
      <c r="Q990" s="4" t="str">
        <f>VLOOKUP($B990,'D7 - NDB Impacted SPRF''s'!$E$16:$O$9929,10,FALSE)</f>
        <v>N</v>
      </c>
      <c r="R990" s="4" t="str">
        <f>VLOOKUP($B990,'D7 - NDB Impacted SPRF''s'!$E$16:$O$9929,11,FALSE)</f>
        <v>N</v>
      </c>
      <c r="S990" s="8"/>
      <c r="T990" s="310"/>
      <c r="U990" s="310"/>
      <c r="V990" s="4"/>
      <c r="W990" s="4"/>
      <c r="X990" s="4"/>
      <c r="Y990" s="4"/>
      <c r="Z990" s="4"/>
      <c r="AA990" s="4"/>
      <c r="AB990" s="380" t="str">
        <f>VLOOKUP($B990,'D7 - NDB Impacted SPRF''s'!$E$16:$O$9929,4,FALSE)</f>
        <v>Completed</v>
      </c>
      <c r="AC990" s="380" t="str">
        <f>VLOOKUP($B990,'D7 - NDB Impacted SPRF''s'!$E$16:$O$9929,3,FALSE)</f>
        <v>UnitedHealthcare Employer &amp; Individual</v>
      </c>
      <c r="AD990" s="380" t="str">
        <f>VLOOKUP($B990,'D7 - NDB Impacted SPRF''s'!$E$16:$O$9929,5,FALSE)</f>
        <v>Integration Requirements</v>
      </c>
      <c r="AE990" s="380" t="str">
        <f>VLOOKUP($B990,'D7 - NDB Impacted SPRF''s'!$E$16:$O$9929,7,FALSE)</f>
        <v>Diane Schofield</v>
      </c>
      <c r="AF990" s="380" t="str">
        <f>VLOOKUP($B990,'D7 - NDB Impacted SPRF''s'!$E$16:$O$9929,6,FALSE)</f>
        <v>KAREN MCKINNEY</v>
      </c>
      <c r="AG990" s="282"/>
      <c r="AH990" s="311" t="e">
        <f>INDEX('D5 - Gatekeeper - Projects'!$A$4:$AF$1010,$AM990, 17)</f>
        <v>#N/A</v>
      </c>
      <c r="AI990" s="8"/>
      <c r="AJ990" s="57"/>
      <c r="AK990" s="105"/>
      <c r="AM990" s="6" t="e">
        <f>MATCH(D990,'D5 - Gatekeeper - Projects'!$C$4:$C$1010,0)</f>
        <v>#N/A</v>
      </c>
      <c r="AN990" s="6" t="b">
        <f t="shared" si="90"/>
        <v>1</v>
      </c>
      <c r="AO990" s="6" t="str">
        <f t="shared" si="93"/>
        <v>OK</v>
      </c>
      <c r="AQ990" s="6" t="e">
        <f>MATCH($D990,'D4 - Provider Council Unsched'!$C$11:$C$234,0)</f>
        <v>#N/A</v>
      </c>
      <c r="AR990" s="6" t="b">
        <f t="shared" si="91"/>
        <v>1</v>
      </c>
      <c r="AS990" s="6" t="str">
        <f t="shared" si="89"/>
        <v>OK</v>
      </c>
      <c r="AU990" s="202"/>
      <c r="AV990" s="262"/>
      <c r="AW990" s="274"/>
    </row>
    <row r="991" spans="1:49" s="13" customFormat="1" ht="33.75" x14ac:dyDescent="0.2">
      <c r="A991" s="14">
        <v>967</v>
      </c>
      <c r="B991" s="14">
        <v>400022158</v>
      </c>
      <c r="C991" s="8" t="s">
        <v>5197</v>
      </c>
      <c r="D991" s="4" t="str">
        <f t="shared" si="92"/>
        <v>400022158R1</v>
      </c>
      <c r="E991" s="309" t="str">
        <f>VLOOKUP($B991,'D7 - NDB Impacted SPRF''s'!$E$6:$O$9929,2,FALSE)</f>
        <v>PHS Work Package 1 Rel 2 - PCP Call Service/Select</v>
      </c>
      <c r="F991" s="8" t="s">
        <v>6071</v>
      </c>
      <c r="G991" s="8" t="s">
        <v>4758</v>
      </c>
      <c r="H991" s="8" t="s">
        <v>4246</v>
      </c>
      <c r="I991" s="20">
        <f>9144/150</f>
        <v>60.96</v>
      </c>
      <c r="J991" s="8" t="s">
        <v>4862</v>
      </c>
      <c r="K991" s="182">
        <v>39753</v>
      </c>
      <c r="L991" s="8" t="s">
        <v>5743</v>
      </c>
      <c r="M991" s="8" t="s">
        <v>2814</v>
      </c>
      <c r="N991" s="38"/>
      <c r="O991" s="8" t="s">
        <v>2547</v>
      </c>
      <c r="P991" s="4" t="str">
        <f>VLOOKUP($B991,'D7 - NDB Impacted SPRF''s'!$E$16:$O$9929,9,FALSE)</f>
        <v>Y</v>
      </c>
      <c r="Q991" s="4" t="str">
        <f>VLOOKUP($B991,'D7 - NDB Impacted SPRF''s'!$E$16:$O$9929,10,FALSE)</f>
        <v>N</v>
      </c>
      <c r="R991" s="4" t="str">
        <f>VLOOKUP($B991,'D7 - NDB Impacted SPRF''s'!$E$16:$O$9929,11,FALSE)</f>
        <v>N</v>
      </c>
      <c r="S991" s="8"/>
      <c r="T991" s="310"/>
      <c r="U991" s="310"/>
      <c r="V991" s="4"/>
      <c r="W991" s="4"/>
      <c r="X991" s="4"/>
      <c r="Y991" s="4"/>
      <c r="Z991" s="4"/>
      <c r="AA991" s="4"/>
      <c r="AB991" s="380" t="str">
        <f>VLOOKUP($B991,'D7 - NDB Impacted SPRF''s'!$E$16:$O$9929,4,FALSE)</f>
        <v>Completed</v>
      </c>
      <c r="AC991" s="380" t="str">
        <f>VLOOKUP($B991,'D7 - NDB Impacted SPRF''s'!$E$16:$O$9929,3,FALSE)</f>
        <v>UnitedHealthcare Employer &amp; Individual</v>
      </c>
      <c r="AD991" s="380" t="str">
        <f>VLOOKUP($B991,'D7 - NDB Impacted SPRF''s'!$E$16:$O$9929,5,FALSE)</f>
        <v>Integration Requirements</v>
      </c>
      <c r="AE991" s="380" t="str">
        <f>VLOOKUP($B991,'D7 - NDB Impacted SPRF''s'!$E$16:$O$9929,7,FALSE)</f>
        <v>Diane Schofield</v>
      </c>
      <c r="AF991" s="380" t="str">
        <f>VLOOKUP($B991,'D7 - NDB Impacted SPRF''s'!$E$16:$O$9929,6,FALSE)</f>
        <v>KAREN MCKINNEY</v>
      </c>
      <c r="AG991" s="282"/>
      <c r="AH991" s="311" t="e">
        <f>INDEX('D5 - Gatekeeper - Projects'!$A$4:$AF$1010,$AM991, 17)</f>
        <v>#N/A</v>
      </c>
      <c r="AI991" s="8"/>
      <c r="AJ991" s="57"/>
      <c r="AK991" s="105"/>
      <c r="AM991" s="6" t="e">
        <f>MATCH(D991,'D5 - Gatekeeper - Projects'!$C$4:$C$1010,0)</f>
        <v>#N/A</v>
      </c>
      <c r="AN991" s="6" t="b">
        <f t="shared" si="90"/>
        <v>1</v>
      </c>
      <c r="AO991" s="6" t="str">
        <f t="shared" si="93"/>
        <v>OK</v>
      </c>
      <c r="AQ991" s="6" t="e">
        <f>MATCH($D991,'D4 - Provider Council Unsched'!$C$11:$C$234,0)</f>
        <v>#N/A</v>
      </c>
      <c r="AR991" s="6" t="b">
        <f t="shared" si="91"/>
        <v>1</v>
      </c>
      <c r="AS991" s="6" t="str">
        <f t="shared" si="89"/>
        <v>OK</v>
      </c>
      <c r="AU991" s="202"/>
      <c r="AV991" s="262"/>
      <c r="AW991" s="274"/>
    </row>
    <row r="992" spans="1:49" s="13" customFormat="1" ht="33.75" x14ac:dyDescent="0.2">
      <c r="A992" s="14">
        <v>968</v>
      </c>
      <c r="B992" s="14">
        <v>400016578</v>
      </c>
      <c r="C992" s="8" t="s">
        <v>6557</v>
      </c>
      <c r="D992" s="4" t="str">
        <f t="shared" si="92"/>
        <v>400016578R13</v>
      </c>
      <c r="E992" s="309" t="str">
        <f>VLOOKUP($B992,'D7 - NDB Impacted SPRF''s'!$E$6:$O$9929,2,FALSE)</f>
        <v>Detailed Tuning Recommendations</v>
      </c>
      <c r="F992" s="8" t="s">
        <v>8133</v>
      </c>
      <c r="G992" s="8" t="s">
        <v>4758</v>
      </c>
      <c r="H992" s="8" t="s">
        <v>4246</v>
      </c>
      <c r="I992" s="20">
        <v>1.4</v>
      </c>
      <c r="J992" s="8" t="s">
        <v>4862</v>
      </c>
      <c r="K992" s="182">
        <v>39767</v>
      </c>
      <c r="L992" s="8" t="s">
        <v>5743</v>
      </c>
      <c r="M992" s="8" t="s">
        <v>4450</v>
      </c>
      <c r="N992" s="38"/>
      <c r="O992" s="8" t="s">
        <v>7299</v>
      </c>
      <c r="P992" s="4" t="str">
        <f>VLOOKUP($B992,'D7 - NDB Impacted SPRF''s'!$E$16:$O$9929,9,FALSE)</f>
        <v>Y</v>
      </c>
      <c r="Q992" s="4" t="str">
        <f>VLOOKUP($B992,'D7 - NDB Impacted SPRF''s'!$E$16:$O$9929,10,FALSE)</f>
        <v>N</v>
      </c>
      <c r="R992" s="4" t="str">
        <f>VLOOKUP($B992,'D7 - NDB Impacted SPRF''s'!$E$16:$O$9929,11,FALSE)</f>
        <v>N</v>
      </c>
      <c r="S992" s="8"/>
      <c r="T992" s="310"/>
      <c r="U992" s="310"/>
      <c r="V992" s="4"/>
      <c r="W992" s="4"/>
      <c r="X992" s="4"/>
      <c r="Y992" s="4"/>
      <c r="Z992" s="4"/>
      <c r="AA992" s="4"/>
      <c r="AB992" s="380" t="str">
        <f>VLOOKUP($B992,'D7 - NDB Impacted SPRF''s'!$E$16:$O$9929,4,FALSE)</f>
        <v>Completed</v>
      </c>
      <c r="AC992" s="380" t="str">
        <f>VLOOKUP($B992,'D7 - NDB Impacted SPRF''s'!$E$16:$O$9929,3,FALSE)</f>
        <v>UHG IT - Application Services Group</v>
      </c>
      <c r="AD992" s="380" t="str">
        <f>VLOOKUP($B992,'D7 - NDB Impacted SPRF''s'!$E$16:$O$9929,5,FALSE)</f>
        <v>ASG</v>
      </c>
      <c r="AE992" s="380" t="str">
        <f>VLOOKUP($B992,'D7 - NDB Impacted SPRF''s'!$E$16:$O$9929,7,FALSE)</f>
        <v>Jeff Hanas</v>
      </c>
      <c r="AF992" s="380" t="str">
        <f>VLOOKUP($B992,'D7 - NDB Impacted SPRF''s'!$E$16:$O$9929,6,FALSE)</f>
        <v>Jeffrey Jablonski</v>
      </c>
      <c r="AG992" s="282"/>
      <c r="AH992" s="311" t="e">
        <f>INDEX('D5 - Gatekeeper - Projects'!$A$4:$AF$1010,$AM992, 17)</f>
        <v>#N/A</v>
      </c>
      <c r="AI992" s="8"/>
      <c r="AJ992" s="57"/>
      <c r="AK992" s="105"/>
      <c r="AM992" s="6" t="e">
        <f>MATCH(D992,'D5 - Gatekeeper - Projects'!$C$4:$C$1010,0)</f>
        <v>#N/A</v>
      </c>
      <c r="AN992" s="6" t="b">
        <f t="shared" si="90"/>
        <v>1</v>
      </c>
      <c r="AO992" s="6" t="str">
        <f t="shared" si="93"/>
        <v>OK</v>
      </c>
      <c r="AQ992" s="6" t="e">
        <f>MATCH($D992,'D4 - Provider Council Unsched'!$C$11:$C$234,0)</f>
        <v>#N/A</v>
      </c>
      <c r="AR992" s="6" t="b">
        <f t="shared" si="91"/>
        <v>1</v>
      </c>
      <c r="AS992" s="6" t="str">
        <f t="shared" si="89"/>
        <v>OK</v>
      </c>
      <c r="AU992" s="202"/>
      <c r="AV992" s="262"/>
      <c r="AW992" s="274"/>
    </row>
    <row r="993" spans="1:49" s="13" customFormat="1" ht="33.75" x14ac:dyDescent="0.2">
      <c r="A993" s="14">
        <v>969</v>
      </c>
      <c r="B993" s="14">
        <v>400017134</v>
      </c>
      <c r="C993" s="8" t="s">
        <v>5227</v>
      </c>
      <c r="D993" s="4" t="str">
        <f t="shared" si="92"/>
        <v>400017134CC10</v>
      </c>
      <c r="E993" s="309" t="s">
        <v>6778</v>
      </c>
      <c r="F993" s="8" t="s">
        <v>5196</v>
      </c>
      <c r="G993" s="8" t="s">
        <v>4758</v>
      </c>
      <c r="H993" s="8" t="s">
        <v>4246</v>
      </c>
      <c r="I993" s="20">
        <v>5.83</v>
      </c>
      <c r="J993" s="8" t="s">
        <v>4862</v>
      </c>
      <c r="K993" s="182">
        <v>39767</v>
      </c>
      <c r="L993" s="8" t="s">
        <v>5743</v>
      </c>
      <c r="M993" s="8" t="s">
        <v>2814</v>
      </c>
      <c r="N993" s="38"/>
      <c r="O993" s="8" t="s">
        <v>4599</v>
      </c>
      <c r="P993" s="4" t="str">
        <f>VLOOKUP($B993,'D7 - NDB Impacted SPRF''s'!$E$16:$O$9929,9,FALSE)</f>
        <v>Y</v>
      </c>
      <c r="Q993" s="4" t="str">
        <f>VLOOKUP($B993,'D7 - NDB Impacted SPRF''s'!$E$16:$O$9929,10,FALSE)</f>
        <v>N</v>
      </c>
      <c r="R993" s="4" t="str">
        <f>VLOOKUP($B993,'D7 - NDB Impacted SPRF''s'!$E$16:$O$9929,11,FALSE)</f>
        <v>Y</v>
      </c>
      <c r="S993" s="8"/>
      <c r="T993" s="310"/>
      <c r="U993" s="310"/>
      <c r="V993" s="4"/>
      <c r="W993" s="4"/>
      <c r="X993" s="4"/>
      <c r="Y993" s="4"/>
      <c r="Z993" s="4"/>
      <c r="AA993" s="4"/>
      <c r="AB993" s="380" t="str">
        <f>VLOOKUP($B993,'D7 - NDB Impacted SPRF''s'!$E$16:$O$9929,4,FALSE)</f>
        <v>Completed</v>
      </c>
      <c r="AC993" s="380" t="str">
        <f>VLOOKUP($B993,'D7 - NDB Impacted SPRF''s'!$E$16:$O$9929,3,FALSE)</f>
        <v>UnitedHealthcare Employer &amp; Individual</v>
      </c>
      <c r="AD993" s="380" t="str">
        <f>VLOOKUP($B993,'D7 - NDB Impacted SPRF''s'!$E$16:$O$9929,5,FALSE)</f>
        <v>Healthcare Service Alliance</v>
      </c>
      <c r="AE993" s="380" t="str">
        <f>VLOOKUP($B993,'D7 - NDB Impacted SPRF''s'!$E$16:$O$9929,7,FALSE)</f>
        <v>Guinan, Kathy</v>
      </c>
      <c r="AF993" s="380" t="str">
        <f>VLOOKUP($B993,'D7 - NDB Impacted SPRF''s'!$E$16:$O$9929,6,FALSE)</f>
        <v>JOHN HIEBERT</v>
      </c>
      <c r="AG993" s="282"/>
      <c r="AH993" s="311" t="e">
        <f>INDEX('D5 - Gatekeeper - Projects'!$A$4:$AF$1010,$AM993, 17)</f>
        <v>#N/A</v>
      </c>
      <c r="AI993" s="8"/>
      <c r="AJ993" s="57"/>
      <c r="AK993" s="105"/>
      <c r="AM993" s="6" t="e">
        <f>MATCH(D993,'D5 - Gatekeeper - Projects'!$C$4:$C$1010,0)</f>
        <v>#N/A</v>
      </c>
      <c r="AN993" s="6" t="b">
        <f t="shared" si="90"/>
        <v>1</v>
      </c>
      <c r="AO993" s="6" t="str">
        <f t="shared" si="93"/>
        <v>OK</v>
      </c>
      <c r="AQ993" s="6" t="e">
        <f>MATCH($D993,'D4 - Provider Council Unsched'!$C$11:$C$234,0)</f>
        <v>#N/A</v>
      </c>
      <c r="AR993" s="6" t="b">
        <f t="shared" si="91"/>
        <v>1</v>
      </c>
      <c r="AS993" s="6" t="str">
        <f t="shared" si="89"/>
        <v>OK</v>
      </c>
      <c r="AU993" s="202"/>
      <c r="AV993" s="262"/>
      <c r="AW993" s="274"/>
    </row>
    <row r="994" spans="1:49" s="13" customFormat="1" ht="33.75" x14ac:dyDescent="0.2">
      <c r="A994" s="14">
        <v>970</v>
      </c>
      <c r="B994" s="14">
        <v>400019600</v>
      </c>
      <c r="C994" s="8" t="s">
        <v>2449</v>
      </c>
      <c r="D994" s="4" t="str">
        <f t="shared" si="92"/>
        <v>400019600R3</v>
      </c>
      <c r="E994" s="309" t="str">
        <f>VLOOKUP($B994,'D7 - NDB Impacted SPRF''s'!$E$6:$O$9929,2,FALSE)</f>
        <v>PHS Work Package 1 Release 1 - Install and Admin</v>
      </c>
      <c r="F994" s="8" t="s">
        <v>4384</v>
      </c>
      <c r="G994" s="8" t="s">
        <v>4758</v>
      </c>
      <c r="H994" s="8" t="s">
        <v>4246</v>
      </c>
      <c r="I994" s="20"/>
      <c r="J994" s="8" t="s">
        <v>4862</v>
      </c>
      <c r="K994" s="182">
        <v>39767</v>
      </c>
      <c r="L994" s="8" t="s">
        <v>5743</v>
      </c>
      <c r="M994" s="8" t="s">
        <v>2814</v>
      </c>
      <c r="N994" s="38"/>
      <c r="O994" s="8" t="s">
        <v>2547</v>
      </c>
      <c r="P994" s="4" t="str">
        <f>VLOOKUP($B994,'D7 - NDB Impacted SPRF''s'!$E$16:$O$9929,9,FALSE)</f>
        <v>Y</v>
      </c>
      <c r="Q994" s="4" t="str">
        <f>VLOOKUP($B994,'D7 - NDB Impacted SPRF''s'!$E$16:$O$9929,10,FALSE)</f>
        <v>N</v>
      </c>
      <c r="R994" s="4" t="str">
        <f>VLOOKUP($B994,'D7 - NDB Impacted SPRF''s'!$E$16:$O$9929,11,FALSE)</f>
        <v>N</v>
      </c>
      <c r="S994" s="8"/>
      <c r="T994" s="310"/>
      <c r="U994" s="310"/>
      <c r="V994" s="4"/>
      <c r="W994" s="4"/>
      <c r="X994" s="4"/>
      <c r="Y994" s="4"/>
      <c r="Z994" s="4"/>
      <c r="AA994" s="4"/>
      <c r="AB994" s="380" t="str">
        <f>VLOOKUP($B994,'D7 - NDB Impacted SPRF''s'!$E$16:$O$9929,4,FALSE)</f>
        <v>Completed</v>
      </c>
      <c r="AC994" s="380" t="str">
        <f>VLOOKUP($B994,'D7 - NDB Impacted SPRF''s'!$E$16:$O$9929,3,FALSE)</f>
        <v>UnitedHealthcare Employer &amp; Individual</v>
      </c>
      <c r="AD994" s="380" t="str">
        <f>VLOOKUP($B994,'D7 - NDB Impacted SPRF''s'!$E$16:$O$9929,5,FALSE)</f>
        <v>Integration Requirements</v>
      </c>
      <c r="AE994" s="380" t="str">
        <f>VLOOKUP($B994,'D7 - NDB Impacted SPRF''s'!$E$16:$O$9929,7,FALSE)</f>
        <v>Diane Schofield</v>
      </c>
      <c r="AF994" s="380" t="str">
        <f>VLOOKUP($B994,'D7 - NDB Impacted SPRF''s'!$E$16:$O$9929,6,FALSE)</f>
        <v>Rebecca Gent</v>
      </c>
      <c r="AG994" s="282"/>
      <c r="AH994" s="311" t="e">
        <f>INDEX('D5 - Gatekeeper - Projects'!$A$4:$AF$1010,$AM994, 17)</f>
        <v>#N/A</v>
      </c>
      <c r="AI994" s="8"/>
      <c r="AJ994" s="57"/>
      <c r="AK994" s="105"/>
      <c r="AM994" s="6" t="e">
        <f>MATCH(D994,'D5 - Gatekeeper - Projects'!$C$4:$C$1010,0)</f>
        <v>#N/A</v>
      </c>
      <c r="AN994" s="6" t="b">
        <f t="shared" si="90"/>
        <v>1</v>
      </c>
      <c r="AO994" s="6" t="str">
        <f t="shared" si="93"/>
        <v>OK</v>
      </c>
      <c r="AQ994" s="6" t="e">
        <f>MATCH($D994,'D4 - Provider Council Unsched'!$C$11:$C$234,0)</f>
        <v>#N/A</v>
      </c>
      <c r="AR994" s="6" t="b">
        <f t="shared" si="91"/>
        <v>1</v>
      </c>
      <c r="AS994" s="6" t="str">
        <f t="shared" si="89"/>
        <v>OK</v>
      </c>
      <c r="AU994" s="202"/>
      <c r="AV994" s="262"/>
      <c r="AW994" s="274"/>
    </row>
    <row r="995" spans="1:49" s="13" customFormat="1" ht="33.75" x14ac:dyDescent="0.2">
      <c r="A995" s="14">
        <v>971</v>
      </c>
      <c r="B995" s="14">
        <v>400019681</v>
      </c>
      <c r="C995" s="8" t="s">
        <v>2449</v>
      </c>
      <c r="D995" s="4" t="str">
        <f t="shared" si="92"/>
        <v>400019681R3</v>
      </c>
      <c r="E995" s="309" t="str">
        <f>VLOOKUP($B995,'D7 - NDB Impacted SPRF''s'!$E$6:$O$9929,2,FALSE)</f>
        <v>PHS Work Package 1 Release 2 - Provider Crosswalk</v>
      </c>
      <c r="F995" s="8" t="s">
        <v>6071</v>
      </c>
      <c r="G995" s="8" t="s">
        <v>4758</v>
      </c>
      <c r="H995" s="8" t="s">
        <v>4246</v>
      </c>
      <c r="I995" s="20"/>
      <c r="J995" s="8" t="s">
        <v>4862</v>
      </c>
      <c r="K995" s="182">
        <v>39767</v>
      </c>
      <c r="L995" s="8" t="s">
        <v>5743</v>
      </c>
      <c r="M995" s="8" t="s">
        <v>2814</v>
      </c>
      <c r="N995" s="38"/>
      <c r="O995" s="8" t="s">
        <v>2547</v>
      </c>
      <c r="P995" s="4" t="str">
        <f>VLOOKUP($B995,'D7 - NDB Impacted SPRF''s'!$E$16:$O$9929,9,FALSE)</f>
        <v>N</v>
      </c>
      <c r="Q995" s="4" t="str">
        <f>VLOOKUP($B995,'D7 - NDB Impacted SPRF''s'!$E$16:$O$9929,10,FALSE)</f>
        <v>N</v>
      </c>
      <c r="R995" s="4" t="str">
        <f>VLOOKUP($B995,'D7 - NDB Impacted SPRF''s'!$E$16:$O$9929,11,FALSE)</f>
        <v>N</v>
      </c>
      <c r="S995" s="8"/>
      <c r="T995" s="310"/>
      <c r="U995" s="310"/>
      <c r="V995" s="4"/>
      <c r="W995" s="4"/>
      <c r="X995" s="4"/>
      <c r="Y995" s="4"/>
      <c r="Z995" s="4"/>
      <c r="AA995" s="4"/>
      <c r="AB995" s="380" t="str">
        <f>VLOOKUP($B995,'D7 - NDB Impacted SPRF''s'!$E$16:$O$9929,4,FALSE)</f>
        <v>Completed</v>
      </c>
      <c r="AC995" s="380" t="str">
        <f>VLOOKUP($B995,'D7 - NDB Impacted SPRF''s'!$E$16:$O$9929,3,FALSE)</f>
        <v>UnitedHealthcare Employer &amp; Individual</v>
      </c>
      <c r="AD995" s="380" t="str">
        <f>VLOOKUP($B995,'D7 - NDB Impacted SPRF''s'!$E$16:$O$9929,5,FALSE)</f>
        <v>Integration Requirements</v>
      </c>
      <c r="AE995" s="380" t="str">
        <f>VLOOKUP($B995,'D7 - NDB Impacted SPRF''s'!$E$16:$O$9929,7,FALSE)</f>
        <v>Diane Schofield</v>
      </c>
      <c r="AF995" s="380" t="str">
        <f>VLOOKUP($B995,'D7 - NDB Impacted SPRF''s'!$E$16:$O$9929,6,FALSE)</f>
        <v>KAREN MCKINNEY</v>
      </c>
      <c r="AG995" s="282"/>
      <c r="AH995" s="311" t="e">
        <f>INDEX('D5 - Gatekeeper - Projects'!$A$4:$AF$1010,$AM995, 17)</f>
        <v>#N/A</v>
      </c>
      <c r="AI995" s="8"/>
      <c r="AJ995" s="57"/>
      <c r="AK995" s="105"/>
      <c r="AM995" s="6" t="e">
        <f>MATCH(D995,'D5 - Gatekeeper - Projects'!$C$4:$C$1010,0)</f>
        <v>#N/A</v>
      </c>
      <c r="AN995" s="6" t="b">
        <f t="shared" si="90"/>
        <v>1</v>
      </c>
      <c r="AO995" s="6" t="str">
        <f t="shared" si="93"/>
        <v>OK</v>
      </c>
      <c r="AQ995" s="6" t="e">
        <f>MATCH($D995,'D4 - Provider Council Unsched'!$C$11:$C$234,0)</f>
        <v>#N/A</v>
      </c>
      <c r="AR995" s="6" t="b">
        <f t="shared" si="91"/>
        <v>1</v>
      </c>
      <c r="AS995" s="6" t="str">
        <f t="shared" si="89"/>
        <v>OK</v>
      </c>
      <c r="AU995" s="202"/>
      <c r="AV995" s="262"/>
      <c r="AW995" s="274"/>
    </row>
    <row r="996" spans="1:49" s="13" customFormat="1" ht="33.75" x14ac:dyDescent="0.2">
      <c r="A996" s="14">
        <v>972</v>
      </c>
      <c r="B996" s="14">
        <v>400019720</v>
      </c>
      <c r="C996" s="8" t="s">
        <v>4926</v>
      </c>
      <c r="D996" s="4" t="str">
        <f t="shared" si="92"/>
        <v>400019720R4</v>
      </c>
      <c r="E996" s="309" t="str">
        <f>VLOOKUP($B996,'D7 - NDB Impacted SPRF''s'!$E$6:$O$9929,2,FALSE)</f>
        <v>Regression Automation Architecture and Scripts</v>
      </c>
      <c r="F996" s="8" t="s">
        <v>2114</v>
      </c>
      <c r="G996" s="8" t="s">
        <v>4758</v>
      </c>
      <c r="H996" s="8" t="s">
        <v>4246</v>
      </c>
      <c r="I996" s="20">
        <v>18</v>
      </c>
      <c r="J996" s="8" t="s">
        <v>4862</v>
      </c>
      <c r="K996" s="182">
        <v>39767</v>
      </c>
      <c r="L996" s="8" t="s">
        <v>5743</v>
      </c>
      <c r="M996" s="8" t="s">
        <v>2814</v>
      </c>
      <c r="N996" s="38" t="s">
        <v>6242</v>
      </c>
      <c r="O996" s="8" t="s">
        <v>2000</v>
      </c>
      <c r="P996" s="4" t="str">
        <f>VLOOKUP($B996,'D7 - NDB Impacted SPRF''s'!$E$16:$O$9929,9,FALSE)</f>
        <v>Y</v>
      </c>
      <c r="Q996" s="4" t="str">
        <f>VLOOKUP($B996,'D7 - NDB Impacted SPRF''s'!$E$16:$O$9929,10,FALSE)</f>
        <v>N</v>
      </c>
      <c r="R996" s="4" t="str">
        <f>VLOOKUP($B996,'D7 - NDB Impacted SPRF''s'!$E$16:$O$9929,11,FALSE)</f>
        <v>N</v>
      </c>
      <c r="S996" s="8"/>
      <c r="T996" s="310"/>
      <c r="U996" s="310"/>
      <c r="V996" s="4"/>
      <c r="W996" s="4"/>
      <c r="X996" s="4"/>
      <c r="Y996" s="4"/>
      <c r="Z996" s="4"/>
      <c r="AA996" s="4"/>
      <c r="AB996" s="380" t="str">
        <f>VLOOKUP($B996,'D7 - NDB Impacted SPRF''s'!$E$16:$O$9929,4,FALSE)</f>
        <v>Completed</v>
      </c>
      <c r="AC996" s="380" t="str">
        <f>VLOOKUP($B996,'D7 - NDB Impacted SPRF''s'!$E$16:$O$9929,3,FALSE)</f>
        <v>UHG IT - Application Services Group</v>
      </c>
      <c r="AD996" s="380" t="str">
        <f>VLOOKUP($B996,'D7 - NDB Impacted SPRF''s'!$E$16:$O$9929,5,FALSE)</f>
        <v>ASG</v>
      </c>
      <c r="AE996" s="380" t="str">
        <f>VLOOKUP($B996,'D7 - NDB Impacted SPRF''s'!$E$16:$O$9929,7,FALSE)</f>
        <v>Bob Preston</v>
      </c>
      <c r="AF996" s="380" t="str">
        <f>VLOOKUP($B996,'D7 - NDB Impacted SPRF''s'!$E$16:$O$9929,6,FALSE)</f>
        <v>CURT SCHROEDERS</v>
      </c>
      <c r="AG996" s="282"/>
      <c r="AH996" s="311" t="e">
        <f>INDEX('D5 - Gatekeeper - Projects'!$A$4:$AF$1010,$AM996, 17)</f>
        <v>#N/A</v>
      </c>
      <c r="AI996" s="8"/>
      <c r="AJ996" s="57"/>
      <c r="AK996" s="105"/>
      <c r="AM996" s="6" t="e">
        <f>MATCH(D996,'D5 - Gatekeeper - Projects'!$C$4:$C$1010,0)</f>
        <v>#N/A</v>
      </c>
      <c r="AN996" s="6" t="b">
        <f t="shared" si="90"/>
        <v>1</v>
      </c>
      <c r="AO996" s="6" t="str">
        <f t="shared" si="93"/>
        <v>OK</v>
      </c>
      <c r="AQ996" s="6" t="e">
        <f>MATCH($D996,'D4 - Provider Council Unsched'!$C$11:$C$234,0)</f>
        <v>#N/A</v>
      </c>
      <c r="AR996" s="6" t="b">
        <f t="shared" si="91"/>
        <v>1</v>
      </c>
      <c r="AS996" s="6" t="str">
        <f t="shared" si="89"/>
        <v>OK</v>
      </c>
      <c r="AU996" s="202"/>
      <c r="AV996" s="262"/>
      <c r="AW996" s="274"/>
    </row>
    <row r="997" spans="1:49" s="13" customFormat="1" ht="33.75" x14ac:dyDescent="0.2">
      <c r="A997" s="14">
        <v>973</v>
      </c>
      <c r="B997" s="14">
        <v>400019846</v>
      </c>
      <c r="C997" s="8" t="s">
        <v>2449</v>
      </c>
      <c r="D997" s="4" t="str">
        <f t="shared" si="92"/>
        <v>400019846R3</v>
      </c>
      <c r="E997" s="339" t="s">
        <v>4606</v>
      </c>
      <c r="F997" s="8" t="s">
        <v>7989</v>
      </c>
      <c r="G997" s="8" t="s">
        <v>4758</v>
      </c>
      <c r="H997" s="8" t="s">
        <v>4246</v>
      </c>
      <c r="I997" s="20">
        <f>801/150</f>
        <v>5.34</v>
      </c>
      <c r="J997" s="8" t="s">
        <v>4862</v>
      </c>
      <c r="K997" s="182">
        <v>39767</v>
      </c>
      <c r="L997" s="8" t="s">
        <v>5743</v>
      </c>
      <c r="M997" s="8" t="s">
        <v>2814</v>
      </c>
      <c r="N997" s="38"/>
      <c r="O997" s="8" t="s">
        <v>1998</v>
      </c>
      <c r="P997" s="4" t="str">
        <f>VLOOKUP($B997,'D7 - NDB Impacted SPRF''s'!$E$16:$O$9929,9,FALSE)</f>
        <v>Y</v>
      </c>
      <c r="Q997" s="4" t="str">
        <f>VLOOKUP($B997,'D7 - NDB Impacted SPRF''s'!$E$16:$O$9929,10,FALSE)</f>
        <v>N</v>
      </c>
      <c r="R997" s="4" t="str">
        <f>VLOOKUP($B997,'D7 - NDB Impacted SPRF''s'!$E$16:$O$9929,11,FALSE)</f>
        <v>N</v>
      </c>
      <c r="S997" s="8"/>
      <c r="T997" s="310"/>
      <c r="U997" s="310"/>
      <c r="V997" s="4"/>
      <c r="W997" s="4"/>
      <c r="X997" s="4"/>
      <c r="Y997" s="4"/>
      <c r="Z997" s="4"/>
      <c r="AA997" s="4"/>
      <c r="AB997" s="380" t="str">
        <f>VLOOKUP($B997,'D7 - NDB Impacted SPRF''s'!$E$16:$O$9929,4,FALSE)</f>
        <v>Completed</v>
      </c>
      <c r="AC997" s="380" t="str">
        <f>VLOOKUP($B997,'D7 - NDB Impacted SPRF''s'!$E$16:$O$9929,3,FALSE)</f>
        <v>UnitedHealthcare Employer &amp; Individual</v>
      </c>
      <c r="AD997" s="380" t="str">
        <f>VLOOKUP($B997,'D7 - NDB Impacted SPRF''s'!$E$16:$O$9929,5,FALSE)</f>
        <v>Medical Cost Savings Programs</v>
      </c>
      <c r="AE997" s="380" t="str">
        <f>VLOOKUP($B997,'D7 - NDB Impacted SPRF''s'!$E$16:$O$9929,7,FALSE)</f>
        <v>Gino Tenance</v>
      </c>
      <c r="AF997" s="380" t="str">
        <f>VLOOKUP($B997,'D7 - NDB Impacted SPRF''s'!$E$16:$O$9929,6,FALSE)</f>
        <v>Mark Duquesnoy</v>
      </c>
      <c r="AG997" s="282"/>
      <c r="AH997" s="311" t="e">
        <f>INDEX('D5 - Gatekeeper - Projects'!$A$4:$AF$1010,$AM997, 17)</f>
        <v>#N/A</v>
      </c>
      <c r="AI997" s="8"/>
      <c r="AJ997" s="57"/>
      <c r="AK997" s="105"/>
      <c r="AM997" s="6" t="e">
        <f>MATCH(D997,'D5 - Gatekeeper - Projects'!$C$4:$C$1010,0)</f>
        <v>#N/A</v>
      </c>
      <c r="AN997" s="6" t="b">
        <f t="shared" si="90"/>
        <v>1</v>
      </c>
      <c r="AO997" s="6" t="str">
        <f t="shared" si="93"/>
        <v>OK</v>
      </c>
      <c r="AQ997" s="6" t="e">
        <f>MATCH($D997,'D4 - Provider Council Unsched'!$C$11:$C$234,0)</f>
        <v>#N/A</v>
      </c>
      <c r="AR997" s="6" t="b">
        <f t="shared" si="91"/>
        <v>1</v>
      </c>
      <c r="AS997" s="6" t="str">
        <f t="shared" si="89"/>
        <v>OK</v>
      </c>
      <c r="AU997" s="202"/>
      <c r="AV997" s="262"/>
      <c r="AW997" s="274"/>
    </row>
    <row r="998" spans="1:49" s="13" customFormat="1" ht="33.75" x14ac:dyDescent="0.2">
      <c r="A998" s="14">
        <v>974</v>
      </c>
      <c r="B998" s="14">
        <v>400020080</v>
      </c>
      <c r="C998" s="8" t="s">
        <v>5197</v>
      </c>
      <c r="D998" s="4" t="str">
        <f t="shared" si="92"/>
        <v>400020080R1</v>
      </c>
      <c r="E998" s="309" t="str">
        <f>VLOOKUP($B998,'D7 - NDB Impacted SPRF''s'!$E$6:$O$9929,2,FALSE)</f>
        <v>iCES November 2008 Maintenance Update</v>
      </c>
      <c r="F998" s="8" t="s">
        <v>4471</v>
      </c>
      <c r="G998" s="8" t="s">
        <v>4758</v>
      </c>
      <c r="H998" s="8" t="s">
        <v>4246</v>
      </c>
      <c r="I998" s="20">
        <v>0.53</v>
      </c>
      <c r="J998" s="8" t="s">
        <v>4862</v>
      </c>
      <c r="K998" s="182">
        <v>39767</v>
      </c>
      <c r="L998" s="8" t="s">
        <v>5743</v>
      </c>
      <c r="M998" s="8" t="s">
        <v>4850</v>
      </c>
      <c r="N998" s="38"/>
      <c r="O998" s="8" t="s">
        <v>2000</v>
      </c>
      <c r="P998" s="4" t="str">
        <f>VLOOKUP($B998,'D7 - NDB Impacted SPRF''s'!$E$16:$O$9929,9,FALSE)</f>
        <v>Y</v>
      </c>
      <c r="Q998" s="4" t="str">
        <f>VLOOKUP($B998,'D7 - NDB Impacted SPRF''s'!$E$16:$O$9929,10,FALSE)</f>
        <v>N</v>
      </c>
      <c r="R998" s="4" t="str">
        <f>VLOOKUP($B998,'D7 - NDB Impacted SPRF''s'!$E$16:$O$9929,11,FALSE)</f>
        <v>Y</v>
      </c>
      <c r="S998" s="8"/>
      <c r="T998" s="310"/>
      <c r="U998" s="310"/>
      <c r="V998" s="4"/>
      <c r="W998" s="4"/>
      <c r="X998" s="4"/>
      <c r="Y998" s="4"/>
      <c r="Z998" s="4"/>
      <c r="AA998" s="4"/>
      <c r="AB998" s="380" t="str">
        <f>VLOOKUP($B998,'D7 - NDB Impacted SPRF''s'!$E$16:$O$9929,4,FALSE)</f>
        <v>Completed</v>
      </c>
      <c r="AC998" s="380" t="str">
        <f>VLOOKUP($B998,'D7 - NDB Impacted SPRF''s'!$E$16:$O$9929,3,FALSE)</f>
        <v>UnitedHealthcare Employer &amp; Individual</v>
      </c>
      <c r="AD998" s="380" t="str">
        <f>VLOOKUP($B998,'D7 - NDB Impacted SPRF''s'!$E$16:$O$9929,5,FALSE)</f>
        <v>Operational Requirements</v>
      </c>
      <c r="AE998" s="380" t="str">
        <f>VLOOKUP($B998,'D7 - NDB Impacted SPRF''s'!$E$16:$O$9929,7,FALSE)</f>
        <v>Sally Verrilli</v>
      </c>
      <c r="AF998" s="380" t="str">
        <f>VLOOKUP($B998,'D7 - NDB Impacted SPRF''s'!$E$16:$O$9929,6,FALSE)</f>
        <v>KATHRYN LEARST</v>
      </c>
      <c r="AG998" s="282"/>
      <c r="AH998" s="311" t="e">
        <f>INDEX('D5 - Gatekeeper - Projects'!$A$4:$AF$1010,$AM998, 17)</f>
        <v>#N/A</v>
      </c>
      <c r="AI998" s="8"/>
      <c r="AJ998" s="57"/>
      <c r="AK998" s="105"/>
      <c r="AM998" s="6" t="e">
        <f>MATCH(D998,'D5 - Gatekeeper - Projects'!$C$4:$C$1010,0)</f>
        <v>#N/A</v>
      </c>
      <c r="AN998" s="6" t="b">
        <f t="shared" si="90"/>
        <v>1</v>
      </c>
      <c r="AO998" s="6" t="str">
        <f t="shared" si="93"/>
        <v>OK</v>
      </c>
      <c r="AQ998" s="6" t="e">
        <f>MATCH($D998,'D4 - Provider Council Unsched'!$C$11:$C$234,0)</f>
        <v>#N/A</v>
      </c>
      <c r="AR998" s="6" t="b">
        <f t="shared" si="91"/>
        <v>1</v>
      </c>
      <c r="AS998" s="6" t="str">
        <f t="shared" si="89"/>
        <v>OK</v>
      </c>
      <c r="AU998" s="202"/>
      <c r="AV998" s="262"/>
      <c r="AW998" s="274"/>
    </row>
    <row r="999" spans="1:49" s="13" customFormat="1" ht="33.75" x14ac:dyDescent="0.2">
      <c r="A999" s="14">
        <v>975</v>
      </c>
      <c r="B999" s="14">
        <v>400020629</v>
      </c>
      <c r="C999" s="8" t="s">
        <v>3763</v>
      </c>
      <c r="D999" s="4" t="str">
        <f t="shared" si="92"/>
        <v>400020629R2</v>
      </c>
      <c r="E999" s="309" t="str">
        <f>VLOOKUP($B999,'D7 - NDB Impacted SPRF''s'!$E$6:$O$9929,2,FALSE)</f>
        <v xml:space="preserve">Funding Table Redesign </v>
      </c>
      <c r="F999" s="8" t="s">
        <v>5752</v>
      </c>
      <c r="G999" s="8" t="s">
        <v>4758</v>
      </c>
      <c r="H999" s="8" t="s">
        <v>4246</v>
      </c>
      <c r="I999" s="20">
        <v>6.81</v>
      </c>
      <c r="J999" s="8" t="s">
        <v>4862</v>
      </c>
      <c r="K999" s="182">
        <v>39767</v>
      </c>
      <c r="L999" s="8" t="s">
        <v>5743</v>
      </c>
      <c r="M999" s="8" t="s">
        <v>2814</v>
      </c>
      <c r="N999" s="38" t="s">
        <v>6232</v>
      </c>
      <c r="O999" s="8" t="s">
        <v>4599</v>
      </c>
      <c r="P999" s="4" t="str">
        <f>VLOOKUP($B999,'D7 - NDB Impacted SPRF''s'!$E$16:$O$9929,9,FALSE)</f>
        <v>Y</v>
      </c>
      <c r="Q999" s="4" t="str">
        <f>VLOOKUP($B999,'D7 - NDB Impacted SPRF''s'!$E$16:$O$9929,10,FALSE)</f>
        <v>N</v>
      </c>
      <c r="R999" s="4" t="str">
        <f>VLOOKUP($B999,'D7 - NDB Impacted SPRF''s'!$E$16:$O$9929,11,FALSE)</f>
        <v>N</v>
      </c>
      <c r="S999" s="8"/>
      <c r="T999" s="310"/>
      <c r="U999" s="310"/>
      <c r="V999" s="4"/>
      <c r="W999" s="4"/>
      <c r="X999" s="4"/>
      <c r="Y999" s="4"/>
      <c r="Z999" s="4"/>
      <c r="AA999" s="4"/>
      <c r="AB999" s="380" t="str">
        <f>VLOOKUP($B999,'D7 - NDB Impacted SPRF''s'!$E$16:$O$9929,4,FALSE)</f>
        <v>Completed</v>
      </c>
      <c r="AC999" s="380" t="str">
        <f>VLOOKUP($B999,'D7 - NDB Impacted SPRF''s'!$E$16:$O$9929,3,FALSE)</f>
        <v>UnitedHealthcare Employer &amp; Individual</v>
      </c>
      <c r="AD999" s="380" t="str">
        <f>VLOOKUP($B999,'D7 - NDB Impacted SPRF''s'!$E$16:$O$9929,5,FALSE)</f>
        <v>Integration Requirements</v>
      </c>
      <c r="AE999" s="380" t="str">
        <f>VLOOKUP($B999,'D7 - NDB Impacted SPRF''s'!$E$16:$O$9929,7,FALSE)</f>
        <v>Jim Cronin</v>
      </c>
      <c r="AF999" s="380" t="str">
        <f>VLOOKUP($B999,'D7 - NDB Impacted SPRF''s'!$E$16:$O$9929,6,FALSE)</f>
        <v>LETRICIA BEST</v>
      </c>
      <c r="AG999" s="282"/>
      <c r="AH999" s="311" t="e">
        <f>INDEX('D5 - Gatekeeper - Projects'!$A$4:$AF$1010,$AM999, 17)</f>
        <v>#N/A</v>
      </c>
      <c r="AI999" s="8"/>
      <c r="AJ999" s="57"/>
      <c r="AK999" s="105"/>
      <c r="AM999" s="6" t="e">
        <f>MATCH(D999,'D5 - Gatekeeper - Projects'!$C$4:$C$1010,0)</f>
        <v>#N/A</v>
      </c>
      <c r="AN999" s="6" t="b">
        <f t="shared" si="90"/>
        <v>1</v>
      </c>
      <c r="AO999" s="6" t="str">
        <f t="shared" si="93"/>
        <v>OK</v>
      </c>
      <c r="AQ999" s="6" t="e">
        <f>MATCH($D999,'D4 - Provider Council Unsched'!$C$11:$C$234,0)</f>
        <v>#N/A</v>
      </c>
      <c r="AR999" s="6" t="b">
        <f t="shared" si="91"/>
        <v>1</v>
      </c>
      <c r="AS999" s="6" t="str">
        <f t="shared" si="89"/>
        <v>OK</v>
      </c>
      <c r="AU999" s="202"/>
      <c r="AV999" s="262"/>
      <c r="AW999" s="274"/>
    </row>
    <row r="1000" spans="1:49" s="13" customFormat="1" ht="33.75" x14ac:dyDescent="0.2">
      <c r="A1000" s="14">
        <v>976</v>
      </c>
      <c r="B1000" s="14">
        <v>400021187</v>
      </c>
      <c r="C1000" s="8" t="s">
        <v>5197</v>
      </c>
      <c r="D1000" s="4" t="str">
        <f t="shared" si="92"/>
        <v>400021187R1</v>
      </c>
      <c r="E1000" s="309" t="str">
        <f>VLOOKUP($B1000,'D7 - NDB Impacted SPRF''s'!$E$6:$O$9929,2,FALSE)</f>
        <v>MAHP NDB Data Extract</v>
      </c>
      <c r="F1000" s="8" t="s">
        <v>5752</v>
      </c>
      <c r="G1000" s="8" t="s">
        <v>4758</v>
      </c>
      <c r="H1000" s="8" t="s">
        <v>4246</v>
      </c>
      <c r="I1000" s="20">
        <f>405/160</f>
        <v>2.53125</v>
      </c>
      <c r="J1000" s="8" t="s">
        <v>4862</v>
      </c>
      <c r="K1000" s="182">
        <v>39767</v>
      </c>
      <c r="L1000" s="8" t="s">
        <v>5743</v>
      </c>
      <c r="M1000" s="8" t="s">
        <v>2814</v>
      </c>
      <c r="N1000" s="38"/>
      <c r="O1000" s="8" t="s">
        <v>7299</v>
      </c>
      <c r="P1000" s="4" t="str">
        <f>VLOOKUP($B1000,'D7 - NDB Impacted SPRF''s'!$E$16:$O$9929,9,FALSE)</f>
        <v>N</v>
      </c>
      <c r="Q1000" s="4" t="str">
        <f>VLOOKUP($B1000,'D7 - NDB Impacted SPRF''s'!$E$16:$O$9929,10,FALSE)</f>
        <v>N</v>
      </c>
      <c r="R1000" s="4" t="str">
        <f>VLOOKUP($B1000,'D7 - NDB Impacted SPRF''s'!$E$16:$O$9929,11,FALSE)</f>
        <v>N</v>
      </c>
      <c r="S1000" s="8"/>
      <c r="T1000" s="310"/>
      <c r="U1000" s="310"/>
      <c r="V1000" s="4"/>
      <c r="W1000" s="4"/>
      <c r="X1000" s="4"/>
      <c r="Y1000" s="4"/>
      <c r="Z1000" s="4"/>
      <c r="AA1000" s="4"/>
      <c r="AB1000" s="380" t="str">
        <f>VLOOKUP($B1000,'D7 - NDB Impacted SPRF''s'!$E$16:$O$9929,4,FALSE)</f>
        <v>Completed</v>
      </c>
      <c r="AC1000" s="380" t="str">
        <f>VLOOKUP($B1000,'D7 - NDB Impacted SPRF''s'!$E$16:$O$9929,3,FALSE)</f>
        <v>UnitedHealthcare Employer &amp; Individual</v>
      </c>
      <c r="AD1000" s="380" t="str">
        <f>VLOOKUP($B1000,'D7 - NDB Impacted SPRF''s'!$E$16:$O$9929,5,FALSE)</f>
        <v>Integration Requirements</v>
      </c>
      <c r="AE1000" s="380" t="str">
        <f>VLOOKUP($B1000,'D7 - NDB Impacted SPRF''s'!$E$16:$O$9929,7,FALSE)</f>
        <v>Eileen Dock/Fiad Ali</v>
      </c>
      <c r="AF1000" s="380" t="str">
        <f>VLOOKUP($B1000,'D7 - NDB Impacted SPRF''s'!$E$16:$O$9929,6,FALSE)</f>
        <v>Ali Fiad</v>
      </c>
      <c r="AG1000" s="282"/>
      <c r="AH1000" s="311" t="e">
        <f>INDEX('D5 - Gatekeeper - Projects'!$A$4:$AF$1010,$AM1000, 17)</f>
        <v>#N/A</v>
      </c>
      <c r="AI1000" s="8"/>
      <c r="AJ1000" s="57"/>
      <c r="AK1000" s="105"/>
      <c r="AM1000" s="6" t="e">
        <f>MATCH(D1000,'D5 - Gatekeeper - Projects'!$C$4:$C$1010,0)</f>
        <v>#N/A</v>
      </c>
      <c r="AN1000" s="6" t="b">
        <f t="shared" si="90"/>
        <v>1</v>
      </c>
      <c r="AO1000" s="6" t="str">
        <f t="shared" si="93"/>
        <v>OK</v>
      </c>
      <c r="AQ1000" s="6" t="e">
        <f>MATCH($D1000,'D4 - Provider Council Unsched'!$C$11:$C$234,0)</f>
        <v>#N/A</v>
      </c>
      <c r="AR1000" s="6" t="b">
        <f t="shared" si="91"/>
        <v>1</v>
      </c>
      <c r="AS1000" s="6" t="str">
        <f t="shared" si="89"/>
        <v>OK</v>
      </c>
      <c r="AU1000" s="202"/>
      <c r="AV1000" s="262"/>
      <c r="AW1000" s="274"/>
    </row>
    <row r="1001" spans="1:49" s="13" customFormat="1" ht="33.75" x14ac:dyDescent="0.2">
      <c r="A1001" s="14">
        <v>977</v>
      </c>
      <c r="B1001" s="14">
        <v>400021299</v>
      </c>
      <c r="C1001" s="8" t="s">
        <v>2449</v>
      </c>
      <c r="D1001" s="4" t="str">
        <f t="shared" si="92"/>
        <v>400021299R3</v>
      </c>
      <c r="E1001" s="309" t="str">
        <f>VLOOKUP($B1001,'D7 - NDB Impacted SPRF''s'!$E$6:$O$9929,2,FALSE)</f>
        <v>ELGS Provider Electronic Messaging</v>
      </c>
      <c r="F1001" s="8" t="s">
        <v>2114</v>
      </c>
      <c r="G1001" s="8" t="s">
        <v>4758</v>
      </c>
      <c r="H1001" s="8" t="s">
        <v>4246</v>
      </c>
      <c r="I1001" s="20">
        <f>450/150</f>
        <v>3</v>
      </c>
      <c r="J1001" s="8" t="s">
        <v>4862</v>
      </c>
      <c r="K1001" s="182">
        <v>39767</v>
      </c>
      <c r="L1001" s="8" t="s">
        <v>5743</v>
      </c>
      <c r="M1001" s="8" t="s">
        <v>2814</v>
      </c>
      <c r="N1001" s="38"/>
      <c r="O1001" s="8" t="s">
        <v>3757</v>
      </c>
      <c r="P1001" s="4" t="str">
        <f>VLOOKUP($B1001,'D7 - NDB Impacted SPRF''s'!$E$16:$O$9929,9,FALSE)</f>
        <v>N</v>
      </c>
      <c r="Q1001" s="4" t="str">
        <f>VLOOKUP($B1001,'D7 - NDB Impacted SPRF''s'!$E$16:$O$9929,10,FALSE)</f>
        <v>N</v>
      </c>
      <c r="R1001" s="4" t="str">
        <f>VLOOKUP($B1001,'D7 - NDB Impacted SPRF''s'!$E$16:$O$9929,11,FALSE)</f>
        <v>N</v>
      </c>
      <c r="S1001" s="8"/>
      <c r="T1001" s="310"/>
      <c r="U1001" s="310"/>
      <c r="V1001" s="4"/>
      <c r="W1001" s="4"/>
      <c r="X1001" s="4"/>
      <c r="Y1001" s="4"/>
      <c r="Z1001" s="4"/>
      <c r="AA1001" s="4"/>
      <c r="AB1001" s="380" t="str">
        <f>VLOOKUP($B1001,'D7 - NDB Impacted SPRF''s'!$E$16:$O$9929,4,FALSE)</f>
        <v>Completed</v>
      </c>
      <c r="AC1001" s="380" t="str">
        <f>VLOOKUP($B1001,'D7 - NDB Impacted SPRF''s'!$E$16:$O$9929,3,FALSE)</f>
        <v>UnitedHealthcare Employer &amp; Individual</v>
      </c>
      <c r="AD1001" s="380" t="str">
        <f>VLOOKUP($B1001,'D7 - NDB Impacted SPRF''s'!$E$16:$O$9929,5,FALSE)</f>
        <v>Membership Growth / Revenue Programs</v>
      </c>
      <c r="AE1001" s="380" t="str">
        <f>VLOOKUP($B1001,'D7 - NDB Impacted SPRF''s'!$E$16:$O$9929,7,FALSE)</f>
        <v>Steve Auerback</v>
      </c>
      <c r="AF1001" s="380" t="str">
        <f>VLOOKUP($B1001,'D7 - NDB Impacted SPRF''s'!$E$16:$O$9929,6,FALSE)</f>
        <v>DOUG TROTT</v>
      </c>
      <c r="AG1001" s="282"/>
      <c r="AH1001" s="311" t="e">
        <f>INDEX('D5 - Gatekeeper - Projects'!$A$4:$AF$1010,$AM1001, 17)</f>
        <v>#N/A</v>
      </c>
      <c r="AI1001" s="8"/>
      <c r="AJ1001" s="57"/>
      <c r="AK1001" s="105"/>
      <c r="AM1001" s="6" t="e">
        <f>MATCH(D1001,'D5 - Gatekeeper - Projects'!$C$4:$C$1010,0)</f>
        <v>#N/A</v>
      </c>
      <c r="AN1001" s="6" t="b">
        <f t="shared" si="90"/>
        <v>1</v>
      </c>
      <c r="AO1001" s="6" t="str">
        <f t="shared" si="93"/>
        <v>OK</v>
      </c>
      <c r="AQ1001" s="6" t="e">
        <f>MATCH($D1001,'D4 - Provider Council Unsched'!$C$11:$C$234,0)</f>
        <v>#N/A</v>
      </c>
      <c r="AR1001" s="6" t="b">
        <f t="shared" si="91"/>
        <v>1</v>
      </c>
      <c r="AS1001" s="6" t="str">
        <f t="shared" si="89"/>
        <v>OK</v>
      </c>
      <c r="AU1001" s="202"/>
      <c r="AV1001" s="262"/>
      <c r="AW1001" s="274"/>
    </row>
    <row r="1002" spans="1:49" s="13" customFormat="1" ht="33.75" x14ac:dyDescent="0.2">
      <c r="A1002" s="14">
        <v>978</v>
      </c>
      <c r="B1002" s="14">
        <v>400022158</v>
      </c>
      <c r="C1002" s="8" t="s">
        <v>3763</v>
      </c>
      <c r="D1002" s="4" t="str">
        <f t="shared" si="92"/>
        <v>400022158R2</v>
      </c>
      <c r="E1002" s="309" t="str">
        <f>VLOOKUP($B1002,'D7 - NDB Impacted SPRF''s'!$E$6:$O$9929,2,FALSE)</f>
        <v>PHS Work Package 1 Rel 2 - PCP Call Service/Select</v>
      </c>
      <c r="F1002" s="8" t="s">
        <v>6071</v>
      </c>
      <c r="G1002" s="8" t="s">
        <v>4758</v>
      </c>
      <c r="H1002" s="8" t="s">
        <v>4246</v>
      </c>
      <c r="I1002" s="20">
        <v>60.96</v>
      </c>
      <c r="J1002" s="8" t="s">
        <v>4862</v>
      </c>
      <c r="K1002" s="182">
        <v>39767</v>
      </c>
      <c r="L1002" s="8" t="s">
        <v>5743</v>
      </c>
      <c r="M1002" s="8" t="s">
        <v>2814</v>
      </c>
      <c r="N1002" s="38"/>
      <c r="O1002" s="8" t="s">
        <v>2547</v>
      </c>
      <c r="P1002" s="4" t="str">
        <f>VLOOKUP($B1002,'D7 - NDB Impacted SPRF''s'!$E$16:$O$9929,9,FALSE)</f>
        <v>Y</v>
      </c>
      <c r="Q1002" s="4" t="str">
        <f>VLOOKUP($B1002,'D7 - NDB Impacted SPRF''s'!$E$16:$O$9929,10,FALSE)</f>
        <v>N</v>
      </c>
      <c r="R1002" s="4" t="str">
        <f>VLOOKUP($B1002,'D7 - NDB Impacted SPRF''s'!$E$16:$O$9929,11,FALSE)</f>
        <v>N</v>
      </c>
      <c r="S1002" s="8"/>
      <c r="T1002" s="310"/>
      <c r="U1002" s="310"/>
      <c r="V1002" s="4"/>
      <c r="W1002" s="4"/>
      <c r="X1002" s="4"/>
      <c r="Y1002" s="4"/>
      <c r="Z1002" s="4"/>
      <c r="AA1002" s="4"/>
      <c r="AB1002" s="380" t="str">
        <f>VLOOKUP($B1002,'D7 - NDB Impacted SPRF''s'!$E$16:$O$9929,4,FALSE)</f>
        <v>Completed</v>
      </c>
      <c r="AC1002" s="380" t="str">
        <f>VLOOKUP($B1002,'D7 - NDB Impacted SPRF''s'!$E$16:$O$9929,3,FALSE)</f>
        <v>UnitedHealthcare Employer &amp; Individual</v>
      </c>
      <c r="AD1002" s="380" t="str">
        <f>VLOOKUP($B1002,'D7 - NDB Impacted SPRF''s'!$E$16:$O$9929,5,FALSE)</f>
        <v>Integration Requirements</v>
      </c>
      <c r="AE1002" s="380" t="str">
        <f>VLOOKUP($B1002,'D7 - NDB Impacted SPRF''s'!$E$16:$O$9929,7,FALSE)</f>
        <v>Diane Schofield</v>
      </c>
      <c r="AF1002" s="380" t="str">
        <f>VLOOKUP($B1002,'D7 - NDB Impacted SPRF''s'!$E$16:$O$9929,6,FALSE)</f>
        <v>KAREN MCKINNEY</v>
      </c>
      <c r="AG1002" s="282"/>
      <c r="AH1002" s="311" t="e">
        <f>INDEX('D5 - Gatekeeper - Projects'!$A$4:$AF$1010,$AM1002, 17)</f>
        <v>#N/A</v>
      </c>
      <c r="AI1002" s="8"/>
      <c r="AJ1002" s="57"/>
      <c r="AK1002" s="105"/>
      <c r="AM1002" s="6" t="e">
        <f>MATCH(D1002,'D5 - Gatekeeper - Projects'!$C$4:$C$1010,0)</f>
        <v>#N/A</v>
      </c>
      <c r="AN1002" s="6" t="b">
        <f t="shared" si="90"/>
        <v>1</v>
      </c>
      <c r="AO1002" s="6" t="str">
        <f t="shared" si="93"/>
        <v>OK</v>
      </c>
      <c r="AQ1002" s="6" t="e">
        <f>MATCH($D1002,'D4 - Provider Council Unsched'!$C$11:$C$234,0)</f>
        <v>#N/A</v>
      </c>
      <c r="AR1002" s="6" t="b">
        <f t="shared" si="91"/>
        <v>1</v>
      </c>
      <c r="AS1002" s="6" t="str">
        <f t="shared" si="89"/>
        <v>OK</v>
      </c>
      <c r="AU1002" s="202"/>
      <c r="AV1002" s="262"/>
      <c r="AW1002" s="274"/>
    </row>
    <row r="1003" spans="1:49" s="13" customFormat="1" ht="33.75" x14ac:dyDescent="0.2">
      <c r="A1003" s="14">
        <v>979</v>
      </c>
      <c r="B1003" s="14">
        <v>400022993</v>
      </c>
      <c r="C1003" s="8" t="s">
        <v>5197</v>
      </c>
      <c r="D1003" s="4" t="str">
        <f t="shared" si="92"/>
        <v>400022993R1</v>
      </c>
      <c r="E1003" s="309" t="str">
        <f>VLOOKUP($B1003,'D7 - NDB Impacted SPRF''s'!$E$6:$O$9929,2,FALSE)</f>
        <v>Rare Diseases - NDC Pricing</v>
      </c>
      <c r="F1003" s="8" t="s">
        <v>7989</v>
      </c>
      <c r="G1003" s="8" t="s">
        <v>4758</v>
      </c>
      <c r="H1003" s="8" t="s">
        <v>4246</v>
      </c>
      <c r="I1003" s="20">
        <v>6.71</v>
      </c>
      <c r="J1003" s="8" t="s">
        <v>4862</v>
      </c>
      <c r="K1003" s="182">
        <v>39767</v>
      </c>
      <c r="L1003" s="8" t="s">
        <v>5743</v>
      </c>
      <c r="M1003" s="8" t="s">
        <v>2814</v>
      </c>
      <c r="N1003" s="38"/>
      <c r="O1003" s="8" t="s">
        <v>2547</v>
      </c>
      <c r="P1003" s="4" t="str">
        <f>VLOOKUP($B1003,'D7 - NDB Impacted SPRF''s'!$E$16:$O$9929,9,FALSE)</f>
        <v>Y</v>
      </c>
      <c r="Q1003" s="4" t="str">
        <f>VLOOKUP($B1003,'D7 - NDB Impacted SPRF''s'!$E$16:$O$9929,10,FALSE)</f>
        <v>N</v>
      </c>
      <c r="R1003" s="4" t="str">
        <f>VLOOKUP($B1003,'D7 - NDB Impacted SPRF''s'!$E$16:$O$9929,11,FALSE)</f>
        <v>Y</v>
      </c>
      <c r="S1003" s="8"/>
      <c r="T1003" s="310"/>
      <c r="U1003" s="310"/>
      <c r="V1003" s="4"/>
      <c r="W1003" s="4"/>
      <c r="X1003" s="4"/>
      <c r="Y1003" s="4"/>
      <c r="Z1003" s="4"/>
      <c r="AA1003" s="4"/>
      <c r="AB1003" s="380" t="str">
        <f>VLOOKUP($B1003,'D7 - NDB Impacted SPRF''s'!$E$16:$O$9929,4,FALSE)</f>
        <v>Completed</v>
      </c>
      <c r="AC1003" s="380" t="str">
        <f>VLOOKUP($B1003,'D7 - NDB Impacted SPRF''s'!$E$16:$O$9929,3,FALSE)</f>
        <v>UnitedHealthcare Employer &amp; Individual</v>
      </c>
      <c r="AD1003" s="380" t="str">
        <f>VLOOKUP($B1003,'D7 - NDB Impacted SPRF''s'!$E$16:$O$9929,5,FALSE)</f>
        <v>Medical Cost Savings Programs</v>
      </c>
      <c r="AE1003" s="380" t="str">
        <f>VLOOKUP($B1003,'D7 - NDB Impacted SPRF''s'!$E$16:$O$9929,7,FALSE)</f>
        <v>Karen Cain</v>
      </c>
      <c r="AF1003" s="380" t="str">
        <f>VLOOKUP($B1003,'D7 - NDB Impacted SPRF''s'!$E$16:$O$9929,6,FALSE)</f>
        <v>Brendan Dolan</v>
      </c>
      <c r="AG1003" s="282"/>
      <c r="AH1003" s="311" t="e">
        <f>INDEX('D5 - Gatekeeper - Projects'!$A$4:$AF$1010,$AM1003, 17)</f>
        <v>#N/A</v>
      </c>
      <c r="AI1003" s="8"/>
      <c r="AJ1003" s="57"/>
      <c r="AK1003" s="105"/>
      <c r="AM1003" s="6" t="e">
        <f>MATCH(D1003,'D5 - Gatekeeper - Projects'!$C$4:$C$1010,0)</f>
        <v>#N/A</v>
      </c>
      <c r="AN1003" s="6" t="b">
        <f t="shared" si="90"/>
        <v>1</v>
      </c>
      <c r="AO1003" s="6" t="str">
        <f t="shared" si="93"/>
        <v>OK</v>
      </c>
      <c r="AQ1003" s="6" t="e">
        <f>MATCH($D1003,'D4 - Provider Council Unsched'!$C$11:$C$234,0)</f>
        <v>#N/A</v>
      </c>
      <c r="AR1003" s="6" t="b">
        <f t="shared" si="91"/>
        <v>1</v>
      </c>
      <c r="AS1003" s="6" t="str">
        <f t="shared" si="89"/>
        <v>OK</v>
      </c>
      <c r="AU1003" s="202"/>
      <c r="AV1003" s="262"/>
      <c r="AW1003" s="274"/>
    </row>
    <row r="1004" spans="1:49" s="13" customFormat="1" ht="33.75" x14ac:dyDescent="0.2">
      <c r="A1004" s="14">
        <v>980</v>
      </c>
      <c r="B1004" s="14">
        <v>400023298</v>
      </c>
      <c r="C1004" s="8" t="s">
        <v>5197</v>
      </c>
      <c r="D1004" s="4" t="str">
        <f t="shared" si="92"/>
        <v>400023298R1</v>
      </c>
      <c r="E1004" s="309" t="str">
        <f>VLOOKUP($B1004,'D7 - NDB Impacted SPRF''s'!$E$6:$O$9929,2,FALSE)</f>
        <v>2008 One Shot Requests</v>
      </c>
      <c r="F1004" s="8" t="s">
        <v>2114</v>
      </c>
      <c r="G1004" s="8" t="s">
        <v>4758</v>
      </c>
      <c r="H1004" s="8" t="s">
        <v>4246</v>
      </c>
      <c r="I1004" s="20">
        <f>2507/150</f>
        <v>16.713333333333335</v>
      </c>
      <c r="J1004" s="8" t="s">
        <v>4862</v>
      </c>
      <c r="K1004" s="182">
        <v>39767</v>
      </c>
      <c r="L1004" s="8" t="s">
        <v>5743</v>
      </c>
      <c r="M1004" s="8" t="s">
        <v>7402</v>
      </c>
      <c r="N1004" s="38"/>
      <c r="O1004" s="8" t="s">
        <v>4599</v>
      </c>
      <c r="P1004" s="4" t="str">
        <f>VLOOKUP($B1004,'D7 - NDB Impacted SPRF''s'!$E$16:$O$9929,9,FALSE)</f>
        <v>N</v>
      </c>
      <c r="Q1004" s="4" t="str">
        <f>VLOOKUP($B1004,'D7 - NDB Impacted SPRF''s'!$E$16:$O$9929,10,FALSE)</f>
        <v>N</v>
      </c>
      <c r="R1004" s="4" t="str">
        <f>VLOOKUP($B1004,'D7 - NDB Impacted SPRF''s'!$E$16:$O$9929,11,FALSE)</f>
        <v>N</v>
      </c>
      <c r="S1004" s="8"/>
      <c r="T1004" s="310"/>
      <c r="U1004" s="310"/>
      <c r="V1004" s="4"/>
      <c r="W1004" s="4"/>
      <c r="X1004" s="4"/>
      <c r="Y1004" s="4"/>
      <c r="Z1004" s="4"/>
      <c r="AA1004" s="4"/>
      <c r="AB1004" s="380" t="str">
        <f>VLOOKUP($B1004,'D7 - NDB Impacted SPRF''s'!$E$16:$O$9929,4,FALSE)</f>
        <v>Completed</v>
      </c>
      <c r="AC1004" s="380" t="str">
        <f>VLOOKUP($B1004,'D7 - NDB Impacted SPRF''s'!$E$16:$O$9929,3,FALSE)</f>
        <v>UnitedHealthcare Employer &amp; Individual</v>
      </c>
      <c r="AD1004" s="380" t="str">
        <f>VLOOKUP($B1004,'D7 - NDB Impacted SPRF''s'!$E$16:$O$9929,5,FALSE)</f>
        <v>Operational Requirements</v>
      </c>
      <c r="AE1004" s="380" t="str">
        <f>VLOOKUP($B1004,'D7 - NDB Impacted SPRF''s'!$E$16:$O$9929,7,FALSE)</f>
        <v>Tim Kaja</v>
      </c>
      <c r="AF1004" s="380" t="str">
        <f>VLOOKUP($B1004,'D7 - NDB Impacted SPRF''s'!$E$16:$O$9929,6,FALSE)</f>
        <v>GREGORY MILLS</v>
      </c>
      <c r="AG1004" s="282"/>
      <c r="AH1004" s="311" t="e">
        <f>INDEX('D5 - Gatekeeper - Projects'!$A$4:$AF$1010,$AM1004, 17)</f>
        <v>#N/A</v>
      </c>
      <c r="AI1004" s="8"/>
      <c r="AJ1004" s="57"/>
      <c r="AK1004" s="105"/>
      <c r="AM1004" s="6" t="e">
        <f>MATCH(D1004,'D5 - Gatekeeper - Projects'!$C$4:$C$1010,0)</f>
        <v>#N/A</v>
      </c>
      <c r="AN1004" s="6" t="b">
        <f t="shared" si="90"/>
        <v>1</v>
      </c>
      <c r="AO1004" s="6" t="str">
        <f t="shared" si="93"/>
        <v>OK</v>
      </c>
      <c r="AQ1004" s="6" t="e">
        <f>MATCH($D1004,'D4 - Provider Council Unsched'!$C$11:$C$234,0)</f>
        <v>#N/A</v>
      </c>
      <c r="AR1004" s="6" t="b">
        <f t="shared" si="91"/>
        <v>1</v>
      </c>
      <c r="AS1004" s="6" t="str">
        <f t="shared" si="89"/>
        <v>OK</v>
      </c>
      <c r="AU1004" s="202"/>
      <c r="AV1004" s="262"/>
      <c r="AW1004" s="274"/>
    </row>
    <row r="1005" spans="1:49" s="13" customFormat="1" ht="45" x14ac:dyDescent="0.2">
      <c r="A1005" s="14">
        <v>981</v>
      </c>
      <c r="B1005" s="14">
        <v>400023653</v>
      </c>
      <c r="C1005" s="8" t="s">
        <v>5197</v>
      </c>
      <c r="D1005" s="4" t="str">
        <f t="shared" si="92"/>
        <v>400023653R1</v>
      </c>
      <c r="E1005" s="309" t="str">
        <f>VLOOKUP($B1005,'D7 - NDB Impacted SPRF''s'!$E$6:$O$9929,2,FALSE)</f>
        <v>Project R 'n S (Elk River Move)</v>
      </c>
      <c r="F1005" s="8" t="s">
        <v>8133</v>
      </c>
      <c r="G1005" s="8" t="s">
        <v>4758</v>
      </c>
      <c r="H1005" s="8" t="s">
        <v>4246</v>
      </c>
      <c r="I1005" s="20">
        <v>1.07</v>
      </c>
      <c r="J1005" s="8" t="s">
        <v>4862</v>
      </c>
      <c r="K1005" s="182">
        <v>39767</v>
      </c>
      <c r="L1005" s="8" t="s">
        <v>5743</v>
      </c>
      <c r="M1005" s="8" t="s">
        <v>5626</v>
      </c>
      <c r="N1005" s="38" t="s">
        <v>8068</v>
      </c>
      <c r="O1005" s="8"/>
      <c r="P1005" s="4" t="str">
        <f>VLOOKUP($B1005,'D7 - NDB Impacted SPRF''s'!$E$16:$O$9929,9,FALSE)</f>
        <v>Y</v>
      </c>
      <c r="Q1005" s="4" t="str">
        <f>VLOOKUP($B1005,'D7 - NDB Impacted SPRF''s'!$E$16:$O$9929,10,FALSE)</f>
        <v>N</v>
      </c>
      <c r="R1005" s="4" t="str">
        <f>VLOOKUP($B1005,'D7 - NDB Impacted SPRF''s'!$E$16:$O$9929,11,FALSE)</f>
        <v>N</v>
      </c>
      <c r="S1005" s="8"/>
      <c r="T1005" s="310"/>
      <c r="U1005" s="310"/>
      <c r="V1005" s="4"/>
      <c r="W1005" s="4"/>
      <c r="X1005" s="4"/>
      <c r="Y1005" s="4"/>
      <c r="Z1005" s="4"/>
      <c r="AA1005" s="4"/>
      <c r="AB1005" s="380" t="str">
        <f>VLOOKUP($B1005,'D7 - NDB Impacted SPRF''s'!$E$16:$O$9929,4,FALSE)</f>
        <v>Completed</v>
      </c>
      <c r="AC1005" s="380" t="str">
        <f>VLOOKUP($B1005,'D7 - NDB Impacted SPRF''s'!$E$16:$O$9929,3,FALSE)</f>
        <v>UHG IT - Enterprise Technology Services</v>
      </c>
      <c r="AD1005" s="380" t="str">
        <f>VLOOKUP($B1005,'D7 - NDB Impacted SPRF''s'!$E$16:$O$9929,5,FALSE)</f>
        <v>UHG IT - CS</v>
      </c>
      <c r="AE1005" s="380" t="str">
        <f>VLOOKUP($B1005,'D7 - NDB Impacted SPRF''s'!$E$16:$O$9929,7,FALSE)</f>
        <v>Tim Klevar</v>
      </c>
      <c r="AF1005" s="380" t="str">
        <f>VLOOKUP($B1005,'D7 - NDB Impacted SPRF''s'!$E$16:$O$9929,6,FALSE)</f>
        <v>GUY HICKLIN</v>
      </c>
      <c r="AG1005" s="282"/>
      <c r="AH1005" s="311" t="e">
        <f>INDEX('D5 - Gatekeeper - Projects'!$A$4:$AF$1010,$AM1005, 17)</f>
        <v>#N/A</v>
      </c>
      <c r="AI1005" s="8"/>
      <c r="AJ1005" s="57"/>
      <c r="AK1005" s="105"/>
      <c r="AM1005" s="6" t="e">
        <f>MATCH(D1005,'D5 - Gatekeeper - Projects'!$C$4:$C$1010,0)</f>
        <v>#N/A</v>
      </c>
      <c r="AN1005" s="6" t="b">
        <f t="shared" si="90"/>
        <v>1</v>
      </c>
      <c r="AO1005" s="6" t="str">
        <f t="shared" si="93"/>
        <v>OK</v>
      </c>
      <c r="AQ1005" s="6" t="e">
        <f>MATCH($D1005,'D4 - Provider Council Unsched'!$C$11:$C$234,0)</f>
        <v>#N/A</v>
      </c>
      <c r="AR1005" s="6" t="b">
        <f t="shared" si="91"/>
        <v>1</v>
      </c>
      <c r="AS1005" s="6" t="str">
        <f t="shared" si="89"/>
        <v>OK</v>
      </c>
      <c r="AU1005" s="202"/>
      <c r="AV1005" s="262"/>
      <c r="AW1005" s="274"/>
    </row>
    <row r="1006" spans="1:49" s="13" customFormat="1" ht="33.75" x14ac:dyDescent="0.2">
      <c r="A1006" s="14">
        <v>982</v>
      </c>
      <c r="B1006" s="14">
        <v>400023659</v>
      </c>
      <c r="C1006" s="8" t="s">
        <v>5533</v>
      </c>
      <c r="D1006" s="4" t="str">
        <f t="shared" si="92"/>
        <v>400023659G1</v>
      </c>
      <c r="E1006" s="309" t="str">
        <f>VLOOKUP($B1006,'D7 - NDB Impacted SPRF''s'!$E$6:$O$9929,2,FALSE)</f>
        <v>Non-Par Pricing for Legacy Platforms</v>
      </c>
      <c r="F1006" s="8" t="s">
        <v>2114</v>
      </c>
      <c r="G1006" s="8" t="s">
        <v>4758</v>
      </c>
      <c r="H1006" s="8" t="s">
        <v>4246</v>
      </c>
      <c r="I1006" s="20">
        <f>3294/150</f>
        <v>21.96</v>
      </c>
      <c r="J1006" s="8" t="s">
        <v>4862</v>
      </c>
      <c r="K1006" s="182">
        <v>39767</v>
      </c>
      <c r="L1006" s="8" t="s">
        <v>5743</v>
      </c>
      <c r="M1006" s="8" t="s">
        <v>2814</v>
      </c>
      <c r="N1006" s="38" t="s">
        <v>7106</v>
      </c>
      <c r="O1006" s="8" t="s">
        <v>7299</v>
      </c>
      <c r="P1006" s="4" t="str">
        <f>VLOOKUP($B1006,'D7 - NDB Impacted SPRF''s'!$E$16:$O$9929,9,FALSE)</f>
        <v>N</v>
      </c>
      <c r="Q1006" s="4" t="str">
        <f>VLOOKUP($B1006,'D7 - NDB Impacted SPRF''s'!$E$16:$O$9929,10,FALSE)</f>
        <v>N</v>
      </c>
      <c r="R1006" s="4" t="str">
        <f>VLOOKUP($B1006,'D7 - NDB Impacted SPRF''s'!$E$16:$O$9929,11,FALSE)</f>
        <v>Y</v>
      </c>
      <c r="S1006" s="8"/>
      <c r="T1006" s="310"/>
      <c r="U1006" s="310"/>
      <c r="V1006" s="4"/>
      <c r="W1006" s="4"/>
      <c r="X1006" s="4"/>
      <c r="Y1006" s="4"/>
      <c r="Z1006" s="4"/>
      <c r="AA1006" s="4"/>
      <c r="AB1006" s="380" t="str">
        <f>VLOOKUP($B1006,'D7 - NDB Impacted SPRF''s'!$E$16:$O$9929,4,FALSE)</f>
        <v>Completed</v>
      </c>
      <c r="AC1006" s="380" t="str">
        <f>VLOOKUP($B1006,'D7 - NDB Impacted SPRF''s'!$E$16:$O$9929,3,FALSE)</f>
        <v>UnitedHealthcare Employer &amp; Individual</v>
      </c>
      <c r="AD1006" s="380" t="str">
        <f>VLOOKUP($B1006,'D7 - NDB Impacted SPRF''s'!$E$16:$O$9929,5,FALSE)</f>
        <v>Medical Cost Savings Programs</v>
      </c>
      <c r="AE1006" s="380" t="str">
        <f>VLOOKUP($B1006,'D7 - NDB Impacted SPRF''s'!$E$16:$O$9929,7,FALSE)</f>
        <v>John Haben</v>
      </c>
      <c r="AF1006" s="380" t="str">
        <f>VLOOKUP($B1006,'D7 - NDB Impacted SPRF''s'!$E$16:$O$9929,6,FALSE)</f>
        <v>Burke Claire M</v>
      </c>
      <c r="AG1006" s="282"/>
      <c r="AH1006" s="311" t="e">
        <f>INDEX('D5 - Gatekeeper - Projects'!$A$4:$AF$1010,$AM1006, 17)</f>
        <v>#N/A</v>
      </c>
      <c r="AI1006" s="8"/>
      <c r="AJ1006" s="57"/>
      <c r="AK1006" s="105"/>
      <c r="AM1006" s="6" t="e">
        <f>MATCH(D1006,'D5 - Gatekeeper - Projects'!$C$4:$C$1010,0)</f>
        <v>#N/A</v>
      </c>
      <c r="AN1006" s="6" t="b">
        <f t="shared" si="90"/>
        <v>1</v>
      </c>
      <c r="AO1006" s="6" t="str">
        <f t="shared" si="93"/>
        <v>OK</v>
      </c>
      <c r="AQ1006" s="6" t="e">
        <f>MATCH($D1006,'D4 - Provider Council Unsched'!$C$11:$C$234,0)</f>
        <v>#N/A</v>
      </c>
      <c r="AR1006" s="6" t="b">
        <f t="shared" si="91"/>
        <v>1</v>
      </c>
      <c r="AS1006" s="6" t="str">
        <f t="shared" si="89"/>
        <v>OK</v>
      </c>
      <c r="AU1006" s="202"/>
      <c r="AV1006" s="262"/>
      <c r="AW1006" s="274"/>
    </row>
    <row r="1007" spans="1:49" s="13" customFormat="1" ht="33.75" x14ac:dyDescent="0.2">
      <c r="A1007" s="14">
        <v>983</v>
      </c>
      <c r="B1007" s="14">
        <v>400023659</v>
      </c>
      <c r="C1007" s="8" t="s">
        <v>5197</v>
      </c>
      <c r="D1007" s="4" t="str">
        <f t="shared" si="92"/>
        <v>400023659R1</v>
      </c>
      <c r="E1007" s="309" t="str">
        <f>VLOOKUP($B1007,'D7 - NDB Impacted SPRF''s'!$E$6:$O$9929,2,FALSE)</f>
        <v>Non-Par Pricing for Legacy Platforms</v>
      </c>
      <c r="F1007" s="8" t="s">
        <v>2114</v>
      </c>
      <c r="G1007" s="8" t="s">
        <v>4758</v>
      </c>
      <c r="H1007" s="8" t="s">
        <v>4246</v>
      </c>
      <c r="I1007" s="20">
        <v>6.15</v>
      </c>
      <c r="J1007" s="8" t="s">
        <v>4862</v>
      </c>
      <c r="K1007" s="182">
        <v>39767</v>
      </c>
      <c r="L1007" s="8" t="s">
        <v>5743</v>
      </c>
      <c r="M1007" s="8" t="s">
        <v>2814</v>
      </c>
      <c r="N1007" s="38"/>
      <c r="O1007" s="8" t="s">
        <v>7299</v>
      </c>
      <c r="P1007" s="4" t="str">
        <f>VLOOKUP($B1007,'D7 - NDB Impacted SPRF''s'!$E$16:$O$9929,9,FALSE)</f>
        <v>N</v>
      </c>
      <c r="Q1007" s="4" t="str">
        <f>VLOOKUP($B1007,'D7 - NDB Impacted SPRF''s'!$E$16:$O$9929,10,FALSE)</f>
        <v>N</v>
      </c>
      <c r="R1007" s="4" t="str">
        <f>VLOOKUP($B1007,'D7 - NDB Impacted SPRF''s'!$E$16:$O$9929,11,FALSE)</f>
        <v>Y</v>
      </c>
      <c r="S1007" s="8"/>
      <c r="T1007" s="310"/>
      <c r="U1007" s="310"/>
      <c r="V1007" s="4"/>
      <c r="W1007" s="4"/>
      <c r="X1007" s="4"/>
      <c r="Y1007" s="4"/>
      <c r="Z1007" s="4"/>
      <c r="AA1007" s="4"/>
      <c r="AB1007" s="380" t="str">
        <f>VLOOKUP($B1007,'D7 - NDB Impacted SPRF''s'!$E$16:$O$9929,4,FALSE)</f>
        <v>Completed</v>
      </c>
      <c r="AC1007" s="380" t="str">
        <f>VLOOKUP($B1007,'D7 - NDB Impacted SPRF''s'!$E$16:$O$9929,3,FALSE)</f>
        <v>UnitedHealthcare Employer &amp; Individual</v>
      </c>
      <c r="AD1007" s="380" t="str">
        <f>VLOOKUP($B1007,'D7 - NDB Impacted SPRF''s'!$E$16:$O$9929,5,FALSE)</f>
        <v>Medical Cost Savings Programs</v>
      </c>
      <c r="AE1007" s="380" t="str">
        <f>VLOOKUP($B1007,'D7 - NDB Impacted SPRF''s'!$E$16:$O$9929,7,FALSE)</f>
        <v>John Haben</v>
      </c>
      <c r="AF1007" s="380" t="str">
        <f>VLOOKUP($B1007,'D7 - NDB Impacted SPRF''s'!$E$16:$O$9929,6,FALSE)</f>
        <v>Burke Claire M</v>
      </c>
      <c r="AG1007" s="282"/>
      <c r="AH1007" s="311" t="e">
        <f>INDEX('D5 - Gatekeeper - Projects'!$A$4:$AF$1010,$AM1007, 17)</f>
        <v>#N/A</v>
      </c>
      <c r="AI1007" s="8"/>
      <c r="AJ1007" s="57"/>
      <c r="AK1007" s="105"/>
      <c r="AM1007" s="6" t="e">
        <f>MATCH(D1007,'D5 - Gatekeeper - Projects'!$C$4:$C$1010,0)</f>
        <v>#N/A</v>
      </c>
      <c r="AN1007" s="6" t="b">
        <f t="shared" si="90"/>
        <v>1</v>
      </c>
      <c r="AO1007" s="6" t="str">
        <f t="shared" si="93"/>
        <v>OK</v>
      </c>
      <c r="AQ1007" s="6" t="e">
        <f>MATCH($D1007,'D4 - Provider Council Unsched'!$C$11:$C$234,0)</f>
        <v>#N/A</v>
      </c>
      <c r="AR1007" s="6" t="b">
        <f t="shared" si="91"/>
        <v>1</v>
      </c>
      <c r="AS1007" s="6" t="str">
        <f t="shared" ref="AS1007:AS1034" si="94">IF(AND(H1007="2 - Not Scheduled",AR1007=TRUE),"Add","OK")</f>
        <v>OK</v>
      </c>
      <c r="AU1007" s="202"/>
      <c r="AV1007" s="262"/>
      <c r="AW1007" s="274"/>
    </row>
    <row r="1008" spans="1:49" s="13" customFormat="1" ht="33.75" x14ac:dyDescent="0.2">
      <c r="A1008" s="14">
        <v>984</v>
      </c>
      <c r="B1008" s="14">
        <v>400023869</v>
      </c>
      <c r="C1008" s="8" t="s">
        <v>5197</v>
      </c>
      <c r="D1008" s="4" t="str">
        <f t="shared" si="92"/>
        <v>400023869R1</v>
      </c>
      <c r="E1008" s="309" t="str">
        <f>VLOOKUP($B1008,'D7 - NDB Impacted SPRF''s'!$E$6:$O$9929,2,FALSE)</f>
        <v>PTI - NDB to Cosmos mapping G to E</v>
      </c>
      <c r="F1008" s="8" t="s">
        <v>2114</v>
      </c>
      <c r="G1008" s="8" t="s">
        <v>4758</v>
      </c>
      <c r="H1008" s="8" t="s">
        <v>4246</v>
      </c>
      <c r="I1008" s="20">
        <v>3.5</v>
      </c>
      <c r="J1008" s="8" t="s">
        <v>4862</v>
      </c>
      <c r="K1008" s="182">
        <v>39767</v>
      </c>
      <c r="L1008" s="8" t="s">
        <v>5743</v>
      </c>
      <c r="M1008" s="8" t="s">
        <v>2814</v>
      </c>
      <c r="N1008" s="38"/>
      <c r="O1008" s="8" t="s">
        <v>4599</v>
      </c>
      <c r="P1008" s="4" t="str">
        <f>VLOOKUP($B1008,'D7 - NDB Impacted SPRF''s'!$E$16:$O$9929,9,FALSE)</f>
        <v>N</v>
      </c>
      <c r="Q1008" s="4" t="str">
        <f>VLOOKUP($B1008,'D7 - NDB Impacted SPRF''s'!$E$16:$O$9929,10,FALSE)</f>
        <v>N</v>
      </c>
      <c r="R1008" s="4" t="str">
        <f>VLOOKUP($B1008,'D7 - NDB Impacted SPRF''s'!$E$16:$O$9929,11,FALSE)</f>
        <v>N</v>
      </c>
      <c r="S1008" s="8"/>
      <c r="T1008" s="310"/>
      <c r="U1008" s="310"/>
      <c r="V1008" s="4"/>
      <c r="W1008" s="4"/>
      <c r="X1008" s="4"/>
      <c r="Y1008" s="4"/>
      <c r="Z1008" s="4"/>
      <c r="AA1008" s="4"/>
      <c r="AB1008" s="380" t="str">
        <f>VLOOKUP($B1008,'D7 - NDB Impacted SPRF''s'!$E$16:$O$9929,4,FALSE)</f>
        <v>Completed</v>
      </c>
      <c r="AC1008" s="380" t="str">
        <f>VLOOKUP($B1008,'D7 - NDB Impacted SPRF''s'!$E$16:$O$9929,3,FALSE)</f>
        <v>UnitedHealthcare Medicare &amp; Retirement</v>
      </c>
      <c r="AD1008" s="380" t="str">
        <f>VLOOKUP($B1008,'D7 - NDB Impacted SPRF''s'!$E$16:$O$9929,5,FALSE)</f>
        <v>Ovations</v>
      </c>
      <c r="AE1008" s="380" t="str">
        <f>VLOOKUP($B1008,'D7 - NDB Impacted SPRF''s'!$E$16:$O$9929,7,FALSE)</f>
        <v>Leslie Sheldon</v>
      </c>
      <c r="AF1008" s="380" t="str">
        <f>VLOOKUP($B1008,'D7 - NDB Impacted SPRF''s'!$E$16:$O$9929,6,FALSE)</f>
        <v>ANDREW FELRICE</v>
      </c>
      <c r="AG1008" s="282"/>
      <c r="AH1008" s="311" t="e">
        <f>INDEX('D5 - Gatekeeper - Projects'!$A$4:$AF$1010,$AM1008, 17)</f>
        <v>#N/A</v>
      </c>
      <c r="AI1008" s="8"/>
      <c r="AJ1008" s="57"/>
      <c r="AK1008" s="105"/>
      <c r="AM1008" s="6" t="e">
        <f>MATCH(D1008,'D5 - Gatekeeper - Projects'!$C$4:$C$1010,0)</f>
        <v>#N/A</v>
      </c>
      <c r="AN1008" s="6" t="b">
        <f t="shared" si="90"/>
        <v>1</v>
      </c>
      <c r="AO1008" s="6" t="str">
        <f t="shared" si="93"/>
        <v>OK</v>
      </c>
      <c r="AQ1008" s="6" t="e">
        <f>MATCH($D1008,'D4 - Provider Council Unsched'!$C$11:$C$234,0)</f>
        <v>#N/A</v>
      </c>
      <c r="AR1008" s="6" t="b">
        <f t="shared" si="91"/>
        <v>1</v>
      </c>
      <c r="AS1008" s="6" t="str">
        <f t="shared" si="94"/>
        <v>OK</v>
      </c>
      <c r="AU1008" s="202"/>
      <c r="AV1008" s="262"/>
      <c r="AW1008" s="274"/>
    </row>
    <row r="1009" spans="1:49" s="13" customFormat="1" ht="33.75" x14ac:dyDescent="0.2">
      <c r="A1009" s="14">
        <v>985</v>
      </c>
      <c r="B1009" s="14">
        <v>400024127</v>
      </c>
      <c r="C1009" s="8" t="s">
        <v>5197</v>
      </c>
      <c r="D1009" s="4" t="str">
        <f t="shared" si="92"/>
        <v>400024127R1</v>
      </c>
      <c r="E1009" s="309" t="str">
        <f>VLOOKUP($B1009,'D7 - NDB Impacted SPRF''s'!$E$6:$O$9929,2,FALSE)</f>
        <v>POA (Present on Admission</v>
      </c>
      <c r="F1009" s="8" t="s">
        <v>7955</v>
      </c>
      <c r="G1009" s="8" t="s">
        <v>4758</v>
      </c>
      <c r="H1009" s="8" t="s">
        <v>4246</v>
      </c>
      <c r="I1009" s="20">
        <v>14.62</v>
      </c>
      <c r="J1009" s="8" t="s">
        <v>4862</v>
      </c>
      <c r="K1009" s="182">
        <v>39767</v>
      </c>
      <c r="L1009" s="8" t="s">
        <v>5743</v>
      </c>
      <c r="M1009" s="8" t="s">
        <v>2814</v>
      </c>
      <c r="N1009" s="38"/>
      <c r="O1009" s="8" t="s">
        <v>7299</v>
      </c>
      <c r="P1009" s="4" t="str">
        <f>VLOOKUP($B1009,'D7 - NDB Impacted SPRF''s'!$E$16:$O$9929,9,FALSE)</f>
        <v>Y</v>
      </c>
      <c r="Q1009" s="4" t="str">
        <f>VLOOKUP($B1009,'D7 - NDB Impacted SPRF''s'!$E$16:$O$9929,10,FALSE)</f>
        <v>N</v>
      </c>
      <c r="R1009" s="4" t="str">
        <f>VLOOKUP($B1009,'D7 - NDB Impacted SPRF''s'!$E$16:$O$9929,11,FALSE)</f>
        <v>Y</v>
      </c>
      <c r="S1009" s="8"/>
      <c r="T1009" s="310"/>
      <c r="U1009" s="310"/>
      <c r="V1009" s="4"/>
      <c r="W1009" s="4"/>
      <c r="X1009" s="4"/>
      <c r="Y1009" s="4"/>
      <c r="Z1009" s="4"/>
      <c r="AA1009" s="4"/>
      <c r="AB1009" s="380" t="str">
        <f>VLOOKUP($B1009,'D7 - NDB Impacted SPRF''s'!$E$16:$O$9929,4,FALSE)</f>
        <v>Completed</v>
      </c>
      <c r="AC1009" s="380" t="str">
        <f>VLOOKUP($B1009,'D7 - NDB Impacted SPRF''s'!$E$16:$O$9929,3,FALSE)</f>
        <v>UnitedHealthcare Employer &amp; Individual</v>
      </c>
      <c r="AD1009" s="380" t="str">
        <f>VLOOKUP($B1009,'D7 - NDB Impacted SPRF''s'!$E$16:$O$9929,5,FALSE)</f>
        <v>Regulatory / Other</v>
      </c>
      <c r="AE1009" s="380" t="str">
        <f>VLOOKUP($B1009,'D7 - NDB Impacted SPRF''s'!$E$16:$O$9929,7,FALSE)</f>
        <v>Jill Foucre</v>
      </c>
      <c r="AF1009" s="380" t="str">
        <f>VLOOKUP($B1009,'D7 - NDB Impacted SPRF''s'!$E$16:$O$9929,6,FALSE)</f>
        <v>Suzanne Smith</v>
      </c>
      <c r="AG1009" s="282"/>
      <c r="AH1009" s="311" t="e">
        <f>INDEX('D5 - Gatekeeper - Projects'!$A$4:$AF$1010,$AM1009, 17)</f>
        <v>#N/A</v>
      </c>
      <c r="AI1009" s="8"/>
      <c r="AJ1009" s="57"/>
      <c r="AK1009" s="105"/>
      <c r="AM1009" s="6" t="e">
        <f>MATCH(D1009,'D5 - Gatekeeper - Projects'!$C$4:$C$1010,0)</f>
        <v>#N/A</v>
      </c>
      <c r="AN1009" s="6" t="b">
        <f t="shared" si="90"/>
        <v>1</v>
      </c>
      <c r="AO1009" s="6" t="str">
        <f t="shared" si="93"/>
        <v>OK</v>
      </c>
      <c r="AQ1009" s="6" t="e">
        <f>MATCH($D1009,'D4 - Provider Council Unsched'!$C$11:$C$234,0)</f>
        <v>#N/A</v>
      </c>
      <c r="AR1009" s="6" t="b">
        <f t="shared" si="91"/>
        <v>1</v>
      </c>
      <c r="AS1009" s="6" t="str">
        <f t="shared" si="94"/>
        <v>OK</v>
      </c>
      <c r="AU1009" s="202"/>
      <c r="AV1009" s="262"/>
      <c r="AW1009" s="274"/>
    </row>
    <row r="1010" spans="1:49" s="13" customFormat="1" ht="33.75" x14ac:dyDescent="0.2">
      <c r="A1010" s="14">
        <v>986</v>
      </c>
      <c r="B1010" s="14">
        <v>400024251</v>
      </c>
      <c r="C1010" s="8" t="s">
        <v>5197</v>
      </c>
      <c r="D1010" s="4" t="str">
        <f t="shared" si="92"/>
        <v>400024251R1</v>
      </c>
      <c r="E1010" s="309" t="str">
        <f>VLOOKUP($B1010,'D7 - NDB Impacted SPRF''s'!$E$6:$O$9929,2,FALSE)</f>
        <v>E2E Emptoris NDB Integration Enhancements</v>
      </c>
      <c r="F1010" s="8" t="s">
        <v>2114</v>
      </c>
      <c r="G1010" s="8" t="s">
        <v>4758</v>
      </c>
      <c r="H1010" s="8" t="s">
        <v>4246</v>
      </c>
      <c r="I1010" s="20">
        <f>1636/150</f>
        <v>10.906666666666666</v>
      </c>
      <c r="J1010" s="8" t="s">
        <v>4862</v>
      </c>
      <c r="K1010" s="182">
        <v>39767</v>
      </c>
      <c r="L1010" s="8" t="s">
        <v>5743</v>
      </c>
      <c r="M1010" s="8" t="s">
        <v>2814</v>
      </c>
      <c r="N1010" s="38"/>
      <c r="O1010" s="8" t="s">
        <v>2875</v>
      </c>
      <c r="P1010" s="4" t="str">
        <f>VLOOKUP($B1010,'D7 - NDB Impacted SPRF''s'!$E$16:$O$9929,9,FALSE)</f>
        <v>N</v>
      </c>
      <c r="Q1010" s="4" t="str">
        <f>VLOOKUP($B1010,'D7 - NDB Impacted SPRF''s'!$E$16:$O$9929,10,FALSE)</f>
        <v>N</v>
      </c>
      <c r="R1010" s="4" t="str">
        <f>VLOOKUP($B1010,'D7 - NDB Impacted SPRF''s'!$E$16:$O$9929,11,FALSE)</f>
        <v>N</v>
      </c>
      <c r="S1010" s="8"/>
      <c r="T1010" s="310"/>
      <c r="U1010" s="310"/>
      <c r="V1010" s="4"/>
      <c r="W1010" s="4"/>
      <c r="X1010" s="4"/>
      <c r="Y1010" s="4"/>
      <c r="Z1010" s="4"/>
      <c r="AA1010" s="4"/>
      <c r="AB1010" s="380" t="str">
        <f>VLOOKUP($B1010,'D7 - NDB Impacted SPRF''s'!$E$16:$O$9929,4,FALSE)</f>
        <v>Completed</v>
      </c>
      <c r="AC1010" s="380" t="str">
        <f>VLOOKUP($B1010,'D7 - NDB Impacted SPRF''s'!$E$16:$O$9929,3,FALSE)</f>
        <v>UnitedHealthcare Employer &amp; Individual</v>
      </c>
      <c r="AD1010" s="380" t="str">
        <f>VLOOKUP($B1010,'D7 - NDB Impacted SPRF''s'!$E$16:$O$9929,5,FALSE)</f>
        <v>Process Improvement</v>
      </c>
      <c r="AE1010" s="380" t="str">
        <f>VLOOKUP($B1010,'D7 - NDB Impacted SPRF''s'!$E$16:$O$9929,7,FALSE)</f>
        <v>Jill Foucre</v>
      </c>
      <c r="AF1010" s="380" t="str">
        <f>VLOOKUP($B1010,'D7 - NDB Impacted SPRF''s'!$E$16:$O$9929,6,FALSE)</f>
        <v>JOSHUA WOODRUM</v>
      </c>
      <c r="AG1010" s="282"/>
      <c r="AH1010" s="311" t="e">
        <f>INDEX('D5 - Gatekeeper - Projects'!$A$4:$AF$1010,$AM1010, 17)</f>
        <v>#N/A</v>
      </c>
      <c r="AI1010" s="8"/>
      <c r="AJ1010" s="57"/>
      <c r="AK1010" s="105"/>
      <c r="AM1010" s="6" t="e">
        <f>MATCH(D1010,'D5 - Gatekeeper - Projects'!$C$4:$C$1010,0)</f>
        <v>#N/A</v>
      </c>
      <c r="AN1010" s="6" t="b">
        <f t="shared" si="90"/>
        <v>1</v>
      </c>
      <c r="AO1010" s="6" t="str">
        <f t="shared" si="93"/>
        <v>OK</v>
      </c>
      <c r="AQ1010" s="6" t="e">
        <f>MATCH($D1010,'D4 - Provider Council Unsched'!$C$11:$C$234,0)</f>
        <v>#N/A</v>
      </c>
      <c r="AR1010" s="6" t="b">
        <f t="shared" si="91"/>
        <v>1</v>
      </c>
      <c r="AS1010" s="6" t="str">
        <f t="shared" si="94"/>
        <v>OK</v>
      </c>
      <c r="AU1010" s="202"/>
      <c r="AV1010" s="262"/>
      <c r="AW1010" s="274"/>
    </row>
    <row r="1011" spans="1:49" s="13" customFormat="1" ht="33.75" x14ac:dyDescent="0.2">
      <c r="A1011" s="14">
        <v>987</v>
      </c>
      <c r="B1011" s="14">
        <v>400024295</v>
      </c>
      <c r="C1011" s="8" t="s">
        <v>1992</v>
      </c>
      <c r="D1011" s="4" t="str">
        <f t="shared" si="92"/>
        <v>400024295U1</v>
      </c>
      <c r="E1011" s="309" t="str">
        <f>VLOOKUP($B1011,'D7 - NDB Impacted SPRF''s'!$E$6:$O$9929,2,FALSE)</f>
        <v>CA Language Assistance - Phase 2 Development</v>
      </c>
      <c r="F1011" s="8"/>
      <c r="G1011" s="8" t="s">
        <v>4758</v>
      </c>
      <c r="H1011" s="8" t="s">
        <v>4246</v>
      </c>
      <c r="I1011" s="20">
        <v>2.14</v>
      </c>
      <c r="J1011" s="8" t="s">
        <v>4862</v>
      </c>
      <c r="K1011" s="182">
        <v>39767</v>
      </c>
      <c r="L1011" s="8" t="s">
        <v>5743</v>
      </c>
      <c r="M1011" s="8" t="s">
        <v>2814</v>
      </c>
      <c r="N1011" s="38" t="s">
        <v>8069</v>
      </c>
      <c r="O1011" s="8" t="s">
        <v>7086</v>
      </c>
      <c r="P1011" s="4" t="str">
        <f>VLOOKUP($B1011,'D7 - NDB Impacted SPRF''s'!$E$16:$O$9929,9,FALSE)</f>
        <v>Y</v>
      </c>
      <c r="Q1011" s="4" t="str">
        <f>VLOOKUP($B1011,'D7 - NDB Impacted SPRF''s'!$E$16:$O$9929,10,FALSE)</f>
        <v>N</v>
      </c>
      <c r="R1011" s="4" t="str">
        <f>VLOOKUP($B1011,'D7 - NDB Impacted SPRF''s'!$E$16:$O$9929,11,FALSE)</f>
        <v>N</v>
      </c>
      <c r="S1011" s="8"/>
      <c r="T1011" s="310"/>
      <c r="U1011" s="310"/>
      <c r="V1011" s="4"/>
      <c r="W1011" s="4"/>
      <c r="X1011" s="4"/>
      <c r="Y1011" s="4"/>
      <c r="Z1011" s="4"/>
      <c r="AA1011" s="4"/>
      <c r="AB1011" s="380" t="str">
        <f>VLOOKUP($B1011,'D7 - NDB Impacted SPRF''s'!$E$16:$O$9929,4,FALSE)</f>
        <v>Completed</v>
      </c>
      <c r="AC1011" s="380" t="str">
        <f>VLOOKUP($B1011,'D7 - NDB Impacted SPRF''s'!$E$16:$O$9929,3,FALSE)</f>
        <v>UnitedHealthcare Employer &amp; Individual</v>
      </c>
      <c r="AD1011" s="380" t="str">
        <f>VLOOKUP($B1011,'D7 - NDB Impacted SPRF''s'!$E$16:$O$9929,5,FALSE)</f>
        <v>Regulatory / Other</v>
      </c>
      <c r="AE1011" s="380" t="str">
        <f>VLOOKUP($B1011,'D7 - NDB Impacted SPRF''s'!$E$16:$O$9929,7,FALSE)</f>
        <v>Sue Berkel</v>
      </c>
      <c r="AF1011" s="380" t="str">
        <f>VLOOKUP($B1011,'D7 - NDB Impacted SPRF''s'!$E$16:$O$9929,6,FALSE)</f>
        <v>Dale WILLIAMS</v>
      </c>
      <c r="AG1011" s="282"/>
      <c r="AH1011" s="311" t="e">
        <f>INDEX('D5 - Gatekeeper - Projects'!$A$4:$AF$1010,$AM1011, 17)</f>
        <v>#N/A</v>
      </c>
      <c r="AI1011" s="8"/>
      <c r="AJ1011" s="57"/>
      <c r="AK1011" s="105"/>
      <c r="AM1011" s="6" t="e">
        <f>MATCH(D1011,'D5 - Gatekeeper - Projects'!$C$4:$C$1010,0)</f>
        <v>#N/A</v>
      </c>
      <c r="AN1011" s="6" t="b">
        <f t="shared" si="90"/>
        <v>1</v>
      </c>
      <c r="AO1011" s="6" t="str">
        <f t="shared" si="93"/>
        <v>OK</v>
      </c>
      <c r="AQ1011" s="6" t="e">
        <f>MATCH($D1011,'D4 - Provider Council Unsched'!$C$11:$C$234,0)</f>
        <v>#N/A</v>
      </c>
      <c r="AR1011" s="6" t="b">
        <f t="shared" si="91"/>
        <v>1</v>
      </c>
      <c r="AS1011" s="6" t="str">
        <f t="shared" si="94"/>
        <v>OK</v>
      </c>
      <c r="AU1011" s="202"/>
      <c r="AV1011" s="262"/>
      <c r="AW1011" s="274"/>
    </row>
    <row r="1012" spans="1:49" s="13" customFormat="1" ht="33.75" x14ac:dyDescent="0.2">
      <c r="A1012" s="14">
        <v>988</v>
      </c>
      <c r="B1012" s="14">
        <v>400024374</v>
      </c>
      <c r="C1012" s="8" t="s">
        <v>5197</v>
      </c>
      <c r="D1012" s="4" t="str">
        <f t="shared" si="92"/>
        <v>400024374R1</v>
      </c>
      <c r="E1012" s="309" t="str">
        <f>VLOOKUP($B1012,'D7 - NDB Impacted SPRF''s'!$E$6:$O$9929,2,FALSE)</f>
        <v>EDI X.12 Notification Implementation for ITI</v>
      </c>
      <c r="F1012" s="8" t="s">
        <v>2114</v>
      </c>
      <c r="G1012" s="8" t="s">
        <v>4758</v>
      </c>
      <c r="H1012" s="8" t="s">
        <v>4246</v>
      </c>
      <c r="I1012" s="20">
        <v>1.07</v>
      </c>
      <c r="J1012" s="8" t="s">
        <v>4862</v>
      </c>
      <c r="K1012" s="182">
        <v>39767</v>
      </c>
      <c r="L1012" s="8" t="s">
        <v>5743</v>
      </c>
      <c r="M1012" s="8" t="s">
        <v>4850</v>
      </c>
      <c r="N1012" s="38"/>
      <c r="O1012" s="8" t="s">
        <v>2000</v>
      </c>
      <c r="P1012" s="4" t="str">
        <f>VLOOKUP($B1012,'D7 - NDB Impacted SPRF''s'!$E$16:$O$9929,9,FALSE)</f>
        <v>Y</v>
      </c>
      <c r="Q1012" s="4" t="str">
        <f>VLOOKUP($B1012,'D7 - NDB Impacted SPRF''s'!$E$16:$O$9929,10,FALSE)</f>
        <v>N</v>
      </c>
      <c r="R1012" s="4" t="str">
        <f>VLOOKUP($B1012,'D7 - NDB Impacted SPRF''s'!$E$16:$O$9929,11,FALSE)</f>
        <v>N</v>
      </c>
      <c r="S1012" s="8"/>
      <c r="T1012" s="310"/>
      <c r="U1012" s="310"/>
      <c r="V1012" s="4"/>
      <c r="W1012" s="4"/>
      <c r="X1012" s="4"/>
      <c r="Y1012" s="4"/>
      <c r="Z1012" s="4"/>
      <c r="AA1012" s="4"/>
      <c r="AB1012" s="380" t="str">
        <f>VLOOKUP($B1012,'D7 - NDB Impacted SPRF''s'!$E$16:$O$9929,4,FALSE)</f>
        <v>Completed</v>
      </c>
      <c r="AC1012" s="380" t="str">
        <f>VLOOKUP($B1012,'D7 - NDB Impacted SPRF''s'!$E$16:$O$9929,3,FALSE)</f>
        <v>UnitedHealthcare Employer &amp; Individual</v>
      </c>
      <c r="AD1012" s="380" t="str">
        <f>VLOOKUP($B1012,'D7 - NDB Impacted SPRF''s'!$E$16:$O$9929,5,FALSE)</f>
        <v>Process Improvement</v>
      </c>
      <c r="AE1012" s="380" t="str">
        <f>VLOOKUP($B1012,'D7 - NDB Impacted SPRF''s'!$E$16:$O$9929,7,FALSE)</f>
        <v>Paul Conlin</v>
      </c>
      <c r="AF1012" s="380" t="str">
        <f>VLOOKUP($B1012,'D7 - NDB Impacted SPRF''s'!$E$16:$O$9929,6,FALSE)</f>
        <v>SUSHMEETA NANDA</v>
      </c>
      <c r="AG1012" s="282"/>
      <c r="AH1012" s="311" t="e">
        <f>INDEX('D5 - Gatekeeper - Projects'!$A$4:$AF$1010,$AM1012, 17)</f>
        <v>#N/A</v>
      </c>
      <c r="AI1012" s="8"/>
      <c r="AJ1012" s="57"/>
      <c r="AK1012" s="105"/>
      <c r="AM1012" s="6" t="e">
        <f>MATCH(D1012,'D5 - Gatekeeper - Projects'!$C$4:$C$1010,0)</f>
        <v>#N/A</v>
      </c>
      <c r="AN1012" s="6" t="b">
        <f t="shared" si="90"/>
        <v>1</v>
      </c>
      <c r="AO1012" s="6" t="str">
        <f t="shared" si="93"/>
        <v>OK</v>
      </c>
      <c r="AQ1012" s="6" t="e">
        <f>MATCH($D1012,'D4 - Provider Council Unsched'!$C$11:$C$234,0)</f>
        <v>#N/A</v>
      </c>
      <c r="AR1012" s="6" t="b">
        <f t="shared" si="91"/>
        <v>1</v>
      </c>
      <c r="AS1012" s="6" t="str">
        <f t="shared" si="94"/>
        <v>OK</v>
      </c>
      <c r="AU1012" s="202"/>
      <c r="AV1012" s="262"/>
      <c r="AW1012" s="274"/>
    </row>
    <row r="1013" spans="1:49" s="13" customFormat="1" ht="33.75" x14ac:dyDescent="0.2">
      <c r="A1013" s="14">
        <v>989</v>
      </c>
      <c r="B1013" s="14">
        <v>400024411</v>
      </c>
      <c r="C1013" s="8" t="s">
        <v>5197</v>
      </c>
      <c r="D1013" s="4" t="str">
        <f t="shared" si="92"/>
        <v>400024411R1</v>
      </c>
      <c r="E1013" s="309" t="str">
        <f>VLOOKUP($B1013,'D7 - NDB Impacted SPRF''s'!$E$6:$O$9929,2,FALSE)</f>
        <v>PHS WP1 PCP Crosswalk Analysis Only</v>
      </c>
      <c r="F1013" s="8" t="s">
        <v>6071</v>
      </c>
      <c r="G1013" s="8" t="s">
        <v>4758</v>
      </c>
      <c r="H1013" s="8" t="s">
        <v>4246</v>
      </c>
      <c r="I1013" s="20">
        <v>3.33</v>
      </c>
      <c r="J1013" s="8" t="s">
        <v>4862</v>
      </c>
      <c r="K1013" s="182">
        <v>39767</v>
      </c>
      <c r="L1013" s="8" t="s">
        <v>5743</v>
      </c>
      <c r="M1013" s="8" t="s">
        <v>2814</v>
      </c>
      <c r="N1013" s="38"/>
      <c r="O1013" s="8" t="s">
        <v>7299</v>
      </c>
      <c r="P1013" s="4" t="str">
        <f>VLOOKUP($B1013,'D7 - NDB Impacted SPRF''s'!$E$16:$O$9929,9,FALSE)</f>
        <v>N</v>
      </c>
      <c r="Q1013" s="4" t="str">
        <f>VLOOKUP($B1013,'D7 - NDB Impacted SPRF''s'!$E$16:$O$9929,10,FALSE)</f>
        <v>N</v>
      </c>
      <c r="R1013" s="4" t="str">
        <f>VLOOKUP($B1013,'D7 - NDB Impacted SPRF''s'!$E$16:$O$9929,11,FALSE)</f>
        <v>N</v>
      </c>
      <c r="S1013" s="8"/>
      <c r="T1013" s="310"/>
      <c r="U1013" s="310"/>
      <c r="V1013" s="4"/>
      <c r="W1013" s="4"/>
      <c r="X1013" s="4"/>
      <c r="Y1013" s="4"/>
      <c r="Z1013" s="4"/>
      <c r="AA1013" s="4"/>
      <c r="AB1013" s="380" t="str">
        <f>VLOOKUP($B1013,'D7 - NDB Impacted SPRF''s'!$E$16:$O$9929,4,FALSE)</f>
        <v>Cancelled</v>
      </c>
      <c r="AC1013" s="380" t="str">
        <f>VLOOKUP($B1013,'D7 - NDB Impacted SPRF''s'!$E$16:$O$9929,3,FALSE)</f>
        <v>UnitedHealthcare Employer &amp; Individual</v>
      </c>
      <c r="AD1013" s="380" t="str">
        <f>VLOOKUP($B1013,'D7 - NDB Impacted SPRF''s'!$E$16:$O$9929,5,FALSE)</f>
        <v>Integration Requirements</v>
      </c>
      <c r="AE1013" s="380" t="str">
        <f>VLOOKUP($B1013,'D7 - NDB Impacted SPRF''s'!$E$16:$O$9929,7,FALSE)</f>
        <v>Diane Schofield/Eileen Dock</v>
      </c>
      <c r="AF1013" s="380" t="str">
        <f>VLOOKUP($B1013,'D7 - NDB Impacted SPRF''s'!$E$16:$O$9929,6,FALSE)</f>
        <v>Thomasa Hindman</v>
      </c>
      <c r="AG1013" s="282"/>
      <c r="AH1013" s="311" t="e">
        <f>INDEX('D5 - Gatekeeper - Projects'!$A$4:$AF$1010,$AM1013, 17)</f>
        <v>#N/A</v>
      </c>
      <c r="AI1013" s="8"/>
      <c r="AJ1013" s="57"/>
      <c r="AK1013" s="105"/>
      <c r="AM1013" s="6" t="e">
        <f>MATCH(D1013,'D5 - Gatekeeper - Projects'!$C$4:$C$1010,0)</f>
        <v>#N/A</v>
      </c>
      <c r="AN1013" s="6" t="b">
        <f t="shared" si="90"/>
        <v>1</v>
      </c>
      <c r="AO1013" s="6" t="str">
        <f t="shared" si="93"/>
        <v>OK</v>
      </c>
      <c r="AQ1013" s="6" t="e">
        <f>MATCH($D1013,'D4 - Provider Council Unsched'!$C$11:$C$234,0)</f>
        <v>#N/A</v>
      </c>
      <c r="AR1013" s="6" t="b">
        <f t="shared" si="91"/>
        <v>1</v>
      </c>
      <c r="AS1013" s="6" t="str">
        <f t="shared" si="94"/>
        <v>OK</v>
      </c>
      <c r="AU1013" s="202"/>
      <c r="AV1013" s="262"/>
      <c r="AW1013" s="274"/>
    </row>
    <row r="1014" spans="1:49" s="13" customFormat="1" ht="33.75" x14ac:dyDescent="0.2">
      <c r="A1014" s="14">
        <v>990</v>
      </c>
      <c r="B1014" s="14">
        <v>400024967</v>
      </c>
      <c r="C1014" s="8" t="s">
        <v>5197</v>
      </c>
      <c r="D1014" s="4" t="str">
        <f t="shared" si="92"/>
        <v>400024967R1</v>
      </c>
      <c r="E1014" s="309" t="str">
        <f>VLOOKUP($B1014,'D7 - NDB Impacted SPRF''s'!$E$6:$O$9929,2,FALSE)</f>
        <v>NDB UT Provider Pick Analysis Only</v>
      </c>
      <c r="F1014" s="8" t="s">
        <v>2114</v>
      </c>
      <c r="G1014" s="8" t="s">
        <v>4758</v>
      </c>
      <c r="H1014" s="8" t="s">
        <v>4246</v>
      </c>
      <c r="I1014" s="20">
        <v>1.07</v>
      </c>
      <c r="J1014" s="8" t="s">
        <v>4862</v>
      </c>
      <c r="K1014" s="182">
        <v>39767</v>
      </c>
      <c r="L1014" s="8" t="s">
        <v>5743</v>
      </c>
      <c r="M1014" s="8" t="s">
        <v>6688</v>
      </c>
      <c r="N1014" s="38" t="s">
        <v>2004</v>
      </c>
      <c r="O1014" s="8" t="s">
        <v>2875</v>
      </c>
      <c r="P1014" s="4" t="str">
        <f>VLOOKUP($B1014,'D7 - NDB Impacted SPRF''s'!$E$16:$O$9929,9,FALSE)</f>
        <v>N</v>
      </c>
      <c r="Q1014" s="4" t="str">
        <f>VLOOKUP($B1014,'D7 - NDB Impacted SPRF''s'!$E$16:$O$9929,10,FALSE)</f>
        <v>N</v>
      </c>
      <c r="R1014" s="4" t="str">
        <f>VLOOKUP($B1014,'D7 - NDB Impacted SPRF''s'!$E$16:$O$9929,11,FALSE)</f>
        <v>N</v>
      </c>
      <c r="S1014" s="8"/>
      <c r="T1014" s="310"/>
      <c r="U1014" s="310"/>
      <c r="V1014" s="4"/>
      <c r="W1014" s="4"/>
      <c r="X1014" s="4"/>
      <c r="Y1014" s="4"/>
      <c r="Z1014" s="4"/>
      <c r="AA1014" s="4"/>
      <c r="AB1014" s="380" t="str">
        <f>VLOOKUP($B1014,'D7 - NDB Impacted SPRF''s'!$E$16:$O$9929,4,FALSE)</f>
        <v>Completed</v>
      </c>
      <c r="AC1014" s="380" t="str">
        <f>VLOOKUP($B1014,'D7 - NDB Impacted SPRF''s'!$E$16:$O$9929,3,FALSE)</f>
        <v>UnitedHealthcare Employer &amp; Individual</v>
      </c>
      <c r="AD1014" s="380" t="str">
        <f>VLOOKUP($B1014,'D7 - NDB Impacted SPRF''s'!$E$16:$O$9929,5,FALSE)</f>
        <v>Operational Requirements</v>
      </c>
      <c r="AE1014" s="380" t="str">
        <f>VLOOKUP($B1014,'D7 - NDB Impacted SPRF''s'!$E$16:$O$9929,7,FALSE)</f>
        <v>Jillian Foucre</v>
      </c>
      <c r="AF1014" s="380" t="str">
        <f>VLOOKUP($B1014,'D7 - NDB Impacted SPRF''s'!$E$16:$O$9929,6,FALSE)</f>
        <v>PARK CHRISTINE</v>
      </c>
      <c r="AG1014" s="282"/>
      <c r="AH1014" s="311" t="e">
        <f>INDEX('D5 - Gatekeeper - Projects'!$A$4:$AF$1010,$AM1014, 17)</f>
        <v>#N/A</v>
      </c>
      <c r="AI1014" s="8"/>
      <c r="AJ1014" s="57"/>
      <c r="AK1014" s="105"/>
      <c r="AM1014" s="6" t="e">
        <f>MATCH(D1014,'D5 - Gatekeeper - Projects'!$C$4:$C$1010,0)</f>
        <v>#N/A</v>
      </c>
      <c r="AN1014" s="6" t="b">
        <f t="shared" si="90"/>
        <v>1</v>
      </c>
      <c r="AO1014" s="6" t="str">
        <f t="shared" si="93"/>
        <v>OK</v>
      </c>
      <c r="AQ1014" s="6" t="e">
        <f>MATCH($D1014,'D4 - Provider Council Unsched'!$C$11:$C$234,0)</f>
        <v>#N/A</v>
      </c>
      <c r="AR1014" s="6" t="b">
        <f t="shared" si="91"/>
        <v>1</v>
      </c>
      <c r="AS1014" s="6" t="str">
        <f t="shared" si="94"/>
        <v>OK</v>
      </c>
      <c r="AU1014" s="202"/>
      <c r="AV1014" s="262"/>
      <c r="AW1014" s="274"/>
    </row>
    <row r="1015" spans="1:49" s="13" customFormat="1" ht="33.75" x14ac:dyDescent="0.2">
      <c r="A1015" s="14">
        <v>991</v>
      </c>
      <c r="B1015" s="14">
        <v>400025395</v>
      </c>
      <c r="C1015" s="8" t="s">
        <v>2449</v>
      </c>
      <c r="D1015" s="4" t="str">
        <f t="shared" si="92"/>
        <v>400025395R3</v>
      </c>
      <c r="E1015" s="309" t="str">
        <f>VLOOKUP($B1015,'D7 - NDB Impacted SPRF''s'!$E$6:$O$9929,2,FALSE)</f>
        <v xml:space="preserve">COSMOS Port - Unisys to IBM - May 2008  </v>
      </c>
      <c r="F1015" s="8" t="s">
        <v>5787</v>
      </c>
      <c r="G1015" s="8" t="s">
        <v>4758</v>
      </c>
      <c r="H1015" s="8" t="s">
        <v>4246</v>
      </c>
      <c r="I1015" s="20">
        <v>1.07</v>
      </c>
      <c r="J1015" s="8" t="s">
        <v>4862</v>
      </c>
      <c r="K1015" s="182">
        <v>39767</v>
      </c>
      <c r="L1015" s="8" t="s">
        <v>5743</v>
      </c>
      <c r="M1015" s="8" t="s">
        <v>5626</v>
      </c>
      <c r="N1015" s="38" t="s">
        <v>6901</v>
      </c>
      <c r="O1015" s="8" t="s">
        <v>2000</v>
      </c>
      <c r="P1015" s="4" t="str">
        <f>VLOOKUP($B1015,'D7 - NDB Impacted SPRF''s'!$E$16:$O$9929,9,FALSE)</f>
        <v>Y</v>
      </c>
      <c r="Q1015" s="4" t="str">
        <f>VLOOKUP($B1015,'D7 - NDB Impacted SPRF''s'!$E$16:$O$9929,10,FALSE)</f>
        <v>N</v>
      </c>
      <c r="R1015" s="4" t="str">
        <f>VLOOKUP($B1015,'D7 - NDB Impacted SPRF''s'!$E$16:$O$9929,11,FALSE)</f>
        <v>N</v>
      </c>
      <c r="S1015" s="8"/>
      <c r="T1015" s="310"/>
      <c r="U1015" s="310"/>
      <c r="V1015" s="4"/>
      <c r="W1015" s="4"/>
      <c r="X1015" s="4"/>
      <c r="Y1015" s="4"/>
      <c r="Z1015" s="4"/>
      <c r="AA1015" s="4"/>
      <c r="AB1015" s="380" t="str">
        <f>VLOOKUP($B1015,'D7 - NDB Impacted SPRF''s'!$E$16:$O$9929,4,FALSE)</f>
        <v>Completed</v>
      </c>
      <c r="AC1015" s="380" t="str">
        <f>VLOOKUP($B1015,'D7 - NDB Impacted SPRF''s'!$E$16:$O$9929,3,FALSE)</f>
        <v>UHG IT - Application Services Group</v>
      </c>
      <c r="AD1015" s="380" t="str">
        <f>VLOOKUP($B1015,'D7 - NDB Impacted SPRF''s'!$E$16:$O$9929,5,FALSE)</f>
        <v>ASG</v>
      </c>
      <c r="AE1015" s="380" t="str">
        <f>VLOOKUP($B1015,'D7 - NDB Impacted SPRF''s'!$E$16:$O$9929,7,FALSE)</f>
        <v>John Santelli</v>
      </c>
      <c r="AF1015" s="380" t="str">
        <f>VLOOKUP($B1015,'D7 - NDB Impacted SPRF''s'!$E$16:$O$9929,6,FALSE)</f>
        <v>CHRISTINE VU</v>
      </c>
      <c r="AG1015" s="282"/>
      <c r="AH1015" s="311" t="e">
        <f>INDEX('D5 - Gatekeeper - Projects'!$A$4:$AF$1010,$AM1015, 17)</f>
        <v>#N/A</v>
      </c>
      <c r="AI1015" s="8"/>
      <c r="AJ1015" s="57"/>
      <c r="AK1015" s="105"/>
      <c r="AM1015" s="6" t="e">
        <f>MATCH(D1015,'D5 - Gatekeeper - Projects'!$C$4:$C$1010,0)</f>
        <v>#N/A</v>
      </c>
      <c r="AN1015" s="6" t="b">
        <f t="shared" si="90"/>
        <v>1</v>
      </c>
      <c r="AO1015" s="6" t="str">
        <f t="shared" si="93"/>
        <v>OK</v>
      </c>
      <c r="AQ1015" s="6" t="e">
        <f>MATCH($D1015,'D4 - Provider Council Unsched'!$C$11:$C$234,0)</f>
        <v>#N/A</v>
      </c>
      <c r="AR1015" s="6" t="b">
        <f t="shared" si="91"/>
        <v>1</v>
      </c>
      <c r="AS1015" s="6" t="str">
        <f t="shared" si="94"/>
        <v>OK</v>
      </c>
      <c r="AU1015" s="202"/>
      <c r="AV1015" s="262"/>
      <c r="AW1015" s="274"/>
    </row>
    <row r="1016" spans="1:49" s="13" customFormat="1" ht="33.75" x14ac:dyDescent="0.2">
      <c r="A1016" s="14">
        <v>992</v>
      </c>
      <c r="B1016" s="14">
        <v>400025523</v>
      </c>
      <c r="C1016" s="8" t="s">
        <v>5197</v>
      </c>
      <c r="D1016" s="4" t="str">
        <f t="shared" si="92"/>
        <v>400025523R1</v>
      </c>
      <c r="E1016" s="309" t="str">
        <f>VLOOKUP($B1016,'D7 - NDB Impacted SPRF''s'!$E$6:$O$9929,2,FALSE)</f>
        <v>Medica 2008 Test (Dummy) Incentive</v>
      </c>
      <c r="F1016" s="8" t="s">
        <v>5196</v>
      </c>
      <c r="G1016" s="8" t="s">
        <v>4758</v>
      </c>
      <c r="H1016" s="8" t="s">
        <v>4246</v>
      </c>
      <c r="I1016" s="20">
        <v>0.6</v>
      </c>
      <c r="J1016" s="8" t="s">
        <v>4862</v>
      </c>
      <c r="K1016" s="182">
        <v>39767</v>
      </c>
      <c r="L1016" s="8" t="s">
        <v>5743</v>
      </c>
      <c r="M1016" s="8" t="s">
        <v>4850</v>
      </c>
      <c r="N1016" s="38" t="s">
        <v>3769</v>
      </c>
      <c r="O1016" s="8" t="s">
        <v>2000</v>
      </c>
      <c r="P1016" s="4" t="str">
        <f>VLOOKUP($B1016,'D7 - NDB Impacted SPRF''s'!$E$16:$O$9929,9,FALSE)</f>
        <v>Y</v>
      </c>
      <c r="Q1016" s="4" t="str">
        <f>VLOOKUP($B1016,'D7 - NDB Impacted SPRF''s'!$E$16:$O$9929,10,FALSE)</f>
        <v>N</v>
      </c>
      <c r="R1016" s="4" t="str">
        <f>VLOOKUP($B1016,'D7 - NDB Impacted SPRF''s'!$E$16:$O$9929,11,FALSE)</f>
        <v>N</v>
      </c>
      <c r="S1016" s="8"/>
      <c r="T1016" s="310"/>
      <c r="U1016" s="310"/>
      <c r="V1016" s="4"/>
      <c r="W1016" s="4"/>
      <c r="X1016" s="4"/>
      <c r="Y1016" s="4"/>
      <c r="Z1016" s="4"/>
      <c r="AA1016" s="4"/>
      <c r="AB1016" s="380" t="str">
        <f>VLOOKUP($B1016,'D7 - NDB Impacted SPRF''s'!$E$16:$O$9929,4,FALSE)</f>
        <v>Completed</v>
      </c>
      <c r="AC1016" s="380" t="str">
        <f>VLOOKUP($B1016,'D7 - NDB Impacted SPRF''s'!$E$16:$O$9929,3,FALSE)</f>
        <v>UnitedHealthcare Employer &amp; Individual</v>
      </c>
      <c r="AD1016" s="380" t="str">
        <f>VLOOKUP($B1016,'D7 - NDB Impacted SPRF''s'!$E$16:$O$9929,5,FALSE)</f>
        <v>HCA - Medica Operational Support</v>
      </c>
      <c r="AE1016" s="380" t="str">
        <f>VLOOKUP($B1016,'D7 - NDB Impacted SPRF''s'!$E$16:$O$9929,7,FALSE)</f>
        <v>Diane Schofield</v>
      </c>
      <c r="AF1016" s="380" t="str">
        <f>VLOOKUP($B1016,'D7 - NDB Impacted SPRF''s'!$E$16:$O$9929,6,FALSE)</f>
        <v>Cindy Griggs</v>
      </c>
      <c r="AG1016" s="282"/>
      <c r="AH1016" s="311" t="e">
        <f>INDEX('D5 - Gatekeeper - Projects'!$A$4:$AF$1010,$AM1016, 17)</f>
        <v>#N/A</v>
      </c>
      <c r="AI1016" s="8"/>
      <c r="AJ1016" s="57"/>
      <c r="AK1016" s="105"/>
      <c r="AM1016" s="6" t="e">
        <f>MATCH(D1016,'D5 - Gatekeeper - Projects'!$C$4:$C$1010,0)</f>
        <v>#N/A</v>
      </c>
      <c r="AN1016" s="6" t="b">
        <f t="shared" si="90"/>
        <v>1</v>
      </c>
      <c r="AO1016" s="6" t="str">
        <f t="shared" si="93"/>
        <v>OK</v>
      </c>
      <c r="AQ1016" s="6" t="e">
        <f>MATCH($D1016,'D4 - Provider Council Unsched'!$C$11:$C$234,0)</f>
        <v>#N/A</v>
      </c>
      <c r="AR1016" s="6" t="b">
        <f t="shared" si="91"/>
        <v>1</v>
      </c>
      <c r="AS1016" s="6" t="str">
        <f t="shared" si="94"/>
        <v>OK</v>
      </c>
      <c r="AU1016" s="202"/>
      <c r="AV1016" s="262"/>
      <c r="AW1016" s="274"/>
    </row>
    <row r="1017" spans="1:49" s="13" customFormat="1" ht="33.75" x14ac:dyDescent="0.2">
      <c r="A1017" s="14">
        <v>993</v>
      </c>
      <c r="B1017" s="14">
        <v>400025698</v>
      </c>
      <c r="C1017" s="8" t="s">
        <v>5197</v>
      </c>
      <c r="D1017" s="4" t="str">
        <f t="shared" si="92"/>
        <v>400025698R1</v>
      </c>
      <c r="E1017" s="309" t="str">
        <f>VLOOKUP($B1017,'D7 - NDB Impacted SPRF''s'!$E$6:$O$9929,2,FALSE)</f>
        <v>Enhance NDB's PDS Module to delete invalid UHCIDs</v>
      </c>
      <c r="F1017" s="8" t="s">
        <v>5544</v>
      </c>
      <c r="G1017" s="8" t="s">
        <v>4758</v>
      </c>
      <c r="H1017" s="8" t="s">
        <v>4246</v>
      </c>
      <c r="I1017" s="20">
        <f>889/150</f>
        <v>5.9266666666666667</v>
      </c>
      <c r="J1017" s="8" t="s">
        <v>4862</v>
      </c>
      <c r="K1017" s="182">
        <v>39767</v>
      </c>
      <c r="L1017" s="8" t="s">
        <v>5743</v>
      </c>
      <c r="M1017" s="8" t="s">
        <v>2814</v>
      </c>
      <c r="N1017" s="38"/>
      <c r="O1017" s="8" t="s">
        <v>7299</v>
      </c>
      <c r="P1017" s="4" t="str">
        <f>VLOOKUP($B1017,'D7 - NDB Impacted SPRF''s'!$E$16:$O$9929,9,FALSE)</f>
        <v>N</v>
      </c>
      <c r="Q1017" s="4" t="str">
        <f>VLOOKUP($B1017,'D7 - NDB Impacted SPRF''s'!$E$16:$O$9929,10,FALSE)</f>
        <v>N</v>
      </c>
      <c r="R1017" s="4" t="str">
        <f>VLOOKUP($B1017,'D7 - NDB Impacted SPRF''s'!$E$16:$O$9929,11,FALSE)</f>
        <v>N</v>
      </c>
      <c r="S1017" s="8"/>
      <c r="T1017" s="310"/>
      <c r="U1017" s="310"/>
      <c r="V1017" s="4"/>
      <c r="W1017" s="4"/>
      <c r="X1017" s="4"/>
      <c r="Y1017" s="4"/>
      <c r="Z1017" s="4"/>
      <c r="AA1017" s="4"/>
      <c r="AB1017" s="380" t="str">
        <f>VLOOKUP($B1017,'D7 - NDB Impacted SPRF''s'!$E$16:$O$9929,4,FALSE)</f>
        <v>Completed</v>
      </c>
      <c r="AC1017" s="380" t="str">
        <f>VLOOKUP($B1017,'D7 - NDB Impacted SPRF''s'!$E$16:$O$9929,3,FALSE)</f>
        <v>UnitedHealthcare Medicare &amp; Retirement</v>
      </c>
      <c r="AD1017" s="380" t="str">
        <f>VLOOKUP($B1017,'D7 - NDB Impacted SPRF''s'!$E$16:$O$9929,5,FALSE)</f>
        <v>Ovations</v>
      </c>
      <c r="AE1017" s="380" t="str">
        <f>VLOOKUP($B1017,'D7 - NDB Impacted SPRF''s'!$E$16:$O$9929,7,FALSE)</f>
        <v>James Congleton</v>
      </c>
      <c r="AF1017" s="380" t="str">
        <f>VLOOKUP($B1017,'D7 - NDB Impacted SPRF''s'!$E$16:$O$9929,6,FALSE)</f>
        <v>Rosalind Hoagland</v>
      </c>
      <c r="AG1017" s="282"/>
      <c r="AH1017" s="311" t="e">
        <f>INDEX('D5 - Gatekeeper - Projects'!$A$4:$AF$1010,$AM1017, 17)</f>
        <v>#N/A</v>
      </c>
      <c r="AI1017" s="8"/>
      <c r="AJ1017" s="57"/>
      <c r="AK1017" s="105"/>
      <c r="AM1017" s="6" t="e">
        <f>MATCH(D1017,'D5 - Gatekeeper - Projects'!$C$4:$C$1010,0)</f>
        <v>#N/A</v>
      </c>
      <c r="AN1017" s="6" t="b">
        <f t="shared" si="90"/>
        <v>1</v>
      </c>
      <c r="AO1017" s="6" t="str">
        <f t="shared" si="93"/>
        <v>OK</v>
      </c>
      <c r="AQ1017" s="6" t="e">
        <f>MATCH($D1017,'D4 - Provider Council Unsched'!$C$11:$C$234,0)</f>
        <v>#N/A</v>
      </c>
      <c r="AR1017" s="6" t="b">
        <f t="shared" si="91"/>
        <v>1</v>
      </c>
      <c r="AS1017" s="6" t="str">
        <f t="shared" si="94"/>
        <v>OK</v>
      </c>
      <c r="AU1017" s="202"/>
      <c r="AV1017" s="262"/>
      <c r="AW1017" s="274"/>
    </row>
    <row r="1018" spans="1:49" s="13" customFormat="1" ht="33.75" x14ac:dyDescent="0.2">
      <c r="A1018" s="14">
        <v>994</v>
      </c>
      <c r="B1018" s="14">
        <v>400025844</v>
      </c>
      <c r="C1018" s="8" t="s">
        <v>5197</v>
      </c>
      <c r="D1018" s="4" t="str">
        <f t="shared" si="92"/>
        <v>400025844R1</v>
      </c>
      <c r="E1018" s="309" t="str">
        <f>VLOOKUP($B1018,'D7 - NDB Impacted SPRF''s'!$E$6:$O$9929,2,FALSE)</f>
        <v xml:space="preserve">HBP BEN Fiserv FACTS San Antonio </v>
      </c>
      <c r="F1018" s="8" t="s">
        <v>3441</v>
      </c>
      <c r="G1018" s="8" t="s">
        <v>4758</v>
      </c>
      <c r="H1018" s="8" t="s">
        <v>4246</v>
      </c>
      <c r="I1018" s="20">
        <v>2.13</v>
      </c>
      <c r="J1018" s="8" t="s">
        <v>4862</v>
      </c>
      <c r="K1018" s="182">
        <v>39767</v>
      </c>
      <c r="L1018" s="8" t="s">
        <v>5743</v>
      </c>
      <c r="M1018" s="8" t="s">
        <v>4850</v>
      </c>
      <c r="N1018" s="38"/>
      <c r="O1018" s="8"/>
      <c r="P1018" s="4" t="str">
        <f>VLOOKUP($B1018,'D7 - NDB Impacted SPRF''s'!$E$16:$O$9929,9,FALSE)</f>
        <v>N</v>
      </c>
      <c r="Q1018" s="4" t="str">
        <f>VLOOKUP($B1018,'D7 - NDB Impacted SPRF''s'!$E$16:$O$9929,10,FALSE)</f>
        <v>N</v>
      </c>
      <c r="R1018" s="4" t="str">
        <f>VLOOKUP($B1018,'D7 - NDB Impacted SPRF''s'!$E$16:$O$9929,11,FALSE)</f>
        <v>N</v>
      </c>
      <c r="S1018" s="8"/>
      <c r="T1018" s="310"/>
      <c r="U1018" s="310"/>
      <c r="V1018" s="4"/>
      <c r="W1018" s="4"/>
      <c r="X1018" s="4"/>
      <c r="Y1018" s="4"/>
      <c r="Z1018" s="4"/>
      <c r="AA1018" s="4"/>
      <c r="AB1018" s="380" t="str">
        <f>VLOOKUP($B1018,'D7 - NDB Impacted SPRF''s'!$E$16:$O$9929,4,FALSE)</f>
        <v>Completed</v>
      </c>
      <c r="AC1018" s="380" t="str">
        <f>VLOOKUP($B1018,'D7 - NDB Impacted SPRF''s'!$E$16:$O$9929,3,FALSE)</f>
        <v>UnitedHealthcare Employer &amp; Individual</v>
      </c>
      <c r="AD1018" s="380" t="str">
        <f>VLOOKUP($B1018,'D7 - NDB Impacted SPRF''s'!$E$16:$O$9929,5,FALSE)</f>
        <v>Integration Requirements</v>
      </c>
      <c r="AE1018" s="380" t="str">
        <f>VLOOKUP($B1018,'D7 - NDB Impacted SPRF''s'!$E$16:$O$9929,7,FALSE)</f>
        <v>Sally A Verrilli</v>
      </c>
      <c r="AF1018" s="380" t="str">
        <f>VLOOKUP($B1018,'D7 - NDB Impacted SPRF''s'!$E$16:$O$9929,6,FALSE)</f>
        <v>Ellis Miller</v>
      </c>
      <c r="AG1018" s="282"/>
      <c r="AH1018" s="311" t="e">
        <f>INDEX('D5 - Gatekeeper - Projects'!$A$4:$AF$1010,$AM1018, 17)</f>
        <v>#N/A</v>
      </c>
      <c r="AI1018" s="8"/>
      <c r="AJ1018" s="57"/>
      <c r="AK1018" s="105"/>
      <c r="AM1018" s="6" t="e">
        <f>MATCH(D1018,'D5 - Gatekeeper - Projects'!$C$4:$C$1010,0)</f>
        <v>#N/A</v>
      </c>
      <c r="AN1018" s="6" t="b">
        <f t="shared" si="90"/>
        <v>1</v>
      </c>
      <c r="AO1018" s="6" t="str">
        <f t="shared" si="93"/>
        <v>OK</v>
      </c>
      <c r="AQ1018" s="6" t="e">
        <f>MATCH($D1018,'D4 - Provider Council Unsched'!$C$11:$C$234,0)</f>
        <v>#N/A</v>
      </c>
      <c r="AR1018" s="6" t="b">
        <f t="shared" si="91"/>
        <v>1</v>
      </c>
      <c r="AS1018" s="6" t="str">
        <f t="shared" si="94"/>
        <v>OK</v>
      </c>
      <c r="AU1018" s="202"/>
      <c r="AV1018" s="262"/>
      <c r="AW1018" s="274"/>
    </row>
    <row r="1019" spans="1:49" s="13" customFormat="1" ht="33.75" x14ac:dyDescent="0.2">
      <c r="A1019" s="14">
        <v>995</v>
      </c>
      <c r="B1019" s="14">
        <v>400026041</v>
      </c>
      <c r="C1019" s="8" t="s">
        <v>3763</v>
      </c>
      <c r="D1019" s="4" t="str">
        <f t="shared" si="92"/>
        <v>400026041R2</v>
      </c>
      <c r="E1019" s="309" t="str">
        <f>VLOOKUP($B1019,'D7 - NDB Impacted SPRF''s'!$E$6:$O$9929,2,FALSE)</f>
        <v>CDHP E2E Pre-Implementation Testing Process</v>
      </c>
      <c r="F1019" s="8" t="s">
        <v>2114</v>
      </c>
      <c r="G1019" s="8" t="s">
        <v>4758</v>
      </c>
      <c r="H1019" s="8" t="s">
        <v>4246</v>
      </c>
      <c r="I1019" s="20">
        <v>1.07</v>
      </c>
      <c r="J1019" s="8" t="s">
        <v>4862</v>
      </c>
      <c r="K1019" s="182">
        <v>39767</v>
      </c>
      <c r="L1019" s="8" t="s">
        <v>5743</v>
      </c>
      <c r="M1019" s="8" t="s">
        <v>5626</v>
      </c>
      <c r="N1019" s="38" t="s">
        <v>7069</v>
      </c>
      <c r="O1019" s="8" t="s">
        <v>2000</v>
      </c>
      <c r="P1019" s="4" t="str">
        <f>VLOOKUP($B1019,'D7 - NDB Impacted SPRF''s'!$E$16:$O$9929,9,FALSE)</f>
        <v>N</v>
      </c>
      <c r="Q1019" s="4" t="str">
        <f>VLOOKUP($B1019,'D7 - NDB Impacted SPRF''s'!$E$16:$O$9929,10,FALSE)</f>
        <v>N</v>
      </c>
      <c r="R1019" s="4" t="str">
        <f>VLOOKUP($B1019,'D7 - NDB Impacted SPRF''s'!$E$16:$O$9929,11,FALSE)</f>
        <v>N</v>
      </c>
      <c r="S1019" s="8"/>
      <c r="T1019" s="310"/>
      <c r="U1019" s="310"/>
      <c r="V1019" s="4"/>
      <c r="W1019" s="4"/>
      <c r="X1019" s="4"/>
      <c r="Y1019" s="4"/>
      <c r="Z1019" s="4"/>
      <c r="AA1019" s="4"/>
      <c r="AB1019" s="380" t="str">
        <f>VLOOKUP($B1019,'D7 - NDB Impacted SPRF''s'!$E$16:$O$9929,4,FALSE)</f>
        <v>Completed</v>
      </c>
      <c r="AC1019" s="380" t="str">
        <f>VLOOKUP($B1019,'D7 - NDB Impacted SPRF''s'!$E$16:$O$9929,3,FALSE)</f>
        <v>OptumHealth Financial Services</v>
      </c>
      <c r="AD1019" s="380" t="str">
        <f>VLOOKUP($B1019,'D7 - NDB Impacted SPRF''s'!$E$16:$O$9929,5,FALSE)</f>
        <v>FS-DDC 2010 05-49570-000</v>
      </c>
      <c r="AE1019" s="380" t="str">
        <f>VLOOKUP($B1019,'D7 - NDB Impacted SPRF''s'!$E$16:$O$9929,7,FALSE)</f>
        <v>Peter Bompane</v>
      </c>
      <c r="AF1019" s="380" t="str">
        <f>VLOOKUP($B1019,'D7 - NDB Impacted SPRF''s'!$E$16:$O$9929,6,FALSE)</f>
        <v>MARK ALMETER</v>
      </c>
      <c r="AG1019" s="282"/>
      <c r="AH1019" s="311" t="e">
        <f>INDEX('D5 - Gatekeeper - Projects'!$A$4:$AF$1010,$AM1019, 17)</f>
        <v>#N/A</v>
      </c>
      <c r="AI1019" s="8"/>
      <c r="AJ1019" s="57"/>
      <c r="AK1019" s="105"/>
      <c r="AM1019" s="6" t="e">
        <f>MATCH(D1019,'D5 - Gatekeeper - Projects'!$C$4:$C$1010,0)</f>
        <v>#N/A</v>
      </c>
      <c r="AN1019" s="6" t="b">
        <f t="shared" si="90"/>
        <v>1</v>
      </c>
      <c r="AO1019" s="6" t="str">
        <f t="shared" si="93"/>
        <v>OK</v>
      </c>
      <c r="AQ1019" s="6" t="e">
        <f>MATCH($D1019,'D4 - Provider Council Unsched'!$C$11:$C$234,0)</f>
        <v>#N/A</v>
      </c>
      <c r="AR1019" s="6" t="b">
        <f t="shared" si="91"/>
        <v>1</v>
      </c>
      <c r="AS1019" s="6" t="str">
        <f t="shared" si="94"/>
        <v>OK</v>
      </c>
      <c r="AU1019" s="202"/>
      <c r="AV1019" s="262"/>
      <c r="AW1019" s="274"/>
    </row>
    <row r="1020" spans="1:49" s="13" customFormat="1" ht="33.75" x14ac:dyDescent="0.2">
      <c r="A1020" s="14">
        <v>996</v>
      </c>
      <c r="B1020" s="14">
        <v>400026114</v>
      </c>
      <c r="C1020" s="8" t="s">
        <v>5197</v>
      </c>
      <c r="D1020" s="4" t="str">
        <f t="shared" si="92"/>
        <v>400026114R1</v>
      </c>
      <c r="E1020" s="309" t="str">
        <f>VLOOKUP($B1020,'D7 - NDB Impacted SPRF''s'!$E$6:$O$9929,2,FALSE)</f>
        <v>Empire Plan - NDB Exract Changes</v>
      </c>
      <c r="F1020" s="8" t="s">
        <v>2391</v>
      </c>
      <c r="G1020" s="8" t="s">
        <v>4758</v>
      </c>
      <c r="H1020" s="8" t="s">
        <v>4246</v>
      </c>
      <c r="I1020" s="20">
        <v>2.33</v>
      </c>
      <c r="J1020" s="8" t="s">
        <v>4862</v>
      </c>
      <c r="K1020" s="182">
        <v>39767</v>
      </c>
      <c r="L1020" s="8" t="s">
        <v>5743</v>
      </c>
      <c r="M1020" s="8" t="s">
        <v>2814</v>
      </c>
      <c r="N1020" s="38"/>
      <c r="O1020" s="8"/>
      <c r="P1020" s="4" t="str">
        <f>VLOOKUP($B1020,'D7 - NDB Impacted SPRF''s'!$E$16:$O$9929,9,FALSE)</f>
        <v>N</v>
      </c>
      <c r="Q1020" s="4" t="str">
        <f>VLOOKUP($B1020,'D7 - NDB Impacted SPRF''s'!$E$16:$O$9929,10,FALSE)</f>
        <v>N</v>
      </c>
      <c r="R1020" s="4" t="str">
        <f>VLOOKUP($B1020,'D7 - NDB Impacted SPRF''s'!$E$16:$O$9929,11,FALSE)</f>
        <v>N</v>
      </c>
      <c r="S1020" s="8"/>
      <c r="T1020" s="310"/>
      <c r="U1020" s="310"/>
      <c r="V1020" s="4"/>
      <c r="W1020" s="4"/>
      <c r="X1020" s="4"/>
      <c r="Y1020" s="4"/>
      <c r="Z1020" s="4"/>
      <c r="AA1020" s="4"/>
      <c r="AB1020" s="380" t="str">
        <f>VLOOKUP($B1020,'D7 - NDB Impacted SPRF''s'!$E$16:$O$9929,4,FALSE)</f>
        <v>Completed</v>
      </c>
      <c r="AC1020" s="380" t="str">
        <f>VLOOKUP($B1020,'D7 - NDB Impacted SPRF''s'!$E$16:$O$9929,3,FALSE)</f>
        <v>UnitedHealthcare Employer &amp; Individual</v>
      </c>
      <c r="AD1020" s="380" t="str">
        <f>VLOOKUP($B1020,'D7 - NDB Impacted SPRF''s'!$E$16:$O$9929,5,FALSE)</f>
        <v>Membership Growth / Revenue Programs</v>
      </c>
      <c r="AE1020" s="380" t="str">
        <f>VLOOKUP($B1020,'D7 - NDB Impacted SPRF''s'!$E$16:$O$9929,7,FALSE)</f>
        <v>Richard Maloney</v>
      </c>
      <c r="AF1020" s="380" t="str">
        <f>VLOOKUP($B1020,'D7 - NDB Impacted SPRF''s'!$E$16:$O$9929,6,FALSE)</f>
        <v>Melinda Dukat</v>
      </c>
      <c r="AG1020" s="282"/>
      <c r="AH1020" s="311" t="e">
        <f>INDEX('D5 - Gatekeeper - Projects'!$A$4:$AF$1010,$AM1020, 17)</f>
        <v>#N/A</v>
      </c>
      <c r="AI1020" s="8"/>
      <c r="AJ1020" s="57"/>
      <c r="AK1020" s="105"/>
      <c r="AM1020" s="6" t="e">
        <f>MATCH(D1020,'D5 - Gatekeeper - Projects'!$C$4:$C$1010,0)</f>
        <v>#N/A</v>
      </c>
      <c r="AN1020" s="6" t="b">
        <f t="shared" si="90"/>
        <v>1</v>
      </c>
      <c r="AO1020" s="6" t="str">
        <f t="shared" si="93"/>
        <v>OK</v>
      </c>
      <c r="AQ1020" s="6" t="e">
        <f>MATCH($D1020,'D4 - Provider Council Unsched'!$C$11:$C$234,0)</f>
        <v>#N/A</v>
      </c>
      <c r="AR1020" s="6" t="b">
        <f t="shared" si="91"/>
        <v>1</v>
      </c>
      <c r="AS1020" s="6" t="str">
        <f t="shared" si="94"/>
        <v>OK</v>
      </c>
      <c r="AU1020" s="202"/>
      <c r="AV1020" s="262"/>
      <c r="AW1020" s="274"/>
    </row>
    <row r="1021" spans="1:49" s="13" customFormat="1" ht="33.75" x14ac:dyDescent="0.2">
      <c r="A1021" s="14">
        <v>997</v>
      </c>
      <c r="B1021" s="14">
        <v>400026542</v>
      </c>
      <c r="C1021" s="8" t="s">
        <v>5197</v>
      </c>
      <c r="D1021" s="4" t="str">
        <f t="shared" si="92"/>
        <v>400026542R1</v>
      </c>
      <c r="E1021" s="309" t="str">
        <f>VLOOKUP($B1021,'D7 - NDB Impacted SPRF''s'!$E$6:$O$9929,2,FALSE)</f>
        <v>NDB Changes to Support AmeriChoice Providers</v>
      </c>
      <c r="F1021" s="8" t="s">
        <v>2114</v>
      </c>
      <c r="G1021" s="8" t="s">
        <v>4758</v>
      </c>
      <c r="H1021" s="8" t="s">
        <v>4246</v>
      </c>
      <c r="I1021" s="20">
        <v>2.6</v>
      </c>
      <c r="J1021" s="8" t="s">
        <v>4862</v>
      </c>
      <c r="K1021" s="182">
        <v>39767</v>
      </c>
      <c r="L1021" s="8" t="s">
        <v>5743</v>
      </c>
      <c r="M1021" s="8" t="s">
        <v>6688</v>
      </c>
      <c r="N1021" s="38" t="s">
        <v>3831</v>
      </c>
      <c r="O1021" s="8"/>
      <c r="P1021" s="4" t="str">
        <f>VLOOKUP($B1021,'D7 - NDB Impacted SPRF''s'!$E$16:$O$9929,9,FALSE)</f>
        <v>N</v>
      </c>
      <c r="Q1021" s="4" t="str">
        <f>VLOOKUP($B1021,'D7 - NDB Impacted SPRF''s'!$E$16:$O$9929,10,FALSE)</f>
        <v>N</v>
      </c>
      <c r="R1021" s="4" t="str">
        <f>VLOOKUP($B1021,'D7 - NDB Impacted SPRF''s'!$E$16:$O$9929,11,FALSE)</f>
        <v>N</v>
      </c>
      <c r="S1021" s="8"/>
      <c r="T1021" s="310"/>
      <c r="U1021" s="310"/>
      <c r="V1021" s="4"/>
      <c r="W1021" s="4"/>
      <c r="X1021" s="4"/>
      <c r="Y1021" s="4"/>
      <c r="Z1021" s="4"/>
      <c r="AA1021" s="4"/>
      <c r="AB1021" s="380" t="str">
        <f>VLOOKUP($B1021,'D7 - NDB Impacted SPRF''s'!$E$16:$O$9929,4,FALSE)</f>
        <v>Completed</v>
      </c>
      <c r="AC1021" s="380" t="str">
        <f>VLOOKUP($B1021,'D7 - NDB Impacted SPRF''s'!$E$16:$O$9929,3,FALSE)</f>
        <v>UnitedHealthcare Medicare &amp; Retirement</v>
      </c>
      <c r="AD1021" s="380" t="str">
        <f>VLOOKUP($B1021,'D7 - NDB Impacted SPRF''s'!$E$16:$O$9929,5,FALSE)</f>
        <v>Enterprise Clinical</v>
      </c>
      <c r="AE1021" s="380" t="str">
        <f>VLOOKUP($B1021,'D7 - NDB Impacted SPRF''s'!$E$16:$O$9929,7,FALSE)</f>
        <v>Cindi Middaugh</v>
      </c>
      <c r="AF1021" s="380" t="str">
        <f>VLOOKUP($B1021,'D7 - NDB Impacted SPRF''s'!$E$16:$O$9929,6,FALSE)</f>
        <v>CHRISTINA MOSHER</v>
      </c>
      <c r="AG1021" s="282"/>
      <c r="AH1021" s="311" t="e">
        <f>INDEX('D5 - Gatekeeper - Projects'!$A$4:$AF$1010,$AM1021, 17)</f>
        <v>#N/A</v>
      </c>
      <c r="AI1021" s="8"/>
      <c r="AJ1021" s="57"/>
      <c r="AK1021" s="105"/>
      <c r="AM1021" s="6" t="e">
        <f>MATCH(D1021,'D5 - Gatekeeper - Projects'!$C$4:$C$1010,0)</f>
        <v>#N/A</v>
      </c>
      <c r="AN1021" s="6" t="b">
        <f t="shared" si="90"/>
        <v>1</v>
      </c>
      <c r="AO1021" s="6" t="str">
        <f t="shared" si="93"/>
        <v>OK</v>
      </c>
      <c r="AQ1021" s="6" t="e">
        <f>MATCH($D1021,'D4 - Provider Council Unsched'!$C$11:$C$234,0)</f>
        <v>#N/A</v>
      </c>
      <c r="AR1021" s="6" t="b">
        <f t="shared" si="91"/>
        <v>1</v>
      </c>
      <c r="AS1021" s="6" t="str">
        <f t="shared" si="94"/>
        <v>OK</v>
      </c>
      <c r="AU1021" s="202"/>
      <c r="AV1021" s="262"/>
      <c r="AW1021" s="274"/>
    </row>
    <row r="1022" spans="1:49" s="13" customFormat="1" ht="33.75" x14ac:dyDescent="0.2">
      <c r="A1022" s="14">
        <v>998</v>
      </c>
      <c r="B1022" s="14">
        <v>400026566</v>
      </c>
      <c r="C1022" s="8" t="s">
        <v>5197</v>
      </c>
      <c r="D1022" s="4" t="str">
        <f t="shared" si="92"/>
        <v>400026566R1</v>
      </c>
      <c r="E1022" s="309" t="str">
        <f>VLOOKUP($B1022,'D7 - NDB Impacted SPRF''s'!$E$6:$O$9929,2,FALSE)</f>
        <v>PHS EPDE/Auto-Upload Enhancement UT Support</v>
      </c>
      <c r="F1022" s="8" t="s">
        <v>6071</v>
      </c>
      <c r="G1022" s="8" t="s">
        <v>4758</v>
      </c>
      <c r="H1022" s="8" t="s">
        <v>4246</v>
      </c>
      <c r="I1022" s="20">
        <f>20/160</f>
        <v>0.125</v>
      </c>
      <c r="J1022" s="8" t="s">
        <v>4862</v>
      </c>
      <c r="K1022" s="182">
        <v>39767</v>
      </c>
      <c r="L1022" s="8" t="s">
        <v>4156</v>
      </c>
      <c r="M1022" s="8" t="s">
        <v>4850</v>
      </c>
      <c r="N1022" s="38" t="s">
        <v>5071</v>
      </c>
      <c r="O1022" s="8"/>
      <c r="P1022" s="4" t="str">
        <f>VLOOKUP($B1022,'D7 - NDB Impacted SPRF''s'!$E$16:$O$9929,9,FALSE)</f>
        <v>N</v>
      </c>
      <c r="Q1022" s="4" t="str">
        <f>VLOOKUP($B1022,'D7 - NDB Impacted SPRF''s'!$E$16:$O$9929,10,FALSE)</f>
        <v>N</v>
      </c>
      <c r="R1022" s="4" t="str">
        <f>VLOOKUP($B1022,'D7 - NDB Impacted SPRF''s'!$E$16:$O$9929,11,FALSE)</f>
        <v>N</v>
      </c>
      <c r="S1022" s="8"/>
      <c r="T1022" s="310"/>
      <c r="U1022" s="310"/>
      <c r="V1022" s="4"/>
      <c r="W1022" s="4"/>
      <c r="X1022" s="4"/>
      <c r="Y1022" s="4"/>
      <c r="Z1022" s="4"/>
      <c r="AA1022" s="4"/>
      <c r="AB1022" s="380" t="str">
        <f>VLOOKUP($B1022,'D7 - NDB Impacted SPRF''s'!$E$16:$O$9929,4,FALSE)</f>
        <v>Completed</v>
      </c>
      <c r="AC1022" s="380" t="str">
        <f>VLOOKUP($B1022,'D7 - NDB Impacted SPRF''s'!$E$16:$O$9929,3,FALSE)</f>
        <v>UnitedHealthcare Employer &amp; Individual</v>
      </c>
      <c r="AD1022" s="380" t="str">
        <f>VLOOKUP($B1022,'D7 - NDB Impacted SPRF''s'!$E$16:$O$9929,5,FALSE)</f>
        <v>Integration Requirements</v>
      </c>
      <c r="AE1022" s="380" t="str">
        <f>VLOOKUP($B1022,'D7 - NDB Impacted SPRF''s'!$E$16:$O$9929,7,FALSE)</f>
        <v>Jim Congleton</v>
      </c>
      <c r="AF1022" s="380" t="str">
        <f>VLOOKUP($B1022,'D7 - NDB Impacted SPRF''s'!$E$16:$O$9929,6,FALSE)</f>
        <v>JOHN HIEBERT</v>
      </c>
      <c r="AG1022" s="282"/>
      <c r="AH1022" s="311" t="e">
        <f>INDEX('D5 - Gatekeeper - Projects'!$A$4:$AF$1010,$AM1022, 17)</f>
        <v>#N/A</v>
      </c>
      <c r="AI1022" s="8"/>
      <c r="AJ1022" s="57"/>
      <c r="AK1022" s="105"/>
      <c r="AM1022" s="6" t="e">
        <f>MATCH(D1022,'D5 - Gatekeeper - Projects'!$C$4:$C$1010,0)</f>
        <v>#N/A</v>
      </c>
      <c r="AN1022" s="6" t="b">
        <f t="shared" si="90"/>
        <v>1</v>
      </c>
      <c r="AO1022" s="6" t="str">
        <f t="shared" si="93"/>
        <v>OK</v>
      </c>
      <c r="AQ1022" s="6" t="e">
        <f>MATCH($D1022,'D4 - Provider Council Unsched'!$C$11:$C$234,0)</f>
        <v>#N/A</v>
      </c>
      <c r="AR1022" s="6" t="b">
        <f t="shared" si="91"/>
        <v>1</v>
      </c>
      <c r="AS1022" s="6" t="str">
        <f t="shared" si="94"/>
        <v>OK</v>
      </c>
      <c r="AU1022" s="202"/>
      <c r="AV1022" s="262"/>
      <c r="AW1022" s="274"/>
    </row>
    <row r="1023" spans="1:49" s="13" customFormat="1" x14ac:dyDescent="0.2">
      <c r="A1023" s="14">
        <v>999</v>
      </c>
      <c r="B1023" s="14" t="s">
        <v>7789</v>
      </c>
      <c r="C1023" s="8" t="s">
        <v>5197</v>
      </c>
      <c r="D1023" s="4" t="str">
        <f t="shared" si="92"/>
        <v>CE00009R1</v>
      </c>
      <c r="E1023" s="282" t="s">
        <v>5945</v>
      </c>
      <c r="F1023" s="8" t="s">
        <v>2114</v>
      </c>
      <c r="G1023" s="8" t="s">
        <v>4758</v>
      </c>
      <c r="H1023" s="8" t="s">
        <v>4246</v>
      </c>
      <c r="I1023" s="20">
        <v>2</v>
      </c>
      <c r="J1023" s="8" t="s">
        <v>4862</v>
      </c>
      <c r="K1023" s="182">
        <v>39767</v>
      </c>
      <c r="L1023" s="8" t="s">
        <v>5743</v>
      </c>
      <c r="M1023" s="8" t="s">
        <v>4850</v>
      </c>
      <c r="N1023" s="38"/>
      <c r="O1023" s="8" t="s">
        <v>3572</v>
      </c>
      <c r="P1023" s="4" t="e">
        <f>VLOOKUP($B1023,'D7 - NDB Impacted SPRF''s'!$E$16:$O$9929,9,FALSE)</f>
        <v>#N/A</v>
      </c>
      <c r="Q1023" s="4" t="e">
        <f>VLOOKUP($B1023,'D7 - NDB Impacted SPRF''s'!$E$16:$O$9929,10,FALSE)</f>
        <v>#N/A</v>
      </c>
      <c r="R1023" s="4" t="e">
        <f>VLOOKUP($B1023,'D7 - NDB Impacted SPRF''s'!$E$16:$O$9929,11,FALSE)</f>
        <v>#N/A</v>
      </c>
      <c r="S1023" s="8"/>
      <c r="T1023" s="310"/>
      <c r="U1023" s="310"/>
      <c r="V1023" s="4"/>
      <c r="W1023" s="4"/>
      <c r="X1023" s="4"/>
      <c r="Y1023" s="4"/>
      <c r="Z1023" s="4"/>
      <c r="AA1023" s="4"/>
      <c r="AB1023" s="383" t="e">
        <f>VLOOKUP($B1023,'D7 - NDB Impacted SPRF''s'!$E$16:$O$9929,4,FALSE)</f>
        <v>#N/A</v>
      </c>
      <c r="AC1023" s="380" t="e">
        <f>VLOOKUP($B1023,'D7 - NDB Impacted SPRF''s'!$E$16:$O$9929,3,FALSE)</f>
        <v>#N/A</v>
      </c>
      <c r="AD1023" s="380" t="e">
        <f>VLOOKUP($B1023,'D7 - NDB Impacted SPRF''s'!$E$16:$O$9929,5,FALSE)</f>
        <v>#N/A</v>
      </c>
      <c r="AE1023" s="380" t="e">
        <f>VLOOKUP($B1023,'D7 - NDB Impacted SPRF''s'!$E$16:$O$9929,7,FALSE)</f>
        <v>#N/A</v>
      </c>
      <c r="AF1023" s="380" t="e">
        <f>VLOOKUP($B1023,'D7 - NDB Impacted SPRF''s'!$E$16:$O$9929,6,FALSE)</f>
        <v>#N/A</v>
      </c>
      <c r="AG1023" s="282"/>
      <c r="AH1023" s="311" t="e">
        <f>INDEX('D5 - Gatekeeper - Projects'!$A$4:$AF$1010,$AM1023, 17)</f>
        <v>#N/A</v>
      </c>
      <c r="AI1023" s="8"/>
      <c r="AJ1023" s="57"/>
      <c r="AK1023" s="105"/>
      <c r="AM1023" s="6" t="e">
        <f>MATCH(D1023,'D5 - Gatekeeper - Projects'!$C$4:$C$1010,0)</f>
        <v>#N/A</v>
      </c>
      <c r="AN1023" s="6" t="b">
        <f t="shared" si="90"/>
        <v>1</v>
      </c>
      <c r="AO1023" s="6" t="str">
        <f t="shared" si="93"/>
        <v>OK</v>
      </c>
      <c r="AQ1023" s="6" t="e">
        <f>MATCH($D1023,'D4 - Provider Council Unsched'!$C$11:$C$234,0)</f>
        <v>#N/A</v>
      </c>
      <c r="AR1023" s="6" t="b">
        <f t="shared" si="91"/>
        <v>1</v>
      </c>
      <c r="AS1023" s="6" t="str">
        <f t="shared" si="94"/>
        <v>OK</v>
      </c>
      <c r="AU1023" s="202"/>
      <c r="AV1023" s="262"/>
      <c r="AW1023" s="274"/>
    </row>
    <row r="1024" spans="1:49" s="13" customFormat="1" x14ac:dyDescent="0.2">
      <c r="A1024" s="14">
        <v>1000</v>
      </c>
      <c r="B1024" s="14" t="s">
        <v>4669</v>
      </c>
      <c r="C1024" s="8" t="s">
        <v>5197</v>
      </c>
      <c r="D1024" s="4" t="str">
        <f t="shared" si="92"/>
        <v>CE00012R1</v>
      </c>
      <c r="E1024" s="282" t="s">
        <v>4616</v>
      </c>
      <c r="F1024" s="8" t="s">
        <v>2114</v>
      </c>
      <c r="G1024" s="8" t="s">
        <v>4758</v>
      </c>
      <c r="H1024" s="8" t="s">
        <v>4246</v>
      </c>
      <c r="I1024" s="20">
        <f>201/150</f>
        <v>1.34</v>
      </c>
      <c r="J1024" s="8" t="s">
        <v>4862</v>
      </c>
      <c r="K1024" s="182">
        <v>39767</v>
      </c>
      <c r="L1024" s="8" t="s">
        <v>5743</v>
      </c>
      <c r="M1024" s="8" t="s">
        <v>2814</v>
      </c>
      <c r="N1024" s="38"/>
      <c r="O1024" s="8" t="s">
        <v>3572</v>
      </c>
      <c r="P1024" s="4" t="e">
        <f>VLOOKUP($B1024,'D7 - NDB Impacted SPRF''s'!$E$16:$O$9929,9,FALSE)</f>
        <v>#N/A</v>
      </c>
      <c r="Q1024" s="4" t="e">
        <f>VLOOKUP($B1024,'D7 - NDB Impacted SPRF''s'!$E$16:$O$9929,10,FALSE)</f>
        <v>#N/A</v>
      </c>
      <c r="R1024" s="4" t="e">
        <f>VLOOKUP($B1024,'D7 - NDB Impacted SPRF''s'!$E$16:$O$9929,11,FALSE)</f>
        <v>#N/A</v>
      </c>
      <c r="S1024" s="8"/>
      <c r="T1024" s="310"/>
      <c r="U1024" s="310"/>
      <c r="V1024" s="4"/>
      <c r="W1024" s="4"/>
      <c r="X1024" s="4"/>
      <c r="Y1024" s="4"/>
      <c r="Z1024" s="4"/>
      <c r="AA1024" s="4"/>
      <c r="AB1024" s="383" t="e">
        <f>VLOOKUP($B1024,'D7 - NDB Impacted SPRF''s'!$E$16:$O$9929,4,FALSE)</f>
        <v>#N/A</v>
      </c>
      <c r="AC1024" s="380" t="e">
        <f>VLOOKUP($B1024,'D7 - NDB Impacted SPRF''s'!$E$16:$O$9929,3,FALSE)</f>
        <v>#N/A</v>
      </c>
      <c r="AD1024" s="380" t="e">
        <f>VLOOKUP($B1024,'D7 - NDB Impacted SPRF''s'!$E$16:$O$9929,5,FALSE)</f>
        <v>#N/A</v>
      </c>
      <c r="AE1024" s="380" t="e">
        <f>VLOOKUP($B1024,'D7 - NDB Impacted SPRF''s'!$E$16:$O$9929,7,FALSE)</f>
        <v>#N/A</v>
      </c>
      <c r="AF1024" s="380" t="e">
        <f>VLOOKUP($B1024,'D7 - NDB Impacted SPRF''s'!$E$16:$O$9929,6,FALSE)</f>
        <v>#N/A</v>
      </c>
      <c r="AG1024" s="282"/>
      <c r="AH1024" s="311" t="e">
        <f>INDEX('D5 - Gatekeeper - Projects'!$A$4:$AF$1010,$AM1024, 17)</f>
        <v>#N/A</v>
      </c>
      <c r="AI1024" s="8"/>
      <c r="AJ1024" s="57"/>
      <c r="AK1024" s="105"/>
      <c r="AM1024" s="6" t="e">
        <f>MATCH(D1024,'D5 - Gatekeeper - Projects'!$C$4:$C$1010,0)</f>
        <v>#N/A</v>
      </c>
      <c r="AN1024" s="6" t="b">
        <f t="shared" si="90"/>
        <v>1</v>
      </c>
      <c r="AO1024" s="6" t="str">
        <f t="shared" si="93"/>
        <v>OK</v>
      </c>
      <c r="AQ1024" s="6" t="e">
        <f>MATCH($D1024,'D4 - Provider Council Unsched'!$C$11:$C$234,0)</f>
        <v>#N/A</v>
      </c>
      <c r="AR1024" s="6" t="b">
        <f t="shared" si="91"/>
        <v>1</v>
      </c>
      <c r="AS1024" s="6" t="str">
        <f t="shared" si="94"/>
        <v>OK</v>
      </c>
      <c r="AU1024" s="202"/>
      <c r="AV1024" s="262"/>
      <c r="AW1024" s="274"/>
    </row>
    <row r="1025" spans="1:49" s="13" customFormat="1" x14ac:dyDescent="0.2">
      <c r="A1025" s="14">
        <v>1001</v>
      </c>
      <c r="B1025" s="14" t="s">
        <v>6970</v>
      </c>
      <c r="C1025" s="8" t="s">
        <v>5197</v>
      </c>
      <c r="D1025" s="4" t="str">
        <f t="shared" si="92"/>
        <v>CE00013R1</v>
      </c>
      <c r="E1025" s="282" t="s">
        <v>7068</v>
      </c>
      <c r="F1025" s="8" t="s">
        <v>2114</v>
      </c>
      <c r="G1025" s="8" t="s">
        <v>4758</v>
      </c>
      <c r="H1025" s="8" t="s">
        <v>4246</v>
      </c>
      <c r="I1025" s="20">
        <f>991.2/160</f>
        <v>6.1950000000000003</v>
      </c>
      <c r="J1025" s="8" t="s">
        <v>4862</v>
      </c>
      <c r="K1025" s="182">
        <v>39767</v>
      </c>
      <c r="L1025" s="8" t="s">
        <v>5743</v>
      </c>
      <c r="M1025" s="8" t="s">
        <v>2814</v>
      </c>
      <c r="N1025" s="38" t="s">
        <v>7067</v>
      </c>
      <c r="O1025" s="8" t="s">
        <v>3572</v>
      </c>
      <c r="P1025" s="4" t="e">
        <f>VLOOKUP($B1025,'D7 - NDB Impacted SPRF''s'!$E$16:$O$9929,9,FALSE)</f>
        <v>#N/A</v>
      </c>
      <c r="Q1025" s="4" t="e">
        <f>VLOOKUP($B1025,'D7 - NDB Impacted SPRF''s'!$E$16:$O$9929,10,FALSE)</f>
        <v>#N/A</v>
      </c>
      <c r="R1025" s="4" t="e">
        <f>VLOOKUP($B1025,'D7 - NDB Impacted SPRF''s'!$E$16:$O$9929,11,FALSE)</f>
        <v>#N/A</v>
      </c>
      <c r="S1025" s="8"/>
      <c r="T1025" s="310"/>
      <c r="U1025" s="310"/>
      <c r="V1025" s="4"/>
      <c r="W1025" s="4"/>
      <c r="X1025" s="4"/>
      <c r="Y1025" s="4"/>
      <c r="Z1025" s="4"/>
      <c r="AA1025" s="4"/>
      <c r="AB1025" s="383" t="e">
        <f>VLOOKUP($B1025,'D7 - NDB Impacted SPRF''s'!$E$16:$O$9929,4,FALSE)</f>
        <v>#N/A</v>
      </c>
      <c r="AC1025" s="380" t="e">
        <f>VLOOKUP($B1025,'D7 - NDB Impacted SPRF''s'!$E$16:$O$9929,3,FALSE)</f>
        <v>#N/A</v>
      </c>
      <c r="AD1025" s="380" t="e">
        <f>VLOOKUP($B1025,'D7 - NDB Impacted SPRF''s'!$E$16:$O$9929,5,FALSE)</f>
        <v>#N/A</v>
      </c>
      <c r="AE1025" s="380" t="e">
        <f>VLOOKUP($B1025,'D7 - NDB Impacted SPRF''s'!$E$16:$O$9929,7,FALSE)</f>
        <v>#N/A</v>
      </c>
      <c r="AF1025" s="380" t="e">
        <f>VLOOKUP($B1025,'D7 - NDB Impacted SPRF''s'!$E$16:$O$9929,6,FALSE)</f>
        <v>#N/A</v>
      </c>
      <c r="AG1025" s="282"/>
      <c r="AH1025" s="311" t="e">
        <f>INDEX('D5 - Gatekeeper - Projects'!$A$4:$AF$1010,$AM1025, 17)</f>
        <v>#N/A</v>
      </c>
      <c r="AI1025" s="8"/>
      <c r="AJ1025" s="57"/>
      <c r="AK1025" s="105"/>
      <c r="AM1025" s="6" t="e">
        <f>MATCH(D1025,'D5 - Gatekeeper - Projects'!$C$4:$C$1010,0)</f>
        <v>#N/A</v>
      </c>
      <c r="AN1025" s="6" t="b">
        <f t="shared" si="90"/>
        <v>1</v>
      </c>
      <c r="AO1025" s="6" t="str">
        <f t="shared" si="93"/>
        <v>OK</v>
      </c>
      <c r="AQ1025" s="6" t="e">
        <f>MATCH($D1025,'D4 - Provider Council Unsched'!$C$11:$C$234,0)</f>
        <v>#N/A</v>
      </c>
      <c r="AR1025" s="6" t="b">
        <f t="shared" si="91"/>
        <v>1</v>
      </c>
      <c r="AS1025" s="6" t="str">
        <f t="shared" si="94"/>
        <v>OK</v>
      </c>
      <c r="AU1025" s="202"/>
      <c r="AV1025" s="262"/>
      <c r="AW1025" s="274"/>
    </row>
    <row r="1026" spans="1:49" s="13" customFormat="1" x14ac:dyDescent="0.2">
      <c r="A1026" s="14">
        <v>1002</v>
      </c>
      <c r="B1026" s="14" t="s">
        <v>2177</v>
      </c>
      <c r="C1026" s="8" t="s">
        <v>5197</v>
      </c>
      <c r="D1026" s="4" t="str">
        <f t="shared" si="92"/>
        <v>CE00014R1</v>
      </c>
      <c r="E1026" s="282" t="s">
        <v>4928</v>
      </c>
      <c r="F1026" s="8" t="s">
        <v>2114</v>
      </c>
      <c r="G1026" s="8" t="s">
        <v>4758</v>
      </c>
      <c r="H1026" s="8" t="s">
        <v>4246</v>
      </c>
      <c r="I1026" s="20">
        <v>3</v>
      </c>
      <c r="J1026" s="8" t="s">
        <v>4862</v>
      </c>
      <c r="K1026" s="182">
        <v>39767</v>
      </c>
      <c r="L1026" s="8" t="s">
        <v>5743</v>
      </c>
      <c r="M1026" s="8" t="s">
        <v>6688</v>
      </c>
      <c r="N1026" s="38"/>
      <c r="O1026" s="8" t="s">
        <v>3572</v>
      </c>
      <c r="P1026" s="4" t="e">
        <f>VLOOKUP($B1026,'D7 - NDB Impacted SPRF''s'!$E$16:$O$9929,9,FALSE)</f>
        <v>#N/A</v>
      </c>
      <c r="Q1026" s="4" t="e">
        <f>VLOOKUP($B1026,'D7 - NDB Impacted SPRF''s'!$E$16:$O$9929,10,FALSE)</f>
        <v>#N/A</v>
      </c>
      <c r="R1026" s="4" t="e">
        <f>VLOOKUP($B1026,'D7 - NDB Impacted SPRF''s'!$E$16:$O$9929,11,FALSE)</f>
        <v>#N/A</v>
      </c>
      <c r="S1026" s="8"/>
      <c r="T1026" s="310"/>
      <c r="U1026" s="310"/>
      <c r="V1026" s="4"/>
      <c r="W1026" s="4"/>
      <c r="X1026" s="4"/>
      <c r="Y1026" s="4"/>
      <c r="Z1026" s="4"/>
      <c r="AA1026" s="4"/>
      <c r="AB1026" s="383" t="e">
        <f>VLOOKUP($B1026,'D7 - NDB Impacted SPRF''s'!$E$16:$O$9929,4,FALSE)</f>
        <v>#N/A</v>
      </c>
      <c r="AC1026" s="380" t="e">
        <f>VLOOKUP($B1026,'D7 - NDB Impacted SPRF''s'!$E$16:$O$9929,3,FALSE)</f>
        <v>#N/A</v>
      </c>
      <c r="AD1026" s="380" t="e">
        <f>VLOOKUP($B1026,'D7 - NDB Impacted SPRF''s'!$E$16:$O$9929,5,FALSE)</f>
        <v>#N/A</v>
      </c>
      <c r="AE1026" s="380" t="e">
        <f>VLOOKUP($B1026,'D7 - NDB Impacted SPRF''s'!$E$16:$O$9929,7,FALSE)</f>
        <v>#N/A</v>
      </c>
      <c r="AF1026" s="380" t="e">
        <f>VLOOKUP($B1026,'D7 - NDB Impacted SPRF''s'!$E$16:$O$9929,6,FALSE)</f>
        <v>#N/A</v>
      </c>
      <c r="AG1026" s="282"/>
      <c r="AH1026" s="311" t="e">
        <f>INDEX('D5 - Gatekeeper - Projects'!$A$4:$AF$1010,$AM1026, 17)</f>
        <v>#N/A</v>
      </c>
      <c r="AI1026" s="8"/>
      <c r="AJ1026" s="57"/>
      <c r="AK1026" s="105"/>
      <c r="AM1026" s="6" t="e">
        <f>MATCH(D1026,'D5 - Gatekeeper - Projects'!$C$4:$C$1010,0)</f>
        <v>#N/A</v>
      </c>
      <c r="AN1026" s="6" t="b">
        <f t="shared" si="90"/>
        <v>1</v>
      </c>
      <c r="AO1026" s="6" t="str">
        <f t="shared" si="93"/>
        <v>OK</v>
      </c>
      <c r="AQ1026" s="6" t="e">
        <f>MATCH($D1026,'D4 - Provider Council Unsched'!$C$11:$C$234,0)</f>
        <v>#N/A</v>
      </c>
      <c r="AR1026" s="6" t="b">
        <f t="shared" si="91"/>
        <v>1</v>
      </c>
      <c r="AS1026" s="6" t="str">
        <f t="shared" si="94"/>
        <v>OK</v>
      </c>
      <c r="AU1026" s="202"/>
      <c r="AV1026" s="262"/>
      <c r="AW1026" s="274"/>
    </row>
    <row r="1027" spans="1:49" s="13" customFormat="1" ht="33.75" x14ac:dyDescent="0.2">
      <c r="A1027" s="14">
        <v>1003</v>
      </c>
      <c r="B1027" s="14">
        <v>400015853</v>
      </c>
      <c r="C1027" s="8" t="s">
        <v>5197</v>
      </c>
      <c r="D1027" s="4" t="str">
        <f t="shared" si="92"/>
        <v>400015853R1</v>
      </c>
      <c r="E1027" s="309" t="str">
        <f>VLOOKUP($B1027,'D7 - NDB Impacted SPRF''s'!$E$6:$O$9929,2,FALSE)</f>
        <v>NDB ORBIT TIN Change Report</v>
      </c>
      <c r="F1027" s="8" t="s">
        <v>2114</v>
      </c>
      <c r="G1027" s="8" t="s">
        <v>4758</v>
      </c>
      <c r="H1027" s="8" t="s">
        <v>4246</v>
      </c>
      <c r="I1027" s="20">
        <v>2.5</v>
      </c>
      <c r="J1027" s="8" t="s">
        <v>4862</v>
      </c>
      <c r="K1027" s="182">
        <v>39771</v>
      </c>
      <c r="L1027" s="8" t="s">
        <v>5743</v>
      </c>
      <c r="M1027" s="8" t="s">
        <v>5786</v>
      </c>
      <c r="N1027" s="38"/>
      <c r="O1027" s="8" t="s">
        <v>4306</v>
      </c>
      <c r="P1027" s="4" t="str">
        <f>VLOOKUP($B1027,'D7 - NDB Impacted SPRF''s'!$E$16:$O$9929,9,FALSE)</f>
        <v>N</v>
      </c>
      <c r="Q1027" s="4" t="str">
        <f>VLOOKUP($B1027,'D7 - NDB Impacted SPRF''s'!$E$16:$O$9929,10,FALSE)</f>
        <v>N</v>
      </c>
      <c r="R1027" s="4" t="str">
        <f>VLOOKUP($B1027,'D7 - NDB Impacted SPRF''s'!$E$16:$O$9929,11,FALSE)</f>
        <v>N</v>
      </c>
      <c r="S1027" s="8"/>
      <c r="T1027" s="310"/>
      <c r="U1027" s="310"/>
      <c r="V1027" s="4"/>
      <c r="W1027" s="4"/>
      <c r="X1027" s="4"/>
      <c r="Y1027" s="4"/>
      <c r="Z1027" s="4"/>
      <c r="AA1027" s="4"/>
      <c r="AB1027" s="380" t="str">
        <f>VLOOKUP($B1027,'D7 - NDB Impacted SPRF''s'!$E$16:$O$9929,4,FALSE)</f>
        <v>Completed</v>
      </c>
      <c r="AC1027" s="380" t="str">
        <f>VLOOKUP($B1027,'D7 - NDB Impacted SPRF''s'!$E$16:$O$9929,3,FALSE)</f>
        <v>UnitedHealthcare Employer &amp; Individual</v>
      </c>
      <c r="AD1027" s="380" t="str">
        <f>VLOOKUP($B1027,'D7 - NDB Impacted SPRF''s'!$E$16:$O$9929,5,FALSE)</f>
        <v>Process Improvement</v>
      </c>
      <c r="AE1027" s="380" t="str">
        <f>VLOOKUP($B1027,'D7 - NDB Impacted SPRF''s'!$E$16:$O$9929,7,FALSE)</f>
        <v>Jane Hill</v>
      </c>
      <c r="AF1027" s="380" t="str">
        <f>VLOOKUP($B1027,'D7 - NDB Impacted SPRF''s'!$E$16:$O$9929,6,FALSE)</f>
        <v>Susan Neal</v>
      </c>
      <c r="AG1027" s="282"/>
      <c r="AH1027" s="311" t="e">
        <f>INDEX('D5 - Gatekeeper - Projects'!$A$4:$AF$1010,$AM1027, 17)</f>
        <v>#N/A</v>
      </c>
      <c r="AI1027" s="8"/>
      <c r="AJ1027" s="57"/>
      <c r="AK1027" s="105"/>
      <c r="AM1027" s="6" t="e">
        <f>MATCH(D1027,'D5 - Gatekeeper - Projects'!$C$4:$C$1010,0)</f>
        <v>#N/A</v>
      </c>
      <c r="AN1027" s="6" t="b">
        <f t="shared" si="90"/>
        <v>1</v>
      </c>
      <c r="AO1027" s="6" t="str">
        <f t="shared" si="93"/>
        <v>OK</v>
      </c>
      <c r="AQ1027" s="6" t="e">
        <f>MATCH($D1027,'D4 - Provider Council Unsched'!$C$11:$C$234,0)</f>
        <v>#N/A</v>
      </c>
      <c r="AR1027" s="6" t="b">
        <f t="shared" si="91"/>
        <v>1</v>
      </c>
      <c r="AS1027" s="6" t="str">
        <f t="shared" si="94"/>
        <v>OK</v>
      </c>
      <c r="AU1027" s="202"/>
      <c r="AV1027" s="262"/>
      <c r="AW1027" s="274"/>
    </row>
    <row r="1028" spans="1:49" s="13" customFormat="1" ht="33.75" x14ac:dyDescent="0.2">
      <c r="A1028" s="14">
        <v>1004</v>
      </c>
      <c r="B1028" s="14">
        <v>400014754</v>
      </c>
      <c r="C1028" s="8" t="s">
        <v>5197</v>
      </c>
      <c r="D1028" s="4" t="str">
        <f t="shared" si="92"/>
        <v>400014754R1</v>
      </c>
      <c r="E1028" s="309" t="str">
        <f>VLOOKUP($B1028,'D7 - NDB Impacted SPRF''s'!$E$6:$O$9929,2,FALSE)</f>
        <v xml:space="preserve">MedNet EPDL - Ingenix NetPro Enhancement </v>
      </c>
      <c r="F1028" s="8" t="s">
        <v>2114</v>
      </c>
      <c r="G1028" s="8" t="s">
        <v>4758</v>
      </c>
      <c r="H1028" s="8" t="s">
        <v>4246</v>
      </c>
      <c r="I1028" s="20">
        <v>1.07</v>
      </c>
      <c r="J1028" s="8" t="s">
        <v>4862</v>
      </c>
      <c r="K1028" s="182">
        <v>39858</v>
      </c>
      <c r="L1028" s="8" t="s">
        <v>5743</v>
      </c>
      <c r="M1028" s="8" t="s">
        <v>2814</v>
      </c>
      <c r="N1028" s="38"/>
      <c r="O1028" s="8" t="s">
        <v>7086</v>
      </c>
      <c r="P1028" s="4" t="str">
        <f>VLOOKUP($B1028,'D7 - NDB Impacted SPRF''s'!$E$16:$O$9929,9,FALSE)</f>
        <v>N</v>
      </c>
      <c r="Q1028" s="4" t="str">
        <f>VLOOKUP($B1028,'D7 - NDB Impacted SPRF''s'!$E$16:$O$9929,10,FALSE)</f>
        <v>N</v>
      </c>
      <c r="R1028" s="4" t="str">
        <f>VLOOKUP($B1028,'D7 - NDB Impacted SPRF''s'!$E$16:$O$9929,11,FALSE)</f>
        <v>N</v>
      </c>
      <c r="S1028" s="8"/>
      <c r="T1028" s="310"/>
      <c r="U1028" s="310"/>
      <c r="V1028" s="4"/>
      <c r="W1028" s="4"/>
      <c r="X1028" s="4"/>
      <c r="Y1028" s="4"/>
      <c r="Z1028" s="4"/>
      <c r="AA1028" s="4"/>
      <c r="AB1028" s="380" t="str">
        <f>VLOOKUP($B1028,'D7 - NDB Impacted SPRF''s'!$E$16:$O$9929,4,FALSE)</f>
        <v>Completed</v>
      </c>
      <c r="AC1028" s="380" t="str">
        <f>VLOOKUP($B1028,'D7 - NDB Impacted SPRF''s'!$E$16:$O$9929,3,FALSE)</f>
        <v>UnitedHealthcare Employer &amp; Individual</v>
      </c>
      <c r="AD1028" s="380" t="str">
        <f>VLOOKUP($B1028,'D7 - NDB Impacted SPRF''s'!$E$16:$O$9929,5,FALSE)</f>
        <v>Process Improvement</v>
      </c>
      <c r="AE1028" s="380" t="str">
        <f>VLOOKUP($B1028,'D7 - NDB Impacted SPRF''s'!$E$16:$O$9929,7,FALSE)</f>
        <v>Tim Kaja</v>
      </c>
      <c r="AF1028" s="380" t="str">
        <f>VLOOKUP($B1028,'D7 - NDB Impacted SPRF''s'!$E$16:$O$9929,6,FALSE)</f>
        <v>JOHN HIEBERT</v>
      </c>
      <c r="AG1028" s="282"/>
      <c r="AH1028" s="311" t="e">
        <f>INDEX('D5 - Gatekeeper - Projects'!$A$4:$AF$1010,$AM1028, 17)</f>
        <v>#N/A</v>
      </c>
      <c r="AI1028" s="8"/>
      <c r="AJ1028" s="57"/>
      <c r="AK1028" s="105"/>
      <c r="AM1028" s="6" t="e">
        <f>MATCH(D1028,'D5 - Gatekeeper - Projects'!$C$4:$C$1010,0)</f>
        <v>#N/A</v>
      </c>
      <c r="AN1028" s="6" t="b">
        <f t="shared" si="90"/>
        <v>1</v>
      </c>
      <c r="AO1028" s="6" t="str">
        <f t="shared" si="93"/>
        <v>OK</v>
      </c>
      <c r="AQ1028" s="6" t="e">
        <f>MATCH($D1028,'D4 - Provider Council Unsched'!$C$11:$C$234,0)</f>
        <v>#N/A</v>
      </c>
      <c r="AR1028" s="6" t="b">
        <f t="shared" si="91"/>
        <v>1</v>
      </c>
      <c r="AS1028" s="6" t="str">
        <f t="shared" si="94"/>
        <v>OK</v>
      </c>
      <c r="AU1028" s="202"/>
      <c r="AV1028" s="262"/>
      <c r="AW1028" s="274"/>
    </row>
    <row r="1029" spans="1:49" s="13" customFormat="1" ht="33.75" x14ac:dyDescent="0.2">
      <c r="A1029" s="14">
        <v>1005</v>
      </c>
      <c r="B1029" s="14">
        <v>400017623</v>
      </c>
      <c r="C1029" s="8" t="s">
        <v>5227</v>
      </c>
      <c r="D1029" s="4" t="str">
        <f t="shared" si="92"/>
        <v>400017623CC10</v>
      </c>
      <c r="E1029" s="309" t="str">
        <f>VLOOKUP($B1029,'D7 - NDB Impacted SPRF''s'!$E$6:$O$9929,2,FALSE)</f>
        <v>Alliance - DDS Recon - UP Source to Partner Target</v>
      </c>
      <c r="F1029" s="8" t="s">
        <v>5196</v>
      </c>
      <c r="G1029" s="8" t="s">
        <v>4758</v>
      </c>
      <c r="H1029" s="8" t="s">
        <v>4246</v>
      </c>
      <c r="I1029" s="20">
        <v>150</v>
      </c>
      <c r="J1029" s="8" t="s">
        <v>4862</v>
      </c>
      <c r="K1029" s="182">
        <v>39858</v>
      </c>
      <c r="L1029" s="8" t="s">
        <v>4156</v>
      </c>
      <c r="M1029" s="8" t="s">
        <v>6688</v>
      </c>
      <c r="N1029" s="38"/>
      <c r="O1029" s="8" t="s">
        <v>2547</v>
      </c>
      <c r="P1029" s="4" t="str">
        <f>VLOOKUP($B1029,'D7 - NDB Impacted SPRF''s'!$E$16:$O$9929,9,FALSE)</f>
        <v>Y</v>
      </c>
      <c r="Q1029" s="4" t="str">
        <f>VLOOKUP($B1029,'D7 - NDB Impacted SPRF''s'!$E$16:$O$9929,10,FALSE)</f>
        <v>N</v>
      </c>
      <c r="R1029" s="4" t="str">
        <f>VLOOKUP($B1029,'D7 - NDB Impacted SPRF''s'!$E$16:$O$9929,11,FALSE)</f>
        <v>N</v>
      </c>
      <c r="S1029" s="8"/>
      <c r="T1029" s="310"/>
      <c r="U1029" s="310"/>
      <c r="V1029" s="4"/>
      <c r="W1029" s="4"/>
      <c r="X1029" s="4"/>
      <c r="Y1029" s="4"/>
      <c r="Z1029" s="4"/>
      <c r="AA1029" s="4"/>
      <c r="AB1029" s="380" t="str">
        <f>VLOOKUP($B1029,'D7 - NDB Impacted SPRF''s'!$E$16:$O$9929,4,FALSE)</f>
        <v>Completed</v>
      </c>
      <c r="AC1029" s="380" t="str">
        <f>VLOOKUP($B1029,'D7 - NDB Impacted SPRF''s'!$E$16:$O$9929,3,FALSE)</f>
        <v>UnitedHealthcare Employer &amp; Individual</v>
      </c>
      <c r="AD1029" s="380" t="str">
        <f>VLOOKUP($B1029,'D7 - NDB Impacted SPRF''s'!$E$16:$O$9929,5,FALSE)</f>
        <v>Healthcare Service Alliance</v>
      </c>
      <c r="AE1029" s="380" t="str">
        <f>VLOOKUP($B1029,'D7 - NDB Impacted SPRF''s'!$E$16:$O$9929,7,FALSE)</f>
        <v>Diane Schofield</v>
      </c>
      <c r="AF1029" s="380" t="str">
        <f>VLOOKUP($B1029,'D7 - NDB Impacted SPRF''s'!$E$16:$O$9929,6,FALSE)</f>
        <v>DECEMBER WALKER</v>
      </c>
      <c r="AG1029" s="282"/>
      <c r="AH1029" s="311" t="e">
        <f>INDEX('D5 - Gatekeeper - Projects'!$A$4:$AF$1010,$AM1029, 17)</f>
        <v>#N/A</v>
      </c>
      <c r="AI1029" s="8"/>
      <c r="AJ1029" s="57"/>
      <c r="AK1029" s="105"/>
      <c r="AM1029" s="6" t="e">
        <f>MATCH(D1029,'D5 - Gatekeeper - Projects'!$C$4:$C$1010,0)</f>
        <v>#N/A</v>
      </c>
      <c r="AN1029" s="6" t="b">
        <f t="shared" si="90"/>
        <v>1</v>
      </c>
      <c r="AO1029" s="6" t="str">
        <f t="shared" si="93"/>
        <v>OK</v>
      </c>
      <c r="AQ1029" s="6" t="e">
        <f>MATCH($D1029,'D4 - Provider Council Unsched'!$C$11:$C$234,0)</f>
        <v>#N/A</v>
      </c>
      <c r="AR1029" s="6" t="b">
        <f t="shared" si="91"/>
        <v>1</v>
      </c>
      <c r="AS1029" s="6" t="str">
        <f t="shared" si="94"/>
        <v>OK</v>
      </c>
      <c r="AU1029" s="202"/>
      <c r="AV1029" s="262"/>
      <c r="AW1029" s="274"/>
    </row>
    <row r="1030" spans="1:49" s="13" customFormat="1" ht="33.75" x14ac:dyDescent="0.2">
      <c r="A1030" s="14">
        <v>1006</v>
      </c>
      <c r="B1030" s="14">
        <v>400018770</v>
      </c>
      <c r="C1030" s="8" t="s">
        <v>5197</v>
      </c>
      <c r="D1030" s="4" t="str">
        <f t="shared" si="92"/>
        <v>400018770R1</v>
      </c>
      <c r="E1030" s="309" t="str">
        <f>VLOOKUP($B1030,'D7 - NDB Impacted SPRF''s'!$E$6:$O$9929,2,FALSE)</f>
        <v>UHCOnline Product Consistency w/ ID cards - COSMOS</v>
      </c>
      <c r="F1030" s="8" t="s">
        <v>2114</v>
      </c>
      <c r="G1030" s="8" t="s">
        <v>4758</v>
      </c>
      <c r="H1030" s="8" t="s">
        <v>4246</v>
      </c>
      <c r="I1030" s="20">
        <v>1.0900000000000001</v>
      </c>
      <c r="J1030" s="8" t="s">
        <v>4862</v>
      </c>
      <c r="K1030" s="182">
        <v>39858</v>
      </c>
      <c r="L1030" s="8" t="s">
        <v>4156</v>
      </c>
      <c r="M1030" s="8" t="s">
        <v>6688</v>
      </c>
      <c r="N1030" s="38" t="s">
        <v>4524</v>
      </c>
      <c r="O1030" s="8"/>
      <c r="P1030" s="4" t="str">
        <f>VLOOKUP($B1030,'D7 - NDB Impacted SPRF''s'!$E$16:$O$9929,9,FALSE)</f>
        <v>N</v>
      </c>
      <c r="Q1030" s="4" t="str">
        <f>VLOOKUP($B1030,'D7 - NDB Impacted SPRF''s'!$E$16:$O$9929,10,FALSE)</f>
        <v>N</v>
      </c>
      <c r="R1030" s="4" t="str">
        <f>VLOOKUP($B1030,'D7 - NDB Impacted SPRF''s'!$E$16:$O$9929,11,FALSE)</f>
        <v>N</v>
      </c>
      <c r="S1030" s="8"/>
      <c r="T1030" s="310"/>
      <c r="U1030" s="310"/>
      <c r="V1030" s="4"/>
      <c r="W1030" s="4"/>
      <c r="X1030" s="4"/>
      <c r="Y1030" s="4"/>
      <c r="Z1030" s="4"/>
      <c r="AA1030" s="4"/>
      <c r="AB1030" s="380" t="str">
        <f>VLOOKUP($B1030,'D7 - NDB Impacted SPRF''s'!$E$16:$O$9929,4,FALSE)</f>
        <v>Completed</v>
      </c>
      <c r="AC1030" s="380" t="str">
        <f>VLOOKUP($B1030,'D7 - NDB Impacted SPRF''s'!$E$16:$O$9929,3,FALSE)</f>
        <v>UnitedHealthcare Medicare &amp; Retirement</v>
      </c>
      <c r="AD1030" s="380" t="str">
        <f>VLOOKUP($B1030,'D7 - NDB Impacted SPRF''s'!$E$16:$O$9929,5,FALSE)</f>
        <v>Operations</v>
      </c>
      <c r="AE1030" s="380" t="str">
        <f>VLOOKUP($B1030,'D7 - NDB Impacted SPRF''s'!$E$16:$O$9929,7,FALSE)</f>
        <v>TBD</v>
      </c>
      <c r="AF1030" s="380" t="str">
        <f>VLOOKUP($B1030,'D7 - NDB Impacted SPRF''s'!$E$16:$O$9929,6,FALSE)</f>
        <v>Jai Narayanan</v>
      </c>
      <c r="AG1030" s="282"/>
      <c r="AH1030" s="311" t="e">
        <f>INDEX('D5 - Gatekeeper - Projects'!$A$4:$AF$1010,$AM1030, 17)</f>
        <v>#N/A</v>
      </c>
      <c r="AI1030" s="8"/>
      <c r="AJ1030" s="57"/>
      <c r="AK1030" s="105"/>
      <c r="AM1030" s="6" t="e">
        <f>MATCH(D1030,'D5 - Gatekeeper - Projects'!$C$4:$C$1010,0)</f>
        <v>#N/A</v>
      </c>
      <c r="AN1030" s="6" t="b">
        <f t="shared" si="90"/>
        <v>1</v>
      </c>
      <c r="AO1030" s="6" t="str">
        <f t="shared" si="93"/>
        <v>OK</v>
      </c>
      <c r="AQ1030" s="6" t="e">
        <f>MATCH($D1030,'D4 - Provider Council Unsched'!$C$11:$C$234,0)</f>
        <v>#N/A</v>
      </c>
      <c r="AR1030" s="6" t="b">
        <f t="shared" si="91"/>
        <v>1</v>
      </c>
      <c r="AS1030" s="6" t="str">
        <f t="shared" si="94"/>
        <v>OK</v>
      </c>
      <c r="AU1030" s="202"/>
      <c r="AV1030" s="262"/>
      <c r="AW1030" s="274"/>
    </row>
    <row r="1031" spans="1:49" s="13" customFormat="1" ht="33.75" x14ac:dyDescent="0.2">
      <c r="A1031" s="14">
        <v>1007</v>
      </c>
      <c r="B1031" s="14">
        <v>400019600</v>
      </c>
      <c r="C1031" s="8" t="s">
        <v>4926</v>
      </c>
      <c r="D1031" s="4" t="str">
        <f t="shared" si="92"/>
        <v>400019600R4</v>
      </c>
      <c r="E1031" s="309" t="str">
        <f>VLOOKUP($B1031,'D7 - NDB Impacted SPRF''s'!$E$6:$O$9929,2,FALSE)</f>
        <v>PHS Work Package 1 Release 1 - Install and Admin</v>
      </c>
      <c r="F1031" s="8" t="s">
        <v>4384</v>
      </c>
      <c r="G1031" s="8" t="s">
        <v>4758</v>
      </c>
      <c r="H1031" s="8" t="s">
        <v>4246</v>
      </c>
      <c r="I1031" s="20"/>
      <c r="J1031" s="8" t="s">
        <v>4862</v>
      </c>
      <c r="K1031" s="182">
        <v>39858</v>
      </c>
      <c r="L1031" s="8" t="s">
        <v>5743</v>
      </c>
      <c r="M1031" s="8" t="s">
        <v>4850</v>
      </c>
      <c r="N1031" s="38"/>
      <c r="O1031" s="8" t="s">
        <v>2547</v>
      </c>
      <c r="P1031" s="4" t="str">
        <f>VLOOKUP($B1031,'D7 - NDB Impacted SPRF''s'!$E$16:$O$9929,9,FALSE)</f>
        <v>Y</v>
      </c>
      <c r="Q1031" s="4" t="str">
        <f>VLOOKUP($B1031,'D7 - NDB Impacted SPRF''s'!$E$16:$O$9929,10,FALSE)</f>
        <v>N</v>
      </c>
      <c r="R1031" s="4" t="str">
        <f>VLOOKUP($B1031,'D7 - NDB Impacted SPRF''s'!$E$16:$O$9929,11,FALSE)</f>
        <v>N</v>
      </c>
      <c r="S1031" s="8"/>
      <c r="T1031" s="310"/>
      <c r="U1031" s="310"/>
      <c r="V1031" s="4"/>
      <c r="W1031" s="4"/>
      <c r="X1031" s="4"/>
      <c r="Y1031" s="4"/>
      <c r="Z1031" s="4"/>
      <c r="AA1031" s="4"/>
      <c r="AB1031" s="380" t="str">
        <f>VLOOKUP($B1031,'D7 - NDB Impacted SPRF''s'!$E$16:$O$9929,4,FALSE)</f>
        <v>Completed</v>
      </c>
      <c r="AC1031" s="380" t="str">
        <f>VLOOKUP($B1031,'D7 - NDB Impacted SPRF''s'!$E$16:$O$9929,3,FALSE)</f>
        <v>UnitedHealthcare Employer &amp; Individual</v>
      </c>
      <c r="AD1031" s="380" t="str">
        <f>VLOOKUP($B1031,'D7 - NDB Impacted SPRF''s'!$E$16:$O$9929,5,FALSE)</f>
        <v>Integration Requirements</v>
      </c>
      <c r="AE1031" s="380" t="str">
        <f>VLOOKUP($B1031,'D7 - NDB Impacted SPRF''s'!$E$16:$O$9929,7,FALSE)</f>
        <v>Diane Schofield</v>
      </c>
      <c r="AF1031" s="380" t="str">
        <f>VLOOKUP($B1031,'D7 - NDB Impacted SPRF''s'!$E$16:$O$9929,6,FALSE)</f>
        <v>Rebecca Gent</v>
      </c>
      <c r="AG1031" s="282"/>
      <c r="AH1031" s="311" t="e">
        <f>INDEX('D5 - Gatekeeper - Projects'!$A$4:$AF$1010,$AM1031, 17)</f>
        <v>#N/A</v>
      </c>
      <c r="AI1031" s="8"/>
      <c r="AJ1031" s="57"/>
      <c r="AK1031" s="105"/>
      <c r="AM1031" s="6" t="e">
        <f>MATCH(D1031,'D5 - Gatekeeper - Projects'!$C$4:$C$1010,0)</f>
        <v>#N/A</v>
      </c>
      <c r="AN1031" s="6" t="b">
        <f t="shared" si="90"/>
        <v>1</v>
      </c>
      <c r="AO1031" s="6" t="str">
        <f t="shared" si="93"/>
        <v>OK</v>
      </c>
      <c r="AQ1031" s="6" t="e">
        <f>MATCH($D1031,'D4 - Provider Council Unsched'!$C$11:$C$234,0)</f>
        <v>#N/A</v>
      </c>
      <c r="AR1031" s="6" t="b">
        <f t="shared" si="91"/>
        <v>1</v>
      </c>
      <c r="AS1031" s="6" t="str">
        <f t="shared" si="94"/>
        <v>OK</v>
      </c>
      <c r="AU1031" s="202"/>
      <c r="AV1031" s="262"/>
      <c r="AW1031" s="274"/>
    </row>
    <row r="1032" spans="1:49" s="13" customFormat="1" ht="33.75" x14ac:dyDescent="0.2">
      <c r="A1032" s="14">
        <v>1008</v>
      </c>
      <c r="B1032" s="14">
        <v>400020538</v>
      </c>
      <c r="C1032" s="8" t="s">
        <v>5197</v>
      </c>
      <c r="D1032" s="4" t="str">
        <f t="shared" si="92"/>
        <v>400020538R1</v>
      </c>
      <c r="E1032" s="309" t="str">
        <f>VLOOKUP($B1032,'D7 - NDB Impacted SPRF''s'!$E$6:$O$9929,2,FALSE)</f>
        <v>HEDIS 2008 Board Certification and Turnover Report</v>
      </c>
      <c r="F1032" s="8" t="s">
        <v>4471</v>
      </c>
      <c r="G1032" s="8" t="s">
        <v>4758</v>
      </c>
      <c r="H1032" s="8" t="s">
        <v>4246</v>
      </c>
      <c r="I1032" s="20">
        <v>6.12</v>
      </c>
      <c r="J1032" s="8" t="s">
        <v>4862</v>
      </c>
      <c r="K1032" s="182">
        <v>39858</v>
      </c>
      <c r="L1032" s="8" t="s">
        <v>5743</v>
      </c>
      <c r="M1032" s="8" t="s">
        <v>2814</v>
      </c>
      <c r="N1032" s="38"/>
      <c r="O1032" s="8" t="s">
        <v>4599</v>
      </c>
      <c r="P1032" s="4" t="str">
        <f>VLOOKUP($B1032,'D7 - NDB Impacted SPRF''s'!$E$16:$O$9929,9,FALSE)</f>
        <v>N</v>
      </c>
      <c r="Q1032" s="4" t="str">
        <f>VLOOKUP($B1032,'D7 - NDB Impacted SPRF''s'!$E$16:$O$9929,10,FALSE)</f>
        <v>N</v>
      </c>
      <c r="R1032" s="4" t="str">
        <f>VLOOKUP($B1032,'D7 - NDB Impacted SPRF''s'!$E$16:$O$9929,11,FALSE)</f>
        <v>N</v>
      </c>
      <c r="S1032" s="8"/>
      <c r="T1032" s="310"/>
      <c r="U1032" s="310"/>
      <c r="V1032" s="4"/>
      <c r="W1032" s="4"/>
      <c r="X1032" s="4"/>
      <c r="Y1032" s="4"/>
      <c r="Z1032" s="4"/>
      <c r="AA1032" s="4"/>
      <c r="AB1032" s="380" t="str">
        <f>VLOOKUP($B1032,'D7 - NDB Impacted SPRF''s'!$E$16:$O$9929,4,FALSE)</f>
        <v>Completed</v>
      </c>
      <c r="AC1032" s="380" t="str">
        <f>VLOOKUP($B1032,'D7 - NDB Impacted SPRF''s'!$E$16:$O$9929,3,FALSE)</f>
        <v>UnitedHealthcare Employer &amp; Individual</v>
      </c>
      <c r="AD1032" s="380" t="str">
        <f>VLOOKUP($B1032,'D7 - NDB Impacted SPRF''s'!$E$16:$O$9929,5,FALSE)</f>
        <v>Operational Requirements</v>
      </c>
      <c r="AE1032" s="380" t="str">
        <f>VLOOKUP($B1032,'D7 - NDB Impacted SPRF''s'!$E$16:$O$9929,7,FALSE)</f>
        <v>Michael Curran</v>
      </c>
      <c r="AF1032" s="380" t="str">
        <f>VLOOKUP($B1032,'D7 - NDB Impacted SPRF''s'!$E$16:$O$9929,6,FALSE)</f>
        <v>Bertram Janet</v>
      </c>
      <c r="AG1032" s="282"/>
      <c r="AH1032" s="311" t="e">
        <f>INDEX('D5 - Gatekeeper - Projects'!$A$4:$AF$1010,$AM1032, 17)</f>
        <v>#N/A</v>
      </c>
      <c r="AI1032" s="8"/>
      <c r="AJ1032" s="57"/>
      <c r="AK1032" s="105"/>
      <c r="AM1032" s="6" t="e">
        <f>MATCH(D1032,'D5 - Gatekeeper - Projects'!$C$4:$C$1010,0)</f>
        <v>#N/A</v>
      </c>
      <c r="AN1032" s="6" t="b">
        <f t="shared" si="90"/>
        <v>1</v>
      </c>
      <c r="AO1032" s="6" t="str">
        <f t="shared" si="93"/>
        <v>OK</v>
      </c>
      <c r="AQ1032" s="6" t="e">
        <f>MATCH($D1032,'D4 - Provider Council Unsched'!$C$11:$C$234,0)</f>
        <v>#N/A</v>
      </c>
      <c r="AR1032" s="6" t="b">
        <f t="shared" si="91"/>
        <v>1</v>
      </c>
      <c r="AS1032" s="6" t="str">
        <f t="shared" si="94"/>
        <v>OK</v>
      </c>
      <c r="AU1032" s="202"/>
      <c r="AV1032" s="262"/>
      <c r="AW1032" s="274"/>
    </row>
    <row r="1033" spans="1:49" s="13" customFormat="1" ht="33.75" x14ac:dyDescent="0.2">
      <c r="A1033" s="14">
        <v>1009</v>
      </c>
      <c r="B1033" s="14">
        <v>400020808</v>
      </c>
      <c r="C1033" s="8" t="s">
        <v>5197</v>
      </c>
      <c r="D1033" s="4" t="str">
        <f t="shared" si="92"/>
        <v>400020808R1</v>
      </c>
      <c r="E1033" s="309" t="str">
        <f>VLOOKUP($B1033,'D7 - NDB Impacted SPRF''s'!$E$6:$O$9929,2,FALSE)</f>
        <v>PHS Partner Certification Test (NICE/Tops) WP1</v>
      </c>
      <c r="F1033" s="8" t="s">
        <v>6071</v>
      </c>
      <c r="G1033" s="8" t="s">
        <v>4758</v>
      </c>
      <c r="H1033" s="8" t="s">
        <v>4246</v>
      </c>
      <c r="I1033" s="20">
        <v>1.07</v>
      </c>
      <c r="J1033" s="8" t="s">
        <v>4862</v>
      </c>
      <c r="K1033" s="182">
        <v>39858</v>
      </c>
      <c r="L1033" s="8" t="s">
        <v>5743</v>
      </c>
      <c r="M1033" s="8" t="s">
        <v>4850</v>
      </c>
      <c r="N1033" s="38"/>
      <c r="O1033" s="8" t="s">
        <v>2000</v>
      </c>
      <c r="P1033" s="4" t="str">
        <f>VLOOKUP($B1033,'D7 - NDB Impacted SPRF''s'!$E$16:$O$9929,9,FALSE)</f>
        <v>Y</v>
      </c>
      <c r="Q1033" s="4" t="str">
        <f>VLOOKUP($B1033,'D7 - NDB Impacted SPRF''s'!$E$16:$O$9929,10,FALSE)</f>
        <v>N</v>
      </c>
      <c r="R1033" s="4" t="str">
        <f>VLOOKUP($B1033,'D7 - NDB Impacted SPRF''s'!$E$16:$O$9929,11,FALSE)</f>
        <v>N</v>
      </c>
      <c r="S1033" s="8"/>
      <c r="T1033" s="310"/>
      <c r="U1033" s="310"/>
      <c r="V1033" s="4"/>
      <c r="W1033" s="4"/>
      <c r="X1033" s="4"/>
      <c r="Y1033" s="4"/>
      <c r="Z1033" s="4"/>
      <c r="AA1033" s="4"/>
      <c r="AB1033" s="380" t="str">
        <f>VLOOKUP($B1033,'D7 - NDB Impacted SPRF''s'!$E$16:$O$9929,4,FALSE)</f>
        <v>Completed</v>
      </c>
      <c r="AC1033" s="380" t="str">
        <f>VLOOKUP($B1033,'D7 - NDB Impacted SPRF''s'!$E$16:$O$9929,3,FALSE)</f>
        <v>UnitedHealthcare Employer &amp; Individual</v>
      </c>
      <c r="AD1033" s="380" t="str">
        <f>VLOOKUP($B1033,'D7 - NDB Impacted SPRF''s'!$E$16:$O$9929,5,FALSE)</f>
        <v>Integration Requirements</v>
      </c>
      <c r="AE1033" s="380" t="str">
        <f>VLOOKUP($B1033,'D7 - NDB Impacted SPRF''s'!$E$16:$O$9929,7,FALSE)</f>
        <v>Diane Schofield</v>
      </c>
      <c r="AF1033" s="380" t="str">
        <f>VLOOKUP($B1033,'D7 - NDB Impacted SPRF''s'!$E$16:$O$9929,6,FALSE)</f>
        <v>Cindy Griggs</v>
      </c>
      <c r="AG1033" s="282"/>
      <c r="AH1033" s="311" t="e">
        <f>INDEX('D5 - Gatekeeper - Projects'!$A$4:$AF$1010,$AM1033, 17)</f>
        <v>#N/A</v>
      </c>
      <c r="AI1033" s="8"/>
      <c r="AJ1033" s="57"/>
      <c r="AK1033" s="105"/>
      <c r="AM1033" s="6" t="e">
        <f>MATCH(D1033,'D5 - Gatekeeper - Projects'!$C$4:$C$1010,0)</f>
        <v>#N/A</v>
      </c>
      <c r="AN1033" s="6" t="b">
        <f t="shared" si="90"/>
        <v>1</v>
      </c>
      <c r="AO1033" s="6" t="str">
        <f t="shared" si="93"/>
        <v>OK</v>
      </c>
      <c r="AQ1033" s="6" t="e">
        <f>MATCH($D1033,'D4 - Provider Council Unsched'!$C$11:$C$234,0)</f>
        <v>#N/A</v>
      </c>
      <c r="AR1033" s="6" t="b">
        <f t="shared" si="91"/>
        <v>1</v>
      </c>
      <c r="AS1033" s="6" t="str">
        <f t="shared" si="94"/>
        <v>OK</v>
      </c>
      <c r="AU1033" s="202"/>
      <c r="AV1033" s="262"/>
      <c r="AW1033" s="274"/>
    </row>
    <row r="1034" spans="1:49" s="13" customFormat="1" ht="33.75" x14ac:dyDescent="0.2">
      <c r="A1034" s="14">
        <v>1010</v>
      </c>
      <c r="B1034" s="14">
        <v>400023707</v>
      </c>
      <c r="C1034" s="8" t="s">
        <v>5197</v>
      </c>
      <c r="D1034" s="4" t="str">
        <f t="shared" si="92"/>
        <v>400023707R1</v>
      </c>
      <c r="E1034" s="309" t="str">
        <f>VLOOKUP($B1034,'D7 - NDB Impacted SPRF''s'!$E$6:$O$9929,2,FALSE)</f>
        <v>ISET Release 3</v>
      </c>
      <c r="F1034" s="8" t="s">
        <v>2114</v>
      </c>
      <c r="G1034" s="8" t="s">
        <v>4758</v>
      </c>
      <c r="H1034" s="8" t="s">
        <v>4246</v>
      </c>
      <c r="I1034" s="20">
        <v>1.07</v>
      </c>
      <c r="J1034" s="8" t="s">
        <v>4862</v>
      </c>
      <c r="K1034" s="182">
        <v>39858</v>
      </c>
      <c r="L1034" s="8" t="s">
        <v>5743</v>
      </c>
      <c r="M1034" s="8" t="s">
        <v>4850</v>
      </c>
      <c r="N1034" s="38" t="s">
        <v>7646</v>
      </c>
      <c r="O1034" s="8" t="s">
        <v>2000</v>
      </c>
      <c r="P1034" s="4" t="str">
        <f>VLOOKUP($B1034,'D7 - NDB Impacted SPRF''s'!$E$16:$O$9929,9,FALSE)</f>
        <v>Y</v>
      </c>
      <c r="Q1034" s="4" t="str">
        <f>VLOOKUP($B1034,'D7 - NDB Impacted SPRF''s'!$E$16:$O$9929,10,FALSE)</f>
        <v>N</v>
      </c>
      <c r="R1034" s="4" t="str">
        <f>VLOOKUP($B1034,'D7 - NDB Impacted SPRF''s'!$E$16:$O$9929,11,FALSE)</f>
        <v>N</v>
      </c>
      <c r="S1034" s="8"/>
      <c r="T1034" s="310"/>
      <c r="U1034" s="310"/>
      <c r="V1034" s="4"/>
      <c r="W1034" s="4"/>
      <c r="X1034" s="4"/>
      <c r="Y1034" s="4"/>
      <c r="Z1034" s="4"/>
      <c r="AA1034" s="4"/>
      <c r="AB1034" s="380" t="str">
        <f>VLOOKUP($B1034,'D7 - NDB Impacted SPRF''s'!$E$16:$O$9929,4,FALSE)</f>
        <v>Completed</v>
      </c>
      <c r="AC1034" s="380" t="str">
        <f>VLOOKUP($B1034,'D7 - NDB Impacted SPRF''s'!$E$16:$O$9929,3,FALSE)</f>
        <v>UnitedHealthcare Employer &amp; Individual</v>
      </c>
      <c r="AD1034" s="380" t="str">
        <f>VLOOKUP($B1034,'D7 - NDB Impacted SPRF''s'!$E$16:$O$9929,5,FALSE)</f>
        <v>Membership Growth / Revenue Programs</v>
      </c>
      <c r="AE1034" s="380" t="str">
        <f>VLOOKUP($B1034,'D7 - NDB Impacted SPRF''s'!$E$16:$O$9929,7,FALSE)</f>
        <v>Ellyn Hosch</v>
      </c>
      <c r="AF1034" s="380" t="str">
        <f>VLOOKUP($B1034,'D7 - NDB Impacted SPRF''s'!$E$16:$O$9929,6,FALSE)</f>
        <v>Joseph Dwyer</v>
      </c>
      <c r="AG1034" s="282"/>
      <c r="AH1034" s="311" t="e">
        <f>INDEX('D5 - Gatekeeper - Projects'!$A$4:$AF$1010,$AM1034, 17)</f>
        <v>#N/A</v>
      </c>
      <c r="AI1034" s="8"/>
      <c r="AJ1034" s="57"/>
      <c r="AK1034" s="105"/>
      <c r="AM1034" s="6" t="e">
        <f>MATCH(D1034,'D5 - Gatekeeper - Projects'!$C$4:$C$1010,0)</f>
        <v>#N/A</v>
      </c>
      <c r="AN1034" s="6" t="b">
        <f t="shared" si="90"/>
        <v>1</v>
      </c>
      <c r="AO1034" s="6" t="str">
        <f t="shared" si="93"/>
        <v>OK</v>
      </c>
      <c r="AQ1034" s="6" t="e">
        <f>MATCH($D1034,'D4 - Provider Council Unsched'!$C$11:$C$234,0)</f>
        <v>#N/A</v>
      </c>
      <c r="AR1034" s="6" t="b">
        <f t="shared" si="91"/>
        <v>1</v>
      </c>
      <c r="AS1034" s="6" t="str">
        <f t="shared" si="94"/>
        <v>OK</v>
      </c>
      <c r="AU1034" s="202"/>
      <c r="AV1034" s="262"/>
      <c r="AW1034" s="274"/>
    </row>
    <row r="1035" spans="1:49" s="13" customFormat="1" ht="33.75" x14ac:dyDescent="0.2">
      <c r="A1035" s="14">
        <v>1011</v>
      </c>
      <c r="B1035" s="14">
        <v>400024127</v>
      </c>
      <c r="C1035" s="8" t="s">
        <v>2932</v>
      </c>
      <c r="D1035" s="4" t="str">
        <f t="shared" si="92"/>
        <v>400024127CC27</v>
      </c>
      <c r="E1035" s="309" t="str">
        <f>VLOOKUP($B1035,'D7 - NDB Impacted SPRF''s'!$E$6:$O$9929,2,FALSE)</f>
        <v>POA (Present on Admission</v>
      </c>
      <c r="F1035" s="8" t="s">
        <v>7955</v>
      </c>
      <c r="G1035" s="8" t="s">
        <v>4758</v>
      </c>
      <c r="H1035" s="8" t="s">
        <v>4246</v>
      </c>
      <c r="I1035" s="20"/>
      <c r="J1035" s="8" t="s">
        <v>4862</v>
      </c>
      <c r="K1035" s="182">
        <v>39858</v>
      </c>
      <c r="L1035" s="8" t="s">
        <v>5743</v>
      </c>
      <c r="M1035" s="8" t="s">
        <v>6688</v>
      </c>
      <c r="N1035" s="38"/>
      <c r="O1035" s="8"/>
      <c r="P1035" s="4" t="str">
        <f>VLOOKUP($B1035,'D7 - NDB Impacted SPRF''s'!$E$16:$O$9929,9,FALSE)</f>
        <v>Y</v>
      </c>
      <c r="Q1035" s="4" t="str">
        <f>VLOOKUP($B1035,'D7 - NDB Impacted SPRF''s'!$E$16:$O$9929,10,FALSE)</f>
        <v>N</v>
      </c>
      <c r="R1035" s="4" t="str">
        <f>VLOOKUP($B1035,'D7 - NDB Impacted SPRF''s'!$E$16:$O$9929,11,FALSE)</f>
        <v>Y</v>
      </c>
      <c r="S1035" s="8"/>
      <c r="T1035" s="310"/>
      <c r="U1035" s="310"/>
      <c r="V1035" s="4"/>
      <c r="W1035" s="4"/>
      <c r="X1035" s="4"/>
      <c r="Y1035" s="4"/>
      <c r="Z1035" s="4"/>
      <c r="AA1035" s="4"/>
      <c r="AB1035" s="380" t="str">
        <f>VLOOKUP($B1035,'D7 - NDB Impacted SPRF''s'!$E$16:$O$9929,4,FALSE)</f>
        <v>Completed</v>
      </c>
      <c r="AC1035" s="380" t="str">
        <f>VLOOKUP($B1035,'D7 - NDB Impacted SPRF''s'!$E$16:$O$9929,3,FALSE)</f>
        <v>UnitedHealthcare Employer &amp; Individual</v>
      </c>
      <c r="AD1035" s="380" t="str">
        <f>VLOOKUP($B1035,'D7 - NDB Impacted SPRF''s'!$E$16:$O$9929,5,FALSE)</f>
        <v>Regulatory / Other</v>
      </c>
      <c r="AE1035" s="380" t="str">
        <f>VLOOKUP($B1035,'D7 - NDB Impacted SPRF''s'!$E$16:$O$9929,7,FALSE)</f>
        <v>Jill Foucre</v>
      </c>
      <c r="AF1035" s="380" t="str">
        <f>VLOOKUP($B1035,'D7 - NDB Impacted SPRF''s'!$E$16:$O$9929,6,FALSE)</f>
        <v>Suzanne Smith</v>
      </c>
      <c r="AG1035" s="282"/>
      <c r="AH1035" s="311" t="e">
        <f>INDEX('D5 - Gatekeeper - Projects'!$A$4:$AF$1010,$AM1035, 17)</f>
        <v>#N/A</v>
      </c>
      <c r="AI1035" s="8"/>
      <c r="AJ1035" s="57"/>
      <c r="AK1035" s="105"/>
      <c r="AM1035" s="6" t="e">
        <f>MATCH(D1035,'D5 - Gatekeeper - Projects'!$C$4:$C$1010,0)</f>
        <v>#N/A</v>
      </c>
      <c r="AN1035" s="6" t="b">
        <f t="shared" si="90"/>
        <v>1</v>
      </c>
      <c r="AO1035" s="6" t="str">
        <f t="shared" si="93"/>
        <v>OK</v>
      </c>
      <c r="AQ1035" s="6" t="e">
        <f>MATCH($D1035,'D4 - Provider Council Unsched'!$C$11:$C$234,0)</f>
        <v>#N/A</v>
      </c>
      <c r="AR1035" s="6" t="b">
        <f t="shared" si="91"/>
        <v>1</v>
      </c>
      <c r="AS1035" s="6" t="str">
        <f>IF(AND(H1035="2 - Not Scheduled",AR1035=TRUE,C1035="R1"),"Add","OK")</f>
        <v>OK</v>
      </c>
      <c r="AU1035" s="202"/>
      <c r="AV1035" s="262"/>
      <c r="AW1035" s="274"/>
    </row>
    <row r="1036" spans="1:49" s="13" customFormat="1" ht="33.75" x14ac:dyDescent="0.2">
      <c r="A1036" s="14">
        <v>1012</v>
      </c>
      <c r="B1036" s="14">
        <v>400026294</v>
      </c>
      <c r="C1036" s="8" t="s">
        <v>5197</v>
      </c>
      <c r="D1036" s="4" t="str">
        <f t="shared" si="92"/>
        <v>400026294R1</v>
      </c>
      <c r="E1036" s="309" t="str">
        <f>VLOOKUP($B1036,'D7 - NDB Impacted SPRF''s'!$E$6:$O$9929,2,FALSE)</f>
        <v>Medica Web Services Incentive</v>
      </c>
      <c r="F1036" s="8" t="s">
        <v>3884</v>
      </c>
      <c r="G1036" s="8" t="s">
        <v>4758</v>
      </c>
      <c r="H1036" s="8" t="s">
        <v>4246</v>
      </c>
      <c r="I1036" s="20">
        <v>1.07</v>
      </c>
      <c r="J1036" s="8" t="s">
        <v>4862</v>
      </c>
      <c r="K1036" s="182">
        <v>39858</v>
      </c>
      <c r="L1036" s="8" t="s">
        <v>5743</v>
      </c>
      <c r="M1036" s="8" t="s">
        <v>4850</v>
      </c>
      <c r="N1036" s="38"/>
      <c r="O1036" s="8"/>
      <c r="P1036" s="4" t="str">
        <f>VLOOKUP($B1036,'D7 - NDB Impacted SPRF''s'!$E$16:$O$9929,9,FALSE)</f>
        <v>N</v>
      </c>
      <c r="Q1036" s="4" t="str">
        <f>VLOOKUP($B1036,'D7 - NDB Impacted SPRF''s'!$E$16:$O$9929,10,FALSE)</f>
        <v>N</v>
      </c>
      <c r="R1036" s="4" t="str">
        <f>VLOOKUP($B1036,'D7 - NDB Impacted SPRF''s'!$E$16:$O$9929,11,FALSE)</f>
        <v>N</v>
      </c>
      <c r="S1036" s="8"/>
      <c r="T1036" s="310"/>
      <c r="U1036" s="310"/>
      <c r="V1036" s="4"/>
      <c r="W1036" s="4"/>
      <c r="X1036" s="4"/>
      <c r="Y1036" s="4"/>
      <c r="Z1036" s="4"/>
      <c r="AA1036" s="4"/>
      <c r="AB1036" s="380" t="str">
        <f>VLOOKUP($B1036,'D7 - NDB Impacted SPRF''s'!$E$16:$O$9929,4,FALSE)</f>
        <v>Completed</v>
      </c>
      <c r="AC1036" s="380" t="str">
        <f>VLOOKUP($B1036,'D7 - NDB Impacted SPRF''s'!$E$16:$O$9929,3,FALSE)</f>
        <v>UnitedHealthcare Employer &amp; Individual</v>
      </c>
      <c r="AD1036" s="380" t="str">
        <f>VLOOKUP($B1036,'D7 - NDB Impacted SPRF''s'!$E$16:$O$9929,5,FALSE)</f>
        <v>HCA - Medica Operational Support</v>
      </c>
      <c r="AE1036" s="380" t="str">
        <f>VLOOKUP($B1036,'D7 - NDB Impacted SPRF''s'!$E$16:$O$9929,7,FALSE)</f>
        <v>Tracy Berg</v>
      </c>
      <c r="AF1036" s="380" t="str">
        <f>VLOOKUP($B1036,'D7 - NDB Impacted SPRF''s'!$E$16:$O$9929,6,FALSE)</f>
        <v>Preeti Dua</v>
      </c>
      <c r="AG1036" s="282"/>
      <c r="AH1036" s="311" t="e">
        <f>INDEX('D5 - Gatekeeper - Projects'!$A$4:$AF$1010,$AM1036, 17)</f>
        <v>#N/A</v>
      </c>
      <c r="AI1036" s="8"/>
      <c r="AJ1036" s="57"/>
      <c r="AK1036" s="105"/>
      <c r="AM1036" s="6" t="e">
        <f>MATCH(D1036,'D5 - Gatekeeper - Projects'!$C$4:$C$1010,0)</f>
        <v>#N/A</v>
      </c>
      <c r="AN1036" s="6" t="b">
        <f t="shared" si="90"/>
        <v>1</v>
      </c>
      <c r="AO1036" s="6" t="str">
        <f t="shared" si="93"/>
        <v>OK</v>
      </c>
      <c r="AQ1036" s="6" t="e">
        <f>MATCH($D1036,'D4 - Provider Council Unsched'!$C$11:$C$234,0)</f>
        <v>#N/A</v>
      </c>
      <c r="AR1036" s="6" t="b">
        <f t="shared" si="91"/>
        <v>1</v>
      </c>
      <c r="AS1036" s="6" t="str">
        <f>IF(AND(H1036="2 - Not Scheduled",AR1036=TRUE),"Add","OK")</f>
        <v>OK</v>
      </c>
      <c r="AU1036" s="202"/>
      <c r="AV1036" s="262"/>
      <c r="AW1036" s="274"/>
    </row>
    <row r="1037" spans="1:49" s="13" customFormat="1" x14ac:dyDescent="0.2">
      <c r="A1037" s="14">
        <v>1013</v>
      </c>
      <c r="B1037" s="14">
        <v>400027224</v>
      </c>
      <c r="C1037" s="8" t="s">
        <v>5227</v>
      </c>
      <c r="D1037" s="4" t="str">
        <f t="shared" si="92"/>
        <v>400027224CC10</v>
      </c>
      <c r="E1037" s="309" t="str">
        <f>VLOOKUP($B1037,'D7 - NDB Impacted SPRF''s'!$E$6:$O$9929,2,FALSE)</f>
        <v>Display consumer GIC messages in UHConline</v>
      </c>
      <c r="F1037" s="8" t="s">
        <v>2114</v>
      </c>
      <c r="G1037" s="8" t="s">
        <v>4758</v>
      </c>
      <c r="H1037" s="8" t="s">
        <v>4246</v>
      </c>
      <c r="I1037" s="20">
        <v>1.07</v>
      </c>
      <c r="J1037" s="8" t="s">
        <v>4862</v>
      </c>
      <c r="K1037" s="182">
        <v>39858</v>
      </c>
      <c r="L1037" s="8" t="s">
        <v>4156</v>
      </c>
      <c r="M1037" s="8" t="s">
        <v>4850</v>
      </c>
      <c r="N1037" s="38"/>
      <c r="O1037" s="8"/>
      <c r="P1037" s="4" t="str">
        <f>VLOOKUP($B1037,'D7 - NDB Impacted SPRF''s'!$E$16:$O$9929,9,FALSE)</f>
        <v>N</v>
      </c>
      <c r="Q1037" s="4" t="str">
        <f>VLOOKUP($B1037,'D7 - NDB Impacted SPRF''s'!$E$16:$O$9929,10,FALSE)</f>
        <v>N</v>
      </c>
      <c r="R1037" s="4" t="str">
        <f>VLOOKUP($B1037,'D7 - NDB Impacted SPRF''s'!$E$16:$O$9929,11,FALSE)</f>
        <v>N</v>
      </c>
      <c r="S1037" s="8"/>
      <c r="T1037" s="310"/>
      <c r="U1037" s="310"/>
      <c r="V1037" s="4"/>
      <c r="W1037" s="4"/>
      <c r="X1037" s="4"/>
      <c r="Y1037" s="4"/>
      <c r="Z1037" s="4"/>
      <c r="AA1037" s="4"/>
      <c r="AB1037" s="380" t="str">
        <f>VLOOKUP($B1037,'D7 - NDB Impacted SPRF''s'!$E$16:$O$9929,4,FALSE)</f>
        <v>Completed</v>
      </c>
      <c r="AC1037" s="380" t="str">
        <f>VLOOKUP($B1037,'D7 - NDB Impacted SPRF''s'!$E$16:$O$9929,3,FALSE)</f>
        <v>OptumHealth</v>
      </c>
      <c r="AD1037" s="380" t="str">
        <f>VLOOKUP($B1037,'D7 - NDB Impacted SPRF''s'!$E$16:$O$9929,5,FALSE)</f>
        <v>Care Solutions</v>
      </c>
      <c r="AE1037" s="380" t="str">
        <f>VLOOKUP($B1037,'D7 - NDB Impacted SPRF''s'!$E$16:$O$9929,7,FALSE)</f>
        <v>Scott Heimes</v>
      </c>
      <c r="AF1037" s="380" t="str">
        <f>VLOOKUP($B1037,'D7 - NDB Impacted SPRF''s'!$E$16:$O$9929,6,FALSE)</f>
        <v>Gavin Sinclair</v>
      </c>
      <c r="AG1037" s="282"/>
      <c r="AH1037" s="311" t="e">
        <f>INDEX('D5 - Gatekeeper - Projects'!$A$4:$AF$1010,$AM1037, 17)</f>
        <v>#N/A</v>
      </c>
      <c r="AI1037" s="8"/>
      <c r="AJ1037" s="57"/>
      <c r="AK1037" s="105"/>
      <c r="AM1037" s="6" t="e">
        <f>MATCH(D1037,'D5 - Gatekeeper - Projects'!$C$4:$C$1010,0)</f>
        <v>#N/A</v>
      </c>
      <c r="AN1037" s="6" t="b">
        <f t="shared" si="90"/>
        <v>1</v>
      </c>
      <c r="AO1037" s="6" t="str">
        <f t="shared" si="93"/>
        <v>OK</v>
      </c>
      <c r="AQ1037" s="6" t="e">
        <f>MATCH($D1037,'D4 - Provider Council Unsched'!$C$11:$C$234,0)</f>
        <v>#N/A</v>
      </c>
      <c r="AR1037" s="6" t="b">
        <f t="shared" si="91"/>
        <v>1</v>
      </c>
      <c r="AS1037" s="6" t="str">
        <f>IF(AND(H1037="2 - Not Scheduled",AR1037=TRUE,C1037="R1"),"Add","OK")</f>
        <v>OK</v>
      </c>
      <c r="AU1037" s="202"/>
      <c r="AV1037" s="262"/>
      <c r="AW1037" s="274"/>
    </row>
    <row r="1038" spans="1:49" s="13" customFormat="1" ht="33.75" x14ac:dyDescent="0.2">
      <c r="A1038" s="14">
        <v>1014</v>
      </c>
      <c r="B1038" s="14">
        <v>400027439</v>
      </c>
      <c r="C1038" s="8" t="s">
        <v>5197</v>
      </c>
      <c r="D1038" s="4" t="str">
        <f t="shared" si="92"/>
        <v>400027439R1</v>
      </c>
      <c r="E1038" s="309" t="str">
        <f>VLOOKUP($B1038,'D7 - NDB Impacted SPRF''s'!$E$6:$O$9929,2,FALSE)</f>
        <v>Payor ID Change for PHS License Products on UNET</v>
      </c>
      <c r="F1038" s="8" t="s">
        <v>6071</v>
      </c>
      <c r="G1038" s="8" t="s">
        <v>4758</v>
      </c>
      <c r="H1038" s="8" t="s">
        <v>4246</v>
      </c>
      <c r="I1038" s="20">
        <f>1.07</f>
        <v>1.07</v>
      </c>
      <c r="J1038" s="8" t="s">
        <v>4862</v>
      </c>
      <c r="K1038" s="182">
        <v>39858</v>
      </c>
      <c r="L1038" s="8" t="s">
        <v>5743</v>
      </c>
      <c r="M1038" s="8" t="s">
        <v>4850</v>
      </c>
      <c r="N1038" s="38"/>
      <c r="O1038" s="8"/>
      <c r="P1038" s="4" t="str">
        <f>VLOOKUP($B1038,'D7 - NDB Impacted SPRF''s'!$E$16:$O$9929,9,FALSE)</f>
        <v>Y</v>
      </c>
      <c r="Q1038" s="4" t="str">
        <f>VLOOKUP($B1038,'D7 - NDB Impacted SPRF''s'!$E$16:$O$9929,10,FALSE)</f>
        <v>N</v>
      </c>
      <c r="R1038" s="4" t="str">
        <f>VLOOKUP($B1038,'D7 - NDB Impacted SPRF''s'!$E$16:$O$9929,11,FALSE)</f>
        <v>N</v>
      </c>
      <c r="S1038" s="8"/>
      <c r="T1038" s="310"/>
      <c r="U1038" s="310"/>
      <c r="V1038" s="4"/>
      <c r="W1038" s="4"/>
      <c r="X1038" s="4"/>
      <c r="Y1038" s="4"/>
      <c r="Z1038" s="4"/>
      <c r="AA1038" s="4"/>
      <c r="AB1038" s="380" t="str">
        <f>VLOOKUP($B1038,'D7 - NDB Impacted SPRF''s'!$E$16:$O$9929,4,FALSE)</f>
        <v>Completed</v>
      </c>
      <c r="AC1038" s="380" t="str">
        <f>VLOOKUP($B1038,'D7 - NDB Impacted SPRF''s'!$E$16:$O$9929,3,FALSE)</f>
        <v>UnitedHealthcare Employer &amp; Individual</v>
      </c>
      <c r="AD1038" s="380" t="str">
        <f>VLOOKUP($B1038,'D7 - NDB Impacted SPRF''s'!$E$16:$O$9929,5,FALSE)</f>
        <v>Integration Requirements</v>
      </c>
      <c r="AE1038" s="380" t="str">
        <f>VLOOKUP($B1038,'D7 - NDB Impacted SPRF''s'!$E$16:$O$9929,7,FALSE)</f>
        <v>Quirk, Tom</v>
      </c>
      <c r="AF1038" s="380" t="str">
        <f>VLOOKUP($B1038,'D7 - NDB Impacted SPRF''s'!$E$16:$O$9929,6,FALSE)</f>
        <v>Molloy Lynette</v>
      </c>
      <c r="AG1038" s="282"/>
      <c r="AH1038" s="311" t="e">
        <f>INDEX('D5 - Gatekeeper - Projects'!$A$4:$AF$1010,$AM1038, 17)</f>
        <v>#N/A</v>
      </c>
      <c r="AI1038" s="8"/>
      <c r="AJ1038" s="57"/>
      <c r="AK1038" s="105"/>
      <c r="AM1038" s="6" t="e">
        <f>MATCH(D1038,'D5 - Gatekeeper - Projects'!$C$4:$C$1010,0)</f>
        <v>#N/A</v>
      </c>
      <c r="AN1038" s="6" t="b">
        <f t="shared" si="90"/>
        <v>1</v>
      </c>
      <c r="AO1038" s="6" t="str">
        <f t="shared" si="93"/>
        <v>OK</v>
      </c>
      <c r="AQ1038" s="6" t="e">
        <f>MATCH($D1038,'D4 - Provider Council Unsched'!$C$11:$C$234,0)</f>
        <v>#N/A</v>
      </c>
      <c r="AR1038" s="6" t="b">
        <f t="shared" si="91"/>
        <v>1</v>
      </c>
      <c r="AS1038" s="6" t="str">
        <f>IF(AND(H1038="2 - Not Scheduled",AR1038=TRUE,C1038="R1"),"Add","OK")</f>
        <v>OK</v>
      </c>
      <c r="AU1038" s="202"/>
      <c r="AV1038" s="262"/>
      <c r="AW1038" s="274"/>
    </row>
    <row r="1039" spans="1:49" s="13" customFormat="1" x14ac:dyDescent="0.2">
      <c r="A1039" s="14">
        <v>1015</v>
      </c>
      <c r="B1039" s="14">
        <v>400027648</v>
      </c>
      <c r="C1039" s="8" t="s">
        <v>5197</v>
      </c>
      <c r="D1039" s="4" t="str">
        <f t="shared" si="92"/>
        <v>400027648R1</v>
      </c>
      <c r="E1039" s="309" t="str">
        <f>VLOOKUP($B1039,'D7 - NDB Impacted SPRF''s'!$E$6:$O$9929,2,FALSE)</f>
        <v>Provider Group Analysis for NDB</v>
      </c>
      <c r="F1039" s="8" t="s">
        <v>2114</v>
      </c>
      <c r="G1039" s="8" t="s">
        <v>4758</v>
      </c>
      <c r="H1039" s="8" t="s">
        <v>4246</v>
      </c>
      <c r="I1039" s="20">
        <v>1.41</v>
      </c>
      <c r="J1039" s="8" t="s">
        <v>4862</v>
      </c>
      <c r="K1039" s="182">
        <v>39858</v>
      </c>
      <c r="L1039" s="8" t="s">
        <v>5743</v>
      </c>
      <c r="M1039" s="8" t="s">
        <v>6688</v>
      </c>
      <c r="N1039" s="38"/>
      <c r="O1039" s="8"/>
      <c r="P1039" s="4" t="str">
        <f>VLOOKUP($B1039,'D7 - NDB Impacted SPRF''s'!$E$16:$O$9929,9,FALSE)</f>
        <v>N</v>
      </c>
      <c r="Q1039" s="4" t="str">
        <f>VLOOKUP($B1039,'D7 - NDB Impacted SPRF''s'!$E$16:$O$9929,10,FALSE)</f>
        <v>N</v>
      </c>
      <c r="R1039" s="4" t="str">
        <f>VLOOKUP($B1039,'D7 - NDB Impacted SPRF''s'!$E$16:$O$9929,11,FALSE)</f>
        <v>N</v>
      </c>
      <c r="S1039" s="8"/>
      <c r="T1039" s="310"/>
      <c r="U1039" s="310"/>
      <c r="V1039" s="4"/>
      <c r="W1039" s="4"/>
      <c r="X1039" s="4"/>
      <c r="Y1039" s="4"/>
      <c r="Z1039" s="4"/>
      <c r="AA1039" s="4"/>
      <c r="AB1039" s="380" t="str">
        <f>VLOOKUP($B1039,'D7 - NDB Impacted SPRF''s'!$E$16:$O$9929,4,FALSE)</f>
        <v>Completed</v>
      </c>
      <c r="AC1039" s="380" t="str">
        <f>VLOOKUP($B1039,'D7 - NDB Impacted SPRF''s'!$E$16:$O$9929,3,FALSE)</f>
        <v>OptumHealth</v>
      </c>
      <c r="AD1039" s="380" t="str">
        <f>VLOOKUP($B1039,'D7 - NDB Impacted SPRF''s'!$E$16:$O$9929,5,FALSE)</f>
        <v>Behavioral Solutions</v>
      </c>
      <c r="AE1039" s="380" t="str">
        <f>VLOOKUP($B1039,'D7 - NDB Impacted SPRF''s'!$E$16:$O$9929,7,FALSE)</f>
        <v>Avis Braschayko</v>
      </c>
      <c r="AF1039" s="380" t="str">
        <f>VLOOKUP($B1039,'D7 - NDB Impacted SPRF''s'!$E$16:$O$9929,6,FALSE)</f>
        <v>Teresa Melchior</v>
      </c>
      <c r="AG1039" s="282"/>
      <c r="AH1039" s="311" t="e">
        <f>INDEX('D5 - Gatekeeper - Projects'!$A$4:$AF$1010,$AM1039, 17)</f>
        <v>#N/A</v>
      </c>
      <c r="AI1039" s="8"/>
      <c r="AJ1039" s="57"/>
      <c r="AK1039" s="105"/>
      <c r="AM1039" s="6" t="e">
        <f>MATCH(D1039,'D5 - Gatekeeper - Projects'!$C$4:$C$1010,0)</f>
        <v>#N/A</v>
      </c>
      <c r="AN1039" s="6" t="b">
        <f t="shared" si="90"/>
        <v>1</v>
      </c>
      <c r="AO1039" s="6" t="str">
        <f t="shared" si="93"/>
        <v>OK</v>
      </c>
      <c r="AQ1039" s="6" t="e">
        <f>MATCH($D1039,'D4 - Provider Council Unsched'!$C$11:$C$234,0)</f>
        <v>#N/A</v>
      </c>
      <c r="AR1039" s="6" t="b">
        <f t="shared" si="91"/>
        <v>1</v>
      </c>
      <c r="AS1039" s="6" t="str">
        <f>IF(AND(H1039="2 - Not Scheduled",AR1039=TRUE,C1039="R1"),"Add","OK")</f>
        <v>OK</v>
      </c>
      <c r="AU1039" s="202"/>
      <c r="AV1039" s="262"/>
      <c r="AW1039" s="274"/>
    </row>
    <row r="1040" spans="1:49" s="13" customFormat="1" ht="33.75" x14ac:dyDescent="0.2">
      <c r="A1040" s="14">
        <v>1016</v>
      </c>
      <c r="B1040" s="14">
        <v>400027651</v>
      </c>
      <c r="C1040" s="8" t="s">
        <v>5197</v>
      </c>
      <c r="D1040" s="4" t="str">
        <f t="shared" si="92"/>
        <v>400027651R1</v>
      </c>
      <c r="E1040" s="309" t="str">
        <f>VLOOKUP($B1040,'D7 - NDB Impacted SPRF''s'!$E$6:$O$9929,2,FALSE)</f>
        <v>EPS Portal Provider Search Release 1-NDB to COSMOS</v>
      </c>
      <c r="F1040" s="8"/>
      <c r="G1040" s="8" t="s">
        <v>4758</v>
      </c>
      <c r="H1040" s="8" t="s">
        <v>4246</v>
      </c>
      <c r="I1040" s="20">
        <v>4.2699999999999996</v>
      </c>
      <c r="J1040" s="8" t="s">
        <v>4862</v>
      </c>
      <c r="K1040" s="182">
        <v>39858</v>
      </c>
      <c r="L1040" s="8" t="s">
        <v>4156</v>
      </c>
      <c r="M1040" s="8" t="s">
        <v>6688</v>
      </c>
      <c r="N1040" s="38" t="s">
        <v>4157</v>
      </c>
      <c r="O1040" s="8"/>
      <c r="P1040" s="4" t="str">
        <f>VLOOKUP($B1040,'D7 - NDB Impacted SPRF''s'!$E$16:$O$9929,9,FALSE)</f>
        <v>N</v>
      </c>
      <c r="Q1040" s="4" t="str">
        <f>VLOOKUP($B1040,'D7 - NDB Impacted SPRF''s'!$E$16:$O$9929,10,FALSE)</f>
        <v>N</v>
      </c>
      <c r="R1040" s="4" t="str">
        <f>VLOOKUP($B1040,'D7 - NDB Impacted SPRF''s'!$E$16:$O$9929,11,FALSE)</f>
        <v>N</v>
      </c>
      <c r="S1040" s="8"/>
      <c r="T1040" s="310"/>
      <c r="U1040" s="310"/>
      <c r="V1040" s="4"/>
      <c r="W1040" s="4"/>
      <c r="X1040" s="4"/>
      <c r="Y1040" s="4"/>
      <c r="Z1040" s="4"/>
      <c r="AA1040" s="4"/>
      <c r="AB1040" s="380" t="str">
        <f>VLOOKUP($B1040,'D7 - NDB Impacted SPRF''s'!$E$16:$O$9929,4,FALSE)</f>
        <v>Cancelled</v>
      </c>
      <c r="AC1040" s="380" t="str">
        <f>VLOOKUP($B1040,'D7 - NDB Impacted SPRF''s'!$E$16:$O$9929,3,FALSE)</f>
        <v>UnitedHealthcare Medicare &amp; Retirement</v>
      </c>
      <c r="AD1040" s="380" t="str">
        <f>VLOOKUP($B1040,'D7 - NDB Impacted SPRF''s'!$E$16:$O$9929,5,FALSE)</f>
        <v>Ovations</v>
      </c>
      <c r="AE1040" s="380" t="str">
        <f>VLOOKUP($B1040,'D7 - NDB Impacted SPRF''s'!$E$16:$O$9929,7,FALSE)</f>
        <v>Geoff Vitrano</v>
      </c>
      <c r="AF1040" s="380" t="str">
        <f>VLOOKUP($B1040,'D7 - NDB Impacted SPRF''s'!$E$16:$O$9929,6,FALSE)</f>
        <v>Jessica Tattersall</v>
      </c>
      <c r="AG1040" s="282"/>
      <c r="AH1040" s="311" t="e">
        <f>INDEX('D5 - Gatekeeper - Projects'!$A$4:$AF$1010,$AM1040, 17)</f>
        <v>#N/A</v>
      </c>
      <c r="AI1040" s="8"/>
      <c r="AJ1040" s="57"/>
      <c r="AK1040" s="105"/>
      <c r="AM1040" s="6" t="e">
        <f>MATCH(D1040,'D5 - Gatekeeper - Projects'!$C$4:$C$1010,0)</f>
        <v>#N/A</v>
      </c>
      <c r="AN1040" s="6" t="b">
        <f t="shared" si="90"/>
        <v>1</v>
      </c>
      <c r="AO1040" s="6" t="str">
        <f t="shared" si="93"/>
        <v>OK</v>
      </c>
      <c r="AQ1040" s="6" t="e">
        <f>MATCH($D1040,'D4 - Provider Council Unsched'!$C$11:$C$234,0)</f>
        <v>#N/A</v>
      </c>
      <c r="AR1040" s="6" t="b">
        <f t="shared" si="91"/>
        <v>1</v>
      </c>
      <c r="AS1040" s="6" t="str">
        <f t="shared" ref="AS1040:AS1046" si="95">IF(AND(H1040="2 - Not Scheduled",AR1040=TRUE),"Add","OK")</f>
        <v>OK</v>
      </c>
      <c r="AU1040" s="202"/>
      <c r="AV1040" s="262"/>
      <c r="AW1040" s="274"/>
    </row>
    <row r="1041" spans="1:49" s="13" customFormat="1" ht="33.75" x14ac:dyDescent="0.2">
      <c r="A1041" s="14">
        <v>1017</v>
      </c>
      <c r="B1041" s="14">
        <v>400027704</v>
      </c>
      <c r="C1041" s="8" t="s">
        <v>5197</v>
      </c>
      <c r="D1041" s="4" t="str">
        <f t="shared" si="92"/>
        <v>400027704R1</v>
      </c>
      <c r="E1041" s="309" t="str">
        <f>VLOOKUP($B1041,'D7 - NDB Impacted SPRF''s'!$E$6:$O$9929,2,FALSE)</f>
        <v>WO - NDB TIN/ SSN Analysis</v>
      </c>
      <c r="F1041" s="8" t="s">
        <v>2114</v>
      </c>
      <c r="G1041" s="8" t="s">
        <v>4758</v>
      </c>
      <c r="H1041" s="8" t="s">
        <v>4246</v>
      </c>
      <c r="I1041" s="20">
        <v>1.07</v>
      </c>
      <c r="J1041" s="8" t="s">
        <v>4862</v>
      </c>
      <c r="K1041" s="182">
        <v>39858</v>
      </c>
      <c r="L1041" s="8" t="s">
        <v>5743</v>
      </c>
      <c r="M1041" s="8" t="s">
        <v>6688</v>
      </c>
      <c r="N1041" s="38" t="s">
        <v>1072</v>
      </c>
      <c r="O1041" s="8"/>
      <c r="P1041" s="4" t="str">
        <f>VLOOKUP($B1041,'D7 - NDB Impacted SPRF''s'!$E$16:$O$9929,9,FALSE)</f>
        <v>N</v>
      </c>
      <c r="Q1041" s="4" t="str">
        <f>VLOOKUP($B1041,'D7 - NDB Impacted SPRF''s'!$E$16:$O$9929,10,FALSE)</f>
        <v>N</v>
      </c>
      <c r="R1041" s="4" t="str">
        <f>VLOOKUP($B1041,'D7 - NDB Impacted SPRF''s'!$E$16:$O$9929,11,FALSE)</f>
        <v>N</v>
      </c>
      <c r="S1041" s="8"/>
      <c r="T1041" s="310"/>
      <c r="U1041" s="310"/>
      <c r="V1041" s="4"/>
      <c r="W1041" s="4"/>
      <c r="X1041" s="4"/>
      <c r="Y1041" s="4"/>
      <c r="Z1041" s="4"/>
      <c r="AA1041" s="4"/>
      <c r="AB1041" s="380" t="str">
        <f>VLOOKUP($B1041,'D7 - NDB Impacted SPRF''s'!$E$16:$O$9929,4,FALSE)</f>
        <v>Completed</v>
      </c>
      <c r="AC1041" s="380" t="str">
        <f>VLOOKUP($B1041,'D7 - NDB Impacted SPRF''s'!$E$16:$O$9929,3,FALSE)</f>
        <v>OptumHealth Financial Services</v>
      </c>
      <c r="AD1041" s="380" t="str">
        <f>VLOOKUP($B1041,'D7 - NDB Impacted SPRF''s'!$E$16:$O$9929,5,FALSE)</f>
        <v>FS-Payables Optimization</v>
      </c>
      <c r="AE1041" s="380" t="str">
        <f>VLOOKUP($B1041,'D7 - NDB Impacted SPRF''s'!$E$16:$O$9929,7,FALSE)</f>
        <v>Greg Kassebaum</v>
      </c>
      <c r="AF1041" s="380" t="str">
        <f>VLOOKUP($B1041,'D7 - NDB Impacted SPRF''s'!$E$16:$O$9929,6,FALSE)</f>
        <v>Bouwe Hamersma</v>
      </c>
      <c r="AG1041" s="282"/>
      <c r="AH1041" s="311" t="e">
        <f>INDEX('D5 - Gatekeeper - Projects'!$A$4:$AF$1010,$AM1041, 17)</f>
        <v>#N/A</v>
      </c>
      <c r="AI1041" s="8"/>
      <c r="AJ1041" s="57"/>
      <c r="AK1041" s="105"/>
      <c r="AM1041" s="6" t="e">
        <f>MATCH(D1041,'D5 - Gatekeeper - Projects'!$C$4:$C$1010,0)</f>
        <v>#N/A</v>
      </c>
      <c r="AN1041" s="6" t="b">
        <f t="shared" ref="AN1041:AN1104" si="96">ISERROR(AM1041)</f>
        <v>1</v>
      </c>
      <c r="AO1041" s="6" t="str">
        <f t="shared" si="93"/>
        <v>OK</v>
      </c>
      <c r="AQ1041" s="6" t="e">
        <f>MATCH($D1041,'D4 - Provider Council Unsched'!$C$11:$C$234,0)</f>
        <v>#N/A</v>
      </c>
      <c r="AR1041" s="6" t="b">
        <f t="shared" ref="AR1041:AR1104" si="97">ISERROR(AQ1041)</f>
        <v>1</v>
      </c>
      <c r="AS1041" s="6" t="str">
        <f t="shared" si="95"/>
        <v>OK</v>
      </c>
      <c r="AU1041" s="202"/>
      <c r="AV1041" s="262"/>
      <c r="AW1041" s="274"/>
    </row>
    <row r="1042" spans="1:49" s="13" customFormat="1" ht="33.75" x14ac:dyDescent="0.2">
      <c r="A1042" s="14">
        <v>1018</v>
      </c>
      <c r="B1042" s="14">
        <v>400028161</v>
      </c>
      <c r="C1042" s="8" t="s">
        <v>5197</v>
      </c>
      <c r="D1042" s="4" t="str">
        <f t="shared" ref="D1042:D1105" si="98">CONCATENATE(B1042,C1042)</f>
        <v>400028161R1</v>
      </c>
      <c r="E1042" s="309" t="str">
        <f>VLOOKUP($B1042,'D7 - NDB Impacted SPRF''s'!$E$6:$O$9929,2,FALSE)</f>
        <v>FiServ ppoONE- Dallas-UHIS Regression Testing</v>
      </c>
      <c r="F1042" s="8" t="s">
        <v>4213</v>
      </c>
      <c r="G1042" s="8" t="s">
        <v>4758</v>
      </c>
      <c r="H1042" s="8" t="s">
        <v>4246</v>
      </c>
      <c r="I1042" s="20">
        <v>0.53</v>
      </c>
      <c r="J1042" s="8" t="s">
        <v>4862</v>
      </c>
      <c r="K1042" s="182">
        <v>39858</v>
      </c>
      <c r="L1042" s="8" t="s">
        <v>5743</v>
      </c>
      <c r="M1042" s="8" t="s">
        <v>4850</v>
      </c>
      <c r="N1042" s="38"/>
      <c r="O1042" s="8" t="s">
        <v>2000</v>
      </c>
      <c r="P1042" s="4" t="str">
        <f>VLOOKUP($B1042,'D7 - NDB Impacted SPRF''s'!$E$16:$O$9929,9,FALSE)</f>
        <v>N</v>
      </c>
      <c r="Q1042" s="4" t="str">
        <f>VLOOKUP($B1042,'D7 - NDB Impacted SPRF''s'!$E$16:$O$9929,10,FALSE)</f>
        <v>N</v>
      </c>
      <c r="R1042" s="4" t="str">
        <f>VLOOKUP($B1042,'D7 - NDB Impacted SPRF''s'!$E$16:$O$9929,11,FALSE)</f>
        <v>N</v>
      </c>
      <c r="S1042" s="8"/>
      <c r="T1042" s="310"/>
      <c r="U1042" s="310"/>
      <c r="V1042" s="4"/>
      <c r="W1042" s="4"/>
      <c r="X1042" s="4"/>
      <c r="Y1042" s="4"/>
      <c r="Z1042" s="4"/>
      <c r="AA1042" s="4"/>
      <c r="AB1042" s="380" t="str">
        <f>VLOOKUP($B1042,'D7 - NDB Impacted SPRF''s'!$E$16:$O$9929,4,FALSE)</f>
        <v>Completed</v>
      </c>
      <c r="AC1042" s="380" t="str">
        <f>VLOOKUP($B1042,'D7 - NDB Impacted SPRF''s'!$E$16:$O$9929,3,FALSE)</f>
        <v>UnitedHealthcare Employer &amp; Individual</v>
      </c>
      <c r="AD1042" s="380" t="str">
        <f>VLOOKUP($B1042,'D7 - NDB Impacted SPRF''s'!$E$16:$O$9929,5,FALSE)</f>
        <v>Membership Growth / Revenue Programs</v>
      </c>
      <c r="AE1042" s="380" t="str">
        <f>VLOOKUP($B1042,'D7 - NDB Impacted SPRF''s'!$E$16:$O$9929,7,FALSE)</f>
        <v>Sally A Verrilli</v>
      </c>
      <c r="AF1042" s="380" t="str">
        <f>VLOOKUP($B1042,'D7 - NDB Impacted SPRF''s'!$E$16:$O$9929,6,FALSE)</f>
        <v>Ellis Miller</v>
      </c>
      <c r="AG1042" s="282"/>
      <c r="AH1042" s="311" t="e">
        <f>INDEX('D5 - Gatekeeper - Projects'!$A$4:$AF$1010,$AM1042, 17)</f>
        <v>#N/A</v>
      </c>
      <c r="AI1042" s="8"/>
      <c r="AJ1042" s="57"/>
      <c r="AK1042" s="105"/>
      <c r="AM1042" s="6" t="e">
        <f>MATCH(D1042,'D5 - Gatekeeper - Projects'!$C$4:$C$1010,0)</f>
        <v>#N/A</v>
      </c>
      <c r="AN1042" s="6" t="b">
        <f t="shared" si="96"/>
        <v>1</v>
      </c>
      <c r="AO1042" s="6" t="str">
        <f t="shared" ref="AO1042:AO1105" si="99">IF(AND(H1042="1 - Scheduled",AN1042=TRUE),"Add","OK")</f>
        <v>OK</v>
      </c>
      <c r="AQ1042" s="6" t="e">
        <f>MATCH($D1042,'D4 - Provider Council Unsched'!$C$11:$C$234,0)</f>
        <v>#N/A</v>
      </c>
      <c r="AR1042" s="6" t="b">
        <f t="shared" si="97"/>
        <v>1</v>
      </c>
      <c r="AS1042" s="6" t="str">
        <f t="shared" si="95"/>
        <v>OK</v>
      </c>
      <c r="AU1042" s="202"/>
      <c r="AV1042" s="262"/>
      <c r="AW1042" s="274"/>
    </row>
    <row r="1043" spans="1:49" s="13" customFormat="1" x14ac:dyDescent="0.2">
      <c r="A1043" s="14">
        <v>1019</v>
      </c>
      <c r="B1043" s="14" t="s">
        <v>5074</v>
      </c>
      <c r="C1043" s="8" t="s">
        <v>5197</v>
      </c>
      <c r="D1043" s="4" t="str">
        <f t="shared" si="98"/>
        <v>CE00001R1</v>
      </c>
      <c r="E1043" s="282" t="s">
        <v>5073</v>
      </c>
      <c r="F1043" s="8" t="s">
        <v>3770</v>
      </c>
      <c r="G1043" s="8" t="s">
        <v>4758</v>
      </c>
      <c r="H1043" s="8" t="s">
        <v>4246</v>
      </c>
      <c r="I1043" s="20">
        <v>1.07</v>
      </c>
      <c r="J1043" s="8" t="s">
        <v>4862</v>
      </c>
      <c r="K1043" s="182">
        <v>39858</v>
      </c>
      <c r="L1043" s="8" t="s">
        <v>5743</v>
      </c>
      <c r="M1043" s="8" t="s">
        <v>6688</v>
      </c>
      <c r="N1043" s="38"/>
      <c r="O1043" s="8" t="s">
        <v>3572</v>
      </c>
      <c r="P1043" s="4" t="e">
        <f>VLOOKUP($B1043,'D7 - NDB Impacted SPRF''s'!$E$16:$O$9929,9,FALSE)</f>
        <v>#N/A</v>
      </c>
      <c r="Q1043" s="4" t="e">
        <f>VLOOKUP($B1043,'D7 - NDB Impacted SPRF''s'!$E$16:$O$9929,10,FALSE)</f>
        <v>#N/A</v>
      </c>
      <c r="R1043" s="4" t="e">
        <f>VLOOKUP($B1043,'D7 - NDB Impacted SPRF''s'!$E$16:$O$9929,11,FALSE)</f>
        <v>#N/A</v>
      </c>
      <c r="S1043" s="8"/>
      <c r="T1043" s="310"/>
      <c r="U1043" s="310"/>
      <c r="V1043" s="4"/>
      <c r="W1043" s="4"/>
      <c r="X1043" s="4"/>
      <c r="Y1043" s="4"/>
      <c r="Z1043" s="4"/>
      <c r="AA1043" s="4"/>
      <c r="AB1043" s="380" t="e">
        <f>VLOOKUP($B1043,'D7 - NDB Impacted SPRF''s'!$E$16:$O$9929,4,FALSE)</f>
        <v>#N/A</v>
      </c>
      <c r="AC1043" s="380" t="e">
        <f>VLOOKUP($B1043,'D7 - NDB Impacted SPRF''s'!$E$16:$O$9929,3,FALSE)</f>
        <v>#N/A</v>
      </c>
      <c r="AD1043" s="380" t="e">
        <f>VLOOKUP($B1043,'D7 - NDB Impacted SPRF''s'!$E$16:$O$9929,5,FALSE)</f>
        <v>#N/A</v>
      </c>
      <c r="AE1043" s="380" t="e">
        <f>VLOOKUP($B1043,'D7 - NDB Impacted SPRF''s'!$E$16:$O$9929,7,FALSE)</f>
        <v>#N/A</v>
      </c>
      <c r="AF1043" s="380" t="e">
        <f>VLOOKUP($B1043,'D7 - NDB Impacted SPRF''s'!$E$16:$O$9929,6,FALSE)</f>
        <v>#N/A</v>
      </c>
      <c r="AG1043" s="282"/>
      <c r="AH1043" s="311" t="e">
        <f>INDEX('D5 - Gatekeeper - Projects'!$A$4:$AF$1010,$AM1043, 17)</f>
        <v>#N/A</v>
      </c>
      <c r="AI1043" s="8"/>
      <c r="AJ1043" s="57"/>
      <c r="AK1043" s="105"/>
      <c r="AM1043" s="6" t="e">
        <f>MATCH(D1043,'D5 - Gatekeeper - Projects'!$C$4:$C$1010,0)</f>
        <v>#N/A</v>
      </c>
      <c r="AN1043" s="6" t="b">
        <f t="shared" si="96"/>
        <v>1</v>
      </c>
      <c r="AO1043" s="6" t="str">
        <f t="shared" si="99"/>
        <v>OK</v>
      </c>
      <c r="AQ1043" s="6" t="e">
        <f>MATCH($D1043,'D4 - Provider Council Unsched'!$C$11:$C$234,0)</f>
        <v>#N/A</v>
      </c>
      <c r="AR1043" s="6" t="b">
        <f t="shared" si="97"/>
        <v>1</v>
      </c>
      <c r="AS1043" s="6" t="str">
        <f t="shared" si="95"/>
        <v>OK</v>
      </c>
      <c r="AU1043" s="202"/>
      <c r="AV1043" s="262"/>
      <c r="AW1043" s="274"/>
    </row>
    <row r="1044" spans="1:49" s="13" customFormat="1" ht="22.5" x14ac:dyDescent="0.2">
      <c r="A1044" s="14">
        <v>1020</v>
      </c>
      <c r="B1044" s="14" t="s">
        <v>6015</v>
      </c>
      <c r="C1044" s="8" t="s">
        <v>5197</v>
      </c>
      <c r="D1044" s="4" t="str">
        <f t="shared" si="98"/>
        <v>CE00019R1</v>
      </c>
      <c r="E1044" s="282" t="s">
        <v>7306</v>
      </c>
      <c r="F1044" s="8" t="s">
        <v>2114</v>
      </c>
      <c r="G1044" s="8" t="s">
        <v>4758</v>
      </c>
      <c r="H1044" s="8" t="s">
        <v>4246</v>
      </c>
      <c r="I1044" s="20">
        <v>6</v>
      </c>
      <c r="J1044" s="8" t="s">
        <v>4862</v>
      </c>
      <c r="K1044" s="182">
        <v>39858</v>
      </c>
      <c r="L1044" s="8" t="s">
        <v>5743</v>
      </c>
      <c r="M1044" s="8" t="s">
        <v>2814</v>
      </c>
      <c r="N1044" s="38" t="s">
        <v>4605</v>
      </c>
      <c r="O1044" s="8" t="s">
        <v>3572</v>
      </c>
      <c r="P1044" s="4" t="e">
        <f>VLOOKUP($B1044,'D7 - NDB Impacted SPRF''s'!$E$16:$O$9929,9,FALSE)</f>
        <v>#N/A</v>
      </c>
      <c r="Q1044" s="4" t="e">
        <f>VLOOKUP($B1044,'D7 - NDB Impacted SPRF''s'!$E$16:$O$9929,10,FALSE)</f>
        <v>#N/A</v>
      </c>
      <c r="R1044" s="4" t="e">
        <f>VLOOKUP($B1044,'D7 - NDB Impacted SPRF''s'!$E$16:$O$9929,11,FALSE)</f>
        <v>#N/A</v>
      </c>
      <c r="S1044" s="8"/>
      <c r="T1044" s="310"/>
      <c r="U1044" s="310"/>
      <c r="V1044" s="4"/>
      <c r="W1044" s="4"/>
      <c r="X1044" s="4"/>
      <c r="Y1044" s="4"/>
      <c r="Z1044" s="4"/>
      <c r="AA1044" s="4"/>
      <c r="AB1044" s="383" t="e">
        <f>VLOOKUP($B1044,'D7 - NDB Impacted SPRF''s'!$E$16:$O$9929,4,FALSE)</f>
        <v>#N/A</v>
      </c>
      <c r="AC1044" s="380" t="e">
        <f>VLOOKUP($B1044,'D7 - NDB Impacted SPRF''s'!$E$16:$O$9929,3,FALSE)</f>
        <v>#N/A</v>
      </c>
      <c r="AD1044" s="380" t="e">
        <f>VLOOKUP($B1044,'D7 - NDB Impacted SPRF''s'!$E$16:$O$9929,5,FALSE)</f>
        <v>#N/A</v>
      </c>
      <c r="AE1044" s="380" t="e">
        <f>VLOOKUP($B1044,'D7 - NDB Impacted SPRF''s'!$E$16:$O$9929,7,FALSE)</f>
        <v>#N/A</v>
      </c>
      <c r="AF1044" s="380" t="e">
        <f>VLOOKUP($B1044,'D7 - NDB Impacted SPRF''s'!$E$16:$O$9929,6,FALSE)</f>
        <v>#N/A</v>
      </c>
      <c r="AG1044" s="282"/>
      <c r="AH1044" s="311" t="e">
        <f>INDEX('D5 - Gatekeeper - Projects'!$A$4:$AF$1010,$AM1044, 17)</f>
        <v>#N/A</v>
      </c>
      <c r="AI1044" s="8"/>
      <c r="AJ1044" s="57"/>
      <c r="AK1044" s="105"/>
      <c r="AM1044" s="6" t="e">
        <f>MATCH(D1044,'D5 - Gatekeeper - Projects'!$C$4:$C$1010,0)</f>
        <v>#N/A</v>
      </c>
      <c r="AN1044" s="6" t="b">
        <f t="shared" si="96"/>
        <v>1</v>
      </c>
      <c r="AO1044" s="6" t="str">
        <f t="shared" si="99"/>
        <v>OK</v>
      </c>
      <c r="AQ1044" s="6" t="e">
        <f>MATCH($D1044,'D4 - Provider Council Unsched'!$C$11:$C$234,0)</f>
        <v>#N/A</v>
      </c>
      <c r="AR1044" s="6" t="b">
        <f t="shared" si="97"/>
        <v>1</v>
      </c>
      <c r="AS1044" s="6" t="str">
        <f t="shared" si="95"/>
        <v>OK</v>
      </c>
      <c r="AU1044" s="202"/>
      <c r="AV1044" s="262"/>
      <c r="AW1044" s="274"/>
    </row>
    <row r="1045" spans="1:49" s="13" customFormat="1" x14ac:dyDescent="0.2">
      <c r="A1045" s="14">
        <v>1021</v>
      </c>
      <c r="B1045" s="14" t="s">
        <v>5310</v>
      </c>
      <c r="C1045" s="8" t="s">
        <v>5197</v>
      </c>
      <c r="D1045" s="4" t="str">
        <f t="shared" si="98"/>
        <v>CE00020R1</v>
      </c>
      <c r="E1045" s="282" t="s">
        <v>2424</v>
      </c>
      <c r="F1045" s="8" t="s">
        <v>2114</v>
      </c>
      <c r="G1045" s="8" t="s">
        <v>4758</v>
      </c>
      <c r="H1045" s="8" t="s">
        <v>4246</v>
      </c>
      <c r="I1045" s="20">
        <v>3</v>
      </c>
      <c r="J1045" s="8" t="s">
        <v>4862</v>
      </c>
      <c r="K1045" s="182">
        <v>39858</v>
      </c>
      <c r="L1045" s="8" t="s">
        <v>5743</v>
      </c>
      <c r="M1045" s="8" t="s">
        <v>2814</v>
      </c>
      <c r="N1045" s="38"/>
      <c r="O1045" s="8" t="s">
        <v>3572</v>
      </c>
      <c r="P1045" s="4" t="e">
        <f>VLOOKUP($B1045,'D7 - NDB Impacted SPRF''s'!$E$16:$O$9929,9,FALSE)</f>
        <v>#N/A</v>
      </c>
      <c r="Q1045" s="4" t="e">
        <f>VLOOKUP($B1045,'D7 - NDB Impacted SPRF''s'!$E$16:$O$9929,10,FALSE)</f>
        <v>#N/A</v>
      </c>
      <c r="R1045" s="4" t="e">
        <f>VLOOKUP($B1045,'D7 - NDB Impacted SPRF''s'!$E$16:$O$9929,11,FALSE)</f>
        <v>#N/A</v>
      </c>
      <c r="S1045" s="8"/>
      <c r="T1045" s="310"/>
      <c r="U1045" s="310"/>
      <c r="V1045" s="4"/>
      <c r="W1045" s="4"/>
      <c r="X1045" s="4"/>
      <c r="Y1045" s="4"/>
      <c r="Z1045" s="4"/>
      <c r="AA1045" s="4"/>
      <c r="AB1045" s="383" t="e">
        <f>VLOOKUP($B1045,'D7 - NDB Impacted SPRF''s'!$E$16:$O$9929,4,FALSE)</f>
        <v>#N/A</v>
      </c>
      <c r="AC1045" s="380" t="e">
        <f>VLOOKUP($B1045,'D7 - NDB Impacted SPRF''s'!$E$16:$O$9929,3,FALSE)</f>
        <v>#N/A</v>
      </c>
      <c r="AD1045" s="380" t="e">
        <f>VLOOKUP($B1045,'D7 - NDB Impacted SPRF''s'!$E$16:$O$9929,5,FALSE)</f>
        <v>#N/A</v>
      </c>
      <c r="AE1045" s="380" t="e">
        <f>VLOOKUP($B1045,'D7 - NDB Impacted SPRF''s'!$E$16:$O$9929,7,FALSE)</f>
        <v>#N/A</v>
      </c>
      <c r="AF1045" s="380" t="e">
        <f>VLOOKUP($B1045,'D7 - NDB Impacted SPRF''s'!$E$16:$O$9929,6,FALSE)</f>
        <v>#N/A</v>
      </c>
      <c r="AG1045" s="282"/>
      <c r="AH1045" s="311" t="e">
        <f>INDEX('D5 - Gatekeeper - Projects'!$A$4:$AF$1010,$AM1045, 17)</f>
        <v>#N/A</v>
      </c>
      <c r="AI1045" s="8"/>
      <c r="AJ1045" s="57"/>
      <c r="AK1045" s="105"/>
      <c r="AM1045" s="6" t="e">
        <f>MATCH(D1045,'D5 - Gatekeeper - Projects'!$C$4:$C$1010,0)</f>
        <v>#N/A</v>
      </c>
      <c r="AN1045" s="6" t="b">
        <f t="shared" si="96"/>
        <v>1</v>
      </c>
      <c r="AO1045" s="6" t="str">
        <f t="shared" si="99"/>
        <v>OK</v>
      </c>
      <c r="AQ1045" s="6" t="e">
        <f>MATCH($D1045,'D4 - Provider Council Unsched'!$C$11:$C$234,0)</f>
        <v>#N/A</v>
      </c>
      <c r="AR1045" s="6" t="b">
        <f t="shared" si="97"/>
        <v>1</v>
      </c>
      <c r="AS1045" s="6" t="str">
        <f t="shared" si="95"/>
        <v>OK</v>
      </c>
      <c r="AU1045" s="202"/>
      <c r="AV1045" s="262"/>
      <c r="AW1045" s="274"/>
    </row>
    <row r="1046" spans="1:49" s="13" customFormat="1" x14ac:dyDescent="0.2">
      <c r="A1046" s="14">
        <v>1022</v>
      </c>
      <c r="B1046" s="14" t="s">
        <v>4670</v>
      </c>
      <c r="C1046" s="8" t="s">
        <v>5197</v>
      </c>
      <c r="D1046" s="4" t="str">
        <f t="shared" si="98"/>
        <v>CE00021R1</v>
      </c>
      <c r="E1046" s="282" t="s">
        <v>4433</v>
      </c>
      <c r="F1046" s="8" t="s">
        <v>2114</v>
      </c>
      <c r="G1046" s="8" t="s">
        <v>4758</v>
      </c>
      <c r="H1046" s="8" t="s">
        <v>4246</v>
      </c>
      <c r="I1046" s="20">
        <v>15</v>
      </c>
      <c r="J1046" s="8" t="s">
        <v>4862</v>
      </c>
      <c r="K1046" s="182">
        <v>39858</v>
      </c>
      <c r="L1046" s="8" t="s">
        <v>5743</v>
      </c>
      <c r="M1046" s="8" t="s">
        <v>2814</v>
      </c>
      <c r="N1046" s="38"/>
      <c r="O1046" s="8" t="s">
        <v>3572</v>
      </c>
      <c r="P1046" s="4" t="e">
        <f>VLOOKUP($B1046,'D7 - NDB Impacted SPRF''s'!$E$16:$O$9929,9,FALSE)</f>
        <v>#N/A</v>
      </c>
      <c r="Q1046" s="4" t="e">
        <f>VLOOKUP($B1046,'D7 - NDB Impacted SPRF''s'!$E$16:$O$9929,10,FALSE)</f>
        <v>#N/A</v>
      </c>
      <c r="R1046" s="4" t="e">
        <f>VLOOKUP($B1046,'D7 - NDB Impacted SPRF''s'!$E$16:$O$9929,11,FALSE)</f>
        <v>#N/A</v>
      </c>
      <c r="S1046" s="8"/>
      <c r="T1046" s="310"/>
      <c r="U1046" s="310"/>
      <c r="V1046" s="4"/>
      <c r="W1046" s="4"/>
      <c r="X1046" s="4"/>
      <c r="Y1046" s="4"/>
      <c r="Z1046" s="4"/>
      <c r="AA1046" s="4"/>
      <c r="AB1046" s="383" t="e">
        <f>VLOOKUP($B1046,'D7 - NDB Impacted SPRF''s'!$E$16:$O$9929,4,FALSE)</f>
        <v>#N/A</v>
      </c>
      <c r="AC1046" s="380" t="e">
        <f>VLOOKUP($B1046,'D7 - NDB Impacted SPRF''s'!$E$16:$O$9929,3,FALSE)</f>
        <v>#N/A</v>
      </c>
      <c r="AD1046" s="380" t="e">
        <f>VLOOKUP($B1046,'D7 - NDB Impacted SPRF''s'!$E$16:$O$9929,5,FALSE)</f>
        <v>#N/A</v>
      </c>
      <c r="AE1046" s="380" t="e">
        <f>VLOOKUP($B1046,'D7 - NDB Impacted SPRF''s'!$E$16:$O$9929,7,FALSE)</f>
        <v>#N/A</v>
      </c>
      <c r="AF1046" s="380" t="e">
        <f>VLOOKUP($B1046,'D7 - NDB Impacted SPRF''s'!$E$16:$O$9929,6,FALSE)</f>
        <v>#N/A</v>
      </c>
      <c r="AG1046" s="282"/>
      <c r="AH1046" s="311" t="e">
        <f>INDEX('D5 - Gatekeeper - Projects'!$A$4:$AF$1010,$AM1046, 17)</f>
        <v>#N/A</v>
      </c>
      <c r="AI1046" s="8"/>
      <c r="AJ1046" s="57"/>
      <c r="AK1046" s="105"/>
      <c r="AM1046" s="6" t="e">
        <f>MATCH(D1046,'D5 - Gatekeeper - Projects'!$C$4:$C$1010,0)</f>
        <v>#N/A</v>
      </c>
      <c r="AN1046" s="6" t="b">
        <f t="shared" si="96"/>
        <v>1</v>
      </c>
      <c r="AO1046" s="6" t="str">
        <f t="shared" si="99"/>
        <v>OK</v>
      </c>
      <c r="AQ1046" s="6" t="e">
        <f>MATCH($D1046,'D4 - Provider Council Unsched'!$C$11:$C$234,0)</f>
        <v>#N/A</v>
      </c>
      <c r="AR1046" s="6" t="b">
        <f t="shared" si="97"/>
        <v>1</v>
      </c>
      <c r="AS1046" s="6" t="str">
        <f t="shared" si="95"/>
        <v>OK</v>
      </c>
      <c r="AU1046" s="202"/>
      <c r="AV1046" s="262"/>
      <c r="AW1046" s="274"/>
    </row>
    <row r="1047" spans="1:49" s="13" customFormat="1" x14ac:dyDescent="0.2">
      <c r="A1047" s="14">
        <v>1023</v>
      </c>
      <c r="B1047" s="14" t="s">
        <v>6013</v>
      </c>
      <c r="C1047" s="8" t="s">
        <v>5197</v>
      </c>
      <c r="D1047" s="4" t="str">
        <f t="shared" si="98"/>
        <v>CE00022R1</v>
      </c>
      <c r="E1047" s="282" t="s">
        <v>6014</v>
      </c>
      <c r="F1047" s="8" t="s">
        <v>2114</v>
      </c>
      <c r="G1047" s="8" t="s">
        <v>4758</v>
      </c>
      <c r="H1047" s="8" t="s">
        <v>4246</v>
      </c>
      <c r="I1047" s="20">
        <f>200/150</f>
        <v>1.3333333333333333</v>
      </c>
      <c r="J1047" s="8" t="s">
        <v>4862</v>
      </c>
      <c r="K1047" s="182">
        <v>39858</v>
      </c>
      <c r="L1047" s="8" t="s">
        <v>5743</v>
      </c>
      <c r="M1047" s="8" t="s">
        <v>6688</v>
      </c>
      <c r="N1047" s="38"/>
      <c r="O1047" s="8" t="s">
        <v>3572</v>
      </c>
      <c r="P1047" s="4" t="e">
        <f>VLOOKUP($B1047,'D7 - NDB Impacted SPRF''s'!$E$16:$O$9929,9,FALSE)</f>
        <v>#N/A</v>
      </c>
      <c r="Q1047" s="4" t="e">
        <f>VLOOKUP($B1047,'D7 - NDB Impacted SPRF''s'!$E$16:$O$9929,10,FALSE)</f>
        <v>#N/A</v>
      </c>
      <c r="R1047" s="4" t="e">
        <f>VLOOKUP($B1047,'D7 - NDB Impacted SPRF''s'!$E$16:$O$9929,11,FALSE)</f>
        <v>#N/A</v>
      </c>
      <c r="S1047" s="8"/>
      <c r="T1047" s="310"/>
      <c r="U1047" s="310"/>
      <c r="V1047" s="4"/>
      <c r="W1047" s="4"/>
      <c r="X1047" s="4"/>
      <c r="Y1047" s="4"/>
      <c r="Z1047" s="4"/>
      <c r="AA1047" s="4"/>
      <c r="AB1047" s="383" t="e">
        <f>VLOOKUP($B1047,'D7 - NDB Impacted SPRF''s'!$E$16:$O$9929,4,FALSE)</f>
        <v>#N/A</v>
      </c>
      <c r="AC1047" s="380" t="e">
        <f>VLOOKUP($B1047,'D7 - NDB Impacted SPRF''s'!$E$16:$O$9929,3,FALSE)</f>
        <v>#N/A</v>
      </c>
      <c r="AD1047" s="380" t="e">
        <f>VLOOKUP($B1047,'D7 - NDB Impacted SPRF''s'!$E$16:$O$9929,5,FALSE)</f>
        <v>#N/A</v>
      </c>
      <c r="AE1047" s="380" t="e">
        <f>VLOOKUP($B1047,'D7 - NDB Impacted SPRF''s'!$E$16:$O$9929,7,FALSE)</f>
        <v>#N/A</v>
      </c>
      <c r="AF1047" s="380" t="e">
        <f>VLOOKUP($B1047,'D7 - NDB Impacted SPRF''s'!$E$16:$O$9929,6,FALSE)</f>
        <v>#N/A</v>
      </c>
      <c r="AG1047" s="282"/>
      <c r="AH1047" s="311" t="e">
        <f>INDEX('D5 - Gatekeeper - Projects'!$A$4:$AF$1010,$AM1047, 17)</f>
        <v>#N/A</v>
      </c>
      <c r="AI1047" s="8"/>
      <c r="AJ1047" s="57"/>
      <c r="AK1047" s="105"/>
      <c r="AM1047" s="6" t="e">
        <f>MATCH(D1047,'D5 - Gatekeeper - Projects'!$C$4:$C$1010,0)</f>
        <v>#N/A</v>
      </c>
      <c r="AN1047" s="6" t="b">
        <f t="shared" si="96"/>
        <v>1</v>
      </c>
      <c r="AO1047" s="6" t="str">
        <f t="shared" si="99"/>
        <v>OK</v>
      </c>
      <c r="AQ1047" s="6" t="e">
        <f>MATCH($D1047,'D4 - Provider Council Unsched'!$C$11:$C$234,0)</f>
        <v>#N/A</v>
      </c>
      <c r="AR1047" s="6" t="b">
        <f t="shared" si="97"/>
        <v>1</v>
      </c>
      <c r="AS1047" s="6" t="str">
        <f>IF(AND(H1047="2 - Not Scheduled",AR1047=TRUE,C1047="R1"),"Add","OK")</f>
        <v>OK</v>
      </c>
      <c r="AU1047" s="202"/>
      <c r="AV1047" s="262"/>
      <c r="AW1047" s="274"/>
    </row>
    <row r="1048" spans="1:49" s="13" customFormat="1" x14ac:dyDescent="0.2">
      <c r="A1048" s="14">
        <v>1024</v>
      </c>
      <c r="B1048" s="14" t="s">
        <v>7628</v>
      </c>
      <c r="C1048" s="8" t="s">
        <v>5197</v>
      </c>
      <c r="D1048" s="4" t="str">
        <f t="shared" si="98"/>
        <v>CE00030R1</v>
      </c>
      <c r="E1048" s="282" t="s">
        <v>3146</v>
      </c>
      <c r="F1048" s="8" t="s">
        <v>2114</v>
      </c>
      <c r="G1048" s="8" t="s">
        <v>4758</v>
      </c>
      <c r="H1048" s="8" t="s">
        <v>4246</v>
      </c>
      <c r="I1048" s="20">
        <v>1.06</v>
      </c>
      <c r="J1048" s="8" t="s">
        <v>4862</v>
      </c>
      <c r="K1048" s="182">
        <v>39858</v>
      </c>
      <c r="L1048" s="8" t="s">
        <v>5743</v>
      </c>
      <c r="M1048" s="8" t="s">
        <v>2814</v>
      </c>
      <c r="N1048" s="38"/>
      <c r="O1048" s="8" t="s">
        <v>3572</v>
      </c>
      <c r="P1048" s="4" t="e">
        <f>VLOOKUP($B1048,'D7 - NDB Impacted SPRF''s'!$E$16:$O$9929,9,FALSE)</f>
        <v>#N/A</v>
      </c>
      <c r="Q1048" s="4" t="e">
        <f>VLOOKUP($B1048,'D7 - NDB Impacted SPRF''s'!$E$16:$O$9929,10,FALSE)</f>
        <v>#N/A</v>
      </c>
      <c r="R1048" s="4" t="e">
        <f>VLOOKUP($B1048,'D7 - NDB Impacted SPRF''s'!$E$16:$O$9929,11,FALSE)</f>
        <v>#N/A</v>
      </c>
      <c r="S1048" s="8"/>
      <c r="T1048" s="310"/>
      <c r="U1048" s="310"/>
      <c r="V1048" s="4"/>
      <c r="W1048" s="4"/>
      <c r="X1048" s="4"/>
      <c r="Y1048" s="4"/>
      <c r="Z1048" s="4"/>
      <c r="AA1048" s="4"/>
      <c r="AB1048" s="383" t="e">
        <f>VLOOKUP($B1048,'D7 - NDB Impacted SPRF''s'!$E$16:$O$9929,4,FALSE)</f>
        <v>#N/A</v>
      </c>
      <c r="AC1048" s="380" t="e">
        <f>VLOOKUP($B1048,'D7 - NDB Impacted SPRF''s'!$E$16:$O$9929,3,FALSE)</f>
        <v>#N/A</v>
      </c>
      <c r="AD1048" s="380" t="e">
        <f>VLOOKUP($B1048,'D7 - NDB Impacted SPRF''s'!$E$16:$O$9929,5,FALSE)</f>
        <v>#N/A</v>
      </c>
      <c r="AE1048" s="380" t="e">
        <f>VLOOKUP($B1048,'D7 - NDB Impacted SPRF''s'!$E$16:$O$9929,7,FALSE)</f>
        <v>#N/A</v>
      </c>
      <c r="AF1048" s="380" t="e">
        <f>VLOOKUP($B1048,'D7 - NDB Impacted SPRF''s'!$E$16:$O$9929,6,FALSE)</f>
        <v>#N/A</v>
      </c>
      <c r="AG1048" s="282"/>
      <c r="AH1048" s="311" t="e">
        <f>INDEX('D5 - Gatekeeper - Projects'!$A$4:$AF$1010,$AM1048, 17)</f>
        <v>#N/A</v>
      </c>
      <c r="AI1048" s="8"/>
      <c r="AJ1048" s="57"/>
      <c r="AK1048" s="105"/>
      <c r="AM1048" s="6" t="e">
        <f>MATCH(D1048,'D5 - Gatekeeper - Projects'!$C$4:$C$1010,0)</f>
        <v>#N/A</v>
      </c>
      <c r="AN1048" s="6" t="b">
        <f t="shared" si="96"/>
        <v>1</v>
      </c>
      <c r="AO1048" s="6" t="str">
        <f t="shared" si="99"/>
        <v>OK</v>
      </c>
      <c r="AQ1048" s="6" t="e">
        <f>MATCH($D1048,'D4 - Provider Council Unsched'!$C$11:$C$234,0)</f>
        <v>#N/A</v>
      </c>
      <c r="AR1048" s="6" t="b">
        <f t="shared" si="97"/>
        <v>1</v>
      </c>
      <c r="AS1048" s="6" t="str">
        <f>IF(AND(H1048="2 - Not Scheduled",AR1048=TRUE),"Add","OK")</f>
        <v>OK</v>
      </c>
      <c r="AU1048" s="202"/>
      <c r="AV1048" s="262"/>
      <c r="AW1048" s="274"/>
    </row>
    <row r="1049" spans="1:49" s="13" customFormat="1" ht="45" x14ac:dyDescent="0.2">
      <c r="A1049" s="14">
        <v>1025</v>
      </c>
      <c r="B1049" s="14">
        <v>400021916</v>
      </c>
      <c r="C1049" s="8" t="s">
        <v>5197</v>
      </c>
      <c r="D1049" s="4" t="str">
        <f t="shared" si="98"/>
        <v>400021916R1</v>
      </c>
      <c r="E1049" s="309" t="str">
        <f>VLOOKUP($B1049,'D7 - NDB Impacted SPRF''s'!$E$6:$O$9929,2,FALSE)</f>
        <v>Distributed Rapid Recovery</v>
      </c>
      <c r="F1049" s="8" t="s">
        <v>2114</v>
      </c>
      <c r="G1049" s="8" t="s">
        <v>4758</v>
      </c>
      <c r="H1049" s="8" t="s">
        <v>4246</v>
      </c>
      <c r="I1049" s="20">
        <f>233/150</f>
        <v>1.5533333333333332</v>
      </c>
      <c r="J1049" s="8" t="s">
        <v>4862</v>
      </c>
      <c r="K1049" s="182">
        <v>39886</v>
      </c>
      <c r="L1049" s="8" t="s">
        <v>5743</v>
      </c>
      <c r="M1049" s="8" t="s">
        <v>4450</v>
      </c>
      <c r="N1049" s="38"/>
      <c r="O1049" s="8" t="s">
        <v>1998</v>
      </c>
      <c r="P1049" s="4" t="str">
        <f>VLOOKUP($B1049,'D7 - NDB Impacted SPRF''s'!$E$16:$O$9929,9,FALSE)</f>
        <v>Y</v>
      </c>
      <c r="Q1049" s="4" t="str">
        <f>VLOOKUP($B1049,'D7 - NDB Impacted SPRF''s'!$E$16:$O$9929,10,FALSE)</f>
        <v>N</v>
      </c>
      <c r="R1049" s="4" t="str">
        <f>VLOOKUP($B1049,'D7 - NDB Impacted SPRF''s'!$E$16:$O$9929,11,FALSE)</f>
        <v>Y</v>
      </c>
      <c r="S1049" s="8"/>
      <c r="T1049" s="310"/>
      <c r="U1049" s="310"/>
      <c r="V1049" s="4"/>
      <c r="W1049" s="4"/>
      <c r="X1049" s="4"/>
      <c r="Y1049" s="4"/>
      <c r="Z1049" s="4"/>
      <c r="AA1049" s="4"/>
      <c r="AB1049" s="380" t="str">
        <f>VLOOKUP($B1049,'D7 - NDB Impacted SPRF''s'!$E$16:$O$9929,4,FALSE)</f>
        <v>Completed</v>
      </c>
      <c r="AC1049" s="380" t="str">
        <f>VLOOKUP($B1049,'D7 - NDB Impacted SPRF''s'!$E$16:$O$9929,3,FALSE)</f>
        <v>UHG IT - Enterprise Technology Services</v>
      </c>
      <c r="AD1049" s="380" t="str">
        <f>VLOOKUP($B1049,'D7 - NDB Impacted SPRF''s'!$E$16:$O$9929,5,FALSE)</f>
        <v>Computer Services</v>
      </c>
      <c r="AE1049" s="380" t="str">
        <f>VLOOKUP($B1049,'D7 - NDB Impacted SPRF''s'!$E$16:$O$9929,7,FALSE)</f>
        <v>Darrell Brooks</v>
      </c>
      <c r="AF1049" s="380" t="str">
        <f>VLOOKUP($B1049,'D7 - NDB Impacted SPRF''s'!$E$16:$O$9929,6,FALSE)</f>
        <v>MICHAEL GWIN</v>
      </c>
      <c r="AG1049" s="282"/>
      <c r="AH1049" s="311" t="e">
        <f>INDEX('D5 - Gatekeeper - Projects'!$A$4:$AF$1010,$AM1049, 17)</f>
        <v>#N/A</v>
      </c>
      <c r="AI1049" s="8"/>
      <c r="AJ1049" s="57"/>
      <c r="AK1049" s="105"/>
      <c r="AM1049" s="6" t="e">
        <f>MATCH(D1049,'D5 - Gatekeeper - Projects'!$C$4:$C$1010,0)</f>
        <v>#N/A</v>
      </c>
      <c r="AN1049" s="6" t="b">
        <f t="shared" si="96"/>
        <v>1</v>
      </c>
      <c r="AO1049" s="6" t="str">
        <f t="shared" si="99"/>
        <v>OK</v>
      </c>
      <c r="AQ1049" s="6" t="e">
        <f>MATCH($D1049,'D4 - Provider Council Unsched'!$C$11:$C$234,0)</f>
        <v>#N/A</v>
      </c>
      <c r="AR1049" s="6" t="b">
        <f t="shared" si="97"/>
        <v>1</v>
      </c>
      <c r="AS1049" s="6" t="str">
        <f>IF(AND(H1049="2 - Not Scheduled",AR1049=TRUE,C1049="R1"),"Add","OK")</f>
        <v>OK</v>
      </c>
      <c r="AU1049" s="202"/>
      <c r="AV1049" s="262"/>
      <c r="AW1049" s="274"/>
    </row>
    <row r="1050" spans="1:49" s="13" customFormat="1" ht="45" x14ac:dyDescent="0.2">
      <c r="A1050" s="14">
        <v>1026</v>
      </c>
      <c r="B1050" s="14">
        <v>400023210</v>
      </c>
      <c r="C1050" s="8" t="s">
        <v>3763</v>
      </c>
      <c r="D1050" s="4" t="str">
        <f t="shared" si="98"/>
        <v>400023210R2</v>
      </c>
      <c r="E1050" s="309" t="str">
        <f>VLOOKUP($B1050,'D7 - NDB Impacted SPRF''s'!$E$6:$O$9929,2,FALSE)</f>
        <v>CSS Phase 2 Release 1</v>
      </c>
      <c r="F1050" s="8" t="s">
        <v>2114</v>
      </c>
      <c r="G1050" s="8" t="s">
        <v>4758</v>
      </c>
      <c r="H1050" s="8" t="s">
        <v>4246</v>
      </c>
      <c r="I1050" s="20">
        <v>1.07</v>
      </c>
      <c r="J1050" s="8" t="s">
        <v>4862</v>
      </c>
      <c r="K1050" s="182">
        <v>39886</v>
      </c>
      <c r="L1050" s="8" t="s">
        <v>5743</v>
      </c>
      <c r="M1050" s="8" t="s">
        <v>5626</v>
      </c>
      <c r="N1050" s="38" t="s">
        <v>7017</v>
      </c>
      <c r="O1050" s="8" t="s">
        <v>7299</v>
      </c>
      <c r="P1050" s="4" t="str">
        <f>VLOOKUP($B1050,'D7 - NDB Impacted SPRF''s'!$E$16:$O$9929,9,FALSE)</f>
        <v>N</v>
      </c>
      <c r="Q1050" s="4" t="str">
        <f>VLOOKUP($B1050,'D7 - NDB Impacted SPRF''s'!$E$16:$O$9929,10,FALSE)</f>
        <v>N</v>
      </c>
      <c r="R1050" s="4" t="str">
        <f>VLOOKUP($B1050,'D7 - NDB Impacted SPRF''s'!$E$16:$O$9929,11,FALSE)</f>
        <v>N</v>
      </c>
      <c r="S1050" s="8"/>
      <c r="T1050" s="310"/>
      <c r="U1050" s="310"/>
      <c r="V1050" s="4"/>
      <c r="W1050" s="4"/>
      <c r="X1050" s="4"/>
      <c r="Y1050" s="4"/>
      <c r="Z1050" s="4"/>
      <c r="AA1050" s="4"/>
      <c r="AB1050" s="380" t="str">
        <f>VLOOKUP($B1050,'D7 - NDB Impacted SPRF''s'!$E$16:$O$9929,4,FALSE)</f>
        <v>Cancelled</v>
      </c>
      <c r="AC1050" s="380" t="str">
        <f>VLOOKUP($B1050,'D7 - NDB Impacted SPRF''s'!$E$16:$O$9929,3,FALSE)</f>
        <v>UnitedHealthcare Medicare &amp; Retirement</v>
      </c>
      <c r="AD1050" s="380" t="str">
        <f>VLOOKUP($B1050,'D7 - NDB Impacted SPRF''s'!$E$16:$O$9929,5,FALSE)</f>
        <v>Enterprise Clinical</v>
      </c>
      <c r="AE1050" s="380" t="str">
        <f>VLOOKUP($B1050,'D7 - NDB Impacted SPRF''s'!$E$16:$O$9929,7,FALSE)</f>
        <v>Bob Shandley</v>
      </c>
      <c r="AF1050" s="380" t="str">
        <f>VLOOKUP($B1050,'D7 - NDB Impacted SPRF''s'!$E$16:$O$9929,6,FALSE)</f>
        <v>Steve Frankel</v>
      </c>
      <c r="AG1050" s="282"/>
      <c r="AH1050" s="311" t="e">
        <f>INDEX('D5 - Gatekeeper - Projects'!$A$4:$AF$1010,$AM1050, 17)</f>
        <v>#N/A</v>
      </c>
      <c r="AI1050" s="8"/>
      <c r="AJ1050" s="57"/>
      <c r="AK1050" s="105"/>
      <c r="AM1050" s="6" t="e">
        <f>MATCH(D1050,'D5 - Gatekeeper - Projects'!$C$4:$C$1010,0)</f>
        <v>#N/A</v>
      </c>
      <c r="AN1050" s="6" t="b">
        <f t="shared" si="96"/>
        <v>1</v>
      </c>
      <c r="AO1050" s="6" t="str">
        <f t="shared" si="99"/>
        <v>OK</v>
      </c>
      <c r="AQ1050" s="6" t="e">
        <f>MATCH($D1050,'D4 - Provider Council Unsched'!$C$11:$C$234,0)</f>
        <v>#N/A</v>
      </c>
      <c r="AR1050" s="6" t="b">
        <f t="shared" si="97"/>
        <v>1</v>
      </c>
      <c r="AS1050" s="6" t="str">
        <f>IF(AND(H1050="2 - Not Scheduled",AR1050=TRUE,C1050="R1"),"Add","OK")</f>
        <v>OK</v>
      </c>
      <c r="AU1050" s="202"/>
      <c r="AV1050" s="262"/>
      <c r="AW1050" s="274"/>
    </row>
    <row r="1051" spans="1:49" s="13" customFormat="1" ht="33.75" x14ac:dyDescent="0.2">
      <c r="A1051" s="14">
        <v>1027</v>
      </c>
      <c r="B1051" s="14">
        <v>400023659</v>
      </c>
      <c r="C1051" s="8" t="s">
        <v>3763</v>
      </c>
      <c r="D1051" s="4" t="str">
        <f t="shared" si="98"/>
        <v>400023659R2</v>
      </c>
      <c r="E1051" s="309" t="str">
        <f>VLOOKUP($B1051,'D7 - NDB Impacted SPRF''s'!$E$6:$O$9929,2,FALSE)</f>
        <v>Non-Par Pricing for Legacy Platforms</v>
      </c>
      <c r="F1051" s="8" t="s">
        <v>2114</v>
      </c>
      <c r="G1051" s="8" t="s">
        <v>4758</v>
      </c>
      <c r="H1051" s="8" t="s">
        <v>4246</v>
      </c>
      <c r="I1051" s="20">
        <v>1.5</v>
      </c>
      <c r="J1051" s="8" t="s">
        <v>4862</v>
      </c>
      <c r="K1051" s="182">
        <v>39886</v>
      </c>
      <c r="L1051" s="8" t="s">
        <v>4156</v>
      </c>
      <c r="M1051" s="8" t="s">
        <v>4850</v>
      </c>
      <c r="N1051" s="38"/>
      <c r="O1051" s="8" t="s">
        <v>7299</v>
      </c>
      <c r="P1051" s="4" t="str">
        <f>VLOOKUP($B1051,'D7 - NDB Impacted SPRF''s'!$E$16:$O$9929,9,FALSE)</f>
        <v>N</v>
      </c>
      <c r="Q1051" s="4" t="str">
        <f>VLOOKUP($B1051,'D7 - NDB Impacted SPRF''s'!$E$16:$O$9929,10,FALSE)</f>
        <v>N</v>
      </c>
      <c r="R1051" s="4" t="str">
        <f>VLOOKUP($B1051,'D7 - NDB Impacted SPRF''s'!$E$16:$O$9929,11,FALSE)</f>
        <v>Y</v>
      </c>
      <c r="S1051" s="8"/>
      <c r="T1051" s="310"/>
      <c r="U1051" s="310"/>
      <c r="V1051" s="4"/>
      <c r="W1051" s="4"/>
      <c r="X1051" s="4"/>
      <c r="Y1051" s="4"/>
      <c r="Z1051" s="4"/>
      <c r="AA1051" s="4"/>
      <c r="AB1051" s="380" t="str">
        <f>VLOOKUP($B1051,'D7 - NDB Impacted SPRF''s'!$E$16:$O$9929,4,FALSE)</f>
        <v>Completed</v>
      </c>
      <c r="AC1051" s="380" t="str">
        <f>VLOOKUP($B1051,'D7 - NDB Impacted SPRF''s'!$E$16:$O$9929,3,FALSE)</f>
        <v>UnitedHealthcare Employer &amp; Individual</v>
      </c>
      <c r="AD1051" s="380" t="str">
        <f>VLOOKUP($B1051,'D7 - NDB Impacted SPRF''s'!$E$16:$O$9929,5,FALSE)</f>
        <v>Medical Cost Savings Programs</v>
      </c>
      <c r="AE1051" s="380" t="str">
        <f>VLOOKUP($B1051,'D7 - NDB Impacted SPRF''s'!$E$16:$O$9929,7,FALSE)</f>
        <v>John Haben</v>
      </c>
      <c r="AF1051" s="380" t="str">
        <f>VLOOKUP($B1051,'D7 - NDB Impacted SPRF''s'!$E$16:$O$9929,6,FALSE)</f>
        <v>Burke Claire M</v>
      </c>
      <c r="AG1051" s="282"/>
      <c r="AH1051" s="311" t="e">
        <f>INDEX('D5 - Gatekeeper - Projects'!$A$4:$AF$1010,$AM1051, 17)</f>
        <v>#N/A</v>
      </c>
      <c r="AI1051" s="8"/>
      <c r="AJ1051" s="57"/>
      <c r="AK1051" s="105"/>
      <c r="AM1051" s="6" t="e">
        <f>MATCH(D1051,'D5 - Gatekeeper - Projects'!$C$4:$C$1010,0)</f>
        <v>#N/A</v>
      </c>
      <c r="AN1051" s="6" t="b">
        <f t="shared" si="96"/>
        <v>1</v>
      </c>
      <c r="AO1051" s="6" t="str">
        <f t="shared" si="99"/>
        <v>OK</v>
      </c>
      <c r="AQ1051" s="6" t="e">
        <f>MATCH($D1051,'D4 - Provider Council Unsched'!$C$11:$C$234,0)</f>
        <v>#N/A</v>
      </c>
      <c r="AR1051" s="6" t="b">
        <f t="shared" si="97"/>
        <v>1</v>
      </c>
      <c r="AS1051" s="6" t="str">
        <f>IF(AND(H1051="2 - Not Scheduled",AR1051=TRUE,C1051="R1"),"Add","OK")</f>
        <v>OK</v>
      </c>
      <c r="AU1051" s="202"/>
      <c r="AV1051" s="262"/>
      <c r="AW1051" s="274"/>
    </row>
    <row r="1052" spans="1:49" s="13" customFormat="1" ht="33.75" x14ac:dyDescent="0.2">
      <c r="A1052" s="14">
        <v>1028</v>
      </c>
      <c r="B1052" s="14">
        <v>400024378</v>
      </c>
      <c r="C1052" s="8" t="s">
        <v>5197</v>
      </c>
      <c r="D1052" s="4" t="str">
        <f t="shared" si="98"/>
        <v>400024378R1</v>
      </c>
      <c r="E1052" s="309" t="str">
        <f>VLOOKUP($B1052,'D7 - NDB Impacted SPRF''s'!$E$6:$O$9929,2,FALSE)</f>
        <v>PHS W1R1 Emptoris 2009 Requirements</v>
      </c>
      <c r="F1052" s="8" t="s">
        <v>6071</v>
      </c>
      <c r="G1052" s="8" t="s">
        <v>4758</v>
      </c>
      <c r="H1052" s="8" t="s">
        <v>4246</v>
      </c>
      <c r="I1052" s="20">
        <f>1239/150</f>
        <v>8.26</v>
      </c>
      <c r="J1052" s="8" t="s">
        <v>4862</v>
      </c>
      <c r="K1052" s="182">
        <v>39886</v>
      </c>
      <c r="L1052" s="8" t="s">
        <v>5743</v>
      </c>
      <c r="M1052" s="8" t="s">
        <v>2814</v>
      </c>
      <c r="N1052" s="38"/>
      <c r="O1052" s="8" t="s">
        <v>7299</v>
      </c>
      <c r="P1052" s="4" t="str">
        <f>VLOOKUP($B1052,'D7 - NDB Impacted SPRF''s'!$E$16:$O$9929,9,FALSE)</f>
        <v>N</v>
      </c>
      <c r="Q1052" s="4" t="str">
        <f>VLOOKUP($B1052,'D7 - NDB Impacted SPRF''s'!$E$16:$O$9929,10,FALSE)</f>
        <v>N</v>
      </c>
      <c r="R1052" s="4" t="str">
        <f>VLOOKUP($B1052,'D7 - NDB Impacted SPRF''s'!$E$16:$O$9929,11,FALSE)</f>
        <v>N</v>
      </c>
      <c r="S1052" s="8"/>
      <c r="T1052" s="310"/>
      <c r="U1052" s="310"/>
      <c r="V1052" s="4"/>
      <c r="W1052" s="4"/>
      <c r="X1052" s="4"/>
      <c r="Y1052" s="4"/>
      <c r="Z1052" s="4"/>
      <c r="AA1052" s="4"/>
      <c r="AB1052" s="380" t="str">
        <f>VLOOKUP($B1052,'D7 - NDB Impacted SPRF''s'!$E$16:$O$9929,4,FALSE)</f>
        <v>Completed</v>
      </c>
      <c r="AC1052" s="380" t="str">
        <f>VLOOKUP($B1052,'D7 - NDB Impacted SPRF''s'!$E$16:$O$9929,3,FALSE)</f>
        <v>UnitedHealthcare Employer &amp; Individual</v>
      </c>
      <c r="AD1052" s="380" t="str">
        <f>VLOOKUP($B1052,'D7 - NDB Impacted SPRF''s'!$E$16:$O$9929,5,FALSE)</f>
        <v>Integration Requirements</v>
      </c>
      <c r="AE1052" s="380" t="str">
        <f>VLOOKUP($B1052,'D7 - NDB Impacted SPRF''s'!$E$16:$O$9929,7,FALSE)</f>
        <v>Diana Schofield/Eileen Dock</v>
      </c>
      <c r="AF1052" s="380" t="str">
        <f>VLOOKUP($B1052,'D7 - NDB Impacted SPRF''s'!$E$16:$O$9929,6,FALSE)</f>
        <v>JOSHUA WOODRUM</v>
      </c>
      <c r="AG1052" s="282"/>
      <c r="AH1052" s="311" t="e">
        <f>INDEX('D5 - Gatekeeper - Projects'!$A$4:$AF$1010,$AM1052, 17)</f>
        <v>#N/A</v>
      </c>
      <c r="AI1052" s="8"/>
      <c r="AJ1052" s="57"/>
      <c r="AK1052" s="105"/>
      <c r="AM1052" s="6" t="e">
        <f>MATCH(D1052,'D5 - Gatekeeper - Projects'!$C$4:$C$1010,0)</f>
        <v>#N/A</v>
      </c>
      <c r="AN1052" s="6" t="b">
        <f t="shared" si="96"/>
        <v>1</v>
      </c>
      <c r="AO1052" s="6" t="str">
        <f t="shared" si="99"/>
        <v>OK</v>
      </c>
      <c r="AQ1052" s="6" t="e">
        <f>MATCH($D1052,'D4 - Provider Council Unsched'!$C$11:$C$234,0)</f>
        <v>#N/A</v>
      </c>
      <c r="AR1052" s="6" t="b">
        <f t="shared" si="97"/>
        <v>1</v>
      </c>
      <c r="AS1052" s="6" t="str">
        <f t="shared" ref="AS1052:AS1059" si="100">IF(AND(H1052="2 - Not Scheduled",AR1052=TRUE),"Add","OK")</f>
        <v>OK</v>
      </c>
      <c r="AU1052" s="202"/>
      <c r="AV1052" s="262"/>
      <c r="AW1052" s="274"/>
    </row>
    <row r="1053" spans="1:49" s="13" customFormat="1" ht="22.5" x14ac:dyDescent="0.2">
      <c r="A1053" s="14">
        <v>1029</v>
      </c>
      <c r="B1053" s="14">
        <v>400025129</v>
      </c>
      <c r="C1053" s="8" t="s">
        <v>5197</v>
      </c>
      <c r="D1053" s="4" t="str">
        <f t="shared" si="98"/>
        <v>400025129R1</v>
      </c>
      <c r="E1053" s="309" t="str">
        <f>VLOOKUP($B1053,'D7 - NDB Impacted SPRF''s'!$E$6:$O$9929,2,FALSE)</f>
        <v>OptumHealth ISET &amp; KM Implementation</v>
      </c>
      <c r="F1053" s="8" t="s">
        <v>2114</v>
      </c>
      <c r="G1053" s="8" t="s">
        <v>4758</v>
      </c>
      <c r="H1053" s="8" t="s">
        <v>4246</v>
      </c>
      <c r="I1053" s="20">
        <v>4.47</v>
      </c>
      <c r="J1053" s="8" t="s">
        <v>4862</v>
      </c>
      <c r="K1053" s="182">
        <v>39886</v>
      </c>
      <c r="L1053" s="8" t="s">
        <v>5743</v>
      </c>
      <c r="M1053" s="8" t="s">
        <v>6688</v>
      </c>
      <c r="N1053" s="38" t="s">
        <v>5072</v>
      </c>
      <c r="O1053" s="8" t="s">
        <v>2547</v>
      </c>
      <c r="P1053" s="4" t="str">
        <f>VLOOKUP($B1053,'D7 - NDB Impacted SPRF''s'!$E$16:$O$9929,9,FALSE)</f>
        <v>Y</v>
      </c>
      <c r="Q1053" s="4" t="str">
        <f>VLOOKUP($B1053,'D7 - NDB Impacted SPRF''s'!$E$16:$O$9929,10,FALSE)</f>
        <v>N</v>
      </c>
      <c r="R1053" s="4" t="str">
        <f>VLOOKUP($B1053,'D7 - NDB Impacted SPRF''s'!$E$16:$O$9929,11,FALSE)</f>
        <v>N</v>
      </c>
      <c r="S1053" s="8"/>
      <c r="T1053" s="310"/>
      <c r="U1053" s="310"/>
      <c r="V1053" s="4"/>
      <c r="W1053" s="4"/>
      <c r="X1053" s="4"/>
      <c r="Y1053" s="4"/>
      <c r="Z1053" s="4"/>
      <c r="AA1053" s="4"/>
      <c r="AB1053" s="380" t="str">
        <f>VLOOKUP($B1053,'D7 - NDB Impacted SPRF''s'!$E$16:$O$9929,4,FALSE)</f>
        <v>Completed</v>
      </c>
      <c r="AC1053" s="380" t="str">
        <f>VLOOKUP($B1053,'D7 - NDB Impacted SPRF''s'!$E$16:$O$9929,3,FALSE)</f>
        <v>OptumHealth</v>
      </c>
      <c r="AD1053" s="380" t="str">
        <f>VLOOKUP($B1053,'D7 - NDB Impacted SPRF''s'!$E$16:$O$9929,5,FALSE)</f>
        <v>Behavioral Solutions</v>
      </c>
      <c r="AE1053" s="380" t="str">
        <f>VLOOKUP($B1053,'D7 - NDB Impacted SPRF''s'!$E$16:$O$9929,7,FALSE)</f>
        <v>Lloyd Dyer</v>
      </c>
      <c r="AF1053" s="380" t="str">
        <f>VLOOKUP($B1053,'D7 - NDB Impacted SPRF''s'!$E$16:$O$9929,6,FALSE)</f>
        <v>Cynthia Barwin</v>
      </c>
      <c r="AG1053" s="282"/>
      <c r="AH1053" s="311" t="e">
        <f>INDEX('D5 - Gatekeeper - Projects'!$A$4:$AF$1010,$AM1053, 17)</f>
        <v>#N/A</v>
      </c>
      <c r="AI1053" s="8"/>
      <c r="AJ1053" s="57"/>
      <c r="AK1053" s="105"/>
      <c r="AM1053" s="6" t="e">
        <f>MATCH(D1053,'D5 - Gatekeeper - Projects'!$C$4:$C$1010,0)</f>
        <v>#N/A</v>
      </c>
      <c r="AN1053" s="6" t="b">
        <f t="shared" si="96"/>
        <v>1</v>
      </c>
      <c r="AO1053" s="6" t="str">
        <f t="shared" si="99"/>
        <v>OK</v>
      </c>
      <c r="AQ1053" s="6" t="e">
        <f>MATCH($D1053,'D4 - Provider Council Unsched'!$C$11:$C$234,0)</f>
        <v>#N/A</v>
      </c>
      <c r="AR1053" s="6" t="b">
        <f t="shared" si="97"/>
        <v>1</v>
      </c>
      <c r="AS1053" s="6" t="str">
        <f t="shared" si="100"/>
        <v>OK</v>
      </c>
      <c r="AU1053" s="202"/>
      <c r="AV1053" s="262"/>
      <c r="AW1053" s="274"/>
    </row>
    <row r="1054" spans="1:49" s="13" customFormat="1" ht="33.75" x14ac:dyDescent="0.2">
      <c r="A1054" s="14">
        <v>1030</v>
      </c>
      <c r="B1054" s="14">
        <v>400025395</v>
      </c>
      <c r="C1054" s="8" t="s">
        <v>3763</v>
      </c>
      <c r="D1054" s="4" t="str">
        <f t="shared" si="98"/>
        <v>400025395R2</v>
      </c>
      <c r="E1054" s="309" t="str">
        <f>VLOOKUP($B1054,'D7 - NDB Impacted SPRF''s'!$E$6:$O$9929,2,FALSE)</f>
        <v xml:space="preserve">COSMOS Port - Unisys to IBM - May 2008  </v>
      </c>
      <c r="F1054" s="8" t="s">
        <v>5787</v>
      </c>
      <c r="G1054" s="8" t="s">
        <v>4758</v>
      </c>
      <c r="H1054" s="8" t="s">
        <v>4246</v>
      </c>
      <c r="I1054" s="20">
        <v>1.28</v>
      </c>
      <c r="J1054" s="8" t="s">
        <v>4862</v>
      </c>
      <c r="K1054" s="182">
        <v>39886</v>
      </c>
      <c r="L1054" s="8" t="s">
        <v>5743</v>
      </c>
      <c r="M1054" s="8" t="s">
        <v>4450</v>
      </c>
      <c r="N1054" s="38" t="s">
        <v>3805</v>
      </c>
      <c r="O1054" s="8"/>
      <c r="P1054" s="4" t="str">
        <f>VLOOKUP($B1054,'D7 - NDB Impacted SPRF''s'!$E$16:$O$9929,9,FALSE)</f>
        <v>Y</v>
      </c>
      <c r="Q1054" s="4" t="str">
        <f>VLOOKUP($B1054,'D7 - NDB Impacted SPRF''s'!$E$16:$O$9929,10,FALSE)</f>
        <v>N</v>
      </c>
      <c r="R1054" s="4" t="str">
        <f>VLOOKUP($B1054,'D7 - NDB Impacted SPRF''s'!$E$16:$O$9929,11,FALSE)</f>
        <v>N</v>
      </c>
      <c r="S1054" s="8"/>
      <c r="T1054" s="310"/>
      <c r="U1054" s="310"/>
      <c r="V1054" s="4"/>
      <c r="W1054" s="4"/>
      <c r="X1054" s="4"/>
      <c r="Y1054" s="4"/>
      <c r="Z1054" s="4"/>
      <c r="AA1054" s="4"/>
      <c r="AB1054" s="380" t="str">
        <f>VLOOKUP($B1054,'D7 - NDB Impacted SPRF''s'!$E$16:$O$9929,4,FALSE)</f>
        <v>Completed</v>
      </c>
      <c r="AC1054" s="380" t="str">
        <f>VLOOKUP($B1054,'D7 - NDB Impacted SPRF''s'!$E$16:$O$9929,3,FALSE)</f>
        <v>UHG IT - Application Services Group</v>
      </c>
      <c r="AD1054" s="380" t="str">
        <f>VLOOKUP($B1054,'D7 - NDB Impacted SPRF''s'!$E$16:$O$9929,5,FALSE)</f>
        <v>ASG</v>
      </c>
      <c r="AE1054" s="380" t="str">
        <f>VLOOKUP($B1054,'D7 - NDB Impacted SPRF''s'!$E$16:$O$9929,7,FALSE)</f>
        <v>John Santelli</v>
      </c>
      <c r="AF1054" s="380" t="str">
        <f>VLOOKUP($B1054,'D7 - NDB Impacted SPRF''s'!$E$16:$O$9929,6,FALSE)</f>
        <v>CHRISTINE VU</v>
      </c>
      <c r="AG1054" s="282"/>
      <c r="AH1054" s="311" t="e">
        <f>INDEX('D5 - Gatekeeper - Projects'!$A$4:$AF$1010,$AM1054, 17)</f>
        <v>#N/A</v>
      </c>
      <c r="AI1054" s="8"/>
      <c r="AJ1054" s="57"/>
      <c r="AK1054" s="105"/>
      <c r="AM1054" s="6" t="e">
        <f>MATCH(D1054,'D5 - Gatekeeper - Projects'!$C$4:$C$1010,0)</f>
        <v>#N/A</v>
      </c>
      <c r="AN1054" s="6" t="b">
        <f t="shared" si="96"/>
        <v>1</v>
      </c>
      <c r="AO1054" s="6" t="str">
        <f t="shared" si="99"/>
        <v>OK</v>
      </c>
      <c r="AQ1054" s="6" t="e">
        <f>MATCH($D1054,'D4 - Provider Council Unsched'!$C$11:$C$234,0)</f>
        <v>#N/A</v>
      </c>
      <c r="AR1054" s="6" t="b">
        <f t="shared" si="97"/>
        <v>1</v>
      </c>
      <c r="AS1054" s="6" t="str">
        <f t="shared" si="100"/>
        <v>OK</v>
      </c>
      <c r="AU1054" s="202"/>
      <c r="AV1054" s="262"/>
      <c r="AW1054" s="274"/>
    </row>
    <row r="1055" spans="1:49" s="13" customFormat="1" ht="56.25" x14ac:dyDescent="0.2">
      <c r="A1055" s="14">
        <v>1031</v>
      </c>
      <c r="B1055" s="14">
        <v>400026362</v>
      </c>
      <c r="C1055" s="8" t="s">
        <v>5197</v>
      </c>
      <c r="D1055" s="4" t="str">
        <f t="shared" si="98"/>
        <v>400026362R1</v>
      </c>
      <c r="E1055" s="309" t="str">
        <f>VLOOKUP($B1055,'D7 - NDB Impacted SPRF''s'!$E$6:$O$9929,2,FALSE)</f>
        <v>Premium Designation Market File Updates - Oxford</v>
      </c>
      <c r="F1055" s="8" t="s">
        <v>8133</v>
      </c>
      <c r="G1055" s="8" t="s">
        <v>4758</v>
      </c>
      <c r="H1055" s="8" t="s">
        <v>4246</v>
      </c>
      <c r="I1055" s="20">
        <v>1.07</v>
      </c>
      <c r="J1055" s="8" t="s">
        <v>4862</v>
      </c>
      <c r="K1055" s="182">
        <v>39886</v>
      </c>
      <c r="L1055" s="8" t="s">
        <v>4156</v>
      </c>
      <c r="M1055" s="8" t="s">
        <v>6007</v>
      </c>
      <c r="N1055" s="38" t="s">
        <v>7246</v>
      </c>
      <c r="O1055" s="8"/>
      <c r="P1055" s="4" t="str">
        <f>VLOOKUP($B1055,'D7 - NDB Impacted SPRF''s'!$E$16:$O$9929,9,FALSE)</f>
        <v>N</v>
      </c>
      <c r="Q1055" s="4" t="str">
        <f>VLOOKUP($B1055,'D7 - NDB Impacted SPRF''s'!$E$16:$O$9929,10,FALSE)</f>
        <v>N</v>
      </c>
      <c r="R1055" s="4" t="str">
        <f>VLOOKUP($B1055,'D7 - NDB Impacted SPRF''s'!$E$16:$O$9929,11,FALSE)</f>
        <v>N</v>
      </c>
      <c r="S1055" s="8"/>
      <c r="T1055" s="310"/>
      <c r="U1055" s="310"/>
      <c r="V1055" s="4"/>
      <c r="W1055" s="4"/>
      <c r="X1055" s="4"/>
      <c r="Y1055" s="4"/>
      <c r="Z1055" s="4"/>
      <c r="AA1055" s="4"/>
      <c r="AB1055" s="380" t="str">
        <f>VLOOKUP($B1055,'D7 - NDB Impacted SPRF''s'!$E$16:$O$9929,4,FALSE)</f>
        <v>Completed</v>
      </c>
      <c r="AC1055" s="380" t="str">
        <f>VLOOKUP($B1055,'D7 - NDB Impacted SPRF''s'!$E$16:$O$9929,3,FALSE)</f>
        <v>UnitedHealthcare Employer &amp; Individual</v>
      </c>
      <c r="AD1055" s="380" t="str">
        <f>VLOOKUP($B1055,'D7 - NDB Impacted SPRF''s'!$E$16:$O$9929,5,FALSE)</f>
        <v>Integration Requirements</v>
      </c>
      <c r="AE1055" s="380" t="str">
        <f>VLOOKUP($B1055,'D7 - NDB Impacted SPRF''s'!$E$16:$O$9929,7,FALSE)</f>
        <v>Craig Anderson</v>
      </c>
      <c r="AF1055" s="380" t="str">
        <f>VLOOKUP($B1055,'D7 - NDB Impacted SPRF''s'!$E$16:$O$9929,6,FALSE)</f>
        <v>Frederick Wendte</v>
      </c>
      <c r="AG1055" s="282"/>
      <c r="AH1055" s="311" t="e">
        <f>INDEX('D5 - Gatekeeper - Projects'!$A$4:$AF$1010,$AM1055, 17)</f>
        <v>#N/A</v>
      </c>
      <c r="AI1055" s="8"/>
      <c r="AJ1055" s="57"/>
      <c r="AK1055" s="105"/>
      <c r="AM1055" s="6" t="e">
        <f>MATCH(D1055,'D5 - Gatekeeper - Projects'!$C$4:$C$1010,0)</f>
        <v>#N/A</v>
      </c>
      <c r="AN1055" s="6" t="b">
        <f t="shared" si="96"/>
        <v>1</v>
      </c>
      <c r="AO1055" s="6" t="str">
        <f t="shared" si="99"/>
        <v>OK</v>
      </c>
      <c r="AQ1055" s="6" t="e">
        <f>MATCH($D1055,'D4 - Provider Council Unsched'!$C$11:$C$234,0)</f>
        <v>#N/A</v>
      </c>
      <c r="AR1055" s="6" t="b">
        <f t="shared" si="97"/>
        <v>1</v>
      </c>
      <c r="AS1055" s="6" t="str">
        <f t="shared" si="100"/>
        <v>OK</v>
      </c>
      <c r="AU1055" s="202"/>
      <c r="AV1055" s="262"/>
      <c r="AW1055" s="274"/>
    </row>
    <row r="1056" spans="1:49" s="13" customFormat="1" ht="33.75" x14ac:dyDescent="0.2">
      <c r="A1056" s="14">
        <v>1032</v>
      </c>
      <c r="B1056" s="14">
        <v>400026601</v>
      </c>
      <c r="C1056" s="8" t="s">
        <v>5197</v>
      </c>
      <c r="D1056" s="4" t="str">
        <f t="shared" si="98"/>
        <v>400026601R1</v>
      </c>
      <c r="E1056" s="309" t="str">
        <f>VLOOKUP($B1056,'D7 - NDB Impacted SPRF''s'!$E$6:$O$9929,2,FALSE)</f>
        <v>iCES March 2009 Maintenance Release</v>
      </c>
      <c r="F1056" s="8" t="s">
        <v>4471</v>
      </c>
      <c r="G1056" s="8" t="s">
        <v>4758</v>
      </c>
      <c r="H1056" s="8" t="s">
        <v>4246</v>
      </c>
      <c r="I1056" s="20">
        <v>0.53</v>
      </c>
      <c r="J1056" s="8" t="s">
        <v>4862</v>
      </c>
      <c r="K1056" s="182">
        <v>39886</v>
      </c>
      <c r="L1056" s="8" t="s">
        <v>5743</v>
      </c>
      <c r="M1056" s="8" t="s">
        <v>4850</v>
      </c>
      <c r="N1056" s="38"/>
      <c r="O1056" s="8" t="s">
        <v>2000</v>
      </c>
      <c r="P1056" s="4" t="str">
        <f>VLOOKUP($B1056,'D7 - NDB Impacted SPRF''s'!$E$16:$O$9929,9,FALSE)</f>
        <v>Y</v>
      </c>
      <c r="Q1056" s="4" t="str">
        <f>VLOOKUP($B1056,'D7 - NDB Impacted SPRF''s'!$E$16:$O$9929,10,FALSE)</f>
        <v>N</v>
      </c>
      <c r="R1056" s="4" t="str">
        <f>VLOOKUP($B1056,'D7 - NDB Impacted SPRF''s'!$E$16:$O$9929,11,FALSE)</f>
        <v>Y</v>
      </c>
      <c r="S1056" s="8"/>
      <c r="T1056" s="310"/>
      <c r="U1056" s="310"/>
      <c r="V1056" s="4"/>
      <c r="W1056" s="4"/>
      <c r="X1056" s="4"/>
      <c r="Y1056" s="4"/>
      <c r="Z1056" s="4"/>
      <c r="AA1056" s="4"/>
      <c r="AB1056" s="380" t="str">
        <f>VLOOKUP($B1056,'D7 - NDB Impacted SPRF''s'!$E$16:$O$9929,4,FALSE)</f>
        <v>Completed</v>
      </c>
      <c r="AC1056" s="380" t="str">
        <f>VLOOKUP($B1056,'D7 - NDB Impacted SPRF''s'!$E$16:$O$9929,3,FALSE)</f>
        <v>UnitedHealthcare Employer &amp; Individual</v>
      </c>
      <c r="AD1056" s="380" t="str">
        <f>VLOOKUP($B1056,'D7 - NDB Impacted SPRF''s'!$E$16:$O$9929,5,FALSE)</f>
        <v>Operational Requirements</v>
      </c>
      <c r="AE1056" s="380" t="str">
        <f>VLOOKUP($B1056,'D7 - NDB Impacted SPRF''s'!$E$16:$O$9929,7,FALSE)</f>
        <v>Sally Verrilli</v>
      </c>
      <c r="AF1056" s="380" t="str">
        <f>VLOOKUP($B1056,'D7 - NDB Impacted SPRF''s'!$E$16:$O$9929,6,FALSE)</f>
        <v>Shawn McCord</v>
      </c>
      <c r="AG1056" s="282"/>
      <c r="AH1056" s="311" t="e">
        <f>INDEX('D5 - Gatekeeper - Projects'!$A$4:$AF$1010,$AM1056, 17)</f>
        <v>#N/A</v>
      </c>
      <c r="AI1056" s="8"/>
      <c r="AJ1056" s="57"/>
      <c r="AK1056" s="105"/>
      <c r="AM1056" s="6" t="e">
        <f>MATCH(D1056,'D5 - Gatekeeper - Projects'!$C$4:$C$1010,0)</f>
        <v>#N/A</v>
      </c>
      <c r="AN1056" s="6" t="b">
        <f t="shared" si="96"/>
        <v>1</v>
      </c>
      <c r="AO1056" s="6" t="str">
        <f t="shared" si="99"/>
        <v>OK</v>
      </c>
      <c r="AQ1056" s="6" t="e">
        <f>MATCH($D1056,'D4 - Provider Council Unsched'!$C$11:$C$234,0)</f>
        <v>#N/A</v>
      </c>
      <c r="AR1056" s="6" t="b">
        <f t="shared" si="97"/>
        <v>1</v>
      </c>
      <c r="AS1056" s="6" t="str">
        <f t="shared" si="100"/>
        <v>OK</v>
      </c>
      <c r="AU1056" s="202"/>
      <c r="AV1056" s="262"/>
      <c r="AW1056" s="274"/>
    </row>
    <row r="1057" spans="1:49" s="13" customFormat="1" ht="33.75" x14ac:dyDescent="0.2">
      <c r="A1057" s="14">
        <v>1033</v>
      </c>
      <c r="B1057" s="14">
        <v>400026716</v>
      </c>
      <c r="C1057" s="8" t="s">
        <v>5197</v>
      </c>
      <c r="D1057" s="4" t="str">
        <f t="shared" si="98"/>
        <v>400026716R1</v>
      </c>
      <c r="E1057" s="309" t="str">
        <f>VLOOKUP($B1057,'D7 - NDB Impacted SPRF''s'!$E$6:$O$9929,2,FALSE)</f>
        <v>Definity EPDL On-Boarding</v>
      </c>
      <c r="F1057" s="8" t="s">
        <v>2114</v>
      </c>
      <c r="G1057" s="8" t="s">
        <v>4758</v>
      </c>
      <c r="H1057" s="8" t="s">
        <v>4246</v>
      </c>
      <c r="I1057" s="20">
        <v>2.14</v>
      </c>
      <c r="J1057" s="8" t="s">
        <v>4862</v>
      </c>
      <c r="K1057" s="182">
        <v>39886</v>
      </c>
      <c r="L1057" s="8" t="s">
        <v>5743</v>
      </c>
      <c r="M1057" s="8" t="s">
        <v>2814</v>
      </c>
      <c r="N1057" s="38"/>
      <c r="O1057" s="8" t="s">
        <v>7086</v>
      </c>
      <c r="P1057" s="4" t="str">
        <f>VLOOKUP($B1057,'D7 - NDB Impacted SPRF''s'!$E$16:$O$9929,9,FALSE)</f>
        <v>N</v>
      </c>
      <c r="Q1057" s="4" t="str">
        <f>VLOOKUP($B1057,'D7 - NDB Impacted SPRF''s'!$E$16:$O$9929,10,FALSE)</f>
        <v>N</v>
      </c>
      <c r="R1057" s="4" t="str">
        <f>VLOOKUP($B1057,'D7 - NDB Impacted SPRF''s'!$E$16:$O$9929,11,FALSE)</f>
        <v>N</v>
      </c>
      <c r="S1057" s="8"/>
      <c r="T1057" s="310"/>
      <c r="U1057" s="310"/>
      <c r="V1057" s="4"/>
      <c r="W1057" s="4"/>
      <c r="X1057" s="4"/>
      <c r="Y1057" s="4"/>
      <c r="Z1057" s="4"/>
      <c r="AA1057" s="4"/>
      <c r="AB1057" s="380" t="str">
        <f>VLOOKUP($B1057,'D7 - NDB Impacted SPRF''s'!$E$16:$O$9929,4,FALSE)</f>
        <v>Completed</v>
      </c>
      <c r="AC1057" s="380" t="str">
        <f>VLOOKUP($B1057,'D7 - NDB Impacted SPRF''s'!$E$16:$O$9929,3,FALSE)</f>
        <v>UnitedHealthcare Employer &amp; Individual</v>
      </c>
      <c r="AD1057" s="380" t="str">
        <f>VLOOKUP($B1057,'D7 - NDB Impacted SPRF''s'!$E$16:$O$9929,5,FALSE)</f>
        <v>Operational Requirements</v>
      </c>
      <c r="AE1057" s="380" t="str">
        <f>VLOOKUP($B1057,'D7 - NDB Impacted SPRF''s'!$E$16:$O$9929,7,FALSE)</f>
        <v>Nancy Turner</v>
      </c>
      <c r="AF1057" s="380" t="str">
        <f>VLOOKUP($B1057,'D7 - NDB Impacted SPRF''s'!$E$16:$O$9929,6,FALSE)</f>
        <v>JOHN HIEBERT</v>
      </c>
      <c r="AG1057" s="282"/>
      <c r="AH1057" s="311" t="e">
        <f>INDEX('D5 - Gatekeeper - Projects'!$A$4:$AF$1010,$AM1057, 17)</f>
        <v>#N/A</v>
      </c>
      <c r="AI1057" s="8"/>
      <c r="AJ1057" s="57"/>
      <c r="AK1057" s="105"/>
      <c r="AM1057" s="6" t="e">
        <f>MATCH(D1057,'D5 - Gatekeeper - Projects'!$C$4:$C$1010,0)</f>
        <v>#N/A</v>
      </c>
      <c r="AN1057" s="6" t="b">
        <f t="shared" si="96"/>
        <v>1</v>
      </c>
      <c r="AO1057" s="6" t="str">
        <f t="shared" si="99"/>
        <v>OK</v>
      </c>
      <c r="AQ1057" s="6" t="e">
        <f>MATCH($D1057,'D4 - Provider Council Unsched'!$C$11:$C$234,0)</f>
        <v>#N/A</v>
      </c>
      <c r="AR1057" s="6" t="b">
        <f t="shared" si="97"/>
        <v>1</v>
      </c>
      <c r="AS1057" s="6" t="str">
        <f t="shared" si="100"/>
        <v>OK</v>
      </c>
      <c r="AU1057" s="202"/>
      <c r="AV1057" s="262"/>
      <c r="AW1057" s="274"/>
    </row>
    <row r="1058" spans="1:49" s="13" customFormat="1" ht="33.75" x14ac:dyDescent="0.2">
      <c r="A1058" s="14">
        <v>1034</v>
      </c>
      <c r="B1058" s="14">
        <v>400026797</v>
      </c>
      <c r="C1058" s="8" t="s">
        <v>5197</v>
      </c>
      <c r="D1058" s="4" t="str">
        <f t="shared" si="98"/>
        <v>400026797R1</v>
      </c>
      <c r="E1058" s="309" t="str">
        <f>VLOOKUP($B1058,'D7 - NDB Impacted SPRF''s'!$E$6:$O$9929,2,FALSE)</f>
        <v>EDI 278 X12 Notification Implementation Phase 1.5</v>
      </c>
      <c r="F1058" s="8" t="s">
        <v>2114</v>
      </c>
      <c r="G1058" s="8" t="s">
        <v>4758</v>
      </c>
      <c r="H1058" s="8" t="s">
        <v>4246</v>
      </c>
      <c r="I1058" s="20">
        <v>1.07</v>
      </c>
      <c r="J1058" s="8" t="s">
        <v>4862</v>
      </c>
      <c r="K1058" s="182">
        <v>39886</v>
      </c>
      <c r="L1058" s="8" t="s">
        <v>4156</v>
      </c>
      <c r="M1058" s="8" t="s">
        <v>4850</v>
      </c>
      <c r="N1058" s="38"/>
      <c r="O1058" s="8" t="s">
        <v>2000</v>
      </c>
      <c r="P1058" s="4" t="str">
        <f>VLOOKUP($B1058,'D7 - NDB Impacted SPRF''s'!$E$16:$O$9929,9,FALSE)</f>
        <v>Y</v>
      </c>
      <c r="Q1058" s="4" t="str">
        <f>VLOOKUP($B1058,'D7 - NDB Impacted SPRF''s'!$E$16:$O$9929,10,FALSE)</f>
        <v>N</v>
      </c>
      <c r="R1058" s="4" t="str">
        <f>VLOOKUP($B1058,'D7 - NDB Impacted SPRF''s'!$E$16:$O$9929,11,FALSE)</f>
        <v>N</v>
      </c>
      <c r="S1058" s="8"/>
      <c r="T1058" s="310"/>
      <c r="U1058" s="310"/>
      <c r="V1058" s="4"/>
      <c r="W1058" s="4"/>
      <c r="X1058" s="4"/>
      <c r="Y1058" s="4"/>
      <c r="Z1058" s="4"/>
      <c r="AA1058" s="4"/>
      <c r="AB1058" s="380" t="str">
        <f>VLOOKUP($B1058,'D7 - NDB Impacted SPRF''s'!$E$16:$O$9929,4,FALSE)</f>
        <v>Completed</v>
      </c>
      <c r="AC1058" s="380" t="str">
        <f>VLOOKUP($B1058,'D7 - NDB Impacted SPRF''s'!$E$16:$O$9929,3,FALSE)</f>
        <v>UnitedHealthcare Medicare &amp; Retirement</v>
      </c>
      <c r="AD1058" s="380" t="str">
        <f>VLOOKUP($B1058,'D7 - NDB Impacted SPRF''s'!$E$16:$O$9929,5,FALSE)</f>
        <v>Enterprise Clinical</v>
      </c>
      <c r="AE1058" s="380" t="str">
        <f>VLOOKUP($B1058,'D7 - NDB Impacted SPRF''s'!$E$16:$O$9929,7,FALSE)</f>
        <v>Cynthia Middaugh</v>
      </c>
      <c r="AF1058" s="380" t="str">
        <f>VLOOKUP($B1058,'D7 - NDB Impacted SPRF''s'!$E$16:$O$9929,6,FALSE)</f>
        <v>LISA FRIDLAND</v>
      </c>
      <c r="AG1058" s="282"/>
      <c r="AH1058" s="311" t="e">
        <f>INDEX('D5 - Gatekeeper - Projects'!$A$4:$AF$1010,$AM1058, 17)</f>
        <v>#N/A</v>
      </c>
      <c r="AI1058" s="8"/>
      <c r="AJ1058" s="57"/>
      <c r="AK1058" s="105"/>
      <c r="AM1058" s="6" t="e">
        <f>MATCH(D1058,'D5 - Gatekeeper - Projects'!$C$4:$C$1010,0)</f>
        <v>#N/A</v>
      </c>
      <c r="AN1058" s="6" t="b">
        <f t="shared" si="96"/>
        <v>1</v>
      </c>
      <c r="AO1058" s="6" t="str">
        <f t="shared" si="99"/>
        <v>OK</v>
      </c>
      <c r="AQ1058" s="6" t="e">
        <f>MATCH($D1058,'D4 - Provider Council Unsched'!$C$11:$C$234,0)</f>
        <v>#N/A</v>
      </c>
      <c r="AR1058" s="6" t="b">
        <f t="shared" si="97"/>
        <v>1</v>
      </c>
      <c r="AS1058" s="6" t="str">
        <f t="shared" si="100"/>
        <v>OK</v>
      </c>
      <c r="AU1058" s="202"/>
      <c r="AV1058" s="262"/>
      <c r="AW1058" s="274"/>
    </row>
    <row r="1059" spans="1:49" s="13" customFormat="1" ht="45" x14ac:dyDescent="0.2">
      <c r="A1059" s="14">
        <v>1035</v>
      </c>
      <c r="B1059" s="14">
        <v>400027069</v>
      </c>
      <c r="C1059" s="8" t="s">
        <v>5197</v>
      </c>
      <c r="D1059" s="4" t="str">
        <f t="shared" si="98"/>
        <v>400027069R1</v>
      </c>
      <c r="E1059" s="309" t="str">
        <f>VLOOKUP($B1059,'D7 - NDB Impacted SPRF''s'!$E$6:$O$9929,2,FALSE)</f>
        <v>Ovations Provider Search Release 1</v>
      </c>
      <c r="F1059" s="8" t="s">
        <v>8133</v>
      </c>
      <c r="G1059" s="8" t="s">
        <v>4758</v>
      </c>
      <c r="H1059" s="8" t="s">
        <v>4246</v>
      </c>
      <c r="I1059" s="20">
        <v>5.39</v>
      </c>
      <c r="J1059" s="8" t="s">
        <v>4862</v>
      </c>
      <c r="K1059" s="182">
        <v>39886</v>
      </c>
      <c r="L1059" s="8" t="s">
        <v>5743</v>
      </c>
      <c r="M1059" s="8" t="s">
        <v>4450</v>
      </c>
      <c r="N1059" s="38" t="s">
        <v>2176</v>
      </c>
      <c r="O1059" s="8" t="s">
        <v>2875</v>
      </c>
      <c r="P1059" s="4" t="str">
        <f>VLOOKUP($B1059,'D7 - NDB Impacted SPRF''s'!$E$16:$O$9929,9,FALSE)</f>
        <v>N</v>
      </c>
      <c r="Q1059" s="4" t="str">
        <f>VLOOKUP($B1059,'D7 - NDB Impacted SPRF''s'!$E$16:$O$9929,10,FALSE)</f>
        <v>N</v>
      </c>
      <c r="R1059" s="4" t="str">
        <f>VLOOKUP($B1059,'D7 - NDB Impacted SPRF''s'!$E$16:$O$9929,11,FALSE)</f>
        <v>N</v>
      </c>
      <c r="S1059" s="8"/>
      <c r="T1059" s="310"/>
      <c r="U1059" s="310"/>
      <c r="V1059" s="4"/>
      <c r="W1059" s="4"/>
      <c r="X1059" s="4"/>
      <c r="Y1059" s="4"/>
      <c r="Z1059" s="4"/>
      <c r="AA1059" s="4"/>
      <c r="AB1059" s="380" t="str">
        <f>VLOOKUP($B1059,'D7 - NDB Impacted SPRF''s'!$E$16:$O$9929,4,FALSE)</f>
        <v>Completed</v>
      </c>
      <c r="AC1059" s="380" t="str">
        <f>VLOOKUP($B1059,'D7 - NDB Impacted SPRF''s'!$E$16:$O$9929,3,FALSE)</f>
        <v>UnitedHealthcare Medicare &amp; Retirement</v>
      </c>
      <c r="AD1059" s="380" t="str">
        <f>VLOOKUP($B1059,'D7 - NDB Impacted SPRF''s'!$E$16:$O$9929,5,FALSE)</f>
        <v>Tech and Data Management</v>
      </c>
      <c r="AE1059" s="380" t="str">
        <f>VLOOKUP($B1059,'D7 - NDB Impacted SPRF''s'!$E$16:$O$9929,7,FALSE)</f>
        <v>Geoff Vitrano</v>
      </c>
      <c r="AF1059" s="380" t="str">
        <f>VLOOKUP($B1059,'D7 - NDB Impacted SPRF''s'!$E$16:$O$9929,6,FALSE)</f>
        <v>Jessica Tattersall</v>
      </c>
      <c r="AG1059" s="282"/>
      <c r="AH1059" s="311" t="e">
        <f>INDEX('D5 - Gatekeeper - Projects'!$A$4:$AF$1010,$AM1059, 17)</f>
        <v>#N/A</v>
      </c>
      <c r="AI1059" s="8"/>
      <c r="AJ1059" s="57"/>
      <c r="AK1059" s="105"/>
      <c r="AM1059" s="6" t="e">
        <f>MATCH(D1059,'D5 - Gatekeeper - Projects'!$C$4:$C$1010,0)</f>
        <v>#N/A</v>
      </c>
      <c r="AN1059" s="6" t="b">
        <f t="shared" si="96"/>
        <v>1</v>
      </c>
      <c r="AO1059" s="6" t="str">
        <f t="shared" si="99"/>
        <v>OK</v>
      </c>
      <c r="AQ1059" s="6" t="e">
        <f>MATCH($D1059,'D4 - Provider Council Unsched'!$C$11:$C$234,0)</f>
        <v>#N/A</v>
      </c>
      <c r="AR1059" s="6" t="b">
        <f t="shared" si="97"/>
        <v>1</v>
      </c>
      <c r="AS1059" s="6" t="str">
        <f t="shared" si="100"/>
        <v>OK</v>
      </c>
      <c r="AU1059" s="202"/>
      <c r="AV1059" s="262"/>
      <c r="AW1059" s="274"/>
    </row>
    <row r="1060" spans="1:49" s="13" customFormat="1" ht="33.75" x14ac:dyDescent="0.2">
      <c r="A1060" s="14">
        <v>1036</v>
      </c>
      <c r="B1060" s="14">
        <v>400027649</v>
      </c>
      <c r="C1060" s="8" t="s">
        <v>5197</v>
      </c>
      <c r="D1060" s="4" t="str">
        <f t="shared" si="98"/>
        <v>400027649R1</v>
      </c>
      <c r="E1060" s="309" t="str">
        <f>VLOOKUP($B1060,'D7 - NDB Impacted SPRF''s'!$E$6:$O$9929,2,FALSE)</f>
        <v>COSMOS Modernization:  Release 1 - Track 1, 2, &amp; 3</v>
      </c>
      <c r="F1060" s="8" t="s">
        <v>8133</v>
      </c>
      <c r="G1060" s="8" t="s">
        <v>4758</v>
      </c>
      <c r="H1060" s="8" t="s">
        <v>4246</v>
      </c>
      <c r="I1060" s="20">
        <v>1.07</v>
      </c>
      <c r="J1060" s="8" t="s">
        <v>4862</v>
      </c>
      <c r="K1060" s="182">
        <v>39886</v>
      </c>
      <c r="L1060" s="8" t="s">
        <v>4156</v>
      </c>
      <c r="M1060" s="8" t="s">
        <v>6688</v>
      </c>
      <c r="N1060" s="38"/>
      <c r="O1060" s="8" t="s">
        <v>4599</v>
      </c>
      <c r="P1060" s="4" t="str">
        <f>VLOOKUP($B1060,'D7 - NDB Impacted SPRF''s'!$E$16:$O$9929,9,FALSE)</f>
        <v>Y</v>
      </c>
      <c r="Q1060" s="4" t="str">
        <f>VLOOKUP($B1060,'D7 - NDB Impacted SPRF''s'!$E$16:$O$9929,10,FALSE)</f>
        <v>N</v>
      </c>
      <c r="R1060" s="4" t="str">
        <f>VLOOKUP($B1060,'D7 - NDB Impacted SPRF''s'!$E$16:$O$9929,11,FALSE)</f>
        <v>Y</v>
      </c>
      <c r="S1060" s="8"/>
      <c r="T1060" s="310"/>
      <c r="U1060" s="310"/>
      <c r="V1060" s="4"/>
      <c r="W1060" s="4"/>
      <c r="X1060" s="4"/>
      <c r="Y1060" s="4"/>
      <c r="Z1060" s="4"/>
      <c r="AA1060" s="4"/>
      <c r="AB1060" s="380" t="str">
        <f>VLOOKUP($B1060,'D7 - NDB Impacted SPRF''s'!$E$16:$O$9929,4,FALSE)</f>
        <v>Completed</v>
      </c>
      <c r="AC1060" s="380" t="str">
        <f>VLOOKUP($B1060,'D7 - NDB Impacted SPRF''s'!$E$16:$O$9929,3,FALSE)</f>
        <v>UnitedHealthcare Medicare &amp; Retirement</v>
      </c>
      <c r="AD1060" s="380" t="str">
        <f>VLOOKUP($B1060,'D7 - NDB Impacted SPRF''s'!$E$16:$O$9929,5,FALSE)</f>
        <v>Benefit Admin</v>
      </c>
      <c r="AE1060" s="380" t="str">
        <f>VLOOKUP($B1060,'D7 - NDB Impacted SPRF''s'!$E$16:$O$9929,7,FALSE)</f>
        <v>Rich Boyde</v>
      </c>
      <c r="AF1060" s="380" t="str">
        <f>VLOOKUP($B1060,'D7 - NDB Impacted SPRF''s'!$E$16:$O$9929,6,FALSE)</f>
        <v>Jessica Ayers</v>
      </c>
      <c r="AG1060" s="282"/>
      <c r="AH1060" s="311" t="e">
        <f>INDEX('D5 - Gatekeeper - Projects'!$A$4:$AF$1010,$AM1060, 17)</f>
        <v>#N/A</v>
      </c>
      <c r="AI1060" s="8"/>
      <c r="AJ1060" s="57"/>
      <c r="AK1060" s="57"/>
      <c r="AM1060" s="6" t="e">
        <f>MATCH(D1060,'D5 - Gatekeeper - Projects'!$C$4:$C$1010,0)</f>
        <v>#N/A</v>
      </c>
      <c r="AN1060" s="6" t="b">
        <f t="shared" si="96"/>
        <v>1</v>
      </c>
      <c r="AO1060" s="6" t="str">
        <f t="shared" si="99"/>
        <v>OK</v>
      </c>
      <c r="AQ1060" s="6" t="e">
        <f>MATCH($D1060,'D4 - Provider Council Unsched'!$C$11:$C$234,0)</f>
        <v>#N/A</v>
      </c>
      <c r="AR1060" s="6" t="b">
        <f t="shared" si="97"/>
        <v>1</v>
      </c>
      <c r="AS1060" s="6" t="str">
        <f>IF(AND(H1060="2 - Not Scheduled",AR1060=TRUE,C1060="R1"),"Add","OK")</f>
        <v>OK</v>
      </c>
      <c r="AU1060" s="202"/>
      <c r="AV1060" s="262"/>
      <c r="AW1060" s="274"/>
    </row>
    <row r="1061" spans="1:49" s="13" customFormat="1" ht="33.75" x14ac:dyDescent="0.2">
      <c r="A1061" s="14">
        <v>1037</v>
      </c>
      <c r="B1061" s="14">
        <v>400028253</v>
      </c>
      <c r="C1061" s="8" t="s">
        <v>5197</v>
      </c>
      <c r="D1061" s="4" t="str">
        <f t="shared" si="98"/>
        <v>400028253R1</v>
      </c>
      <c r="E1061" s="309" t="str">
        <f>VLOOKUP($B1061,'D7 - NDB Impacted SPRF''s'!$E$6:$O$9929,2,FALSE)</f>
        <v>COSMOS Port - Unisys to IBM - January 2009</v>
      </c>
      <c r="F1061" s="8" t="s">
        <v>8133</v>
      </c>
      <c r="G1061" s="8" t="s">
        <v>4758</v>
      </c>
      <c r="H1061" s="8" t="s">
        <v>4246</v>
      </c>
      <c r="I1061" s="20">
        <v>1.28</v>
      </c>
      <c r="J1061" s="8" t="s">
        <v>4862</v>
      </c>
      <c r="K1061" s="182">
        <v>39886</v>
      </c>
      <c r="L1061" s="8" t="s">
        <v>5743</v>
      </c>
      <c r="M1061" s="8" t="s">
        <v>2814</v>
      </c>
      <c r="N1061" s="38"/>
      <c r="O1061" s="8" t="s">
        <v>4599</v>
      </c>
      <c r="P1061" s="4" t="str">
        <f>VLOOKUP($B1061,'D7 - NDB Impacted SPRF''s'!$E$16:$O$9929,9,FALSE)</f>
        <v>N</v>
      </c>
      <c r="Q1061" s="4" t="str">
        <f>VLOOKUP($B1061,'D7 - NDB Impacted SPRF''s'!$E$16:$O$9929,10,FALSE)</f>
        <v>N</v>
      </c>
      <c r="R1061" s="4" t="str">
        <f>VLOOKUP($B1061,'D7 - NDB Impacted SPRF''s'!$E$16:$O$9929,11,FALSE)</f>
        <v>N</v>
      </c>
      <c r="S1061" s="8"/>
      <c r="T1061" s="310"/>
      <c r="U1061" s="310"/>
      <c r="V1061" s="4"/>
      <c r="W1061" s="4"/>
      <c r="X1061" s="4"/>
      <c r="Y1061" s="4"/>
      <c r="Z1061" s="4"/>
      <c r="AA1061" s="4"/>
      <c r="AB1061" s="380" t="str">
        <f>VLOOKUP($B1061,'D7 - NDB Impacted SPRF''s'!$E$16:$O$9929,4,FALSE)</f>
        <v>Completed</v>
      </c>
      <c r="AC1061" s="380" t="str">
        <f>VLOOKUP($B1061,'D7 - NDB Impacted SPRF''s'!$E$16:$O$9929,3,FALSE)</f>
        <v>UHG IT - Application Services Group</v>
      </c>
      <c r="AD1061" s="380" t="str">
        <f>VLOOKUP($B1061,'D7 - NDB Impacted SPRF''s'!$E$16:$O$9929,5,FALSE)</f>
        <v>ASG</v>
      </c>
      <c r="AE1061" s="380" t="str">
        <f>VLOOKUP($B1061,'D7 - NDB Impacted SPRF''s'!$E$16:$O$9929,7,FALSE)</f>
        <v>John Santelli</v>
      </c>
      <c r="AF1061" s="380" t="str">
        <f>VLOOKUP($B1061,'D7 - NDB Impacted SPRF''s'!$E$16:$O$9929,6,FALSE)</f>
        <v>Nanette Poole</v>
      </c>
      <c r="AG1061" s="282"/>
      <c r="AH1061" s="311" t="e">
        <f>INDEX('D5 - Gatekeeper - Projects'!$A$4:$AF$1010,$AM1061, 17)</f>
        <v>#N/A</v>
      </c>
      <c r="AI1061" s="8"/>
      <c r="AJ1061" s="57"/>
      <c r="AK1061" s="57"/>
      <c r="AM1061" s="6" t="e">
        <f>MATCH(D1061,'D5 - Gatekeeper - Projects'!$C$4:$C$1010,0)</f>
        <v>#N/A</v>
      </c>
      <c r="AN1061" s="6" t="b">
        <f t="shared" si="96"/>
        <v>1</v>
      </c>
      <c r="AO1061" s="6" t="str">
        <f t="shared" si="99"/>
        <v>OK</v>
      </c>
      <c r="AQ1061" s="6" t="e">
        <f>MATCH($D1061,'D4 - Provider Council Unsched'!$C$11:$C$234,0)</f>
        <v>#N/A</v>
      </c>
      <c r="AR1061" s="6" t="b">
        <f t="shared" si="97"/>
        <v>1</v>
      </c>
      <c r="AS1061" s="6" t="str">
        <f>IF(AND(H1061="2 - Not Scheduled",AR1061=TRUE),"Add","OK")</f>
        <v>OK</v>
      </c>
      <c r="AU1061" s="202"/>
      <c r="AV1061" s="262"/>
      <c r="AW1061" s="274"/>
    </row>
    <row r="1062" spans="1:49" s="13" customFormat="1" ht="33.75" x14ac:dyDescent="0.2">
      <c r="A1062" s="14">
        <v>1038</v>
      </c>
      <c r="B1062" s="14">
        <v>400028305</v>
      </c>
      <c r="C1062" s="8" t="s">
        <v>5197</v>
      </c>
      <c r="D1062" s="4" t="str">
        <f t="shared" si="98"/>
        <v>400028305R1</v>
      </c>
      <c r="E1062" s="309" t="str">
        <f>VLOOKUP($B1062,'D7 - NDB Impacted SPRF''s'!$E$6:$O$9929,2,FALSE)</f>
        <v>Shutdown NDB to Peradigm Feed</v>
      </c>
      <c r="F1062" s="8" t="s">
        <v>2114</v>
      </c>
      <c r="G1062" s="8" t="s">
        <v>4758</v>
      </c>
      <c r="H1062" s="8" t="s">
        <v>4246</v>
      </c>
      <c r="I1062" s="20">
        <f>1410/150</f>
        <v>9.4</v>
      </c>
      <c r="J1062" s="8" t="s">
        <v>4862</v>
      </c>
      <c r="K1062" s="182">
        <v>39886</v>
      </c>
      <c r="L1062" s="8" t="s">
        <v>4156</v>
      </c>
      <c r="M1062" s="8" t="s">
        <v>2814</v>
      </c>
      <c r="N1062" s="38"/>
      <c r="O1062" s="8" t="s">
        <v>7086</v>
      </c>
      <c r="P1062" s="4" t="str">
        <f>VLOOKUP($B1062,'D7 - NDB Impacted SPRF''s'!$E$16:$O$9929,9,FALSE)</f>
        <v>N</v>
      </c>
      <c r="Q1062" s="4" t="str">
        <f>VLOOKUP($B1062,'D7 - NDB Impacted SPRF''s'!$E$16:$O$9929,10,FALSE)</f>
        <v>N</v>
      </c>
      <c r="R1062" s="4" t="str">
        <f>VLOOKUP($B1062,'D7 - NDB Impacted SPRF''s'!$E$16:$O$9929,11,FALSE)</f>
        <v>N</v>
      </c>
      <c r="S1062" s="8"/>
      <c r="T1062" s="310"/>
      <c r="U1062" s="310"/>
      <c r="V1062" s="4"/>
      <c r="W1062" s="4"/>
      <c r="X1062" s="4"/>
      <c r="Y1062" s="4"/>
      <c r="Z1062" s="4"/>
      <c r="AA1062" s="4"/>
      <c r="AB1062" s="380" t="str">
        <f>VLOOKUP($B1062,'D7 - NDB Impacted SPRF''s'!$E$16:$O$9929,4,FALSE)</f>
        <v>Completed</v>
      </c>
      <c r="AC1062" s="380" t="str">
        <f>VLOOKUP($B1062,'D7 - NDB Impacted SPRF''s'!$E$16:$O$9929,3,FALSE)</f>
        <v>UnitedHealthcare Medicare &amp; Retirement</v>
      </c>
      <c r="AD1062" s="380" t="str">
        <f>VLOOKUP($B1062,'D7 - NDB Impacted SPRF''s'!$E$16:$O$9929,5,FALSE)</f>
        <v>Operations</v>
      </c>
      <c r="AE1062" s="380" t="str">
        <f>VLOOKUP($B1062,'D7 - NDB Impacted SPRF''s'!$E$16:$O$9929,7,FALSE)</f>
        <v>Paula Engstrom</v>
      </c>
      <c r="AF1062" s="380" t="str">
        <f>VLOOKUP($B1062,'D7 - NDB Impacted SPRF''s'!$E$16:$O$9929,6,FALSE)</f>
        <v>Jessica Tattersall</v>
      </c>
      <c r="AG1062" s="282"/>
      <c r="AH1062" s="311" t="e">
        <f>INDEX('D5 - Gatekeeper - Projects'!$A$4:$AF$1010,$AM1062, 17)</f>
        <v>#N/A</v>
      </c>
      <c r="AI1062" s="8"/>
      <c r="AJ1062" s="57"/>
      <c r="AK1062" s="57"/>
      <c r="AM1062" s="6" t="e">
        <f>MATCH(D1062,'D5 - Gatekeeper - Projects'!$C$4:$C$1010,0)</f>
        <v>#N/A</v>
      </c>
      <c r="AN1062" s="6" t="b">
        <f t="shared" si="96"/>
        <v>1</v>
      </c>
      <c r="AO1062" s="6" t="str">
        <f t="shared" si="99"/>
        <v>OK</v>
      </c>
      <c r="AQ1062" s="6" t="e">
        <f>MATCH($D1062,'D4 - Provider Council Unsched'!$C$11:$C$234,0)</f>
        <v>#N/A</v>
      </c>
      <c r="AR1062" s="6" t="b">
        <f t="shared" si="97"/>
        <v>1</v>
      </c>
      <c r="AS1062" s="6" t="str">
        <f>IF(AND(H1062="2 - Not Scheduled",AR1062=TRUE),"Add","OK")</f>
        <v>OK</v>
      </c>
      <c r="AU1062" s="202"/>
      <c r="AV1062" s="262"/>
      <c r="AW1062" s="274"/>
    </row>
    <row r="1063" spans="1:49" s="13" customFormat="1" x14ac:dyDescent="0.2">
      <c r="A1063" s="14">
        <v>1039</v>
      </c>
      <c r="B1063" s="14" t="s">
        <v>2820</v>
      </c>
      <c r="C1063" s="8" t="s">
        <v>5197</v>
      </c>
      <c r="D1063" s="4" t="str">
        <f t="shared" si="98"/>
        <v>CE00033R1</v>
      </c>
      <c r="E1063" s="282" t="s">
        <v>2821</v>
      </c>
      <c r="F1063" s="8" t="s">
        <v>2114</v>
      </c>
      <c r="G1063" s="8" t="s">
        <v>4758</v>
      </c>
      <c r="H1063" s="8" t="s">
        <v>4246</v>
      </c>
      <c r="I1063" s="20">
        <v>20</v>
      </c>
      <c r="J1063" s="8" t="s">
        <v>4862</v>
      </c>
      <c r="K1063" s="182">
        <v>39886</v>
      </c>
      <c r="L1063" s="8" t="s">
        <v>5743</v>
      </c>
      <c r="M1063" s="8" t="s">
        <v>4450</v>
      </c>
      <c r="N1063" s="38"/>
      <c r="O1063" s="8" t="s">
        <v>3572</v>
      </c>
      <c r="P1063" s="4" t="e">
        <f>VLOOKUP($B1063,'D7 - NDB Impacted SPRF''s'!$E$16:$O$9929,9,FALSE)</f>
        <v>#N/A</v>
      </c>
      <c r="Q1063" s="4" t="e">
        <f>VLOOKUP($B1063,'D7 - NDB Impacted SPRF''s'!$E$16:$O$9929,10,FALSE)</f>
        <v>#N/A</v>
      </c>
      <c r="R1063" s="4" t="e">
        <f>VLOOKUP($B1063,'D7 - NDB Impacted SPRF''s'!$E$16:$O$9929,11,FALSE)</f>
        <v>#N/A</v>
      </c>
      <c r="S1063" s="8"/>
      <c r="T1063" s="310"/>
      <c r="U1063" s="310"/>
      <c r="V1063" s="4"/>
      <c r="W1063" s="4"/>
      <c r="X1063" s="4"/>
      <c r="Y1063" s="4"/>
      <c r="Z1063" s="4"/>
      <c r="AA1063" s="4"/>
      <c r="AB1063" s="383" t="e">
        <f>VLOOKUP($B1063,'D7 - NDB Impacted SPRF''s'!$E$16:$O$9929,4,FALSE)</f>
        <v>#N/A</v>
      </c>
      <c r="AC1063" s="380" t="e">
        <f>VLOOKUP($B1063,'D7 - NDB Impacted SPRF''s'!$E$16:$O$9929,3,FALSE)</f>
        <v>#N/A</v>
      </c>
      <c r="AD1063" s="380" t="e">
        <f>VLOOKUP($B1063,'D7 - NDB Impacted SPRF''s'!$E$16:$O$9929,5,FALSE)</f>
        <v>#N/A</v>
      </c>
      <c r="AE1063" s="380" t="e">
        <f>VLOOKUP($B1063,'D7 - NDB Impacted SPRF''s'!$E$16:$O$9929,7,FALSE)</f>
        <v>#N/A</v>
      </c>
      <c r="AF1063" s="380" t="e">
        <f>VLOOKUP($B1063,'D7 - NDB Impacted SPRF''s'!$E$16:$O$9929,6,FALSE)</f>
        <v>#N/A</v>
      </c>
      <c r="AG1063" s="282"/>
      <c r="AH1063" s="311" t="e">
        <f>INDEX('D5 - Gatekeeper - Projects'!$A$4:$AF$1010,$AM1063, 17)</f>
        <v>#N/A</v>
      </c>
      <c r="AI1063" s="8"/>
      <c r="AJ1063" s="57"/>
      <c r="AK1063" s="105"/>
      <c r="AM1063" s="6" t="e">
        <f>MATCH(D1063,'D5 - Gatekeeper - Projects'!$C$4:$C$1010,0)</f>
        <v>#N/A</v>
      </c>
      <c r="AN1063" s="6" t="b">
        <f t="shared" si="96"/>
        <v>1</v>
      </c>
      <c r="AO1063" s="6" t="str">
        <f t="shared" si="99"/>
        <v>OK</v>
      </c>
      <c r="AQ1063" s="6" t="e">
        <f>MATCH($D1063,'D4 - Provider Council Unsched'!$C$11:$C$234,0)</f>
        <v>#N/A</v>
      </c>
      <c r="AR1063" s="6" t="b">
        <f t="shared" si="97"/>
        <v>1</v>
      </c>
      <c r="AS1063" s="6" t="str">
        <f>IF(AND(H1063="2 - Not Scheduled",AR1063=TRUE),"Add","OK")</f>
        <v>OK</v>
      </c>
      <c r="AU1063" s="202"/>
      <c r="AV1063" s="262"/>
      <c r="AW1063" s="274"/>
    </row>
    <row r="1064" spans="1:49" s="13" customFormat="1" x14ac:dyDescent="0.2">
      <c r="A1064" s="14">
        <v>1040</v>
      </c>
      <c r="B1064" s="14" t="s">
        <v>4407</v>
      </c>
      <c r="C1064" s="8" t="s">
        <v>5197</v>
      </c>
      <c r="D1064" s="4" t="str">
        <f t="shared" si="98"/>
        <v>OI00001R1</v>
      </c>
      <c r="E1064" s="282" t="s">
        <v>2018</v>
      </c>
      <c r="F1064" s="8" t="s">
        <v>2114</v>
      </c>
      <c r="G1064" s="8" t="s">
        <v>4758</v>
      </c>
      <c r="H1064" s="8" t="s">
        <v>4246</v>
      </c>
      <c r="I1064" s="20">
        <v>12.29</v>
      </c>
      <c r="J1064" s="8" t="s">
        <v>4862</v>
      </c>
      <c r="K1064" s="182">
        <v>39886</v>
      </c>
      <c r="L1064" s="8" t="s">
        <v>5743</v>
      </c>
      <c r="M1064" s="8" t="s">
        <v>2814</v>
      </c>
      <c r="N1064" s="38" t="s">
        <v>3768</v>
      </c>
      <c r="O1064" s="8" t="s">
        <v>3572</v>
      </c>
      <c r="P1064" s="4" t="e">
        <f>VLOOKUP($B1064,'D7 - NDB Impacted SPRF''s'!$E$16:$O$9929,9,FALSE)</f>
        <v>#N/A</v>
      </c>
      <c r="Q1064" s="4" t="e">
        <f>VLOOKUP($B1064,'D7 - NDB Impacted SPRF''s'!$E$16:$O$9929,10,FALSE)</f>
        <v>#N/A</v>
      </c>
      <c r="R1064" s="4" t="e">
        <f>VLOOKUP($B1064,'D7 - NDB Impacted SPRF''s'!$E$16:$O$9929,11,FALSE)</f>
        <v>#N/A</v>
      </c>
      <c r="S1064" s="8"/>
      <c r="T1064" s="310"/>
      <c r="U1064" s="310"/>
      <c r="V1064" s="4"/>
      <c r="W1064" s="4"/>
      <c r="X1064" s="4"/>
      <c r="Y1064" s="4"/>
      <c r="Z1064" s="4"/>
      <c r="AA1064" s="4"/>
      <c r="AB1064" s="383" t="e">
        <f>VLOOKUP($B1064,'D7 - NDB Impacted SPRF''s'!$E$16:$O$9929,4,FALSE)</f>
        <v>#N/A</v>
      </c>
      <c r="AC1064" s="380" t="e">
        <f>VLOOKUP($B1064,'D7 - NDB Impacted SPRF''s'!$E$16:$O$9929,3,FALSE)</f>
        <v>#N/A</v>
      </c>
      <c r="AD1064" s="380" t="e">
        <f>VLOOKUP($B1064,'D7 - NDB Impacted SPRF''s'!$E$16:$O$9929,5,FALSE)</f>
        <v>#N/A</v>
      </c>
      <c r="AE1064" s="380" t="e">
        <f>VLOOKUP($B1064,'D7 - NDB Impacted SPRF''s'!$E$16:$O$9929,7,FALSE)</f>
        <v>#N/A</v>
      </c>
      <c r="AF1064" s="380" t="e">
        <f>VLOOKUP($B1064,'D7 - NDB Impacted SPRF''s'!$E$16:$O$9929,6,FALSE)</f>
        <v>#N/A</v>
      </c>
      <c r="AG1064" s="282"/>
      <c r="AH1064" s="311" t="e">
        <f>INDEX('D5 - Gatekeeper - Projects'!$A$4:$AF$1010,$AM1064, 17)</f>
        <v>#N/A</v>
      </c>
      <c r="AI1064" s="8"/>
      <c r="AJ1064" s="57"/>
      <c r="AK1064" s="105"/>
      <c r="AM1064" s="6" t="e">
        <f>MATCH(D1064,'D5 - Gatekeeper - Projects'!$C$4:$C$1010,0)</f>
        <v>#N/A</v>
      </c>
      <c r="AN1064" s="6" t="b">
        <f t="shared" si="96"/>
        <v>1</v>
      </c>
      <c r="AO1064" s="6" t="str">
        <f t="shared" si="99"/>
        <v>OK</v>
      </c>
      <c r="AQ1064" s="6" t="e">
        <f>MATCH($D1064,'D4 - Provider Council Unsched'!$C$11:$C$234,0)</f>
        <v>#N/A</v>
      </c>
      <c r="AR1064" s="6" t="b">
        <f t="shared" si="97"/>
        <v>1</v>
      </c>
      <c r="AS1064" s="6" t="str">
        <f t="shared" ref="AS1064:AS1071" si="101">IF(AND(H1064="2 - Not Scheduled",AR1064=TRUE,C1064="R1"),"Add","OK")</f>
        <v>OK</v>
      </c>
      <c r="AU1064" s="202"/>
      <c r="AV1064" s="262"/>
      <c r="AW1064" s="274"/>
    </row>
    <row r="1065" spans="1:49" s="13" customFormat="1" x14ac:dyDescent="0.2">
      <c r="A1065" s="14">
        <v>1041</v>
      </c>
      <c r="B1065" s="14" t="s">
        <v>4408</v>
      </c>
      <c r="C1065" s="8" t="s">
        <v>5197</v>
      </c>
      <c r="D1065" s="4" t="str">
        <f t="shared" si="98"/>
        <v>OI00004R1</v>
      </c>
      <c r="E1065" s="282" t="s">
        <v>4345</v>
      </c>
      <c r="F1065" s="8" t="s">
        <v>2114</v>
      </c>
      <c r="G1065" s="8" t="s">
        <v>4758</v>
      </c>
      <c r="H1065" s="8" t="s">
        <v>4246</v>
      </c>
      <c r="I1065" s="20">
        <v>6.5</v>
      </c>
      <c r="J1065" s="8" t="s">
        <v>4862</v>
      </c>
      <c r="K1065" s="182">
        <v>39886</v>
      </c>
      <c r="L1065" s="8" t="s">
        <v>5743</v>
      </c>
      <c r="M1065" s="8" t="s">
        <v>2814</v>
      </c>
      <c r="N1065" s="38"/>
      <c r="O1065" s="8" t="s">
        <v>3572</v>
      </c>
      <c r="P1065" s="4" t="e">
        <f>VLOOKUP($B1065,'D7 - NDB Impacted SPRF''s'!$E$16:$O$9929,9,FALSE)</f>
        <v>#N/A</v>
      </c>
      <c r="Q1065" s="4" t="e">
        <f>VLOOKUP($B1065,'D7 - NDB Impacted SPRF''s'!$E$16:$O$9929,10,FALSE)</f>
        <v>#N/A</v>
      </c>
      <c r="R1065" s="4" t="e">
        <f>VLOOKUP($B1065,'D7 - NDB Impacted SPRF''s'!$E$16:$O$9929,11,FALSE)</f>
        <v>#N/A</v>
      </c>
      <c r="S1065" s="8"/>
      <c r="T1065" s="310"/>
      <c r="U1065" s="310"/>
      <c r="V1065" s="4"/>
      <c r="W1065" s="4"/>
      <c r="X1065" s="4"/>
      <c r="Y1065" s="4"/>
      <c r="Z1065" s="4"/>
      <c r="AA1065" s="4"/>
      <c r="AB1065" s="383" t="e">
        <f>VLOOKUP($B1065,'D7 - NDB Impacted SPRF''s'!$E$16:$O$9929,4,FALSE)</f>
        <v>#N/A</v>
      </c>
      <c r="AC1065" s="380" t="e">
        <f>VLOOKUP($B1065,'D7 - NDB Impacted SPRF''s'!$E$16:$O$9929,3,FALSE)</f>
        <v>#N/A</v>
      </c>
      <c r="AD1065" s="380" t="e">
        <f>VLOOKUP($B1065,'D7 - NDB Impacted SPRF''s'!$E$16:$O$9929,5,FALSE)</f>
        <v>#N/A</v>
      </c>
      <c r="AE1065" s="380" t="e">
        <f>VLOOKUP($B1065,'D7 - NDB Impacted SPRF''s'!$E$16:$O$9929,7,FALSE)</f>
        <v>#N/A</v>
      </c>
      <c r="AF1065" s="380" t="e">
        <f>VLOOKUP($B1065,'D7 - NDB Impacted SPRF''s'!$E$16:$O$9929,6,FALSE)</f>
        <v>#N/A</v>
      </c>
      <c r="AG1065" s="282"/>
      <c r="AH1065" s="311" t="e">
        <f>INDEX('D5 - Gatekeeper - Projects'!$A$4:$AF$1010,$AM1065, 17)</f>
        <v>#N/A</v>
      </c>
      <c r="AI1065" s="8"/>
      <c r="AJ1065" s="57"/>
      <c r="AK1065" s="105"/>
      <c r="AM1065" s="6" t="e">
        <f>MATCH(D1065,'D5 - Gatekeeper - Projects'!$C$4:$C$1010,0)</f>
        <v>#N/A</v>
      </c>
      <c r="AN1065" s="6" t="b">
        <f t="shared" si="96"/>
        <v>1</v>
      </c>
      <c r="AO1065" s="6" t="str">
        <f t="shared" si="99"/>
        <v>OK</v>
      </c>
      <c r="AQ1065" s="6" t="e">
        <f>MATCH($D1065,'D4 - Provider Council Unsched'!$C$11:$C$234,0)</f>
        <v>#N/A</v>
      </c>
      <c r="AR1065" s="6" t="b">
        <f t="shared" si="97"/>
        <v>1</v>
      </c>
      <c r="AS1065" s="6" t="str">
        <f t="shared" si="101"/>
        <v>OK</v>
      </c>
      <c r="AU1065" s="202"/>
      <c r="AV1065" s="262"/>
      <c r="AW1065" s="274"/>
    </row>
    <row r="1066" spans="1:49" s="13" customFormat="1" x14ac:dyDescent="0.2">
      <c r="A1066" s="14">
        <v>1042</v>
      </c>
      <c r="B1066" s="14" t="s">
        <v>4409</v>
      </c>
      <c r="C1066" s="8" t="s">
        <v>5197</v>
      </c>
      <c r="D1066" s="4" t="str">
        <f t="shared" si="98"/>
        <v>OI00011R1</v>
      </c>
      <c r="E1066" s="282" t="s">
        <v>5044</v>
      </c>
      <c r="F1066" s="8" t="s">
        <v>2114</v>
      </c>
      <c r="G1066" s="8" t="s">
        <v>4758</v>
      </c>
      <c r="H1066" s="8" t="s">
        <v>4246</v>
      </c>
      <c r="I1066" s="20">
        <f>200/150</f>
        <v>1.3333333333333333</v>
      </c>
      <c r="J1066" s="8" t="s">
        <v>4862</v>
      </c>
      <c r="K1066" s="182">
        <v>39886</v>
      </c>
      <c r="L1066" s="8" t="s">
        <v>5743</v>
      </c>
      <c r="M1066" s="8" t="s">
        <v>4450</v>
      </c>
      <c r="N1066" s="38"/>
      <c r="O1066" s="8" t="s">
        <v>3572</v>
      </c>
      <c r="P1066" s="4" t="e">
        <f>VLOOKUP($B1066,'D7 - NDB Impacted SPRF''s'!$E$16:$O$9929,9,FALSE)</f>
        <v>#N/A</v>
      </c>
      <c r="Q1066" s="4" t="e">
        <f>VLOOKUP($B1066,'D7 - NDB Impacted SPRF''s'!$E$16:$O$9929,10,FALSE)</f>
        <v>#N/A</v>
      </c>
      <c r="R1066" s="4" t="e">
        <f>VLOOKUP($B1066,'D7 - NDB Impacted SPRF''s'!$E$16:$O$9929,11,FALSE)</f>
        <v>#N/A</v>
      </c>
      <c r="S1066" s="8"/>
      <c r="T1066" s="310"/>
      <c r="U1066" s="310"/>
      <c r="V1066" s="4"/>
      <c r="W1066" s="4"/>
      <c r="X1066" s="4"/>
      <c r="Y1066" s="4"/>
      <c r="Z1066" s="4"/>
      <c r="AA1066" s="4"/>
      <c r="AB1066" s="383" t="e">
        <f>VLOOKUP($B1066,'D7 - NDB Impacted SPRF''s'!$E$16:$O$9929,4,FALSE)</f>
        <v>#N/A</v>
      </c>
      <c r="AC1066" s="380" t="e">
        <f>VLOOKUP($B1066,'D7 - NDB Impacted SPRF''s'!$E$16:$O$9929,3,FALSE)</f>
        <v>#N/A</v>
      </c>
      <c r="AD1066" s="380" t="e">
        <f>VLOOKUP($B1066,'D7 - NDB Impacted SPRF''s'!$E$16:$O$9929,5,FALSE)</f>
        <v>#N/A</v>
      </c>
      <c r="AE1066" s="380" t="e">
        <f>VLOOKUP($B1066,'D7 - NDB Impacted SPRF''s'!$E$16:$O$9929,7,FALSE)</f>
        <v>#N/A</v>
      </c>
      <c r="AF1066" s="380" t="e">
        <f>VLOOKUP($B1066,'D7 - NDB Impacted SPRF''s'!$E$16:$O$9929,6,FALSE)</f>
        <v>#N/A</v>
      </c>
      <c r="AG1066" s="282"/>
      <c r="AH1066" s="311" t="e">
        <f>INDEX('D5 - Gatekeeper - Projects'!$A$4:$AF$1010,$AM1066, 17)</f>
        <v>#N/A</v>
      </c>
      <c r="AI1066" s="8"/>
      <c r="AJ1066" s="57"/>
      <c r="AK1066" s="105"/>
      <c r="AM1066" s="6" t="e">
        <f>MATCH(D1066,'D5 - Gatekeeper - Projects'!$C$4:$C$1010,0)</f>
        <v>#N/A</v>
      </c>
      <c r="AN1066" s="6" t="b">
        <f t="shared" si="96"/>
        <v>1</v>
      </c>
      <c r="AO1066" s="6" t="str">
        <f t="shared" si="99"/>
        <v>OK</v>
      </c>
      <c r="AQ1066" s="6" t="e">
        <f>MATCH($D1066,'D4 - Provider Council Unsched'!$C$11:$C$234,0)</f>
        <v>#N/A</v>
      </c>
      <c r="AR1066" s="6" t="b">
        <f t="shared" si="97"/>
        <v>1</v>
      </c>
      <c r="AS1066" s="6" t="str">
        <f t="shared" si="101"/>
        <v>OK</v>
      </c>
      <c r="AU1066" s="202"/>
      <c r="AV1066" s="262"/>
      <c r="AW1066" s="274"/>
    </row>
    <row r="1067" spans="1:49" s="13" customFormat="1" x14ac:dyDescent="0.2">
      <c r="A1067" s="14">
        <v>1043</v>
      </c>
      <c r="B1067" s="14" t="s">
        <v>4912</v>
      </c>
      <c r="C1067" s="8" t="s">
        <v>5197</v>
      </c>
      <c r="D1067" s="4" t="str">
        <f t="shared" si="98"/>
        <v>OI00023R1</v>
      </c>
      <c r="E1067" s="282" t="s">
        <v>2843</v>
      </c>
      <c r="F1067" s="8" t="s">
        <v>2114</v>
      </c>
      <c r="G1067" s="8" t="s">
        <v>4758</v>
      </c>
      <c r="H1067" s="8" t="s">
        <v>4246</v>
      </c>
      <c r="I1067" s="20">
        <f>2500/150</f>
        <v>16.666666666666668</v>
      </c>
      <c r="J1067" s="8" t="s">
        <v>4862</v>
      </c>
      <c r="K1067" s="182">
        <v>39886</v>
      </c>
      <c r="L1067" s="8" t="s">
        <v>5743</v>
      </c>
      <c r="M1067" s="8" t="s">
        <v>4850</v>
      </c>
      <c r="N1067" s="38"/>
      <c r="O1067" s="8" t="s">
        <v>3572</v>
      </c>
      <c r="P1067" s="4" t="e">
        <f>VLOOKUP($B1067,'D7 - NDB Impacted SPRF''s'!$E$16:$O$9929,9,FALSE)</f>
        <v>#N/A</v>
      </c>
      <c r="Q1067" s="4" t="e">
        <f>VLOOKUP($B1067,'D7 - NDB Impacted SPRF''s'!$E$16:$O$9929,10,FALSE)</f>
        <v>#N/A</v>
      </c>
      <c r="R1067" s="4" t="e">
        <f>VLOOKUP($B1067,'D7 - NDB Impacted SPRF''s'!$E$16:$O$9929,11,FALSE)</f>
        <v>#N/A</v>
      </c>
      <c r="S1067" s="8"/>
      <c r="T1067" s="310"/>
      <c r="U1067" s="310"/>
      <c r="V1067" s="4"/>
      <c r="W1067" s="4"/>
      <c r="X1067" s="4"/>
      <c r="Y1067" s="4"/>
      <c r="Z1067" s="4"/>
      <c r="AA1067" s="4"/>
      <c r="AB1067" s="383" t="e">
        <f>VLOOKUP($B1067,'D7 - NDB Impacted SPRF''s'!$E$16:$O$9929,4,FALSE)</f>
        <v>#N/A</v>
      </c>
      <c r="AC1067" s="380" t="e">
        <f>VLOOKUP($B1067,'D7 - NDB Impacted SPRF''s'!$E$16:$O$9929,3,FALSE)</f>
        <v>#N/A</v>
      </c>
      <c r="AD1067" s="380" t="e">
        <f>VLOOKUP($B1067,'D7 - NDB Impacted SPRF''s'!$E$16:$O$9929,5,FALSE)</f>
        <v>#N/A</v>
      </c>
      <c r="AE1067" s="380" t="e">
        <f>VLOOKUP($B1067,'D7 - NDB Impacted SPRF''s'!$E$16:$O$9929,7,FALSE)</f>
        <v>#N/A</v>
      </c>
      <c r="AF1067" s="380" t="e">
        <f>VLOOKUP($B1067,'D7 - NDB Impacted SPRF''s'!$E$16:$O$9929,6,FALSE)</f>
        <v>#N/A</v>
      </c>
      <c r="AG1067" s="282"/>
      <c r="AH1067" s="311" t="e">
        <f>INDEX('D5 - Gatekeeper - Projects'!$A$4:$AF$1010,$AM1067, 17)</f>
        <v>#N/A</v>
      </c>
      <c r="AI1067" s="8"/>
      <c r="AJ1067" s="57"/>
      <c r="AK1067" s="105"/>
      <c r="AM1067" s="6" t="e">
        <f>MATCH(D1067,'D5 - Gatekeeper - Projects'!$C$4:$C$1010,0)</f>
        <v>#N/A</v>
      </c>
      <c r="AN1067" s="6" t="b">
        <f t="shared" si="96"/>
        <v>1</v>
      </c>
      <c r="AO1067" s="6" t="str">
        <f t="shared" si="99"/>
        <v>OK</v>
      </c>
      <c r="AQ1067" s="6" t="e">
        <f>MATCH($D1067,'D4 - Provider Council Unsched'!$C$11:$C$234,0)</f>
        <v>#N/A</v>
      </c>
      <c r="AR1067" s="6" t="b">
        <f t="shared" si="97"/>
        <v>1</v>
      </c>
      <c r="AS1067" s="6" t="str">
        <f t="shared" si="101"/>
        <v>OK</v>
      </c>
      <c r="AU1067" s="202"/>
      <c r="AV1067" s="262"/>
      <c r="AW1067" s="274"/>
    </row>
    <row r="1068" spans="1:49" s="13" customFormat="1" x14ac:dyDescent="0.2">
      <c r="A1068" s="14">
        <v>1044</v>
      </c>
      <c r="B1068" s="14" t="s">
        <v>4410</v>
      </c>
      <c r="C1068" s="8" t="s">
        <v>5197</v>
      </c>
      <c r="D1068" s="4" t="str">
        <f t="shared" si="98"/>
        <v>OI00034R1</v>
      </c>
      <c r="E1068" s="282" t="s">
        <v>5521</v>
      </c>
      <c r="F1068" s="8" t="s">
        <v>2114</v>
      </c>
      <c r="G1068" s="8" t="s">
        <v>4758</v>
      </c>
      <c r="H1068" s="8" t="s">
        <v>4246</v>
      </c>
      <c r="I1068" s="20"/>
      <c r="J1068" s="8" t="s">
        <v>4862</v>
      </c>
      <c r="K1068" s="182">
        <v>39886</v>
      </c>
      <c r="L1068" s="8" t="s">
        <v>5743</v>
      </c>
      <c r="M1068" s="8" t="s">
        <v>6688</v>
      </c>
      <c r="N1068" s="38"/>
      <c r="O1068" s="8" t="s">
        <v>3572</v>
      </c>
      <c r="P1068" s="4" t="e">
        <f>VLOOKUP($B1068,'D7 - NDB Impacted SPRF''s'!$E$16:$O$9929,9,FALSE)</f>
        <v>#N/A</v>
      </c>
      <c r="Q1068" s="4" t="e">
        <f>VLOOKUP($B1068,'D7 - NDB Impacted SPRF''s'!$E$16:$O$9929,10,FALSE)</f>
        <v>#N/A</v>
      </c>
      <c r="R1068" s="4" t="e">
        <f>VLOOKUP($B1068,'D7 - NDB Impacted SPRF''s'!$E$16:$O$9929,11,FALSE)</f>
        <v>#N/A</v>
      </c>
      <c r="S1068" s="8"/>
      <c r="T1068" s="310"/>
      <c r="U1068" s="310"/>
      <c r="V1068" s="4"/>
      <c r="W1068" s="4"/>
      <c r="X1068" s="4"/>
      <c r="Y1068" s="4"/>
      <c r="Z1068" s="4"/>
      <c r="AA1068" s="4"/>
      <c r="AB1068" s="383" t="e">
        <f>VLOOKUP($B1068,'D7 - NDB Impacted SPRF''s'!$E$16:$O$9929,4,FALSE)</f>
        <v>#N/A</v>
      </c>
      <c r="AC1068" s="380" t="e">
        <f>VLOOKUP($B1068,'D7 - NDB Impacted SPRF''s'!$E$16:$O$9929,3,FALSE)</f>
        <v>#N/A</v>
      </c>
      <c r="AD1068" s="380" t="e">
        <f>VLOOKUP($B1068,'D7 - NDB Impacted SPRF''s'!$E$16:$O$9929,5,FALSE)</f>
        <v>#N/A</v>
      </c>
      <c r="AE1068" s="380" t="e">
        <f>VLOOKUP($B1068,'D7 - NDB Impacted SPRF''s'!$E$16:$O$9929,7,FALSE)</f>
        <v>#N/A</v>
      </c>
      <c r="AF1068" s="380" t="e">
        <f>VLOOKUP($B1068,'D7 - NDB Impacted SPRF''s'!$E$16:$O$9929,6,FALSE)</f>
        <v>#N/A</v>
      </c>
      <c r="AG1068" s="282"/>
      <c r="AH1068" s="311" t="e">
        <f>INDEX('D5 - Gatekeeper - Projects'!$A$4:$AF$1010,$AM1068, 17)</f>
        <v>#N/A</v>
      </c>
      <c r="AI1068" s="8"/>
      <c r="AJ1068" s="57"/>
      <c r="AK1068" s="105"/>
      <c r="AM1068" s="6" t="e">
        <f>MATCH(D1068,'D5 - Gatekeeper - Projects'!$C$4:$C$1010,0)</f>
        <v>#N/A</v>
      </c>
      <c r="AN1068" s="6" t="b">
        <f t="shared" si="96"/>
        <v>1</v>
      </c>
      <c r="AO1068" s="6" t="str">
        <f t="shared" si="99"/>
        <v>OK</v>
      </c>
      <c r="AQ1068" s="6" t="e">
        <f>MATCH($D1068,'D4 - Provider Council Unsched'!$C$11:$C$234,0)</f>
        <v>#N/A</v>
      </c>
      <c r="AR1068" s="6" t="b">
        <f t="shared" si="97"/>
        <v>1</v>
      </c>
      <c r="AS1068" s="6" t="str">
        <f t="shared" si="101"/>
        <v>OK</v>
      </c>
      <c r="AU1068" s="202"/>
      <c r="AV1068" s="262"/>
      <c r="AW1068" s="274"/>
    </row>
    <row r="1069" spans="1:49" s="13" customFormat="1" x14ac:dyDescent="0.2">
      <c r="A1069" s="14">
        <v>1045</v>
      </c>
      <c r="B1069" s="14" t="s">
        <v>4411</v>
      </c>
      <c r="C1069" s="8" t="s">
        <v>5197</v>
      </c>
      <c r="D1069" s="4" t="str">
        <f t="shared" si="98"/>
        <v>OI00035R1</v>
      </c>
      <c r="E1069" s="282" t="s">
        <v>1607</v>
      </c>
      <c r="F1069" s="8" t="s">
        <v>2114</v>
      </c>
      <c r="G1069" s="8" t="s">
        <v>4758</v>
      </c>
      <c r="H1069" s="8" t="s">
        <v>4246</v>
      </c>
      <c r="I1069" s="20">
        <v>15</v>
      </c>
      <c r="J1069" s="8" t="s">
        <v>4862</v>
      </c>
      <c r="K1069" s="182">
        <v>39886</v>
      </c>
      <c r="L1069" s="8" t="s">
        <v>5743</v>
      </c>
      <c r="M1069" s="8" t="s">
        <v>6688</v>
      </c>
      <c r="N1069" s="38"/>
      <c r="O1069" s="8" t="s">
        <v>3572</v>
      </c>
      <c r="P1069" s="4" t="e">
        <f>VLOOKUP($B1069,'D7 - NDB Impacted SPRF''s'!$E$16:$O$9929,9,FALSE)</f>
        <v>#N/A</v>
      </c>
      <c r="Q1069" s="4" t="e">
        <f>VLOOKUP($B1069,'D7 - NDB Impacted SPRF''s'!$E$16:$O$9929,10,FALSE)</f>
        <v>#N/A</v>
      </c>
      <c r="R1069" s="4" t="e">
        <f>VLOOKUP($B1069,'D7 - NDB Impacted SPRF''s'!$E$16:$O$9929,11,FALSE)</f>
        <v>#N/A</v>
      </c>
      <c r="S1069" s="8"/>
      <c r="T1069" s="310"/>
      <c r="U1069" s="310"/>
      <c r="V1069" s="4"/>
      <c r="W1069" s="4"/>
      <c r="X1069" s="4"/>
      <c r="Y1069" s="4"/>
      <c r="Z1069" s="4"/>
      <c r="AA1069" s="4"/>
      <c r="AB1069" s="383" t="e">
        <f>VLOOKUP($B1069,'D7 - NDB Impacted SPRF''s'!$E$16:$O$9929,4,FALSE)</f>
        <v>#N/A</v>
      </c>
      <c r="AC1069" s="380" t="e">
        <f>VLOOKUP($B1069,'D7 - NDB Impacted SPRF''s'!$E$16:$O$9929,3,FALSE)</f>
        <v>#N/A</v>
      </c>
      <c r="AD1069" s="380" t="e">
        <f>VLOOKUP($B1069,'D7 - NDB Impacted SPRF''s'!$E$16:$O$9929,5,FALSE)</f>
        <v>#N/A</v>
      </c>
      <c r="AE1069" s="380" t="e">
        <f>VLOOKUP($B1069,'D7 - NDB Impacted SPRF''s'!$E$16:$O$9929,7,FALSE)</f>
        <v>#N/A</v>
      </c>
      <c r="AF1069" s="380" t="e">
        <f>VLOOKUP($B1069,'D7 - NDB Impacted SPRF''s'!$E$16:$O$9929,6,FALSE)</f>
        <v>#N/A</v>
      </c>
      <c r="AG1069" s="282"/>
      <c r="AH1069" s="311" t="e">
        <f>INDEX('D5 - Gatekeeper - Projects'!$A$4:$AF$1010,$AM1069, 17)</f>
        <v>#N/A</v>
      </c>
      <c r="AI1069" s="8"/>
      <c r="AJ1069" s="57"/>
      <c r="AK1069" s="105"/>
      <c r="AM1069" s="6" t="e">
        <f>MATCH(D1069,'D5 - Gatekeeper - Projects'!$C$4:$C$1010,0)</f>
        <v>#N/A</v>
      </c>
      <c r="AN1069" s="6" t="b">
        <f t="shared" si="96"/>
        <v>1</v>
      </c>
      <c r="AO1069" s="6" t="str">
        <f t="shared" si="99"/>
        <v>OK</v>
      </c>
      <c r="AQ1069" s="6" t="e">
        <f>MATCH($D1069,'D4 - Provider Council Unsched'!$C$11:$C$234,0)</f>
        <v>#N/A</v>
      </c>
      <c r="AR1069" s="6" t="b">
        <f t="shared" si="97"/>
        <v>1</v>
      </c>
      <c r="AS1069" s="6" t="str">
        <f t="shared" si="101"/>
        <v>OK</v>
      </c>
      <c r="AU1069" s="202"/>
      <c r="AV1069" s="262"/>
      <c r="AW1069" s="274"/>
    </row>
    <row r="1070" spans="1:49" s="13" customFormat="1" ht="33.75" x14ac:dyDescent="0.2">
      <c r="A1070" s="14">
        <v>1046</v>
      </c>
      <c r="B1070" s="14">
        <v>400028151</v>
      </c>
      <c r="C1070" s="8" t="s">
        <v>5197</v>
      </c>
      <c r="D1070" s="4" t="str">
        <f t="shared" si="98"/>
        <v>400028151R1</v>
      </c>
      <c r="E1070" s="309" t="str">
        <f>VLOOKUP($B1070,'D7 - NDB Impacted SPRF''s'!$E$6:$O$9929,2,FALSE)</f>
        <v>HPHC Modifier Exception Table Updates eff 04012009</v>
      </c>
      <c r="F1070" s="8" t="s">
        <v>4935</v>
      </c>
      <c r="G1070" s="8" t="s">
        <v>4758</v>
      </c>
      <c r="H1070" s="8" t="s">
        <v>4246</v>
      </c>
      <c r="I1070" s="20">
        <v>1.06</v>
      </c>
      <c r="J1070" s="8" t="s">
        <v>4862</v>
      </c>
      <c r="K1070" s="182">
        <v>39899</v>
      </c>
      <c r="L1070" s="8" t="s">
        <v>4156</v>
      </c>
      <c r="M1070" s="8" t="s">
        <v>2814</v>
      </c>
      <c r="N1070" s="38"/>
      <c r="O1070" s="8" t="s">
        <v>7086</v>
      </c>
      <c r="P1070" s="4" t="str">
        <f>VLOOKUP($B1070,'D7 - NDB Impacted SPRF''s'!$E$16:$O$9929,9,FALSE)</f>
        <v>N</v>
      </c>
      <c r="Q1070" s="4" t="str">
        <f>VLOOKUP($B1070,'D7 - NDB Impacted SPRF''s'!$E$16:$O$9929,10,FALSE)</f>
        <v>N</v>
      </c>
      <c r="R1070" s="4" t="str">
        <f>VLOOKUP($B1070,'D7 - NDB Impacted SPRF''s'!$E$16:$O$9929,11,FALSE)</f>
        <v>N</v>
      </c>
      <c r="S1070" s="8"/>
      <c r="T1070" s="310"/>
      <c r="U1070" s="310"/>
      <c r="V1070" s="4"/>
      <c r="W1070" s="4"/>
      <c r="X1070" s="4"/>
      <c r="Y1070" s="4"/>
      <c r="Z1070" s="4"/>
      <c r="AA1070" s="4"/>
      <c r="AB1070" s="380" t="str">
        <f>VLOOKUP($B1070,'D7 - NDB Impacted SPRF''s'!$E$16:$O$9929,4,FALSE)</f>
        <v>Completed</v>
      </c>
      <c r="AC1070" s="380" t="str">
        <f>VLOOKUP($B1070,'D7 - NDB Impacted SPRF''s'!$E$16:$O$9929,3,FALSE)</f>
        <v>UnitedHealthcare Employer &amp; Individual</v>
      </c>
      <c r="AD1070" s="380" t="str">
        <f>VLOOKUP($B1070,'D7 - NDB Impacted SPRF''s'!$E$16:$O$9929,5,FALSE)</f>
        <v>HCA - HPHC Operational Support</v>
      </c>
      <c r="AE1070" s="380" t="str">
        <f>VLOOKUP($B1070,'D7 - NDB Impacted SPRF''s'!$E$16:$O$9929,7,FALSE)</f>
        <v>Jill Foucre</v>
      </c>
      <c r="AF1070" s="380" t="str">
        <f>VLOOKUP($B1070,'D7 - NDB Impacted SPRF''s'!$E$16:$O$9929,6,FALSE)</f>
        <v>PENNINGTON CAROL</v>
      </c>
      <c r="AG1070" s="282"/>
      <c r="AH1070" s="311" t="e">
        <f>INDEX('D5 - Gatekeeper - Projects'!$A$4:$AF$1010,$AM1070, 17)</f>
        <v>#N/A</v>
      </c>
      <c r="AI1070" s="8"/>
      <c r="AJ1070" s="57"/>
      <c r="AK1070" s="105"/>
      <c r="AM1070" s="6" t="e">
        <f>MATCH(D1070,'D5 - Gatekeeper - Projects'!$C$4:$C$1010,0)</f>
        <v>#N/A</v>
      </c>
      <c r="AN1070" s="6" t="b">
        <f t="shared" si="96"/>
        <v>1</v>
      </c>
      <c r="AO1070" s="6" t="str">
        <f t="shared" si="99"/>
        <v>OK</v>
      </c>
      <c r="AQ1070" s="6" t="e">
        <f>MATCH($D1070,'D4 - Provider Council Unsched'!$C$11:$C$234,0)</f>
        <v>#N/A</v>
      </c>
      <c r="AR1070" s="6" t="b">
        <f t="shared" si="97"/>
        <v>1</v>
      </c>
      <c r="AS1070" s="6" t="str">
        <f t="shared" si="101"/>
        <v>OK</v>
      </c>
      <c r="AU1070" s="202"/>
      <c r="AV1070" s="262"/>
      <c r="AW1070" s="274"/>
    </row>
    <row r="1071" spans="1:49" s="13" customFormat="1" ht="33.75" x14ac:dyDescent="0.2">
      <c r="A1071" s="14">
        <v>1047</v>
      </c>
      <c r="B1071" s="14">
        <v>400014830</v>
      </c>
      <c r="C1071" s="8" t="s">
        <v>2449</v>
      </c>
      <c r="D1071" s="4" t="str">
        <f t="shared" si="98"/>
        <v>400014830R3</v>
      </c>
      <c r="E1071" s="309" t="str">
        <f>VLOOKUP($B1071,'D7 - NDB Impacted SPRF''s'!$E$6:$O$9929,2,FALSE)</f>
        <v>Medica data sharing/exchange - UAT/production load</v>
      </c>
      <c r="F1071" s="8" t="s">
        <v>5196</v>
      </c>
      <c r="G1071" s="8" t="s">
        <v>4758</v>
      </c>
      <c r="H1071" s="8" t="s">
        <v>4246</v>
      </c>
      <c r="I1071" s="20"/>
      <c r="J1071" s="8" t="s">
        <v>4862</v>
      </c>
      <c r="K1071" s="182">
        <v>39901</v>
      </c>
      <c r="L1071" s="8" t="s">
        <v>5743</v>
      </c>
      <c r="M1071" s="8" t="s">
        <v>4450</v>
      </c>
      <c r="N1071" s="38" t="s">
        <v>1594</v>
      </c>
      <c r="O1071" s="8" t="s">
        <v>2547</v>
      </c>
      <c r="P1071" s="4" t="str">
        <f>VLOOKUP($B1071,'D7 - NDB Impacted SPRF''s'!$E$16:$O$9929,9,FALSE)</f>
        <v>Y</v>
      </c>
      <c r="Q1071" s="4" t="str">
        <f>VLOOKUP($B1071,'D7 - NDB Impacted SPRF''s'!$E$16:$O$9929,10,FALSE)</f>
        <v>N</v>
      </c>
      <c r="R1071" s="4" t="str">
        <f>VLOOKUP($B1071,'D7 - NDB Impacted SPRF''s'!$E$16:$O$9929,11,FALSE)</f>
        <v>N</v>
      </c>
      <c r="S1071" s="8"/>
      <c r="T1071" s="310"/>
      <c r="U1071" s="310"/>
      <c r="V1071" s="4"/>
      <c r="W1071" s="4"/>
      <c r="X1071" s="4"/>
      <c r="Y1071" s="4"/>
      <c r="Z1071" s="4"/>
      <c r="AA1071" s="4"/>
      <c r="AB1071" s="380" t="str">
        <f>VLOOKUP($B1071,'D7 - NDB Impacted SPRF''s'!$E$16:$O$9929,4,FALSE)</f>
        <v>Completed</v>
      </c>
      <c r="AC1071" s="380" t="str">
        <f>VLOOKUP($B1071,'D7 - NDB Impacted SPRF''s'!$E$16:$O$9929,3,FALSE)</f>
        <v>UnitedHealthcare Employer &amp; Individual</v>
      </c>
      <c r="AD1071" s="380" t="str">
        <f>VLOOKUP($B1071,'D7 - NDB Impacted SPRF''s'!$E$16:$O$9929,5,FALSE)</f>
        <v>HCA - Medica UNET Conversion</v>
      </c>
      <c r="AE1071" s="380" t="str">
        <f>VLOOKUP($B1071,'D7 - NDB Impacted SPRF''s'!$E$16:$O$9929,7,FALSE)</f>
        <v>Diane Schofield</v>
      </c>
      <c r="AF1071" s="380" t="str">
        <f>VLOOKUP($B1071,'D7 - NDB Impacted SPRF''s'!$E$16:$O$9929,6,FALSE)</f>
        <v>Cindy Griggs</v>
      </c>
      <c r="AG1071" s="282"/>
      <c r="AH1071" s="311" t="e">
        <f>INDEX('D5 - Gatekeeper - Projects'!$A$4:$AF$1010,$AM1071, 17)</f>
        <v>#N/A</v>
      </c>
      <c r="AI1071" s="8"/>
      <c r="AJ1071" s="57"/>
      <c r="AK1071" s="105"/>
      <c r="AM1071" s="6" t="e">
        <f>MATCH(D1071,'D5 - Gatekeeper - Projects'!$C$4:$C$1010,0)</f>
        <v>#N/A</v>
      </c>
      <c r="AN1071" s="6" t="b">
        <f t="shared" si="96"/>
        <v>1</v>
      </c>
      <c r="AO1071" s="6" t="str">
        <f t="shared" si="99"/>
        <v>OK</v>
      </c>
      <c r="AQ1071" s="6" t="e">
        <f>MATCH($D1071,'D4 - Provider Council Unsched'!$C$11:$C$234,0)</f>
        <v>#N/A</v>
      </c>
      <c r="AR1071" s="6" t="b">
        <f t="shared" si="97"/>
        <v>1</v>
      </c>
      <c r="AS1071" s="6" t="str">
        <f t="shared" si="101"/>
        <v>OK</v>
      </c>
      <c r="AU1071" s="202"/>
      <c r="AV1071" s="262"/>
      <c r="AW1071" s="274"/>
    </row>
    <row r="1072" spans="1:49" s="13" customFormat="1" x14ac:dyDescent="0.2">
      <c r="A1072" s="14">
        <v>1048</v>
      </c>
      <c r="B1072" s="14">
        <v>400028571</v>
      </c>
      <c r="C1072" s="8" t="s">
        <v>5197</v>
      </c>
      <c r="D1072" s="4" t="str">
        <f t="shared" si="98"/>
        <v>400028571R1</v>
      </c>
      <c r="E1072" s="309" t="str">
        <f>VLOOKUP($B1072,'D7 - NDB Impacted SPRF''s'!$E$6:$O$9929,2,FALSE)</f>
        <v>Add office 118 to USEC table</v>
      </c>
      <c r="F1072" s="8" t="s">
        <v>2114</v>
      </c>
      <c r="G1072" s="8" t="s">
        <v>4758</v>
      </c>
      <c r="H1072" s="8" t="s">
        <v>4246</v>
      </c>
      <c r="I1072" s="20">
        <v>0.89</v>
      </c>
      <c r="J1072" s="8" t="s">
        <v>4862</v>
      </c>
      <c r="K1072" s="182">
        <v>39919</v>
      </c>
      <c r="L1072" s="8" t="s">
        <v>4156</v>
      </c>
      <c r="M1072" s="8" t="s">
        <v>6007</v>
      </c>
      <c r="N1072" s="38"/>
      <c r="O1072" s="8" t="s">
        <v>3572</v>
      </c>
      <c r="P1072" s="4" t="str">
        <f>VLOOKUP($B1072,'D7 - NDB Impacted SPRF''s'!$E$16:$O$9929,9,FALSE)</f>
        <v>N</v>
      </c>
      <c r="Q1072" s="4" t="str">
        <f>VLOOKUP($B1072,'D7 - NDB Impacted SPRF''s'!$E$16:$O$9929,10,FALSE)</f>
        <v>N</v>
      </c>
      <c r="R1072" s="4" t="str">
        <f>VLOOKUP($B1072,'D7 - NDB Impacted SPRF''s'!$E$16:$O$9929,11,FALSE)</f>
        <v>N</v>
      </c>
      <c r="S1072" s="8"/>
      <c r="T1072" s="310"/>
      <c r="U1072" s="310"/>
      <c r="V1072" s="4"/>
      <c r="W1072" s="4"/>
      <c r="X1072" s="4"/>
      <c r="Y1072" s="4"/>
      <c r="Z1072" s="4"/>
      <c r="AA1072" s="4"/>
      <c r="AB1072" s="380" t="str">
        <f>VLOOKUP($B1072,'D7 - NDB Impacted SPRF''s'!$E$16:$O$9929,4,FALSE)</f>
        <v>Completed</v>
      </c>
      <c r="AC1072" s="380" t="str">
        <f>VLOOKUP($B1072,'D7 - NDB Impacted SPRF''s'!$E$16:$O$9929,3,FALSE)</f>
        <v>OptumHealth</v>
      </c>
      <c r="AD1072" s="380" t="str">
        <f>VLOOKUP($B1072,'D7 - NDB Impacted SPRF''s'!$E$16:$O$9929,5,FALSE)</f>
        <v>Behavioral Solutions</v>
      </c>
      <c r="AE1072" s="380" t="str">
        <f>VLOOKUP($B1072,'D7 - NDB Impacted SPRF''s'!$E$16:$O$9929,7,FALSE)</f>
        <v>lloyd dyer</v>
      </c>
      <c r="AF1072" s="380" t="str">
        <f>VLOOKUP($B1072,'D7 - NDB Impacted SPRF''s'!$E$16:$O$9929,6,FALSE)</f>
        <v>Rebecca Embry</v>
      </c>
      <c r="AG1072" s="282"/>
      <c r="AH1072" s="311" t="e">
        <f>INDEX('D5 - Gatekeeper - Projects'!$A$4:$AF$1010,$AM1072, 17)</f>
        <v>#N/A</v>
      </c>
      <c r="AI1072" s="8"/>
      <c r="AJ1072" s="57"/>
      <c r="AK1072" s="105"/>
      <c r="AM1072" s="6" t="e">
        <f>MATCH(D1072,'D5 - Gatekeeper - Projects'!$C$4:$C$1010,0)</f>
        <v>#N/A</v>
      </c>
      <c r="AN1072" s="6" t="b">
        <f t="shared" si="96"/>
        <v>1</v>
      </c>
      <c r="AO1072" s="6" t="str">
        <f t="shared" si="99"/>
        <v>OK</v>
      </c>
      <c r="AQ1072" s="6" t="e">
        <f>MATCH($D1072,'D4 - Provider Council Unsched'!$C$11:$C$234,0)</f>
        <v>#N/A</v>
      </c>
      <c r="AR1072" s="6" t="b">
        <f t="shared" si="97"/>
        <v>1</v>
      </c>
      <c r="AS1072" s="6" t="str">
        <f>IF(AND(H1072="2 - Not Scheduled",AR1072=TRUE),"Add","OK")</f>
        <v>OK</v>
      </c>
      <c r="AU1072" s="202"/>
      <c r="AV1072" s="262"/>
      <c r="AW1072" s="274"/>
    </row>
    <row r="1073" spans="1:49" s="13" customFormat="1" ht="33.75" x14ac:dyDescent="0.2">
      <c r="A1073" s="14">
        <v>1049</v>
      </c>
      <c r="B1073" s="14">
        <v>400029108</v>
      </c>
      <c r="C1073" s="8" t="s">
        <v>5197</v>
      </c>
      <c r="D1073" s="4" t="str">
        <f t="shared" si="98"/>
        <v>400029108R1</v>
      </c>
      <c r="E1073" s="309" t="str">
        <f>VLOOKUP($B1073,'D7 - NDB Impacted SPRF''s'!$E$6:$O$9929,2,FALSE)</f>
        <v>NDB to DDS Feed Regression Test &amp; RI Issue Remed</v>
      </c>
      <c r="F1073" s="8" t="s">
        <v>5196</v>
      </c>
      <c r="G1073" s="8" t="s">
        <v>4758</v>
      </c>
      <c r="H1073" s="8" t="s">
        <v>4246</v>
      </c>
      <c r="I1073" s="20">
        <v>14.01</v>
      </c>
      <c r="J1073" s="8" t="s">
        <v>4862</v>
      </c>
      <c r="K1073" s="182">
        <v>39929</v>
      </c>
      <c r="L1073" s="8" t="s">
        <v>4156</v>
      </c>
      <c r="M1073" s="8" t="s">
        <v>2814</v>
      </c>
      <c r="N1073" s="38"/>
      <c r="O1073" s="8" t="s">
        <v>7086</v>
      </c>
      <c r="P1073" s="4" t="str">
        <f>VLOOKUP($B1073,'D7 - NDB Impacted SPRF''s'!$E$16:$O$9929,9,FALSE)</f>
        <v>N</v>
      </c>
      <c r="Q1073" s="4" t="str">
        <f>VLOOKUP($B1073,'D7 - NDB Impacted SPRF''s'!$E$16:$O$9929,10,FALSE)</f>
        <v>N</v>
      </c>
      <c r="R1073" s="4" t="str">
        <f>VLOOKUP($B1073,'D7 - NDB Impacted SPRF''s'!$E$16:$O$9929,11,FALSE)</f>
        <v>N</v>
      </c>
      <c r="S1073" s="8"/>
      <c r="T1073" s="310"/>
      <c r="U1073" s="310"/>
      <c r="V1073" s="4"/>
      <c r="W1073" s="4"/>
      <c r="X1073" s="4"/>
      <c r="Y1073" s="4"/>
      <c r="Z1073" s="4"/>
      <c r="AA1073" s="4"/>
      <c r="AB1073" s="380" t="str">
        <f>VLOOKUP($B1073,'D7 - NDB Impacted SPRF''s'!$E$16:$O$9929,4,FALSE)</f>
        <v>Completed</v>
      </c>
      <c r="AC1073" s="380" t="str">
        <f>VLOOKUP($B1073,'D7 - NDB Impacted SPRF''s'!$E$16:$O$9929,3,FALSE)</f>
        <v>UnitedHealthcare Employer &amp; Individual</v>
      </c>
      <c r="AD1073" s="380" t="str">
        <f>VLOOKUP($B1073,'D7 - NDB Impacted SPRF''s'!$E$16:$O$9929,5,FALSE)</f>
        <v>HCA - Medica Operational Support</v>
      </c>
      <c r="AE1073" s="380" t="str">
        <f>VLOOKUP($B1073,'D7 - NDB Impacted SPRF''s'!$E$16:$O$9929,7,FALSE)</f>
        <v>Chad Walker</v>
      </c>
      <c r="AF1073" s="380" t="str">
        <f>VLOOKUP($B1073,'D7 - NDB Impacted SPRF''s'!$E$16:$O$9929,6,FALSE)</f>
        <v>MONIQUE WERNER</v>
      </c>
      <c r="AG1073" s="282"/>
      <c r="AH1073" s="311" t="e">
        <f>INDEX('D5 - Gatekeeper - Projects'!$A$4:$AF$1010,$AM1073, 17)</f>
        <v>#N/A</v>
      </c>
      <c r="AI1073" s="8"/>
      <c r="AJ1073" s="57"/>
      <c r="AK1073" s="105"/>
      <c r="AM1073" s="6" t="e">
        <f>MATCH(D1073,'D5 - Gatekeeper - Projects'!$C$4:$C$1010,0)</f>
        <v>#N/A</v>
      </c>
      <c r="AN1073" s="6" t="b">
        <f t="shared" si="96"/>
        <v>1</v>
      </c>
      <c r="AO1073" s="6" t="str">
        <f t="shared" si="99"/>
        <v>OK</v>
      </c>
      <c r="AQ1073" s="6" t="e">
        <f>MATCH($D1073,'D4 - Provider Council Unsched'!$C$11:$C$234,0)</f>
        <v>#N/A</v>
      </c>
      <c r="AR1073" s="6" t="b">
        <f t="shared" si="97"/>
        <v>1</v>
      </c>
      <c r="AS1073" s="6" t="str">
        <f>IF(AND(H1073="2 - Not Scheduled",AR1073=TRUE,C1073="R1"),"Add","OK")</f>
        <v>OK</v>
      </c>
      <c r="AU1073" s="202"/>
      <c r="AV1073" s="262"/>
      <c r="AW1073" s="274"/>
    </row>
    <row r="1074" spans="1:49" s="13" customFormat="1" x14ac:dyDescent="0.2">
      <c r="A1074" s="14">
        <v>1050</v>
      </c>
      <c r="B1074" s="14" t="s">
        <v>7637</v>
      </c>
      <c r="C1074" s="8" t="s">
        <v>5197</v>
      </c>
      <c r="D1074" s="4" t="str">
        <f t="shared" si="98"/>
        <v>SP00001R1</v>
      </c>
      <c r="E1074" s="282" t="s">
        <v>8119</v>
      </c>
      <c r="F1074" s="8" t="s">
        <v>2114</v>
      </c>
      <c r="G1074" s="8" t="s">
        <v>4758</v>
      </c>
      <c r="H1074" s="8" t="s">
        <v>4246</v>
      </c>
      <c r="I1074" s="20">
        <f>444/150</f>
        <v>2.96</v>
      </c>
      <c r="J1074" s="8" t="s">
        <v>4862</v>
      </c>
      <c r="K1074" s="182">
        <v>39939</v>
      </c>
      <c r="L1074" s="8" t="s">
        <v>5743</v>
      </c>
      <c r="M1074" s="8" t="s">
        <v>4450</v>
      </c>
      <c r="N1074" s="38"/>
      <c r="O1074" s="8" t="s">
        <v>3572</v>
      </c>
      <c r="P1074" s="4" t="e">
        <f>VLOOKUP($B1074,'D7 - NDB Impacted SPRF''s'!$E$16:$O$9929,9,FALSE)</f>
        <v>#N/A</v>
      </c>
      <c r="Q1074" s="4" t="e">
        <f>VLOOKUP($B1074,'D7 - NDB Impacted SPRF''s'!$E$16:$O$9929,10,FALSE)</f>
        <v>#N/A</v>
      </c>
      <c r="R1074" s="4" t="e">
        <f>VLOOKUP($B1074,'D7 - NDB Impacted SPRF''s'!$E$16:$O$9929,11,FALSE)</f>
        <v>#N/A</v>
      </c>
      <c r="S1074" s="8"/>
      <c r="T1074" s="310"/>
      <c r="U1074" s="310"/>
      <c r="V1074" s="4"/>
      <c r="W1074" s="4"/>
      <c r="X1074" s="4"/>
      <c r="Y1074" s="4"/>
      <c r="Z1074" s="4"/>
      <c r="AA1074" s="4"/>
      <c r="AB1074" s="380" t="e">
        <f>VLOOKUP($B1074,'D7 - NDB Impacted SPRF''s'!$E$16:$O$9929,4,FALSE)</f>
        <v>#N/A</v>
      </c>
      <c r="AC1074" s="380" t="e">
        <f>VLOOKUP($B1074,'D7 - NDB Impacted SPRF''s'!$E$16:$O$9929,3,FALSE)</f>
        <v>#N/A</v>
      </c>
      <c r="AD1074" s="380" t="e">
        <f>VLOOKUP($B1074,'D7 - NDB Impacted SPRF''s'!$E$16:$O$9929,5,FALSE)</f>
        <v>#N/A</v>
      </c>
      <c r="AE1074" s="380" t="e">
        <f>VLOOKUP($B1074,'D7 - NDB Impacted SPRF''s'!$E$16:$O$9929,7,FALSE)</f>
        <v>#N/A</v>
      </c>
      <c r="AF1074" s="380" t="e">
        <f>VLOOKUP($B1074,'D7 - NDB Impacted SPRF''s'!$E$16:$O$9929,6,FALSE)</f>
        <v>#N/A</v>
      </c>
      <c r="AG1074" s="282"/>
      <c r="AH1074" s="311" t="e">
        <f>INDEX('D5 - Gatekeeper - Projects'!$A$4:$AF$1010,$AM1074, 17)</f>
        <v>#N/A</v>
      </c>
      <c r="AI1074" s="8"/>
      <c r="AJ1074" s="57"/>
      <c r="AK1074" s="105"/>
      <c r="AM1074" s="6" t="e">
        <f>MATCH(D1074,'D5 - Gatekeeper - Projects'!$C$4:$C$1010,0)</f>
        <v>#N/A</v>
      </c>
      <c r="AN1074" s="6" t="b">
        <f t="shared" si="96"/>
        <v>1</v>
      </c>
      <c r="AO1074" s="6" t="str">
        <f t="shared" si="99"/>
        <v>OK</v>
      </c>
      <c r="AQ1074" s="6" t="e">
        <f>MATCH($D1074,'D4 - Provider Council Unsched'!$C$11:$C$234,0)</f>
        <v>#N/A</v>
      </c>
      <c r="AR1074" s="6" t="b">
        <f t="shared" si="97"/>
        <v>1</v>
      </c>
      <c r="AS1074" s="6" t="str">
        <f t="shared" ref="AS1074:AS1079" si="102">IF(AND(H1074="2 - Not Scheduled",AR1074=TRUE),"Add","OK")</f>
        <v>OK</v>
      </c>
      <c r="AU1074" s="202"/>
      <c r="AV1074" s="262"/>
      <c r="AW1074" s="274"/>
    </row>
    <row r="1075" spans="1:49" s="13" customFormat="1" ht="33.75" x14ac:dyDescent="0.2">
      <c r="A1075" s="14">
        <v>1051</v>
      </c>
      <c r="B1075" s="14">
        <v>400015128</v>
      </c>
      <c r="C1075" s="8" t="s">
        <v>3763</v>
      </c>
      <c r="D1075" s="4" t="str">
        <f t="shared" si="98"/>
        <v>400015128R2</v>
      </c>
      <c r="E1075" s="309" t="str">
        <f>VLOOKUP($B1075,'D7 - NDB Impacted SPRF''s'!$E$6:$O$9929,2,FALSE)</f>
        <v>Prov Directory Improvement -  Verification Fields</v>
      </c>
      <c r="F1075" s="8" t="s">
        <v>4971</v>
      </c>
      <c r="G1075" s="8" t="s">
        <v>4758</v>
      </c>
      <c r="H1075" s="8" t="s">
        <v>4246</v>
      </c>
      <c r="I1075" s="20">
        <f>1355.5/150</f>
        <v>9.0366666666666671</v>
      </c>
      <c r="J1075" s="8" t="s">
        <v>4862</v>
      </c>
      <c r="K1075" s="182">
        <v>39949</v>
      </c>
      <c r="L1075" s="8" t="s">
        <v>5743</v>
      </c>
      <c r="M1075" s="8" t="s">
        <v>2814</v>
      </c>
      <c r="N1075" s="38" t="s">
        <v>2110</v>
      </c>
      <c r="O1075" s="8" t="s">
        <v>4599</v>
      </c>
      <c r="P1075" s="4" t="str">
        <f>VLOOKUP($B1075,'D7 - NDB Impacted SPRF''s'!$E$16:$O$9929,9,FALSE)</f>
        <v>N</v>
      </c>
      <c r="Q1075" s="4" t="str">
        <f>VLOOKUP($B1075,'D7 - NDB Impacted SPRF''s'!$E$16:$O$9929,10,FALSE)</f>
        <v>N</v>
      </c>
      <c r="R1075" s="4" t="str">
        <f>VLOOKUP($B1075,'D7 - NDB Impacted SPRF''s'!$E$16:$O$9929,11,FALSE)</f>
        <v>N</v>
      </c>
      <c r="S1075" s="8"/>
      <c r="T1075" s="310"/>
      <c r="U1075" s="310"/>
      <c r="V1075" s="4"/>
      <c r="W1075" s="4"/>
      <c r="X1075" s="4"/>
      <c r="Y1075" s="4"/>
      <c r="Z1075" s="4"/>
      <c r="AA1075" s="4"/>
      <c r="AB1075" s="380" t="str">
        <f>VLOOKUP($B1075,'D7 - NDB Impacted SPRF''s'!$E$16:$O$9929,4,FALSE)</f>
        <v>Completed</v>
      </c>
      <c r="AC1075" s="380" t="str">
        <f>VLOOKUP($B1075,'D7 - NDB Impacted SPRF''s'!$E$16:$O$9929,3,FALSE)</f>
        <v>UnitedHealthcare Employer &amp; Individual</v>
      </c>
      <c r="AD1075" s="380" t="str">
        <f>VLOOKUP($B1075,'D7 - NDB Impacted SPRF''s'!$E$16:$O$9929,5,FALSE)</f>
        <v>Process Improvement</v>
      </c>
      <c r="AE1075" s="380" t="str">
        <f>VLOOKUP($B1075,'D7 - NDB Impacted SPRF''s'!$E$16:$O$9929,7,FALSE)</f>
        <v>Matt Guisinger</v>
      </c>
      <c r="AF1075" s="380" t="str">
        <f>VLOOKUP($B1075,'D7 - NDB Impacted SPRF''s'!$E$16:$O$9929,6,FALSE)</f>
        <v>Rosalind Hoagland</v>
      </c>
      <c r="AG1075" s="282"/>
      <c r="AH1075" s="311" t="e">
        <f>INDEX('D5 - Gatekeeper - Projects'!$A$4:$AF$1010,$AM1075, 17)</f>
        <v>#N/A</v>
      </c>
      <c r="AI1075" s="8"/>
      <c r="AJ1075" s="57"/>
      <c r="AK1075" s="105"/>
      <c r="AM1075" s="6" t="e">
        <f>MATCH(D1075,'D5 - Gatekeeper - Projects'!$C$4:$C$1010,0)</f>
        <v>#N/A</v>
      </c>
      <c r="AN1075" s="6" t="b">
        <f t="shared" si="96"/>
        <v>1</v>
      </c>
      <c r="AO1075" s="6" t="str">
        <f t="shared" si="99"/>
        <v>OK</v>
      </c>
      <c r="AQ1075" s="6" t="e">
        <f>MATCH($D1075,'D4 - Provider Council Unsched'!$C$11:$C$234,0)</f>
        <v>#N/A</v>
      </c>
      <c r="AR1075" s="6" t="b">
        <f t="shared" si="97"/>
        <v>1</v>
      </c>
      <c r="AS1075" s="6" t="str">
        <f t="shared" si="102"/>
        <v>OK</v>
      </c>
      <c r="AU1075" s="202"/>
      <c r="AV1075" s="262"/>
      <c r="AW1075" s="274"/>
    </row>
    <row r="1076" spans="1:49" s="13" customFormat="1" ht="33.75" x14ac:dyDescent="0.2">
      <c r="A1076" s="14">
        <v>1052</v>
      </c>
      <c r="B1076" s="14">
        <v>400015128</v>
      </c>
      <c r="C1076" s="8" t="s">
        <v>4465</v>
      </c>
      <c r="D1076" s="4" t="str">
        <f t="shared" si="98"/>
        <v>400015128U2</v>
      </c>
      <c r="E1076" s="309" t="str">
        <f>VLOOKUP($B1076,'D7 - NDB Impacted SPRF''s'!$E$6:$O$9929,2,FALSE)</f>
        <v>Prov Directory Improvement -  Verification Fields</v>
      </c>
      <c r="F1076" s="8" t="s">
        <v>4971</v>
      </c>
      <c r="G1076" s="8" t="s">
        <v>4758</v>
      </c>
      <c r="H1076" s="8" t="s">
        <v>4246</v>
      </c>
      <c r="I1076" s="20">
        <f>124/150</f>
        <v>0.82666666666666666</v>
      </c>
      <c r="J1076" s="8" t="s">
        <v>4862</v>
      </c>
      <c r="K1076" s="182">
        <v>39949</v>
      </c>
      <c r="L1076" s="8" t="s">
        <v>5743</v>
      </c>
      <c r="M1076" s="8" t="s">
        <v>2814</v>
      </c>
      <c r="N1076" s="38" t="s">
        <v>2110</v>
      </c>
      <c r="O1076" s="8" t="s">
        <v>4599</v>
      </c>
      <c r="P1076" s="4" t="str">
        <f>VLOOKUP($B1076,'D7 - NDB Impacted SPRF''s'!$E$16:$O$9929,9,FALSE)</f>
        <v>N</v>
      </c>
      <c r="Q1076" s="4" t="str">
        <f>VLOOKUP($B1076,'D7 - NDB Impacted SPRF''s'!$E$16:$O$9929,10,FALSE)</f>
        <v>N</v>
      </c>
      <c r="R1076" s="4" t="str">
        <f>VLOOKUP($B1076,'D7 - NDB Impacted SPRF''s'!$E$16:$O$9929,11,FALSE)</f>
        <v>N</v>
      </c>
      <c r="S1076" s="8"/>
      <c r="T1076" s="310"/>
      <c r="U1076" s="310"/>
      <c r="V1076" s="4"/>
      <c r="W1076" s="4"/>
      <c r="X1076" s="4"/>
      <c r="Y1076" s="4"/>
      <c r="Z1076" s="4"/>
      <c r="AA1076" s="4"/>
      <c r="AB1076" s="380" t="str">
        <f>VLOOKUP($B1076,'D7 - NDB Impacted SPRF''s'!$E$16:$O$9929,4,FALSE)</f>
        <v>Completed</v>
      </c>
      <c r="AC1076" s="380" t="str">
        <f>VLOOKUP($B1076,'D7 - NDB Impacted SPRF''s'!$E$16:$O$9929,3,FALSE)</f>
        <v>UnitedHealthcare Employer &amp; Individual</v>
      </c>
      <c r="AD1076" s="380" t="str">
        <f>VLOOKUP($B1076,'D7 - NDB Impacted SPRF''s'!$E$16:$O$9929,5,FALSE)</f>
        <v>Process Improvement</v>
      </c>
      <c r="AE1076" s="380" t="str">
        <f>VLOOKUP($B1076,'D7 - NDB Impacted SPRF''s'!$E$16:$O$9929,7,FALSE)</f>
        <v>Matt Guisinger</v>
      </c>
      <c r="AF1076" s="380" t="str">
        <f>VLOOKUP($B1076,'D7 - NDB Impacted SPRF''s'!$E$16:$O$9929,6,FALSE)</f>
        <v>Rosalind Hoagland</v>
      </c>
      <c r="AG1076" s="282"/>
      <c r="AH1076" s="311" t="e">
        <f>INDEX('D5 - Gatekeeper - Projects'!$A$4:$AF$1010,$AM1076, 17)</f>
        <v>#N/A</v>
      </c>
      <c r="AI1076" s="8"/>
      <c r="AJ1076" s="57"/>
      <c r="AK1076" s="105"/>
      <c r="AM1076" s="6" t="e">
        <f>MATCH(D1076,'D5 - Gatekeeper - Projects'!$C$4:$C$1010,0)</f>
        <v>#N/A</v>
      </c>
      <c r="AN1076" s="6" t="b">
        <f t="shared" si="96"/>
        <v>1</v>
      </c>
      <c r="AO1076" s="6" t="str">
        <f t="shared" si="99"/>
        <v>OK</v>
      </c>
      <c r="AQ1076" s="6" t="e">
        <f>MATCH($D1076,'D4 - Provider Council Unsched'!$C$11:$C$234,0)</f>
        <v>#N/A</v>
      </c>
      <c r="AR1076" s="6" t="b">
        <f t="shared" si="97"/>
        <v>1</v>
      </c>
      <c r="AS1076" s="6" t="str">
        <f t="shared" si="102"/>
        <v>OK</v>
      </c>
      <c r="AU1076" s="202"/>
      <c r="AV1076" s="262"/>
      <c r="AW1076" s="274"/>
    </row>
    <row r="1077" spans="1:49" s="13" customFormat="1" ht="33.75" x14ac:dyDescent="0.2">
      <c r="A1077" s="14">
        <v>1053</v>
      </c>
      <c r="B1077" s="14">
        <v>400019681</v>
      </c>
      <c r="C1077" s="8" t="s">
        <v>4926</v>
      </c>
      <c r="D1077" s="4" t="str">
        <f t="shared" si="98"/>
        <v>400019681R4</v>
      </c>
      <c r="E1077" s="309" t="str">
        <f>VLOOKUP($B1077,'D7 - NDB Impacted SPRF''s'!$E$6:$O$9929,2,FALSE)</f>
        <v>PHS Work Package 1 Release 2 - Provider Crosswalk</v>
      </c>
      <c r="F1077" s="8" t="s">
        <v>6071</v>
      </c>
      <c r="G1077" s="8" t="s">
        <v>4758</v>
      </c>
      <c r="H1077" s="8" t="s">
        <v>4246</v>
      </c>
      <c r="I1077" s="20">
        <f>2075/150</f>
        <v>13.833333333333334</v>
      </c>
      <c r="J1077" s="8" t="s">
        <v>4862</v>
      </c>
      <c r="K1077" s="182">
        <v>39949</v>
      </c>
      <c r="L1077" s="8" t="s">
        <v>5743</v>
      </c>
      <c r="M1077" s="8" t="s">
        <v>2814</v>
      </c>
      <c r="N1077" s="38"/>
      <c r="O1077" s="8" t="s">
        <v>2547</v>
      </c>
      <c r="P1077" s="4" t="str">
        <f>VLOOKUP($B1077,'D7 - NDB Impacted SPRF''s'!$E$16:$O$9929,9,FALSE)</f>
        <v>N</v>
      </c>
      <c r="Q1077" s="4" t="str">
        <f>VLOOKUP($B1077,'D7 - NDB Impacted SPRF''s'!$E$16:$O$9929,10,FALSE)</f>
        <v>N</v>
      </c>
      <c r="R1077" s="4" t="str">
        <f>VLOOKUP($B1077,'D7 - NDB Impacted SPRF''s'!$E$16:$O$9929,11,FALSE)</f>
        <v>N</v>
      </c>
      <c r="S1077" s="8"/>
      <c r="T1077" s="310"/>
      <c r="U1077" s="310"/>
      <c r="V1077" s="4"/>
      <c r="W1077" s="4"/>
      <c r="X1077" s="4"/>
      <c r="Y1077" s="4"/>
      <c r="Z1077" s="4"/>
      <c r="AA1077" s="4"/>
      <c r="AB1077" s="380" t="str">
        <f>VLOOKUP($B1077,'D7 - NDB Impacted SPRF''s'!$E$16:$O$9929,4,FALSE)</f>
        <v>Completed</v>
      </c>
      <c r="AC1077" s="380" t="str">
        <f>VLOOKUP($B1077,'D7 - NDB Impacted SPRF''s'!$E$16:$O$9929,3,FALSE)</f>
        <v>UnitedHealthcare Employer &amp; Individual</v>
      </c>
      <c r="AD1077" s="380" t="str">
        <f>VLOOKUP($B1077,'D7 - NDB Impacted SPRF''s'!$E$16:$O$9929,5,FALSE)</f>
        <v>Integration Requirements</v>
      </c>
      <c r="AE1077" s="380" t="str">
        <f>VLOOKUP($B1077,'D7 - NDB Impacted SPRF''s'!$E$16:$O$9929,7,FALSE)</f>
        <v>Diane Schofield</v>
      </c>
      <c r="AF1077" s="380" t="str">
        <f>VLOOKUP($B1077,'D7 - NDB Impacted SPRF''s'!$E$16:$O$9929,6,FALSE)</f>
        <v>KAREN MCKINNEY</v>
      </c>
      <c r="AG1077" s="282"/>
      <c r="AH1077" s="311" t="e">
        <f>INDEX('D5 - Gatekeeper - Projects'!$A$4:$AF$1010,$AM1077, 17)</f>
        <v>#N/A</v>
      </c>
      <c r="AI1077" s="8"/>
      <c r="AJ1077" s="57"/>
      <c r="AK1077" s="105"/>
      <c r="AM1077" s="6" t="e">
        <f>MATCH(D1077,'D5 - Gatekeeper - Projects'!$C$4:$C$1010,0)</f>
        <v>#N/A</v>
      </c>
      <c r="AN1077" s="6" t="b">
        <f t="shared" si="96"/>
        <v>1</v>
      </c>
      <c r="AO1077" s="6" t="str">
        <f t="shared" si="99"/>
        <v>OK</v>
      </c>
      <c r="AQ1077" s="6" t="e">
        <f>MATCH($D1077,'D4 - Provider Council Unsched'!$C$11:$C$234,0)</f>
        <v>#N/A</v>
      </c>
      <c r="AR1077" s="6" t="b">
        <f t="shared" si="97"/>
        <v>1</v>
      </c>
      <c r="AS1077" s="6" t="str">
        <f t="shared" si="102"/>
        <v>OK</v>
      </c>
      <c r="AU1077" s="202"/>
      <c r="AV1077" s="262"/>
      <c r="AW1077" s="274"/>
    </row>
    <row r="1078" spans="1:49" s="13" customFormat="1" ht="33.75" x14ac:dyDescent="0.2">
      <c r="A1078" s="14">
        <v>1054</v>
      </c>
      <c r="B1078" s="14">
        <v>400022158</v>
      </c>
      <c r="C1078" s="8" t="s">
        <v>2449</v>
      </c>
      <c r="D1078" s="4" t="str">
        <f t="shared" si="98"/>
        <v>400022158R3</v>
      </c>
      <c r="E1078" s="309" t="str">
        <f>VLOOKUP($B1078,'D7 - NDB Impacted SPRF''s'!$E$6:$O$9929,2,FALSE)</f>
        <v>PHS Work Package 1 Rel 2 - PCP Call Service/Select</v>
      </c>
      <c r="F1078" s="8" t="s">
        <v>6071</v>
      </c>
      <c r="G1078" s="8" t="s">
        <v>4758</v>
      </c>
      <c r="H1078" s="8" t="s">
        <v>4246</v>
      </c>
      <c r="I1078" s="20">
        <f>213.5/150</f>
        <v>1.4233333333333333</v>
      </c>
      <c r="J1078" s="8" t="s">
        <v>4862</v>
      </c>
      <c r="K1078" s="182">
        <v>39949</v>
      </c>
      <c r="L1078" s="8" t="s">
        <v>5743</v>
      </c>
      <c r="M1078" s="8" t="s">
        <v>2814</v>
      </c>
      <c r="N1078" s="38"/>
      <c r="O1078" s="8" t="s">
        <v>2547</v>
      </c>
      <c r="P1078" s="4" t="str">
        <f>VLOOKUP($B1078,'D7 - NDB Impacted SPRF''s'!$E$16:$O$9929,9,FALSE)</f>
        <v>Y</v>
      </c>
      <c r="Q1078" s="4" t="str">
        <f>VLOOKUP($B1078,'D7 - NDB Impacted SPRF''s'!$E$16:$O$9929,10,FALSE)</f>
        <v>N</v>
      </c>
      <c r="R1078" s="4" t="str">
        <f>VLOOKUP($B1078,'D7 - NDB Impacted SPRF''s'!$E$16:$O$9929,11,FALSE)</f>
        <v>N</v>
      </c>
      <c r="S1078" s="8"/>
      <c r="T1078" s="310"/>
      <c r="U1078" s="310"/>
      <c r="V1078" s="4"/>
      <c r="W1078" s="4"/>
      <c r="X1078" s="4"/>
      <c r="Y1078" s="4"/>
      <c r="Z1078" s="4"/>
      <c r="AA1078" s="4"/>
      <c r="AB1078" s="380" t="str">
        <f>VLOOKUP($B1078,'D7 - NDB Impacted SPRF''s'!$E$16:$O$9929,4,FALSE)</f>
        <v>Completed</v>
      </c>
      <c r="AC1078" s="380" t="str">
        <f>VLOOKUP($B1078,'D7 - NDB Impacted SPRF''s'!$E$16:$O$9929,3,FALSE)</f>
        <v>UnitedHealthcare Employer &amp; Individual</v>
      </c>
      <c r="AD1078" s="380" t="str">
        <f>VLOOKUP($B1078,'D7 - NDB Impacted SPRF''s'!$E$16:$O$9929,5,FALSE)</f>
        <v>Integration Requirements</v>
      </c>
      <c r="AE1078" s="380" t="str">
        <f>VLOOKUP($B1078,'D7 - NDB Impacted SPRF''s'!$E$16:$O$9929,7,FALSE)</f>
        <v>Diane Schofield</v>
      </c>
      <c r="AF1078" s="380" t="str">
        <f>VLOOKUP($B1078,'D7 - NDB Impacted SPRF''s'!$E$16:$O$9929,6,FALSE)</f>
        <v>KAREN MCKINNEY</v>
      </c>
      <c r="AG1078" s="282"/>
      <c r="AH1078" s="311" t="e">
        <f>INDEX('D5 - Gatekeeper - Projects'!$A$4:$AF$1010,$AM1078, 17)</f>
        <v>#N/A</v>
      </c>
      <c r="AI1078" s="8"/>
      <c r="AJ1078" s="57"/>
      <c r="AK1078" s="105"/>
      <c r="AM1078" s="6" t="e">
        <f>MATCH(D1078,'D5 - Gatekeeper - Projects'!$C$4:$C$1010,0)</f>
        <v>#N/A</v>
      </c>
      <c r="AN1078" s="6" t="b">
        <f t="shared" si="96"/>
        <v>1</v>
      </c>
      <c r="AO1078" s="6" t="str">
        <f t="shared" si="99"/>
        <v>OK</v>
      </c>
      <c r="AQ1078" s="6" t="e">
        <f>MATCH($D1078,'D4 - Provider Council Unsched'!$C$11:$C$234,0)</f>
        <v>#N/A</v>
      </c>
      <c r="AR1078" s="6" t="b">
        <f t="shared" si="97"/>
        <v>1</v>
      </c>
      <c r="AS1078" s="6" t="str">
        <f t="shared" si="102"/>
        <v>OK</v>
      </c>
      <c r="AU1078" s="202"/>
      <c r="AV1078" s="262"/>
      <c r="AW1078" s="274"/>
    </row>
    <row r="1079" spans="1:49" s="13" customFormat="1" ht="33.75" x14ac:dyDescent="0.2">
      <c r="A1079" s="14">
        <v>1055</v>
      </c>
      <c r="B1079" s="14">
        <v>400024137</v>
      </c>
      <c r="C1079" s="8" t="s">
        <v>5197</v>
      </c>
      <c r="D1079" s="4" t="str">
        <f t="shared" si="98"/>
        <v>400024137R1</v>
      </c>
      <c r="E1079" s="309" t="str">
        <f>VLOOKUP($B1079,'D7 - NDB Impacted SPRF''s'!$E$6:$O$9929,2,FALSE)</f>
        <v>DRG Field Expansion</v>
      </c>
      <c r="F1079" s="8" t="s">
        <v>7955</v>
      </c>
      <c r="G1079" s="8" t="s">
        <v>4758</v>
      </c>
      <c r="H1079" s="8" t="s">
        <v>4246</v>
      </c>
      <c r="I1079" s="20">
        <v>80.8</v>
      </c>
      <c r="J1079" s="8" t="s">
        <v>4862</v>
      </c>
      <c r="K1079" s="182">
        <v>39949</v>
      </c>
      <c r="L1079" s="8" t="s">
        <v>5743</v>
      </c>
      <c r="M1079" s="8" t="s">
        <v>2814</v>
      </c>
      <c r="N1079" s="38"/>
      <c r="O1079" s="8" t="s">
        <v>2875</v>
      </c>
      <c r="P1079" s="4" t="str">
        <f>VLOOKUP($B1079,'D7 - NDB Impacted SPRF''s'!$E$16:$O$9929,9,FALSE)</f>
        <v>Y</v>
      </c>
      <c r="Q1079" s="4" t="str">
        <f>VLOOKUP($B1079,'D7 - NDB Impacted SPRF''s'!$E$16:$O$9929,10,FALSE)</f>
        <v>N</v>
      </c>
      <c r="R1079" s="4" t="str">
        <f>VLOOKUP($B1079,'D7 - NDB Impacted SPRF''s'!$E$16:$O$9929,11,FALSE)</f>
        <v>Y</v>
      </c>
      <c r="S1079" s="8"/>
      <c r="T1079" s="310"/>
      <c r="U1079" s="310"/>
      <c r="V1079" s="4"/>
      <c r="W1079" s="4"/>
      <c r="X1079" s="4"/>
      <c r="Y1079" s="4"/>
      <c r="Z1079" s="4"/>
      <c r="AA1079" s="4"/>
      <c r="AB1079" s="380" t="str">
        <f>VLOOKUP($B1079,'D7 - NDB Impacted SPRF''s'!$E$16:$O$9929,4,FALSE)</f>
        <v>Completed</v>
      </c>
      <c r="AC1079" s="380" t="str">
        <f>VLOOKUP($B1079,'D7 - NDB Impacted SPRF''s'!$E$16:$O$9929,3,FALSE)</f>
        <v>UnitedHealthcare Employer &amp; Individual</v>
      </c>
      <c r="AD1079" s="380" t="str">
        <f>VLOOKUP($B1079,'D7 - NDB Impacted SPRF''s'!$E$16:$O$9929,5,FALSE)</f>
        <v>Regulatory / Other</v>
      </c>
      <c r="AE1079" s="380" t="str">
        <f>VLOOKUP($B1079,'D7 - NDB Impacted SPRF''s'!$E$16:$O$9929,7,FALSE)</f>
        <v>Jill Fource</v>
      </c>
      <c r="AF1079" s="380" t="str">
        <f>VLOOKUP($B1079,'D7 - NDB Impacted SPRF''s'!$E$16:$O$9929,6,FALSE)</f>
        <v>Suzanne Smith</v>
      </c>
      <c r="AG1079" s="282"/>
      <c r="AH1079" s="311" t="e">
        <f>INDEX('D5 - Gatekeeper - Projects'!$A$4:$AF$1010,$AM1079, 17)</f>
        <v>#N/A</v>
      </c>
      <c r="AI1079" s="8"/>
      <c r="AJ1079" s="57"/>
      <c r="AK1079" s="105"/>
      <c r="AM1079" s="6" t="e">
        <f>MATCH(D1079,'D5 - Gatekeeper - Projects'!$C$4:$C$1010,0)</f>
        <v>#N/A</v>
      </c>
      <c r="AN1079" s="6" t="b">
        <f t="shared" si="96"/>
        <v>1</v>
      </c>
      <c r="AO1079" s="6" t="str">
        <f t="shared" si="99"/>
        <v>OK</v>
      </c>
      <c r="AQ1079" s="6" t="e">
        <f>MATCH($D1079,'D4 - Provider Council Unsched'!$C$11:$C$234,0)</f>
        <v>#N/A</v>
      </c>
      <c r="AR1079" s="6" t="b">
        <f t="shared" si="97"/>
        <v>1</v>
      </c>
      <c r="AS1079" s="6" t="str">
        <f t="shared" si="102"/>
        <v>OK</v>
      </c>
      <c r="AU1079" s="202"/>
      <c r="AV1079" s="262"/>
      <c r="AW1079" s="274"/>
    </row>
    <row r="1080" spans="1:49" s="13" customFormat="1" ht="33.75" x14ac:dyDescent="0.2">
      <c r="A1080" s="14">
        <v>1056</v>
      </c>
      <c r="B1080" s="14">
        <v>400024666</v>
      </c>
      <c r="C1080" s="8" t="s">
        <v>5197</v>
      </c>
      <c r="D1080" s="4" t="str">
        <f t="shared" si="98"/>
        <v>400024666R1</v>
      </c>
      <c r="E1080" s="309" t="str">
        <f>VLOOKUP($B1080,'D7 - NDB Impacted SPRF''s'!$E$6:$O$9929,2,FALSE)</f>
        <v xml:space="preserve">MPQ Enhancements </v>
      </c>
      <c r="F1080" s="8" t="s">
        <v>2114</v>
      </c>
      <c r="G1080" s="8" t="s">
        <v>4758</v>
      </c>
      <c r="H1080" s="8" t="s">
        <v>4246</v>
      </c>
      <c r="I1080" s="20">
        <v>14.15</v>
      </c>
      <c r="J1080" s="8" t="s">
        <v>4862</v>
      </c>
      <c r="K1080" s="182">
        <v>39949</v>
      </c>
      <c r="L1080" s="8" t="s">
        <v>5743</v>
      </c>
      <c r="M1080" s="8" t="s">
        <v>2814</v>
      </c>
      <c r="N1080" s="38"/>
      <c r="O1080" s="8" t="s">
        <v>4599</v>
      </c>
      <c r="P1080" s="4" t="str">
        <f>VLOOKUP($B1080,'D7 - NDB Impacted SPRF''s'!$E$16:$O$9929,9,FALSE)</f>
        <v>Y</v>
      </c>
      <c r="Q1080" s="4" t="str">
        <f>VLOOKUP($B1080,'D7 - NDB Impacted SPRF''s'!$E$16:$O$9929,10,FALSE)</f>
        <v>N</v>
      </c>
      <c r="R1080" s="4" t="str">
        <f>VLOOKUP($B1080,'D7 - NDB Impacted SPRF''s'!$E$16:$O$9929,11,FALSE)</f>
        <v>Y</v>
      </c>
      <c r="S1080" s="8"/>
      <c r="T1080" s="310"/>
      <c r="U1080" s="310"/>
      <c r="V1080" s="4"/>
      <c r="W1080" s="4"/>
      <c r="X1080" s="4"/>
      <c r="Y1080" s="4"/>
      <c r="Z1080" s="4"/>
      <c r="AA1080" s="4"/>
      <c r="AB1080" s="380" t="str">
        <f>VLOOKUP($B1080,'D7 - NDB Impacted SPRF''s'!$E$16:$O$9929,4,FALSE)</f>
        <v>Completed</v>
      </c>
      <c r="AC1080" s="380" t="str">
        <f>VLOOKUP($B1080,'D7 - NDB Impacted SPRF''s'!$E$16:$O$9929,3,FALSE)</f>
        <v>UnitedHealthcare Employer &amp; Individual</v>
      </c>
      <c r="AD1080" s="380" t="str">
        <f>VLOOKUP($B1080,'D7 - NDB Impacted SPRF''s'!$E$16:$O$9929,5,FALSE)</f>
        <v>Process Improvement</v>
      </c>
      <c r="AE1080" s="380" t="str">
        <f>VLOOKUP($B1080,'D7 - NDB Impacted SPRF''s'!$E$16:$O$9929,7,FALSE)</f>
        <v>Jillian Foucre</v>
      </c>
      <c r="AF1080" s="380" t="str">
        <f>VLOOKUP($B1080,'D7 - NDB Impacted SPRF''s'!$E$16:$O$9929,6,FALSE)</f>
        <v>JOHN HIEBERT</v>
      </c>
      <c r="AG1080" s="282"/>
      <c r="AH1080" s="311" t="e">
        <f>INDEX('D5 - Gatekeeper - Projects'!$A$4:$AF$1010,$AM1080, 17)</f>
        <v>#N/A</v>
      </c>
      <c r="AI1080" s="8"/>
      <c r="AJ1080" s="57"/>
      <c r="AK1080" s="105"/>
      <c r="AM1080" s="6" t="e">
        <f>MATCH(D1080,'D5 - Gatekeeper - Projects'!$C$4:$C$1010,0)</f>
        <v>#N/A</v>
      </c>
      <c r="AN1080" s="6" t="b">
        <f t="shared" si="96"/>
        <v>1</v>
      </c>
      <c r="AO1080" s="6" t="str">
        <f t="shared" si="99"/>
        <v>OK</v>
      </c>
      <c r="AQ1080" s="6" t="e">
        <f>MATCH($D1080,'D4 - Provider Council Unsched'!$C$11:$C$234,0)</f>
        <v>#N/A</v>
      </c>
      <c r="AR1080" s="6" t="b">
        <f t="shared" si="97"/>
        <v>1</v>
      </c>
      <c r="AS1080" s="6" t="str">
        <f t="shared" ref="AS1080:AS1093" si="103">IF(AND(H1080="2 - Not Scheduled",AR1080=TRUE,C1080="R1"),"Add","OK")</f>
        <v>OK</v>
      </c>
      <c r="AU1080" s="202"/>
      <c r="AV1080" s="262"/>
      <c r="AW1080" s="274"/>
    </row>
    <row r="1081" spans="1:49" s="13" customFormat="1" ht="33.75" x14ac:dyDescent="0.2">
      <c r="A1081" s="14">
        <v>1057</v>
      </c>
      <c r="B1081" s="14">
        <v>400024666</v>
      </c>
      <c r="C1081" s="8" t="s">
        <v>1992</v>
      </c>
      <c r="D1081" s="4" t="str">
        <f t="shared" si="98"/>
        <v>400024666U1</v>
      </c>
      <c r="E1081" s="309" t="str">
        <f>VLOOKUP($B1081,'D7 - NDB Impacted SPRF''s'!$E$6:$O$9929,2,FALSE)</f>
        <v xml:space="preserve">MPQ Enhancements </v>
      </c>
      <c r="F1081" s="8" t="s">
        <v>2114</v>
      </c>
      <c r="G1081" s="8" t="s">
        <v>4758</v>
      </c>
      <c r="H1081" s="8" t="s">
        <v>4246</v>
      </c>
      <c r="I1081" s="20">
        <f>1046/150</f>
        <v>6.9733333333333336</v>
      </c>
      <c r="J1081" s="8" t="s">
        <v>4862</v>
      </c>
      <c r="K1081" s="182">
        <v>39949</v>
      </c>
      <c r="L1081" s="8" t="s">
        <v>5743</v>
      </c>
      <c r="M1081" s="8" t="s">
        <v>2814</v>
      </c>
      <c r="N1081" s="38"/>
      <c r="O1081" s="8" t="s">
        <v>4599</v>
      </c>
      <c r="P1081" s="4" t="str">
        <f>VLOOKUP($B1081,'D7 - NDB Impacted SPRF''s'!$E$16:$O$9929,9,FALSE)</f>
        <v>Y</v>
      </c>
      <c r="Q1081" s="4" t="str">
        <f>VLOOKUP($B1081,'D7 - NDB Impacted SPRF''s'!$E$16:$O$9929,10,FALSE)</f>
        <v>N</v>
      </c>
      <c r="R1081" s="4" t="str">
        <f>VLOOKUP($B1081,'D7 - NDB Impacted SPRF''s'!$E$16:$O$9929,11,FALSE)</f>
        <v>Y</v>
      </c>
      <c r="S1081" s="8"/>
      <c r="T1081" s="310"/>
      <c r="U1081" s="310"/>
      <c r="V1081" s="4"/>
      <c r="W1081" s="4"/>
      <c r="X1081" s="4"/>
      <c r="Y1081" s="4"/>
      <c r="Z1081" s="4"/>
      <c r="AA1081" s="4"/>
      <c r="AB1081" s="380" t="str">
        <f>VLOOKUP($B1081,'D7 - NDB Impacted SPRF''s'!$E$16:$O$9929,4,FALSE)</f>
        <v>Completed</v>
      </c>
      <c r="AC1081" s="380" t="str">
        <f>VLOOKUP($B1081,'D7 - NDB Impacted SPRF''s'!$E$16:$O$9929,3,FALSE)</f>
        <v>UnitedHealthcare Employer &amp; Individual</v>
      </c>
      <c r="AD1081" s="380" t="str">
        <f>VLOOKUP($B1081,'D7 - NDB Impacted SPRF''s'!$E$16:$O$9929,5,FALSE)</f>
        <v>Process Improvement</v>
      </c>
      <c r="AE1081" s="380" t="str">
        <f>VLOOKUP($B1081,'D7 - NDB Impacted SPRF''s'!$E$16:$O$9929,7,FALSE)</f>
        <v>Jillian Foucre</v>
      </c>
      <c r="AF1081" s="380" t="str">
        <f>VLOOKUP($B1081,'D7 - NDB Impacted SPRF''s'!$E$16:$O$9929,6,FALSE)</f>
        <v>JOHN HIEBERT</v>
      </c>
      <c r="AG1081" s="282"/>
      <c r="AH1081" s="311" t="e">
        <f>INDEX('D5 - Gatekeeper - Projects'!$A$4:$AF$1010,$AM1081, 17)</f>
        <v>#N/A</v>
      </c>
      <c r="AI1081" s="8"/>
      <c r="AJ1081" s="57"/>
      <c r="AK1081" s="105"/>
      <c r="AM1081" s="6" t="e">
        <f>MATCH(D1081,'D5 - Gatekeeper - Projects'!$C$4:$C$1010,0)</f>
        <v>#N/A</v>
      </c>
      <c r="AN1081" s="6" t="b">
        <f t="shared" si="96"/>
        <v>1</v>
      </c>
      <c r="AO1081" s="6" t="str">
        <f t="shared" si="99"/>
        <v>OK</v>
      </c>
      <c r="AQ1081" s="6" t="e">
        <f>MATCH($D1081,'D4 - Provider Council Unsched'!$C$11:$C$234,0)</f>
        <v>#N/A</v>
      </c>
      <c r="AR1081" s="6" t="b">
        <f t="shared" si="97"/>
        <v>1</v>
      </c>
      <c r="AS1081" s="6" t="str">
        <f t="shared" si="103"/>
        <v>OK</v>
      </c>
      <c r="AU1081" s="202"/>
      <c r="AV1081" s="262"/>
      <c r="AW1081" s="274"/>
    </row>
    <row r="1082" spans="1:49" s="13" customFormat="1" ht="33.75" x14ac:dyDescent="0.2">
      <c r="A1082" s="14">
        <v>1058</v>
      </c>
      <c r="B1082" s="14">
        <v>400025238</v>
      </c>
      <c r="C1082" s="8" t="s">
        <v>5197</v>
      </c>
      <c r="D1082" s="4" t="str">
        <f t="shared" si="98"/>
        <v>400025238R1</v>
      </c>
      <c r="E1082" s="309" t="str">
        <f>VLOOKUP($B1082,'D7 - NDB Impacted SPRF''s'!$E$6:$O$9929,2,FALSE)</f>
        <v>Medica Notification Logic, RC change, API enhance</v>
      </c>
      <c r="F1082" s="8" t="s">
        <v>5196</v>
      </c>
      <c r="G1082" s="8" t="s">
        <v>4758</v>
      </c>
      <c r="H1082" s="8" t="s">
        <v>4246</v>
      </c>
      <c r="I1082" s="20">
        <v>1.07</v>
      </c>
      <c r="J1082" s="8" t="s">
        <v>4862</v>
      </c>
      <c r="K1082" s="182">
        <v>39949</v>
      </c>
      <c r="L1082" s="8" t="s">
        <v>5743</v>
      </c>
      <c r="M1082" s="8" t="s">
        <v>5626</v>
      </c>
      <c r="N1082" s="38"/>
      <c r="O1082" s="8" t="s">
        <v>2000</v>
      </c>
      <c r="P1082" s="4" t="str">
        <f>VLOOKUP($B1082,'D7 - NDB Impacted SPRF''s'!$E$16:$O$9929,9,FALSE)</f>
        <v>Y</v>
      </c>
      <c r="Q1082" s="4" t="str">
        <f>VLOOKUP($B1082,'D7 - NDB Impacted SPRF''s'!$E$16:$O$9929,10,FALSE)</f>
        <v>N</v>
      </c>
      <c r="R1082" s="4" t="str">
        <f>VLOOKUP($B1082,'D7 - NDB Impacted SPRF''s'!$E$16:$O$9929,11,FALSE)</f>
        <v>N</v>
      </c>
      <c r="S1082" s="8"/>
      <c r="T1082" s="310"/>
      <c r="U1082" s="310"/>
      <c r="V1082" s="4"/>
      <c r="W1082" s="4"/>
      <c r="X1082" s="4"/>
      <c r="Y1082" s="4"/>
      <c r="Z1082" s="4"/>
      <c r="AA1082" s="4"/>
      <c r="AB1082" s="380" t="str">
        <f>VLOOKUP($B1082,'D7 - NDB Impacted SPRF''s'!$E$16:$O$9929,4,FALSE)</f>
        <v>Completed</v>
      </c>
      <c r="AC1082" s="380" t="str">
        <f>VLOOKUP($B1082,'D7 - NDB Impacted SPRF''s'!$E$16:$O$9929,3,FALSE)</f>
        <v>UnitedHealthcare Employer &amp; Individual</v>
      </c>
      <c r="AD1082" s="380" t="str">
        <f>VLOOKUP($B1082,'D7 - NDB Impacted SPRF''s'!$E$16:$O$9929,5,FALSE)</f>
        <v>HCA - Medica Operational Support</v>
      </c>
      <c r="AE1082" s="380" t="str">
        <f>VLOOKUP($B1082,'D7 - NDB Impacted SPRF''s'!$E$16:$O$9929,7,FALSE)</f>
        <v>Diance Schofield</v>
      </c>
      <c r="AF1082" s="380" t="str">
        <f>VLOOKUP($B1082,'D7 - NDB Impacted SPRF''s'!$E$16:$O$9929,6,FALSE)</f>
        <v>KELLY Valentine</v>
      </c>
      <c r="AG1082" s="282"/>
      <c r="AH1082" s="311" t="e">
        <f>INDEX('D5 - Gatekeeper - Projects'!$A$4:$AF$1010,$AM1082, 17)</f>
        <v>#N/A</v>
      </c>
      <c r="AI1082" s="8"/>
      <c r="AJ1082" s="57"/>
      <c r="AK1082" s="105"/>
      <c r="AM1082" s="6" t="e">
        <f>MATCH(D1082,'D5 - Gatekeeper - Projects'!$C$4:$C$1010,0)</f>
        <v>#N/A</v>
      </c>
      <c r="AN1082" s="6" t="b">
        <f t="shared" si="96"/>
        <v>1</v>
      </c>
      <c r="AO1082" s="6" t="str">
        <f t="shared" si="99"/>
        <v>OK</v>
      </c>
      <c r="AQ1082" s="6" t="e">
        <f>MATCH($D1082,'D4 - Provider Council Unsched'!$C$11:$C$234,0)</f>
        <v>#N/A</v>
      </c>
      <c r="AR1082" s="6" t="b">
        <f t="shared" si="97"/>
        <v>1</v>
      </c>
      <c r="AS1082" s="6" t="str">
        <f t="shared" si="103"/>
        <v>OK</v>
      </c>
      <c r="AU1082" s="202"/>
      <c r="AV1082" s="262"/>
      <c r="AW1082" s="274"/>
    </row>
    <row r="1083" spans="1:49" s="13" customFormat="1" ht="33.75" x14ac:dyDescent="0.2">
      <c r="A1083" s="14">
        <v>1059</v>
      </c>
      <c r="B1083" s="14">
        <v>400026555</v>
      </c>
      <c r="C1083" s="8" t="s">
        <v>5197</v>
      </c>
      <c r="D1083" s="4" t="str">
        <f t="shared" si="98"/>
        <v>400026555R1</v>
      </c>
      <c r="E1083" s="309" t="str">
        <f>VLOOKUP($B1083,'D7 - NDB Impacted SPRF''s'!$E$6:$O$9929,2,FALSE)</f>
        <v>EDI 278 X12 Notification Implementation Phase II</v>
      </c>
      <c r="F1083" s="8" t="s">
        <v>2114</v>
      </c>
      <c r="G1083" s="8" t="s">
        <v>4758</v>
      </c>
      <c r="H1083" s="8" t="s">
        <v>4246</v>
      </c>
      <c r="I1083" s="20">
        <v>1.07</v>
      </c>
      <c r="J1083" s="8" t="s">
        <v>4862</v>
      </c>
      <c r="K1083" s="182">
        <v>39949</v>
      </c>
      <c r="L1083" s="8" t="s">
        <v>5743</v>
      </c>
      <c r="M1083" s="8" t="s">
        <v>5626</v>
      </c>
      <c r="N1083" s="38"/>
      <c r="O1083" s="8" t="s">
        <v>2000</v>
      </c>
      <c r="P1083" s="4" t="str">
        <f>VLOOKUP($B1083,'D7 - NDB Impacted SPRF''s'!$E$16:$O$9929,9,FALSE)</f>
        <v>Y</v>
      </c>
      <c r="Q1083" s="4" t="str">
        <f>VLOOKUP($B1083,'D7 - NDB Impacted SPRF''s'!$E$16:$O$9929,10,FALSE)</f>
        <v>N</v>
      </c>
      <c r="R1083" s="4" t="str">
        <f>VLOOKUP($B1083,'D7 - NDB Impacted SPRF''s'!$E$16:$O$9929,11,FALSE)</f>
        <v>N</v>
      </c>
      <c r="S1083" s="8"/>
      <c r="T1083" s="310"/>
      <c r="U1083" s="310"/>
      <c r="V1083" s="4"/>
      <c r="W1083" s="4"/>
      <c r="X1083" s="4"/>
      <c r="Y1083" s="4"/>
      <c r="Z1083" s="4"/>
      <c r="AA1083" s="4"/>
      <c r="AB1083" s="380" t="str">
        <f>VLOOKUP($B1083,'D7 - NDB Impacted SPRF''s'!$E$16:$O$9929,4,FALSE)</f>
        <v>Completed</v>
      </c>
      <c r="AC1083" s="380" t="str">
        <f>VLOOKUP($B1083,'D7 - NDB Impacted SPRF''s'!$E$16:$O$9929,3,FALSE)</f>
        <v>UnitedHealthcare Medicare &amp; Retirement</v>
      </c>
      <c r="AD1083" s="380" t="str">
        <f>VLOOKUP($B1083,'D7 - NDB Impacted SPRF''s'!$E$16:$O$9929,5,FALSE)</f>
        <v>Enterprise Clinical</v>
      </c>
      <c r="AE1083" s="380" t="str">
        <f>VLOOKUP($B1083,'D7 - NDB Impacted SPRF''s'!$E$16:$O$9929,7,FALSE)</f>
        <v>Paul Conlin</v>
      </c>
      <c r="AF1083" s="380" t="str">
        <f>VLOOKUP($B1083,'D7 - NDB Impacted SPRF''s'!$E$16:$O$9929,6,FALSE)</f>
        <v>LISA FRIDLAND</v>
      </c>
      <c r="AG1083" s="282"/>
      <c r="AH1083" s="311" t="e">
        <f>INDEX('D5 - Gatekeeper - Projects'!$A$4:$AF$1010,$AM1083, 17)</f>
        <v>#N/A</v>
      </c>
      <c r="AI1083" s="8"/>
      <c r="AJ1083" s="57"/>
      <c r="AK1083" s="105"/>
      <c r="AM1083" s="6" t="e">
        <f>MATCH(D1083,'D5 - Gatekeeper - Projects'!$C$4:$C$1010,0)</f>
        <v>#N/A</v>
      </c>
      <c r="AN1083" s="6" t="b">
        <f t="shared" si="96"/>
        <v>1</v>
      </c>
      <c r="AO1083" s="6" t="str">
        <f t="shared" si="99"/>
        <v>OK</v>
      </c>
      <c r="AQ1083" s="6" t="e">
        <f>MATCH($D1083,'D4 - Provider Council Unsched'!$C$11:$C$234,0)</f>
        <v>#N/A</v>
      </c>
      <c r="AR1083" s="6" t="b">
        <f t="shared" si="97"/>
        <v>1</v>
      </c>
      <c r="AS1083" s="6" t="str">
        <f t="shared" si="103"/>
        <v>OK</v>
      </c>
      <c r="AU1083" s="202"/>
      <c r="AV1083" s="262"/>
      <c r="AW1083" s="274"/>
    </row>
    <row r="1084" spans="1:49" s="13" customFormat="1" ht="33.75" x14ac:dyDescent="0.2">
      <c r="A1084" s="14">
        <v>1060</v>
      </c>
      <c r="B1084" s="14">
        <v>400026607</v>
      </c>
      <c r="C1084" s="8" t="s">
        <v>5197</v>
      </c>
      <c r="D1084" s="4" t="str">
        <f t="shared" si="98"/>
        <v>400026607R1</v>
      </c>
      <c r="E1084" s="309" t="str">
        <f>VLOOKUP($B1084,'D7 - NDB Impacted SPRF''s'!$E$6:$O$9929,2,FALSE)</f>
        <v>iCES May 2009 Maintenance Release</v>
      </c>
      <c r="F1084" s="8" t="s">
        <v>4471</v>
      </c>
      <c r="G1084" s="8" t="s">
        <v>4758</v>
      </c>
      <c r="H1084" s="8" t="s">
        <v>4246</v>
      </c>
      <c r="I1084" s="20">
        <v>0.53</v>
      </c>
      <c r="J1084" s="8" t="s">
        <v>4862</v>
      </c>
      <c r="K1084" s="182">
        <v>39949</v>
      </c>
      <c r="L1084" s="8" t="s">
        <v>5743</v>
      </c>
      <c r="M1084" s="8" t="s">
        <v>4850</v>
      </c>
      <c r="N1084" s="38"/>
      <c r="O1084" s="8" t="s">
        <v>2000</v>
      </c>
      <c r="P1084" s="4" t="str">
        <f>VLOOKUP($B1084,'D7 - NDB Impacted SPRF''s'!$E$16:$O$9929,9,FALSE)</f>
        <v>Y</v>
      </c>
      <c r="Q1084" s="4" t="str">
        <f>VLOOKUP($B1084,'D7 - NDB Impacted SPRF''s'!$E$16:$O$9929,10,FALSE)</f>
        <v>N</v>
      </c>
      <c r="R1084" s="4" t="str">
        <f>VLOOKUP($B1084,'D7 - NDB Impacted SPRF''s'!$E$16:$O$9929,11,FALSE)</f>
        <v>Y</v>
      </c>
      <c r="S1084" s="8"/>
      <c r="T1084" s="310"/>
      <c r="U1084" s="310"/>
      <c r="V1084" s="4"/>
      <c r="W1084" s="4"/>
      <c r="X1084" s="4"/>
      <c r="Y1084" s="4"/>
      <c r="Z1084" s="4"/>
      <c r="AA1084" s="4"/>
      <c r="AB1084" s="380" t="str">
        <f>VLOOKUP($B1084,'D7 - NDB Impacted SPRF''s'!$E$16:$O$9929,4,FALSE)</f>
        <v>Completed</v>
      </c>
      <c r="AC1084" s="380" t="str">
        <f>VLOOKUP($B1084,'D7 - NDB Impacted SPRF''s'!$E$16:$O$9929,3,FALSE)</f>
        <v>UnitedHealthcare Employer &amp; Individual</v>
      </c>
      <c r="AD1084" s="380" t="str">
        <f>VLOOKUP($B1084,'D7 - NDB Impacted SPRF''s'!$E$16:$O$9929,5,FALSE)</f>
        <v>Operational Requirements</v>
      </c>
      <c r="AE1084" s="380" t="str">
        <f>VLOOKUP($B1084,'D7 - NDB Impacted SPRF''s'!$E$16:$O$9929,7,FALSE)</f>
        <v>Sally Verrilli</v>
      </c>
      <c r="AF1084" s="380" t="str">
        <f>VLOOKUP($B1084,'D7 - NDB Impacted SPRF''s'!$E$16:$O$9929,6,FALSE)</f>
        <v>Shawn McCord</v>
      </c>
      <c r="AG1084" s="282"/>
      <c r="AH1084" s="311" t="e">
        <f>INDEX('D5 - Gatekeeper - Projects'!$A$4:$AF$1010,$AM1084, 17)</f>
        <v>#N/A</v>
      </c>
      <c r="AI1084" s="8"/>
      <c r="AJ1084" s="57"/>
      <c r="AK1084" s="105"/>
      <c r="AM1084" s="6" t="e">
        <f>MATCH(D1084,'D5 - Gatekeeper - Projects'!$C$4:$C$1010,0)</f>
        <v>#N/A</v>
      </c>
      <c r="AN1084" s="6" t="b">
        <f t="shared" si="96"/>
        <v>1</v>
      </c>
      <c r="AO1084" s="6" t="str">
        <f t="shared" si="99"/>
        <v>OK</v>
      </c>
      <c r="AQ1084" s="6" t="e">
        <f>MATCH($D1084,'D4 - Provider Council Unsched'!$C$11:$C$234,0)</f>
        <v>#N/A</v>
      </c>
      <c r="AR1084" s="6" t="b">
        <f t="shared" si="97"/>
        <v>1</v>
      </c>
      <c r="AS1084" s="6" t="str">
        <f t="shared" si="103"/>
        <v>OK</v>
      </c>
      <c r="AU1084" s="202"/>
      <c r="AV1084" s="262"/>
      <c r="AW1084" s="274"/>
    </row>
    <row r="1085" spans="1:49" s="13" customFormat="1" ht="33.75" x14ac:dyDescent="0.2">
      <c r="A1085" s="14">
        <v>1061</v>
      </c>
      <c r="B1085" s="14">
        <v>400027393</v>
      </c>
      <c r="C1085" s="8" t="s">
        <v>5197</v>
      </c>
      <c r="D1085" s="4" t="str">
        <f t="shared" si="98"/>
        <v>400027393R1</v>
      </c>
      <c r="E1085" s="309" t="str">
        <f>VLOOKUP($B1085,'D7 - NDB Impacted SPRF''s'!$E$6:$O$9929,2,FALSE)</f>
        <v xml:space="preserve">Medica Network ID &amp; EOB Comment Change			</v>
      </c>
      <c r="F1085" s="8" t="s">
        <v>3884</v>
      </c>
      <c r="G1085" s="8" t="s">
        <v>4758</v>
      </c>
      <c r="H1085" s="8" t="s">
        <v>4246</v>
      </c>
      <c r="I1085" s="20">
        <f>1.07+1.07</f>
        <v>2.14</v>
      </c>
      <c r="J1085" s="8" t="s">
        <v>4862</v>
      </c>
      <c r="K1085" s="182">
        <v>39949</v>
      </c>
      <c r="L1085" s="8" t="s">
        <v>5743</v>
      </c>
      <c r="M1085" s="8" t="s">
        <v>4850</v>
      </c>
      <c r="N1085" s="38"/>
      <c r="O1085" s="8" t="s">
        <v>2000</v>
      </c>
      <c r="P1085" s="4" t="str">
        <f>VLOOKUP($B1085,'D7 - NDB Impacted SPRF''s'!$E$16:$O$9929,9,FALSE)</f>
        <v>N</v>
      </c>
      <c r="Q1085" s="4" t="str">
        <f>VLOOKUP($B1085,'D7 - NDB Impacted SPRF''s'!$E$16:$O$9929,10,FALSE)</f>
        <v>N</v>
      </c>
      <c r="R1085" s="4" t="str">
        <f>VLOOKUP($B1085,'D7 - NDB Impacted SPRF''s'!$E$16:$O$9929,11,FALSE)</f>
        <v>N</v>
      </c>
      <c r="S1085" s="8"/>
      <c r="T1085" s="310"/>
      <c r="U1085" s="310"/>
      <c r="V1085" s="4"/>
      <c r="W1085" s="4"/>
      <c r="X1085" s="4"/>
      <c r="Y1085" s="4"/>
      <c r="Z1085" s="4"/>
      <c r="AA1085" s="4"/>
      <c r="AB1085" s="380" t="str">
        <f>VLOOKUP($B1085,'D7 - NDB Impacted SPRF''s'!$E$16:$O$9929,4,FALSE)</f>
        <v>Completed</v>
      </c>
      <c r="AC1085" s="380" t="str">
        <f>VLOOKUP($B1085,'D7 - NDB Impacted SPRF''s'!$E$16:$O$9929,3,FALSE)</f>
        <v>UnitedHealthcare Community &amp; State</v>
      </c>
      <c r="AD1085" s="380" t="str">
        <f>VLOOKUP($B1085,'D7 - NDB Impacted SPRF''s'!$E$16:$O$9929,5,FALSE)</f>
        <v>AmeriChoice</v>
      </c>
      <c r="AE1085" s="380" t="str">
        <f>VLOOKUP($B1085,'D7 - NDB Impacted SPRF''s'!$E$16:$O$9929,7,FALSE)</f>
        <v>Mike Radu</v>
      </c>
      <c r="AF1085" s="380" t="str">
        <f>VLOOKUP($B1085,'D7 - NDB Impacted SPRF''s'!$E$16:$O$9929,6,FALSE)</f>
        <v>Ronald Wilson</v>
      </c>
      <c r="AG1085" s="282"/>
      <c r="AH1085" s="311" t="e">
        <f>INDEX('D5 - Gatekeeper - Projects'!$A$4:$AF$1010,$AM1085, 17)</f>
        <v>#N/A</v>
      </c>
      <c r="AI1085" s="8"/>
      <c r="AJ1085" s="57"/>
      <c r="AK1085" s="105"/>
      <c r="AM1085" s="6" t="e">
        <f>MATCH(D1085,'D5 - Gatekeeper - Projects'!$C$4:$C$1010,0)</f>
        <v>#N/A</v>
      </c>
      <c r="AN1085" s="6" t="b">
        <f t="shared" si="96"/>
        <v>1</v>
      </c>
      <c r="AO1085" s="6" t="str">
        <f t="shared" si="99"/>
        <v>OK</v>
      </c>
      <c r="AQ1085" s="6" t="e">
        <f>MATCH($D1085,'D4 - Provider Council Unsched'!$C$11:$C$234,0)</f>
        <v>#N/A</v>
      </c>
      <c r="AR1085" s="6" t="b">
        <f t="shared" si="97"/>
        <v>1</v>
      </c>
      <c r="AS1085" s="6" t="str">
        <f t="shared" si="103"/>
        <v>OK</v>
      </c>
      <c r="AU1085" s="202"/>
      <c r="AV1085" s="262"/>
      <c r="AW1085" s="274"/>
    </row>
    <row r="1086" spans="1:49" s="13" customFormat="1" ht="33.75" x14ac:dyDescent="0.2">
      <c r="A1086" s="14">
        <v>1062</v>
      </c>
      <c r="B1086" s="14">
        <v>400027402</v>
      </c>
      <c r="C1086" s="8" t="s">
        <v>5197</v>
      </c>
      <c r="D1086" s="4" t="str">
        <f t="shared" si="98"/>
        <v>400027402R1</v>
      </c>
      <c r="E1086" s="309" t="str">
        <f>VLOOKUP($B1086,'D7 - NDB Impacted SPRF''s'!$E$6:$O$9929,2,FALSE)</f>
        <v>MAHP Specialist Copay</v>
      </c>
      <c r="F1086" s="8" t="s">
        <v>5752</v>
      </c>
      <c r="G1086" s="8" t="s">
        <v>4758</v>
      </c>
      <c r="H1086" s="8" t="s">
        <v>4246</v>
      </c>
      <c r="I1086" s="20">
        <f>160/150</f>
        <v>1.0666666666666667</v>
      </c>
      <c r="J1086" s="8" t="s">
        <v>4862</v>
      </c>
      <c r="K1086" s="182">
        <v>39949</v>
      </c>
      <c r="L1086" s="8" t="s">
        <v>5743</v>
      </c>
      <c r="M1086" s="8" t="s">
        <v>4850</v>
      </c>
      <c r="N1086" s="38"/>
      <c r="O1086" s="8" t="s">
        <v>2000</v>
      </c>
      <c r="P1086" s="4" t="str">
        <f>VLOOKUP($B1086,'D7 - NDB Impacted SPRF''s'!$E$16:$O$9929,9,FALSE)</f>
        <v>Y</v>
      </c>
      <c r="Q1086" s="4" t="str">
        <f>VLOOKUP($B1086,'D7 - NDB Impacted SPRF''s'!$E$16:$O$9929,10,FALSE)</f>
        <v>N</v>
      </c>
      <c r="R1086" s="4" t="str">
        <f>VLOOKUP($B1086,'D7 - NDB Impacted SPRF''s'!$E$16:$O$9929,11,FALSE)</f>
        <v>N</v>
      </c>
      <c r="S1086" s="8"/>
      <c r="T1086" s="310"/>
      <c r="U1086" s="310"/>
      <c r="V1086" s="4"/>
      <c r="W1086" s="4"/>
      <c r="X1086" s="4"/>
      <c r="Y1086" s="4"/>
      <c r="Z1086" s="4"/>
      <c r="AA1086" s="4"/>
      <c r="AB1086" s="380" t="str">
        <f>VLOOKUP($B1086,'D7 - NDB Impacted SPRF''s'!$E$16:$O$9929,4,FALSE)</f>
        <v>Completed</v>
      </c>
      <c r="AC1086" s="380" t="str">
        <f>VLOOKUP($B1086,'D7 - NDB Impacted SPRF''s'!$E$16:$O$9929,3,FALSE)</f>
        <v>UnitedHealthcare Employer &amp; Individual</v>
      </c>
      <c r="AD1086" s="380" t="str">
        <f>VLOOKUP($B1086,'D7 - NDB Impacted SPRF''s'!$E$16:$O$9929,5,FALSE)</f>
        <v>Integration Requirements</v>
      </c>
      <c r="AE1086" s="380" t="str">
        <f>VLOOKUP($B1086,'D7 - NDB Impacted SPRF''s'!$E$16:$O$9929,7,FALSE)</f>
        <v>Diane Schofield</v>
      </c>
      <c r="AF1086" s="380" t="str">
        <f>VLOOKUP($B1086,'D7 - NDB Impacted SPRF''s'!$E$16:$O$9929,6,FALSE)</f>
        <v>KELLY Valentine</v>
      </c>
      <c r="AG1086" s="282"/>
      <c r="AH1086" s="311" t="e">
        <f>INDEX('D5 - Gatekeeper - Projects'!$A$4:$AF$1010,$AM1086, 17)</f>
        <v>#N/A</v>
      </c>
      <c r="AI1086" s="8"/>
      <c r="AJ1086" s="57"/>
      <c r="AK1086" s="105"/>
      <c r="AM1086" s="6" t="e">
        <f>MATCH(D1086,'D5 - Gatekeeper - Projects'!$C$4:$C$1010,0)</f>
        <v>#N/A</v>
      </c>
      <c r="AN1086" s="6" t="b">
        <f t="shared" si="96"/>
        <v>1</v>
      </c>
      <c r="AO1086" s="6" t="str">
        <f t="shared" si="99"/>
        <v>OK</v>
      </c>
      <c r="AQ1086" s="6" t="e">
        <f>MATCH($D1086,'D4 - Provider Council Unsched'!$C$11:$C$234,0)</f>
        <v>#N/A</v>
      </c>
      <c r="AR1086" s="6" t="b">
        <f t="shared" si="97"/>
        <v>1</v>
      </c>
      <c r="AS1086" s="6" t="str">
        <f t="shared" si="103"/>
        <v>OK</v>
      </c>
      <c r="AU1086" s="202"/>
      <c r="AV1086" s="262"/>
      <c r="AW1086" s="274"/>
    </row>
    <row r="1087" spans="1:49" s="13" customFormat="1" ht="33.75" x14ac:dyDescent="0.2">
      <c r="A1087" s="14">
        <v>1063</v>
      </c>
      <c r="B1087" s="14">
        <v>400028032</v>
      </c>
      <c r="C1087" s="8" t="s">
        <v>5197</v>
      </c>
      <c r="D1087" s="4" t="str">
        <f t="shared" si="98"/>
        <v>400028032R1</v>
      </c>
      <c r="E1087" s="309" t="str">
        <f>VLOOKUP($B1087,'D7 - NDB Impacted SPRF''s'!$E$6:$O$9929,2,FALSE)</f>
        <v>Mini-PSIT Medica Non-Notification Testing Effort</v>
      </c>
      <c r="F1087" s="8" t="s">
        <v>3884</v>
      </c>
      <c r="G1087" s="8" t="s">
        <v>4758</v>
      </c>
      <c r="H1087" s="8" t="s">
        <v>4246</v>
      </c>
      <c r="I1087" s="20">
        <v>1.07</v>
      </c>
      <c r="J1087" s="8" t="s">
        <v>4862</v>
      </c>
      <c r="K1087" s="182">
        <v>39949</v>
      </c>
      <c r="L1087" s="8" t="s">
        <v>5743</v>
      </c>
      <c r="M1087" s="8" t="s">
        <v>4850</v>
      </c>
      <c r="N1087" s="38"/>
      <c r="O1087" s="8" t="s">
        <v>2000</v>
      </c>
      <c r="P1087" s="4" t="str">
        <f>VLOOKUP($B1087,'D7 - NDB Impacted SPRF''s'!$E$16:$O$9929,9,FALSE)</f>
        <v>Y</v>
      </c>
      <c r="Q1087" s="4" t="str">
        <f>VLOOKUP($B1087,'D7 - NDB Impacted SPRF''s'!$E$16:$O$9929,10,FALSE)</f>
        <v>N</v>
      </c>
      <c r="R1087" s="4" t="str">
        <f>VLOOKUP($B1087,'D7 - NDB Impacted SPRF''s'!$E$16:$O$9929,11,FALSE)</f>
        <v>N</v>
      </c>
      <c r="S1087" s="8"/>
      <c r="T1087" s="310"/>
      <c r="U1087" s="310"/>
      <c r="V1087" s="4"/>
      <c r="W1087" s="4"/>
      <c r="X1087" s="4"/>
      <c r="Y1087" s="4"/>
      <c r="Z1087" s="4"/>
      <c r="AA1087" s="4"/>
      <c r="AB1087" s="380" t="str">
        <f>VLOOKUP($B1087,'D7 - NDB Impacted SPRF''s'!$E$16:$O$9929,4,FALSE)</f>
        <v>Completed</v>
      </c>
      <c r="AC1087" s="380" t="str">
        <f>VLOOKUP($B1087,'D7 - NDB Impacted SPRF''s'!$E$16:$O$9929,3,FALSE)</f>
        <v>UnitedHealthcare Employer &amp; Individual</v>
      </c>
      <c r="AD1087" s="380" t="str">
        <f>VLOOKUP($B1087,'D7 - NDB Impacted SPRF''s'!$E$16:$O$9929,5,FALSE)</f>
        <v>HCA - Medica Operational Support</v>
      </c>
      <c r="AE1087" s="380" t="str">
        <f>VLOOKUP($B1087,'D7 - NDB Impacted SPRF''s'!$E$16:$O$9929,7,FALSE)</f>
        <v>Diane Schofield</v>
      </c>
      <c r="AF1087" s="380" t="str">
        <f>VLOOKUP($B1087,'D7 - NDB Impacted SPRF''s'!$E$16:$O$9929,6,FALSE)</f>
        <v>Sherrie Martin</v>
      </c>
      <c r="AG1087" s="282"/>
      <c r="AH1087" s="311" t="e">
        <f>INDEX('D5 - Gatekeeper - Projects'!$A$4:$AF$1010,$AM1087, 17)</f>
        <v>#N/A</v>
      </c>
      <c r="AI1087" s="8"/>
      <c r="AJ1087" s="57"/>
      <c r="AK1087" s="105"/>
      <c r="AM1087" s="6" t="e">
        <f>MATCH(D1087,'D5 - Gatekeeper - Projects'!$C$4:$C$1010,0)</f>
        <v>#N/A</v>
      </c>
      <c r="AN1087" s="6" t="b">
        <f t="shared" si="96"/>
        <v>1</v>
      </c>
      <c r="AO1087" s="6" t="str">
        <f t="shared" si="99"/>
        <v>OK</v>
      </c>
      <c r="AQ1087" s="6" t="e">
        <f>MATCH($D1087,'D4 - Provider Council Unsched'!$C$11:$C$234,0)</f>
        <v>#N/A</v>
      </c>
      <c r="AR1087" s="6" t="b">
        <f t="shared" si="97"/>
        <v>1</v>
      </c>
      <c r="AS1087" s="6" t="str">
        <f t="shared" si="103"/>
        <v>OK</v>
      </c>
      <c r="AU1087" s="202"/>
      <c r="AV1087" s="262"/>
      <c r="AW1087" s="274"/>
    </row>
    <row r="1088" spans="1:49" s="13" customFormat="1" ht="33.75" x14ac:dyDescent="0.2">
      <c r="A1088" s="14">
        <v>1064</v>
      </c>
      <c r="B1088" s="14">
        <v>400028352</v>
      </c>
      <c r="C1088" s="8" t="s">
        <v>5197</v>
      </c>
      <c r="D1088" s="4" t="str">
        <f t="shared" si="98"/>
        <v>400028352R1</v>
      </c>
      <c r="E1088" s="309" t="str">
        <f>VLOOKUP($B1088,'D7 - NDB Impacted SPRF''s'!$E$6:$O$9929,2,FALSE)</f>
        <v>NDM Process Improvement</v>
      </c>
      <c r="F1088" s="8" t="s">
        <v>7635</v>
      </c>
      <c r="G1088" s="8" t="s">
        <v>4758</v>
      </c>
      <c r="H1088" s="8" t="s">
        <v>4246</v>
      </c>
      <c r="I1088" s="20">
        <v>6.83</v>
      </c>
      <c r="J1088" s="8" t="s">
        <v>4862</v>
      </c>
      <c r="K1088" s="182">
        <v>39949</v>
      </c>
      <c r="L1088" s="8" t="s">
        <v>5743</v>
      </c>
      <c r="M1088" s="8" t="s">
        <v>6688</v>
      </c>
      <c r="N1088" s="38"/>
      <c r="O1088" s="8" t="s">
        <v>2875</v>
      </c>
      <c r="P1088" s="4" t="str">
        <f>VLOOKUP($B1088,'D7 - NDB Impacted SPRF''s'!$E$16:$O$9929,9,FALSE)</f>
        <v>N</v>
      </c>
      <c r="Q1088" s="4" t="str">
        <f>VLOOKUP($B1088,'D7 - NDB Impacted SPRF''s'!$E$16:$O$9929,10,FALSE)</f>
        <v>N</v>
      </c>
      <c r="R1088" s="4" t="str">
        <f>VLOOKUP($B1088,'D7 - NDB Impacted SPRF''s'!$E$16:$O$9929,11,FALSE)</f>
        <v>N</v>
      </c>
      <c r="S1088" s="8"/>
      <c r="T1088" s="310"/>
      <c r="U1088" s="310"/>
      <c r="V1088" s="4"/>
      <c r="W1088" s="4"/>
      <c r="X1088" s="4"/>
      <c r="Y1088" s="4"/>
      <c r="Z1088" s="4"/>
      <c r="AA1088" s="4"/>
      <c r="AB1088" s="380" t="str">
        <f>VLOOKUP($B1088,'D7 - NDB Impacted SPRF''s'!$E$16:$O$9929,4,FALSE)</f>
        <v>Completed</v>
      </c>
      <c r="AC1088" s="380" t="str">
        <f>VLOOKUP($B1088,'D7 - NDB Impacted SPRF''s'!$E$16:$O$9929,3,FALSE)</f>
        <v>UnitedHealthcare Employer &amp; Individual</v>
      </c>
      <c r="AD1088" s="380" t="str">
        <f>VLOOKUP($B1088,'D7 - NDB Impacted SPRF''s'!$E$16:$O$9929,5,FALSE)</f>
        <v>Process Improvement</v>
      </c>
      <c r="AE1088" s="380" t="str">
        <f>VLOOKUP($B1088,'D7 - NDB Impacted SPRF''s'!$E$16:$O$9929,7,FALSE)</f>
        <v>Jill Foucre</v>
      </c>
      <c r="AF1088" s="380" t="str">
        <f>VLOOKUP($B1088,'D7 - NDB Impacted SPRF''s'!$E$16:$O$9929,6,FALSE)</f>
        <v>Gregory Greenwood</v>
      </c>
      <c r="AG1088" s="282"/>
      <c r="AH1088" s="311" t="e">
        <f>INDEX('D5 - Gatekeeper - Projects'!$A$4:$AF$1010,$AM1088, 17)</f>
        <v>#N/A</v>
      </c>
      <c r="AI1088" s="8"/>
      <c r="AJ1088" s="57"/>
      <c r="AK1088" s="57"/>
      <c r="AM1088" s="6" t="e">
        <f>MATCH(D1088,'D5 - Gatekeeper - Projects'!$C$4:$C$1010,0)</f>
        <v>#N/A</v>
      </c>
      <c r="AN1088" s="6" t="b">
        <f t="shared" si="96"/>
        <v>1</v>
      </c>
      <c r="AO1088" s="6" t="str">
        <f t="shared" si="99"/>
        <v>OK</v>
      </c>
      <c r="AQ1088" s="6" t="e">
        <f>MATCH($D1088,'D4 - Provider Council Unsched'!$C$11:$C$234,0)</f>
        <v>#N/A</v>
      </c>
      <c r="AR1088" s="6" t="b">
        <f t="shared" si="97"/>
        <v>1</v>
      </c>
      <c r="AS1088" s="6" t="str">
        <f t="shared" si="103"/>
        <v>OK</v>
      </c>
      <c r="AU1088" s="202"/>
      <c r="AV1088" s="262"/>
      <c r="AW1088" s="274"/>
    </row>
    <row r="1089" spans="1:49" s="13" customFormat="1" ht="33.75" x14ac:dyDescent="0.2">
      <c r="A1089" s="14">
        <v>1065</v>
      </c>
      <c r="B1089" s="14">
        <v>400028550</v>
      </c>
      <c r="C1089" s="8" t="s">
        <v>5197</v>
      </c>
      <c r="D1089" s="4" t="str">
        <f t="shared" si="98"/>
        <v>400028550R1</v>
      </c>
      <c r="E1089" s="309" t="str">
        <f>VLOOKUP($B1089,'D7 - NDB Impacted SPRF''s'!$E$6:$O$9929,2,FALSE)</f>
        <v>ECap/Trizetto Facets Analysis - Capitation</v>
      </c>
      <c r="F1089" s="8" t="s">
        <v>7593</v>
      </c>
      <c r="G1089" s="8" t="s">
        <v>4758</v>
      </c>
      <c r="H1089" s="8" t="s">
        <v>4246</v>
      </c>
      <c r="I1089" s="20">
        <v>4</v>
      </c>
      <c r="J1089" s="8" t="s">
        <v>4862</v>
      </c>
      <c r="K1089" s="182">
        <v>39949</v>
      </c>
      <c r="L1089" s="8" t="s">
        <v>5743</v>
      </c>
      <c r="M1089" s="8" t="s">
        <v>6688</v>
      </c>
      <c r="N1089" s="38"/>
      <c r="O1089" s="8" t="s">
        <v>2547</v>
      </c>
      <c r="P1089" s="4" t="str">
        <f>VLOOKUP($B1089,'D7 - NDB Impacted SPRF''s'!$E$16:$O$9929,9,FALSE)</f>
        <v>N</v>
      </c>
      <c r="Q1089" s="4" t="str">
        <f>VLOOKUP($B1089,'D7 - NDB Impacted SPRF''s'!$E$16:$O$9929,10,FALSE)</f>
        <v>N</v>
      </c>
      <c r="R1089" s="4" t="str">
        <f>VLOOKUP($B1089,'D7 - NDB Impacted SPRF''s'!$E$16:$O$9929,11,FALSE)</f>
        <v>N</v>
      </c>
      <c r="S1089" s="8"/>
      <c r="T1089" s="310"/>
      <c r="U1089" s="310"/>
      <c r="V1089" s="4"/>
      <c r="W1089" s="4"/>
      <c r="X1089" s="4"/>
      <c r="Y1089" s="4"/>
      <c r="Z1089" s="4"/>
      <c r="AA1089" s="4"/>
      <c r="AB1089" s="380" t="str">
        <f>VLOOKUP($B1089,'D7 - NDB Impacted SPRF''s'!$E$16:$O$9929,4,FALSE)</f>
        <v>Completed</v>
      </c>
      <c r="AC1089" s="380" t="str">
        <f>VLOOKUP($B1089,'D7 - NDB Impacted SPRF''s'!$E$16:$O$9929,3,FALSE)</f>
        <v>UnitedHealthcare Employer &amp; Individual</v>
      </c>
      <c r="AD1089" s="380" t="str">
        <f>VLOOKUP($B1089,'D7 - NDB Impacted SPRF''s'!$E$16:$O$9929,5,FALSE)</f>
        <v>Integration Requirements</v>
      </c>
      <c r="AE1089" s="380" t="str">
        <f>VLOOKUP($B1089,'D7 - NDB Impacted SPRF''s'!$E$16:$O$9929,7,FALSE)</f>
        <v>Gino Tenace</v>
      </c>
      <c r="AF1089" s="380" t="str">
        <f>VLOOKUP($B1089,'D7 - NDB Impacted SPRF''s'!$E$16:$O$9929,6,FALSE)</f>
        <v>MELINDA BURWELL</v>
      </c>
      <c r="AG1089" s="282"/>
      <c r="AH1089" s="311" t="e">
        <f>INDEX('D5 - Gatekeeper - Projects'!$A$4:$AF$1010,$AM1089, 17)</f>
        <v>#N/A</v>
      </c>
      <c r="AI1089" s="8"/>
      <c r="AJ1089" s="57"/>
      <c r="AK1089" s="105"/>
      <c r="AM1089" s="6" t="e">
        <f>MATCH(D1089,'D5 - Gatekeeper - Projects'!$C$4:$C$1010,0)</f>
        <v>#N/A</v>
      </c>
      <c r="AN1089" s="6" t="b">
        <f t="shared" si="96"/>
        <v>1</v>
      </c>
      <c r="AO1089" s="6" t="str">
        <f t="shared" si="99"/>
        <v>OK</v>
      </c>
      <c r="AQ1089" s="6" t="e">
        <f>MATCH($D1089,'D4 - Provider Council Unsched'!$C$11:$C$234,0)</f>
        <v>#N/A</v>
      </c>
      <c r="AR1089" s="6" t="b">
        <f t="shared" si="97"/>
        <v>1</v>
      </c>
      <c r="AS1089" s="6" t="str">
        <f t="shared" si="103"/>
        <v>OK</v>
      </c>
      <c r="AU1089" s="202"/>
      <c r="AV1089" s="262"/>
      <c r="AW1089" s="274"/>
    </row>
    <row r="1090" spans="1:49" s="13" customFormat="1" x14ac:dyDescent="0.2">
      <c r="A1090" s="14">
        <v>1066</v>
      </c>
      <c r="B1090" s="14">
        <v>400029032</v>
      </c>
      <c r="C1090" s="8" t="s">
        <v>5197</v>
      </c>
      <c r="D1090" s="4" t="str">
        <f t="shared" si="98"/>
        <v>400029032R1</v>
      </c>
      <c r="E1090" s="309" t="str">
        <f>VLOOKUP($B1090,'D7 - NDB Impacted SPRF''s'!$E$6:$O$9929,2,FALSE)</f>
        <v>Tricare Pre-Award</v>
      </c>
      <c r="F1090" s="8" t="s">
        <v>3715</v>
      </c>
      <c r="G1090" s="8" t="s">
        <v>4758</v>
      </c>
      <c r="H1090" s="8" t="s">
        <v>4246</v>
      </c>
      <c r="I1090" s="20">
        <v>2.67</v>
      </c>
      <c r="J1090" s="8" t="s">
        <v>4862</v>
      </c>
      <c r="K1090" s="182">
        <v>39949</v>
      </c>
      <c r="L1090" s="8" t="s">
        <v>4156</v>
      </c>
      <c r="M1090" s="8" t="s">
        <v>6688</v>
      </c>
      <c r="N1090" s="38"/>
      <c r="O1090" s="8" t="s">
        <v>7086</v>
      </c>
      <c r="P1090" s="4" t="str">
        <f>VLOOKUP($B1090,'D7 - NDB Impacted SPRF''s'!$E$16:$O$9929,9,FALSE)</f>
        <v>N</v>
      </c>
      <c r="Q1090" s="4" t="str">
        <f>VLOOKUP($B1090,'D7 - NDB Impacted SPRF''s'!$E$16:$O$9929,10,FALSE)</f>
        <v>N</v>
      </c>
      <c r="R1090" s="4" t="str">
        <f>VLOOKUP($B1090,'D7 - NDB Impacted SPRF''s'!$E$16:$O$9929,11,FALSE)</f>
        <v>Y</v>
      </c>
      <c r="S1090" s="8"/>
      <c r="T1090" s="310"/>
      <c r="U1090" s="310"/>
      <c r="V1090" s="4"/>
      <c r="W1090" s="4"/>
      <c r="X1090" s="4"/>
      <c r="Y1090" s="4"/>
      <c r="Z1090" s="4"/>
      <c r="AA1090" s="4"/>
      <c r="AB1090" s="380" t="str">
        <f>VLOOKUP($B1090,'D7 - NDB Impacted SPRF''s'!$E$16:$O$9929,4,FALSE)</f>
        <v>Completed</v>
      </c>
      <c r="AC1090" s="380" t="str">
        <f>VLOOKUP($B1090,'D7 - NDB Impacted SPRF''s'!$E$16:$O$9929,3,FALSE)</f>
        <v>UHG Corporate</v>
      </c>
      <c r="AD1090" s="380" t="str">
        <f>VLOOKUP($B1090,'D7 - NDB Impacted SPRF''s'!$E$16:$O$9929,5,FALSE)</f>
        <v>TRICARE</v>
      </c>
      <c r="AE1090" s="380" t="str">
        <f>VLOOKUP($B1090,'D7 - NDB Impacted SPRF''s'!$E$16:$O$9929,7,FALSE)</f>
        <v>Mike Schwarz</v>
      </c>
      <c r="AF1090" s="380" t="str">
        <f>VLOOKUP($B1090,'D7 - NDB Impacted SPRF''s'!$E$16:$O$9929,6,FALSE)</f>
        <v>Jessica Ayers</v>
      </c>
      <c r="AG1090" s="282"/>
      <c r="AH1090" s="311" t="e">
        <f>INDEX('D5 - Gatekeeper - Projects'!$A$4:$AF$1010,$AM1090, 17)</f>
        <v>#N/A</v>
      </c>
      <c r="AI1090" s="8"/>
      <c r="AJ1090" s="57"/>
      <c r="AK1090" s="105"/>
      <c r="AM1090" s="6" t="e">
        <f>MATCH(D1090,'D5 - Gatekeeper - Projects'!$C$4:$C$1010,0)</f>
        <v>#N/A</v>
      </c>
      <c r="AN1090" s="6" t="b">
        <f t="shared" si="96"/>
        <v>1</v>
      </c>
      <c r="AO1090" s="6" t="str">
        <f t="shared" si="99"/>
        <v>OK</v>
      </c>
      <c r="AQ1090" s="6" t="e">
        <f>MATCH($D1090,'D4 - Provider Council Unsched'!$C$11:$C$234,0)</f>
        <v>#N/A</v>
      </c>
      <c r="AR1090" s="6" t="b">
        <f t="shared" si="97"/>
        <v>1</v>
      </c>
      <c r="AS1090" s="6" t="str">
        <f t="shared" si="103"/>
        <v>OK</v>
      </c>
      <c r="AU1090" s="202"/>
      <c r="AV1090" s="262"/>
      <c r="AW1090" s="274"/>
    </row>
    <row r="1091" spans="1:49" s="13" customFormat="1" ht="33.75" x14ac:dyDescent="0.2">
      <c r="A1091" s="14">
        <v>1067</v>
      </c>
      <c r="B1091" s="14">
        <v>400029397</v>
      </c>
      <c r="C1091" s="8" t="s">
        <v>5197</v>
      </c>
      <c r="D1091" s="4" t="str">
        <f t="shared" si="98"/>
        <v>400029397R1</v>
      </c>
      <c r="E1091" s="309" t="str">
        <f>VLOOKUP($B1091,'D7 - NDB Impacted SPRF''s'!$E$6:$O$9929,2,FALSE)</f>
        <v>Access Profile Database Update</v>
      </c>
      <c r="F1091" s="8" t="s">
        <v>2114</v>
      </c>
      <c r="G1091" s="8" t="s">
        <v>4758</v>
      </c>
      <c r="H1091" s="8" t="s">
        <v>4246</v>
      </c>
      <c r="I1091" s="20"/>
      <c r="J1091" s="8"/>
      <c r="K1091" s="182">
        <v>39949</v>
      </c>
      <c r="L1091" s="8" t="s">
        <v>4156</v>
      </c>
      <c r="M1091" s="8" t="s">
        <v>2814</v>
      </c>
      <c r="N1091" s="38"/>
      <c r="O1091" s="8"/>
      <c r="P1091" s="4" t="str">
        <f>VLOOKUP($B1091,'D7 - NDB Impacted SPRF''s'!$E$16:$O$9929,9,FALSE)</f>
        <v>N</v>
      </c>
      <c r="Q1091" s="4" t="str">
        <f>VLOOKUP($B1091,'D7 - NDB Impacted SPRF''s'!$E$16:$O$9929,10,FALSE)</f>
        <v>N</v>
      </c>
      <c r="R1091" s="4" t="str">
        <f>VLOOKUP($B1091,'D7 - NDB Impacted SPRF''s'!$E$16:$O$9929,11,FALSE)</f>
        <v>N</v>
      </c>
      <c r="S1091" s="8"/>
      <c r="T1091" s="310"/>
      <c r="U1091" s="310"/>
      <c r="V1091" s="4"/>
      <c r="W1091" s="4"/>
      <c r="X1091" s="4"/>
      <c r="Y1091" s="4"/>
      <c r="Z1091" s="4"/>
      <c r="AA1091" s="4"/>
      <c r="AB1091" s="380" t="str">
        <f>VLOOKUP($B1091,'D7 - NDB Impacted SPRF''s'!$E$16:$O$9929,4,FALSE)</f>
        <v>Completed</v>
      </c>
      <c r="AC1091" s="380" t="str">
        <f>VLOOKUP($B1091,'D7 - NDB Impacted SPRF''s'!$E$16:$O$9929,3,FALSE)</f>
        <v>UnitedHealthcare Employer &amp; Individual</v>
      </c>
      <c r="AD1091" s="380" t="str">
        <f>VLOOKUP($B1091,'D7 - NDB Impacted SPRF''s'!$E$16:$O$9929,5,FALSE)</f>
        <v>Process Improvement</v>
      </c>
      <c r="AE1091" s="380" t="str">
        <f>VLOOKUP($B1091,'D7 - NDB Impacted SPRF''s'!$E$16:$O$9929,7,FALSE)</f>
        <v>Tim Kaja</v>
      </c>
      <c r="AF1091" s="380" t="str">
        <f>VLOOKUP($B1091,'D7 - NDB Impacted SPRF''s'!$E$16:$O$9929,6,FALSE)</f>
        <v>CHERYL STAUFFER</v>
      </c>
      <c r="AG1091" s="282"/>
      <c r="AH1091" s="311" t="e">
        <f>INDEX('D5 - Gatekeeper - Projects'!$A$4:$AF$1010,$AM1091, 17)</f>
        <v>#N/A</v>
      </c>
      <c r="AI1091" s="8"/>
      <c r="AJ1091" s="57"/>
      <c r="AK1091" s="105"/>
      <c r="AM1091" s="6" t="e">
        <f>MATCH(D1091,'D5 - Gatekeeper - Projects'!$C$4:$C$1010,0)</f>
        <v>#N/A</v>
      </c>
      <c r="AN1091" s="6" t="b">
        <f t="shared" si="96"/>
        <v>1</v>
      </c>
      <c r="AO1091" s="6" t="str">
        <f t="shared" si="99"/>
        <v>OK</v>
      </c>
      <c r="AQ1091" s="6" t="e">
        <f>MATCH($D1091,'D4 - Provider Council Unsched'!$C$11:$C$234,0)</f>
        <v>#N/A</v>
      </c>
      <c r="AR1091" s="6" t="b">
        <f t="shared" si="97"/>
        <v>1</v>
      </c>
      <c r="AS1091" s="6" t="str">
        <f t="shared" si="103"/>
        <v>OK</v>
      </c>
      <c r="AU1091" s="202"/>
      <c r="AV1091" s="262"/>
      <c r="AW1091" s="274"/>
    </row>
    <row r="1092" spans="1:49" s="13" customFormat="1" ht="45" x14ac:dyDescent="0.2">
      <c r="A1092" s="14">
        <v>1068</v>
      </c>
      <c r="B1092" s="14">
        <v>400029494</v>
      </c>
      <c r="C1092" s="8" t="s">
        <v>5197</v>
      </c>
      <c r="D1092" s="4" t="str">
        <f t="shared" si="98"/>
        <v>400029494R1</v>
      </c>
      <c r="E1092" s="309" t="str">
        <f>VLOOKUP($B1092,'D7 - NDB Impacted SPRF''s'!$E$6:$O$9929,2,FALSE)</f>
        <v>NHP Migration - EPDE file for data conversion</v>
      </c>
      <c r="F1092" s="8" t="s">
        <v>3248</v>
      </c>
      <c r="G1092" s="8" t="s">
        <v>4758</v>
      </c>
      <c r="H1092" s="8" t="s">
        <v>4246</v>
      </c>
      <c r="I1092" s="20">
        <v>1.07</v>
      </c>
      <c r="J1092" s="8" t="s">
        <v>4862</v>
      </c>
      <c r="K1092" s="182">
        <v>39949</v>
      </c>
      <c r="L1092" s="8" t="s">
        <v>4156</v>
      </c>
      <c r="M1092" s="8" t="s">
        <v>6007</v>
      </c>
      <c r="N1092" s="38" t="s">
        <v>4042</v>
      </c>
      <c r="O1092" s="8" t="s">
        <v>7086</v>
      </c>
      <c r="P1092" s="4" t="str">
        <f>VLOOKUP($B1092,'D7 - NDB Impacted SPRF''s'!$E$16:$O$9929,9,FALSE)</f>
        <v>N</v>
      </c>
      <c r="Q1092" s="4" t="str">
        <f>VLOOKUP($B1092,'D7 - NDB Impacted SPRF''s'!$E$16:$O$9929,10,FALSE)</f>
        <v>N</v>
      </c>
      <c r="R1092" s="4" t="str">
        <f>VLOOKUP($B1092,'D7 - NDB Impacted SPRF''s'!$E$16:$O$9929,11,FALSE)</f>
        <v>N</v>
      </c>
      <c r="S1092" s="8"/>
      <c r="T1092" s="310"/>
      <c r="U1092" s="310"/>
      <c r="V1092" s="4"/>
      <c r="W1092" s="4"/>
      <c r="X1092" s="4"/>
      <c r="Y1092" s="4"/>
      <c r="Z1092" s="4"/>
      <c r="AA1092" s="4"/>
      <c r="AB1092" s="380" t="str">
        <f>VLOOKUP($B1092,'D7 - NDB Impacted SPRF''s'!$E$16:$O$9929,4,FALSE)</f>
        <v>Completed</v>
      </c>
      <c r="AC1092" s="380" t="str">
        <f>VLOOKUP($B1092,'D7 - NDB Impacted SPRF''s'!$E$16:$O$9929,3,FALSE)</f>
        <v>UHG IT - Enterprise Technology Services</v>
      </c>
      <c r="AD1092" s="380" t="str">
        <f>VLOOKUP($B1092,'D7 - NDB Impacted SPRF''s'!$E$16:$O$9929,5,FALSE)</f>
        <v>Strategic Initiatives</v>
      </c>
      <c r="AE1092" s="380" t="str">
        <f>VLOOKUP($B1092,'D7 - NDB Impacted SPRF''s'!$E$16:$O$9929,7,FALSE)</f>
        <v>Diane Schofield</v>
      </c>
      <c r="AF1092" s="380" t="str">
        <f>VLOOKUP($B1092,'D7 - NDB Impacted SPRF''s'!$E$16:$O$9929,6,FALSE)</f>
        <v>Annitta Ingraham</v>
      </c>
      <c r="AG1092" s="282"/>
      <c r="AH1092" s="311" t="e">
        <f>INDEX('D5 - Gatekeeper - Projects'!$A$4:$AF$1010,$AM1092, 17)</f>
        <v>#N/A</v>
      </c>
      <c r="AI1092" s="8"/>
      <c r="AJ1092" s="57"/>
      <c r="AK1092" s="105"/>
      <c r="AM1092" s="6" t="e">
        <f>MATCH(D1092,'D5 - Gatekeeper - Projects'!$C$4:$C$1010,0)</f>
        <v>#N/A</v>
      </c>
      <c r="AN1092" s="6" t="b">
        <f t="shared" si="96"/>
        <v>1</v>
      </c>
      <c r="AO1092" s="6" t="str">
        <f t="shared" si="99"/>
        <v>OK</v>
      </c>
      <c r="AQ1092" s="6" t="e">
        <f>MATCH($D1092,'D4 - Provider Council Unsched'!$C$11:$C$234,0)</f>
        <v>#N/A</v>
      </c>
      <c r="AR1092" s="6" t="b">
        <f t="shared" si="97"/>
        <v>1</v>
      </c>
      <c r="AS1092" s="6" t="str">
        <f t="shared" si="103"/>
        <v>OK</v>
      </c>
      <c r="AU1092" s="202"/>
      <c r="AV1092" s="262"/>
      <c r="AW1092" s="274"/>
    </row>
    <row r="1093" spans="1:49" s="13" customFormat="1" x14ac:dyDescent="0.2">
      <c r="A1093" s="14">
        <v>1069</v>
      </c>
      <c r="B1093" s="14" t="s">
        <v>7412</v>
      </c>
      <c r="C1093" s="8" t="s">
        <v>5197</v>
      </c>
      <c r="D1093" s="4" t="str">
        <f t="shared" si="98"/>
        <v>OI00100R1</v>
      </c>
      <c r="E1093" s="309" t="s">
        <v>5696</v>
      </c>
      <c r="F1093" s="8" t="s">
        <v>7249</v>
      </c>
      <c r="G1093" s="8" t="s">
        <v>4758</v>
      </c>
      <c r="H1093" s="8" t="s">
        <v>4246</v>
      </c>
      <c r="I1093" s="20">
        <v>1.3333333333333333</v>
      </c>
      <c r="J1093" s="8" t="s">
        <v>4862</v>
      </c>
      <c r="K1093" s="182">
        <v>39949</v>
      </c>
      <c r="L1093" s="8" t="s">
        <v>5743</v>
      </c>
      <c r="M1093" s="8" t="s">
        <v>5626</v>
      </c>
      <c r="N1093" s="38"/>
      <c r="O1093" s="8" t="s">
        <v>3572</v>
      </c>
      <c r="P1093" s="4" t="e">
        <f>VLOOKUP($B1093,'D7 - NDB Impacted SPRF''s'!$E$16:$O$9929,9,FALSE)</f>
        <v>#N/A</v>
      </c>
      <c r="Q1093" s="4" t="e">
        <f>VLOOKUP($B1093,'D7 - NDB Impacted SPRF''s'!$E$16:$O$9929,10,FALSE)</f>
        <v>#N/A</v>
      </c>
      <c r="R1093" s="4" t="e">
        <f>VLOOKUP($B1093,'D7 - NDB Impacted SPRF''s'!$E$16:$O$9929,11,FALSE)</f>
        <v>#N/A</v>
      </c>
      <c r="S1093" s="8"/>
      <c r="T1093" s="310"/>
      <c r="U1093" s="310"/>
      <c r="V1093" s="4"/>
      <c r="W1093" s="4"/>
      <c r="X1093" s="4"/>
      <c r="Y1093" s="4"/>
      <c r="Z1093" s="4"/>
      <c r="AA1093" s="4"/>
      <c r="AB1093" s="380" t="e">
        <f>VLOOKUP($B1093,'D7 - NDB Impacted SPRF''s'!$E$16:$O$9929,4,FALSE)</f>
        <v>#N/A</v>
      </c>
      <c r="AC1093" s="380" t="e">
        <f>VLOOKUP($B1093,'D7 - NDB Impacted SPRF''s'!$E$16:$O$9929,3,FALSE)</f>
        <v>#N/A</v>
      </c>
      <c r="AD1093" s="380" t="e">
        <f>VLOOKUP($B1093,'D7 - NDB Impacted SPRF''s'!$E$16:$O$9929,5,FALSE)</f>
        <v>#N/A</v>
      </c>
      <c r="AE1093" s="380" t="e">
        <f>VLOOKUP($B1093,'D7 - NDB Impacted SPRF''s'!$E$16:$O$9929,7,FALSE)</f>
        <v>#N/A</v>
      </c>
      <c r="AF1093" s="380" t="e">
        <f>VLOOKUP($B1093,'D7 - NDB Impacted SPRF''s'!$E$16:$O$9929,6,FALSE)</f>
        <v>#N/A</v>
      </c>
      <c r="AG1093" s="282"/>
      <c r="AH1093" s="311" t="e">
        <f>INDEX('D5 - Gatekeeper - Projects'!$A$4:$AF$1010,$AM1093, 17)</f>
        <v>#N/A</v>
      </c>
      <c r="AI1093" s="8"/>
      <c r="AJ1093" s="57"/>
      <c r="AK1093" s="105"/>
      <c r="AM1093" s="6" t="e">
        <f>MATCH(D1093,'D5 - Gatekeeper - Projects'!$C$4:$C$1010,0)</f>
        <v>#N/A</v>
      </c>
      <c r="AN1093" s="6" t="b">
        <f t="shared" si="96"/>
        <v>1</v>
      </c>
      <c r="AO1093" s="6" t="str">
        <f t="shared" si="99"/>
        <v>OK</v>
      </c>
      <c r="AQ1093" s="6" t="e">
        <f>MATCH($D1093,'D4 - Provider Council Unsched'!$C$11:$C$234,0)</f>
        <v>#N/A</v>
      </c>
      <c r="AR1093" s="6" t="b">
        <f t="shared" si="97"/>
        <v>1</v>
      </c>
      <c r="AS1093" s="6" t="str">
        <f t="shared" si="103"/>
        <v>OK</v>
      </c>
      <c r="AU1093" s="202"/>
      <c r="AV1093" s="262"/>
      <c r="AW1093" s="274"/>
    </row>
    <row r="1094" spans="1:49" s="13" customFormat="1" x14ac:dyDescent="0.2">
      <c r="A1094" s="14">
        <v>1070</v>
      </c>
      <c r="B1094" s="14" t="s">
        <v>7414</v>
      </c>
      <c r="C1094" s="8" t="s">
        <v>5197</v>
      </c>
      <c r="D1094" s="4" t="str">
        <f t="shared" si="98"/>
        <v>OI00103R1</v>
      </c>
      <c r="E1094" s="309" t="s">
        <v>7248</v>
      </c>
      <c r="F1094" s="8" t="s">
        <v>7249</v>
      </c>
      <c r="G1094" s="8" t="s">
        <v>4758</v>
      </c>
      <c r="H1094" s="8" t="s">
        <v>4246</v>
      </c>
      <c r="I1094" s="20">
        <f>300/150</f>
        <v>2</v>
      </c>
      <c r="J1094" s="8" t="s">
        <v>4862</v>
      </c>
      <c r="K1094" s="182">
        <v>39949</v>
      </c>
      <c r="L1094" s="8" t="s">
        <v>5743</v>
      </c>
      <c r="M1094" s="8" t="s">
        <v>6688</v>
      </c>
      <c r="N1094" s="38"/>
      <c r="O1094" s="8" t="s">
        <v>3572</v>
      </c>
      <c r="P1094" s="4" t="e">
        <f>VLOOKUP($B1094,'D7 - NDB Impacted SPRF''s'!$E$16:$O$9929,9,FALSE)</f>
        <v>#N/A</v>
      </c>
      <c r="Q1094" s="4" t="e">
        <f>VLOOKUP($B1094,'D7 - NDB Impacted SPRF''s'!$E$16:$O$9929,10,FALSE)</f>
        <v>#N/A</v>
      </c>
      <c r="R1094" s="4" t="e">
        <f>VLOOKUP($B1094,'D7 - NDB Impacted SPRF''s'!$E$16:$O$9929,11,FALSE)</f>
        <v>#N/A</v>
      </c>
      <c r="S1094" s="8"/>
      <c r="T1094" s="310"/>
      <c r="U1094" s="310"/>
      <c r="V1094" s="4"/>
      <c r="W1094" s="4"/>
      <c r="X1094" s="4"/>
      <c r="Y1094" s="4"/>
      <c r="Z1094" s="4"/>
      <c r="AA1094" s="4"/>
      <c r="AB1094" s="380" t="e">
        <f>VLOOKUP($B1094,'D7 - NDB Impacted SPRF''s'!$E$16:$O$9929,4,FALSE)</f>
        <v>#N/A</v>
      </c>
      <c r="AC1094" s="380" t="e">
        <f>VLOOKUP($B1094,'D7 - NDB Impacted SPRF''s'!$E$16:$O$9929,3,FALSE)</f>
        <v>#N/A</v>
      </c>
      <c r="AD1094" s="380" t="e">
        <f>VLOOKUP($B1094,'D7 - NDB Impacted SPRF''s'!$E$16:$O$9929,5,FALSE)</f>
        <v>#N/A</v>
      </c>
      <c r="AE1094" s="380" t="e">
        <f>VLOOKUP($B1094,'D7 - NDB Impacted SPRF''s'!$E$16:$O$9929,7,FALSE)</f>
        <v>#N/A</v>
      </c>
      <c r="AF1094" s="380" t="e">
        <f>VLOOKUP($B1094,'D7 - NDB Impacted SPRF''s'!$E$16:$O$9929,6,FALSE)</f>
        <v>#N/A</v>
      </c>
      <c r="AG1094" s="282"/>
      <c r="AH1094" s="311" t="e">
        <f>INDEX('D5 - Gatekeeper - Projects'!$A$4:$AF$1010,$AM1094, 17)</f>
        <v>#N/A</v>
      </c>
      <c r="AI1094" s="8"/>
      <c r="AJ1094" s="57"/>
      <c r="AK1094" s="105"/>
      <c r="AM1094" s="6" t="e">
        <f>MATCH(D1094,'D5 - Gatekeeper - Projects'!$C$4:$C$1010,0)</f>
        <v>#N/A</v>
      </c>
      <c r="AN1094" s="6" t="b">
        <f t="shared" si="96"/>
        <v>1</v>
      </c>
      <c r="AO1094" s="6" t="str">
        <f t="shared" si="99"/>
        <v>OK</v>
      </c>
      <c r="AQ1094" s="6" t="e">
        <f>MATCH($D1094,'D4 - Provider Council Unsched'!$C$11:$C$234,0)</f>
        <v>#N/A</v>
      </c>
      <c r="AR1094" s="6" t="b">
        <f t="shared" si="97"/>
        <v>1</v>
      </c>
      <c r="AS1094" s="6" t="str">
        <f t="shared" ref="AS1094:AS1100" si="104">IF(AND(H1094="2 - Not Scheduled",AR1094=TRUE),"Add","OK")</f>
        <v>OK</v>
      </c>
      <c r="AU1094" s="202"/>
      <c r="AV1094" s="262"/>
      <c r="AW1094" s="274"/>
    </row>
    <row r="1095" spans="1:49" s="13" customFormat="1" ht="33.75" x14ac:dyDescent="0.2">
      <c r="A1095" s="14">
        <v>1071</v>
      </c>
      <c r="B1095" s="14">
        <v>400026847</v>
      </c>
      <c r="C1095" s="8" t="s">
        <v>5197</v>
      </c>
      <c r="D1095" s="4" t="str">
        <f t="shared" si="98"/>
        <v>400026847R1</v>
      </c>
      <c r="E1095" s="309" t="str">
        <f>VLOOKUP($B1095,'D7 - NDB Impacted SPRF''s'!$E$6:$O$9929,2,FALSE)</f>
        <v>Treatment Cost Estimator (TCE) - Compliance Reqmts</v>
      </c>
      <c r="F1095" s="8" t="s">
        <v>4471</v>
      </c>
      <c r="G1095" s="8" t="s">
        <v>4758</v>
      </c>
      <c r="H1095" s="8" t="s">
        <v>4246</v>
      </c>
      <c r="I1095" s="20">
        <v>10.72</v>
      </c>
      <c r="J1095" s="8" t="s">
        <v>4862</v>
      </c>
      <c r="K1095" s="182">
        <v>39984</v>
      </c>
      <c r="L1095" s="8" t="s">
        <v>5743</v>
      </c>
      <c r="M1095" s="8" t="s">
        <v>2814</v>
      </c>
      <c r="N1095" s="38"/>
      <c r="O1095" s="8" t="s">
        <v>2421</v>
      </c>
      <c r="P1095" s="4" t="str">
        <f>VLOOKUP($B1095,'D7 - NDB Impacted SPRF''s'!$E$16:$O$9929,9,FALSE)</f>
        <v>Y</v>
      </c>
      <c r="Q1095" s="4" t="str">
        <f>VLOOKUP($B1095,'D7 - NDB Impacted SPRF''s'!$E$16:$O$9929,10,FALSE)</f>
        <v>N</v>
      </c>
      <c r="R1095" s="4" t="str">
        <f>VLOOKUP($B1095,'D7 - NDB Impacted SPRF''s'!$E$16:$O$9929,11,FALSE)</f>
        <v>N</v>
      </c>
      <c r="S1095" s="8"/>
      <c r="T1095" s="310"/>
      <c r="U1095" s="310"/>
      <c r="V1095" s="4"/>
      <c r="W1095" s="4"/>
      <c r="X1095" s="4"/>
      <c r="Y1095" s="4"/>
      <c r="Z1095" s="4"/>
      <c r="AA1095" s="4"/>
      <c r="AB1095" s="380" t="str">
        <f>VLOOKUP($B1095,'D7 - NDB Impacted SPRF''s'!$E$16:$O$9929,4,FALSE)</f>
        <v>Completed</v>
      </c>
      <c r="AC1095" s="380" t="str">
        <f>VLOOKUP($B1095,'D7 - NDB Impacted SPRF''s'!$E$16:$O$9929,3,FALSE)</f>
        <v>UnitedHealthcare Employer &amp; Individual</v>
      </c>
      <c r="AD1095" s="380" t="str">
        <f>VLOOKUP($B1095,'D7 - NDB Impacted SPRF''s'!$E$16:$O$9929,5,FALSE)</f>
        <v>Regulatory / Other</v>
      </c>
      <c r="AE1095" s="380" t="str">
        <f>VLOOKUP($B1095,'D7 - NDB Impacted SPRF''s'!$E$16:$O$9929,7,FALSE)</f>
        <v>Stephan Rodgers</v>
      </c>
      <c r="AF1095" s="380" t="str">
        <f>VLOOKUP($B1095,'D7 - NDB Impacted SPRF''s'!$E$16:$O$9929,6,FALSE)</f>
        <v>COBB DOROTHY</v>
      </c>
      <c r="AG1095" s="282"/>
      <c r="AH1095" s="311" t="e">
        <f>INDEX('D5 - Gatekeeper - Projects'!$A$4:$AF$1010,$AM1095, 17)</f>
        <v>#N/A</v>
      </c>
      <c r="AI1095" s="8"/>
      <c r="AJ1095" s="57"/>
      <c r="AK1095" s="105"/>
      <c r="AM1095" s="6" t="e">
        <f>MATCH(D1095,'D5 - Gatekeeper - Projects'!$C$4:$C$1010,0)</f>
        <v>#N/A</v>
      </c>
      <c r="AN1095" s="6" t="b">
        <f t="shared" si="96"/>
        <v>1</v>
      </c>
      <c r="AO1095" s="6" t="str">
        <f t="shared" si="99"/>
        <v>OK</v>
      </c>
      <c r="AQ1095" s="6" t="e">
        <f>MATCH($D1095,'D4 - Provider Council Unsched'!$C$11:$C$234,0)</f>
        <v>#N/A</v>
      </c>
      <c r="AR1095" s="6" t="b">
        <f t="shared" si="97"/>
        <v>1</v>
      </c>
      <c r="AS1095" s="6" t="str">
        <f t="shared" si="104"/>
        <v>OK</v>
      </c>
      <c r="AU1095" s="202"/>
      <c r="AV1095" s="262"/>
      <c r="AW1095" s="274"/>
    </row>
    <row r="1096" spans="1:49" s="13" customFormat="1" ht="33.75" x14ac:dyDescent="0.2">
      <c r="A1096" s="14">
        <v>1072</v>
      </c>
      <c r="B1096" s="14">
        <v>400027467</v>
      </c>
      <c r="C1096" s="8" t="s">
        <v>5197</v>
      </c>
      <c r="D1096" s="4" t="str">
        <f t="shared" si="98"/>
        <v>400027467R1</v>
      </c>
      <c r="E1096" s="309" t="str">
        <f>VLOOKUP($B1096,'D7 - NDB Impacted SPRF''s'!$E$6:$O$9929,2,FALSE)</f>
        <v>W/O ORBIT RPT - Active/Term'd providers X Fee Sch</v>
      </c>
      <c r="F1096" s="8" t="s">
        <v>6071</v>
      </c>
      <c r="G1096" s="8" t="s">
        <v>4758</v>
      </c>
      <c r="H1096" s="8" t="s">
        <v>4246</v>
      </c>
      <c r="I1096" s="20">
        <v>2.2999999999999998</v>
      </c>
      <c r="J1096" s="8" t="s">
        <v>4862</v>
      </c>
      <c r="K1096" s="182">
        <v>39988</v>
      </c>
      <c r="L1096" s="8" t="s">
        <v>5743</v>
      </c>
      <c r="M1096" s="8" t="s">
        <v>2814</v>
      </c>
      <c r="N1096" s="38"/>
      <c r="O1096" s="8" t="s">
        <v>2875</v>
      </c>
      <c r="P1096" s="4" t="str">
        <f>VLOOKUP($B1096,'D7 - NDB Impacted SPRF''s'!$E$16:$O$9929,9,FALSE)</f>
        <v>N</v>
      </c>
      <c r="Q1096" s="4" t="str">
        <f>VLOOKUP($B1096,'D7 - NDB Impacted SPRF''s'!$E$16:$O$9929,10,FALSE)</f>
        <v>N</v>
      </c>
      <c r="R1096" s="4" t="str">
        <f>VLOOKUP($B1096,'D7 - NDB Impacted SPRF''s'!$E$16:$O$9929,11,FALSE)</f>
        <v>N</v>
      </c>
      <c r="S1096" s="8"/>
      <c r="T1096" s="310"/>
      <c r="U1096" s="310"/>
      <c r="V1096" s="4"/>
      <c r="W1096" s="4"/>
      <c r="X1096" s="4"/>
      <c r="Y1096" s="4"/>
      <c r="Z1096" s="4"/>
      <c r="AA1096" s="4"/>
      <c r="AB1096" s="380" t="str">
        <f>VLOOKUP($B1096,'D7 - NDB Impacted SPRF''s'!$E$16:$O$9929,4,FALSE)</f>
        <v>Completed</v>
      </c>
      <c r="AC1096" s="380" t="str">
        <f>VLOOKUP($B1096,'D7 - NDB Impacted SPRF''s'!$E$16:$O$9929,3,FALSE)</f>
        <v>UnitedHealthcare Employer &amp; Individual</v>
      </c>
      <c r="AD1096" s="380" t="str">
        <f>VLOOKUP($B1096,'D7 - NDB Impacted SPRF''s'!$E$16:$O$9929,5,FALSE)</f>
        <v>Operational Requirements</v>
      </c>
      <c r="AE1096" s="380" t="str">
        <f>VLOOKUP($B1096,'D7 - NDB Impacted SPRF''s'!$E$16:$O$9929,7,FALSE)</f>
        <v>Susan Berkel</v>
      </c>
      <c r="AF1096" s="380" t="str">
        <f>VLOOKUP($B1096,'D7 - NDB Impacted SPRF''s'!$E$16:$O$9929,6,FALSE)</f>
        <v>SHELBY GRAHAM</v>
      </c>
      <c r="AG1096" s="282"/>
      <c r="AH1096" s="311" t="e">
        <f>INDEX('D5 - Gatekeeper - Projects'!$A$4:$AF$1010,$AM1096, 17)</f>
        <v>#N/A</v>
      </c>
      <c r="AI1096" s="8"/>
      <c r="AJ1096" s="57"/>
      <c r="AK1096" s="105"/>
      <c r="AM1096" s="6" t="e">
        <f>MATCH(D1096,'D5 - Gatekeeper - Projects'!$C$4:$C$1010,0)</f>
        <v>#N/A</v>
      </c>
      <c r="AN1096" s="6" t="b">
        <f t="shared" si="96"/>
        <v>1</v>
      </c>
      <c r="AO1096" s="6" t="str">
        <f t="shared" si="99"/>
        <v>OK</v>
      </c>
      <c r="AQ1096" s="6" t="e">
        <f>MATCH($D1096,'D4 - Provider Council Unsched'!$C$11:$C$234,0)</f>
        <v>#N/A</v>
      </c>
      <c r="AR1096" s="6" t="b">
        <f t="shared" si="97"/>
        <v>1</v>
      </c>
      <c r="AS1096" s="6" t="str">
        <f t="shared" si="104"/>
        <v>OK</v>
      </c>
      <c r="AU1096" s="202"/>
      <c r="AV1096" s="262"/>
      <c r="AW1096" s="274"/>
    </row>
    <row r="1097" spans="1:49" s="13" customFormat="1" ht="33.75" x14ac:dyDescent="0.2">
      <c r="A1097" s="14">
        <v>1073</v>
      </c>
      <c r="B1097" s="14">
        <v>400014754</v>
      </c>
      <c r="C1097" s="8" t="s">
        <v>3763</v>
      </c>
      <c r="D1097" s="4" t="str">
        <f t="shared" si="98"/>
        <v>400014754R2</v>
      </c>
      <c r="E1097" s="309" t="str">
        <f>VLOOKUP($B1097,'D7 - NDB Impacted SPRF''s'!$E$6:$O$9929,2,FALSE)</f>
        <v xml:space="preserve">MedNet EPDL - Ingenix NetPro Enhancement </v>
      </c>
      <c r="F1097" s="8" t="s">
        <v>2114</v>
      </c>
      <c r="G1097" s="8" t="s">
        <v>4758</v>
      </c>
      <c r="H1097" s="8" t="s">
        <v>4246</v>
      </c>
      <c r="I1097" s="20">
        <v>1.1000000000000001</v>
      </c>
      <c r="J1097" s="8" t="s">
        <v>4862</v>
      </c>
      <c r="K1097" s="182">
        <v>39991</v>
      </c>
      <c r="L1097" s="8" t="s">
        <v>5743</v>
      </c>
      <c r="M1097" s="8" t="s">
        <v>2814</v>
      </c>
      <c r="N1097" s="38"/>
      <c r="O1097" s="8" t="s">
        <v>7086</v>
      </c>
      <c r="P1097" s="4" t="str">
        <f>VLOOKUP($B1097,'D7 - NDB Impacted SPRF''s'!$E$16:$O$9929,9,FALSE)</f>
        <v>N</v>
      </c>
      <c r="Q1097" s="4" t="str">
        <f>VLOOKUP($B1097,'D7 - NDB Impacted SPRF''s'!$E$16:$O$9929,10,FALSE)</f>
        <v>N</v>
      </c>
      <c r="R1097" s="4" t="str">
        <f>VLOOKUP($B1097,'D7 - NDB Impacted SPRF''s'!$E$16:$O$9929,11,FALSE)</f>
        <v>N</v>
      </c>
      <c r="S1097" s="8"/>
      <c r="T1097" s="310"/>
      <c r="U1097" s="310"/>
      <c r="V1097" s="4"/>
      <c r="W1097" s="4"/>
      <c r="X1097" s="4"/>
      <c r="Y1097" s="4"/>
      <c r="Z1097" s="4"/>
      <c r="AA1097" s="4"/>
      <c r="AB1097" s="380" t="str">
        <f>VLOOKUP($B1097,'D7 - NDB Impacted SPRF''s'!$E$16:$O$9929,4,FALSE)</f>
        <v>Completed</v>
      </c>
      <c r="AC1097" s="380" t="str">
        <f>VLOOKUP($B1097,'D7 - NDB Impacted SPRF''s'!$E$16:$O$9929,3,FALSE)</f>
        <v>UnitedHealthcare Employer &amp; Individual</v>
      </c>
      <c r="AD1097" s="380" t="str">
        <f>VLOOKUP($B1097,'D7 - NDB Impacted SPRF''s'!$E$16:$O$9929,5,FALSE)</f>
        <v>Process Improvement</v>
      </c>
      <c r="AE1097" s="380" t="str">
        <f>VLOOKUP($B1097,'D7 - NDB Impacted SPRF''s'!$E$16:$O$9929,7,FALSE)</f>
        <v>Tim Kaja</v>
      </c>
      <c r="AF1097" s="380" t="str">
        <f>VLOOKUP($B1097,'D7 - NDB Impacted SPRF''s'!$E$16:$O$9929,6,FALSE)</f>
        <v>JOHN HIEBERT</v>
      </c>
      <c r="AG1097" s="282"/>
      <c r="AH1097" s="311" t="e">
        <f>INDEX('D5 - Gatekeeper - Projects'!$A$4:$AF$1010,$AM1097, 17)</f>
        <v>#N/A</v>
      </c>
      <c r="AI1097" s="8"/>
      <c r="AJ1097" s="57"/>
      <c r="AK1097" s="105"/>
      <c r="AM1097" s="6" t="e">
        <f>MATCH(D1097,'D5 - Gatekeeper - Projects'!$C$4:$C$1010,0)</f>
        <v>#N/A</v>
      </c>
      <c r="AN1097" s="6" t="b">
        <f t="shared" si="96"/>
        <v>1</v>
      </c>
      <c r="AO1097" s="6" t="str">
        <f t="shared" si="99"/>
        <v>OK</v>
      </c>
      <c r="AQ1097" s="6" t="e">
        <f>MATCH($D1097,'D4 - Provider Council Unsched'!$C$11:$C$234,0)</f>
        <v>#N/A</v>
      </c>
      <c r="AR1097" s="6" t="b">
        <f t="shared" si="97"/>
        <v>1</v>
      </c>
      <c r="AS1097" s="6" t="str">
        <f t="shared" si="104"/>
        <v>OK</v>
      </c>
      <c r="AU1097" s="202"/>
      <c r="AV1097" s="262"/>
      <c r="AW1097" s="274"/>
    </row>
    <row r="1098" spans="1:49" s="13" customFormat="1" ht="33.75" x14ac:dyDescent="0.2">
      <c r="A1098" s="14">
        <v>1074</v>
      </c>
      <c r="B1098" s="14">
        <v>400024666</v>
      </c>
      <c r="C1098" s="8" t="s">
        <v>2449</v>
      </c>
      <c r="D1098" s="4" t="str">
        <f t="shared" si="98"/>
        <v>400024666R3</v>
      </c>
      <c r="E1098" s="309" t="str">
        <f>VLOOKUP($B1098,'D7 - NDB Impacted SPRF''s'!$E$6:$O$9929,2,FALSE)</f>
        <v xml:space="preserve">MPQ Enhancements </v>
      </c>
      <c r="F1098" s="8" t="s">
        <v>2114</v>
      </c>
      <c r="G1098" s="8" t="s">
        <v>4758</v>
      </c>
      <c r="H1098" s="8" t="s">
        <v>4246</v>
      </c>
      <c r="I1098" s="20">
        <v>1.07</v>
      </c>
      <c r="J1098" s="8" t="s">
        <v>4862</v>
      </c>
      <c r="K1098" s="182">
        <v>39991</v>
      </c>
      <c r="L1098" s="8" t="s">
        <v>5743</v>
      </c>
      <c r="M1098" s="8" t="s">
        <v>5626</v>
      </c>
      <c r="N1098" s="38"/>
      <c r="O1098" s="8" t="s">
        <v>4599</v>
      </c>
      <c r="P1098" s="4" t="str">
        <f>VLOOKUP($B1098,'D7 - NDB Impacted SPRF''s'!$E$16:$O$9929,9,FALSE)</f>
        <v>Y</v>
      </c>
      <c r="Q1098" s="4" t="str">
        <f>VLOOKUP($B1098,'D7 - NDB Impacted SPRF''s'!$E$16:$O$9929,10,FALSE)</f>
        <v>N</v>
      </c>
      <c r="R1098" s="4" t="str">
        <f>VLOOKUP($B1098,'D7 - NDB Impacted SPRF''s'!$E$16:$O$9929,11,FALSE)</f>
        <v>Y</v>
      </c>
      <c r="S1098" s="8"/>
      <c r="T1098" s="310"/>
      <c r="U1098" s="310"/>
      <c r="V1098" s="4"/>
      <c r="W1098" s="4"/>
      <c r="X1098" s="4"/>
      <c r="Y1098" s="4"/>
      <c r="Z1098" s="4"/>
      <c r="AA1098" s="4"/>
      <c r="AB1098" s="380" t="str">
        <f>VLOOKUP($B1098,'D7 - NDB Impacted SPRF''s'!$E$16:$O$9929,4,FALSE)</f>
        <v>Completed</v>
      </c>
      <c r="AC1098" s="380" t="str">
        <f>VLOOKUP($B1098,'D7 - NDB Impacted SPRF''s'!$E$16:$O$9929,3,FALSE)</f>
        <v>UnitedHealthcare Employer &amp; Individual</v>
      </c>
      <c r="AD1098" s="380" t="str">
        <f>VLOOKUP($B1098,'D7 - NDB Impacted SPRF''s'!$E$16:$O$9929,5,FALSE)</f>
        <v>Process Improvement</v>
      </c>
      <c r="AE1098" s="380" t="str">
        <f>VLOOKUP($B1098,'D7 - NDB Impacted SPRF''s'!$E$16:$O$9929,7,FALSE)</f>
        <v>Jillian Foucre</v>
      </c>
      <c r="AF1098" s="380" t="str">
        <f>VLOOKUP($B1098,'D7 - NDB Impacted SPRF''s'!$E$16:$O$9929,6,FALSE)</f>
        <v>JOHN HIEBERT</v>
      </c>
      <c r="AG1098" s="282"/>
      <c r="AH1098" s="311" t="e">
        <f>INDEX('D5 - Gatekeeper - Projects'!$A$4:$AF$1010,$AM1098, 17)</f>
        <v>#N/A</v>
      </c>
      <c r="AI1098" s="8"/>
      <c r="AJ1098" s="57"/>
      <c r="AK1098" s="105"/>
      <c r="AM1098" s="6" t="e">
        <f>MATCH(D1098,'D5 - Gatekeeper - Projects'!$C$4:$C$1010,0)</f>
        <v>#N/A</v>
      </c>
      <c r="AN1098" s="6" t="b">
        <f t="shared" si="96"/>
        <v>1</v>
      </c>
      <c r="AO1098" s="6" t="str">
        <f t="shared" si="99"/>
        <v>OK</v>
      </c>
      <c r="AQ1098" s="6" t="e">
        <f>MATCH($D1098,'D4 - Provider Council Unsched'!$C$11:$C$234,0)</f>
        <v>#N/A</v>
      </c>
      <c r="AR1098" s="6" t="b">
        <f t="shared" si="97"/>
        <v>1</v>
      </c>
      <c r="AS1098" s="6" t="str">
        <f t="shared" si="104"/>
        <v>OK</v>
      </c>
      <c r="AU1098" s="202"/>
      <c r="AV1098" s="262"/>
      <c r="AW1098" s="274"/>
    </row>
    <row r="1099" spans="1:49" s="13" customFormat="1" ht="33.75" x14ac:dyDescent="0.2">
      <c r="A1099" s="14">
        <v>1075</v>
      </c>
      <c r="B1099" s="14">
        <v>400025531</v>
      </c>
      <c r="C1099" s="8" t="s">
        <v>5197</v>
      </c>
      <c r="D1099" s="4" t="str">
        <f t="shared" si="98"/>
        <v>400025531R1</v>
      </c>
      <c r="E1099" s="309" t="str">
        <f>VLOOKUP($B1099,'D7 - NDB Impacted SPRF''s'!$E$6:$O$9929,2,FALSE)</f>
        <v>Expanded EPDE Onboarding - UNO/UMR</v>
      </c>
      <c r="F1099" s="8" t="s">
        <v>4069</v>
      </c>
      <c r="G1099" s="8" t="s">
        <v>4758</v>
      </c>
      <c r="H1099" s="8" t="s">
        <v>4246</v>
      </c>
      <c r="I1099" s="20">
        <v>1.07</v>
      </c>
      <c r="J1099" s="8" t="s">
        <v>4862</v>
      </c>
      <c r="K1099" s="182">
        <v>39991</v>
      </c>
      <c r="L1099" s="8" t="s">
        <v>5743</v>
      </c>
      <c r="M1099" s="8" t="s">
        <v>6007</v>
      </c>
      <c r="N1099" s="38"/>
      <c r="O1099" s="8" t="s">
        <v>7086</v>
      </c>
      <c r="P1099" s="4" t="str">
        <f>VLOOKUP($B1099,'D7 - NDB Impacted SPRF''s'!$E$16:$O$9929,9,FALSE)</f>
        <v>N</v>
      </c>
      <c r="Q1099" s="4" t="str">
        <f>VLOOKUP($B1099,'D7 - NDB Impacted SPRF''s'!$E$16:$O$9929,10,FALSE)</f>
        <v>N</v>
      </c>
      <c r="R1099" s="4" t="str">
        <f>VLOOKUP($B1099,'D7 - NDB Impacted SPRF''s'!$E$16:$O$9929,11,FALSE)</f>
        <v>N</v>
      </c>
      <c r="S1099" s="8"/>
      <c r="T1099" s="310"/>
      <c r="U1099" s="310"/>
      <c r="V1099" s="4"/>
      <c r="W1099" s="4"/>
      <c r="X1099" s="4"/>
      <c r="Y1099" s="4"/>
      <c r="Z1099" s="4"/>
      <c r="AA1099" s="4"/>
      <c r="AB1099" s="380" t="str">
        <f>VLOOKUP($B1099,'D7 - NDB Impacted SPRF''s'!$E$16:$O$9929,4,FALSE)</f>
        <v>Completed</v>
      </c>
      <c r="AC1099" s="380" t="str">
        <f>VLOOKUP($B1099,'D7 - NDB Impacted SPRF''s'!$E$16:$O$9929,3,FALSE)</f>
        <v>UnitedHealthcare Employer &amp; Individual</v>
      </c>
      <c r="AD1099" s="380" t="str">
        <f>VLOOKUP($B1099,'D7 - NDB Impacted SPRF''s'!$E$16:$O$9929,5,FALSE)</f>
        <v>Operational Requirements</v>
      </c>
      <c r="AE1099" s="380" t="str">
        <f>VLOOKUP($B1099,'D7 - NDB Impacted SPRF''s'!$E$16:$O$9929,7,FALSE)</f>
        <v>Jill Foucre</v>
      </c>
      <c r="AF1099" s="380" t="str">
        <f>VLOOKUP($B1099,'D7 - NDB Impacted SPRF''s'!$E$16:$O$9929,6,FALSE)</f>
        <v>MARCIA MONACO</v>
      </c>
      <c r="AG1099" s="282"/>
      <c r="AH1099" s="311" t="e">
        <f>INDEX('D5 - Gatekeeper - Projects'!$A$4:$AF$1010,$AM1099, 17)</f>
        <v>#N/A</v>
      </c>
      <c r="AI1099" s="8"/>
      <c r="AJ1099" s="57"/>
      <c r="AK1099" s="105"/>
      <c r="AM1099" s="6" t="e">
        <f>MATCH(D1099,'D5 - Gatekeeper - Projects'!$C$4:$C$1010,0)</f>
        <v>#N/A</v>
      </c>
      <c r="AN1099" s="6" t="b">
        <f t="shared" si="96"/>
        <v>1</v>
      </c>
      <c r="AO1099" s="6" t="str">
        <f t="shared" si="99"/>
        <v>OK</v>
      </c>
      <c r="AQ1099" s="6" t="e">
        <f>MATCH($D1099,'D4 - Provider Council Unsched'!$C$11:$C$234,0)</f>
        <v>#N/A</v>
      </c>
      <c r="AR1099" s="6" t="b">
        <f t="shared" si="97"/>
        <v>1</v>
      </c>
      <c r="AS1099" s="6" t="str">
        <f t="shared" si="104"/>
        <v>OK</v>
      </c>
      <c r="AU1099" s="202"/>
      <c r="AV1099" s="262"/>
      <c r="AW1099" s="274"/>
    </row>
    <row r="1100" spans="1:49" s="13" customFormat="1" ht="33.75" x14ac:dyDescent="0.2">
      <c r="A1100" s="14">
        <v>1076</v>
      </c>
      <c r="B1100" s="14">
        <v>400026691</v>
      </c>
      <c r="C1100" s="8" t="s">
        <v>5197</v>
      </c>
      <c r="D1100" s="4" t="str">
        <f t="shared" si="98"/>
        <v>400026691R1</v>
      </c>
      <c r="E1100" s="309" t="str">
        <f>VLOOKUP($B1100,'D7 - NDB Impacted SPRF''s'!$E$6:$O$9929,2,FALSE)</f>
        <v>Inpatient Transformation Initiative (ITI)</v>
      </c>
      <c r="F1100" s="8" t="s">
        <v>2114</v>
      </c>
      <c r="G1100" s="8" t="s">
        <v>4758</v>
      </c>
      <c r="H1100" s="8" t="s">
        <v>4246</v>
      </c>
      <c r="I1100" s="20">
        <v>1.07</v>
      </c>
      <c r="J1100" s="8" t="s">
        <v>4862</v>
      </c>
      <c r="K1100" s="182">
        <v>39991</v>
      </c>
      <c r="L1100" s="8" t="s">
        <v>5743</v>
      </c>
      <c r="M1100" s="8" t="s">
        <v>4850</v>
      </c>
      <c r="N1100" s="38"/>
      <c r="O1100" s="8" t="s">
        <v>2000</v>
      </c>
      <c r="P1100" s="4" t="str">
        <f>VLOOKUP($B1100,'D7 - NDB Impacted SPRF''s'!$E$16:$O$9929,9,FALSE)</f>
        <v>Y</v>
      </c>
      <c r="Q1100" s="4" t="str">
        <f>VLOOKUP($B1100,'D7 - NDB Impacted SPRF''s'!$E$16:$O$9929,10,FALSE)</f>
        <v>N</v>
      </c>
      <c r="R1100" s="4" t="str">
        <f>VLOOKUP($B1100,'D7 - NDB Impacted SPRF''s'!$E$16:$O$9929,11,FALSE)</f>
        <v>N</v>
      </c>
      <c r="S1100" s="8"/>
      <c r="T1100" s="310"/>
      <c r="U1100" s="310"/>
      <c r="V1100" s="4"/>
      <c r="W1100" s="4"/>
      <c r="X1100" s="4"/>
      <c r="Y1100" s="4"/>
      <c r="Z1100" s="4"/>
      <c r="AA1100" s="4"/>
      <c r="AB1100" s="380" t="str">
        <f>VLOOKUP($B1100,'D7 - NDB Impacted SPRF''s'!$E$16:$O$9929,4,FALSE)</f>
        <v>Completed</v>
      </c>
      <c r="AC1100" s="380" t="str">
        <f>VLOOKUP($B1100,'D7 - NDB Impacted SPRF''s'!$E$16:$O$9929,3,FALSE)</f>
        <v>UnitedHealthcare Employer &amp; Individual</v>
      </c>
      <c r="AD1100" s="380" t="str">
        <f>VLOOKUP($B1100,'D7 - NDB Impacted SPRF''s'!$E$16:$O$9929,5,FALSE)</f>
        <v>Membership Growth / Revenue Programs</v>
      </c>
      <c r="AE1100" s="380" t="str">
        <f>VLOOKUP($B1100,'D7 - NDB Impacted SPRF''s'!$E$16:$O$9929,7,FALSE)</f>
        <v>Ellyn Hosch</v>
      </c>
      <c r="AF1100" s="380" t="str">
        <f>VLOOKUP($B1100,'D7 - NDB Impacted SPRF''s'!$E$16:$O$9929,6,FALSE)</f>
        <v>LOUIS COTOIA</v>
      </c>
      <c r="AG1100" s="282"/>
      <c r="AH1100" s="311" t="e">
        <f>INDEX('D5 - Gatekeeper - Projects'!$A$4:$AF$1010,$AM1100, 17)</f>
        <v>#N/A</v>
      </c>
      <c r="AI1100" s="8"/>
      <c r="AJ1100" s="57"/>
      <c r="AK1100" s="105"/>
      <c r="AM1100" s="6" t="e">
        <f>MATCH(D1100,'D5 - Gatekeeper - Projects'!$C$4:$C$1010,0)</f>
        <v>#N/A</v>
      </c>
      <c r="AN1100" s="6" t="b">
        <f t="shared" si="96"/>
        <v>1</v>
      </c>
      <c r="AO1100" s="6" t="str">
        <f t="shared" si="99"/>
        <v>OK</v>
      </c>
      <c r="AQ1100" s="6" t="e">
        <f>MATCH($D1100,'D4 - Provider Council Unsched'!$C$11:$C$234,0)</f>
        <v>#N/A</v>
      </c>
      <c r="AR1100" s="6" t="b">
        <f t="shared" si="97"/>
        <v>1</v>
      </c>
      <c r="AS1100" s="6" t="str">
        <f t="shared" si="104"/>
        <v>OK</v>
      </c>
      <c r="AU1100" s="202"/>
      <c r="AV1100" s="262"/>
      <c r="AW1100" s="274"/>
    </row>
    <row r="1101" spans="1:49" s="13" customFormat="1" ht="33.75" x14ac:dyDescent="0.2">
      <c r="A1101" s="14">
        <v>1077</v>
      </c>
      <c r="B1101" s="14">
        <v>400026981</v>
      </c>
      <c r="C1101" s="8" t="s">
        <v>5197</v>
      </c>
      <c r="D1101" s="4" t="str">
        <f t="shared" si="98"/>
        <v>400026981R1</v>
      </c>
      <c r="E1101" s="309" t="str">
        <f>VLOOKUP($B1101,'D7 - NDB Impacted SPRF''s'!$E$6:$O$9929,2,FALSE)</f>
        <v>Emptoris feed to NDB for AmeriChoice Providers</v>
      </c>
      <c r="F1101" s="8" t="s">
        <v>2114</v>
      </c>
      <c r="G1101" s="8" t="s">
        <v>4758</v>
      </c>
      <c r="H1101" s="8" t="s">
        <v>4246</v>
      </c>
      <c r="I1101" s="20">
        <v>2.08</v>
      </c>
      <c r="J1101" s="8" t="s">
        <v>4862</v>
      </c>
      <c r="K1101" s="182">
        <v>39991</v>
      </c>
      <c r="L1101" s="8" t="s">
        <v>5743</v>
      </c>
      <c r="M1101" s="8" t="s">
        <v>6688</v>
      </c>
      <c r="N1101" s="38" t="s">
        <v>7420</v>
      </c>
      <c r="O1101" s="8" t="s">
        <v>4599</v>
      </c>
      <c r="P1101" s="4" t="str">
        <f>VLOOKUP($B1101,'D7 - NDB Impacted SPRF''s'!$E$16:$O$9929,9,FALSE)</f>
        <v>N</v>
      </c>
      <c r="Q1101" s="4" t="str">
        <f>VLOOKUP($B1101,'D7 - NDB Impacted SPRF''s'!$E$16:$O$9929,10,FALSE)</f>
        <v>N</v>
      </c>
      <c r="R1101" s="4" t="str">
        <f>VLOOKUP($B1101,'D7 - NDB Impacted SPRF''s'!$E$16:$O$9929,11,FALSE)</f>
        <v>N</v>
      </c>
      <c r="S1101" s="8"/>
      <c r="T1101" s="310"/>
      <c r="U1101" s="310"/>
      <c r="V1101" s="4"/>
      <c r="W1101" s="4"/>
      <c r="X1101" s="4"/>
      <c r="Y1101" s="4"/>
      <c r="Z1101" s="4"/>
      <c r="AA1101" s="4"/>
      <c r="AB1101" s="380" t="str">
        <f>VLOOKUP($B1101,'D7 - NDB Impacted SPRF''s'!$E$16:$O$9929,4,FALSE)</f>
        <v>Completed</v>
      </c>
      <c r="AC1101" s="380" t="str">
        <f>VLOOKUP($B1101,'D7 - NDB Impacted SPRF''s'!$E$16:$O$9929,3,FALSE)</f>
        <v>UnitedHealthcare Community &amp; State</v>
      </c>
      <c r="AD1101" s="380" t="str">
        <f>VLOOKUP($B1101,'D7 - NDB Impacted SPRF''s'!$E$16:$O$9929,5,FALSE)</f>
        <v>AmeriChoice</v>
      </c>
      <c r="AE1101" s="380" t="str">
        <f>VLOOKUP($B1101,'D7 - NDB Impacted SPRF''s'!$E$16:$O$9929,7,FALSE)</f>
        <v>Anne Defusco</v>
      </c>
      <c r="AF1101" s="380" t="str">
        <f>VLOOKUP($B1101,'D7 - NDB Impacted SPRF''s'!$E$16:$O$9929,6,FALSE)</f>
        <v>JAMES HUBEN</v>
      </c>
      <c r="AG1101" s="282"/>
      <c r="AH1101" s="311" t="e">
        <f>INDEX('D5 - Gatekeeper - Projects'!$A$4:$AF$1010,$AM1101, 17)</f>
        <v>#N/A</v>
      </c>
      <c r="AI1101" s="8"/>
      <c r="AJ1101" s="57"/>
      <c r="AK1101" s="105"/>
      <c r="AM1101" s="6" t="e">
        <f>MATCH(D1101,'D5 - Gatekeeper - Projects'!$C$4:$C$1010,0)</f>
        <v>#N/A</v>
      </c>
      <c r="AN1101" s="6" t="b">
        <f t="shared" si="96"/>
        <v>1</v>
      </c>
      <c r="AO1101" s="6" t="str">
        <f t="shared" si="99"/>
        <v>OK</v>
      </c>
      <c r="AQ1101" s="6" t="e">
        <f>MATCH($D1101,'D4 - Provider Council Unsched'!$C$11:$C$234,0)</f>
        <v>#N/A</v>
      </c>
      <c r="AR1101" s="6" t="b">
        <f t="shared" si="97"/>
        <v>1</v>
      </c>
      <c r="AS1101" s="6" t="str">
        <f>IF(AND(H1101="2 - Not Scheduled",AR1101=TRUE,C1101="R1"),"Add","OK")</f>
        <v>OK</v>
      </c>
      <c r="AU1101" s="202"/>
      <c r="AV1101" s="262"/>
      <c r="AW1101" s="274"/>
    </row>
    <row r="1102" spans="1:49" s="13" customFormat="1" ht="33.75" x14ac:dyDescent="0.2">
      <c r="A1102" s="14">
        <v>1078</v>
      </c>
      <c r="B1102" s="14">
        <v>400027214</v>
      </c>
      <c r="C1102" s="8" t="s">
        <v>5197</v>
      </c>
      <c r="D1102" s="4" t="str">
        <f t="shared" si="98"/>
        <v>400027214R1</v>
      </c>
      <c r="E1102" s="309" t="str">
        <f>VLOOKUP($B1102,'D7 - NDB Impacted SPRF''s'!$E$6:$O$9929,2,FALSE)</f>
        <v>Session Header Parity</v>
      </c>
      <c r="F1102" s="8" t="s">
        <v>2114</v>
      </c>
      <c r="G1102" s="8" t="s">
        <v>4758</v>
      </c>
      <c r="H1102" s="8" t="s">
        <v>4246</v>
      </c>
      <c r="I1102" s="20">
        <v>1.07</v>
      </c>
      <c r="J1102" s="8" t="s">
        <v>4862</v>
      </c>
      <c r="K1102" s="182">
        <v>39991</v>
      </c>
      <c r="L1102" s="8" t="s">
        <v>5743</v>
      </c>
      <c r="M1102" s="8" t="s">
        <v>4850</v>
      </c>
      <c r="N1102" s="38"/>
      <c r="O1102" s="8" t="s">
        <v>2000</v>
      </c>
      <c r="P1102" s="4" t="str">
        <f>VLOOKUP($B1102,'D7 - NDB Impacted SPRF''s'!$E$16:$O$9929,9,FALSE)</f>
        <v>N</v>
      </c>
      <c r="Q1102" s="4" t="str">
        <f>VLOOKUP($B1102,'D7 - NDB Impacted SPRF''s'!$E$16:$O$9929,10,FALSE)</f>
        <v>N</v>
      </c>
      <c r="R1102" s="4" t="str">
        <f>VLOOKUP($B1102,'D7 - NDB Impacted SPRF''s'!$E$16:$O$9929,11,FALSE)</f>
        <v>N</v>
      </c>
      <c r="S1102" s="8"/>
      <c r="T1102" s="310"/>
      <c r="U1102" s="310"/>
      <c r="V1102" s="4"/>
      <c r="W1102" s="4"/>
      <c r="X1102" s="4"/>
      <c r="Y1102" s="4"/>
      <c r="Z1102" s="4"/>
      <c r="AA1102" s="4"/>
      <c r="AB1102" s="380" t="str">
        <f>VLOOKUP($B1102,'D7 - NDB Impacted SPRF''s'!$E$16:$O$9929,4,FALSE)</f>
        <v>Completed</v>
      </c>
      <c r="AC1102" s="380" t="str">
        <f>VLOOKUP($B1102,'D7 - NDB Impacted SPRF''s'!$E$16:$O$9929,3,FALSE)</f>
        <v>UnitedHealthcare Employer &amp; Individual</v>
      </c>
      <c r="AD1102" s="380" t="str">
        <f>VLOOKUP($B1102,'D7 - NDB Impacted SPRF''s'!$E$16:$O$9929,5,FALSE)</f>
        <v>Membership Growth / Revenue Programs</v>
      </c>
      <c r="AE1102" s="380" t="str">
        <f>VLOOKUP($B1102,'D7 - NDB Impacted SPRF''s'!$E$16:$O$9929,7,FALSE)</f>
        <v>Ellyn Hosch</v>
      </c>
      <c r="AF1102" s="380" t="str">
        <f>VLOOKUP($B1102,'D7 - NDB Impacted SPRF''s'!$E$16:$O$9929,6,FALSE)</f>
        <v>KRISTYN EIRING</v>
      </c>
      <c r="AG1102" s="282"/>
      <c r="AH1102" s="311" t="e">
        <f>INDEX('D5 - Gatekeeper - Projects'!$A$4:$AF$1010,$AM1102, 17)</f>
        <v>#N/A</v>
      </c>
      <c r="AI1102" s="8"/>
      <c r="AJ1102" s="57"/>
      <c r="AK1102" s="105"/>
      <c r="AM1102" s="6" t="e">
        <f>MATCH(D1102,'D5 - Gatekeeper - Projects'!$C$4:$C$1010,0)</f>
        <v>#N/A</v>
      </c>
      <c r="AN1102" s="6" t="b">
        <f t="shared" si="96"/>
        <v>1</v>
      </c>
      <c r="AO1102" s="6" t="str">
        <f t="shared" si="99"/>
        <v>OK</v>
      </c>
      <c r="AQ1102" s="6" t="e">
        <f>MATCH($D1102,'D4 - Provider Council Unsched'!$C$11:$C$234,0)</f>
        <v>#N/A</v>
      </c>
      <c r="AR1102" s="6" t="b">
        <f t="shared" si="97"/>
        <v>1</v>
      </c>
      <c r="AS1102" s="6" t="str">
        <f>IF(AND(H1102="2 - Not Scheduled",AR1102=TRUE),"Add","OK")</f>
        <v>OK</v>
      </c>
      <c r="AU1102" s="202"/>
      <c r="AV1102" s="262"/>
      <c r="AW1102" s="274"/>
    </row>
    <row r="1103" spans="1:49" s="13" customFormat="1" ht="22.5" x14ac:dyDescent="0.2">
      <c r="A1103" s="14">
        <v>1079</v>
      </c>
      <c r="B1103" s="14">
        <v>400027437</v>
      </c>
      <c r="C1103" s="8" t="s">
        <v>5197</v>
      </c>
      <c r="D1103" s="4" t="str">
        <f t="shared" si="98"/>
        <v>400027437R1</v>
      </c>
      <c r="E1103" s="309" t="str">
        <f>VLOOKUP($B1103,'D7 - NDB Impacted SPRF''s'!$E$6:$O$9929,2,FALSE)</f>
        <v xml:space="preserve">Electronics Payment and 835 Transactions for OHBS </v>
      </c>
      <c r="F1103" s="8" t="s">
        <v>2114</v>
      </c>
      <c r="G1103" s="8" t="s">
        <v>4758</v>
      </c>
      <c r="H1103" s="8" t="s">
        <v>4246</v>
      </c>
      <c r="I1103" s="20">
        <v>12.47</v>
      </c>
      <c r="J1103" s="8" t="s">
        <v>4862</v>
      </c>
      <c r="K1103" s="182">
        <v>39991</v>
      </c>
      <c r="L1103" s="8" t="s">
        <v>5743</v>
      </c>
      <c r="M1103" s="8" t="s">
        <v>2814</v>
      </c>
      <c r="N1103" s="38"/>
      <c r="O1103" s="8" t="s">
        <v>2875</v>
      </c>
      <c r="P1103" s="4" t="str">
        <f>VLOOKUP($B1103,'D7 - NDB Impacted SPRF''s'!$E$16:$O$9929,9,FALSE)</f>
        <v>N</v>
      </c>
      <c r="Q1103" s="4" t="str">
        <f>VLOOKUP($B1103,'D7 - NDB Impacted SPRF''s'!$E$16:$O$9929,10,FALSE)</f>
        <v>N</v>
      </c>
      <c r="R1103" s="4" t="str">
        <f>VLOOKUP($B1103,'D7 - NDB Impacted SPRF''s'!$E$16:$O$9929,11,FALSE)</f>
        <v>N</v>
      </c>
      <c r="S1103" s="8"/>
      <c r="T1103" s="310"/>
      <c r="U1103" s="310"/>
      <c r="V1103" s="4"/>
      <c r="W1103" s="4"/>
      <c r="X1103" s="4"/>
      <c r="Y1103" s="4"/>
      <c r="Z1103" s="4"/>
      <c r="AA1103" s="4"/>
      <c r="AB1103" s="380" t="str">
        <f>VLOOKUP($B1103,'D7 - NDB Impacted SPRF''s'!$E$16:$O$9929,4,FALSE)</f>
        <v>Completed</v>
      </c>
      <c r="AC1103" s="380" t="str">
        <f>VLOOKUP($B1103,'D7 - NDB Impacted SPRF''s'!$E$16:$O$9929,3,FALSE)</f>
        <v>OptumHealth</v>
      </c>
      <c r="AD1103" s="380" t="str">
        <f>VLOOKUP($B1103,'D7 - NDB Impacted SPRF''s'!$E$16:$O$9929,5,FALSE)</f>
        <v>Behavioral Solutions</v>
      </c>
      <c r="AE1103" s="380" t="str">
        <f>VLOOKUP($B1103,'D7 - NDB Impacted SPRF''s'!$E$16:$O$9929,7,FALSE)</f>
        <v>Lloyd Dyer</v>
      </c>
      <c r="AF1103" s="380" t="str">
        <f>VLOOKUP($B1103,'D7 - NDB Impacted SPRF''s'!$E$16:$O$9929,6,FALSE)</f>
        <v>Gangadhar Sulkunte</v>
      </c>
      <c r="AG1103" s="282"/>
      <c r="AH1103" s="311" t="e">
        <f>INDEX('D5 - Gatekeeper - Projects'!$A$4:$AF$1010,$AM1103, 17)</f>
        <v>#N/A</v>
      </c>
      <c r="AI1103" s="8"/>
      <c r="AJ1103" s="57"/>
      <c r="AK1103" s="105"/>
      <c r="AM1103" s="6" t="e">
        <f>MATCH(D1103,'D5 - Gatekeeper - Projects'!$C$4:$C$1010,0)</f>
        <v>#N/A</v>
      </c>
      <c r="AN1103" s="6" t="b">
        <f t="shared" si="96"/>
        <v>1</v>
      </c>
      <c r="AO1103" s="6" t="str">
        <f t="shared" si="99"/>
        <v>OK</v>
      </c>
      <c r="AQ1103" s="6" t="e">
        <f>MATCH($D1103,'D4 - Provider Council Unsched'!$C$11:$C$234,0)</f>
        <v>#N/A</v>
      </c>
      <c r="AR1103" s="6" t="b">
        <f t="shared" si="97"/>
        <v>1</v>
      </c>
      <c r="AS1103" s="6" t="str">
        <f>IF(AND(H1103="2 - Not Scheduled",AR1103=TRUE),"Add","OK")</f>
        <v>OK</v>
      </c>
      <c r="AU1103" s="202"/>
      <c r="AV1103" s="262"/>
      <c r="AW1103" s="274"/>
    </row>
    <row r="1104" spans="1:49" s="13" customFormat="1" x14ac:dyDescent="0.2">
      <c r="A1104" s="14">
        <v>1080</v>
      </c>
      <c r="B1104" s="14">
        <v>400027492</v>
      </c>
      <c r="C1104" s="8" t="s">
        <v>5197</v>
      </c>
      <c r="D1104" s="4" t="str">
        <f t="shared" si="98"/>
        <v>400027492R1</v>
      </c>
      <c r="E1104" s="309" t="str">
        <f>VLOOKUP($B1104,'D7 - NDB Impacted SPRF''s'!$E$6:$O$9929,2,FALSE)</f>
        <v xml:space="preserve">UBH Facets Public Sector Integration </v>
      </c>
      <c r="F1104" s="8" t="s">
        <v>2114</v>
      </c>
      <c r="G1104" s="8" t="s">
        <v>4758</v>
      </c>
      <c r="H1104" s="8" t="s">
        <v>4246</v>
      </c>
      <c r="I1104" s="20">
        <v>1.07</v>
      </c>
      <c r="J1104" s="8" t="s">
        <v>4862</v>
      </c>
      <c r="K1104" s="182">
        <v>39991</v>
      </c>
      <c r="L1104" s="8" t="s">
        <v>4156</v>
      </c>
      <c r="M1104" s="8" t="s">
        <v>4850</v>
      </c>
      <c r="N1104" s="38"/>
      <c r="O1104" s="8"/>
      <c r="P1104" s="4" t="str">
        <f>VLOOKUP($B1104,'D7 - NDB Impacted SPRF''s'!$E$16:$O$9929,9,FALSE)</f>
        <v>N</v>
      </c>
      <c r="Q1104" s="4" t="str">
        <f>VLOOKUP($B1104,'D7 - NDB Impacted SPRF''s'!$E$16:$O$9929,10,FALSE)</f>
        <v>N</v>
      </c>
      <c r="R1104" s="4" t="str">
        <f>VLOOKUP($B1104,'D7 - NDB Impacted SPRF''s'!$E$16:$O$9929,11,FALSE)</f>
        <v>N</v>
      </c>
      <c r="S1104" s="8"/>
      <c r="T1104" s="310"/>
      <c r="U1104" s="310"/>
      <c r="V1104" s="4"/>
      <c r="W1104" s="4"/>
      <c r="X1104" s="4"/>
      <c r="Y1104" s="4"/>
      <c r="Z1104" s="4"/>
      <c r="AA1104" s="4"/>
      <c r="AB1104" s="380" t="str">
        <f>VLOOKUP($B1104,'D7 - NDB Impacted SPRF''s'!$E$16:$O$9929,4,FALSE)</f>
        <v>Completed</v>
      </c>
      <c r="AC1104" s="380" t="str">
        <f>VLOOKUP($B1104,'D7 - NDB Impacted SPRF''s'!$E$16:$O$9929,3,FALSE)</f>
        <v>OptumHealth</v>
      </c>
      <c r="AD1104" s="380" t="str">
        <f>VLOOKUP($B1104,'D7 - NDB Impacted SPRF''s'!$E$16:$O$9929,5,FALSE)</f>
        <v>Behavioral Solutions</v>
      </c>
      <c r="AE1104" s="380" t="str">
        <f>VLOOKUP($B1104,'D7 - NDB Impacted SPRF''s'!$E$16:$O$9929,7,FALSE)</f>
        <v>Craig Herman</v>
      </c>
      <c r="AF1104" s="380" t="str">
        <f>VLOOKUP($B1104,'D7 - NDB Impacted SPRF''s'!$E$16:$O$9929,6,FALSE)</f>
        <v>Teresa Melchior</v>
      </c>
      <c r="AG1104" s="282"/>
      <c r="AH1104" s="311" t="e">
        <f>INDEX('D5 - Gatekeeper - Projects'!$A$4:$AF$1010,$AM1104, 17)</f>
        <v>#N/A</v>
      </c>
      <c r="AI1104" s="8"/>
      <c r="AJ1104" s="57"/>
      <c r="AK1104" s="105"/>
      <c r="AM1104" s="6" t="e">
        <f>MATCH(D1104,'D5 - Gatekeeper - Projects'!$C$4:$C$1010,0)</f>
        <v>#N/A</v>
      </c>
      <c r="AN1104" s="6" t="b">
        <f t="shared" si="96"/>
        <v>1</v>
      </c>
      <c r="AO1104" s="6" t="str">
        <f t="shared" si="99"/>
        <v>OK</v>
      </c>
      <c r="AQ1104" s="6" t="e">
        <f>MATCH($D1104,'D4 - Provider Council Unsched'!$C$11:$C$234,0)</f>
        <v>#N/A</v>
      </c>
      <c r="AR1104" s="6" t="b">
        <f t="shared" si="97"/>
        <v>1</v>
      </c>
      <c r="AS1104" s="6" t="str">
        <f>IF(AND(H1104="2 - Not Scheduled",AR1104=TRUE,C1104="R1"),"Add","OK")</f>
        <v>OK</v>
      </c>
      <c r="AU1104" s="202"/>
      <c r="AV1104" s="262"/>
      <c r="AW1104" s="274"/>
    </row>
    <row r="1105" spans="1:49" s="13" customFormat="1" ht="33.75" x14ac:dyDescent="0.2">
      <c r="A1105" s="14">
        <v>1081</v>
      </c>
      <c r="B1105" s="14">
        <v>400027694</v>
      </c>
      <c r="C1105" s="8" t="s">
        <v>5197</v>
      </c>
      <c r="D1105" s="4" t="str">
        <f t="shared" si="98"/>
        <v>400027694R1</v>
      </c>
      <c r="E1105" s="309" t="str">
        <f>VLOOKUP($B1105,'D7 - NDB Impacted SPRF''s'!$E$6:$O$9929,2,FALSE)</f>
        <v>HPHC NetMatch Enhancements to support product mix</v>
      </c>
      <c r="F1105" s="8" t="s">
        <v>3441</v>
      </c>
      <c r="G1105" s="8" t="s">
        <v>4758</v>
      </c>
      <c r="H1105" s="8" t="s">
        <v>4246</v>
      </c>
      <c r="I1105" s="20">
        <v>1.07</v>
      </c>
      <c r="J1105" s="8" t="s">
        <v>4862</v>
      </c>
      <c r="K1105" s="182">
        <v>39991</v>
      </c>
      <c r="L1105" s="8" t="s">
        <v>5743</v>
      </c>
      <c r="M1105" s="8" t="s">
        <v>5626</v>
      </c>
      <c r="N1105" s="38"/>
      <c r="O1105" s="8" t="s">
        <v>2000</v>
      </c>
      <c r="P1105" s="4" t="str">
        <f>VLOOKUP($B1105,'D7 - NDB Impacted SPRF''s'!$E$16:$O$9929,9,FALSE)</f>
        <v>N</v>
      </c>
      <c r="Q1105" s="4" t="str">
        <f>VLOOKUP($B1105,'D7 - NDB Impacted SPRF''s'!$E$16:$O$9929,10,FALSE)</f>
        <v>N</v>
      </c>
      <c r="R1105" s="4" t="str">
        <f>VLOOKUP($B1105,'D7 - NDB Impacted SPRF''s'!$E$16:$O$9929,11,FALSE)</f>
        <v>N</v>
      </c>
      <c r="S1105" s="8"/>
      <c r="T1105" s="310"/>
      <c r="U1105" s="310"/>
      <c r="V1105" s="4"/>
      <c r="W1105" s="4"/>
      <c r="X1105" s="4"/>
      <c r="Y1105" s="4"/>
      <c r="Z1105" s="4"/>
      <c r="AA1105" s="4"/>
      <c r="AB1105" s="380" t="str">
        <f>VLOOKUP($B1105,'D7 - NDB Impacted SPRF''s'!$E$16:$O$9929,4,FALSE)</f>
        <v>Completed</v>
      </c>
      <c r="AC1105" s="380" t="str">
        <f>VLOOKUP($B1105,'D7 - NDB Impacted SPRF''s'!$E$16:$O$9929,3,FALSE)</f>
        <v>UnitedHealthcare Employer &amp; Individual</v>
      </c>
      <c r="AD1105" s="380" t="str">
        <f>VLOOKUP($B1105,'D7 - NDB Impacted SPRF''s'!$E$16:$O$9929,5,FALSE)</f>
        <v>HCA - HPHC Operational Support</v>
      </c>
      <c r="AE1105" s="380" t="str">
        <f>VLOOKUP($B1105,'D7 - NDB Impacted SPRF''s'!$E$16:$O$9929,7,FALSE)</f>
        <v>Susan Tonkin</v>
      </c>
      <c r="AF1105" s="380" t="str">
        <f>VLOOKUP($B1105,'D7 - NDB Impacted SPRF''s'!$E$16:$O$9929,6,FALSE)</f>
        <v>Ryan Anderson</v>
      </c>
      <c r="AG1105" s="282"/>
      <c r="AH1105" s="311" t="e">
        <f>INDEX('D5 - Gatekeeper - Projects'!$A$4:$AF$1010,$AM1105, 17)</f>
        <v>#N/A</v>
      </c>
      <c r="AI1105" s="8"/>
      <c r="AJ1105" s="57"/>
      <c r="AK1105" s="105"/>
      <c r="AM1105" s="6" t="e">
        <f>MATCH(D1105,'D5 - Gatekeeper - Projects'!$C$4:$C$1010,0)</f>
        <v>#N/A</v>
      </c>
      <c r="AN1105" s="6" t="b">
        <f t="shared" ref="AN1105:AN1168" si="105">ISERROR(AM1105)</f>
        <v>1</v>
      </c>
      <c r="AO1105" s="6" t="str">
        <f t="shared" si="99"/>
        <v>OK</v>
      </c>
      <c r="AQ1105" s="6" t="e">
        <f>MATCH($D1105,'D4 - Provider Council Unsched'!$C$11:$C$234,0)</f>
        <v>#N/A</v>
      </c>
      <c r="AR1105" s="6" t="b">
        <f t="shared" ref="AR1105:AR1168" si="106">ISERROR(AQ1105)</f>
        <v>1</v>
      </c>
      <c r="AS1105" s="6" t="str">
        <f>IF(AND(H1105="2 - Not Scheduled",AR1105=TRUE,C1105="R1"),"Add","OK")</f>
        <v>OK</v>
      </c>
      <c r="AU1105" s="202"/>
      <c r="AV1105" s="262"/>
      <c r="AW1105" s="274"/>
    </row>
    <row r="1106" spans="1:49" s="13" customFormat="1" ht="33.75" x14ac:dyDescent="0.2">
      <c r="A1106" s="14">
        <v>1082</v>
      </c>
      <c r="B1106" s="14">
        <v>400027911</v>
      </c>
      <c r="C1106" s="8" t="s">
        <v>5197</v>
      </c>
      <c r="D1106" s="4" t="str">
        <f t="shared" ref="D1106:D1116" si="107">CONCATENATE(B1106,C1106)</f>
        <v>400027911R1</v>
      </c>
      <c r="E1106" s="309" t="str">
        <f>VLOOKUP($B1106,'D7 - NDB Impacted SPRF''s'!$E$6:$O$9929,2,FALSE)</f>
        <v>Clinical Integration Framework</v>
      </c>
      <c r="F1106" s="8" t="s">
        <v>2114</v>
      </c>
      <c r="G1106" s="8" t="s">
        <v>4758</v>
      </c>
      <c r="H1106" s="8" t="s">
        <v>4246</v>
      </c>
      <c r="I1106" s="20">
        <v>3.33</v>
      </c>
      <c r="J1106" s="8" t="s">
        <v>4862</v>
      </c>
      <c r="K1106" s="182">
        <v>39991</v>
      </c>
      <c r="L1106" s="8" t="s">
        <v>5743</v>
      </c>
      <c r="M1106" s="8" t="s">
        <v>6688</v>
      </c>
      <c r="N1106" s="38"/>
      <c r="O1106" s="8" t="s">
        <v>7086</v>
      </c>
      <c r="P1106" s="4" t="str">
        <f>VLOOKUP($B1106,'D7 - NDB Impacted SPRF''s'!$E$16:$O$9929,9,FALSE)</f>
        <v>N</v>
      </c>
      <c r="Q1106" s="4" t="str">
        <f>VLOOKUP($B1106,'D7 - NDB Impacted SPRF''s'!$E$16:$O$9929,10,FALSE)</f>
        <v>N</v>
      </c>
      <c r="R1106" s="4" t="str">
        <f>VLOOKUP($B1106,'D7 - NDB Impacted SPRF''s'!$E$16:$O$9929,11,FALSE)</f>
        <v>N</v>
      </c>
      <c r="S1106" s="8"/>
      <c r="T1106" s="310"/>
      <c r="U1106" s="310"/>
      <c r="V1106" s="4"/>
      <c r="W1106" s="4"/>
      <c r="X1106" s="4"/>
      <c r="Y1106" s="4"/>
      <c r="Z1106" s="4"/>
      <c r="AA1106" s="4"/>
      <c r="AB1106" s="380" t="str">
        <f>VLOOKUP($B1106,'D7 - NDB Impacted SPRF''s'!$E$16:$O$9929,4,FALSE)</f>
        <v>Completed</v>
      </c>
      <c r="AC1106" s="380" t="str">
        <f>VLOOKUP($B1106,'D7 - NDB Impacted SPRF''s'!$E$16:$O$9929,3,FALSE)</f>
        <v>UnitedHealthcare Medicare &amp; Retirement</v>
      </c>
      <c r="AD1106" s="380" t="str">
        <f>VLOOKUP($B1106,'D7 - NDB Impacted SPRF''s'!$E$16:$O$9929,5,FALSE)</f>
        <v>Enterprise Clinical</v>
      </c>
      <c r="AE1106" s="380" t="str">
        <f>VLOOKUP($B1106,'D7 - NDB Impacted SPRF''s'!$E$16:$O$9929,7,FALSE)</f>
        <v>Cindi Middaugh</v>
      </c>
      <c r="AF1106" s="380" t="str">
        <f>VLOOKUP($B1106,'D7 - NDB Impacted SPRF''s'!$E$16:$O$9929,6,FALSE)</f>
        <v>Robert Hoerl</v>
      </c>
      <c r="AG1106" s="282"/>
      <c r="AH1106" s="311" t="e">
        <f>INDEX('D5 - Gatekeeper - Projects'!$A$4:$AF$1010,$AM1106, 17)</f>
        <v>#N/A</v>
      </c>
      <c r="AI1106" s="8"/>
      <c r="AJ1106" s="57"/>
      <c r="AK1106" s="105"/>
      <c r="AM1106" s="6" t="e">
        <f>MATCH(D1106,'D5 - Gatekeeper - Projects'!$C$4:$C$1010,0)</f>
        <v>#N/A</v>
      </c>
      <c r="AN1106" s="6" t="b">
        <f t="shared" si="105"/>
        <v>1</v>
      </c>
      <c r="AO1106" s="6" t="str">
        <f t="shared" ref="AO1106:AO1169" si="108">IF(AND(H1106="1 - Scheduled",AN1106=TRUE),"Add","OK")</f>
        <v>OK</v>
      </c>
      <c r="AQ1106" s="6" t="e">
        <f>MATCH($D1106,'D4 - Provider Council Unsched'!$C$11:$C$234,0)</f>
        <v>#N/A</v>
      </c>
      <c r="AR1106" s="6" t="b">
        <f t="shared" si="106"/>
        <v>1</v>
      </c>
      <c r="AS1106" s="6" t="str">
        <f>IF(AND(H1106="2 - Not Scheduled",AR1106=TRUE,C1106="R1"),"Add","OK")</f>
        <v>OK</v>
      </c>
      <c r="AU1106" s="202"/>
      <c r="AV1106" s="262"/>
      <c r="AW1106" s="274"/>
    </row>
    <row r="1107" spans="1:49" s="13" customFormat="1" ht="33.75" x14ac:dyDescent="0.2">
      <c r="A1107" s="14">
        <v>1083</v>
      </c>
      <c r="B1107" s="14">
        <v>400028439</v>
      </c>
      <c r="C1107" s="8" t="s">
        <v>5197</v>
      </c>
      <c r="D1107" s="4" t="str">
        <f t="shared" si="107"/>
        <v>400028439R1</v>
      </c>
      <c r="E1107" s="309" t="str">
        <f>VLOOKUP($B1107,'D7 - NDB Impacted SPRF''s'!$E$6:$O$9929,2,FALSE)</f>
        <v>DDS Select Criteria for NDB feed to DDS</v>
      </c>
      <c r="F1107" s="8" t="s">
        <v>5196</v>
      </c>
      <c r="G1107" s="8" t="s">
        <v>4758</v>
      </c>
      <c r="H1107" s="8" t="s">
        <v>4246</v>
      </c>
      <c r="I1107" s="20">
        <v>1.07</v>
      </c>
      <c r="J1107" s="8" t="s">
        <v>4862</v>
      </c>
      <c r="K1107" s="182">
        <v>39991</v>
      </c>
      <c r="L1107" s="8" t="s">
        <v>5743</v>
      </c>
      <c r="M1107" s="8" t="s">
        <v>6007</v>
      </c>
      <c r="N1107" s="38"/>
      <c r="O1107" s="8" t="s">
        <v>3572</v>
      </c>
      <c r="P1107" s="4" t="str">
        <f>VLOOKUP($B1107,'D7 - NDB Impacted SPRF''s'!$E$16:$O$9929,9,FALSE)</f>
        <v>N</v>
      </c>
      <c r="Q1107" s="4" t="str">
        <f>VLOOKUP($B1107,'D7 - NDB Impacted SPRF''s'!$E$16:$O$9929,10,FALSE)</f>
        <v>N</v>
      </c>
      <c r="R1107" s="4" t="str">
        <f>VLOOKUP($B1107,'D7 - NDB Impacted SPRF''s'!$E$16:$O$9929,11,FALSE)</f>
        <v>N</v>
      </c>
      <c r="S1107" s="8"/>
      <c r="T1107" s="310"/>
      <c r="U1107" s="310"/>
      <c r="V1107" s="4"/>
      <c r="W1107" s="4"/>
      <c r="X1107" s="4"/>
      <c r="Y1107" s="4"/>
      <c r="Z1107" s="4"/>
      <c r="AA1107" s="4"/>
      <c r="AB1107" s="380" t="str">
        <f>VLOOKUP($B1107,'D7 - NDB Impacted SPRF''s'!$E$16:$O$9929,4,FALSE)</f>
        <v>Completed</v>
      </c>
      <c r="AC1107" s="380" t="str">
        <f>VLOOKUP($B1107,'D7 - NDB Impacted SPRF''s'!$E$16:$O$9929,3,FALSE)</f>
        <v>UnitedHealthcare Employer &amp; Individual</v>
      </c>
      <c r="AD1107" s="380" t="str">
        <f>VLOOKUP($B1107,'D7 - NDB Impacted SPRF''s'!$E$16:$O$9929,5,FALSE)</f>
        <v>HCA - Medica Operational Support</v>
      </c>
      <c r="AE1107" s="380" t="str">
        <f>VLOOKUP($B1107,'D7 - NDB Impacted SPRF''s'!$E$16:$O$9929,7,FALSE)</f>
        <v>Kevin Kantola</v>
      </c>
      <c r="AF1107" s="380" t="str">
        <f>VLOOKUP($B1107,'D7 - NDB Impacted SPRF''s'!$E$16:$O$9929,6,FALSE)</f>
        <v>MONIQUE WERNER</v>
      </c>
      <c r="AG1107" s="282"/>
      <c r="AH1107" s="311" t="e">
        <f>INDEX('D5 - Gatekeeper - Projects'!$A$4:$AF$1010,$AM1107, 17)</f>
        <v>#N/A</v>
      </c>
      <c r="AI1107" s="8"/>
      <c r="AJ1107" s="57"/>
      <c r="AK1107" s="105"/>
      <c r="AM1107" s="6" t="e">
        <f>MATCH(D1107,'D5 - Gatekeeper - Projects'!$C$4:$C$1010,0)</f>
        <v>#N/A</v>
      </c>
      <c r="AN1107" s="6" t="b">
        <f t="shared" si="105"/>
        <v>1</v>
      </c>
      <c r="AO1107" s="6" t="str">
        <f t="shared" si="108"/>
        <v>OK</v>
      </c>
      <c r="AQ1107" s="6" t="e">
        <f>MATCH($D1107,'D4 - Provider Council Unsched'!$C$11:$C$234,0)</f>
        <v>#N/A</v>
      </c>
      <c r="AR1107" s="6" t="b">
        <f t="shared" si="106"/>
        <v>1</v>
      </c>
      <c r="AS1107" s="6" t="str">
        <f>IF(AND(H1107="2 - Not Scheduled",AR1107=TRUE),"Add","OK")</f>
        <v>OK</v>
      </c>
      <c r="AU1107" s="202"/>
      <c r="AV1107" s="262"/>
      <c r="AW1107" s="274"/>
    </row>
    <row r="1108" spans="1:49" s="13" customFormat="1" ht="45" x14ac:dyDescent="0.2">
      <c r="A1108" s="14">
        <v>1084</v>
      </c>
      <c r="B1108" s="14">
        <v>400028642</v>
      </c>
      <c r="C1108" s="8" t="s">
        <v>5197</v>
      </c>
      <c r="D1108" s="4" t="str">
        <f t="shared" si="107"/>
        <v>400028642R1</v>
      </c>
      <c r="E1108" s="309" t="str">
        <f>VLOOKUP($B1108,'D7 - NDB Impacted SPRF''s'!$E$6:$O$9929,2,FALSE)</f>
        <v>PDR - Provider Pick Enhancements (Initiate)</v>
      </c>
      <c r="F1108" s="8" t="s">
        <v>5595</v>
      </c>
      <c r="G1108" s="8" t="s">
        <v>4758</v>
      </c>
      <c r="H1108" s="8" t="s">
        <v>4246</v>
      </c>
      <c r="I1108" s="20">
        <v>24.29</v>
      </c>
      <c r="J1108" s="8" t="s">
        <v>4862</v>
      </c>
      <c r="K1108" s="182">
        <v>39991</v>
      </c>
      <c r="L1108" s="8" t="s">
        <v>5743</v>
      </c>
      <c r="M1108" s="8" t="s">
        <v>2814</v>
      </c>
      <c r="N1108" s="38"/>
      <c r="O1108" s="8" t="s">
        <v>2547</v>
      </c>
      <c r="P1108" s="4" t="str">
        <f>VLOOKUP($B1108,'D7 - NDB Impacted SPRF''s'!$E$16:$O$9929,9,FALSE)</f>
        <v>Y</v>
      </c>
      <c r="Q1108" s="4" t="str">
        <f>VLOOKUP($B1108,'D7 - NDB Impacted SPRF''s'!$E$16:$O$9929,10,FALSE)</f>
        <v>N</v>
      </c>
      <c r="R1108" s="4" t="str">
        <f>VLOOKUP($B1108,'D7 - NDB Impacted SPRF''s'!$E$16:$O$9929,11,FALSE)</f>
        <v>N</v>
      </c>
      <c r="S1108" s="8"/>
      <c r="T1108" s="310"/>
      <c r="U1108" s="310"/>
      <c r="V1108" s="4"/>
      <c r="W1108" s="4"/>
      <c r="X1108" s="4"/>
      <c r="Y1108" s="4"/>
      <c r="Z1108" s="4"/>
      <c r="AA1108" s="4"/>
      <c r="AB1108" s="380" t="str">
        <f>VLOOKUP($B1108,'D7 - NDB Impacted SPRF''s'!$E$16:$O$9929,4,FALSE)</f>
        <v>Completed</v>
      </c>
      <c r="AC1108" s="380" t="str">
        <f>VLOOKUP($B1108,'D7 - NDB Impacted SPRF''s'!$E$16:$O$9929,3,FALSE)</f>
        <v>UHG IT - Enterprise Technology Services</v>
      </c>
      <c r="AD1108" s="380" t="str">
        <f>VLOOKUP($B1108,'D7 - NDB Impacted SPRF''s'!$E$16:$O$9929,5,FALSE)</f>
        <v>Strategic Initiatives</v>
      </c>
      <c r="AE1108" s="380" t="str">
        <f>VLOOKUP($B1108,'D7 - NDB Impacted SPRF''s'!$E$16:$O$9929,7,FALSE)</f>
        <v>Dave Wichmann</v>
      </c>
      <c r="AF1108" s="380" t="str">
        <f>VLOOKUP($B1108,'D7 - NDB Impacted SPRF''s'!$E$16:$O$9929,6,FALSE)</f>
        <v>Nicole Cartwright</v>
      </c>
      <c r="AG1108" s="282"/>
      <c r="AH1108" s="311" t="e">
        <f>INDEX('D5 - Gatekeeper - Projects'!$A$4:$AF$1010,$AM1108, 17)</f>
        <v>#N/A</v>
      </c>
      <c r="AI1108" s="8"/>
      <c r="AJ1108" s="57"/>
      <c r="AK1108" s="105"/>
      <c r="AM1108" s="6" t="e">
        <f>MATCH(D1108,'D5 - Gatekeeper - Projects'!$C$4:$C$1010,0)</f>
        <v>#N/A</v>
      </c>
      <c r="AN1108" s="6" t="b">
        <f t="shared" si="105"/>
        <v>1</v>
      </c>
      <c r="AO1108" s="6" t="str">
        <f t="shared" si="108"/>
        <v>OK</v>
      </c>
      <c r="AQ1108" s="6" t="e">
        <f>MATCH($D1108,'D4 - Provider Council Unsched'!$C$11:$C$234,0)</f>
        <v>#N/A</v>
      </c>
      <c r="AR1108" s="6" t="b">
        <f t="shared" si="106"/>
        <v>1</v>
      </c>
      <c r="AS1108" s="6" t="str">
        <f>IF(AND(H1108="2 - Not Scheduled",AR1108=TRUE),"Add","OK")</f>
        <v>OK</v>
      </c>
      <c r="AU1108" s="202"/>
      <c r="AV1108" s="262"/>
      <c r="AW1108" s="274"/>
    </row>
    <row r="1109" spans="1:49" s="13" customFormat="1" ht="45" x14ac:dyDescent="0.2">
      <c r="A1109" s="14">
        <v>1085</v>
      </c>
      <c r="B1109" s="14">
        <v>400028642</v>
      </c>
      <c r="C1109" s="8" t="s">
        <v>1992</v>
      </c>
      <c r="D1109" s="4" t="str">
        <f t="shared" si="107"/>
        <v>400028642U1</v>
      </c>
      <c r="E1109" s="309" t="str">
        <f>VLOOKUP($B1109,'D7 - NDB Impacted SPRF''s'!$E$6:$O$9929,2,FALSE)</f>
        <v>PDR - Provider Pick Enhancements (Initiate)</v>
      </c>
      <c r="F1109" s="8" t="s">
        <v>5595</v>
      </c>
      <c r="G1109" s="8" t="s">
        <v>4758</v>
      </c>
      <c r="H1109" s="8" t="s">
        <v>4246</v>
      </c>
      <c r="I1109" s="20">
        <v>2</v>
      </c>
      <c r="J1109" s="8" t="s">
        <v>4862</v>
      </c>
      <c r="K1109" s="182">
        <v>39991</v>
      </c>
      <c r="L1109" s="8" t="s">
        <v>5743</v>
      </c>
      <c r="M1109" s="8" t="s">
        <v>2814</v>
      </c>
      <c r="N1109" s="38"/>
      <c r="O1109" s="8" t="s">
        <v>2547</v>
      </c>
      <c r="P1109" s="4" t="str">
        <f>VLOOKUP($B1109,'D7 - NDB Impacted SPRF''s'!$E$16:$O$9929,9,FALSE)</f>
        <v>Y</v>
      </c>
      <c r="Q1109" s="4" t="str">
        <f>VLOOKUP($B1109,'D7 - NDB Impacted SPRF''s'!$E$16:$O$9929,10,FALSE)</f>
        <v>N</v>
      </c>
      <c r="R1109" s="4" t="str">
        <f>VLOOKUP($B1109,'D7 - NDB Impacted SPRF''s'!$E$16:$O$9929,11,FALSE)</f>
        <v>N</v>
      </c>
      <c r="S1109" s="8"/>
      <c r="T1109" s="310"/>
      <c r="U1109" s="310"/>
      <c r="V1109" s="4"/>
      <c r="W1109" s="4"/>
      <c r="X1109" s="4"/>
      <c r="Y1109" s="4"/>
      <c r="Z1109" s="4"/>
      <c r="AA1109" s="4"/>
      <c r="AB1109" s="380" t="str">
        <f>VLOOKUP($B1109,'D7 - NDB Impacted SPRF''s'!$E$16:$O$9929,4,FALSE)</f>
        <v>Completed</v>
      </c>
      <c r="AC1109" s="380" t="str">
        <f>VLOOKUP($B1109,'D7 - NDB Impacted SPRF''s'!$E$16:$O$9929,3,FALSE)</f>
        <v>UHG IT - Enterprise Technology Services</v>
      </c>
      <c r="AD1109" s="380" t="str">
        <f>VLOOKUP($B1109,'D7 - NDB Impacted SPRF''s'!$E$16:$O$9929,5,FALSE)</f>
        <v>Strategic Initiatives</v>
      </c>
      <c r="AE1109" s="380" t="str">
        <f>VLOOKUP($B1109,'D7 - NDB Impacted SPRF''s'!$E$16:$O$9929,7,FALSE)</f>
        <v>Dave Wichmann</v>
      </c>
      <c r="AF1109" s="380" t="str">
        <f>VLOOKUP($B1109,'D7 - NDB Impacted SPRF''s'!$E$16:$O$9929,6,FALSE)</f>
        <v>Nicole Cartwright</v>
      </c>
      <c r="AG1109" s="282"/>
      <c r="AH1109" s="311" t="e">
        <f>INDEX('D5 - Gatekeeper - Projects'!$A$4:$AF$1010,$AM1109, 17)</f>
        <v>#N/A</v>
      </c>
      <c r="AI1109" s="8"/>
      <c r="AJ1109" s="57"/>
      <c r="AK1109" s="105"/>
      <c r="AM1109" s="6" t="e">
        <f>MATCH(D1109,'D5 - Gatekeeper - Projects'!$C$4:$C$1010,0)</f>
        <v>#N/A</v>
      </c>
      <c r="AN1109" s="6" t="b">
        <f t="shared" si="105"/>
        <v>1</v>
      </c>
      <c r="AO1109" s="6" t="str">
        <f t="shared" si="108"/>
        <v>OK</v>
      </c>
      <c r="AQ1109" s="6" t="e">
        <f>MATCH($D1109,'D4 - Provider Council Unsched'!$C$11:$C$234,0)</f>
        <v>#N/A</v>
      </c>
      <c r="AR1109" s="6" t="b">
        <f t="shared" si="106"/>
        <v>1</v>
      </c>
      <c r="AS1109" s="6" t="str">
        <f>IF(AND(H1109="2 - Not Scheduled",AR1109=TRUE,C1109="R1"),"Add","OK")</f>
        <v>OK</v>
      </c>
      <c r="AU1109" s="202"/>
      <c r="AV1109" s="262"/>
      <c r="AW1109" s="274"/>
    </row>
    <row r="1110" spans="1:49" s="13" customFormat="1" ht="45" x14ac:dyDescent="0.2">
      <c r="A1110" s="14">
        <v>1086</v>
      </c>
      <c r="B1110" s="14">
        <v>400028780</v>
      </c>
      <c r="C1110" s="8" t="s">
        <v>5197</v>
      </c>
      <c r="D1110" s="4" t="str">
        <f t="shared" si="107"/>
        <v>400028780R1</v>
      </c>
      <c r="E1110" s="309" t="str">
        <f>VLOOKUP($B1110,'D7 - NDB Impacted SPRF''s'!$E$6:$O$9929,2,FALSE)</f>
        <v>Create COSMOS Batch for NDB in A, B, C, &amp; Master</v>
      </c>
      <c r="F1110" s="8" t="s">
        <v>8133</v>
      </c>
      <c r="G1110" s="8" t="s">
        <v>4758</v>
      </c>
      <c r="H1110" s="8" t="s">
        <v>4246</v>
      </c>
      <c r="I1110" s="20">
        <v>10.55</v>
      </c>
      <c r="J1110" s="8" t="s">
        <v>4862</v>
      </c>
      <c r="K1110" s="182">
        <v>39991</v>
      </c>
      <c r="L1110" s="8" t="s">
        <v>5743</v>
      </c>
      <c r="M1110" s="8" t="s">
        <v>4450</v>
      </c>
      <c r="N1110" s="38"/>
      <c r="O1110" s="8" t="s">
        <v>4599</v>
      </c>
      <c r="P1110" s="4" t="str">
        <f>VLOOKUP($B1110,'D7 - NDB Impacted SPRF''s'!$E$16:$O$9929,9,FALSE)</f>
        <v>N</v>
      </c>
      <c r="Q1110" s="4" t="str">
        <f>VLOOKUP($B1110,'D7 - NDB Impacted SPRF''s'!$E$16:$O$9929,10,FALSE)</f>
        <v>N</v>
      </c>
      <c r="R1110" s="4" t="str">
        <f>VLOOKUP($B1110,'D7 - NDB Impacted SPRF''s'!$E$16:$O$9929,11,FALSE)</f>
        <v>N</v>
      </c>
      <c r="S1110" s="8"/>
      <c r="T1110" s="310"/>
      <c r="U1110" s="310"/>
      <c r="V1110" s="4"/>
      <c r="W1110" s="4"/>
      <c r="X1110" s="4"/>
      <c r="Y1110" s="4"/>
      <c r="Z1110" s="4"/>
      <c r="AA1110" s="4"/>
      <c r="AB1110" s="380" t="str">
        <f>VLOOKUP($B1110,'D7 - NDB Impacted SPRF''s'!$E$16:$O$9929,4,FALSE)</f>
        <v>Completed</v>
      </c>
      <c r="AC1110" s="380" t="str">
        <f>VLOOKUP($B1110,'D7 - NDB Impacted SPRF''s'!$E$16:$O$9929,3,FALSE)</f>
        <v>UHG IT - Enterprise Technology Services</v>
      </c>
      <c r="AD1110" s="380" t="str">
        <f>VLOOKUP($B1110,'D7 - NDB Impacted SPRF''s'!$E$16:$O$9929,5,FALSE)</f>
        <v>ASG</v>
      </c>
      <c r="AE1110" s="380" t="str">
        <f>VLOOKUP($B1110,'D7 - NDB Impacted SPRF''s'!$E$16:$O$9929,7,FALSE)</f>
        <v>Bob Preston</v>
      </c>
      <c r="AF1110" s="380" t="str">
        <f>VLOOKUP($B1110,'D7 - NDB Impacted SPRF''s'!$E$16:$O$9929,6,FALSE)</f>
        <v>EDWARD SIWICKI</v>
      </c>
      <c r="AG1110" s="282"/>
      <c r="AH1110" s="311" t="e">
        <f>INDEX('D5 - Gatekeeper - Projects'!$A$4:$AF$1010,$AM1110, 17)</f>
        <v>#N/A</v>
      </c>
      <c r="AI1110" s="8"/>
      <c r="AJ1110" s="57"/>
      <c r="AK1110" s="105"/>
      <c r="AM1110" s="6" t="e">
        <f>MATCH(D1110,'D5 - Gatekeeper - Projects'!$C$4:$C$1010,0)</f>
        <v>#N/A</v>
      </c>
      <c r="AN1110" s="6" t="b">
        <f t="shared" si="105"/>
        <v>1</v>
      </c>
      <c r="AO1110" s="6" t="str">
        <f t="shared" si="108"/>
        <v>OK</v>
      </c>
      <c r="AQ1110" s="6" t="e">
        <f>MATCH($D1110,'D4 - Provider Council Unsched'!$C$11:$C$234,0)</f>
        <v>#N/A</v>
      </c>
      <c r="AR1110" s="6" t="b">
        <f t="shared" si="106"/>
        <v>1</v>
      </c>
      <c r="AS1110" s="6" t="str">
        <f t="shared" ref="AS1110:AS1118" si="109">IF(AND(H1110="2 - Not Scheduled",AR1110=TRUE),"Add","OK")</f>
        <v>OK</v>
      </c>
      <c r="AU1110" s="202"/>
      <c r="AV1110" s="262"/>
      <c r="AW1110" s="274"/>
    </row>
    <row r="1111" spans="1:49" s="13" customFormat="1" ht="33.75" x14ac:dyDescent="0.2">
      <c r="A1111" s="14">
        <v>1087</v>
      </c>
      <c r="B1111" s="14">
        <v>400028831</v>
      </c>
      <c r="C1111" s="8" t="s">
        <v>5197</v>
      </c>
      <c r="D1111" s="4" t="str">
        <f t="shared" si="107"/>
        <v>400028831R1</v>
      </c>
      <c r="E1111" s="309" t="str">
        <f>VLOOKUP($B1111,'D7 - NDB Impacted SPRF''s'!$E$6:$O$9929,2,FALSE)</f>
        <v>URV Non-Par Pricing for Legacy Platforms</v>
      </c>
      <c r="F1111" s="8" t="s">
        <v>7652</v>
      </c>
      <c r="G1111" s="8" t="s">
        <v>4758</v>
      </c>
      <c r="H1111" s="8" t="s">
        <v>4246</v>
      </c>
      <c r="I1111" s="20">
        <v>1.07</v>
      </c>
      <c r="J1111" s="8" t="s">
        <v>4862</v>
      </c>
      <c r="K1111" s="182">
        <v>39991</v>
      </c>
      <c r="L1111" s="8" t="s">
        <v>5743</v>
      </c>
      <c r="M1111" s="8" t="s">
        <v>5626</v>
      </c>
      <c r="N1111" s="38" t="s">
        <v>7420</v>
      </c>
      <c r="O1111" s="8" t="s">
        <v>2000</v>
      </c>
      <c r="P1111" s="4" t="str">
        <f>VLOOKUP($B1111,'D7 - NDB Impacted SPRF''s'!$E$16:$O$9929,9,FALSE)</f>
        <v>N</v>
      </c>
      <c r="Q1111" s="4" t="str">
        <f>VLOOKUP($B1111,'D7 - NDB Impacted SPRF''s'!$E$16:$O$9929,10,FALSE)</f>
        <v>N</v>
      </c>
      <c r="R1111" s="4" t="str">
        <f>VLOOKUP($B1111,'D7 - NDB Impacted SPRF''s'!$E$16:$O$9929,11,FALSE)</f>
        <v>N</v>
      </c>
      <c r="S1111" s="8"/>
      <c r="T1111" s="310"/>
      <c r="U1111" s="310"/>
      <c r="V1111" s="4"/>
      <c r="W1111" s="4"/>
      <c r="X1111" s="4"/>
      <c r="Y1111" s="4"/>
      <c r="Z1111" s="4"/>
      <c r="AA1111" s="4"/>
      <c r="AB1111" s="380" t="str">
        <f>VLOOKUP($B1111,'D7 - NDB Impacted SPRF''s'!$E$16:$O$9929,4,FALSE)</f>
        <v>Completed</v>
      </c>
      <c r="AC1111" s="380" t="str">
        <f>VLOOKUP($B1111,'D7 - NDB Impacted SPRF''s'!$E$16:$O$9929,3,FALSE)</f>
        <v>UnitedHealthcare Employer &amp; Individual</v>
      </c>
      <c r="AD1111" s="380" t="str">
        <f>VLOOKUP($B1111,'D7 - NDB Impacted SPRF''s'!$E$16:$O$9929,5,FALSE)</f>
        <v>Medical Cost Savings Programs</v>
      </c>
      <c r="AE1111" s="380" t="str">
        <f>VLOOKUP($B1111,'D7 - NDB Impacted SPRF''s'!$E$16:$O$9929,7,FALSE)</f>
        <v>John Haben</v>
      </c>
      <c r="AF1111" s="380" t="str">
        <f>VLOOKUP($B1111,'D7 - NDB Impacted SPRF''s'!$E$16:$O$9929,6,FALSE)</f>
        <v>Ellis Miller</v>
      </c>
      <c r="AG1111" s="282"/>
      <c r="AH1111" s="311" t="e">
        <f>INDEX('D5 - Gatekeeper - Projects'!$A$4:$AF$1010,$AM1111, 17)</f>
        <v>#N/A</v>
      </c>
      <c r="AI1111" s="8"/>
      <c r="AJ1111" s="57"/>
      <c r="AK1111" s="57"/>
      <c r="AM1111" s="6" t="e">
        <f>MATCH(D1111,'D5 - Gatekeeper - Projects'!$C$4:$C$1010,0)</f>
        <v>#N/A</v>
      </c>
      <c r="AN1111" s="6" t="b">
        <f t="shared" si="105"/>
        <v>1</v>
      </c>
      <c r="AO1111" s="6" t="str">
        <f t="shared" si="108"/>
        <v>OK</v>
      </c>
      <c r="AQ1111" s="6" t="e">
        <f>MATCH($D1111,'D4 - Provider Council Unsched'!$C$11:$C$234,0)</f>
        <v>#N/A</v>
      </c>
      <c r="AR1111" s="6" t="b">
        <f t="shared" si="106"/>
        <v>1</v>
      </c>
      <c r="AS1111" s="6" t="str">
        <f t="shared" si="109"/>
        <v>OK</v>
      </c>
      <c r="AU1111" s="202"/>
      <c r="AV1111" s="262"/>
      <c r="AW1111" s="274"/>
    </row>
    <row r="1112" spans="1:49" s="13" customFormat="1" ht="33.75" x14ac:dyDescent="0.2">
      <c r="A1112" s="14">
        <v>1088</v>
      </c>
      <c r="B1112" s="14">
        <v>400029061</v>
      </c>
      <c r="C1112" s="8" t="s">
        <v>5197</v>
      </c>
      <c r="D1112" s="4" t="str">
        <f t="shared" si="107"/>
        <v>400029061R1</v>
      </c>
      <c r="E1112" s="309" t="str">
        <f>VLOOKUP($B1112,'D7 - NDB Impacted SPRF''s'!$E$6:$O$9929,2,FALSE)</f>
        <v>UHG Medica IRAAD Resolution for Q1 &amp; Q2 2009</v>
      </c>
      <c r="F1112" s="8" t="s">
        <v>5196</v>
      </c>
      <c r="G1112" s="8" t="s">
        <v>4758</v>
      </c>
      <c r="H1112" s="8" t="s">
        <v>4246</v>
      </c>
      <c r="I1112" s="20">
        <v>8</v>
      </c>
      <c r="J1112" s="8" t="s">
        <v>4862</v>
      </c>
      <c r="K1112" s="182">
        <v>39991</v>
      </c>
      <c r="L1112" s="8" t="s">
        <v>5743</v>
      </c>
      <c r="M1112" s="8" t="s">
        <v>6688</v>
      </c>
      <c r="N1112" s="38"/>
      <c r="O1112" s="8" t="s">
        <v>7086</v>
      </c>
      <c r="P1112" s="4" t="str">
        <f>VLOOKUP($B1112,'D7 - NDB Impacted SPRF''s'!$E$16:$O$9929,9,FALSE)</f>
        <v>Y</v>
      </c>
      <c r="Q1112" s="4" t="str">
        <f>VLOOKUP($B1112,'D7 - NDB Impacted SPRF''s'!$E$16:$O$9929,10,FALSE)</f>
        <v>N</v>
      </c>
      <c r="R1112" s="4" t="str">
        <f>VLOOKUP($B1112,'D7 - NDB Impacted SPRF''s'!$E$16:$O$9929,11,FALSE)</f>
        <v>N</v>
      </c>
      <c r="S1112" s="8"/>
      <c r="T1112" s="310"/>
      <c r="U1112" s="310"/>
      <c r="V1112" s="4"/>
      <c r="W1112" s="4"/>
      <c r="X1112" s="4"/>
      <c r="Y1112" s="4"/>
      <c r="Z1112" s="4"/>
      <c r="AA1112" s="4"/>
      <c r="AB1112" s="380" t="str">
        <f>VLOOKUP($B1112,'D7 - NDB Impacted SPRF''s'!$E$16:$O$9929,4,FALSE)</f>
        <v>Completed</v>
      </c>
      <c r="AC1112" s="380" t="str">
        <f>VLOOKUP($B1112,'D7 - NDB Impacted SPRF''s'!$E$16:$O$9929,3,FALSE)</f>
        <v>UnitedHealthcare Employer &amp; Individual</v>
      </c>
      <c r="AD1112" s="380" t="str">
        <f>VLOOKUP($B1112,'D7 - NDB Impacted SPRF''s'!$E$16:$O$9929,5,FALSE)</f>
        <v>HCA - Medica Operational Support</v>
      </c>
      <c r="AE1112" s="380" t="str">
        <f>VLOOKUP($B1112,'D7 - NDB Impacted SPRF''s'!$E$16:$O$9929,7,FALSE)</f>
        <v>Chad Walker</v>
      </c>
      <c r="AF1112" s="380" t="str">
        <f>VLOOKUP($B1112,'D7 - NDB Impacted SPRF''s'!$E$16:$O$9929,6,FALSE)</f>
        <v>MONIQUE WERNER</v>
      </c>
      <c r="AG1112" s="282"/>
      <c r="AH1112" s="311" t="e">
        <f>INDEX('D5 - Gatekeeper - Projects'!$A$4:$AF$1010,$AM1112, 17)</f>
        <v>#N/A</v>
      </c>
      <c r="AI1112" s="8"/>
      <c r="AJ1112" s="57"/>
      <c r="AK1112" s="105"/>
      <c r="AM1112" s="6" t="e">
        <f>MATCH(D1112,'D5 - Gatekeeper - Projects'!$C$4:$C$1010,0)</f>
        <v>#N/A</v>
      </c>
      <c r="AN1112" s="6" t="b">
        <f t="shared" si="105"/>
        <v>1</v>
      </c>
      <c r="AO1112" s="6" t="str">
        <f t="shared" si="108"/>
        <v>OK</v>
      </c>
      <c r="AQ1112" s="6" t="e">
        <f>MATCH($D1112,'D4 - Provider Council Unsched'!$C$11:$C$234,0)</f>
        <v>#N/A</v>
      </c>
      <c r="AR1112" s="6" t="b">
        <f t="shared" si="106"/>
        <v>1</v>
      </c>
      <c r="AS1112" s="6" t="str">
        <f t="shared" si="109"/>
        <v>OK</v>
      </c>
      <c r="AU1112" s="202"/>
      <c r="AV1112" s="262"/>
      <c r="AW1112" s="274"/>
    </row>
    <row r="1113" spans="1:49" s="13" customFormat="1" ht="33.75" x14ac:dyDescent="0.2">
      <c r="A1113" s="14">
        <v>1089</v>
      </c>
      <c r="B1113" s="14">
        <v>400029062</v>
      </c>
      <c r="C1113" s="8" t="s">
        <v>5197</v>
      </c>
      <c r="D1113" s="4" t="str">
        <f t="shared" si="107"/>
        <v>400029062R1</v>
      </c>
      <c r="E1113" s="309" t="str">
        <f>VLOOKUP($B1113,'D7 - NDB Impacted SPRF''s'!$E$6:$O$9929,2,FALSE)</f>
        <v>PHS Work Package 1 Rel 2 Provider Crosswalk Update</v>
      </c>
      <c r="F1113" s="8" t="s">
        <v>6071</v>
      </c>
      <c r="G1113" s="8" t="s">
        <v>4758</v>
      </c>
      <c r="H1113" s="8" t="s">
        <v>4246</v>
      </c>
      <c r="I1113" s="20">
        <v>1.94</v>
      </c>
      <c r="J1113" s="8" t="s">
        <v>4862</v>
      </c>
      <c r="K1113" s="182">
        <v>39991</v>
      </c>
      <c r="L1113" s="8" t="s">
        <v>5743</v>
      </c>
      <c r="M1113" s="8" t="s">
        <v>2814</v>
      </c>
      <c r="N1113" s="38"/>
      <c r="O1113" s="8" t="s">
        <v>2547</v>
      </c>
      <c r="P1113" s="4" t="str">
        <f>VLOOKUP($B1113,'D7 - NDB Impacted SPRF''s'!$E$16:$O$9929,9,FALSE)</f>
        <v>N</v>
      </c>
      <c r="Q1113" s="4" t="str">
        <f>VLOOKUP($B1113,'D7 - NDB Impacted SPRF''s'!$E$16:$O$9929,10,FALSE)</f>
        <v>N</v>
      </c>
      <c r="R1113" s="4" t="str">
        <f>VLOOKUP($B1113,'D7 - NDB Impacted SPRF''s'!$E$16:$O$9929,11,FALSE)</f>
        <v>N</v>
      </c>
      <c r="S1113" s="8"/>
      <c r="T1113" s="310"/>
      <c r="U1113" s="310"/>
      <c r="V1113" s="4"/>
      <c r="W1113" s="4"/>
      <c r="X1113" s="4"/>
      <c r="Y1113" s="4"/>
      <c r="Z1113" s="4"/>
      <c r="AA1113" s="4"/>
      <c r="AB1113" s="380" t="str">
        <f>VLOOKUP($B1113,'D7 - NDB Impacted SPRF''s'!$E$16:$O$9929,4,FALSE)</f>
        <v>Completed</v>
      </c>
      <c r="AC1113" s="380" t="str">
        <f>VLOOKUP($B1113,'D7 - NDB Impacted SPRF''s'!$E$16:$O$9929,3,FALSE)</f>
        <v>UnitedHealthcare Employer &amp; Individual</v>
      </c>
      <c r="AD1113" s="380" t="str">
        <f>VLOOKUP($B1113,'D7 - NDB Impacted SPRF''s'!$E$16:$O$9929,5,FALSE)</f>
        <v>Integration Requirements</v>
      </c>
      <c r="AE1113" s="380" t="str">
        <f>VLOOKUP($B1113,'D7 - NDB Impacted SPRF''s'!$E$16:$O$9929,7,FALSE)</f>
        <v>Diane Schofield</v>
      </c>
      <c r="AF1113" s="380" t="str">
        <f>VLOOKUP($B1113,'D7 - NDB Impacted SPRF''s'!$E$16:$O$9929,6,FALSE)</f>
        <v>KAREN MCKINNEY</v>
      </c>
      <c r="AG1113" s="282"/>
      <c r="AH1113" s="311" t="e">
        <f>INDEX('D5 - Gatekeeper - Projects'!$A$4:$AF$1010,$AM1113, 17)</f>
        <v>#N/A</v>
      </c>
      <c r="AI1113" s="8"/>
      <c r="AJ1113" s="57"/>
      <c r="AK1113" s="105"/>
      <c r="AM1113" s="6" t="e">
        <f>MATCH(D1113,'D5 - Gatekeeper - Projects'!$C$4:$C$1010,0)</f>
        <v>#N/A</v>
      </c>
      <c r="AN1113" s="6" t="b">
        <f t="shared" si="105"/>
        <v>1</v>
      </c>
      <c r="AO1113" s="6" t="str">
        <f t="shared" si="108"/>
        <v>OK</v>
      </c>
      <c r="AQ1113" s="6" t="e">
        <f>MATCH($D1113,'D4 - Provider Council Unsched'!$C$11:$C$234,0)</f>
        <v>#N/A</v>
      </c>
      <c r="AR1113" s="6" t="b">
        <f t="shared" si="106"/>
        <v>1</v>
      </c>
      <c r="AS1113" s="6" t="str">
        <f t="shared" si="109"/>
        <v>OK</v>
      </c>
      <c r="AU1113" s="202"/>
      <c r="AV1113" s="262"/>
      <c r="AW1113" s="274"/>
    </row>
    <row r="1114" spans="1:49" s="13" customFormat="1" ht="45" x14ac:dyDescent="0.2">
      <c r="A1114" s="14">
        <v>1090</v>
      </c>
      <c r="B1114" s="14">
        <v>400030090</v>
      </c>
      <c r="C1114" s="8" t="s">
        <v>5197</v>
      </c>
      <c r="D1114" s="4" t="str">
        <f t="shared" si="107"/>
        <v>400030090R1</v>
      </c>
      <c r="E1114" s="309" t="str">
        <f>VLOOKUP($B1114,'D7 - NDB Impacted SPRF''s'!$E$6:$O$9929,2,FALSE)</f>
        <v>UPCSA - IBM Assessment</v>
      </c>
      <c r="F1114" s="282" t="s">
        <v>4762</v>
      </c>
      <c r="G1114" s="8" t="s">
        <v>4758</v>
      </c>
      <c r="H1114" s="8" t="s">
        <v>4246</v>
      </c>
      <c r="I1114" s="20">
        <v>2</v>
      </c>
      <c r="J1114" s="8" t="s">
        <v>4862</v>
      </c>
      <c r="K1114" s="182">
        <v>39991</v>
      </c>
      <c r="L1114" s="8" t="s">
        <v>4156</v>
      </c>
      <c r="M1114" s="8" t="s">
        <v>2814</v>
      </c>
      <c r="N1114" s="38"/>
      <c r="O1114" s="8" t="s">
        <v>2547</v>
      </c>
      <c r="P1114" s="4" t="str">
        <f>VLOOKUP($B1114,'D7 - NDB Impacted SPRF''s'!$E$16:$O$9929,9,FALSE)</f>
        <v>N</v>
      </c>
      <c r="Q1114" s="4" t="str">
        <f>VLOOKUP($B1114,'D7 - NDB Impacted SPRF''s'!$E$16:$O$9929,10,FALSE)</f>
        <v>N</v>
      </c>
      <c r="R1114" s="4" t="str">
        <f>VLOOKUP($B1114,'D7 - NDB Impacted SPRF''s'!$E$16:$O$9929,11,FALSE)</f>
        <v>N</v>
      </c>
      <c r="S1114" s="8"/>
      <c r="T1114" s="310"/>
      <c r="U1114" s="310"/>
      <c r="V1114" s="4"/>
      <c r="W1114" s="4"/>
      <c r="X1114" s="4"/>
      <c r="Y1114" s="4"/>
      <c r="Z1114" s="4"/>
      <c r="AA1114" s="4"/>
      <c r="AB1114" s="380" t="str">
        <f>VLOOKUP($B1114,'D7 - NDB Impacted SPRF''s'!$E$6:$O$9929,4,FALSE)</f>
        <v>Completed</v>
      </c>
      <c r="AC1114" s="380" t="str">
        <f>VLOOKUP($B1114,'D7 - NDB Impacted SPRF''s'!$E$6:$O$9929,3,FALSE)</f>
        <v>UHG IT - Enterprise Technology Services</v>
      </c>
      <c r="AD1114" s="380" t="str">
        <f>VLOOKUP($B1114,'D7 - NDB Impacted SPRF''s'!$E$6:$O$9929,5,FALSE)</f>
        <v>Strategic Initiatives</v>
      </c>
      <c r="AE1114" s="380" t="str">
        <f>VLOOKUP($B1114,'D7 - NDB Impacted SPRF''s'!$E$6:$O$9929,7,FALSE)</f>
        <v>John Doddy</v>
      </c>
      <c r="AF1114" s="380" t="str">
        <f>VLOOKUP($B1114,'D7 - NDB Impacted SPRF''s'!$E$6:$O$9929,6,FALSE)</f>
        <v>Carolyn Green</v>
      </c>
      <c r="AG1114" s="282"/>
      <c r="AH1114" s="311" t="e">
        <f>INDEX('D5 - Gatekeeper - Projects'!$A$4:$AF$1010,$AM1114, 17)</f>
        <v>#N/A</v>
      </c>
      <c r="AI1114" s="8"/>
      <c r="AJ1114" s="57"/>
      <c r="AK1114" s="105"/>
      <c r="AM1114" s="6" t="e">
        <f>MATCH(D1114,'D5 - Gatekeeper - Projects'!$C$4:$C$1010,0)</f>
        <v>#N/A</v>
      </c>
      <c r="AN1114" s="6" t="b">
        <f t="shared" si="105"/>
        <v>1</v>
      </c>
      <c r="AO1114" s="6" t="str">
        <f t="shared" si="108"/>
        <v>OK</v>
      </c>
      <c r="AQ1114" s="6" t="e">
        <f>MATCH($D1114,'D4 - Provider Council Unsched'!$C$11:$C$234,0)</f>
        <v>#N/A</v>
      </c>
      <c r="AR1114" s="6" t="b">
        <f t="shared" si="106"/>
        <v>1</v>
      </c>
      <c r="AS1114" s="6" t="str">
        <f t="shared" si="109"/>
        <v>OK</v>
      </c>
      <c r="AU1114" s="202"/>
      <c r="AV1114" s="262"/>
      <c r="AW1114" s="274"/>
    </row>
    <row r="1115" spans="1:49" s="13" customFormat="1" x14ac:dyDescent="0.2">
      <c r="A1115" s="14">
        <v>1091</v>
      </c>
      <c r="B1115" s="14" t="s">
        <v>7413</v>
      </c>
      <c r="C1115" s="8" t="s">
        <v>5197</v>
      </c>
      <c r="D1115" s="4" t="str">
        <f t="shared" si="107"/>
        <v>OI00102R1</v>
      </c>
      <c r="E1115" s="309" t="s">
        <v>7212</v>
      </c>
      <c r="F1115" s="8" t="s">
        <v>7249</v>
      </c>
      <c r="G1115" s="8" t="s">
        <v>4758</v>
      </c>
      <c r="H1115" s="8" t="s">
        <v>4246</v>
      </c>
      <c r="I1115" s="20">
        <f>550/150</f>
        <v>3.6666666666666665</v>
      </c>
      <c r="J1115" s="8" t="s">
        <v>4862</v>
      </c>
      <c r="K1115" s="182">
        <v>39991</v>
      </c>
      <c r="L1115" s="8" t="s">
        <v>5743</v>
      </c>
      <c r="M1115" s="8" t="s">
        <v>2814</v>
      </c>
      <c r="N1115" s="38"/>
      <c r="O1115" s="8" t="s">
        <v>3572</v>
      </c>
      <c r="P1115" s="4" t="e">
        <f>VLOOKUP($B1115,'D7 - NDB Impacted SPRF''s'!$E$16:$O$9929,9,FALSE)</f>
        <v>#N/A</v>
      </c>
      <c r="Q1115" s="4" t="e">
        <f>VLOOKUP($B1115,'D7 - NDB Impacted SPRF''s'!$E$16:$O$9929,10,FALSE)</f>
        <v>#N/A</v>
      </c>
      <c r="R1115" s="4" t="e">
        <f>VLOOKUP($B1115,'D7 - NDB Impacted SPRF''s'!$E$16:$O$9929,11,FALSE)</f>
        <v>#N/A</v>
      </c>
      <c r="S1115" s="8"/>
      <c r="T1115" s="310"/>
      <c r="U1115" s="310"/>
      <c r="V1115" s="4"/>
      <c r="W1115" s="4"/>
      <c r="X1115" s="4"/>
      <c r="Y1115" s="4"/>
      <c r="Z1115" s="4"/>
      <c r="AA1115" s="4"/>
      <c r="AB1115" s="380" t="e">
        <f>VLOOKUP($B1115,'D7 - NDB Impacted SPRF''s'!$E$16:$O$9929,4,FALSE)</f>
        <v>#N/A</v>
      </c>
      <c r="AC1115" s="380" t="e">
        <f>VLOOKUP($B1115,'D7 - NDB Impacted SPRF''s'!$E$16:$O$9929,3,FALSE)</f>
        <v>#N/A</v>
      </c>
      <c r="AD1115" s="380" t="e">
        <f>VLOOKUP($B1115,'D7 - NDB Impacted SPRF''s'!$E$16:$O$9929,5,FALSE)</f>
        <v>#N/A</v>
      </c>
      <c r="AE1115" s="380" t="e">
        <f>VLOOKUP($B1115,'D7 - NDB Impacted SPRF''s'!$E$16:$O$9929,7,FALSE)</f>
        <v>#N/A</v>
      </c>
      <c r="AF1115" s="380" t="e">
        <f>VLOOKUP($B1115,'D7 - NDB Impacted SPRF''s'!$E$16:$O$9929,6,FALSE)</f>
        <v>#N/A</v>
      </c>
      <c r="AG1115" s="282"/>
      <c r="AH1115" s="311" t="e">
        <f>INDEX('D5 - Gatekeeper - Projects'!$A$4:$AF$1010,$AM1115, 17)</f>
        <v>#N/A</v>
      </c>
      <c r="AI1115" s="8"/>
      <c r="AJ1115" s="57"/>
      <c r="AK1115" s="105"/>
      <c r="AM1115" s="6" t="e">
        <f>MATCH(D1115,'D5 - Gatekeeper - Projects'!$C$4:$C$1010,0)</f>
        <v>#N/A</v>
      </c>
      <c r="AN1115" s="6" t="b">
        <f t="shared" si="105"/>
        <v>1</v>
      </c>
      <c r="AO1115" s="6" t="str">
        <f t="shared" si="108"/>
        <v>OK</v>
      </c>
      <c r="AQ1115" s="6" t="e">
        <f>MATCH($D1115,'D4 - Provider Council Unsched'!$C$11:$C$234,0)</f>
        <v>#N/A</v>
      </c>
      <c r="AR1115" s="6" t="b">
        <f t="shared" si="106"/>
        <v>1</v>
      </c>
      <c r="AS1115" s="6" t="str">
        <f t="shared" si="109"/>
        <v>OK</v>
      </c>
      <c r="AU1115" s="202"/>
      <c r="AV1115" s="262"/>
      <c r="AW1115" s="274"/>
    </row>
    <row r="1116" spans="1:49" s="13" customFormat="1" x14ac:dyDescent="0.2">
      <c r="A1116" s="14">
        <v>1092</v>
      </c>
      <c r="B1116" s="14" t="s">
        <v>3567</v>
      </c>
      <c r="C1116" s="8" t="s">
        <v>5197</v>
      </c>
      <c r="D1116" s="4" t="str">
        <f t="shared" si="107"/>
        <v>OI00104R1</v>
      </c>
      <c r="E1116" s="309" t="s">
        <v>5954</v>
      </c>
      <c r="F1116" s="8" t="s">
        <v>7249</v>
      </c>
      <c r="G1116" s="8" t="s">
        <v>4758</v>
      </c>
      <c r="H1116" s="8" t="s">
        <v>4246</v>
      </c>
      <c r="I1116" s="20">
        <f>40/150</f>
        <v>0.26666666666666666</v>
      </c>
      <c r="J1116" s="8" t="s">
        <v>4862</v>
      </c>
      <c r="K1116" s="182">
        <v>39991</v>
      </c>
      <c r="L1116" s="8" t="s">
        <v>5743</v>
      </c>
      <c r="M1116" s="8" t="s">
        <v>2814</v>
      </c>
      <c r="N1116" s="38"/>
      <c r="O1116" s="8" t="s">
        <v>3572</v>
      </c>
      <c r="P1116" s="4" t="e">
        <f>VLOOKUP($B1116,'D7 - NDB Impacted SPRF''s'!$E$16:$O$9929,9,FALSE)</f>
        <v>#N/A</v>
      </c>
      <c r="Q1116" s="4" t="e">
        <f>VLOOKUP($B1116,'D7 - NDB Impacted SPRF''s'!$E$16:$O$9929,10,FALSE)</f>
        <v>#N/A</v>
      </c>
      <c r="R1116" s="4" t="e">
        <f>VLOOKUP($B1116,'D7 - NDB Impacted SPRF''s'!$E$16:$O$9929,11,FALSE)</f>
        <v>#N/A</v>
      </c>
      <c r="S1116" s="8"/>
      <c r="T1116" s="310"/>
      <c r="U1116" s="310"/>
      <c r="V1116" s="4"/>
      <c r="W1116" s="4"/>
      <c r="X1116" s="4"/>
      <c r="Y1116" s="4"/>
      <c r="Z1116" s="4"/>
      <c r="AA1116" s="4"/>
      <c r="AB1116" s="380" t="e">
        <f>VLOOKUP($B1116,'D7 - NDB Impacted SPRF''s'!$E$16:$O$9929,4,FALSE)</f>
        <v>#N/A</v>
      </c>
      <c r="AC1116" s="380" t="e">
        <f>VLOOKUP($B1116,'D7 - NDB Impacted SPRF''s'!$E$16:$O$9929,3,FALSE)</f>
        <v>#N/A</v>
      </c>
      <c r="AD1116" s="380" t="e">
        <f>VLOOKUP($B1116,'D7 - NDB Impacted SPRF''s'!$E$16:$O$9929,5,FALSE)</f>
        <v>#N/A</v>
      </c>
      <c r="AE1116" s="380" t="e">
        <f>VLOOKUP($B1116,'D7 - NDB Impacted SPRF''s'!$E$16:$O$9929,7,FALSE)</f>
        <v>#N/A</v>
      </c>
      <c r="AF1116" s="380" t="e">
        <f>VLOOKUP($B1116,'D7 - NDB Impacted SPRF''s'!$E$16:$O$9929,6,FALSE)</f>
        <v>#N/A</v>
      </c>
      <c r="AG1116" s="282"/>
      <c r="AH1116" s="311" t="e">
        <f>INDEX('D5 - Gatekeeper - Projects'!$A$4:$AF$1010,$AM1116, 17)</f>
        <v>#N/A</v>
      </c>
      <c r="AI1116" s="8"/>
      <c r="AJ1116" s="57"/>
      <c r="AK1116" s="105"/>
      <c r="AM1116" s="6" t="e">
        <f>MATCH(D1116,'D5 - Gatekeeper - Projects'!$C$4:$C$1010,0)</f>
        <v>#N/A</v>
      </c>
      <c r="AN1116" s="6" t="b">
        <f t="shared" si="105"/>
        <v>1</v>
      </c>
      <c r="AO1116" s="6" t="str">
        <f t="shared" si="108"/>
        <v>OK</v>
      </c>
      <c r="AQ1116" s="6" t="e">
        <f>MATCH($D1116,'D4 - Provider Council Unsched'!$C$11:$C$234,0)</f>
        <v>#N/A</v>
      </c>
      <c r="AR1116" s="6" t="b">
        <f t="shared" si="106"/>
        <v>1</v>
      </c>
      <c r="AS1116" s="6" t="str">
        <f t="shared" si="109"/>
        <v>OK</v>
      </c>
      <c r="AU1116" s="202"/>
      <c r="AV1116" s="262"/>
      <c r="AW1116" s="274"/>
    </row>
    <row r="1117" spans="1:49" s="13" customFormat="1" x14ac:dyDescent="0.2">
      <c r="A1117" s="14">
        <v>1093</v>
      </c>
      <c r="B1117" s="14" t="s">
        <v>4619</v>
      </c>
      <c r="C1117" s="8" t="s">
        <v>5197</v>
      </c>
      <c r="D1117" s="4" t="s">
        <v>4619</v>
      </c>
      <c r="E1117" s="282" t="s">
        <v>7119</v>
      </c>
      <c r="F1117" s="8" t="s">
        <v>2114</v>
      </c>
      <c r="G1117" s="8" t="s">
        <v>4758</v>
      </c>
      <c r="H1117" s="8" t="s">
        <v>4246</v>
      </c>
      <c r="I1117" s="20">
        <v>1.27</v>
      </c>
      <c r="J1117" s="8" t="s">
        <v>4862</v>
      </c>
      <c r="K1117" s="182">
        <v>39991</v>
      </c>
      <c r="L1117" s="8" t="s">
        <v>5743</v>
      </c>
      <c r="M1117" s="8" t="s">
        <v>2814</v>
      </c>
      <c r="N1117" s="38"/>
      <c r="O1117" s="8" t="s">
        <v>3572</v>
      </c>
      <c r="P1117" s="4" t="e">
        <f>VLOOKUP($B1117,'D7 - NDB Impacted SPRF''s'!$E$16:$O$9929,9,FALSE)</f>
        <v>#N/A</v>
      </c>
      <c r="Q1117" s="4" t="e">
        <f>VLOOKUP($B1117,'D7 - NDB Impacted SPRF''s'!$E$16:$O$9929,10,FALSE)</f>
        <v>#N/A</v>
      </c>
      <c r="R1117" s="4" t="e">
        <f>VLOOKUP($B1117,'D7 - NDB Impacted SPRF''s'!$E$16:$O$9929,11,FALSE)</f>
        <v>#N/A</v>
      </c>
      <c r="S1117" s="8"/>
      <c r="T1117" s="310"/>
      <c r="U1117" s="310"/>
      <c r="V1117" s="4"/>
      <c r="W1117" s="4"/>
      <c r="X1117" s="4"/>
      <c r="Y1117" s="4"/>
      <c r="Z1117" s="4"/>
      <c r="AA1117" s="4"/>
      <c r="AB1117" s="383" t="e">
        <f>VLOOKUP($B1117,'D7 - NDB Impacted SPRF''s'!$E$16:$O$9929,4,FALSE)</f>
        <v>#N/A</v>
      </c>
      <c r="AC1117" s="380" t="e">
        <f>VLOOKUP($B1117,'D7 - NDB Impacted SPRF''s'!$E$16:$O$9929,3,FALSE)</f>
        <v>#N/A</v>
      </c>
      <c r="AD1117" s="380" t="e">
        <f>VLOOKUP($B1117,'D7 - NDB Impacted SPRF''s'!$E$16:$O$9929,5,FALSE)</f>
        <v>#N/A</v>
      </c>
      <c r="AE1117" s="380" t="e">
        <f>VLOOKUP($B1117,'D7 - NDB Impacted SPRF''s'!$E$16:$O$9929,7,FALSE)</f>
        <v>#N/A</v>
      </c>
      <c r="AF1117" s="380" t="e">
        <f>VLOOKUP($B1117,'D7 - NDB Impacted SPRF''s'!$E$16:$O$9929,6,FALSE)</f>
        <v>#N/A</v>
      </c>
      <c r="AG1117" s="282"/>
      <c r="AH1117" s="311" t="e">
        <f>INDEX('D5 - Gatekeeper - Projects'!$A$4:$AF$1010,$AM1117, 17)</f>
        <v>#N/A</v>
      </c>
      <c r="AI1117" s="8"/>
      <c r="AJ1117" s="57"/>
      <c r="AK1117" s="105"/>
      <c r="AM1117" s="6" t="e">
        <f>MATCH(D1117,'D5 - Gatekeeper - Projects'!$C$4:$C$1010,0)</f>
        <v>#N/A</v>
      </c>
      <c r="AN1117" s="6" t="b">
        <f t="shared" si="105"/>
        <v>1</v>
      </c>
      <c r="AO1117" s="6" t="str">
        <f t="shared" si="108"/>
        <v>OK</v>
      </c>
      <c r="AQ1117" s="6" t="e">
        <f>MATCH($D1117,'D4 - Provider Council Unsched'!$C$11:$C$234,0)</f>
        <v>#N/A</v>
      </c>
      <c r="AR1117" s="6" t="b">
        <f t="shared" si="106"/>
        <v>1</v>
      </c>
      <c r="AS1117" s="6" t="str">
        <f t="shared" si="109"/>
        <v>OK</v>
      </c>
      <c r="AU1117" s="202"/>
      <c r="AV1117" s="262"/>
      <c r="AW1117" s="274"/>
    </row>
    <row r="1118" spans="1:49" s="13" customFormat="1" x14ac:dyDescent="0.2">
      <c r="A1118" s="14">
        <v>1094</v>
      </c>
      <c r="B1118" s="14" t="s">
        <v>7966</v>
      </c>
      <c r="C1118" s="8" t="s">
        <v>5197</v>
      </c>
      <c r="D1118" s="4" t="s">
        <v>4620</v>
      </c>
      <c r="E1118" s="282" t="s">
        <v>6740</v>
      </c>
      <c r="F1118" s="8" t="s">
        <v>2114</v>
      </c>
      <c r="G1118" s="8" t="s">
        <v>4758</v>
      </c>
      <c r="H1118" s="8" t="s">
        <v>4246</v>
      </c>
      <c r="I1118" s="20">
        <v>1.73</v>
      </c>
      <c r="J1118" s="8" t="s">
        <v>4862</v>
      </c>
      <c r="K1118" s="182">
        <v>39991</v>
      </c>
      <c r="L1118" s="8" t="s">
        <v>5743</v>
      </c>
      <c r="M1118" s="8" t="s">
        <v>2814</v>
      </c>
      <c r="N1118" s="38"/>
      <c r="O1118" s="8" t="s">
        <v>3572</v>
      </c>
      <c r="P1118" s="4" t="e">
        <f>VLOOKUP($B1118,'D7 - NDB Impacted SPRF''s'!$E$16:$O$9929,9,FALSE)</f>
        <v>#N/A</v>
      </c>
      <c r="Q1118" s="4" t="e">
        <f>VLOOKUP($B1118,'D7 - NDB Impacted SPRF''s'!$E$16:$O$9929,10,FALSE)</f>
        <v>#N/A</v>
      </c>
      <c r="R1118" s="4" t="e">
        <f>VLOOKUP($B1118,'D7 - NDB Impacted SPRF''s'!$E$16:$O$9929,11,FALSE)</f>
        <v>#N/A</v>
      </c>
      <c r="S1118" s="8"/>
      <c r="T1118" s="310"/>
      <c r="U1118" s="310"/>
      <c r="V1118" s="4"/>
      <c r="W1118" s="4"/>
      <c r="X1118" s="4"/>
      <c r="Y1118" s="4"/>
      <c r="Z1118" s="4"/>
      <c r="AA1118" s="4"/>
      <c r="AB1118" s="383" t="e">
        <f>VLOOKUP($B1118,'D7 - NDB Impacted SPRF''s'!$E$16:$O$9929,4,FALSE)</f>
        <v>#N/A</v>
      </c>
      <c r="AC1118" s="380" t="e">
        <f>VLOOKUP($B1118,'D7 - NDB Impacted SPRF''s'!$E$16:$O$9929,3,FALSE)</f>
        <v>#N/A</v>
      </c>
      <c r="AD1118" s="380" t="e">
        <f>VLOOKUP($B1118,'D7 - NDB Impacted SPRF''s'!$E$16:$O$9929,5,FALSE)</f>
        <v>#N/A</v>
      </c>
      <c r="AE1118" s="380" t="e">
        <f>VLOOKUP($B1118,'D7 - NDB Impacted SPRF''s'!$E$16:$O$9929,7,FALSE)</f>
        <v>#N/A</v>
      </c>
      <c r="AF1118" s="380" t="e">
        <f>VLOOKUP($B1118,'D7 - NDB Impacted SPRF''s'!$E$16:$O$9929,6,FALSE)</f>
        <v>#N/A</v>
      </c>
      <c r="AG1118" s="282"/>
      <c r="AH1118" s="311" t="e">
        <f>INDEX('D5 - Gatekeeper - Projects'!$A$4:$AF$1010,$AM1118, 17)</f>
        <v>#N/A</v>
      </c>
      <c r="AI1118" s="8"/>
      <c r="AJ1118" s="57"/>
      <c r="AK1118" s="105"/>
      <c r="AM1118" s="6" t="e">
        <f>MATCH(D1118,'D5 - Gatekeeper - Projects'!$C$4:$C$1010,0)</f>
        <v>#N/A</v>
      </c>
      <c r="AN1118" s="6" t="b">
        <f t="shared" si="105"/>
        <v>1</v>
      </c>
      <c r="AO1118" s="6" t="str">
        <f t="shared" si="108"/>
        <v>OK</v>
      </c>
      <c r="AQ1118" s="6" t="e">
        <f>MATCH($D1118,'D4 - Provider Council Unsched'!$C$11:$C$234,0)</f>
        <v>#N/A</v>
      </c>
      <c r="AR1118" s="6" t="b">
        <f t="shared" si="106"/>
        <v>1</v>
      </c>
      <c r="AS1118" s="6" t="str">
        <f t="shared" si="109"/>
        <v>OK</v>
      </c>
      <c r="AU1118" s="202"/>
      <c r="AV1118" s="262"/>
      <c r="AW1118" s="274"/>
    </row>
    <row r="1119" spans="1:49" s="13" customFormat="1" x14ac:dyDescent="0.2">
      <c r="A1119" s="14">
        <v>1095</v>
      </c>
      <c r="B1119" s="14" t="s">
        <v>3011</v>
      </c>
      <c r="C1119" s="8" t="s">
        <v>5197</v>
      </c>
      <c r="D1119" s="4" t="s">
        <v>5990</v>
      </c>
      <c r="E1119" s="309" t="s">
        <v>5991</v>
      </c>
      <c r="F1119" s="8" t="s">
        <v>2114</v>
      </c>
      <c r="G1119" s="8" t="s">
        <v>4758</v>
      </c>
      <c r="H1119" s="8" t="s">
        <v>4246</v>
      </c>
      <c r="I1119" s="20">
        <v>0.4</v>
      </c>
      <c r="J1119" s="8" t="s">
        <v>4862</v>
      </c>
      <c r="K1119" s="182">
        <v>39991</v>
      </c>
      <c r="L1119" s="8" t="s">
        <v>4156</v>
      </c>
      <c r="M1119" s="8" t="s">
        <v>2814</v>
      </c>
      <c r="N1119" s="38"/>
      <c r="O1119" s="8" t="s">
        <v>3572</v>
      </c>
      <c r="P1119" s="4" t="e">
        <f>VLOOKUP($B1119,'D7 - NDB Impacted SPRF''s'!$E$16:$O$9929,9,FALSE)</f>
        <v>#N/A</v>
      </c>
      <c r="Q1119" s="4" t="e">
        <f>VLOOKUP($B1119,'D7 - NDB Impacted SPRF''s'!$E$16:$O$9929,10,FALSE)</f>
        <v>#N/A</v>
      </c>
      <c r="R1119" s="4" t="e">
        <f>VLOOKUP($B1119,'D7 - NDB Impacted SPRF''s'!$E$16:$O$9929,11,FALSE)</f>
        <v>#N/A</v>
      </c>
      <c r="S1119" s="8"/>
      <c r="T1119" s="310"/>
      <c r="U1119" s="310"/>
      <c r="V1119" s="4"/>
      <c r="W1119" s="4"/>
      <c r="X1119" s="4"/>
      <c r="Y1119" s="4"/>
      <c r="Z1119" s="4"/>
      <c r="AA1119" s="4"/>
      <c r="AB1119" s="383" t="e">
        <f>VLOOKUP($B1119,'D7 - NDB Impacted SPRF''s'!$E$16:$O$9929,4,FALSE)</f>
        <v>#N/A</v>
      </c>
      <c r="AC1119" s="380" t="e">
        <f>VLOOKUP($B1119,'D7 - NDB Impacted SPRF''s'!$E$16:$O$9929,3,FALSE)</f>
        <v>#N/A</v>
      </c>
      <c r="AD1119" s="380" t="e">
        <f>VLOOKUP($B1119,'D7 - NDB Impacted SPRF''s'!$E$16:$O$9929,5,FALSE)</f>
        <v>#N/A</v>
      </c>
      <c r="AE1119" s="380" t="e">
        <f>VLOOKUP($B1119,'D7 - NDB Impacted SPRF''s'!$E$16:$O$9929,7,FALSE)</f>
        <v>#N/A</v>
      </c>
      <c r="AF1119" s="380" t="e">
        <f>VLOOKUP($B1119,'D7 - NDB Impacted SPRF''s'!$E$16:$O$9929,6,FALSE)</f>
        <v>#N/A</v>
      </c>
      <c r="AG1119" s="282"/>
      <c r="AH1119" s="311" t="e">
        <f>INDEX('D5 - Gatekeeper - Projects'!$A$4:$AF$1010,$AM1119, 17)</f>
        <v>#N/A</v>
      </c>
      <c r="AI1119" s="8"/>
      <c r="AJ1119" s="57"/>
      <c r="AK1119" s="105"/>
      <c r="AM1119" s="6" t="e">
        <f>MATCH(D1119,'D5 - Gatekeeper - Projects'!$C$4:$C$1010,0)</f>
        <v>#N/A</v>
      </c>
      <c r="AN1119" s="6" t="b">
        <f t="shared" si="105"/>
        <v>1</v>
      </c>
      <c r="AO1119" s="6" t="str">
        <f t="shared" si="108"/>
        <v>OK</v>
      </c>
      <c r="AQ1119" s="6" t="e">
        <f>MATCH($D1119,'D4 - Provider Council Unsched'!$C$11:$C$234,0)</f>
        <v>#N/A</v>
      </c>
      <c r="AR1119" s="6" t="b">
        <f t="shared" si="106"/>
        <v>1</v>
      </c>
      <c r="AS1119" s="6" t="str">
        <f t="shared" ref="AS1119:AS1125" si="110">IF(AND(H1119="2 - Not Scheduled",AR1119=TRUE,C1119="R1"),"Add","OK")</f>
        <v>OK</v>
      </c>
      <c r="AU1119" s="202"/>
      <c r="AV1119" s="262"/>
      <c r="AW1119" s="274"/>
    </row>
    <row r="1120" spans="1:49" s="13" customFormat="1" x14ac:dyDescent="0.2">
      <c r="A1120" s="14">
        <v>1096</v>
      </c>
      <c r="B1120" s="14" t="s">
        <v>2782</v>
      </c>
      <c r="C1120" s="8" t="s">
        <v>5197</v>
      </c>
      <c r="D1120" s="4" t="s">
        <v>7202</v>
      </c>
      <c r="E1120" s="309" t="s">
        <v>7201</v>
      </c>
      <c r="F1120" s="8" t="s">
        <v>2114</v>
      </c>
      <c r="G1120" s="8" t="s">
        <v>4758</v>
      </c>
      <c r="H1120" s="8" t="s">
        <v>4246</v>
      </c>
      <c r="I1120" s="20">
        <v>1.6</v>
      </c>
      <c r="J1120" s="8" t="s">
        <v>4862</v>
      </c>
      <c r="K1120" s="182">
        <v>39991</v>
      </c>
      <c r="L1120" s="8" t="s">
        <v>4156</v>
      </c>
      <c r="M1120" s="8" t="s">
        <v>2814</v>
      </c>
      <c r="N1120" s="38"/>
      <c r="O1120" s="8" t="s">
        <v>3572</v>
      </c>
      <c r="P1120" s="4" t="e">
        <f>VLOOKUP($B1120,'D7 - NDB Impacted SPRF''s'!$E$16:$O$9929,9,FALSE)</f>
        <v>#N/A</v>
      </c>
      <c r="Q1120" s="4" t="e">
        <f>VLOOKUP($B1120,'D7 - NDB Impacted SPRF''s'!$E$16:$O$9929,10,FALSE)</f>
        <v>#N/A</v>
      </c>
      <c r="R1120" s="4" t="e">
        <f>VLOOKUP($B1120,'D7 - NDB Impacted SPRF''s'!$E$16:$O$9929,11,FALSE)</f>
        <v>#N/A</v>
      </c>
      <c r="S1120" s="8"/>
      <c r="T1120" s="310"/>
      <c r="U1120" s="310"/>
      <c r="V1120" s="4"/>
      <c r="W1120" s="4"/>
      <c r="X1120" s="4"/>
      <c r="Y1120" s="4"/>
      <c r="Z1120" s="4"/>
      <c r="AA1120" s="4"/>
      <c r="AB1120" s="383" t="e">
        <f>VLOOKUP($B1120,'D7 - NDB Impacted SPRF''s'!$E$16:$O$9929,4,FALSE)</f>
        <v>#N/A</v>
      </c>
      <c r="AC1120" s="380" t="e">
        <f>VLOOKUP($B1120,'D7 - NDB Impacted SPRF''s'!$E$16:$O$9929,3,FALSE)</f>
        <v>#N/A</v>
      </c>
      <c r="AD1120" s="380" t="e">
        <f>VLOOKUP($B1120,'D7 - NDB Impacted SPRF''s'!$E$16:$O$9929,5,FALSE)</f>
        <v>#N/A</v>
      </c>
      <c r="AE1120" s="380" t="e">
        <f>VLOOKUP($B1120,'D7 - NDB Impacted SPRF''s'!$E$16:$O$9929,7,FALSE)</f>
        <v>#N/A</v>
      </c>
      <c r="AF1120" s="380" t="e">
        <f>VLOOKUP($B1120,'D7 - NDB Impacted SPRF''s'!$E$16:$O$9929,6,FALSE)</f>
        <v>#N/A</v>
      </c>
      <c r="AG1120" s="282"/>
      <c r="AH1120" s="311" t="e">
        <f>INDEX('D5 - Gatekeeper - Projects'!$A$4:$AF$1010,$AM1120, 17)</f>
        <v>#N/A</v>
      </c>
      <c r="AI1120" s="8"/>
      <c r="AJ1120" s="57"/>
      <c r="AK1120" s="105"/>
      <c r="AM1120" s="6" t="e">
        <f>MATCH(D1120,'D5 - Gatekeeper - Projects'!$C$4:$C$1010,0)</f>
        <v>#N/A</v>
      </c>
      <c r="AN1120" s="6" t="b">
        <f t="shared" si="105"/>
        <v>1</v>
      </c>
      <c r="AO1120" s="6" t="str">
        <f t="shared" si="108"/>
        <v>OK</v>
      </c>
      <c r="AQ1120" s="6" t="e">
        <f>MATCH($D1120,'D4 - Provider Council Unsched'!$C$11:$C$234,0)</f>
        <v>#N/A</v>
      </c>
      <c r="AR1120" s="6" t="b">
        <f t="shared" si="106"/>
        <v>1</v>
      </c>
      <c r="AS1120" s="6" t="str">
        <f t="shared" si="110"/>
        <v>OK</v>
      </c>
      <c r="AU1120" s="202"/>
      <c r="AV1120" s="262"/>
      <c r="AW1120" s="274"/>
    </row>
    <row r="1121" spans="1:49" s="13" customFormat="1" ht="12.75" x14ac:dyDescent="0.2">
      <c r="A1121" s="14">
        <v>1097</v>
      </c>
      <c r="B1121" s="14" t="s">
        <v>2092</v>
      </c>
      <c r="C1121" s="8" t="s">
        <v>5197</v>
      </c>
      <c r="D1121" s="4" t="s">
        <v>2093</v>
      </c>
      <c r="E1121" s="341" t="s">
        <v>3027</v>
      </c>
      <c r="F1121" s="8" t="s">
        <v>2114</v>
      </c>
      <c r="G1121" s="8" t="s">
        <v>4758</v>
      </c>
      <c r="H1121" s="8" t="s">
        <v>4246</v>
      </c>
      <c r="I1121" s="20">
        <v>0.47</v>
      </c>
      <c r="J1121" s="8" t="s">
        <v>4862</v>
      </c>
      <c r="K1121" s="182">
        <v>39991</v>
      </c>
      <c r="L1121" s="8" t="s">
        <v>5743</v>
      </c>
      <c r="M1121" s="8" t="s">
        <v>2814</v>
      </c>
      <c r="N1121" s="38"/>
      <c r="O1121" s="8" t="s">
        <v>3572</v>
      </c>
      <c r="P1121" s="4" t="e">
        <f>VLOOKUP($B1121,'D7 - NDB Impacted SPRF''s'!$E$16:$O$9929,9,FALSE)</f>
        <v>#N/A</v>
      </c>
      <c r="Q1121" s="4" t="e">
        <f>VLOOKUP($B1121,'D7 - NDB Impacted SPRF''s'!$E$16:$O$9929,10,FALSE)</f>
        <v>#N/A</v>
      </c>
      <c r="R1121" s="4" t="e">
        <f>VLOOKUP($B1121,'D7 - NDB Impacted SPRF''s'!$E$16:$O$9929,11,FALSE)</f>
        <v>#N/A</v>
      </c>
      <c r="S1121" s="8"/>
      <c r="T1121" s="310"/>
      <c r="U1121" s="310"/>
      <c r="V1121" s="4"/>
      <c r="W1121" s="4"/>
      <c r="X1121" s="4"/>
      <c r="Y1121" s="4"/>
      <c r="Z1121" s="4"/>
      <c r="AA1121" s="4"/>
      <c r="AB1121" s="383" t="e">
        <f>VLOOKUP($B1121,'D7 - NDB Impacted SPRF''s'!$E$16:$O$9929,4,FALSE)</f>
        <v>#N/A</v>
      </c>
      <c r="AC1121" s="380" t="e">
        <f>VLOOKUP($B1121,'D7 - NDB Impacted SPRF''s'!$E$16:$O$9929,3,FALSE)</f>
        <v>#N/A</v>
      </c>
      <c r="AD1121" s="380" t="e">
        <f>VLOOKUP($B1121,'D7 - NDB Impacted SPRF''s'!$E$16:$O$9929,5,FALSE)</f>
        <v>#N/A</v>
      </c>
      <c r="AE1121" s="380" t="e">
        <f>VLOOKUP($B1121,'D7 - NDB Impacted SPRF''s'!$E$16:$O$9929,7,FALSE)</f>
        <v>#N/A</v>
      </c>
      <c r="AF1121" s="380" t="e">
        <f>VLOOKUP($B1121,'D7 - NDB Impacted SPRF''s'!$E$16:$O$9929,6,FALSE)</f>
        <v>#N/A</v>
      </c>
      <c r="AG1121" s="282"/>
      <c r="AH1121" s="311" t="e">
        <f>INDEX('D5 - Gatekeeper - Projects'!$A$4:$AF$1010,$AM1121, 17)</f>
        <v>#N/A</v>
      </c>
      <c r="AI1121" s="8"/>
      <c r="AJ1121" s="57"/>
      <c r="AK1121" s="105"/>
      <c r="AM1121" s="6" t="e">
        <f>MATCH(D1121,'D5 - Gatekeeper - Projects'!$C$4:$C$1010,0)</f>
        <v>#N/A</v>
      </c>
      <c r="AN1121" s="6" t="b">
        <f t="shared" si="105"/>
        <v>1</v>
      </c>
      <c r="AO1121" s="6" t="str">
        <f t="shared" si="108"/>
        <v>OK</v>
      </c>
      <c r="AQ1121" s="6" t="e">
        <f>MATCH($D1121,'D4 - Provider Council Unsched'!$C$11:$C$234,0)</f>
        <v>#N/A</v>
      </c>
      <c r="AR1121" s="6" t="b">
        <f t="shared" si="106"/>
        <v>1</v>
      </c>
      <c r="AS1121" s="6" t="str">
        <f t="shared" si="110"/>
        <v>OK</v>
      </c>
      <c r="AU1121" s="202"/>
      <c r="AV1121" s="262"/>
      <c r="AW1121" s="274"/>
    </row>
    <row r="1122" spans="1:49" s="13" customFormat="1" ht="33.75" x14ac:dyDescent="0.2">
      <c r="A1122" s="14">
        <v>1098</v>
      </c>
      <c r="B1122" s="14">
        <v>400024137</v>
      </c>
      <c r="C1122" s="8" t="s">
        <v>3763</v>
      </c>
      <c r="D1122" s="4" t="str">
        <f t="shared" ref="D1122:D1129" si="111">CONCATENATE(B1122,C1122)</f>
        <v>400024137R2</v>
      </c>
      <c r="E1122" s="309" t="str">
        <f>VLOOKUP($B1122,'D7 - NDB Impacted SPRF''s'!$E$6:$O$9929,2,FALSE)</f>
        <v>DRG Field Expansion</v>
      </c>
      <c r="F1122" s="8" t="s">
        <v>7955</v>
      </c>
      <c r="G1122" s="8" t="s">
        <v>4758</v>
      </c>
      <c r="H1122" s="8" t="s">
        <v>4246</v>
      </c>
      <c r="I1122" s="20"/>
      <c r="J1122" s="8" t="s">
        <v>4862</v>
      </c>
      <c r="K1122" s="182">
        <v>40040</v>
      </c>
      <c r="L1122" s="8" t="s">
        <v>5743</v>
      </c>
      <c r="M1122" s="8" t="s">
        <v>2814</v>
      </c>
      <c r="N1122" s="38"/>
      <c r="O1122" s="8" t="s">
        <v>2875</v>
      </c>
      <c r="P1122" s="4" t="str">
        <f>VLOOKUP($B1122,'D7 - NDB Impacted SPRF''s'!$E$16:$O$9929,9,FALSE)</f>
        <v>Y</v>
      </c>
      <c r="Q1122" s="4" t="str">
        <f>VLOOKUP($B1122,'D7 - NDB Impacted SPRF''s'!$E$16:$O$9929,10,FALSE)</f>
        <v>N</v>
      </c>
      <c r="R1122" s="4" t="str">
        <f>VLOOKUP($B1122,'D7 - NDB Impacted SPRF''s'!$E$16:$O$9929,11,FALSE)</f>
        <v>Y</v>
      </c>
      <c r="S1122" s="8"/>
      <c r="T1122" s="310"/>
      <c r="U1122" s="310"/>
      <c r="V1122" s="4"/>
      <c r="W1122" s="4"/>
      <c r="X1122" s="4"/>
      <c r="Y1122" s="4"/>
      <c r="Z1122" s="4"/>
      <c r="AA1122" s="4"/>
      <c r="AB1122" s="380" t="str">
        <f>VLOOKUP($B1122,'D7 - NDB Impacted SPRF''s'!$E$16:$O$9929,4,FALSE)</f>
        <v>Completed</v>
      </c>
      <c r="AC1122" s="380" t="str">
        <f>VLOOKUP($B1122,'D7 - NDB Impacted SPRF''s'!$E$16:$O$9929,3,FALSE)</f>
        <v>UnitedHealthcare Employer &amp; Individual</v>
      </c>
      <c r="AD1122" s="380" t="str">
        <f>VLOOKUP($B1122,'D7 - NDB Impacted SPRF''s'!$E$16:$O$9929,5,FALSE)</f>
        <v>Regulatory / Other</v>
      </c>
      <c r="AE1122" s="380" t="str">
        <f>VLOOKUP($B1122,'D7 - NDB Impacted SPRF''s'!$E$16:$O$9929,7,FALSE)</f>
        <v>Jill Fource</v>
      </c>
      <c r="AF1122" s="380" t="str">
        <f>VLOOKUP($B1122,'D7 - NDB Impacted SPRF''s'!$E$16:$O$9929,6,FALSE)</f>
        <v>Suzanne Smith</v>
      </c>
      <c r="AG1122" s="282"/>
      <c r="AH1122" s="311" t="e">
        <f>INDEX('D5 - Gatekeeper - Projects'!$A$4:$AF$1010,$AM1122, 17)</f>
        <v>#N/A</v>
      </c>
      <c r="AI1122" s="8"/>
      <c r="AJ1122" s="57"/>
      <c r="AK1122" s="105"/>
      <c r="AM1122" s="6" t="e">
        <f>MATCH(D1122,'D5 - Gatekeeper - Projects'!$C$4:$C$1010,0)</f>
        <v>#N/A</v>
      </c>
      <c r="AN1122" s="6" t="b">
        <f t="shared" si="105"/>
        <v>1</v>
      </c>
      <c r="AO1122" s="6" t="str">
        <f t="shared" si="108"/>
        <v>OK</v>
      </c>
      <c r="AQ1122" s="6" t="e">
        <f>MATCH($D1122,'D4 - Provider Council Unsched'!$C$11:$C$234,0)</f>
        <v>#N/A</v>
      </c>
      <c r="AR1122" s="6" t="b">
        <f t="shared" si="106"/>
        <v>1</v>
      </c>
      <c r="AS1122" s="6" t="str">
        <f t="shared" si="110"/>
        <v>OK</v>
      </c>
      <c r="AU1122" s="202"/>
      <c r="AV1122" s="262"/>
      <c r="AW1122" s="274"/>
    </row>
    <row r="1123" spans="1:49" s="13" customFormat="1" ht="33.75" x14ac:dyDescent="0.2">
      <c r="A1123" s="14">
        <v>1099</v>
      </c>
      <c r="B1123" s="14">
        <v>400024666</v>
      </c>
      <c r="C1123" s="8" t="s">
        <v>3763</v>
      </c>
      <c r="D1123" s="4" t="str">
        <f t="shared" si="111"/>
        <v>400024666R2</v>
      </c>
      <c r="E1123" s="309" t="str">
        <f>VLOOKUP($B1123,'D7 - NDB Impacted SPRF''s'!$E$6:$O$9929,2,FALSE)</f>
        <v xml:space="preserve">MPQ Enhancements </v>
      </c>
      <c r="F1123" s="8" t="s">
        <v>2114</v>
      </c>
      <c r="G1123" s="8" t="s">
        <v>4758</v>
      </c>
      <c r="H1123" s="8" t="s">
        <v>4246</v>
      </c>
      <c r="I1123" s="20">
        <v>14.15</v>
      </c>
      <c r="J1123" s="8" t="s">
        <v>4862</v>
      </c>
      <c r="K1123" s="182">
        <v>40040</v>
      </c>
      <c r="L1123" s="8" t="s">
        <v>5743</v>
      </c>
      <c r="M1123" s="8" t="s">
        <v>2814</v>
      </c>
      <c r="N1123" s="38"/>
      <c r="O1123" s="8" t="s">
        <v>4599</v>
      </c>
      <c r="P1123" s="4" t="str">
        <f>VLOOKUP($B1123,'D7 - NDB Impacted SPRF''s'!$E$16:$O$9929,9,FALSE)</f>
        <v>Y</v>
      </c>
      <c r="Q1123" s="4" t="str">
        <f>VLOOKUP($B1123,'D7 - NDB Impacted SPRF''s'!$E$16:$O$9929,10,FALSE)</f>
        <v>N</v>
      </c>
      <c r="R1123" s="4" t="str">
        <f>VLOOKUP($B1123,'D7 - NDB Impacted SPRF''s'!$E$16:$O$9929,11,FALSE)</f>
        <v>Y</v>
      </c>
      <c r="S1123" s="8"/>
      <c r="T1123" s="310"/>
      <c r="U1123" s="310"/>
      <c r="V1123" s="4"/>
      <c r="W1123" s="4"/>
      <c r="X1123" s="4"/>
      <c r="Y1123" s="4"/>
      <c r="Z1123" s="4"/>
      <c r="AA1123" s="4"/>
      <c r="AB1123" s="380" t="str">
        <f>VLOOKUP($B1123,'D7 - NDB Impacted SPRF''s'!$E$16:$O$9929,4,FALSE)</f>
        <v>Completed</v>
      </c>
      <c r="AC1123" s="380" t="str">
        <f>VLOOKUP($B1123,'D7 - NDB Impacted SPRF''s'!$E$16:$O$9929,3,FALSE)</f>
        <v>UnitedHealthcare Employer &amp; Individual</v>
      </c>
      <c r="AD1123" s="380" t="str">
        <f>VLOOKUP($B1123,'D7 - NDB Impacted SPRF''s'!$E$16:$O$9929,5,FALSE)</f>
        <v>Process Improvement</v>
      </c>
      <c r="AE1123" s="380" t="str">
        <f>VLOOKUP($B1123,'D7 - NDB Impacted SPRF''s'!$E$16:$O$9929,7,FALSE)</f>
        <v>Jillian Foucre</v>
      </c>
      <c r="AF1123" s="380" t="str">
        <f>VLOOKUP($B1123,'D7 - NDB Impacted SPRF''s'!$E$16:$O$9929,6,FALSE)</f>
        <v>JOHN HIEBERT</v>
      </c>
      <c r="AG1123" s="282"/>
      <c r="AH1123" s="311" t="e">
        <f>INDEX('D5 - Gatekeeper - Projects'!$A$4:$AF$1010,$AM1123, 17)</f>
        <v>#N/A</v>
      </c>
      <c r="AI1123" s="8"/>
      <c r="AJ1123" s="57"/>
      <c r="AK1123" s="105"/>
      <c r="AM1123" s="6" t="e">
        <f>MATCH(D1123,'D5 - Gatekeeper - Projects'!$C$4:$C$1010,0)</f>
        <v>#N/A</v>
      </c>
      <c r="AN1123" s="6" t="b">
        <f t="shared" si="105"/>
        <v>1</v>
      </c>
      <c r="AO1123" s="6" t="str">
        <f t="shared" si="108"/>
        <v>OK</v>
      </c>
      <c r="AQ1123" s="6" t="e">
        <f>MATCH($D1123,'D4 - Provider Council Unsched'!$C$11:$C$234,0)</f>
        <v>#N/A</v>
      </c>
      <c r="AR1123" s="6" t="b">
        <f t="shared" si="106"/>
        <v>1</v>
      </c>
      <c r="AS1123" s="6" t="str">
        <f t="shared" si="110"/>
        <v>OK</v>
      </c>
      <c r="AU1123" s="202"/>
      <c r="AV1123" s="262"/>
      <c r="AW1123" s="274"/>
    </row>
    <row r="1124" spans="1:49" s="13" customFormat="1" ht="22.5" x14ac:dyDescent="0.2">
      <c r="A1124" s="14">
        <v>1100</v>
      </c>
      <c r="B1124" s="14">
        <v>400025245</v>
      </c>
      <c r="C1124" s="8" t="s">
        <v>5197</v>
      </c>
      <c r="D1124" s="4" t="str">
        <f t="shared" si="111"/>
        <v>400025245R1</v>
      </c>
      <c r="E1124" s="309" t="str">
        <f>VLOOKUP($B1124,'D7 - NDB Impacted SPRF''s'!$E$6:$O$9929,2,FALSE)</f>
        <v>Enable PTI G for PTI by Contract Organization</v>
      </c>
      <c r="F1124" s="8" t="s">
        <v>2114</v>
      </c>
      <c r="G1124" s="8" t="s">
        <v>4758</v>
      </c>
      <c r="H1124" s="8" t="s">
        <v>4246</v>
      </c>
      <c r="I1124" s="20">
        <f>2299/150</f>
        <v>15.326666666666666</v>
      </c>
      <c r="J1124" s="8" t="s">
        <v>4862</v>
      </c>
      <c r="K1124" s="182">
        <v>40040</v>
      </c>
      <c r="L1124" s="8" t="s">
        <v>5743</v>
      </c>
      <c r="M1124" s="8" t="s">
        <v>2814</v>
      </c>
      <c r="N1124" s="38"/>
      <c r="O1124" s="8" t="s">
        <v>7086</v>
      </c>
      <c r="P1124" s="4" t="str">
        <f>VLOOKUP($B1124,'D7 - NDB Impacted SPRF''s'!$E$16:$O$9929,9,FALSE)</f>
        <v>Y</v>
      </c>
      <c r="Q1124" s="4" t="str">
        <f>VLOOKUP($B1124,'D7 - NDB Impacted SPRF''s'!$E$16:$O$9929,10,FALSE)</f>
        <v>N</v>
      </c>
      <c r="R1124" s="4" t="str">
        <f>VLOOKUP($B1124,'D7 - NDB Impacted SPRF''s'!$E$16:$O$9929,11,FALSE)</f>
        <v>N</v>
      </c>
      <c r="S1124" s="8"/>
      <c r="T1124" s="310"/>
      <c r="U1124" s="310"/>
      <c r="V1124" s="4"/>
      <c r="W1124" s="4"/>
      <c r="X1124" s="4"/>
      <c r="Y1124" s="4"/>
      <c r="Z1124" s="4"/>
      <c r="AA1124" s="4"/>
      <c r="AB1124" s="380" t="str">
        <f>VLOOKUP($B1124,'D7 - NDB Impacted SPRF''s'!$E$16:$O$9929,4,FALSE)</f>
        <v>Completed</v>
      </c>
      <c r="AC1124" s="380" t="str">
        <f>VLOOKUP($B1124,'D7 - NDB Impacted SPRF''s'!$E$16:$O$9929,3,FALSE)</f>
        <v>OptumHealth</v>
      </c>
      <c r="AD1124" s="380" t="str">
        <f>VLOOKUP($B1124,'D7 - NDB Impacted SPRF''s'!$E$16:$O$9929,5,FALSE)</f>
        <v>Behavioral Solutions</v>
      </c>
      <c r="AE1124" s="380" t="str">
        <f>VLOOKUP($B1124,'D7 - NDB Impacted SPRF''s'!$E$16:$O$9929,7,FALSE)</f>
        <v>Michael Geary</v>
      </c>
      <c r="AF1124" s="380" t="str">
        <f>VLOOKUP($B1124,'D7 - NDB Impacted SPRF''s'!$E$16:$O$9929,6,FALSE)</f>
        <v>Rosalind Hoagland</v>
      </c>
      <c r="AG1124" s="282"/>
      <c r="AH1124" s="311" t="e">
        <f>INDEX('D5 - Gatekeeper - Projects'!$A$4:$AF$1010,$AM1124, 17)</f>
        <v>#N/A</v>
      </c>
      <c r="AI1124" s="8"/>
      <c r="AJ1124" s="57"/>
      <c r="AK1124" s="105"/>
      <c r="AM1124" s="6" t="e">
        <f>MATCH(D1124,'D5 - Gatekeeper - Projects'!$C$4:$C$1010,0)</f>
        <v>#N/A</v>
      </c>
      <c r="AN1124" s="6" t="b">
        <f t="shared" si="105"/>
        <v>1</v>
      </c>
      <c r="AO1124" s="6" t="str">
        <f t="shared" si="108"/>
        <v>OK</v>
      </c>
      <c r="AQ1124" s="6" t="e">
        <f>MATCH($D1124,'D4 - Provider Council Unsched'!$C$11:$C$234,0)</f>
        <v>#N/A</v>
      </c>
      <c r="AR1124" s="6" t="b">
        <f t="shared" si="106"/>
        <v>1</v>
      </c>
      <c r="AS1124" s="6" t="str">
        <f t="shared" si="110"/>
        <v>OK</v>
      </c>
      <c r="AU1124" s="202"/>
      <c r="AV1124" s="262"/>
      <c r="AW1124" s="274"/>
    </row>
    <row r="1125" spans="1:49" s="13" customFormat="1" ht="33.75" x14ac:dyDescent="0.2">
      <c r="A1125" s="14">
        <v>1101</v>
      </c>
      <c r="B1125" s="14">
        <v>400025413</v>
      </c>
      <c r="C1125" s="8" t="s">
        <v>5197</v>
      </c>
      <c r="D1125" s="4" t="str">
        <f t="shared" si="111"/>
        <v>400025413R1</v>
      </c>
      <c r="E1125" s="309" t="str">
        <f>VLOOKUP($B1125,'D7 - NDB Impacted SPRF''s'!$E$6:$O$9929,2,FALSE)</f>
        <v>PacifiCare DST (ASI) Pricing through ppoONE</v>
      </c>
      <c r="F1125" s="8" t="s">
        <v>6071</v>
      </c>
      <c r="G1125" s="8" t="s">
        <v>4758</v>
      </c>
      <c r="H1125" s="8" t="s">
        <v>4246</v>
      </c>
      <c r="I1125" s="20">
        <v>2.13</v>
      </c>
      <c r="J1125" s="8" t="s">
        <v>4862</v>
      </c>
      <c r="K1125" s="182">
        <v>40040</v>
      </c>
      <c r="L1125" s="8" t="s">
        <v>5743</v>
      </c>
      <c r="M1125" s="8" t="s">
        <v>4850</v>
      </c>
      <c r="N1125" s="38" t="s">
        <v>4370</v>
      </c>
      <c r="O1125" s="8" t="s">
        <v>2000</v>
      </c>
      <c r="P1125" s="4" t="str">
        <f>VLOOKUP($B1125,'D7 - NDB Impacted SPRF''s'!$E$16:$O$9929,9,FALSE)</f>
        <v>N</v>
      </c>
      <c r="Q1125" s="4" t="str">
        <f>VLOOKUP($B1125,'D7 - NDB Impacted SPRF''s'!$E$16:$O$9929,10,FALSE)</f>
        <v>N</v>
      </c>
      <c r="R1125" s="4" t="str">
        <f>VLOOKUP($B1125,'D7 - NDB Impacted SPRF''s'!$E$16:$O$9929,11,FALSE)</f>
        <v>Y</v>
      </c>
      <c r="S1125" s="8"/>
      <c r="T1125" s="310"/>
      <c r="U1125" s="310"/>
      <c r="V1125" s="4"/>
      <c r="W1125" s="4"/>
      <c r="X1125" s="4"/>
      <c r="Y1125" s="4"/>
      <c r="Z1125" s="4"/>
      <c r="AA1125" s="4"/>
      <c r="AB1125" s="380" t="str">
        <f>VLOOKUP($B1125,'D7 - NDB Impacted SPRF''s'!$E$16:$O$9929,4,FALSE)</f>
        <v>Completed</v>
      </c>
      <c r="AC1125" s="380" t="str">
        <f>VLOOKUP($B1125,'D7 - NDB Impacted SPRF''s'!$E$16:$O$9929,3,FALSE)</f>
        <v>UnitedHealthcare Employer &amp; Individual</v>
      </c>
      <c r="AD1125" s="380" t="str">
        <f>VLOOKUP($B1125,'D7 - NDB Impacted SPRF''s'!$E$16:$O$9929,5,FALSE)</f>
        <v>Integration Requirements</v>
      </c>
      <c r="AE1125" s="380" t="str">
        <f>VLOOKUP($B1125,'D7 - NDB Impacted SPRF''s'!$E$16:$O$9929,7,FALSE)</f>
        <v>Sally Verrilli</v>
      </c>
      <c r="AF1125" s="380" t="str">
        <f>VLOOKUP($B1125,'D7 - NDB Impacted SPRF''s'!$E$16:$O$9929,6,FALSE)</f>
        <v>Ronald Wallner</v>
      </c>
      <c r="AG1125" s="282"/>
      <c r="AH1125" s="311" t="e">
        <f>INDEX('D5 - Gatekeeper - Projects'!$A$4:$AF$1010,$AM1125, 17)</f>
        <v>#N/A</v>
      </c>
      <c r="AI1125" s="8"/>
      <c r="AJ1125" s="57"/>
      <c r="AK1125" s="105"/>
      <c r="AM1125" s="6" t="e">
        <f>MATCH(D1125,'D5 - Gatekeeper - Projects'!$C$4:$C$1010,0)</f>
        <v>#N/A</v>
      </c>
      <c r="AN1125" s="6" t="b">
        <f t="shared" si="105"/>
        <v>1</v>
      </c>
      <c r="AO1125" s="6" t="str">
        <f t="shared" si="108"/>
        <v>OK</v>
      </c>
      <c r="AQ1125" s="6" t="e">
        <f>MATCH($D1125,'D4 - Provider Council Unsched'!$C$11:$C$234,0)</f>
        <v>#N/A</v>
      </c>
      <c r="AR1125" s="6" t="b">
        <f t="shared" si="106"/>
        <v>1</v>
      </c>
      <c r="AS1125" s="6" t="str">
        <f t="shared" si="110"/>
        <v>OK</v>
      </c>
      <c r="AU1125" s="202"/>
      <c r="AV1125" s="262"/>
      <c r="AW1125" s="274"/>
    </row>
    <row r="1126" spans="1:49" s="13" customFormat="1" ht="33.75" x14ac:dyDescent="0.2">
      <c r="A1126" s="14">
        <v>1102</v>
      </c>
      <c r="B1126" s="14">
        <v>400026608</v>
      </c>
      <c r="C1126" s="8" t="s">
        <v>5197</v>
      </c>
      <c r="D1126" s="4" t="str">
        <f t="shared" si="111"/>
        <v>400026608R1</v>
      </c>
      <c r="E1126" s="309" t="str">
        <f>VLOOKUP($B1126,'D7 - NDB Impacted SPRF''s'!$E$6:$O$9929,2,FALSE)</f>
        <v>iCES August 2009 Maintenance Release</v>
      </c>
      <c r="F1126" s="8" t="s">
        <v>4471</v>
      </c>
      <c r="G1126" s="8" t="s">
        <v>4758</v>
      </c>
      <c r="H1126" s="8" t="s">
        <v>4246</v>
      </c>
      <c r="I1126" s="20">
        <v>0.53</v>
      </c>
      <c r="J1126" s="8" t="s">
        <v>4862</v>
      </c>
      <c r="K1126" s="182">
        <v>40040</v>
      </c>
      <c r="L1126" s="8" t="s">
        <v>5743</v>
      </c>
      <c r="M1126" s="8" t="s">
        <v>4850</v>
      </c>
      <c r="N1126" s="38"/>
      <c r="O1126" s="8" t="s">
        <v>2000</v>
      </c>
      <c r="P1126" s="4" t="str">
        <f>VLOOKUP($B1126,'D7 - NDB Impacted SPRF''s'!$E$16:$O$9929,9,FALSE)</f>
        <v>Y</v>
      </c>
      <c r="Q1126" s="4" t="str">
        <f>VLOOKUP($B1126,'D7 - NDB Impacted SPRF''s'!$E$16:$O$9929,10,FALSE)</f>
        <v>N</v>
      </c>
      <c r="R1126" s="4" t="str">
        <f>VLOOKUP($B1126,'D7 - NDB Impacted SPRF''s'!$E$16:$O$9929,11,FALSE)</f>
        <v>Y</v>
      </c>
      <c r="S1126" s="8"/>
      <c r="T1126" s="310"/>
      <c r="U1126" s="310"/>
      <c r="V1126" s="4"/>
      <c r="W1126" s="4"/>
      <c r="X1126" s="4"/>
      <c r="Y1126" s="4"/>
      <c r="Z1126" s="4"/>
      <c r="AA1126" s="4"/>
      <c r="AB1126" s="380" t="str">
        <f>VLOOKUP($B1126,'D7 - NDB Impacted SPRF''s'!$E$16:$O$9929,4,FALSE)</f>
        <v>Completed</v>
      </c>
      <c r="AC1126" s="380" t="str">
        <f>VLOOKUP($B1126,'D7 - NDB Impacted SPRF''s'!$E$16:$O$9929,3,FALSE)</f>
        <v>UnitedHealthcare Employer &amp; Individual</v>
      </c>
      <c r="AD1126" s="380" t="str">
        <f>VLOOKUP($B1126,'D7 - NDB Impacted SPRF''s'!$E$16:$O$9929,5,FALSE)</f>
        <v>Operational Requirements</v>
      </c>
      <c r="AE1126" s="380" t="str">
        <f>VLOOKUP($B1126,'D7 - NDB Impacted SPRF''s'!$E$16:$O$9929,7,FALSE)</f>
        <v>Sally Verrilli</v>
      </c>
      <c r="AF1126" s="380" t="str">
        <f>VLOOKUP($B1126,'D7 - NDB Impacted SPRF''s'!$E$16:$O$9929,6,FALSE)</f>
        <v>Shawn McCord</v>
      </c>
      <c r="AG1126" s="282"/>
      <c r="AH1126" s="311" t="e">
        <f>INDEX('D5 - Gatekeeper - Projects'!$A$4:$AF$1010,$AM1126, 17)</f>
        <v>#N/A</v>
      </c>
      <c r="AI1126" s="8"/>
      <c r="AJ1126" s="57"/>
      <c r="AK1126" s="105"/>
      <c r="AM1126" s="6" t="e">
        <f>MATCH(D1126,'D5 - Gatekeeper - Projects'!$C$4:$C$1010,0)</f>
        <v>#N/A</v>
      </c>
      <c r="AN1126" s="6" t="b">
        <f t="shared" si="105"/>
        <v>1</v>
      </c>
      <c r="AO1126" s="6" t="str">
        <f t="shared" si="108"/>
        <v>OK</v>
      </c>
      <c r="AQ1126" s="6" t="e">
        <f>MATCH($D1126,'D4 - Provider Council Unsched'!$C$11:$C$234,0)</f>
        <v>#N/A</v>
      </c>
      <c r="AR1126" s="6" t="b">
        <f t="shared" si="106"/>
        <v>1</v>
      </c>
      <c r="AS1126" s="6" t="str">
        <f>IF(AND(H1126="2 - Not Scheduled",AR1126=TRUE),"Add","OK")</f>
        <v>OK</v>
      </c>
      <c r="AU1126" s="202"/>
      <c r="AV1126" s="262"/>
      <c r="AW1126" s="274"/>
    </row>
    <row r="1127" spans="1:49" s="13" customFormat="1" ht="33.75" x14ac:dyDescent="0.2">
      <c r="A1127" s="14">
        <v>1103</v>
      </c>
      <c r="B1127" s="14">
        <v>400027647</v>
      </c>
      <c r="C1127" s="8" t="s">
        <v>5197</v>
      </c>
      <c r="D1127" s="4" t="str">
        <f t="shared" si="111"/>
        <v>400027647R1</v>
      </c>
      <c r="E1127" s="309" t="str">
        <f>VLOOKUP($B1127,'D7 - NDB Impacted SPRF''s'!$E$6:$O$9929,2,FALSE)</f>
        <v>Chicago Narrow Network</v>
      </c>
      <c r="F1127" s="8" t="s">
        <v>2114</v>
      </c>
      <c r="G1127" s="8" t="s">
        <v>4758</v>
      </c>
      <c r="H1127" s="8" t="s">
        <v>4246</v>
      </c>
      <c r="I1127" s="20">
        <v>4.08</v>
      </c>
      <c r="J1127" s="8" t="s">
        <v>4862</v>
      </c>
      <c r="K1127" s="182">
        <v>40040</v>
      </c>
      <c r="L1127" s="8" t="s">
        <v>5743</v>
      </c>
      <c r="M1127" s="8" t="s">
        <v>2814</v>
      </c>
      <c r="N1127" s="38"/>
      <c r="O1127" s="8" t="s">
        <v>2875</v>
      </c>
      <c r="P1127" s="4" t="str">
        <f>VLOOKUP($B1127,'D7 - NDB Impacted SPRF''s'!$E$16:$O$9929,9,FALSE)</f>
        <v>Y</v>
      </c>
      <c r="Q1127" s="4" t="str">
        <f>VLOOKUP($B1127,'D7 - NDB Impacted SPRF''s'!$E$16:$O$9929,10,FALSE)</f>
        <v>N</v>
      </c>
      <c r="R1127" s="4" t="str">
        <f>VLOOKUP($B1127,'D7 - NDB Impacted SPRF''s'!$E$16:$O$9929,11,FALSE)</f>
        <v>N</v>
      </c>
      <c r="S1127" s="8"/>
      <c r="T1127" s="310"/>
      <c r="U1127" s="310"/>
      <c r="V1127" s="4"/>
      <c r="W1127" s="4"/>
      <c r="X1127" s="4"/>
      <c r="Y1127" s="4"/>
      <c r="Z1127" s="4"/>
      <c r="AA1127" s="4"/>
      <c r="AB1127" s="380" t="str">
        <f>VLOOKUP($B1127,'D7 - NDB Impacted SPRF''s'!$E$16:$O$9929,4,FALSE)</f>
        <v>Completed</v>
      </c>
      <c r="AC1127" s="380" t="str">
        <f>VLOOKUP($B1127,'D7 - NDB Impacted SPRF''s'!$E$16:$O$9929,3,FALSE)</f>
        <v>UnitedHealthcare Employer &amp; Individual</v>
      </c>
      <c r="AD1127" s="380" t="str">
        <f>VLOOKUP($B1127,'D7 - NDB Impacted SPRF''s'!$E$16:$O$9929,5,FALSE)</f>
        <v>Membership Growth / Revenue Programs</v>
      </c>
      <c r="AE1127" s="380" t="str">
        <f>VLOOKUP($B1127,'D7 - NDB Impacted SPRF''s'!$E$16:$O$9929,7,FALSE)</f>
        <v>Stephen Rodgers</v>
      </c>
      <c r="AF1127" s="380" t="str">
        <f>VLOOKUP($B1127,'D7 - NDB Impacted SPRF''s'!$E$16:$O$9929,6,FALSE)</f>
        <v>COBB DOROTHY</v>
      </c>
      <c r="AG1127" s="282"/>
      <c r="AH1127" s="311" t="e">
        <f>INDEX('D5 - Gatekeeper - Projects'!$A$4:$AF$1010,$AM1127, 17)</f>
        <v>#N/A</v>
      </c>
      <c r="AI1127" s="8"/>
      <c r="AJ1127" s="57"/>
      <c r="AK1127" s="105"/>
      <c r="AM1127" s="6" t="e">
        <f>MATCH(D1127,'D5 - Gatekeeper - Projects'!$C$4:$C$1010,0)</f>
        <v>#N/A</v>
      </c>
      <c r="AN1127" s="6" t="b">
        <f t="shared" si="105"/>
        <v>1</v>
      </c>
      <c r="AO1127" s="6" t="str">
        <f t="shared" si="108"/>
        <v>OK</v>
      </c>
      <c r="AQ1127" s="6" t="e">
        <f>MATCH($D1127,'D4 - Provider Council Unsched'!$C$11:$C$234,0)</f>
        <v>#N/A</v>
      </c>
      <c r="AR1127" s="6" t="b">
        <f t="shared" si="106"/>
        <v>1</v>
      </c>
      <c r="AS1127" s="6" t="str">
        <f>IF(AND(H1127="2 - Not Scheduled",AR1127=TRUE),"Add","OK")</f>
        <v>OK</v>
      </c>
      <c r="AU1127" s="202"/>
      <c r="AV1127" s="262"/>
      <c r="AW1127" s="274"/>
    </row>
    <row r="1128" spans="1:49" s="13" customFormat="1" ht="33.75" x14ac:dyDescent="0.2">
      <c r="A1128" s="14">
        <v>1104</v>
      </c>
      <c r="B1128" s="14">
        <v>400028877</v>
      </c>
      <c r="C1128" s="8" t="s">
        <v>5197</v>
      </c>
      <c r="D1128" s="4" t="str">
        <f t="shared" si="111"/>
        <v>400028877R1</v>
      </c>
      <c r="E1128" s="309" t="str">
        <f>VLOOKUP($B1128,'D7 - NDB Impacted SPRF''s'!$E$6:$O$9929,2,FALSE)</f>
        <v xml:space="preserve">HPHC Soft$ Anesth Calc Type Change from R to P </v>
      </c>
      <c r="F1128" s="8" t="s">
        <v>5196</v>
      </c>
      <c r="G1128" s="8" t="s">
        <v>4758</v>
      </c>
      <c r="H1128" s="8" t="s">
        <v>4246</v>
      </c>
      <c r="I1128" s="20">
        <v>1.42</v>
      </c>
      <c r="J1128" s="8" t="s">
        <v>4862</v>
      </c>
      <c r="K1128" s="182">
        <v>40040</v>
      </c>
      <c r="L1128" s="8" t="s">
        <v>5743</v>
      </c>
      <c r="M1128" s="8" t="s">
        <v>2814</v>
      </c>
      <c r="N1128" s="38"/>
      <c r="O1128" s="8" t="s">
        <v>4599</v>
      </c>
      <c r="P1128" s="4" t="str">
        <f>VLOOKUP($B1128,'D7 - NDB Impacted SPRF''s'!$E$16:$O$9929,9,FALSE)</f>
        <v>N</v>
      </c>
      <c r="Q1128" s="4" t="str">
        <f>VLOOKUP($B1128,'D7 - NDB Impacted SPRF''s'!$E$16:$O$9929,10,FALSE)</f>
        <v>N</v>
      </c>
      <c r="R1128" s="4" t="str">
        <f>VLOOKUP($B1128,'D7 - NDB Impacted SPRF''s'!$E$16:$O$9929,11,FALSE)</f>
        <v>Y</v>
      </c>
      <c r="S1128" s="8"/>
      <c r="T1128" s="310"/>
      <c r="U1128" s="310"/>
      <c r="V1128" s="4"/>
      <c r="W1128" s="4"/>
      <c r="X1128" s="4"/>
      <c r="Y1128" s="4"/>
      <c r="Z1128" s="4"/>
      <c r="AA1128" s="4"/>
      <c r="AB1128" s="380" t="str">
        <f>VLOOKUP($B1128,'D7 - NDB Impacted SPRF''s'!$E$16:$O$9929,4,FALSE)</f>
        <v>Completed</v>
      </c>
      <c r="AC1128" s="380" t="str">
        <f>VLOOKUP($B1128,'D7 - NDB Impacted SPRF''s'!$E$16:$O$9929,3,FALSE)</f>
        <v>UnitedHealthcare Employer &amp; Individual</v>
      </c>
      <c r="AD1128" s="380" t="str">
        <f>VLOOKUP($B1128,'D7 - NDB Impacted SPRF''s'!$E$16:$O$9929,5,FALSE)</f>
        <v>HCA - HPHC Operational Support</v>
      </c>
      <c r="AE1128" s="380" t="str">
        <f>VLOOKUP($B1128,'D7 - NDB Impacted SPRF''s'!$E$16:$O$9929,7,FALSE)</f>
        <v>Kelly Leonard</v>
      </c>
      <c r="AF1128" s="380" t="str">
        <f>VLOOKUP($B1128,'D7 - NDB Impacted SPRF''s'!$E$16:$O$9929,6,FALSE)</f>
        <v>LUND ROSS</v>
      </c>
      <c r="AG1128" s="282"/>
      <c r="AH1128" s="311" t="e">
        <f>INDEX('D5 - Gatekeeper - Projects'!$A$4:$AF$1010,$AM1128, 17)</f>
        <v>#N/A</v>
      </c>
      <c r="AI1128" s="8"/>
      <c r="AJ1128" s="57"/>
      <c r="AK1128" s="105"/>
      <c r="AM1128" s="6" t="e">
        <f>MATCH(D1128,'D5 - Gatekeeper - Projects'!$C$4:$C$1010,0)</f>
        <v>#N/A</v>
      </c>
      <c r="AN1128" s="6" t="b">
        <f t="shared" si="105"/>
        <v>1</v>
      </c>
      <c r="AO1128" s="6" t="str">
        <f t="shared" si="108"/>
        <v>OK</v>
      </c>
      <c r="AQ1128" s="6" t="e">
        <f>MATCH($D1128,'D4 - Provider Council Unsched'!$C$11:$C$234,0)</f>
        <v>#N/A</v>
      </c>
      <c r="AR1128" s="6" t="b">
        <f t="shared" si="106"/>
        <v>1</v>
      </c>
      <c r="AS1128" s="6" t="str">
        <f>IF(AND(H1128="2 - Not Scheduled",AR1128=TRUE,C1128="R1"),"Add","OK")</f>
        <v>OK</v>
      </c>
      <c r="AU1128" s="202"/>
      <c r="AV1128" s="262"/>
      <c r="AW1128" s="274"/>
    </row>
    <row r="1129" spans="1:49" s="13" customFormat="1" ht="33.75" x14ac:dyDescent="0.2">
      <c r="A1129" s="14">
        <v>1105</v>
      </c>
      <c r="B1129" s="14">
        <v>400029107</v>
      </c>
      <c r="C1129" s="8" t="s">
        <v>5197</v>
      </c>
      <c r="D1129" s="4" t="str">
        <f t="shared" si="111"/>
        <v>400029107R1</v>
      </c>
      <c r="E1129" s="309" t="str">
        <f>VLOOKUP($B1129,'D7 - NDB Impacted SPRF''s'!$E$6:$O$9929,2,FALSE)</f>
        <v>CSS-B2C 2009A Release</v>
      </c>
      <c r="F1129" s="8" t="s">
        <v>6401</v>
      </c>
      <c r="G1129" s="8" t="s">
        <v>4758</v>
      </c>
      <c r="H1129" s="8" t="s">
        <v>4246</v>
      </c>
      <c r="I1129" s="20">
        <v>1.07</v>
      </c>
      <c r="J1129" s="8" t="s">
        <v>4862</v>
      </c>
      <c r="K1129" s="182">
        <v>40040</v>
      </c>
      <c r="L1129" s="8" t="s">
        <v>5743</v>
      </c>
      <c r="M1129" s="8" t="s">
        <v>5626</v>
      </c>
      <c r="N1129" s="38"/>
      <c r="O1129" s="8" t="s">
        <v>2000</v>
      </c>
      <c r="P1129" s="4" t="str">
        <f>VLOOKUP($B1129,'D7 - NDB Impacted SPRF''s'!$E$16:$O$9929,9,FALSE)</f>
        <v>Y</v>
      </c>
      <c r="Q1129" s="4" t="str">
        <f>VLOOKUP($B1129,'D7 - NDB Impacted SPRF''s'!$E$16:$O$9929,10,FALSE)</f>
        <v>N</v>
      </c>
      <c r="R1129" s="4" t="str">
        <f>VLOOKUP($B1129,'D7 - NDB Impacted SPRF''s'!$E$16:$O$9929,11,FALSE)</f>
        <v>N</v>
      </c>
      <c r="S1129" s="8"/>
      <c r="T1129" s="310"/>
      <c r="U1129" s="310"/>
      <c r="V1129" s="4"/>
      <c r="W1129" s="4"/>
      <c r="X1129" s="4"/>
      <c r="Y1129" s="4"/>
      <c r="Z1129" s="4"/>
      <c r="AA1129" s="4"/>
      <c r="AB1129" s="380" t="str">
        <f>VLOOKUP($B1129,'D7 - NDB Impacted SPRF''s'!$E$16:$O$9929,4,FALSE)</f>
        <v>Completed</v>
      </c>
      <c r="AC1129" s="380" t="str">
        <f>VLOOKUP($B1129,'D7 - NDB Impacted SPRF''s'!$E$16:$O$9929,3,FALSE)</f>
        <v>UnitedHealthcare Medicare &amp; Retirement</v>
      </c>
      <c r="AD1129" s="380" t="str">
        <f>VLOOKUP($B1129,'D7 - NDB Impacted SPRF''s'!$E$16:$O$9929,5,FALSE)</f>
        <v>Enterprise Clinical</v>
      </c>
      <c r="AE1129" s="380" t="str">
        <f>VLOOKUP($B1129,'D7 - NDB Impacted SPRF''s'!$E$16:$O$9929,7,FALSE)</f>
        <v>Cynthia Middaugh</v>
      </c>
      <c r="AF1129" s="380" t="str">
        <f>VLOOKUP($B1129,'D7 - NDB Impacted SPRF''s'!$E$16:$O$9929,6,FALSE)</f>
        <v>CHRISTINA MOSHER</v>
      </c>
      <c r="AG1129" s="282"/>
      <c r="AH1129" s="311" t="e">
        <f>INDEX('D5 - Gatekeeper - Projects'!$A$4:$AF$1010,$AM1129, 17)</f>
        <v>#N/A</v>
      </c>
      <c r="AI1129" s="8"/>
      <c r="AJ1129" s="57"/>
      <c r="AK1129" s="105"/>
      <c r="AM1129" s="6" t="e">
        <f>MATCH(D1129,'D5 - Gatekeeper - Projects'!$C$4:$C$1010,0)</f>
        <v>#N/A</v>
      </c>
      <c r="AN1129" s="6" t="b">
        <f t="shared" si="105"/>
        <v>1</v>
      </c>
      <c r="AO1129" s="6" t="str">
        <f t="shared" si="108"/>
        <v>OK</v>
      </c>
      <c r="AQ1129" s="6" t="e">
        <f>MATCH($D1129,'D4 - Provider Council Unsched'!$C$11:$C$234,0)</f>
        <v>#N/A</v>
      </c>
      <c r="AR1129" s="6" t="b">
        <f t="shared" si="106"/>
        <v>1</v>
      </c>
      <c r="AS1129" s="6" t="str">
        <f>IF(AND(H1129="2 - Not Scheduled",AR1129=TRUE),"Add","OK")</f>
        <v>OK</v>
      </c>
      <c r="AU1129" s="202"/>
      <c r="AV1129" s="262"/>
      <c r="AW1129" s="274"/>
    </row>
    <row r="1130" spans="1:49" s="13" customFormat="1" x14ac:dyDescent="0.2">
      <c r="A1130" s="14">
        <v>1106</v>
      </c>
      <c r="B1130" s="14" t="s">
        <v>1253</v>
      </c>
      <c r="C1130" s="8" t="s">
        <v>5197</v>
      </c>
      <c r="D1130" s="4" t="s">
        <v>1256</v>
      </c>
      <c r="E1130" s="309" t="s">
        <v>4427</v>
      </c>
      <c r="F1130" s="8" t="s">
        <v>2114</v>
      </c>
      <c r="G1130" s="8" t="s">
        <v>4758</v>
      </c>
      <c r="H1130" s="8" t="s">
        <v>4246</v>
      </c>
      <c r="I1130" s="20">
        <v>0.6</v>
      </c>
      <c r="J1130" s="8" t="s">
        <v>4862</v>
      </c>
      <c r="K1130" s="182">
        <v>40040</v>
      </c>
      <c r="L1130" s="8" t="s">
        <v>5743</v>
      </c>
      <c r="M1130" s="8" t="s">
        <v>5626</v>
      </c>
      <c r="N1130" s="38"/>
      <c r="O1130" s="8" t="s">
        <v>3572</v>
      </c>
      <c r="P1130" s="4" t="e">
        <f>VLOOKUP($B1130,'D7 - NDB Impacted SPRF''s'!$E$16:$O$9929,9,FALSE)</f>
        <v>#N/A</v>
      </c>
      <c r="Q1130" s="4" t="e">
        <f>VLOOKUP($B1130,'D7 - NDB Impacted SPRF''s'!$E$16:$O$9929,10,FALSE)</f>
        <v>#N/A</v>
      </c>
      <c r="R1130" s="4" t="e">
        <f>VLOOKUP($B1130,'D7 - NDB Impacted SPRF''s'!$E$16:$O$9929,11,FALSE)</f>
        <v>#N/A</v>
      </c>
      <c r="S1130" s="8"/>
      <c r="T1130" s="310"/>
      <c r="U1130" s="310"/>
      <c r="V1130" s="4"/>
      <c r="W1130" s="4"/>
      <c r="X1130" s="4"/>
      <c r="Y1130" s="4"/>
      <c r="Z1130" s="4"/>
      <c r="AA1130" s="4"/>
      <c r="AB1130" s="383" t="e">
        <f>VLOOKUP($B1130,'D7 - NDB Impacted SPRF''s'!$E$16:$O$9929,4,FALSE)</f>
        <v>#N/A</v>
      </c>
      <c r="AC1130" s="380" t="e">
        <f>VLOOKUP($B1130,'D7 - NDB Impacted SPRF''s'!$E$16:$O$9929,3,FALSE)</f>
        <v>#N/A</v>
      </c>
      <c r="AD1130" s="380" t="e">
        <f>VLOOKUP($B1130,'D7 - NDB Impacted SPRF''s'!$E$16:$O$9929,5,FALSE)</f>
        <v>#N/A</v>
      </c>
      <c r="AE1130" s="380" t="e">
        <f>VLOOKUP($B1130,'D7 - NDB Impacted SPRF''s'!$E$16:$O$9929,7,FALSE)</f>
        <v>#N/A</v>
      </c>
      <c r="AF1130" s="380" t="e">
        <f>VLOOKUP($B1130,'D7 - NDB Impacted SPRF''s'!$E$16:$O$9929,6,FALSE)</f>
        <v>#N/A</v>
      </c>
      <c r="AG1130" s="282"/>
      <c r="AH1130" s="311" t="e">
        <f>INDEX('D5 - Gatekeeper - Projects'!$A$4:$AF$1010,$AM1130, 17)</f>
        <v>#N/A</v>
      </c>
      <c r="AI1130" s="8"/>
      <c r="AJ1130" s="57"/>
      <c r="AK1130" s="105"/>
      <c r="AM1130" s="6" t="e">
        <f>MATCH(D1130,'D5 - Gatekeeper - Projects'!$C$4:$C$1010,0)</f>
        <v>#N/A</v>
      </c>
      <c r="AN1130" s="6" t="b">
        <f t="shared" si="105"/>
        <v>1</v>
      </c>
      <c r="AO1130" s="6" t="str">
        <f t="shared" si="108"/>
        <v>OK</v>
      </c>
      <c r="AQ1130" s="6" t="e">
        <f>MATCH($D1130,'D4 - Provider Council Unsched'!$C$11:$C$234,0)</f>
        <v>#N/A</v>
      </c>
      <c r="AR1130" s="6" t="b">
        <f t="shared" si="106"/>
        <v>1</v>
      </c>
      <c r="AS1130" s="6" t="str">
        <f>IF(AND(H1130="2 - Not Scheduled",AR1130=TRUE),"Add","OK")</f>
        <v>OK</v>
      </c>
      <c r="AU1130" s="202"/>
      <c r="AV1130" s="262"/>
      <c r="AW1130" s="274"/>
    </row>
    <row r="1131" spans="1:49" s="13" customFormat="1" x14ac:dyDescent="0.2">
      <c r="A1131" s="14">
        <v>1107</v>
      </c>
      <c r="B1131" s="14" t="s">
        <v>1254</v>
      </c>
      <c r="C1131" s="8" t="s">
        <v>5197</v>
      </c>
      <c r="D1131" s="4" t="s">
        <v>1257</v>
      </c>
      <c r="E1131" s="309" t="s">
        <v>4428</v>
      </c>
      <c r="F1131" s="8" t="s">
        <v>2114</v>
      </c>
      <c r="G1131" s="8" t="s">
        <v>4758</v>
      </c>
      <c r="H1131" s="8" t="s">
        <v>4246</v>
      </c>
      <c r="I1131" s="20">
        <v>0.53</v>
      </c>
      <c r="J1131" s="8" t="s">
        <v>4862</v>
      </c>
      <c r="K1131" s="182">
        <v>40040</v>
      </c>
      <c r="L1131" s="8" t="s">
        <v>5743</v>
      </c>
      <c r="M1131" s="8" t="s">
        <v>2814</v>
      </c>
      <c r="N1131" s="38"/>
      <c r="O1131" s="8" t="s">
        <v>3572</v>
      </c>
      <c r="P1131" s="4" t="e">
        <f>VLOOKUP($B1131,'D7 - NDB Impacted SPRF''s'!$E$16:$O$9929,9,FALSE)</f>
        <v>#N/A</v>
      </c>
      <c r="Q1131" s="4" t="e">
        <f>VLOOKUP($B1131,'D7 - NDB Impacted SPRF''s'!$E$16:$O$9929,10,FALSE)</f>
        <v>#N/A</v>
      </c>
      <c r="R1131" s="4" t="e">
        <f>VLOOKUP($B1131,'D7 - NDB Impacted SPRF''s'!$E$16:$O$9929,11,FALSE)</f>
        <v>#N/A</v>
      </c>
      <c r="S1131" s="8"/>
      <c r="T1131" s="310"/>
      <c r="U1131" s="310"/>
      <c r="V1131" s="4"/>
      <c r="W1131" s="4"/>
      <c r="X1131" s="4"/>
      <c r="Y1131" s="4"/>
      <c r="Z1131" s="4"/>
      <c r="AA1131" s="4"/>
      <c r="AB1131" s="383" t="e">
        <f>VLOOKUP($B1131,'D7 - NDB Impacted SPRF''s'!$E$16:$O$9929,4,FALSE)</f>
        <v>#N/A</v>
      </c>
      <c r="AC1131" s="380" t="e">
        <f>VLOOKUP($B1131,'D7 - NDB Impacted SPRF''s'!$E$16:$O$9929,3,FALSE)</f>
        <v>#N/A</v>
      </c>
      <c r="AD1131" s="380" t="e">
        <f>VLOOKUP($B1131,'D7 - NDB Impacted SPRF''s'!$E$16:$O$9929,5,FALSE)</f>
        <v>#N/A</v>
      </c>
      <c r="AE1131" s="380" t="e">
        <f>VLOOKUP($B1131,'D7 - NDB Impacted SPRF''s'!$E$16:$O$9929,7,FALSE)</f>
        <v>#N/A</v>
      </c>
      <c r="AF1131" s="380" t="e">
        <f>VLOOKUP($B1131,'D7 - NDB Impacted SPRF''s'!$E$16:$O$9929,6,FALSE)</f>
        <v>#N/A</v>
      </c>
      <c r="AG1131" s="282"/>
      <c r="AH1131" s="311" t="e">
        <f>INDEX('D5 - Gatekeeper - Projects'!$A$4:$AF$1010,$AM1131, 17)</f>
        <v>#N/A</v>
      </c>
      <c r="AI1131" s="8"/>
      <c r="AJ1131" s="57"/>
      <c r="AK1131" s="105"/>
      <c r="AM1131" s="6" t="e">
        <f>MATCH(D1131,'D5 - Gatekeeper - Projects'!$C$4:$C$1010,0)</f>
        <v>#N/A</v>
      </c>
      <c r="AN1131" s="6" t="b">
        <f t="shared" si="105"/>
        <v>1</v>
      </c>
      <c r="AO1131" s="6" t="str">
        <f t="shared" si="108"/>
        <v>OK</v>
      </c>
      <c r="AQ1131" s="6" t="e">
        <f>MATCH($D1131,'D4 - Provider Council Unsched'!$C$11:$C$234,0)</f>
        <v>#N/A</v>
      </c>
      <c r="AR1131" s="6" t="b">
        <f t="shared" si="106"/>
        <v>1</v>
      </c>
      <c r="AS1131" s="6" t="str">
        <f>IF(AND(H1131="2 - Not Scheduled",AR1131=TRUE),"Add","OK")</f>
        <v>OK</v>
      </c>
      <c r="AU1131" s="202"/>
      <c r="AV1131" s="262"/>
      <c r="AW1131" s="274"/>
    </row>
    <row r="1132" spans="1:49" s="13" customFormat="1" ht="45" x14ac:dyDescent="0.2">
      <c r="A1132" s="14">
        <v>1108</v>
      </c>
      <c r="B1132" s="14">
        <v>400028642</v>
      </c>
      <c r="C1132" s="8" t="s">
        <v>3763</v>
      </c>
      <c r="D1132" s="4" t="str">
        <f>CONCATENATE(B1132,C1132)</f>
        <v>400028642R2</v>
      </c>
      <c r="E1132" s="309" t="str">
        <f>VLOOKUP($B1132,'D7 - NDB Impacted SPRF''s'!$E$6:$O$9929,2,FALSE)</f>
        <v>PDR - Provider Pick Enhancements (Initiate)</v>
      </c>
      <c r="F1132" s="8" t="s">
        <v>5595</v>
      </c>
      <c r="G1132" s="8" t="s">
        <v>4758</v>
      </c>
      <c r="H1132" s="8" t="s">
        <v>4246</v>
      </c>
      <c r="I1132" s="20">
        <v>12.86</v>
      </c>
      <c r="J1132" s="8" t="s">
        <v>4862</v>
      </c>
      <c r="K1132" s="182">
        <v>40054</v>
      </c>
      <c r="L1132" s="8" t="s">
        <v>5743</v>
      </c>
      <c r="M1132" s="8" t="s">
        <v>2814</v>
      </c>
      <c r="N1132" s="38"/>
      <c r="O1132" s="8" t="s">
        <v>1074</v>
      </c>
      <c r="P1132" s="4" t="str">
        <f>VLOOKUP($B1132,'D7 - NDB Impacted SPRF''s'!$E$16:$O$9929,9,FALSE)</f>
        <v>Y</v>
      </c>
      <c r="Q1132" s="4" t="str">
        <f>VLOOKUP($B1132,'D7 - NDB Impacted SPRF''s'!$E$16:$O$9929,10,FALSE)</f>
        <v>N</v>
      </c>
      <c r="R1132" s="4" t="str">
        <f>VLOOKUP($B1132,'D7 - NDB Impacted SPRF''s'!$E$16:$O$9929,11,FALSE)</f>
        <v>N</v>
      </c>
      <c r="S1132" s="8"/>
      <c r="T1132" s="310"/>
      <c r="U1132" s="310"/>
      <c r="V1132" s="4"/>
      <c r="W1132" s="4"/>
      <c r="X1132" s="4"/>
      <c r="Y1132" s="4"/>
      <c r="Z1132" s="4"/>
      <c r="AA1132" s="4"/>
      <c r="AB1132" s="380" t="str">
        <f>VLOOKUP($B1132,'D7 - NDB Impacted SPRF''s'!$E$16:$O$9929,4,FALSE)</f>
        <v>Completed</v>
      </c>
      <c r="AC1132" s="380" t="str">
        <f>VLOOKUP($B1132,'D7 - NDB Impacted SPRF''s'!$E$16:$O$9929,3,FALSE)</f>
        <v>UHG IT - Enterprise Technology Services</v>
      </c>
      <c r="AD1132" s="380" t="str">
        <f>VLOOKUP($B1132,'D7 - NDB Impacted SPRF''s'!$E$16:$O$9929,5,FALSE)</f>
        <v>Strategic Initiatives</v>
      </c>
      <c r="AE1132" s="380" t="str">
        <f>VLOOKUP($B1132,'D7 - NDB Impacted SPRF''s'!$E$16:$O$9929,7,FALSE)</f>
        <v>Dave Wichmann</v>
      </c>
      <c r="AF1132" s="380" t="str">
        <f>VLOOKUP($B1132,'D7 - NDB Impacted SPRF''s'!$E$16:$O$9929,6,FALSE)</f>
        <v>Nicole Cartwright</v>
      </c>
      <c r="AG1132" s="282"/>
      <c r="AH1132" s="311" t="e">
        <f>INDEX('D5 - Gatekeeper - Projects'!$A$4:$AF$1010,$AM1132, 17)</f>
        <v>#N/A</v>
      </c>
      <c r="AI1132" s="8"/>
      <c r="AJ1132" s="57"/>
      <c r="AK1132" s="105"/>
      <c r="AM1132" s="6" t="e">
        <f>MATCH(D1132,'D5 - Gatekeeper - Projects'!$C$4:$C$1010,0)</f>
        <v>#N/A</v>
      </c>
      <c r="AN1132" s="6" t="b">
        <f t="shared" si="105"/>
        <v>1</v>
      </c>
      <c r="AO1132" s="6" t="str">
        <f t="shared" si="108"/>
        <v>OK</v>
      </c>
      <c r="AQ1132" s="6" t="e">
        <f>MATCH($D1132,'D4 - Provider Council Unsched'!$C$11:$C$234,0)</f>
        <v>#N/A</v>
      </c>
      <c r="AR1132" s="6" t="b">
        <f t="shared" si="106"/>
        <v>1</v>
      </c>
      <c r="AS1132" s="6" t="str">
        <f>IF(AND(H1132="2 - Not Scheduled",AR1132=TRUE),"Add","OK")</f>
        <v>OK</v>
      </c>
      <c r="AU1132" s="202"/>
      <c r="AV1132" s="262"/>
      <c r="AW1132" s="274"/>
    </row>
    <row r="1133" spans="1:49" s="13" customFormat="1" x14ac:dyDescent="0.2">
      <c r="A1133" s="14">
        <v>1109</v>
      </c>
      <c r="B1133" s="14" t="s">
        <v>7307</v>
      </c>
      <c r="C1133" s="8" t="s">
        <v>5197</v>
      </c>
      <c r="D1133" s="4" t="s">
        <v>7307</v>
      </c>
      <c r="E1133" s="309" t="s">
        <v>2955</v>
      </c>
      <c r="F1133" s="8" t="s">
        <v>2114</v>
      </c>
      <c r="G1133" s="8" t="s">
        <v>4758</v>
      </c>
      <c r="H1133" s="8" t="s">
        <v>4246</v>
      </c>
      <c r="I1133" s="20">
        <v>2.93</v>
      </c>
      <c r="J1133" s="8" t="s">
        <v>4862</v>
      </c>
      <c r="K1133" s="182">
        <v>40057</v>
      </c>
      <c r="L1133" s="8" t="s">
        <v>5743</v>
      </c>
      <c r="M1133" s="8" t="s">
        <v>2814</v>
      </c>
      <c r="N1133" s="38"/>
      <c r="O1133" s="8" t="s">
        <v>3572</v>
      </c>
      <c r="P1133" s="4" t="e">
        <f>VLOOKUP($B1133,'D7 - NDB Impacted SPRF''s'!$E$16:$O$9929,9,FALSE)</f>
        <v>#N/A</v>
      </c>
      <c r="Q1133" s="4" t="e">
        <f>VLOOKUP($B1133,'D7 - NDB Impacted SPRF''s'!$E$16:$O$9929,10,FALSE)</f>
        <v>#N/A</v>
      </c>
      <c r="R1133" s="4" t="e">
        <f>VLOOKUP($B1133,'D7 - NDB Impacted SPRF''s'!$E$16:$O$9929,11,FALSE)</f>
        <v>#N/A</v>
      </c>
      <c r="S1133" s="8"/>
      <c r="T1133" s="310"/>
      <c r="U1133" s="310"/>
      <c r="V1133" s="4"/>
      <c r="W1133" s="4"/>
      <c r="X1133" s="4"/>
      <c r="Y1133" s="4"/>
      <c r="Z1133" s="4"/>
      <c r="AA1133" s="4"/>
      <c r="AB1133" s="383" t="e">
        <f>VLOOKUP($B1133,'D7 - NDB Impacted SPRF''s'!$E$16:$O$9929,4,FALSE)</f>
        <v>#N/A</v>
      </c>
      <c r="AC1133" s="380" t="e">
        <f>VLOOKUP($B1133,'D7 - NDB Impacted SPRF''s'!$E$16:$O$9929,3,FALSE)</f>
        <v>#N/A</v>
      </c>
      <c r="AD1133" s="380" t="e">
        <f>VLOOKUP($B1133,'D7 - NDB Impacted SPRF''s'!$E$16:$O$9929,5,FALSE)</f>
        <v>#N/A</v>
      </c>
      <c r="AE1133" s="380" t="e">
        <f>VLOOKUP($B1133,'D7 - NDB Impacted SPRF''s'!$E$16:$O$9929,7,FALSE)</f>
        <v>#N/A</v>
      </c>
      <c r="AF1133" s="380" t="e">
        <f>VLOOKUP($B1133,'D7 - NDB Impacted SPRF''s'!$E$16:$O$9929,6,FALSE)</f>
        <v>#N/A</v>
      </c>
      <c r="AG1133" s="282"/>
      <c r="AH1133" s="311" t="e">
        <f>INDEX('D5 - Gatekeeper - Projects'!$A$4:$AF$1010,$AM1133, 17)</f>
        <v>#N/A</v>
      </c>
      <c r="AI1133" s="8"/>
      <c r="AJ1133" s="57"/>
      <c r="AK1133" s="105"/>
      <c r="AM1133" s="6" t="e">
        <f>MATCH(D1133,'D5 - Gatekeeper - Projects'!$C$4:$C$1010,0)</f>
        <v>#N/A</v>
      </c>
      <c r="AN1133" s="6" t="b">
        <f t="shared" si="105"/>
        <v>1</v>
      </c>
      <c r="AO1133" s="6" t="str">
        <f t="shared" si="108"/>
        <v>OK</v>
      </c>
      <c r="AQ1133" s="6" t="e">
        <f>MATCH($D1133,'D4 - Provider Council Unsched'!$C$11:$C$234,0)</f>
        <v>#N/A</v>
      </c>
      <c r="AR1133" s="6" t="b">
        <f t="shared" si="106"/>
        <v>1</v>
      </c>
      <c r="AS1133" s="6" t="str">
        <f>IF(AND(H1133="2 - Not Scheduled",AR1133=TRUE,C1133="R1"),"Add","OK")</f>
        <v>OK</v>
      </c>
      <c r="AU1133" s="202"/>
      <c r="AV1133" s="262"/>
      <c r="AW1133" s="274"/>
    </row>
    <row r="1134" spans="1:49" s="13" customFormat="1" x14ac:dyDescent="0.2">
      <c r="A1134" s="14">
        <v>1110</v>
      </c>
      <c r="B1134" s="14" t="s">
        <v>7308</v>
      </c>
      <c r="C1134" s="8" t="s">
        <v>5197</v>
      </c>
      <c r="D1134" s="4" t="s">
        <v>7308</v>
      </c>
      <c r="E1134" s="309" t="s">
        <v>3568</v>
      </c>
      <c r="F1134" s="8" t="s">
        <v>2114</v>
      </c>
      <c r="G1134" s="8" t="s">
        <v>4758</v>
      </c>
      <c r="H1134" s="8" t="s">
        <v>4246</v>
      </c>
      <c r="I1134" s="20">
        <v>2.8</v>
      </c>
      <c r="J1134" s="8" t="s">
        <v>4862</v>
      </c>
      <c r="K1134" s="182">
        <v>40057</v>
      </c>
      <c r="L1134" s="8" t="s">
        <v>5743</v>
      </c>
      <c r="M1134" s="8" t="s">
        <v>2814</v>
      </c>
      <c r="N1134" s="38"/>
      <c r="O1134" s="8" t="s">
        <v>3572</v>
      </c>
      <c r="P1134" s="4" t="e">
        <f>VLOOKUP($B1134,'D7 - NDB Impacted SPRF''s'!$E$16:$O$9929,9,FALSE)</f>
        <v>#N/A</v>
      </c>
      <c r="Q1134" s="4" t="e">
        <f>VLOOKUP($B1134,'D7 - NDB Impacted SPRF''s'!$E$16:$O$9929,10,FALSE)</f>
        <v>#N/A</v>
      </c>
      <c r="R1134" s="4" t="e">
        <f>VLOOKUP($B1134,'D7 - NDB Impacted SPRF''s'!$E$16:$O$9929,11,FALSE)</f>
        <v>#N/A</v>
      </c>
      <c r="S1134" s="8"/>
      <c r="T1134" s="310"/>
      <c r="U1134" s="310"/>
      <c r="V1134" s="4"/>
      <c r="W1134" s="4"/>
      <c r="X1134" s="4"/>
      <c r="Y1134" s="4"/>
      <c r="Z1134" s="4"/>
      <c r="AA1134" s="4"/>
      <c r="AB1134" s="383" t="e">
        <f>VLOOKUP($B1134,'D7 - NDB Impacted SPRF''s'!$E$16:$O$9929,4,FALSE)</f>
        <v>#N/A</v>
      </c>
      <c r="AC1134" s="380" t="e">
        <f>VLOOKUP($B1134,'D7 - NDB Impacted SPRF''s'!$E$16:$O$9929,3,FALSE)</f>
        <v>#N/A</v>
      </c>
      <c r="AD1134" s="380" t="e">
        <f>VLOOKUP($B1134,'D7 - NDB Impacted SPRF''s'!$E$16:$O$9929,5,FALSE)</f>
        <v>#N/A</v>
      </c>
      <c r="AE1134" s="380" t="e">
        <f>VLOOKUP($B1134,'D7 - NDB Impacted SPRF''s'!$E$16:$O$9929,7,FALSE)</f>
        <v>#N/A</v>
      </c>
      <c r="AF1134" s="380" t="e">
        <f>VLOOKUP($B1134,'D7 - NDB Impacted SPRF''s'!$E$16:$O$9929,6,FALSE)</f>
        <v>#N/A</v>
      </c>
      <c r="AG1134" s="282"/>
      <c r="AH1134" s="311" t="e">
        <f>INDEX('D5 - Gatekeeper - Projects'!$A$4:$AF$1010,$AM1134, 17)</f>
        <v>#N/A</v>
      </c>
      <c r="AI1134" s="8"/>
      <c r="AJ1134" s="57"/>
      <c r="AK1134" s="105"/>
      <c r="AM1134" s="6" t="e">
        <f>MATCH(D1134,'D5 - Gatekeeper - Projects'!$C$4:$C$1010,0)</f>
        <v>#N/A</v>
      </c>
      <c r="AN1134" s="6" t="b">
        <f t="shared" si="105"/>
        <v>1</v>
      </c>
      <c r="AO1134" s="6" t="str">
        <f t="shared" si="108"/>
        <v>OK</v>
      </c>
      <c r="AQ1134" s="6" t="e">
        <f>MATCH($D1134,'D4 - Provider Council Unsched'!$C$11:$C$234,0)</f>
        <v>#N/A</v>
      </c>
      <c r="AR1134" s="6" t="b">
        <f t="shared" si="106"/>
        <v>1</v>
      </c>
      <c r="AS1134" s="6" t="str">
        <f>IF(AND(H1134="2 - Not Scheduled",AR1134=TRUE,C1134="R1"),"Add","OK")</f>
        <v>OK</v>
      </c>
      <c r="AU1134" s="202"/>
      <c r="AV1134" s="262"/>
      <c r="AW1134" s="274"/>
    </row>
    <row r="1135" spans="1:49" s="13" customFormat="1" x14ac:dyDescent="0.2">
      <c r="A1135" s="14">
        <v>1111</v>
      </c>
      <c r="B1135" s="14" t="s">
        <v>7309</v>
      </c>
      <c r="C1135" s="8" t="s">
        <v>5197</v>
      </c>
      <c r="D1135" s="4" t="s">
        <v>7309</v>
      </c>
      <c r="E1135" s="309" t="s">
        <v>3569</v>
      </c>
      <c r="F1135" s="8" t="s">
        <v>2114</v>
      </c>
      <c r="G1135" s="8" t="s">
        <v>4758</v>
      </c>
      <c r="H1135" s="8" t="s">
        <v>4246</v>
      </c>
      <c r="I1135" s="20">
        <v>1.33</v>
      </c>
      <c r="J1135" s="8" t="s">
        <v>4862</v>
      </c>
      <c r="K1135" s="182">
        <v>40057</v>
      </c>
      <c r="L1135" s="8" t="s">
        <v>5743</v>
      </c>
      <c r="M1135" s="8" t="s">
        <v>2814</v>
      </c>
      <c r="N1135" s="38"/>
      <c r="O1135" s="8" t="s">
        <v>3572</v>
      </c>
      <c r="P1135" s="4" t="e">
        <f>VLOOKUP($B1135,'D7 - NDB Impacted SPRF''s'!$E$16:$O$9929,9,FALSE)</f>
        <v>#N/A</v>
      </c>
      <c r="Q1135" s="4" t="e">
        <f>VLOOKUP($B1135,'D7 - NDB Impacted SPRF''s'!$E$16:$O$9929,10,FALSE)</f>
        <v>#N/A</v>
      </c>
      <c r="R1135" s="4" t="e">
        <f>VLOOKUP($B1135,'D7 - NDB Impacted SPRF''s'!$E$16:$O$9929,11,FALSE)</f>
        <v>#N/A</v>
      </c>
      <c r="S1135" s="8"/>
      <c r="T1135" s="310"/>
      <c r="U1135" s="310"/>
      <c r="V1135" s="4"/>
      <c r="W1135" s="4"/>
      <c r="X1135" s="4"/>
      <c r="Y1135" s="4"/>
      <c r="Z1135" s="4"/>
      <c r="AA1135" s="4"/>
      <c r="AB1135" s="383" t="e">
        <f>VLOOKUP($B1135,'D7 - NDB Impacted SPRF''s'!$E$16:$O$9929,4,FALSE)</f>
        <v>#N/A</v>
      </c>
      <c r="AC1135" s="380" t="e">
        <f>VLOOKUP($B1135,'D7 - NDB Impacted SPRF''s'!$E$16:$O$9929,3,FALSE)</f>
        <v>#N/A</v>
      </c>
      <c r="AD1135" s="380" t="e">
        <f>VLOOKUP($B1135,'D7 - NDB Impacted SPRF''s'!$E$16:$O$9929,5,FALSE)</f>
        <v>#N/A</v>
      </c>
      <c r="AE1135" s="380" t="e">
        <f>VLOOKUP($B1135,'D7 - NDB Impacted SPRF''s'!$E$16:$O$9929,7,FALSE)</f>
        <v>#N/A</v>
      </c>
      <c r="AF1135" s="380" t="e">
        <f>VLOOKUP($B1135,'D7 - NDB Impacted SPRF''s'!$E$16:$O$9929,6,FALSE)</f>
        <v>#N/A</v>
      </c>
      <c r="AG1135" s="282"/>
      <c r="AH1135" s="311" t="e">
        <f>INDEX('D5 - Gatekeeper - Projects'!$A$4:$AF$1010,$AM1135, 17)</f>
        <v>#N/A</v>
      </c>
      <c r="AI1135" s="8"/>
      <c r="AJ1135" s="57"/>
      <c r="AK1135" s="105"/>
      <c r="AM1135" s="6" t="e">
        <f>MATCH(D1135,'D5 - Gatekeeper - Projects'!$C$4:$C$1010,0)</f>
        <v>#N/A</v>
      </c>
      <c r="AN1135" s="6" t="b">
        <f t="shared" si="105"/>
        <v>1</v>
      </c>
      <c r="AO1135" s="6" t="str">
        <f t="shared" si="108"/>
        <v>OK</v>
      </c>
      <c r="AQ1135" s="6" t="e">
        <f>MATCH($D1135,'D4 - Provider Council Unsched'!$C$11:$C$234,0)</f>
        <v>#N/A</v>
      </c>
      <c r="AR1135" s="6" t="b">
        <f t="shared" si="106"/>
        <v>1</v>
      </c>
      <c r="AS1135" s="6" t="str">
        <f>IF(AND(H1135="2 - Not Scheduled",AR1135=TRUE),"Add","OK")</f>
        <v>OK</v>
      </c>
      <c r="AU1135" s="202"/>
      <c r="AV1135" s="262"/>
      <c r="AW1135" s="274"/>
    </row>
    <row r="1136" spans="1:49" s="13" customFormat="1" x14ac:dyDescent="0.2">
      <c r="A1136" s="14">
        <v>1112</v>
      </c>
      <c r="B1136" s="14" t="s">
        <v>2461</v>
      </c>
      <c r="C1136" s="8" t="s">
        <v>5197</v>
      </c>
      <c r="D1136" s="4" t="s">
        <v>2461</v>
      </c>
      <c r="E1136" s="309" t="s">
        <v>2462</v>
      </c>
      <c r="F1136" s="8" t="s">
        <v>2114</v>
      </c>
      <c r="G1136" s="8" t="s">
        <v>4758</v>
      </c>
      <c r="H1136" s="8" t="s">
        <v>4246</v>
      </c>
      <c r="I1136" s="20">
        <v>3.07</v>
      </c>
      <c r="J1136" s="8" t="s">
        <v>4862</v>
      </c>
      <c r="K1136" s="182">
        <v>40057</v>
      </c>
      <c r="L1136" s="8" t="s">
        <v>5743</v>
      </c>
      <c r="M1136" s="8" t="s">
        <v>5626</v>
      </c>
      <c r="N1136" s="38"/>
      <c r="O1136" s="8" t="s">
        <v>3572</v>
      </c>
      <c r="P1136" s="4" t="e">
        <f>VLOOKUP($B1136,'D7 - NDB Impacted SPRF''s'!$E$16:$O$9929,9,FALSE)</f>
        <v>#N/A</v>
      </c>
      <c r="Q1136" s="4" t="e">
        <f>VLOOKUP($B1136,'D7 - NDB Impacted SPRF''s'!$E$16:$O$9929,10,FALSE)</f>
        <v>#N/A</v>
      </c>
      <c r="R1136" s="4" t="e">
        <f>VLOOKUP($B1136,'D7 - NDB Impacted SPRF''s'!$E$16:$O$9929,11,FALSE)</f>
        <v>#N/A</v>
      </c>
      <c r="S1136" s="8"/>
      <c r="T1136" s="310"/>
      <c r="U1136" s="310"/>
      <c r="V1136" s="4"/>
      <c r="W1136" s="4"/>
      <c r="X1136" s="4"/>
      <c r="Y1136" s="4"/>
      <c r="Z1136" s="4"/>
      <c r="AA1136" s="4"/>
      <c r="AB1136" s="383" t="e">
        <f>VLOOKUP($B1136,'D7 - NDB Impacted SPRF''s'!$E$16:$O$9929,4,FALSE)</f>
        <v>#N/A</v>
      </c>
      <c r="AC1136" s="380" t="e">
        <f>VLOOKUP($B1136,'D7 - NDB Impacted SPRF''s'!$E$16:$O$9929,3,FALSE)</f>
        <v>#N/A</v>
      </c>
      <c r="AD1136" s="380" t="e">
        <f>VLOOKUP($B1136,'D7 - NDB Impacted SPRF''s'!$E$16:$O$9929,5,FALSE)</f>
        <v>#N/A</v>
      </c>
      <c r="AE1136" s="380" t="e">
        <f>VLOOKUP($B1136,'D7 - NDB Impacted SPRF''s'!$E$16:$O$9929,7,FALSE)</f>
        <v>#N/A</v>
      </c>
      <c r="AF1136" s="380" t="e">
        <f>VLOOKUP($B1136,'D7 - NDB Impacted SPRF''s'!$E$16:$O$9929,6,FALSE)</f>
        <v>#N/A</v>
      </c>
      <c r="AG1136" s="282"/>
      <c r="AH1136" s="311" t="e">
        <f>INDEX('D5 - Gatekeeper - Projects'!$A$4:$AF$1010,$AM1136, 17)</f>
        <v>#N/A</v>
      </c>
      <c r="AI1136" s="8"/>
      <c r="AJ1136" s="57"/>
      <c r="AK1136" s="105"/>
      <c r="AM1136" s="6" t="e">
        <f>MATCH(D1136,'D5 - Gatekeeper - Projects'!$C$4:$C$1010,0)</f>
        <v>#N/A</v>
      </c>
      <c r="AN1136" s="6" t="b">
        <f t="shared" si="105"/>
        <v>1</v>
      </c>
      <c r="AO1136" s="6" t="str">
        <f t="shared" si="108"/>
        <v>OK</v>
      </c>
      <c r="AQ1136" s="6" t="e">
        <f>MATCH($D1136,'D4 - Provider Council Unsched'!$C$11:$C$234,0)</f>
        <v>#N/A</v>
      </c>
      <c r="AR1136" s="6" t="b">
        <f t="shared" si="106"/>
        <v>1</v>
      </c>
      <c r="AS1136" s="6" t="str">
        <f>IF(AND(H1136="2 - Not Scheduled",AR1136=TRUE),"Add","OK")</f>
        <v>OK</v>
      </c>
      <c r="AU1136" s="202"/>
      <c r="AV1136" s="262"/>
      <c r="AW1136" s="274"/>
    </row>
    <row r="1137" spans="1:49" s="13" customFormat="1" x14ac:dyDescent="0.2">
      <c r="A1137" s="14">
        <v>1113</v>
      </c>
      <c r="B1137" s="14" t="s">
        <v>2782</v>
      </c>
      <c r="C1137" s="8" t="s">
        <v>3763</v>
      </c>
      <c r="D1137" s="4" t="s">
        <v>1488</v>
      </c>
      <c r="E1137" s="309" t="s">
        <v>7201</v>
      </c>
      <c r="F1137" s="8" t="s">
        <v>2114</v>
      </c>
      <c r="G1137" s="8" t="s">
        <v>4758</v>
      </c>
      <c r="H1137" s="8" t="s">
        <v>4246</v>
      </c>
      <c r="I1137" s="20">
        <v>0.88</v>
      </c>
      <c r="J1137" s="8" t="s">
        <v>4862</v>
      </c>
      <c r="K1137" s="182">
        <v>40057</v>
      </c>
      <c r="L1137" s="8" t="s">
        <v>4156</v>
      </c>
      <c r="M1137" s="8" t="s">
        <v>2814</v>
      </c>
      <c r="N1137" s="38"/>
      <c r="O1137" s="8" t="s">
        <v>3572</v>
      </c>
      <c r="P1137" s="4" t="e">
        <f>VLOOKUP($B1137,'D7 - NDB Impacted SPRF''s'!$E$16:$O$9929,9,FALSE)</f>
        <v>#N/A</v>
      </c>
      <c r="Q1137" s="4" t="e">
        <f>VLOOKUP($B1137,'D7 - NDB Impacted SPRF''s'!$E$16:$O$9929,10,FALSE)</f>
        <v>#N/A</v>
      </c>
      <c r="R1137" s="4" t="e">
        <f>VLOOKUP($B1137,'D7 - NDB Impacted SPRF''s'!$E$16:$O$9929,11,FALSE)</f>
        <v>#N/A</v>
      </c>
      <c r="S1137" s="8"/>
      <c r="T1137" s="310"/>
      <c r="U1137" s="310"/>
      <c r="V1137" s="4"/>
      <c r="W1137" s="4"/>
      <c r="X1137" s="4"/>
      <c r="Y1137" s="4"/>
      <c r="Z1137" s="4"/>
      <c r="AA1137" s="4"/>
      <c r="AB1137" s="383" t="e">
        <f>VLOOKUP($B1137,'D7 - NDB Impacted SPRF''s'!$E$16:$O$9929,4,FALSE)</f>
        <v>#N/A</v>
      </c>
      <c r="AC1137" s="380" t="e">
        <f>VLOOKUP($B1137,'D7 - NDB Impacted SPRF''s'!$E$16:$O$9929,3,FALSE)</f>
        <v>#N/A</v>
      </c>
      <c r="AD1137" s="380" t="e">
        <f>VLOOKUP($B1137,'D7 - NDB Impacted SPRF''s'!$E$16:$O$9929,5,FALSE)</f>
        <v>#N/A</v>
      </c>
      <c r="AE1137" s="380" t="e">
        <f>VLOOKUP($B1137,'D7 - NDB Impacted SPRF''s'!$E$16:$O$9929,7,FALSE)</f>
        <v>#N/A</v>
      </c>
      <c r="AF1137" s="380" t="e">
        <f>VLOOKUP($B1137,'D7 - NDB Impacted SPRF''s'!$E$16:$O$9929,6,FALSE)</f>
        <v>#N/A</v>
      </c>
      <c r="AG1137" s="282"/>
      <c r="AH1137" s="311" t="e">
        <f>INDEX('D5 - Gatekeeper - Projects'!$A$4:$AF$1010,$AM1137, 17)</f>
        <v>#N/A</v>
      </c>
      <c r="AI1137" s="8"/>
      <c r="AJ1137" s="57"/>
      <c r="AK1137" s="105"/>
      <c r="AM1137" s="6" t="e">
        <f>MATCH(D1137,'D5 - Gatekeeper - Projects'!$C$4:$C$1010,0)</f>
        <v>#N/A</v>
      </c>
      <c r="AN1137" s="6" t="b">
        <f t="shared" si="105"/>
        <v>1</v>
      </c>
      <c r="AO1137" s="6" t="str">
        <f t="shared" si="108"/>
        <v>OK</v>
      </c>
      <c r="AQ1137" s="6" t="e">
        <f>MATCH($D1137,'D4 - Provider Council Unsched'!$C$11:$C$234,0)</f>
        <v>#N/A</v>
      </c>
      <c r="AR1137" s="6" t="b">
        <f t="shared" si="106"/>
        <v>1</v>
      </c>
      <c r="AS1137" s="6" t="str">
        <f>IF(AND(H1137="2 - Not Scheduled",AR1137=TRUE,C1137="R1"),"Add","OK")</f>
        <v>OK</v>
      </c>
      <c r="AU1137" s="202"/>
      <c r="AV1137" s="262"/>
      <c r="AW1137" s="274"/>
    </row>
    <row r="1138" spans="1:49" s="13" customFormat="1" ht="12.75" x14ac:dyDescent="0.2">
      <c r="A1138" s="14">
        <v>1114</v>
      </c>
      <c r="B1138" s="14" t="s">
        <v>5150</v>
      </c>
      <c r="C1138" s="8" t="s">
        <v>5197</v>
      </c>
      <c r="D1138" s="4" t="s">
        <v>6331</v>
      </c>
      <c r="E1138" s="341" t="s">
        <v>5151</v>
      </c>
      <c r="F1138" s="8" t="s">
        <v>2114</v>
      </c>
      <c r="G1138" s="8" t="s">
        <v>4758</v>
      </c>
      <c r="H1138" s="8" t="s">
        <v>4246</v>
      </c>
      <c r="I1138" s="20">
        <v>0.53</v>
      </c>
      <c r="J1138" s="8" t="s">
        <v>4862</v>
      </c>
      <c r="K1138" s="182">
        <v>40057</v>
      </c>
      <c r="L1138" s="8" t="s">
        <v>5743</v>
      </c>
      <c r="M1138" s="8" t="s">
        <v>2814</v>
      </c>
      <c r="N1138" s="38"/>
      <c r="O1138" s="8" t="s">
        <v>3572</v>
      </c>
      <c r="P1138" s="4" t="e">
        <f>VLOOKUP($B1138,'D7 - NDB Impacted SPRF''s'!$E$16:$O$9929,9,FALSE)</f>
        <v>#N/A</v>
      </c>
      <c r="Q1138" s="4" t="e">
        <f>VLOOKUP($B1138,'D7 - NDB Impacted SPRF''s'!$E$16:$O$9929,10,FALSE)</f>
        <v>#N/A</v>
      </c>
      <c r="R1138" s="4" t="e">
        <f>VLOOKUP($B1138,'D7 - NDB Impacted SPRF''s'!$E$16:$O$9929,11,FALSE)</f>
        <v>#N/A</v>
      </c>
      <c r="S1138" s="8"/>
      <c r="T1138" s="310"/>
      <c r="U1138" s="310"/>
      <c r="V1138" s="4"/>
      <c r="W1138" s="4"/>
      <c r="X1138" s="4"/>
      <c r="Y1138" s="4"/>
      <c r="Z1138" s="4"/>
      <c r="AA1138" s="4"/>
      <c r="AB1138" s="383" t="e">
        <f>VLOOKUP($B1138,'D7 - NDB Impacted SPRF''s'!$E$16:$O$9929,4,FALSE)</f>
        <v>#N/A</v>
      </c>
      <c r="AC1138" s="380" t="e">
        <f>VLOOKUP($B1138,'D7 - NDB Impacted SPRF''s'!$E$16:$O$9929,3,FALSE)</f>
        <v>#N/A</v>
      </c>
      <c r="AD1138" s="380" t="e">
        <f>VLOOKUP($B1138,'D7 - NDB Impacted SPRF''s'!$E$16:$O$9929,5,FALSE)</f>
        <v>#N/A</v>
      </c>
      <c r="AE1138" s="380" t="e">
        <f>VLOOKUP($B1138,'D7 - NDB Impacted SPRF''s'!$E$16:$O$9929,7,FALSE)</f>
        <v>#N/A</v>
      </c>
      <c r="AF1138" s="380" t="e">
        <f>VLOOKUP($B1138,'D7 - NDB Impacted SPRF''s'!$E$16:$O$9929,6,FALSE)</f>
        <v>#N/A</v>
      </c>
      <c r="AG1138" s="282"/>
      <c r="AH1138" s="311" t="e">
        <f>INDEX('D5 - Gatekeeper - Projects'!$A$4:$AF$1010,$AM1138, 17)</f>
        <v>#N/A</v>
      </c>
      <c r="AI1138" s="8"/>
      <c r="AJ1138" s="57"/>
      <c r="AK1138" s="105"/>
      <c r="AM1138" s="6" t="e">
        <f>MATCH(D1138,'D5 - Gatekeeper - Projects'!$C$4:$C$1010,0)</f>
        <v>#N/A</v>
      </c>
      <c r="AN1138" s="6" t="b">
        <f t="shared" si="105"/>
        <v>1</v>
      </c>
      <c r="AO1138" s="6" t="str">
        <f t="shared" si="108"/>
        <v>OK</v>
      </c>
      <c r="AQ1138" s="6" t="e">
        <f>MATCH($D1138,'D4 - Provider Council Unsched'!$C$11:$C$234,0)</f>
        <v>#N/A</v>
      </c>
      <c r="AR1138" s="6" t="b">
        <f t="shared" si="106"/>
        <v>1</v>
      </c>
      <c r="AS1138" s="6" t="str">
        <f>IF(AND(H1138="2 - Not Scheduled",AR1138=TRUE,C1138="R1"),"Add","OK")</f>
        <v>OK</v>
      </c>
      <c r="AU1138" s="202"/>
      <c r="AV1138" s="262"/>
      <c r="AW1138" s="274"/>
    </row>
    <row r="1139" spans="1:49" s="13" customFormat="1" x14ac:dyDescent="0.2">
      <c r="A1139" s="14">
        <v>1115</v>
      </c>
      <c r="B1139" s="14" t="s">
        <v>7975</v>
      </c>
      <c r="C1139" s="8" t="s">
        <v>5197</v>
      </c>
      <c r="D1139" s="4" t="s">
        <v>7104</v>
      </c>
      <c r="E1139" s="309" t="s">
        <v>2084</v>
      </c>
      <c r="F1139" s="8" t="s">
        <v>2114</v>
      </c>
      <c r="G1139" s="8" t="s">
        <v>4758</v>
      </c>
      <c r="H1139" s="8" t="s">
        <v>4246</v>
      </c>
      <c r="I1139" s="20">
        <v>0.4</v>
      </c>
      <c r="J1139" s="8" t="s">
        <v>4862</v>
      </c>
      <c r="K1139" s="182">
        <v>40057</v>
      </c>
      <c r="L1139" s="8" t="s">
        <v>5743</v>
      </c>
      <c r="M1139" s="8" t="s">
        <v>4450</v>
      </c>
      <c r="N1139" s="38" t="s">
        <v>2824</v>
      </c>
      <c r="O1139" s="8" t="s">
        <v>3572</v>
      </c>
      <c r="P1139" s="4" t="e">
        <f>VLOOKUP($B1139,'D7 - NDB Impacted SPRF''s'!$E$16:$O$9929,9,FALSE)</f>
        <v>#N/A</v>
      </c>
      <c r="Q1139" s="4" t="e">
        <f>VLOOKUP($B1139,'D7 - NDB Impacted SPRF''s'!$E$16:$O$9929,10,FALSE)</f>
        <v>#N/A</v>
      </c>
      <c r="R1139" s="4" t="e">
        <f>VLOOKUP($B1139,'D7 - NDB Impacted SPRF''s'!$E$16:$O$9929,11,FALSE)</f>
        <v>#N/A</v>
      </c>
      <c r="S1139" s="8"/>
      <c r="T1139" s="310"/>
      <c r="U1139" s="310"/>
      <c r="V1139" s="4"/>
      <c r="W1139" s="4"/>
      <c r="X1139" s="4"/>
      <c r="Y1139" s="4"/>
      <c r="Z1139" s="4"/>
      <c r="AA1139" s="4"/>
      <c r="AB1139" s="383" t="e">
        <f>VLOOKUP($B1139,'D7 - NDB Impacted SPRF''s'!$E$16:$O$9929,4,FALSE)</f>
        <v>#N/A</v>
      </c>
      <c r="AC1139" s="380" t="e">
        <f>VLOOKUP($B1139,'D7 - NDB Impacted SPRF''s'!$E$16:$O$9929,3,FALSE)</f>
        <v>#N/A</v>
      </c>
      <c r="AD1139" s="380" t="e">
        <f>VLOOKUP($B1139,'D7 - NDB Impacted SPRF''s'!$E$16:$O$9929,5,FALSE)</f>
        <v>#N/A</v>
      </c>
      <c r="AE1139" s="380" t="e">
        <f>VLOOKUP($B1139,'D7 - NDB Impacted SPRF''s'!$E$16:$O$9929,7,FALSE)</f>
        <v>#N/A</v>
      </c>
      <c r="AF1139" s="380" t="e">
        <f>VLOOKUP($B1139,'D7 - NDB Impacted SPRF''s'!$E$16:$O$9929,6,FALSE)</f>
        <v>#N/A</v>
      </c>
      <c r="AG1139" s="282"/>
      <c r="AH1139" s="311" t="e">
        <f>INDEX('D5 - Gatekeeper - Projects'!$A$4:$AF$1010,$AM1139, 17)</f>
        <v>#N/A</v>
      </c>
      <c r="AI1139" s="8"/>
      <c r="AJ1139" s="57"/>
      <c r="AK1139" s="105"/>
      <c r="AM1139" s="6" t="e">
        <f>MATCH(D1139,'D5 - Gatekeeper - Projects'!$C$4:$C$1010,0)</f>
        <v>#N/A</v>
      </c>
      <c r="AN1139" s="6" t="b">
        <f t="shared" si="105"/>
        <v>1</v>
      </c>
      <c r="AO1139" s="6" t="str">
        <f t="shared" si="108"/>
        <v>OK</v>
      </c>
      <c r="AQ1139" s="6" t="e">
        <f>MATCH($D1139,'D4 - Provider Council Unsched'!$C$11:$C$234,0)</f>
        <v>#N/A</v>
      </c>
      <c r="AR1139" s="6" t="b">
        <f t="shared" si="106"/>
        <v>1</v>
      </c>
      <c r="AS1139" s="6" t="str">
        <f>IF(AND(H1139="2 - Not Scheduled",AR1139=TRUE,C1139="R1"),"Add","OK")</f>
        <v>OK</v>
      </c>
      <c r="AU1139" s="202"/>
      <c r="AV1139" s="262"/>
      <c r="AW1139" s="274"/>
    </row>
    <row r="1140" spans="1:49" s="13" customFormat="1" ht="33.75" x14ac:dyDescent="0.2">
      <c r="A1140" s="14">
        <v>1116</v>
      </c>
      <c r="B1140" s="14">
        <v>400024137</v>
      </c>
      <c r="C1140" s="8" t="s">
        <v>2449</v>
      </c>
      <c r="D1140" s="4" t="str">
        <f t="shared" ref="D1140:D1148" si="112">CONCATENATE(B1140,C1140)</f>
        <v>400024137R3</v>
      </c>
      <c r="E1140" s="309" t="str">
        <f>VLOOKUP($B1140,'D7 - NDB Impacted SPRF''s'!$E$6:$O$9929,2,FALSE)</f>
        <v>DRG Field Expansion</v>
      </c>
      <c r="F1140" s="8" t="s">
        <v>7955</v>
      </c>
      <c r="G1140" s="8" t="s">
        <v>4758</v>
      </c>
      <c r="H1140" s="8" t="s">
        <v>4246</v>
      </c>
      <c r="I1140" s="20"/>
      <c r="J1140" s="8" t="s">
        <v>4862</v>
      </c>
      <c r="K1140" s="182">
        <v>40082</v>
      </c>
      <c r="L1140" s="8" t="s">
        <v>5743</v>
      </c>
      <c r="M1140" s="8" t="s">
        <v>2814</v>
      </c>
      <c r="N1140" s="38"/>
      <c r="O1140" s="8" t="s">
        <v>2875</v>
      </c>
      <c r="P1140" s="4" t="str">
        <f>VLOOKUP($B1140,'D7 - NDB Impacted SPRF''s'!$E$16:$O$9929,9,FALSE)</f>
        <v>Y</v>
      </c>
      <c r="Q1140" s="4" t="str">
        <f>VLOOKUP($B1140,'D7 - NDB Impacted SPRF''s'!$E$16:$O$9929,10,FALSE)</f>
        <v>N</v>
      </c>
      <c r="R1140" s="4" t="str">
        <f>VLOOKUP($B1140,'D7 - NDB Impacted SPRF''s'!$E$16:$O$9929,11,FALSE)</f>
        <v>Y</v>
      </c>
      <c r="S1140" s="8"/>
      <c r="T1140" s="310"/>
      <c r="U1140" s="310"/>
      <c r="V1140" s="4"/>
      <c r="W1140" s="4"/>
      <c r="X1140" s="4"/>
      <c r="Y1140" s="4"/>
      <c r="Z1140" s="4"/>
      <c r="AA1140" s="4"/>
      <c r="AB1140" s="380" t="str">
        <f>VLOOKUP($B1140,'D7 - NDB Impacted SPRF''s'!$E$16:$O$9929,4,FALSE)</f>
        <v>Completed</v>
      </c>
      <c r="AC1140" s="380" t="str">
        <f>VLOOKUP($B1140,'D7 - NDB Impacted SPRF''s'!$E$16:$O$9929,3,FALSE)</f>
        <v>UnitedHealthcare Employer &amp; Individual</v>
      </c>
      <c r="AD1140" s="380" t="str">
        <f>VLOOKUP($B1140,'D7 - NDB Impacted SPRF''s'!$E$16:$O$9929,5,FALSE)</f>
        <v>Regulatory / Other</v>
      </c>
      <c r="AE1140" s="380" t="str">
        <f>VLOOKUP($B1140,'D7 - NDB Impacted SPRF''s'!$E$16:$O$9929,7,FALSE)</f>
        <v>Jill Fource</v>
      </c>
      <c r="AF1140" s="380" t="str">
        <f>VLOOKUP($B1140,'D7 - NDB Impacted SPRF''s'!$E$16:$O$9929,6,FALSE)</f>
        <v>Suzanne Smith</v>
      </c>
      <c r="AG1140" s="282"/>
      <c r="AH1140" s="311" t="e">
        <f>INDEX('D5 - Gatekeeper - Projects'!$A$4:$AF$1010,$AM1140, 17)</f>
        <v>#N/A</v>
      </c>
      <c r="AI1140" s="8"/>
      <c r="AJ1140" s="57"/>
      <c r="AK1140" s="105"/>
      <c r="AM1140" s="6" t="e">
        <f>MATCH(D1140,'D5 - Gatekeeper - Projects'!$C$4:$C$1010,0)</f>
        <v>#N/A</v>
      </c>
      <c r="AN1140" s="6" t="b">
        <f t="shared" si="105"/>
        <v>1</v>
      </c>
      <c r="AO1140" s="6" t="str">
        <f t="shared" si="108"/>
        <v>OK</v>
      </c>
      <c r="AQ1140" s="6" t="e">
        <f>MATCH($D1140,'D4 - Provider Council Unsched'!$C$11:$C$234,0)</f>
        <v>#N/A</v>
      </c>
      <c r="AR1140" s="6" t="b">
        <f t="shared" si="106"/>
        <v>1</v>
      </c>
      <c r="AS1140" s="6" t="str">
        <f>IF(AND(H1140="2 - Not Scheduled",AR1140=TRUE),"Add","OK")</f>
        <v>OK</v>
      </c>
      <c r="AU1140" s="202"/>
      <c r="AV1140" s="262"/>
      <c r="AW1140" s="274"/>
    </row>
    <row r="1141" spans="1:49" s="13" customFormat="1" ht="33.75" x14ac:dyDescent="0.2">
      <c r="A1141" s="14">
        <v>1117</v>
      </c>
      <c r="B1141" s="14">
        <v>400024378</v>
      </c>
      <c r="C1141" s="8" t="s">
        <v>3763</v>
      </c>
      <c r="D1141" s="4" t="str">
        <f t="shared" si="112"/>
        <v>400024378R2</v>
      </c>
      <c r="E1141" s="309" t="str">
        <f>VLOOKUP($B1141,'D7 - NDB Impacted SPRF''s'!$E$6:$O$9929,2,FALSE)</f>
        <v>PHS W1R1 Emptoris 2009 Requirements</v>
      </c>
      <c r="F1141" s="8" t="s">
        <v>6071</v>
      </c>
      <c r="G1141" s="8" t="s">
        <v>4758</v>
      </c>
      <c r="H1141" s="8" t="s">
        <v>4246</v>
      </c>
      <c r="I1141" s="20">
        <f>1239/150</f>
        <v>8.26</v>
      </c>
      <c r="J1141" s="8" t="s">
        <v>4862</v>
      </c>
      <c r="K1141" s="182">
        <v>40082</v>
      </c>
      <c r="L1141" s="8" t="s">
        <v>5743</v>
      </c>
      <c r="M1141" s="8" t="s">
        <v>2814</v>
      </c>
      <c r="N1141" s="38"/>
      <c r="O1141" s="8" t="s">
        <v>7299</v>
      </c>
      <c r="P1141" s="4" t="str">
        <f>VLOOKUP($B1141,'D7 - NDB Impacted SPRF''s'!$E$16:$O$9929,9,FALSE)</f>
        <v>N</v>
      </c>
      <c r="Q1141" s="4" t="str">
        <f>VLOOKUP($B1141,'D7 - NDB Impacted SPRF''s'!$E$16:$O$9929,10,FALSE)</f>
        <v>N</v>
      </c>
      <c r="R1141" s="4" t="str">
        <f>VLOOKUP($B1141,'D7 - NDB Impacted SPRF''s'!$E$16:$O$9929,11,FALSE)</f>
        <v>N</v>
      </c>
      <c r="S1141" s="8"/>
      <c r="T1141" s="310"/>
      <c r="U1141" s="310"/>
      <c r="V1141" s="4"/>
      <c r="W1141" s="4"/>
      <c r="X1141" s="4"/>
      <c r="Y1141" s="4"/>
      <c r="Z1141" s="4"/>
      <c r="AA1141" s="4"/>
      <c r="AB1141" s="380" t="str">
        <f>VLOOKUP($B1141,'D7 - NDB Impacted SPRF''s'!$E$16:$O$9929,4,FALSE)</f>
        <v>Completed</v>
      </c>
      <c r="AC1141" s="380" t="str">
        <f>VLOOKUP($B1141,'D7 - NDB Impacted SPRF''s'!$E$16:$O$9929,3,FALSE)</f>
        <v>UnitedHealthcare Employer &amp; Individual</v>
      </c>
      <c r="AD1141" s="380" t="str">
        <f>VLOOKUP($B1141,'D7 - NDB Impacted SPRF''s'!$E$16:$O$9929,5,FALSE)</f>
        <v>Integration Requirements</v>
      </c>
      <c r="AE1141" s="380" t="str">
        <f>VLOOKUP($B1141,'D7 - NDB Impacted SPRF''s'!$E$16:$O$9929,7,FALSE)</f>
        <v>Diana Schofield/Eileen Dock</v>
      </c>
      <c r="AF1141" s="380" t="str">
        <f>VLOOKUP($B1141,'D7 - NDB Impacted SPRF''s'!$E$16:$O$9929,6,FALSE)</f>
        <v>JOSHUA WOODRUM</v>
      </c>
      <c r="AG1141" s="282"/>
      <c r="AH1141" s="311" t="e">
        <f>INDEX('D5 - Gatekeeper - Projects'!$A$4:$AF$1010,$AM1141, 17)</f>
        <v>#N/A</v>
      </c>
      <c r="AI1141" s="8"/>
      <c r="AJ1141" s="57"/>
      <c r="AK1141" s="105"/>
      <c r="AM1141" s="6" t="e">
        <f>MATCH(D1141,'D5 - Gatekeeper - Projects'!$C$4:$C$1010,0)</f>
        <v>#N/A</v>
      </c>
      <c r="AN1141" s="6" t="b">
        <f t="shared" si="105"/>
        <v>1</v>
      </c>
      <c r="AO1141" s="6" t="str">
        <f t="shared" si="108"/>
        <v>OK</v>
      </c>
      <c r="AQ1141" s="6" t="e">
        <f>MATCH($D1141,'D4 - Provider Council Unsched'!$C$11:$C$234,0)</f>
        <v>#N/A</v>
      </c>
      <c r="AR1141" s="6" t="b">
        <f t="shared" si="106"/>
        <v>1</v>
      </c>
      <c r="AS1141" s="6" t="str">
        <f t="shared" ref="AS1141:AS1166" si="113">IF(AND(H1141="2 - Not Scheduled",AR1141=TRUE,C1141="R1"),"Add","OK")</f>
        <v>OK</v>
      </c>
      <c r="AU1141" s="202"/>
      <c r="AV1141" s="262"/>
      <c r="AW1141" s="274"/>
    </row>
    <row r="1142" spans="1:49" s="13" customFormat="1" ht="33.75" x14ac:dyDescent="0.2">
      <c r="A1142" s="14">
        <v>1118</v>
      </c>
      <c r="B1142" s="14">
        <v>400028253</v>
      </c>
      <c r="C1142" s="8" t="s">
        <v>3763</v>
      </c>
      <c r="D1142" s="4" t="str">
        <f t="shared" si="112"/>
        <v>400028253R2</v>
      </c>
      <c r="E1142" s="309" t="str">
        <f>VLOOKUP($B1142,'D7 - NDB Impacted SPRF''s'!$E$6:$O$9929,2,FALSE)</f>
        <v>COSMOS Port - Unisys to IBM - January 2009</v>
      </c>
      <c r="F1142" s="8" t="s">
        <v>8133</v>
      </c>
      <c r="G1142" s="8" t="s">
        <v>4758</v>
      </c>
      <c r="H1142" s="8" t="s">
        <v>4246</v>
      </c>
      <c r="I1142" s="20">
        <v>1.28</v>
      </c>
      <c r="J1142" s="8" t="s">
        <v>4862</v>
      </c>
      <c r="K1142" s="182">
        <v>40082</v>
      </c>
      <c r="L1142" s="8" t="s">
        <v>5743</v>
      </c>
      <c r="M1142" s="8" t="s">
        <v>4450</v>
      </c>
      <c r="N1142" s="38"/>
      <c r="O1142" s="8" t="s">
        <v>4599</v>
      </c>
      <c r="P1142" s="4" t="str">
        <f>VLOOKUP($B1142,'D7 - NDB Impacted SPRF''s'!$E$16:$O$9929,9,FALSE)</f>
        <v>N</v>
      </c>
      <c r="Q1142" s="4" t="str">
        <f>VLOOKUP($B1142,'D7 - NDB Impacted SPRF''s'!$E$16:$O$9929,10,FALSE)</f>
        <v>N</v>
      </c>
      <c r="R1142" s="4" t="str">
        <f>VLOOKUP($B1142,'D7 - NDB Impacted SPRF''s'!$E$16:$O$9929,11,FALSE)</f>
        <v>N</v>
      </c>
      <c r="S1142" s="8"/>
      <c r="T1142" s="310"/>
      <c r="U1142" s="310"/>
      <c r="V1142" s="4"/>
      <c r="W1142" s="4"/>
      <c r="X1142" s="4"/>
      <c r="Y1142" s="4"/>
      <c r="Z1142" s="4"/>
      <c r="AA1142" s="4"/>
      <c r="AB1142" s="380" t="str">
        <f>VLOOKUP($B1142,'D7 - NDB Impacted SPRF''s'!$E$16:$O$9929,4,FALSE)</f>
        <v>Completed</v>
      </c>
      <c r="AC1142" s="380" t="str">
        <f>VLOOKUP($B1142,'D7 - NDB Impacted SPRF''s'!$E$16:$O$9929,3,FALSE)</f>
        <v>UHG IT - Application Services Group</v>
      </c>
      <c r="AD1142" s="380" t="str">
        <f>VLOOKUP($B1142,'D7 - NDB Impacted SPRF''s'!$E$16:$O$9929,5,FALSE)</f>
        <v>ASG</v>
      </c>
      <c r="AE1142" s="380" t="str">
        <f>VLOOKUP($B1142,'D7 - NDB Impacted SPRF''s'!$E$16:$O$9929,7,FALSE)</f>
        <v>John Santelli</v>
      </c>
      <c r="AF1142" s="380" t="str">
        <f>VLOOKUP($B1142,'D7 - NDB Impacted SPRF''s'!$E$16:$O$9929,6,FALSE)</f>
        <v>Nanette Poole</v>
      </c>
      <c r="AG1142" s="282"/>
      <c r="AH1142" s="311" t="e">
        <f>INDEX('D5 - Gatekeeper - Projects'!$A$4:$AF$1010,$AM1142, 17)</f>
        <v>#N/A</v>
      </c>
      <c r="AI1142" s="8"/>
      <c r="AJ1142" s="57"/>
      <c r="AK1142" s="57"/>
      <c r="AM1142" s="6" t="e">
        <f>MATCH(D1142,'D5 - Gatekeeper - Projects'!$C$4:$C$1010,0)</f>
        <v>#N/A</v>
      </c>
      <c r="AN1142" s="6" t="b">
        <f t="shared" si="105"/>
        <v>1</v>
      </c>
      <c r="AO1142" s="6" t="str">
        <f t="shared" si="108"/>
        <v>OK</v>
      </c>
      <c r="AQ1142" s="6" t="e">
        <f>MATCH($D1142,'D4 - Provider Council Unsched'!$C$11:$C$234,0)</f>
        <v>#N/A</v>
      </c>
      <c r="AR1142" s="6" t="b">
        <f t="shared" si="106"/>
        <v>1</v>
      </c>
      <c r="AS1142" s="6" t="str">
        <f t="shared" si="113"/>
        <v>OK</v>
      </c>
      <c r="AU1142" s="202"/>
      <c r="AV1142" s="262"/>
      <c r="AW1142" s="274"/>
    </row>
    <row r="1143" spans="1:49" s="13" customFormat="1" ht="33.75" x14ac:dyDescent="0.2">
      <c r="A1143" s="14">
        <v>1119</v>
      </c>
      <c r="B1143" s="14">
        <v>400028298</v>
      </c>
      <c r="C1143" s="8" t="s">
        <v>5197</v>
      </c>
      <c r="D1143" s="4" t="str">
        <f t="shared" si="112"/>
        <v>400028298R1</v>
      </c>
      <c r="E1143" s="309" t="str">
        <f>VLOOKUP($B1143,'D7 - NDB Impacted SPRF''s'!$E$6:$O$9929,2,FALSE)</f>
        <v>E2E Facility &amp; Ancillary Contract Tech Improvement</v>
      </c>
      <c r="F1143" s="8" t="s">
        <v>5594</v>
      </c>
      <c r="G1143" s="8" t="s">
        <v>4758</v>
      </c>
      <c r="H1143" s="8" t="s">
        <v>4246</v>
      </c>
      <c r="I1143" s="20">
        <v>3.61</v>
      </c>
      <c r="J1143" s="8" t="s">
        <v>4862</v>
      </c>
      <c r="K1143" s="182">
        <v>40082</v>
      </c>
      <c r="L1143" s="8" t="s">
        <v>5743</v>
      </c>
      <c r="M1143" s="8" t="s">
        <v>2814</v>
      </c>
      <c r="N1143" s="38"/>
      <c r="O1143" s="8" t="s">
        <v>2000</v>
      </c>
      <c r="P1143" s="4" t="str">
        <f>VLOOKUP($B1143,'D7 - NDB Impacted SPRF''s'!$E$16:$O$9929,9,FALSE)</f>
        <v>Y</v>
      </c>
      <c r="Q1143" s="4" t="str">
        <f>VLOOKUP($B1143,'D7 - NDB Impacted SPRF''s'!$E$16:$O$9929,10,FALSE)</f>
        <v>N</v>
      </c>
      <c r="R1143" s="4" t="str">
        <f>VLOOKUP($B1143,'D7 - NDB Impacted SPRF''s'!$E$16:$O$9929,11,FALSE)</f>
        <v>Y</v>
      </c>
      <c r="S1143" s="8"/>
      <c r="T1143" s="310"/>
      <c r="U1143" s="310"/>
      <c r="V1143" s="4"/>
      <c r="W1143" s="4"/>
      <c r="X1143" s="4"/>
      <c r="Y1143" s="4"/>
      <c r="Z1143" s="4"/>
      <c r="AA1143" s="4"/>
      <c r="AB1143" s="380" t="str">
        <f>VLOOKUP($B1143,'D7 - NDB Impacted SPRF''s'!$E$16:$O$9929,4,FALSE)</f>
        <v>Completed</v>
      </c>
      <c r="AC1143" s="380" t="str">
        <f>VLOOKUP($B1143,'D7 - NDB Impacted SPRF''s'!$E$16:$O$9929,3,FALSE)</f>
        <v>UnitedHealthcare Employer &amp; Individual</v>
      </c>
      <c r="AD1143" s="380" t="str">
        <f>VLOOKUP($B1143,'D7 - NDB Impacted SPRF''s'!$E$16:$O$9929,5,FALSE)</f>
        <v>Process Improvement</v>
      </c>
      <c r="AE1143" s="380" t="str">
        <f>VLOOKUP($B1143,'D7 - NDB Impacted SPRF''s'!$E$16:$O$9929,7,FALSE)</f>
        <v>Jill Foucre</v>
      </c>
      <c r="AF1143" s="380" t="str">
        <f>VLOOKUP($B1143,'D7 - NDB Impacted SPRF''s'!$E$16:$O$9929,6,FALSE)</f>
        <v>Yvonne Tavis</v>
      </c>
      <c r="AG1143" s="282"/>
      <c r="AH1143" s="311" t="e">
        <f>INDEX('D5 - Gatekeeper - Projects'!$A$4:$AF$1010,$AM1143, 17)</f>
        <v>#N/A</v>
      </c>
      <c r="AI1143" s="8"/>
      <c r="AJ1143" s="57"/>
      <c r="AK1143" s="57"/>
      <c r="AM1143" s="6" t="e">
        <f>MATCH(D1143,'D5 - Gatekeeper - Projects'!$C$4:$C$1010,0)</f>
        <v>#N/A</v>
      </c>
      <c r="AN1143" s="6" t="b">
        <f t="shared" si="105"/>
        <v>1</v>
      </c>
      <c r="AO1143" s="6" t="str">
        <f t="shared" si="108"/>
        <v>OK</v>
      </c>
      <c r="AQ1143" s="6" t="e">
        <f>MATCH($D1143,'D4 - Provider Council Unsched'!$C$11:$C$234,0)</f>
        <v>#N/A</v>
      </c>
      <c r="AR1143" s="6" t="b">
        <f t="shared" si="106"/>
        <v>1</v>
      </c>
      <c r="AS1143" s="6" t="str">
        <f t="shared" si="113"/>
        <v>OK</v>
      </c>
      <c r="AU1143" s="202"/>
      <c r="AV1143" s="262"/>
      <c r="AW1143" s="274"/>
    </row>
    <row r="1144" spans="1:49" s="13" customFormat="1" ht="33.75" x14ac:dyDescent="0.2">
      <c r="A1144" s="14">
        <v>1120</v>
      </c>
      <c r="B1144" s="14">
        <v>400029506</v>
      </c>
      <c r="C1144" s="8" t="s">
        <v>5197</v>
      </c>
      <c r="D1144" s="4" t="str">
        <f t="shared" si="112"/>
        <v>400029506R1</v>
      </c>
      <c r="E1144" s="309" t="str">
        <f>VLOOKUP($B1144,'D7 - NDB Impacted SPRF''s'!$E$6:$O$9929,2,FALSE)</f>
        <v>iLEAD Release 2.0</v>
      </c>
      <c r="F1144" s="8" t="s">
        <v>2114</v>
      </c>
      <c r="G1144" s="8" t="s">
        <v>4758</v>
      </c>
      <c r="H1144" s="8" t="s">
        <v>4246</v>
      </c>
      <c r="I1144" s="20">
        <v>2.7</v>
      </c>
      <c r="J1144" s="8" t="s">
        <v>4862</v>
      </c>
      <c r="K1144" s="182">
        <v>40082</v>
      </c>
      <c r="L1144" s="8" t="s">
        <v>4156</v>
      </c>
      <c r="M1144" s="8" t="s">
        <v>2814</v>
      </c>
      <c r="N1144" s="38"/>
      <c r="O1144" s="8" t="e">
        <f>INDEX('D5 - Gatekeeper - Projects'!$A$4:$AF$1010,$AM1144, 16)</f>
        <v>#N/A</v>
      </c>
      <c r="P1144" s="4" t="str">
        <f>VLOOKUP($B1144,'D7 - NDB Impacted SPRF''s'!$E$16:$O$9929,9,FALSE)</f>
        <v>Y</v>
      </c>
      <c r="Q1144" s="4" t="str">
        <f>VLOOKUP($B1144,'D7 - NDB Impacted SPRF''s'!$E$16:$O$9929,10,FALSE)</f>
        <v>N</v>
      </c>
      <c r="R1144" s="4" t="str">
        <f>VLOOKUP($B1144,'D7 - NDB Impacted SPRF''s'!$E$16:$O$9929,11,FALSE)</f>
        <v>N</v>
      </c>
      <c r="S1144" s="8"/>
      <c r="T1144" s="310"/>
      <c r="U1144" s="310"/>
      <c r="V1144" s="4"/>
      <c r="W1144" s="4"/>
      <c r="X1144" s="4"/>
      <c r="Y1144" s="4"/>
      <c r="Z1144" s="4"/>
      <c r="AA1144" s="4"/>
      <c r="AB1144" s="380" t="str">
        <f>VLOOKUP($B1144,'D7 - NDB Impacted SPRF''s'!$E$6:$O$9929,4,FALSE)</f>
        <v>Completed</v>
      </c>
      <c r="AC1144" s="380" t="str">
        <f>VLOOKUP($B1144,'D7 - NDB Impacted SPRF''s'!$E$6:$O$9929,3,FALSE)</f>
        <v>UnitedHealthcare Medicare &amp; Retirement</v>
      </c>
      <c r="AD1144" s="380" t="str">
        <f>VLOOKUP($B1144,'D7 - NDB Impacted SPRF''s'!$E$6:$O$9929,5,FALSE)</f>
        <v>Operations</v>
      </c>
      <c r="AE1144" s="380" t="str">
        <f>VLOOKUP($B1144,'D7 - NDB Impacted SPRF''s'!$E$6:$O$9929,7,FALSE)</f>
        <v>David Shapiro</v>
      </c>
      <c r="AF1144" s="380" t="str">
        <f>VLOOKUP($B1144,'D7 - NDB Impacted SPRF''s'!$E$6:$O$9929,6,FALSE)</f>
        <v>Brett Turnquist</v>
      </c>
      <c r="AG1144" s="282"/>
      <c r="AH1144" s="311" t="e">
        <f>INDEX('D5 - Gatekeeper - Projects'!$A$4:$AF$1010,$AM1144, 17)</f>
        <v>#N/A</v>
      </c>
      <c r="AI1144" s="8"/>
      <c r="AJ1144" s="57"/>
      <c r="AK1144" s="105"/>
      <c r="AM1144" s="6" t="e">
        <f>MATCH(D1144,'D5 - Gatekeeper - Projects'!$C$4:$C$1010,0)</f>
        <v>#N/A</v>
      </c>
      <c r="AN1144" s="6" t="b">
        <f t="shared" si="105"/>
        <v>1</v>
      </c>
      <c r="AO1144" s="6" t="str">
        <f t="shared" si="108"/>
        <v>OK</v>
      </c>
      <c r="AQ1144" s="6" t="e">
        <f>MATCH($D1144,'D4 - Provider Council Unsched'!$C$11:$C$234,0)</f>
        <v>#N/A</v>
      </c>
      <c r="AR1144" s="6" t="b">
        <f t="shared" si="106"/>
        <v>1</v>
      </c>
      <c r="AS1144" s="6" t="str">
        <f t="shared" si="113"/>
        <v>OK</v>
      </c>
      <c r="AU1144" s="202"/>
      <c r="AV1144" s="262"/>
      <c r="AW1144" s="274"/>
    </row>
    <row r="1145" spans="1:49" s="13" customFormat="1" ht="45" x14ac:dyDescent="0.2">
      <c r="A1145" s="14">
        <v>1121</v>
      </c>
      <c r="B1145" s="14">
        <v>400029570</v>
      </c>
      <c r="C1145" s="8" t="s">
        <v>5197</v>
      </c>
      <c r="D1145" s="4" t="str">
        <f t="shared" si="112"/>
        <v>400029570R1</v>
      </c>
      <c r="E1145" s="309" t="str">
        <f>VLOOKUP($B1145,'D7 - NDB Impacted SPRF''s'!$E$6:$O$9929,2,FALSE)</f>
        <v>PDR - NDB Fee Schedule Enhancements</v>
      </c>
      <c r="F1145" s="8" t="s">
        <v>5595</v>
      </c>
      <c r="G1145" s="8" t="s">
        <v>4758</v>
      </c>
      <c r="H1145" s="8" t="s">
        <v>4246</v>
      </c>
      <c r="I1145" s="20">
        <v>8.19</v>
      </c>
      <c r="J1145" s="8" t="s">
        <v>4862</v>
      </c>
      <c r="K1145" s="182">
        <v>40082</v>
      </c>
      <c r="L1145" s="8" t="s">
        <v>5743</v>
      </c>
      <c r="M1145" s="8" t="s">
        <v>2814</v>
      </c>
      <c r="N1145" s="38"/>
      <c r="O1145" s="8" t="s">
        <v>7086</v>
      </c>
      <c r="P1145" s="4" t="str">
        <f>VLOOKUP($B1145,'D7 - NDB Impacted SPRF''s'!$E$16:$O$9929,9,FALSE)</f>
        <v>Y</v>
      </c>
      <c r="Q1145" s="4" t="str">
        <f>VLOOKUP($B1145,'D7 - NDB Impacted SPRF''s'!$E$16:$O$9929,10,FALSE)</f>
        <v>N</v>
      </c>
      <c r="R1145" s="4" t="str">
        <f>VLOOKUP($B1145,'D7 - NDB Impacted SPRF''s'!$E$16:$O$9929,11,FALSE)</f>
        <v>Y</v>
      </c>
      <c r="S1145" s="8"/>
      <c r="T1145" s="310"/>
      <c r="U1145" s="310"/>
      <c r="V1145" s="4"/>
      <c r="W1145" s="4"/>
      <c r="X1145" s="4"/>
      <c r="Y1145" s="4"/>
      <c r="Z1145" s="4"/>
      <c r="AA1145" s="4"/>
      <c r="AB1145" s="380" t="str">
        <f>VLOOKUP($B1145,'D7 - NDB Impacted SPRF''s'!$E$16:$O$9929,4,FALSE)</f>
        <v>Completed</v>
      </c>
      <c r="AC1145" s="380" t="str">
        <f>VLOOKUP($B1145,'D7 - NDB Impacted SPRF''s'!$E$16:$O$9929,3,FALSE)</f>
        <v>UHG IT - Enterprise Technology Services</v>
      </c>
      <c r="AD1145" s="380" t="str">
        <f>VLOOKUP($B1145,'D7 - NDB Impacted SPRF''s'!$E$16:$O$9929,5,FALSE)</f>
        <v>Strategic Initiatives</v>
      </c>
      <c r="AE1145" s="380" t="str">
        <f>VLOOKUP($B1145,'D7 - NDB Impacted SPRF''s'!$E$16:$O$9929,7,FALSE)</f>
        <v>Dave Wichman</v>
      </c>
      <c r="AF1145" s="380" t="str">
        <f>VLOOKUP($B1145,'D7 - NDB Impacted SPRF''s'!$E$16:$O$9929,6,FALSE)</f>
        <v>Brent Graham</v>
      </c>
      <c r="AG1145" s="282"/>
      <c r="AH1145" s="311" t="e">
        <f>INDEX('D5 - Gatekeeper - Projects'!$A$4:$AF$1010,$AM1145, 17)</f>
        <v>#N/A</v>
      </c>
      <c r="AI1145" s="8"/>
      <c r="AJ1145" s="57"/>
      <c r="AK1145" s="105"/>
      <c r="AM1145" s="6" t="e">
        <f>MATCH(D1145,'D5 - Gatekeeper - Projects'!$C$4:$C$1010,0)</f>
        <v>#N/A</v>
      </c>
      <c r="AN1145" s="6" t="b">
        <f t="shared" si="105"/>
        <v>1</v>
      </c>
      <c r="AO1145" s="6" t="str">
        <f t="shared" si="108"/>
        <v>OK</v>
      </c>
      <c r="AQ1145" s="6" t="e">
        <f>MATCH($D1145,'D4 - Provider Council Unsched'!$C$11:$C$234,0)</f>
        <v>#N/A</v>
      </c>
      <c r="AR1145" s="6" t="b">
        <f t="shared" si="106"/>
        <v>1</v>
      </c>
      <c r="AS1145" s="6" t="str">
        <f t="shared" si="113"/>
        <v>OK</v>
      </c>
      <c r="AU1145" s="202"/>
      <c r="AV1145" s="262"/>
      <c r="AW1145" s="274"/>
    </row>
    <row r="1146" spans="1:49" s="13" customFormat="1" ht="33.75" x14ac:dyDescent="0.2">
      <c r="A1146" s="14">
        <v>1122</v>
      </c>
      <c r="B1146" s="14">
        <v>400029616</v>
      </c>
      <c r="C1146" s="8" t="s">
        <v>5197</v>
      </c>
      <c r="D1146" s="4" t="str">
        <f t="shared" si="112"/>
        <v>400029616R1</v>
      </c>
      <c r="E1146" s="309" t="str">
        <f>VLOOKUP($B1146,'D7 - NDB Impacted SPRF''s'!$E$6:$O$9929,2,FALSE)</f>
        <v>Medical Necessity - Reimbursement</v>
      </c>
      <c r="F1146" s="8" t="s">
        <v>2114</v>
      </c>
      <c r="G1146" s="8" t="s">
        <v>4758</v>
      </c>
      <c r="H1146" s="8" t="s">
        <v>4246</v>
      </c>
      <c r="I1146" s="20">
        <v>3</v>
      </c>
      <c r="J1146" s="8" t="s">
        <v>4862</v>
      </c>
      <c r="K1146" s="182">
        <v>40082</v>
      </c>
      <c r="L1146" s="8" t="s">
        <v>4156</v>
      </c>
      <c r="M1146" s="8" t="s">
        <v>6688</v>
      </c>
      <c r="N1146" s="38"/>
      <c r="O1146" s="8" t="s">
        <v>2547</v>
      </c>
      <c r="P1146" s="4" t="str">
        <f>VLOOKUP($B1146,'D7 - NDB Impacted SPRF''s'!$E$16:$O$9929,9,FALSE)</f>
        <v>Y</v>
      </c>
      <c r="Q1146" s="4" t="str">
        <f>VLOOKUP($B1146,'D7 - NDB Impacted SPRF''s'!$E$16:$O$9929,10,FALSE)</f>
        <v>N</v>
      </c>
      <c r="R1146" s="4" t="str">
        <f>VLOOKUP($B1146,'D7 - NDB Impacted SPRF''s'!$E$16:$O$9929,11,FALSE)</f>
        <v>Y</v>
      </c>
      <c r="S1146" s="8"/>
      <c r="T1146" s="310"/>
      <c r="U1146" s="310"/>
      <c r="V1146" s="4"/>
      <c r="W1146" s="4"/>
      <c r="X1146" s="4"/>
      <c r="Y1146" s="4"/>
      <c r="Z1146" s="4"/>
      <c r="AA1146" s="4"/>
      <c r="AB1146" s="380" t="str">
        <f>VLOOKUP($B1146,'D7 - NDB Impacted SPRF''s'!$E$16:$O$9929,4,FALSE)</f>
        <v>Completed</v>
      </c>
      <c r="AC1146" s="380" t="str">
        <f>VLOOKUP($B1146,'D7 - NDB Impacted SPRF''s'!$E$16:$O$9929,3,FALSE)</f>
        <v>UnitedHealthcare Employer &amp; Individual</v>
      </c>
      <c r="AD1146" s="380" t="str">
        <f>VLOOKUP($B1146,'D7 - NDB Impacted SPRF''s'!$E$16:$O$9929,5,FALSE)</f>
        <v>Medical Cost Savings Programs</v>
      </c>
      <c r="AE1146" s="380" t="str">
        <f>VLOOKUP($B1146,'D7 - NDB Impacted SPRF''s'!$E$16:$O$9929,7,FALSE)</f>
        <v>Sam Ho</v>
      </c>
      <c r="AF1146" s="380" t="str">
        <f>VLOOKUP($B1146,'D7 - NDB Impacted SPRF''s'!$E$16:$O$9929,6,FALSE)</f>
        <v>NELSON MICHAEL</v>
      </c>
      <c r="AG1146" s="282"/>
      <c r="AH1146" s="311" t="e">
        <f>INDEX('D5 - Gatekeeper - Projects'!$A$4:$AF$1010,$AM1146, 17)</f>
        <v>#N/A</v>
      </c>
      <c r="AI1146" s="8"/>
      <c r="AJ1146" s="57"/>
      <c r="AK1146" s="105"/>
      <c r="AM1146" s="6" t="e">
        <f>MATCH(D1146,'D5 - Gatekeeper - Projects'!$C$4:$C$1010,0)</f>
        <v>#N/A</v>
      </c>
      <c r="AN1146" s="6" t="b">
        <f t="shared" si="105"/>
        <v>1</v>
      </c>
      <c r="AO1146" s="6" t="str">
        <f t="shared" si="108"/>
        <v>OK</v>
      </c>
      <c r="AQ1146" s="6" t="e">
        <f>MATCH($D1146,'D4 - Provider Council Unsched'!$C$11:$C$234,0)</f>
        <v>#N/A</v>
      </c>
      <c r="AR1146" s="6" t="b">
        <f t="shared" si="106"/>
        <v>1</v>
      </c>
      <c r="AS1146" s="6" t="str">
        <f t="shared" si="113"/>
        <v>OK</v>
      </c>
      <c r="AU1146" s="202"/>
      <c r="AV1146" s="262"/>
      <c r="AW1146" s="274"/>
    </row>
    <row r="1147" spans="1:49" s="13" customFormat="1" ht="22.5" x14ac:dyDescent="0.2">
      <c r="A1147" s="14">
        <v>1123</v>
      </c>
      <c r="B1147" s="14">
        <v>400030423</v>
      </c>
      <c r="C1147" s="8" t="s">
        <v>5197</v>
      </c>
      <c r="D1147" s="4" t="str">
        <f t="shared" si="112"/>
        <v>400030423R1</v>
      </c>
      <c r="E1147" s="309" t="str">
        <f>VLOOKUP($B1147,'D7 - NDB Impacted SPRF''s'!$E$6:$O$9929,2,FALSE)</f>
        <v>UHPD Physician Demographic Feed - Analysis Only</v>
      </c>
      <c r="F1147" s="8" t="s">
        <v>5443</v>
      </c>
      <c r="G1147" s="8" t="s">
        <v>4758</v>
      </c>
      <c r="H1147" s="8" t="s">
        <v>4246</v>
      </c>
      <c r="I1147" s="20">
        <v>7.0000000000000007E-2</v>
      </c>
      <c r="J1147" s="8" t="s">
        <v>4862</v>
      </c>
      <c r="K1147" s="182">
        <v>40082</v>
      </c>
      <c r="L1147" s="8" t="s">
        <v>4156</v>
      </c>
      <c r="M1147" s="8" t="s">
        <v>6688</v>
      </c>
      <c r="N1147" s="38" t="s">
        <v>7469</v>
      </c>
      <c r="O1147" s="8" t="s">
        <v>2547</v>
      </c>
      <c r="P1147" s="4" t="str">
        <f>VLOOKUP($B1147,'D7 - NDB Impacted SPRF''s'!$E$16:$O$9929,9,FALSE)</f>
        <v>N</v>
      </c>
      <c r="Q1147" s="4" t="str">
        <f>VLOOKUP($B1147,'D7 - NDB Impacted SPRF''s'!$E$16:$O$9929,10,FALSE)</f>
        <v>N</v>
      </c>
      <c r="R1147" s="4" t="str">
        <f>VLOOKUP($B1147,'D7 - NDB Impacted SPRF''s'!$E$16:$O$9929,11,FALSE)</f>
        <v>N</v>
      </c>
      <c r="S1147" s="8"/>
      <c r="T1147" s="310"/>
      <c r="U1147" s="310"/>
      <c r="V1147" s="4"/>
      <c r="W1147" s="4"/>
      <c r="X1147" s="4"/>
      <c r="Y1147" s="4"/>
      <c r="Z1147" s="4"/>
      <c r="AA1147" s="4"/>
      <c r="AB1147" s="380" t="str">
        <f>VLOOKUP($B1147,'D7 - NDB Impacted SPRF''s'!$E$6:$O$9929,4,FALSE)</f>
        <v>Completed</v>
      </c>
      <c r="AC1147" s="380" t="str">
        <f>VLOOKUP($B1147,'D7 - NDB Impacted SPRF''s'!$E$6:$O$9929,3,FALSE)</f>
        <v>OptumInsight</v>
      </c>
      <c r="AD1147" s="380" t="str">
        <f>VLOOKUP($B1147,'D7 - NDB Impacted SPRF''s'!$E$6:$O$9929,5,FALSE)</f>
        <v>Ingenix</v>
      </c>
      <c r="AE1147" s="380" t="str">
        <f>VLOOKUP($B1147,'D7 - NDB Impacted SPRF''s'!$E$6:$O$9929,7,FALSE)</f>
        <v>Chris Brown</v>
      </c>
      <c r="AF1147" s="380" t="str">
        <f>VLOOKUP($B1147,'D7 - NDB Impacted SPRF''s'!$E$6:$O$9929,6,FALSE)</f>
        <v>RONALD SMREKAR</v>
      </c>
      <c r="AG1147" s="282"/>
      <c r="AH1147" s="311" t="e">
        <f>INDEX('D5 - Gatekeeper - Projects'!$A$4:$AF$1010,$AM1147, 17)</f>
        <v>#N/A</v>
      </c>
      <c r="AI1147" s="8"/>
      <c r="AJ1147" s="57"/>
      <c r="AK1147" s="105"/>
      <c r="AM1147" s="6" t="e">
        <f>MATCH(D1147,'D5 - Gatekeeper - Projects'!$C$4:$C$1010,0)</f>
        <v>#N/A</v>
      </c>
      <c r="AN1147" s="6" t="b">
        <f t="shared" si="105"/>
        <v>1</v>
      </c>
      <c r="AO1147" s="6" t="str">
        <f t="shared" si="108"/>
        <v>OK</v>
      </c>
      <c r="AQ1147" s="6" t="e">
        <f>MATCH($D1147,'D4 - Provider Council Unsched'!$C$11:$C$234,0)</f>
        <v>#N/A</v>
      </c>
      <c r="AR1147" s="6" t="b">
        <f t="shared" si="106"/>
        <v>1</v>
      </c>
      <c r="AS1147" s="6" t="str">
        <f t="shared" si="113"/>
        <v>OK</v>
      </c>
      <c r="AU1147" s="202"/>
      <c r="AV1147" s="262"/>
      <c r="AW1147" s="274"/>
    </row>
    <row r="1148" spans="1:49" s="13" customFormat="1" ht="33.75" x14ac:dyDescent="0.2">
      <c r="A1148" s="14">
        <v>1124</v>
      </c>
      <c r="B1148" s="14">
        <v>400030951</v>
      </c>
      <c r="C1148" s="8" t="s">
        <v>5197</v>
      </c>
      <c r="D1148" s="4" t="str">
        <f t="shared" si="112"/>
        <v>400030951R1</v>
      </c>
      <c r="E1148" s="309" t="str">
        <f>VLOOKUP($B1148,'D7 - NDB Impacted SPRF''s'!$E$6:$O$9929,2,FALSE)</f>
        <v>Radiology Accreditation – Pilot Test Claims</v>
      </c>
      <c r="F1148" s="8" t="s">
        <v>2114</v>
      </c>
      <c r="G1148" s="8" t="s">
        <v>4758</v>
      </c>
      <c r="H1148" s="8" t="s">
        <v>4246</v>
      </c>
      <c r="I1148" s="20">
        <v>0.73</v>
      </c>
      <c r="J1148" s="8" t="s">
        <v>4862</v>
      </c>
      <c r="K1148" s="182">
        <v>40082</v>
      </c>
      <c r="L1148" s="8" t="s">
        <v>4156</v>
      </c>
      <c r="M1148" s="8" t="s">
        <v>6007</v>
      </c>
      <c r="N1148" s="38" t="s">
        <v>1609</v>
      </c>
      <c r="O1148" s="8" t="s">
        <v>3572</v>
      </c>
      <c r="P1148" s="4" t="str">
        <f>VLOOKUP($B1148,'D7 - NDB Impacted SPRF''s'!$E$16:$O$9929,9,FALSE)</f>
        <v>N</v>
      </c>
      <c r="Q1148" s="4" t="str">
        <f>VLOOKUP($B1148,'D7 - NDB Impacted SPRF''s'!$E$16:$O$9929,10,FALSE)</f>
        <v>N</v>
      </c>
      <c r="R1148" s="4" t="str">
        <f>VLOOKUP($B1148,'D7 - NDB Impacted SPRF''s'!$E$16:$O$9929,11,FALSE)</f>
        <v>N</v>
      </c>
      <c r="S1148" s="8"/>
      <c r="T1148" s="310"/>
      <c r="U1148" s="310"/>
      <c r="V1148" s="4"/>
      <c r="W1148" s="4"/>
      <c r="X1148" s="4"/>
      <c r="Y1148" s="4"/>
      <c r="Z1148" s="4"/>
      <c r="AA1148" s="4"/>
      <c r="AB1148" s="380" t="str">
        <f>VLOOKUP($B1148,'D7 - NDB Impacted SPRF''s'!$E$6:$O$9929,4,FALSE)</f>
        <v>Completed</v>
      </c>
      <c r="AC1148" s="380" t="str">
        <f>VLOOKUP($B1148,'D7 - NDB Impacted SPRF''s'!$E$6:$O$9929,3,FALSE)</f>
        <v>UnitedHealthcare Employer &amp; Individual</v>
      </c>
      <c r="AD1148" s="380" t="str">
        <f>VLOOKUP($B1148,'D7 - NDB Impacted SPRF''s'!$E$6:$O$9929,5,FALSE)</f>
        <v>Medical Cost Savings Programs</v>
      </c>
      <c r="AE1148" s="380" t="str">
        <f>VLOOKUP($B1148,'D7 - NDB Impacted SPRF''s'!$E$6:$O$9929,7,FALSE)</f>
        <v>Laurie Paidosh</v>
      </c>
      <c r="AF1148" s="380" t="str">
        <f>VLOOKUP($B1148,'D7 - NDB Impacted SPRF''s'!$E$6:$O$9929,6,FALSE)</f>
        <v>Brendan Dolan</v>
      </c>
      <c r="AG1148" s="282"/>
      <c r="AH1148" s="311" t="e">
        <f>INDEX('D5 - Gatekeeper - Projects'!$A$4:$AF$1010,$AM1148, 17)</f>
        <v>#N/A</v>
      </c>
      <c r="AI1148" s="8"/>
      <c r="AJ1148" s="57"/>
      <c r="AK1148" s="105"/>
      <c r="AM1148" s="6" t="e">
        <f>MATCH(D1148,'D5 - Gatekeeper - Projects'!$C$4:$C$1010,0)</f>
        <v>#N/A</v>
      </c>
      <c r="AN1148" s="6" t="b">
        <f t="shared" si="105"/>
        <v>1</v>
      </c>
      <c r="AO1148" s="6" t="str">
        <f t="shared" si="108"/>
        <v>OK</v>
      </c>
      <c r="AQ1148" s="6" t="e">
        <f>MATCH($D1148,'D4 - Provider Council Unsched'!$C$11:$C$234,0)</f>
        <v>#N/A</v>
      </c>
      <c r="AR1148" s="6" t="b">
        <f t="shared" si="106"/>
        <v>1</v>
      </c>
      <c r="AS1148" s="6" t="str">
        <f t="shared" si="113"/>
        <v>OK</v>
      </c>
      <c r="AU1148" s="202"/>
      <c r="AV1148" s="262"/>
      <c r="AW1148" s="274"/>
    </row>
    <row r="1149" spans="1:49" s="13" customFormat="1" x14ac:dyDescent="0.2">
      <c r="A1149" s="14">
        <v>1125</v>
      </c>
      <c r="B1149" s="14" t="s">
        <v>3379</v>
      </c>
      <c r="C1149" s="8" t="s">
        <v>5197</v>
      </c>
      <c r="D1149" s="4" t="s">
        <v>3381</v>
      </c>
      <c r="E1149" s="309" t="s">
        <v>4426</v>
      </c>
      <c r="F1149" s="8" t="s">
        <v>2114</v>
      </c>
      <c r="G1149" s="8" t="s">
        <v>4758</v>
      </c>
      <c r="H1149" s="8" t="s">
        <v>4246</v>
      </c>
      <c r="I1149" s="20">
        <v>2.67</v>
      </c>
      <c r="J1149" s="8" t="s">
        <v>4862</v>
      </c>
      <c r="K1149" s="182">
        <v>40082</v>
      </c>
      <c r="L1149" s="8" t="s">
        <v>5743</v>
      </c>
      <c r="M1149" s="8" t="s">
        <v>2814</v>
      </c>
      <c r="N1149" s="38"/>
      <c r="O1149" s="8" t="s">
        <v>3572</v>
      </c>
      <c r="P1149" s="4" t="e">
        <f>VLOOKUP($B1149,'D7 - NDB Impacted SPRF''s'!$E$16:$O$9929,9,FALSE)</f>
        <v>#N/A</v>
      </c>
      <c r="Q1149" s="4" t="e">
        <f>VLOOKUP($B1149,'D7 - NDB Impacted SPRF''s'!$E$16:$O$9929,10,FALSE)</f>
        <v>#N/A</v>
      </c>
      <c r="R1149" s="4" t="e">
        <f>VLOOKUP($B1149,'D7 - NDB Impacted SPRF''s'!$E$16:$O$9929,11,FALSE)</f>
        <v>#N/A</v>
      </c>
      <c r="S1149" s="8"/>
      <c r="T1149" s="310"/>
      <c r="U1149" s="310"/>
      <c r="V1149" s="4"/>
      <c r="W1149" s="4"/>
      <c r="X1149" s="4"/>
      <c r="Y1149" s="4"/>
      <c r="Z1149" s="4"/>
      <c r="AA1149" s="4"/>
      <c r="AB1149" s="383" t="e">
        <f>VLOOKUP($B1149,'D7 - NDB Impacted SPRF''s'!$E$16:$O$9929,4,FALSE)</f>
        <v>#N/A</v>
      </c>
      <c r="AC1149" s="380" t="e">
        <f>VLOOKUP($B1149,'D7 - NDB Impacted SPRF''s'!$E$16:$O$9929,3,FALSE)</f>
        <v>#N/A</v>
      </c>
      <c r="AD1149" s="380" t="e">
        <f>VLOOKUP($B1149,'D7 - NDB Impacted SPRF''s'!$E$16:$O$9929,5,FALSE)</f>
        <v>#N/A</v>
      </c>
      <c r="AE1149" s="380" t="e">
        <f>VLOOKUP($B1149,'D7 - NDB Impacted SPRF''s'!$E$16:$O$9929,7,FALSE)</f>
        <v>#N/A</v>
      </c>
      <c r="AF1149" s="380" t="e">
        <f>VLOOKUP($B1149,'D7 - NDB Impacted SPRF''s'!$E$16:$O$9929,6,FALSE)</f>
        <v>#N/A</v>
      </c>
      <c r="AG1149" s="282"/>
      <c r="AH1149" s="311" t="e">
        <f>INDEX('D5 - Gatekeeper - Projects'!$A$4:$AF$1010,$AM1149, 17)</f>
        <v>#N/A</v>
      </c>
      <c r="AI1149" s="8"/>
      <c r="AJ1149" s="57"/>
      <c r="AK1149" s="105"/>
      <c r="AM1149" s="6" t="e">
        <f>MATCH(D1149,'D5 - Gatekeeper - Projects'!$C$4:$C$1010,0)</f>
        <v>#N/A</v>
      </c>
      <c r="AN1149" s="6" t="b">
        <f t="shared" si="105"/>
        <v>1</v>
      </c>
      <c r="AO1149" s="6" t="str">
        <f t="shared" si="108"/>
        <v>OK</v>
      </c>
      <c r="AQ1149" s="6" t="e">
        <f>MATCH($D1149,'D4 - Provider Council Unsched'!$C$11:$C$234,0)</f>
        <v>#N/A</v>
      </c>
      <c r="AR1149" s="6" t="b">
        <f t="shared" si="106"/>
        <v>1</v>
      </c>
      <c r="AS1149" s="6" t="str">
        <f t="shared" si="113"/>
        <v>OK</v>
      </c>
      <c r="AU1149" s="202"/>
      <c r="AV1149" s="262"/>
      <c r="AW1149" s="274"/>
    </row>
    <row r="1150" spans="1:49" s="13" customFormat="1" ht="12.75" x14ac:dyDescent="0.2">
      <c r="A1150" s="14">
        <v>1126</v>
      </c>
      <c r="B1150" s="14" t="s">
        <v>1489</v>
      </c>
      <c r="C1150" s="8" t="s">
        <v>5197</v>
      </c>
      <c r="D1150" s="4" t="s">
        <v>1490</v>
      </c>
      <c r="E1150" s="341" t="s">
        <v>4777</v>
      </c>
      <c r="F1150" s="8" t="s">
        <v>2114</v>
      </c>
      <c r="G1150" s="8" t="s">
        <v>4758</v>
      </c>
      <c r="H1150" s="8" t="s">
        <v>4246</v>
      </c>
      <c r="I1150" s="20">
        <v>2.2000000000000002</v>
      </c>
      <c r="J1150" s="8" t="s">
        <v>4862</v>
      </c>
      <c r="K1150" s="182">
        <v>40082</v>
      </c>
      <c r="L1150" s="8" t="s">
        <v>4156</v>
      </c>
      <c r="M1150" s="8" t="s">
        <v>2814</v>
      </c>
      <c r="N1150" s="38"/>
      <c r="O1150" s="8" t="s">
        <v>3572</v>
      </c>
      <c r="P1150" s="4" t="e">
        <f>VLOOKUP($B1150,'D7 - NDB Impacted SPRF''s'!$E$16:$O$9929,9,FALSE)</f>
        <v>#N/A</v>
      </c>
      <c r="Q1150" s="4" t="e">
        <f>VLOOKUP($B1150,'D7 - NDB Impacted SPRF''s'!$E$16:$O$9929,10,FALSE)</f>
        <v>#N/A</v>
      </c>
      <c r="R1150" s="4" t="e">
        <f>VLOOKUP($B1150,'D7 - NDB Impacted SPRF''s'!$E$16:$O$9929,11,FALSE)</f>
        <v>#N/A</v>
      </c>
      <c r="S1150" s="8"/>
      <c r="T1150" s="310"/>
      <c r="U1150" s="310"/>
      <c r="V1150" s="4"/>
      <c r="W1150" s="4"/>
      <c r="X1150" s="4"/>
      <c r="Y1150" s="4"/>
      <c r="Z1150" s="4"/>
      <c r="AA1150" s="4"/>
      <c r="AB1150" s="383" t="e">
        <f>VLOOKUP($B1150,'D7 - NDB Impacted SPRF''s'!$E$16:$O$9929,4,FALSE)</f>
        <v>#N/A</v>
      </c>
      <c r="AC1150" s="380" t="e">
        <f>VLOOKUP($B1150,'D7 - NDB Impacted SPRF''s'!$E$16:$O$9929,3,FALSE)</f>
        <v>#N/A</v>
      </c>
      <c r="AD1150" s="380" t="e">
        <f>VLOOKUP($B1150,'D7 - NDB Impacted SPRF''s'!$E$16:$O$9929,5,FALSE)</f>
        <v>#N/A</v>
      </c>
      <c r="AE1150" s="380" t="e">
        <f>VLOOKUP($B1150,'D7 - NDB Impacted SPRF''s'!$E$16:$O$9929,7,FALSE)</f>
        <v>#N/A</v>
      </c>
      <c r="AF1150" s="380" t="e">
        <f>VLOOKUP($B1150,'D7 - NDB Impacted SPRF''s'!$E$16:$O$9929,6,FALSE)</f>
        <v>#N/A</v>
      </c>
      <c r="AG1150" s="282"/>
      <c r="AH1150" s="311" t="e">
        <f>INDEX('D5 - Gatekeeper - Projects'!$A$4:$AF$1010,$AM1150, 17)</f>
        <v>#N/A</v>
      </c>
      <c r="AI1150" s="8"/>
      <c r="AJ1150" s="57"/>
      <c r="AK1150" s="105"/>
      <c r="AM1150" s="6" t="e">
        <f>MATCH(D1150,'D5 - Gatekeeper - Projects'!$C$4:$C$1010,0)</f>
        <v>#N/A</v>
      </c>
      <c r="AN1150" s="6" t="b">
        <f t="shared" si="105"/>
        <v>1</v>
      </c>
      <c r="AO1150" s="6" t="str">
        <f t="shared" si="108"/>
        <v>OK</v>
      </c>
      <c r="AQ1150" s="6" t="e">
        <f>MATCH($D1150,'D4 - Provider Council Unsched'!$C$11:$C$234,0)</f>
        <v>#N/A</v>
      </c>
      <c r="AR1150" s="6" t="b">
        <f t="shared" si="106"/>
        <v>1</v>
      </c>
      <c r="AS1150" s="6" t="str">
        <f t="shared" si="113"/>
        <v>OK</v>
      </c>
      <c r="AU1150" s="202"/>
      <c r="AV1150" s="262"/>
      <c r="AW1150" s="274"/>
    </row>
    <row r="1151" spans="1:49" s="13" customFormat="1" x14ac:dyDescent="0.2">
      <c r="A1151" s="14">
        <v>1127</v>
      </c>
      <c r="B1151" s="14">
        <v>400031539</v>
      </c>
      <c r="C1151" s="8" t="s">
        <v>5197</v>
      </c>
      <c r="D1151" s="4" t="str">
        <f>CONCATENATE(B1151,C1151)</f>
        <v>400031539R1</v>
      </c>
      <c r="E1151" s="309" t="str">
        <f>VLOOKUP($B1151,'D7 - NDB Impacted SPRF''s'!$E$6:$O$9929,2,FALSE)</f>
        <v>RxSOL HCP Prior Auth Web Front-end</v>
      </c>
      <c r="F1151" s="8" t="s">
        <v>2114</v>
      </c>
      <c r="G1151" s="8" t="s">
        <v>4758</v>
      </c>
      <c r="H1151" s="8" t="s">
        <v>4246</v>
      </c>
      <c r="I1151" s="20">
        <v>2.54</v>
      </c>
      <c r="J1151" s="8" t="s">
        <v>4862</v>
      </c>
      <c r="K1151" s="182">
        <v>40107</v>
      </c>
      <c r="L1151" s="8" t="s">
        <v>4156</v>
      </c>
      <c r="M1151" s="8" t="s">
        <v>2814</v>
      </c>
      <c r="N1151" s="38"/>
      <c r="O1151" s="8" t="s">
        <v>7299</v>
      </c>
      <c r="P1151" s="4" t="str">
        <f>VLOOKUP($B1151,'D7 - NDB Impacted SPRF''s'!$E$16:$O$9929,9,FALSE)</f>
        <v>N</v>
      </c>
      <c r="Q1151" s="4" t="str">
        <f>VLOOKUP($B1151,'D7 - NDB Impacted SPRF''s'!$E$16:$O$9929,10,FALSE)</f>
        <v>N</v>
      </c>
      <c r="R1151" s="4" t="str">
        <f>VLOOKUP($B1151,'D7 - NDB Impacted SPRF''s'!$E$16:$O$9929,11,FALSE)</f>
        <v>N</v>
      </c>
      <c r="S1151" s="8"/>
      <c r="T1151" s="310"/>
      <c r="U1151" s="310"/>
      <c r="V1151" s="4"/>
      <c r="W1151" s="4"/>
      <c r="X1151" s="4"/>
      <c r="Y1151" s="4"/>
      <c r="Z1151" s="4"/>
      <c r="AA1151" s="4"/>
      <c r="AB1151" s="380" t="str">
        <f>VLOOKUP($B1151,'D7 - NDB Impacted SPRF''s'!$E$6:$O$9929,4,FALSE)</f>
        <v>Completed</v>
      </c>
      <c r="AC1151" s="380" t="str">
        <f>VLOOKUP($B1151,'D7 - NDB Impacted SPRF''s'!$E$6:$O$9929,3,FALSE)</f>
        <v>OptumRx</v>
      </c>
      <c r="AD1151" s="380" t="str">
        <f>VLOOKUP($B1151,'D7 - NDB Impacted SPRF''s'!$E$6:$O$9929,5,FALSE)</f>
        <v>Prescription Solutions</v>
      </c>
      <c r="AE1151" s="380" t="str">
        <f>VLOOKUP($B1151,'D7 - NDB Impacted SPRF''s'!$E$6:$O$9929,7,FALSE)</f>
        <v>Mark Knutson</v>
      </c>
      <c r="AF1151" s="380" t="str">
        <f>VLOOKUP($B1151,'D7 - NDB Impacted SPRF''s'!$E$6:$O$9929,6,FALSE)</f>
        <v>Deborah Green</v>
      </c>
      <c r="AG1151" s="282"/>
      <c r="AH1151" s="311" t="e">
        <f>INDEX('D5 - Gatekeeper - Projects'!$A$4:$AF$1010,$AM1151, 17)</f>
        <v>#N/A</v>
      </c>
      <c r="AI1151" s="8"/>
      <c r="AJ1151" s="57"/>
      <c r="AK1151" s="105"/>
      <c r="AM1151" s="6" t="e">
        <f>MATCH(D1151,'D5 - Gatekeeper - Projects'!$C$4:$C$1010,0)</f>
        <v>#N/A</v>
      </c>
      <c r="AN1151" s="6" t="b">
        <f t="shared" si="105"/>
        <v>1</v>
      </c>
      <c r="AO1151" s="6" t="str">
        <f t="shared" si="108"/>
        <v>OK</v>
      </c>
      <c r="AQ1151" s="6" t="e">
        <f>MATCH($D1151,'D4 - Provider Council Unsched'!$C$11:$C$234,0)</f>
        <v>#N/A</v>
      </c>
      <c r="AR1151" s="6" t="b">
        <f t="shared" si="106"/>
        <v>1</v>
      </c>
      <c r="AS1151" s="6" t="str">
        <f t="shared" si="113"/>
        <v>OK</v>
      </c>
      <c r="AU1151" s="202"/>
      <c r="AV1151" s="262"/>
      <c r="AW1151" s="274"/>
    </row>
    <row r="1152" spans="1:49" s="13" customFormat="1" x14ac:dyDescent="0.2">
      <c r="A1152" s="14">
        <v>1128</v>
      </c>
      <c r="B1152" s="14" t="s">
        <v>7239</v>
      </c>
      <c r="C1152" s="8" t="s">
        <v>5197</v>
      </c>
      <c r="D1152" s="4" t="s">
        <v>7240</v>
      </c>
      <c r="E1152" s="309" t="s">
        <v>7241</v>
      </c>
      <c r="F1152" s="8" t="s">
        <v>2114</v>
      </c>
      <c r="G1152" s="8" t="s">
        <v>4758</v>
      </c>
      <c r="H1152" s="8" t="s">
        <v>4246</v>
      </c>
      <c r="I1152" s="20">
        <v>0.53</v>
      </c>
      <c r="J1152" s="8" t="s">
        <v>4862</v>
      </c>
      <c r="K1152" s="182">
        <v>40107</v>
      </c>
      <c r="L1152" s="8" t="s">
        <v>5743</v>
      </c>
      <c r="M1152" s="8" t="s">
        <v>2814</v>
      </c>
      <c r="N1152" s="38"/>
      <c r="O1152" s="8" t="s">
        <v>3572</v>
      </c>
      <c r="P1152" s="4" t="e">
        <f>VLOOKUP($B1152,'D7 - NDB Impacted SPRF''s'!$E$16:$O$9929,9,FALSE)</f>
        <v>#N/A</v>
      </c>
      <c r="Q1152" s="4" t="e">
        <f>VLOOKUP($B1152,'D7 - NDB Impacted SPRF''s'!$E$16:$O$9929,10,FALSE)</f>
        <v>#N/A</v>
      </c>
      <c r="R1152" s="4" t="e">
        <f>VLOOKUP($B1152,'D7 - NDB Impacted SPRF''s'!$E$16:$O$9929,11,FALSE)</f>
        <v>#N/A</v>
      </c>
      <c r="S1152" s="8"/>
      <c r="T1152" s="310"/>
      <c r="U1152" s="310"/>
      <c r="V1152" s="4"/>
      <c r="W1152" s="4"/>
      <c r="X1152" s="4"/>
      <c r="Y1152" s="4"/>
      <c r="Z1152" s="4"/>
      <c r="AA1152" s="4"/>
      <c r="AB1152" s="383" t="e">
        <f>VLOOKUP($B1152,'D7 - NDB Impacted SPRF''s'!$E$16:$O$9929,4,FALSE)</f>
        <v>#N/A</v>
      </c>
      <c r="AC1152" s="380" t="e">
        <f>VLOOKUP($B1152,'D7 - NDB Impacted SPRF''s'!$E$16:$O$9929,3,FALSE)</f>
        <v>#N/A</v>
      </c>
      <c r="AD1152" s="380" t="e">
        <f>VLOOKUP($B1152,'D7 - NDB Impacted SPRF''s'!$E$16:$O$9929,5,FALSE)</f>
        <v>#N/A</v>
      </c>
      <c r="AE1152" s="380" t="e">
        <f>VLOOKUP($B1152,'D7 - NDB Impacted SPRF''s'!$E$16:$O$9929,7,FALSE)</f>
        <v>#N/A</v>
      </c>
      <c r="AF1152" s="380" t="e">
        <f>VLOOKUP($B1152,'D7 - NDB Impacted SPRF''s'!$E$16:$O$9929,6,FALSE)</f>
        <v>#N/A</v>
      </c>
      <c r="AG1152" s="282"/>
      <c r="AH1152" s="311" t="e">
        <f>INDEX('D5 - Gatekeeper - Projects'!$A$4:$AF$1010,$AM1152, 17)</f>
        <v>#N/A</v>
      </c>
      <c r="AI1152" s="8"/>
      <c r="AJ1152" s="57"/>
      <c r="AK1152" s="105"/>
      <c r="AM1152" s="6" t="e">
        <f>MATCH(D1152,'D5 - Gatekeeper - Projects'!$C$4:$C$1010,0)</f>
        <v>#N/A</v>
      </c>
      <c r="AN1152" s="6" t="b">
        <f t="shared" si="105"/>
        <v>1</v>
      </c>
      <c r="AO1152" s="6" t="str">
        <f t="shared" si="108"/>
        <v>OK</v>
      </c>
      <c r="AQ1152" s="6" t="e">
        <f>MATCH($D1152,'D4 - Provider Council Unsched'!$C$11:$C$234,0)</f>
        <v>#N/A</v>
      </c>
      <c r="AR1152" s="6" t="b">
        <f t="shared" si="106"/>
        <v>1</v>
      </c>
      <c r="AS1152" s="6" t="str">
        <f t="shared" si="113"/>
        <v>OK</v>
      </c>
      <c r="AU1152" s="202"/>
      <c r="AV1152" s="262"/>
      <c r="AW1152" s="274"/>
    </row>
    <row r="1153" spans="1:49" s="13" customFormat="1" ht="33.75" x14ac:dyDescent="0.2">
      <c r="A1153" s="14">
        <v>1129</v>
      </c>
      <c r="B1153" s="14">
        <v>400019663</v>
      </c>
      <c r="C1153" s="8" t="s">
        <v>5197</v>
      </c>
      <c r="D1153" s="4" t="str">
        <f t="shared" ref="D1153:D1190" si="114">CONCATENATE(B1153,C1153)</f>
        <v>400019663R1</v>
      </c>
      <c r="E1153" s="309" t="str">
        <f>VLOOKUP($B1153,'D7 - NDB Impacted SPRF''s'!$E$6:$O$9929,2,FALSE)</f>
        <v>Medica Commercial Partner Certification Wave 2</v>
      </c>
      <c r="F1153" s="8" t="s">
        <v>5196</v>
      </c>
      <c r="G1153" s="8" t="s">
        <v>4758</v>
      </c>
      <c r="H1153" s="8" t="s">
        <v>4246</v>
      </c>
      <c r="I1153" s="20">
        <f>2249/150</f>
        <v>14.993333333333334</v>
      </c>
      <c r="J1153" s="8" t="s">
        <v>4862</v>
      </c>
      <c r="K1153" s="182">
        <v>40131</v>
      </c>
      <c r="L1153" s="8" t="s">
        <v>5743</v>
      </c>
      <c r="M1153" s="8" t="s">
        <v>4850</v>
      </c>
      <c r="N1153" s="38" t="s">
        <v>5130</v>
      </c>
      <c r="O1153" s="8" t="s">
        <v>2000</v>
      </c>
      <c r="P1153" s="4" t="str">
        <f>VLOOKUP($B1153,'D7 - NDB Impacted SPRF''s'!$E$16:$O$9929,9,FALSE)</f>
        <v>Y</v>
      </c>
      <c r="Q1153" s="4" t="str">
        <f>VLOOKUP($B1153,'D7 - NDB Impacted SPRF''s'!$E$16:$O$9929,10,FALSE)</f>
        <v>N</v>
      </c>
      <c r="R1153" s="4" t="str">
        <f>VLOOKUP($B1153,'D7 - NDB Impacted SPRF''s'!$E$16:$O$9929,11,FALSE)</f>
        <v>N</v>
      </c>
      <c r="S1153" s="8"/>
      <c r="T1153" s="310"/>
      <c r="U1153" s="310"/>
      <c r="V1153" s="4"/>
      <c r="W1153" s="4"/>
      <c r="X1153" s="4"/>
      <c r="Y1153" s="4"/>
      <c r="Z1153" s="4"/>
      <c r="AA1153" s="4"/>
      <c r="AB1153" s="380" t="str">
        <f>VLOOKUP($B1153,'D7 - NDB Impacted SPRF''s'!$E$16:$O$9929,4,FALSE)</f>
        <v>Completed</v>
      </c>
      <c r="AC1153" s="380" t="str">
        <f>VLOOKUP($B1153,'D7 - NDB Impacted SPRF''s'!$E$16:$O$9929,3,FALSE)</f>
        <v>UnitedHealthcare Employer &amp; Individual</v>
      </c>
      <c r="AD1153" s="380" t="str">
        <f>VLOOKUP($B1153,'D7 - NDB Impacted SPRF''s'!$E$16:$O$9929,5,FALSE)</f>
        <v>HCA - Medica UNET Conversion</v>
      </c>
      <c r="AE1153" s="380" t="str">
        <f>VLOOKUP($B1153,'D7 - NDB Impacted SPRF''s'!$E$16:$O$9929,7,FALSE)</f>
        <v>Diane Schofield</v>
      </c>
      <c r="AF1153" s="380" t="str">
        <f>VLOOKUP($B1153,'D7 - NDB Impacted SPRF''s'!$E$16:$O$9929,6,FALSE)</f>
        <v>Cindy Griggs</v>
      </c>
      <c r="AG1153" s="282"/>
      <c r="AH1153" s="311" t="e">
        <f>INDEX('D5 - Gatekeeper - Projects'!$A$4:$AF$1010,$AM1153, 17)</f>
        <v>#N/A</v>
      </c>
      <c r="AI1153" s="8"/>
      <c r="AJ1153" s="57"/>
      <c r="AK1153" s="105"/>
      <c r="AM1153" s="6" t="e">
        <f>MATCH(D1153,'D5 - Gatekeeper - Projects'!$C$4:$C$1010,0)</f>
        <v>#N/A</v>
      </c>
      <c r="AN1153" s="6" t="b">
        <f t="shared" si="105"/>
        <v>1</v>
      </c>
      <c r="AO1153" s="6" t="str">
        <f t="shared" si="108"/>
        <v>OK</v>
      </c>
      <c r="AQ1153" s="6" t="e">
        <f>MATCH($D1153,'D4 - Provider Council Unsched'!$C$11:$C$234,0)</f>
        <v>#N/A</v>
      </c>
      <c r="AR1153" s="6" t="b">
        <f t="shared" si="106"/>
        <v>1</v>
      </c>
      <c r="AS1153" s="6" t="str">
        <f t="shared" si="113"/>
        <v>OK</v>
      </c>
      <c r="AU1153" s="202"/>
      <c r="AV1153" s="262"/>
      <c r="AW1153" s="274"/>
    </row>
    <row r="1154" spans="1:49" s="13" customFormat="1" ht="33.75" x14ac:dyDescent="0.2">
      <c r="A1154" s="14">
        <v>1130</v>
      </c>
      <c r="B1154" s="14">
        <v>400024137</v>
      </c>
      <c r="C1154" s="8" t="s">
        <v>4926</v>
      </c>
      <c r="D1154" s="4" t="str">
        <f t="shared" si="114"/>
        <v>400024137R4</v>
      </c>
      <c r="E1154" s="309" t="str">
        <f>VLOOKUP($B1154,'D7 - NDB Impacted SPRF''s'!$E$6:$O$9929,2,FALSE)</f>
        <v>DRG Field Expansion</v>
      </c>
      <c r="F1154" s="8" t="s">
        <v>7955</v>
      </c>
      <c r="G1154" s="8" t="s">
        <v>4758</v>
      </c>
      <c r="H1154" s="8" t="s">
        <v>4246</v>
      </c>
      <c r="I1154" s="20"/>
      <c r="J1154" s="8" t="s">
        <v>4862</v>
      </c>
      <c r="K1154" s="182">
        <v>40131</v>
      </c>
      <c r="L1154" s="8" t="s">
        <v>5743</v>
      </c>
      <c r="M1154" s="8" t="s">
        <v>2814</v>
      </c>
      <c r="N1154" s="38"/>
      <c r="O1154" s="8" t="s">
        <v>2875</v>
      </c>
      <c r="P1154" s="4" t="str">
        <f>VLOOKUP($B1154,'D7 - NDB Impacted SPRF''s'!$E$16:$O$9929,9,FALSE)</f>
        <v>Y</v>
      </c>
      <c r="Q1154" s="4" t="str">
        <f>VLOOKUP($B1154,'D7 - NDB Impacted SPRF''s'!$E$16:$O$9929,10,FALSE)</f>
        <v>N</v>
      </c>
      <c r="R1154" s="4" t="str">
        <f>VLOOKUP($B1154,'D7 - NDB Impacted SPRF''s'!$E$16:$O$9929,11,FALSE)</f>
        <v>Y</v>
      </c>
      <c r="S1154" s="8"/>
      <c r="T1154" s="310"/>
      <c r="U1154" s="310"/>
      <c r="V1154" s="4"/>
      <c r="W1154" s="4"/>
      <c r="X1154" s="4"/>
      <c r="Y1154" s="4"/>
      <c r="Z1154" s="4"/>
      <c r="AA1154" s="4"/>
      <c r="AB1154" s="380" t="str">
        <f>VLOOKUP($B1154,'D7 - NDB Impacted SPRF''s'!$E$16:$O$9929,4,FALSE)</f>
        <v>Completed</v>
      </c>
      <c r="AC1154" s="380" t="str">
        <f>VLOOKUP($B1154,'D7 - NDB Impacted SPRF''s'!$E$16:$O$9929,3,FALSE)</f>
        <v>UnitedHealthcare Employer &amp; Individual</v>
      </c>
      <c r="AD1154" s="380" t="str">
        <f>VLOOKUP($B1154,'D7 - NDB Impacted SPRF''s'!$E$16:$O$9929,5,FALSE)</f>
        <v>Regulatory / Other</v>
      </c>
      <c r="AE1154" s="380" t="str">
        <f>VLOOKUP($B1154,'D7 - NDB Impacted SPRF''s'!$E$16:$O$9929,7,FALSE)</f>
        <v>Jill Fource</v>
      </c>
      <c r="AF1154" s="380" t="str">
        <f>VLOOKUP($B1154,'D7 - NDB Impacted SPRF''s'!$E$16:$O$9929,6,FALSE)</f>
        <v>Suzanne Smith</v>
      </c>
      <c r="AG1154" s="282"/>
      <c r="AH1154" s="311" t="e">
        <f>INDEX('D5 - Gatekeeper - Projects'!$A$4:$AF$1010,$AM1154, 17)</f>
        <v>#N/A</v>
      </c>
      <c r="AI1154" s="8"/>
      <c r="AJ1154" s="57"/>
      <c r="AK1154" s="105"/>
      <c r="AM1154" s="6" t="e">
        <f>MATCH(D1154,'D5 - Gatekeeper - Projects'!$C$4:$C$1010,0)</f>
        <v>#N/A</v>
      </c>
      <c r="AN1154" s="6" t="b">
        <f t="shared" si="105"/>
        <v>1</v>
      </c>
      <c r="AO1154" s="6" t="str">
        <f t="shared" si="108"/>
        <v>OK</v>
      </c>
      <c r="AQ1154" s="6" t="e">
        <f>MATCH($D1154,'D4 - Provider Council Unsched'!$C$11:$C$234,0)</f>
        <v>#N/A</v>
      </c>
      <c r="AR1154" s="6" t="b">
        <f t="shared" si="106"/>
        <v>1</v>
      </c>
      <c r="AS1154" s="6" t="str">
        <f t="shared" si="113"/>
        <v>OK</v>
      </c>
      <c r="AU1154" s="202"/>
      <c r="AV1154" s="262"/>
      <c r="AW1154" s="274"/>
    </row>
    <row r="1155" spans="1:49" s="13" customFormat="1" ht="33.75" x14ac:dyDescent="0.2">
      <c r="A1155" s="14">
        <v>1131</v>
      </c>
      <c r="B1155" s="14">
        <v>400024666</v>
      </c>
      <c r="C1155" s="8" t="s">
        <v>4926</v>
      </c>
      <c r="D1155" s="4" t="str">
        <f t="shared" si="114"/>
        <v>400024666R4</v>
      </c>
      <c r="E1155" s="309" t="str">
        <f>VLOOKUP($B1155,'D7 - NDB Impacted SPRF''s'!$E$6:$O$9929,2,FALSE)</f>
        <v xml:space="preserve">MPQ Enhancements </v>
      </c>
      <c r="F1155" s="8" t="s">
        <v>2114</v>
      </c>
      <c r="G1155" s="8" t="s">
        <v>4758</v>
      </c>
      <c r="H1155" s="8" t="s">
        <v>4246</v>
      </c>
      <c r="I1155" s="20">
        <v>15.42</v>
      </c>
      <c r="J1155" s="8" t="s">
        <v>4862</v>
      </c>
      <c r="K1155" s="182">
        <v>40131</v>
      </c>
      <c r="L1155" s="8" t="s">
        <v>5743</v>
      </c>
      <c r="M1155" s="8" t="s">
        <v>2814</v>
      </c>
      <c r="N1155" s="38"/>
      <c r="O1155" s="8" t="s">
        <v>4599</v>
      </c>
      <c r="P1155" s="4" t="str">
        <f>VLOOKUP($B1155,'D7 - NDB Impacted SPRF''s'!$E$16:$O$9929,9,FALSE)</f>
        <v>Y</v>
      </c>
      <c r="Q1155" s="4" t="str">
        <f>VLOOKUP($B1155,'D7 - NDB Impacted SPRF''s'!$E$16:$O$9929,10,FALSE)</f>
        <v>N</v>
      </c>
      <c r="R1155" s="4" t="str">
        <f>VLOOKUP($B1155,'D7 - NDB Impacted SPRF''s'!$E$16:$O$9929,11,FALSE)</f>
        <v>Y</v>
      </c>
      <c r="S1155" s="8"/>
      <c r="T1155" s="310"/>
      <c r="U1155" s="310"/>
      <c r="V1155" s="4"/>
      <c r="W1155" s="4"/>
      <c r="X1155" s="4"/>
      <c r="Y1155" s="4"/>
      <c r="Z1155" s="4"/>
      <c r="AA1155" s="4"/>
      <c r="AB1155" s="380" t="str">
        <f>VLOOKUP($B1155,'D7 - NDB Impacted SPRF''s'!$E$16:$O$9929,4,FALSE)</f>
        <v>Completed</v>
      </c>
      <c r="AC1155" s="380" t="str">
        <f>VLOOKUP($B1155,'D7 - NDB Impacted SPRF''s'!$E$16:$O$9929,3,FALSE)</f>
        <v>UnitedHealthcare Employer &amp; Individual</v>
      </c>
      <c r="AD1155" s="380" t="str">
        <f>VLOOKUP($B1155,'D7 - NDB Impacted SPRF''s'!$E$16:$O$9929,5,FALSE)</f>
        <v>Process Improvement</v>
      </c>
      <c r="AE1155" s="380" t="str">
        <f>VLOOKUP($B1155,'D7 - NDB Impacted SPRF''s'!$E$16:$O$9929,7,FALSE)</f>
        <v>Jillian Foucre</v>
      </c>
      <c r="AF1155" s="380" t="str">
        <f>VLOOKUP($B1155,'D7 - NDB Impacted SPRF''s'!$E$16:$O$9929,6,FALSE)</f>
        <v>JOHN HIEBERT</v>
      </c>
      <c r="AG1155" s="282"/>
      <c r="AH1155" s="311" t="e">
        <f>INDEX('D5 - Gatekeeper - Projects'!$A$4:$AF$1010,$AM1155, 17)</f>
        <v>#N/A</v>
      </c>
      <c r="AI1155" s="8"/>
      <c r="AJ1155" s="57"/>
      <c r="AK1155" s="105"/>
      <c r="AM1155" s="6" t="e">
        <f>MATCH(D1155,'D5 - Gatekeeper - Projects'!$C$4:$C$1010,0)</f>
        <v>#N/A</v>
      </c>
      <c r="AN1155" s="6" t="b">
        <f t="shared" si="105"/>
        <v>1</v>
      </c>
      <c r="AO1155" s="6" t="str">
        <f t="shared" si="108"/>
        <v>OK</v>
      </c>
      <c r="AQ1155" s="6" t="e">
        <f>MATCH($D1155,'D4 - Provider Council Unsched'!$C$11:$C$234,0)</f>
        <v>#N/A</v>
      </c>
      <c r="AR1155" s="6" t="b">
        <f t="shared" si="106"/>
        <v>1</v>
      </c>
      <c r="AS1155" s="6" t="str">
        <f t="shared" si="113"/>
        <v>OK</v>
      </c>
      <c r="AU1155" s="202"/>
      <c r="AV1155" s="262"/>
      <c r="AW1155" s="274"/>
    </row>
    <row r="1156" spans="1:49" s="13" customFormat="1" ht="33.75" x14ac:dyDescent="0.2">
      <c r="A1156" s="14">
        <v>1132</v>
      </c>
      <c r="B1156" s="14">
        <v>400024677</v>
      </c>
      <c r="C1156" s="8" t="s">
        <v>5197</v>
      </c>
      <c r="D1156" s="4" t="str">
        <f t="shared" si="114"/>
        <v>400024677R1</v>
      </c>
      <c r="E1156" s="309" t="str">
        <f>VLOOKUP($B1156,'D7 - NDB Impacted SPRF''s'!$E$6:$O$9929,2,FALSE)</f>
        <v>Optum-TOPS to NDB CMS modifications</v>
      </c>
      <c r="F1156" s="8" t="s">
        <v>2114</v>
      </c>
      <c r="G1156" s="8" t="s">
        <v>4758</v>
      </c>
      <c r="H1156" s="8" t="s">
        <v>4246</v>
      </c>
      <c r="I1156" s="20">
        <v>21.67</v>
      </c>
      <c r="J1156" s="8" t="s">
        <v>4862</v>
      </c>
      <c r="K1156" s="182">
        <v>40131</v>
      </c>
      <c r="L1156" s="8" t="s">
        <v>5743</v>
      </c>
      <c r="M1156" s="8" t="s">
        <v>2814</v>
      </c>
      <c r="N1156" s="38"/>
      <c r="O1156" s="8" t="s">
        <v>7086</v>
      </c>
      <c r="P1156" s="4" t="str">
        <f>VLOOKUP($B1156,'D7 - NDB Impacted SPRF''s'!$E$16:$O$9929,9,FALSE)</f>
        <v>Y</v>
      </c>
      <c r="Q1156" s="4" t="str">
        <f>VLOOKUP($B1156,'D7 - NDB Impacted SPRF''s'!$E$16:$O$9929,10,FALSE)</f>
        <v>N</v>
      </c>
      <c r="R1156" s="4" t="str">
        <f>VLOOKUP($B1156,'D7 - NDB Impacted SPRF''s'!$E$16:$O$9929,11,FALSE)</f>
        <v>Y</v>
      </c>
      <c r="S1156" s="8"/>
      <c r="T1156" s="310"/>
      <c r="U1156" s="310"/>
      <c r="V1156" s="4"/>
      <c r="W1156" s="4"/>
      <c r="X1156" s="4"/>
      <c r="Y1156" s="4"/>
      <c r="Z1156" s="4"/>
      <c r="AA1156" s="4"/>
      <c r="AB1156" s="380" t="str">
        <f>VLOOKUP($B1156,'D7 - NDB Impacted SPRF''s'!$E$16:$O$9929,4,FALSE)</f>
        <v>Completed</v>
      </c>
      <c r="AC1156" s="380" t="str">
        <f>VLOOKUP($B1156,'D7 - NDB Impacted SPRF''s'!$E$16:$O$9929,3,FALSE)</f>
        <v>UnitedHealthcare Employer &amp; Individual</v>
      </c>
      <c r="AD1156" s="380" t="str">
        <f>VLOOKUP($B1156,'D7 - NDB Impacted SPRF''s'!$E$16:$O$9929,5,FALSE)</f>
        <v>Process Improvement</v>
      </c>
      <c r="AE1156" s="380" t="str">
        <f>VLOOKUP($B1156,'D7 - NDB Impacted SPRF''s'!$E$16:$O$9929,7,FALSE)</f>
        <v xml:space="preserve">Tim Kaja </v>
      </c>
      <c r="AF1156" s="380" t="str">
        <f>VLOOKUP($B1156,'D7 - NDB Impacted SPRF''s'!$E$16:$O$9929,6,FALSE)</f>
        <v>Jason Dedzej</v>
      </c>
      <c r="AG1156" s="282"/>
      <c r="AH1156" s="311" t="e">
        <f>INDEX('D5 - Gatekeeper - Projects'!$A$4:$AF$1010,$AM1156, 17)</f>
        <v>#N/A</v>
      </c>
      <c r="AI1156" s="8"/>
      <c r="AJ1156" s="57"/>
      <c r="AK1156" s="105"/>
      <c r="AM1156" s="6" t="e">
        <f>MATCH(D1156,'D5 - Gatekeeper - Projects'!$C$4:$C$1010,0)</f>
        <v>#N/A</v>
      </c>
      <c r="AN1156" s="6" t="b">
        <f t="shared" si="105"/>
        <v>1</v>
      </c>
      <c r="AO1156" s="6" t="str">
        <f t="shared" si="108"/>
        <v>OK</v>
      </c>
      <c r="AQ1156" s="6" t="e">
        <f>MATCH($D1156,'D4 - Provider Council Unsched'!$C$11:$C$234,0)</f>
        <v>#N/A</v>
      </c>
      <c r="AR1156" s="6" t="b">
        <f t="shared" si="106"/>
        <v>1</v>
      </c>
      <c r="AS1156" s="6" t="str">
        <f t="shared" si="113"/>
        <v>OK</v>
      </c>
      <c r="AU1156" s="202"/>
      <c r="AV1156" s="262"/>
      <c r="AW1156" s="274"/>
    </row>
    <row r="1157" spans="1:49" s="13" customFormat="1" ht="33.75" x14ac:dyDescent="0.2">
      <c r="A1157" s="14">
        <v>1133</v>
      </c>
      <c r="B1157" s="14">
        <v>400026479</v>
      </c>
      <c r="C1157" s="8" t="s">
        <v>5197</v>
      </c>
      <c r="D1157" s="4" t="str">
        <f t="shared" si="114"/>
        <v>400026479R1</v>
      </c>
      <c r="E1157" s="309" t="str">
        <f>VLOOKUP($B1157,'D7 - NDB Impacted SPRF''s'!$E$6:$O$9929,2,FALSE)</f>
        <v>PHS WP1 - PCP Call Service - PCP Reassignment</v>
      </c>
      <c r="F1157" s="8" t="s">
        <v>6071</v>
      </c>
      <c r="G1157" s="8" t="s">
        <v>4758</v>
      </c>
      <c r="H1157" s="8" t="s">
        <v>4246</v>
      </c>
      <c r="I1157" s="20">
        <v>27.39</v>
      </c>
      <c r="J1157" s="8" t="s">
        <v>4862</v>
      </c>
      <c r="K1157" s="182">
        <v>40131</v>
      </c>
      <c r="L1157" s="8" t="s">
        <v>5743</v>
      </c>
      <c r="M1157" s="8" t="s">
        <v>2814</v>
      </c>
      <c r="N1157" s="38"/>
      <c r="O1157" s="8" t="s">
        <v>2875</v>
      </c>
      <c r="P1157" s="4" t="str">
        <f>VLOOKUP($B1157,'D7 - NDB Impacted SPRF''s'!$E$16:$O$9929,9,FALSE)</f>
        <v>N</v>
      </c>
      <c r="Q1157" s="4" t="str">
        <f>VLOOKUP($B1157,'D7 - NDB Impacted SPRF''s'!$E$16:$O$9929,10,FALSE)</f>
        <v>N</v>
      </c>
      <c r="R1157" s="4" t="str">
        <f>VLOOKUP($B1157,'D7 - NDB Impacted SPRF''s'!$E$16:$O$9929,11,FALSE)</f>
        <v>N</v>
      </c>
      <c r="S1157" s="8"/>
      <c r="T1157" s="310"/>
      <c r="U1157" s="310"/>
      <c r="V1157" s="4"/>
      <c r="W1157" s="4"/>
      <c r="X1157" s="4"/>
      <c r="Y1157" s="4"/>
      <c r="Z1157" s="4"/>
      <c r="AA1157" s="4"/>
      <c r="AB1157" s="380" t="str">
        <f>VLOOKUP($B1157,'D7 - NDB Impacted SPRF''s'!$E$16:$O$9929,4,FALSE)</f>
        <v>Completed</v>
      </c>
      <c r="AC1157" s="380" t="str">
        <f>VLOOKUP($B1157,'D7 - NDB Impacted SPRF''s'!$E$16:$O$9929,3,FALSE)</f>
        <v>UnitedHealthcare Employer &amp; Individual</v>
      </c>
      <c r="AD1157" s="380" t="str">
        <f>VLOOKUP($B1157,'D7 - NDB Impacted SPRF''s'!$E$16:$O$9929,5,FALSE)</f>
        <v>Integration Requirements</v>
      </c>
      <c r="AE1157" s="380" t="str">
        <f>VLOOKUP($B1157,'D7 - NDB Impacted SPRF''s'!$E$16:$O$9929,7,FALSE)</f>
        <v>Diane Schofield</v>
      </c>
      <c r="AF1157" s="380" t="str">
        <f>VLOOKUP($B1157,'D7 - NDB Impacted SPRF''s'!$E$16:$O$9929,6,FALSE)</f>
        <v>KAREN MCKINNEY</v>
      </c>
      <c r="AG1157" s="282"/>
      <c r="AH1157" s="311" t="e">
        <f>INDEX('D5 - Gatekeeper - Projects'!$A$4:$AF$1010,$AM1157, 17)</f>
        <v>#N/A</v>
      </c>
      <c r="AI1157" s="8"/>
      <c r="AJ1157" s="57"/>
      <c r="AK1157" s="105"/>
      <c r="AM1157" s="6" t="e">
        <f>MATCH(D1157,'D5 - Gatekeeper - Projects'!$C$4:$C$1010,0)</f>
        <v>#N/A</v>
      </c>
      <c r="AN1157" s="6" t="b">
        <f t="shared" si="105"/>
        <v>1</v>
      </c>
      <c r="AO1157" s="6" t="str">
        <f t="shared" si="108"/>
        <v>OK</v>
      </c>
      <c r="AQ1157" s="6" t="e">
        <f>MATCH($D1157,'D4 - Provider Council Unsched'!$C$11:$C$234,0)</f>
        <v>#N/A</v>
      </c>
      <c r="AR1157" s="6" t="b">
        <f t="shared" si="106"/>
        <v>1</v>
      </c>
      <c r="AS1157" s="6" t="str">
        <f t="shared" si="113"/>
        <v>OK</v>
      </c>
      <c r="AU1157" s="202"/>
      <c r="AV1157" s="262"/>
      <c r="AW1157" s="274"/>
    </row>
    <row r="1158" spans="1:49" s="13" customFormat="1" ht="33.75" x14ac:dyDescent="0.2">
      <c r="A1158" s="14">
        <v>1134</v>
      </c>
      <c r="B1158" s="14">
        <v>400026609</v>
      </c>
      <c r="C1158" s="8" t="s">
        <v>5197</v>
      </c>
      <c r="D1158" s="4" t="str">
        <f t="shared" si="114"/>
        <v>400026609R1</v>
      </c>
      <c r="E1158" s="309" t="str">
        <f>VLOOKUP($B1158,'D7 - NDB Impacted SPRF''s'!$E$6:$O$9929,2,FALSE)</f>
        <v>iCES November 2009 Maintenance Release</v>
      </c>
      <c r="F1158" s="8" t="s">
        <v>4471</v>
      </c>
      <c r="G1158" s="8" t="s">
        <v>4758</v>
      </c>
      <c r="H1158" s="8" t="s">
        <v>4246</v>
      </c>
      <c r="I1158" s="20">
        <v>0.53</v>
      </c>
      <c r="J1158" s="8" t="s">
        <v>4862</v>
      </c>
      <c r="K1158" s="182">
        <v>40131</v>
      </c>
      <c r="L1158" s="8" t="s">
        <v>5743</v>
      </c>
      <c r="M1158" s="8" t="s">
        <v>4850</v>
      </c>
      <c r="N1158" s="38"/>
      <c r="O1158" s="8" t="s">
        <v>2000</v>
      </c>
      <c r="P1158" s="4" t="str">
        <f>VLOOKUP($B1158,'D7 - NDB Impacted SPRF''s'!$E$16:$O$9929,9,FALSE)</f>
        <v>Y</v>
      </c>
      <c r="Q1158" s="4" t="str">
        <f>VLOOKUP($B1158,'D7 - NDB Impacted SPRF''s'!$E$16:$O$9929,10,FALSE)</f>
        <v>N</v>
      </c>
      <c r="R1158" s="4" t="str">
        <f>VLOOKUP($B1158,'D7 - NDB Impacted SPRF''s'!$E$16:$O$9929,11,FALSE)</f>
        <v>Y</v>
      </c>
      <c r="S1158" s="8"/>
      <c r="T1158" s="310"/>
      <c r="U1158" s="310"/>
      <c r="V1158" s="4"/>
      <c r="W1158" s="4"/>
      <c r="X1158" s="4"/>
      <c r="Y1158" s="4"/>
      <c r="Z1158" s="4"/>
      <c r="AA1158" s="4"/>
      <c r="AB1158" s="380" t="str">
        <f>VLOOKUP($B1158,'D7 - NDB Impacted SPRF''s'!$E$16:$O$9929,4,FALSE)</f>
        <v>Completed</v>
      </c>
      <c r="AC1158" s="380" t="str">
        <f>VLOOKUP($B1158,'D7 - NDB Impacted SPRF''s'!$E$16:$O$9929,3,FALSE)</f>
        <v>UnitedHealthcare Employer &amp; Individual</v>
      </c>
      <c r="AD1158" s="380" t="str">
        <f>VLOOKUP($B1158,'D7 - NDB Impacted SPRF''s'!$E$16:$O$9929,5,FALSE)</f>
        <v>Operational Requirements</v>
      </c>
      <c r="AE1158" s="380" t="str">
        <f>VLOOKUP($B1158,'D7 - NDB Impacted SPRF''s'!$E$16:$O$9929,7,FALSE)</f>
        <v>Sally Verrilli</v>
      </c>
      <c r="AF1158" s="380" t="str">
        <f>VLOOKUP($B1158,'D7 - NDB Impacted SPRF''s'!$E$16:$O$9929,6,FALSE)</f>
        <v>Shawn McCord</v>
      </c>
      <c r="AG1158" s="282"/>
      <c r="AH1158" s="311" t="e">
        <f>INDEX('D5 - Gatekeeper - Projects'!$A$4:$AF$1010,$AM1158, 17)</f>
        <v>#N/A</v>
      </c>
      <c r="AI1158" s="8"/>
      <c r="AJ1158" s="57"/>
      <c r="AK1158" s="105"/>
      <c r="AM1158" s="6" t="e">
        <f>MATCH(D1158,'D5 - Gatekeeper - Projects'!$C$4:$C$1010,0)</f>
        <v>#N/A</v>
      </c>
      <c r="AN1158" s="6" t="b">
        <f t="shared" si="105"/>
        <v>1</v>
      </c>
      <c r="AO1158" s="6" t="str">
        <f t="shared" si="108"/>
        <v>OK</v>
      </c>
      <c r="AQ1158" s="6" t="e">
        <f>MATCH($D1158,'D4 - Provider Council Unsched'!$C$11:$C$234,0)</f>
        <v>#N/A</v>
      </c>
      <c r="AR1158" s="6" t="b">
        <f t="shared" si="106"/>
        <v>1</v>
      </c>
      <c r="AS1158" s="6" t="str">
        <f t="shared" si="113"/>
        <v>OK</v>
      </c>
      <c r="AU1158" s="202"/>
      <c r="AV1158" s="262"/>
      <c r="AW1158" s="274"/>
    </row>
    <row r="1159" spans="1:49" s="13" customFormat="1" ht="45" x14ac:dyDescent="0.2">
      <c r="A1159" s="14">
        <v>1135</v>
      </c>
      <c r="B1159" s="14">
        <v>400027002</v>
      </c>
      <c r="C1159" s="8" t="s">
        <v>5197</v>
      </c>
      <c r="D1159" s="4" t="str">
        <f t="shared" si="114"/>
        <v>400027002R1</v>
      </c>
      <c r="E1159" s="309" t="str">
        <f>VLOOKUP($B1159,'D7 - NDB Impacted SPRF''s'!$E$6:$O$9929,2,FALSE)</f>
        <v xml:space="preserve">ETC and WATC Data Center Migrations </v>
      </c>
      <c r="F1159" s="8" t="s">
        <v>8133</v>
      </c>
      <c r="G1159" s="153" t="s">
        <v>4758</v>
      </c>
      <c r="H1159" s="8" t="s">
        <v>4246</v>
      </c>
      <c r="I1159" s="20">
        <v>1.73</v>
      </c>
      <c r="J1159" s="8" t="s">
        <v>4862</v>
      </c>
      <c r="K1159" s="182">
        <v>40131</v>
      </c>
      <c r="L1159" s="8" t="s">
        <v>5743</v>
      </c>
      <c r="M1159" s="8" t="s">
        <v>4450</v>
      </c>
      <c r="N1159" s="38"/>
      <c r="O1159" s="8" t="s">
        <v>2875</v>
      </c>
      <c r="P1159" s="4" t="str">
        <f>VLOOKUP($B1159,'D7 - NDB Impacted SPRF''s'!$E$16:$O$9929,9,FALSE)</f>
        <v>N</v>
      </c>
      <c r="Q1159" s="4" t="str">
        <f>VLOOKUP($B1159,'D7 - NDB Impacted SPRF''s'!$E$16:$O$9929,10,FALSE)</f>
        <v>N</v>
      </c>
      <c r="R1159" s="4" t="str">
        <f>VLOOKUP($B1159,'D7 - NDB Impacted SPRF''s'!$E$16:$O$9929,11,FALSE)</f>
        <v>Y</v>
      </c>
      <c r="S1159" s="8"/>
      <c r="T1159" s="310"/>
      <c r="U1159" s="310"/>
      <c r="V1159" s="4"/>
      <c r="W1159" s="4"/>
      <c r="X1159" s="4"/>
      <c r="Y1159" s="4"/>
      <c r="Z1159" s="4"/>
      <c r="AA1159" s="4"/>
      <c r="AB1159" s="380" t="str">
        <f>VLOOKUP($B1159,'D7 - NDB Impacted SPRF''s'!$E$16:$O$9929,4,FALSE)</f>
        <v>Completed</v>
      </c>
      <c r="AC1159" s="380" t="str">
        <f>VLOOKUP($B1159,'D7 - NDB Impacted SPRF''s'!$E$16:$O$9929,3,FALSE)</f>
        <v>UHG IT - Enterprise Technology Services</v>
      </c>
      <c r="AD1159" s="380" t="str">
        <f>VLOOKUP($B1159,'D7 - NDB Impacted SPRF''s'!$E$16:$O$9929,5,FALSE)</f>
        <v>Computer Services</v>
      </c>
      <c r="AE1159" s="380" t="str">
        <f>VLOOKUP($B1159,'D7 - NDB Impacted SPRF''s'!$E$16:$O$9929,7,FALSE)</f>
        <v>Darrell Brooks</v>
      </c>
      <c r="AF1159" s="380" t="str">
        <f>VLOOKUP($B1159,'D7 - NDB Impacted SPRF''s'!$E$16:$O$9929,6,FALSE)</f>
        <v>Bill Kennedy</v>
      </c>
      <c r="AG1159" s="282"/>
      <c r="AH1159" s="311" t="e">
        <f>INDEX('D5 - Gatekeeper - Projects'!$A$4:$AF$1010,$AM1159, 17)</f>
        <v>#N/A</v>
      </c>
      <c r="AI1159" s="8"/>
      <c r="AJ1159" s="57"/>
      <c r="AK1159" s="105"/>
      <c r="AM1159" s="6" t="e">
        <f>MATCH(D1159,'D5 - Gatekeeper - Projects'!$C$4:$C$1010,0)</f>
        <v>#N/A</v>
      </c>
      <c r="AN1159" s="6" t="b">
        <f t="shared" si="105"/>
        <v>1</v>
      </c>
      <c r="AO1159" s="6" t="str">
        <f t="shared" si="108"/>
        <v>OK</v>
      </c>
      <c r="AQ1159" s="6" t="e">
        <f>MATCH($D1159,'D4 - Provider Council Unsched'!$C$11:$C$234,0)</f>
        <v>#N/A</v>
      </c>
      <c r="AR1159" s="6" t="b">
        <f t="shared" si="106"/>
        <v>1</v>
      </c>
      <c r="AS1159" s="6" t="str">
        <f t="shared" si="113"/>
        <v>OK</v>
      </c>
      <c r="AU1159" s="202"/>
      <c r="AV1159" s="262"/>
      <c r="AW1159" s="274"/>
    </row>
    <row r="1160" spans="1:49" s="13" customFormat="1" ht="33.75" x14ac:dyDescent="0.2">
      <c r="A1160" s="14">
        <v>1136</v>
      </c>
      <c r="B1160" s="14">
        <v>400027649</v>
      </c>
      <c r="C1160" s="8" t="s">
        <v>2449</v>
      </c>
      <c r="D1160" s="4" t="str">
        <f t="shared" si="114"/>
        <v>400027649R3</v>
      </c>
      <c r="E1160" s="309" t="str">
        <f>VLOOKUP($B1160,'D7 - NDB Impacted SPRF''s'!$E$6:$O$9929,2,FALSE)</f>
        <v>COSMOS Modernization:  Release 1 - Track 1, 2, &amp; 3</v>
      </c>
      <c r="F1160" s="8" t="s">
        <v>8133</v>
      </c>
      <c r="G1160" s="8" t="s">
        <v>4758</v>
      </c>
      <c r="H1160" s="8" t="s">
        <v>4246</v>
      </c>
      <c r="I1160" s="20">
        <v>5.16</v>
      </c>
      <c r="J1160" s="8" t="s">
        <v>4862</v>
      </c>
      <c r="K1160" s="182">
        <v>40131</v>
      </c>
      <c r="L1160" s="8" t="s">
        <v>4156</v>
      </c>
      <c r="M1160" s="8" t="s">
        <v>2814</v>
      </c>
      <c r="N1160" s="38" t="s">
        <v>7420</v>
      </c>
      <c r="O1160" s="8" t="s">
        <v>4599</v>
      </c>
      <c r="P1160" s="4" t="str">
        <f>VLOOKUP($B1160,'D7 - NDB Impacted SPRF''s'!$E$16:$O$9929,9,FALSE)</f>
        <v>Y</v>
      </c>
      <c r="Q1160" s="4" t="str">
        <f>VLOOKUP($B1160,'D7 - NDB Impacted SPRF''s'!$E$16:$O$9929,10,FALSE)</f>
        <v>N</v>
      </c>
      <c r="R1160" s="4" t="str">
        <f>VLOOKUP($B1160,'D7 - NDB Impacted SPRF''s'!$E$16:$O$9929,11,FALSE)</f>
        <v>Y</v>
      </c>
      <c r="S1160" s="8"/>
      <c r="T1160" s="310"/>
      <c r="U1160" s="310"/>
      <c r="V1160" s="4"/>
      <c r="W1160" s="4"/>
      <c r="X1160" s="4"/>
      <c r="Y1160" s="4"/>
      <c r="Z1160" s="4"/>
      <c r="AA1160" s="4"/>
      <c r="AB1160" s="380" t="str">
        <f>VLOOKUP($B1160,'D7 - NDB Impacted SPRF''s'!$E$16:$O$9929,4,FALSE)</f>
        <v>Completed</v>
      </c>
      <c r="AC1160" s="380" t="str">
        <f>VLOOKUP($B1160,'D7 - NDB Impacted SPRF''s'!$E$16:$O$9929,3,FALSE)</f>
        <v>UnitedHealthcare Medicare &amp; Retirement</v>
      </c>
      <c r="AD1160" s="380" t="str">
        <f>VLOOKUP($B1160,'D7 - NDB Impacted SPRF''s'!$E$16:$O$9929,5,FALSE)</f>
        <v>Benefit Admin</v>
      </c>
      <c r="AE1160" s="380" t="str">
        <f>VLOOKUP($B1160,'D7 - NDB Impacted SPRF''s'!$E$16:$O$9929,7,FALSE)</f>
        <v>Rich Boyde</v>
      </c>
      <c r="AF1160" s="380" t="str">
        <f>VLOOKUP($B1160,'D7 - NDB Impacted SPRF''s'!$E$16:$O$9929,6,FALSE)</f>
        <v>Jessica Ayers</v>
      </c>
      <c r="AG1160" s="282"/>
      <c r="AH1160" s="311" t="e">
        <f>INDEX('D5 - Gatekeeper - Projects'!$A$4:$AF$1010,$AM1160, 17)</f>
        <v>#N/A</v>
      </c>
      <c r="AI1160" s="8"/>
      <c r="AJ1160" s="57"/>
      <c r="AK1160" s="57"/>
      <c r="AM1160" s="6" t="e">
        <f>MATCH(D1160,'D5 - Gatekeeper - Projects'!$C$4:$C$1010,0)</f>
        <v>#N/A</v>
      </c>
      <c r="AN1160" s="6" t="b">
        <f t="shared" si="105"/>
        <v>1</v>
      </c>
      <c r="AO1160" s="6" t="str">
        <f t="shared" si="108"/>
        <v>OK</v>
      </c>
      <c r="AQ1160" s="6" t="e">
        <f>MATCH($D1160,'D4 - Provider Council Unsched'!$C$11:$C$234,0)</f>
        <v>#N/A</v>
      </c>
      <c r="AR1160" s="6" t="b">
        <f t="shared" si="106"/>
        <v>1</v>
      </c>
      <c r="AS1160" s="6" t="str">
        <f t="shared" si="113"/>
        <v>OK</v>
      </c>
      <c r="AU1160" s="202"/>
      <c r="AV1160" s="262"/>
      <c r="AW1160" s="274"/>
    </row>
    <row r="1161" spans="1:49" s="13" customFormat="1" x14ac:dyDescent="0.2">
      <c r="A1161" s="14">
        <v>1137</v>
      </c>
      <c r="B1161" s="14">
        <v>400027683</v>
      </c>
      <c r="C1161" s="8" t="s">
        <v>5197</v>
      </c>
      <c r="D1161" s="4" t="str">
        <f t="shared" si="114"/>
        <v>400027683R1</v>
      </c>
      <c r="E1161" s="309" t="str">
        <f>VLOOKUP($B1161,'D7 - NDB Impacted SPRF''s'!$E$6:$O$9929,2,FALSE)</f>
        <v>Quicken Health: Bill Pay</v>
      </c>
      <c r="F1161" s="8" t="s">
        <v>2114</v>
      </c>
      <c r="G1161" s="8" t="s">
        <v>4758</v>
      </c>
      <c r="H1161" s="8" t="s">
        <v>4246</v>
      </c>
      <c r="I1161" s="20">
        <v>7.55</v>
      </c>
      <c r="J1161" s="8" t="s">
        <v>4862</v>
      </c>
      <c r="K1161" s="182">
        <v>40131</v>
      </c>
      <c r="L1161" s="8" t="s">
        <v>5743</v>
      </c>
      <c r="M1161" s="8" t="s">
        <v>2814</v>
      </c>
      <c r="N1161" s="38" t="s">
        <v>7420</v>
      </c>
      <c r="O1161" s="8" t="s">
        <v>2875</v>
      </c>
      <c r="P1161" s="4" t="str">
        <f>VLOOKUP($B1161,'D7 - NDB Impacted SPRF''s'!$E$16:$O$9929,9,FALSE)</f>
        <v>Y</v>
      </c>
      <c r="Q1161" s="4" t="str">
        <f>VLOOKUP($B1161,'D7 - NDB Impacted SPRF''s'!$E$16:$O$9929,10,FALSE)</f>
        <v>N</v>
      </c>
      <c r="R1161" s="4" t="str">
        <f>VLOOKUP($B1161,'D7 - NDB Impacted SPRF''s'!$E$16:$O$9929,11,FALSE)</f>
        <v>N</v>
      </c>
      <c r="S1161" s="8"/>
      <c r="T1161" s="310"/>
      <c r="U1161" s="310"/>
      <c r="V1161" s="4"/>
      <c r="W1161" s="4"/>
      <c r="X1161" s="4"/>
      <c r="Y1161" s="4"/>
      <c r="Z1161" s="4"/>
      <c r="AA1161" s="4"/>
      <c r="AB1161" s="380" t="str">
        <f>VLOOKUP($B1161,'D7 - NDB Impacted SPRF''s'!$E$16:$O$9929,4,FALSE)</f>
        <v>Completed</v>
      </c>
      <c r="AC1161" s="380" t="str">
        <f>VLOOKUP($B1161,'D7 - NDB Impacted SPRF''s'!$E$16:$O$9929,3,FALSE)</f>
        <v>OptumInsight</v>
      </c>
      <c r="AD1161" s="380" t="str">
        <f>VLOOKUP($B1161,'D7 - NDB Impacted SPRF''s'!$E$16:$O$9929,5,FALSE)</f>
        <v>Ingenix</v>
      </c>
      <c r="AE1161" s="380" t="str">
        <f>VLOOKUP($B1161,'D7 - NDB Impacted SPRF''s'!$E$16:$O$9929,7,FALSE)</f>
        <v>Stephan Rodgers</v>
      </c>
      <c r="AF1161" s="380" t="str">
        <f>VLOOKUP($B1161,'D7 - NDB Impacted SPRF''s'!$E$16:$O$9929,6,FALSE)</f>
        <v>Barbara Tooley</v>
      </c>
      <c r="AG1161" s="282"/>
      <c r="AH1161" s="311" t="e">
        <f>INDEX('D5 - Gatekeeper - Projects'!$A$4:$AF$1010,$AM1161, 17)</f>
        <v>#N/A</v>
      </c>
      <c r="AI1161" s="8"/>
      <c r="AJ1161" s="57"/>
      <c r="AK1161" s="105"/>
      <c r="AM1161" s="6" t="e">
        <f>MATCH(D1161,'D5 - Gatekeeper - Projects'!$C$4:$C$1010,0)</f>
        <v>#N/A</v>
      </c>
      <c r="AN1161" s="6" t="b">
        <f t="shared" si="105"/>
        <v>1</v>
      </c>
      <c r="AO1161" s="6" t="str">
        <f t="shared" si="108"/>
        <v>OK</v>
      </c>
      <c r="AQ1161" s="6" t="e">
        <f>MATCH($D1161,'D4 - Provider Council Unsched'!$C$11:$C$234,0)</f>
        <v>#N/A</v>
      </c>
      <c r="AR1161" s="6" t="b">
        <f t="shared" si="106"/>
        <v>1</v>
      </c>
      <c r="AS1161" s="6" t="str">
        <f t="shared" si="113"/>
        <v>OK</v>
      </c>
      <c r="AU1161" s="202"/>
      <c r="AV1161" s="262"/>
      <c r="AW1161" s="274"/>
    </row>
    <row r="1162" spans="1:49" s="13" customFormat="1" ht="33.75" x14ac:dyDescent="0.2">
      <c r="A1162" s="14">
        <v>1138</v>
      </c>
      <c r="B1162" s="14">
        <v>400027910</v>
      </c>
      <c r="C1162" s="8" t="s">
        <v>5197</v>
      </c>
      <c r="D1162" s="4" t="str">
        <f t="shared" si="114"/>
        <v>400027910R1</v>
      </c>
      <c r="E1162" s="309" t="str">
        <f>VLOOKUP($B1162,'D7 - NDB Impacted SPRF''s'!$E$6:$O$9929,2,FALSE)</f>
        <v>Medica APC/ASC Implementation</v>
      </c>
      <c r="F1162" s="8" t="s">
        <v>3884</v>
      </c>
      <c r="G1162" s="153" t="s">
        <v>4758</v>
      </c>
      <c r="H1162" s="8" t="s">
        <v>4246</v>
      </c>
      <c r="I1162" s="20">
        <v>21.95</v>
      </c>
      <c r="J1162" s="8" t="s">
        <v>4862</v>
      </c>
      <c r="K1162" s="182">
        <v>40131</v>
      </c>
      <c r="L1162" s="8" t="s">
        <v>5743</v>
      </c>
      <c r="M1162" s="8" t="s">
        <v>2814</v>
      </c>
      <c r="N1162" s="38"/>
      <c r="O1162" s="8" t="s">
        <v>2875</v>
      </c>
      <c r="P1162" s="4" t="str">
        <f>VLOOKUP($B1162,'D7 - NDB Impacted SPRF''s'!$E$16:$O$9929,9,FALSE)</f>
        <v>Y</v>
      </c>
      <c r="Q1162" s="4" t="str">
        <f>VLOOKUP($B1162,'D7 - NDB Impacted SPRF''s'!$E$16:$O$9929,10,FALSE)</f>
        <v>N</v>
      </c>
      <c r="R1162" s="4" t="str">
        <f>VLOOKUP($B1162,'D7 - NDB Impacted SPRF''s'!$E$16:$O$9929,11,FALSE)</f>
        <v>Y</v>
      </c>
      <c r="S1162" s="8"/>
      <c r="T1162" s="310"/>
      <c r="U1162" s="310"/>
      <c r="V1162" s="4"/>
      <c r="W1162" s="4"/>
      <c r="X1162" s="4"/>
      <c r="Y1162" s="4"/>
      <c r="Z1162" s="4"/>
      <c r="AA1162" s="4"/>
      <c r="AB1162" s="380" t="str">
        <f>VLOOKUP($B1162,'D7 - NDB Impacted SPRF''s'!$E$16:$O$9929,4,FALSE)</f>
        <v>Completed</v>
      </c>
      <c r="AC1162" s="380" t="str">
        <f>VLOOKUP($B1162,'D7 - NDB Impacted SPRF''s'!$E$16:$O$9929,3,FALSE)</f>
        <v>UnitedHealthcare Employer &amp; Individual</v>
      </c>
      <c r="AD1162" s="380" t="str">
        <f>VLOOKUP($B1162,'D7 - NDB Impacted SPRF''s'!$E$16:$O$9929,5,FALSE)</f>
        <v>HCA - Medica Operational Support</v>
      </c>
      <c r="AE1162" s="380" t="str">
        <f>VLOOKUP($B1162,'D7 - NDB Impacted SPRF''s'!$E$16:$O$9929,7,FALSE)</f>
        <v>Tracy Berg</v>
      </c>
      <c r="AF1162" s="380" t="str">
        <f>VLOOKUP($B1162,'D7 - NDB Impacted SPRF''s'!$E$16:$O$9929,6,FALSE)</f>
        <v>Cynthia Collier</v>
      </c>
      <c r="AG1162" s="282"/>
      <c r="AH1162" s="311" t="e">
        <f>INDEX('D5 - Gatekeeper - Projects'!$A$4:$AF$1010,$AM1162, 17)</f>
        <v>#N/A</v>
      </c>
      <c r="AI1162" s="8"/>
      <c r="AJ1162" s="57"/>
      <c r="AK1162" s="105"/>
      <c r="AM1162" s="6" t="e">
        <f>MATCH(D1162,'D5 - Gatekeeper - Projects'!$C$4:$C$1010,0)</f>
        <v>#N/A</v>
      </c>
      <c r="AN1162" s="6" t="b">
        <f t="shared" si="105"/>
        <v>1</v>
      </c>
      <c r="AO1162" s="6" t="str">
        <f t="shared" si="108"/>
        <v>OK</v>
      </c>
      <c r="AQ1162" s="6" t="e">
        <f>MATCH($D1162,'D4 - Provider Council Unsched'!$C$11:$C$234,0)</f>
        <v>#N/A</v>
      </c>
      <c r="AR1162" s="6" t="b">
        <f t="shared" si="106"/>
        <v>1</v>
      </c>
      <c r="AS1162" s="6" t="str">
        <f t="shared" si="113"/>
        <v>OK</v>
      </c>
      <c r="AU1162" s="202"/>
      <c r="AV1162" s="262"/>
      <c r="AW1162" s="274"/>
    </row>
    <row r="1163" spans="1:49" s="13" customFormat="1" ht="33.75" x14ac:dyDescent="0.2">
      <c r="A1163" s="14">
        <v>1139</v>
      </c>
      <c r="B1163" s="14">
        <v>400028030</v>
      </c>
      <c r="C1163" s="8" t="s">
        <v>5197</v>
      </c>
      <c r="D1163" s="4" t="str">
        <f t="shared" si="114"/>
        <v>400028030R1</v>
      </c>
      <c r="E1163" s="309" t="str">
        <f>VLOOKUP($B1163,'D7 - NDB Impacted SPRF''s'!$E$6:$O$9929,2,FALSE)</f>
        <v>2009 One Shot Requests</v>
      </c>
      <c r="F1163" s="8" t="s">
        <v>2114</v>
      </c>
      <c r="G1163" s="8" t="s">
        <v>4758</v>
      </c>
      <c r="H1163" s="8" t="s">
        <v>4246</v>
      </c>
      <c r="I1163" s="20">
        <v>16.07</v>
      </c>
      <c r="J1163" s="8" t="s">
        <v>4862</v>
      </c>
      <c r="K1163" s="182">
        <v>40131</v>
      </c>
      <c r="L1163" s="8" t="s">
        <v>5743</v>
      </c>
      <c r="M1163" s="8" t="s">
        <v>2814</v>
      </c>
      <c r="N1163" s="38" t="s">
        <v>4376</v>
      </c>
      <c r="O1163" s="8" t="s">
        <v>4599</v>
      </c>
      <c r="P1163" s="4" t="str">
        <f>VLOOKUP($B1163,'D7 - NDB Impacted SPRF''s'!$E$16:$O$9929,9,FALSE)</f>
        <v>N</v>
      </c>
      <c r="Q1163" s="4" t="str">
        <f>VLOOKUP($B1163,'D7 - NDB Impacted SPRF''s'!$E$16:$O$9929,10,FALSE)</f>
        <v>N</v>
      </c>
      <c r="R1163" s="4" t="str">
        <f>VLOOKUP($B1163,'D7 - NDB Impacted SPRF''s'!$E$16:$O$9929,11,FALSE)</f>
        <v>N</v>
      </c>
      <c r="S1163" s="8"/>
      <c r="T1163" s="310"/>
      <c r="U1163" s="310"/>
      <c r="V1163" s="4"/>
      <c r="W1163" s="4"/>
      <c r="X1163" s="4"/>
      <c r="Y1163" s="4"/>
      <c r="Z1163" s="4"/>
      <c r="AA1163" s="4"/>
      <c r="AB1163" s="380" t="str">
        <f>VLOOKUP($B1163,'D7 - NDB Impacted SPRF''s'!$E$16:$O$9929,4,FALSE)</f>
        <v>Completed</v>
      </c>
      <c r="AC1163" s="380" t="str">
        <f>VLOOKUP($B1163,'D7 - NDB Impacted SPRF''s'!$E$16:$O$9929,3,FALSE)</f>
        <v>UnitedHealthcare Employer &amp; Individual</v>
      </c>
      <c r="AD1163" s="380" t="str">
        <f>VLOOKUP($B1163,'D7 - NDB Impacted SPRF''s'!$E$16:$O$9929,5,FALSE)</f>
        <v>Operational Requirements</v>
      </c>
      <c r="AE1163" s="380" t="str">
        <f>VLOOKUP($B1163,'D7 - NDB Impacted SPRF''s'!$E$16:$O$9929,7,FALSE)</f>
        <v>Tim Kaja</v>
      </c>
      <c r="AF1163" s="380" t="str">
        <f>VLOOKUP($B1163,'D7 - NDB Impacted SPRF''s'!$E$16:$O$9929,6,FALSE)</f>
        <v>GREGORY MILLS</v>
      </c>
      <c r="AG1163" s="282"/>
      <c r="AH1163" s="311" t="e">
        <f>INDEX('D5 - Gatekeeper - Projects'!$A$4:$AF$1010,$AM1163, 17)</f>
        <v>#N/A</v>
      </c>
      <c r="AI1163" s="8"/>
      <c r="AJ1163" s="57"/>
      <c r="AK1163" s="105"/>
      <c r="AM1163" s="6" t="e">
        <f>MATCH(D1163,'D5 - Gatekeeper - Projects'!$C$4:$C$1010,0)</f>
        <v>#N/A</v>
      </c>
      <c r="AN1163" s="6" t="b">
        <f t="shared" si="105"/>
        <v>1</v>
      </c>
      <c r="AO1163" s="6" t="str">
        <f t="shared" si="108"/>
        <v>OK</v>
      </c>
      <c r="AQ1163" s="6" t="e">
        <f>MATCH($D1163,'D4 - Provider Council Unsched'!$C$11:$C$234,0)</f>
        <v>#N/A</v>
      </c>
      <c r="AR1163" s="6" t="b">
        <f t="shared" si="106"/>
        <v>1</v>
      </c>
      <c r="AS1163" s="6" t="str">
        <f t="shared" si="113"/>
        <v>OK</v>
      </c>
      <c r="AU1163" s="202"/>
      <c r="AV1163" s="262"/>
      <c r="AW1163" s="274"/>
    </row>
    <row r="1164" spans="1:49" s="13" customFormat="1" ht="33.75" x14ac:dyDescent="0.2">
      <c r="A1164" s="14">
        <v>1140</v>
      </c>
      <c r="B1164" s="14">
        <v>400028280</v>
      </c>
      <c r="C1164" s="8" t="s">
        <v>5197</v>
      </c>
      <c r="D1164" s="4" t="str">
        <f t="shared" si="114"/>
        <v>400028280R1</v>
      </c>
      <c r="E1164" s="309" t="str">
        <f>VLOOKUP($B1164,'D7 - NDB Impacted SPRF''s'!$E$6:$O$9929,2,FALSE)</f>
        <v>Claim Search Results Detail Parity</v>
      </c>
      <c r="F1164" s="8" t="s">
        <v>2114</v>
      </c>
      <c r="G1164" s="8" t="s">
        <v>4758</v>
      </c>
      <c r="H1164" s="8" t="s">
        <v>4246</v>
      </c>
      <c r="I1164" s="20">
        <v>1.0666666666666667</v>
      </c>
      <c r="J1164" s="8" t="s">
        <v>4862</v>
      </c>
      <c r="K1164" s="182">
        <v>40131</v>
      </c>
      <c r="L1164" s="8" t="s">
        <v>4156</v>
      </c>
      <c r="M1164" s="8" t="s">
        <v>5626</v>
      </c>
      <c r="N1164" s="38"/>
      <c r="O1164" s="8" t="s">
        <v>2000</v>
      </c>
      <c r="P1164" s="4" t="str">
        <f>VLOOKUP($B1164,'D7 - NDB Impacted SPRF''s'!$E$16:$O$9929,9,FALSE)</f>
        <v>Y</v>
      </c>
      <c r="Q1164" s="4" t="str">
        <f>VLOOKUP($B1164,'D7 - NDB Impacted SPRF''s'!$E$16:$O$9929,10,FALSE)</f>
        <v>N</v>
      </c>
      <c r="R1164" s="4" t="str">
        <f>VLOOKUP($B1164,'D7 - NDB Impacted SPRF''s'!$E$16:$O$9929,11,FALSE)</f>
        <v>N</v>
      </c>
      <c r="S1164" s="8"/>
      <c r="T1164" s="310"/>
      <c r="U1164" s="310"/>
      <c r="V1164" s="4"/>
      <c r="W1164" s="4"/>
      <c r="X1164" s="4"/>
      <c r="Y1164" s="4"/>
      <c r="Z1164" s="4"/>
      <c r="AA1164" s="4"/>
      <c r="AB1164" s="380" t="str">
        <f>VLOOKUP($B1164,'D7 - NDB Impacted SPRF''s'!$E$16:$O$9929,4,FALSE)</f>
        <v>Completed</v>
      </c>
      <c r="AC1164" s="380" t="str">
        <f>VLOOKUP($B1164,'D7 - NDB Impacted SPRF''s'!$E$16:$O$9929,3,FALSE)</f>
        <v>UnitedHealthcare Employer &amp; Individual</v>
      </c>
      <c r="AD1164" s="380" t="str">
        <f>VLOOKUP($B1164,'D7 - NDB Impacted SPRF''s'!$E$16:$O$9929,5,FALSE)</f>
        <v>Membership Growth / Revenue Programs</v>
      </c>
      <c r="AE1164" s="380" t="str">
        <f>VLOOKUP($B1164,'D7 - NDB Impacted SPRF''s'!$E$16:$O$9929,7,FALSE)</f>
        <v>Ellyn Hosch</v>
      </c>
      <c r="AF1164" s="380" t="str">
        <f>VLOOKUP($B1164,'D7 - NDB Impacted SPRF''s'!$E$16:$O$9929,6,FALSE)</f>
        <v>Cassandra Logue</v>
      </c>
      <c r="AG1164" s="282"/>
      <c r="AH1164" s="311" t="e">
        <f>INDEX('D5 - Gatekeeper - Projects'!$A$4:$AF$1010,$AM1164, 17)</f>
        <v>#N/A</v>
      </c>
      <c r="AI1164" s="8"/>
      <c r="AJ1164" s="57"/>
      <c r="AK1164" s="105"/>
      <c r="AM1164" s="6" t="e">
        <f>MATCH(D1164,'D5 - Gatekeeper - Projects'!$C$4:$C$1010,0)</f>
        <v>#N/A</v>
      </c>
      <c r="AN1164" s="6" t="b">
        <f t="shared" si="105"/>
        <v>1</v>
      </c>
      <c r="AO1164" s="6" t="str">
        <f t="shared" si="108"/>
        <v>OK</v>
      </c>
      <c r="AQ1164" s="6" t="e">
        <f>MATCH($D1164,'D4 - Provider Council Unsched'!$C$11:$C$234,0)</f>
        <v>#N/A</v>
      </c>
      <c r="AR1164" s="6" t="b">
        <f t="shared" si="106"/>
        <v>1</v>
      </c>
      <c r="AS1164" s="6" t="str">
        <f t="shared" si="113"/>
        <v>OK</v>
      </c>
      <c r="AU1164" s="202"/>
      <c r="AV1164" s="262"/>
      <c r="AW1164" s="274"/>
    </row>
    <row r="1165" spans="1:49" s="13" customFormat="1" ht="33.75" x14ac:dyDescent="0.2">
      <c r="A1165" s="14">
        <v>1141</v>
      </c>
      <c r="B1165" s="14">
        <v>400028281</v>
      </c>
      <c r="C1165" s="8" t="s">
        <v>5197</v>
      </c>
      <c r="D1165" s="4" t="str">
        <f t="shared" si="114"/>
        <v>400028281R1</v>
      </c>
      <c r="E1165" s="309" t="str">
        <f>VLOOKUP($B1165,'D7 - NDB Impacted SPRF''s'!$E$6:$O$9929,2,FALSE)</f>
        <v>Integration Framework - Q3</v>
      </c>
      <c r="F1165" s="8" t="s">
        <v>2114</v>
      </c>
      <c r="G1165" s="8" t="s">
        <v>4758</v>
      </c>
      <c r="H1165" s="8" t="s">
        <v>4246</v>
      </c>
      <c r="I1165" s="20">
        <v>3.06</v>
      </c>
      <c r="J1165" s="8" t="s">
        <v>4862</v>
      </c>
      <c r="K1165" s="182">
        <v>40131</v>
      </c>
      <c r="L1165" s="8" t="s">
        <v>4156</v>
      </c>
      <c r="M1165" s="8" t="s">
        <v>2814</v>
      </c>
      <c r="N1165" s="38"/>
      <c r="O1165" s="8" t="s">
        <v>7086</v>
      </c>
      <c r="P1165" s="4" t="str">
        <f>VLOOKUP($B1165,'D7 - NDB Impacted SPRF''s'!$E$16:$O$9929,9,FALSE)</f>
        <v>Y</v>
      </c>
      <c r="Q1165" s="4" t="str">
        <f>VLOOKUP($B1165,'D7 - NDB Impacted SPRF''s'!$E$16:$O$9929,10,FALSE)</f>
        <v>N</v>
      </c>
      <c r="R1165" s="4" t="str">
        <f>VLOOKUP($B1165,'D7 - NDB Impacted SPRF''s'!$E$16:$O$9929,11,FALSE)</f>
        <v>N</v>
      </c>
      <c r="S1165" s="8"/>
      <c r="T1165" s="310"/>
      <c r="U1165" s="310"/>
      <c r="V1165" s="4"/>
      <c r="W1165" s="4"/>
      <c r="X1165" s="4"/>
      <c r="Y1165" s="4"/>
      <c r="Z1165" s="4"/>
      <c r="AA1165" s="4"/>
      <c r="AB1165" s="380" t="str">
        <f>VLOOKUP($B1165,'D7 - NDB Impacted SPRF''s'!$E$16:$O$9929,4,FALSE)</f>
        <v>Completed</v>
      </c>
      <c r="AC1165" s="380" t="str">
        <f>VLOOKUP($B1165,'D7 - NDB Impacted SPRF''s'!$E$16:$O$9929,3,FALSE)</f>
        <v>UnitedHealthcare Medicare &amp; Retirement</v>
      </c>
      <c r="AD1165" s="380" t="str">
        <f>VLOOKUP($B1165,'D7 - NDB Impacted SPRF''s'!$E$16:$O$9929,5,FALSE)</f>
        <v>Enterprise Clinical</v>
      </c>
      <c r="AE1165" s="380" t="str">
        <f>VLOOKUP($B1165,'D7 - NDB Impacted SPRF''s'!$E$16:$O$9929,7,FALSE)</f>
        <v>Cynthia Middaugh</v>
      </c>
      <c r="AF1165" s="380" t="str">
        <f>VLOOKUP($B1165,'D7 - NDB Impacted SPRF''s'!$E$16:$O$9929,6,FALSE)</f>
        <v>Robert Hoerl</v>
      </c>
      <c r="AG1165" s="282"/>
      <c r="AH1165" s="311" t="e">
        <f>INDEX('D5 - Gatekeeper - Projects'!$A$4:$AF$1010,$AM1165, 17)</f>
        <v>#N/A</v>
      </c>
      <c r="AI1165" s="8"/>
      <c r="AJ1165" s="57"/>
      <c r="AK1165" s="105"/>
      <c r="AM1165" s="6" t="e">
        <f>MATCH(D1165,'D5 - Gatekeeper - Projects'!$C$4:$C$1010,0)</f>
        <v>#N/A</v>
      </c>
      <c r="AN1165" s="6" t="b">
        <f t="shared" si="105"/>
        <v>1</v>
      </c>
      <c r="AO1165" s="6" t="str">
        <f t="shared" si="108"/>
        <v>OK</v>
      </c>
      <c r="AQ1165" s="6" t="e">
        <f>MATCH($D1165,'D4 - Provider Council Unsched'!$C$11:$C$234,0)</f>
        <v>#N/A</v>
      </c>
      <c r="AR1165" s="6" t="b">
        <f t="shared" si="106"/>
        <v>1</v>
      </c>
      <c r="AS1165" s="6" t="str">
        <f t="shared" si="113"/>
        <v>OK</v>
      </c>
      <c r="AU1165" s="202"/>
      <c r="AV1165" s="262"/>
      <c r="AW1165" s="274"/>
    </row>
    <row r="1166" spans="1:49" s="13" customFormat="1" ht="45" x14ac:dyDescent="0.2">
      <c r="A1166" s="14">
        <v>1142</v>
      </c>
      <c r="B1166" s="14">
        <v>400028576</v>
      </c>
      <c r="C1166" s="8" t="s">
        <v>5197</v>
      </c>
      <c r="D1166" s="4" t="str">
        <f t="shared" si="114"/>
        <v>400028576R1</v>
      </c>
      <c r="E1166" s="309" t="str">
        <f>VLOOKUP($B1166,'D7 - NDB Impacted SPRF''s'!$E$6:$O$9929,2,FALSE)</f>
        <v>Enterprise 5010 Program</v>
      </c>
      <c r="F1166" s="8" t="s">
        <v>4471</v>
      </c>
      <c r="G1166" s="8" t="s">
        <v>4758</v>
      </c>
      <c r="H1166" s="8" t="s">
        <v>4246</v>
      </c>
      <c r="I1166" s="20">
        <v>5.33</v>
      </c>
      <c r="J1166" s="8" t="s">
        <v>4862</v>
      </c>
      <c r="K1166" s="182">
        <v>40131</v>
      </c>
      <c r="L1166" s="8" t="s">
        <v>5743</v>
      </c>
      <c r="M1166" s="8" t="s">
        <v>6688</v>
      </c>
      <c r="N1166" s="38" t="s">
        <v>7420</v>
      </c>
      <c r="O1166" s="8" t="s">
        <v>7086</v>
      </c>
      <c r="P1166" s="4" t="str">
        <f>VLOOKUP($B1166,'D7 - NDB Impacted SPRF''s'!$E$16:$O$9929,9,FALSE)</f>
        <v>Y</v>
      </c>
      <c r="Q1166" s="4" t="str">
        <f>VLOOKUP($B1166,'D7 - NDB Impacted SPRF''s'!$E$16:$O$9929,10,FALSE)</f>
        <v>N</v>
      </c>
      <c r="R1166" s="4" t="str">
        <f>VLOOKUP($B1166,'D7 - NDB Impacted SPRF''s'!$E$16:$O$9929,11,FALSE)</f>
        <v>Y</v>
      </c>
      <c r="S1166" s="8"/>
      <c r="T1166" s="310"/>
      <c r="U1166" s="310"/>
      <c r="V1166" s="4"/>
      <c r="W1166" s="4"/>
      <c r="X1166" s="4"/>
      <c r="Y1166" s="4"/>
      <c r="Z1166" s="4"/>
      <c r="AA1166" s="4"/>
      <c r="AB1166" s="380" t="str">
        <f>VLOOKUP($B1166,'D7 - NDB Impacted SPRF''s'!$E$16:$O$9929,4,FALSE)</f>
        <v>Completed</v>
      </c>
      <c r="AC1166" s="380" t="str">
        <f>VLOOKUP($B1166,'D7 - NDB Impacted SPRF''s'!$E$16:$O$9929,3,FALSE)</f>
        <v>UHG IT - Enterprise Technology Services</v>
      </c>
      <c r="AD1166" s="380" t="str">
        <f>VLOOKUP($B1166,'D7 - NDB Impacted SPRF''s'!$E$16:$O$9929,5,FALSE)</f>
        <v>Strategic Initiatives</v>
      </c>
      <c r="AE1166" s="380" t="str">
        <f>VLOOKUP($B1166,'D7 - NDB Impacted SPRF''s'!$E$16:$O$9929,7,FALSE)</f>
        <v>Jolly Nanda</v>
      </c>
      <c r="AF1166" s="380" t="str">
        <f>VLOOKUP($B1166,'D7 - NDB Impacted SPRF''s'!$E$16:$O$9929,6,FALSE)</f>
        <v>LISA FRIDLAND</v>
      </c>
      <c r="AG1166" s="282"/>
      <c r="AH1166" s="311" t="e">
        <f>INDEX('D5 - Gatekeeper - Projects'!$A$4:$AF$1010,$AM1166, 17)</f>
        <v>#N/A</v>
      </c>
      <c r="AI1166" s="8"/>
      <c r="AJ1166" s="57"/>
      <c r="AK1166" s="105"/>
      <c r="AM1166" s="6" t="e">
        <f>MATCH(D1166,'D5 - Gatekeeper - Projects'!$C$4:$C$1010,0)</f>
        <v>#N/A</v>
      </c>
      <c r="AN1166" s="6" t="b">
        <f t="shared" si="105"/>
        <v>1</v>
      </c>
      <c r="AO1166" s="6" t="str">
        <f t="shared" si="108"/>
        <v>OK</v>
      </c>
      <c r="AQ1166" s="6" t="e">
        <f>MATCH($D1166,'D4 - Provider Council Unsched'!$C$11:$C$234,0)</f>
        <v>#N/A</v>
      </c>
      <c r="AR1166" s="6" t="b">
        <f t="shared" si="106"/>
        <v>1</v>
      </c>
      <c r="AS1166" s="6" t="str">
        <f t="shared" si="113"/>
        <v>OK</v>
      </c>
      <c r="AU1166" s="202"/>
      <c r="AV1166" s="262"/>
      <c r="AW1166" s="274"/>
    </row>
    <row r="1167" spans="1:49" s="13" customFormat="1" ht="45" x14ac:dyDescent="0.2">
      <c r="A1167" s="14">
        <v>1143</v>
      </c>
      <c r="B1167" s="14">
        <v>400028633</v>
      </c>
      <c r="C1167" s="8" t="s">
        <v>5197</v>
      </c>
      <c r="D1167" s="4" t="str">
        <f t="shared" si="114"/>
        <v>400028633R1</v>
      </c>
      <c r="E1167" s="309" t="str">
        <f>VLOOKUP($B1167,'D7 - NDB Impacted SPRF''s'!$E$6:$O$9929,2,FALSE)</f>
        <v>OHP Non-Par Pricing for Legacy Platforms</v>
      </c>
      <c r="F1167" s="8" t="s">
        <v>6360</v>
      </c>
      <c r="G1167" s="8" t="s">
        <v>4758</v>
      </c>
      <c r="H1167" s="8" t="s">
        <v>4246</v>
      </c>
      <c r="I1167" s="20">
        <v>1.07</v>
      </c>
      <c r="J1167" s="8" t="s">
        <v>4862</v>
      </c>
      <c r="K1167" s="182">
        <v>40131</v>
      </c>
      <c r="L1167" s="8" t="s">
        <v>4156</v>
      </c>
      <c r="M1167" s="8" t="s">
        <v>5626</v>
      </c>
      <c r="N1167" s="38"/>
      <c r="O1167" s="8" t="s">
        <v>2000</v>
      </c>
      <c r="P1167" s="4" t="str">
        <f>VLOOKUP($B1167,'D7 - NDB Impacted SPRF''s'!$E$16:$O$9929,9,FALSE)</f>
        <v>N</v>
      </c>
      <c r="Q1167" s="4" t="str">
        <f>VLOOKUP($B1167,'D7 - NDB Impacted SPRF''s'!$E$16:$O$9929,10,FALSE)</f>
        <v>N</v>
      </c>
      <c r="R1167" s="4" t="str">
        <f>VLOOKUP($B1167,'D7 - NDB Impacted SPRF''s'!$E$16:$O$9929,11,FALSE)</f>
        <v>Y</v>
      </c>
      <c r="S1167" s="8"/>
      <c r="T1167" s="310"/>
      <c r="U1167" s="310"/>
      <c r="V1167" s="4"/>
      <c r="W1167" s="4"/>
      <c r="X1167" s="4"/>
      <c r="Y1167" s="4"/>
      <c r="Z1167" s="4"/>
      <c r="AA1167" s="4"/>
      <c r="AB1167" s="380" t="str">
        <f>VLOOKUP($B1167,'D7 - NDB Impacted SPRF''s'!$E$16:$O$9929,4,FALSE)</f>
        <v>Completed</v>
      </c>
      <c r="AC1167" s="380" t="str">
        <f>VLOOKUP($B1167,'D7 - NDB Impacted SPRF''s'!$E$16:$O$9929,3,FALSE)</f>
        <v>UHG IT - Enterprise Technology Services</v>
      </c>
      <c r="AD1167" s="380" t="str">
        <f>VLOOKUP($B1167,'D7 - NDB Impacted SPRF''s'!$E$16:$O$9929,5,FALSE)</f>
        <v>Strategic Initiatives</v>
      </c>
      <c r="AE1167" s="380" t="str">
        <f>VLOOKUP($B1167,'D7 - NDB Impacted SPRF''s'!$E$16:$O$9929,7,FALSE)</f>
        <v>John Haben</v>
      </c>
      <c r="AF1167" s="380" t="str">
        <f>VLOOKUP($B1167,'D7 - NDB Impacted SPRF''s'!$E$16:$O$9929,6,FALSE)</f>
        <v>Ellis Miller</v>
      </c>
      <c r="AG1167" s="282"/>
      <c r="AH1167" s="311" t="e">
        <f>INDEX('D5 - Gatekeeper - Projects'!$A$4:$AF$1010,$AM1167, 17)</f>
        <v>#N/A</v>
      </c>
      <c r="AI1167" s="8"/>
      <c r="AJ1167" s="57"/>
      <c r="AK1167" s="105"/>
      <c r="AM1167" s="6" t="e">
        <f>MATCH(D1167,'D5 - Gatekeeper - Projects'!$C$4:$C$1010,0)</f>
        <v>#N/A</v>
      </c>
      <c r="AN1167" s="6" t="b">
        <f t="shared" si="105"/>
        <v>1</v>
      </c>
      <c r="AO1167" s="6" t="str">
        <f t="shared" si="108"/>
        <v>OK</v>
      </c>
      <c r="AQ1167" s="6" t="e">
        <f>MATCH($D1167,'D4 - Provider Council Unsched'!$C$11:$C$234,0)</f>
        <v>#N/A</v>
      </c>
      <c r="AR1167" s="6" t="b">
        <f t="shared" si="106"/>
        <v>1</v>
      </c>
      <c r="AS1167" s="6" t="str">
        <f>IF(AND(H1167="2 - Not Scheduled",AR1167=TRUE),"Add","OK")</f>
        <v>OK</v>
      </c>
      <c r="AU1167" s="202"/>
      <c r="AV1167" s="262"/>
      <c r="AW1167" s="274"/>
    </row>
    <row r="1168" spans="1:49" s="13" customFormat="1" ht="45" x14ac:dyDescent="0.2">
      <c r="A1168" s="14">
        <v>1144</v>
      </c>
      <c r="B1168" s="14">
        <v>400029187</v>
      </c>
      <c r="C1168" s="8" t="s">
        <v>1992</v>
      </c>
      <c r="D1168" s="4" t="str">
        <f t="shared" si="114"/>
        <v>400029187U1</v>
      </c>
      <c r="E1168" s="309" t="str">
        <f>VLOOKUP($B1168,'D7 - NDB Impacted SPRF''s'!$E$6:$O$9929,2,FALSE)</f>
        <v>CDB Front End Development Phase 1</v>
      </c>
      <c r="F1168" s="8" t="s">
        <v>2114</v>
      </c>
      <c r="G1168" s="8" t="s">
        <v>4758</v>
      </c>
      <c r="H1168" s="8" t="s">
        <v>4246</v>
      </c>
      <c r="I1168" s="20">
        <v>13.15</v>
      </c>
      <c r="J1168" s="8" t="s">
        <v>4862</v>
      </c>
      <c r="K1168" s="182">
        <v>40131</v>
      </c>
      <c r="L1168" s="8" t="s">
        <v>4156</v>
      </c>
      <c r="M1168" s="8" t="s">
        <v>2814</v>
      </c>
      <c r="N1168" s="38"/>
      <c r="O1168" s="8" t="s">
        <v>7086</v>
      </c>
      <c r="P1168" s="4" t="str">
        <f>VLOOKUP($B1168,'D7 - NDB Impacted SPRF''s'!$E$16:$O$9929,9,FALSE)</f>
        <v>N</v>
      </c>
      <c r="Q1168" s="4" t="str">
        <f>VLOOKUP($B1168,'D7 - NDB Impacted SPRF''s'!$E$16:$O$9929,10,FALSE)</f>
        <v>N</v>
      </c>
      <c r="R1168" s="4" t="str">
        <f>VLOOKUP($B1168,'D7 - NDB Impacted SPRF''s'!$E$16:$O$9929,11,FALSE)</f>
        <v>N</v>
      </c>
      <c r="S1168" s="8"/>
      <c r="T1168" s="310"/>
      <c r="U1168" s="310"/>
      <c r="V1168" s="4"/>
      <c r="W1168" s="4"/>
      <c r="X1168" s="4"/>
      <c r="Y1168" s="4"/>
      <c r="Z1168" s="4"/>
      <c r="AA1168" s="4"/>
      <c r="AB1168" s="380" t="str">
        <f>VLOOKUP($B1168,'D7 - NDB Impacted SPRF''s'!$E$6:$O$9929,4,FALSE)</f>
        <v>Completed</v>
      </c>
      <c r="AC1168" s="380" t="str">
        <f>VLOOKUP($B1168,'D7 - NDB Impacted SPRF''s'!$E$6:$O$9929,3,FALSE)</f>
        <v>UHG IT - Enterprise Technology Services</v>
      </c>
      <c r="AD1168" s="380" t="str">
        <f>VLOOKUP($B1168,'D7 - NDB Impacted SPRF''s'!$E$6:$O$9929,5,FALSE)</f>
        <v>Strategic Initiatives</v>
      </c>
      <c r="AE1168" s="380" t="str">
        <f>VLOOKUP($B1168,'D7 - NDB Impacted SPRF''s'!$E$6:$O$9929,7,FALSE)</f>
        <v>Patrick Casey</v>
      </c>
      <c r="AF1168" s="380" t="str">
        <f>VLOOKUP($B1168,'D7 - NDB Impacted SPRF''s'!$E$6:$O$9929,6,FALSE)</f>
        <v>Sue Meotti</v>
      </c>
      <c r="AG1168" s="282"/>
      <c r="AH1168" s="311" t="e">
        <f>INDEX('D5 - Gatekeeper - Projects'!$A$4:$AF$1010,$AM1168, 17)</f>
        <v>#N/A</v>
      </c>
      <c r="AI1168" s="8"/>
      <c r="AJ1168" s="57"/>
      <c r="AK1168" s="105"/>
      <c r="AM1168" s="6" t="e">
        <f>MATCH(D1168,'D5 - Gatekeeper - Projects'!$C$4:$C$1010,0)</f>
        <v>#N/A</v>
      </c>
      <c r="AN1168" s="6" t="b">
        <f t="shared" si="105"/>
        <v>1</v>
      </c>
      <c r="AO1168" s="6" t="str">
        <f t="shared" si="108"/>
        <v>OK</v>
      </c>
      <c r="AQ1168" s="6" t="e">
        <f>MATCH($D1168,'D4 - Provider Council Unsched'!$C$11:$C$234,0)</f>
        <v>#N/A</v>
      </c>
      <c r="AR1168" s="6" t="b">
        <f t="shared" si="106"/>
        <v>1</v>
      </c>
      <c r="AS1168" s="6" t="str">
        <f>IF(AND(H1168="2 - Not Scheduled",AR1168=TRUE),"Add","OK")</f>
        <v>OK</v>
      </c>
      <c r="AU1168" s="202"/>
      <c r="AV1168" s="262"/>
      <c r="AW1168" s="274"/>
    </row>
    <row r="1169" spans="1:49" s="13" customFormat="1" ht="33.75" x14ac:dyDescent="0.2">
      <c r="A1169" s="14">
        <v>1145</v>
      </c>
      <c r="B1169" s="14">
        <v>400029216</v>
      </c>
      <c r="C1169" s="8" t="s">
        <v>5197</v>
      </c>
      <c r="D1169" s="4" t="str">
        <f t="shared" si="114"/>
        <v>400029216R1</v>
      </c>
      <c r="E1169" s="309" t="str">
        <f>VLOOKUP($B1169,'D7 - NDB Impacted SPRF''s'!$E$6:$O$9929,2,FALSE)</f>
        <v>NICE PHS Non-Par Pricing for Legacy Platforms</v>
      </c>
      <c r="F1169" s="8" t="s">
        <v>6071</v>
      </c>
      <c r="G1169" s="8" t="s">
        <v>4758</v>
      </c>
      <c r="H1169" s="8" t="s">
        <v>4246</v>
      </c>
      <c r="I1169" s="20">
        <v>1.07</v>
      </c>
      <c r="J1169" s="8" t="s">
        <v>4862</v>
      </c>
      <c r="K1169" s="182">
        <v>40131</v>
      </c>
      <c r="L1169" s="8" t="s">
        <v>5743</v>
      </c>
      <c r="M1169" s="8" t="s">
        <v>5626</v>
      </c>
      <c r="N1169" s="38"/>
      <c r="O1169" s="8" t="s">
        <v>2000</v>
      </c>
      <c r="P1169" s="4" t="str">
        <f>VLOOKUP($B1169,'D7 - NDB Impacted SPRF''s'!$E$16:$O$9929,9,FALSE)</f>
        <v>N</v>
      </c>
      <c r="Q1169" s="4" t="str">
        <f>VLOOKUP($B1169,'D7 - NDB Impacted SPRF''s'!$E$16:$O$9929,10,FALSE)</f>
        <v>N</v>
      </c>
      <c r="R1169" s="4" t="str">
        <f>VLOOKUP($B1169,'D7 - NDB Impacted SPRF''s'!$E$16:$O$9929,11,FALSE)</f>
        <v>N</v>
      </c>
      <c r="S1169" s="8"/>
      <c r="T1169" s="310"/>
      <c r="U1169" s="310"/>
      <c r="V1169" s="4"/>
      <c r="W1169" s="4"/>
      <c r="X1169" s="4"/>
      <c r="Y1169" s="4"/>
      <c r="Z1169" s="4"/>
      <c r="AA1169" s="4"/>
      <c r="AB1169" s="380" t="str">
        <f>VLOOKUP($B1169,'D7 - NDB Impacted SPRF''s'!$E$16:$O$9929,4,FALSE)</f>
        <v>Completed</v>
      </c>
      <c r="AC1169" s="380" t="str">
        <f>VLOOKUP($B1169,'D7 - NDB Impacted SPRF''s'!$E$16:$O$9929,3,FALSE)</f>
        <v>UnitedHealthcare Employer &amp; Individual</v>
      </c>
      <c r="AD1169" s="380" t="str">
        <f>VLOOKUP($B1169,'D7 - NDB Impacted SPRF''s'!$E$16:$O$9929,5,FALSE)</f>
        <v>Medical Cost Savings Programs</v>
      </c>
      <c r="AE1169" s="380" t="str">
        <f>VLOOKUP($B1169,'D7 - NDB Impacted SPRF''s'!$E$16:$O$9929,7,FALSE)</f>
        <v>John Haben</v>
      </c>
      <c r="AF1169" s="380" t="str">
        <f>VLOOKUP($B1169,'D7 - NDB Impacted SPRF''s'!$E$16:$O$9929,6,FALSE)</f>
        <v>Ellis Miller</v>
      </c>
      <c r="AG1169" s="282"/>
      <c r="AH1169" s="311" t="e">
        <f>INDEX('D5 - Gatekeeper - Projects'!$A$4:$AF$1010,$AM1169, 17)</f>
        <v>#N/A</v>
      </c>
      <c r="AI1169" s="8"/>
      <c r="AJ1169" s="57"/>
      <c r="AK1169" s="105"/>
      <c r="AM1169" s="6" t="e">
        <f>MATCH(D1169,'D5 - Gatekeeper - Projects'!$C$4:$C$1010,0)</f>
        <v>#N/A</v>
      </c>
      <c r="AN1169" s="6" t="b">
        <f t="shared" ref="AN1169:AN1232" si="115">ISERROR(AM1169)</f>
        <v>1</v>
      </c>
      <c r="AO1169" s="6" t="str">
        <f t="shared" si="108"/>
        <v>OK</v>
      </c>
      <c r="AQ1169" s="6" t="e">
        <f>MATCH($D1169,'D4 - Provider Council Unsched'!$C$11:$C$234,0)</f>
        <v>#N/A</v>
      </c>
      <c r="AR1169" s="6" t="b">
        <f t="shared" ref="AR1169:AR1232" si="116">ISERROR(AQ1169)</f>
        <v>1</v>
      </c>
      <c r="AS1169" s="6" t="str">
        <f>IF(AND(H1169="2 - Not Scheduled",AR1169=TRUE),"Add","OK")</f>
        <v>OK</v>
      </c>
      <c r="AU1169" s="202"/>
      <c r="AV1169" s="262"/>
      <c r="AW1169" s="274"/>
    </row>
    <row r="1170" spans="1:49" s="13" customFormat="1" ht="45" x14ac:dyDescent="0.2">
      <c r="A1170" s="14">
        <v>1146</v>
      </c>
      <c r="B1170" s="14">
        <v>400029386</v>
      </c>
      <c r="C1170" s="8" t="s">
        <v>5197</v>
      </c>
      <c r="D1170" s="4" t="str">
        <f t="shared" si="114"/>
        <v>400029386R1</v>
      </c>
      <c r="E1170" s="309" t="str">
        <f>VLOOKUP($B1170,'D7 - NDB Impacted SPRF''s'!$E$6:$O$9929,2,FALSE)</f>
        <v>PDR - GGMAP on the Claims Highway</v>
      </c>
      <c r="F1170" s="8" t="s">
        <v>5595</v>
      </c>
      <c r="G1170" s="8" t="s">
        <v>4758</v>
      </c>
      <c r="H1170" s="8" t="s">
        <v>4246</v>
      </c>
      <c r="I1170" s="20">
        <v>2</v>
      </c>
      <c r="J1170" s="8" t="s">
        <v>4862</v>
      </c>
      <c r="K1170" s="182">
        <v>40131</v>
      </c>
      <c r="L1170" s="8" t="s">
        <v>5743</v>
      </c>
      <c r="M1170" s="8" t="s">
        <v>6688</v>
      </c>
      <c r="N1170" s="38"/>
      <c r="O1170" s="8" t="s">
        <v>2875</v>
      </c>
      <c r="P1170" s="4" t="str">
        <f>VLOOKUP($B1170,'D7 - NDB Impacted SPRF''s'!$E$16:$O$9929,9,FALSE)</f>
        <v>Y</v>
      </c>
      <c r="Q1170" s="4" t="str">
        <f>VLOOKUP($B1170,'D7 - NDB Impacted SPRF''s'!$E$16:$O$9929,10,FALSE)</f>
        <v>N</v>
      </c>
      <c r="R1170" s="4" t="str">
        <f>VLOOKUP($B1170,'D7 - NDB Impacted SPRF''s'!$E$16:$O$9929,11,FALSE)</f>
        <v>Y</v>
      </c>
      <c r="S1170" s="8"/>
      <c r="T1170" s="310"/>
      <c r="U1170" s="310"/>
      <c r="V1170" s="4"/>
      <c r="W1170" s="4"/>
      <c r="X1170" s="4"/>
      <c r="Y1170" s="4"/>
      <c r="Z1170" s="4"/>
      <c r="AA1170" s="4"/>
      <c r="AB1170" s="380" t="str">
        <f>VLOOKUP($B1170,'D7 - NDB Impacted SPRF''s'!$E$16:$O$9929,4,FALSE)</f>
        <v>Completed</v>
      </c>
      <c r="AC1170" s="380" t="str">
        <f>VLOOKUP($B1170,'D7 - NDB Impacted SPRF''s'!$E$16:$O$9929,3,FALSE)</f>
        <v>UHG IT - Enterprise Technology Services</v>
      </c>
      <c r="AD1170" s="380" t="str">
        <f>VLOOKUP($B1170,'D7 - NDB Impacted SPRF''s'!$E$16:$O$9929,5,FALSE)</f>
        <v>Strategic Initiatives</v>
      </c>
      <c r="AE1170" s="380" t="str">
        <f>VLOOKUP($B1170,'D7 - NDB Impacted SPRF''s'!$E$16:$O$9929,7,FALSE)</f>
        <v>Dave Wichman</v>
      </c>
      <c r="AF1170" s="380" t="str">
        <f>VLOOKUP($B1170,'D7 - NDB Impacted SPRF''s'!$E$16:$O$9929,6,FALSE)</f>
        <v>Brent Graham</v>
      </c>
      <c r="AG1170" s="282"/>
      <c r="AH1170" s="311" t="e">
        <f>INDEX('D5 - Gatekeeper - Projects'!$A$4:$AF$1010,$AM1170, 17)</f>
        <v>#N/A</v>
      </c>
      <c r="AI1170" s="8"/>
      <c r="AJ1170" s="57"/>
      <c r="AK1170" s="105"/>
      <c r="AM1170" s="6" t="e">
        <f>MATCH(D1170,'D5 - Gatekeeper - Projects'!$C$4:$C$1010,0)</f>
        <v>#N/A</v>
      </c>
      <c r="AN1170" s="6" t="b">
        <f t="shared" si="115"/>
        <v>1</v>
      </c>
      <c r="AO1170" s="6" t="str">
        <f t="shared" ref="AO1170:AO1233" si="117">IF(AND(H1170="1 - Scheduled",AN1170=TRUE),"Add","OK")</f>
        <v>OK</v>
      </c>
      <c r="AQ1170" s="6" t="e">
        <f>MATCH($D1170,'D4 - Provider Council Unsched'!$C$11:$C$234,0)</f>
        <v>#N/A</v>
      </c>
      <c r="AR1170" s="6" t="b">
        <f t="shared" si="116"/>
        <v>1</v>
      </c>
      <c r="AS1170" s="6" t="str">
        <f t="shared" ref="AS1170:AS1184" si="118">IF(AND(H1170="2 - Not Scheduled",AR1170=TRUE,C1170="R1"),"Add","OK")</f>
        <v>OK</v>
      </c>
      <c r="AU1170" s="202"/>
      <c r="AV1170" s="262"/>
      <c r="AW1170" s="274"/>
    </row>
    <row r="1171" spans="1:49" s="13" customFormat="1" ht="45" x14ac:dyDescent="0.2">
      <c r="A1171" s="14">
        <v>1147</v>
      </c>
      <c r="B1171" s="14">
        <v>400029399</v>
      </c>
      <c r="C1171" s="8" t="s">
        <v>5197</v>
      </c>
      <c r="D1171" s="4" t="str">
        <f t="shared" si="114"/>
        <v>400029399R1</v>
      </c>
      <c r="E1171" s="309" t="str">
        <f>VLOOKUP($B1171,'D7 - NDB Impacted SPRF''s'!$E$6:$O$9929,2,FALSE)</f>
        <v>Provider Demographics &amp; Reimbursement Analysis</v>
      </c>
      <c r="F1171" s="8" t="s">
        <v>5595</v>
      </c>
      <c r="G1171" s="8" t="s">
        <v>4758</v>
      </c>
      <c r="H1171" s="8" t="s">
        <v>4246</v>
      </c>
      <c r="I1171" s="20">
        <v>5</v>
      </c>
      <c r="J1171" s="8" t="s">
        <v>4862</v>
      </c>
      <c r="K1171" s="182">
        <v>40131</v>
      </c>
      <c r="L1171" s="8" t="s">
        <v>5743</v>
      </c>
      <c r="M1171" s="8" t="s">
        <v>6688</v>
      </c>
      <c r="N1171" s="38"/>
      <c r="O1171" s="8" t="s">
        <v>2875</v>
      </c>
      <c r="P1171" s="4" t="str">
        <f>VLOOKUP($B1171,'D7 - NDB Impacted SPRF''s'!$E$16:$O$9929,9,FALSE)</f>
        <v>Y</v>
      </c>
      <c r="Q1171" s="4" t="str">
        <f>VLOOKUP($B1171,'D7 - NDB Impacted SPRF''s'!$E$16:$O$9929,10,FALSE)</f>
        <v>N</v>
      </c>
      <c r="R1171" s="4" t="str">
        <f>VLOOKUP($B1171,'D7 - NDB Impacted SPRF''s'!$E$16:$O$9929,11,FALSE)</f>
        <v>Y</v>
      </c>
      <c r="S1171" s="8"/>
      <c r="T1171" s="310"/>
      <c r="U1171" s="310"/>
      <c r="V1171" s="4"/>
      <c r="W1171" s="4"/>
      <c r="X1171" s="4"/>
      <c r="Y1171" s="4"/>
      <c r="Z1171" s="4"/>
      <c r="AA1171" s="4"/>
      <c r="AB1171" s="380" t="str">
        <f>VLOOKUP($B1171,'D7 - NDB Impacted SPRF''s'!$E$16:$O$9929,4,FALSE)</f>
        <v>Completed</v>
      </c>
      <c r="AC1171" s="380" t="str">
        <f>VLOOKUP($B1171,'D7 - NDB Impacted SPRF''s'!$E$16:$O$9929,3,FALSE)</f>
        <v>UHG IT - Enterprise Technology Services</v>
      </c>
      <c r="AD1171" s="380" t="str">
        <f>VLOOKUP($B1171,'D7 - NDB Impacted SPRF''s'!$E$16:$O$9929,5,FALSE)</f>
        <v>Strategic Initiatives</v>
      </c>
      <c r="AE1171" s="380" t="str">
        <f>VLOOKUP($B1171,'D7 - NDB Impacted SPRF''s'!$E$16:$O$9929,7,FALSE)</f>
        <v>Dave Wichman</v>
      </c>
      <c r="AF1171" s="380" t="str">
        <f>VLOOKUP($B1171,'D7 - NDB Impacted SPRF''s'!$E$16:$O$9929,6,FALSE)</f>
        <v>Brent Graham</v>
      </c>
      <c r="AG1171" s="282"/>
      <c r="AH1171" s="311" t="e">
        <f>INDEX('D5 - Gatekeeper - Projects'!$A$4:$AF$1010,$AM1171, 17)</f>
        <v>#N/A</v>
      </c>
      <c r="AI1171" s="8"/>
      <c r="AJ1171" s="57"/>
      <c r="AK1171" s="105"/>
      <c r="AM1171" s="6" t="e">
        <f>MATCH(D1171,'D5 - Gatekeeper - Projects'!$C$4:$C$1010,0)</f>
        <v>#N/A</v>
      </c>
      <c r="AN1171" s="6" t="b">
        <f t="shared" si="115"/>
        <v>1</v>
      </c>
      <c r="AO1171" s="6" t="str">
        <f t="shared" si="117"/>
        <v>OK</v>
      </c>
      <c r="AQ1171" s="6" t="e">
        <f>MATCH($D1171,'D4 - Provider Council Unsched'!$C$11:$C$234,0)</f>
        <v>#N/A</v>
      </c>
      <c r="AR1171" s="6" t="b">
        <f t="shared" si="116"/>
        <v>1</v>
      </c>
      <c r="AS1171" s="6" t="str">
        <f t="shared" si="118"/>
        <v>OK</v>
      </c>
      <c r="AU1171" s="202"/>
      <c r="AV1171" s="262"/>
      <c r="AW1171" s="274"/>
    </row>
    <row r="1172" spans="1:49" s="13" customFormat="1" ht="33.75" x14ac:dyDescent="0.2">
      <c r="A1172" s="14">
        <v>1148</v>
      </c>
      <c r="B1172" s="14">
        <v>400029470</v>
      </c>
      <c r="C1172" s="8" t="s">
        <v>5197</v>
      </c>
      <c r="D1172" s="4" t="str">
        <f t="shared" si="114"/>
        <v>400029470R1</v>
      </c>
      <c r="E1172" s="309" t="str">
        <f>VLOOKUP($B1172,'D7 - NDB Impacted SPRF''s'!$E$6:$O$9929,2,FALSE)</f>
        <v>MAHP MLH Product Build on United Platform</v>
      </c>
      <c r="F1172" s="8" t="s">
        <v>2114</v>
      </c>
      <c r="G1172" s="8" t="s">
        <v>4758</v>
      </c>
      <c r="H1172" s="8" t="s">
        <v>4246</v>
      </c>
      <c r="I1172" s="20">
        <v>1.07</v>
      </c>
      <c r="J1172" s="8" t="s">
        <v>4862</v>
      </c>
      <c r="K1172" s="182">
        <v>40131</v>
      </c>
      <c r="L1172" s="8" t="s">
        <v>4156</v>
      </c>
      <c r="M1172" s="8" t="s">
        <v>5626</v>
      </c>
      <c r="N1172" s="38"/>
      <c r="O1172" s="8" t="s">
        <v>2000</v>
      </c>
      <c r="P1172" s="4" t="str">
        <f>VLOOKUP($B1172,'D7 - NDB Impacted SPRF''s'!$E$16:$O$9929,9,FALSE)</f>
        <v>Y</v>
      </c>
      <c r="Q1172" s="4" t="str">
        <f>VLOOKUP($B1172,'D7 - NDB Impacted SPRF''s'!$E$16:$O$9929,10,FALSE)</f>
        <v>N</v>
      </c>
      <c r="R1172" s="4" t="str">
        <f>VLOOKUP($B1172,'D7 - NDB Impacted SPRF''s'!$E$16:$O$9929,11,FALSE)</f>
        <v>N</v>
      </c>
      <c r="S1172" s="8"/>
      <c r="T1172" s="310"/>
      <c r="U1172" s="310"/>
      <c r="V1172" s="4"/>
      <c r="W1172" s="4"/>
      <c r="X1172" s="4"/>
      <c r="Y1172" s="4"/>
      <c r="Z1172" s="4"/>
      <c r="AA1172" s="4"/>
      <c r="AB1172" s="380" t="str">
        <f>VLOOKUP($B1172,'D7 - NDB Impacted SPRF''s'!$E$6:$O$9929,4,FALSE)</f>
        <v>Completed</v>
      </c>
      <c r="AC1172" s="380" t="str">
        <f>VLOOKUP($B1172,'D7 - NDB Impacted SPRF''s'!$E$6:$O$9929,3,FALSE)</f>
        <v>UnitedHealthcare Employer &amp; Individual</v>
      </c>
      <c r="AD1172" s="380" t="str">
        <f>VLOOKUP($B1172,'D7 - NDB Impacted SPRF''s'!$E$6:$O$9929,5,FALSE)</f>
        <v>Integration Requirements</v>
      </c>
      <c r="AE1172" s="380" t="str">
        <f>VLOOKUP($B1172,'D7 - NDB Impacted SPRF''s'!$E$6:$O$9929,7,FALSE)</f>
        <v>Diane Schofield</v>
      </c>
      <c r="AF1172" s="380" t="str">
        <f>VLOOKUP($B1172,'D7 - NDB Impacted SPRF''s'!$E$6:$O$9929,6,FALSE)</f>
        <v>KELLY HANDLEY</v>
      </c>
      <c r="AG1172" s="282"/>
      <c r="AH1172" s="311" t="e">
        <f>INDEX('D5 - Gatekeeper - Projects'!$A$4:$AF$1010,$AM1172, 17)</f>
        <v>#N/A</v>
      </c>
      <c r="AI1172" s="8"/>
      <c r="AJ1172" s="57"/>
      <c r="AK1172" s="105"/>
      <c r="AM1172" s="6" t="e">
        <f>MATCH(D1172,'D5 - Gatekeeper - Projects'!$C$4:$C$1010,0)</f>
        <v>#N/A</v>
      </c>
      <c r="AN1172" s="6" t="b">
        <f t="shared" si="115"/>
        <v>1</v>
      </c>
      <c r="AO1172" s="6" t="str">
        <f t="shared" si="117"/>
        <v>OK</v>
      </c>
      <c r="AQ1172" s="6" t="e">
        <f>MATCH($D1172,'D4 - Provider Council Unsched'!$C$11:$C$234,0)</f>
        <v>#N/A</v>
      </c>
      <c r="AR1172" s="6" t="b">
        <f t="shared" si="116"/>
        <v>1</v>
      </c>
      <c r="AS1172" s="6" t="str">
        <f t="shared" si="118"/>
        <v>OK</v>
      </c>
      <c r="AU1172" s="202"/>
      <c r="AV1172" s="262"/>
      <c r="AW1172" s="274"/>
    </row>
    <row r="1173" spans="1:49" s="13" customFormat="1" ht="33.75" x14ac:dyDescent="0.2">
      <c r="A1173" s="14">
        <v>1149</v>
      </c>
      <c r="B1173" s="14">
        <v>400029529</v>
      </c>
      <c r="C1173" s="8" t="s">
        <v>5197</v>
      </c>
      <c r="D1173" s="4" t="str">
        <f t="shared" si="114"/>
        <v>400029529R1</v>
      </c>
      <c r="E1173" s="309" t="str">
        <f>VLOOKUP($B1173,'D7 - NDB Impacted SPRF''s'!$E$6:$O$9929,2,FALSE)</f>
        <v>EDI 278N Phase 2.5</v>
      </c>
      <c r="F1173" s="8" t="s">
        <v>2114</v>
      </c>
      <c r="G1173" s="8" t="s">
        <v>4758</v>
      </c>
      <c r="H1173" s="8" t="s">
        <v>4246</v>
      </c>
      <c r="I1173" s="20">
        <v>1.07</v>
      </c>
      <c r="J1173" s="8" t="s">
        <v>4862</v>
      </c>
      <c r="K1173" s="182">
        <v>40131</v>
      </c>
      <c r="L1173" s="8" t="s">
        <v>5743</v>
      </c>
      <c r="M1173" s="8" t="s">
        <v>5626</v>
      </c>
      <c r="N1173" s="38"/>
      <c r="O1173" s="8" t="s">
        <v>2000</v>
      </c>
      <c r="P1173" s="4" t="str">
        <f>VLOOKUP($B1173,'D7 - NDB Impacted SPRF''s'!$E$16:$O$9929,9,FALSE)</f>
        <v>Y</v>
      </c>
      <c r="Q1173" s="4" t="str">
        <f>VLOOKUP($B1173,'D7 - NDB Impacted SPRF''s'!$E$16:$O$9929,10,FALSE)</f>
        <v>N</v>
      </c>
      <c r="R1173" s="4" t="str">
        <f>VLOOKUP($B1173,'D7 - NDB Impacted SPRF''s'!$E$16:$O$9929,11,FALSE)</f>
        <v>N</v>
      </c>
      <c r="S1173" s="8"/>
      <c r="T1173" s="310"/>
      <c r="U1173" s="310"/>
      <c r="V1173" s="4"/>
      <c r="W1173" s="4"/>
      <c r="X1173" s="4"/>
      <c r="Y1173" s="4"/>
      <c r="Z1173" s="4"/>
      <c r="AA1173" s="4"/>
      <c r="AB1173" s="380" t="str">
        <f>VLOOKUP($B1173,'D7 - NDB Impacted SPRF''s'!$E$16:$O$9929,4,FALSE)</f>
        <v>Completed</v>
      </c>
      <c r="AC1173" s="380" t="str">
        <f>VLOOKUP($B1173,'D7 - NDB Impacted SPRF''s'!$E$16:$O$9929,3,FALSE)</f>
        <v>UnitedHealthcare Medicare &amp; Retirement</v>
      </c>
      <c r="AD1173" s="380" t="str">
        <f>VLOOKUP($B1173,'D7 - NDB Impacted SPRF''s'!$E$16:$O$9929,5,FALSE)</f>
        <v>Enterprise Clinical</v>
      </c>
      <c r="AE1173" s="380" t="str">
        <f>VLOOKUP($B1173,'D7 - NDB Impacted SPRF''s'!$E$16:$O$9929,7,FALSE)</f>
        <v>Rob Verrengia</v>
      </c>
      <c r="AF1173" s="380" t="str">
        <f>VLOOKUP($B1173,'D7 - NDB Impacted SPRF''s'!$E$16:$O$9929,6,FALSE)</f>
        <v>Mary McDonald</v>
      </c>
      <c r="AG1173" s="282"/>
      <c r="AH1173" s="311" t="e">
        <f>INDEX('D5 - Gatekeeper - Projects'!$A$4:$AF$1010,$AM1173, 17)</f>
        <v>#N/A</v>
      </c>
      <c r="AI1173" s="8"/>
      <c r="AJ1173" s="57"/>
      <c r="AK1173" s="105"/>
      <c r="AM1173" s="6" t="e">
        <f>MATCH(D1173,'D5 - Gatekeeper - Projects'!$C$4:$C$1010,0)</f>
        <v>#N/A</v>
      </c>
      <c r="AN1173" s="6" t="b">
        <f t="shared" si="115"/>
        <v>1</v>
      </c>
      <c r="AO1173" s="6" t="str">
        <f t="shared" si="117"/>
        <v>OK</v>
      </c>
      <c r="AQ1173" s="6" t="e">
        <f>MATCH($D1173,'D4 - Provider Council Unsched'!$C$11:$C$234,0)</f>
        <v>#N/A</v>
      </c>
      <c r="AR1173" s="6" t="b">
        <f t="shared" si="116"/>
        <v>1</v>
      </c>
      <c r="AS1173" s="6" t="str">
        <f t="shared" si="118"/>
        <v>OK</v>
      </c>
      <c r="AU1173" s="202"/>
      <c r="AV1173" s="262"/>
      <c r="AW1173" s="274"/>
    </row>
    <row r="1174" spans="1:49" s="13" customFormat="1" ht="45" x14ac:dyDescent="0.2">
      <c r="A1174" s="14">
        <v>1150</v>
      </c>
      <c r="B1174" s="14">
        <v>400029570</v>
      </c>
      <c r="C1174" s="8" t="s">
        <v>3763</v>
      </c>
      <c r="D1174" s="4" t="str">
        <f t="shared" si="114"/>
        <v>400029570R2</v>
      </c>
      <c r="E1174" s="309" t="str">
        <f>VLOOKUP($B1174,'D7 - NDB Impacted SPRF''s'!$E$6:$O$9929,2,FALSE)</f>
        <v>PDR - NDB Fee Schedule Enhancements</v>
      </c>
      <c r="F1174" s="8" t="s">
        <v>5595</v>
      </c>
      <c r="G1174" s="8" t="s">
        <v>4758</v>
      </c>
      <c r="H1174" s="8" t="s">
        <v>4246</v>
      </c>
      <c r="I1174" s="20">
        <v>8.1999999999999993</v>
      </c>
      <c r="J1174" s="8" t="s">
        <v>4862</v>
      </c>
      <c r="K1174" s="182">
        <v>40131</v>
      </c>
      <c r="L1174" s="8" t="s">
        <v>5743</v>
      </c>
      <c r="M1174" s="8" t="s">
        <v>2814</v>
      </c>
      <c r="N1174" s="38"/>
      <c r="O1174" s="8" t="s">
        <v>7086</v>
      </c>
      <c r="P1174" s="4" t="str">
        <f>VLOOKUP($B1174,'D7 - NDB Impacted SPRF''s'!$E$16:$O$9929,9,FALSE)</f>
        <v>Y</v>
      </c>
      <c r="Q1174" s="4" t="str">
        <f>VLOOKUP($B1174,'D7 - NDB Impacted SPRF''s'!$E$16:$O$9929,10,FALSE)</f>
        <v>N</v>
      </c>
      <c r="R1174" s="4" t="str">
        <f>VLOOKUP($B1174,'D7 - NDB Impacted SPRF''s'!$E$16:$O$9929,11,FALSE)</f>
        <v>Y</v>
      </c>
      <c r="S1174" s="8"/>
      <c r="T1174" s="310"/>
      <c r="U1174" s="310"/>
      <c r="V1174" s="4"/>
      <c r="W1174" s="4"/>
      <c r="X1174" s="4"/>
      <c r="Y1174" s="4"/>
      <c r="Z1174" s="4"/>
      <c r="AA1174" s="4"/>
      <c r="AB1174" s="380" t="str">
        <f>VLOOKUP($B1174,'D7 - NDB Impacted SPRF''s'!$E$16:$O$9929,4,FALSE)</f>
        <v>Completed</v>
      </c>
      <c r="AC1174" s="380" t="str">
        <f>VLOOKUP($B1174,'D7 - NDB Impacted SPRF''s'!$E$16:$O$9929,3,FALSE)</f>
        <v>UHG IT - Enterprise Technology Services</v>
      </c>
      <c r="AD1174" s="380" t="str">
        <f>VLOOKUP($B1174,'D7 - NDB Impacted SPRF''s'!$E$16:$O$9929,5,FALSE)</f>
        <v>Strategic Initiatives</v>
      </c>
      <c r="AE1174" s="380" t="str">
        <f>VLOOKUP($B1174,'D7 - NDB Impacted SPRF''s'!$E$16:$O$9929,7,FALSE)</f>
        <v>Dave Wichman</v>
      </c>
      <c r="AF1174" s="380" t="str">
        <f>VLOOKUP($B1174,'D7 - NDB Impacted SPRF''s'!$E$16:$O$9929,6,FALSE)</f>
        <v>Brent Graham</v>
      </c>
      <c r="AG1174" s="282"/>
      <c r="AH1174" s="311" t="e">
        <f>INDEX('D5 - Gatekeeper - Projects'!$A$4:$AF$1010,$AM1174, 17)</f>
        <v>#N/A</v>
      </c>
      <c r="AI1174" s="8"/>
      <c r="AJ1174" s="57"/>
      <c r="AK1174" s="105"/>
      <c r="AM1174" s="6" t="e">
        <f>MATCH(D1174,'D5 - Gatekeeper - Projects'!$C$4:$C$1010,0)</f>
        <v>#N/A</v>
      </c>
      <c r="AN1174" s="6" t="b">
        <f t="shared" si="115"/>
        <v>1</v>
      </c>
      <c r="AO1174" s="6" t="str">
        <f t="shared" si="117"/>
        <v>OK</v>
      </c>
      <c r="AQ1174" s="6" t="e">
        <f>MATCH($D1174,'D4 - Provider Council Unsched'!$C$11:$C$234,0)</f>
        <v>#N/A</v>
      </c>
      <c r="AR1174" s="6" t="b">
        <f t="shared" si="116"/>
        <v>1</v>
      </c>
      <c r="AS1174" s="6" t="str">
        <f t="shared" si="118"/>
        <v>OK</v>
      </c>
      <c r="AU1174" s="202"/>
      <c r="AV1174" s="262"/>
      <c r="AW1174" s="274"/>
    </row>
    <row r="1175" spans="1:49" s="13" customFormat="1" ht="33.75" x14ac:dyDescent="0.2">
      <c r="A1175" s="14">
        <v>1151</v>
      </c>
      <c r="B1175" s="14">
        <v>400029853</v>
      </c>
      <c r="C1175" s="8" t="s">
        <v>3763</v>
      </c>
      <c r="D1175" s="4" t="str">
        <f t="shared" si="114"/>
        <v>400029853R2</v>
      </c>
      <c r="E1175" s="309" t="str">
        <f>VLOOKUP($B1175,'D7 - NDB Impacted SPRF''s'!$E$6:$O$9929,2,FALSE)</f>
        <v>Policy Alpha Definition Enhancement, Phase One</v>
      </c>
      <c r="F1175" s="282" t="s">
        <v>2114</v>
      </c>
      <c r="G1175" s="8" t="s">
        <v>4758</v>
      </c>
      <c r="H1175" s="8" t="s">
        <v>4246</v>
      </c>
      <c r="I1175" s="20">
        <v>1.5</v>
      </c>
      <c r="J1175" s="8" t="s">
        <v>4862</v>
      </c>
      <c r="K1175" s="182">
        <v>40131</v>
      </c>
      <c r="L1175" s="8" t="s">
        <v>4156</v>
      </c>
      <c r="M1175" s="8" t="s">
        <v>5626</v>
      </c>
      <c r="N1175" s="38"/>
      <c r="O1175" s="8" t="s">
        <v>2000</v>
      </c>
      <c r="P1175" s="4" t="str">
        <f>VLOOKUP($B1175,'D7 - NDB Impacted SPRF''s'!$E$16:$O$9929,9,FALSE)</f>
        <v>Y</v>
      </c>
      <c r="Q1175" s="4" t="str">
        <f>VLOOKUP($B1175,'D7 - NDB Impacted SPRF''s'!$E$16:$O$9929,10,FALSE)</f>
        <v>N</v>
      </c>
      <c r="R1175" s="4" t="str">
        <f>VLOOKUP($B1175,'D7 - NDB Impacted SPRF''s'!$E$16:$O$9929,11,FALSE)</f>
        <v>N</v>
      </c>
      <c r="S1175" s="8"/>
      <c r="T1175" s="310"/>
      <c r="U1175" s="310"/>
      <c r="V1175" s="4"/>
      <c r="W1175" s="4"/>
      <c r="X1175" s="4"/>
      <c r="Y1175" s="4"/>
      <c r="Z1175" s="4"/>
      <c r="AA1175" s="4"/>
      <c r="AB1175" s="380" t="str">
        <f>VLOOKUP($B1175,'D7 - NDB Impacted SPRF''s'!$E$6:$O$9929,4,FALSE)</f>
        <v>Completed</v>
      </c>
      <c r="AC1175" s="380" t="str">
        <f>VLOOKUP($B1175,'D7 - NDB Impacted SPRF''s'!$E$6:$O$9929,3,FALSE)</f>
        <v>UnitedHealthcare Employer &amp; Individual</v>
      </c>
      <c r="AD1175" s="380" t="str">
        <f>VLOOKUP($B1175,'D7 - NDB Impacted SPRF''s'!$E$6:$O$9929,5,FALSE)</f>
        <v>Operational Requirements</v>
      </c>
      <c r="AE1175" s="380" t="str">
        <f>VLOOKUP($B1175,'D7 - NDB Impacted SPRF''s'!$E$6:$O$9929,7,FALSE)</f>
        <v>Tammy Wright</v>
      </c>
      <c r="AF1175" s="380" t="str">
        <f>VLOOKUP($B1175,'D7 - NDB Impacted SPRF''s'!$E$6:$O$9929,6,FALSE)</f>
        <v>Bruce Clark</v>
      </c>
      <c r="AG1175" s="282"/>
      <c r="AH1175" s="311" t="e">
        <f>INDEX('D5 - Gatekeeper - Projects'!$A$4:$AF$1010,$AM1175, 17)</f>
        <v>#N/A</v>
      </c>
      <c r="AI1175" s="8"/>
      <c r="AJ1175" s="57"/>
      <c r="AK1175" s="105"/>
      <c r="AM1175" s="6" t="e">
        <f>MATCH(D1175,'D5 - Gatekeeper - Projects'!$C$4:$C$1010,0)</f>
        <v>#N/A</v>
      </c>
      <c r="AN1175" s="6" t="b">
        <f t="shared" si="115"/>
        <v>1</v>
      </c>
      <c r="AO1175" s="6" t="str">
        <f t="shared" si="117"/>
        <v>OK</v>
      </c>
      <c r="AQ1175" s="6" t="e">
        <f>MATCH($D1175,'D4 - Provider Council Unsched'!$C$11:$C$234,0)</f>
        <v>#N/A</v>
      </c>
      <c r="AR1175" s="6" t="b">
        <f t="shared" si="116"/>
        <v>1</v>
      </c>
      <c r="AS1175" s="6" t="str">
        <f t="shared" si="118"/>
        <v>OK</v>
      </c>
      <c r="AU1175" s="202"/>
      <c r="AV1175" s="262"/>
      <c r="AW1175" s="274"/>
    </row>
    <row r="1176" spans="1:49" s="13" customFormat="1" ht="33.75" x14ac:dyDescent="0.2">
      <c r="A1176" s="14">
        <v>1152</v>
      </c>
      <c r="B1176" s="14">
        <v>400029874</v>
      </c>
      <c r="C1176" s="8" t="s">
        <v>5197</v>
      </c>
      <c r="D1176" s="4" t="str">
        <f t="shared" si="114"/>
        <v>400029874R1</v>
      </c>
      <c r="E1176" s="309" t="str">
        <f>VLOOKUP($B1176,'D7 - NDB Impacted SPRF''s'!$E$6:$O$9929,2,FALSE)</f>
        <v>CSS-B2C 2009B Release</v>
      </c>
      <c r="F1176" s="282" t="s">
        <v>6401</v>
      </c>
      <c r="G1176" s="8" t="s">
        <v>4758</v>
      </c>
      <c r="H1176" s="8" t="s">
        <v>4246</v>
      </c>
      <c r="I1176" s="20">
        <v>0.71</v>
      </c>
      <c r="J1176" s="8" t="s">
        <v>4862</v>
      </c>
      <c r="K1176" s="182">
        <v>40131</v>
      </c>
      <c r="L1176" s="8" t="s">
        <v>4156</v>
      </c>
      <c r="M1176" s="8" t="s">
        <v>4850</v>
      </c>
      <c r="N1176" s="38" t="s">
        <v>2834</v>
      </c>
      <c r="O1176" s="8" t="s">
        <v>2000</v>
      </c>
      <c r="P1176" s="4" t="str">
        <f>VLOOKUP($B1176,'D7 - NDB Impacted SPRF''s'!$E$16:$O$9929,9,FALSE)</f>
        <v>Y</v>
      </c>
      <c r="Q1176" s="4" t="str">
        <f>VLOOKUP($B1176,'D7 - NDB Impacted SPRF''s'!$E$16:$O$9929,10,FALSE)</f>
        <v>N</v>
      </c>
      <c r="R1176" s="4" t="str">
        <f>VLOOKUP($B1176,'D7 - NDB Impacted SPRF''s'!$E$16:$O$9929,11,FALSE)</f>
        <v>N</v>
      </c>
      <c r="S1176" s="8"/>
      <c r="T1176" s="310"/>
      <c r="U1176" s="310"/>
      <c r="V1176" s="4"/>
      <c r="W1176" s="4"/>
      <c r="X1176" s="4"/>
      <c r="Y1176" s="4"/>
      <c r="Z1176" s="4"/>
      <c r="AA1176" s="4"/>
      <c r="AB1176" s="380" t="str">
        <f>VLOOKUP($B1176,'D7 - NDB Impacted SPRF''s'!$E$6:$O$9929,4,FALSE)</f>
        <v>Completed</v>
      </c>
      <c r="AC1176" s="380" t="str">
        <f>VLOOKUP($B1176,'D7 - NDB Impacted SPRF''s'!$E$6:$O$9929,3,FALSE)</f>
        <v>UnitedHealthcare Medicare &amp; Retirement</v>
      </c>
      <c r="AD1176" s="380" t="str">
        <f>VLOOKUP($B1176,'D7 - NDB Impacted SPRF''s'!$E$6:$O$9929,5,FALSE)</f>
        <v>Enterprise Clinical</v>
      </c>
      <c r="AE1176" s="380" t="str">
        <f>VLOOKUP($B1176,'D7 - NDB Impacted SPRF''s'!$E$6:$O$9929,7,FALSE)</f>
        <v>Cynthia Middaugh</v>
      </c>
      <c r="AF1176" s="380" t="str">
        <f>VLOOKUP($B1176,'D7 - NDB Impacted SPRF''s'!$E$6:$O$9929,6,FALSE)</f>
        <v>Mike Flynn</v>
      </c>
      <c r="AG1176" s="282"/>
      <c r="AH1176" s="311" t="e">
        <f>INDEX('D5 - Gatekeeper - Projects'!$A$4:$AF$1010,$AM1176, 17)</f>
        <v>#N/A</v>
      </c>
      <c r="AI1176" s="8"/>
      <c r="AJ1176" s="57"/>
      <c r="AK1176" s="105"/>
      <c r="AM1176" s="6" t="e">
        <f>MATCH(D1176,'D5 - Gatekeeper - Projects'!$C$4:$C$1010,0)</f>
        <v>#N/A</v>
      </c>
      <c r="AN1176" s="6" t="b">
        <f t="shared" si="115"/>
        <v>1</v>
      </c>
      <c r="AO1176" s="6" t="str">
        <f t="shared" si="117"/>
        <v>OK</v>
      </c>
      <c r="AQ1176" s="6" t="e">
        <f>MATCH($D1176,'D4 - Provider Council Unsched'!$C$11:$C$234,0)</f>
        <v>#N/A</v>
      </c>
      <c r="AR1176" s="6" t="b">
        <f t="shared" si="116"/>
        <v>1</v>
      </c>
      <c r="AS1176" s="6" t="str">
        <f t="shared" si="118"/>
        <v>OK</v>
      </c>
      <c r="AU1176" s="202"/>
      <c r="AV1176" s="262"/>
      <c r="AW1176" s="274"/>
    </row>
    <row r="1177" spans="1:49" s="13" customFormat="1" ht="45" x14ac:dyDescent="0.2">
      <c r="A1177" s="14">
        <v>1153</v>
      </c>
      <c r="B1177" s="14">
        <v>400029935</v>
      </c>
      <c r="C1177" s="8" t="s">
        <v>5197</v>
      </c>
      <c r="D1177" s="4" t="str">
        <f t="shared" si="114"/>
        <v>400029935R1</v>
      </c>
      <c r="E1177" s="309" t="str">
        <f>VLOOKUP($B1177,'D7 - NDB Impacted SPRF''s'!$E$6:$O$9929,2,FALSE)</f>
        <v>PHS ILIAD move to United Platform (UP)</v>
      </c>
      <c r="F1177" s="8" t="s">
        <v>6071</v>
      </c>
      <c r="G1177" s="8" t="s">
        <v>4758</v>
      </c>
      <c r="H1177" s="8" t="s">
        <v>4246</v>
      </c>
      <c r="I1177" s="20">
        <v>1.07</v>
      </c>
      <c r="J1177" s="8" t="s">
        <v>4862</v>
      </c>
      <c r="K1177" s="182">
        <v>40131</v>
      </c>
      <c r="L1177" s="8" t="s">
        <v>4156</v>
      </c>
      <c r="M1177" s="8" t="s">
        <v>5626</v>
      </c>
      <c r="N1177" s="38" t="s">
        <v>4237</v>
      </c>
      <c r="O1177" s="8" t="s">
        <v>2000</v>
      </c>
      <c r="P1177" s="4" t="str">
        <f>VLOOKUP($B1177,'D7 - NDB Impacted SPRF''s'!$E$16:$O$9929,9,FALSE)</f>
        <v>N</v>
      </c>
      <c r="Q1177" s="4" t="str">
        <f>VLOOKUP($B1177,'D7 - NDB Impacted SPRF''s'!$E$16:$O$9929,10,FALSE)</f>
        <v>N</v>
      </c>
      <c r="R1177" s="4" t="str">
        <f>VLOOKUP($B1177,'D7 - NDB Impacted SPRF''s'!$E$16:$O$9929,11,FALSE)</f>
        <v>N</v>
      </c>
      <c r="S1177" s="8"/>
      <c r="T1177" s="310"/>
      <c r="U1177" s="310"/>
      <c r="V1177" s="4"/>
      <c r="W1177" s="4"/>
      <c r="X1177" s="4"/>
      <c r="Y1177" s="4"/>
      <c r="Z1177" s="4"/>
      <c r="AA1177" s="4"/>
      <c r="AB1177" s="380" t="str">
        <f>VLOOKUP($B1177,'D7 - NDB Impacted SPRF''s'!$E$6:$O$9929,4,FALSE)</f>
        <v>Completed</v>
      </c>
      <c r="AC1177" s="380" t="str">
        <f>VLOOKUP($B1177,'D7 - NDB Impacted SPRF''s'!$E$6:$O$9929,3,FALSE)</f>
        <v>UnitedHealthcare Employer &amp; Individual</v>
      </c>
      <c r="AD1177" s="380" t="str">
        <f>VLOOKUP($B1177,'D7 - NDB Impacted SPRF''s'!$E$6:$O$9929,5,FALSE)</f>
        <v>Integration Requirements</v>
      </c>
      <c r="AE1177" s="380" t="str">
        <f>VLOOKUP($B1177,'D7 - NDB Impacted SPRF''s'!$E$6:$O$9929,7,FALSE)</f>
        <v>Jason Greenberg</v>
      </c>
      <c r="AF1177" s="380" t="str">
        <f>VLOOKUP($B1177,'D7 - NDB Impacted SPRF''s'!$E$6:$O$9929,6,FALSE)</f>
        <v>Catherine Krause</v>
      </c>
      <c r="AG1177" s="282"/>
      <c r="AH1177" s="311" t="e">
        <f>INDEX('D5 - Gatekeeper - Projects'!$A$4:$AF$1010,$AM1177, 17)</f>
        <v>#N/A</v>
      </c>
      <c r="AI1177" s="8"/>
      <c r="AJ1177" s="57"/>
      <c r="AK1177" s="105"/>
      <c r="AM1177" s="6" t="e">
        <f>MATCH(D1177,'D5 - Gatekeeper - Projects'!$C$4:$C$1010,0)</f>
        <v>#N/A</v>
      </c>
      <c r="AN1177" s="6" t="b">
        <f t="shared" si="115"/>
        <v>1</v>
      </c>
      <c r="AO1177" s="6" t="str">
        <f t="shared" si="117"/>
        <v>OK</v>
      </c>
      <c r="AQ1177" s="6" t="e">
        <f>MATCH($D1177,'D4 - Provider Council Unsched'!$C$11:$C$234,0)</f>
        <v>#N/A</v>
      </c>
      <c r="AR1177" s="6" t="b">
        <f t="shared" si="116"/>
        <v>1</v>
      </c>
      <c r="AS1177" s="6" t="str">
        <f t="shared" si="118"/>
        <v>OK</v>
      </c>
      <c r="AU1177" s="202"/>
      <c r="AV1177" s="262"/>
      <c r="AW1177" s="274"/>
    </row>
    <row r="1178" spans="1:49" s="13" customFormat="1" ht="33.75" x14ac:dyDescent="0.2">
      <c r="A1178" s="14">
        <v>1154</v>
      </c>
      <c r="B1178" s="14">
        <v>400029975</v>
      </c>
      <c r="C1178" s="8" t="s">
        <v>5197</v>
      </c>
      <c r="D1178" s="4" t="str">
        <f t="shared" si="114"/>
        <v>400029975R1</v>
      </c>
      <c r="E1178" s="309" t="str">
        <f>VLOOKUP($B1178,'D7 - NDB Impacted SPRF''s'!$E$6:$O$9929,2,FALSE)</f>
        <v>Radiology Accreditation Impact Analysis</v>
      </c>
      <c r="F1178" s="282" t="s">
        <v>5308</v>
      </c>
      <c r="G1178" s="8" t="s">
        <v>4758</v>
      </c>
      <c r="H1178" s="8" t="s">
        <v>4246</v>
      </c>
      <c r="I1178" s="20">
        <v>2.99</v>
      </c>
      <c r="J1178" s="8" t="s">
        <v>4862</v>
      </c>
      <c r="K1178" s="182">
        <v>40131</v>
      </c>
      <c r="L1178" s="8" t="s">
        <v>4156</v>
      </c>
      <c r="M1178" s="8" t="s">
        <v>6688</v>
      </c>
      <c r="N1178" s="38"/>
      <c r="O1178" s="8" t="s">
        <v>7086</v>
      </c>
      <c r="P1178" s="4" t="str">
        <f>VLOOKUP($B1178,'D7 - NDB Impacted SPRF''s'!$E$16:$O$9929,9,FALSE)</f>
        <v>Y</v>
      </c>
      <c r="Q1178" s="4" t="str">
        <f>VLOOKUP($B1178,'D7 - NDB Impacted SPRF''s'!$E$16:$O$9929,10,FALSE)</f>
        <v>N</v>
      </c>
      <c r="R1178" s="4" t="str">
        <f>VLOOKUP($B1178,'D7 - NDB Impacted SPRF''s'!$E$16:$O$9929,11,FALSE)</f>
        <v>N</v>
      </c>
      <c r="S1178" s="8"/>
      <c r="T1178" s="310"/>
      <c r="U1178" s="310"/>
      <c r="V1178" s="4"/>
      <c r="W1178" s="4"/>
      <c r="X1178" s="4"/>
      <c r="Y1178" s="4"/>
      <c r="Z1178" s="4"/>
      <c r="AA1178" s="4"/>
      <c r="AB1178" s="380" t="str">
        <f>VLOOKUP($B1178,'D7 - NDB Impacted SPRF''s'!$E$6:$O$9929,4,FALSE)</f>
        <v>Completed</v>
      </c>
      <c r="AC1178" s="380" t="str">
        <f>VLOOKUP($B1178,'D7 - NDB Impacted SPRF''s'!$E$6:$O$9929,3,FALSE)</f>
        <v>UnitedHealthcare Employer &amp; Individual</v>
      </c>
      <c r="AD1178" s="380" t="str">
        <f>VLOOKUP($B1178,'D7 - NDB Impacted SPRF''s'!$E$6:$O$9929,5,FALSE)</f>
        <v>Medical Cost Savings Programs</v>
      </c>
      <c r="AE1178" s="380" t="str">
        <f>VLOOKUP($B1178,'D7 - NDB Impacted SPRF''s'!$E$6:$O$9929,7,FALSE)</f>
        <v>Laurie Paidosh</v>
      </c>
      <c r="AF1178" s="380" t="str">
        <f>VLOOKUP($B1178,'D7 - NDB Impacted SPRF''s'!$E$6:$O$9929,6,FALSE)</f>
        <v>Aaron Williamson</v>
      </c>
      <c r="AG1178" s="282"/>
      <c r="AH1178" s="311" t="e">
        <f>INDEX('D5 - Gatekeeper - Projects'!$A$4:$AF$1010,$AM1178, 17)</f>
        <v>#N/A</v>
      </c>
      <c r="AI1178" s="8"/>
      <c r="AJ1178" s="57"/>
      <c r="AK1178" s="105"/>
      <c r="AM1178" s="6" t="e">
        <f>MATCH(D1178,'D5 - Gatekeeper - Projects'!$C$4:$C$1010,0)</f>
        <v>#N/A</v>
      </c>
      <c r="AN1178" s="6" t="b">
        <f t="shared" si="115"/>
        <v>1</v>
      </c>
      <c r="AO1178" s="6" t="str">
        <f t="shared" si="117"/>
        <v>OK</v>
      </c>
      <c r="AQ1178" s="6" t="e">
        <f>MATCH($D1178,'D4 - Provider Council Unsched'!$C$11:$C$234,0)</f>
        <v>#N/A</v>
      </c>
      <c r="AR1178" s="6" t="b">
        <f t="shared" si="116"/>
        <v>1</v>
      </c>
      <c r="AS1178" s="6" t="str">
        <f t="shared" si="118"/>
        <v>OK</v>
      </c>
      <c r="AU1178" s="202"/>
      <c r="AV1178" s="262"/>
      <c r="AW1178" s="274"/>
    </row>
    <row r="1179" spans="1:49" s="13" customFormat="1" ht="45" x14ac:dyDescent="0.2">
      <c r="A1179" s="14">
        <v>1155</v>
      </c>
      <c r="B1179" s="14">
        <v>400030262</v>
      </c>
      <c r="C1179" s="8" t="s">
        <v>5197</v>
      </c>
      <c r="D1179" s="4" t="str">
        <f t="shared" si="114"/>
        <v>400030262R1</v>
      </c>
      <c r="E1179" s="309" t="str">
        <f>VLOOKUP($B1179,'D7 - NDB Impacted SPRF''s'!$E$6:$O$9929,2,FALSE)</f>
        <v>PDR - Provider Pick on Claims Highway</v>
      </c>
      <c r="F1179" s="8" t="s">
        <v>5595</v>
      </c>
      <c r="G1179" s="8" t="s">
        <v>4758</v>
      </c>
      <c r="H1179" s="8" t="s">
        <v>4246</v>
      </c>
      <c r="I1179" s="20">
        <v>4</v>
      </c>
      <c r="J1179" s="8" t="s">
        <v>4862</v>
      </c>
      <c r="K1179" s="182">
        <v>40131</v>
      </c>
      <c r="L1179" s="8" t="s">
        <v>4156</v>
      </c>
      <c r="M1179" s="8" t="s">
        <v>2814</v>
      </c>
      <c r="N1179" s="38"/>
      <c r="O1179" s="8" t="s">
        <v>1074</v>
      </c>
      <c r="P1179" s="4" t="str">
        <f>VLOOKUP($B1179,'D7 - NDB Impacted SPRF''s'!$E$16:$O$9929,9,FALSE)</f>
        <v>Y</v>
      </c>
      <c r="Q1179" s="4" t="str">
        <f>VLOOKUP($B1179,'D7 - NDB Impacted SPRF''s'!$E$16:$O$9929,10,FALSE)</f>
        <v>N</v>
      </c>
      <c r="R1179" s="4" t="str">
        <f>VLOOKUP($B1179,'D7 - NDB Impacted SPRF''s'!$E$16:$O$9929,11,FALSE)</f>
        <v>N</v>
      </c>
      <c r="S1179" s="8"/>
      <c r="T1179" s="310"/>
      <c r="U1179" s="310"/>
      <c r="V1179" s="4"/>
      <c r="W1179" s="4"/>
      <c r="X1179" s="4"/>
      <c r="Y1179" s="4"/>
      <c r="Z1179" s="4"/>
      <c r="AA1179" s="4"/>
      <c r="AB1179" s="380" t="str">
        <f>VLOOKUP($B1179,'D7 - NDB Impacted SPRF''s'!$E$6:$O$9929,4,FALSE)</f>
        <v>Completed</v>
      </c>
      <c r="AC1179" s="380" t="str">
        <f>VLOOKUP($B1179,'D7 - NDB Impacted SPRF''s'!$E$6:$O$9929,3,FALSE)</f>
        <v>UHG IT - Enterprise Technology Services</v>
      </c>
      <c r="AD1179" s="380" t="str">
        <f>VLOOKUP($B1179,'D7 - NDB Impacted SPRF''s'!$E$6:$O$9929,5,FALSE)</f>
        <v>Strategic Initiatives</v>
      </c>
      <c r="AE1179" s="380" t="str">
        <f>VLOOKUP($B1179,'D7 - NDB Impacted SPRF''s'!$E$6:$O$9929,7,FALSE)</f>
        <v>Dave Wichman</v>
      </c>
      <c r="AF1179" s="380" t="str">
        <f>VLOOKUP($B1179,'D7 - NDB Impacted SPRF''s'!$E$6:$O$9929,6,FALSE)</f>
        <v>Nicole Cartwright</v>
      </c>
      <c r="AG1179" s="282"/>
      <c r="AH1179" s="311" t="e">
        <f>INDEX('D5 - Gatekeeper - Projects'!$A$4:$AF$1010,$AM1179, 17)</f>
        <v>#N/A</v>
      </c>
      <c r="AI1179" s="8"/>
      <c r="AJ1179" s="57"/>
      <c r="AK1179" s="105"/>
      <c r="AM1179" s="6" t="e">
        <f>MATCH(D1179,'D5 - Gatekeeper - Projects'!$C$4:$C$1010,0)</f>
        <v>#N/A</v>
      </c>
      <c r="AN1179" s="6" t="b">
        <f t="shared" si="115"/>
        <v>1</v>
      </c>
      <c r="AO1179" s="6" t="str">
        <f t="shared" si="117"/>
        <v>OK</v>
      </c>
      <c r="AQ1179" s="6" t="e">
        <f>MATCH($D1179,'D4 - Provider Council Unsched'!$C$11:$C$234,0)</f>
        <v>#N/A</v>
      </c>
      <c r="AR1179" s="6" t="b">
        <f t="shared" si="116"/>
        <v>1</v>
      </c>
      <c r="AS1179" s="6" t="str">
        <f t="shared" si="118"/>
        <v>OK</v>
      </c>
      <c r="AU1179" s="202"/>
      <c r="AV1179" s="262"/>
      <c r="AW1179" s="274"/>
    </row>
    <row r="1180" spans="1:49" s="13" customFormat="1" ht="45" x14ac:dyDescent="0.2">
      <c r="A1180" s="14">
        <v>1156</v>
      </c>
      <c r="B1180" s="14">
        <v>400030840</v>
      </c>
      <c r="C1180" s="8" t="s">
        <v>5197</v>
      </c>
      <c r="D1180" s="4" t="str">
        <f t="shared" si="114"/>
        <v>400030840R1</v>
      </c>
      <c r="E1180" s="309" t="str">
        <f>VLOOKUP($B1180,'D7 - NDB Impacted SPRF''s'!$E$6:$O$9929,2,FALSE)</f>
        <v>Middle Tier Replacement Phase 1</v>
      </c>
      <c r="F1180" s="8" t="s">
        <v>2114</v>
      </c>
      <c r="G1180" s="8" t="s">
        <v>4758</v>
      </c>
      <c r="H1180" s="8" t="s">
        <v>4246</v>
      </c>
      <c r="I1180" s="20">
        <v>0.95</v>
      </c>
      <c r="J1180" s="8" t="s">
        <v>4862</v>
      </c>
      <c r="K1180" s="182">
        <v>40131</v>
      </c>
      <c r="L1180" s="8" t="s">
        <v>4156</v>
      </c>
      <c r="M1180" s="8" t="s">
        <v>5626</v>
      </c>
      <c r="N1180" s="38"/>
      <c r="O1180" s="8" t="s">
        <v>2000</v>
      </c>
      <c r="P1180" s="4" t="str">
        <f>VLOOKUP($B1180,'D7 - NDB Impacted SPRF''s'!$E$16:$O$9929,9,FALSE)</f>
        <v>Y</v>
      </c>
      <c r="Q1180" s="4" t="str">
        <f>VLOOKUP($B1180,'D7 - NDB Impacted SPRF''s'!$E$16:$O$9929,10,FALSE)</f>
        <v>N</v>
      </c>
      <c r="R1180" s="4" t="str">
        <f>VLOOKUP($B1180,'D7 - NDB Impacted SPRF''s'!$E$16:$O$9929,11,FALSE)</f>
        <v>N</v>
      </c>
      <c r="S1180" s="8"/>
      <c r="T1180" s="310"/>
      <c r="U1180" s="310"/>
      <c r="V1180" s="4"/>
      <c r="W1180" s="4"/>
      <c r="X1180" s="4"/>
      <c r="Y1180" s="4"/>
      <c r="Z1180" s="4"/>
      <c r="AA1180" s="4"/>
      <c r="AB1180" s="380" t="str">
        <f>VLOOKUP($B1180,'D7 - NDB Impacted SPRF''s'!$E$6:$O$9929,4,FALSE)</f>
        <v>Completed</v>
      </c>
      <c r="AC1180" s="380" t="str">
        <f>VLOOKUP($B1180,'D7 - NDB Impacted SPRF''s'!$E$6:$O$9929,3,FALSE)</f>
        <v>UHG IT - Enterprise Technology Services</v>
      </c>
      <c r="AD1180" s="380" t="str">
        <f>VLOOKUP($B1180,'D7 - NDB Impacted SPRF''s'!$E$6:$O$9929,5,FALSE)</f>
        <v>Strategic Initiatives</v>
      </c>
      <c r="AE1180" s="380" t="str">
        <f>VLOOKUP($B1180,'D7 - NDB Impacted SPRF''s'!$E$6:$O$9929,7,FALSE)</f>
        <v>Milla Hautman</v>
      </c>
      <c r="AF1180" s="380" t="str">
        <f>VLOOKUP($B1180,'D7 - NDB Impacted SPRF''s'!$E$6:$O$9929,6,FALSE)</f>
        <v>Eileen Cabe</v>
      </c>
      <c r="AG1180" s="282"/>
      <c r="AH1180" s="311" t="e">
        <f>INDEX('D5 - Gatekeeper - Projects'!$A$4:$AF$1010,$AM1180, 17)</f>
        <v>#N/A</v>
      </c>
      <c r="AI1180" s="8"/>
      <c r="AJ1180" s="57"/>
      <c r="AK1180" s="105"/>
      <c r="AM1180" s="6" t="e">
        <f>MATCH(D1180,'D5 - Gatekeeper - Projects'!$C$4:$C$1010,0)</f>
        <v>#N/A</v>
      </c>
      <c r="AN1180" s="6" t="b">
        <f t="shared" si="115"/>
        <v>1</v>
      </c>
      <c r="AO1180" s="6" t="str">
        <f t="shared" si="117"/>
        <v>OK</v>
      </c>
      <c r="AQ1180" s="6" t="e">
        <f>MATCH($D1180,'D4 - Provider Council Unsched'!$C$11:$C$234,0)</f>
        <v>#N/A</v>
      </c>
      <c r="AR1180" s="6" t="b">
        <f t="shared" si="116"/>
        <v>1</v>
      </c>
      <c r="AS1180" s="6" t="str">
        <f t="shared" si="118"/>
        <v>OK</v>
      </c>
      <c r="AU1180" s="202"/>
      <c r="AV1180" s="262"/>
      <c r="AW1180" s="274"/>
    </row>
    <row r="1181" spans="1:49" s="13" customFormat="1" ht="45" x14ac:dyDescent="0.2">
      <c r="A1181" s="14">
        <v>1157</v>
      </c>
      <c r="B1181" s="14">
        <v>400030846</v>
      </c>
      <c r="C1181" s="8" t="s">
        <v>5197</v>
      </c>
      <c r="D1181" s="4" t="str">
        <f t="shared" si="114"/>
        <v>400030846R1</v>
      </c>
      <c r="E1181" s="309" t="str">
        <f>VLOOKUP($B1181,'D7 - NDB Impacted SPRF''s'!$E$6:$O$9929,2,FALSE)</f>
        <v>RSA - PDR Contract Maintenance</v>
      </c>
      <c r="F1181" s="8" t="s">
        <v>5595</v>
      </c>
      <c r="G1181" s="8" t="s">
        <v>4758</v>
      </c>
      <c r="H1181" s="8" t="s">
        <v>4246</v>
      </c>
      <c r="I1181" s="20">
        <v>2</v>
      </c>
      <c r="J1181" s="8" t="s">
        <v>4862</v>
      </c>
      <c r="K1181" s="182">
        <v>40131</v>
      </c>
      <c r="L1181" s="8" t="s">
        <v>4156</v>
      </c>
      <c r="M1181" s="8" t="s">
        <v>6688</v>
      </c>
      <c r="N1181" s="38"/>
      <c r="O1181" s="8" t="s">
        <v>2875</v>
      </c>
      <c r="P1181" s="4" t="str">
        <f>VLOOKUP($B1181,'D7 - NDB Impacted SPRF''s'!$E$16:$O$9929,9,FALSE)</f>
        <v>Y</v>
      </c>
      <c r="Q1181" s="4" t="str">
        <f>VLOOKUP($B1181,'D7 - NDB Impacted SPRF''s'!$E$16:$O$9929,10,FALSE)</f>
        <v>N</v>
      </c>
      <c r="R1181" s="4" t="str">
        <f>VLOOKUP($B1181,'D7 - NDB Impacted SPRF''s'!$E$16:$O$9929,11,FALSE)</f>
        <v>Y</v>
      </c>
      <c r="S1181" s="8"/>
      <c r="T1181" s="310"/>
      <c r="U1181" s="310"/>
      <c r="V1181" s="4"/>
      <c r="W1181" s="4"/>
      <c r="X1181" s="4"/>
      <c r="Y1181" s="4"/>
      <c r="Z1181" s="4"/>
      <c r="AA1181" s="4"/>
      <c r="AB1181" s="380" t="str">
        <f>VLOOKUP($B1181,'D7 - NDB Impacted SPRF''s'!$E$6:$O$9929,4,FALSE)</f>
        <v>Completed</v>
      </c>
      <c r="AC1181" s="380" t="str">
        <f>VLOOKUP($B1181,'D7 - NDB Impacted SPRF''s'!$E$6:$O$9929,3,FALSE)</f>
        <v>UHG IT - Enterprise Technology Services</v>
      </c>
      <c r="AD1181" s="380" t="str">
        <f>VLOOKUP($B1181,'D7 - NDB Impacted SPRF''s'!$E$6:$O$9929,5,FALSE)</f>
        <v>Strategic Initiatives</v>
      </c>
      <c r="AE1181" s="380" t="str">
        <f>VLOOKUP($B1181,'D7 - NDB Impacted SPRF''s'!$E$6:$O$9929,7,FALSE)</f>
        <v>Dave Wichman</v>
      </c>
      <c r="AF1181" s="380" t="str">
        <f>VLOOKUP($B1181,'D7 - NDB Impacted SPRF''s'!$E$6:$O$9929,6,FALSE)</f>
        <v>MARIANNE NEEB</v>
      </c>
      <c r="AG1181" s="282"/>
      <c r="AH1181" s="311" t="e">
        <f>INDEX('D5 - Gatekeeper - Projects'!$A$4:$AF$1010,$AM1181, 17)</f>
        <v>#N/A</v>
      </c>
      <c r="AI1181" s="8"/>
      <c r="AJ1181" s="57"/>
      <c r="AK1181" s="105"/>
      <c r="AM1181" s="6" t="e">
        <f>MATCH(D1181,'D5 - Gatekeeper - Projects'!$C$4:$C$1010,0)</f>
        <v>#N/A</v>
      </c>
      <c r="AN1181" s="6" t="b">
        <f t="shared" si="115"/>
        <v>1</v>
      </c>
      <c r="AO1181" s="6" t="str">
        <f t="shared" si="117"/>
        <v>OK</v>
      </c>
      <c r="AQ1181" s="6" t="e">
        <f>MATCH($D1181,'D4 - Provider Council Unsched'!$C$11:$C$234,0)</f>
        <v>#N/A</v>
      </c>
      <c r="AR1181" s="6" t="b">
        <f t="shared" si="116"/>
        <v>1</v>
      </c>
      <c r="AS1181" s="6" t="str">
        <f t="shared" si="118"/>
        <v>OK</v>
      </c>
      <c r="AU1181" s="202"/>
      <c r="AV1181" s="262"/>
      <c r="AW1181" s="274"/>
    </row>
    <row r="1182" spans="1:49" s="13" customFormat="1" ht="33.75" x14ac:dyDescent="0.2">
      <c r="A1182" s="14">
        <v>1158</v>
      </c>
      <c r="B1182" s="14">
        <v>400030891</v>
      </c>
      <c r="C1182" s="8" t="s">
        <v>3763</v>
      </c>
      <c r="D1182" s="4" t="str">
        <f t="shared" si="114"/>
        <v>400030891R2</v>
      </c>
      <c r="E1182" s="309" t="str">
        <f>VLOOKUP($B1182,'D7 - NDB Impacted SPRF''s'!$E$6:$O$9929,2,FALSE)</f>
        <v>NDM Workflow Process Improvement - NDB Dev(Update)</v>
      </c>
      <c r="F1182" s="8" t="s">
        <v>5515</v>
      </c>
      <c r="G1182" s="8" t="s">
        <v>4758</v>
      </c>
      <c r="H1182" s="8" t="s">
        <v>4246</v>
      </c>
      <c r="I1182" s="20">
        <v>11.86</v>
      </c>
      <c r="J1182" s="8" t="s">
        <v>4862</v>
      </c>
      <c r="K1182" s="182">
        <v>40131</v>
      </c>
      <c r="L1182" s="8" t="s">
        <v>4156</v>
      </c>
      <c r="M1182" s="8" t="s">
        <v>2814</v>
      </c>
      <c r="N1182" s="38"/>
      <c r="O1182" s="8" t="s">
        <v>1998</v>
      </c>
      <c r="P1182" s="4" t="str">
        <f>VLOOKUP($B1182,'D7 - NDB Impacted SPRF''s'!$E$16:$O$9929,9,FALSE)</f>
        <v>N</v>
      </c>
      <c r="Q1182" s="4" t="str">
        <f>VLOOKUP($B1182,'D7 - NDB Impacted SPRF''s'!$E$16:$O$9929,10,FALSE)</f>
        <v>N</v>
      </c>
      <c r="R1182" s="4" t="str">
        <f>VLOOKUP($B1182,'D7 - NDB Impacted SPRF''s'!$E$16:$O$9929,11,FALSE)</f>
        <v>N</v>
      </c>
      <c r="S1182" s="8"/>
      <c r="T1182" s="310"/>
      <c r="U1182" s="310"/>
      <c r="V1182" s="4"/>
      <c r="W1182" s="4"/>
      <c r="X1182" s="4"/>
      <c r="Y1182" s="4"/>
      <c r="Z1182" s="4"/>
      <c r="AA1182" s="4"/>
      <c r="AB1182" s="380" t="str">
        <f>VLOOKUP($B1182,'D7 - NDB Impacted SPRF''s'!$E$6:$O$9929,4,FALSE)</f>
        <v>Completed</v>
      </c>
      <c r="AC1182" s="380" t="str">
        <f>VLOOKUP($B1182,'D7 - NDB Impacted SPRF''s'!$E$6:$O$9929,3,FALSE)</f>
        <v>UnitedHealthcare Employer &amp; Individual</v>
      </c>
      <c r="AD1182" s="380" t="str">
        <f>VLOOKUP($B1182,'D7 - NDB Impacted SPRF''s'!$E$6:$O$9929,5,FALSE)</f>
        <v>Process Improvement</v>
      </c>
      <c r="AE1182" s="380" t="str">
        <f>VLOOKUP($B1182,'D7 - NDB Impacted SPRF''s'!$E$6:$O$9929,7,FALSE)</f>
        <v>Jill Foucre</v>
      </c>
      <c r="AF1182" s="380" t="str">
        <f>VLOOKUP($B1182,'D7 - NDB Impacted SPRF''s'!$E$6:$O$9929,6,FALSE)</f>
        <v>Gregory Greenwood</v>
      </c>
      <c r="AG1182" s="282"/>
      <c r="AH1182" s="311" t="e">
        <f>INDEX('D5 - Gatekeeper - Projects'!$A$4:$AF$1010,$AM1182, 17)</f>
        <v>#N/A</v>
      </c>
      <c r="AI1182" s="8"/>
      <c r="AJ1182" s="57"/>
      <c r="AK1182" s="105"/>
      <c r="AM1182" s="6" t="e">
        <f>MATCH(D1182,'D5 - Gatekeeper - Projects'!$C$4:$C$1010,0)</f>
        <v>#N/A</v>
      </c>
      <c r="AN1182" s="6" t="b">
        <f t="shared" si="115"/>
        <v>1</v>
      </c>
      <c r="AO1182" s="6" t="str">
        <f t="shared" si="117"/>
        <v>OK</v>
      </c>
      <c r="AQ1182" s="6" t="e">
        <f>MATCH($D1182,'D4 - Provider Council Unsched'!$C$11:$C$234,0)</f>
        <v>#N/A</v>
      </c>
      <c r="AR1182" s="6" t="b">
        <f t="shared" si="116"/>
        <v>1</v>
      </c>
      <c r="AS1182" s="6" t="str">
        <f t="shared" si="118"/>
        <v>OK</v>
      </c>
      <c r="AU1182" s="202"/>
      <c r="AV1182" s="262"/>
      <c r="AW1182" s="274"/>
    </row>
    <row r="1183" spans="1:49" s="13" customFormat="1" ht="45" x14ac:dyDescent="0.2">
      <c r="A1183" s="14">
        <v>1159</v>
      </c>
      <c r="B1183" s="14">
        <v>400030900</v>
      </c>
      <c r="C1183" s="8" t="s">
        <v>5197</v>
      </c>
      <c r="D1183" s="4" t="str">
        <f t="shared" si="114"/>
        <v>400030900R1</v>
      </c>
      <c r="E1183" s="309" t="str">
        <f>VLOOKUP($B1183,'D7 - NDB Impacted SPRF''s'!$E$6:$O$9929,2,FALSE)</f>
        <v>IT Opt - EPS Migration</v>
      </c>
      <c r="F1183" s="8" t="s">
        <v>2114</v>
      </c>
      <c r="G1183" s="8" t="s">
        <v>4758</v>
      </c>
      <c r="H1183" s="8" t="s">
        <v>4246</v>
      </c>
      <c r="I1183" s="20">
        <v>0.97</v>
      </c>
      <c r="J1183" s="8" t="s">
        <v>4862</v>
      </c>
      <c r="K1183" s="182">
        <v>40131</v>
      </c>
      <c r="L1183" s="8" t="s">
        <v>4156</v>
      </c>
      <c r="M1183" s="8" t="s">
        <v>2814</v>
      </c>
      <c r="N1183" s="38"/>
      <c r="O1183" s="8" t="s">
        <v>7299</v>
      </c>
      <c r="P1183" s="4" t="str">
        <f>VLOOKUP($B1183,'D7 - NDB Impacted SPRF''s'!$E$16:$O$9929,9,FALSE)</f>
        <v>N</v>
      </c>
      <c r="Q1183" s="4" t="str">
        <f>VLOOKUP($B1183,'D7 - NDB Impacted SPRF''s'!$E$16:$O$9929,10,FALSE)</f>
        <v>N</v>
      </c>
      <c r="R1183" s="4" t="str">
        <f>VLOOKUP($B1183,'D7 - NDB Impacted SPRF''s'!$E$16:$O$9929,11,FALSE)</f>
        <v>N</v>
      </c>
      <c r="S1183" s="8"/>
      <c r="T1183" s="310"/>
      <c r="U1183" s="310"/>
      <c r="V1183" s="4"/>
      <c r="W1183" s="4"/>
      <c r="X1183" s="4"/>
      <c r="Y1183" s="4"/>
      <c r="Z1183" s="4"/>
      <c r="AA1183" s="4"/>
      <c r="AB1183" s="380" t="str">
        <f>VLOOKUP($B1183,'D7 - NDB Impacted SPRF''s'!$E$6:$O$9929,4,FALSE)</f>
        <v>Completed</v>
      </c>
      <c r="AC1183" s="380" t="str">
        <f>VLOOKUP($B1183,'D7 - NDB Impacted SPRF''s'!$E$6:$O$9929,3,FALSE)</f>
        <v>UHG IT - Enterprise Technology Services</v>
      </c>
      <c r="AD1183" s="380" t="str">
        <f>VLOOKUP($B1183,'D7 - NDB Impacted SPRF''s'!$E$6:$O$9929,5,FALSE)</f>
        <v>Finance</v>
      </c>
      <c r="AE1183" s="380" t="str">
        <f>VLOOKUP($B1183,'D7 - NDB Impacted SPRF''s'!$E$6:$O$9929,7,FALSE)</f>
        <v>Sushmeeta Nanda</v>
      </c>
      <c r="AF1183" s="380" t="str">
        <f>VLOOKUP($B1183,'D7 - NDB Impacted SPRF''s'!$E$6:$O$9929,6,FALSE)</f>
        <v>KIMBERLY DOWNS</v>
      </c>
      <c r="AG1183" s="282"/>
      <c r="AH1183" s="311" t="e">
        <f>INDEX('D5 - Gatekeeper - Projects'!$A$4:$AF$1010,$AM1183, 17)</f>
        <v>#N/A</v>
      </c>
      <c r="AI1183" s="8"/>
      <c r="AJ1183" s="57"/>
      <c r="AK1183" s="105"/>
      <c r="AM1183" s="6" t="e">
        <f>MATCH(D1183,'D5 - Gatekeeper - Projects'!$C$4:$C$1010,0)</f>
        <v>#N/A</v>
      </c>
      <c r="AN1183" s="6" t="b">
        <f t="shared" si="115"/>
        <v>1</v>
      </c>
      <c r="AO1183" s="6" t="str">
        <f t="shared" si="117"/>
        <v>OK</v>
      </c>
      <c r="AQ1183" s="6" t="e">
        <f>MATCH($D1183,'D4 - Provider Council Unsched'!$C$11:$C$234,0)</f>
        <v>#N/A</v>
      </c>
      <c r="AR1183" s="6" t="b">
        <f t="shared" si="116"/>
        <v>1</v>
      </c>
      <c r="AS1183" s="6" t="str">
        <f t="shared" si="118"/>
        <v>OK</v>
      </c>
      <c r="AU1183" s="202"/>
      <c r="AV1183" s="262"/>
      <c r="AW1183" s="274"/>
    </row>
    <row r="1184" spans="1:49" s="13" customFormat="1" ht="22.5" x14ac:dyDescent="0.2">
      <c r="A1184" s="14">
        <v>1160</v>
      </c>
      <c r="B1184" s="14">
        <v>400030918</v>
      </c>
      <c r="C1184" s="8" t="s">
        <v>5197</v>
      </c>
      <c r="D1184" s="4" t="str">
        <f t="shared" si="114"/>
        <v>400030918R1</v>
      </c>
      <c r="E1184" s="309" t="str">
        <f>VLOOKUP($B1184,'D7 - NDB Impacted SPRF''s'!$E$6:$O$9929,2,FALSE)</f>
        <v>PacifiCare EPS - IT Optimization</v>
      </c>
      <c r="F1184" s="8" t="s">
        <v>2114</v>
      </c>
      <c r="G1184" s="8" t="s">
        <v>4758</v>
      </c>
      <c r="H1184" s="8" t="s">
        <v>4246</v>
      </c>
      <c r="I1184" s="20">
        <v>1.3</v>
      </c>
      <c r="J1184" s="8" t="s">
        <v>4862</v>
      </c>
      <c r="K1184" s="182">
        <v>40131</v>
      </c>
      <c r="L1184" s="8" t="s">
        <v>4156</v>
      </c>
      <c r="M1184" s="8" t="s">
        <v>2814</v>
      </c>
      <c r="N1184" s="38"/>
      <c r="O1184" s="8" t="s">
        <v>7299</v>
      </c>
      <c r="P1184" s="4" t="str">
        <f>VLOOKUP($B1184,'D7 - NDB Impacted SPRF''s'!$E$16:$O$9929,9,FALSE)</f>
        <v>N</v>
      </c>
      <c r="Q1184" s="4" t="str">
        <f>VLOOKUP($B1184,'D7 - NDB Impacted SPRF''s'!$E$16:$O$9929,10,FALSE)</f>
        <v>N</v>
      </c>
      <c r="R1184" s="4" t="str">
        <f>VLOOKUP($B1184,'D7 - NDB Impacted SPRF''s'!$E$16:$O$9929,11,FALSE)</f>
        <v>N</v>
      </c>
      <c r="S1184" s="8"/>
      <c r="T1184" s="310"/>
      <c r="U1184" s="310"/>
      <c r="V1184" s="4"/>
      <c r="W1184" s="4"/>
      <c r="X1184" s="4"/>
      <c r="Y1184" s="4"/>
      <c r="Z1184" s="4"/>
      <c r="AA1184" s="4"/>
      <c r="AB1184" s="380" t="str">
        <f>VLOOKUP($B1184,'D7 - NDB Impacted SPRF''s'!$E$6:$O$9929,4,FALSE)</f>
        <v>Completed</v>
      </c>
      <c r="AC1184" s="380" t="str">
        <f>VLOOKUP($B1184,'D7 - NDB Impacted SPRF''s'!$E$6:$O$9929,3,FALSE)</f>
        <v>OptumHealth</v>
      </c>
      <c r="AD1184" s="380" t="str">
        <f>VLOOKUP($B1184,'D7 - NDB Impacted SPRF''s'!$E$6:$O$9929,5,FALSE)</f>
        <v xml:space="preserve">OptumHealth Financial Services </v>
      </c>
      <c r="AE1184" s="380" t="str">
        <f>VLOOKUP($B1184,'D7 - NDB Impacted SPRF''s'!$E$6:$O$9929,7,FALSE)</f>
        <v>Cheryl Fiemann</v>
      </c>
      <c r="AF1184" s="380" t="str">
        <f>VLOOKUP($B1184,'D7 - NDB Impacted SPRF''s'!$E$6:$O$9929,6,FALSE)</f>
        <v>PATRICK KENDELLEN</v>
      </c>
      <c r="AG1184" s="282"/>
      <c r="AH1184" s="311" t="e">
        <f>INDEX('D5 - Gatekeeper - Projects'!$A$4:$AF$1010,$AM1184, 17)</f>
        <v>#N/A</v>
      </c>
      <c r="AI1184" s="8"/>
      <c r="AJ1184" s="57"/>
      <c r="AK1184" s="105"/>
      <c r="AM1184" s="6" t="e">
        <f>MATCH(D1184,'D5 - Gatekeeper - Projects'!$C$4:$C$1010,0)</f>
        <v>#N/A</v>
      </c>
      <c r="AN1184" s="6" t="b">
        <f t="shared" si="115"/>
        <v>1</v>
      </c>
      <c r="AO1184" s="6" t="str">
        <f t="shared" si="117"/>
        <v>OK</v>
      </c>
      <c r="AQ1184" s="6" t="e">
        <f>MATCH($D1184,'D4 - Provider Council Unsched'!$C$11:$C$234,0)</f>
        <v>#N/A</v>
      </c>
      <c r="AR1184" s="6" t="b">
        <f t="shared" si="116"/>
        <v>1</v>
      </c>
      <c r="AS1184" s="6" t="str">
        <f t="shared" si="118"/>
        <v>OK</v>
      </c>
      <c r="AU1184" s="202"/>
      <c r="AV1184" s="262"/>
      <c r="AW1184" s="274"/>
    </row>
    <row r="1185" spans="1:49" s="13" customFormat="1" ht="45" x14ac:dyDescent="0.2">
      <c r="A1185" s="14">
        <v>1161</v>
      </c>
      <c r="B1185" s="14">
        <v>400031062</v>
      </c>
      <c r="C1185" s="8" t="s">
        <v>5197</v>
      </c>
      <c r="D1185" s="4" t="str">
        <f t="shared" si="114"/>
        <v>400031062R1</v>
      </c>
      <c r="E1185" s="309" t="str">
        <f>VLOOKUP($B1185,'D7 - NDB Impacted SPRF''s'!$E$6:$O$9929,2,FALSE)</f>
        <v xml:space="preserve"> PDR - Integration POC</v>
      </c>
      <c r="F1185" s="8" t="s">
        <v>5595</v>
      </c>
      <c r="G1185" s="8" t="s">
        <v>4758</v>
      </c>
      <c r="H1185" s="8" t="s">
        <v>4246</v>
      </c>
      <c r="I1185" s="20">
        <v>2.08</v>
      </c>
      <c r="J1185" s="8" t="s">
        <v>4862</v>
      </c>
      <c r="K1185" s="182">
        <v>40131</v>
      </c>
      <c r="L1185" s="8" t="s">
        <v>4156</v>
      </c>
      <c r="M1185" s="8" t="s">
        <v>6688</v>
      </c>
      <c r="N1185" s="38"/>
      <c r="O1185" s="8" t="s">
        <v>2875</v>
      </c>
      <c r="P1185" s="4" t="str">
        <f>VLOOKUP($B1185,'D7 - NDB Impacted SPRF''s'!$E$16:$O$9929,9,FALSE)</f>
        <v>N</v>
      </c>
      <c r="Q1185" s="4" t="str">
        <f>VLOOKUP($B1185,'D7 - NDB Impacted SPRF''s'!$E$16:$O$9929,10,FALSE)</f>
        <v>N</v>
      </c>
      <c r="R1185" s="4" t="str">
        <f>VLOOKUP($B1185,'D7 - NDB Impacted SPRF''s'!$E$16:$O$9929,11,FALSE)</f>
        <v>Y</v>
      </c>
      <c r="S1185" s="8"/>
      <c r="T1185" s="310"/>
      <c r="U1185" s="310"/>
      <c r="V1185" s="4"/>
      <c r="W1185" s="4"/>
      <c r="X1185" s="4"/>
      <c r="Y1185" s="4"/>
      <c r="Z1185" s="4"/>
      <c r="AA1185" s="4"/>
      <c r="AB1185" s="380" t="str">
        <f>VLOOKUP($B1185,'D7 - NDB Impacted SPRF''s'!$E$6:$O$9929,4,FALSE)</f>
        <v>Completed</v>
      </c>
      <c r="AC1185" s="380" t="str">
        <f>VLOOKUP($B1185,'D7 - NDB Impacted SPRF''s'!$E$6:$O$9929,3,FALSE)</f>
        <v>UHG IT - Enterprise Technology Services</v>
      </c>
      <c r="AD1185" s="380" t="str">
        <f>VLOOKUP($B1185,'D7 - NDB Impacted SPRF''s'!$E$6:$O$9929,5,FALSE)</f>
        <v>Strategic Initiatives</v>
      </c>
      <c r="AE1185" s="380" t="str">
        <f>VLOOKUP($B1185,'D7 - NDB Impacted SPRF''s'!$E$6:$O$9929,7,FALSE)</f>
        <v>Dave Wichman</v>
      </c>
      <c r="AF1185" s="380" t="str">
        <f>VLOOKUP($B1185,'D7 - NDB Impacted SPRF''s'!$E$6:$O$9929,6,FALSE)</f>
        <v>Mary Vanspeybroeck</v>
      </c>
      <c r="AG1185" s="282"/>
      <c r="AH1185" s="311" t="e">
        <f>INDEX('D5 - Gatekeeper - Projects'!$A$4:$AF$1010,$AM1185, 17)</f>
        <v>#N/A</v>
      </c>
      <c r="AI1185" s="8"/>
      <c r="AJ1185" s="57"/>
      <c r="AK1185" s="105"/>
      <c r="AM1185" s="6" t="e">
        <f>MATCH(D1185,'D5 - Gatekeeper - Projects'!$C$4:$C$1010,0)</f>
        <v>#N/A</v>
      </c>
      <c r="AN1185" s="6" t="b">
        <f t="shared" si="115"/>
        <v>1</v>
      </c>
      <c r="AO1185" s="6" t="str">
        <f t="shared" si="117"/>
        <v>OK</v>
      </c>
      <c r="AQ1185" s="6" t="e">
        <f>MATCH($D1185,'D4 - Provider Council Unsched'!$C$11:$C$234,0)</f>
        <v>#N/A</v>
      </c>
      <c r="AR1185" s="6" t="b">
        <f t="shared" si="116"/>
        <v>1</v>
      </c>
      <c r="AS1185" s="6" t="str">
        <f>IF(AND(H1185="2 - Not Scheduled",AR1185=TRUE),"Add","OK")</f>
        <v>OK</v>
      </c>
      <c r="AU1185" s="202"/>
      <c r="AV1185" s="262"/>
      <c r="AW1185" s="274"/>
    </row>
    <row r="1186" spans="1:49" s="13" customFormat="1" ht="45" x14ac:dyDescent="0.2">
      <c r="A1186" s="14">
        <v>1162</v>
      </c>
      <c r="B1186" s="14">
        <v>400031436</v>
      </c>
      <c r="C1186" s="8" t="s">
        <v>5197</v>
      </c>
      <c r="D1186" s="4" t="str">
        <f t="shared" si="114"/>
        <v>400031436R1</v>
      </c>
      <c r="E1186" s="309" t="str">
        <f>VLOOKUP($B1186,'D7 - NDB Impacted SPRF''s'!$E$6:$O$9929,2,FALSE)</f>
        <v>PDR - Enhanced Provider Pick on Claims Highway</v>
      </c>
      <c r="F1186" s="8" t="s">
        <v>5595</v>
      </c>
      <c r="G1186" s="8" t="s">
        <v>4758</v>
      </c>
      <c r="H1186" s="8" t="s">
        <v>4246</v>
      </c>
      <c r="I1186" s="20">
        <v>3.64</v>
      </c>
      <c r="J1186" s="8" t="s">
        <v>4862</v>
      </c>
      <c r="K1186" s="182">
        <v>40131</v>
      </c>
      <c r="L1186" s="8" t="s">
        <v>4156</v>
      </c>
      <c r="M1186" s="8" t="s">
        <v>6688</v>
      </c>
      <c r="N1186" s="38"/>
      <c r="O1186" s="8" t="s">
        <v>1074</v>
      </c>
      <c r="P1186" s="4" t="str">
        <f>VLOOKUP($B1186,'D7 - NDB Impacted SPRF''s'!$E$16:$O$9929,9,FALSE)</f>
        <v>N</v>
      </c>
      <c r="Q1186" s="4" t="str">
        <f>VLOOKUP($B1186,'D7 - NDB Impacted SPRF''s'!$E$16:$O$9929,10,FALSE)</f>
        <v>N</v>
      </c>
      <c r="R1186" s="4" t="str">
        <f>VLOOKUP($B1186,'D7 - NDB Impacted SPRF''s'!$E$16:$O$9929,11,FALSE)</f>
        <v>N</v>
      </c>
      <c r="S1186" s="8"/>
      <c r="T1186" s="310"/>
      <c r="U1186" s="310"/>
      <c r="V1186" s="4"/>
      <c r="W1186" s="4"/>
      <c r="X1186" s="4"/>
      <c r="Y1186" s="4"/>
      <c r="Z1186" s="4"/>
      <c r="AA1186" s="4"/>
      <c r="AB1186" s="380" t="str">
        <f>VLOOKUP($B1186,'D7 - NDB Impacted SPRF''s'!$E$6:$O$9929,4,FALSE)</f>
        <v>Completed</v>
      </c>
      <c r="AC1186" s="380" t="str">
        <f>VLOOKUP($B1186,'D7 - NDB Impacted SPRF''s'!$E$6:$O$9929,3,FALSE)</f>
        <v>UHG IT - Enterprise Technology Services</v>
      </c>
      <c r="AD1186" s="380" t="str">
        <f>VLOOKUP($B1186,'D7 - NDB Impacted SPRF''s'!$E$6:$O$9929,5,FALSE)</f>
        <v>Strategic Initiatives</v>
      </c>
      <c r="AE1186" s="380" t="str">
        <f>VLOOKUP($B1186,'D7 - NDB Impacted SPRF''s'!$E$6:$O$9929,7,FALSE)</f>
        <v>Dave Wichmann</v>
      </c>
      <c r="AF1186" s="380" t="str">
        <f>VLOOKUP($B1186,'D7 - NDB Impacted SPRF''s'!$E$6:$O$9929,6,FALSE)</f>
        <v>Brenda Colwill</v>
      </c>
      <c r="AG1186" s="282"/>
      <c r="AH1186" s="311" t="e">
        <f>INDEX('D5 - Gatekeeper - Projects'!$A$4:$AF$1010,$AM1186, 17)</f>
        <v>#N/A</v>
      </c>
      <c r="AI1186" s="8"/>
      <c r="AJ1186" s="57"/>
      <c r="AK1186" s="105"/>
      <c r="AM1186" s="6" t="e">
        <f>MATCH(D1186,'D5 - Gatekeeper - Projects'!$C$4:$C$1010,0)</f>
        <v>#N/A</v>
      </c>
      <c r="AN1186" s="6" t="b">
        <f t="shared" si="115"/>
        <v>1</v>
      </c>
      <c r="AO1186" s="6" t="str">
        <f t="shared" si="117"/>
        <v>OK</v>
      </c>
      <c r="AQ1186" s="6" t="e">
        <f>MATCH($D1186,'D4 - Provider Council Unsched'!$C$11:$C$234,0)</f>
        <v>#N/A</v>
      </c>
      <c r="AR1186" s="6" t="b">
        <f t="shared" si="116"/>
        <v>1</v>
      </c>
      <c r="AS1186" s="6" t="str">
        <f>IF(AND(H1186="2 - Not Scheduled",AR1186=TRUE),"Add","OK")</f>
        <v>OK</v>
      </c>
      <c r="AU1186" s="202"/>
      <c r="AV1186" s="262"/>
      <c r="AW1186" s="274"/>
    </row>
    <row r="1187" spans="1:49" s="13" customFormat="1" ht="33.75" x14ac:dyDescent="0.2">
      <c r="A1187" s="14">
        <v>1163</v>
      </c>
      <c r="B1187" s="14">
        <v>400031504</v>
      </c>
      <c r="C1187" s="8" t="s">
        <v>5197</v>
      </c>
      <c r="D1187" s="4" t="str">
        <f t="shared" si="114"/>
        <v>400031504R1</v>
      </c>
      <c r="E1187" s="309" t="str">
        <f>VLOOKUP($B1187,'D7 - NDB Impacted SPRF''s'!$E$6:$O$9929,2,FALSE)</f>
        <v>CSS-B2C 2009B Release- MIGRATIONS FUNDING</v>
      </c>
      <c r="F1187" s="8" t="s">
        <v>6401</v>
      </c>
      <c r="G1187" s="8" t="s">
        <v>4758</v>
      </c>
      <c r="H1187" s="8" t="s">
        <v>4246</v>
      </c>
      <c r="I1187" s="20">
        <v>1.34</v>
      </c>
      <c r="J1187" s="8" t="s">
        <v>4862</v>
      </c>
      <c r="K1187" s="182">
        <v>40131</v>
      </c>
      <c r="L1187" s="8" t="s">
        <v>4156</v>
      </c>
      <c r="M1187" s="8" t="s">
        <v>2814</v>
      </c>
      <c r="N1187" s="38" t="s">
        <v>7238</v>
      </c>
      <c r="O1187" s="8" t="s">
        <v>5784</v>
      </c>
      <c r="P1187" s="4" t="str">
        <f>VLOOKUP($B1187,'D7 - NDB Impacted SPRF''s'!$E$16:$O$9929,9,FALSE)</f>
        <v>Y</v>
      </c>
      <c r="Q1187" s="4" t="str">
        <f>VLOOKUP($B1187,'D7 - NDB Impacted SPRF''s'!$E$16:$O$9929,10,FALSE)</f>
        <v>N</v>
      </c>
      <c r="R1187" s="4" t="str">
        <f>VLOOKUP($B1187,'D7 - NDB Impacted SPRF''s'!$E$16:$O$9929,11,FALSE)</f>
        <v>N</v>
      </c>
      <c r="S1187" s="8"/>
      <c r="T1187" s="310"/>
      <c r="U1187" s="310"/>
      <c r="V1187" s="4"/>
      <c r="W1187" s="4"/>
      <c r="X1187" s="4"/>
      <c r="Y1187" s="4"/>
      <c r="Z1187" s="4"/>
      <c r="AA1187" s="4"/>
      <c r="AB1187" s="380" t="str">
        <f>VLOOKUP($B1187,'D7 - NDB Impacted SPRF''s'!$E$6:$O$9929,4,FALSE)</f>
        <v>Completed</v>
      </c>
      <c r="AC1187" s="380" t="str">
        <f>VLOOKUP($B1187,'D7 - NDB Impacted SPRF''s'!$E$6:$O$9929,3,FALSE)</f>
        <v>UnitedHealthcare Medicare &amp; Retirement</v>
      </c>
      <c r="AD1187" s="380" t="str">
        <f>VLOOKUP($B1187,'D7 - NDB Impacted SPRF''s'!$E$6:$O$9929,5,FALSE)</f>
        <v>Enterprise Clinical</v>
      </c>
      <c r="AE1187" s="380" t="str">
        <f>VLOOKUP($B1187,'D7 - NDB Impacted SPRF''s'!$E$6:$O$9929,7,FALSE)</f>
        <v>Cynthia Middaugh</v>
      </c>
      <c r="AF1187" s="380" t="str">
        <f>VLOOKUP($B1187,'D7 - NDB Impacted SPRF''s'!$E$6:$O$9929,6,FALSE)</f>
        <v>Mike Flynn</v>
      </c>
      <c r="AG1187" s="282"/>
      <c r="AH1187" s="311" t="e">
        <f>INDEX('D5 - Gatekeeper - Projects'!$A$4:$AF$1010,$AM1187, 17)</f>
        <v>#N/A</v>
      </c>
      <c r="AI1187" s="8"/>
      <c r="AJ1187" s="57"/>
      <c r="AK1187" s="57"/>
      <c r="AM1187" s="6" t="e">
        <f>MATCH(D1187,'D5 - Gatekeeper - Projects'!$C$4:$C$1010,0)</f>
        <v>#N/A</v>
      </c>
      <c r="AN1187" s="6" t="b">
        <f t="shared" si="115"/>
        <v>1</v>
      </c>
      <c r="AO1187" s="6" t="str">
        <f t="shared" si="117"/>
        <v>OK</v>
      </c>
      <c r="AQ1187" s="6" t="e">
        <f>MATCH($D1187,'D4 - Provider Council Unsched'!$C$11:$C$234,0)</f>
        <v>#N/A</v>
      </c>
      <c r="AR1187" s="6" t="b">
        <f t="shared" si="116"/>
        <v>1</v>
      </c>
      <c r="AS1187" s="6" t="str">
        <f>IF(AND(H1187="2 - Not Scheduled",AR1187=TRUE),"Add","OK")</f>
        <v>OK</v>
      </c>
      <c r="AU1187" s="202"/>
      <c r="AV1187" s="262"/>
      <c r="AW1187" s="274"/>
    </row>
    <row r="1188" spans="1:49" s="13" customFormat="1" ht="33.75" x14ac:dyDescent="0.2">
      <c r="A1188" s="14">
        <v>1164</v>
      </c>
      <c r="B1188" s="14">
        <v>400031646</v>
      </c>
      <c r="C1188" s="8" t="s">
        <v>5197</v>
      </c>
      <c r="D1188" s="4" t="str">
        <f t="shared" si="114"/>
        <v>400031646R1</v>
      </c>
      <c r="E1188" s="309" t="str">
        <f>VLOOKUP($B1188,'D7 - NDB Impacted SPRF''s'!$E$6:$O$9929,2,FALSE)</f>
        <v xml:space="preserve">DRG Grouper Migration for COSMOS	</v>
      </c>
      <c r="F1188" s="8" t="s">
        <v>2114</v>
      </c>
      <c r="G1188" s="8" t="s">
        <v>4758</v>
      </c>
      <c r="H1188" s="8" t="s">
        <v>4246</v>
      </c>
      <c r="I1188" s="20">
        <v>1.07</v>
      </c>
      <c r="J1188" s="8" t="s">
        <v>4862</v>
      </c>
      <c r="K1188" s="182">
        <v>40131</v>
      </c>
      <c r="L1188" s="8" t="s">
        <v>4156</v>
      </c>
      <c r="M1188" s="8" t="s">
        <v>5626</v>
      </c>
      <c r="N1188" s="38"/>
      <c r="O1188" s="8" t="s">
        <v>2000</v>
      </c>
      <c r="P1188" s="4" t="str">
        <f>VLOOKUP($B1188,'D7 - NDB Impacted SPRF''s'!$E$16:$O$9929,9,FALSE)</f>
        <v>Y</v>
      </c>
      <c r="Q1188" s="4" t="str">
        <f>VLOOKUP($B1188,'D7 - NDB Impacted SPRF''s'!$E$16:$O$9929,10,FALSE)</f>
        <v>N</v>
      </c>
      <c r="R1188" s="4" t="str">
        <f>VLOOKUP($B1188,'D7 - NDB Impacted SPRF''s'!$E$16:$O$9929,11,FALSE)</f>
        <v>N</v>
      </c>
      <c r="S1188" s="8"/>
      <c r="T1188" s="310"/>
      <c r="U1188" s="310"/>
      <c r="V1188" s="4"/>
      <c r="W1188" s="4"/>
      <c r="X1188" s="4"/>
      <c r="Y1188" s="4"/>
      <c r="Z1188" s="4"/>
      <c r="AA1188" s="4"/>
      <c r="AB1188" s="380" t="str">
        <f>VLOOKUP($B1188,'D7 - NDB Impacted SPRF''s'!$E$6:$O$9929,4,FALSE)</f>
        <v>Completed</v>
      </c>
      <c r="AC1188" s="380" t="str">
        <f>VLOOKUP($B1188,'D7 - NDB Impacted SPRF''s'!$E$6:$O$9929,3,FALSE)</f>
        <v>UnitedHealthcare Community &amp; State</v>
      </c>
      <c r="AD1188" s="380" t="str">
        <f>VLOOKUP($B1188,'D7 - NDB Impacted SPRF''s'!$E$6:$O$9929,5,FALSE)</f>
        <v>Evercare Medicaid</v>
      </c>
      <c r="AE1188" s="380" t="str">
        <f>VLOOKUP($B1188,'D7 - NDB Impacted SPRF''s'!$E$6:$O$9929,7,FALSE)</f>
        <v>Paul Balthazor</v>
      </c>
      <c r="AF1188" s="380" t="str">
        <f>VLOOKUP($B1188,'D7 - NDB Impacted SPRF''s'!$E$6:$O$9929,6,FALSE)</f>
        <v>Ronald Wilson</v>
      </c>
      <c r="AG1188" s="282"/>
      <c r="AH1188" s="311" t="e">
        <f>INDEX('D5 - Gatekeeper - Projects'!$A$4:$AF$1010,$AM1188, 17)</f>
        <v>#N/A</v>
      </c>
      <c r="AI1188" s="8"/>
      <c r="AJ1188" s="57"/>
      <c r="AK1188" s="105"/>
      <c r="AM1188" s="6" t="e">
        <f>MATCH(D1188,'D5 - Gatekeeper - Projects'!$C$4:$C$1010,0)</f>
        <v>#N/A</v>
      </c>
      <c r="AN1188" s="6" t="b">
        <f t="shared" si="115"/>
        <v>1</v>
      </c>
      <c r="AO1188" s="6" t="str">
        <f t="shared" si="117"/>
        <v>OK</v>
      </c>
      <c r="AQ1188" s="6" t="e">
        <f>MATCH($D1188,'D4 - Provider Council Unsched'!$C$11:$C$234,0)</f>
        <v>#N/A</v>
      </c>
      <c r="AR1188" s="6" t="b">
        <f t="shared" si="116"/>
        <v>1</v>
      </c>
      <c r="AS1188" s="6" t="str">
        <f>IF(AND(H1188="2 - Not Scheduled",AR1188=TRUE,C1188="R1"),"Add","OK")</f>
        <v>OK</v>
      </c>
      <c r="AU1188" s="202"/>
      <c r="AV1188" s="262"/>
      <c r="AW1188" s="274"/>
    </row>
    <row r="1189" spans="1:49" s="13" customFormat="1" ht="33.75" x14ac:dyDescent="0.2">
      <c r="A1189" s="14">
        <v>1165</v>
      </c>
      <c r="B1189" s="14">
        <v>400031685</v>
      </c>
      <c r="C1189" s="8" t="s">
        <v>5197</v>
      </c>
      <c r="D1189" s="4" t="str">
        <f t="shared" si="114"/>
        <v>400031685R1</v>
      </c>
      <c r="E1189" s="309" t="str">
        <f>VLOOKUP($B1189,'D7 - NDB Impacted SPRF''s'!$E$6:$O$9929,2,FALSE)</f>
        <v>Remove Q&amp;E Exemption from Radiology Notification</v>
      </c>
      <c r="F1189" s="8" t="s">
        <v>2114</v>
      </c>
      <c r="G1189" s="8" t="s">
        <v>4758</v>
      </c>
      <c r="H1189" s="8" t="s">
        <v>4246</v>
      </c>
      <c r="I1189" s="20">
        <v>0.67</v>
      </c>
      <c r="J1189" s="8" t="s">
        <v>4862</v>
      </c>
      <c r="K1189" s="182">
        <v>40131</v>
      </c>
      <c r="L1189" s="8" t="s">
        <v>4156</v>
      </c>
      <c r="M1189" s="8" t="s">
        <v>5626</v>
      </c>
      <c r="N1189" s="38"/>
      <c r="O1189" s="8" t="s">
        <v>2000</v>
      </c>
      <c r="P1189" s="4" t="str">
        <f>VLOOKUP($B1189,'D7 - NDB Impacted SPRF''s'!$E$16:$O$9929,9,FALSE)</f>
        <v>Y</v>
      </c>
      <c r="Q1189" s="4" t="str">
        <f>VLOOKUP($B1189,'D7 - NDB Impacted SPRF''s'!$E$16:$O$9929,10,FALSE)</f>
        <v>N</v>
      </c>
      <c r="R1189" s="4" t="str">
        <f>VLOOKUP($B1189,'D7 - NDB Impacted SPRF''s'!$E$16:$O$9929,11,FALSE)</f>
        <v>N</v>
      </c>
      <c r="S1189" s="8"/>
      <c r="T1189" s="310"/>
      <c r="U1189" s="310"/>
      <c r="V1189" s="4"/>
      <c r="W1189" s="4"/>
      <c r="X1189" s="4"/>
      <c r="Y1189" s="4"/>
      <c r="Z1189" s="4"/>
      <c r="AA1189" s="4"/>
      <c r="AB1189" s="380" t="str">
        <f>VLOOKUP($B1189,'D7 - NDB Impacted SPRF''s'!$E$6:$O$9929,4,FALSE)</f>
        <v>Completed</v>
      </c>
      <c r="AC1189" s="380" t="str">
        <f>VLOOKUP($B1189,'D7 - NDB Impacted SPRF''s'!$E$6:$O$9929,3,FALSE)</f>
        <v>UnitedHealthcare Employer &amp; Individual</v>
      </c>
      <c r="AD1189" s="380" t="str">
        <f>VLOOKUP($B1189,'D7 - NDB Impacted SPRF''s'!$E$6:$O$9929,5,FALSE)</f>
        <v>Medical Cost Savings Programs</v>
      </c>
      <c r="AE1189" s="380" t="str">
        <f>VLOOKUP($B1189,'D7 - NDB Impacted SPRF''s'!$E$6:$O$9929,7,FALSE)</f>
        <v>Laurie Paidosh</v>
      </c>
      <c r="AF1189" s="380" t="str">
        <f>VLOOKUP($B1189,'D7 - NDB Impacted SPRF''s'!$E$6:$O$9929,6,FALSE)</f>
        <v>Brendan Dolan</v>
      </c>
      <c r="AG1189" s="282"/>
      <c r="AH1189" s="311" t="e">
        <f>INDEX('D5 - Gatekeeper - Projects'!$A$4:$AF$1010,$AM1189, 17)</f>
        <v>#N/A</v>
      </c>
      <c r="AI1189" s="8"/>
      <c r="AJ1189" s="57"/>
      <c r="AK1189" s="57"/>
      <c r="AM1189" s="6" t="e">
        <f>MATCH(D1189,'D5 - Gatekeeper - Projects'!$C$4:$C$1010,0)</f>
        <v>#N/A</v>
      </c>
      <c r="AN1189" s="6" t="b">
        <f t="shared" si="115"/>
        <v>1</v>
      </c>
      <c r="AO1189" s="6" t="str">
        <f t="shared" si="117"/>
        <v>OK</v>
      </c>
      <c r="AQ1189" s="6" t="e">
        <f>MATCH($D1189,'D4 - Provider Council Unsched'!$C$11:$C$234,0)</f>
        <v>#N/A</v>
      </c>
      <c r="AR1189" s="6" t="b">
        <f t="shared" si="116"/>
        <v>1</v>
      </c>
      <c r="AS1189" s="6" t="str">
        <f>IF(AND(H1189="2 - Not Scheduled",AR1189=TRUE,C1189="R1"),"Add","OK")</f>
        <v>OK</v>
      </c>
      <c r="AU1189" s="202"/>
      <c r="AV1189" s="262"/>
      <c r="AW1189" s="274"/>
    </row>
    <row r="1190" spans="1:49" s="13" customFormat="1" ht="33.75" x14ac:dyDescent="0.2">
      <c r="A1190" s="14">
        <v>1166</v>
      </c>
      <c r="B1190" s="14">
        <v>400031908</v>
      </c>
      <c r="C1190" s="8" t="s">
        <v>5197</v>
      </c>
      <c r="D1190" s="4" t="str">
        <f t="shared" si="114"/>
        <v>400031908R1</v>
      </c>
      <c r="E1190" s="309" t="str">
        <f>VLOOKUP($B1190,'D7 - NDB Impacted SPRF''s'!$E$6:$O$9929,2,FALSE)</f>
        <v>NaviNet Provider Data Extract</v>
      </c>
      <c r="F1190" s="8" t="s">
        <v>2114</v>
      </c>
      <c r="G1190" s="8" t="s">
        <v>4758</v>
      </c>
      <c r="H1190" s="8" t="s">
        <v>4246</v>
      </c>
      <c r="I1190" s="20">
        <v>1.95</v>
      </c>
      <c r="J1190" s="8" t="s">
        <v>4862</v>
      </c>
      <c r="K1190" s="182">
        <v>40131</v>
      </c>
      <c r="L1190" s="8" t="s">
        <v>4156</v>
      </c>
      <c r="M1190" s="8" t="s">
        <v>2814</v>
      </c>
      <c r="N1190" s="38"/>
      <c r="O1190" s="8" t="s">
        <v>7086</v>
      </c>
      <c r="P1190" s="4" t="str">
        <f>VLOOKUP($B1190,'D7 - NDB Impacted SPRF''s'!$E$16:$O$9929,9,FALSE)</f>
        <v>N</v>
      </c>
      <c r="Q1190" s="4" t="str">
        <f>VLOOKUP($B1190,'D7 - NDB Impacted SPRF''s'!$E$16:$O$9929,10,FALSE)</f>
        <v>N</v>
      </c>
      <c r="R1190" s="4" t="str">
        <f>VLOOKUP($B1190,'D7 - NDB Impacted SPRF''s'!$E$16:$O$9929,11,FALSE)</f>
        <v>N</v>
      </c>
      <c r="S1190" s="8"/>
      <c r="T1190" s="310"/>
      <c r="U1190" s="310"/>
      <c r="V1190" s="4"/>
      <c r="W1190" s="4"/>
      <c r="X1190" s="4"/>
      <c r="Y1190" s="4"/>
      <c r="Z1190" s="4"/>
      <c r="AA1190" s="4"/>
      <c r="AB1190" s="380" t="str">
        <f>VLOOKUP($B1190,'D7 - NDB Impacted SPRF''s'!$E$6:$O$9929,4,FALSE)</f>
        <v>Completed</v>
      </c>
      <c r="AC1190" s="380" t="str">
        <f>VLOOKUP($B1190,'D7 - NDB Impacted SPRF''s'!$E$6:$O$9929,3,FALSE)</f>
        <v>UnitedHealthcare Employer &amp; Individual</v>
      </c>
      <c r="AD1190" s="380" t="str">
        <f>VLOOKUP($B1190,'D7 - NDB Impacted SPRF''s'!$E$6:$O$9929,5,FALSE)</f>
        <v>Operational Requirements</v>
      </c>
      <c r="AE1190" s="380" t="str">
        <f>VLOOKUP($B1190,'D7 - NDB Impacted SPRF''s'!$E$6:$O$9929,7,FALSE)</f>
        <v>Jolly Nanda</v>
      </c>
      <c r="AF1190" s="380" t="str">
        <f>VLOOKUP($B1190,'D7 - NDB Impacted SPRF''s'!$E$6:$O$9929,6,FALSE)</f>
        <v>Delvis Schilling</v>
      </c>
      <c r="AG1190" s="282"/>
      <c r="AH1190" s="311" t="e">
        <f>INDEX('D5 - Gatekeeper - Projects'!$A$4:$AF$1010,$AM1190, 17)</f>
        <v>#N/A</v>
      </c>
      <c r="AI1190" s="8"/>
      <c r="AJ1190" s="57"/>
      <c r="AK1190" s="57"/>
      <c r="AM1190" s="6" t="e">
        <f>MATCH(D1190,'D5 - Gatekeeper - Projects'!$C$4:$C$1010,0)</f>
        <v>#N/A</v>
      </c>
      <c r="AN1190" s="6" t="b">
        <f t="shared" si="115"/>
        <v>1</v>
      </c>
      <c r="AO1190" s="6" t="str">
        <f t="shared" si="117"/>
        <v>OK</v>
      </c>
      <c r="AQ1190" s="6" t="e">
        <f>MATCH($D1190,'D4 - Provider Council Unsched'!$C$11:$C$234,0)</f>
        <v>#N/A</v>
      </c>
      <c r="AR1190" s="6" t="b">
        <f t="shared" si="116"/>
        <v>1</v>
      </c>
      <c r="AS1190" s="6" t="str">
        <f>IF(AND(H1190="2 - Not Scheduled",AR1190=TRUE,C1190="R1"),"Add","OK")</f>
        <v>OK</v>
      </c>
      <c r="AU1190" s="202"/>
      <c r="AV1190" s="262"/>
      <c r="AW1190" s="274"/>
    </row>
    <row r="1191" spans="1:49" s="13" customFormat="1" x14ac:dyDescent="0.2">
      <c r="A1191" s="14">
        <v>1167</v>
      </c>
      <c r="B1191" s="14" t="s">
        <v>5838</v>
      </c>
      <c r="C1191" s="8" t="s">
        <v>5197</v>
      </c>
      <c r="D1191" s="4" t="s">
        <v>5838</v>
      </c>
      <c r="E1191" s="309" t="s">
        <v>5876</v>
      </c>
      <c r="F1191" s="8" t="s">
        <v>2114</v>
      </c>
      <c r="G1191" s="8" t="s">
        <v>4758</v>
      </c>
      <c r="H1191" s="8" t="s">
        <v>4246</v>
      </c>
      <c r="I1191" s="20">
        <v>3.8</v>
      </c>
      <c r="J1191" s="8" t="s">
        <v>4862</v>
      </c>
      <c r="K1191" s="182">
        <v>40131</v>
      </c>
      <c r="L1191" s="8" t="s">
        <v>5743</v>
      </c>
      <c r="M1191" s="8" t="s">
        <v>2814</v>
      </c>
      <c r="N1191" s="38"/>
      <c r="O1191" s="8" t="s">
        <v>3572</v>
      </c>
      <c r="P1191" s="4" t="e">
        <f>VLOOKUP($B1191,'D7 - NDB Impacted SPRF''s'!$E$16:$O$9929,9,FALSE)</f>
        <v>#N/A</v>
      </c>
      <c r="Q1191" s="4" t="e">
        <f>VLOOKUP($B1191,'D7 - NDB Impacted SPRF''s'!$E$16:$O$9929,10,FALSE)</f>
        <v>#N/A</v>
      </c>
      <c r="R1191" s="4" t="e">
        <f>VLOOKUP($B1191,'D7 - NDB Impacted SPRF''s'!$E$16:$O$9929,11,FALSE)</f>
        <v>#N/A</v>
      </c>
      <c r="S1191" s="8"/>
      <c r="T1191" s="310"/>
      <c r="U1191" s="310"/>
      <c r="V1191" s="4"/>
      <c r="W1191" s="4"/>
      <c r="X1191" s="4"/>
      <c r="Y1191" s="4"/>
      <c r="Z1191" s="4"/>
      <c r="AA1191" s="4"/>
      <c r="AB1191" s="383" t="e">
        <f>VLOOKUP($B1191,'D7 - NDB Impacted SPRF''s'!$E$16:$O$9929,4,FALSE)</f>
        <v>#N/A</v>
      </c>
      <c r="AC1191" s="380" t="e">
        <f>VLOOKUP($B1191,'D7 - NDB Impacted SPRF''s'!$E$16:$O$9929,3,FALSE)</f>
        <v>#N/A</v>
      </c>
      <c r="AD1191" s="380" t="e">
        <f>VLOOKUP($B1191,'D7 - NDB Impacted SPRF''s'!$E$16:$O$9929,5,FALSE)</f>
        <v>#N/A</v>
      </c>
      <c r="AE1191" s="380" t="e">
        <f>VLOOKUP($B1191,'D7 - NDB Impacted SPRF''s'!$E$16:$O$9929,7,FALSE)</f>
        <v>#N/A</v>
      </c>
      <c r="AF1191" s="380" t="e">
        <f>VLOOKUP($B1191,'D7 - NDB Impacted SPRF''s'!$E$16:$O$9929,6,FALSE)</f>
        <v>#N/A</v>
      </c>
      <c r="AG1191" s="282"/>
      <c r="AH1191" s="311" t="e">
        <f>INDEX('D5 - Gatekeeper - Projects'!$A$4:$AF$1010,$AM1191, 17)</f>
        <v>#N/A</v>
      </c>
      <c r="AI1191" s="8"/>
      <c r="AJ1191" s="57"/>
      <c r="AK1191" s="105"/>
      <c r="AM1191" s="6" t="e">
        <f>MATCH(D1191,'D5 - Gatekeeper - Projects'!$C$4:$C$1010,0)</f>
        <v>#N/A</v>
      </c>
      <c r="AN1191" s="6" t="b">
        <f t="shared" si="115"/>
        <v>1</v>
      </c>
      <c r="AO1191" s="6" t="str">
        <f t="shared" si="117"/>
        <v>OK</v>
      </c>
      <c r="AQ1191" s="6" t="e">
        <f>MATCH($D1191,'D4 - Provider Council Unsched'!$C$11:$C$234,0)</f>
        <v>#N/A</v>
      </c>
      <c r="AR1191" s="6" t="b">
        <f t="shared" si="116"/>
        <v>1</v>
      </c>
      <c r="AS1191" s="6" t="str">
        <f>IF(AND(H1191="2 - Not Scheduled",AR1191=TRUE,C1191="R1"),"Add","OK")</f>
        <v>OK</v>
      </c>
      <c r="AU1191" s="202"/>
      <c r="AV1191" s="262"/>
      <c r="AW1191" s="274"/>
    </row>
    <row r="1192" spans="1:49" s="13" customFormat="1" x14ac:dyDescent="0.2">
      <c r="A1192" s="14">
        <v>1168</v>
      </c>
      <c r="B1192" s="14" t="s">
        <v>3380</v>
      </c>
      <c r="C1192" s="8" t="s">
        <v>5197</v>
      </c>
      <c r="D1192" s="4" t="s">
        <v>3382</v>
      </c>
      <c r="E1192" s="309" t="s">
        <v>5725</v>
      </c>
      <c r="F1192" s="8" t="s">
        <v>2114</v>
      </c>
      <c r="G1192" s="8" t="s">
        <v>4758</v>
      </c>
      <c r="H1192" s="8" t="s">
        <v>4246</v>
      </c>
      <c r="I1192" s="20">
        <v>2.0499999999999998</v>
      </c>
      <c r="J1192" s="8" t="s">
        <v>4862</v>
      </c>
      <c r="K1192" s="182">
        <v>40131</v>
      </c>
      <c r="L1192" s="8" t="s">
        <v>5743</v>
      </c>
      <c r="M1192" s="8" t="s">
        <v>2814</v>
      </c>
      <c r="N1192" s="38"/>
      <c r="O1192" s="8" t="s">
        <v>3572</v>
      </c>
      <c r="P1192" s="4" t="e">
        <f>VLOOKUP($B1192,'D7 - NDB Impacted SPRF''s'!$E$16:$O$9929,9,FALSE)</f>
        <v>#N/A</v>
      </c>
      <c r="Q1192" s="4" t="e">
        <f>VLOOKUP($B1192,'D7 - NDB Impacted SPRF''s'!$E$16:$O$9929,10,FALSE)</f>
        <v>#N/A</v>
      </c>
      <c r="R1192" s="4" t="e">
        <f>VLOOKUP($B1192,'D7 - NDB Impacted SPRF''s'!$E$16:$O$9929,11,FALSE)</f>
        <v>#N/A</v>
      </c>
      <c r="S1192" s="8"/>
      <c r="T1192" s="310"/>
      <c r="U1192" s="310"/>
      <c r="V1192" s="4"/>
      <c r="W1192" s="4"/>
      <c r="X1192" s="4"/>
      <c r="Y1192" s="4"/>
      <c r="Z1192" s="4"/>
      <c r="AA1192" s="4"/>
      <c r="AB1192" s="383" t="e">
        <f>VLOOKUP($B1192,'D7 - NDB Impacted SPRF''s'!$E$16:$O$9929,4,FALSE)</f>
        <v>#N/A</v>
      </c>
      <c r="AC1192" s="380" t="e">
        <f>VLOOKUP($B1192,'D7 - NDB Impacted SPRF''s'!$E$16:$O$9929,3,FALSE)</f>
        <v>#N/A</v>
      </c>
      <c r="AD1192" s="380" t="e">
        <f>VLOOKUP($B1192,'D7 - NDB Impacted SPRF''s'!$E$16:$O$9929,5,FALSE)</f>
        <v>#N/A</v>
      </c>
      <c r="AE1192" s="380" t="e">
        <f>VLOOKUP($B1192,'D7 - NDB Impacted SPRF''s'!$E$16:$O$9929,7,FALSE)</f>
        <v>#N/A</v>
      </c>
      <c r="AF1192" s="380" t="e">
        <f>VLOOKUP($B1192,'D7 - NDB Impacted SPRF''s'!$E$16:$O$9929,6,FALSE)</f>
        <v>#N/A</v>
      </c>
      <c r="AG1192" s="282"/>
      <c r="AH1192" s="311" t="e">
        <f>INDEX('D5 - Gatekeeper - Projects'!$A$4:$AF$1010,$AM1192, 17)</f>
        <v>#N/A</v>
      </c>
      <c r="AI1192" s="8"/>
      <c r="AJ1192" s="57"/>
      <c r="AK1192" s="105"/>
      <c r="AM1192" s="6" t="e">
        <f>MATCH(D1192,'D5 - Gatekeeper - Projects'!$C$4:$C$1010,0)</f>
        <v>#N/A</v>
      </c>
      <c r="AN1192" s="6" t="b">
        <f t="shared" si="115"/>
        <v>1</v>
      </c>
      <c r="AO1192" s="6" t="str">
        <f t="shared" si="117"/>
        <v>OK</v>
      </c>
      <c r="AQ1192" s="6" t="e">
        <f>MATCH($D1192,'D4 - Provider Council Unsched'!$C$11:$C$234,0)</f>
        <v>#N/A</v>
      </c>
      <c r="AR1192" s="6" t="b">
        <f t="shared" si="116"/>
        <v>1</v>
      </c>
      <c r="AS1192" s="6" t="str">
        <f>IF(AND(H1192="2 - Not Scheduled",AR1192=TRUE),"Add","OK")</f>
        <v>OK</v>
      </c>
      <c r="AU1192" s="202"/>
      <c r="AV1192" s="262"/>
      <c r="AW1192" s="274"/>
    </row>
    <row r="1193" spans="1:49" s="13" customFormat="1" x14ac:dyDescent="0.2">
      <c r="A1193" s="14">
        <v>1169</v>
      </c>
      <c r="B1193" s="14" t="s">
        <v>2825</v>
      </c>
      <c r="C1193" s="8" t="s">
        <v>5197</v>
      </c>
      <c r="D1193" s="4" t="s">
        <v>2826</v>
      </c>
      <c r="E1193" s="309" t="s">
        <v>2797</v>
      </c>
      <c r="F1193" s="8" t="s">
        <v>2114</v>
      </c>
      <c r="G1193" s="8" t="s">
        <v>4758</v>
      </c>
      <c r="H1193" s="8" t="s">
        <v>4246</v>
      </c>
      <c r="I1193" s="20">
        <v>3.17</v>
      </c>
      <c r="J1193" s="8" t="s">
        <v>4862</v>
      </c>
      <c r="K1193" s="182">
        <v>40131</v>
      </c>
      <c r="L1193" s="8" t="s">
        <v>5743</v>
      </c>
      <c r="M1193" s="8" t="s">
        <v>2814</v>
      </c>
      <c r="N1193" s="38"/>
      <c r="O1193" s="8" t="s">
        <v>3572</v>
      </c>
      <c r="P1193" s="4" t="e">
        <f>VLOOKUP($B1193,'D7 - NDB Impacted SPRF''s'!$E$16:$O$9929,9,FALSE)</f>
        <v>#N/A</v>
      </c>
      <c r="Q1193" s="4" t="e">
        <f>VLOOKUP($B1193,'D7 - NDB Impacted SPRF''s'!$E$16:$O$9929,10,FALSE)</f>
        <v>#N/A</v>
      </c>
      <c r="R1193" s="4" t="e">
        <f>VLOOKUP($B1193,'D7 - NDB Impacted SPRF''s'!$E$16:$O$9929,11,FALSE)</f>
        <v>#N/A</v>
      </c>
      <c r="S1193" s="8"/>
      <c r="T1193" s="310"/>
      <c r="U1193" s="310"/>
      <c r="V1193" s="4"/>
      <c r="W1193" s="4"/>
      <c r="X1193" s="4"/>
      <c r="Y1193" s="4"/>
      <c r="Z1193" s="4"/>
      <c r="AA1193" s="4"/>
      <c r="AB1193" s="383" t="e">
        <f>VLOOKUP($B1193,'D7 - NDB Impacted SPRF''s'!$E$16:$O$9929,4,FALSE)</f>
        <v>#N/A</v>
      </c>
      <c r="AC1193" s="380" t="e">
        <f>VLOOKUP($B1193,'D7 - NDB Impacted SPRF''s'!$E$16:$O$9929,3,FALSE)</f>
        <v>#N/A</v>
      </c>
      <c r="AD1193" s="380" t="e">
        <f>VLOOKUP($B1193,'D7 - NDB Impacted SPRF''s'!$E$16:$O$9929,5,FALSE)</f>
        <v>#N/A</v>
      </c>
      <c r="AE1193" s="380" t="e">
        <f>VLOOKUP($B1193,'D7 - NDB Impacted SPRF''s'!$E$16:$O$9929,7,FALSE)</f>
        <v>#N/A</v>
      </c>
      <c r="AF1193" s="380" t="e">
        <f>VLOOKUP($B1193,'D7 - NDB Impacted SPRF''s'!$E$16:$O$9929,6,FALSE)</f>
        <v>#N/A</v>
      </c>
      <c r="AG1193" s="282"/>
      <c r="AH1193" s="311" t="e">
        <f>INDEX('D5 - Gatekeeper - Projects'!$A$4:$AF$1010,$AM1193, 17)</f>
        <v>#N/A</v>
      </c>
      <c r="AI1193" s="8"/>
      <c r="AJ1193" s="57"/>
      <c r="AK1193" s="105"/>
      <c r="AM1193" s="6" t="e">
        <f>MATCH(D1193,'D5 - Gatekeeper - Projects'!$C$4:$C$1010,0)</f>
        <v>#N/A</v>
      </c>
      <c r="AN1193" s="6" t="b">
        <f t="shared" si="115"/>
        <v>1</v>
      </c>
      <c r="AO1193" s="6" t="str">
        <f t="shared" si="117"/>
        <v>OK</v>
      </c>
      <c r="AQ1193" s="6" t="e">
        <f>MATCH($D1193,'D4 - Provider Council Unsched'!$C$11:$C$234,0)</f>
        <v>#N/A</v>
      </c>
      <c r="AR1193" s="6" t="b">
        <f t="shared" si="116"/>
        <v>1</v>
      </c>
      <c r="AS1193" s="6" t="str">
        <f>IF(AND(H1193="2 - Not Scheduled",AR1193=TRUE,C1193="R1"),"Add","OK")</f>
        <v>OK</v>
      </c>
      <c r="AU1193" s="202"/>
      <c r="AV1193" s="262"/>
      <c r="AW1193" s="274"/>
    </row>
    <row r="1194" spans="1:49" s="13" customFormat="1" ht="33.75" x14ac:dyDescent="0.2">
      <c r="A1194" s="14">
        <v>1170</v>
      </c>
      <c r="B1194" s="14">
        <v>400026320</v>
      </c>
      <c r="C1194" s="8" t="s">
        <v>5197</v>
      </c>
      <c r="D1194" s="4" t="str">
        <f t="shared" ref="D1194:D1208" si="119">CONCATENATE(B1194,C1194)</f>
        <v>400026320R1</v>
      </c>
      <c r="E1194" s="309" t="str">
        <f>VLOOKUP($B1194,'D7 - NDB Impacted SPRF''s'!$E$6:$O$9929,2,FALSE)</f>
        <v>Update B2B / B2C for COB changes</v>
      </c>
      <c r="F1194" s="8" t="s">
        <v>2114</v>
      </c>
      <c r="G1194" s="8" t="s">
        <v>4758</v>
      </c>
      <c r="H1194" s="8" t="s">
        <v>4246</v>
      </c>
      <c r="I1194" s="20">
        <v>1.07</v>
      </c>
      <c r="J1194" s="8" t="s">
        <v>4862</v>
      </c>
      <c r="K1194" s="182">
        <v>40152</v>
      </c>
      <c r="L1194" s="8" t="s">
        <v>4156</v>
      </c>
      <c r="M1194" s="8" t="s">
        <v>2814</v>
      </c>
      <c r="N1194" s="38"/>
      <c r="O1194" s="8" t="s">
        <v>2000</v>
      </c>
      <c r="P1194" s="4" t="str">
        <f>VLOOKUP($B1194,'D7 - NDB Impacted SPRF''s'!$E$16:$O$9929,9,FALSE)</f>
        <v>Y</v>
      </c>
      <c r="Q1194" s="4" t="str">
        <f>VLOOKUP($B1194,'D7 - NDB Impacted SPRF''s'!$E$16:$O$9929,10,FALSE)</f>
        <v>N</v>
      </c>
      <c r="R1194" s="4" t="str">
        <f>VLOOKUP($B1194,'D7 - NDB Impacted SPRF''s'!$E$16:$O$9929,11,FALSE)</f>
        <v>Y</v>
      </c>
      <c r="S1194" s="8"/>
      <c r="T1194" s="310"/>
      <c r="U1194" s="310"/>
      <c r="V1194" s="4"/>
      <c r="W1194" s="4"/>
      <c r="X1194" s="4"/>
      <c r="Y1194" s="4"/>
      <c r="Z1194" s="4"/>
      <c r="AA1194" s="4"/>
      <c r="AB1194" s="380" t="str">
        <f>VLOOKUP($B1194,'D7 - NDB Impacted SPRF''s'!$E$6:$O$9929,4,FALSE)</f>
        <v>Completed</v>
      </c>
      <c r="AC1194" s="380" t="str">
        <f>VLOOKUP($B1194,'D7 - NDB Impacted SPRF''s'!$E$6:$O$9929,3,FALSE)</f>
        <v>UnitedHealthcare Employer &amp; Individual</v>
      </c>
      <c r="AD1194" s="380" t="str">
        <f>VLOOKUP($B1194,'D7 - NDB Impacted SPRF''s'!$E$6:$O$9929,5,FALSE)</f>
        <v>Process Improvement</v>
      </c>
      <c r="AE1194" s="380" t="str">
        <f>VLOOKUP($B1194,'D7 - NDB Impacted SPRF''s'!$E$6:$O$9929,7,FALSE)</f>
        <v>Jessica Macknight</v>
      </c>
      <c r="AF1194" s="380" t="str">
        <f>VLOOKUP($B1194,'D7 - NDB Impacted SPRF''s'!$E$6:$O$9929,6,FALSE)</f>
        <v>DEBORAH LAXSON</v>
      </c>
      <c r="AG1194" s="282"/>
      <c r="AH1194" s="311" t="e">
        <f>INDEX('D5 - Gatekeeper - Projects'!$A$4:$AF$1010,$AM1194, 17)</f>
        <v>#N/A</v>
      </c>
      <c r="AI1194" s="8"/>
      <c r="AJ1194" s="57"/>
      <c r="AK1194" s="105"/>
      <c r="AM1194" s="6" t="e">
        <f>MATCH(D1194,'D5 - Gatekeeper - Projects'!$C$4:$C$1010,0)</f>
        <v>#N/A</v>
      </c>
      <c r="AN1194" s="6" t="b">
        <f t="shared" si="115"/>
        <v>1</v>
      </c>
      <c r="AO1194" s="6" t="str">
        <f t="shared" si="117"/>
        <v>OK</v>
      </c>
      <c r="AQ1194" s="6" t="e">
        <f>MATCH($D1194,'D4 - Provider Council Unsched'!$C$11:$C$234,0)</f>
        <v>#N/A</v>
      </c>
      <c r="AR1194" s="6" t="b">
        <f t="shared" si="116"/>
        <v>1</v>
      </c>
      <c r="AS1194" s="6" t="str">
        <f>IF(AND(H1194="2 - Not Scheduled",AR1194=TRUE,C1194="R1"),"Add","OK")</f>
        <v>OK</v>
      </c>
      <c r="AU1194" s="202"/>
      <c r="AV1194" s="262"/>
      <c r="AW1194" s="274"/>
    </row>
    <row r="1195" spans="1:49" s="13" customFormat="1" ht="33.75" x14ac:dyDescent="0.2">
      <c r="A1195" s="14">
        <v>1171</v>
      </c>
      <c r="B1195" s="14">
        <v>400028298</v>
      </c>
      <c r="C1195" s="8" t="s">
        <v>3763</v>
      </c>
      <c r="D1195" s="4" t="str">
        <f t="shared" si="119"/>
        <v>400028298R2</v>
      </c>
      <c r="E1195" s="309" t="str">
        <f>VLOOKUP($B1195,'D7 - NDB Impacted SPRF''s'!$E$6:$O$9929,2,FALSE)</f>
        <v>E2E Facility &amp; Ancillary Contract Tech Improvement</v>
      </c>
      <c r="F1195" s="8" t="s">
        <v>5594</v>
      </c>
      <c r="G1195" s="8" t="s">
        <v>4758</v>
      </c>
      <c r="H1195" s="8" t="s">
        <v>4246</v>
      </c>
      <c r="I1195" s="20">
        <v>0.53</v>
      </c>
      <c r="J1195" s="8" t="s">
        <v>4862</v>
      </c>
      <c r="K1195" s="182">
        <v>40152</v>
      </c>
      <c r="L1195" s="8" t="s">
        <v>5743</v>
      </c>
      <c r="M1195" s="8" t="s">
        <v>5626</v>
      </c>
      <c r="N1195" s="38"/>
      <c r="O1195" s="8" t="s">
        <v>2000</v>
      </c>
      <c r="P1195" s="4" t="str">
        <f>VLOOKUP($B1195,'D7 - NDB Impacted SPRF''s'!$E$16:$O$9929,9,FALSE)</f>
        <v>Y</v>
      </c>
      <c r="Q1195" s="4" t="str">
        <f>VLOOKUP($B1195,'D7 - NDB Impacted SPRF''s'!$E$16:$O$9929,10,FALSE)</f>
        <v>N</v>
      </c>
      <c r="R1195" s="4" t="str">
        <f>VLOOKUP($B1195,'D7 - NDB Impacted SPRF''s'!$E$16:$O$9929,11,FALSE)</f>
        <v>Y</v>
      </c>
      <c r="S1195" s="8"/>
      <c r="T1195" s="310"/>
      <c r="U1195" s="310"/>
      <c r="V1195" s="4"/>
      <c r="W1195" s="4"/>
      <c r="X1195" s="4"/>
      <c r="Y1195" s="4"/>
      <c r="Z1195" s="4"/>
      <c r="AA1195" s="4"/>
      <c r="AB1195" s="380" t="str">
        <f>VLOOKUP($B1195,'D7 - NDB Impacted SPRF''s'!$E$16:$O$9929,4,FALSE)</f>
        <v>Completed</v>
      </c>
      <c r="AC1195" s="380" t="str">
        <f>VLOOKUP($B1195,'D7 - NDB Impacted SPRF''s'!$E$16:$O$9929,3,FALSE)</f>
        <v>UnitedHealthcare Employer &amp; Individual</v>
      </c>
      <c r="AD1195" s="380" t="str">
        <f>VLOOKUP($B1195,'D7 - NDB Impacted SPRF''s'!$E$16:$O$9929,5,FALSE)</f>
        <v>Process Improvement</v>
      </c>
      <c r="AE1195" s="380" t="str">
        <f>VLOOKUP($B1195,'D7 - NDB Impacted SPRF''s'!$E$16:$O$9929,7,FALSE)</f>
        <v>Jill Foucre</v>
      </c>
      <c r="AF1195" s="380" t="str">
        <f>VLOOKUP($B1195,'D7 - NDB Impacted SPRF''s'!$E$16:$O$9929,6,FALSE)</f>
        <v>Yvonne Tavis</v>
      </c>
      <c r="AG1195" s="282"/>
      <c r="AH1195" s="311" t="e">
        <f>INDEX('D5 - Gatekeeper - Projects'!$A$4:$AF$1010,$AM1195, 17)</f>
        <v>#N/A</v>
      </c>
      <c r="AI1195" s="8"/>
      <c r="AJ1195" s="57"/>
      <c r="AK1195" s="57"/>
      <c r="AM1195" s="6" t="e">
        <f>MATCH(D1195,'D5 - Gatekeeper - Projects'!$C$4:$C$1010,0)</f>
        <v>#N/A</v>
      </c>
      <c r="AN1195" s="6" t="b">
        <f t="shared" si="115"/>
        <v>1</v>
      </c>
      <c r="AO1195" s="6" t="str">
        <f t="shared" si="117"/>
        <v>OK</v>
      </c>
      <c r="AQ1195" s="6" t="e">
        <f>MATCH($D1195,'D4 - Provider Council Unsched'!$C$11:$C$234,0)</f>
        <v>#N/A</v>
      </c>
      <c r="AR1195" s="6" t="b">
        <f t="shared" si="116"/>
        <v>1</v>
      </c>
      <c r="AS1195" s="6" t="str">
        <f>IF(AND(H1195="2 - Not Scheduled",AR1195=TRUE,C1195="R1"),"Add","OK")</f>
        <v>OK</v>
      </c>
      <c r="AU1195" s="202"/>
      <c r="AV1195" s="262"/>
      <c r="AW1195" s="274"/>
    </row>
    <row r="1196" spans="1:49" s="13" customFormat="1" ht="45" x14ac:dyDescent="0.2">
      <c r="A1196" s="14">
        <v>1172</v>
      </c>
      <c r="B1196" s="14">
        <v>400028440</v>
      </c>
      <c r="C1196" s="8" t="s">
        <v>5197</v>
      </c>
      <c r="D1196" s="4" t="str">
        <f t="shared" si="119"/>
        <v>400028440R1</v>
      </c>
      <c r="E1196" s="309" t="str">
        <f>VLOOKUP($B1196,'D7 - NDB Impacted SPRF''s'!$E$6:$O$9929,2,FALSE)</f>
        <v>CAT Claims Regression / Automation support</v>
      </c>
      <c r="F1196" s="8" t="s">
        <v>2114</v>
      </c>
      <c r="G1196" s="8" t="s">
        <v>4758</v>
      </c>
      <c r="H1196" s="8" t="s">
        <v>4246</v>
      </c>
      <c r="I1196" s="20">
        <v>0.53</v>
      </c>
      <c r="J1196" s="8" t="s">
        <v>4862</v>
      </c>
      <c r="K1196" s="182">
        <v>40152</v>
      </c>
      <c r="L1196" s="8" t="s">
        <v>4156</v>
      </c>
      <c r="M1196" s="8" t="s">
        <v>5626</v>
      </c>
      <c r="N1196" s="38"/>
      <c r="O1196" s="8" t="s">
        <v>2000</v>
      </c>
      <c r="P1196" s="4" t="str">
        <f>VLOOKUP($B1196,'D7 - NDB Impacted SPRF''s'!$E$16:$O$9929,9,FALSE)</f>
        <v>N</v>
      </c>
      <c r="Q1196" s="4" t="str">
        <f>VLOOKUP($B1196,'D7 - NDB Impacted SPRF''s'!$E$16:$O$9929,10,FALSE)</f>
        <v>N</v>
      </c>
      <c r="R1196" s="4" t="str">
        <f>VLOOKUP($B1196,'D7 - NDB Impacted SPRF''s'!$E$16:$O$9929,11,FALSE)</f>
        <v>N</v>
      </c>
      <c r="S1196" s="8"/>
      <c r="T1196" s="310"/>
      <c r="U1196" s="310"/>
      <c r="V1196" s="4"/>
      <c r="W1196" s="4"/>
      <c r="X1196" s="4"/>
      <c r="Y1196" s="4"/>
      <c r="Z1196" s="4"/>
      <c r="AA1196" s="4"/>
      <c r="AB1196" s="380" t="str">
        <f>VLOOKUP($B1196,'D7 - NDB Impacted SPRF''s'!$E$6:$O$9929,4,FALSE)</f>
        <v>Completed</v>
      </c>
      <c r="AC1196" s="380" t="str">
        <f>VLOOKUP($B1196,'D7 - NDB Impacted SPRF''s'!$E$6:$O$9929,3,FALSE)</f>
        <v>UHG IT - Enterprise Technology Services</v>
      </c>
      <c r="AD1196" s="380" t="str">
        <f>VLOOKUP($B1196,'D7 - NDB Impacted SPRF''s'!$E$6:$O$9929,5,FALSE)</f>
        <v>ASG</v>
      </c>
      <c r="AE1196" s="380" t="str">
        <f>VLOOKUP($B1196,'D7 - NDB Impacted SPRF''s'!$E$6:$O$9929,7,FALSE)</f>
        <v>Bob Preston</v>
      </c>
      <c r="AF1196" s="380" t="str">
        <f>VLOOKUP($B1196,'D7 - NDB Impacted SPRF''s'!$E$6:$O$9929,6,FALSE)</f>
        <v>EDWARD SIWICKI</v>
      </c>
      <c r="AG1196" s="282"/>
      <c r="AH1196" s="311" t="e">
        <f>INDEX('D5 - Gatekeeper - Projects'!$A$4:$AF$1010,$AM1196, 17)</f>
        <v>#N/A</v>
      </c>
      <c r="AI1196" s="8"/>
      <c r="AJ1196" s="57"/>
      <c r="AK1196" s="105"/>
      <c r="AM1196" s="6" t="e">
        <f>MATCH(D1196,'D5 - Gatekeeper - Projects'!$C$4:$C$1010,0)</f>
        <v>#N/A</v>
      </c>
      <c r="AN1196" s="6" t="b">
        <f t="shared" si="115"/>
        <v>1</v>
      </c>
      <c r="AO1196" s="6" t="str">
        <f t="shared" si="117"/>
        <v>OK</v>
      </c>
      <c r="AQ1196" s="6" t="e">
        <f>MATCH($D1196,'D4 - Provider Council Unsched'!$C$11:$C$234,0)</f>
        <v>#N/A</v>
      </c>
      <c r="AR1196" s="6" t="b">
        <f t="shared" si="116"/>
        <v>1</v>
      </c>
      <c r="AS1196" s="6" t="str">
        <f t="shared" ref="AS1196:AS1202" si="120">IF(AND(H1196="2 - Not Scheduled",AR1196=TRUE),"Add","OK")</f>
        <v>OK</v>
      </c>
      <c r="AU1196" s="202"/>
      <c r="AV1196" s="262"/>
      <c r="AW1196" s="274"/>
    </row>
    <row r="1197" spans="1:49" s="13" customFormat="1" ht="33.75" x14ac:dyDescent="0.2">
      <c r="A1197" s="14">
        <v>1173</v>
      </c>
      <c r="B1197" s="14">
        <v>400028655</v>
      </c>
      <c r="C1197" s="8" t="s">
        <v>5197</v>
      </c>
      <c r="D1197" s="4" t="str">
        <f t="shared" si="119"/>
        <v>400028655R1</v>
      </c>
      <c r="E1197" s="309" t="str">
        <f>VLOOKUP($B1197,'D7 - NDB Impacted SPRF''s'!$E$6:$O$9929,2,FALSE)</f>
        <v>2009 EPDI KTLO: EPDL Enhancements</v>
      </c>
      <c r="F1197" s="8" t="s">
        <v>4069</v>
      </c>
      <c r="G1197" s="8" t="s">
        <v>4758</v>
      </c>
      <c r="H1197" s="8" t="s">
        <v>4246</v>
      </c>
      <c r="I1197" s="20">
        <v>9.1300000000000008</v>
      </c>
      <c r="J1197" s="8" t="s">
        <v>4862</v>
      </c>
      <c r="K1197" s="182">
        <v>40152</v>
      </c>
      <c r="L1197" s="8" t="s">
        <v>5743</v>
      </c>
      <c r="M1197" s="8" t="s">
        <v>2814</v>
      </c>
      <c r="N1197" s="38"/>
      <c r="O1197" s="8" t="s">
        <v>7086</v>
      </c>
      <c r="P1197" s="4" t="str">
        <f>VLOOKUP($B1197,'D7 - NDB Impacted SPRF''s'!$E$16:$O$9929,9,FALSE)</f>
        <v>N</v>
      </c>
      <c r="Q1197" s="4" t="str">
        <f>VLOOKUP($B1197,'D7 - NDB Impacted SPRF''s'!$E$16:$O$9929,10,FALSE)</f>
        <v>N</v>
      </c>
      <c r="R1197" s="4" t="str">
        <f>VLOOKUP($B1197,'D7 - NDB Impacted SPRF''s'!$E$16:$O$9929,11,FALSE)</f>
        <v>N</v>
      </c>
      <c r="S1197" s="8"/>
      <c r="T1197" s="310"/>
      <c r="U1197" s="310"/>
      <c r="V1197" s="4"/>
      <c r="W1197" s="4"/>
      <c r="X1197" s="4"/>
      <c r="Y1197" s="4"/>
      <c r="Z1197" s="4"/>
      <c r="AA1197" s="4"/>
      <c r="AB1197" s="380" t="str">
        <f>VLOOKUP($B1197,'D7 - NDB Impacted SPRF''s'!$E$16:$O$9929,4,FALSE)</f>
        <v>Completed</v>
      </c>
      <c r="AC1197" s="380" t="str">
        <f>VLOOKUP($B1197,'D7 - NDB Impacted SPRF''s'!$E$16:$O$9929,3,FALSE)</f>
        <v>UnitedHealthcare Employer &amp; Individual</v>
      </c>
      <c r="AD1197" s="380" t="str">
        <f>VLOOKUP($B1197,'D7 - NDB Impacted SPRF''s'!$E$16:$O$9929,5,FALSE)</f>
        <v>Operational Requirements</v>
      </c>
      <c r="AE1197" s="380" t="str">
        <f>VLOOKUP($B1197,'D7 - NDB Impacted SPRF''s'!$E$16:$O$9929,7,FALSE)</f>
        <v>Jill Foucre</v>
      </c>
      <c r="AF1197" s="380" t="str">
        <f>VLOOKUP($B1197,'D7 - NDB Impacted SPRF''s'!$E$16:$O$9929,6,FALSE)</f>
        <v>JOHN HIEBERT</v>
      </c>
      <c r="AG1197" s="282"/>
      <c r="AH1197" s="311" t="e">
        <f>INDEX('D5 - Gatekeeper - Projects'!$A$4:$AF$1010,$AM1197, 17)</f>
        <v>#N/A</v>
      </c>
      <c r="AI1197" s="8"/>
      <c r="AJ1197" s="57"/>
      <c r="AK1197" s="105"/>
      <c r="AM1197" s="6" t="e">
        <f>MATCH(D1197,'D5 - Gatekeeper - Projects'!$C$4:$C$1010,0)</f>
        <v>#N/A</v>
      </c>
      <c r="AN1197" s="6" t="b">
        <f t="shared" si="115"/>
        <v>1</v>
      </c>
      <c r="AO1197" s="6" t="str">
        <f t="shared" si="117"/>
        <v>OK</v>
      </c>
      <c r="AQ1197" s="6" t="e">
        <f>MATCH($D1197,'D4 - Provider Council Unsched'!$C$11:$C$234,0)</f>
        <v>#N/A</v>
      </c>
      <c r="AR1197" s="6" t="b">
        <f t="shared" si="116"/>
        <v>1</v>
      </c>
      <c r="AS1197" s="6" t="str">
        <f t="shared" si="120"/>
        <v>OK</v>
      </c>
      <c r="AU1197" s="202"/>
      <c r="AV1197" s="262"/>
      <c r="AW1197" s="274"/>
    </row>
    <row r="1198" spans="1:49" s="13" customFormat="1" ht="33.75" x14ac:dyDescent="0.2">
      <c r="A1198" s="14">
        <v>1174</v>
      </c>
      <c r="B1198" s="14">
        <v>400029253</v>
      </c>
      <c r="C1198" s="8" t="s">
        <v>5197</v>
      </c>
      <c r="D1198" s="4" t="str">
        <f t="shared" si="119"/>
        <v>400029253R1</v>
      </c>
      <c r="E1198" s="309" t="str">
        <f>VLOOKUP($B1198,'D7 - NDB Impacted SPRF''s'!$E$6:$O$9929,2,FALSE)</f>
        <v>Lab ETL Solution</v>
      </c>
      <c r="F1198" s="8"/>
      <c r="G1198" s="8" t="s">
        <v>4758</v>
      </c>
      <c r="H1198" s="8" t="s">
        <v>4246</v>
      </c>
      <c r="I1198" s="20">
        <v>2</v>
      </c>
      <c r="J1198" s="8" t="s">
        <v>4862</v>
      </c>
      <c r="K1198" s="182">
        <v>40152</v>
      </c>
      <c r="L1198" s="8" t="s">
        <v>4156</v>
      </c>
      <c r="M1198" s="8" t="s">
        <v>2814</v>
      </c>
      <c r="N1198" s="38"/>
      <c r="O1198" s="8" t="s">
        <v>1998</v>
      </c>
      <c r="P1198" s="4" t="str">
        <f>VLOOKUP($B1198,'D7 - NDB Impacted SPRF''s'!$E$16:$O$9929,9,FALSE)</f>
        <v>N</v>
      </c>
      <c r="Q1198" s="4" t="str">
        <f>VLOOKUP($B1198,'D7 - NDB Impacted SPRF''s'!$E$16:$O$9929,10,FALSE)</f>
        <v>N</v>
      </c>
      <c r="R1198" s="4" t="str">
        <f>VLOOKUP($B1198,'D7 - NDB Impacted SPRF''s'!$E$16:$O$9929,11,FALSE)</f>
        <v>N</v>
      </c>
      <c r="S1198" s="8"/>
      <c r="T1198" s="310"/>
      <c r="U1198" s="310"/>
      <c r="V1198" s="4"/>
      <c r="W1198" s="4"/>
      <c r="X1198" s="4"/>
      <c r="Y1198" s="4"/>
      <c r="Z1198" s="4"/>
      <c r="AA1198" s="4"/>
      <c r="AB1198" s="380" t="str">
        <f>VLOOKUP($B1198,'D7 - NDB Impacted SPRF''s'!$E$6:$O$9929,4,FALSE)</f>
        <v>Completed</v>
      </c>
      <c r="AC1198" s="380" t="str">
        <f>VLOOKUP($B1198,'D7 - NDB Impacted SPRF''s'!$E$6:$O$9929,3,FALSE)</f>
        <v>UnitedHealthcare Employer &amp; Individual</v>
      </c>
      <c r="AD1198" s="380" t="str">
        <f>VLOOKUP($B1198,'D7 - NDB Impacted SPRF''s'!$E$6:$O$9929,5,FALSE)</f>
        <v>Process Improvement</v>
      </c>
      <c r="AE1198" s="380" t="str">
        <f>VLOOKUP($B1198,'D7 - NDB Impacted SPRF''s'!$E$6:$O$9929,7,FALSE)</f>
        <v>Mark Allen</v>
      </c>
      <c r="AF1198" s="380" t="str">
        <f>VLOOKUP($B1198,'D7 - NDB Impacted SPRF''s'!$E$6:$O$9929,6,FALSE)</f>
        <v>Rebecca Saffert</v>
      </c>
      <c r="AG1198" s="282"/>
      <c r="AH1198" s="311" t="e">
        <f>INDEX('D5 - Gatekeeper - Projects'!$A$4:$AF$1010,$AM1198, 17)</f>
        <v>#N/A</v>
      </c>
      <c r="AI1198" s="8"/>
      <c r="AJ1198" s="57"/>
      <c r="AK1198" s="105"/>
      <c r="AM1198" s="6" t="e">
        <f>MATCH(D1198,'D5 - Gatekeeper - Projects'!$C$4:$C$1010,0)</f>
        <v>#N/A</v>
      </c>
      <c r="AN1198" s="6" t="b">
        <f t="shared" si="115"/>
        <v>1</v>
      </c>
      <c r="AO1198" s="6" t="str">
        <f t="shared" si="117"/>
        <v>OK</v>
      </c>
      <c r="AQ1198" s="6" t="e">
        <f>MATCH($D1198,'D4 - Provider Council Unsched'!$C$11:$C$234,0)</f>
        <v>#N/A</v>
      </c>
      <c r="AR1198" s="6" t="b">
        <f t="shared" si="116"/>
        <v>1</v>
      </c>
      <c r="AS1198" s="6" t="str">
        <f t="shared" si="120"/>
        <v>OK</v>
      </c>
      <c r="AU1198" s="202"/>
      <c r="AV1198" s="262"/>
      <c r="AW1198" s="274"/>
    </row>
    <row r="1199" spans="1:49" s="13" customFormat="1" ht="22.5" x14ac:dyDescent="0.2">
      <c r="A1199" s="14">
        <v>1175</v>
      </c>
      <c r="B1199" s="14">
        <v>400030150</v>
      </c>
      <c r="C1199" s="8" t="s">
        <v>5197</v>
      </c>
      <c r="D1199" s="4" t="str">
        <f t="shared" si="119"/>
        <v>400030150R1</v>
      </c>
      <c r="E1199" s="309" t="str">
        <f>VLOOKUP($B1199,'D7 - NDB Impacted SPRF''s'!$E$6:$O$9929,2,FALSE)</f>
        <v>TRICARE Project -  Claims and Provider</v>
      </c>
      <c r="F1199" s="8" t="s">
        <v>3715</v>
      </c>
      <c r="G1199" s="8" t="s">
        <v>4758</v>
      </c>
      <c r="H1199" s="8" t="s">
        <v>4246</v>
      </c>
      <c r="I1199" s="20">
        <v>11.25</v>
      </c>
      <c r="J1199" s="8" t="s">
        <v>4862</v>
      </c>
      <c r="K1199" s="182">
        <v>40152</v>
      </c>
      <c r="L1199" s="8" t="s">
        <v>4156</v>
      </c>
      <c r="M1199" s="8" t="s">
        <v>2814</v>
      </c>
      <c r="N1199" s="38"/>
      <c r="O1199" s="8" t="s">
        <v>4599</v>
      </c>
      <c r="P1199" s="4" t="str">
        <f>VLOOKUP($B1199,'D7 - NDB Impacted SPRF''s'!$E$16:$O$9929,9,FALSE)</f>
        <v>N</v>
      </c>
      <c r="Q1199" s="4" t="str">
        <f>VLOOKUP($B1199,'D7 - NDB Impacted SPRF''s'!$E$16:$O$9929,10,FALSE)</f>
        <v>N</v>
      </c>
      <c r="R1199" s="4" t="str">
        <f>VLOOKUP($B1199,'D7 - NDB Impacted SPRF''s'!$E$16:$O$9929,11,FALSE)</f>
        <v>Y</v>
      </c>
      <c r="S1199" s="8"/>
      <c r="T1199" s="310"/>
      <c r="U1199" s="310"/>
      <c r="V1199" s="4"/>
      <c r="W1199" s="4"/>
      <c r="X1199" s="4"/>
      <c r="Y1199" s="4"/>
      <c r="Z1199" s="4"/>
      <c r="AA1199" s="4"/>
      <c r="AB1199" s="380" t="str">
        <f>VLOOKUP($B1199,'D7 - NDB Impacted SPRF''s'!$E$6:$O$9929,4,FALSE)</f>
        <v>Completed</v>
      </c>
      <c r="AC1199" s="380" t="str">
        <f>VLOOKUP($B1199,'D7 - NDB Impacted SPRF''s'!$E$6:$O$9929,3,FALSE)</f>
        <v>UHG Corporate</v>
      </c>
      <c r="AD1199" s="380" t="str">
        <f>VLOOKUP($B1199,'D7 - NDB Impacted SPRF''s'!$E$6:$O$9929,5,FALSE)</f>
        <v>TRICARE</v>
      </c>
      <c r="AE1199" s="380" t="str">
        <f>VLOOKUP($B1199,'D7 - NDB Impacted SPRF''s'!$E$6:$O$9929,7,FALSE)</f>
        <v>Mike Schwarz</v>
      </c>
      <c r="AF1199" s="380" t="str">
        <f>VLOOKUP($B1199,'D7 - NDB Impacted SPRF''s'!$E$6:$O$9929,6,FALSE)</f>
        <v>PAULA ENGSTROM</v>
      </c>
      <c r="AG1199" s="282"/>
      <c r="AH1199" s="311" t="e">
        <f>INDEX('D5 - Gatekeeper - Projects'!$A$4:$AF$1010,$AM1199, 17)</f>
        <v>#N/A</v>
      </c>
      <c r="AI1199" s="8"/>
      <c r="AJ1199" s="57"/>
      <c r="AK1199" s="105"/>
      <c r="AM1199" s="6" t="e">
        <f>MATCH(D1199,'D5 - Gatekeeper - Projects'!$C$4:$C$1010,0)</f>
        <v>#N/A</v>
      </c>
      <c r="AN1199" s="6" t="b">
        <f t="shared" si="115"/>
        <v>1</v>
      </c>
      <c r="AO1199" s="6" t="str">
        <f t="shared" si="117"/>
        <v>OK</v>
      </c>
      <c r="AQ1199" s="6" t="e">
        <f>MATCH($D1199,'D4 - Provider Council Unsched'!$C$11:$C$234,0)</f>
        <v>#N/A</v>
      </c>
      <c r="AR1199" s="6" t="b">
        <f t="shared" si="116"/>
        <v>1</v>
      </c>
      <c r="AS1199" s="6" t="str">
        <f t="shared" si="120"/>
        <v>OK</v>
      </c>
      <c r="AU1199" s="202"/>
      <c r="AV1199" s="262"/>
      <c r="AW1199" s="274"/>
    </row>
    <row r="1200" spans="1:49" s="13" customFormat="1" ht="33.75" x14ac:dyDescent="0.2">
      <c r="A1200" s="14">
        <v>1176</v>
      </c>
      <c r="B1200" s="14">
        <v>400030189</v>
      </c>
      <c r="C1200" s="8" t="s">
        <v>5197</v>
      </c>
      <c r="D1200" s="4" t="str">
        <f t="shared" si="119"/>
        <v>400030189R1</v>
      </c>
      <c r="E1200" s="309" t="str">
        <f>VLOOKUP($B1200,'D7 - NDB Impacted SPRF''s'!$E$6:$O$9929,2,FALSE)</f>
        <v>Enterprise Capitation - MAHP R1: NDB/ECap Enhance</v>
      </c>
      <c r="F1200" s="8" t="s">
        <v>7593</v>
      </c>
      <c r="G1200" s="8" t="s">
        <v>4758</v>
      </c>
      <c r="H1200" s="8" t="s">
        <v>4246</v>
      </c>
      <c r="I1200" s="20">
        <v>72.489999999999995</v>
      </c>
      <c r="J1200" s="8" t="s">
        <v>4862</v>
      </c>
      <c r="K1200" s="182">
        <v>40152</v>
      </c>
      <c r="L1200" s="8" t="s">
        <v>4156</v>
      </c>
      <c r="M1200" s="8" t="s">
        <v>2814</v>
      </c>
      <c r="N1200" s="38"/>
      <c r="O1200" s="8" t="s">
        <v>7086</v>
      </c>
      <c r="P1200" s="4" t="str">
        <f>VLOOKUP($B1200,'D7 - NDB Impacted SPRF''s'!$E$16:$O$9929,9,FALSE)</f>
        <v>N</v>
      </c>
      <c r="Q1200" s="4" t="str">
        <f>VLOOKUP($B1200,'D7 - NDB Impacted SPRF''s'!$E$16:$O$9929,10,FALSE)</f>
        <v>N</v>
      </c>
      <c r="R1200" s="4" t="str">
        <f>VLOOKUP($B1200,'D7 - NDB Impacted SPRF''s'!$E$16:$O$9929,11,FALSE)</f>
        <v>N</v>
      </c>
      <c r="S1200" s="8"/>
      <c r="T1200" s="310"/>
      <c r="U1200" s="310"/>
      <c r="V1200" s="4"/>
      <c r="W1200" s="4"/>
      <c r="X1200" s="4"/>
      <c r="Y1200" s="4"/>
      <c r="Z1200" s="4"/>
      <c r="AA1200" s="4"/>
      <c r="AB1200" s="380" t="str">
        <f>VLOOKUP($B1200,'D7 - NDB Impacted SPRF''s'!$E$6:$O$9929,4,FALSE)</f>
        <v>Completed</v>
      </c>
      <c r="AC1200" s="380" t="str">
        <f>VLOOKUP($B1200,'D7 - NDB Impacted SPRF''s'!$E$6:$O$9929,3,FALSE)</f>
        <v>UnitedHealthcare Employer &amp; Individual</v>
      </c>
      <c r="AD1200" s="380" t="str">
        <f>VLOOKUP($B1200,'D7 - NDB Impacted SPRF''s'!$E$6:$O$9929,5,FALSE)</f>
        <v>Integration Requirements</v>
      </c>
      <c r="AE1200" s="380" t="str">
        <f>VLOOKUP($B1200,'D7 - NDB Impacted SPRF''s'!$E$6:$O$9929,7,FALSE)</f>
        <v>Gino Tenace</v>
      </c>
      <c r="AF1200" s="380" t="str">
        <f>VLOOKUP($B1200,'D7 - NDB Impacted SPRF''s'!$E$6:$O$9929,6,FALSE)</f>
        <v>Delana Anderson</v>
      </c>
      <c r="AG1200" s="282"/>
      <c r="AH1200" s="311" t="e">
        <f>INDEX('D5 - Gatekeeper - Projects'!$A$4:$AF$1010,$AM1200, 17)</f>
        <v>#N/A</v>
      </c>
      <c r="AI1200" s="8"/>
      <c r="AJ1200" s="57"/>
      <c r="AK1200" s="105"/>
      <c r="AM1200" s="6" t="e">
        <f>MATCH(D1200,'D5 - Gatekeeper - Projects'!$C$4:$C$1010,0)</f>
        <v>#N/A</v>
      </c>
      <c r="AN1200" s="6" t="b">
        <f t="shared" si="115"/>
        <v>1</v>
      </c>
      <c r="AO1200" s="6" t="str">
        <f t="shared" si="117"/>
        <v>OK</v>
      </c>
      <c r="AQ1200" s="6" t="e">
        <f>MATCH($D1200,'D4 - Provider Council Unsched'!$C$11:$C$234,0)</f>
        <v>#N/A</v>
      </c>
      <c r="AR1200" s="6" t="b">
        <f t="shared" si="116"/>
        <v>1</v>
      </c>
      <c r="AS1200" s="6" t="str">
        <f t="shared" si="120"/>
        <v>OK</v>
      </c>
      <c r="AU1200" s="202"/>
      <c r="AV1200" s="262"/>
      <c r="AW1200" s="274"/>
    </row>
    <row r="1201" spans="1:49" s="13" customFormat="1" ht="33.75" x14ac:dyDescent="0.2">
      <c r="A1201" s="14">
        <v>1177</v>
      </c>
      <c r="B1201" s="14">
        <v>400030208</v>
      </c>
      <c r="C1201" s="8" t="s">
        <v>5197</v>
      </c>
      <c r="D1201" s="4" t="str">
        <f t="shared" si="119"/>
        <v>400030208R1</v>
      </c>
      <c r="E1201" s="309" t="str">
        <f>VLOOKUP($B1201,'D7 - NDB Impacted SPRF''s'!$E$6:$O$9929,2,FALSE)</f>
        <v>UNO - NCST Cred Order Scrub - ETL</v>
      </c>
      <c r="F1201" s="8" t="s">
        <v>8065</v>
      </c>
      <c r="G1201" s="8" t="s">
        <v>4758</v>
      </c>
      <c r="H1201" s="8" t="s">
        <v>4246</v>
      </c>
      <c r="I1201" s="20">
        <v>6.03</v>
      </c>
      <c r="J1201" s="8" t="s">
        <v>4862</v>
      </c>
      <c r="K1201" s="182">
        <v>40152</v>
      </c>
      <c r="L1201" s="8" t="s">
        <v>4156</v>
      </c>
      <c r="M1201" s="8" t="s">
        <v>2814</v>
      </c>
      <c r="N1201" s="38"/>
      <c r="O1201" s="8" t="s">
        <v>1998</v>
      </c>
      <c r="P1201" s="4" t="str">
        <f>VLOOKUP($B1201,'D7 - NDB Impacted SPRF''s'!$E$16:$O$9929,9,FALSE)</f>
        <v>N</v>
      </c>
      <c r="Q1201" s="4" t="str">
        <f>VLOOKUP($B1201,'D7 - NDB Impacted SPRF''s'!$E$16:$O$9929,10,FALSE)</f>
        <v>N</v>
      </c>
      <c r="R1201" s="4" t="str">
        <f>VLOOKUP($B1201,'D7 - NDB Impacted SPRF''s'!$E$16:$O$9929,11,FALSE)</f>
        <v>N</v>
      </c>
      <c r="S1201" s="8"/>
      <c r="T1201" s="310"/>
      <c r="U1201" s="310"/>
      <c r="V1201" s="4"/>
      <c r="W1201" s="4"/>
      <c r="X1201" s="4"/>
      <c r="Y1201" s="4"/>
      <c r="Z1201" s="4"/>
      <c r="AA1201" s="4"/>
      <c r="AB1201" s="380" t="str">
        <f>VLOOKUP($B1201,'D7 - NDB Impacted SPRF''s'!$E$6:$O$9929,4,FALSE)</f>
        <v>Completed</v>
      </c>
      <c r="AC1201" s="380" t="str">
        <f>VLOOKUP($B1201,'D7 - NDB Impacted SPRF''s'!$E$6:$O$9929,3,FALSE)</f>
        <v>UnitedHealthcare Employer &amp; Individual</v>
      </c>
      <c r="AD1201" s="380" t="str">
        <f>VLOOKUP($B1201,'D7 - NDB Impacted SPRF''s'!$E$6:$O$9929,5,FALSE)</f>
        <v>Process Improvement</v>
      </c>
      <c r="AE1201" s="380" t="str">
        <f>VLOOKUP($B1201,'D7 - NDB Impacted SPRF''s'!$E$6:$O$9929,7,FALSE)</f>
        <v>Jill Foucre</v>
      </c>
      <c r="AF1201" s="380" t="str">
        <f>VLOOKUP($B1201,'D7 - NDB Impacted SPRF''s'!$E$6:$O$9929,6,FALSE)</f>
        <v>John Ragland</v>
      </c>
      <c r="AG1201" s="282"/>
      <c r="AH1201" s="311" t="e">
        <f>INDEX('D5 - Gatekeeper - Projects'!$A$4:$AF$1010,$AM1201, 17)</f>
        <v>#N/A</v>
      </c>
      <c r="AI1201" s="8"/>
      <c r="AJ1201" s="57"/>
      <c r="AK1201" s="105"/>
      <c r="AM1201" s="6" t="e">
        <f>MATCH(D1201,'D5 - Gatekeeper - Projects'!$C$4:$C$1010,0)</f>
        <v>#N/A</v>
      </c>
      <c r="AN1201" s="6" t="b">
        <f t="shared" si="115"/>
        <v>1</v>
      </c>
      <c r="AO1201" s="6" t="str">
        <f t="shared" si="117"/>
        <v>OK</v>
      </c>
      <c r="AQ1201" s="6" t="e">
        <f>MATCH($D1201,'D4 - Provider Council Unsched'!$C$11:$C$234,0)</f>
        <v>#N/A</v>
      </c>
      <c r="AR1201" s="6" t="b">
        <f t="shared" si="116"/>
        <v>1</v>
      </c>
      <c r="AS1201" s="6" t="str">
        <f t="shared" si="120"/>
        <v>OK</v>
      </c>
      <c r="AU1201" s="202"/>
      <c r="AV1201" s="262"/>
      <c r="AW1201" s="274"/>
    </row>
    <row r="1202" spans="1:49" s="13" customFormat="1" ht="33.75" x14ac:dyDescent="0.2">
      <c r="A1202" s="14">
        <v>1178</v>
      </c>
      <c r="B1202" s="14">
        <v>400030214</v>
      </c>
      <c r="C1202" s="8" t="s">
        <v>5197</v>
      </c>
      <c r="D1202" s="4" t="str">
        <f t="shared" si="119"/>
        <v>400030214R1</v>
      </c>
      <c r="E1202" s="309" t="str">
        <f>VLOOKUP($B1202,'D7 - NDB Impacted SPRF''s'!$E$6:$O$9929,2,FALSE)</f>
        <v>Mississippi CHIP program - on RV Facets</v>
      </c>
      <c r="F1202" s="8" t="s">
        <v>2114</v>
      </c>
      <c r="G1202" s="8" t="s">
        <v>4758</v>
      </c>
      <c r="H1202" s="8" t="s">
        <v>4246</v>
      </c>
      <c r="I1202" s="20">
        <v>2.13</v>
      </c>
      <c r="J1202" s="8" t="s">
        <v>4862</v>
      </c>
      <c r="K1202" s="182">
        <v>40152</v>
      </c>
      <c r="L1202" s="8" t="s">
        <v>4156</v>
      </c>
      <c r="M1202" s="8" t="s">
        <v>5626</v>
      </c>
      <c r="N1202" s="38"/>
      <c r="O1202" s="8" t="s">
        <v>2000</v>
      </c>
      <c r="P1202" s="4" t="str">
        <f>VLOOKUP($B1202,'D7 - NDB Impacted SPRF''s'!$E$16:$O$9929,9,FALSE)</f>
        <v>N</v>
      </c>
      <c r="Q1202" s="4" t="str">
        <f>VLOOKUP($B1202,'D7 - NDB Impacted SPRF''s'!$E$16:$O$9929,10,FALSE)</f>
        <v>N</v>
      </c>
      <c r="R1202" s="4" t="str">
        <f>VLOOKUP($B1202,'D7 - NDB Impacted SPRF''s'!$E$16:$O$9929,11,FALSE)</f>
        <v>Y</v>
      </c>
      <c r="S1202" s="8"/>
      <c r="T1202" s="310"/>
      <c r="U1202" s="310"/>
      <c r="V1202" s="4"/>
      <c r="W1202" s="4"/>
      <c r="X1202" s="4"/>
      <c r="Y1202" s="4"/>
      <c r="Z1202" s="4"/>
      <c r="AA1202" s="4"/>
      <c r="AB1202" s="380" t="str">
        <f>VLOOKUP($B1202,'D7 - NDB Impacted SPRF''s'!$E$6:$O$9929,4,FALSE)</f>
        <v>Completed</v>
      </c>
      <c r="AC1202" s="380" t="str">
        <f>VLOOKUP($B1202,'D7 - NDB Impacted SPRF''s'!$E$6:$O$9929,3,FALSE)</f>
        <v>UnitedHealthcare Community &amp; State</v>
      </c>
      <c r="AD1202" s="380" t="str">
        <f>VLOOKUP($B1202,'D7 - NDB Impacted SPRF''s'!$E$6:$O$9929,5,FALSE)</f>
        <v>Growth/Expansion</v>
      </c>
      <c r="AE1202" s="380" t="str">
        <f>VLOOKUP($B1202,'D7 - NDB Impacted SPRF''s'!$E$6:$O$9929,7,FALSE)</f>
        <v>Dave Decker</v>
      </c>
      <c r="AF1202" s="380" t="str">
        <f>VLOOKUP($B1202,'D7 - NDB Impacted SPRF''s'!$E$6:$O$9929,6,FALSE)</f>
        <v>Brian Azzarello</v>
      </c>
      <c r="AG1202" s="282"/>
      <c r="AH1202" s="311" t="e">
        <f>INDEX('D5 - Gatekeeper - Projects'!$A$4:$AF$1010,$AM1202, 17)</f>
        <v>#N/A</v>
      </c>
      <c r="AI1202" s="8"/>
      <c r="AJ1202" s="57"/>
      <c r="AK1202" s="105"/>
      <c r="AM1202" s="6" t="e">
        <f>MATCH(D1202,'D5 - Gatekeeper - Projects'!$C$4:$C$1010,0)</f>
        <v>#N/A</v>
      </c>
      <c r="AN1202" s="6" t="b">
        <f t="shared" si="115"/>
        <v>1</v>
      </c>
      <c r="AO1202" s="6" t="str">
        <f t="shared" si="117"/>
        <v>OK</v>
      </c>
      <c r="AQ1202" s="6" t="e">
        <f>MATCH($D1202,'D4 - Provider Council Unsched'!$C$11:$C$234,0)</f>
        <v>#N/A</v>
      </c>
      <c r="AR1202" s="6" t="b">
        <f t="shared" si="116"/>
        <v>1</v>
      </c>
      <c r="AS1202" s="6" t="str">
        <f t="shared" si="120"/>
        <v>OK</v>
      </c>
      <c r="AU1202" s="202"/>
      <c r="AV1202" s="262"/>
      <c r="AW1202" s="274"/>
    </row>
    <row r="1203" spans="1:49" s="13" customFormat="1" ht="33.75" x14ac:dyDescent="0.2">
      <c r="A1203" s="14">
        <v>1179</v>
      </c>
      <c r="B1203" s="14">
        <v>400030891</v>
      </c>
      <c r="C1203" s="8" t="s">
        <v>5197</v>
      </c>
      <c r="D1203" s="4" t="str">
        <f t="shared" si="119"/>
        <v>400030891R1</v>
      </c>
      <c r="E1203" s="309" t="str">
        <f>VLOOKUP($B1203,'D7 - NDB Impacted SPRF''s'!$E$6:$O$9929,2,FALSE)</f>
        <v>NDM Workflow Process Improvement - NDB Dev(Update)</v>
      </c>
      <c r="F1203" s="8" t="s">
        <v>5515</v>
      </c>
      <c r="G1203" s="8" t="s">
        <v>4758</v>
      </c>
      <c r="H1203" s="8" t="s">
        <v>4246</v>
      </c>
      <c r="I1203" s="20">
        <v>17.79</v>
      </c>
      <c r="J1203" s="8" t="s">
        <v>4862</v>
      </c>
      <c r="K1203" s="182">
        <v>40152</v>
      </c>
      <c r="L1203" s="8" t="s">
        <v>4156</v>
      </c>
      <c r="M1203" s="8" t="s">
        <v>2814</v>
      </c>
      <c r="N1203" s="38"/>
      <c r="O1203" s="8" t="s">
        <v>1998</v>
      </c>
      <c r="P1203" s="4" t="str">
        <f>VLOOKUP($B1203,'D7 - NDB Impacted SPRF''s'!$E$16:$O$9929,9,FALSE)</f>
        <v>N</v>
      </c>
      <c r="Q1203" s="4" t="str">
        <f>VLOOKUP($B1203,'D7 - NDB Impacted SPRF''s'!$E$16:$O$9929,10,FALSE)</f>
        <v>N</v>
      </c>
      <c r="R1203" s="4" t="str">
        <f>VLOOKUP($B1203,'D7 - NDB Impacted SPRF''s'!$E$16:$O$9929,11,FALSE)</f>
        <v>N</v>
      </c>
      <c r="S1203" s="8"/>
      <c r="T1203" s="310"/>
      <c r="U1203" s="310"/>
      <c r="V1203" s="4"/>
      <c r="W1203" s="4"/>
      <c r="X1203" s="4"/>
      <c r="Y1203" s="4"/>
      <c r="Z1203" s="4"/>
      <c r="AA1203" s="4"/>
      <c r="AB1203" s="380" t="str">
        <f>VLOOKUP($B1203,'D7 - NDB Impacted SPRF''s'!$E$6:$O$9929,4,FALSE)</f>
        <v>Completed</v>
      </c>
      <c r="AC1203" s="380" t="str">
        <f>VLOOKUP($B1203,'D7 - NDB Impacted SPRF''s'!$E$6:$O$9929,3,FALSE)</f>
        <v>UnitedHealthcare Employer &amp; Individual</v>
      </c>
      <c r="AD1203" s="380" t="str">
        <f>VLOOKUP($B1203,'D7 - NDB Impacted SPRF''s'!$E$6:$O$9929,5,FALSE)</f>
        <v>Process Improvement</v>
      </c>
      <c r="AE1203" s="380" t="str">
        <f>VLOOKUP($B1203,'D7 - NDB Impacted SPRF''s'!$E$6:$O$9929,7,FALSE)</f>
        <v>Jill Foucre</v>
      </c>
      <c r="AF1203" s="380" t="str">
        <f>VLOOKUP($B1203,'D7 - NDB Impacted SPRF''s'!$E$6:$O$9929,6,FALSE)</f>
        <v>Gregory Greenwood</v>
      </c>
      <c r="AG1203" s="282"/>
      <c r="AH1203" s="311" t="e">
        <f>INDEX('D5 - Gatekeeper - Projects'!$A$4:$AF$1010,$AM1203, 17)</f>
        <v>#N/A</v>
      </c>
      <c r="AI1203" s="8"/>
      <c r="AJ1203" s="57"/>
      <c r="AK1203" s="105"/>
      <c r="AM1203" s="6" t="e">
        <f>MATCH(D1203,'D5 - Gatekeeper - Projects'!$C$4:$C$1010,0)</f>
        <v>#N/A</v>
      </c>
      <c r="AN1203" s="6" t="b">
        <f t="shared" si="115"/>
        <v>1</v>
      </c>
      <c r="AO1203" s="6" t="str">
        <f t="shared" si="117"/>
        <v>OK</v>
      </c>
      <c r="AQ1203" s="6" t="e">
        <f>MATCH($D1203,'D4 - Provider Council Unsched'!$C$11:$C$234,0)</f>
        <v>#N/A</v>
      </c>
      <c r="AR1203" s="6" t="b">
        <f t="shared" si="116"/>
        <v>1</v>
      </c>
      <c r="AS1203" s="6" t="str">
        <f>IF(AND(H1203="2 - Not Scheduled",AR1203=TRUE,C1203="R1"),"Add","OK")</f>
        <v>OK</v>
      </c>
      <c r="AU1203" s="202"/>
      <c r="AV1203" s="262"/>
      <c r="AW1203" s="274"/>
    </row>
    <row r="1204" spans="1:49" s="13" customFormat="1" ht="33.75" x14ac:dyDescent="0.2">
      <c r="A1204" s="14">
        <v>1180</v>
      </c>
      <c r="B1204" s="14">
        <v>400031209</v>
      </c>
      <c r="C1204" s="8" t="s">
        <v>5197</v>
      </c>
      <c r="D1204" s="4" t="str">
        <f t="shared" si="119"/>
        <v>400031209R1</v>
      </c>
      <c r="E1204" s="309" t="str">
        <f>VLOOKUP($B1204,'D7 - NDB Impacted SPRF''s'!$E$6:$O$9929,2,FALSE)</f>
        <v xml:space="preserve">RSA - National Optimal Access Gated Product </v>
      </c>
      <c r="F1204" s="8" t="s">
        <v>2114</v>
      </c>
      <c r="G1204" s="8" t="s">
        <v>4758</v>
      </c>
      <c r="H1204" s="8" t="s">
        <v>4246</v>
      </c>
      <c r="I1204" s="20">
        <v>7.0000000000000007E-2</v>
      </c>
      <c r="J1204" s="8" t="s">
        <v>4862</v>
      </c>
      <c r="K1204" s="182">
        <v>40152</v>
      </c>
      <c r="L1204" s="8" t="s">
        <v>4156</v>
      </c>
      <c r="M1204" s="8" t="s">
        <v>6688</v>
      </c>
      <c r="N1204" s="38"/>
      <c r="O1204" s="8" t="s">
        <v>7299</v>
      </c>
      <c r="P1204" s="4" t="str">
        <f>VLOOKUP($B1204,'D7 - NDB Impacted SPRF''s'!$E$16:$O$9929,9,FALSE)</f>
        <v>Y</v>
      </c>
      <c r="Q1204" s="4" t="str">
        <f>VLOOKUP($B1204,'D7 - NDB Impacted SPRF''s'!$E$16:$O$9929,10,FALSE)</f>
        <v>N</v>
      </c>
      <c r="R1204" s="4" t="str">
        <f>VLOOKUP($B1204,'D7 - NDB Impacted SPRF''s'!$E$16:$O$9929,11,FALSE)</f>
        <v>Y</v>
      </c>
      <c r="S1204" s="8"/>
      <c r="T1204" s="310"/>
      <c r="U1204" s="310"/>
      <c r="V1204" s="4"/>
      <c r="W1204" s="4"/>
      <c r="X1204" s="4"/>
      <c r="Y1204" s="4"/>
      <c r="Z1204" s="4"/>
      <c r="AA1204" s="4"/>
      <c r="AB1204" s="380" t="str">
        <f>VLOOKUP($B1204,'D7 - NDB Impacted SPRF''s'!$E$6:$O$9929,4,FALSE)</f>
        <v>Completed</v>
      </c>
      <c r="AC1204" s="380" t="str">
        <f>VLOOKUP($B1204,'D7 - NDB Impacted SPRF''s'!$E$6:$O$9929,3,FALSE)</f>
        <v>UnitedHealthcare Employer &amp; Individual</v>
      </c>
      <c r="AD1204" s="380" t="str">
        <f>VLOOKUP($B1204,'D7 - NDB Impacted SPRF''s'!$E$6:$O$9929,5,FALSE)</f>
        <v>Membership Growth / Revenue Programs</v>
      </c>
      <c r="AE1204" s="380" t="str">
        <f>VLOOKUP($B1204,'D7 - NDB Impacted SPRF''s'!$E$6:$O$9929,7,FALSE)</f>
        <v>Yasmine Winkler</v>
      </c>
      <c r="AF1204" s="380" t="str">
        <f>VLOOKUP($B1204,'D7 - NDB Impacted SPRF''s'!$E$6:$O$9929,6,FALSE)</f>
        <v>COBB DOROTHY</v>
      </c>
      <c r="AG1204" s="282"/>
      <c r="AH1204" s="311" t="e">
        <f>INDEX('D5 - Gatekeeper - Projects'!$A$4:$AF$1010,$AM1204, 17)</f>
        <v>#N/A</v>
      </c>
      <c r="AI1204" s="8"/>
      <c r="AJ1204" s="57"/>
      <c r="AK1204" s="57"/>
      <c r="AM1204" s="6" t="e">
        <f>MATCH(D1204,'D5 - Gatekeeper - Projects'!$C$4:$C$1010,0)</f>
        <v>#N/A</v>
      </c>
      <c r="AN1204" s="6" t="b">
        <f t="shared" si="115"/>
        <v>1</v>
      </c>
      <c r="AO1204" s="6" t="str">
        <f t="shared" si="117"/>
        <v>OK</v>
      </c>
      <c r="AQ1204" s="6" t="e">
        <f>MATCH($D1204,'D4 - Provider Council Unsched'!$C$11:$C$234,0)</f>
        <v>#N/A</v>
      </c>
      <c r="AR1204" s="6" t="b">
        <f t="shared" si="116"/>
        <v>1</v>
      </c>
      <c r="AS1204" s="6" t="str">
        <f t="shared" ref="AS1204:AS1212" si="121">IF(AND(H1204="2 - Not Scheduled",AR1204=TRUE),"Add","OK")</f>
        <v>OK</v>
      </c>
      <c r="AU1204" s="202"/>
      <c r="AV1204" s="262"/>
      <c r="AW1204" s="274"/>
    </row>
    <row r="1205" spans="1:49" s="13" customFormat="1" ht="45" x14ac:dyDescent="0.2">
      <c r="A1205" s="14">
        <v>1181</v>
      </c>
      <c r="B1205" s="14">
        <v>400031900</v>
      </c>
      <c r="C1205" s="8" t="s">
        <v>5197</v>
      </c>
      <c r="D1205" s="4" t="str">
        <f t="shared" si="119"/>
        <v>400031900R1</v>
      </c>
      <c r="E1205" s="309" t="str">
        <f>VLOOKUP($B1205,'D7 - NDB Impacted SPRF''s'!$E$6:$O$9929,2,FALSE)</f>
        <v>PDR - NDB Enhanced Logical Data Model</v>
      </c>
      <c r="F1205" s="8" t="s">
        <v>5595</v>
      </c>
      <c r="G1205" s="8" t="s">
        <v>4758</v>
      </c>
      <c r="H1205" s="8" t="s">
        <v>4246</v>
      </c>
      <c r="I1205" s="20">
        <v>13</v>
      </c>
      <c r="J1205" s="8" t="s">
        <v>4862</v>
      </c>
      <c r="K1205" s="182">
        <v>40152</v>
      </c>
      <c r="L1205" s="8" t="s">
        <v>4156</v>
      </c>
      <c r="M1205" s="8" t="s">
        <v>6688</v>
      </c>
      <c r="N1205" s="38"/>
      <c r="O1205" s="8" t="s">
        <v>7299</v>
      </c>
      <c r="P1205" s="4" t="str">
        <f>VLOOKUP($B1205,'D7 - NDB Impacted SPRF''s'!$E$16:$O$9929,9,FALSE)</f>
        <v>N</v>
      </c>
      <c r="Q1205" s="4" t="str">
        <f>VLOOKUP($B1205,'D7 - NDB Impacted SPRF''s'!$E$16:$O$9929,10,FALSE)</f>
        <v>N</v>
      </c>
      <c r="R1205" s="4" t="str">
        <f>VLOOKUP($B1205,'D7 - NDB Impacted SPRF''s'!$E$16:$O$9929,11,FALSE)</f>
        <v>N</v>
      </c>
      <c r="S1205" s="8"/>
      <c r="T1205" s="310"/>
      <c r="U1205" s="310"/>
      <c r="V1205" s="4"/>
      <c r="W1205" s="4"/>
      <c r="X1205" s="4"/>
      <c r="Y1205" s="4"/>
      <c r="Z1205" s="4"/>
      <c r="AA1205" s="4"/>
      <c r="AB1205" s="380" t="s">
        <v>4917</v>
      </c>
      <c r="AC1205" s="380" t="str">
        <f>VLOOKUP($B1205,'D7 - NDB Impacted SPRF''s'!$E$6:$O$9929,3,FALSE)</f>
        <v>UHG IT - Enterprise Technology Services</v>
      </c>
      <c r="AD1205" s="380" t="str">
        <f>VLOOKUP($B1205,'D7 - NDB Impacted SPRF''s'!$E$6:$O$9929,5,FALSE)</f>
        <v>Strategic Initiatives</v>
      </c>
      <c r="AE1205" s="380" t="str">
        <f>VLOOKUP($B1205,'D7 - NDB Impacted SPRF''s'!$E$6:$O$9929,7,FALSE)</f>
        <v>Dave Wichmann</v>
      </c>
      <c r="AF1205" s="380" t="str">
        <f>VLOOKUP($B1205,'D7 - NDB Impacted SPRF''s'!$E$6:$O$9929,6,FALSE)</f>
        <v>Nicole Cartwright</v>
      </c>
      <c r="AG1205" s="282"/>
      <c r="AH1205" s="311" t="e">
        <f>INDEX('D5 - Gatekeeper - Projects'!$A$4:$AF$1010,$AM1205, 17)</f>
        <v>#N/A</v>
      </c>
      <c r="AI1205" s="8"/>
      <c r="AJ1205" s="57"/>
      <c r="AK1205" s="57"/>
      <c r="AM1205" s="6" t="e">
        <f>MATCH(D1205,'D5 - Gatekeeper - Projects'!$C$4:$C$1010,0)</f>
        <v>#N/A</v>
      </c>
      <c r="AN1205" s="6" t="b">
        <f t="shared" si="115"/>
        <v>1</v>
      </c>
      <c r="AO1205" s="6" t="str">
        <f t="shared" si="117"/>
        <v>OK</v>
      </c>
      <c r="AQ1205" s="6" t="e">
        <f>MATCH($D1205,'D4 - Provider Council Unsched'!$C$11:$C$234,0)</f>
        <v>#N/A</v>
      </c>
      <c r="AR1205" s="6" t="b">
        <f t="shared" si="116"/>
        <v>1</v>
      </c>
      <c r="AS1205" s="6" t="str">
        <f t="shared" si="121"/>
        <v>OK</v>
      </c>
      <c r="AU1205" s="202"/>
      <c r="AV1205" s="262"/>
      <c r="AW1205" s="274"/>
    </row>
    <row r="1206" spans="1:49" s="13" customFormat="1" ht="45" x14ac:dyDescent="0.2">
      <c r="A1206" s="14">
        <v>1182</v>
      </c>
      <c r="B1206" s="14">
        <v>400031944</v>
      </c>
      <c r="C1206" s="8" t="s">
        <v>5197</v>
      </c>
      <c r="D1206" s="4" t="str">
        <f t="shared" si="119"/>
        <v>400031944R1</v>
      </c>
      <c r="E1206" s="309" t="str">
        <f>VLOOKUP($B1206,'D7 - NDB Impacted SPRF''s'!$E$6:$O$9929,2,FALSE)</f>
        <v>UPCSA - Claims Highway Cookbook Development</v>
      </c>
      <c r="F1206" s="8" t="s">
        <v>4762</v>
      </c>
      <c r="G1206" s="8" t="s">
        <v>4758</v>
      </c>
      <c r="H1206" s="8" t="s">
        <v>4246</v>
      </c>
      <c r="I1206" s="20">
        <v>1.0900000000000001</v>
      </c>
      <c r="J1206" s="8" t="s">
        <v>4862</v>
      </c>
      <c r="K1206" s="182">
        <v>40152</v>
      </c>
      <c r="L1206" s="8" t="s">
        <v>4156</v>
      </c>
      <c r="M1206" s="8" t="s">
        <v>6688</v>
      </c>
      <c r="N1206" s="38"/>
      <c r="O1206" s="8" t="s">
        <v>2875</v>
      </c>
      <c r="P1206" s="4" t="str">
        <f>VLOOKUP($B1206,'D7 - NDB Impacted SPRF''s'!$E$16:$O$9929,9,FALSE)</f>
        <v>N</v>
      </c>
      <c r="Q1206" s="4" t="str">
        <f>VLOOKUP($B1206,'D7 - NDB Impacted SPRF''s'!$E$16:$O$9929,10,FALSE)</f>
        <v>N</v>
      </c>
      <c r="R1206" s="4" t="str">
        <f>VLOOKUP($B1206,'D7 - NDB Impacted SPRF''s'!$E$16:$O$9929,11,FALSE)</f>
        <v>N</v>
      </c>
      <c r="S1206" s="8"/>
      <c r="T1206" s="310"/>
      <c r="U1206" s="310"/>
      <c r="V1206" s="4"/>
      <c r="W1206" s="4"/>
      <c r="X1206" s="4"/>
      <c r="Y1206" s="4"/>
      <c r="Z1206" s="4"/>
      <c r="AA1206" s="4"/>
      <c r="AB1206" s="380" t="s">
        <v>4917</v>
      </c>
      <c r="AC1206" s="380" t="str">
        <f>VLOOKUP($B1206,'D7 - NDB Impacted SPRF''s'!$E$6:$O$9929,3,FALSE)</f>
        <v>UHG IT - Enterprise Technology Services</v>
      </c>
      <c r="AD1206" s="380" t="str">
        <f>VLOOKUP($B1206,'D7 - NDB Impacted SPRF''s'!$E$6:$O$9929,5,FALSE)</f>
        <v>Strategic Initiatives</v>
      </c>
      <c r="AE1206" s="380" t="str">
        <f>VLOOKUP($B1206,'D7 - NDB Impacted SPRF''s'!$E$6:$O$9929,7,FALSE)</f>
        <v>John Doddy</v>
      </c>
      <c r="AF1206" s="380" t="str">
        <f>VLOOKUP($B1206,'D7 - NDB Impacted SPRF''s'!$E$6:$O$9929,6,FALSE)</f>
        <v>Carolyn Green</v>
      </c>
      <c r="AG1206" s="282"/>
      <c r="AH1206" s="311" t="e">
        <f>INDEX('D5 - Gatekeeper - Projects'!$A$4:$AF$1010,$AM1206, 17)</f>
        <v>#N/A</v>
      </c>
      <c r="AI1206" s="8"/>
      <c r="AJ1206" s="57"/>
      <c r="AK1206" s="57"/>
      <c r="AM1206" s="6" t="e">
        <f>MATCH(D1206,'D5 - Gatekeeper - Projects'!$C$4:$C$1010,0)</f>
        <v>#N/A</v>
      </c>
      <c r="AN1206" s="6" t="b">
        <f t="shared" si="115"/>
        <v>1</v>
      </c>
      <c r="AO1206" s="6" t="str">
        <f t="shared" si="117"/>
        <v>OK</v>
      </c>
      <c r="AQ1206" s="6" t="e">
        <f>MATCH($D1206,'D4 - Provider Council Unsched'!$C$11:$C$234,0)</f>
        <v>#N/A</v>
      </c>
      <c r="AR1206" s="6" t="b">
        <f t="shared" si="116"/>
        <v>1</v>
      </c>
      <c r="AS1206" s="6" t="str">
        <f t="shared" si="121"/>
        <v>OK</v>
      </c>
      <c r="AU1206" s="202"/>
      <c r="AV1206" s="262"/>
      <c r="AW1206" s="274"/>
    </row>
    <row r="1207" spans="1:49" s="13" customFormat="1" ht="45" x14ac:dyDescent="0.2">
      <c r="A1207" s="14">
        <v>1183</v>
      </c>
      <c r="B1207" s="14">
        <v>400031991</v>
      </c>
      <c r="C1207" s="8" t="s">
        <v>5197</v>
      </c>
      <c r="D1207" s="4" t="str">
        <f t="shared" si="119"/>
        <v>400031991R1</v>
      </c>
      <c r="E1207" s="309" t="str">
        <f>VLOOKUP($B1207,'D7 - NDB Impacted SPRF''s'!$E$6:$O$9929,2,FALSE)</f>
        <v>Meta Data Management</v>
      </c>
      <c r="F1207" s="8" t="s">
        <v>2114</v>
      </c>
      <c r="G1207" s="8" t="s">
        <v>4758</v>
      </c>
      <c r="H1207" s="8" t="s">
        <v>4246</v>
      </c>
      <c r="I1207" s="20">
        <v>3.32</v>
      </c>
      <c r="J1207" s="8" t="s">
        <v>4862</v>
      </c>
      <c r="K1207" s="182">
        <v>40152</v>
      </c>
      <c r="L1207" s="8" t="s">
        <v>4156</v>
      </c>
      <c r="M1207" s="8" t="s">
        <v>6688</v>
      </c>
      <c r="N1207" s="38"/>
      <c r="O1207" s="8" t="s">
        <v>4019</v>
      </c>
      <c r="P1207" s="4" t="str">
        <f>VLOOKUP($B1207,'D7 - NDB Impacted SPRF''s'!$E$16:$O$9929,9,FALSE)</f>
        <v>Y</v>
      </c>
      <c r="Q1207" s="4" t="str">
        <f>VLOOKUP($B1207,'D7 - NDB Impacted SPRF''s'!$E$16:$O$9929,10,FALSE)</f>
        <v>N</v>
      </c>
      <c r="R1207" s="4" t="str">
        <f>VLOOKUP($B1207,'D7 - NDB Impacted SPRF''s'!$E$16:$O$9929,11,FALSE)</f>
        <v>N</v>
      </c>
      <c r="S1207" s="8"/>
      <c r="T1207" s="310"/>
      <c r="U1207" s="310"/>
      <c r="V1207" s="4"/>
      <c r="W1207" s="4"/>
      <c r="X1207" s="4"/>
      <c r="Y1207" s="4"/>
      <c r="Z1207" s="4"/>
      <c r="AA1207" s="4"/>
      <c r="AB1207" s="380" t="str">
        <f>VLOOKUP($B1207,'D7 - NDB Impacted SPRF''s'!$E$6:$O$9929,4,FALSE)</f>
        <v>Completed</v>
      </c>
      <c r="AC1207" s="380" t="str">
        <f>VLOOKUP($B1207,'D7 - NDB Impacted SPRF''s'!$E$6:$O$9929,3,FALSE)</f>
        <v>UHG IT - Enterprise Technology Services</v>
      </c>
      <c r="AD1207" s="380" t="str">
        <f>VLOOKUP($B1207,'D7 - NDB Impacted SPRF''s'!$E$6:$O$9929,5,FALSE)</f>
        <v>ASG</v>
      </c>
      <c r="AE1207" s="380" t="str">
        <f>VLOOKUP($B1207,'D7 - NDB Impacted SPRF''s'!$E$6:$O$9929,7,FALSE)</f>
        <v>Timothy G Peterson</v>
      </c>
      <c r="AF1207" s="380" t="str">
        <f>VLOOKUP($B1207,'D7 - NDB Impacted SPRF''s'!$E$6:$O$9929,6,FALSE)</f>
        <v>Eileen Cabe</v>
      </c>
      <c r="AG1207" s="282"/>
      <c r="AH1207" s="311" t="e">
        <f>INDEX('D5 - Gatekeeper - Projects'!$A$4:$AF$1010,$AM1207, 17)</f>
        <v>#N/A</v>
      </c>
      <c r="AI1207" s="8"/>
      <c r="AJ1207" s="57"/>
      <c r="AK1207" s="57"/>
      <c r="AM1207" s="6" t="e">
        <f>MATCH(D1207,'D5 - Gatekeeper - Projects'!$C$4:$C$1010,0)</f>
        <v>#N/A</v>
      </c>
      <c r="AN1207" s="6" t="b">
        <f t="shared" si="115"/>
        <v>1</v>
      </c>
      <c r="AO1207" s="6" t="str">
        <f t="shared" si="117"/>
        <v>OK</v>
      </c>
      <c r="AQ1207" s="6" t="e">
        <f>MATCH($D1207,'D4 - Provider Council Unsched'!$C$11:$C$234,0)</f>
        <v>#N/A</v>
      </c>
      <c r="AR1207" s="6" t="b">
        <f t="shared" si="116"/>
        <v>1</v>
      </c>
      <c r="AS1207" s="6" t="str">
        <f t="shared" si="121"/>
        <v>OK</v>
      </c>
      <c r="AU1207" s="202"/>
      <c r="AV1207" s="262"/>
      <c r="AW1207" s="274"/>
    </row>
    <row r="1208" spans="1:49" s="13" customFormat="1" ht="45" x14ac:dyDescent="0.2">
      <c r="A1208" s="14">
        <v>1184</v>
      </c>
      <c r="B1208" s="14">
        <v>400032675</v>
      </c>
      <c r="C1208" s="8" t="s">
        <v>5197</v>
      </c>
      <c r="D1208" s="4" t="str">
        <f t="shared" si="119"/>
        <v>400032675R1</v>
      </c>
      <c r="E1208" s="309" t="str">
        <f>VLOOKUP($B1208,'D7 - NDB Impacted SPRF''s'!$E$6:$O$9929,2,FALSE)</f>
        <v>HIPAA 5010 2009 Work Acceleration</v>
      </c>
      <c r="F1208" s="8" t="s">
        <v>4471</v>
      </c>
      <c r="G1208" s="8" t="s">
        <v>4758</v>
      </c>
      <c r="H1208" s="8" t="s">
        <v>4246</v>
      </c>
      <c r="I1208" s="20">
        <v>6</v>
      </c>
      <c r="J1208" s="8" t="s">
        <v>4862</v>
      </c>
      <c r="K1208" s="182">
        <v>40152</v>
      </c>
      <c r="L1208" s="8" t="s">
        <v>4156</v>
      </c>
      <c r="M1208" s="8" t="s">
        <v>6688</v>
      </c>
      <c r="N1208" s="38"/>
      <c r="O1208" s="8" t="s">
        <v>7086</v>
      </c>
      <c r="P1208" s="4" t="str">
        <f>VLOOKUP($B1208,'D7 - NDB Impacted SPRF''s'!$E$16:$O$9929,9,FALSE)</f>
        <v>Y</v>
      </c>
      <c r="Q1208" s="4" t="str">
        <f>VLOOKUP($B1208,'D7 - NDB Impacted SPRF''s'!$E$16:$O$9929,10,FALSE)</f>
        <v>N</v>
      </c>
      <c r="R1208" s="4" t="str">
        <f>VLOOKUP($B1208,'D7 - NDB Impacted SPRF''s'!$E$16:$O$9929,11,FALSE)</f>
        <v>Y</v>
      </c>
      <c r="S1208" s="8"/>
      <c r="T1208" s="310"/>
      <c r="U1208" s="310"/>
      <c r="V1208" s="4"/>
      <c r="W1208" s="4"/>
      <c r="X1208" s="4"/>
      <c r="Y1208" s="4"/>
      <c r="Z1208" s="4"/>
      <c r="AA1208" s="4"/>
      <c r="AB1208" s="380" t="str">
        <f>VLOOKUP($B1208,'D7 - NDB Impacted SPRF''s'!$E$6:$O$9929,4,FALSE)</f>
        <v>Completed</v>
      </c>
      <c r="AC1208" s="380" t="str">
        <f>VLOOKUP($B1208,'D7 - NDB Impacted SPRF''s'!$E$6:$O$9929,3,FALSE)</f>
        <v>UHG IT - Enterprise Technology Services</v>
      </c>
      <c r="AD1208" s="380" t="str">
        <f>VLOOKUP($B1208,'D7 - NDB Impacted SPRF''s'!$E$6:$O$9929,5,FALSE)</f>
        <v>Strategic Initiatives</v>
      </c>
      <c r="AE1208" s="380" t="str">
        <f>VLOOKUP($B1208,'D7 - NDB Impacted SPRF''s'!$E$6:$O$9929,7,FALSE)</f>
        <v>Jolly Nanda</v>
      </c>
      <c r="AF1208" s="380" t="str">
        <f>VLOOKUP($B1208,'D7 - NDB Impacted SPRF''s'!$E$6:$O$9929,6,FALSE)</f>
        <v>ROSS OGDEN</v>
      </c>
      <c r="AG1208" s="282"/>
      <c r="AH1208" s="311" t="e">
        <f>INDEX('D5 - Gatekeeper - Projects'!$A$4:$AF$1010,$AM1208, 17)</f>
        <v>#N/A</v>
      </c>
      <c r="AI1208" s="8"/>
      <c r="AJ1208" s="57"/>
      <c r="AK1208" s="105"/>
      <c r="AM1208" s="6" t="e">
        <f>MATCH(D1208,'D5 - Gatekeeper - Projects'!$C$4:$C$1010,0)</f>
        <v>#N/A</v>
      </c>
      <c r="AN1208" s="6" t="b">
        <f t="shared" si="115"/>
        <v>1</v>
      </c>
      <c r="AO1208" s="6" t="str">
        <f t="shared" si="117"/>
        <v>OK</v>
      </c>
      <c r="AQ1208" s="6" t="e">
        <f>MATCH($D1208,'D4 - Provider Council Unsched'!$C$11:$C$234,0)</f>
        <v>#N/A</v>
      </c>
      <c r="AR1208" s="6" t="b">
        <f t="shared" si="116"/>
        <v>1</v>
      </c>
      <c r="AS1208" s="6" t="str">
        <f t="shared" si="121"/>
        <v>OK</v>
      </c>
      <c r="AU1208" s="202"/>
      <c r="AV1208" s="262"/>
      <c r="AW1208" s="274"/>
    </row>
    <row r="1209" spans="1:49" s="13" customFormat="1" x14ac:dyDescent="0.2">
      <c r="A1209" s="14">
        <v>1185</v>
      </c>
      <c r="B1209" s="14" t="s">
        <v>4621</v>
      </c>
      <c r="C1209" s="8" t="s">
        <v>5197</v>
      </c>
      <c r="D1209" s="4" t="s">
        <v>4621</v>
      </c>
      <c r="E1209" s="309" t="s">
        <v>5670</v>
      </c>
      <c r="F1209" s="8" t="s">
        <v>2114</v>
      </c>
      <c r="G1209" s="8" t="s">
        <v>4758</v>
      </c>
      <c r="H1209" s="8" t="s">
        <v>4246</v>
      </c>
      <c r="I1209" s="20">
        <v>2.8</v>
      </c>
      <c r="J1209" s="8" t="s">
        <v>4862</v>
      </c>
      <c r="K1209" s="182">
        <v>40152</v>
      </c>
      <c r="L1209" s="8" t="s">
        <v>5743</v>
      </c>
      <c r="M1209" s="8" t="s">
        <v>2814</v>
      </c>
      <c r="N1209" s="38"/>
      <c r="O1209" s="8" t="s">
        <v>3572</v>
      </c>
      <c r="P1209" s="4" t="e">
        <f>VLOOKUP($B1209,'D7 - NDB Impacted SPRF''s'!$E$16:$O$9929,9,FALSE)</f>
        <v>#N/A</v>
      </c>
      <c r="Q1209" s="4" t="e">
        <f>VLOOKUP($B1209,'D7 - NDB Impacted SPRF''s'!$E$16:$O$9929,10,FALSE)</f>
        <v>#N/A</v>
      </c>
      <c r="R1209" s="4" t="e">
        <f>VLOOKUP($B1209,'D7 - NDB Impacted SPRF''s'!$E$16:$O$9929,11,FALSE)</f>
        <v>#N/A</v>
      </c>
      <c r="S1209" s="8"/>
      <c r="T1209" s="310"/>
      <c r="U1209" s="310"/>
      <c r="V1209" s="4"/>
      <c r="W1209" s="4"/>
      <c r="X1209" s="4"/>
      <c r="Y1209" s="4"/>
      <c r="Z1209" s="4"/>
      <c r="AA1209" s="4"/>
      <c r="AB1209" s="383" t="e">
        <f>VLOOKUP($B1209,'D7 - NDB Impacted SPRF''s'!$E$16:$O$9929,4,FALSE)</f>
        <v>#N/A</v>
      </c>
      <c r="AC1209" s="380" t="e">
        <f>VLOOKUP($B1209,'D7 - NDB Impacted SPRF''s'!$E$16:$O$9929,3,FALSE)</f>
        <v>#N/A</v>
      </c>
      <c r="AD1209" s="380" t="e">
        <f>VLOOKUP($B1209,'D7 - NDB Impacted SPRF''s'!$E$16:$O$9929,5,FALSE)</f>
        <v>#N/A</v>
      </c>
      <c r="AE1209" s="380" t="e">
        <f>VLOOKUP($B1209,'D7 - NDB Impacted SPRF''s'!$E$16:$O$9929,7,FALSE)</f>
        <v>#N/A</v>
      </c>
      <c r="AF1209" s="380" t="e">
        <f>VLOOKUP($B1209,'D7 - NDB Impacted SPRF''s'!$E$16:$O$9929,6,FALSE)</f>
        <v>#N/A</v>
      </c>
      <c r="AG1209" s="282"/>
      <c r="AH1209" s="311" t="e">
        <f>INDEX('D5 - Gatekeeper - Projects'!$A$4:$AF$1010,$AM1209, 17)</f>
        <v>#N/A</v>
      </c>
      <c r="AI1209" s="8"/>
      <c r="AJ1209" s="57"/>
      <c r="AK1209" s="105"/>
      <c r="AM1209" s="6" t="e">
        <f>MATCH(D1209,'D5 - Gatekeeper - Projects'!$C$4:$C$1010,0)</f>
        <v>#N/A</v>
      </c>
      <c r="AN1209" s="6" t="b">
        <f t="shared" si="115"/>
        <v>1</v>
      </c>
      <c r="AO1209" s="6" t="str">
        <f t="shared" si="117"/>
        <v>OK</v>
      </c>
      <c r="AQ1209" s="6" t="e">
        <f>MATCH($D1209,'D4 - Provider Council Unsched'!$C$11:$C$234,0)</f>
        <v>#N/A</v>
      </c>
      <c r="AR1209" s="6" t="b">
        <f t="shared" si="116"/>
        <v>1</v>
      </c>
      <c r="AS1209" s="6" t="str">
        <f t="shared" si="121"/>
        <v>OK</v>
      </c>
      <c r="AU1209" s="202"/>
      <c r="AV1209" s="262"/>
      <c r="AW1209" s="274"/>
    </row>
    <row r="1210" spans="1:49" s="13" customFormat="1" x14ac:dyDescent="0.2">
      <c r="A1210" s="14">
        <v>1186</v>
      </c>
      <c r="B1210" s="14" t="s">
        <v>1252</v>
      </c>
      <c r="C1210" s="8" t="s">
        <v>5197</v>
      </c>
      <c r="D1210" s="4" t="s">
        <v>1258</v>
      </c>
      <c r="E1210" s="309" t="s">
        <v>6801</v>
      </c>
      <c r="F1210" s="8" t="s">
        <v>2114</v>
      </c>
      <c r="G1210" s="8" t="s">
        <v>4758</v>
      </c>
      <c r="H1210" s="8" t="s">
        <v>4246</v>
      </c>
      <c r="I1210" s="20">
        <v>1.33</v>
      </c>
      <c r="J1210" s="8" t="s">
        <v>4862</v>
      </c>
      <c r="K1210" s="182">
        <v>40152</v>
      </c>
      <c r="L1210" s="8" t="s">
        <v>5743</v>
      </c>
      <c r="M1210" s="8" t="s">
        <v>5626</v>
      </c>
      <c r="N1210" s="38"/>
      <c r="O1210" s="8" t="s">
        <v>3572</v>
      </c>
      <c r="P1210" s="4" t="e">
        <f>VLOOKUP($B1210,'D7 - NDB Impacted SPRF''s'!$E$16:$O$9929,9,FALSE)</f>
        <v>#N/A</v>
      </c>
      <c r="Q1210" s="4" t="e">
        <f>VLOOKUP($B1210,'D7 - NDB Impacted SPRF''s'!$E$16:$O$9929,10,FALSE)</f>
        <v>#N/A</v>
      </c>
      <c r="R1210" s="4" t="e">
        <f>VLOOKUP($B1210,'D7 - NDB Impacted SPRF''s'!$E$16:$O$9929,11,FALSE)</f>
        <v>#N/A</v>
      </c>
      <c r="S1210" s="8"/>
      <c r="T1210" s="310"/>
      <c r="U1210" s="310"/>
      <c r="V1210" s="4"/>
      <c r="W1210" s="4"/>
      <c r="X1210" s="4"/>
      <c r="Y1210" s="4"/>
      <c r="Z1210" s="4"/>
      <c r="AA1210" s="4"/>
      <c r="AB1210" s="383" t="e">
        <f>VLOOKUP($B1210,'D7 - NDB Impacted SPRF''s'!$E$16:$O$9929,4,FALSE)</f>
        <v>#N/A</v>
      </c>
      <c r="AC1210" s="380" t="e">
        <f>VLOOKUP($B1210,'D7 - NDB Impacted SPRF''s'!$E$16:$O$9929,3,FALSE)</f>
        <v>#N/A</v>
      </c>
      <c r="AD1210" s="380" t="e">
        <f>VLOOKUP($B1210,'D7 - NDB Impacted SPRF''s'!$E$16:$O$9929,5,FALSE)</f>
        <v>#N/A</v>
      </c>
      <c r="AE1210" s="380" t="e">
        <f>VLOOKUP($B1210,'D7 - NDB Impacted SPRF''s'!$E$16:$O$9929,7,FALSE)</f>
        <v>#N/A</v>
      </c>
      <c r="AF1210" s="380" t="e">
        <f>VLOOKUP($B1210,'D7 - NDB Impacted SPRF''s'!$E$16:$O$9929,6,FALSE)</f>
        <v>#N/A</v>
      </c>
      <c r="AG1210" s="282"/>
      <c r="AH1210" s="311" t="e">
        <f>INDEX('D5 - Gatekeeper - Projects'!$A$4:$AF$1010,$AM1210, 17)</f>
        <v>#N/A</v>
      </c>
      <c r="AI1210" s="8"/>
      <c r="AJ1210" s="57"/>
      <c r="AK1210" s="105"/>
      <c r="AM1210" s="6" t="e">
        <f>MATCH(D1210,'D5 - Gatekeeper - Projects'!$C$4:$C$1010,0)</f>
        <v>#N/A</v>
      </c>
      <c r="AN1210" s="6" t="b">
        <f t="shared" si="115"/>
        <v>1</v>
      </c>
      <c r="AO1210" s="6" t="str">
        <f t="shared" si="117"/>
        <v>OK</v>
      </c>
      <c r="AQ1210" s="6" t="e">
        <f>MATCH($D1210,'D4 - Provider Council Unsched'!$C$11:$C$234,0)</f>
        <v>#N/A</v>
      </c>
      <c r="AR1210" s="6" t="b">
        <f t="shared" si="116"/>
        <v>1</v>
      </c>
      <c r="AS1210" s="6" t="str">
        <f t="shared" si="121"/>
        <v>OK</v>
      </c>
      <c r="AU1210" s="202"/>
      <c r="AV1210" s="262"/>
      <c r="AW1210" s="274"/>
    </row>
    <row r="1211" spans="1:49" s="13" customFormat="1" ht="12.75" x14ac:dyDescent="0.2">
      <c r="A1211" s="14">
        <v>1187</v>
      </c>
      <c r="B1211" s="14" t="s">
        <v>4764</v>
      </c>
      <c r="C1211" s="8" t="s">
        <v>5197</v>
      </c>
      <c r="D1211" s="4" t="s">
        <v>4763</v>
      </c>
      <c r="E1211" s="341" t="s">
        <v>4765</v>
      </c>
      <c r="F1211" s="8" t="s">
        <v>2114</v>
      </c>
      <c r="G1211" s="8" t="s">
        <v>4758</v>
      </c>
      <c r="H1211" s="8" t="s">
        <v>4246</v>
      </c>
      <c r="I1211" s="20">
        <v>1</v>
      </c>
      <c r="J1211" s="8" t="s">
        <v>4862</v>
      </c>
      <c r="K1211" s="182">
        <v>40155</v>
      </c>
      <c r="L1211" s="8" t="s">
        <v>5743</v>
      </c>
      <c r="M1211" s="8" t="s">
        <v>2814</v>
      </c>
      <c r="N1211" s="38"/>
      <c r="O1211" s="8" t="s">
        <v>3572</v>
      </c>
      <c r="P1211" s="4" t="e">
        <f>VLOOKUP($B1211,'D7 - NDB Impacted SPRF''s'!$E$16:$O$9929,9,FALSE)</f>
        <v>#N/A</v>
      </c>
      <c r="Q1211" s="4" t="e">
        <f>VLOOKUP($B1211,'D7 - NDB Impacted SPRF''s'!$E$16:$O$9929,10,FALSE)</f>
        <v>#N/A</v>
      </c>
      <c r="R1211" s="4" t="e">
        <f>VLOOKUP($B1211,'D7 - NDB Impacted SPRF''s'!$E$16:$O$9929,11,FALSE)</f>
        <v>#N/A</v>
      </c>
      <c r="S1211" s="8"/>
      <c r="T1211" s="310"/>
      <c r="U1211" s="310"/>
      <c r="V1211" s="4"/>
      <c r="W1211" s="4"/>
      <c r="X1211" s="4"/>
      <c r="Y1211" s="4"/>
      <c r="Z1211" s="4"/>
      <c r="AA1211" s="4"/>
      <c r="AB1211" s="383" t="e">
        <f>VLOOKUP($B1211,'D7 - NDB Impacted SPRF''s'!$E$16:$O$9929,4,FALSE)</f>
        <v>#N/A</v>
      </c>
      <c r="AC1211" s="380" t="e">
        <f>VLOOKUP($B1211,'D7 - NDB Impacted SPRF''s'!$E$16:$O$9929,3,FALSE)</f>
        <v>#N/A</v>
      </c>
      <c r="AD1211" s="380" t="e">
        <f>VLOOKUP($B1211,'D7 - NDB Impacted SPRF''s'!$E$16:$O$9929,5,FALSE)</f>
        <v>#N/A</v>
      </c>
      <c r="AE1211" s="380" t="e">
        <f>VLOOKUP($B1211,'D7 - NDB Impacted SPRF''s'!$E$16:$O$9929,7,FALSE)</f>
        <v>#N/A</v>
      </c>
      <c r="AF1211" s="380" t="e">
        <f>VLOOKUP($B1211,'D7 - NDB Impacted SPRF''s'!$E$16:$O$9929,6,FALSE)</f>
        <v>#N/A</v>
      </c>
      <c r="AG1211" s="282"/>
      <c r="AH1211" s="311" t="e">
        <f>INDEX('D5 - Gatekeeper - Projects'!$A$4:$AF$1010,$AM1211, 17)</f>
        <v>#N/A</v>
      </c>
      <c r="AI1211" s="8"/>
      <c r="AJ1211" s="57"/>
      <c r="AK1211" s="105"/>
      <c r="AM1211" s="6" t="e">
        <f>MATCH(D1211,'D5 - Gatekeeper - Projects'!$C$4:$C$1010,0)</f>
        <v>#N/A</v>
      </c>
      <c r="AN1211" s="6" t="b">
        <f t="shared" si="115"/>
        <v>1</v>
      </c>
      <c r="AO1211" s="6" t="str">
        <f t="shared" si="117"/>
        <v>OK</v>
      </c>
      <c r="AQ1211" s="6" t="e">
        <f>MATCH($D1211,'D4 - Provider Council Unsched'!$C$11:$C$234,0)</f>
        <v>#N/A</v>
      </c>
      <c r="AR1211" s="6" t="b">
        <f t="shared" si="116"/>
        <v>1</v>
      </c>
      <c r="AS1211" s="6" t="str">
        <f t="shared" si="121"/>
        <v>OK</v>
      </c>
      <c r="AU1211" s="202"/>
      <c r="AV1211" s="262"/>
      <c r="AW1211" s="274"/>
    </row>
    <row r="1212" spans="1:49" s="13" customFormat="1" ht="33.75" x14ac:dyDescent="0.2">
      <c r="A1212" s="14">
        <v>1188</v>
      </c>
      <c r="B1212" s="14">
        <v>400032355</v>
      </c>
      <c r="C1212" s="8" t="s">
        <v>5197</v>
      </c>
      <c r="D1212" s="4" t="str">
        <f t="shared" ref="D1212:D1227" si="122">CONCATENATE(B1212,C1212)</f>
        <v>400032355R1</v>
      </c>
      <c r="E1212" s="309" t="str">
        <f>VLOOKUP($B1212,'D7 - NDB Impacted SPRF''s'!$E$6:$O$9929,2,FALSE)</f>
        <v>HPHC Modifier 52 Reimbursement Rate Change</v>
      </c>
      <c r="F1212" s="8"/>
      <c r="G1212" s="8" t="s">
        <v>4758</v>
      </c>
      <c r="H1212" s="8" t="s">
        <v>4246</v>
      </c>
      <c r="I1212" s="20">
        <v>1.07</v>
      </c>
      <c r="J1212" s="8" t="s">
        <v>4862</v>
      </c>
      <c r="K1212" s="182">
        <v>40177</v>
      </c>
      <c r="L1212" s="8" t="s">
        <v>4156</v>
      </c>
      <c r="M1212" s="8" t="s">
        <v>6007</v>
      </c>
      <c r="N1212" s="38"/>
      <c r="O1212" s="8" t="s">
        <v>4019</v>
      </c>
      <c r="P1212" s="4" t="str">
        <f>VLOOKUP($B1212,'D7 - NDB Impacted SPRF''s'!$E$16:$O$9929,9,FALSE)</f>
        <v>N</v>
      </c>
      <c r="Q1212" s="4" t="str">
        <f>VLOOKUP($B1212,'D7 - NDB Impacted SPRF''s'!$E$16:$O$9929,10,FALSE)</f>
        <v>N</v>
      </c>
      <c r="R1212" s="4" t="str">
        <f>VLOOKUP($B1212,'D7 - NDB Impacted SPRF''s'!$E$16:$O$9929,11,FALSE)</f>
        <v>N</v>
      </c>
      <c r="S1212" s="8"/>
      <c r="T1212" s="310"/>
      <c r="U1212" s="310"/>
      <c r="V1212" s="4"/>
      <c r="W1212" s="4"/>
      <c r="X1212" s="4"/>
      <c r="Y1212" s="4"/>
      <c r="Z1212" s="4"/>
      <c r="AA1212" s="4"/>
      <c r="AB1212" s="380" t="str">
        <f>VLOOKUP($B1212,'D7 - NDB Impacted SPRF''s'!$E$6:$O$9929,4,FALSE)</f>
        <v>Completed</v>
      </c>
      <c r="AC1212" s="380" t="str">
        <f>VLOOKUP($B1212,'D7 - NDB Impacted SPRF''s'!$E$6:$O$9929,3,FALSE)</f>
        <v>UnitedHealthcare Employer &amp; Individual</v>
      </c>
      <c r="AD1212" s="380" t="str">
        <f>VLOOKUP($B1212,'D7 - NDB Impacted SPRF''s'!$E$6:$O$9929,5,FALSE)</f>
        <v>HCA - HPHC Operational Support</v>
      </c>
      <c r="AE1212" s="380" t="str">
        <f>VLOOKUP($B1212,'D7 - NDB Impacted SPRF''s'!$E$6:$O$9929,7,FALSE)</f>
        <v>Patricio Cobos</v>
      </c>
      <c r="AF1212" s="380" t="str">
        <f>VLOOKUP($B1212,'D7 - NDB Impacted SPRF''s'!$E$6:$O$9929,6,FALSE)</f>
        <v>LUND ROSS</v>
      </c>
      <c r="AG1212" s="282"/>
      <c r="AH1212" s="311" t="e">
        <f>INDEX('D5 - Gatekeeper - Projects'!$A$4:$AF$1010,$AM1212, 17)</f>
        <v>#N/A</v>
      </c>
      <c r="AI1212" s="8"/>
      <c r="AJ1212" s="57"/>
      <c r="AK1212" s="105"/>
      <c r="AM1212" s="6" t="e">
        <f>MATCH(D1212,'D5 - Gatekeeper - Projects'!$C$4:$C$1010,0)</f>
        <v>#N/A</v>
      </c>
      <c r="AN1212" s="6" t="b">
        <f t="shared" si="115"/>
        <v>1</v>
      </c>
      <c r="AO1212" s="6" t="str">
        <f t="shared" si="117"/>
        <v>OK</v>
      </c>
      <c r="AQ1212" s="6" t="e">
        <f>MATCH($D1212,'D4 - Provider Council Unsched'!$C$11:$C$234,0)</f>
        <v>#N/A</v>
      </c>
      <c r="AR1212" s="6" t="b">
        <f t="shared" si="116"/>
        <v>1</v>
      </c>
      <c r="AS1212" s="6" t="str">
        <f t="shared" si="121"/>
        <v>OK</v>
      </c>
      <c r="AU1212" s="202"/>
      <c r="AV1212" s="262"/>
      <c r="AW1212" s="274"/>
    </row>
    <row r="1213" spans="1:49" s="13" customFormat="1" ht="33.75" x14ac:dyDescent="0.2">
      <c r="A1213" s="14">
        <v>1189</v>
      </c>
      <c r="B1213" s="14">
        <v>400032355</v>
      </c>
      <c r="C1213" s="8" t="s">
        <v>5197</v>
      </c>
      <c r="D1213" s="4" t="str">
        <f t="shared" si="122"/>
        <v>400032355R1</v>
      </c>
      <c r="E1213" s="309" t="str">
        <f>VLOOKUP($B1213,'D7 - NDB Impacted SPRF''s'!$E$6:$O$9929,2,FALSE)</f>
        <v>HPHC Modifier 52 Reimbursement Rate Change</v>
      </c>
      <c r="F1213" s="8" t="s">
        <v>5595</v>
      </c>
      <c r="G1213" s="8" t="s">
        <v>4758</v>
      </c>
      <c r="H1213" s="8" t="s">
        <v>4246</v>
      </c>
      <c r="I1213" s="20">
        <v>3</v>
      </c>
      <c r="J1213" s="8" t="s">
        <v>4862</v>
      </c>
      <c r="K1213" s="182">
        <v>40179</v>
      </c>
      <c r="L1213" s="8" t="s">
        <v>4156</v>
      </c>
      <c r="M1213" s="8" t="s">
        <v>6688</v>
      </c>
      <c r="N1213" s="38"/>
      <c r="O1213" s="8" t="s">
        <v>2875</v>
      </c>
      <c r="P1213" s="4" t="str">
        <f>VLOOKUP($B1213,'D7 - NDB Impacted SPRF''s'!$E$16:$O$9929,9,FALSE)</f>
        <v>N</v>
      </c>
      <c r="Q1213" s="4" t="str">
        <f>VLOOKUP($B1213,'D7 - NDB Impacted SPRF''s'!$E$16:$O$9929,10,FALSE)</f>
        <v>N</v>
      </c>
      <c r="R1213" s="4" t="str">
        <f>VLOOKUP($B1213,'D7 - NDB Impacted SPRF''s'!$E$16:$O$9929,11,FALSE)</f>
        <v>N</v>
      </c>
      <c r="S1213" s="8"/>
      <c r="T1213" s="310"/>
      <c r="U1213" s="310"/>
      <c r="V1213" s="4"/>
      <c r="W1213" s="4"/>
      <c r="X1213" s="4"/>
      <c r="Y1213" s="4"/>
      <c r="Z1213" s="4"/>
      <c r="AA1213" s="4"/>
      <c r="AB1213" s="380" t="str">
        <f>VLOOKUP($B1213,'D7 - NDB Impacted SPRF''s'!$E$6:$O$9929,4,FALSE)</f>
        <v>Completed</v>
      </c>
      <c r="AC1213" s="380" t="str">
        <f>VLOOKUP($B1213,'D7 - NDB Impacted SPRF''s'!$E$6:$O$9929,3,FALSE)</f>
        <v>UnitedHealthcare Employer &amp; Individual</v>
      </c>
      <c r="AD1213" s="380" t="str">
        <f>VLOOKUP($B1213,'D7 - NDB Impacted SPRF''s'!$E$6:$O$9929,5,FALSE)</f>
        <v>HCA - HPHC Operational Support</v>
      </c>
      <c r="AE1213" s="380" t="str">
        <f>VLOOKUP($B1213,'D7 - NDB Impacted SPRF''s'!$E$6:$O$9929,7,FALSE)</f>
        <v>Patricio Cobos</v>
      </c>
      <c r="AF1213" s="380" t="str">
        <f>VLOOKUP($B1213,'D7 - NDB Impacted SPRF''s'!$E$6:$O$9929,6,FALSE)</f>
        <v>LUND ROSS</v>
      </c>
      <c r="AG1213" s="282"/>
      <c r="AH1213" s="311" t="e">
        <f>INDEX('D5 - Gatekeeper - Projects'!$A$4:$AF$1010,$AM1213, 17)</f>
        <v>#N/A</v>
      </c>
      <c r="AI1213" s="8"/>
      <c r="AJ1213" s="57"/>
      <c r="AK1213" s="105"/>
      <c r="AM1213" s="6" t="e">
        <f>MATCH(D1213,'D5 - Gatekeeper - Projects'!$C$4:$C$1010,0)</f>
        <v>#N/A</v>
      </c>
      <c r="AN1213" s="6" t="b">
        <f t="shared" si="115"/>
        <v>1</v>
      </c>
      <c r="AO1213" s="6" t="str">
        <f t="shared" si="117"/>
        <v>OK</v>
      </c>
      <c r="AQ1213" s="6" t="e">
        <f>MATCH($D1213,'D4 - Provider Council Unsched'!$C$11:$C$234,0)</f>
        <v>#N/A</v>
      </c>
      <c r="AR1213" s="6" t="b">
        <f t="shared" si="116"/>
        <v>1</v>
      </c>
      <c r="AS1213" s="6" t="str">
        <f t="shared" ref="AS1213:AS1219" si="123">IF(AND(H1213="2 - Not Scheduled",AR1213=TRUE,C1213="R1"),"Add","OK")</f>
        <v>OK</v>
      </c>
      <c r="AU1213" s="202"/>
      <c r="AV1213" s="262"/>
      <c r="AW1213" s="274"/>
    </row>
    <row r="1214" spans="1:49" s="13" customFormat="1" x14ac:dyDescent="0.2">
      <c r="A1214" s="14">
        <v>1190</v>
      </c>
      <c r="B1214" s="14">
        <v>400025331</v>
      </c>
      <c r="C1214" s="8" t="s">
        <v>5197</v>
      </c>
      <c r="D1214" s="4" t="str">
        <f t="shared" si="122"/>
        <v>400025331R1</v>
      </c>
      <c r="E1214" s="309" t="str">
        <f>VLOOKUP($B1214,'D7 - NDB Impacted SPRF''s'!$E$6:$O$9929,2,FALSE)</f>
        <v xml:space="preserve">UBH PTI by Network Contracting Organization EPDL  </v>
      </c>
      <c r="F1214" s="8" t="s">
        <v>2114</v>
      </c>
      <c r="G1214" s="8" t="s">
        <v>4758</v>
      </c>
      <c r="H1214" s="8" t="s">
        <v>4246</v>
      </c>
      <c r="I1214" s="20">
        <v>1.07</v>
      </c>
      <c r="J1214" s="8" t="s">
        <v>4862</v>
      </c>
      <c r="K1214" s="182">
        <v>40222</v>
      </c>
      <c r="L1214" s="8" t="s">
        <v>5743</v>
      </c>
      <c r="M1214" s="8" t="s">
        <v>5626</v>
      </c>
      <c r="N1214" s="38"/>
      <c r="O1214" s="8" t="s">
        <v>2000</v>
      </c>
      <c r="P1214" s="4" t="str">
        <f>VLOOKUP($B1214,'D7 - NDB Impacted SPRF''s'!$E$16:$O$9929,9,FALSE)</f>
        <v>N</v>
      </c>
      <c r="Q1214" s="4" t="str">
        <f>VLOOKUP($B1214,'D7 - NDB Impacted SPRF''s'!$E$16:$O$9929,10,FALSE)</f>
        <v>N</v>
      </c>
      <c r="R1214" s="4" t="str">
        <f>VLOOKUP($B1214,'D7 - NDB Impacted SPRF''s'!$E$16:$O$9929,11,FALSE)</f>
        <v>N</v>
      </c>
      <c r="S1214" s="8"/>
      <c r="T1214" s="310"/>
      <c r="U1214" s="310"/>
      <c r="V1214" s="4"/>
      <c r="W1214" s="4"/>
      <c r="X1214" s="4"/>
      <c r="Y1214" s="4"/>
      <c r="Z1214" s="4"/>
      <c r="AA1214" s="4"/>
      <c r="AB1214" s="380" t="str">
        <f>VLOOKUP($B1214,'D7 - NDB Impacted SPRF''s'!$E$16:$O$9929,4,FALSE)</f>
        <v>Completed</v>
      </c>
      <c r="AC1214" s="380" t="str">
        <f>VLOOKUP($B1214,'D7 - NDB Impacted SPRF''s'!$E$16:$O$9929,3,FALSE)</f>
        <v>OptumHealth</v>
      </c>
      <c r="AD1214" s="380" t="str">
        <f>VLOOKUP($B1214,'D7 - NDB Impacted SPRF''s'!$E$16:$O$9929,5,FALSE)</f>
        <v>Behavioral Solutions</v>
      </c>
      <c r="AE1214" s="380" t="str">
        <f>VLOOKUP($B1214,'D7 - NDB Impacted SPRF''s'!$E$16:$O$9929,7,FALSE)</f>
        <v>Michelle Brennan-Cooke</v>
      </c>
      <c r="AF1214" s="380" t="str">
        <f>VLOOKUP($B1214,'D7 - NDB Impacted SPRF''s'!$E$16:$O$9929,6,FALSE)</f>
        <v>Teresa Melchior</v>
      </c>
      <c r="AG1214" s="282"/>
      <c r="AH1214" s="311" t="e">
        <f>INDEX('D5 - Gatekeeper - Projects'!$A$4:$AF$1010,$AM1214, 17)</f>
        <v>#N/A</v>
      </c>
      <c r="AI1214" s="8"/>
      <c r="AJ1214" s="57"/>
      <c r="AK1214" s="105"/>
      <c r="AM1214" s="6" t="e">
        <f>MATCH(D1214,'D5 - Gatekeeper - Projects'!$C$4:$C$1010,0)</f>
        <v>#N/A</v>
      </c>
      <c r="AN1214" s="6" t="b">
        <f t="shared" si="115"/>
        <v>1</v>
      </c>
      <c r="AO1214" s="6" t="str">
        <f t="shared" si="117"/>
        <v>OK</v>
      </c>
      <c r="AQ1214" s="6" t="e">
        <f>MATCH($D1214,'D4 - Provider Council Unsched'!$C$11:$C$234,0)</f>
        <v>#N/A</v>
      </c>
      <c r="AR1214" s="6" t="b">
        <f t="shared" si="116"/>
        <v>1</v>
      </c>
      <c r="AS1214" s="6" t="str">
        <f t="shared" si="123"/>
        <v>OK</v>
      </c>
      <c r="AU1214" s="202"/>
      <c r="AV1214" s="262"/>
      <c r="AW1214" s="274"/>
    </row>
    <row r="1215" spans="1:49" s="13" customFormat="1" ht="33.75" x14ac:dyDescent="0.2">
      <c r="A1215" s="14">
        <v>1191</v>
      </c>
      <c r="B1215" s="14">
        <v>400026595</v>
      </c>
      <c r="C1215" s="8" t="s">
        <v>5197</v>
      </c>
      <c r="D1215" s="4" t="str">
        <f t="shared" si="122"/>
        <v>400026595R1</v>
      </c>
      <c r="E1215" s="309" t="str">
        <f>VLOOKUP($B1215,'D7 - NDB Impacted SPRF''s'!$E$6:$O$9929,2,FALSE)</f>
        <v xml:space="preserve">NDB Fee Schedule Space Conservation- Reporting  </v>
      </c>
      <c r="F1215" s="8" t="s">
        <v>5742</v>
      </c>
      <c r="G1215" s="8" t="s">
        <v>4758</v>
      </c>
      <c r="H1215" s="8" t="s">
        <v>4246</v>
      </c>
      <c r="I1215" s="20">
        <v>1.07</v>
      </c>
      <c r="J1215" s="8" t="s">
        <v>4862</v>
      </c>
      <c r="K1215" s="182">
        <v>40222</v>
      </c>
      <c r="L1215" s="8" t="s">
        <v>5743</v>
      </c>
      <c r="M1215" s="8" t="s">
        <v>6007</v>
      </c>
      <c r="N1215" s="38"/>
      <c r="O1215" s="8" t="s">
        <v>5593</v>
      </c>
      <c r="P1215" s="4" t="str">
        <f>VLOOKUP($B1215,'D7 - NDB Impacted SPRF''s'!$E$16:$O$9929,9,FALSE)</f>
        <v>N</v>
      </c>
      <c r="Q1215" s="4" t="str">
        <f>VLOOKUP($B1215,'D7 - NDB Impacted SPRF''s'!$E$16:$O$9929,10,FALSE)</f>
        <v>N</v>
      </c>
      <c r="R1215" s="4" t="str">
        <f>VLOOKUP($B1215,'D7 - NDB Impacted SPRF''s'!$E$16:$O$9929,11,FALSE)</f>
        <v>N</v>
      </c>
      <c r="S1215" s="8"/>
      <c r="T1215" s="310"/>
      <c r="U1215" s="310"/>
      <c r="V1215" s="4"/>
      <c r="W1215" s="4"/>
      <c r="X1215" s="4"/>
      <c r="Y1215" s="4"/>
      <c r="Z1215" s="4"/>
      <c r="AA1215" s="4"/>
      <c r="AB1215" s="380" t="str">
        <f>VLOOKUP($B1215,'D7 - NDB Impacted SPRF''s'!$E$16:$O$9929,4,FALSE)</f>
        <v>Completed</v>
      </c>
      <c r="AC1215" s="380" t="str">
        <f>VLOOKUP($B1215,'D7 - NDB Impacted SPRF''s'!$E$16:$O$9929,3,FALSE)</f>
        <v>UnitedHealthcare Employer &amp; Individual</v>
      </c>
      <c r="AD1215" s="380" t="str">
        <f>VLOOKUP($B1215,'D7 - NDB Impacted SPRF''s'!$E$16:$O$9929,5,FALSE)</f>
        <v>Operational Requirements</v>
      </c>
      <c r="AE1215" s="380" t="str">
        <f>VLOOKUP($B1215,'D7 - NDB Impacted SPRF''s'!$E$16:$O$9929,7,FALSE)</f>
        <v>Jill Foucre</v>
      </c>
      <c r="AF1215" s="380" t="str">
        <f>VLOOKUP($B1215,'D7 - NDB Impacted SPRF''s'!$E$16:$O$9929,6,FALSE)</f>
        <v>PENNINGTON CAROL</v>
      </c>
      <c r="AG1215" s="282"/>
      <c r="AH1215" s="311" t="e">
        <f>INDEX('D5 - Gatekeeper - Projects'!$A$4:$AF$1010,$AM1215, 17)</f>
        <v>#N/A</v>
      </c>
      <c r="AI1215" s="8"/>
      <c r="AJ1215" s="57"/>
      <c r="AK1215" s="105"/>
      <c r="AM1215" s="6" t="e">
        <f>MATCH(D1215,'D5 - Gatekeeper - Projects'!$C$4:$C$1010,0)</f>
        <v>#N/A</v>
      </c>
      <c r="AN1215" s="6" t="b">
        <f t="shared" si="115"/>
        <v>1</v>
      </c>
      <c r="AO1215" s="6" t="str">
        <f t="shared" si="117"/>
        <v>OK</v>
      </c>
      <c r="AQ1215" s="6" t="e">
        <f>MATCH($D1215,'D4 - Provider Council Unsched'!$C$11:$C$234,0)</f>
        <v>#N/A</v>
      </c>
      <c r="AR1215" s="6" t="b">
        <f t="shared" si="116"/>
        <v>1</v>
      </c>
      <c r="AS1215" s="6" t="str">
        <f t="shared" si="123"/>
        <v>OK</v>
      </c>
      <c r="AU1215" s="202"/>
      <c r="AV1215" s="262"/>
      <c r="AW1215" s="274"/>
    </row>
    <row r="1216" spans="1:49" s="13" customFormat="1" ht="45" x14ac:dyDescent="0.2">
      <c r="A1216" s="14">
        <v>1192</v>
      </c>
      <c r="B1216" s="14">
        <v>400028780</v>
      </c>
      <c r="C1216" s="8" t="s">
        <v>3763</v>
      </c>
      <c r="D1216" s="4" t="str">
        <f t="shared" si="122"/>
        <v>400028780R2</v>
      </c>
      <c r="E1216" s="309" t="str">
        <f>VLOOKUP($B1216,'D7 - NDB Impacted SPRF''s'!$E$6:$O$9929,2,FALSE)</f>
        <v>Create COSMOS Batch for NDB in A, B, C, &amp; Master</v>
      </c>
      <c r="F1216" s="8" t="s">
        <v>8133</v>
      </c>
      <c r="G1216" s="8" t="s">
        <v>4758</v>
      </c>
      <c r="H1216" s="8" t="s">
        <v>4246</v>
      </c>
      <c r="I1216" s="20">
        <v>8.4499999999999993</v>
      </c>
      <c r="J1216" s="8" t="s">
        <v>4862</v>
      </c>
      <c r="K1216" s="182">
        <v>40222</v>
      </c>
      <c r="L1216" s="8" t="s">
        <v>5743</v>
      </c>
      <c r="M1216" s="8" t="s">
        <v>4450</v>
      </c>
      <c r="N1216" s="38"/>
      <c r="O1216" s="8" t="s">
        <v>4599</v>
      </c>
      <c r="P1216" s="4" t="str">
        <f>VLOOKUP($B1216,'D7 - NDB Impacted SPRF''s'!$E$16:$O$9929,9,FALSE)</f>
        <v>N</v>
      </c>
      <c r="Q1216" s="4" t="str">
        <f>VLOOKUP($B1216,'D7 - NDB Impacted SPRF''s'!$E$16:$O$9929,10,FALSE)</f>
        <v>N</v>
      </c>
      <c r="R1216" s="4" t="str">
        <f>VLOOKUP($B1216,'D7 - NDB Impacted SPRF''s'!$E$16:$O$9929,11,FALSE)</f>
        <v>N</v>
      </c>
      <c r="S1216" s="8"/>
      <c r="T1216" s="310"/>
      <c r="U1216" s="310"/>
      <c r="V1216" s="4"/>
      <c r="W1216" s="4"/>
      <c r="X1216" s="4"/>
      <c r="Y1216" s="4"/>
      <c r="Z1216" s="4"/>
      <c r="AA1216" s="4"/>
      <c r="AB1216" s="380" t="str">
        <f>VLOOKUP($B1216,'D7 - NDB Impacted SPRF''s'!$E$16:$O$9929,4,FALSE)</f>
        <v>Completed</v>
      </c>
      <c r="AC1216" s="380" t="str">
        <f>VLOOKUP($B1216,'D7 - NDB Impacted SPRF''s'!$E$16:$O$9929,3,FALSE)</f>
        <v>UHG IT - Enterprise Technology Services</v>
      </c>
      <c r="AD1216" s="380" t="str">
        <f>VLOOKUP($B1216,'D7 - NDB Impacted SPRF''s'!$E$16:$O$9929,5,FALSE)</f>
        <v>ASG</v>
      </c>
      <c r="AE1216" s="380" t="str">
        <f>VLOOKUP($B1216,'D7 - NDB Impacted SPRF''s'!$E$16:$O$9929,7,FALSE)</f>
        <v>Bob Preston</v>
      </c>
      <c r="AF1216" s="380" t="str">
        <f>VLOOKUP($B1216,'D7 - NDB Impacted SPRF''s'!$E$16:$O$9929,6,FALSE)</f>
        <v>EDWARD SIWICKI</v>
      </c>
      <c r="AG1216" s="282"/>
      <c r="AH1216" s="311" t="e">
        <f>INDEX('D5 - Gatekeeper - Projects'!$A$4:$AF$1010,$AM1216, 17)</f>
        <v>#N/A</v>
      </c>
      <c r="AI1216" s="8"/>
      <c r="AJ1216" s="57"/>
      <c r="AK1216" s="105"/>
      <c r="AM1216" s="6" t="e">
        <f>MATCH(D1216,'D5 - Gatekeeper - Projects'!$C$4:$C$1010,0)</f>
        <v>#N/A</v>
      </c>
      <c r="AN1216" s="6" t="b">
        <f t="shared" si="115"/>
        <v>1</v>
      </c>
      <c r="AO1216" s="6" t="str">
        <f t="shared" si="117"/>
        <v>OK</v>
      </c>
      <c r="AQ1216" s="6" t="e">
        <f>MATCH($D1216,'D4 - Provider Council Unsched'!$C$11:$C$234,0)</f>
        <v>#N/A</v>
      </c>
      <c r="AR1216" s="6" t="b">
        <f t="shared" si="116"/>
        <v>1</v>
      </c>
      <c r="AS1216" s="6" t="str">
        <f t="shared" si="123"/>
        <v>OK</v>
      </c>
      <c r="AU1216" s="202"/>
      <c r="AV1216" s="262"/>
      <c r="AW1216" s="274"/>
    </row>
    <row r="1217" spans="1:49" s="13" customFormat="1" ht="45" x14ac:dyDescent="0.2">
      <c r="A1217" s="14">
        <v>1193</v>
      </c>
      <c r="B1217" s="14">
        <v>400029024</v>
      </c>
      <c r="C1217" s="8" t="s">
        <v>5197</v>
      </c>
      <c r="D1217" s="4" t="str">
        <f t="shared" si="122"/>
        <v>400029024R1</v>
      </c>
      <c r="E1217" s="309" t="str">
        <f>VLOOKUP($B1217,'D7 - NDB Impacted SPRF''s'!$E$6:$O$9929,2,FALSE)</f>
        <v>Data Extracts to support NYAG / AMA Settlement Act</v>
      </c>
      <c r="F1217" s="8" t="s">
        <v>2114</v>
      </c>
      <c r="G1217" s="8" t="s">
        <v>4758</v>
      </c>
      <c r="H1217" s="8" t="s">
        <v>4246</v>
      </c>
      <c r="I1217" s="20">
        <v>2.13</v>
      </c>
      <c r="J1217" s="8" t="s">
        <v>4862</v>
      </c>
      <c r="K1217" s="182">
        <v>40222</v>
      </c>
      <c r="L1217" s="8" t="s">
        <v>5743</v>
      </c>
      <c r="M1217" s="8" t="s">
        <v>2814</v>
      </c>
      <c r="N1217" s="38"/>
      <c r="O1217" s="8" t="s">
        <v>7299</v>
      </c>
      <c r="P1217" s="4" t="str">
        <f>VLOOKUP($B1217,'D7 - NDB Impacted SPRF''s'!$E$16:$O$9929,9,FALSE)</f>
        <v>Y</v>
      </c>
      <c r="Q1217" s="4" t="str">
        <f>VLOOKUP($B1217,'D7 - NDB Impacted SPRF''s'!$E$16:$O$9929,10,FALSE)</f>
        <v>N</v>
      </c>
      <c r="R1217" s="4" t="str">
        <f>VLOOKUP($B1217,'D7 - NDB Impacted SPRF''s'!$E$16:$O$9929,11,FALSE)</f>
        <v>N</v>
      </c>
      <c r="S1217" s="8"/>
      <c r="T1217" s="310"/>
      <c r="U1217" s="310"/>
      <c r="V1217" s="4"/>
      <c r="W1217" s="4"/>
      <c r="X1217" s="4"/>
      <c r="Y1217" s="4"/>
      <c r="Z1217" s="4"/>
      <c r="AA1217" s="4"/>
      <c r="AB1217" s="380" t="str">
        <f>VLOOKUP($B1217,'D7 - NDB Impacted SPRF''s'!$E$16:$O$9929,4,FALSE)</f>
        <v>Completed</v>
      </c>
      <c r="AC1217" s="380" t="str">
        <f>VLOOKUP($B1217,'D7 - NDB Impacted SPRF''s'!$E$16:$O$9929,3,FALSE)</f>
        <v>UHG IT - Enterprise Technology Services</v>
      </c>
      <c r="AD1217" s="380" t="str">
        <f>VLOOKUP($B1217,'D7 - NDB Impacted SPRF''s'!$E$16:$O$9929,5,FALSE)</f>
        <v>Finance</v>
      </c>
      <c r="AE1217" s="380" t="str">
        <f>VLOOKUP($B1217,'D7 - NDB Impacted SPRF''s'!$E$16:$O$9929,7,FALSE)</f>
        <v>Dave Wichmann</v>
      </c>
      <c r="AF1217" s="380" t="str">
        <f>VLOOKUP($B1217,'D7 - NDB Impacted SPRF''s'!$E$16:$O$9929,6,FALSE)</f>
        <v>Pamela DiNatalie</v>
      </c>
      <c r="AG1217" s="282"/>
      <c r="AH1217" s="311" t="e">
        <f>INDEX('D5 - Gatekeeper - Projects'!$A$4:$AF$1010,$AM1217, 17)</f>
        <v>#N/A</v>
      </c>
      <c r="AI1217" s="8"/>
      <c r="AJ1217" s="57"/>
      <c r="AK1217" s="105"/>
      <c r="AM1217" s="6" t="e">
        <f>MATCH(D1217,'D5 - Gatekeeper - Projects'!$C$4:$C$1010,0)</f>
        <v>#N/A</v>
      </c>
      <c r="AN1217" s="6" t="b">
        <f t="shared" si="115"/>
        <v>1</v>
      </c>
      <c r="AO1217" s="6" t="str">
        <f t="shared" si="117"/>
        <v>OK</v>
      </c>
      <c r="AQ1217" s="6" t="e">
        <f>MATCH($D1217,'D4 - Provider Council Unsched'!$C$11:$C$234,0)</f>
        <v>#N/A</v>
      </c>
      <c r="AR1217" s="6" t="b">
        <f t="shared" si="116"/>
        <v>1</v>
      </c>
      <c r="AS1217" s="6" t="str">
        <f t="shared" si="123"/>
        <v>OK</v>
      </c>
      <c r="AU1217" s="202"/>
      <c r="AV1217" s="262"/>
      <c r="AW1217" s="274"/>
    </row>
    <row r="1218" spans="1:49" s="13" customFormat="1" ht="45" x14ac:dyDescent="0.2">
      <c r="A1218" s="14">
        <v>1194</v>
      </c>
      <c r="B1218" s="14">
        <v>400029570</v>
      </c>
      <c r="C1218" s="8" t="s">
        <v>2449</v>
      </c>
      <c r="D1218" s="4" t="str">
        <f t="shared" si="122"/>
        <v>400029570R3</v>
      </c>
      <c r="E1218" s="309" t="str">
        <f>VLOOKUP($B1218,'D7 - NDB Impacted SPRF''s'!$E$6:$O$9929,2,FALSE)</f>
        <v>PDR - NDB Fee Schedule Enhancements</v>
      </c>
      <c r="F1218" s="8" t="s">
        <v>5595</v>
      </c>
      <c r="G1218" s="8" t="s">
        <v>4758</v>
      </c>
      <c r="H1218" s="8" t="s">
        <v>4246</v>
      </c>
      <c r="I1218" s="20">
        <v>8.1999999999999993</v>
      </c>
      <c r="J1218" s="8" t="s">
        <v>4862</v>
      </c>
      <c r="K1218" s="182">
        <v>40222</v>
      </c>
      <c r="L1218" s="8" t="s">
        <v>5743</v>
      </c>
      <c r="M1218" s="8" t="s">
        <v>2814</v>
      </c>
      <c r="N1218" s="38"/>
      <c r="O1218" s="8" t="s">
        <v>7086</v>
      </c>
      <c r="P1218" s="4" t="str">
        <f>VLOOKUP($B1218,'D7 - NDB Impacted SPRF''s'!$E$16:$O$9929,9,FALSE)</f>
        <v>Y</v>
      </c>
      <c r="Q1218" s="4" t="str">
        <f>VLOOKUP($B1218,'D7 - NDB Impacted SPRF''s'!$E$16:$O$9929,10,FALSE)</f>
        <v>N</v>
      </c>
      <c r="R1218" s="4" t="str">
        <f>VLOOKUP($B1218,'D7 - NDB Impacted SPRF''s'!$E$16:$O$9929,11,FALSE)</f>
        <v>Y</v>
      </c>
      <c r="S1218" s="8"/>
      <c r="T1218" s="310"/>
      <c r="U1218" s="310"/>
      <c r="V1218" s="4"/>
      <c r="W1218" s="4"/>
      <c r="X1218" s="4"/>
      <c r="Y1218" s="4"/>
      <c r="Z1218" s="4"/>
      <c r="AA1218" s="4"/>
      <c r="AB1218" s="380" t="str">
        <f>VLOOKUP($B1218,'D7 - NDB Impacted SPRF''s'!$E$16:$O$9929,4,FALSE)</f>
        <v>Completed</v>
      </c>
      <c r="AC1218" s="380" t="str">
        <f>VLOOKUP($B1218,'D7 - NDB Impacted SPRF''s'!$E$16:$O$9929,3,FALSE)</f>
        <v>UHG IT - Enterprise Technology Services</v>
      </c>
      <c r="AD1218" s="380" t="str">
        <f>VLOOKUP($B1218,'D7 - NDB Impacted SPRF''s'!$E$16:$O$9929,5,FALSE)</f>
        <v>Strategic Initiatives</v>
      </c>
      <c r="AE1218" s="380" t="str">
        <f>VLOOKUP($B1218,'D7 - NDB Impacted SPRF''s'!$E$16:$O$9929,7,FALSE)</f>
        <v>Dave Wichman</v>
      </c>
      <c r="AF1218" s="380" t="str">
        <f>VLOOKUP($B1218,'D7 - NDB Impacted SPRF''s'!$E$16:$O$9929,6,FALSE)</f>
        <v>Brent Graham</v>
      </c>
      <c r="AG1218" s="282"/>
      <c r="AH1218" s="311" t="e">
        <f>INDEX('D5 - Gatekeeper - Projects'!$A$4:$AF$1010,$AM1218, 17)</f>
        <v>#N/A</v>
      </c>
      <c r="AI1218" s="8"/>
      <c r="AJ1218" s="57"/>
      <c r="AK1218" s="105"/>
      <c r="AM1218" s="6" t="e">
        <f>MATCH(D1218,'D5 - Gatekeeper - Projects'!$C$4:$C$1010,0)</f>
        <v>#N/A</v>
      </c>
      <c r="AN1218" s="6" t="b">
        <f t="shared" si="115"/>
        <v>1</v>
      </c>
      <c r="AO1218" s="6" t="str">
        <f t="shared" si="117"/>
        <v>OK</v>
      </c>
      <c r="AQ1218" s="6" t="e">
        <f>MATCH($D1218,'D4 - Provider Council Unsched'!$C$11:$C$234,0)</f>
        <v>#N/A</v>
      </c>
      <c r="AR1218" s="6" t="b">
        <f t="shared" si="116"/>
        <v>1</v>
      </c>
      <c r="AS1218" s="6" t="str">
        <f t="shared" si="123"/>
        <v>OK</v>
      </c>
      <c r="AU1218" s="202"/>
      <c r="AV1218" s="262"/>
      <c r="AW1218" s="274"/>
    </row>
    <row r="1219" spans="1:49" s="13" customFormat="1" ht="33.75" x14ac:dyDescent="0.2">
      <c r="A1219" s="14">
        <v>1195</v>
      </c>
      <c r="B1219" s="14">
        <v>400029571</v>
      </c>
      <c r="C1219" s="8" t="s">
        <v>5197</v>
      </c>
      <c r="D1219" s="4" t="str">
        <f t="shared" si="122"/>
        <v>400029571R1</v>
      </c>
      <c r="E1219" s="309" t="str">
        <f>VLOOKUP($B1219,'D7 - NDB Impacted SPRF''s'!$E$6:$O$9929,2,FALSE)</f>
        <v>PHS MAHP - Disable GHMO PCP Changes</v>
      </c>
      <c r="F1219" s="8" t="s">
        <v>6071</v>
      </c>
      <c r="G1219" s="8" t="s">
        <v>4758</v>
      </c>
      <c r="H1219" s="8" t="s">
        <v>4246</v>
      </c>
      <c r="I1219" s="20">
        <v>1.07</v>
      </c>
      <c r="J1219" s="8" t="s">
        <v>4862</v>
      </c>
      <c r="K1219" s="182">
        <v>40222</v>
      </c>
      <c r="L1219" s="8" t="s">
        <v>5743</v>
      </c>
      <c r="M1219" s="8" t="s">
        <v>5626</v>
      </c>
      <c r="N1219" s="38"/>
      <c r="O1219" s="8" t="s">
        <v>2000</v>
      </c>
      <c r="P1219" s="4" t="str">
        <f>VLOOKUP($B1219,'D7 - NDB Impacted SPRF''s'!$E$16:$O$9929,9,FALSE)</f>
        <v>N</v>
      </c>
      <c r="Q1219" s="4" t="str">
        <f>VLOOKUP($B1219,'D7 - NDB Impacted SPRF''s'!$E$16:$O$9929,10,FALSE)</f>
        <v>N</v>
      </c>
      <c r="R1219" s="4" t="str">
        <f>VLOOKUP($B1219,'D7 - NDB Impacted SPRF''s'!$E$16:$O$9929,11,FALSE)</f>
        <v>N</v>
      </c>
      <c r="S1219" s="8"/>
      <c r="T1219" s="310"/>
      <c r="U1219" s="310"/>
      <c r="V1219" s="4"/>
      <c r="W1219" s="4"/>
      <c r="X1219" s="4"/>
      <c r="Y1219" s="4"/>
      <c r="Z1219" s="4"/>
      <c r="AA1219" s="4"/>
      <c r="AB1219" s="380" t="str">
        <f>VLOOKUP($B1219,'D7 - NDB Impacted SPRF''s'!$E$16:$O$9929,4,FALSE)</f>
        <v>Completed</v>
      </c>
      <c r="AC1219" s="380" t="str">
        <f>VLOOKUP($B1219,'D7 - NDB Impacted SPRF''s'!$E$16:$O$9929,3,FALSE)</f>
        <v>UnitedHealthcare Employer &amp; Individual</v>
      </c>
      <c r="AD1219" s="380" t="str">
        <f>VLOOKUP($B1219,'D7 - NDB Impacted SPRF''s'!$E$16:$O$9929,5,FALSE)</f>
        <v>Integration Requirements</v>
      </c>
      <c r="AE1219" s="380" t="str">
        <f>VLOOKUP($B1219,'D7 - NDB Impacted SPRF''s'!$E$16:$O$9929,7,FALSE)</f>
        <v>Diane Schofield</v>
      </c>
      <c r="AF1219" s="380" t="str">
        <f>VLOOKUP($B1219,'D7 - NDB Impacted SPRF''s'!$E$16:$O$9929,6,FALSE)</f>
        <v>Rebecca Gent</v>
      </c>
      <c r="AG1219" s="282"/>
      <c r="AH1219" s="311" t="e">
        <f>INDEX('D5 - Gatekeeper - Projects'!$A$4:$AF$1010,$AM1219, 17)</f>
        <v>#N/A</v>
      </c>
      <c r="AI1219" s="8"/>
      <c r="AJ1219" s="57"/>
      <c r="AK1219" s="105"/>
      <c r="AM1219" s="6" t="e">
        <f>MATCH(D1219,'D5 - Gatekeeper - Projects'!$C$4:$C$1010,0)</f>
        <v>#N/A</v>
      </c>
      <c r="AN1219" s="6" t="b">
        <f t="shared" si="115"/>
        <v>1</v>
      </c>
      <c r="AO1219" s="6" t="str">
        <f t="shared" si="117"/>
        <v>OK</v>
      </c>
      <c r="AQ1219" s="6" t="e">
        <f>MATCH($D1219,'D4 - Provider Council Unsched'!$C$11:$C$234,0)</f>
        <v>#N/A</v>
      </c>
      <c r="AR1219" s="6" t="b">
        <f t="shared" si="116"/>
        <v>1</v>
      </c>
      <c r="AS1219" s="6" t="str">
        <f t="shared" si="123"/>
        <v>OK</v>
      </c>
      <c r="AU1219" s="202"/>
      <c r="AV1219" s="262"/>
      <c r="AW1219" s="274"/>
    </row>
    <row r="1220" spans="1:49" s="13" customFormat="1" ht="33.75" x14ac:dyDescent="0.2">
      <c r="A1220" s="14">
        <v>1196</v>
      </c>
      <c r="B1220" s="14">
        <v>400029853</v>
      </c>
      <c r="C1220" s="8" t="s">
        <v>5197</v>
      </c>
      <c r="D1220" s="4" t="str">
        <f t="shared" si="122"/>
        <v>400029853R1</v>
      </c>
      <c r="E1220" s="309" t="str">
        <f>VLOOKUP($B1220,'D7 - NDB Impacted SPRF''s'!$E$6:$O$9929,2,FALSE)</f>
        <v>Policy Alpha Definition Enhancement, Phase One</v>
      </c>
      <c r="F1220" s="282" t="s">
        <v>2114</v>
      </c>
      <c r="G1220" s="8" t="s">
        <v>4758</v>
      </c>
      <c r="H1220" s="8" t="s">
        <v>4246</v>
      </c>
      <c r="I1220" s="20">
        <v>1.5</v>
      </c>
      <c r="J1220" s="8" t="s">
        <v>4862</v>
      </c>
      <c r="K1220" s="182">
        <v>40222</v>
      </c>
      <c r="L1220" s="8" t="s">
        <v>4156</v>
      </c>
      <c r="M1220" s="8" t="s">
        <v>5626</v>
      </c>
      <c r="N1220" s="38" t="s">
        <v>7383</v>
      </c>
      <c r="O1220" s="8" t="s">
        <v>2000</v>
      </c>
      <c r="P1220" s="4" t="str">
        <f>VLOOKUP($B1220,'D7 - NDB Impacted SPRF''s'!$E$16:$O$9929,9,FALSE)</f>
        <v>Y</v>
      </c>
      <c r="Q1220" s="4" t="str">
        <f>VLOOKUP($B1220,'D7 - NDB Impacted SPRF''s'!$E$16:$O$9929,10,FALSE)</f>
        <v>N</v>
      </c>
      <c r="R1220" s="4" t="str">
        <f>VLOOKUP($B1220,'D7 - NDB Impacted SPRF''s'!$E$16:$O$9929,11,FALSE)</f>
        <v>N</v>
      </c>
      <c r="S1220" s="8"/>
      <c r="T1220" s="310"/>
      <c r="U1220" s="310"/>
      <c r="V1220" s="4"/>
      <c r="W1220" s="4"/>
      <c r="X1220" s="4"/>
      <c r="Y1220" s="4"/>
      <c r="Z1220" s="4"/>
      <c r="AA1220" s="4"/>
      <c r="AB1220" s="380" t="str">
        <f>VLOOKUP($B1220,'D7 - NDB Impacted SPRF''s'!$E$6:$O$9929,4,FALSE)</f>
        <v>Completed</v>
      </c>
      <c r="AC1220" s="380" t="str">
        <f>VLOOKUP($B1220,'D7 - NDB Impacted SPRF''s'!$E$6:$O$9929,3,FALSE)</f>
        <v>UnitedHealthcare Employer &amp; Individual</v>
      </c>
      <c r="AD1220" s="380" t="str">
        <f>VLOOKUP($B1220,'D7 - NDB Impacted SPRF''s'!$E$6:$O$9929,5,FALSE)</f>
        <v>Operational Requirements</v>
      </c>
      <c r="AE1220" s="380" t="str">
        <f>VLOOKUP($B1220,'D7 - NDB Impacted SPRF''s'!$E$6:$O$9929,7,FALSE)</f>
        <v>Tammy Wright</v>
      </c>
      <c r="AF1220" s="380" t="str">
        <f>VLOOKUP($B1220,'D7 - NDB Impacted SPRF''s'!$E$6:$O$9929,6,FALSE)</f>
        <v>Bruce Clark</v>
      </c>
      <c r="AG1220" s="282"/>
      <c r="AH1220" s="311" t="e">
        <f>INDEX('D5 - Gatekeeper - Projects'!$A$4:$AF$1010,$AM1220, 17)</f>
        <v>#N/A</v>
      </c>
      <c r="AI1220" s="8"/>
      <c r="AJ1220" s="57"/>
      <c r="AK1220" s="105"/>
      <c r="AM1220" s="6" t="e">
        <f>MATCH(D1220,'D5 - Gatekeeper - Projects'!$C$4:$C$1010,0)</f>
        <v>#N/A</v>
      </c>
      <c r="AN1220" s="6" t="b">
        <f t="shared" si="115"/>
        <v>1</v>
      </c>
      <c r="AO1220" s="6" t="str">
        <f t="shared" si="117"/>
        <v>OK</v>
      </c>
      <c r="AQ1220" s="6" t="e">
        <f>MATCH($D1220,'D4 - Provider Council Unsched'!$C$11:$C$234,0)</f>
        <v>#N/A</v>
      </c>
      <c r="AR1220" s="6" t="b">
        <f t="shared" si="116"/>
        <v>1</v>
      </c>
      <c r="AS1220" s="6" t="str">
        <f>IF(AND(H1220="2 - Not Scheduled",AR1220=TRUE),"Add","OK")</f>
        <v>OK</v>
      </c>
      <c r="AU1220" s="202"/>
      <c r="AV1220" s="262"/>
      <c r="AW1220" s="274"/>
    </row>
    <row r="1221" spans="1:49" s="13" customFormat="1" ht="45" x14ac:dyDescent="0.2">
      <c r="A1221" s="14">
        <v>1197</v>
      </c>
      <c r="B1221" s="14">
        <v>400029885</v>
      </c>
      <c r="C1221" s="8" t="s">
        <v>5197</v>
      </c>
      <c r="D1221" s="4" t="str">
        <f t="shared" si="122"/>
        <v>400029885R1</v>
      </c>
      <c r="E1221" s="309" t="str">
        <f>VLOOKUP($B1221,'D7 - NDB Impacted SPRF''s'!$E$6:$O$9929,2,FALSE)</f>
        <v>Master Data Management Strategy</v>
      </c>
      <c r="F1221" s="282" t="s">
        <v>8133</v>
      </c>
      <c r="G1221" s="8" t="s">
        <v>4758</v>
      </c>
      <c r="H1221" s="8" t="s">
        <v>4246</v>
      </c>
      <c r="I1221" s="20">
        <v>2.79</v>
      </c>
      <c r="J1221" s="8" t="s">
        <v>4862</v>
      </c>
      <c r="K1221" s="182">
        <v>40222</v>
      </c>
      <c r="L1221" s="8" t="s">
        <v>4156</v>
      </c>
      <c r="M1221" s="8" t="s">
        <v>6688</v>
      </c>
      <c r="N1221" s="38"/>
      <c r="O1221" s="8" t="s">
        <v>7086</v>
      </c>
      <c r="P1221" s="4" t="str">
        <f>VLOOKUP($B1221,'D7 - NDB Impacted SPRF''s'!$E$16:$O$9929,9,FALSE)</f>
        <v>Y</v>
      </c>
      <c r="Q1221" s="4" t="str">
        <f>VLOOKUP($B1221,'D7 - NDB Impacted SPRF''s'!$E$16:$O$9929,10,FALSE)</f>
        <v>N</v>
      </c>
      <c r="R1221" s="4" t="str">
        <f>VLOOKUP($B1221,'D7 - NDB Impacted SPRF''s'!$E$16:$O$9929,11,FALSE)</f>
        <v>N</v>
      </c>
      <c r="S1221" s="8"/>
      <c r="T1221" s="310"/>
      <c r="U1221" s="310"/>
      <c r="V1221" s="4"/>
      <c r="W1221" s="4"/>
      <c r="X1221" s="4"/>
      <c r="Y1221" s="4"/>
      <c r="Z1221" s="4"/>
      <c r="AA1221" s="4"/>
      <c r="AB1221" s="380" t="str">
        <f>VLOOKUP($B1221,'D7 - NDB Impacted SPRF''s'!$E$6:$O$9929,4,FALSE)</f>
        <v>Completed</v>
      </c>
      <c r="AC1221" s="380" t="str">
        <f>VLOOKUP($B1221,'D7 - NDB Impacted SPRF''s'!$E$6:$O$9929,3,FALSE)</f>
        <v>UHG IT - Enterprise Technology Services</v>
      </c>
      <c r="AD1221" s="380" t="str">
        <f>VLOOKUP($B1221,'D7 - NDB Impacted SPRF''s'!$E$6:$O$9929,5,FALSE)</f>
        <v>ASG</v>
      </c>
      <c r="AE1221" s="380" t="str">
        <f>VLOOKUP($B1221,'D7 - NDB Impacted SPRF''s'!$E$6:$O$9929,7,FALSE)</f>
        <v>Timothy G Peterson</v>
      </c>
      <c r="AF1221" s="380" t="str">
        <f>VLOOKUP($B1221,'D7 - NDB Impacted SPRF''s'!$E$6:$O$9929,6,FALSE)</f>
        <v>Eileen Cabe</v>
      </c>
      <c r="AG1221" s="282"/>
      <c r="AH1221" s="311" t="e">
        <f>INDEX('D5 - Gatekeeper - Projects'!$A$4:$AF$1010,$AM1221, 17)</f>
        <v>#N/A</v>
      </c>
      <c r="AI1221" s="8"/>
      <c r="AJ1221" s="57"/>
      <c r="AK1221" s="57"/>
      <c r="AM1221" s="6" t="e">
        <f>MATCH(D1221,'D5 - Gatekeeper - Projects'!$C$4:$C$1010,0)</f>
        <v>#N/A</v>
      </c>
      <c r="AN1221" s="6" t="b">
        <f t="shared" si="115"/>
        <v>1</v>
      </c>
      <c r="AO1221" s="6" t="str">
        <f t="shared" si="117"/>
        <v>OK</v>
      </c>
      <c r="AQ1221" s="6" t="e">
        <f>MATCH($D1221,'D4 - Provider Council Unsched'!$C$11:$C$234,0)</f>
        <v>#N/A</v>
      </c>
      <c r="AR1221" s="6" t="b">
        <f t="shared" si="116"/>
        <v>1</v>
      </c>
      <c r="AS1221" s="6" t="str">
        <f>IF(AND(H1221="2 - Not Scheduled",AR1221=TRUE,C1221="R1"),"Add","OK")</f>
        <v>OK</v>
      </c>
      <c r="AU1221" s="202"/>
      <c r="AV1221" s="262"/>
      <c r="AW1221" s="274"/>
    </row>
    <row r="1222" spans="1:49" s="13" customFormat="1" ht="33.75" x14ac:dyDescent="0.2">
      <c r="A1222" s="14">
        <v>1198</v>
      </c>
      <c r="B1222" s="14">
        <v>400030051</v>
      </c>
      <c r="C1222" s="8" t="s">
        <v>5197</v>
      </c>
      <c r="D1222" s="4" t="str">
        <f t="shared" si="122"/>
        <v>400030051R1</v>
      </c>
      <c r="E1222" s="309" t="str">
        <f>VLOOKUP($B1222,'D7 - NDB Impacted SPRF''s'!$E$6:$O$9929,2,FALSE)</f>
        <v>UHG Medica IRAAD Resolution for Q3 and Q4 2009</v>
      </c>
      <c r="F1222" s="282" t="s">
        <v>5196</v>
      </c>
      <c r="G1222" s="8" t="s">
        <v>4758</v>
      </c>
      <c r="H1222" s="8" t="s">
        <v>4246</v>
      </c>
      <c r="I1222" s="20">
        <v>8.01</v>
      </c>
      <c r="J1222" s="8" t="s">
        <v>4862</v>
      </c>
      <c r="K1222" s="182">
        <v>40222</v>
      </c>
      <c r="L1222" s="8" t="s">
        <v>4156</v>
      </c>
      <c r="M1222" s="8" t="s">
        <v>2814</v>
      </c>
      <c r="N1222" s="38"/>
      <c r="O1222" s="8" t="s">
        <v>7086</v>
      </c>
      <c r="P1222" s="4" t="str">
        <f>VLOOKUP($B1222,'D7 - NDB Impacted SPRF''s'!$E$16:$O$9929,9,FALSE)</f>
        <v>Y</v>
      </c>
      <c r="Q1222" s="4" t="str">
        <f>VLOOKUP($B1222,'D7 - NDB Impacted SPRF''s'!$E$16:$O$9929,10,FALSE)</f>
        <v>N</v>
      </c>
      <c r="R1222" s="4" t="str">
        <f>VLOOKUP($B1222,'D7 - NDB Impacted SPRF''s'!$E$16:$O$9929,11,FALSE)</f>
        <v>N</v>
      </c>
      <c r="S1222" s="8"/>
      <c r="T1222" s="310"/>
      <c r="U1222" s="310"/>
      <c r="V1222" s="4"/>
      <c r="W1222" s="4"/>
      <c r="X1222" s="4"/>
      <c r="Y1222" s="4"/>
      <c r="Z1222" s="4"/>
      <c r="AA1222" s="4"/>
      <c r="AB1222" s="380" t="str">
        <f>VLOOKUP($B1222,'D7 - NDB Impacted SPRF''s'!$E$6:$O$9929,4,FALSE)</f>
        <v>Completed</v>
      </c>
      <c r="AC1222" s="380" t="str">
        <f>VLOOKUP($B1222,'D7 - NDB Impacted SPRF''s'!$E$6:$O$9929,3,FALSE)</f>
        <v>UnitedHealthcare Employer &amp; Individual</v>
      </c>
      <c r="AD1222" s="380" t="str">
        <f>VLOOKUP($B1222,'D7 - NDB Impacted SPRF''s'!$E$6:$O$9929,5,FALSE)</f>
        <v>HCA - Medica Operational Support</v>
      </c>
      <c r="AE1222" s="380" t="str">
        <f>VLOOKUP($B1222,'D7 - NDB Impacted SPRF''s'!$E$6:$O$9929,7,FALSE)</f>
        <v>Vincent Radinieri</v>
      </c>
      <c r="AF1222" s="380" t="str">
        <f>VLOOKUP($B1222,'D7 - NDB Impacted SPRF''s'!$E$6:$O$9929,6,FALSE)</f>
        <v>MONIQUE WERNER</v>
      </c>
      <c r="AG1222" s="282"/>
      <c r="AH1222" s="311" t="e">
        <f>INDEX('D5 - Gatekeeper - Projects'!$A$4:$AF$1010,$AM1222, 17)</f>
        <v>#N/A</v>
      </c>
      <c r="AI1222" s="8"/>
      <c r="AJ1222" s="57"/>
      <c r="AK1222" s="105"/>
      <c r="AM1222" s="6" t="e">
        <f>MATCH(D1222,'D5 - Gatekeeper - Projects'!$C$4:$C$1010,0)</f>
        <v>#N/A</v>
      </c>
      <c r="AN1222" s="6" t="b">
        <f t="shared" si="115"/>
        <v>1</v>
      </c>
      <c r="AO1222" s="6" t="str">
        <f t="shared" si="117"/>
        <v>OK</v>
      </c>
      <c r="AQ1222" s="6" t="e">
        <f>MATCH($D1222,'D4 - Provider Council Unsched'!$C$11:$C$234,0)</f>
        <v>#N/A</v>
      </c>
      <c r="AR1222" s="6" t="b">
        <f t="shared" si="116"/>
        <v>1</v>
      </c>
      <c r="AS1222" s="6" t="str">
        <f>IF(AND(H1222="2 - Not Scheduled",AR1222=TRUE),"Add","OK")</f>
        <v>OK</v>
      </c>
      <c r="AU1222" s="202"/>
      <c r="AV1222" s="262"/>
      <c r="AW1222" s="274"/>
    </row>
    <row r="1223" spans="1:49" s="13" customFormat="1" ht="33.75" x14ac:dyDescent="0.2">
      <c r="A1223" s="14">
        <v>1199</v>
      </c>
      <c r="B1223" s="14">
        <v>400030396</v>
      </c>
      <c r="C1223" s="8" t="s">
        <v>5197</v>
      </c>
      <c r="D1223" s="4" t="str">
        <f t="shared" si="122"/>
        <v>400030396R1</v>
      </c>
      <c r="E1223" s="309" t="str">
        <f>VLOOKUP($B1223,'D7 - NDB Impacted SPRF''s'!$E$6:$O$9929,2,FALSE)</f>
        <v>MAHP Funding Table Redesign</v>
      </c>
      <c r="F1223" s="8" t="s">
        <v>5196</v>
      </c>
      <c r="G1223" s="8" t="s">
        <v>4758</v>
      </c>
      <c r="H1223" s="8" t="s">
        <v>4246</v>
      </c>
      <c r="I1223" s="20">
        <v>42.39</v>
      </c>
      <c r="J1223" s="8" t="s">
        <v>4862</v>
      </c>
      <c r="K1223" s="182">
        <v>40222</v>
      </c>
      <c r="L1223" s="8" t="s">
        <v>4156</v>
      </c>
      <c r="M1223" s="8" t="s">
        <v>2814</v>
      </c>
      <c r="N1223" s="38"/>
      <c r="O1223" s="8" t="s">
        <v>1074</v>
      </c>
      <c r="P1223" s="4" t="str">
        <f>VLOOKUP($B1223,'D7 - NDB Impacted SPRF''s'!$E$16:$O$9929,9,FALSE)</f>
        <v>Y</v>
      </c>
      <c r="Q1223" s="4" t="str">
        <f>VLOOKUP($B1223,'D7 - NDB Impacted SPRF''s'!$E$16:$O$9929,10,FALSE)</f>
        <v>N</v>
      </c>
      <c r="R1223" s="4" t="str">
        <f>VLOOKUP($B1223,'D7 - NDB Impacted SPRF''s'!$E$16:$O$9929,11,FALSE)</f>
        <v>N</v>
      </c>
      <c r="S1223" s="8"/>
      <c r="T1223" s="310"/>
      <c r="U1223" s="310"/>
      <c r="V1223" s="4"/>
      <c r="W1223" s="4"/>
      <c r="X1223" s="4"/>
      <c r="Y1223" s="4"/>
      <c r="Z1223" s="4"/>
      <c r="AA1223" s="4"/>
      <c r="AB1223" s="380" t="str">
        <f>VLOOKUP($B1223,'D7 - NDB Impacted SPRF''s'!$E$6:$O$9929,4,FALSE)</f>
        <v>Completed</v>
      </c>
      <c r="AC1223" s="380" t="str">
        <f>VLOOKUP($B1223,'D7 - NDB Impacted SPRF''s'!$E$6:$O$9929,3,FALSE)</f>
        <v>UnitedHealthcare Employer &amp; Individual</v>
      </c>
      <c r="AD1223" s="380" t="str">
        <f>VLOOKUP($B1223,'D7 - NDB Impacted SPRF''s'!$E$6:$O$9929,5,FALSE)</f>
        <v>Process Improvement</v>
      </c>
      <c r="AE1223" s="380" t="str">
        <f>VLOOKUP($B1223,'D7 - NDB Impacted SPRF''s'!$E$6:$O$9929,7,FALSE)</f>
        <v>Jill Foucre</v>
      </c>
      <c r="AF1223" s="380" t="str">
        <f>VLOOKUP($B1223,'D7 - NDB Impacted SPRF''s'!$E$6:$O$9929,6,FALSE)</f>
        <v>Brent Graham</v>
      </c>
      <c r="AG1223" s="282"/>
      <c r="AH1223" s="311" t="e">
        <f>INDEX('D5 - Gatekeeper - Projects'!$A$4:$AF$1010,$AM1223, 17)</f>
        <v>#N/A</v>
      </c>
      <c r="AI1223" s="8"/>
      <c r="AJ1223" s="57"/>
      <c r="AK1223" s="105"/>
      <c r="AM1223" s="6" t="e">
        <f>MATCH(D1223,'D5 - Gatekeeper - Projects'!$C$4:$C$1010,0)</f>
        <v>#N/A</v>
      </c>
      <c r="AN1223" s="6" t="b">
        <f t="shared" si="115"/>
        <v>1</v>
      </c>
      <c r="AO1223" s="6" t="str">
        <f t="shared" si="117"/>
        <v>OK</v>
      </c>
      <c r="AQ1223" s="6" t="e">
        <f>MATCH($D1223,'D4 - Provider Council Unsched'!$C$11:$C$234,0)</f>
        <v>#N/A</v>
      </c>
      <c r="AR1223" s="6" t="b">
        <f t="shared" si="116"/>
        <v>1</v>
      </c>
      <c r="AS1223" s="6" t="str">
        <f>IF(AND(H1223="2 - Not Scheduled",AR1223=TRUE,C1223="R1"),"Add","OK")</f>
        <v>OK</v>
      </c>
      <c r="AU1223" s="202"/>
      <c r="AV1223" s="262"/>
      <c r="AW1223" s="274"/>
    </row>
    <row r="1224" spans="1:49" s="13" customFormat="1" ht="33.75" x14ac:dyDescent="0.2">
      <c r="A1224" s="14">
        <v>1200</v>
      </c>
      <c r="B1224" s="14">
        <v>400030396</v>
      </c>
      <c r="C1224" s="8" t="s">
        <v>1992</v>
      </c>
      <c r="D1224" s="4" t="str">
        <f t="shared" si="122"/>
        <v>400030396U1</v>
      </c>
      <c r="E1224" s="309" t="str">
        <f>VLOOKUP($B1224,'D7 - NDB Impacted SPRF''s'!$E$6:$O$9929,2,FALSE)</f>
        <v>MAHP Funding Table Redesign</v>
      </c>
      <c r="F1224" s="8" t="s">
        <v>5196</v>
      </c>
      <c r="G1224" s="8" t="s">
        <v>4758</v>
      </c>
      <c r="H1224" s="8" t="s">
        <v>4246</v>
      </c>
      <c r="I1224" s="20">
        <v>1.46</v>
      </c>
      <c r="J1224" s="8" t="s">
        <v>4862</v>
      </c>
      <c r="K1224" s="182">
        <v>40222</v>
      </c>
      <c r="L1224" s="8" t="s">
        <v>4156</v>
      </c>
      <c r="M1224" s="8" t="s">
        <v>2814</v>
      </c>
      <c r="N1224" s="38"/>
      <c r="O1224" s="8" t="s">
        <v>1074</v>
      </c>
      <c r="P1224" s="4" t="str">
        <f>VLOOKUP($B1224,'D7 - NDB Impacted SPRF''s'!$E$16:$O$9929,9,FALSE)</f>
        <v>Y</v>
      </c>
      <c r="Q1224" s="4" t="str">
        <f>VLOOKUP($B1224,'D7 - NDB Impacted SPRF''s'!$E$16:$O$9929,10,FALSE)</f>
        <v>N</v>
      </c>
      <c r="R1224" s="4" t="str">
        <f>VLOOKUP($B1224,'D7 - NDB Impacted SPRF''s'!$E$16:$O$9929,11,FALSE)</f>
        <v>N</v>
      </c>
      <c r="S1224" s="8"/>
      <c r="T1224" s="310"/>
      <c r="U1224" s="310"/>
      <c r="V1224" s="4"/>
      <c r="W1224" s="4"/>
      <c r="X1224" s="4"/>
      <c r="Y1224" s="4"/>
      <c r="Z1224" s="4"/>
      <c r="AA1224" s="4"/>
      <c r="AB1224" s="380" t="str">
        <f>VLOOKUP($B1224,'D7 - NDB Impacted SPRF''s'!$E$6:$O$9929,4,FALSE)</f>
        <v>Completed</v>
      </c>
      <c r="AC1224" s="380" t="str">
        <f>VLOOKUP($B1224,'D7 - NDB Impacted SPRF''s'!$E$6:$O$9929,3,FALSE)</f>
        <v>UnitedHealthcare Employer &amp; Individual</v>
      </c>
      <c r="AD1224" s="380" t="str">
        <f>VLOOKUP($B1224,'D7 - NDB Impacted SPRF''s'!$E$6:$O$9929,5,FALSE)</f>
        <v>Process Improvement</v>
      </c>
      <c r="AE1224" s="380" t="str">
        <f>VLOOKUP($B1224,'D7 - NDB Impacted SPRF''s'!$E$6:$O$9929,7,FALSE)</f>
        <v>Jill Foucre</v>
      </c>
      <c r="AF1224" s="380" t="str">
        <f>VLOOKUP($B1224,'D7 - NDB Impacted SPRF''s'!$E$6:$O$9929,6,FALSE)</f>
        <v>Brent Graham</v>
      </c>
      <c r="AG1224" s="282"/>
      <c r="AH1224" s="311" t="e">
        <f>INDEX('D5 - Gatekeeper - Projects'!$A$4:$AF$1010,$AM1224, 17)</f>
        <v>#N/A</v>
      </c>
      <c r="AI1224" s="8"/>
      <c r="AJ1224" s="57"/>
      <c r="AK1224" s="105"/>
      <c r="AM1224" s="6" t="e">
        <f>MATCH(D1224,'D5 - Gatekeeper - Projects'!$C$4:$C$1010,0)</f>
        <v>#N/A</v>
      </c>
      <c r="AN1224" s="6" t="b">
        <f t="shared" si="115"/>
        <v>1</v>
      </c>
      <c r="AO1224" s="6" t="str">
        <f t="shared" si="117"/>
        <v>OK</v>
      </c>
      <c r="AQ1224" s="6" t="e">
        <f>MATCH($D1224,'D4 - Provider Council Unsched'!$C$11:$C$234,0)</f>
        <v>#N/A</v>
      </c>
      <c r="AR1224" s="6" t="b">
        <f t="shared" si="116"/>
        <v>1</v>
      </c>
      <c r="AS1224" s="6" t="str">
        <f>IF(AND(H1224="2 - Not Scheduled",AR1224=TRUE,C1224="R1"),"Add","OK")</f>
        <v>OK</v>
      </c>
      <c r="AU1224" s="202"/>
      <c r="AV1224" s="262"/>
      <c r="AW1224" s="274"/>
    </row>
    <row r="1225" spans="1:49" s="13" customFormat="1" ht="33.75" x14ac:dyDescent="0.2">
      <c r="A1225" s="14">
        <v>1201</v>
      </c>
      <c r="B1225" s="14">
        <v>400031125</v>
      </c>
      <c r="C1225" s="8" t="s">
        <v>5197</v>
      </c>
      <c r="D1225" s="4" t="str">
        <f t="shared" si="122"/>
        <v>400031125R1</v>
      </c>
      <c r="E1225" s="309" t="str">
        <f>VLOOKUP($B1225,'D7 - NDB Impacted SPRF''s'!$E$6:$O$9929,2,FALSE)</f>
        <v>Policy Alpha Definition Enh: Medica Test Support</v>
      </c>
      <c r="F1225" s="8" t="s">
        <v>2114</v>
      </c>
      <c r="G1225" s="8" t="s">
        <v>4758</v>
      </c>
      <c r="H1225" s="8" t="s">
        <v>4246</v>
      </c>
      <c r="I1225" s="20">
        <v>1.07</v>
      </c>
      <c r="J1225" s="8" t="s">
        <v>4862</v>
      </c>
      <c r="K1225" s="182">
        <v>40222</v>
      </c>
      <c r="L1225" s="8" t="s">
        <v>4156</v>
      </c>
      <c r="M1225" s="8" t="s">
        <v>5626</v>
      </c>
      <c r="N1225" s="38" t="s">
        <v>1514</v>
      </c>
      <c r="O1225" s="8" t="s">
        <v>2000</v>
      </c>
      <c r="P1225" s="4" t="str">
        <f>VLOOKUP($B1225,'D7 - NDB Impacted SPRF''s'!$E$16:$O$9929,9,FALSE)</f>
        <v>Y</v>
      </c>
      <c r="Q1225" s="4" t="str">
        <f>VLOOKUP($B1225,'D7 - NDB Impacted SPRF''s'!$E$16:$O$9929,10,FALSE)</f>
        <v>N</v>
      </c>
      <c r="R1225" s="4" t="str">
        <f>VLOOKUP($B1225,'D7 - NDB Impacted SPRF''s'!$E$16:$O$9929,11,FALSE)</f>
        <v>N</v>
      </c>
      <c r="S1225" s="8"/>
      <c r="T1225" s="310"/>
      <c r="U1225" s="310"/>
      <c r="V1225" s="4"/>
      <c r="W1225" s="4"/>
      <c r="X1225" s="4"/>
      <c r="Y1225" s="4"/>
      <c r="Z1225" s="4"/>
      <c r="AA1225" s="4"/>
      <c r="AB1225" s="380" t="str">
        <f>VLOOKUP($B1225,'D7 - NDB Impacted SPRF''s'!$E$6:$O$9929,4,FALSE)</f>
        <v>Completed</v>
      </c>
      <c r="AC1225" s="380" t="str">
        <f>VLOOKUP($B1225,'D7 - NDB Impacted SPRF''s'!$E$6:$O$9929,3,FALSE)</f>
        <v>UnitedHealthcare Employer &amp; Individual</v>
      </c>
      <c r="AD1225" s="380" t="str">
        <f>VLOOKUP($B1225,'D7 - NDB Impacted SPRF''s'!$E$6:$O$9929,5,FALSE)</f>
        <v>Operational Requirements</v>
      </c>
      <c r="AE1225" s="380" t="str">
        <f>VLOOKUP($B1225,'D7 - NDB Impacted SPRF''s'!$E$6:$O$9929,7,FALSE)</f>
        <v>Tammy Wright</v>
      </c>
      <c r="AF1225" s="380" t="str">
        <f>VLOOKUP($B1225,'D7 - NDB Impacted SPRF''s'!$E$6:$O$9929,6,FALSE)</f>
        <v>MICHAEL BAKER</v>
      </c>
      <c r="AG1225" s="282"/>
      <c r="AH1225" s="311" t="e">
        <f>INDEX('D5 - Gatekeeper - Projects'!$A$4:$AF$1010,$AM1225, 17)</f>
        <v>#N/A</v>
      </c>
      <c r="AI1225" s="8"/>
      <c r="AJ1225" s="57"/>
      <c r="AK1225" s="105"/>
      <c r="AM1225" s="6" t="e">
        <f>MATCH(D1225,'D5 - Gatekeeper - Projects'!$C$4:$C$1010,0)</f>
        <v>#N/A</v>
      </c>
      <c r="AN1225" s="6" t="b">
        <f t="shared" si="115"/>
        <v>1</v>
      </c>
      <c r="AO1225" s="6" t="str">
        <f t="shared" si="117"/>
        <v>OK</v>
      </c>
      <c r="AQ1225" s="6" t="e">
        <f>MATCH($D1225,'D4 - Provider Council Unsched'!$C$11:$C$234,0)</f>
        <v>#N/A</v>
      </c>
      <c r="AR1225" s="6" t="b">
        <f t="shared" si="116"/>
        <v>1</v>
      </c>
      <c r="AS1225" s="6" t="str">
        <f>IF(AND(H1225="2 - Not Scheduled",AR1225=TRUE,C1225="R1"),"Add","OK")</f>
        <v>OK</v>
      </c>
      <c r="AU1225" s="202"/>
      <c r="AV1225" s="262"/>
      <c r="AW1225" s="274"/>
    </row>
    <row r="1226" spans="1:49" s="13" customFormat="1" ht="33.75" x14ac:dyDescent="0.2">
      <c r="A1226" s="14">
        <v>1202</v>
      </c>
      <c r="B1226" s="14">
        <v>400031629</v>
      </c>
      <c r="C1226" s="8" t="s">
        <v>5197</v>
      </c>
      <c r="D1226" s="4" t="str">
        <f t="shared" si="122"/>
        <v>400031629R1</v>
      </c>
      <c r="E1226" s="309" t="str">
        <f>VLOOKUP($B1226,'D7 - NDB Impacted SPRF''s'!$E$6:$O$9929,2,FALSE)</f>
        <v>HEDIS 2010 Board Certification</v>
      </c>
      <c r="F1226" s="8" t="s">
        <v>4471</v>
      </c>
      <c r="G1226" s="8" t="s">
        <v>4758</v>
      </c>
      <c r="H1226" s="8" t="s">
        <v>4246</v>
      </c>
      <c r="I1226" s="20">
        <v>1.05</v>
      </c>
      <c r="J1226" s="8" t="s">
        <v>4862</v>
      </c>
      <c r="K1226" s="182">
        <v>40222</v>
      </c>
      <c r="L1226" s="8" t="s">
        <v>4156</v>
      </c>
      <c r="M1226" s="8" t="s">
        <v>6007</v>
      </c>
      <c r="N1226" s="38"/>
      <c r="O1226" s="8" t="s">
        <v>7299</v>
      </c>
      <c r="P1226" s="4" t="str">
        <f>VLOOKUP($B1226,'D7 - NDB Impacted SPRF''s'!$E$16:$O$9929,9,FALSE)</f>
        <v>N</v>
      </c>
      <c r="Q1226" s="4" t="str">
        <f>VLOOKUP($B1226,'D7 - NDB Impacted SPRF''s'!$E$16:$O$9929,10,FALSE)</f>
        <v>N</v>
      </c>
      <c r="R1226" s="4" t="str">
        <f>VLOOKUP($B1226,'D7 - NDB Impacted SPRF''s'!$E$16:$O$9929,11,FALSE)</f>
        <v>N</v>
      </c>
      <c r="S1226" s="8"/>
      <c r="T1226" s="310"/>
      <c r="U1226" s="310"/>
      <c r="V1226" s="4"/>
      <c r="W1226" s="4"/>
      <c r="X1226" s="4"/>
      <c r="Y1226" s="4"/>
      <c r="Z1226" s="4"/>
      <c r="AA1226" s="4"/>
      <c r="AB1226" s="380" t="str">
        <f>VLOOKUP($B1226,'D7 - NDB Impacted SPRF''s'!$E$6:$O$9929,4,FALSE)</f>
        <v>Completed</v>
      </c>
      <c r="AC1226" s="380" t="str">
        <f>VLOOKUP($B1226,'D7 - NDB Impacted SPRF''s'!$E$6:$O$9929,3,FALSE)</f>
        <v>UnitedHealthcare Employer &amp; Individual</v>
      </c>
      <c r="AD1226" s="380" t="str">
        <f>VLOOKUP($B1226,'D7 - NDB Impacted SPRF''s'!$E$6:$O$9929,5,FALSE)</f>
        <v>Operational Requirements</v>
      </c>
      <c r="AE1226" s="380" t="str">
        <f>VLOOKUP($B1226,'D7 - NDB Impacted SPRF''s'!$E$6:$O$9929,7,FALSE)</f>
        <v>Michael Curran</v>
      </c>
      <c r="AF1226" s="380" t="str">
        <f>VLOOKUP($B1226,'D7 - NDB Impacted SPRF''s'!$E$6:$O$9929,6,FALSE)</f>
        <v>Bertram Janet</v>
      </c>
      <c r="AG1226" s="282"/>
      <c r="AH1226" s="311" t="e">
        <f>INDEX('D5 - Gatekeeper - Projects'!$A$4:$AF$1010,$AM1226, 17)</f>
        <v>#N/A</v>
      </c>
      <c r="AI1226" s="8"/>
      <c r="AJ1226" s="57"/>
      <c r="AK1226" s="105"/>
      <c r="AM1226" s="6" t="e">
        <f>MATCH(D1226,'D5 - Gatekeeper - Projects'!$C$4:$C$1010,0)</f>
        <v>#N/A</v>
      </c>
      <c r="AN1226" s="6" t="b">
        <f t="shared" si="115"/>
        <v>1</v>
      </c>
      <c r="AO1226" s="6" t="str">
        <f t="shared" si="117"/>
        <v>OK</v>
      </c>
      <c r="AQ1226" s="6" t="e">
        <f>MATCH($D1226,'D4 - Provider Council Unsched'!$C$11:$C$234,0)</f>
        <v>#N/A</v>
      </c>
      <c r="AR1226" s="6" t="b">
        <f t="shared" si="116"/>
        <v>1</v>
      </c>
      <c r="AS1226" s="6" t="str">
        <f>IF(AND(H1226="2 - Not Scheduled",AR1226=TRUE,C1226="R1"),"Add","OK")</f>
        <v>OK</v>
      </c>
      <c r="AU1226" s="202"/>
      <c r="AV1226" s="262"/>
      <c r="AW1226" s="274"/>
    </row>
    <row r="1227" spans="1:49" s="13" customFormat="1" x14ac:dyDescent="0.2">
      <c r="A1227" s="14">
        <v>1203</v>
      </c>
      <c r="B1227" s="14">
        <v>400031992</v>
      </c>
      <c r="C1227" s="8" t="s">
        <v>5197</v>
      </c>
      <c r="D1227" s="4" t="str">
        <f t="shared" si="122"/>
        <v>400031992R1</v>
      </c>
      <c r="E1227" s="309" t="str">
        <f>VLOOKUP($B1227,'D7 - NDB Impacted SPRF''s'!$E$6:$O$9929,2,FALSE)</f>
        <v>UBH contract load onto Pulse  - Option Analysis</v>
      </c>
      <c r="F1227" s="8"/>
      <c r="G1227" s="8" t="s">
        <v>4758</v>
      </c>
      <c r="H1227" s="8" t="s">
        <v>4246</v>
      </c>
      <c r="I1227" s="20">
        <v>0.53</v>
      </c>
      <c r="J1227" s="8" t="s">
        <v>4862</v>
      </c>
      <c r="K1227" s="182">
        <v>40222</v>
      </c>
      <c r="L1227" s="8" t="s">
        <v>4156</v>
      </c>
      <c r="M1227" s="8" t="s">
        <v>6688</v>
      </c>
      <c r="N1227" s="38"/>
      <c r="O1227" s="8" t="s">
        <v>4019</v>
      </c>
      <c r="P1227" s="4" t="str">
        <f>VLOOKUP($B1227,'D7 - NDB Impacted SPRF''s'!$E$16:$O$9929,9,FALSE)</f>
        <v>N</v>
      </c>
      <c r="Q1227" s="4" t="str">
        <f>VLOOKUP($B1227,'D7 - NDB Impacted SPRF''s'!$E$16:$O$9929,10,FALSE)</f>
        <v>N</v>
      </c>
      <c r="R1227" s="4" t="str">
        <f>VLOOKUP($B1227,'D7 - NDB Impacted SPRF''s'!$E$16:$O$9929,11,FALSE)</f>
        <v>Y</v>
      </c>
      <c r="S1227" s="8"/>
      <c r="T1227" s="310"/>
      <c r="U1227" s="310"/>
      <c r="V1227" s="4"/>
      <c r="W1227" s="4"/>
      <c r="X1227" s="4"/>
      <c r="Y1227" s="4"/>
      <c r="Z1227" s="4"/>
      <c r="AA1227" s="4"/>
      <c r="AB1227" s="380" t="str">
        <f>VLOOKUP($B1227,'D7 - NDB Impacted SPRF''s'!$E$6:$O$9929,4,FALSE)</f>
        <v>Completed</v>
      </c>
      <c r="AC1227" s="380" t="str">
        <f>VLOOKUP($B1227,'D7 - NDB Impacted SPRF''s'!$E$6:$O$9929,3,FALSE)</f>
        <v>OptumHealth</v>
      </c>
      <c r="AD1227" s="380" t="str">
        <f>VLOOKUP($B1227,'D7 - NDB Impacted SPRF''s'!$E$6:$O$9929,5,FALSE)</f>
        <v>Behavioral Solutions</v>
      </c>
      <c r="AE1227" s="380" t="str">
        <f>VLOOKUP($B1227,'D7 - NDB Impacted SPRF''s'!$E$6:$O$9929,7,FALSE)</f>
        <v>Sharon McCullough</v>
      </c>
      <c r="AF1227" s="380" t="str">
        <f>VLOOKUP($B1227,'D7 - NDB Impacted SPRF''s'!$E$6:$O$9929,6,FALSE)</f>
        <v>BISH PADHI</v>
      </c>
      <c r="AG1227" s="282"/>
      <c r="AH1227" s="311" t="e">
        <f>INDEX('D5 - Gatekeeper - Projects'!$A$4:$AF$1010,$AM1227, 17)</f>
        <v>#N/A</v>
      </c>
      <c r="AI1227" s="8"/>
      <c r="AJ1227" s="57"/>
      <c r="AK1227" s="105"/>
      <c r="AM1227" s="6" t="e">
        <f>MATCH(D1227,'D5 - Gatekeeper - Projects'!$C$4:$C$1010,0)</f>
        <v>#N/A</v>
      </c>
      <c r="AN1227" s="6" t="b">
        <f t="shared" si="115"/>
        <v>1</v>
      </c>
      <c r="AO1227" s="6" t="str">
        <f t="shared" si="117"/>
        <v>OK</v>
      </c>
      <c r="AQ1227" s="6" t="e">
        <f>MATCH($D1227,'D4 - Provider Council Unsched'!$C$11:$C$234,0)</f>
        <v>#N/A</v>
      </c>
      <c r="AR1227" s="6" t="b">
        <f t="shared" si="116"/>
        <v>1</v>
      </c>
      <c r="AS1227" s="6" t="str">
        <f>IF(AND(H1227="2 - Not Scheduled",AR1227=TRUE,C1227="R1"),"Add","OK")</f>
        <v>OK</v>
      </c>
      <c r="AU1227" s="202"/>
      <c r="AV1227" s="262"/>
      <c r="AW1227" s="274"/>
    </row>
    <row r="1228" spans="1:49" s="13" customFormat="1" x14ac:dyDescent="0.2">
      <c r="A1228" s="14">
        <v>1204</v>
      </c>
      <c r="B1228" s="14" t="s">
        <v>7344</v>
      </c>
      <c r="C1228" s="8" t="s">
        <v>5197</v>
      </c>
      <c r="D1228" s="4" t="s">
        <v>7971</v>
      </c>
      <c r="E1228" s="309" t="s">
        <v>4930</v>
      </c>
      <c r="F1228" s="8" t="s">
        <v>2114</v>
      </c>
      <c r="G1228" s="8" t="s">
        <v>4758</v>
      </c>
      <c r="H1228" s="8" t="s">
        <v>4246</v>
      </c>
      <c r="I1228" s="20">
        <v>4</v>
      </c>
      <c r="J1228" s="8" t="s">
        <v>4862</v>
      </c>
      <c r="K1228" s="182">
        <v>40222</v>
      </c>
      <c r="L1228" s="8" t="s">
        <v>5743</v>
      </c>
      <c r="M1228" s="8" t="s">
        <v>2814</v>
      </c>
      <c r="N1228" s="38"/>
      <c r="O1228" s="8" t="s">
        <v>3572</v>
      </c>
      <c r="P1228" s="4" t="e">
        <f>VLOOKUP($B1228,'D7 - NDB Impacted SPRF''s'!$E$16:$O$9929,9,FALSE)</f>
        <v>#N/A</v>
      </c>
      <c r="Q1228" s="4" t="e">
        <f>VLOOKUP($B1228,'D7 - NDB Impacted SPRF''s'!$E$16:$O$9929,10,FALSE)</f>
        <v>#N/A</v>
      </c>
      <c r="R1228" s="4" t="e">
        <f>VLOOKUP($B1228,'D7 - NDB Impacted SPRF''s'!$E$16:$O$9929,11,FALSE)</f>
        <v>#N/A</v>
      </c>
      <c r="S1228" s="8"/>
      <c r="T1228" s="310"/>
      <c r="U1228" s="310"/>
      <c r="V1228" s="4"/>
      <c r="W1228" s="4"/>
      <c r="X1228" s="4"/>
      <c r="Y1228" s="4"/>
      <c r="Z1228" s="4"/>
      <c r="AA1228" s="4"/>
      <c r="AB1228" s="383" t="e">
        <f>VLOOKUP($B1228,'D7 - NDB Impacted SPRF''s'!$E$16:$O$9929,4,FALSE)</f>
        <v>#N/A</v>
      </c>
      <c r="AC1228" s="380" t="e">
        <f>VLOOKUP($B1228,'D7 - NDB Impacted SPRF''s'!$E$16:$O$9929,3,FALSE)</f>
        <v>#N/A</v>
      </c>
      <c r="AD1228" s="380" t="e">
        <f>VLOOKUP($B1228,'D7 - NDB Impacted SPRF''s'!$E$16:$O$9929,5,FALSE)</f>
        <v>#N/A</v>
      </c>
      <c r="AE1228" s="380" t="e">
        <f>VLOOKUP($B1228,'D7 - NDB Impacted SPRF''s'!$E$16:$O$9929,7,FALSE)</f>
        <v>#N/A</v>
      </c>
      <c r="AF1228" s="380" t="e">
        <f>VLOOKUP($B1228,'D7 - NDB Impacted SPRF''s'!$E$16:$O$9929,6,FALSE)</f>
        <v>#N/A</v>
      </c>
      <c r="AG1228" s="282"/>
      <c r="AH1228" s="311" t="e">
        <f>INDEX('D5 - Gatekeeper - Projects'!$A$4:$AF$1010,$AM1228, 17)</f>
        <v>#N/A</v>
      </c>
      <c r="AI1228" s="8"/>
      <c r="AJ1228" s="57"/>
      <c r="AK1228" s="105"/>
      <c r="AM1228" s="6" t="e">
        <f>MATCH(D1228,'D5 - Gatekeeper - Projects'!$C$4:$C$1010,0)</f>
        <v>#N/A</v>
      </c>
      <c r="AN1228" s="6" t="b">
        <f t="shared" si="115"/>
        <v>1</v>
      </c>
      <c r="AO1228" s="6" t="str">
        <f t="shared" si="117"/>
        <v>OK</v>
      </c>
      <c r="AQ1228" s="6" t="e">
        <f>MATCH($D1228,'D4 - Provider Council Unsched'!$C$11:$C$234,0)</f>
        <v>#N/A</v>
      </c>
      <c r="AR1228" s="6" t="b">
        <f t="shared" si="116"/>
        <v>1</v>
      </c>
      <c r="AS1228" s="6" t="str">
        <f>IF(AND(H1228="2 - Not Scheduled",AR1228=TRUE),"Add","OK")</f>
        <v>OK</v>
      </c>
      <c r="AU1228" s="202"/>
      <c r="AV1228" s="262"/>
      <c r="AW1228" s="274"/>
    </row>
    <row r="1229" spans="1:49" s="13" customFormat="1" x14ac:dyDescent="0.2">
      <c r="A1229" s="14">
        <v>1205</v>
      </c>
      <c r="B1229" s="14" t="s">
        <v>7345</v>
      </c>
      <c r="C1229" s="8" t="s">
        <v>5197</v>
      </c>
      <c r="D1229" s="4" t="s">
        <v>7972</v>
      </c>
      <c r="E1229" s="309" t="s">
        <v>4931</v>
      </c>
      <c r="F1229" s="8" t="s">
        <v>2114</v>
      </c>
      <c r="G1229" s="8" t="s">
        <v>4758</v>
      </c>
      <c r="H1229" s="8" t="s">
        <v>4246</v>
      </c>
      <c r="I1229" s="20">
        <v>4</v>
      </c>
      <c r="J1229" s="8" t="s">
        <v>4862</v>
      </c>
      <c r="K1229" s="182">
        <v>40222</v>
      </c>
      <c r="L1229" s="8" t="s">
        <v>5743</v>
      </c>
      <c r="M1229" s="8" t="s">
        <v>2814</v>
      </c>
      <c r="N1229" s="38"/>
      <c r="O1229" s="8" t="s">
        <v>3572</v>
      </c>
      <c r="P1229" s="4" t="e">
        <f>VLOOKUP($B1229,'D7 - NDB Impacted SPRF''s'!$E$16:$O$9929,9,FALSE)</f>
        <v>#N/A</v>
      </c>
      <c r="Q1229" s="4" t="e">
        <f>VLOOKUP($B1229,'D7 - NDB Impacted SPRF''s'!$E$16:$O$9929,10,FALSE)</f>
        <v>#N/A</v>
      </c>
      <c r="R1229" s="4" t="e">
        <f>VLOOKUP($B1229,'D7 - NDB Impacted SPRF''s'!$E$16:$O$9929,11,FALSE)</f>
        <v>#N/A</v>
      </c>
      <c r="S1229" s="8"/>
      <c r="T1229" s="310"/>
      <c r="U1229" s="310"/>
      <c r="V1229" s="4"/>
      <c r="W1229" s="4"/>
      <c r="X1229" s="4"/>
      <c r="Y1229" s="4"/>
      <c r="Z1229" s="4"/>
      <c r="AA1229" s="4"/>
      <c r="AB1229" s="383" t="e">
        <f>VLOOKUP($B1229,'D7 - NDB Impacted SPRF''s'!$E$16:$O$9929,4,FALSE)</f>
        <v>#N/A</v>
      </c>
      <c r="AC1229" s="380" t="e">
        <f>VLOOKUP($B1229,'D7 - NDB Impacted SPRF''s'!$E$16:$O$9929,3,FALSE)</f>
        <v>#N/A</v>
      </c>
      <c r="AD1229" s="380" t="e">
        <f>VLOOKUP($B1229,'D7 - NDB Impacted SPRF''s'!$E$16:$O$9929,5,FALSE)</f>
        <v>#N/A</v>
      </c>
      <c r="AE1229" s="380" t="e">
        <f>VLOOKUP($B1229,'D7 - NDB Impacted SPRF''s'!$E$16:$O$9929,7,FALSE)</f>
        <v>#N/A</v>
      </c>
      <c r="AF1229" s="380" t="e">
        <f>VLOOKUP($B1229,'D7 - NDB Impacted SPRF''s'!$E$16:$O$9929,6,FALSE)</f>
        <v>#N/A</v>
      </c>
      <c r="AG1229" s="282"/>
      <c r="AH1229" s="311" t="e">
        <f>INDEX('D5 - Gatekeeper - Projects'!$A$4:$AF$1010,$AM1229, 17)</f>
        <v>#N/A</v>
      </c>
      <c r="AI1229" s="8"/>
      <c r="AJ1229" s="57"/>
      <c r="AK1229" s="105"/>
      <c r="AM1229" s="6" t="e">
        <f>MATCH(D1229,'D5 - Gatekeeper - Projects'!$C$4:$C$1010,0)</f>
        <v>#N/A</v>
      </c>
      <c r="AN1229" s="6" t="b">
        <f t="shared" si="115"/>
        <v>1</v>
      </c>
      <c r="AO1229" s="6" t="str">
        <f t="shared" si="117"/>
        <v>OK</v>
      </c>
      <c r="AQ1229" s="6" t="e">
        <f>MATCH($D1229,'D4 - Provider Council Unsched'!$C$11:$C$234,0)</f>
        <v>#N/A</v>
      </c>
      <c r="AR1229" s="6" t="b">
        <f t="shared" si="116"/>
        <v>1</v>
      </c>
      <c r="AS1229" s="6" t="str">
        <f>IF(AND(H1229="2 - Not Scheduled",AR1229=TRUE),"Add","OK")</f>
        <v>OK</v>
      </c>
      <c r="AU1229" s="202"/>
      <c r="AV1229" s="262"/>
      <c r="AW1229" s="274"/>
    </row>
    <row r="1230" spans="1:49" s="13" customFormat="1" ht="33.75" x14ac:dyDescent="0.2">
      <c r="A1230" s="14">
        <v>1206</v>
      </c>
      <c r="B1230" s="14">
        <v>400023729</v>
      </c>
      <c r="C1230" s="8" t="s">
        <v>5197</v>
      </c>
      <c r="D1230" s="4" t="str">
        <f t="shared" ref="D1230:D1252" si="124">CONCATENATE(B1230,C1230)</f>
        <v>400023729R1</v>
      </c>
      <c r="E1230" s="309" t="str">
        <f>VLOOKUP($B1230,'D7 - NDB Impacted SPRF''s'!$E$6:$O$9929,2,FALSE)</f>
        <v>NDB EA NY One to Many Provider Structure</v>
      </c>
      <c r="F1230" s="8" t="s">
        <v>4961</v>
      </c>
      <c r="G1230" s="8" t="s">
        <v>4758</v>
      </c>
      <c r="H1230" s="8" t="s">
        <v>4246</v>
      </c>
      <c r="I1230" s="20">
        <f>1655/150</f>
        <v>11.033333333333333</v>
      </c>
      <c r="J1230" s="8" t="s">
        <v>4862</v>
      </c>
      <c r="K1230" s="182">
        <v>40250</v>
      </c>
      <c r="L1230" s="8" t="s">
        <v>5743</v>
      </c>
      <c r="M1230" s="8" t="s">
        <v>2814</v>
      </c>
      <c r="N1230" s="38"/>
      <c r="O1230" s="8" t="s">
        <v>4599</v>
      </c>
      <c r="P1230" s="4" t="str">
        <f>VLOOKUP($B1230,'D7 - NDB Impacted SPRF''s'!$E$16:$O$9929,9,FALSE)</f>
        <v>N</v>
      </c>
      <c r="Q1230" s="4" t="str">
        <f>VLOOKUP($B1230,'D7 - NDB Impacted SPRF''s'!$E$16:$O$9929,10,FALSE)</f>
        <v>N</v>
      </c>
      <c r="R1230" s="4" t="str">
        <f>VLOOKUP($B1230,'D7 - NDB Impacted SPRF''s'!$E$16:$O$9929,11,FALSE)</f>
        <v>N</v>
      </c>
      <c r="S1230" s="8"/>
      <c r="T1230" s="310"/>
      <c r="U1230" s="310"/>
      <c r="V1230" s="4"/>
      <c r="W1230" s="4"/>
      <c r="X1230" s="4"/>
      <c r="Y1230" s="4"/>
      <c r="Z1230" s="4"/>
      <c r="AA1230" s="4"/>
      <c r="AB1230" s="380" t="str">
        <f>VLOOKUP($B1230,'D7 - NDB Impacted SPRF''s'!$E$16:$O$9929,4,FALSE)</f>
        <v>Completed</v>
      </c>
      <c r="AC1230" s="380" t="str">
        <f>VLOOKUP($B1230,'D7 - NDB Impacted SPRF''s'!$E$16:$O$9929,3,FALSE)</f>
        <v>UnitedHealthcare Community &amp; State</v>
      </c>
      <c r="AD1230" s="380" t="str">
        <f>VLOOKUP($B1230,'D7 - NDB Impacted SPRF''s'!$E$16:$O$9929,5,FALSE)</f>
        <v>AmeriChoice</v>
      </c>
      <c r="AE1230" s="380" t="str">
        <f>VLOOKUP($B1230,'D7 - NDB Impacted SPRF''s'!$E$16:$O$9929,7,FALSE)</f>
        <v>Collins, Garfield</v>
      </c>
      <c r="AF1230" s="380" t="str">
        <f>VLOOKUP($B1230,'D7 - NDB Impacted SPRF''s'!$E$16:$O$9929,6,FALSE)</f>
        <v>GREGORY MILLS</v>
      </c>
      <c r="AG1230" s="282"/>
      <c r="AH1230" s="311" t="e">
        <f>INDEX('D5 - Gatekeeper - Projects'!$A$4:$AF$1010,$AM1230, 17)</f>
        <v>#N/A</v>
      </c>
      <c r="AI1230" s="8"/>
      <c r="AJ1230" s="57"/>
      <c r="AK1230" s="105"/>
      <c r="AM1230" s="6" t="e">
        <f>MATCH(D1230,'D5 - Gatekeeper - Projects'!$C$4:$C$1010,0)</f>
        <v>#N/A</v>
      </c>
      <c r="AN1230" s="6" t="b">
        <f t="shared" si="115"/>
        <v>1</v>
      </c>
      <c r="AO1230" s="6" t="str">
        <f t="shared" si="117"/>
        <v>OK</v>
      </c>
      <c r="AQ1230" s="6" t="e">
        <f>MATCH($D1230,'D4 - Provider Council Unsched'!$C$11:$C$234,0)</f>
        <v>#N/A</v>
      </c>
      <c r="AR1230" s="6" t="b">
        <f t="shared" si="116"/>
        <v>1</v>
      </c>
      <c r="AS1230" s="6" t="str">
        <f>IF(AND(H1230="2 - Not Scheduled",AR1230=TRUE),"Add","OK")</f>
        <v>OK</v>
      </c>
      <c r="AU1230" s="202"/>
      <c r="AV1230" s="262"/>
      <c r="AW1230" s="274"/>
    </row>
    <row r="1231" spans="1:49" s="13" customFormat="1" ht="33.75" x14ac:dyDescent="0.2">
      <c r="A1231" s="14">
        <v>1207</v>
      </c>
      <c r="B1231" s="14">
        <v>400026313</v>
      </c>
      <c r="C1231" s="8" t="s">
        <v>5197</v>
      </c>
      <c r="D1231" s="4" t="str">
        <f t="shared" si="124"/>
        <v>400026313R1</v>
      </c>
      <c r="E1231" s="309" t="str">
        <f>VLOOKUP($B1231,'D7 - NDB Impacted SPRF''s'!$E$6:$O$9929,2,FALSE)</f>
        <v>TX Medicaid Provider Identifiers</v>
      </c>
      <c r="F1231" s="8" t="s">
        <v>2114</v>
      </c>
      <c r="G1231" s="8" t="s">
        <v>4758</v>
      </c>
      <c r="H1231" s="8" t="s">
        <v>4246</v>
      </c>
      <c r="I1231" s="20">
        <v>48.16</v>
      </c>
      <c r="J1231" s="8" t="s">
        <v>4862</v>
      </c>
      <c r="K1231" s="182">
        <v>40250</v>
      </c>
      <c r="L1231" s="8" t="s">
        <v>5743</v>
      </c>
      <c r="M1231" s="8" t="s">
        <v>2814</v>
      </c>
      <c r="N1231" s="38"/>
      <c r="O1231" s="8" t="s">
        <v>2875</v>
      </c>
      <c r="P1231" s="4" t="str">
        <f>VLOOKUP($B1231,'D7 - NDB Impacted SPRF''s'!$E$16:$O$9929,9,FALSE)</f>
        <v>Y</v>
      </c>
      <c r="Q1231" s="4" t="str">
        <f>VLOOKUP($B1231,'D7 - NDB Impacted SPRF''s'!$E$16:$O$9929,10,FALSE)</f>
        <v>N</v>
      </c>
      <c r="R1231" s="4" t="str">
        <f>VLOOKUP($B1231,'D7 - NDB Impacted SPRF''s'!$E$16:$O$9929,11,FALSE)</f>
        <v>Y</v>
      </c>
      <c r="S1231" s="8"/>
      <c r="T1231" s="310"/>
      <c r="U1231" s="310"/>
      <c r="V1231" s="4"/>
      <c r="W1231" s="4"/>
      <c r="X1231" s="4"/>
      <c r="Y1231" s="4"/>
      <c r="Z1231" s="4"/>
      <c r="AA1231" s="4"/>
      <c r="AB1231" s="380" t="str">
        <f>VLOOKUP($B1231,'D7 - NDB Impacted SPRF''s'!$E$16:$O$9929,4,FALSE)</f>
        <v>Completed</v>
      </c>
      <c r="AC1231" s="380" t="str">
        <f>VLOOKUP($B1231,'D7 - NDB Impacted SPRF''s'!$E$16:$O$9929,3,FALSE)</f>
        <v>UnitedHealthcare Community &amp; State</v>
      </c>
      <c r="AD1231" s="380" t="str">
        <f>VLOOKUP($B1231,'D7 - NDB Impacted SPRF''s'!$E$16:$O$9929,5,FALSE)</f>
        <v>Evercare Medicaid</v>
      </c>
      <c r="AE1231" s="380" t="str">
        <f>VLOOKUP($B1231,'D7 - NDB Impacted SPRF''s'!$E$16:$O$9929,7,FALSE)</f>
        <v>Bill Guptail</v>
      </c>
      <c r="AF1231" s="380" t="str">
        <f>VLOOKUP($B1231,'D7 - NDB Impacted SPRF''s'!$E$16:$O$9929,6,FALSE)</f>
        <v>Jessica Ayers</v>
      </c>
      <c r="AG1231" s="282"/>
      <c r="AH1231" s="311" t="e">
        <f>INDEX('D5 - Gatekeeper - Projects'!$A$4:$AF$1010,$AM1231, 17)</f>
        <v>#N/A</v>
      </c>
      <c r="AI1231" s="8"/>
      <c r="AJ1231" s="57"/>
      <c r="AK1231" s="105"/>
      <c r="AM1231" s="6" t="e">
        <f>MATCH(D1231,'D5 - Gatekeeper - Projects'!$C$4:$C$1010,0)</f>
        <v>#N/A</v>
      </c>
      <c r="AN1231" s="6" t="b">
        <f t="shared" si="115"/>
        <v>1</v>
      </c>
      <c r="AO1231" s="6" t="str">
        <f t="shared" si="117"/>
        <v>OK</v>
      </c>
      <c r="AQ1231" s="6" t="e">
        <f>MATCH($D1231,'D4 - Provider Council Unsched'!$C$11:$C$234,0)</f>
        <v>#N/A</v>
      </c>
      <c r="AR1231" s="6" t="b">
        <f t="shared" si="116"/>
        <v>1</v>
      </c>
      <c r="AS1231" s="6" t="str">
        <f>IF(AND(H1231="2 - Not Scheduled",AR1231=TRUE),"Add","OK")</f>
        <v>OK</v>
      </c>
      <c r="AU1231" s="202"/>
      <c r="AV1231" s="262"/>
      <c r="AW1231" s="274"/>
    </row>
    <row r="1232" spans="1:49" s="13" customFormat="1" ht="33.75" x14ac:dyDescent="0.2">
      <c r="A1232" s="14">
        <v>1208</v>
      </c>
      <c r="B1232" s="14">
        <v>400026313</v>
      </c>
      <c r="C1232" s="8" t="s">
        <v>1992</v>
      </c>
      <c r="D1232" s="4" t="str">
        <f t="shared" si="124"/>
        <v>400026313U1</v>
      </c>
      <c r="E1232" s="309" t="str">
        <f>VLOOKUP($B1232,'D7 - NDB Impacted SPRF''s'!$E$6:$O$9929,2,FALSE)</f>
        <v>TX Medicaid Provider Identifiers</v>
      </c>
      <c r="F1232" s="8" t="s">
        <v>2114</v>
      </c>
      <c r="G1232" s="8" t="s">
        <v>4758</v>
      </c>
      <c r="H1232" s="8" t="s">
        <v>4246</v>
      </c>
      <c r="I1232" s="20"/>
      <c r="J1232" s="8" t="s">
        <v>4862</v>
      </c>
      <c r="K1232" s="182">
        <v>40250</v>
      </c>
      <c r="L1232" s="8" t="s">
        <v>5743</v>
      </c>
      <c r="M1232" s="8" t="s">
        <v>2814</v>
      </c>
      <c r="N1232" s="38"/>
      <c r="O1232" s="8" t="s">
        <v>2875</v>
      </c>
      <c r="P1232" s="4" t="str">
        <f>VLOOKUP($B1232,'D7 - NDB Impacted SPRF''s'!$E$16:$O$9929,9,FALSE)</f>
        <v>Y</v>
      </c>
      <c r="Q1232" s="4" t="str">
        <f>VLOOKUP($B1232,'D7 - NDB Impacted SPRF''s'!$E$16:$O$9929,10,FALSE)</f>
        <v>N</v>
      </c>
      <c r="R1232" s="4" t="str">
        <f>VLOOKUP($B1232,'D7 - NDB Impacted SPRF''s'!$E$16:$O$9929,11,FALSE)</f>
        <v>Y</v>
      </c>
      <c r="S1232" s="8"/>
      <c r="T1232" s="310"/>
      <c r="U1232" s="310"/>
      <c r="V1232" s="4"/>
      <c r="W1232" s="4"/>
      <c r="X1232" s="4"/>
      <c r="Y1232" s="4"/>
      <c r="Z1232" s="4"/>
      <c r="AA1232" s="4"/>
      <c r="AB1232" s="380" t="str">
        <f>VLOOKUP($B1232,'D7 - NDB Impacted SPRF''s'!$E$16:$O$9929,4,FALSE)</f>
        <v>Completed</v>
      </c>
      <c r="AC1232" s="380" t="str">
        <f>VLOOKUP($B1232,'D7 - NDB Impacted SPRF''s'!$E$16:$O$9929,3,FALSE)</f>
        <v>UnitedHealthcare Community &amp; State</v>
      </c>
      <c r="AD1232" s="380" t="str">
        <f>VLOOKUP($B1232,'D7 - NDB Impacted SPRF''s'!$E$16:$O$9929,5,FALSE)</f>
        <v>Evercare Medicaid</v>
      </c>
      <c r="AE1232" s="380" t="str">
        <f>VLOOKUP($B1232,'D7 - NDB Impacted SPRF''s'!$E$16:$O$9929,7,FALSE)</f>
        <v>Bill Guptail</v>
      </c>
      <c r="AF1232" s="380" t="str">
        <f>VLOOKUP($B1232,'D7 - NDB Impacted SPRF''s'!$E$16:$O$9929,6,FALSE)</f>
        <v>Jessica Ayers</v>
      </c>
      <c r="AG1232" s="282"/>
      <c r="AH1232" s="311" t="e">
        <f>INDEX('D5 - Gatekeeper - Projects'!$A$4:$AF$1010,$AM1232, 17)</f>
        <v>#N/A</v>
      </c>
      <c r="AI1232" s="8"/>
      <c r="AJ1232" s="57"/>
      <c r="AK1232" s="105"/>
      <c r="AM1232" s="6" t="e">
        <f>MATCH(D1232,'D5 - Gatekeeper - Projects'!$C$4:$C$1010,0)</f>
        <v>#N/A</v>
      </c>
      <c r="AN1232" s="6" t="b">
        <f t="shared" si="115"/>
        <v>1</v>
      </c>
      <c r="AO1232" s="6" t="str">
        <f t="shared" si="117"/>
        <v>OK</v>
      </c>
      <c r="AQ1232" s="6" t="e">
        <f>MATCH($D1232,'D4 - Provider Council Unsched'!$C$11:$C$234,0)</f>
        <v>#N/A</v>
      </c>
      <c r="AR1232" s="6" t="b">
        <f t="shared" si="116"/>
        <v>1</v>
      </c>
      <c r="AS1232" s="6" t="str">
        <f>IF(AND(H1232="2 - Not Scheduled",AR1232=TRUE),"Add","OK")</f>
        <v>OK</v>
      </c>
      <c r="AU1232" s="202"/>
      <c r="AV1232" s="262"/>
      <c r="AW1232" s="274"/>
    </row>
    <row r="1233" spans="1:49" s="13" customFormat="1" ht="33.75" x14ac:dyDescent="0.2">
      <c r="A1233" s="14">
        <v>1209</v>
      </c>
      <c r="B1233" s="14">
        <v>400026479</v>
      </c>
      <c r="C1233" s="8" t="s">
        <v>3763</v>
      </c>
      <c r="D1233" s="4" t="str">
        <f t="shared" si="124"/>
        <v>400026479R2</v>
      </c>
      <c r="E1233" s="309" t="str">
        <f>VLOOKUP($B1233,'D7 - NDB Impacted SPRF''s'!$E$6:$O$9929,2,FALSE)</f>
        <v>PHS WP1 - PCP Call Service - PCP Reassignment</v>
      </c>
      <c r="F1233" s="8" t="s">
        <v>6071</v>
      </c>
      <c r="G1233" s="8" t="s">
        <v>4758</v>
      </c>
      <c r="H1233" s="8" t="s">
        <v>4246</v>
      </c>
      <c r="I1233" s="20">
        <v>1.07</v>
      </c>
      <c r="J1233" s="8" t="s">
        <v>4862</v>
      </c>
      <c r="K1233" s="182">
        <v>40250</v>
      </c>
      <c r="L1233" s="8" t="s">
        <v>5743</v>
      </c>
      <c r="M1233" s="8" t="s">
        <v>5626</v>
      </c>
      <c r="N1233" s="38" t="s">
        <v>3867</v>
      </c>
      <c r="O1233" s="8" t="s">
        <v>2875</v>
      </c>
      <c r="P1233" s="4" t="str">
        <f>VLOOKUP($B1233,'D7 - NDB Impacted SPRF''s'!$E$16:$O$9929,9,FALSE)</f>
        <v>N</v>
      </c>
      <c r="Q1233" s="4" t="str">
        <f>VLOOKUP($B1233,'D7 - NDB Impacted SPRF''s'!$E$16:$O$9929,10,FALSE)</f>
        <v>N</v>
      </c>
      <c r="R1233" s="4" t="str">
        <f>VLOOKUP($B1233,'D7 - NDB Impacted SPRF''s'!$E$16:$O$9929,11,FALSE)</f>
        <v>N</v>
      </c>
      <c r="S1233" s="8"/>
      <c r="T1233" s="310"/>
      <c r="U1233" s="310"/>
      <c r="V1233" s="4"/>
      <c r="W1233" s="4"/>
      <c r="X1233" s="4"/>
      <c r="Y1233" s="4"/>
      <c r="Z1233" s="4"/>
      <c r="AA1233" s="4"/>
      <c r="AB1233" s="380" t="str">
        <f>VLOOKUP($B1233,'D7 - NDB Impacted SPRF''s'!$E$16:$O$9929,4,FALSE)</f>
        <v>Completed</v>
      </c>
      <c r="AC1233" s="380" t="str">
        <f>VLOOKUP($B1233,'D7 - NDB Impacted SPRF''s'!$E$16:$O$9929,3,FALSE)</f>
        <v>UnitedHealthcare Employer &amp; Individual</v>
      </c>
      <c r="AD1233" s="380" t="str">
        <f>VLOOKUP($B1233,'D7 - NDB Impacted SPRF''s'!$E$16:$O$9929,5,FALSE)</f>
        <v>Integration Requirements</v>
      </c>
      <c r="AE1233" s="380" t="str">
        <f>VLOOKUP($B1233,'D7 - NDB Impacted SPRF''s'!$E$16:$O$9929,7,FALSE)</f>
        <v>Diane Schofield</v>
      </c>
      <c r="AF1233" s="380" t="str">
        <f>VLOOKUP($B1233,'D7 - NDB Impacted SPRF''s'!$E$16:$O$9929,6,FALSE)</f>
        <v>KAREN MCKINNEY</v>
      </c>
      <c r="AG1233" s="282"/>
      <c r="AH1233" s="311" t="e">
        <f>INDEX('D5 - Gatekeeper - Projects'!$A$4:$AF$1010,$AM1233, 17)</f>
        <v>#N/A</v>
      </c>
      <c r="AI1233" s="8"/>
      <c r="AJ1233" s="57"/>
      <c r="AK1233" s="105"/>
      <c r="AM1233" s="6" t="e">
        <f>MATCH(D1233,'D5 - Gatekeeper - Projects'!$C$4:$C$1010,0)</f>
        <v>#N/A</v>
      </c>
      <c r="AN1233" s="6" t="b">
        <f t="shared" ref="AN1233:AN1296" si="125">ISERROR(AM1233)</f>
        <v>1</v>
      </c>
      <c r="AO1233" s="6" t="str">
        <f t="shared" si="117"/>
        <v>OK</v>
      </c>
      <c r="AQ1233" s="6" t="e">
        <f>MATCH($D1233,'D4 - Provider Council Unsched'!$C$11:$C$234,0)</f>
        <v>#N/A</v>
      </c>
      <c r="AR1233" s="6" t="b">
        <f t="shared" ref="AR1233:AR1296" si="126">ISERROR(AQ1233)</f>
        <v>1</v>
      </c>
      <c r="AS1233" s="6" t="str">
        <f>IF(AND(H1233="2 - Not Scheduled",AR1233=TRUE,C1233="R1"),"Add","OK")</f>
        <v>OK</v>
      </c>
      <c r="AU1233" s="202"/>
      <c r="AV1233" s="262"/>
      <c r="AW1233" s="274"/>
    </row>
    <row r="1234" spans="1:49" s="13" customFormat="1" ht="45" x14ac:dyDescent="0.2">
      <c r="A1234" s="14">
        <v>1210</v>
      </c>
      <c r="B1234" s="14">
        <v>400026974</v>
      </c>
      <c r="C1234" s="8" t="s">
        <v>5197</v>
      </c>
      <c r="D1234" s="4" t="str">
        <f t="shared" si="124"/>
        <v>400026974R1</v>
      </c>
      <c r="E1234" s="309" t="str">
        <f>VLOOKUP($B1234,'D7 - NDB Impacted SPRF''s'!$E$6:$O$9929,2,FALSE)</f>
        <v>SPP - Payment Engine Release 1</v>
      </c>
      <c r="F1234" s="8" t="s">
        <v>2114</v>
      </c>
      <c r="G1234" s="8" t="s">
        <v>4758</v>
      </c>
      <c r="H1234" s="8" t="s">
        <v>4246</v>
      </c>
      <c r="I1234" s="20">
        <v>0.97</v>
      </c>
      <c r="J1234" s="8" t="s">
        <v>4862</v>
      </c>
      <c r="K1234" s="182">
        <v>40250</v>
      </c>
      <c r="L1234" s="8" t="s">
        <v>4156</v>
      </c>
      <c r="M1234" s="8" t="s">
        <v>6688</v>
      </c>
      <c r="N1234" s="38"/>
      <c r="O1234" s="8" t="s">
        <v>7086</v>
      </c>
      <c r="P1234" s="4" t="str">
        <f>VLOOKUP($B1234,'D7 - NDB Impacted SPRF''s'!$E$16:$O$9929,9,FALSE)</f>
        <v>Y</v>
      </c>
      <c r="Q1234" s="4" t="str">
        <f>VLOOKUP($B1234,'D7 - NDB Impacted SPRF''s'!$E$16:$O$9929,10,FALSE)</f>
        <v>N</v>
      </c>
      <c r="R1234" s="4" t="str">
        <f>VLOOKUP($B1234,'D7 - NDB Impacted SPRF''s'!$E$16:$O$9929,11,FALSE)</f>
        <v>N</v>
      </c>
      <c r="S1234" s="8"/>
      <c r="T1234" s="310"/>
      <c r="U1234" s="310"/>
      <c r="V1234" s="4"/>
      <c r="W1234" s="4"/>
      <c r="X1234" s="4"/>
      <c r="Y1234" s="4"/>
      <c r="Z1234" s="4"/>
      <c r="AA1234" s="4"/>
      <c r="AB1234" s="380" t="str">
        <f>VLOOKUP($B1234,'D7 - NDB Impacted SPRF''s'!$E$16:$O$9929,4,FALSE)</f>
        <v>Completed</v>
      </c>
      <c r="AC1234" s="380" t="str">
        <f>VLOOKUP($B1234,'D7 - NDB Impacted SPRF''s'!$E$16:$O$9929,3,FALSE)</f>
        <v>UHG IT - Enterprise Technology Services</v>
      </c>
      <c r="AD1234" s="380" t="str">
        <f>VLOOKUP($B1234,'D7 - NDB Impacted SPRF''s'!$E$16:$O$9929,5,FALSE)</f>
        <v>Strategic Initiatives</v>
      </c>
      <c r="AE1234" s="380" t="str">
        <f>VLOOKUP($B1234,'D7 - NDB Impacted SPRF''s'!$E$16:$O$9929,7,FALSE)</f>
        <v>Robert Oberrender</v>
      </c>
      <c r="AF1234" s="380" t="str">
        <f>VLOOKUP($B1234,'D7 - NDB Impacted SPRF''s'!$E$16:$O$9929,6,FALSE)</f>
        <v>JABIR YUSUF</v>
      </c>
      <c r="AG1234" s="282"/>
      <c r="AH1234" s="311" t="e">
        <f>INDEX('D5 - Gatekeeper - Projects'!$A$4:$AF$1010,$AM1234, 17)</f>
        <v>#N/A</v>
      </c>
      <c r="AI1234" s="8"/>
      <c r="AJ1234" s="57"/>
      <c r="AK1234" s="105"/>
      <c r="AM1234" s="6" t="e">
        <f>MATCH(D1234,'D5 - Gatekeeper - Projects'!$C$4:$C$1010,0)</f>
        <v>#N/A</v>
      </c>
      <c r="AN1234" s="6" t="b">
        <f t="shared" si="125"/>
        <v>1</v>
      </c>
      <c r="AO1234" s="6" t="str">
        <f t="shared" ref="AO1234:AO1297" si="127">IF(AND(H1234="1 - Scheduled",AN1234=TRUE),"Add","OK")</f>
        <v>OK</v>
      </c>
      <c r="AQ1234" s="6" t="e">
        <f>MATCH($D1234,'D4 - Provider Council Unsched'!$C$11:$C$234,0)</f>
        <v>#N/A</v>
      </c>
      <c r="AR1234" s="6" t="b">
        <f t="shared" si="126"/>
        <v>1</v>
      </c>
      <c r="AS1234" s="6" t="str">
        <f>IF(AND(H1234="2 - Not Scheduled",AR1234=TRUE,C1234="R1"),"Add","OK")</f>
        <v>OK</v>
      </c>
      <c r="AU1234" s="202"/>
      <c r="AV1234" s="262"/>
      <c r="AW1234" s="274"/>
    </row>
    <row r="1235" spans="1:49" s="13" customFormat="1" ht="33.75" x14ac:dyDescent="0.2">
      <c r="A1235" s="14">
        <v>1211</v>
      </c>
      <c r="B1235" s="14">
        <v>400027193</v>
      </c>
      <c r="C1235" s="8" t="s">
        <v>5197</v>
      </c>
      <c r="D1235" s="4" t="str">
        <f t="shared" si="124"/>
        <v>400027193R1</v>
      </c>
      <c r="E1235" s="309" t="str">
        <f>VLOOKUP($B1235,'D7 - NDB Impacted SPRF''s'!$E$6:$O$9929,2,FALSE)</f>
        <v>Common Intake / Coverage Review Initial Deployment</v>
      </c>
      <c r="F1235" s="8" t="s">
        <v>6401</v>
      </c>
      <c r="G1235" s="8" t="s">
        <v>4758</v>
      </c>
      <c r="H1235" s="8" t="s">
        <v>4246</v>
      </c>
      <c r="I1235" s="20">
        <v>1.07</v>
      </c>
      <c r="J1235" s="8" t="s">
        <v>4862</v>
      </c>
      <c r="K1235" s="182">
        <v>40250</v>
      </c>
      <c r="L1235" s="8" t="s">
        <v>4156</v>
      </c>
      <c r="M1235" s="8" t="s">
        <v>5626</v>
      </c>
      <c r="N1235" s="38"/>
      <c r="O1235" s="8" t="s">
        <v>2000</v>
      </c>
      <c r="P1235" s="4" t="str">
        <f>VLOOKUP($B1235,'D7 - NDB Impacted SPRF''s'!$E$16:$O$9929,9,FALSE)</f>
        <v>Y</v>
      </c>
      <c r="Q1235" s="4" t="str">
        <f>VLOOKUP($B1235,'D7 - NDB Impacted SPRF''s'!$E$16:$O$9929,10,FALSE)</f>
        <v>N</v>
      </c>
      <c r="R1235" s="4" t="str">
        <f>VLOOKUP($B1235,'D7 - NDB Impacted SPRF''s'!$E$16:$O$9929,11,FALSE)</f>
        <v>N</v>
      </c>
      <c r="S1235" s="8"/>
      <c r="T1235" s="310"/>
      <c r="U1235" s="310"/>
      <c r="V1235" s="4"/>
      <c r="W1235" s="4"/>
      <c r="X1235" s="4"/>
      <c r="Y1235" s="4"/>
      <c r="Z1235" s="4"/>
      <c r="AA1235" s="4"/>
      <c r="AB1235" s="380" t="str">
        <f>VLOOKUP($B1235,'D7 - NDB Impacted SPRF''s'!$E$16:$O$9929,4,FALSE)</f>
        <v>Completed</v>
      </c>
      <c r="AC1235" s="380" t="str">
        <f>VLOOKUP($B1235,'D7 - NDB Impacted SPRF''s'!$E$16:$O$9929,3,FALSE)</f>
        <v>UnitedHealthcare Medicare &amp; Retirement</v>
      </c>
      <c r="AD1235" s="380" t="str">
        <f>VLOOKUP($B1235,'D7 - NDB Impacted SPRF''s'!$E$16:$O$9929,5,FALSE)</f>
        <v>Enterprise Clinical</v>
      </c>
      <c r="AE1235" s="380" t="str">
        <f>VLOOKUP($B1235,'D7 - NDB Impacted SPRF''s'!$E$16:$O$9929,7,FALSE)</f>
        <v>Nancy Sewitch</v>
      </c>
      <c r="AF1235" s="380" t="str">
        <f>VLOOKUP($B1235,'D7 - NDB Impacted SPRF''s'!$E$16:$O$9929,6,FALSE)</f>
        <v>DEREK HAAG</v>
      </c>
      <c r="AG1235" s="282"/>
      <c r="AH1235" s="311" t="e">
        <f>INDEX('D5 - Gatekeeper - Projects'!$A$4:$AF$1010,$AM1235, 17)</f>
        <v>#N/A</v>
      </c>
      <c r="AI1235" s="8"/>
      <c r="AJ1235" s="57"/>
      <c r="AK1235" s="105"/>
      <c r="AM1235" s="6" t="e">
        <f>MATCH(D1235,'D5 - Gatekeeper - Projects'!$C$4:$C$1010,0)</f>
        <v>#N/A</v>
      </c>
      <c r="AN1235" s="6" t="b">
        <f t="shared" si="125"/>
        <v>1</v>
      </c>
      <c r="AO1235" s="6" t="str">
        <f t="shared" si="127"/>
        <v>OK</v>
      </c>
      <c r="AQ1235" s="6" t="e">
        <f>MATCH($D1235,'D4 - Provider Council Unsched'!$C$11:$C$234,0)</f>
        <v>#N/A</v>
      </c>
      <c r="AR1235" s="6" t="b">
        <f t="shared" si="126"/>
        <v>1</v>
      </c>
      <c r="AS1235" s="6" t="str">
        <f>IF(AND(H1235="2 - Not Scheduled",AR1235=TRUE,C1235="R1"),"Add","OK")</f>
        <v>OK</v>
      </c>
      <c r="AU1235" s="202"/>
      <c r="AV1235" s="262"/>
      <c r="AW1235" s="274"/>
    </row>
    <row r="1236" spans="1:49" s="13" customFormat="1" ht="33.75" x14ac:dyDescent="0.2">
      <c r="A1236" s="14">
        <v>1212</v>
      </c>
      <c r="B1236" s="14">
        <v>400027910</v>
      </c>
      <c r="C1236" s="8" t="s">
        <v>3763</v>
      </c>
      <c r="D1236" s="4" t="str">
        <f t="shared" si="124"/>
        <v>400027910R2</v>
      </c>
      <c r="E1236" s="309" t="str">
        <f>VLOOKUP($B1236,'D7 - NDB Impacted SPRF''s'!$E$6:$O$9929,2,FALSE)</f>
        <v>Medica APC/ASC Implementation</v>
      </c>
      <c r="F1236" s="8" t="s">
        <v>3884</v>
      </c>
      <c r="G1236" s="153" t="s">
        <v>4758</v>
      </c>
      <c r="H1236" s="8" t="s">
        <v>4246</v>
      </c>
      <c r="I1236" s="20">
        <v>21.95</v>
      </c>
      <c r="J1236" s="8" t="s">
        <v>4862</v>
      </c>
      <c r="K1236" s="182">
        <v>40250</v>
      </c>
      <c r="L1236" s="8" t="s">
        <v>5743</v>
      </c>
      <c r="M1236" s="8" t="s">
        <v>5626</v>
      </c>
      <c r="N1236" s="38"/>
      <c r="O1236" s="8" t="s">
        <v>2875</v>
      </c>
      <c r="P1236" s="4" t="str">
        <f>VLOOKUP($B1236,'D7 - NDB Impacted SPRF''s'!$E$16:$O$9929,9,FALSE)</f>
        <v>Y</v>
      </c>
      <c r="Q1236" s="4" t="str">
        <f>VLOOKUP($B1236,'D7 - NDB Impacted SPRF''s'!$E$16:$O$9929,10,FALSE)</f>
        <v>N</v>
      </c>
      <c r="R1236" s="4" t="str">
        <f>VLOOKUP($B1236,'D7 - NDB Impacted SPRF''s'!$E$16:$O$9929,11,FALSE)</f>
        <v>Y</v>
      </c>
      <c r="S1236" s="8"/>
      <c r="T1236" s="310"/>
      <c r="U1236" s="310"/>
      <c r="V1236" s="4"/>
      <c r="W1236" s="4"/>
      <c r="X1236" s="4"/>
      <c r="Y1236" s="4"/>
      <c r="Z1236" s="4"/>
      <c r="AA1236" s="4"/>
      <c r="AB1236" s="380" t="str">
        <f>VLOOKUP($B1236,'D7 - NDB Impacted SPRF''s'!$E$16:$O$9929,4,FALSE)</f>
        <v>Completed</v>
      </c>
      <c r="AC1236" s="380" t="str">
        <f>VLOOKUP($B1236,'D7 - NDB Impacted SPRF''s'!$E$16:$O$9929,3,FALSE)</f>
        <v>UnitedHealthcare Employer &amp; Individual</v>
      </c>
      <c r="AD1236" s="380" t="str">
        <f>VLOOKUP($B1236,'D7 - NDB Impacted SPRF''s'!$E$16:$O$9929,5,FALSE)</f>
        <v>HCA - Medica Operational Support</v>
      </c>
      <c r="AE1236" s="380" t="str">
        <f>VLOOKUP($B1236,'D7 - NDB Impacted SPRF''s'!$E$16:$O$9929,7,FALSE)</f>
        <v>Tracy Berg</v>
      </c>
      <c r="AF1236" s="380" t="str">
        <f>VLOOKUP($B1236,'D7 - NDB Impacted SPRF''s'!$E$16:$O$9929,6,FALSE)</f>
        <v>Cynthia Collier</v>
      </c>
      <c r="AG1236" s="282"/>
      <c r="AH1236" s="311" t="e">
        <f>INDEX('D5 - Gatekeeper - Projects'!$A$4:$AF$1010,$AM1236, 17)</f>
        <v>#N/A</v>
      </c>
      <c r="AI1236" s="8"/>
      <c r="AJ1236" s="57"/>
      <c r="AK1236" s="105"/>
      <c r="AM1236" s="6" t="e">
        <f>MATCH(D1236,'D5 - Gatekeeper - Projects'!$C$4:$C$1010,0)</f>
        <v>#N/A</v>
      </c>
      <c r="AN1236" s="6" t="b">
        <f t="shared" si="125"/>
        <v>1</v>
      </c>
      <c r="AO1236" s="6" t="str">
        <f t="shared" si="127"/>
        <v>OK</v>
      </c>
      <c r="AQ1236" s="6" t="e">
        <f>MATCH($D1236,'D4 - Provider Council Unsched'!$C$11:$C$234,0)</f>
        <v>#N/A</v>
      </c>
      <c r="AR1236" s="6" t="b">
        <f t="shared" si="126"/>
        <v>1</v>
      </c>
      <c r="AS1236" s="6" t="str">
        <f>IF(AND(H1236="2 - Not Scheduled",AR1236=TRUE,C1236="R1"),"Add","OK")</f>
        <v>OK</v>
      </c>
      <c r="AU1236" s="202"/>
      <c r="AV1236" s="262"/>
      <c r="AW1236" s="274"/>
    </row>
    <row r="1237" spans="1:49" s="13" customFormat="1" ht="45" x14ac:dyDescent="0.2">
      <c r="A1237" s="14">
        <v>1213</v>
      </c>
      <c r="B1237" s="14">
        <v>400028736</v>
      </c>
      <c r="C1237" s="8" t="s">
        <v>5197</v>
      </c>
      <c r="D1237" s="4" t="str">
        <f t="shared" si="124"/>
        <v>400028736R1</v>
      </c>
      <c r="E1237" s="309" t="str">
        <f>VLOOKUP($B1237,'D7 - NDB Impacted SPRF''s'!$E$6:$O$9929,2,FALSE)</f>
        <v>UPCSA Savefile Maint Elimination 2009 (4-22654)</v>
      </c>
      <c r="F1237" s="8" t="s">
        <v>2114</v>
      </c>
      <c r="G1237" s="8" t="s">
        <v>4758</v>
      </c>
      <c r="H1237" s="8" t="s">
        <v>4246</v>
      </c>
      <c r="I1237" s="20">
        <v>1.07</v>
      </c>
      <c r="J1237" s="8" t="s">
        <v>4862</v>
      </c>
      <c r="K1237" s="182">
        <v>40250</v>
      </c>
      <c r="L1237" s="8" t="s">
        <v>4156</v>
      </c>
      <c r="M1237" s="8" t="s">
        <v>4850</v>
      </c>
      <c r="N1237" s="38"/>
      <c r="O1237" s="8"/>
      <c r="P1237" s="4" t="str">
        <f>VLOOKUP($B1237,'D7 - NDB Impacted SPRF''s'!$E$16:$O$9929,9,FALSE)</f>
        <v>Y</v>
      </c>
      <c r="Q1237" s="4" t="str">
        <f>VLOOKUP($B1237,'D7 - NDB Impacted SPRF''s'!$E$16:$O$9929,10,FALSE)</f>
        <v>N</v>
      </c>
      <c r="R1237" s="4" t="str">
        <f>VLOOKUP($B1237,'D7 - NDB Impacted SPRF''s'!$E$16:$O$9929,11,FALSE)</f>
        <v>N</v>
      </c>
      <c r="S1237" s="8"/>
      <c r="T1237" s="310"/>
      <c r="U1237" s="310"/>
      <c r="V1237" s="4"/>
      <c r="W1237" s="4"/>
      <c r="X1237" s="4"/>
      <c r="Y1237" s="4"/>
      <c r="Z1237" s="4"/>
      <c r="AA1237" s="4"/>
      <c r="AB1237" s="380" t="str">
        <f>VLOOKUP($B1237,'D7 - NDB Impacted SPRF''s'!$E$6:$O$9929,4,FALSE)</f>
        <v>Completed</v>
      </c>
      <c r="AC1237" s="380" t="str">
        <f>VLOOKUP($B1237,'D7 - NDB Impacted SPRF''s'!$E$6:$O$9929,3,FALSE)</f>
        <v>UHG IT - Enterprise Technology Services</v>
      </c>
      <c r="AD1237" s="380" t="str">
        <f>VLOOKUP($B1237,'D7 - NDB Impacted SPRF''s'!$E$6:$O$9929,5,FALSE)</f>
        <v>Strategic Initiatives</v>
      </c>
      <c r="AE1237" s="380" t="str">
        <f>VLOOKUP($B1237,'D7 - NDB Impacted SPRF''s'!$E$6:$O$9929,7,FALSE)</f>
        <v>John Doddy</v>
      </c>
      <c r="AF1237" s="380" t="str">
        <f>VLOOKUP($B1237,'D7 - NDB Impacted SPRF''s'!$E$6:$O$9929,6,FALSE)</f>
        <v>Carolyn Green</v>
      </c>
      <c r="AG1237" s="282"/>
      <c r="AH1237" s="311" t="e">
        <f>INDEX('D5 - Gatekeeper - Projects'!$A$4:$AF$1010,$AM1237, 17)</f>
        <v>#N/A</v>
      </c>
      <c r="AI1237" s="8"/>
      <c r="AJ1237" s="57"/>
      <c r="AK1237" s="105"/>
      <c r="AM1237" s="6" t="e">
        <f>MATCH(D1237,'D5 - Gatekeeper - Projects'!$C$4:$C$1010,0)</f>
        <v>#N/A</v>
      </c>
      <c r="AN1237" s="6" t="b">
        <f t="shared" si="125"/>
        <v>1</v>
      </c>
      <c r="AO1237" s="6" t="str">
        <f t="shared" si="127"/>
        <v>OK</v>
      </c>
      <c r="AQ1237" s="6" t="e">
        <f>MATCH($D1237,'D4 - Provider Council Unsched'!$C$11:$C$234,0)</f>
        <v>#N/A</v>
      </c>
      <c r="AR1237" s="6" t="b">
        <f t="shared" si="126"/>
        <v>1</v>
      </c>
      <c r="AS1237" s="6" t="str">
        <f>IF(AND(H1237="2 - Not Scheduled",AR1237=TRUE,C1237="R1"),"Add","OK")</f>
        <v>OK</v>
      </c>
      <c r="AU1237" s="202"/>
      <c r="AV1237" s="262"/>
      <c r="AW1237" s="274"/>
    </row>
    <row r="1238" spans="1:49" s="13" customFormat="1" ht="22.5" x14ac:dyDescent="0.2">
      <c r="A1238" s="14">
        <v>1214</v>
      </c>
      <c r="B1238" s="14">
        <v>400030150</v>
      </c>
      <c r="C1238" s="8" t="s">
        <v>3763</v>
      </c>
      <c r="D1238" s="4" t="str">
        <f t="shared" si="124"/>
        <v>400030150R2</v>
      </c>
      <c r="E1238" s="309" t="str">
        <f>VLOOKUP($B1238,'D7 - NDB Impacted SPRF''s'!$E$6:$O$9929,2,FALSE)</f>
        <v>TRICARE Project -  Claims and Provider</v>
      </c>
      <c r="F1238" s="8" t="s">
        <v>3715</v>
      </c>
      <c r="G1238" s="8" t="s">
        <v>4758</v>
      </c>
      <c r="H1238" s="8" t="s">
        <v>4246</v>
      </c>
      <c r="I1238" s="20">
        <v>101.25</v>
      </c>
      <c r="J1238" s="8" t="s">
        <v>4862</v>
      </c>
      <c r="K1238" s="182">
        <v>40250</v>
      </c>
      <c r="L1238" s="8" t="s">
        <v>4156</v>
      </c>
      <c r="M1238" s="8" t="s">
        <v>2814</v>
      </c>
      <c r="N1238" s="38" t="s">
        <v>7136</v>
      </c>
      <c r="O1238" s="8" t="s">
        <v>4599</v>
      </c>
      <c r="P1238" s="4" t="str">
        <f>VLOOKUP($B1238,'D7 - NDB Impacted SPRF''s'!$E$16:$O$9929,9,FALSE)</f>
        <v>N</v>
      </c>
      <c r="Q1238" s="4" t="str">
        <f>VLOOKUP($B1238,'D7 - NDB Impacted SPRF''s'!$E$16:$O$9929,10,FALSE)</f>
        <v>N</v>
      </c>
      <c r="R1238" s="4" t="str">
        <f>VLOOKUP($B1238,'D7 - NDB Impacted SPRF''s'!$E$16:$O$9929,11,FALSE)</f>
        <v>Y</v>
      </c>
      <c r="S1238" s="8"/>
      <c r="T1238" s="310"/>
      <c r="U1238" s="310"/>
      <c r="V1238" s="4"/>
      <c r="W1238" s="4"/>
      <c r="X1238" s="4"/>
      <c r="Y1238" s="4"/>
      <c r="Z1238" s="4"/>
      <c r="AA1238" s="4"/>
      <c r="AB1238" s="380" t="str">
        <f>VLOOKUP($B1238,'D7 - NDB Impacted SPRF''s'!$E$6:$O$9929,4,FALSE)</f>
        <v>Completed</v>
      </c>
      <c r="AC1238" s="380" t="str">
        <f>VLOOKUP($B1238,'D7 - NDB Impacted SPRF''s'!$E$6:$O$9929,3,FALSE)</f>
        <v>UHG Corporate</v>
      </c>
      <c r="AD1238" s="380" t="str">
        <f>VLOOKUP($B1238,'D7 - NDB Impacted SPRF''s'!$E$6:$O$9929,5,FALSE)</f>
        <v>TRICARE</v>
      </c>
      <c r="AE1238" s="380" t="str">
        <f>VLOOKUP($B1238,'D7 - NDB Impacted SPRF''s'!$E$6:$O$9929,7,FALSE)</f>
        <v>Mike Schwarz</v>
      </c>
      <c r="AF1238" s="380" t="str">
        <f>VLOOKUP($B1238,'D7 - NDB Impacted SPRF''s'!$E$6:$O$9929,6,FALSE)</f>
        <v>PAULA ENGSTROM</v>
      </c>
      <c r="AG1238" s="282"/>
      <c r="AH1238" s="311" t="e">
        <f>INDEX('D5 - Gatekeeper - Projects'!$A$4:$AF$1010,$AM1238, 17)</f>
        <v>#N/A</v>
      </c>
      <c r="AI1238" s="8"/>
      <c r="AJ1238" s="57"/>
      <c r="AK1238" s="105"/>
      <c r="AM1238" s="6" t="e">
        <f>MATCH(D1238,'D5 - Gatekeeper - Projects'!$C$4:$C$1010,0)</f>
        <v>#N/A</v>
      </c>
      <c r="AN1238" s="6" t="b">
        <f t="shared" si="125"/>
        <v>1</v>
      </c>
      <c r="AO1238" s="6" t="str">
        <f t="shared" si="127"/>
        <v>OK</v>
      </c>
      <c r="AQ1238" s="6" t="e">
        <f>MATCH($D1238,'D4 - Provider Council Unsched'!$C$11:$C$234,0)</f>
        <v>#N/A</v>
      </c>
      <c r="AR1238" s="6" t="b">
        <f t="shared" si="126"/>
        <v>1</v>
      </c>
      <c r="AS1238" s="6" t="str">
        <f>IF(AND(H1238="2 - Not Scheduled",AR1238=TRUE),"Add","OK")</f>
        <v>OK</v>
      </c>
      <c r="AU1238" s="202"/>
      <c r="AV1238" s="262"/>
      <c r="AW1238" s="274"/>
    </row>
    <row r="1239" spans="1:49" s="13" customFormat="1" ht="33.75" x14ac:dyDescent="0.2">
      <c r="A1239" s="14">
        <v>1215</v>
      </c>
      <c r="B1239" s="14">
        <v>400030199</v>
      </c>
      <c r="C1239" s="8" t="s">
        <v>5197</v>
      </c>
      <c r="D1239" s="4" t="str">
        <f t="shared" si="124"/>
        <v>400030199R1</v>
      </c>
      <c r="E1239" s="309" t="str">
        <f>VLOOKUP($B1239,'D7 - NDB Impacted SPRF''s'!$E$6:$O$9929,2,FALSE)</f>
        <v>Integrated Test Environment</v>
      </c>
      <c r="F1239" s="8"/>
      <c r="G1239" s="8" t="s">
        <v>4758</v>
      </c>
      <c r="H1239" s="8" t="s">
        <v>4246</v>
      </c>
      <c r="I1239" s="20">
        <v>0.27</v>
      </c>
      <c r="J1239" s="8" t="s">
        <v>4862</v>
      </c>
      <c r="K1239" s="182">
        <v>40250</v>
      </c>
      <c r="L1239" s="8" t="s">
        <v>4156</v>
      </c>
      <c r="M1239" s="8" t="s">
        <v>5626</v>
      </c>
      <c r="N1239" s="38"/>
      <c r="O1239" s="8"/>
      <c r="P1239" s="4" t="str">
        <f>VLOOKUP($B1239,'D7 - NDB Impacted SPRF''s'!$E$16:$O$9929,9,FALSE)</f>
        <v>N</v>
      </c>
      <c r="Q1239" s="4" t="str">
        <f>VLOOKUP($B1239,'D7 - NDB Impacted SPRF''s'!$E$16:$O$9929,10,FALSE)</f>
        <v>N</v>
      </c>
      <c r="R1239" s="4" t="str">
        <f>VLOOKUP($B1239,'D7 - NDB Impacted SPRF''s'!$E$16:$O$9929,11,FALSE)</f>
        <v>N</v>
      </c>
      <c r="S1239" s="8"/>
      <c r="T1239" s="310"/>
      <c r="U1239" s="310"/>
      <c r="V1239" s="4"/>
      <c r="W1239" s="4"/>
      <c r="X1239" s="4"/>
      <c r="Y1239" s="4"/>
      <c r="Z1239" s="4"/>
      <c r="AA1239" s="4"/>
      <c r="AB1239" s="380" t="str">
        <f>VLOOKUP($B1239,'D7 - NDB Impacted SPRF''s'!$E$6:$O$9929,4,FALSE)</f>
        <v>Completed</v>
      </c>
      <c r="AC1239" s="380" t="str">
        <f>VLOOKUP($B1239,'D7 - NDB Impacted SPRF''s'!$E$6:$O$9929,3,FALSE)</f>
        <v>UnitedHealthcare Employer &amp; Individual</v>
      </c>
      <c r="AD1239" s="380" t="str">
        <f>VLOOKUP($B1239,'D7 - NDB Impacted SPRF''s'!$E$6:$O$9929,5,FALSE)</f>
        <v>Membership Growth / Revenue Programs</v>
      </c>
      <c r="AE1239" s="380" t="str">
        <f>VLOOKUP($B1239,'D7 - NDB Impacted SPRF''s'!$E$6:$O$9929,7,FALSE)</f>
        <v>Jo Anne Anderson</v>
      </c>
      <c r="AF1239" s="380" t="str">
        <f>VLOOKUP($B1239,'D7 - NDB Impacted SPRF''s'!$E$6:$O$9929,6,FALSE)</f>
        <v>KRISTYN EIRING</v>
      </c>
      <c r="AG1239" s="282"/>
      <c r="AH1239" s="311" t="e">
        <f>INDEX('D5 - Gatekeeper - Projects'!$A$4:$AF$1010,$AM1239, 17)</f>
        <v>#N/A</v>
      </c>
      <c r="AI1239" s="8"/>
      <c r="AJ1239" s="57"/>
      <c r="AK1239" s="105"/>
      <c r="AM1239" s="6" t="e">
        <f>MATCH(D1239,'D5 - Gatekeeper - Projects'!$C$4:$C$1010,0)</f>
        <v>#N/A</v>
      </c>
      <c r="AN1239" s="6" t="b">
        <f t="shared" si="125"/>
        <v>1</v>
      </c>
      <c r="AO1239" s="6" t="str">
        <f t="shared" si="127"/>
        <v>OK</v>
      </c>
      <c r="AQ1239" s="6" t="e">
        <f>MATCH($D1239,'D4 - Provider Council Unsched'!$C$11:$C$234,0)</f>
        <v>#N/A</v>
      </c>
      <c r="AR1239" s="6" t="b">
        <f t="shared" si="126"/>
        <v>1</v>
      </c>
      <c r="AS1239" s="6" t="str">
        <f t="shared" ref="AS1239:AS1252" si="128">IF(AND(H1239="2 - Not Scheduled",AR1239=TRUE,C1239="R1"),"Add","OK")</f>
        <v>OK</v>
      </c>
      <c r="AU1239" s="202"/>
      <c r="AV1239" s="262"/>
      <c r="AW1239" s="274"/>
    </row>
    <row r="1240" spans="1:49" s="13" customFormat="1" ht="22.5" x14ac:dyDescent="0.2">
      <c r="A1240" s="14">
        <v>1216</v>
      </c>
      <c r="B1240" s="14">
        <v>400030288</v>
      </c>
      <c r="C1240" s="8" t="s">
        <v>5197</v>
      </c>
      <c r="D1240" s="4" t="str">
        <f t="shared" si="124"/>
        <v>400030288R1</v>
      </c>
      <c r="E1240" s="309" t="str">
        <f>VLOOKUP($B1240,'D7 - NDB Impacted SPRF''s'!$E$6:$O$9929,2,FALSE)</f>
        <v>RSA - UHI Expatriate Product Creation</v>
      </c>
      <c r="F1240" s="8" t="s">
        <v>2114</v>
      </c>
      <c r="G1240" s="8" t="s">
        <v>4758</v>
      </c>
      <c r="H1240" s="8" t="s">
        <v>4246</v>
      </c>
      <c r="I1240" s="20">
        <v>1.75</v>
      </c>
      <c r="J1240" s="8" t="s">
        <v>4862</v>
      </c>
      <c r="K1240" s="182">
        <v>40250</v>
      </c>
      <c r="L1240" s="8" t="s">
        <v>4156</v>
      </c>
      <c r="M1240" s="8" t="s">
        <v>6688</v>
      </c>
      <c r="N1240" s="38" t="s">
        <v>3789</v>
      </c>
      <c r="O1240" s="8"/>
      <c r="P1240" s="4" t="e">
        <f>VLOOKUP($B1240,'D7 - NDB Impacted SPRF''s'!$E$16:$O$9929,9,FALSE)</f>
        <v>#N/A</v>
      </c>
      <c r="Q1240" s="4" t="e">
        <f>VLOOKUP($B1240,'D7 - NDB Impacted SPRF''s'!$E$16:$O$9929,10,FALSE)</f>
        <v>#N/A</v>
      </c>
      <c r="R1240" s="4" t="e">
        <f>VLOOKUP($B1240,'D7 - NDB Impacted SPRF''s'!$E$16:$O$9929,11,FALSE)</f>
        <v>#N/A</v>
      </c>
      <c r="S1240" s="8"/>
      <c r="T1240" s="310"/>
      <c r="U1240" s="310"/>
      <c r="V1240" s="4"/>
      <c r="W1240" s="4"/>
      <c r="X1240" s="4"/>
      <c r="Y1240" s="4"/>
      <c r="Z1240" s="4"/>
      <c r="AA1240" s="4"/>
      <c r="AB1240" s="380" t="str">
        <f>VLOOKUP($B1240,'D7 - NDB Impacted SPRF''s'!$E$6:$O$9929,4,FALSE)</f>
        <v>Completed</v>
      </c>
      <c r="AC1240" s="380" t="str">
        <f>VLOOKUP($B1240,'D7 - NDB Impacted SPRF''s'!$E$6:$O$9929,3,FALSE)</f>
        <v>UHG Corporate</v>
      </c>
      <c r="AD1240" s="380" t="str">
        <f>VLOOKUP($B1240,'D7 - NDB Impacted SPRF''s'!$E$6:$O$9929,5,FALSE)</f>
        <v>Corporate</v>
      </c>
      <c r="AE1240" s="380" t="str">
        <f>VLOOKUP($B1240,'D7 - NDB Impacted SPRF''s'!$E$6:$O$9929,7,FALSE)</f>
        <v>Michael Hartkopf</v>
      </c>
      <c r="AF1240" s="380" t="str">
        <f>VLOOKUP($B1240,'D7 - NDB Impacted SPRF''s'!$E$6:$O$9929,6,FALSE)</f>
        <v>PAMELA OCONNOR</v>
      </c>
      <c r="AG1240" s="282"/>
      <c r="AH1240" s="311" t="e">
        <f>INDEX('D5 - Gatekeeper - Projects'!$A$4:$AF$1010,$AM1240, 17)</f>
        <v>#N/A</v>
      </c>
      <c r="AI1240" s="8"/>
      <c r="AJ1240" s="57"/>
      <c r="AK1240" s="57"/>
      <c r="AM1240" s="6" t="e">
        <f>MATCH(D1240,'D5 - Gatekeeper - Projects'!$C$4:$C$1010,0)</f>
        <v>#N/A</v>
      </c>
      <c r="AN1240" s="6" t="b">
        <f t="shared" si="125"/>
        <v>1</v>
      </c>
      <c r="AO1240" s="6" t="str">
        <f t="shared" si="127"/>
        <v>OK</v>
      </c>
      <c r="AQ1240" s="6" t="e">
        <f>MATCH($D1240,'D4 - Provider Council Unsched'!$C$11:$C$234,0)</f>
        <v>#N/A</v>
      </c>
      <c r="AR1240" s="6" t="b">
        <f t="shared" si="126"/>
        <v>1</v>
      </c>
      <c r="AS1240" s="6" t="str">
        <f t="shared" si="128"/>
        <v>OK</v>
      </c>
      <c r="AU1240" s="202"/>
      <c r="AV1240" s="262"/>
      <c r="AW1240" s="274"/>
    </row>
    <row r="1241" spans="1:49" s="13" customFormat="1" ht="33.75" x14ac:dyDescent="0.2">
      <c r="A1241" s="14">
        <v>1217</v>
      </c>
      <c r="B1241" s="14">
        <v>400030433</v>
      </c>
      <c r="C1241" s="8" t="s">
        <v>5197</v>
      </c>
      <c r="D1241" s="4" t="str">
        <f t="shared" si="124"/>
        <v>400030433R1</v>
      </c>
      <c r="E1241" s="309" t="str">
        <f>VLOOKUP($B1241,'D7 - NDB Impacted SPRF''s'!$E$6:$O$9929,2,FALSE)</f>
        <v>RAPL/NOBLX claim processing improvement</v>
      </c>
      <c r="F1241" s="8" t="s">
        <v>2114</v>
      </c>
      <c r="G1241" s="8" t="s">
        <v>4758</v>
      </c>
      <c r="H1241" s="8" t="s">
        <v>4246</v>
      </c>
      <c r="I1241" s="20">
        <v>5.09</v>
      </c>
      <c r="J1241" s="8" t="s">
        <v>4862</v>
      </c>
      <c r="K1241" s="182">
        <v>40250</v>
      </c>
      <c r="L1241" s="8" t="s">
        <v>4156</v>
      </c>
      <c r="M1241" s="8" t="s">
        <v>2814</v>
      </c>
      <c r="N1241" s="38"/>
      <c r="O1241" s="8" t="s">
        <v>7086</v>
      </c>
      <c r="P1241" s="4" t="str">
        <f>VLOOKUP($B1241,'D7 - NDB Impacted SPRF''s'!$E$16:$O$9929,9,FALSE)</f>
        <v>Y</v>
      </c>
      <c r="Q1241" s="4" t="str">
        <f>VLOOKUP($B1241,'D7 - NDB Impacted SPRF''s'!$E$16:$O$9929,10,FALSE)</f>
        <v>N</v>
      </c>
      <c r="R1241" s="4" t="str">
        <f>VLOOKUP($B1241,'D7 - NDB Impacted SPRF''s'!$E$16:$O$9929,11,FALSE)</f>
        <v>N</v>
      </c>
      <c r="S1241" s="8"/>
      <c r="T1241" s="310"/>
      <c r="U1241" s="310"/>
      <c r="V1241" s="4"/>
      <c r="W1241" s="4"/>
      <c r="X1241" s="4"/>
      <c r="Y1241" s="4"/>
      <c r="Z1241" s="4"/>
      <c r="AA1241" s="4"/>
      <c r="AB1241" s="380" t="str">
        <f>VLOOKUP($B1241,'D7 - NDB Impacted SPRF''s'!$E$6:$O$9929,4,FALSE)</f>
        <v>Completed</v>
      </c>
      <c r="AC1241" s="380" t="str">
        <f>VLOOKUP($B1241,'D7 - NDB Impacted SPRF''s'!$E$6:$O$9929,3,FALSE)</f>
        <v>UnitedHealthcare Employer &amp; Individual</v>
      </c>
      <c r="AD1241" s="380" t="str">
        <f>VLOOKUP($B1241,'D7 - NDB Impacted SPRF''s'!$E$6:$O$9929,5,FALSE)</f>
        <v>Process Improvement</v>
      </c>
      <c r="AE1241" s="380" t="str">
        <f>VLOOKUP($B1241,'D7 - NDB Impacted SPRF''s'!$E$6:$O$9929,7,FALSE)</f>
        <v>Tim Kaja</v>
      </c>
      <c r="AF1241" s="380" t="str">
        <f>VLOOKUP($B1241,'D7 - NDB Impacted SPRF''s'!$E$6:$O$9929,6,FALSE)</f>
        <v>CHERYL STAUFFER</v>
      </c>
      <c r="AG1241" s="282"/>
      <c r="AH1241" s="311" t="e">
        <f>INDEX('D5 - Gatekeeper - Projects'!$A$4:$AF$1010,$AM1241, 17)</f>
        <v>#N/A</v>
      </c>
      <c r="AI1241" s="8"/>
      <c r="AJ1241" s="57"/>
      <c r="AK1241" s="105"/>
      <c r="AM1241" s="6" t="e">
        <f>MATCH(D1241,'D5 - Gatekeeper - Projects'!$C$4:$C$1010,0)</f>
        <v>#N/A</v>
      </c>
      <c r="AN1241" s="6" t="b">
        <f t="shared" si="125"/>
        <v>1</v>
      </c>
      <c r="AO1241" s="6" t="str">
        <f t="shared" si="127"/>
        <v>OK</v>
      </c>
      <c r="AQ1241" s="6" t="e">
        <f>MATCH($D1241,'D4 - Provider Council Unsched'!$C$11:$C$234,0)</f>
        <v>#N/A</v>
      </c>
      <c r="AR1241" s="6" t="b">
        <f t="shared" si="126"/>
        <v>1</v>
      </c>
      <c r="AS1241" s="6" t="str">
        <f t="shared" si="128"/>
        <v>OK</v>
      </c>
      <c r="AU1241" s="202"/>
      <c r="AV1241" s="262"/>
      <c r="AW1241" s="274"/>
    </row>
    <row r="1242" spans="1:49" s="13" customFormat="1" ht="33.75" x14ac:dyDescent="0.2">
      <c r="A1242" s="14">
        <v>1218</v>
      </c>
      <c r="B1242" s="14">
        <v>400030515</v>
      </c>
      <c r="C1242" s="8" t="s">
        <v>3763</v>
      </c>
      <c r="D1242" s="4" t="str">
        <f t="shared" si="124"/>
        <v>400030515R2</v>
      </c>
      <c r="E1242" s="309" t="str">
        <f>VLOOKUP($B1242,'D7 - NDB Impacted SPRF''s'!$E$6:$O$9929,2,FALSE)</f>
        <v>Enterprise Capitation – MAHP R2: Implementation</v>
      </c>
      <c r="F1242" s="8" t="s">
        <v>2463</v>
      </c>
      <c r="G1242" s="8" t="s">
        <v>4758</v>
      </c>
      <c r="H1242" s="8" t="s">
        <v>4246</v>
      </c>
      <c r="I1242" s="20">
        <v>0.67</v>
      </c>
      <c r="J1242" s="8" t="s">
        <v>4862</v>
      </c>
      <c r="K1242" s="182">
        <v>40250</v>
      </c>
      <c r="L1242" s="8" t="s">
        <v>4156</v>
      </c>
      <c r="M1242" s="8" t="s">
        <v>6688</v>
      </c>
      <c r="N1242" s="38" t="s">
        <v>6208</v>
      </c>
      <c r="O1242" s="8"/>
      <c r="P1242" s="4" t="str">
        <f>VLOOKUP($B1242,'D7 - NDB Impacted SPRF''s'!$E$16:$O$9929,9,FALSE)</f>
        <v>N</v>
      </c>
      <c r="Q1242" s="4" t="str">
        <f>VLOOKUP($B1242,'D7 - NDB Impacted SPRF''s'!$E$16:$O$9929,10,FALSE)</f>
        <v>N</v>
      </c>
      <c r="R1242" s="4" t="str">
        <f>VLOOKUP($B1242,'D7 - NDB Impacted SPRF''s'!$E$16:$O$9929,11,FALSE)</f>
        <v>N</v>
      </c>
      <c r="S1242" s="8"/>
      <c r="T1242" s="310"/>
      <c r="U1242" s="310"/>
      <c r="V1242" s="4"/>
      <c r="W1242" s="4"/>
      <c r="X1242" s="4"/>
      <c r="Y1242" s="4"/>
      <c r="Z1242" s="4"/>
      <c r="AA1242" s="4"/>
      <c r="AB1242" s="380" t="str">
        <f>VLOOKUP($B1242,'D7 - NDB Impacted SPRF''s'!$E$6:$O$9929,4,FALSE)</f>
        <v>Completed</v>
      </c>
      <c r="AC1242" s="380" t="str">
        <f>VLOOKUP($B1242,'D7 - NDB Impacted SPRF''s'!$E$6:$O$9929,3,FALSE)</f>
        <v>UnitedHealthcare Employer &amp; Individual</v>
      </c>
      <c r="AD1242" s="380" t="str">
        <f>VLOOKUP($B1242,'D7 - NDB Impacted SPRF''s'!$E$6:$O$9929,5,FALSE)</f>
        <v>Integration Requirements</v>
      </c>
      <c r="AE1242" s="380" t="str">
        <f>VLOOKUP($B1242,'D7 - NDB Impacted SPRF''s'!$E$6:$O$9929,7,FALSE)</f>
        <v>Geno Tenace</v>
      </c>
      <c r="AF1242" s="380" t="str">
        <f>VLOOKUP($B1242,'D7 - NDB Impacted SPRF''s'!$E$6:$O$9929,6,FALSE)</f>
        <v>Delana Anderson</v>
      </c>
      <c r="AG1242" s="282"/>
      <c r="AH1242" s="311" t="e">
        <f>INDEX('D5 - Gatekeeper - Projects'!$A$4:$AF$1010,$AM1242, 17)</f>
        <v>#N/A</v>
      </c>
      <c r="AI1242" s="8"/>
      <c r="AJ1242" s="57"/>
      <c r="AK1242" s="57"/>
      <c r="AM1242" s="6" t="e">
        <f>MATCH(D1242,'D5 - Gatekeeper - Projects'!$C$4:$C$1010,0)</f>
        <v>#N/A</v>
      </c>
      <c r="AN1242" s="6" t="b">
        <f t="shared" si="125"/>
        <v>1</v>
      </c>
      <c r="AO1242" s="6" t="str">
        <f t="shared" si="127"/>
        <v>OK</v>
      </c>
      <c r="AQ1242" s="6" t="e">
        <f>MATCH($D1242,'D4 - Provider Council Unsched'!$C$11:$C$234,0)</f>
        <v>#N/A</v>
      </c>
      <c r="AR1242" s="6" t="b">
        <f t="shared" si="126"/>
        <v>1</v>
      </c>
      <c r="AS1242" s="6" t="str">
        <f t="shared" si="128"/>
        <v>OK</v>
      </c>
      <c r="AU1242" s="202"/>
      <c r="AV1242" s="262"/>
      <c r="AW1242" s="274"/>
    </row>
    <row r="1243" spans="1:49" s="13" customFormat="1" ht="33.75" x14ac:dyDescent="0.2">
      <c r="A1243" s="14">
        <v>1219</v>
      </c>
      <c r="B1243" s="14">
        <v>400030560</v>
      </c>
      <c r="C1243" s="8" t="s">
        <v>5197</v>
      </c>
      <c r="D1243" s="4" t="str">
        <f t="shared" si="124"/>
        <v>400030560R1</v>
      </c>
      <c r="E1243" s="309" t="str">
        <f>VLOOKUP($B1243,'D7 - NDB Impacted SPRF''s'!$E$6:$O$9929,2,FALSE)</f>
        <v>CSS-B2C 2010A Release</v>
      </c>
      <c r="F1243" s="8" t="s">
        <v>6401</v>
      </c>
      <c r="G1243" s="8" t="s">
        <v>4758</v>
      </c>
      <c r="H1243" s="8" t="s">
        <v>4246</v>
      </c>
      <c r="I1243" s="20">
        <v>0.27</v>
      </c>
      <c r="J1243" s="8" t="s">
        <v>4862</v>
      </c>
      <c r="K1243" s="182">
        <v>40250</v>
      </c>
      <c r="L1243" s="8" t="s">
        <v>4156</v>
      </c>
      <c r="M1243" s="8" t="s">
        <v>5626</v>
      </c>
      <c r="N1243" s="38"/>
      <c r="O1243" s="8" t="s">
        <v>2000</v>
      </c>
      <c r="P1243" s="4" t="str">
        <f>VLOOKUP($B1243,'D7 - NDB Impacted SPRF''s'!$E$16:$O$9929,9,FALSE)</f>
        <v>Y</v>
      </c>
      <c r="Q1243" s="4" t="str">
        <f>VLOOKUP($B1243,'D7 - NDB Impacted SPRF''s'!$E$16:$O$9929,10,FALSE)</f>
        <v>N</v>
      </c>
      <c r="R1243" s="4" t="str">
        <f>VLOOKUP($B1243,'D7 - NDB Impacted SPRF''s'!$E$16:$O$9929,11,FALSE)</f>
        <v>N</v>
      </c>
      <c r="S1243" s="8"/>
      <c r="T1243" s="310"/>
      <c r="U1243" s="310"/>
      <c r="V1243" s="4"/>
      <c r="W1243" s="4"/>
      <c r="X1243" s="4"/>
      <c r="Y1243" s="4"/>
      <c r="Z1243" s="4"/>
      <c r="AA1243" s="4"/>
      <c r="AB1243" s="380" t="str">
        <f>VLOOKUP($B1243,'D7 - NDB Impacted SPRF''s'!$E$6:$O$9929,4,FALSE)</f>
        <v>Completed</v>
      </c>
      <c r="AC1243" s="380" t="str">
        <f>VLOOKUP($B1243,'D7 - NDB Impacted SPRF''s'!$E$6:$O$9929,3,FALSE)</f>
        <v>UnitedHealthcare Medicare &amp; Retirement</v>
      </c>
      <c r="AD1243" s="380" t="str">
        <f>VLOOKUP($B1243,'D7 - NDB Impacted SPRF''s'!$E$6:$O$9929,5,FALSE)</f>
        <v>Enterprise Clinical</v>
      </c>
      <c r="AE1243" s="380" t="str">
        <f>VLOOKUP($B1243,'D7 - NDB Impacted SPRF''s'!$E$6:$O$9929,7,FALSE)</f>
        <v>Cynthia Middaugh</v>
      </c>
      <c r="AF1243" s="380" t="str">
        <f>VLOOKUP($B1243,'D7 - NDB Impacted SPRF''s'!$E$6:$O$9929,6,FALSE)</f>
        <v>Mike Flynn</v>
      </c>
      <c r="AG1243" s="282"/>
      <c r="AH1243" s="311" t="e">
        <f>INDEX('D5 - Gatekeeper - Projects'!$A$4:$AF$1010,$AM1243, 17)</f>
        <v>#N/A</v>
      </c>
      <c r="AI1243" s="8"/>
      <c r="AJ1243" s="57"/>
      <c r="AK1243" s="57"/>
      <c r="AM1243" s="6" t="e">
        <f>MATCH(D1243,'D5 - Gatekeeper - Projects'!$C$4:$C$1010,0)</f>
        <v>#N/A</v>
      </c>
      <c r="AN1243" s="6" t="b">
        <f t="shared" si="125"/>
        <v>1</v>
      </c>
      <c r="AO1243" s="6" t="str">
        <f t="shared" si="127"/>
        <v>OK</v>
      </c>
      <c r="AQ1243" s="6" t="e">
        <f>MATCH($D1243,'D4 - Provider Council Unsched'!$C$11:$C$234,0)</f>
        <v>#N/A</v>
      </c>
      <c r="AR1243" s="6" t="b">
        <f t="shared" si="126"/>
        <v>1</v>
      </c>
      <c r="AS1243" s="6" t="str">
        <f t="shared" si="128"/>
        <v>OK</v>
      </c>
      <c r="AU1243" s="202"/>
      <c r="AV1243" s="262"/>
      <c r="AW1243" s="274"/>
    </row>
    <row r="1244" spans="1:49" s="13" customFormat="1" ht="33.75" x14ac:dyDescent="0.2">
      <c r="A1244" s="14">
        <v>1220</v>
      </c>
      <c r="B1244" s="14">
        <v>400031479</v>
      </c>
      <c r="C1244" s="8" t="s">
        <v>5197</v>
      </c>
      <c r="D1244" s="4" t="str">
        <f t="shared" si="124"/>
        <v>400031479R1</v>
      </c>
      <c r="E1244" s="309" t="str">
        <f>VLOOKUP($B1244,'D7 - NDB Impacted SPRF''s'!$E$6:$O$9929,2,FALSE)</f>
        <v>iCES Clearinghouse March 2010 Maintenance Release</v>
      </c>
      <c r="F1244" s="8" t="s">
        <v>2114</v>
      </c>
      <c r="G1244" s="8" t="s">
        <v>4758</v>
      </c>
      <c r="H1244" s="8" t="s">
        <v>4246</v>
      </c>
      <c r="I1244" s="20">
        <v>0.53</v>
      </c>
      <c r="J1244" s="8" t="s">
        <v>4862</v>
      </c>
      <c r="K1244" s="182">
        <v>40250</v>
      </c>
      <c r="L1244" s="8" t="s">
        <v>4156</v>
      </c>
      <c r="M1244" s="8" t="s">
        <v>5626</v>
      </c>
      <c r="N1244" s="38"/>
      <c r="O1244" s="8"/>
      <c r="P1244" s="4" t="str">
        <f>VLOOKUP($B1244,'D7 - NDB Impacted SPRF''s'!$E$16:$O$9929,9,FALSE)</f>
        <v>Y</v>
      </c>
      <c r="Q1244" s="4" t="str">
        <f>VLOOKUP($B1244,'D7 - NDB Impacted SPRF''s'!$E$16:$O$9929,10,FALSE)</f>
        <v>N</v>
      </c>
      <c r="R1244" s="4" t="str">
        <f>VLOOKUP($B1244,'D7 - NDB Impacted SPRF''s'!$E$16:$O$9929,11,FALSE)</f>
        <v>N</v>
      </c>
      <c r="S1244" s="8"/>
      <c r="T1244" s="310"/>
      <c r="U1244" s="310"/>
      <c r="V1244" s="4"/>
      <c r="W1244" s="4"/>
      <c r="X1244" s="4"/>
      <c r="Y1244" s="4"/>
      <c r="Z1244" s="4"/>
      <c r="AA1244" s="4"/>
      <c r="AB1244" s="380" t="str">
        <f>VLOOKUP($B1244,'D7 - NDB Impacted SPRF''s'!$E$6:$O$9929,4,FALSE)</f>
        <v>Completed</v>
      </c>
      <c r="AC1244" s="380" t="str">
        <f>VLOOKUP($B1244,'D7 - NDB Impacted SPRF''s'!$E$6:$O$9929,3,FALSE)</f>
        <v>UnitedHealthcare Employer &amp; Individual</v>
      </c>
      <c r="AD1244" s="380" t="str">
        <f>VLOOKUP($B1244,'D7 - NDB Impacted SPRF''s'!$E$6:$O$9929,5,FALSE)</f>
        <v>Operational Requirements</v>
      </c>
      <c r="AE1244" s="380" t="str">
        <f>VLOOKUP($B1244,'D7 - NDB Impacted SPRF''s'!$E$6:$O$9929,7,FALSE)</f>
        <v>Elena McFann</v>
      </c>
      <c r="AF1244" s="380" t="str">
        <f>VLOOKUP($B1244,'D7 - NDB Impacted SPRF''s'!$E$6:$O$9929,6,FALSE)</f>
        <v>DAWN BOLLER</v>
      </c>
      <c r="AG1244" s="282"/>
      <c r="AH1244" s="311" t="e">
        <f>INDEX('D5 - Gatekeeper - Projects'!$A$4:$AF$1010,$AM1244, 17)</f>
        <v>#N/A</v>
      </c>
      <c r="AI1244" s="8"/>
      <c r="AJ1244" s="57"/>
      <c r="AK1244" s="57"/>
      <c r="AM1244" s="6" t="e">
        <f>MATCH(D1244,'D5 - Gatekeeper - Projects'!$C$4:$C$1010,0)</f>
        <v>#N/A</v>
      </c>
      <c r="AN1244" s="6" t="b">
        <f t="shared" si="125"/>
        <v>1</v>
      </c>
      <c r="AO1244" s="6" t="str">
        <f t="shared" si="127"/>
        <v>OK</v>
      </c>
      <c r="AQ1244" s="6" t="e">
        <f>MATCH($D1244,'D4 - Provider Council Unsched'!$C$11:$C$234,0)</f>
        <v>#N/A</v>
      </c>
      <c r="AR1244" s="6" t="b">
        <f t="shared" si="126"/>
        <v>1</v>
      </c>
      <c r="AS1244" s="6" t="str">
        <f t="shared" si="128"/>
        <v>OK</v>
      </c>
      <c r="AU1244" s="202"/>
      <c r="AV1244" s="262"/>
      <c r="AW1244" s="274"/>
    </row>
    <row r="1245" spans="1:49" s="13" customFormat="1" ht="33.75" x14ac:dyDescent="0.2">
      <c r="A1245" s="14">
        <v>1221</v>
      </c>
      <c r="B1245" s="14">
        <v>400031505</v>
      </c>
      <c r="C1245" s="8" t="s">
        <v>5197</v>
      </c>
      <c r="D1245" s="4" t="str">
        <f t="shared" si="124"/>
        <v>400031505R1</v>
      </c>
      <c r="E1245" s="309" t="str">
        <f>VLOOKUP($B1245,'D7 - NDB Impacted SPRF''s'!$E$6:$O$9929,2,FALSE)</f>
        <v>CSS-B2C 2010A Release- MIGRATIONS FUNDING</v>
      </c>
      <c r="F1245" s="8" t="s">
        <v>6401</v>
      </c>
      <c r="G1245" s="8" t="s">
        <v>4758</v>
      </c>
      <c r="H1245" s="8" t="s">
        <v>4246</v>
      </c>
      <c r="I1245" s="20">
        <v>0.8</v>
      </c>
      <c r="J1245" s="8" t="s">
        <v>4862</v>
      </c>
      <c r="K1245" s="182">
        <v>40250</v>
      </c>
      <c r="L1245" s="8" t="s">
        <v>4156</v>
      </c>
      <c r="M1245" s="8" t="s">
        <v>5626</v>
      </c>
      <c r="N1245" s="38"/>
      <c r="O1245" s="8" t="s">
        <v>2000</v>
      </c>
      <c r="P1245" s="4" t="str">
        <f>VLOOKUP($B1245,'D7 - NDB Impacted SPRF''s'!$E$16:$O$9929,9,FALSE)</f>
        <v>Y</v>
      </c>
      <c r="Q1245" s="4" t="str">
        <f>VLOOKUP($B1245,'D7 - NDB Impacted SPRF''s'!$E$16:$O$9929,10,FALSE)</f>
        <v>N</v>
      </c>
      <c r="R1245" s="4" t="str">
        <f>VLOOKUP($B1245,'D7 - NDB Impacted SPRF''s'!$E$16:$O$9929,11,FALSE)</f>
        <v>N</v>
      </c>
      <c r="S1245" s="8"/>
      <c r="T1245" s="310"/>
      <c r="U1245" s="310"/>
      <c r="V1245" s="4"/>
      <c r="W1245" s="4"/>
      <c r="X1245" s="4"/>
      <c r="Y1245" s="4"/>
      <c r="Z1245" s="4"/>
      <c r="AA1245" s="4"/>
      <c r="AB1245" s="380" t="str">
        <f>VLOOKUP($B1245,'D7 - NDB Impacted SPRF''s'!$E$6:$O$9929,4,FALSE)</f>
        <v>Completed</v>
      </c>
      <c r="AC1245" s="380" t="str">
        <f>VLOOKUP($B1245,'D7 - NDB Impacted SPRF''s'!$E$6:$O$9929,3,FALSE)</f>
        <v>UnitedHealthcare Medicare &amp; Retirement</v>
      </c>
      <c r="AD1245" s="380" t="str">
        <f>VLOOKUP($B1245,'D7 - NDB Impacted SPRF''s'!$E$6:$O$9929,5,FALSE)</f>
        <v>Enterprise Clinical</v>
      </c>
      <c r="AE1245" s="380" t="str">
        <f>VLOOKUP($B1245,'D7 - NDB Impacted SPRF''s'!$E$6:$O$9929,7,FALSE)</f>
        <v>Cynthia Middaugh</v>
      </c>
      <c r="AF1245" s="380" t="str">
        <f>VLOOKUP($B1245,'D7 - NDB Impacted SPRF''s'!$E$6:$O$9929,6,FALSE)</f>
        <v>CHRISTINA MOSHER</v>
      </c>
      <c r="AG1245" s="282"/>
      <c r="AH1245" s="311" t="e">
        <f>INDEX('D5 - Gatekeeper - Projects'!$A$4:$AF$1010,$AM1245, 17)</f>
        <v>#N/A</v>
      </c>
      <c r="AI1245" s="8"/>
      <c r="AJ1245" s="57"/>
      <c r="AK1245" s="57"/>
      <c r="AM1245" s="6" t="e">
        <f>MATCH(D1245,'D5 - Gatekeeper - Projects'!$C$4:$C$1010,0)</f>
        <v>#N/A</v>
      </c>
      <c r="AN1245" s="6" t="b">
        <f t="shared" si="125"/>
        <v>1</v>
      </c>
      <c r="AO1245" s="6" t="str">
        <f t="shared" si="127"/>
        <v>OK</v>
      </c>
      <c r="AQ1245" s="6" t="e">
        <f>MATCH($D1245,'D4 - Provider Council Unsched'!$C$11:$C$234,0)</f>
        <v>#N/A</v>
      </c>
      <c r="AR1245" s="6" t="b">
        <f t="shared" si="126"/>
        <v>1</v>
      </c>
      <c r="AS1245" s="6" t="str">
        <f t="shared" si="128"/>
        <v>OK</v>
      </c>
      <c r="AU1245" s="202"/>
      <c r="AV1245" s="262"/>
      <c r="AW1245" s="274"/>
    </row>
    <row r="1246" spans="1:49" s="13" customFormat="1" ht="33.75" x14ac:dyDescent="0.2">
      <c r="A1246" s="14">
        <v>1222</v>
      </c>
      <c r="B1246" s="14">
        <v>400031687</v>
      </c>
      <c r="C1246" s="8" t="s">
        <v>5197</v>
      </c>
      <c r="D1246" s="4" t="str">
        <f t="shared" si="124"/>
        <v>400031687R1</v>
      </c>
      <c r="E1246" s="309" t="str">
        <f>VLOOKUP($B1246,'D7 - NDB Impacted SPRF''s'!$E$6:$O$9929,2,FALSE)</f>
        <v>Harvard Pilgrim Directory Extract Change - JV</v>
      </c>
      <c r="F1246" s="8" t="s">
        <v>2114</v>
      </c>
      <c r="G1246" s="8" t="s">
        <v>4758</v>
      </c>
      <c r="H1246" s="8" t="s">
        <v>4246</v>
      </c>
      <c r="I1246" s="20">
        <v>2.2599999999999998</v>
      </c>
      <c r="J1246" s="8" t="s">
        <v>4862</v>
      </c>
      <c r="K1246" s="182">
        <v>40250</v>
      </c>
      <c r="L1246" s="8" t="s">
        <v>4156</v>
      </c>
      <c r="M1246" s="8" t="s">
        <v>2814</v>
      </c>
      <c r="N1246" s="38"/>
      <c r="O1246" s="8" t="s">
        <v>7086</v>
      </c>
      <c r="P1246" s="4" t="str">
        <f>VLOOKUP($B1246,'D7 - NDB Impacted SPRF''s'!$E$16:$O$9929,9,FALSE)</f>
        <v>N</v>
      </c>
      <c r="Q1246" s="4" t="str">
        <f>VLOOKUP($B1246,'D7 - NDB Impacted SPRF''s'!$E$16:$O$9929,10,FALSE)</f>
        <v>N</v>
      </c>
      <c r="R1246" s="4" t="str">
        <f>VLOOKUP($B1246,'D7 - NDB Impacted SPRF''s'!$E$16:$O$9929,11,FALSE)</f>
        <v>N</v>
      </c>
      <c r="S1246" s="8"/>
      <c r="T1246" s="310"/>
      <c r="U1246" s="310"/>
      <c r="V1246" s="4"/>
      <c r="W1246" s="4"/>
      <c r="X1246" s="4"/>
      <c r="Y1246" s="4"/>
      <c r="Z1246" s="4"/>
      <c r="AA1246" s="4"/>
      <c r="AB1246" s="380" t="str">
        <f>VLOOKUP($B1246,'D7 - NDB Impacted SPRF''s'!$E$6:$O$9929,4,FALSE)</f>
        <v>Completed</v>
      </c>
      <c r="AC1246" s="380" t="str">
        <f>VLOOKUP($B1246,'D7 - NDB Impacted SPRF''s'!$E$6:$O$9929,3,FALSE)</f>
        <v>UnitedHealthcare Employer &amp; Individual</v>
      </c>
      <c r="AD1246" s="380" t="str">
        <f>VLOOKUP($B1246,'D7 - NDB Impacted SPRF''s'!$E$6:$O$9929,5,FALSE)</f>
        <v>HCA - HPHC Operational Support</v>
      </c>
      <c r="AE1246" s="380" t="str">
        <f>VLOOKUP($B1246,'D7 - NDB Impacted SPRF''s'!$E$6:$O$9929,7,FALSE)</f>
        <v>Susan Tonkin</v>
      </c>
      <c r="AF1246" s="380" t="str">
        <f>VLOOKUP($B1246,'D7 - NDB Impacted SPRF''s'!$E$6:$O$9929,6,FALSE)</f>
        <v>Ryan Anderson</v>
      </c>
      <c r="AG1246" s="282"/>
      <c r="AH1246" s="311" t="e">
        <f>INDEX('D5 - Gatekeeper - Projects'!$A$4:$AF$1010,$AM1246, 17)</f>
        <v>#N/A</v>
      </c>
      <c r="AI1246" s="8"/>
      <c r="AJ1246" s="57"/>
      <c r="AK1246" s="57"/>
      <c r="AM1246" s="6" t="e">
        <f>MATCH(D1246,'D5 - Gatekeeper - Projects'!$C$4:$C$1010,0)</f>
        <v>#N/A</v>
      </c>
      <c r="AN1246" s="6" t="b">
        <f t="shared" si="125"/>
        <v>1</v>
      </c>
      <c r="AO1246" s="6" t="str">
        <f t="shared" si="127"/>
        <v>OK</v>
      </c>
      <c r="AQ1246" s="6" t="e">
        <f>MATCH($D1246,'D4 - Provider Council Unsched'!$C$11:$C$234,0)</f>
        <v>#N/A</v>
      </c>
      <c r="AR1246" s="6" t="b">
        <f t="shared" si="126"/>
        <v>1</v>
      </c>
      <c r="AS1246" s="6" t="str">
        <f t="shared" si="128"/>
        <v>OK</v>
      </c>
      <c r="AU1246" s="202"/>
      <c r="AV1246" s="262"/>
      <c r="AW1246" s="274"/>
    </row>
    <row r="1247" spans="1:49" s="13" customFormat="1" ht="33.75" x14ac:dyDescent="0.2">
      <c r="A1247" s="14">
        <v>1223</v>
      </c>
      <c r="B1247" s="14">
        <v>400031975</v>
      </c>
      <c r="C1247" s="8" t="s">
        <v>5197</v>
      </c>
      <c r="D1247" s="4" t="str">
        <f t="shared" si="124"/>
        <v>400031975R1</v>
      </c>
      <c r="E1247" s="309" t="str">
        <f>VLOOKUP($B1247,'D7 - NDB Impacted SPRF''s'!$E$6:$O$9929,2,FALSE)</f>
        <v>WP1 PCP Selection &amp; Reporting</v>
      </c>
      <c r="F1247" s="8" t="s">
        <v>6071</v>
      </c>
      <c r="G1247" s="8" t="s">
        <v>4758</v>
      </c>
      <c r="H1247" s="8" t="s">
        <v>4246</v>
      </c>
      <c r="I1247" s="20">
        <v>1.07</v>
      </c>
      <c r="J1247" s="8" t="s">
        <v>4862</v>
      </c>
      <c r="K1247" s="182">
        <v>40250</v>
      </c>
      <c r="L1247" s="8" t="s">
        <v>4156</v>
      </c>
      <c r="M1247" s="8" t="s">
        <v>5626</v>
      </c>
      <c r="N1247" s="38"/>
      <c r="O1247" s="8" t="s">
        <v>2000</v>
      </c>
      <c r="P1247" s="4" t="str">
        <f>VLOOKUP($B1247,'D7 - NDB Impacted SPRF''s'!$E$16:$O$9929,9,FALSE)</f>
        <v>N</v>
      </c>
      <c r="Q1247" s="4" t="str">
        <f>VLOOKUP($B1247,'D7 - NDB Impacted SPRF''s'!$E$16:$O$9929,10,FALSE)</f>
        <v>N</v>
      </c>
      <c r="R1247" s="4" t="str">
        <f>VLOOKUP($B1247,'D7 - NDB Impacted SPRF''s'!$E$16:$O$9929,11,FALSE)</f>
        <v>N</v>
      </c>
      <c r="S1247" s="8"/>
      <c r="T1247" s="310"/>
      <c r="U1247" s="310"/>
      <c r="V1247" s="4"/>
      <c r="W1247" s="4"/>
      <c r="X1247" s="4"/>
      <c r="Y1247" s="4"/>
      <c r="Z1247" s="4"/>
      <c r="AA1247" s="4"/>
      <c r="AB1247" s="380" t="str">
        <f>VLOOKUP($B1247,'D7 - NDB Impacted SPRF''s'!$E$6:$O$9929,4,FALSE)</f>
        <v>Completed</v>
      </c>
      <c r="AC1247" s="380" t="str">
        <f>VLOOKUP($B1247,'D7 - NDB Impacted SPRF''s'!$E$6:$O$9929,3,FALSE)</f>
        <v>UnitedHealthcare Employer &amp; Individual</v>
      </c>
      <c r="AD1247" s="380" t="str">
        <f>VLOOKUP($B1247,'D7 - NDB Impacted SPRF''s'!$E$6:$O$9929,5,FALSE)</f>
        <v>Integration Requirements</v>
      </c>
      <c r="AE1247" s="380" t="str">
        <f>VLOOKUP($B1247,'D7 - NDB Impacted SPRF''s'!$E$6:$O$9929,7,FALSE)</f>
        <v>Diane Schofield</v>
      </c>
      <c r="AF1247" s="380" t="str">
        <f>VLOOKUP($B1247,'D7 - NDB Impacted SPRF''s'!$E$6:$O$9929,6,FALSE)</f>
        <v>Rebecca Gent</v>
      </c>
      <c r="AG1247" s="282"/>
      <c r="AH1247" s="311" t="e">
        <f>INDEX('D5 - Gatekeeper - Projects'!$A$4:$AF$1010,$AM1247, 17)</f>
        <v>#N/A</v>
      </c>
      <c r="AI1247" s="8"/>
      <c r="AJ1247" s="57"/>
      <c r="AK1247" s="57"/>
      <c r="AM1247" s="6" t="e">
        <f>MATCH(D1247,'D5 - Gatekeeper - Projects'!$C$4:$C$1010,0)</f>
        <v>#N/A</v>
      </c>
      <c r="AN1247" s="6" t="b">
        <f t="shared" si="125"/>
        <v>1</v>
      </c>
      <c r="AO1247" s="6" t="str">
        <f t="shared" si="127"/>
        <v>OK</v>
      </c>
      <c r="AQ1247" s="6" t="e">
        <f>MATCH($D1247,'D4 - Provider Council Unsched'!$C$11:$C$234,0)</f>
        <v>#N/A</v>
      </c>
      <c r="AR1247" s="6" t="b">
        <f t="shared" si="126"/>
        <v>1</v>
      </c>
      <c r="AS1247" s="6" t="str">
        <f t="shared" si="128"/>
        <v>OK</v>
      </c>
      <c r="AU1247" s="202"/>
      <c r="AV1247" s="262"/>
      <c r="AW1247" s="274"/>
    </row>
    <row r="1248" spans="1:49" s="13" customFormat="1" ht="45" x14ac:dyDescent="0.2">
      <c r="A1248" s="14">
        <v>1224</v>
      </c>
      <c r="B1248" s="14">
        <v>400032222</v>
      </c>
      <c r="C1248" s="8" t="s">
        <v>5197</v>
      </c>
      <c r="D1248" s="4" t="str">
        <f t="shared" si="124"/>
        <v>400032222R1</v>
      </c>
      <c r="E1248" s="309" t="str">
        <f>VLOOKUP($B1248,'D7 - NDB Impacted SPRF''s'!$E$6:$O$9929,2,FALSE)</f>
        <v>PDR - Gaps in Initiate Record Count</v>
      </c>
      <c r="F1248" s="8" t="s">
        <v>5595</v>
      </c>
      <c r="G1248" s="8" t="s">
        <v>4758</v>
      </c>
      <c r="H1248" s="8" t="s">
        <v>4246</v>
      </c>
      <c r="I1248" s="20">
        <v>0.55000000000000004</v>
      </c>
      <c r="J1248" s="8" t="s">
        <v>4862</v>
      </c>
      <c r="K1248" s="182">
        <v>40250</v>
      </c>
      <c r="L1248" s="8" t="s">
        <v>4156</v>
      </c>
      <c r="M1248" s="8" t="s">
        <v>6688</v>
      </c>
      <c r="N1248" s="38" t="s">
        <v>5211</v>
      </c>
      <c r="O1248" s="8" t="s">
        <v>7299</v>
      </c>
      <c r="P1248" s="4" t="str">
        <f>VLOOKUP($B1248,'D7 - NDB Impacted SPRF''s'!$E$16:$O$9929,9,FALSE)</f>
        <v>N</v>
      </c>
      <c r="Q1248" s="4" t="str">
        <f>VLOOKUP($B1248,'D7 - NDB Impacted SPRF''s'!$E$16:$O$9929,10,FALSE)</f>
        <v>N</v>
      </c>
      <c r="R1248" s="4" t="str">
        <f>VLOOKUP($B1248,'D7 - NDB Impacted SPRF''s'!$E$16:$O$9929,11,FALSE)</f>
        <v>N</v>
      </c>
      <c r="S1248" s="8"/>
      <c r="T1248" s="310"/>
      <c r="U1248" s="310"/>
      <c r="V1248" s="4"/>
      <c r="W1248" s="4"/>
      <c r="X1248" s="4"/>
      <c r="Y1248" s="4"/>
      <c r="Z1248" s="4"/>
      <c r="AA1248" s="4"/>
      <c r="AB1248" s="380" t="str">
        <f>VLOOKUP($B1248,'D7 - NDB Impacted SPRF''s'!$E$6:$O$9929,4,FALSE)</f>
        <v>Completed</v>
      </c>
      <c r="AC1248" s="380" t="str">
        <f>VLOOKUP($B1248,'D7 - NDB Impacted SPRF''s'!$E$6:$O$9929,3,FALSE)</f>
        <v>UHG IT - Enterprise Technology Services</v>
      </c>
      <c r="AD1248" s="380" t="str">
        <f>VLOOKUP($B1248,'D7 - NDB Impacted SPRF''s'!$E$6:$O$9929,5,FALSE)</f>
        <v>Strategic Initiatives</v>
      </c>
      <c r="AE1248" s="380" t="str">
        <f>VLOOKUP($B1248,'D7 - NDB Impacted SPRF''s'!$E$6:$O$9929,7,FALSE)</f>
        <v>Daid Wichmann</v>
      </c>
      <c r="AF1248" s="380" t="str">
        <f>VLOOKUP($B1248,'D7 - NDB Impacted SPRF''s'!$E$6:$O$9929,6,FALSE)</f>
        <v>Nicole Cartwright</v>
      </c>
      <c r="AG1248" s="282"/>
      <c r="AH1248" s="311" t="e">
        <f>INDEX('D5 - Gatekeeper - Projects'!$A$4:$AF$1010,$AM1248, 17)</f>
        <v>#N/A</v>
      </c>
      <c r="AI1248" s="8"/>
      <c r="AJ1248" s="57"/>
      <c r="AK1248" s="57"/>
      <c r="AM1248" s="6" t="e">
        <f>MATCH(D1248,'D5 - Gatekeeper - Projects'!$C$4:$C$1010,0)</f>
        <v>#N/A</v>
      </c>
      <c r="AN1248" s="6" t="b">
        <f t="shared" si="125"/>
        <v>1</v>
      </c>
      <c r="AO1248" s="6" t="str">
        <f t="shared" si="127"/>
        <v>OK</v>
      </c>
      <c r="AQ1248" s="6" t="e">
        <f>MATCH($D1248,'D4 - Provider Council Unsched'!$C$11:$C$234,0)</f>
        <v>#N/A</v>
      </c>
      <c r="AR1248" s="6" t="b">
        <f t="shared" si="126"/>
        <v>1</v>
      </c>
      <c r="AS1248" s="6" t="str">
        <f t="shared" si="128"/>
        <v>OK</v>
      </c>
      <c r="AU1248" s="202"/>
      <c r="AV1248" s="262"/>
      <c r="AW1248" s="274"/>
    </row>
    <row r="1249" spans="1:49" s="13" customFormat="1" ht="33.75" x14ac:dyDescent="0.2">
      <c r="A1249" s="14">
        <v>1225</v>
      </c>
      <c r="B1249" s="14">
        <v>400032323</v>
      </c>
      <c r="C1249" s="8" t="s">
        <v>5197</v>
      </c>
      <c r="D1249" s="4" t="str">
        <f t="shared" si="124"/>
        <v>400032323R1</v>
      </c>
      <c r="E1249" s="309" t="str">
        <f>VLOOKUP($B1249,'D7 - NDB Impacted SPRF''s'!$E$6:$O$9929,2,FALSE)</f>
        <v>Dual Elig Membership- RSA Analysis</v>
      </c>
      <c r="F1249" s="8" t="s">
        <v>2114</v>
      </c>
      <c r="G1249" s="8" t="s">
        <v>4758</v>
      </c>
      <c r="H1249" s="8" t="s">
        <v>4246</v>
      </c>
      <c r="I1249" s="20">
        <v>0.1</v>
      </c>
      <c r="J1249" s="8" t="s">
        <v>4862</v>
      </c>
      <c r="K1249" s="182">
        <v>40250</v>
      </c>
      <c r="L1249" s="8" t="s">
        <v>4156</v>
      </c>
      <c r="M1249" s="8" t="s">
        <v>6688</v>
      </c>
      <c r="N1249" s="38"/>
      <c r="O1249" s="8"/>
      <c r="P1249" s="4" t="str">
        <f>VLOOKUP($B1249,'D7 - NDB Impacted SPRF''s'!$E$16:$O$9929,9,FALSE)</f>
        <v>N</v>
      </c>
      <c r="Q1249" s="4" t="str">
        <f>VLOOKUP($B1249,'D7 - NDB Impacted SPRF''s'!$E$16:$O$9929,10,FALSE)</f>
        <v>N</v>
      </c>
      <c r="R1249" s="4" t="str">
        <f>VLOOKUP($B1249,'D7 - NDB Impacted SPRF''s'!$E$16:$O$9929,11,FALSE)</f>
        <v>N</v>
      </c>
      <c r="S1249" s="8"/>
      <c r="T1249" s="310"/>
      <c r="U1249" s="310"/>
      <c r="V1249" s="4"/>
      <c r="W1249" s="4"/>
      <c r="X1249" s="4"/>
      <c r="Y1249" s="4"/>
      <c r="Z1249" s="4"/>
      <c r="AA1249" s="4"/>
      <c r="AB1249" s="380" t="str">
        <f>VLOOKUP($B1249,'D7 - NDB Impacted SPRF''s'!$E$6:$O$9929,4,FALSE)</f>
        <v>Completed</v>
      </c>
      <c r="AC1249" s="380" t="str">
        <f>VLOOKUP($B1249,'D7 - NDB Impacted SPRF''s'!$E$6:$O$9929,3,FALSE)</f>
        <v>UnitedHealthcare Medicare &amp; Retirement</v>
      </c>
      <c r="AD1249" s="380" t="str">
        <f>VLOOKUP($B1249,'D7 - NDB Impacted SPRF''s'!$E$6:$O$9929,5,FALSE)</f>
        <v>Member Admin</v>
      </c>
      <c r="AE1249" s="380" t="str">
        <f>VLOOKUP($B1249,'D7 - NDB Impacted SPRF''s'!$E$6:$O$9929,7,FALSE)</f>
        <v>Carloyn Magill/ Bill Guptail</v>
      </c>
      <c r="AF1249" s="380" t="str">
        <f>VLOOKUP($B1249,'D7 - NDB Impacted SPRF''s'!$E$6:$O$9929,6,FALSE)</f>
        <v>Jessica Tattersall</v>
      </c>
      <c r="AG1249" s="282"/>
      <c r="AH1249" s="311" t="e">
        <f>INDEX('D5 - Gatekeeper - Projects'!$A$4:$AF$1010,$AM1249, 17)</f>
        <v>#N/A</v>
      </c>
      <c r="AI1249" s="8"/>
      <c r="AJ1249" s="57"/>
      <c r="AK1249" s="105"/>
      <c r="AM1249" s="6" t="e">
        <f>MATCH(D1249,'D5 - Gatekeeper - Projects'!$C$4:$C$1010,0)</f>
        <v>#N/A</v>
      </c>
      <c r="AN1249" s="6" t="b">
        <f t="shared" si="125"/>
        <v>1</v>
      </c>
      <c r="AO1249" s="6" t="str">
        <f t="shared" si="127"/>
        <v>OK</v>
      </c>
      <c r="AQ1249" s="6" t="e">
        <f>MATCH($D1249,'D4 - Provider Council Unsched'!$C$11:$C$234,0)</f>
        <v>#N/A</v>
      </c>
      <c r="AR1249" s="6" t="b">
        <f t="shared" si="126"/>
        <v>1</v>
      </c>
      <c r="AS1249" s="6" t="str">
        <f t="shared" si="128"/>
        <v>OK</v>
      </c>
      <c r="AU1249" s="202"/>
      <c r="AV1249" s="262"/>
      <c r="AW1249" s="274"/>
    </row>
    <row r="1250" spans="1:49" s="13" customFormat="1" ht="33.75" x14ac:dyDescent="0.2">
      <c r="A1250" s="14">
        <v>1226</v>
      </c>
      <c r="B1250" s="14">
        <v>400032988</v>
      </c>
      <c r="C1250" s="8" t="s">
        <v>5197</v>
      </c>
      <c r="D1250" s="4" t="str">
        <f t="shared" si="124"/>
        <v>400032988R1</v>
      </c>
      <c r="E1250" s="309" t="str">
        <f>VLOOKUP($B1250,'D7 - NDB Impacted SPRF''s'!$E$6:$O$9929,2,FALSE)</f>
        <v>RSA AIliad/CPS Provider Conversion for Directories</v>
      </c>
      <c r="F1250" s="8" t="s">
        <v>2114</v>
      </c>
      <c r="G1250" s="8" t="s">
        <v>4758</v>
      </c>
      <c r="H1250" s="8" t="s">
        <v>4246</v>
      </c>
      <c r="I1250" s="20">
        <v>1.41</v>
      </c>
      <c r="J1250" s="8" t="s">
        <v>4862</v>
      </c>
      <c r="K1250" s="182">
        <v>40250</v>
      </c>
      <c r="L1250" s="8" t="s">
        <v>4156</v>
      </c>
      <c r="M1250" s="8" t="s">
        <v>6688</v>
      </c>
      <c r="N1250" s="38"/>
      <c r="O1250" s="8"/>
      <c r="P1250" s="4" t="str">
        <f>VLOOKUP($B1250,'D7 - NDB Impacted SPRF''s'!$E$16:$O$9929,9,FALSE)</f>
        <v>N</v>
      </c>
      <c r="Q1250" s="4" t="str">
        <f>VLOOKUP($B1250,'D7 - NDB Impacted SPRF''s'!$E$16:$O$9929,10,FALSE)</f>
        <v>N</v>
      </c>
      <c r="R1250" s="4" t="str">
        <f>VLOOKUP($B1250,'D7 - NDB Impacted SPRF''s'!$E$16:$O$9929,11,FALSE)</f>
        <v>N</v>
      </c>
      <c r="S1250" s="8"/>
      <c r="T1250" s="310"/>
      <c r="U1250" s="310"/>
      <c r="V1250" s="4"/>
      <c r="W1250" s="4"/>
      <c r="X1250" s="4"/>
      <c r="Y1250" s="4"/>
      <c r="Z1250" s="4"/>
      <c r="AA1250" s="4"/>
      <c r="AB1250" s="380" t="str">
        <f>VLOOKUP($B1250,'D7 - NDB Impacted SPRF''s'!$E$6:$O$9929,4,FALSE)</f>
        <v>Completed</v>
      </c>
      <c r="AC1250" s="380" t="str">
        <f>VLOOKUP($B1250,'D7 - NDB Impacted SPRF''s'!$E$6:$O$9929,3,FALSE)</f>
        <v>UnitedHealthcare Medicare &amp; Retirement</v>
      </c>
      <c r="AD1250" s="380" t="str">
        <f>VLOOKUP($B1250,'D7 - NDB Impacted SPRF''s'!$E$6:$O$9929,5,FALSE)</f>
        <v>Claims Remediation</v>
      </c>
      <c r="AE1250" s="380" t="str">
        <f>VLOOKUP($B1250,'D7 - NDB Impacted SPRF''s'!$E$6:$O$9929,7,FALSE)</f>
        <v>Keith Koszuta/Joe Hafermann</v>
      </c>
      <c r="AF1250" s="380" t="str">
        <f>VLOOKUP($B1250,'D7 - NDB Impacted SPRF''s'!$E$6:$O$9929,6,FALSE)</f>
        <v>Keith Koszuta</v>
      </c>
      <c r="AG1250" s="282"/>
      <c r="AH1250" s="311" t="e">
        <f>INDEX('D5 - Gatekeeper - Projects'!$A$4:$AF$1010,$AM1250, 17)</f>
        <v>#N/A</v>
      </c>
      <c r="AI1250" s="8"/>
      <c r="AJ1250" s="57"/>
      <c r="AK1250" s="105"/>
      <c r="AM1250" s="6" t="e">
        <f>MATCH(D1250,'D5 - Gatekeeper - Projects'!$C$4:$C$1010,0)</f>
        <v>#N/A</v>
      </c>
      <c r="AN1250" s="6" t="b">
        <f t="shared" si="125"/>
        <v>1</v>
      </c>
      <c r="AO1250" s="6" t="str">
        <f t="shared" si="127"/>
        <v>OK</v>
      </c>
      <c r="AQ1250" s="6" t="e">
        <f>MATCH($D1250,'D4 - Provider Council Unsched'!$C$11:$C$234,0)</f>
        <v>#N/A</v>
      </c>
      <c r="AR1250" s="6" t="b">
        <f t="shared" si="126"/>
        <v>1</v>
      </c>
      <c r="AS1250" s="6" t="str">
        <f t="shared" si="128"/>
        <v>OK</v>
      </c>
      <c r="AU1250" s="202"/>
      <c r="AV1250" s="262"/>
      <c r="AW1250" s="274"/>
    </row>
    <row r="1251" spans="1:49" s="13" customFormat="1" ht="33.75" x14ac:dyDescent="0.2">
      <c r="A1251" s="14">
        <v>1227</v>
      </c>
      <c r="B1251" s="14">
        <v>400033020</v>
      </c>
      <c r="C1251" s="8" t="s">
        <v>5197</v>
      </c>
      <c r="D1251" s="4" t="str">
        <f t="shared" si="124"/>
        <v>400033020R1</v>
      </c>
      <c r="E1251" s="309" t="str">
        <f>VLOOKUP($B1251,'D7 - NDB Impacted SPRF''s'!$E$6:$O$9929,2,FALSE)</f>
        <v>PTI Derivation Project Completion</v>
      </c>
      <c r="F1251" s="8" t="s">
        <v>2114</v>
      </c>
      <c r="G1251" s="8" t="s">
        <v>4758</v>
      </c>
      <c r="H1251" s="8" t="s">
        <v>4246</v>
      </c>
      <c r="I1251" s="20">
        <v>5.07</v>
      </c>
      <c r="J1251" s="8" t="s">
        <v>4862</v>
      </c>
      <c r="K1251" s="182">
        <v>40250</v>
      </c>
      <c r="L1251" s="8" t="s">
        <v>4156</v>
      </c>
      <c r="M1251" s="8" t="s">
        <v>2814</v>
      </c>
      <c r="N1251" s="38"/>
      <c r="O1251" s="8"/>
      <c r="P1251" s="4" t="str">
        <f>VLOOKUP($B1251,'D7 - NDB Impacted SPRF''s'!$E$16:$O$9929,9,FALSE)</f>
        <v>N</v>
      </c>
      <c r="Q1251" s="4" t="str">
        <f>VLOOKUP($B1251,'D7 - NDB Impacted SPRF''s'!$E$16:$O$9929,10,FALSE)</f>
        <v>N</v>
      </c>
      <c r="R1251" s="4" t="str">
        <f>VLOOKUP($B1251,'D7 - NDB Impacted SPRF''s'!$E$16:$O$9929,11,FALSE)</f>
        <v>N</v>
      </c>
      <c r="S1251" s="8"/>
      <c r="T1251" s="310"/>
      <c r="U1251" s="310"/>
      <c r="V1251" s="4"/>
      <c r="W1251" s="4"/>
      <c r="X1251" s="4"/>
      <c r="Y1251" s="4"/>
      <c r="Z1251" s="4"/>
      <c r="AA1251" s="4"/>
      <c r="AB1251" s="380" t="str">
        <f>VLOOKUP($B1251,'D7 - NDB Impacted SPRF''s'!$E$6:$O$9929,4,FALSE)</f>
        <v>Completed</v>
      </c>
      <c r="AC1251" s="380" t="str">
        <f>VLOOKUP($B1251,'D7 - NDB Impacted SPRF''s'!$E$6:$O$9929,3,FALSE)</f>
        <v>UnitedHealthcare Employer &amp; Individual</v>
      </c>
      <c r="AD1251" s="380" t="str">
        <f>VLOOKUP($B1251,'D7 - NDB Impacted SPRF''s'!$E$6:$O$9929,5,FALSE)</f>
        <v>Process Improvement</v>
      </c>
      <c r="AE1251" s="380" t="str">
        <f>VLOOKUP($B1251,'D7 - NDB Impacted SPRF''s'!$E$6:$O$9929,7,FALSE)</f>
        <v>Jill Foucre</v>
      </c>
      <c r="AF1251" s="380" t="str">
        <f>VLOOKUP($B1251,'D7 - NDB Impacted SPRF''s'!$E$6:$O$9929,6,FALSE)</f>
        <v>Susan Neal</v>
      </c>
      <c r="AG1251" s="282"/>
      <c r="AH1251" s="311" t="e">
        <f>INDEX('D5 - Gatekeeper - Projects'!$A$4:$AF$1010,$AM1251, 17)</f>
        <v>#N/A</v>
      </c>
      <c r="AI1251" s="8"/>
      <c r="AJ1251" s="57"/>
      <c r="AK1251" s="105"/>
      <c r="AM1251" s="6" t="e">
        <f>MATCH(D1251,'D5 - Gatekeeper - Projects'!$C$4:$C$1010,0)</f>
        <v>#N/A</v>
      </c>
      <c r="AN1251" s="6" t="b">
        <f t="shared" si="125"/>
        <v>1</v>
      </c>
      <c r="AO1251" s="6" t="str">
        <f t="shared" si="127"/>
        <v>OK</v>
      </c>
      <c r="AQ1251" s="6" t="e">
        <f>MATCH($D1251,'D4 - Provider Council Unsched'!$C$11:$C$234,0)</f>
        <v>#N/A</v>
      </c>
      <c r="AR1251" s="6" t="b">
        <f t="shared" si="126"/>
        <v>1</v>
      </c>
      <c r="AS1251" s="6" t="str">
        <f t="shared" si="128"/>
        <v>OK</v>
      </c>
      <c r="AU1251" s="202"/>
      <c r="AV1251" s="262"/>
      <c r="AW1251" s="274"/>
    </row>
    <row r="1252" spans="1:49" s="13" customFormat="1" ht="33.75" x14ac:dyDescent="0.2">
      <c r="A1252" s="14">
        <v>1228</v>
      </c>
      <c r="B1252" s="14">
        <v>400033451</v>
      </c>
      <c r="C1252" s="8" t="s">
        <v>5197</v>
      </c>
      <c r="D1252" s="4" t="str">
        <f t="shared" si="124"/>
        <v>400033451R1</v>
      </c>
      <c r="E1252" s="309" t="str">
        <f>VLOOKUP($B1252,'D7 - NDB Impacted SPRF''s'!$E$6:$O$9929,2,FALSE)</f>
        <v>TRICARE Program:  Provider</v>
      </c>
      <c r="F1252" s="8" t="s">
        <v>3715</v>
      </c>
      <c r="G1252" s="8" t="s">
        <v>4758</v>
      </c>
      <c r="H1252" s="8" t="s">
        <v>4246</v>
      </c>
      <c r="I1252" s="20">
        <v>120</v>
      </c>
      <c r="J1252" s="8" t="s">
        <v>4862</v>
      </c>
      <c r="K1252" s="182">
        <v>40250</v>
      </c>
      <c r="L1252" s="8" t="s">
        <v>4156</v>
      </c>
      <c r="M1252" s="8" t="s">
        <v>2814</v>
      </c>
      <c r="N1252" s="38"/>
      <c r="O1252" s="8"/>
      <c r="P1252" s="4" t="str">
        <f>VLOOKUP($B1252,'D7 - NDB Impacted SPRF''s'!$E$16:$O$9929,9,FALSE)</f>
        <v>N</v>
      </c>
      <c r="Q1252" s="4" t="str">
        <f>VLOOKUP($B1252,'D7 - NDB Impacted SPRF''s'!$E$16:$O$9929,10,FALSE)</f>
        <v>N</v>
      </c>
      <c r="R1252" s="4" t="str">
        <f>VLOOKUP($B1252,'D7 - NDB Impacted SPRF''s'!$E$16:$O$9929,11,FALSE)</f>
        <v>Y</v>
      </c>
      <c r="S1252" s="8"/>
      <c r="T1252" s="310"/>
      <c r="U1252" s="310"/>
      <c r="V1252" s="4"/>
      <c r="W1252" s="4"/>
      <c r="X1252" s="4"/>
      <c r="Y1252" s="4"/>
      <c r="Z1252" s="4"/>
      <c r="AA1252" s="4"/>
      <c r="AB1252" s="380" t="str">
        <f>VLOOKUP($B1252,'D7 - NDB Impacted SPRF''s'!$E$6:$O$9929,4,FALSE)</f>
        <v>Cancelled</v>
      </c>
      <c r="AC1252" s="380" t="str">
        <f>VLOOKUP($B1252,'D7 - NDB Impacted SPRF''s'!$E$6:$O$9929,3,FALSE)</f>
        <v>UnitedHealthcare Military &amp; Veterans</v>
      </c>
      <c r="AD1252" s="380" t="str">
        <f>VLOOKUP($B1252,'D7 - NDB Impacted SPRF''s'!$E$6:$O$9929,5,FALSE)</f>
        <v>TRICARE</v>
      </c>
      <c r="AE1252" s="380" t="str">
        <f>VLOOKUP($B1252,'D7 - NDB Impacted SPRF''s'!$E$6:$O$9929,7,FALSE)</f>
        <v>Randall Smith</v>
      </c>
      <c r="AF1252" s="380" t="str">
        <f>VLOOKUP($B1252,'D7 - NDB Impacted SPRF''s'!$E$6:$O$9929,6,FALSE)</f>
        <v>Brian Lindell</v>
      </c>
      <c r="AG1252" s="282"/>
      <c r="AH1252" s="311" t="e">
        <f>INDEX('D5 - Gatekeeper - Projects'!$A$4:$AF$1010,$AM1252, 17)</f>
        <v>#N/A</v>
      </c>
      <c r="AI1252" s="8"/>
      <c r="AJ1252" s="57"/>
      <c r="AK1252" s="105"/>
      <c r="AM1252" s="6" t="e">
        <f>MATCH(D1252,'D5 - Gatekeeper - Projects'!$C$4:$C$1010,0)</f>
        <v>#N/A</v>
      </c>
      <c r="AN1252" s="6" t="b">
        <f t="shared" si="125"/>
        <v>1</v>
      </c>
      <c r="AO1252" s="6" t="str">
        <f t="shared" si="127"/>
        <v>OK</v>
      </c>
      <c r="AQ1252" s="6" t="e">
        <f>MATCH($D1252,'D4 - Provider Council Unsched'!$C$11:$C$234,0)</f>
        <v>#N/A</v>
      </c>
      <c r="AR1252" s="6" t="b">
        <f t="shared" si="126"/>
        <v>1</v>
      </c>
      <c r="AS1252" s="6" t="str">
        <f t="shared" si="128"/>
        <v>OK</v>
      </c>
      <c r="AU1252" s="202"/>
      <c r="AV1252" s="262"/>
      <c r="AW1252" s="274"/>
    </row>
    <row r="1253" spans="1:49" s="13" customFormat="1" ht="12.75" x14ac:dyDescent="0.2">
      <c r="A1253" s="14">
        <v>1229</v>
      </c>
      <c r="B1253" s="14" t="s">
        <v>4478</v>
      </c>
      <c r="C1253" s="8" t="s">
        <v>5197</v>
      </c>
      <c r="D1253" s="4" t="s">
        <v>4477</v>
      </c>
      <c r="E1253" s="341" t="s">
        <v>4624</v>
      </c>
      <c r="F1253" s="8" t="s">
        <v>2114</v>
      </c>
      <c r="G1253" s="8" t="s">
        <v>4758</v>
      </c>
      <c r="H1253" s="8" t="s">
        <v>4246</v>
      </c>
      <c r="I1253" s="20">
        <v>3.33</v>
      </c>
      <c r="J1253" s="8" t="s">
        <v>4862</v>
      </c>
      <c r="K1253" s="182">
        <v>40250</v>
      </c>
      <c r="L1253" s="8" t="s">
        <v>4156</v>
      </c>
      <c r="M1253" s="8" t="s">
        <v>2814</v>
      </c>
      <c r="N1253" s="38"/>
      <c r="O1253" s="8" t="s">
        <v>3572</v>
      </c>
      <c r="P1253" s="4" t="e">
        <f>VLOOKUP($B1253,'D7 - NDB Impacted SPRF''s'!$E$16:$O$9929,9,FALSE)</f>
        <v>#N/A</v>
      </c>
      <c r="Q1253" s="4" t="e">
        <f>VLOOKUP($B1253,'D7 - NDB Impacted SPRF''s'!$E$16:$O$9929,10,FALSE)</f>
        <v>#N/A</v>
      </c>
      <c r="R1253" s="4" t="e">
        <f>VLOOKUP($B1253,'D7 - NDB Impacted SPRF''s'!$E$16:$O$9929,11,FALSE)</f>
        <v>#N/A</v>
      </c>
      <c r="S1253" s="8"/>
      <c r="T1253" s="310"/>
      <c r="U1253" s="310"/>
      <c r="V1253" s="4"/>
      <c r="W1253" s="4"/>
      <c r="X1253" s="4"/>
      <c r="Y1253" s="4"/>
      <c r="Z1253" s="4"/>
      <c r="AA1253" s="4"/>
      <c r="AB1253" s="383" t="e">
        <f>VLOOKUP($B1253,'D7 - NDB Impacted SPRF''s'!$E$16:$O$9929,4,FALSE)</f>
        <v>#N/A</v>
      </c>
      <c r="AC1253" s="380" t="e">
        <f>VLOOKUP($B1253,'D7 - NDB Impacted SPRF''s'!$E$16:$O$9929,3,FALSE)</f>
        <v>#N/A</v>
      </c>
      <c r="AD1253" s="380" t="e">
        <f>VLOOKUP($B1253,'D7 - NDB Impacted SPRF''s'!$E$16:$O$9929,5,FALSE)</f>
        <v>#N/A</v>
      </c>
      <c r="AE1253" s="380" t="e">
        <f>VLOOKUP($B1253,'D7 - NDB Impacted SPRF''s'!$E$16:$O$9929,7,FALSE)</f>
        <v>#N/A</v>
      </c>
      <c r="AF1253" s="380" t="e">
        <f>VLOOKUP($B1253,'D7 - NDB Impacted SPRF''s'!$E$16:$O$9929,6,FALSE)</f>
        <v>#N/A</v>
      </c>
      <c r="AG1253" s="282"/>
      <c r="AH1253" s="311" t="e">
        <f>INDEX('D5 - Gatekeeper - Projects'!$A$4:$AF$1010,$AM1253, 17)</f>
        <v>#N/A</v>
      </c>
      <c r="AI1253" s="8"/>
      <c r="AJ1253" s="57"/>
      <c r="AK1253" s="105"/>
      <c r="AM1253" s="6" t="e">
        <f>MATCH(D1253,'D5 - Gatekeeper - Projects'!$C$4:$C$1010,0)</f>
        <v>#N/A</v>
      </c>
      <c r="AN1253" s="6" t="b">
        <f t="shared" si="125"/>
        <v>1</v>
      </c>
      <c r="AO1253" s="6" t="str">
        <f t="shared" si="127"/>
        <v>OK</v>
      </c>
      <c r="AQ1253" s="6" t="e">
        <f>MATCH($D1253,'D4 - Provider Council Unsched'!$C$11:$C$234,0)</f>
        <v>#N/A</v>
      </c>
      <c r="AR1253" s="6" t="b">
        <f t="shared" si="126"/>
        <v>1</v>
      </c>
      <c r="AS1253" s="6" t="str">
        <f>IF(AND(H1253="2 - Not Scheduled",AR1253=TRUE),"Add","OK")</f>
        <v>OK</v>
      </c>
      <c r="AU1253" s="202"/>
      <c r="AV1253" s="262"/>
      <c r="AW1253" s="274"/>
    </row>
    <row r="1254" spans="1:49" s="13" customFormat="1" ht="12.75" x14ac:dyDescent="0.2">
      <c r="A1254" s="14">
        <v>1230</v>
      </c>
      <c r="B1254" s="14" t="s">
        <v>7157</v>
      </c>
      <c r="C1254" s="8" t="s">
        <v>5197</v>
      </c>
      <c r="D1254" s="4" t="s">
        <v>7158</v>
      </c>
      <c r="E1254" s="341" t="s">
        <v>4625</v>
      </c>
      <c r="F1254" s="8" t="s">
        <v>2114</v>
      </c>
      <c r="G1254" s="8" t="s">
        <v>4758</v>
      </c>
      <c r="H1254" s="8" t="s">
        <v>4246</v>
      </c>
      <c r="I1254" s="20">
        <v>3.5</v>
      </c>
      <c r="J1254" s="8" t="s">
        <v>4862</v>
      </c>
      <c r="K1254" s="182">
        <v>40250</v>
      </c>
      <c r="L1254" s="8" t="s">
        <v>4156</v>
      </c>
      <c r="M1254" s="8" t="s">
        <v>2814</v>
      </c>
      <c r="N1254" s="38"/>
      <c r="O1254" s="8" t="s">
        <v>3572</v>
      </c>
      <c r="P1254" s="4" t="e">
        <f>VLOOKUP($B1254,'D7 - NDB Impacted SPRF''s'!$E$16:$O$9929,9,FALSE)</f>
        <v>#N/A</v>
      </c>
      <c r="Q1254" s="4" t="e">
        <f>VLOOKUP($B1254,'D7 - NDB Impacted SPRF''s'!$E$16:$O$9929,10,FALSE)</f>
        <v>#N/A</v>
      </c>
      <c r="R1254" s="4" t="e">
        <f>VLOOKUP($B1254,'D7 - NDB Impacted SPRF''s'!$E$16:$O$9929,11,FALSE)</f>
        <v>#N/A</v>
      </c>
      <c r="S1254" s="8"/>
      <c r="T1254" s="310"/>
      <c r="U1254" s="310"/>
      <c r="V1254" s="4"/>
      <c r="W1254" s="4"/>
      <c r="X1254" s="4"/>
      <c r="Y1254" s="4"/>
      <c r="Z1254" s="4"/>
      <c r="AA1254" s="4"/>
      <c r="AB1254" s="383" t="e">
        <f>VLOOKUP($B1254,'D7 - NDB Impacted SPRF''s'!$E$16:$O$9929,4,FALSE)</f>
        <v>#N/A</v>
      </c>
      <c r="AC1254" s="380" t="e">
        <f>VLOOKUP($B1254,'D7 - NDB Impacted SPRF''s'!$E$16:$O$9929,3,FALSE)</f>
        <v>#N/A</v>
      </c>
      <c r="AD1254" s="380" t="e">
        <f>VLOOKUP($B1254,'D7 - NDB Impacted SPRF''s'!$E$16:$O$9929,5,FALSE)</f>
        <v>#N/A</v>
      </c>
      <c r="AE1254" s="380" t="e">
        <f>VLOOKUP($B1254,'D7 - NDB Impacted SPRF''s'!$E$16:$O$9929,7,FALSE)</f>
        <v>#N/A</v>
      </c>
      <c r="AF1254" s="380" t="e">
        <f>VLOOKUP($B1254,'D7 - NDB Impacted SPRF''s'!$E$16:$O$9929,6,FALSE)</f>
        <v>#N/A</v>
      </c>
      <c r="AG1254" s="282"/>
      <c r="AH1254" s="311" t="e">
        <f>INDEX('D5 - Gatekeeper - Projects'!$A$4:$AF$1010,$AM1254, 17)</f>
        <v>#N/A</v>
      </c>
      <c r="AI1254" s="8"/>
      <c r="AJ1254" s="57"/>
      <c r="AK1254" s="105"/>
      <c r="AM1254" s="6" t="e">
        <f>MATCH(D1254,'D5 - Gatekeeper - Projects'!$C$4:$C$1010,0)</f>
        <v>#N/A</v>
      </c>
      <c r="AN1254" s="6" t="b">
        <f t="shared" si="125"/>
        <v>1</v>
      </c>
      <c r="AO1254" s="6" t="str">
        <f t="shared" si="127"/>
        <v>OK</v>
      </c>
      <c r="AQ1254" s="6" t="e">
        <f>MATCH($D1254,'D4 - Provider Council Unsched'!$C$11:$C$234,0)</f>
        <v>#N/A</v>
      </c>
      <c r="AR1254" s="6" t="b">
        <f t="shared" si="126"/>
        <v>1</v>
      </c>
      <c r="AS1254" s="6" t="str">
        <f>IF(AND(H1254="2 - Not Scheduled",AR1254=TRUE),"Add","OK")</f>
        <v>OK</v>
      </c>
      <c r="AU1254" s="202"/>
      <c r="AV1254" s="262"/>
      <c r="AW1254" s="274"/>
    </row>
    <row r="1255" spans="1:49" s="13" customFormat="1" ht="12.75" x14ac:dyDescent="0.2">
      <c r="A1255" s="14">
        <v>1231</v>
      </c>
      <c r="B1255" s="14" t="s">
        <v>4745</v>
      </c>
      <c r="C1255" s="8" t="s">
        <v>5197</v>
      </c>
      <c r="D1255" s="4" t="s">
        <v>4746</v>
      </c>
      <c r="E1255" s="341" t="s">
        <v>4747</v>
      </c>
      <c r="F1255" s="8" t="s">
        <v>2114</v>
      </c>
      <c r="G1255" s="8" t="s">
        <v>4758</v>
      </c>
      <c r="H1255" s="8" t="s">
        <v>4246</v>
      </c>
      <c r="I1255" s="20">
        <v>3.5</v>
      </c>
      <c r="J1255" s="8" t="s">
        <v>4862</v>
      </c>
      <c r="K1255" s="182">
        <v>40250</v>
      </c>
      <c r="L1255" s="8" t="s">
        <v>4156</v>
      </c>
      <c r="M1255" s="8" t="s">
        <v>2814</v>
      </c>
      <c r="N1255" s="38"/>
      <c r="O1255" s="8" t="s">
        <v>3572</v>
      </c>
      <c r="P1255" s="4" t="e">
        <f>VLOOKUP($B1255,'D7 - NDB Impacted SPRF''s'!$E$16:$O$9929,9,FALSE)</f>
        <v>#N/A</v>
      </c>
      <c r="Q1255" s="4" t="e">
        <f>VLOOKUP($B1255,'D7 - NDB Impacted SPRF''s'!$E$16:$O$9929,10,FALSE)</f>
        <v>#N/A</v>
      </c>
      <c r="R1255" s="4" t="e">
        <f>VLOOKUP($B1255,'D7 - NDB Impacted SPRF''s'!$E$16:$O$9929,11,FALSE)</f>
        <v>#N/A</v>
      </c>
      <c r="S1255" s="8"/>
      <c r="T1255" s="310"/>
      <c r="U1255" s="310"/>
      <c r="V1255" s="4"/>
      <c r="W1255" s="4"/>
      <c r="X1255" s="4"/>
      <c r="Y1255" s="4"/>
      <c r="Z1255" s="4"/>
      <c r="AA1255" s="4"/>
      <c r="AB1255" s="383" t="e">
        <f>VLOOKUP($B1255,'D7 - NDB Impacted SPRF''s'!$E$16:$O$9929,4,FALSE)</f>
        <v>#N/A</v>
      </c>
      <c r="AC1255" s="380" t="e">
        <f>VLOOKUP($B1255,'D7 - NDB Impacted SPRF''s'!$E$16:$O$9929,3,FALSE)</f>
        <v>#N/A</v>
      </c>
      <c r="AD1255" s="380" t="e">
        <f>VLOOKUP($B1255,'D7 - NDB Impacted SPRF''s'!$E$16:$O$9929,5,FALSE)</f>
        <v>#N/A</v>
      </c>
      <c r="AE1255" s="380" t="e">
        <f>VLOOKUP($B1255,'D7 - NDB Impacted SPRF''s'!$E$16:$O$9929,7,FALSE)</f>
        <v>#N/A</v>
      </c>
      <c r="AF1255" s="380" t="e">
        <f>VLOOKUP($B1255,'D7 - NDB Impacted SPRF''s'!$E$16:$O$9929,6,FALSE)</f>
        <v>#N/A</v>
      </c>
      <c r="AG1255" s="282"/>
      <c r="AH1255" s="311" t="e">
        <f>INDEX('D5 - Gatekeeper - Projects'!$A$4:$AF$1010,$AM1255, 17)</f>
        <v>#N/A</v>
      </c>
      <c r="AI1255" s="8"/>
      <c r="AJ1255" s="57"/>
      <c r="AK1255" s="105"/>
      <c r="AM1255" s="6" t="e">
        <f>MATCH(D1255,'D5 - Gatekeeper - Projects'!$C$4:$C$1010,0)</f>
        <v>#N/A</v>
      </c>
      <c r="AN1255" s="6" t="b">
        <f t="shared" si="125"/>
        <v>1</v>
      </c>
      <c r="AO1255" s="6" t="str">
        <f t="shared" si="127"/>
        <v>OK</v>
      </c>
      <c r="AQ1255" s="6" t="e">
        <f>MATCH($D1255,'D4 - Provider Council Unsched'!$C$11:$C$234,0)</f>
        <v>#N/A</v>
      </c>
      <c r="AR1255" s="6" t="b">
        <f t="shared" si="126"/>
        <v>1</v>
      </c>
      <c r="AS1255" s="6" t="str">
        <f>IF(AND(H1255="2 - Not Scheduled",AR1255=TRUE),"Add","OK")</f>
        <v>OK</v>
      </c>
      <c r="AU1255" s="202"/>
      <c r="AV1255" s="262"/>
      <c r="AW1255" s="274"/>
    </row>
    <row r="1256" spans="1:49" s="13" customFormat="1" x14ac:dyDescent="0.2">
      <c r="A1256" s="14">
        <v>1232</v>
      </c>
      <c r="B1256" s="14" t="s">
        <v>3682</v>
      </c>
      <c r="C1256" s="8" t="s">
        <v>5197</v>
      </c>
      <c r="D1256" s="4" t="s">
        <v>3683</v>
      </c>
      <c r="E1256" s="309" t="s">
        <v>3684</v>
      </c>
      <c r="F1256" s="8" t="s">
        <v>2114</v>
      </c>
      <c r="G1256" s="8" t="s">
        <v>4758</v>
      </c>
      <c r="H1256" s="8" t="s">
        <v>4246</v>
      </c>
      <c r="I1256" s="20">
        <v>2</v>
      </c>
      <c r="J1256" s="8" t="s">
        <v>4862</v>
      </c>
      <c r="K1256" s="182">
        <v>40250</v>
      </c>
      <c r="L1256" s="8" t="s">
        <v>5743</v>
      </c>
      <c r="M1256" s="8" t="s">
        <v>2814</v>
      </c>
      <c r="N1256" s="38"/>
      <c r="O1256" s="8" t="s">
        <v>3572</v>
      </c>
      <c r="P1256" s="4" t="e">
        <f>VLOOKUP($B1256,'D7 - NDB Impacted SPRF''s'!$E$16:$O$9929,9,FALSE)</f>
        <v>#N/A</v>
      </c>
      <c r="Q1256" s="4" t="e">
        <f>VLOOKUP($B1256,'D7 - NDB Impacted SPRF''s'!$E$16:$O$9929,10,FALSE)</f>
        <v>#N/A</v>
      </c>
      <c r="R1256" s="4" t="e">
        <f>VLOOKUP($B1256,'D7 - NDB Impacted SPRF''s'!$E$16:$O$9929,11,FALSE)</f>
        <v>#N/A</v>
      </c>
      <c r="S1256" s="8"/>
      <c r="T1256" s="310"/>
      <c r="U1256" s="310"/>
      <c r="V1256" s="4"/>
      <c r="W1256" s="4"/>
      <c r="X1256" s="4"/>
      <c r="Y1256" s="4"/>
      <c r="Z1256" s="4"/>
      <c r="AA1256" s="4"/>
      <c r="AB1256" s="383" t="e">
        <f>VLOOKUP($B1256,'D7 - NDB Impacted SPRF''s'!$E$16:$O$9929,4,FALSE)</f>
        <v>#N/A</v>
      </c>
      <c r="AC1256" s="380" t="e">
        <f>VLOOKUP($B1256,'D7 - NDB Impacted SPRF''s'!$E$16:$O$9929,3,FALSE)</f>
        <v>#N/A</v>
      </c>
      <c r="AD1256" s="380" t="e">
        <f>VLOOKUP($B1256,'D7 - NDB Impacted SPRF''s'!$E$16:$O$9929,5,FALSE)</f>
        <v>#N/A</v>
      </c>
      <c r="AE1256" s="380" t="e">
        <f>VLOOKUP($B1256,'D7 - NDB Impacted SPRF''s'!$E$16:$O$9929,7,FALSE)</f>
        <v>#N/A</v>
      </c>
      <c r="AF1256" s="380" t="e">
        <f>VLOOKUP($B1256,'D7 - NDB Impacted SPRF''s'!$E$16:$O$9929,6,FALSE)</f>
        <v>#N/A</v>
      </c>
      <c r="AG1256" s="282"/>
      <c r="AH1256" s="311" t="e">
        <f>INDEX('D5 - Gatekeeper - Projects'!$A$4:$AF$1010,$AM1256, 17)</f>
        <v>#N/A</v>
      </c>
      <c r="AI1256" s="8"/>
      <c r="AJ1256" s="57"/>
      <c r="AK1256" s="105"/>
      <c r="AM1256" s="6" t="e">
        <f>MATCH(D1256,'D5 - Gatekeeper - Projects'!$C$4:$C$1010,0)</f>
        <v>#N/A</v>
      </c>
      <c r="AN1256" s="6" t="b">
        <f t="shared" si="125"/>
        <v>1</v>
      </c>
      <c r="AO1256" s="6" t="str">
        <f t="shared" si="127"/>
        <v>OK</v>
      </c>
      <c r="AQ1256" s="6" t="e">
        <f>MATCH($D1256,'D4 - Provider Council Unsched'!$C$11:$C$234,0)</f>
        <v>#N/A</v>
      </c>
      <c r="AR1256" s="6" t="b">
        <f t="shared" si="126"/>
        <v>1</v>
      </c>
      <c r="AS1256" s="6" t="str">
        <f>IF(AND(H1256="2 - Not Scheduled",AR1256=TRUE),"Add","OK")</f>
        <v>OK</v>
      </c>
      <c r="AU1256" s="202"/>
      <c r="AV1256" s="262"/>
      <c r="AW1256" s="274"/>
    </row>
    <row r="1257" spans="1:49" s="13" customFormat="1" ht="33.75" x14ac:dyDescent="0.2">
      <c r="A1257" s="14">
        <v>1233</v>
      </c>
      <c r="B1257" s="14">
        <v>400033837</v>
      </c>
      <c r="C1257" s="8" t="s">
        <v>5197</v>
      </c>
      <c r="D1257" s="4" t="str">
        <f>CONCATENATE(B1257,C1257)</f>
        <v>400033837R1</v>
      </c>
      <c r="E1257" s="309" t="str">
        <f>VLOOKUP($B1257,'D7 - NDB Impacted SPRF''s'!$E$6:$O$9929,2,FALSE)</f>
        <v>HPHC Modifier 53 Reimbursement Change</v>
      </c>
      <c r="F1257" s="8" t="s">
        <v>5196</v>
      </c>
      <c r="G1257" s="8" t="s">
        <v>4758</v>
      </c>
      <c r="H1257" s="8" t="s">
        <v>4246</v>
      </c>
      <c r="I1257" s="20">
        <v>1.07</v>
      </c>
      <c r="J1257" s="8" t="s">
        <v>4862</v>
      </c>
      <c r="K1257" s="182">
        <v>40268</v>
      </c>
      <c r="L1257" s="8" t="s">
        <v>4156</v>
      </c>
      <c r="M1257" s="8" t="s">
        <v>6007</v>
      </c>
      <c r="N1257" s="38" t="s">
        <v>7487</v>
      </c>
      <c r="O1257" s="8"/>
      <c r="P1257" s="4" t="str">
        <f>VLOOKUP($B1257,'D7 - NDB Impacted SPRF''s'!$E$16:$O$9929,9,FALSE)</f>
        <v>N</v>
      </c>
      <c r="Q1257" s="4" t="str">
        <f>VLOOKUP($B1257,'D7 - NDB Impacted SPRF''s'!$E$16:$O$9929,10,FALSE)</f>
        <v>N</v>
      </c>
      <c r="R1257" s="4" t="str">
        <f>VLOOKUP($B1257,'D7 - NDB Impacted SPRF''s'!$E$16:$O$9929,11,FALSE)</f>
        <v>N</v>
      </c>
      <c r="S1257" s="8"/>
      <c r="T1257" s="310"/>
      <c r="U1257" s="310"/>
      <c r="V1257" s="4"/>
      <c r="W1257" s="4"/>
      <c r="X1257" s="4"/>
      <c r="Y1257" s="4"/>
      <c r="Z1257" s="4"/>
      <c r="AA1257" s="4"/>
      <c r="AB1257" s="380" t="str">
        <f>VLOOKUP($B1257,'D7 - NDB Impacted SPRF''s'!$E$6:$O$9929,4,FALSE)</f>
        <v>Completed</v>
      </c>
      <c r="AC1257" s="380" t="str">
        <f>VLOOKUP($B1257,'D7 - NDB Impacted SPRF''s'!$E$6:$O$9929,3,FALSE)</f>
        <v>UnitedHealthcare Employer &amp; Individual</v>
      </c>
      <c r="AD1257" s="380" t="str">
        <f>VLOOKUP($B1257,'D7 - NDB Impacted SPRF''s'!$E$6:$O$9929,5,FALSE)</f>
        <v>HCA - HPHC Operational Support</v>
      </c>
      <c r="AE1257" s="380" t="str">
        <f>VLOOKUP($B1257,'D7 - NDB Impacted SPRF''s'!$E$6:$O$9929,7,FALSE)</f>
        <v>Patricio Cobos</v>
      </c>
      <c r="AF1257" s="380" t="str">
        <f>VLOOKUP($B1257,'D7 - NDB Impacted SPRF''s'!$E$6:$O$9929,6,FALSE)</f>
        <v>LUND ROSS</v>
      </c>
      <c r="AG1257" s="282"/>
      <c r="AH1257" s="311" t="e">
        <f>INDEX('D5 - Gatekeeper - Projects'!$A$4:$AF$1010,$AM1257, 17)</f>
        <v>#N/A</v>
      </c>
      <c r="AI1257" s="8"/>
      <c r="AJ1257" s="57"/>
      <c r="AK1257" s="105"/>
      <c r="AM1257" s="6" t="e">
        <f>MATCH(D1257,'D5 - Gatekeeper - Projects'!$C$4:$C$1010,0)</f>
        <v>#N/A</v>
      </c>
      <c r="AN1257" s="6" t="b">
        <f t="shared" si="125"/>
        <v>1</v>
      </c>
      <c r="AO1257" s="6" t="str">
        <f t="shared" si="127"/>
        <v>OK</v>
      </c>
      <c r="AQ1257" s="6" t="e">
        <f>MATCH($D1257,'D4 - Provider Council Unsched'!$C$11:$C$234,0)</f>
        <v>#N/A</v>
      </c>
      <c r="AR1257" s="6" t="b">
        <f t="shared" si="126"/>
        <v>1</v>
      </c>
      <c r="AS1257" s="6" t="str">
        <f>IF(AND(H1257="2 - Not Scheduled",AR1257=TRUE),"Add","OK")</f>
        <v>OK</v>
      </c>
      <c r="AU1257" s="202"/>
      <c r="AV1257" s="262"/>
      <c r="AW1257" s="274"/>
    </row>
    <row r="1258" spans="1:49" s="13" customFormat="1" ht="33.75" x14ac:dyDescent="0.2">
      <c r="A1258" s="14">
        <v>1234</v>
      </c>
      <c r="B1258" s="14">
        <v>400035919</v>
      </c>
      <c r="C1258" s="8" t="s">
        <v>5197</v>
      </c>
      <c r="D1258" s="4" t="str">
        <f>CONCATENATE(B1258,C1258)</f>
        <v>400035919R1</v>
      </c>
      <c r="E1258" s="309" t="str">
        <f>VLOOKUP($B1258,'D7 - NDB Impacted SPRF''s'!$E$6:$O$9929,2,FALSE)</f>
        <v xml:space="preserve">Enterprise Capitation – MAHP NDB/ECap County Code </v>
      </c>
      <c r="F1258" s="8" t="s">
        <v>2463</v>
      </c>
      <c r="G1258" s="8" t="s">
        <v>4758</v>
      </c>
      <c r="H1258" s="8" t="s">
        <v>4246</v>
      </c>
      <c r="I1258" s="20">
        <v>4</v>
      </c>
      <c r="J1258" s="8" t="s">
        <v>4862</v>
      </c>
      <c r="K1258" s="182">
        <v>40268</v>
      </c>
      <c r="L1258" s="8" t="s">
        <v>4156</v>
      </c>
      <c r="M1258" s="8" t="s">
        <v>2814</v>
      </c>
      <c r="N1258" s="38"/>
      <c r="O1258" s="8"/>
      <c r="P1258" s="4" t="str">
        <f>VLOOKUP($B1258,'D7 - NDB Impacted SPRF''s'!$E$16:$O$9929,9,FALSE)</f>
        <v>N</v>
      </c>
      <c r="Q1258" s="4" t="str">
        <f>VLOOKUP($B1258,'D7 - NDB Impacted SPRF''s'!$E$16:$O$9929,10,FALSE)</f>
        <v>N</v>
      </c>
      <c r="R1258" s="4" t="str">
        <f>VLOOKUP($B1258,'D7 - NDB Impacted SPRF''s'!$E$16:$O$9929,11,FALSE)</f>
        <v>N</v>
      </c>
      <c r="S1258" s="8"/>
      <c r="T1258" s="310"/>
      <c r="U1258" s="310"/>
      <c r="V1258" s="4"/>
      <c r="W1258" s="4"/>
      <c r="X1258" s="4"/>
      <c r="Y1258" s="4"/>
      <c r="Z1258" s="4"/>
      <c r="AA1258" s="4"/>
      <c r="AB1258" s="380" t="str">
        <f>VLOOKUP($B1258,'D7 - NDB Impacted SPRF''s'!$E$6:$O$9929,4,FALSE)</f>
        <v>Completed</v>
      </c>
      <c r="AC1258" s="380" t="str">
        <f>VLOOKUP($B1258,'D7 - NDB Impacted SPRF''s'!$E$6:$O$9929,3,FALSE)</f>
        <v>UnitedHealthcare Employer &amp; Individual</v>
      </c>
      <c r="AD1258" s="380" t="str">
        <f>VLOOKUP($B1258,'D7 - NDB Impacted SPRF''s'!$E$6:$O$9929,5,FALSE)</f>
        <v>Integration Requirements</v>
      </c>
      <c r="AE1258" s="380" t="str">
        <f>VLOOKUP($B1258,'D7 - NDB Impacted SPRF''s'!$E$6:$O$9929,7,FALSE)</f>
        <v>Gino Tenace</v>
      </c>
      <c r="AF1258" s="380" t="str">
        <f>VLOOKUP($B1258,'D7 - NDB Impacted SPRF''s'!$E$6:$O$9929,6,FALSE)</f>
        <v>Delana Anderson</v>
      </c>
      <c r="AG1258" s="282"/>
      <c r="AH1258" s="311" t="e">
        <f>INDEX('D5 - Gatekeeper - Projects'!$A$4:$AF$1010,$AM1258, 17)</f>
        <v>#N/A</v>
      </c>
      <c r="AI1258" s="8"/>
      <c r="AJ1258" s="57"/>
      <c r="AK1258" s="105"/>
      <c r="AM1258" s="6" t="e">
        <f>MATCH(D1258,'D5 - Gatekeeper - Projects'!$C$4:$C$1010,0)</f>
        <v>#N/A</v>
      </c>
      <c r="AN1258" s="6" t="b">
        <f t="shared" si="125"/>
        <v>1</v>
      </c>
      <c r="AO1258" s="6" t="str">
        <f t="shared" si="127"/>
        <v>OK</v>
      </c>
      <c r="AQ1258" s="6" t="e">
        <f>MATCH($D1258,'D4 - Provider Council Unsched'!$C$11:$C$234,0)</f>
        <v>#N/A</v>
      </c>
      <c r="AR1258" s="6" t="b">
        <f t="shared" si="126"/>
        <v>1</v>
      </c>
      <c r="AS1258" s="6" t="str">
        <f>IF(AND(H1258="2 - Not Scheduled",AR1258=TRUE,C1258="R1"),"Add","OK")</f>
        <v>OK</v>
      </c>
      <c r="AU1258" s="202"/>
      <c r="AV1258" s="262"/>
      <c r="AW1258" s="274"/>
    </row>
    <row r="1259" spans="1:49" s="13" customFormat="1" ht="33.75" x14ac:dyDescent="0.2">
      <c r="A1259" s="14">
        <v>1235</v>
      </c>
      <c r="B1259" s="14">
        <v>400030396</v>
      </c>
      <c r="C1259" s="8" t="s">
        <v>3763</v>
      </c>
      <c r="D1259" s="4" t="str">
        <f>CONCATENATE(B1259,C1259)</f>
        <v>400030396R2</v>
      </c>
      <c r="E1259" s="309" t="str">
        <f>VLOOKUP($B1259,'D7 - NDB Impacted SPRF''s'!$E$6:$O$9929,2,FALSE)</f>
        <v>MAHP Funding Table Redesign</v>
      </c>
      <c r="F1259" s="8" t="s">
        <v>5196</v>
      </c>
      <c r="G1259" s="8" t="s">
        <v>4758</v>
      </c>
      <c r="H1259" s="8" t="s">
        <v>4246</v>
      </c>
      <c r="I1259" s="20">
        <v>23.12</v>
      </c>
      <c r="J1259" s="8" t="s">
        <v>4862</v>
      </c>
      <c r="K1259" s="182">
        <v>40292</v>
      </c>
      <c r="L1259" s="8" t="s">
        <v>4156</v>
      </c>
      <c r="M1259" s="8" t="s">
        <v>2814</v>
      </c>
      <c r="N1259" s="38"/>
      <c r="O1259" s="8" t="s">
        <v>1074</v>
      </c>
      <c r="P1259" s="4" t="str">
        <f>VLOOKUP($B1259,'D7 - NDB Impacted SPRF''s'!$E$16:$O$9929,9,FALSE)</f>
        <v>Y</v>
      </c>
      <c r="Q1259" s="4" t="str">
        <f>VLOOKUP($B1259,'D7 - NDB Impacted SPRF''s'!$E$16:$O$9929,10,FALSE)</f>
        <v>N</v>
      </c>
      <c r="R1259" s="4" t="str">
        <f>VLOOKUP($B1259,'D7 - NDB Impacted SPRF''s'!$E$16:$O$9929,11,FALSE)</f>
        <v>N</v>
      </c>
      <c r="S1259" s="8"/>
      <c r="T1259" s="310"/>
      <c r="U1259" s="310"/>
      <c r="V1259" s="4"/>
      <c r="W1259" s="4"/>
      <c r="X1259" s="4"/>
      <c r="Y1259" s="4"/>
      <c r="Z1259" s="4"/>
      <c r="AA1259" s="4"/>
      <c r="AB1259" s="380" t="str">
        <f>VLOOKUP($B1259,'D7 - NDB Impacted SPRF''s'!$E$6:$O$9929,4,FALSE)</f>
        <v>Completed</v>
      </c>
      <c r="AC1259" s="380" t="str">
        <f>VLOOKUP($B1259,'D7 - NDB Impacted SPRF''s'!$E$6:$O$9929,3,FALSE)</f>
        <v>UnitedHealthcare Employer &amp; Individual</v>
      </c>
      <c r="AD1259" s="380" t="str">
        <f>VLOOKUP($B1259,'D7 - NDB Impacted SPRF''s'!$E$6:$O$9929,5,FALSE)</f>
        <v>Process Improvement</v>
      </c>
      <c r="AE1259" s="380" t="str">
        <f>VLOOKUP($B1259,'D7 - NDB Impacted SPRF''s'!$E$6:$O$9929,7,FALSE)</f>
        <v>Jill Foucre</v>
      </c>
      <c r="AF1259" s="380" t="str">
        <f>VLOOKUP($B1259,'D7 - NDB Impacted SPRF''s'!$E$6:$O$9929,6,FALSE)</f>
        <v>Brent Graham</v>
      </c>
      <c r="AG1259" s="282"/>
      <c r="AH1259" s="311" t="e">
        <f>INDEX('D5 - Gatekeeper - Projects'!$A$4:$AF$1010,$AM1259, 17)</f>
        <v>#N/A</v>
      </c>
      <c r="AI1259" s="8"/>
      <c r="AJ1259" s="57"/>
      <c r="AK1259" s="105"/>
      <c r="AM1259" s="6" t="e">
        <f>MATCH(D1259,'D5 - Gatekeeper - Projects'!$C$4:$C$1010,0)</f>
        <v>#N/A</v>
      </c>
      <c r="AN1259" s="6" t="b">
        <f t="shared" si="125"/>
        <v>1</v>
      </c>
      <c r="AO1259" s="6" t="str">
        <f t="shared" si="127"/>
        <v>OK</v>
      </c>
      <c r="AQ1259" s="6" t="e">
        <f>MATCH($D1259,'D4 - Provider Council Unsched'!$C$11:$C$234,0)</f>
        <v>#N/A</v>
      </c>
      <c r="AR1259" s="6" t="b">
        <f t="shared" si="126"/>
        <v>1</v>
      </c>
      <c r="AS1259" s="6" t="str">
        <f>IF(AND(H1259="2 - Not Scheduled",AR1259=TRUE,C1259="R1"),"Add","OK")</f>
        <v>OK</v>
      </c>
      <c r="AU1259" s="202"/>
      <c r="AV1259" s="262"/>
      <c r="AW1259" s="274"/>
    </row>
    <row r="1260" spans="1:49" s="13" customFormat="1" ht="45" x14ac:dyDescent="0.2">
      <c r="A1260" s="14">
        <v>1236</v>
      </c>
      <c r="B1260" s="14">
        <v>400034486</v>
      </c>
      <c r="C1260" s="8" t="s">
        <v>5197</v>
      </c>
      <c r="D1260" s="4" t="str">
        <f>CONCATENATE(B1260,C1260)</f>
        <v>400034486R1</v>
      </c>
      <c r="E1260" s="309" t="str">
        <f>VLOOKUP($B1260,'D7 - NDB Impacted SPRF''s'!$E$6:$O$9929,2,FALSE)</f>
        <v>EPDE Enhancements URV</v>
      </c>
      <c r="F1260" s="8" t="s">
        <v>4069</v>
      </c>
      <c r="G1260" s="8" t="s">
        <v>4758</v>
      </c>
      <c r="H1260" s="8" t="s">
        <v>4246</v>
      </c>
      <c r="I1260" s="20">
        <v>0.65</v>
      </c>
      <c r="J1260" s="8" t="s">
        <v>4862</v>
      </c>
      <c r="K1260" s="182">
        <v>40292</v>
      </c>
      <c r="L1260" s="8" t="s">
        <v>4156</v>
      </c>
      <c r="M1260" s="8" t="s">
        <v>5626</v>
      </c>
      <c r="N1260" s="38"/>
      <c r="O1260" s="8"/>
      <c r="P1260" s="4" t="str">
        <f>VLOOKUP($B1260,'D7 - NDB Impacted SPRF''s'!$E$16:$O$9929,9,FALSE)</f>
        <v>N</v>
      </c>
      <c r="Q1260" s="4" t="str">
        <f>VLOOKUP($B1260,'D7 - NDB Impacted SPRF''s'!$E$16:$O$9929,10,FALSE)</f>
        <v>N</v>
      </c>
      <c r="R1260" s="4" t="str">
        <f>VLOOKUP($B1260,'D7 - NDB Impacted SPRF''s'!$E$16:$O$9929,11,FALSE)</f>
        <v>N</v>
      </c>
      <c r="S1260" s="8"/>
      <c r="T1260" s="310"/>
      <c r="U1260" s="310"/>
      <c r="V1260" s="4"/>
      <c r="W1260" s="4"/>
      <c r="X1260" s="4"/>
      <c r="Y1260" s="4"/>
      <c r="Z1260" s="4"/>
      <c r="AA1260" s="4"/>
      <c r="AB1260" s="380" t="str">
        <f>VLOOKUP($B1260,'D7 - NDB Impacted SPRF''s'!$E$6:$O$9929,4,FALSE)</f>
        <v>Completed</v>
      </c>
      <c r="AC1260" s="380" t="str">
        <f>VLOOKUP($B1260,'D7 - NDB Impacted SPRF''s'!$E$6:$O$9929,3,FALSE)</f>
        <v>UHG IT - Enterprise Technology Services</v>
      </c>
      <c r="AD1260" s="380" t="str">
        <f>VLOOKUP($B1260,'D7 - NDB Impacted SPRF''s'!$E$6:$O$9929,5,FALSE)</f>
        <v>Strategic Initiatives</v>
      </c>
      <c r="AE1260" s="380" t="str">
        <f>VLOOKUP($B1260,'D7 - NDB Impacted SPRF''s'!$E$6:$O$9929,7,FALSE)</f>
        <v>Sally Verrelli</v>
      </c>
      <c r="AF1260" s="380" t="str">
        <f>VLOOKUP($B1260,'D7 - NDB Impacted SPRF''s'!$E$6:$O$9929,6,FALSE)</f>
        <v>Mary Vanspeybroeck</v>
      </c>
      <c r="AG1260" s="282"/>
      <c r="AH1260" s="311" t="e">
        <f>INDEX('D5 - Gatekeeper - Projects'!$A$4:$AF$1010,$AM1260, 17)</f>
        <v>#N/A</v>
      </c>
      <c r="AI1260" s="8"/>
      <c r="AJ1260" s="57"/>
      <c r="AK1260" s="105"/>
      <c r="AM1260" s="6" t="e">
        <f>MATCH(D1260,'D5 - Gatekeeper - Projects'!$C$4:$C$1010,0)</f>
        <v>#N/A</v>
      </c>
      <c r="AN1260" s="6" t="b">
        <f t="shared" si="125"/>
        <v>1</v>
      </c>
      <c r="AO1260" s="6" t="str">
        <f t="shared" si="127"/>
        <v>OK</v>
      </c>
      <c r="AQ1260" s="6" t="e">
        <f>MATCH($D1260,'D4 - Provider Council Unsched'!$C$11:$C$234,0)</f>
        <v>#N/A</v>
      </c>
      <c r="AR1260" s="6" t="b">
        <f t="shared" si="126"/>
        <v>1</v>
      </c>
      <c r="AS1260" s="6" t="str">
        <f>IF(AND(H1260="2 - Not Scheduled",AR1260=TRUE),"Add","OK")</f>
        <v>OK</v>
      </c>
      <c r="AU1260" s="202"/>
      <c r="AV1260" s="262"/>
      <c r="AW1260" s="274"/>
    </row>
    <row r="1261" spans="1:49" s="13" customFormat="1" ht="33.75" x14ac:dyDescent="0.2">
      <c r="A1261" s="14">
        <v>1237</v>
      </c>
      <c r="B1261" s="14">
        <v>400035760</v>
      </c>
      <c r="C1261" s="8" t="s">
        <v>5197</v>
      </c>
      <c r="D1261" s="4" t="str">
        <f>CONCATENATE(B1261,C1261)</f>
        <v>400035760R1</v>
      </c>
      <c r="E1261" s="309" t="str">
        <f>VLOOKUP($B1261,'D7 - NDB Impacted SPRF''s'!$E$6:$O$9929,2,FALSE)</f>
        <v>COSMOS Provider ID Runout_A&amp;D</v>
      </c>
      <c r="F1261" s="8"/>
      <c r="G1261" s="8" t="s">
        <v>4758</v>
      </c>
      <c r="H1261" s="8" t="s">
        <v>4246</v>
      </c>
      <c r="I1261" s="20">
        <v>0.67</v>
      </c>
      <c r="J1261" s="8" t="s">
        <v>4862</v>
      </c>
      <c r="K1261" s="182">
        <v>40292</v>
      </c>
      <c r="L1261" s="8" t="s">
        <v>4156</v>
      </c>
      <c r="M1261" s="8" t="s">
        <v>4450</v>
      </c>
      <c r="N1261" s="38"/>
      <c r="O1261" s="8"/>
      <c r="P1261" s="4" t="str">
        <f>VLOOKUP($B1261,'D7 - NDB Impacted SPRF''s'!$E$16:$O$9929,9,FALSE)</f>
        <v>N</v>
      </c>
      <c r="Q1261" s="4" t="str">
        <f>VLOOKUP($B1261,'D7 - NDB Impacted SPRF''s'!$E$16:$O$9929,10,FALSE)</f>
        <v>N</v>
      </c>
      <c r="R1261" s="4" t="str">
        <f>VLOOKUP($B1261,'D7 - NDB Impacted SPRF''s'!$E$16:$O$9929,11,FALSE)</f>
        <v>N</v>
      </c>
      <c r="S1261" s="8"/>
      <c r="T1261" s="310"/>
      <c r="U1261" s="310"/>
      <c r="V1261" s="4"/>
      <c r="W1261" s="4"/>
      <c r="X1261" s="4"/>
      <c r="Y1261" s="4"/>
      <c r="Z1261" s="4"/>
      <c r="AA1261" s="4"/>
      <c r="AB1261" s="380" t="str">
        <f>VLOOKUP($B1261,'D7 - NDB Impacted SPRF''s'!$E$6:$O$9929,4,FALSE)</f>
        <v>Completed</v>
      </c>
      <c r="AC1261" s="380" t="str">
        <f>VLOOKUP($B1261,'D7 - NDB Impacted SPRF''s'!$E$6:$O$9929,3,FALSE)</f>
        <v>UnitedHealthcare Medicare &amp; Retirement</v>
      </c>
      <c r="AD1261" s="380" t="str">
        <f>VLOOKUP($B1261,'D7 - NDB Impacted SPRF''s'!$E$6:$O$9929,5,FALSE)</f>
        <v>Benefit Admin</v>
      </c>
      <c r="AE1261" s="380" t="str">
        <f>VLOOKUP($B1261,'D7 - NDB Impacted SPRF''s'!$E$6:$O$9929,7,FALSE)</f>
        <v>Joe Hafermann</v>
      </c>
      <c r="AF1261" s="380" t="str">
        <f>VLOOKUP($B1261,'D7 - NDB Impacted SPRF''s'!$E$6:$O$9929,6,FALSE)</f>
        <v>Keith Koszuta</v>
      </c>
      <c r="AG1261" s="282"/>
      <c r="AH1261" s="311" t="e">
        <f>INDEX('D5 - Gatekeeper - Projects'!$A$4:$AF$1010,$AM1261, 17)</f>
        <v>#N/A</v>
      </c>
      <c r="AI1261" s="8"/>
      <c r="AJ1261" s="57"/>
      <c r="AK1261" s="105"/>
      <c r="AM1261" s="6" t="e">
        <f>MATCH(D1261,'D5 - Gatekeeper - Projects'!$C$4:$C$1010,0)</f>
        <v>#N/A</v>
      </c>
      <c r="AN1261" s="6" t="b">
        <f t="shared" si="125"/>
        <v>1</v>
      </c>
      <c r="AO1261" s="6" t="str">
        <f t="shared" si="127"/>
        <v>OK</v>
      </c>
      <c r="AQ1261" s="6" t="e">
        <f>MATCH($D1261,'D4 - Provider Council Unsched'!$C$11:$C$234,0)</f>
        <v>#N/A</v>
      </c>
      <c r="AR1261" s="6" t="b">
        <f t="shared" si="126"/>
        <v>1</v>
      </c>
      <c r="AS1261" s="6" t="str">
        <f>IF(AND(H1261="2 - Not Scheduled",AR1261=TRUE,C1261="R1"),"Add","OK")</f>
        <v>OK</v>
      </c>
      <c r="AU1261" s="202">
        <v>40266</v>
      </c>
      <c r="AV1261" s="262"/>
      <c r="AW1261" s="274"/>
    </row>
    <row r="1262" spans="1:49" s="13" customFormat="1" x14ac:dyDescent="0.2">
      <c r="A1262" s="14">
        <v>1238</v>
      </c>
      <c r="B1262" s="14" t="s">
        <v>1255</v>
      </c>
      <c r="C1262" s="8" t="s">
        <v>5197</v>
      </c>
      <c r="D1262" s="4" t="s">
        <v>1259</v>
      </c>
      <c r="E1262" s="309" t="s">
        <v>4429</v>
      </c>
      <c r="F1262" s="8" t="s">
        <v>2114</v>
      </c>
      <c r="G1262" s="8" t="s">
        <v>4758</v>
      </c>
      <c r="H1262" s="8" t="s">
        <v>4246</v>
      </c>
      <c r="I1262" s="20">
        <v>3.33</v>
      </c>
      <c r="J1262" s="8" t="s">
        <v>4862</v>
      </c>
      <c r="K1262" s="182">
        <v>40292</v>
      </c>
      <c r="L1262" s="8" t="s">
        <v>5743</v>
      </c>
      <c r="M1262" s="8" t="s">
        <v>5626</v>
      </c>
      <c r="N1262" s="38"/>
      <c r="O1262" s="8" t="s">
        <v>3572</v>
      </c>
      <c r="P1262" s="4" t="e">
        <f>VLOOKUP($B1262,'D7 - NDB Impacted SPRF''s'!$E$16:$O$9929,9,FALSE)</f>
        <v>#N/A</v>
      </c>
      <c r="Q1262" s="4" t="e">
        <f>VLOOKUP($B1262,'D7 - NDB Impacted SPRF''s'!$E$16:$O$9929,10,FALSE)</f>
        <v>#N/A</v>
      </c>
      <c r="R1262" s="4" t="e">
        <f>VLOOKUP($B1262,'D7 - NDB Impacted SPRF''s'!$E$16:$O$9929,11,FALSE)</f>
        <v>#N/A</v>
      </c>
      <c r="S1262" s="8"/>
      <c r="T1262" s="310"/>
      <c r="U1262" s="310"/>
      <c r="V1262" s="4"/>
      <c r="W1262" s="4"/>
      <c r="X1262" s="4"/>
      <c r="Y1262" s="4"/>
      <c r="Z1262" s="4"/>
      <c r="AA1262" s="4"/>
      <c r="AB1262" s="383" t="e">
        <f>VLOOKUP($B1262,'D7 - NDB Impacted SPRF''s'!$E$16:$O$9929,4,FALSE)</f>
        <v>#N/A</v>
      </c>
      <c r="AC1262" s="380" t="e">
        <f>VLOOKUP($B1262,'D7 - NDB Impacted SPRF''s'!$E$16:$O$9929,3,FALSE)</f>
        <v>#N/A</v>
      </c>
      <c r="AD1262" s="380" t="e">
        <f>VLOOKUP($B1262,'D7 - NDB Impacted SPRF''s'!$E$16:$O$9929,5,FALSE)</f>
        <v>#N/A</v>
      </c>
      <c r="AE1262" s="380" t="e">
        <f>VLOOKUP($B1262,'D7 - NDB Impacted SPRF''s'!$E$16:$O$9929,7,FALSE)</f>
        <v>#N/A</v>
      </c>
      <c r="AF1262" s="380" t="e">
        <f>VLOOKUP($B1262,'D7 - NDB Impacted SPRF''s'!$E$16:$O$9929,6,FALSE)</f>
        <v>#N/A</v>
      </c>
      <c r="AG1262" s="282"/>
      <c r="AH1262" s="311" t="e">
        <f>INDEX('D5 - Gatekeeper - Projects'!$A$4:$AF$1010,$AM1262, 17)</f>
        <v>#N/A</v>
      </c>
      <c r="AI1262" s="8"/>
      <c r="AJ1262" s="57"/>
      <c r="AK1262" s="105"/>
      <c r="AM1262" s="6" t="e">
        <f>MATCH(D1262,'D5 - Gatekeeper - Projects'!$C$4:$C$1010,0)</f>
        <v>#N/A</v>
      </c>
      <c r="AN1262" s="6" t="b">
        <f t="shared" si="125"/>
        <v>1</v>
      </c>
      <c r="AO1262" s="6" t="str">
        <f t="shared" si="127"/>
        <v>OK</v>
      </c>
      <c r="AQ1262" s="6" t="e">
        <f>MATCH($D1262,'D4 - Provider Council Unsched'!$C$11:$C$234,0)</f>
        <v>#N/A</v>
      </c>
      <c r="AR1262" s="6" t="b">
        <f t="shared" si="126"/>
        <v>1</v>
      </c>
      <c r="AS1262" s="6" t="str">
        <f>IF(AND(H1262="2 - Not Scheduled",AR1262=TRUE),"Add","OK")</f>
        <v>OK</v>
      </c>
      <c r="AU1262" s="202"/>
      <c r="AV1262" s="262"/>
      <c r="AW1262" s="274"/>
    </row>
    <row r="1263" spans="1:49" s="13" customFormat="1" x14ac:dyDescent="0.2">
      <c r="A1263" s="14">
        <v>1239</v>
      </c>
      <c r="B1263" s="14" t="s">
        <v>3868</v>
      </c>
      <c r="C1263" s="8" t="s">
        <v>5197</v>
      </c>
      <c r="D1263" s="4" t="s">
        <v>5311</v>
      </c>
      <c r="E1263" s="309" t="s">
        <v>6658</v>
      </c>
      <c r="F1263" s="8" t="s">
        <v>2114</v>
      </c>
      <c r="G1263" s="8" t="s">
        <v>4758</v>
      </c>
      <c r="H1263" s="8" t="s">
        <v>4246</v>
      </c>
      <c r="I1263" s="20">
        <v>1</v>
      </c>
      <c r="J1263" s="8" t="s">
        <v>4862</v>
      </c>
      <c r="K1263" s="182">
        <v>40292</v>
      </c>
      <c r="L1263" s="8" t="s">
        <v>5743</v>
      </c>
      <c r="M1263" s="8" t="s">
        <v>6688</v>
      </c>
      <c r="N1263" s="38"/>
      <c r="O1263" s="8" t="s">
        <v>3572</v>
      </c>
      <c r="P1263" s="4" t="e">
        <f>VLOOKUP($B1263,'D7 - NDB Impacted SPRF''s'!$E$16:$O$9929,9,FALSE)</f>
        <v>#N/A</v>
      </c>
      <c r="Q1263" s="4" t="e">
        <f>VLOOKUP($B1263,'D7 - NDB Impacted SPRF''s'!$E$16:$O$9929,10,FALSE)</f>
        <v>#N/A</v>
      </c>
      <c r="R1263" s="4" t="e">
        <f>VLOOKUP($B1263,'D7 - NDB Impacted SPRF''s'!$E$16:$O$9929,11,FALSE)</f>
        <v>#N/A</v>
      </c>
      <c r="S1263" s="8"/>
      <c r="T1263" s="310"/>
      <c r="U1263" s="310"/>
      <c r="V1263" s="4"/>
      <c r="W1263" s="4"/>
      <c r="X1263" s="4"/>
      <c r="Y1263" s="4"/>
      <c r="Z1263" s="4"/>
      <c r="AA1263" s="4"/>
      <c r="AB1263" s="383" t="e">
        <f>VLOOKUP($B1263,'D7 - NDB Impacted SPRF''s'!$E$16:$O$9929,4,FALSE)</f>
        <v>#N/A</v>
      </c>
      <c r="AC1263" s="380" t="e">
        <f>VLOOKUP($B1263,'D7 - NDB Impacted SPRF''s'!$E$16:$O$9929,3,FALSE)</f>
        <v>#N/A</v>
      </c>
      <c r="AD1263" s="380" t="e">
        <f>VLOOKUP($B1263,'D7 - NDB Impacted SPRF''s'!$E$16:$O$9929,5,FALSE)</f>
        <v>#N/A</v>
      </c>
      <c r="AE1263" s="380" t="e">
        <f>VLOOKUP($B1263,'D7 - NDB Impacted SPRF''s'!$E$16:$O$9929,7,FALSE)</f>
        <v>#N/A</v>
      </c>
      <c r="AF1263" s="380" t="e">
        <f>VLOOKUP($B1263,'D7 - NDB Impacted SPRF''s'!$E$16:$O$9929,6,FALSE)</f>
        <v>#N/A</v>
      </c>
      <c r="AG1263" s="282"/>
      <c r="AH1263" s="311" t="e">
        <f>INDEX('D5 - Gatekeeper - Projects'!$A$4:$AF$1010,$AM1263, 17)</f>
        <v>#N/A</v>
      </c>
      <c r="AI1263" s="8"/>
      <c r="AJ1263" s="57"/>
      <c r="AK1263" s="105"/>
      <c r="AM1263" s="6" t="e">
        <f>MATCH(D1263,'D5 - Gatekeeper - Projects'!$C$4:$C$1010,0)</f>
        <v>#N/A</v>
      </c>
      <c r="AN1263" s="6" t="b">
        <f t="shared" si="125"/>
        <v>1</v>
      </c>
      <c r="AO1263" s="6" t="str">
        <f t="shared" si="127"/>
        <v>OK</v>
      </c>
      <c r="AQ1263" s="6" t="e">
        <f>MATCH($D1263,'D4 - Provider Council Unsched'!$C$11:$C$234,0)</f>
        <v>#N/A</v>
      </c>
      <c r="AR1263" s="6" t="b">
        <f t="shared" si="126"/>
        <v>1</v>
      </c>
      <c r="AS1263" s="6" t="str">
        <f>IF(AND(H1263="2 - Not Scheduled",AR1263=TRUE),"Add","OK")</f>
        <v>OK</v>
      </c>
      <c r="AU1263" s="202"/>
      <c r="AV1263" s="262"/>
      <c r="AW1263" s="274"/>
    </row>
    <row r="1264" spans="1:49" s="13" customFormat="1" ht="33.75" x14ac:dyDescent="0.2">
      <c r="A1264" s="14">
        <v>1240</v>
      </c>
      <c r="B1264" s="14">
        <v>400015752</v>
      </c>
      <c r="C1264" s="8" t="s">
        <v>5197</v>
      </c>
      <c r="D1264" s="4" t="str">
        <f t="shared" ref="D1264:D1282" si="129">CONCATENATE(B1264,C1264)</f>
        <v>400015752R1</v>
      </c>
      <c r="E1264" s="309" t="str">
        <f>VLOOKUP($B1264,'D7 - NDB Impacted SPRF''s'!$E$6:$O$9929,2,FALSE)</f>
        <v>NDB/Emptoris Integration Enhancements</v>
      </c>
      <c r="F1264" s="8" t="s">
        <v>4695</v>
      </c>
      <c r="G1264" s="8" t="s">
        <v>4758</v>
      </c>
      <c r="H1264" s="8" t="s">
        <v>4246</v>
      </c>
      <c r="I1264" s="20">
        <f>6516/160</f>
        <v>40.725000000000001</v>
      </c>
      <c r="J1264" s="8" t="s">
        <v>4862</v>
      </c>
      <c r="K1264" s="182">
        <v>40313</v>
      </c>
      <c r="L1264" s="8" t="s">
        <v>5743</v>
      </c>
      <c r="M1264" s="8" t="s">
        <v>2814</v>
      </c>
      <c r="N1264" s="38" t="s">
        <v>3303</v>
      </c>
      <c r="O1264" s="8" t="s">
        <v>7086</v>
      </c>
      <c r="P1264" s="4" t="str">
        <f>VLOOKUP($B1264,'D7 - NDB Impacted SPRF''s'!$E$16:$O$9929,9,FALSE)</f>
        <v>N</v>
      </c>
      <c r="Q1264" s="4" t="str">
        <f>VLOOKUP($B1264,'D7 - NDB Impacted SPRF''s'!$E$16:$O$9929,10,FALSE)</f>
        <v>N</v>
      </c>
      <c r="R1264" s="4" t="str">
        <f>VLOOKUP($B1264,'D7 - NDB Impacted SPRF''s'!$E$16:$O$9929,11,FALSE)</f>
        <v>N</v>
      </c>
      <c r="S1264" s="8"/>
      <c r="T1264" s="310"/>
      <c r="U1264" s="310"/>
      <c r="V1264" s="4"/>
      <c r="W1264" s="4"/>
      <c r="X1264" s="4"/>
      <c r="Y1264" s="4"/>
      <c r="Z1264" s="4"/>
      <c r="AA1264" s="4"/>
      <c r="AB1264" s="380" t="str">
        <f>VLOOKUP($B1264,'D7 - NDB Impacted SPRF''s'!$E$6:$O$9929,4,FALSE)</f>
        <v>Completed</v>
      </c>
      <c r="AC1264" s="380" t="str">
        <f>VLOOKUP($B1264,'D7 - NDB Impacted SPRF''s'!$E$16:$O$9929,3,FALSE)</f>
        <v>UnitedHealthcare Employer &amp; Individual</v>
      </c>
      <c r="AD1264" s="380" t="str">
        <f>VLOOKUP($B1264,'D7 - NDB Impacted SPRF''s'!$E$16:$O$9929,5,FALSE)</f>
        <v>Process Improvement</v>
      </c>
      <c r="AE1264" s="380" t="str">
        <f>VLOOKUP($B1264,'D7 - NDB Impacted SPRF''s'!$E$16:$O$9929,7,FALSE)</f>
        <v>Ed Novinski</v>
      </c>
      <c r="AF1264" s="380" t="str">
        <f>VLOOKUP($B1264,'D7 - NDB Impacted SPRF''s'!$E$16:$O$9929,6,FALSE)</f>
        <v>Susan Neal</v>
      </c>
      <c r="AG1264" s="282"/>
      <c r="AH1264" s="311" t="e">
        <f>INDEX('D5 - Gatekeeper - Projects'!$A$4:$AF$1010,$AM1264, 17)</f>
        <v>#N/A</v>
      </c>
      <c r="AI1264" s="8"/>
      <c r="AJ1264" s="57"/>
      <c r="AK1264" s="105"/>
      <c r="AM1264" s="6" t="e">
        <f>MATCH(D1264,'D5 - Gatekeeper - Projects'!$C$4:$C$1010,0)</f>
        <v>#N/A</v>
      </c>
      <c r="AN1264" s="6" t="b">
        <f t="shared" si="125"/>
        <v>1</v>
      </c>
      <c r="AO1264" s="6" t="str">
        <f t="shared" si="127"/>
        <v>OK</v>
      </c>
      <c r="AQ1264" s="6" t="e">
        <f>MATCH($D1264,'D4 - Provider Council Unsched'!$C$11:$C$234,0)</f>
        <v>#N/A</v>
      </c>
      <c r="AR1264" s="6" t="b">
        <f t="shared" si="126"/>
        <v>1</v>
      </c>
      <c r="AS1264" s="6" t="str">
        <f>IF(AND(H1264="2 - Not Scheduled",AR1264=TRUE),"Add","OK")</f>
        <v>OK</v>
      </c>
      <c r="AU1264" s="202"/>
      <c r="AV1264" s="262"/>
      <c r="AW1264" s="274"/>
    </row>
    <row r="1265" spans="1:49" s="13" customFormat="1" ht="33.75" x14ac:dyDescent="0.2">
      <c r="A1265" s="14">
        <v>1241</v>
      </c>
      <c r="B1265" s="14">
        <v>400024193</v>
      </c>
      <c r="C1265" s="8" t="s">
        <v>5197</v>
      </c>
      <c r="D1265" s="4" t="str">
        <f t="shared" si="129"/>
        <v>400024193R1</v>
      </c>
      <c r="E1265" s="309" t="str">
        <f>VLOOKUP($B1265,'D7 - NDB Impacted SPRF''s'!$E$6:$O$9929,2,FALSE)</f>
        <v>Ambulance Fee Schedule</v>
      </c>
      <c r="F1265" s="8" t="s">
        <v>3924</v>
      </c>
      <c r="G1265" s="8" t="s">
        <v>4758</v>
      </c>
      <c r="H1265" s="8" t="s">
        <v>4246</v>
      </c>
      <c r="I1265" s="20">
        <v>17.36</v>
      </c>
      <c r="J1265" s="8" t="s">
        <v>4862</v>
      </c>
      <c r="K1265" s="182">
        <v>40313</v>
      </c>
      <c r="L1265" s="8" t="s">
        <v>4156</v>
      </c>
      <c r="M1265" s="8" t="s">
        <v>2814</v>
      </c>
      <c r="N1265" s="38" t="s">
        <v>6209</v>
      </c>
      <c r="O1265" s="8"/>
      <c r="P1265" s="4" t="str">
        <f>VLOOKUP($B1265,'D7 - NDB Impacted SPRF''s'!$E$16:$O$9929,9,FALSE)</f>
        <v>Y</v>
      </c>
      <c r="Q1265" s="4" t="str">
        <f>VLOOKUP($B1265,'D7 - NDB Impacted SPRF''s'!$E$16:$O$9929,10,FALSE)</f>
        <v>N</v>
      </c>
      <c r="R1265" s="4" t="str">
        <f>VLOOKUP($B1265,'D7 - NDB Impacted SPRF''s'!$E$16:$O$9929,11,FALSE)</f>
        <v>Y</v>
      </c>
      <c r="S1265" s="8"/>
      <c r="T1265" s="310"/>
      <c r="U1265" s="310"/>
      <c r="V1265" s="4"/>
      <c r="W1265" s="4"/>
      <c r="X1265" s="4"/>
      <c r="Y1265" s="4"/>
      <c r="Z1265" s="4"/>
      <c r="AA1265" s="4"/>
      <c r="AB1265" s="380" t="str">
        <f>VLOOKUP($B1265,'D7 - NDB Impacted SPRF''s'!$E$6:$O$9929,4,FALSE)</f>
        <v>Completed</v>
      </c>
      <c r="AC1265" s="380" t="str">
        <f>VLOOKUP($B1265,'D7 - NDB Impacted SPRF''s'!$E$6:$O$9929,3,FALSE)</f>
        <v>UnitedHealthcare Medicare &amp; Retirement</v>
      </c>
      <c r="AD1265" s="380" t="str">
        <f>VLOOKUP($B1265,'D7 - NDB Impacted SPRF''s'!$E$6:$O$9929,5,FALSE)</f>
        <v>Claims Remediation</v>
      </c>
      <c r="AE1265" s="380" t="str">
        <f>VLOOKUP($B1265,'D7 - NDB Impacted SPRF''s'!$E$6:$O$9929,7,FALSE)</f>
        <v>Kelly Gilbertson</v>
      </c>
      <c r="AF1265" s="380" t="str">
        <f>VLOOKUP($B1265,'D7 - NDB Impacted SPRF''s'!$E$6:$O$9929,6,FALSE)</f>
        <v>Susan Gruwell</v>
      </c>
      <c r="AG1265" s="282"/>
      <c r="AH1265" s="311" t="e">
        <f>INDEX('D5 - Gatekeeper - Projects'!$A$4:$AF$1010,$AM1265, 17)</f>
        <v>#N/A</v>
      </c>
      <c r="AI1265" s="8"/>
      <c r="AJ1265" s="57"/>
      <c r="AK1265" s="105"/>
      <c r="AM1265" s="6" t="e">
        <f>MATCH(D1265,'D5 - Gatekeeper - Projects'!$C$4:$C$1010,0)</f>
        <v>#N/A</v>
      </c>
      <c r="AN1265" s="6" t="b">
        <f t="shared" si="125"/>
        <v>1</v>
      </c>
      <c r="AO1265" s="6" t="str">
        <f t="shared" si="127"/>
        <v>OK</v>
      </c>
      <c r="AQ1265" s="6" t="e">
        <f>MATCH($D1265,'D4 - Provider Council Unsched'!$C$11:$C$234,0)</f>
        <v>#N/A</v>
      </c>
      <c r="AR1265" s="6" t="b">
        <f t="shared" si="126"/>
        <v>1</v>
      </c>
      <c r="AS1265" s="6" t="str">
        <f>IF(AND(H1265="2 - Not Scheduled",AR1265=TRUE,C1265="R1"),"Add","OK")</f>
        <v>OK</v>
      </c>
      <c r="AU1265" s="202"/>
      <c r="AV1265" s="262"/>
      <c r="AW1265" s="274"/>
    </row>
    <row r="1266" spans="1:49" s="13" customFormat="1" ht="33.75" x14ac:dyDescent="0.2">
      <c r="A1266" s="14">
        <v>1242</v>
      </c>
      <c r="B1266" s="14">
        <v>400024646</v>
      </c>
      <c r="C1266" s="8" t="s">
        <v>5197</v>
      </c>
      <c r="D1266" s="4" t="str">
        <f t="shared" si="129"/>
        <v>400024646R1</v>
      </c>
      <c r="E1266" s="309" t="str">
        <f>VLOOKUP($B1266,'D7 - NDB Impacted SPRF''s'!$E$6:$O$9929,2,FALSE)</f>
        <v>Minnesota AUC 837 Compliance (Claims)</v>
      </c>
      <c r="F1266" s="8" t="s">
        <v>4471</v>
      </c>
      <c r="G1266" s="8" t="s">
        <v>4758</v>
      </c>
      <c r="H1266" s="8" t="s">
        <v>4246</v>
      </c>
      <c r="I1266" s="20">
        <v>1.07</v>
      </c>
      <c r="J1266" s="8" t="s">
        <v>4862</v>
      </c>
      <c r="K1266" s="182">
        <v>40313</v>
      </c>
      <c r="L1266" s="8" t="s">
        <v>4156</v>
      </c>
      <c r="M1266" s="8" t="s">
        <v>5626</v>
      </c>
      <c r="N1266" s="38" t="s">
        <v>4071</v>
      </c>
      <c r="O1266" s="8"/>
      <c r="P1266" s="4" t="str">
        <f>VLOOKUP($B1266,'D7 - NDB Impacted SPRF''s'!$E$16:$O$9929,9,FALSE)</f>
        <v>Y</v>
      </c>
      <c r="Q1266" s="4" t="str">
        <f>VLOOKUP($B1266,'D7 - NDB Impacted SPRF''s'!$E$16:$O$9929,10,FALSE)</f>
        <v>N</v>
      </c>
      <c r="R1266" s="4" t="str">
        <f>VLOOKUP($B1266,'D7 - NDB Impacted SPRF''s'!$E$16:$O$9929,11,FALSE)</f>
        <v>Y</v>
      </c>
      <c r="S1266" s="8"/>
      <c r="T1266" s="310"/>
      <c r="U1266" s="310"/>
      <c r="V1266" s="4"/>
      <c r="W1266" s="4"/>
      <c r="X1266" s="4"/>
      <c r="Y1266" s="4"/>
      <c r="Z1266" s="4"/>
      <c r="AA1266" s="4"/>
      <c r="AB1266" s="380" t="str">
        <f>VLOOKUP($B1266,'D7 - NDB Impacted SPRF''s'!$E$6:$O$9929,4,FALSE)</f>
        <v>Completed</v>
      </c>
      <c r="AC1266" s="380" t="str">
        <f>VLOOKUP($B1266,'D7 - NDB Impacted SPRF''s'!$E$6:$O$9929,3,FALSE)</f>
        <v>UnitedHealthcare Employer &amp; Individual</v>
      </c>
      <c r="AD1266" s="380" t="str">
        <f>VLOOKUP($B1266,'D7 - NDB Impacted SPRF''s'!$E$6:$O$9929,5,FALSE)</f>
        <v>Regulatory / Other</v>
      </c>
      <c r="AE1266" s="380" t="str">
        <f>VLOOKUP($B1266,'D7 - NDB Impacted SPRF''s'!$E$6:$O$9929,7,FALSE)</f>
        <v>Randy Jacob</v>
      </c>
      <c r="AF1266" s="380" t="str">
        <f>VLOOKUP($B1266,'D7 - NDB Impacted SPRF''s'!$E$6:$O$9929,6,FALSE)</f>
        <v>Robert Kelly</v>
      </c>
      <c r="AG1266" s="282"/>
      <c r="AH1266" s="311" t="e">
        <f>INDEX('D5 - Gatekeeper - Projects'!$A$4:$AF$1010,$AM1266, 17)</f>
        <v>#N/A</v>
      </c>
      <c r="AI1266" s="8"/>
      <c r="AJ1266" s="57"/>
      <c r="AK1266" s="105"/>
      <c r="AM1266" s="6" t="e">
        <f>MATCH(D1266,'D5 - Gatekeeper - Projects'!$C$4:$C$1010,0)</f>
        <v>#N/A</v>
      </c>
      <c r="AN1266" s="6" t="b">
        <f t="shared" si="125"/>
        <v>1</v>
      </c>
      <c r="AO1266" s="6" t="str">
        <f t="shared" si="127"/>
        <v>OK</v>
      </c>
      <c r="AQ1266" s="6" t="e">
        <f>MATCH($D1266,'D4 - Provider Council Unsched'!$C$11:$C$234,0)</f>
        <v>#N/A</v>
      </c>
      <c r="AR1266" s="6" t="b">
        <f t="shared" si="126"/>
        <v>1</v>
      </c>
      <c r="AS1266" s="6" t="str">
        <f>IF(AND(H1266="2 - Not Scheduled",AR1266=TRUE,C1266="R1"),"Add","OK")</f>
        <v>OK</v>
      </c>
      <c r="AU1266" s="202"/>
      <c r="AV1266" s="262"/>
      <c r="AW1266" s="274"/>
    </row>
    <row r="1267" spans="1:49" s="13" customFormat="1" ht="33.75" x14ac:dyDescent="0.2">
      <c r="A1267" s="14">
        <v>1243</v>
      </c>
      <c r="B1267" s="14">
        <v>400026847</v>
      </c>
      <c r="C1267" s="8" t="s">
        <v>3763</v>
      </c>
      <c r="D1267" s="4" t="str">
        <f t="shared" si="129"/>
        <v>400026847R2</v>
      </c>
      <c r="E1267" s="309" t="str">
        <f>VLOOKUP($B1267,'D7 - NDB Impacted SPRF''s'!$E$6:$O$9929,2,FALSE)</f>
        <v>Treatment Cost Estimator (TCE) - Compliance Reqmts</v>
      </c>
      <c r="F1267" s="8" t="s">
        <v>4471</v>
      </c>
      <c r="G1267" s="8" t="s">
        <v>4758</v>
      </c>
      <c r="H1267" s="8" t="s">
        <v>4246</v>
      </c>
      <c r="I1267" s="20">
        <v>3.27</v>
      </c>
      <c r="J1267" s="8" t="s">
        <v>4862</v>
      </c>
      <c r="K1267" s="182">
        <v>40313</v>
      </c>
      <c r="L1267" s="8" t="s">
        <v>5743</v>
      </c>
      <c r="M1267" s="8" t="s">
        <v>5626</v>
      </c>
      <c r="N1267" s="38"/>
      <c r="O1267" s="8" t="s">
        <v>2421</v>
      </c>
      <c r="P1267" s="4" t="str">
        <f>VLOOKUP($B1267,'D7 - NDB Impacted SPRF''s'!$E$16:$O$9929,9,FALSE)</f>
        <v>Y</v>
      </c>
      <c r="Q1267" s="4" t="str">
        <f>VLOOKUP($B1267,'D7 - NDB Impacted SPRF''s'!$E$16:$O$9929,10,FALSE)</f>
        <v>N</v>
      </c>
      <c r="R1267" s="4" t="str">
        <f>VLOOKUP($B1267,'D7 - NDB Impacted SPRF''s'!$E$16:$O$9929,11,FALSE)</f>
        <v>N</v>
      </c>
      <c r="S1267" s="8"/>
      <c r="T1267" s="310"/>
      <c r="U1267" s="310"/>
      <c r="V1267" s="4"/>
      <c r="W1267" s="4"/>
      <c r="X1267" s="4"/>
      <c r="Y1267" s="4"/>
      <c r="Z1267" s="4"/>
      <c r="AA1267" s="4"/>
      <c r="AB1267" s="380" t="str">
        <f>VLOOKUP($B1267,'D7 - NDB Impacted SPRF''s'!$E$16:$O$9929,4,FALSE)</f>
        <v>Completed</v>
      </c>
      <c r="AC1267" s="380" t="str">
        <f>VLOOKUP($B1267,'D7 - NDB Impacted SPRF''s'!$E$16:$O$9929,3,FALSE)</f>
        <v>UnitedHealthcare Employer &amp; Individual</v>
      </c>
      <c r="AD1267" s="380" t="str">
        <f>VLOOKUP($B1267,'D7 - NDB Impacted SPRF''s'!$E$16:$O$9929,5,FALSE)</f>
        <v>Regulatory / Other</v>
      </c>
      <c r="AE1267" s="380" t="str">
        <f>VLOOKUP($B1267,'D7 - NDB Impacted SPRF''s'!$E$16:$O$9929,7,FALSE)</f>
        <v>Stephan Rodgers</v>
      </c>
      <c r="AF1267" s="380" t="str">
        <f>VLOOKUP($B1267,'D7 - NDB Impacted SPRF''s'!$E$16:$O$9929,6,FALSE)</f>
        <v>COBB DOROTHY</v>
      </c>
      <c r="AG1267" s="282"/>
      <c r="AH1267" s="311" t="e">
        <f>INDEX('D5 - Gatekeeper - Projects'!$A$4:$AF$1010,$AM1267, 17)</f>
        <v>#N/A</v>
      </c>
      <c r="AI1267" s="8"/>
      <c r="AJ1267" s="57"/>
      <c r="AK1267" s="105"/>
      <c r="AM1267" s="6" t="e">
        <f>MATCH(D1267,'D5 - Gatekeeper - Projects'!$C$4:$C$1010,0)</f>
        <v>#N/A</v>
      </c>
      <c r="AN1267" s="6" t="b">
        <f t="shared" si="125"/>
        <v>1</v>
      </c>
      <c r="AO1267" s="6" t="str">
        <f t="shared" si="127"/>
        <v>OK</v>
      </c>
      <c r="AQ1267" s="6" t="e">
        <f>MATCH($D1267,'D4 - Provider Council Unsched'!$C$11:$C$234,0)</f>
        <v>#N/A</v>
      </c>
      <c r="AR1267" s="6" t="b">
        <f t="shared" si="126"/>
        <v>1</v>
      </c>
      <c r="AS1267" s="6" t="str">
        <f>IF(AND(H1267="2 - Not Scheduled",AR1267=TRUE),"Add","OK")</f>
        <v>OK</v>
      </c>
      <c r="AU1267" s="202"/>
      <c r="AV1267" s="262"/>
      <c r="AW1267" s="274"/>
    </row>
    <row r="1268" spans="1:49" s="13" customFormat="1" ht="22.5" x14ac:dyDescent="0.2">
      <c r="A1268" s="14">
        <v>1244</v>
      </c>
      <c r="B1268" s="14">
        <v>400027683</v>
      </c>
      <c r="C1268" s="8" t="s">
        <v>3763</v>
      </c>
      <c r="D1268" s="4" t="str">
        <f t="shared" si="129"/>
        <v>400027683R2</v>
      </c>
      <c r="E1268" s="309" t="str">
        <f>VLOOKUP($B1268,'D7 - NDB Impacted SPRF''s'!$E$6:$O$9929,2,FALSE)</f>
        <v>Quicken Health: Bill Pay</v>
      </c>
      <c r="F1268" s="8"/>
      <c r="G1268" s="8" t="s">
        <v>4758</v>
      </c>
      <c r="H1268" s="8" t="s">
        <v>4246</v>
      </c>
      <c r="I1268" s="20">
        <v>3.33</v>
      </c>
      <c r="J1268" s="8" t="s">
        <v>4862</v>
      </c>
      <c r="K1268" s="182">
        <v>40313</v>
      </c>
      <c r="L1268" s="8" t="s">
        <v>4156</v>
      </c>
      <c r="M1268" s="8" t="s">
        <v>2814</v>
      </c>
      <c r="N1268" s="38" t="s">
        <v>6857</v>
      </c>
      <c r="O1268" s="8"/>
      <c r="P1268" s="4" t="str">
        <f>VLOOKUP($B1268,'D7 - NDB Impacted SPRF''s'!$E$16:$O$9929,9,FALSE)</f>
        <v>Y</v>
      </c>
      <c r="Q1268" s="4" t="str">
        <f>VLOOKUP($B1268,'D7 - NDB Impacted SPRF''s'!$E$16:$O$9929,10,FALSE)</f>
        <v>N</v>
      </c>
      <c r="R1268" s="4" t="str">
        <f>VLOOKUP($B1268,'D7 - NDB Impacted SPRF''s'!$E$16:$O$9929,11,FALSE)</f>
        <v>N</v>
      </c>
      <c r="S1268" s="8"/>
      <c r="T1268" s="310"/>
      <c r="U1268" s="310"/>
      <c r="V1268" s="4"/>
      <c r="W1268" s="4"/>
      <c r="X1268" s="4"/>
      <c r="Y1268" s="4"/>
      <c r="Z1268" s="4"/>
      <c r="AA1268" s="4"/>
      <c r="AB1268" s="380" t="str">
        <f>VLOOKUP($B1268,'D7 - NDB Impacted SPRF''s'!$E$6:$O$9929,4,FALSE)</f>
        <v>Completed</v>
      </c>
      <c r="AC1268" s="380" t="str">
        <f>VLOOKUP($B1268,'D7 - NDB Impacted SPRF''s'!$E$6:$O$9929,3,FALSE)</f>
        <v>OptumInsight</v>
      </c>
      <c r="AD1268" s="380" t="str">
        <f>VLOOKUP($B1268,'D7 - NDB Impacted SPRF''s'!$E$6:$O$9929,5,FALSE)</f>
        <v>Ingenix</v>
      </c>
      <c r="AE1268" s="380" t="str">
        <f>VLOOKUP($B1268,'D7 - NDB Impacted SPRF''s'!$E$6:$O$9929,7,FALSE)</f>
        <v>Stephan Rodgers</v>
      </c>
      <c r="AF1268" s="380" t="str">
        <f>VLOOKUP($B1268,'D7 - NDB Impacted SPRF''s'!$E$6:$O$9929,6,FALSE)</f>
        <v>Barbara Tooley</v>
      </c>
      <c r="AG1268" s="282"/>
      <c r="AH1268" s="311" t="e">
        <f>INDEX('D5 - Gatekeeper - Projects'!$A$4:$AF$1010,$AM1268, 17)</f>
        <v>#N/A</v>
      </c>
      <c r="AI1268" s="8"/>
      <c r="AJ1268" s="57"/>
      <c r="AK1268" s="105"/>
      <c r="AM1268" s="6" t="e">
        <f>MATCH(D1268,'D5 - Gatekeeper - Projects'!$C$4:$C$1010,0)</f>
        <v>#N/A</v>
      </c>
      <c r="AN1268" s="6" t="b">
        <f t="shared" si="125"/>
        <v>1</v>
      </c>
      <c r="AO1268" s="6" t="str">
        <f t="shared" si="127"/>
        <v>OK</v>
      </c>
      <c r="AQ1268" s="6" t="e">
        <f>MATCH($D1268,'D4 - Provider Council Unsched'!$C$11:$C$234,0)</f>
        <v>#N/A</v>
      </c>
      <c r="AR1268" s="6" t="b">
        <f t="shared" si="126"/>
        <v>1</v>
      </c>
      <c r="AS1268" s="6" t="str">
        <f>IF(AND(H1268="2 - Not Scheduled",AR1268=TRUE,C1268="R1"),"Add","OK")</f>
        <v>OK</v>
      </c>
      <c r="AU1268" s="202"/>
      <c r="AV1268" s="262"/>
      <c r="AW1268" s="274"/>
    </row>
    <row r="1269" spans="1:49" s="13" customFormat="1" ht="33.75" x14ac:dyDescent="0.2">
      <c r="A1269" s="14">
        <v>1245</v>
      </c>
      <c r="B1269" s="14">
        <v>400027989</v>
      </c>
      <c r="C1269" s="8" t="s">
        <v>5197</v>
      </c>
      <c r="D1269" s="4" t="str">
        <f t="shared" si="129"/>
        <v>400027989R1</v>
      </c>
      <c r="E1269" s="309" t="str">
        <f>VLOOKUP($B1269,'D7 - NDB Impacted SPRF''s'!$E$6:$O$9929,2,FALSE)</f>
        <v>Add edits to eServices App to prevent input errors</v>
      </c>
      <c r="F1269" s="8" t="s">
        <v>2114</v>
      </c>
      <c r="G1269" s="8" t="s">
        <v>4758</v>
      </c>
      <c r="H1269" s="8" t="s">
        <v>4246</v>
      </c>
      <c r="I1269" s="20">
        <v>1.07</v>
      </c>
      <c r="J1269" s="8" t="s">
        <v>4862</v>
      </c>
      <c r="K1269" s="182">
        <v>40313</v>
      </c>
      <c r="L1269" s="8" t="s">
        <v>4156</v>
      </c>
      <c r="M1269" s="8" t="s">
        <v>5626</v>
      </c>
      <c r="N1269" s="38"/>
      <c r="O1269" s="8" t="s">
        <v>2000</v>
      </c>
      <c r="P1269" s="4" t="str">
        <f>VLOOKUP($B1269,'D7 - NDB Impacted SPRF''s'!$E$16:$O$9929,9,FALSE)</f>
        <v>N</v>
      </c>
      <c r="Q1269" s="4" t="str">
        <f>VLOOKUP($B1269,'D7 - NDB Impacted SPRF''s'!$E$16:$O$9929,10,FALSE)</f>
        <v>N</v>
      </c>
      <c r="R1269" s="4" t="str">
        <f>VLOOKUP($B1269,'D7 - NDB Impacted SPRF''s'!$E$16:$O$9929,11,FALSE)</f>
        <v>N</v>
      </c>
      <c r="S1269" s="8"/>
      <c r="T1269" s="310"/>
      <c r="U1269" s="310"/>
      <c r="V1269" s="4"/>
      <c r="W1269" s="4"/>
      <c r="X1269" s="4"/>
      <c r="Y1269" s="4"/>
      <c r="Z1269" s="4"/>
      <c r="AA1269" s="4"/>
      <c r="AB1269" s="380" t="str">
        <f>VLOOKUP($B1269,'D7 - NDB Impacted SPRF''s'!$E$6:$O$9929,4,FALSE)</f>
        <v>Completed</v>
      </c>
      <c r="AC1269" s="380" t="str">
        <f>VLOOKUP($B1269,'D7 - NDB Impacted SPRF''s'!$E$16:$O$9929,3,FALSE)</f>
        <v>UnitedHealthcare Employer &amp; Individual</v>
      </c>
      <c r="AD1269" s="380" t="str">
        <f>VLOOKUP($B1269,'D7 - NDB Impacted SPRF''s'!$E$16:$O$9929,5,FALSE)</f>
        <v>HCA - Medica Operational Support</v>
      </c>
      <c r="AE1269" s="380" t="str">
        <f>VLOOKUP($B1269,'D7 - NDB Impacted SPRF''s'!$E$16:$O$9929,7,FALSE)</f>
        <v>Tracy Berg</v>
      </c>
      <c r="AF1269" s="380" t="str">
        <f>VLOOKUP($B1269,'D7 - NDB Impacted SPRF''s'!$E$16:$O$9929,6,FALSE)</f>
        <v>Lori Zurlo</v>
      </c>
      <c r="AG1269" s="282"/>
      <c r="AH1269" s="311" t="e">
        <f>INDEX('D5 - Gatekeeper - Projects'!$A$4:$AF$1010,$AM1269, 17)</f>
        <v>#N/A</v>
      </c>
      <c r="AI1269" s="8"/>
      <c r="AJ1269" s="57"/>
      <c r="AK1269" s="105"/>
      <c r="AM1269" s="6" t="e">
        <f>MATCH(D1269,'D5 - Gatekeeper - Projects'!$C$4:$C$1010,0)</f>
        <v>#N/A</v>
      </c>
      <c r="AN1269" s="6" t="b">
        <f t="shared" si="125"/>
        <v>1</v>
      </c>
      <c r="AO1269" s="6" t="str">
        <f t="shared" si="127"/>
        <v>OK</v>
      </c>
      <c r="AQ1269" s="6" t="e">
        <f>MATCH($D1269,'D4 - Provider Council Unsched'!$C$11:$C$234,0)</f>
        <v>#N/A</v>
      </c>
      <c r="AR1269" s="6" t="b">
        <f t="shared" si="126"/>
        <v>1</v>
      </c>
      <c r="AS1269" s="6" t="str">
        <f>IF(AND(H1269="2 - Not Scheduled",AR1269=TRUE,C1269="R1"),"Add","OK")</f>
        <v>OK</v>
      </c>
      <c r="AU1269" s="202"/>
      <c r="AV1269" s="262"/>
      <c r="AW1269" s="274"/>
    </row>
    <row r="1270" spans="1:49" s="13" customFormat="1" ht="33.75" x14ac:dyDescent="0.2">
      <c r="A1270" s="14">
        <v>1246</v>
      </c>
      <c r="B1270" s="14">
        <v>400028153</v>
      </c>
      <c r="C1270" s="8" t="s">
        <v>5197</v>
      </c>
      <c r="D1270" s="4" t="str">
        <f t="shared" si="129"/>
        <v>400028153R1</v>
      </c>
      <c r="E1270" s="309" t="str">
        <f>VLOOKUP($B1270,'D7 - NDB Impacted SPRF''s'!$E$6:$O$9929,2,FALSE)</f>
        <v>NDB support of AmeriChoice Providers contract Info</v>
      </c>
      <c r="F1270" s="8" t="s">
        <v>2114</v>
      </c>
      <c r="G1270" s="8" t="s">
        <v>4758</v>
      </c>
      <c r="H1270" s="8" t="s">
        <v>4246</v>
      </c>
      <c r="I1270" s="20">
        <v>12.21</v>
      </c>
      <c r="J1270" s="8" t="s">
        <v>4862</v>
      </c>
      <c r="K1270" s="182">
        <v>40313</v>
      </c>
      <c r="L1270" s="8" t="s">
        <v>4156</v>
      </c>
      <c r="M1270" s="8" t="s">
        <v>2814</v>
      </c>
      <c r="N1270" s="38"/>
      <c r="O1270" s="8" t="s">
        <v>7086</v>
      </c>
      <c r="P1270" s="4" t="str">
        <f>VLOOKUP($B1270,'D7 - NDB Impacted SPRF''s'!$E$16:$O$9929,9,FALSE)</f>
        <v>N</v>
      </c>
      <c r="Q1270" s="4" t="str">
        <f>VLOOKUP($B1270,'D7 - NDB Impacted SPRF''s'!$E$16:$O$9929,10,FALSE)</f>
        <v>N</v>
      </c>
      <c r="R1270" s="4" t="str">
        <f>VLOOKUP($B1270,'D7 - NDB Impacted SPRF''s'!$E$16:$O$9929,11,FALSE)</f>
        <v>N</v>
      </c>
      <c r="S1270" s="8"/>
      <c r="T1270" s="310"/>
      <c r="U1270" s="310"/>
      <c r="V1270" s="4"/>
      <c r="W1270" s="4"/>
      <c r="X1270" s="4"/>
      <c r="Y1270" s="4"/>
      <c r="Z1270" s="4"/>
      <c r="AA1270" s="4"/>
      <c r="AB1270" s="380" t="str">
        <f>VLOOKUP($B1270,'D7 - NDB Impacted SPRF''s'!$E$6:$O$9929,4,FALSE)</f>
        <v>Completed</v>
      </c>
      <c r="AC1270" s="380" t="str">
        <f>VLOOKUP($B1270,'D7 - NDB Impacted SPRF''s'!$E$16:$O$9929,3,FALSE)</f>
        <v>UnitedHealthcare Medicare &amp; Retirement</v>
      </c>
      <c r="AD1270" s="380" t="str">
        <f>VLOOKUP($B1270,'D7 - NDB Impacted SPRF''s'!$E$16:$O$9929,5,FALSE)</f>
        <v>Enterprise Clinical</v>
      </c>
      <c r="AE1270" s="380" t="str">
        <f>VLOOKUP($B1270,'D7 - NDB Impacted SPRF''s'!$E$16:$O$9929,7,FALSE)</f>
        <v>Cindi Middaugh</v>
      </c>
      <c r="AF1270" s="380" t="str">
        <f>VLOOKUP($B1270,'D7 - NDB Impacted SPRF''s'!$E$16:$O$9929,6,FALSE)</f>
        <v>Robert Hoerl</v>
      </c>
      <c r="AG1270" s="282"/>
      <c r="AH1270" s="311" t="e">
        <f>INDEX('D5 - Gatekeeper - Projects'!$A$4:$AF$1010,$AM1270, 17)</f>
        <v>#N/A</v>
      </c>
      <c r="AI1270" s="8"/>
      <c r="AJ1270" s="57"/>
      <c r="AK1270" s="105"/>
      <c r="AM1270" s="6" t="e">
        <f>MATCH(D1270,'D5 - Gatekeeper - Projects'!$C$4:$C$1010,0)</f>
        <v>#N/A</v>
      </c>
      <c r="AN1270" s="6" t="b">
        <f t="shared" si="125"/>
        <v>1</v>
      </c>
      <c r="AO1270" s="6" t="str">
        <f t="shared" si="127"/>
        <v>OK</v>
      </c>
      <c r="AQ1270" s="6" t="e">
        <f>MATCH($D1270,'D4 - Provider Council Unsched'!$C$11:$C$234,0)</f>
        <v>#N/A</v>
      </c>
      <c r="AR1270" s="6" t="b">
        <f t="shared" si="126"/>
        <v>1</v>
      </c>
      <c r="AS1270" s="6" t="str">
        <f>IF(AND(H1270="2 - Not Scheduled",AR1270=TRUE,C1270="R1"),"Add","OK")</f>
        <v>OK</v>
      </c>
      <c r="AU1270" s="202"/>
      <c r="AV1270" s="262"/>
      <c r="AW1270" s="274"/>
    </row>
    <row r="1271" spans="1:49" s="13" customFormat="1" ht="33.75" x14ac:dyDescent="0.2">
      <c r="A1271" s="14">
        <v>1247</v>
      </c>
      <c r="B1271" s="14">
        <v>400029463</v>
      </c>
      <c r="C1271" s="8" t="s">
        <v>5197</v>
      </c>
      <c r="D1271" s="4" t="str">
        <f t="shared" si="129"/>
        <v>400029463R1</v>
      </c>
      <c r="E1271" s="309" t="str">
        <f>VLOOKUP($B1271,'D7 - NDB Impacted SPRF''s'!$E$6:$O$9929,2,FALSE)</f>
        <v>MAHP OneNet Migration</v>
      </c>
      <c r="F1271" s="8" t="s">
        <v>5196</v>
      </c>
      <c r="G1271" s="8" t="s">
        <v>4758</v>
      </c>
      <c r="H1271" s="8" t="s">
        <v>4246</v>
      </c>
      <c r="I1271" s="20">
        <v>14.17</v>
      </c>
      <c r="J1271" s="8" t="s">
        <v>4862</v>
      </c>
      <c r="K1271" s="182">
        <v>40313</v>
      </c>
      <c r="L1271" s="8" t="s">
        <v>4156</v>
      </c>
      <c r="M1271" s="8" t="s">
        <v>2814</v>
      </c>
      <c r="N1271" s="38"/>
      <c r="O1271" s="8" t="s">
        <v>2875</v>
      </c>
      <c r="P1271" s="4" t="str">
        <f>VLOOKUP($B1271,'D7 - NDB Impacted SPRF''s'!$E$16:$O$9929,9,FALSE)</f>
        <v>Y</v>
      </c>
      <c r="Q1271" s="4" t="str">
        <f>VLOOKUP($B1271,'D7 - NDB Impacted SPRF''s'!$E$16:$O$9929,10,FALSE)</f>
        <v>N</v>
      </c>
      <c r="R1271" s="4" t="str">
        <f>VLOOKUP($B1271,'D7 - NDB Impacted SPRF''s'!$E$16:$O$9929,11,FALSE)</f>
        <v>Y</v>
      </c>
      <c r="S1271" s="8"/>
      <c r="T1271" s="310"/>
      <c r="U1271" s="310"/>
      <c r="V1271" s="4"/>
      <c r="W1271" s="4"/>
      <c r="X1271" s="4"/>
      <c r="Y1271" s="4"/>
      <c r="Z1271" s="4"/>
      <c r="AA1271" s="4"/>
      <c r="AB1271" s="380" t="str">
        <f>VLOOKUP($B1271,'D7 - NDB Impacted SPRF''s'!$E$16:$O$9929,4,FALSE)</f>
        <v>Completed</v>
      </c>
      <c r="AC1271" s="380" t="str">
        <f>VLOOKUP($B1271,'D7 - NDB Impacted SPRF''s'!$E$16:$O$9929,3,FALSE)</f>
        <v>UnitedHealthcare Employer &amp; Individual</v>
      </c>
      <c r="AD1271" s="380" t="str">
        <f>VLOOKUP($B1271,'D7 - NDB Impacted SPRF''s'!$E$16:$O$9929,5,FALSE)</f>
        <v>Integration Requirements</v>
      </c>
      <c r="AE1271" s="380" t="str">
        <f>VLOOKUP($B1271,'D7 - NDB Impacted SPRF''s'!$E$16:$O$9929,7,FALSE)</f>
        <v>Jim Cronin</v>
      </c>
      <c r="AF1271" s="380" t="str">
        <f>VLOOKUP($B1271,'D7 - NDB Impacted SPRF''s'!$E$16:$O$9929,6,FALSE)</f>
        <v>VERONICA BELL</v>
      </c>
      <c r="AG1271" s="282"/>
      <c r="AH1271" s="311" t="e">
        <f>INDEX('D5 - Gatekeeper - Projects'!$A$4:$AF$1010,$AM1271, 17)</f>
        <v>#N/A</v>
      </c>
      <c r="AI1271" s="8"/>
      <c r="AJ1271" s="57"/>
      <c r="AK1271" s="105"/>
      <c r="AM1271" s="6" t="e">
        <f>MATCH(D1271,'D5 - Gatekeeper - Projects'!$C$4:$C$1010,0)</f>
        <v>#N/A</v>
      </c>
      <c r="AN1271" s="6" t="b">
        <f t="shared" si="125"/>
        <v>1</v>
      </c>
      <c r="AO1271" s="6" t="str">
        <f t="shared" si="127"/>
        <v>OK</v>
      </c>
      <c r="AQ1271" s="6" t="e">
        <f>MATCH($D1271,'D4 - Provider Council Unsched'!$C$11:$C$234,0)</f>
        <v>#N/A</v>
      </c>
      <c r="AR1271" s="6" t="b">
        <f t="shared" si="126"/>
        <v>1</v>
      </c>
      <c r="AS1271" s="6" t="str">
        <f>IF(AND(H1271="2 - Not Scheduled",AR1271=TRUE,C1271="R1"),"Add","OK")</f>
        <v>OK</v>
      </c>
      <c r="AU1271" s="202"/>
      <c r="AV1271" s="262"/>
      <c r="AW1271" s="274"/>
    </row>
    <row r="1272" spans="1:49" s="13" customFormat="1" ht="22.5" x14ac:dyDescent="0.2">
      <c r="A1272" s="14">
        <v>1248</v>
      </c>
      <c r="B1272" s="14">
        <v>400030150</v>
      </c>
      <c r="C1272" s="8" t="s">
        <v>2449</v>
      </c>
      <c r="D1272" s="4" t="str">
        <f t="shared" si="129"/>
        <v>400030150R3</v>
      </c>
      <c r="E1272" s="309" t="str">
        <f>VLOOKUP($B1272,'D7 - NDB Impacted SPRF''s'!$E$6:$O$9929,2,FALSE)</f>
        <v>TRICARE Project -  Claims and Provider</v>
      </c>
      <c r="F1272" s="8" t="s">
        <v>3715</v>
      </c>
      <c r="G1272" s="8" t="s">
        <v>4758</v>
      </c>
      <c r="H1272" s="8" t="s">
        <v>4246</v>
      </c>
      <c r="I1272" s="20">
        <v>112.5</v>
      </c>
      <c r="J1272" s="8" t="s">
        <v>4862</v>
      </c>
      <c r="K1272" s="182">
        <v>40313</v>
      </c>
      <c r="L1272" s="8" t="s">
        <v>4156</v>
      </c>
      <c r="M1272" s="8" t="s">
        <v>2814</v>
      </c>
      <c r="N1272" s="38" t="s">
        <v>7136</v>
      </c>
      <c r="O1272" s="8" t="s">
        <v>4599</v>
      </c>
      <c r="P1272" s="4" t="str">
        <f>VLOOKUP($B1272,'D7 - NDB Impacted SPRF''s'!$E$16:$O$9929,9,FALSE)</f>
        <v>N</v>
      </c>
      <c r="Q1272" s="4" t="str">
        <f>VLOOKUP($B1272,'D7 - NDB Impacted SPRF''s'!$E$16:$O$9929,10,FALSE)</f>
        <v>N</v>
      </c>
      <c r="R1272" s="4" t="str">
        <f>VLOOKUP($B1272,'D7 - NDB Impacted SPRF''s'!$E$16:$O$9929,11,FALSE)</f>
        <v>Y</v>
      </c>
      <c r="S1272" s="8"/>
      <c r="T1272" s="310"/>
      <c r="U1272" s="310"/>
      <c r="V1272" s="4"/>
      <c r="W1272" s="4"/>
      <c r="X1272" s="4"/>
      <c r="Y1272" s="4"/>
      <c r="Z1272" s="4"/>
      <c r="AA1272" s="4"/>
      <c r="AB1272" s="380" t="str">
        <f>VLOOKUP($B1272,'D7 - NDB Impacted SPRF''s'!$E$6:$O$9929,4,FALSE)</f>
        <v>Completed</v>
      </c>
      <c r="AC1272" s="380" t="str">
        <f>VLOOKUP($B1272,'D7 - NDB Impacted SPRF''s'!$E$6:$O$9929,3,FALSE)</f>
        <v>UHG Corporate</v>
      </c>
      <c r="AD1272" s="380" t="str">
        <f>VLOOKUP($B1272,'D7 - NDB Impacted SPRF''s'!$E$6:$O$9929,5,FALSE)</f>
        <v>TRICARE</v>
      </c>
      <c r="AE1272" s="380" t="str">
        <f>VLOOKUP($B1272,'D7 - NDB Impacted SPRF''s'!$E$6:$O$9929,7,FALSE)</f>
        <v>Mike Schwarz</v>
      </c>
      <c r="AF1272" s="380" t="str">
        <f>VLOOKUP($B1272,'D7 - NDB Impacted SPRF''s'!$E$6:$O$9929,6,FALSE)</f>
        <v>PAULA ENGSTROM</v>
      </c>
      <c r="AG1272" s="282"/>
      <c r="AH1272" s="311" t="e">
        <f>INDEX('D5 - Gatekeeper - Projects'!$A$4:$AF$1010,$AM1272, 17)</f>
        <v>#N/A</v>
      </c>
      <c r="AI1272" s="8"/>
      <c r="AJ1272" s="57"/>
      <c r="AK1272" s="105"/>
      <c r="AM1272" s="6" t="e">
        <f>MATCH(D1272,'D5 - Gatekeeper - Projects'!$C$4:$C$1010,0)</f>
        <v>#N/A</v>
      </c>
      <c r="AN1272" s="6" t="b">
        <f t="shared" si="125"/>
        <v>1</v>
      </c>
      <c r="AO1272" s="6" t="str">
        <f t="shared" si="127"/>
        <v>OK</v>
      </c>
      <c r="AQ1272" s="6" t="e">
        <f>MATCH($D1272,'D4 - Provider Council Unsched'!$C$11:$C$234,0)</f>
        <v>#N/A</v>
      </c>
      <c r="AR1272" s="6" t="b">
        <f t="shared" si="126"/>
        <v>1</v>
      </c>
      <c r="AS1272" s="6" t="str">
        <f>IF(AND(H1272="2 - Not Scheduled",AR1272=TRUE),"Add","OK")</f>
        <v>OK</v>
      </c>
      <c r="AU1272" s="202"/>
      <c r="AV1272" s="262"/>
      <c r="AW1272" s="274"/>
    </row>
    <row r="1273" spans="1:49" s="13" customFormat="1" ht="45" x14ac:dyDescent="0.2">
      <c r="A1273" s="14">
        <v>1249</v>
      </c>
      <c r="B1273" s="14">
        <v>400030262</v>
      </c>
      <c r="C1273" s="8" t="s">
        <v>3763</v>
      </c>
      <c r="D1273" s="4" t="str">
        <f t="shared" si="129"/>
        <v>400030262R2</v>
      </c>
      <c r="E1273" s="309" t="str">
        <f>VLOOKUP($B1273,'D7 - NDB Impacted SPRF''s'!$E$6:$O$9929,2,FALSE)</f>
        <v>PDR - Provider Pick on Claims Highway</v>
      </c>
      <c r="F1273" s="8" t="s">
        <v>5595</v>
      </c>
      <c r="G1273" s="8" t="s">
        <v>4758</v>
      </c>
      <c r="H1273" s="8" t="s">
        <v>4246</v>
      </c>
      <c r="I1273" s="20">
        <v>0.83</v>
      </c>
      <c r="J1273" s="8" t="s">
        <v>4862</v>
      </c>
      <c r="K1273" s="182">
        <v>40313</v>
      </c>
      <c r="L1273" s="8" t="s">
        <v>4156</v>
      </c>
      <c r="M1273" s="8" t="s">
        <v>5626</v>
      </c>
      <c r="N1273" s="38"/>
      <c r="O1273" s="8" t="s">
        <v>5627</v>
      </c>
      <c r="P1273" s="4" t="str">
        <f>VLOOKUP($B1273,'D7 - NDB Impacted SPRF''s'!$E$16:$O$9929,9,FALSE)</f>
        <v>Y</v>
      </c>
      <c r="Q1273" s="4" t="str">
        <f>VLOOKUP($B1273,'D7 - NDB Impacted SPRF''s'!$E$16:$O$9929,10,FALSE)</f>
        <v>N</v>
      </c>
      <c r="R1273" s="4" t="str">
        <f>VLOOKUP($B1273,'D7 - NDB Impacted SPRF''s'!$E$16:$O$9929,11,FALSE)</f>
        <v>N</v>
      </c>
      <c r="S1273" s="8"/>
      <c r="T1273" s="310"/>
      <c r="U1273" s="310"/>
      <c r="V1273" s="4"/>
      <c r="W1273" s="4"/>
      <c r="X1273" s="4"/>
      <c r="Y1273" s="4"/>
      <c r="Z1273" s="4"/>
      <c r="AA1273" s="4"/>
      <c r="AB1273" s="380" t="str">
        <f>VLOOKUP($B1273,'D7 - NDB Impacted SPRF''s'!$E$6:$O$9929,4,FALSE)</f>
        <v>Completed</v>
      </c>
      <c r="AC1273" s="380" t="str">
        <f>VLOOKUP($B1273,'D7 - NDB Impacted SPRF''s'!$E$6:$O$9929,3,FALSE)</f>
        <v>UHG IT - Enterprise Technology Services</v>
      </c>
      <c r="AD1273" s="380" t="str">
        <f>VLOOKUP($B1273,'D7 - NDB Impacted SPRF''s'!$E$6:$O$9929,5,FALSE)</f>
        <v>Strategic Initiatives</v>
      </c>
      <c r="AE1273" s="380" t="str">
        <f>VLOOKUP($B1273,'D7 - NDB Impacted SPRF''s'!$E$6:$O$9929,7,FALSE)</f>
        <v>Dave Wichman</v>
      </c>
      <c r="AF1273" s="380" t="str">
        <f>VLOOKUP($B1273,'D7 - NDB Impacted SPRF''s'!$E$6:$O$9929,6,FALSE)</f>
        <v>Nicole Cartwright</v>
      </c>
      <c r="AG1273" s="282"/>
      <c r="AH1273" s="311" t="e">
        <f>INDEX('D5 - Gatekeeper - Projects'!$A$4:$AF$1010,$AM1273, 17)</f>
        <v>#N/A</v>
      </c>
      <c r="AI1273" s="8"/>
      <c r="AJ1273" s="57"/>
      <c r="AK1273" s="105"/>
      <c r="AM1273" s="6" t="e">
        <f>MATCH(D1273,'D5 - Gatekeeper - Projects'!$C$4:$C$1010,0)</f>
        <v>#N/A</v>
      </c>
      <c r="AN1273" s="6" t="b">
        <f t="shared" si="125"/>
        <v>1</v>
      </c>
      <c r="AO1273" s="6" t="str">
        <f t="shared" si="127"/>
        <v>OK</v>
      </c>
      <c r="AQ1273" s="6" t="e">
        <f>MATCH($D1273,'D4 - Provider Council Unsched'!$C$11:$C$234,0)</f>
        <v>#N/A</v>
      </c>
      <c r="AR1273" s="6" t="b">
        <f t="shared" si="126"/>
        <v>1</v>
      </c>
      <c r="AS1273" s="6" t="str">
        <f>IF(AND(H1273="2 - Not Scheduled",AR1273=TRUE,C1273="R1"),"Add","OK")</f>
        <v>OK</v>
      </c>
      <c r="AU1273" s="202"/>
      <c r="AV1273" s="262"/>
      <c r="AW1273" s="274"/>
    </row>
    <row r="1274" spans="1:49" s="13" customFormat="1" ht="33.75" x14ac:dyDescent="0.2">
      <c r="A1274" s="14">
        <v>1250</v>
      </c>
      <c r="B1274" s="14">
        <v>400031409</v>
      </c>
      <c r="C1274" s="8" t="s">
        <v>5197</v>
      </c>
      <c r="D1274" s="4" t="str">
        <f t="shared" si="129"/>
        <v>400031409R1</v>
      </c>
      <c r="E1274" s="309" t="str">
        <f>VLOOKUP($B1274,'D7 - NDB Impacted SPRF''s'!$E$6:$O$9929,2,FALSE)</f>
        <v>Cardiac Imaging and EP Implant Notification</v>
      </c>
      <c r="F1274" s="8" t="s">
        <v>2114</v>
      </c>
      <c r="G1274" s="8" t="s">
        <v>4758</v>
      </c>
      <c r="H1274" s="8" t="s">
        <v>4246</v>
      </c>
      <c r="I1274" s="20">
        <v>9.33</v>
      </c>
      <c r="J1274" s="8" t="s">
        <v>4862</v>
      </c>
      <c r="K1274" s="182">
        <v>40313</v>
      </c>
      <c r="L1274" s="8" t="s">
        <v>4156</v>
      </c>
      <c r="M1274" s="8" t="s">
        <v>2814</v>
      </c>
      <c r="N1274" s="38"/>
      <c r="O1274" s="8" t="s">
        <v>7299</v>
      </c>
      <c r="P1274" s="4" t="str">
        <f>VLOOKUP($B1274,'D7 - NDB Impacted SPRF''s'!$E$16:$O$9929,9,FALSE)</f>
        <v>Y</v>
      </c>
      <c r="Q1274" s="4" t="str">
        <f>VLOOKUP($B1274,'D7 - NDB Impacted SPRF''s'!$E$16:$O$9929,10,FALSE)</f>
        <v>N</v>
      </c>
      <c r="R1274" s="4" t="str">
        <f>VLOOKUP($B1274,'D7 - NDB Impacted SPRF''s'!$E$16:$O$9929,11,FALSE)</f>
        <v>N</v>
      </c>
      <c r="S1274" s="8"/>
      <c r="T1274" s="310"/>
      <c r="U1274" s="310"/>
      <c r="V1274" s="4"/>
      <c r="W1274" s="4"/>
      <c r="X1274" s="4"/>
      <c r="Y1274" s="4"/>
      <c r="Z1274" s="4"/>
      <c r="AA1274" s="4"/>
      <c r="AB1274" s="380" t="s">
        <v>4917</v>
      </c>
      <c r="AC1274" s="380" t="str">
        <f>VLOOKUP($B1274,'D7 - NDB Impacted SPRF''s'!$E$6:$O$9929,3,FALSE)</f>
        <v>UnitedHealthcare Employer &amp; Individual</v>
      </c>
      <c r="AD1274" s="380" t="str">
        <f>VLOOKUP($B1274,'D7 - NDB Impacted SPRF''s'!$E$6:$O$9929,5,FALSE)</f>
        <v>Medical Cost Savings Programs</v>
      </c>
      <c r="AE1274" s="380" t="str">
        <f>VLOOKUP($B1274,'D7 - NDB Impacted SPRF''s'!$E$6:$O$9929,7,FALSE)</f>
        <v>Chad Peel</v>
      </c>
      <c r="AF1274" s="380" t="str">
        <f>VLOOKUP($B1274,'D7 - NDB Impacted SPRF''s'!$E$6:$O$9929,6,FALSE)</f>
        <v>Dee Wyatt</v>
      </c>
      <c r="AG1274" s="282"/>
      <c r="AH1274" s="311" t="e">
        <f>INDEX('D5 - Gatekeeper - Projects'!$A$4:$AF$1010,$AM1274, 17)</f>
        <v>#N/A</v>
      </c>
      <c r="AI1274" s="8"/>
      <c r="AJ1274" s="57"/>
      <c r="AK1274" s="57"/>
      <c r="AM1274" s="6" t="e">
        <f>MATCH(D1274,'D5 - Gatekeeper - Projects'!$C$4:$C$1010,0)</f>
        <v>#N/A</v>
      </c>
      <c r="AN1274" s="6" t="b">
        <f t="shared" si="125"/>
        <v>1</v>
      </c>
      <c r="AO1274" s="6" t="str">
        <f t="shared" si="127"/>
        <v>OK</v>
      </c>
      <c r="AQ1274" s="6" t="e">
        <f>MATCH($D1274,'D4 - Provider Council Unsched'!$C$11:$C$234,0)</f>
        <v>#N/A</v>
      </c>
      <c r="AR1274" s="6" t="b">
        <f t="shared" si="126"/>
        <v>1</v>
      </c>
      <c r="AS1274" s="6" t="str">
        <f>IF(AND(H1274="2 - Not Scheduled",AR1274=TRUE,C1274="R1"),"Add","OK")</f>
        <v>OK</v>
      </c>
      <c r="AU1274" s="202"/>
      <c r="AV1274" s="262"/>
      <c r="AW1274" s="274"/>
    </row>
    <row r="1275" spans="1:49" s="13" customFormat="1" ht="33.75" x14ac:dyDescent="0.2">
      <c r="A1275" s="14">
        <v>1251</v>
      </c>
      <c r="B1275" s="14">
        <v>400031480</v>
      </c>
      <c r="C1275" s="8" t="s">
        <v>5197</v>
      </c>
      <c r="D1275" s="4" t="str">
        <f t="shared" si="129"/>
        <v>400031480R1</v>
      </c>
      <c r="E1275" s="309" t="str">
        <f>VLOOKUP($B1275,'D7 - NDB Impacted SPRF''s'!$E$6:$O$9929,2,FALSE)</f>
        <v>iCES Clearinghouse May 2010 Maintenance Release</v>
      </c>
      <c r="F1275" s="8" t="s">
        <v>2114</v>
      </c>
      <c r="G1275" s="8" t="s">
        <v>4758</v>
      </c>
      <c r="H1275" s="8" t="s">
        <v>4246</v>
      </c>
      <c r="I1275" s="20">
        <v>0.53</v>
      </c>
      <c r="J1275" s="8" t="s">
        <v>4862</v>
      </c>
      <c r="K1275" s="182">
        <v>40313</v>
      </c>
      <c r="L1275" s="8" t="s">
        <v>4156</v>
      </c>
      <c r="M1275" s="8" t="s">
        <v>5626</v>
      </c>
      <c r="N1275" s="38"/>
      <c r="O1275" s="8"/>
      <c r="P1275" s="4" t="str">
        <f>VLOOKUP($B1275,'D7 - NDB Impacted SPRF''s'!$E$16:$O$9929,9,FALSE)</f>
        <v>Y</v>
      </c>
      <c r="Q1275" s="4" t="str">
        <f>VLOOKUP($B1275,'D7 - NDB Impacted SPRF''s'!$E$16:$O$9929,10,FALSE)</f>
        <v>N</v>
      </c>
      <c r="R1275" s="4" t="str">
        <f>VLOOKUP($B1275,'D7 - NDB Impacted SPRF''s'!$E$16:$O$9929,11,FALSE)</f>
        <v>N</v>
      </c>
      <c r="S1275" s="8"/>
      <c r="T1275" s="310"/>
      <c r="U1275" s="310"/>
      <c r="V1275" s="4"/>
      <c r="W1275" s="4"/>
      <c r="X1275" s="4"/>
      <c r="Y1275" s="4"/>
      <c r="Z1275" s="4"/>
      <c r="AA1275" s="4"/>
      <c r="AB1275" s="380" t="str">
        <f>VLOOKUP($B1275,'D7 - NDB Impacted SPRF''s'!$E$6:$O$9929,4,FALSE)</f>
        <v>Completed</v>
      </c>
      <c r="AC1275" s="380" t="str">
        <f>VLOOKUP($B1275,'D7 - NDB Impacted SPRF''s'!$E$6:$O$9929,3,FALSE)</f>
        <v>UnitedHealthcare Employer &amp; Individual</v>
      </c>
      <c r="AD1275" s="380" t="str">
        <f>VLOOKUP($B1275,'D7 - NDB Impacted SPRF''s'!$E$6:$O$9929,5,FALSE)</f>
        <v>Operational Requirements</v>
      </c>
      <c r="AE1275" s="380" t="str">
        <f>VLOOKUP($B1275,'D7 - NDB Impacted SPRF''s'!$E$6:$O$9929,7,FALSE)</f>
        <v>Elena McFann</v>
      </c>
      <c r="AF1275" s="380" t="str">
        <f>VLOOKUP($B1275,'D7 - NDB Impacted SPRF''s'!$E$6:$O$9929,6,FALSE)</f>
        <v>DAWN BOLLER</v>
      </c>
      <c r="AG1275" s="282"/>
      <c r="AH1275" s="311" t="e">
        <f>INDEX('D5 - Gatekeeper - Projects'!$A$4:$AF$1010,$AM1275, 17)</f>
        <v>#N/A</v>
      </c>
      <c r="AI1275" s="8"/>
      <c r="AJ1275" s="57"/>
      <c r="AK1275" s="57"/>
      <c r="AM1275" s="6" t="e">
        <f>MATCH(D1275,'D5 - Gatekeeper - Projects'!$C$4:$C$1010,0)</f>
        <v>#N/A</v>
      </c>
      <c r="AN1275" s="6" t="b">
        <f t="shared" si="125"/>
        <v>1</v>
      </c>
      <c r="AO1275" s="6" t="str">
        <f t="shared" si="127"/>
        <v>OK</v>
      </c>
      <c r="AQ1275" s="6" t="e">
        <f>MATCH($D1275,'D4 - Provider Council Unsched'!$C$11:$C$234,0)</f>
        <v>#N/A</v>
      </c>
      <c r="AR1275" s="6" t="b">
        <f t="shared" si="126"/>
        <v>1</v>
      </c>
      <c r="AS1275" s="6" t="str">
        <f>IF(AND(H1275="2 - Not Scheduled",AR1275=TRUE,C1275="R1"),"Add","OK")</f>
        <v>OK</v>
      </c>
      <c r="AU1275" s="202"/>
      <c r="AV1275" s="262"/>
      <c r="AW1275" s="274"/>
    </row>
    <row r="1276" spans="1:49" s="13" customFormat="1" ht="45" x14ac:dyDescent="0.2">
      <c r="A1276" s="14">
        <v>1252</v>
      </c>
      <c r="B1276" s="14">
        <v>400031958</v>
      </c>
      <c r="C1276" s="8" t="s">
        <v>5197</v>
      </c>
      <c r="D1276" s="4" t="str">
        <f t="shared" si="129"/>
        <v>400031958R1</v>
      </c>
      <c r="E1276" s="309" t="str">
        <f>VLOOKUP($B1276,'D7 - NDB Impacted SPRF''s'!$E$6:$O$9929,2,FALSE)</f>
        <v>PDR- Contract Selection on the Hwy for MAHP OneNet</v>
      </c>
      <c r="F1276" s="8" t="s">
        <v>5595</v>
      </c>
      <c r="G1276" s="8" t="s">
        <v>4758</v>
      </c>
      <c r="H1276" s="8" t="s">
        <v>4246</v>
      </c>
      <c r="I1276" s="20">
        <v>7.22</v>
      </c>
      <c r="J1276" s="8" t="s">
        <v>4862</v>
      </c>
      <c r="K1276" s="182">
        <v>40313</v>
      </c>
      <c r="L1276" s="8" t="s">
        <v>4156</v>
      </c>
      <c r="M1276" s="8" t="s">
        <v>2814</v>
      </c>
      <c r="N1276" s="38"/>
      <c r="O1276" s="8" t="s">
        <v>2875</v>
      </c>
      <c r="P1276" s="4" t="str">
        <f>VLOOKUP($B1276,'D7 - NDB Impacted SPRF''s'!$E$16:$O$9929,9,FALSE)</f>
        <v>N</v>
      </c>
      <c r="Q1276" s="4" t="str">
        <f>VLOOKUP($B1276,'D7 - NDB Impacted SPRF''s'!$E$16:$O$9929,10,FALSE)</f>
        <v>N</v>
      </c>
      <c r="R1276" s="4" t="str">
        <f>VLOOKUP($B1276,'D7 - NDB Impacted SPRF''s'!$E$16:$O$9929,11,FALSE)</f>
        <v>N</v>
      </c>
      <c r="S1276" s="8"/>
      <c r="T1276" s="310"/>
      <c r="U1276" s="310"/>
      <c r="V1276" s="4"/>
      <c r="W1276" s="4"/>
      <c r="X1276" s="4"/>
      <c r="Y1276" s="4"/>
      <c r="Z1276" s="4"/>
      <c r="AA1276" s="4"/>
      <c r="AB1276" s="380" t="str">
        <f>VLOOKUP($B1276,'D7 - NDB Impacted SPRF''s'!$E$6:$O$9929,4,FALSE)</f>
        <v>Completed</v>
      </c>
      <c r="AC1276" s="380" t="str">
        <f>VLOOKUP($B1276,'D7 - NDB Impacted SPRF''s'!$E$6:$O$9929,3,FALSE)</f>
        <v>UHG IT - Enterprise Technology Services</v>
      </c>
      <c r="AD1276" s="380" t="str">
        <f>VLOOKUP($B1276,'D7 - NDB Impacted SPRF''s'!$E$6:$O$9929,5,FALSE)</f>
        <v>Strategic Initiatives</v>
      </c>
      <c r="AE1276" s="380" t="str">
        <f>VLOOKUP($B1276,'D7 - NDB Impacted SPRF''s'!$E$6:$O$9929,7,FALSE)</f>
        <v>Mueller, Steven</v>
      </c>
      <c r="AF1276" s="380" t="str">
        <f>VLOOKUP($B1276,'D7 - NDB Impacted SPRF''s'!$E$6:$O$9929,6,FALSE)</f>
        <v>KAREN MCKINNEY</v>
      </c>
      <c r="AG1276" s="282"/>
      <c r="AH1276" s="311" t="e">
        <f>INDEX('D5 - Gatekeeper - Projects'!$A$4:$AF$1010,$AM1276, 17)</f>
        <v>#N/A</v>
      </c>
      <c r="AI1276" s="8"/>
      <c r="AJ1276" s="57"/>
      <c r="AK1276" s="57"/>
      <c r="AM1276" s="6" t="e">
        <f>MATCH(D1276,'D5 - Gatekeeper - Projects'!$C$4:$C$1010,0)</f>
        <v>#N/A</v>
      </c>
      <c r="AN1276" s="6" t="b">
        <f t="shared" si="125"/>
        <v>1</v>
      </c>
      <c r="AO1276" s="6" t="str">
        <f t="shared" si="127"/>
        <v>OK</v>
      </c>
      <c r="AQ1276" s="6" t="e">
        <f>MATCH($D1276,'D4 - Provider Council Unsched'!$C$11:$C$234,0)</f>
        <v>#N/A</v>
      </c>
      <c r="AR1276" s="6" t="b">
        <f t="shared" si="126"/>
        <v>1</v>
      </c>
      <c r="AS1276" s="6" t="str">
        <f>IF(AND(H1276="2 - Not Scheduled",AR1276=TRUE),"Add","OK")</f>
        <v>OK</v>
      </c>
      <c r="AU1276" s="202"/>
      <c r="AV1276" s="262"/>
      <c r="AW1276" s="274"/>
    </row>
    <row r="1277" spans="1:49" s="13" customFormat="1" ht="33.75" x14ac:dyDescent="0.2">
      <c r="A1277" s="14">
        <v>1253</v>
      </c>
      <c r="B1277" s="14">
        <v>400032537</v>
      </c>
      <c r="C1277" s="8" t="s">
        <v>5197</v>
      </c>
      <c r="D1277" s="4" t="str">
        <f t="shared" si="129"/>
        <v>400032537R1</v>
      </c>
      <c r="E1277" s="309" t="str">
        <f>VLOOKUP($B1277,'D7 - NDB Impacted SPRF''s'!$E$6:$O$9929,2,FALSE)</f>
        <v>Accepting Assignment and Limiting Charge</v>
      </c>
      <c r="F1277" s="8" t="s">
        <v>2114</v>
      </c>
      <c r="G1277" s="8" t="s">
        <v>4758</v>
      </c>
      <c r="H1277" s="8" t="s">
        <v>4246</v>
      </c>
      <c r="I1277" s="20">
        <v>3.96</v>
      </c>
      <c r="J1277" s="8" t="s">
        <v>4862</v>
      </c>
      <c r="K1277" s="182">
        <v>40313</v>
      </c>
      <c r="L1277" s="8" t="s">
        <v>4156</v>
      </c>
      <c r="M1277" s="8" t="s">
        <v>2814</v>
      </c>
      <c r="N1277" s="38" t="s">
        <v>3023</v>
      </c>
      <c r="O1277" s="8"/>
      <c r="P1277" s="4" t="str">
        <f>VLOOKUP($B1277,'D7 - NDB Impacted SPRF''s'!$E$16:$O$9929,9,FALSE)</f>
        <v>N</v>
      </c>
      <c r="Q1277" s="4" t="str">
        <f>VLOOKUP($B1277,'D7 - NDB Impacted SPRF''s'!$E$16:$O$9929,10,FALSE)</f>
        <v>N</v>
      </c>
      <c r="R1277" s="4" t="str">
        <f>VLOOKUP($B1277,'D7 - NDB Impacted SPRF''s'!$E$16:$O$9929,11,FALSE)</f>
        <v>N</v>
      </c>
      <c r="S1277" s="8"/>
      <c r="T1277" s="310"/>
      <c r="U1277" s="310"/>
      <c r="V1277" s="4"/>
      <c r="W1277" s="4"/>
      <c r="X1277" s="4"/>
      <c r="Y1277" s="4"/>
      <c r="Z1277" s="4"/>
      <c r="AA1277" s="4"/>
      <c r="AB1277" s="380" t="str">
        <f>VLOOKUP($B1277,'D7 - NDB Impacted SPRF''s'!$E$6:$O$9929,4,FALSE)</f>
        <v>Completed</v>
      </c>
      <c r="AC1277" s="380" t="str">
        <f>VLOOKUP($B1277,'D7 - NDB Impacted SPRF''s'!$E$6:$O$9929,3,FALSE)</f>
        <v>UnitedHealthcare Medicare &amp; Retirement</v>
      </c>
      <c r="AD1277" s="380" t="str">
        <f>VLOOKUP($B1277,'D7 - NDB Impacted SPRF''s'!$E$6:$O$9929,5,FALSE)</f>
        <v>Claims Remediation</v>
      </c>
      <c r="AE1277" s="380" t="str">
        <f>VLOOKUP($B1277,'D7 - NDB Impacted SPRF''s'!$E$6:$O$9929,7,FALSE)</f>
        <v>Lloyd Wright</v>
      </c>
      <c r="AF1277" s="380" t="str">
        <f>VLOOKUP($B1277,'D7 - NDB Impacted SPRF''s'!$E$6:$O$9929,6,FALSE)</f>
        <v>Jessica Ayers</v>
      </c>
      <c r="AG1277" s="282"/>
      <c r="AH1277" s="311" t="e">
        <f>INDEX('D5 - Gatekeeper - Projects'!$A$4:$AF$1010,$AM1277, 17)</f>
        <v>#N/A</v>
      </c>
      <c r="AI1277" s="8"/>
      <c r="AJ1277" s="57"/>
      <c r="AK1277" s="105"/>
      <c r="AM1277" s="6" t="e">
        <f>MATCH(D1277,'D5 - Gatekeeper - Projects'!$C$4:$C$1010,0)</f>
        <v>#N/A</v>
      </c>
      <c r="AN1277" s="6" t="b">
        <f t="shared" si="125"/>
        <v>1</v>
      </c>
      <c r="AO1277" s="6" t="str">
        <f t="shared" si="127"/>
        <v>OK</v>
      </c>
      <c r="AQ1277" s="6" t="e">
        <f>MATCH($D1277,'D4 - Provider Council Unsched'!$C$11:$C$234,0)</f>
        <v>#N/A</v>
      </c>
      <c r="AR1277" s="6" t="b">
        <f t="shared" si="126"/>
        <v>1</v>
      </c>
      <c r="AS1277" s="6" t="str">
        <f t="shared" ref="AS1277:AS1282" si="130">IF(AND(H1277="2 - Not Scheduled",AR1277=TRUE,C1277="R1"),"Add","OK")</f>
        <v>OK</v>
      </c>
      <c r="AU1277" s="202"/>
      <c r="AV1277" s="262"/>
      <c r="AW1277" s="274"/>
    </row>
    <row r="1278" spans="1:49" s="13" customFormat="1" ht="33.75" x14ac:dyDescent="0.2">
      <c r="A1278" s="14">
        <v>1254</v>
      </c>
      <c r="B1278" s="14">
        <v>400032790</v>
      </c>
      <c r="C1278" s="8" t="s">
        <v>5197</v>
      </c>
      <c r="D1278" s="4" t="str">
        <f t="shared" si="129"/>
        <v>400032790R1</v>
      </c>
      <c r="E1278" s="309" t="str">
        <f>VLOOKUP($B1278,'D7 - NDB Impacted SPRF''s'!$E$6:$O$9929,2,FALSE)</f>
        <v>Ovations Provider Pick Improvements</v>
      </c>
      <c r="F1278" s="8" t="s">
        <v>3925</v>
      </c>
      <c r="G1278" s="8" t="s">
        <v>4758</v>
      </c>
      <c r="H1278" s="8" t="s">
        <v>4246</v>
      </c>
      <c r="I1278" s="20">
        <v>2</v>
      </c>
      <c r="J1278" s="8" t="s">
        <v>4862</v>
      </c>
      <c r="K1278" s="182">
        <v>40313</v>
      </c>
      <c r="L1278" s="8" t="s">
        <v>4156</v>
      </c>
      <c r="M1278" s="8" t="s">
        <v>2814</v>
      </c>
      <c r="N1278" s="38"/>
      <c r="O1278" s="8"/>
      <c r="P1278" s="4" t="str">
        <f>VLOOKUP($B1278,'D7 - NDB Impacted SPRF''s'!$E$16:$O$9929,9,FALSE)</f>
        <v>N</v>
      </c>
      <c r="Q1278" s="4" t="str">
        <f>VLOOKUP($B1278,'D7 - NDB Impacted SPRF''s'!$E$16:$O$9929,10,FALSE)</f>
        <v>N</v>
      </c>
      <c r="R1278" s="4" t="str">
        <f>VLOOKUP($B1278,'D7 - NDB Impacted SPRF''s'!$E$16:$O$9929,11,FALSE)</f>
        <v>N</v>
      </c>
      <c r="S1278" s="8"/>
      <c r="T1278" s="310"/>
      <c r="U1278" s="310"/>
      <c r="V1278" s="4"/>
      <c r="W1278" s="4"/>
      <c r="X1278" s="4"/>
      <c r="Y1278" s="4"/>
      <c r="Z1278" s="4"/>
      <c r="AA1278" s="4"/>
      <c r="AB1278" s="380" t="str">
        <f>VLOOKUP($B1278,'D7 - NDB Impacted SPRF''s'!$E$6:$O$9929,4,FALSE)</f>
        <v>Completed</v>
      </c>
      <c r="AC1278" s="380" t="str">
        <f>VLOOKUP($B1278,'D7 - NDB Impacted SPRF''s'!$E$6:$O$9929,3,FALSE)</f>
        <v>UnitedHealthcare Medicare &amp; Retirement</v>
      </c>
      <c r="AD1278" s="380" t="str">
        <f>VLOOKUP($B1278,'D7 - NDB Impacted SPRF''s'!$E$6:$O$9929,5,FALSE)</f>
        <v>Process Improvement</v>
      </c>
      <c r="AE1278" s="380" t="str">
        <f>VLOOKUP($B1278,'D7 - NDB Impacted SPRF''s'!$E$6:$O$9929,7,FALSE)</f>
        <v>Kelly Gilberston</v>
      </c>
      <c r="AF1278" s="380" t="str">
        <f>VLOOKUP($B1278,'D7 - NDB Impacted SPRF''s'!$E$6:$O$9929,6,FALSE)</f>
        <v>Brian Schimke</v>
      </c>
      <c r="AG1278" s="282"/>
      <c r="AH1278" s="311" t="e">
        <f>INDEX('D5 - Gatekeeper - Projects'!$A$4:$AF$1010,$AM1278, 17)</f>
        <v>#N/A</v>
      </c>
      <c r="AI1278" s="8"/>
      <c r="AJ1278" s="57"/>
      <c r="AK1278" s="105"/>
      <c r="AM1278" s="6" t="e">
        <f>MATCH(D1278,'D5 - Gatekeeper - Projects'!$C$4:$C$1010,0)</f>
        <v>#N/A</v>
      </c>
      <c r="AN1278" s="6" t="b">
        <f t="shared" si="125"/>
        <v>1</v>
      </c>
      <c r="AO1278" s="6" t="str">
        <f t="shared" si="127"/>
        <v>OK</v>
      </c>
      <c r="AQ1278" s="6" t="e">
        <f>MATCH($D1278,'D4 - Provider Council Unsched'!$C$11:$C$234,0)</f>
        <v>#N/A</v>
      </c>
      <c r="AR1278" s="6" t="b">
        <f t="shared" si="126"/>
        <v>1</v>
      </c>
      <c r="AS1278" s="6" t="str">
        <f t="shared" si="130"/>
        <v>OK</v>
      </c>
      <c r="AU1278" s="202"/>
      <c r="AV1278" s="262"/>
      <c r="AW1278" s="274"/>
    </row>
    <row r="1279" spans="1:49" s="13" customFormat="1" ht="33.75" x14ac:dyDescent="0.2">
      <c r="A1279" s="14">
        <v>1255</v>
      </c>
      <c r="B1279" s="14">
        <v>400033020</v>
      </c>
      <c r="C1279" s="8" t="s">
        <v>3763</v>
      </c>
      <c r="D1279" s="4" t="str">
        <f t="shared" si="129"/>
        <v>400033020R2</v>
      </c>
      <c r="E1279" s="309" t="str">
        <f>VLOOKUP($B1279,'D7 - NDB Impacted SPRF''s'!$E$6:$O$9929,2,FALSE)</f>
        <v>PTI Derivation Project Completion</v>
      </c>
      <c r="F1279" s="8" t="s">
        <v>2114</v>
      </c>
      <c r="G1279" s="8" t="s">
        <v>4758</v>
      </c>
      <c r="H1279" s="8" t="s">
        <v>4246</v>
      </c>
      <c r="I1279" s="20">
        <v>3.03</v>
      </c>
      <c r="J1279" s="8" t="s">
        <v>4862</v>
      </c>
      <c r="K1279" s="182">
        <v>40313</v>
      </c>
      <c r="L1279" s="8" t="s">
        <v>4156</v>
      </c>
      <c r="M1279" s="8" t="s">
        <v>2814</v>
      </c>
      <c r="N1279" s="38"/>
      <c r="O1279" s="8"/>
      <c r="P1279" s="4" t="str">
        <f>VLOOKUP($B1279,'D7 - NDB Impacted SPRF''s'!$E$16:$O$9929,9,FALSE)</f>
        <v>N</v>
      </c>
      <c r="Q1279" s="4" t="str">
        <f>VLOOKUP($B1279,'D7 - NDB Impacted SPRF''s'!$E$16:$O$9929,10,FALSE)</f>
        <v>N</v>
      </c>
      <c r="R1279" s="4" t="str">
        <f>VLOOKUP($B1279,'D7 - NDB Impacted SPRF''s'!$E$16:$O$9929,11,FALSE)</f>
        <v>N</v>
      </c>
      <c r="S1279" s="8"/>
      <c r="T1279" s="310"/>
      <c r="U1279" s="310"/>
      <c r="V1279" s="4"/>
      <c r="W1279" s="4"/>
      <c r="X1279" s="4"/>
      <c r="Y1279" s="4"/>
      <c r="Z1279" s="4"/>
      <c r="AA1279" s="4"/>
      <c r="AB1279" s="380" t="str">
        <f>VLOOKUP($B1279,'D7 - NDB Impacted SPRF''s'!$E$6:$O$9929,4,FALSE)</f>
        <v>Completed</v>
      </c>
      <c r="AC1279" s="380" t="str">
        <f>VLOOKUP($B1279,'D7 - NDB Impacted SPRF''s'!$E$6:$O$9929,3,FALSE)</f>
        <v>UnitedHealthcare Employer &amp; Individual</v>
      </c>
      <c r="AD1279" s="380" t="str">
        <f>VLOOKUP($B1279,'D7 - NDB Impacted SPRF''s'!$E$6:$O$9929,5,FALSE)</f>
        <v>Process Improvement</v>
      </c>
      <c r="AE1279" s="380" t="str">
        <f>VLOOKUP($B1279,'D7 - NDB Impacted SPRF''s'!$E$6:$O$9929,7,FALSE)</f>
        <v>Jill Foucre</v>
      </c>
      <c r="AF1279" s="380" t="str">
        <f>VLOOKUP($B1279,'D7 - NDB Impacted SPRF''s'!$E$6:$O$9929,6,FALSE)</f>
        <v>Susan Neal</v>
      </c>
      <c r="AG1279" s="282"/>
      <c r="AH1279" s="311" t="e">
        <f>INDEX('D5 - Gatekeeper - Projects'!$A$4:$AF$1010,$AM1279, 17)</f>
        <v>#N/A</v>
      </c>
      <c r="AI1279" s="8"/>
      <c r="AJ1279" s="57"/>
      <c r="AK1279" s="105"/>
      <c r="AM1279" s="6" t="e">
        <f>MATCH(D1279,'D5 - Gatekeeper - Projects'!$C$4:$C$1010,0)</f>
        <v>#N/A</v>
      </c>
      <c r="AN1279" s="6" t="b">
        <f t="shared" si="125"/>
        <v>1</v>
      </c>
      <c r="AO1279" s="6" t="str">
        <f t="shared" si="127"/>
        <v>OK</v>
      </c>
      <c r="AQ1279" s="6" t="e">
        <f>MATCH($D1279,'D4 - Provider Council Unsched'!$C$11:$C$234,0)</f>
        <v>#N/A</v>
      </c>
      <c r="AR1279" s="6" t="b">
        <f t="shared" si="126"/>
        <v>1</v>
      </c>
      <c r="AS1279" s="6" t="str">
        <f t="shared" si="130"/>
        <v>OK</v>
      </c>
      <c r="AU1279" s="202"/>
      <c r="AV1279" s="262"/>
      <c r="AW1279" s="274"/>
    </row>
    <row r="1280" spans="1:49" s="13" customFormat="1" ht="33.75" x14ac:dyDescent="0.2">
      <c r="A1280" s="14">
        <v>1256</v>
      </c>
      <c r="B1280" s="14">
        <v>400033451</v>
      </c>
      <c r="C1280" s="8" t="s">
        <v>3763</v>
      </c>
      <c r="D1280" s="4" t="str">
        <f t="shared" si="129"/>
        <v>400033451R2</v>
      </c>
      <c r="E1280" s="309" t="str">
        <f>VLOOKUP($B1280,'D7 - NDB Impacted SPRF''s'!$E$6:$O$9929,2,FALSE)</f>
        <v>TRICARE Program:  Provider</v>
      </c>
      <c r="F1280" s="8" t="s">
        <v>3715</v>
      </c>
      <c r="G1280" s="8" t="s">
        <v>4758</v>
      </c>
      <c r="H1280" s="8" t="s">
        <v>4246</v>
      </c>
      <c r="I1280" s="20">
        <v>12</v>
      </c>
      <c r="J1280" s="8" t="s">
        <v>4862</v>
      </c>
      <c r="K1280" s="182">
        <v>40313</v>
      </c>
      <c r="L1280" s="8" t="s">
        <v>4156</v>
      </c>
      <c r="M1280" s="8" t="s">
        <v>2814</v>
      </c>
      <c r="N1280" s="38"/>
      <c r="O1280" s="8"/>
      <c r="P1280" s="4" t="str">
        <f>VLOOKUP($B1280,'D7 - NDB Impacted SPRF''s'!$E$16:$O$9929,9,FALSE)</f>
        <v>N</v>
      </c>
      <c r="Q1280" s="4" t="str">
        <f>VLOOKUP($B1280,'D7 - NDB Impacted SPRF''s'!$E$16:$O$9929,10,FALSE)</f>
        <v>N</v>
      </c>
      <c r="R1280" s="4" t="str">
        <f>VLOOKUP($B1280,'D7 - NDB Impacted SPRF''s'!$E$16:$O$9929,11,FALSE)</f>
        <v>Y</v>
      </c>
      <c r="S1280" s="8"/>
      <c r="T1280" s="310"/>
      <c r="U1280" s="310"/>
      <c r="V1280" s="4"/>
      <c r="W1280" s="4"/>
      <c r="X1280" s="4"/>
      <c r="Y1280" s="4"/>
      <c r="Z1280" s="4"/>
      <c r="AA1280" s="4"/>
      <c r="AB1280" s="380" t="str">
        <f>VLOOKUP($B1280,'D7 - NDB Impacted SPRF''s'!$E$6:$O$9929,4,FALSE)</f>
        <v>Cancelled</v>
      </c>
      <c r="AC1280" s="380" t="str">
        <f>VLOOKUP($B1280,'D7 - NDB Impacted SPRF''s'!$E$6:$O$9929,3,FALSE)</f>
        <v>UnitedHealthcare Military &amp; Veterans</v>
      </c>
      <c r="AD1280" s="380" t="str">
        <f>VLOOKUP($B1280,'D7 - NDB Impacted SPRF''s'!$E$6:$O$9929,5,FALSE)</f>
        <v>TRICARE</v>
      </c>
      <c r="AE1280" s="380" t="str">
        <f>VLOOKUP($B1280,'D7 - NDB Impacted SPRF''s'!$E$6:$O$9929,7,FALSE)</f>
        <v>Randall Smith</v>
      </c>
      <c r="AF1280" s="380" t="str">
        <f>VLOOKUP($B1280,'D7 - NDB Impacted SPRF''s'!$E$6:$O$9929,6,FALSE)</f>
        <v>Brian Lindell</v>
      </c>
      <c r="AG1280" s="282"/>
      <c r="AH1280" s="311" t="e">
        <f>INDEX('D5 - Gatekeeper - Projects'!$A$4:$AF$1010,$AM1280, 17)</f>
        <v>#N/A</v>
      </c>
      <c r="AI1280" s="8"/>
      <c r="AJ1280" s="57"/>
      <c r="AK1280" s="105"/>
      <c r="AM1280" s="6" t="e">
        <f>MATCH(D1280,'D5 - Gatekeeper - Projects'!$C$4:$C$1010,0)</f>
        <v>#N/A</v>
      </c>
      <c r="AN1280" s="6" t="b">
        <f t="shared" si="125"/>
        <v>1</v>
      </c>
      <c r="AO1280" s="6" t="str">
        <f t="shared" si="127"/>
        <v>OK</v>
      </c>
      <c r="AQ1280" s="6" t="e">
        <f>MATCH($D1280,'D4 - Provider Council Unsched'!$C$11:$C$234,0)</f>
        <v>#N/A</v>
      </c>
      <c r="AR1280" s="6" t="b">
        <f t="shared" si="126"/>
        <v>1</v>
      </c>
      <c r="AS1280" s="6" t="str">
        <f t="shared" si="130"/>
        <v>OK</v>
      </c>
      <c r="AU1280" s="202"/>
      <c r="AV1280" s="262"/>
      <c r="AW1280" s="274"/>
    </row>
    <row r="1281" spans="1:49" s="13" customFormat="1" ht="33.75" x14ac:dyDescent="0.2">
      <c r="A1281" s="14">
        <v>1257</v>
      </c>
      <c r="B1281" s="14">
        <v>400033451</v>
      </c>
      <c r="C1281" s="8" t="s">
        <v>1992</v>
      </c>
      <c r="D1281" s="4" t="str">
        <f t="shared" si="129"/>
        <v>400033451U1</v>
      </c>
      <c r="E1281" s="309" t="str">
        <f>VLOOKUP($B1281,'D7 - NDB Impacted SPRF''s'!$E$6:$O$9929,2,FALSE)</f>
        <v>TRICARE Program:  Provider</v>
      </c>
      <c r="F1281" s="8" t="s">
        <v>3715</v>
      </c>
      <c r="G1281" s="8" t="s">
        <v>4758</v>
      </c>
      <c r="H1281" s="8" t="s">
        <v>4246</v>
      </c>
      <c r="I1281" s="20">
        <v>1.6</v>
      </c>
      <c r="J1281" s="8" t="s">
        <v>4862</v>
      </c>
      <c r="K1281" s="182">
        <v>40313</v>
      </c>
      <c r="L1281" s="8" t="s">
        <v>4156</v>
      </c>
      <c r="M1281" s="8" t="s">
        <v>2814</v>
      </c>
      <c r="N1281" s="38"/>
      <c r="O1281" s="8"/>
      <c r="P1281" s="4" t="str">
        <f>VLOOKUP($B1281,'D7 - NDB Impacted SPRF''s'!$E$16:$O$9929,9,FALSE)</f>
        <v>N</v>
      </c>
      <c r="Q1281" s="4" t="str">
        <f>VLOOKUP($B1281,'D7 - NDB Impacted SPRF''s'!$E$16:$O$9929,10,FALSE)</f>
        <v>N</v>
      </c>
      <c r="R1281" s="4" t="str">
        <f>VLOOKUP($B1281,'D7 - NDB Impacted SPRF''s'!$E$16:$O$9929,11,FALSE)</f>
        <v>Y</v>
      </c>
      <c r="S1281" s="8"/>
      <c r="T1281" s="310"/>
      <c r="U1281" s="310"/>
      <c r="V1281" s="4"/>
      <c r="W1281" s="4"/>
      <c r="X1281" s="4"/>
      <c r="Y1281" s="4"/>
      <c r="Z1281" s="4"/>
      <c r="AA1281" s="4"/>
      <c r="AB1281" s="380" t="str">
        <f>VLOOKUP($B1281,'D7 - NDB Impacted SPRF''s'!$E$6:$O$9929,4,FALSE)</f>
        <v>Cancelled</v>
      </c>
      <c r="AC1281" s="380" t="str">
        <f>VLOOKUP($B1281,'D7 - NDB Impacted SPRF''s'!$E$6:$O$9929,3,FALSE)</f>
        <v>UnitedHealthcare Military &amp; Veterans</v>
      </c>
      <c r="AD1281" s="380" t="str">
        <f>VLOOKUP($B1281,'D7 - NDB Impacted SPRF''s'!$E$6:$O$9929,5,FALSE)</f>
        <v>TRICARE</v>
      </c>
      <c r="AE1281" s="380" t="str">
        <f>VLOOKUP($B1281,'D7 - NDB Impacted SPRF''s'!$E$6:$O$9929,7,FALSE)</f>
        <v>Randall Smith</v>
      </c>
      <c r="AF1281" s="380" t="str">
        <f>VLOOKUP($B1281,'D7 - NDB Impacted SPRF''s'!$E$6:$O$9929,6,FALSE)</f>
        <v>Brian Lindell</v>
      </c>
      <c r="AG1281" s="282"/>
      <c r="AH1281" s="311" t="e">
        <f>INDEX('D5 - Gatekeeper - Projects'!$A$4:$AF$1010,$AM1281, 17)</f>
        <v>#N/A</v>
      </c>
      <c r="AI1281" s="8"/>
      <c r="AJ1281" s="57"/>
      <c r="AK1281" s="105"/>
      <c r="AM1281" s="6" t="e">
        <f>MATCH(D1281,'D5 - Gatekeeper - Projects'!$C$4:$C$1010,0)</f>
        <v>#N/A</v>
      </c>
      <c r="AN1281" s="6" t="b">
        <f t="shared" si="125"/>
        <v>1</v>
      </c>
      <c r="AO1281" s="6" t="str">
        <f t="shared" si="127"/>
        <v>OK</v>
      </c>
      <c r="AQ1281" s="6" t="e">
        <f>MATCH($D1281,'D4 - Provider Council Unsched'!$C$11:$C$234,0)</f>
        <v>#N/A</v>
      </c>
      <c r="AR1281" s="6" t="b">
        <f t="shared" si="126"/>
        <v>1</v>
      </c>
      <c r="AS1281" s="6" t="str">
        <f t="shared" si="130"/>
        <v>OK</v>
      </c>
      <c r="AU1281" s="202"/>
      <c r="AV1281" s="262"/>
      <c r="AW1281" s="274"/>
    </row>
    <row r="1282" spans="1:49" s="13" customFormat="1" ht="45" x14ac:dyDescent="0.2">
      <c r="A1282" s="14">
        <v>1258</v>
      </c>
      <c r="B1282" s="14">
        <v>400035183</v>
      </c>
      <c r="C1282" s="8" t="s">
        <v>5197</v>
      </c>
      <c r="D1282" s="4" t="str">
        <f t="shared" si="129"/>
        <v>400035183R1</v>
      </c>
      <c r="E1282" s="309" t="str">
        <f>VLOOKUP($B1282,'D7 - NDB Impacted SPRF''s'!$E$6:$O$9929,2,FALSE)</f>
        <v>IBM Optim Analysis for Integrated Test Environment</v>
      </c>
      <c r="F1282" s="8" t="s">
        <v>2114</v>
      </c>
      <c r="G1282" s="8" t="s">
        <v>4758</v>
      </c>
      <c r="H1282" s="8" t="s">
        <v>4246</v>
      </c>
      <c r="I1282" s="20">
        <v>1.37</v>
      </c>
      <c r="J1282" s="8" t="s">
        <v>4862</v>
      </c>
      <c r="K1282" s="182">
        <v>40313</v>
      </c>
      <c r="L1282" s="8" t="s">
        <v>4156</v>
      </c>
      <c r="M1282" s="8" t="s">
        <v>6688</v>
      </c>
      <c r="N1282" s="38"/>
      <c r="O1282" s="8"/>
      <c r="P1282" s="4" t="str">
        <f>VLOOKUP($B1282,'D7 - NDB Impacted SPRF''s'!$E$16:$O$9929,9,FALSE)</f>
        <v>Y</v>
      </c>
      <c r="Q1282" s="4" t="str">
        <f>VLOOKUP($B1282,'D7 - NDB Impacted SPRF''s'!$E$16:$O$9929,10,FALSE)</f>
        <v>N</v>
      </c>
      <c r="R1282" s="4" t="str">
        <f>VLOOKUP($B1282,'D7 - NDB Impacted SPRF''s'!$E$16:$O$9929,11,FALSE)</f>
        <v>N</v>
      </c>
      <c r="S1282" s="8"/>
      <c r="T1282" s="310"/>
      <c r="U1282" s="310"/>
      <c r="V1282" s="4"/>
      <c r="W1282" s="4"/>
      <c r="X1282" s="4"/>
      <c r="Y1282" s="4"/>
      <c r="Z1282" s="4"/>
      <c r="AA1282" s="4"/>
      <c r="AB1282" s="380" t="str">
        <f>VLOOKUP($B1282,'D7 - NDB Impacted SPRF''s'!$E$6:$O$9929,4,FALSE)</f>
        <v>Completed</v>
      </c>
      <c r="AC1282" s="380" t="str">
        <f>VLOOKUP($B1282,'D7 - NDB Impacted SPRF''s'!$E$6:$O$9929,3,FALSE)</f>
        <v>UHG IT - Enterprise Technology Services</v>
      </c>
      <c r="AD1282" s="380" t="str">
        <f>VLOOKUP($B1282,'D7 - NDB Impacted SPRF''s'!$E$6:$O$9929,5,FALSE)</f>
        <v>ASG</v>
      </c>
      <c r="AE1282" s="380" t="str">
        <f>VLOOKUP($B1282,'D7 - NDB Impacted SPRF''s'!$E$6:$O$9929,7,FALSE)</f>
        <v>Michael Connly</v>
      </c>
      <c r="AF1282" s="380" t="str">
        <f>VLOOKUP($B1282,'D7 - NDB Impacted SPRF''s'!$E$6:$O$9929,6,FALSE)</f>
        <v>EDWARD SIWICKI</v>
      </c>
      <c r="AG1282" s="282"/>
      <c r="AH1282" s="311" t="e">
        <f>INDEX('D5 - Gatekeeper - Projects'!$A$4:$AF$1010,$AM1282, 17)</f>
        <v>#N/A</v>
      </c>
      <c r="AI1282" s="8"/>
      <c r="AJ1282" s="57"/>
      <c r="AK1282" s="105"/>
      <c r="AM1282" s="6" t="e">
        <f>MATCH(D1282,'D5 - Gatekeeper - Projects'!$C$4:$C$1010,0)</f>
        <v>#N/A</v>
      </c>
      <c r="AN1282" s="6" t="b">
        <f t="shared" si="125"/>
        <v>1</v>
      </c>
      <c r="AO1282" s="6" t="str">
        <f t="shared" si="127"/>
        <v>OK</v>
      </c>
      <c r="AQ1282" s="6" t="e">
        <f>MATCH($D1282,'D4 - Provider Council Unsched'!$C$11:$C$234,0)</f>
        <v>#N/A</v>
      </c>
      <c r="AR1282" s="6" t="b">
        <f t="shared" si="126"/>
        <v>1</v>
      </c>
      <c r="AS1282" s="6" t="str">
        <f t="shared" si="130"/>
        <v>OK</v>
      </c>
      <c r="AU1282" s="202">
        <v>40270</v>
      </c>
      <c r="AV1282" s="262"/>
      <c r="AW1282" s="274"/>
    </row>
    <row r="1283" spans="1:49" s="13" customFormat="1" x14ac:dyDescent="0.2">
      <c r="A1283" s="14">
        <v>1259</v>
      </c>
      <c r="B1283" s="14" t="s">
        <v>4878</v>
      </c>
      <c r="C1283" s="8" t="s">
        <v>5197</v>
      </c>
      <c r="D1283" s="4" t="s">
        <v>4877</v>
      </c>
      <c r="E1283" s="309" t="s">
        <v>4882</v>
      </c>
      <c r="F1283" s="8" t="s">
        <v>2114</v>
      </c>
      <c r="G1283" s="8" t="s">
        <v>4758</v>
      </c>
      <c r="H1283" s="8" t="s">
        <v>4246</v>
      </c>
      <c r="I1283" s="20">
        <v>3.6</v>
      </c>
      <c r="J1283" s="8" t="s">
        <v>4862</v>
      </c>
      <c r="K1283" s="182">
        <v>40313</v>
      </c>
      <c r="L1283" s="8" t="s">
        <v>5743</v>
      </c>
      <c r="M1283" s="8" t="s">
        <v>2814</v>
      </c>
      <c r="N1283" s="38"/>
      <c r="O1283" s="8" t="s">
        <v>3572</v>
      </c>
      <c r="P1283" s="4" t="e">
        <f>VLOOKUP($B1283,'D7 - NDB Impacted SPRF''s'!$E$16:$O$9929,9,FALSE)</f>
        <v>#N/A</v>
      </c>
      <c r="Q1283" s="4" t="e">
        <f>VLOOKUP($B1283,'D7 - NDB Impacted SPRF''s'!$E$16:$O$9929,10,FALSE)</f>
        <v>#N/A</v>
      </c>
      <c r="R1283" s="4" t="e">
        <f>VLOOKUP($B1283,'D7 - NDB Impacted SPRF''s'!$E$16:$O$9929,11,FALSE)</f>
        <v>#N/A</v>
      </c>
      <c r="S1283" s="8"/>
      <c r="T1283" s="310"/>
      <c r="U1283" s="310"/>
      <c r="V1283" s="4"/>
      <c r="W1283" s="4"/>
      <c r="X1283" s="4"/>
      <c r="Y1283" s="4"/>
      <c r="Z1283" s="4"/>
      <c r="AA1283" s="4"/>
      <c r="AB1283" s="383" t="e">
        <f>VLOOKUP($B1283,'D7 - NDB Impacted SPRF''s'!$E$16:$O$9929,4,FALSE)</f>
        <v>#N/A</v>
      </c>
      <c r="AC1283" s="380" t="e">
        <f>VLOOKUP($B1283,'D7 - NDB Impacted SPRF''s'!$E$16:$O$9929,3,FALSE)</f>
        <v>#N/A</v>
      </c>
      <c r="AD1283" s="380" t="e">
        <f>VLOOKUP($B1283,'D7 - NDB Impacted SPRF''s'!$E$16:$O$9929,5,FALSE)</f>
        <v>#N/A</v>
      </c>
      <c r="AE1283" s="380" t="e">
        <f>VLOOKUP($B1283,'D7 - NDB Impacted SPRF''s'!$E$16:$O$9929,7,FALSE)</f>
        <v>#N/A</v>
      </c>
      <c r="AF1283" s="380" t="e">
        <f>VLOOKUP($B1283,'D7 - NDB Impacted SPRF''s'!$E$16:$O$9929,6,FALSE)</f>
        <v>#N/A</v>
      </c>
      <c r="AG1283" s="282"/>
      <c r="AH1283" s="311" t="e">
        <f>INDEX('D5 - Gatekeeper - Projects'!$A$4:$AF$1010,$AM1283, 17)</f>
        <v>#N/A</v>
      </c>
      <c r="AI1283" s="8"/>
      <c r="AJ1283" s="57"/>
      <c r="AK1283" s="105"/>
      <c r="AM1283" s="6" t="e">
        <f>MATCH(D1283,'D5 - Gatekeeper - Projects'!$C$4:$C$1010,0)</f>
        <v>#N/A</v>
      </c>
      <c r="AN1283" s="6" t="b">
        <f t="shared" si="125"/>
        <v>1</v>
      </c>
      <c r="AO1283" s="6" t="str">
        <f t="shared" si="127"/>
        <v>OK</v>
      </c>
      <c r="AQ1283" s="6" t="e">
        <f>MATCH($D1283,'D4 - Provider Council Unsched'!$C$11:$C$234,0)</f>
        <v>#N/A</v>
      </c>
      <c r="AR1283" s="6" t="b">
        <f t="shared" si="126"/>
        <v>1</v>
      </c>
      <c r="AS1283" s="6" t="str">
        <f>IF(AND(H1283="2 - Not Scheduled",AR1283=TRUE),"Add","OK")</f>
        <v>OK</v>
      </c>
      <c r="AU1283" s="202"/>
      <c r="AV1283" s="262"/>
      <c r="AW1283" s="274"/>
    </row>
    <row r="1284" spans="1:49" s="13" customFormat="1" ht="12.75" x14ac:dyDescent="0.2">
      <c r="A1284" s="14">
        <v>1260</v>
      </c>
      <c r="B1284" s="14" t="s">
        <v>5060</v>
      </c>
      <c r="C1284" s="8" t="s">
        <v>5197</v>
      </c>
      <c r="D1284" s="4" t="s">
        <v>5061</v>
      </c>
      <c r="E1284" s="341" t="s">
        <v>4101</v>
      </c>
      <c r="F1284" s="8" t="s">
        <v>2114</v>
      </c>
      <c r="G1284" s="8" t="s">
        <v>4758</v>
      </c>
      <c r="H1284" s="8" t="s">
        <v>4246</v>
      </c>
      <c r="I1284" s="20">
        <v>3.5</v>
      </c>
      <c r="J1284" s="8" t="s">
        <v>4862</v>
      </c>
      <c r="K1284" s="182">
        <v>40313</v>
      </c>
      <c r="L1284" s="8" t="s">
        <v>4156</v>
      </c>
      <c r="M1284" s="8" t="s">
        <v>2814</v>
      </c>
      <c r="N1284" s="38"/>
      <c r="O1284" s="8" t="s">
        <v>3572</v>
      </c>
      <c r="P1284" s="4" t="e">
        <f>VLOOKUP($B1284,'D7 - NDB Impacted SPRF''s'!$E$16:$O$9929,9,FALSE)</f>
        <v>#N/A</v>
      </c>
      <c r="Q1284" s="4" t="e">
        <f>VLOOKUP($B1284,'D7 - NDB Impacted SPRF''s'!$E$16:$O$9929,10,FALSE)</f>
        <v>#N/A</v>
      </c>
      <c r="R1284" s="4" t="e">
        <f>VLOOKUP($B1284,'D7 - NDB Impacted SPRF''s'!$E$16:$O$9929,11,FALSE)</f>
        <v>#N/A</v>
      </c>
      <c r="S1284" s="8"/>
      <c r="T1284" s="310"/>
      <c r="U1284" s="310"/>
      <c r="V1284" s="4"/>
      <c r="W1284" s="4"/>
      <c r="X1284" s="4"/>
      <c r="Y1284" s="4"/>
      <c r="Z1284" s="4"/>
      <c r="AA1284" s="4"/>
      <c r="AB1284" s="383" t="e">
        <f>VLOOKUP($B1284,'D7 - NDB Impacted SPRF''s'!$E$16:$O$9929,4,FALSE)</f>
        <v>#N/A</v>
      </c>
      <c r="AC1284" s="380" t="e">
        <f>VLOOKUP($B1284,'D7 - NDB Impacted SPRF''s'!$E$16:$O$9929,3,FALSE)</f>
        <v>#N/A</v>
      </c>
      <c r="AD1284" s="380" t="e">
        <f>VLOOKUP($B1284,'D7 - NDB Impacted SPRF''s'!$E$16:$O$9929,5,FALSE)</f>
        <v>#N/A</v>
      </c>
      <c r="AE1284" s="380" t="e">
        <f>VLOOKUP($B1284,'D7 - NDB Impacted SPRF''s'!$E$16:$O$9929,7,FALSE)</f>
        <v>#N/A</v>
      </c>
      <c r="AF1284" s="380" t="e">
        <f>VLOOKUP($B1284,'D7 - NDB Impacted SPRF''s'!$E$16:$O$9929,6,FALSE)</f>
        <v>#N/A</v>
      </c>
      <c r="AG1284" s="282"/>
      <c r="AH1284" s="311" t="e">
        <f>INDEX('D5 - Gatekeeper - Projects'!$A$4:$AF$1010,$AM1284, 17)</f>
        <v>#N/A</v>
      </c>
      <c r="AI1284" s="8"/>
      <c r="AJ1284" s="57"/>
      <c r="AK1284" s="105"/>
      <c r="AM1284" s="6" t="e">
        <f>MATCH(D1284,'D5 - Gatekeeper - Projects'!$C$4:$C$1010,0)</f>
        <v>#N/A</v>
      </c>
      <c r="AN1284" s="6" t="b">
        <f t="shared" si="125"/>
        <v>1</v>
      </c>
      <c r="AO1284" s="6" t="str">
        <f t="shared" si="127"/>
        <v>OK</v>
      </c>
      <c r="AQ1284" s="6" t="e">
        <f>MATCH($D1284,'D4 - Provider Council Unsched'!$C$11:$C$234,0)</f>
        <v>#N/A</v>
      </c>
      <c r="AR1284" s="6" t="b">
        <f t="shared" si="126"/>
        <v>1</v>
      </c>
      <c r="AS1284" s="6" t="str">
        <f>IF(AND(H1284="2 - Not Scheduled",AR1284=TRUE),"Add","OK")</f>
        <v>OK</v>
      </c>
      <c r="AU1284" s="202"/>
      <c r="AV1284" s="262"/>
      <c r="AW1284" s="274"/>
    </row>
    <row r="1285" spans="1:49" s="13" customFormat="1" ht="12.75" x14ac:dyDescent="0.2">
      <c r="A1285" s="14">
        <v>1261</v>
      </c>
      <c r="B1285" s="14" t="s">
        <v>2361</v>
      </c>
      <c r="C1285" s="8" t="s">
        <v>5197</v>
      </c>
      <c r="D1285" s="4" t="s">
        <v>2846</v>
      </c>
      <c r="E1285" s="341" t="s">
        <v>2847</v>
      </c>
      <c r="F1285" s="8" t="s">
        <v>2114</v>
      </c>
      <c r="G1285" s="8" t="s">
        <v>4758</v>
      </c>
      <c r="H1285" s="8" t="s">
        <v>4246</v>
      </c>
      <c r="I1285" s="20">
        <v>1.67</v>
      </c>
      <c r="J1285" s="8" t="s">
        <v>4862</v>
      </c>
      <c r="K1285" s="182">
        <v>40313</v>
      </c>
      <c r="L1285" s="8" t="s">
        <v>5743</v>
      </c>
      <c r="M1285" s="8" t="s">
        <v>2814</v>
      </c>
      <c r="N1285" s="38"/>
      <c r="O1285" s="8" t="s">
        <v>3572</v>
      </c>
      <c r="P1285" s="4" t="e">
        <f>VLOOKUP($B1285,'D7 - NDB Impacted SPRF''s'!$E$16:$O$9929,9,FALSE)</f>
        <v>#N/A</v>
      </c>
      <c r="Q1285" s="4" t="e">
        <f>VLOOKUP($B1285,'D7 - NDB Impacted SPRF''s'!$E$16:$O$9929,10,FALSE)</f>
        <v>#N/A</v>
      </c>
      <c r="R1285" s="4" t="e">
        <f>VLOOKUP($B1285,'D7 - NDB Impacted SPRF''s'!$E$16:$O$9929,11,FALSE)</f>
        <v>#N/A</v>
      </c>
      <c r="S1285" s="8"/>
      <c r="T1285" s="310"/>
      <c r="U1285" s="310"/>
      <c r="V1285" s="4"/>
      <c r="W1285" s="4"/>
      <c r="X1285" s="4"/>
      <c r="Y1285" s="4"/>
      <c r="Z1285" s="4"/>
      <c r="AA1285" s="4"/>
      <c r="AB1285" s="383" t="e">
        <f>VLOOKUP($B1285,'D7 - NDB Impacted SPRF''s'!$E$16:$O$9929,4,FALSE)</f>
        <v>#N/A</v>
      </c>
      <c r="AC1285" s="380" t="e">
        <f>VLOOKUP($B1285,'D7 - NDB Impacted SPRF''s'!$E$16:$O$9929,3,FALSE)</f>
        <v>#N/A</v>
      </c>
      <c r="AD1285" s="380" t="e">
        <f>VLOOKUP($B1285,'D7 - NDB Impacted SPRF''s'!$E$16:$O$9929,5,FALSE)</f>
        <v>#N/A</v>
      </c>
      <c r="AE1285" s="380" t="e">
        <f>VLOOKUP($B1285,'D7 - NDB Impacted SPRF''s'!$E$16:$O$9929,7,FALSE)</f>
        <v>#N/A</v>
      </c>
      <c r="AF1285" s="380" t="e">
        <f>VLOOKUP($B1285,'D7 - NDB Impacted SPRF''s'!$E$16:$O$9929,6,FALSE)</f>
        <v>#N/A</v>
      </c>
      <c r="AG1285" s="282"/>
      <c r="AH1285" s="311" t="e">
        <f>INDEX('D5 - Gatekeeper - Projects'!$A$4:$AF$1010,$AM1285, 17)</f>
        <v>#N/A</v>
      </c>
      <c r="AI1285" s="8"/>
      <c r="AJ1285" s="57"/>
      <c r="AK1285" s="105"/>
      <c r="AM1285" s="6" t="e">
        <f>MATCH(D1285,'D5 - Gatekeeper - Projects'!$C$4:$C$1010,0)</f>
        <v>#N/A</v>
      </c>
      <c r="AN1285" s="6" t="b">
        <f t="shared" si="125"/>
        <v>1</v>
      </c>
      <c r="AO1285" s="6" t="str">
        <f t="shared" si="127"/>
        <v>OK</v>
      </c>
      <c r="AQ1285" s="6" t="e">
        <f>MATCH($D1285,'D4 - Provider Council Unsched'!$C$11:$C$234,0)</f>
        <v>#N/A</v>
      </c>
      <c r="AR1285" s="6" t="b">
        <f t="shared" si="126"/>
        <v>1</v>
      </c>
      <c r="AS1285" s="6" t="str">
        <f>IF(AND(H1285="2 - Not Scheduled",AR1285=TRUE),"Add","OK")</f>
        <v>OK</v>
      </c>
      <c r="AU1285" s="202"/>
      <c r="AV1285" s="262"/>
      <c r="AW1285" s="274"/>
    </row>
    <row r="1286" spans="1:49" s="13" customFormat="1" ht="12.75" x14ac:dyDescent="0.2">
      <c r="A1286" s="14">
        <v>1262</v>
      </c>
      <c r="B1286" s="14" t="s">
        <v>2403</v>
      </c>
      <c r="C1286" s="8" t="s">
        <v>5197</v>
      </c>
      <c r="D1286" s="4" t="s">
        <v>2402</v>
      </c>
      <c r="E1286" s="342" t="s">
        <v>2404</v>
      </c>
      <c r="F1286" s="8" t="s">
        <v>2114</v>
      </c>
      <c r="G1286" s="8" t="s">
        <v>4758</v>
      </c>
      <c r="H1286" s="8" t="s">
        <v>4246</v>
      </c>
      <c r="I1286" s="20">
        <v>3.3666666666666667</v>
      </c>
      <c r="J1286" s="8" t="s">
        <v>4862</v>
      </c>
      <c r="K1286" s="182">
        <v>40313</v>
      </c>
      <c r="L1286" s="8" t="s">
        <v>5743</v>
      </c>
      <c r="M1286" s="8" t="s">
        <v>2814</v>
      </c>
      <c r="N1286" s="38"/>
      <c r="O1286" s="8" t="s">
        <v>3572</v>
      </c>
      <c r="P1286" s="4" t="e">
        <f>VLOOKUP($B1286,'D7 - NDB Impacted SPRF''s'!$E$16:$O$9929,9,FALSE)</f>
        <v>#N/A</v>
      </c>
      <c r="Q1286" s="4" t="e">
        <f>VLOOKUP($B1286,'D7 - NDB Impacted SPRF''s'!$E$16:$O$9929,10,FALSE)</f>
        <v>#N/A</v>
      </c>
      <c r="R1286" s="4" t="e">
        <f>VLOOKUP($B1286,'D7 - NDB Impacted SPRF''s'!$E$16:$O$9929,11,FALSE)</f>
        <v>#N/A</v>
      </c>
      <c r="S1286" s="8"/>
      <c r="T1286" s="310"/>
      <c r="U1286" s="310"/>
      <c r="V1286" s="4"/>
      <c r="W1286" s="4"/>
      <c r="X1286" s="4"/>
      <c r="Y1286" s="4"/>
      <c r="Z1286" s="4"/>
      <c r="AA1286" s="4"/>
      <c r="AB1286" s="383" t="e">
        <f>VLOOKUP($B1286,'D7 - NDB Impacted SPRF''s'!$E$16:$O$9929,4,FALSE)</f>
        <v>#N/A</v>
      </c>
      <c r="AC1286" s="380" t="e">
        <f>VLOOKUP($B1286,'D7 - NDB Impacted SPRF''s'!$E$16:$O$9929,3,FALSE)</f>
        <v>#N/A</v>
      </c>
      <c r="AD1286" s="380" t="e">
        <f>VLOOKUP($B1286,'D7 - NDB Impacted SPRF''s'!$E$16:$O$9929,5,FALSE)</f>
        <v>#N/A</v>
      </c>
      <c r="AE1286" s="380" t="e">
        <f>VLOOKUP($B1286,'D7 - NDB Impacted SPRF''s'!$E$16:$O$9929,7,FALSE)</f>
        <v>#N/A</v>
      </c>
      <c r="AF1286" s="380" t="e">
        <f>VLOOKUP($B1286,'D7 - NDB Impacted SPRF''s'!$E$16:$O$9929,6,FALSE)</f>
        <v>#N/A</v>
      </c>
      <c r="AG1286" s="282"/>
      <c r="AH1286" s="311" t="e">
        <f>INDEX('D5 - Gatekeeper - Projects'!$A$4:$AF$1010,$AM1286, 17)</f>
        <v>#N/A</v>
      </c>
      <c r="AI1286" s="8"/>
      <c r="AJ1286" s="57"/>
      <c r="AK1286" s="105"/>
      <c r="AM1286" s="6" t="e">
        <f>MATCH(D1286,'D5 - Gatekeeper - Projects'!$C$4:$C$1010,0)</f>
        <v>#N/A</v>
      </c>
      <c r="AN1286" s="6" t="b">
        <f t="shared" si="125"/>
        <v>1</v>
      </c>
      <c r="AO1286" s="6" t="str">
        <f t="shared" si="127"/>
        <v>OK</v>
      </c>
      <c r="AQ1286" s="6" t="e">
        <f>MATCH($D1286,'D4 - Provider Council Unsched'!$C$11:$C$234,0)</f>
        <v>#N/A</v>
      </c>
      <c r="AR1286" s="6" t="b">
        <f t="shared" si="126"/>
        <v>1</v>
      </c>
      <c r="AS1286" s="6" t="str">
        <f>IF(AND(H1286="2 - Not Scheduled",AR1286=TRUE),"Add","OK")</f>
        <v>OK</v>
      </c>
      <c r="AU1286" s="202">
        <v>40266</v>
      </c>
      <c r="AV1286" s="262"/>
      <c r="AW1286" s="274"/>
    </row>
    <row r="1287" spans="1:49" s="13" customFormat="1" ht="12.75" x14ac:dyDescent="0.2">
      <c r="A1287" s="14">
        <v>1263</v>
      </c>
      <c r="B1287" s="14" t="s">
        <v>2382</v>
      </c>
      <c r="C1287" s="8" t="s">
        <v>5197</v>
      </c>
      <c r="D1287" s="4" t="s">
        <v>2383</v>
      </c>
      <c r="E1287" s="342" t="s">
        <v>2384</v>
      </c>
      <c r="F1287" s="8" t="s">
        <v>2114</v>
      </c>
      <c r="G1287" s="8" t="s">
        <v>4758</v>
      </c>
      <c r="H1287" s="8" t="s">
        <v>4246</v>
      </c>
      <c r="I1287" s="20">
        <v>0.26666666666666666</v>
      </c>
      <c r="J1287" s="8" t="s">
        <v>4862</v>
      </c>
      <c r="K1287" s="182">
        <v>40313</v>
      </c>
      <c r="L1287" s="8" t="s">
        <v>5743</v>
      </c>
      <c r="M1287" s="8" t="s">
        <v>6688</v>
      </c>
      <c r="N1287" s="38"/>
      <c r="O1287" s="8" t="s">
        <v>3572</v>
      </c>
      <c r="P1287" s="4" t="e">
        <f>VLOOKUP($B1287,'D7 - NDB Impacted SPRF''s'!$E$16:$O$9929,9,FALSE)</f>
        <v>#N/A</v>
      </c>
      <c r="Q1287" s="4" t="e">
        <f>VLOOKUP($B1287,'D7 - NDB Impacted SPRF''s'!$E$16:$O$9929,10,FALSE)</f>
        <v>#N/A</v>
      </c>
      <c r="R1287" s="4" t="e">
        <f>VLOOKUP($B1287,'D7 - NDB Impacted SPRF''s'!$E$16:$O$9929,11,FALSE)</f>
        <v>#N/A</v>
      </c>
      <c r="S1287" s="8"/>
      <c r="T1287" s="310"/>
      <c r="U1287" s="310"/>
      <c r="V1287" s="4"/>
      <c r="W1287" s="4"/>
      <c r="X1287" s="4"/>
      <c r="Y1287" s="4"/>
      <c r="Z1287" s="4"/>
      <c r="AA1287" s="4"/>
      <c r="AB1287" s="383" t="e">
        <f>VLOOKUP($B1287,'D7 - NDB Impacted SPRF''s'!$E$16:$O$9929,4,FALSE)</f>
        <v>#N/A</v>
      </c>
      <c r="AC1287" s="380" t="e">
        <f>VLOOKUP($B1287,'D7 - NDB Impacted SPRF''s'!$E$16:$O$9929,3,FALSE)</f>
        <v>#N/A</v>
      </c>
      <c r="AD1287" s="380" t="e">
        <f>VLOOKUP($B1287,'D7 - NDB Impacted SPRF''s'!$E$16:$O$9929,5,FALSE)</f>
        <v>#N/A</v>
      </c>
      <c r="AE1287" s="380" t="e">
        <f>VLOOKUP($B1287,'D7 - NDB Impacted SPRF''s'!$E$16:$O$9929,7,FALSE)</f>
        <v>#N/A</v>
      </c>
      <c r="AF1287" s="380" t="e">
        <f>VLOOKUP($B1287,'D7 - NDB Impacted SPRF''s'!$E$16:$O$9929,6,FALSE)</f>
        <v>#N/A</v>
      </c>
      <c r="AG1287" s="282"/>
      <c r="AH1287" s="311" t="e">
        <f>INDEX('D5 - Gatekeeper - Projects'!$A$4:$AF$1010,$AM1287, 17)</f>
        <v>#N/A</v>
      </c>
      <c r="AI1287" s="8"/>
      <c r="AJ1287" s="57"/>
      <c r="AK1287" s="105"/>
      <c r="AM1287" s="6" t="e">
        <f>MATCH(D1287,'D5 - Gatekeeper - Projects'!$C$4:$C$1010,0)</f>
        <v>#N/A</v>
      </c>
      <c r="AN1287" s="6" t="b">
        <f t="shared" si="125"/>
        <v>1</v>
      </c>
      <c r="AO1287" s="6" t="str">
        <f t="shared" si="127"/>
        <v>OK</v>
      </c>
      <c r="AQ1287" s="6" t="e">
        <f>MATCH($D1287,'D4 - Provider Council Unsched'!$C$11:$C$234,0)</f>
        <v>#N/A</v>
      </c>
      <c r="AR1287" s="6" t="b">
        <f t="shared" si="126"/>
        <v>1</v>
      </c>
      <c r="AS1287" s="6" t="str">
        <f>IF(AND(H1287="2 - Not Scheduled",AR1287=TRUE),"Add","OK")</f>
        <v>OK</v>
      </c>
      <c r="AU1287" s="202">
        <v>40266</v>
      </c>
      <c r="AV1287" s="262"/>
      <c r="AW1287" s="274"/>
    </row>
    <row r="1288" spans="1:49" s="13" customFormat="1" ht="45" x14ac:dyDescent="0.2">
      <c r="A1288" s="14">
        <v>1264</v>
      </c>
      <c r="B1288" s="14">
        <v>400030448</v>
      </c>
      <c r="C1288" s="8" t="s">
        <v>3763</v>
      </c>
      <c r="D1288" s="4" t="str">
        <f t="shared" ref="D1288:D1327" si="131">CONCATENATE(B1288,C1288)</f>
        <v>400030448R2</v>
      </c>
      <c r="E1288" s="309" t="str">
        <f>VLOOKUP($B1288,'D7 - NDB Impacted SPRF''s'!$E$6:$O$9929,2,FALSE)</f>
        <v>PDR - Loading UBH Providers in NDB</v>
      </c>
      <c r="F1288" s="8" t="s">
        <v>5595</v>
      </c>
      <c r="G1288" s="8" t="s">
        <v>4758</v>
      </c>
      <c r="H1288" s="8" t="s">
        <v>4246</v>
      </c>
      <c r="I1288" s="20">
        <v>34.24</v>
      </c>
      <c r="J1288" s="8" t="s">
        <v>4862</v>
      </c>
      <c r="K1288" s="182">
        <v>40319</v>
      </c>
      <c r="L1288" s="8" t="s">
        <v>4156</v>
      </c>
      <c r="M1288" s="8" t="s">
        <v>2814</v>
      </c>
      <c r="N1288" s="38"/>
      <c r="O1288" s="8" t="s">
        <v>1074</v>
      </c>
      <c r="P1288" s="4" t="str">
        <f>VLOOKUP($B1288,'D7 - NDB Impacted SPRF''s'!$E$16:$O$9929,9,FALSE)</f>
        <v>N</v>
      </c>
      <c r="Q1288" s="4" t="str">
        <f>VLOOKUP($B1288,'D7 - NDB Impacted SPRF''s'!$E$16:$O$9929,10,FALSE)</f>
        <v>N</v>
      </c>
      <c r="R1288" s="4" t="str">
        <f>VLOOKUP($B1288,'D7 - NDB Impacted SPRF''s'!$E$16:$O$9929,11,FALSE)</f>
        <v>N</v>
      </c>
      <c r="S1288" s="8"/>
      <c r="T1288" s="310"/>
      <c r="U1288" s="310"/>
      <c r="V1288" s="4"/>
      <c r="W1288" s="4"/>
      <c r="X1288" s="4"/>
      <c r="Y1288" s="4"/>
      <c r="Z1288" s="4"/>
      <c r="AA1288" s="4"/>
      <c r="AB1288" s="380" t="str">
        <f>VLOOKUP($B1288,'D7 - NDB Impacted SPRF''s'!$E$6:$O$9929,4,FALSE)</f>
        <v>Completed</v>
      </c>
      <c r="AC1288" s="380" t="str">
        <f>VLOOKUP($B1288,'D7 - NDB Impacted SPRF''s'!$E$6:$O$9929,3,FALSE)</f>
        <v>UHG IT - Enterprise Technology Services</v>
      </c>
      <c r="AD1288" s="380" t="str">
        <f>VLOOKUP($B1288,'D7 - NDB Impacted SPRF''s'!$E$6:$O$9929,5,FALSE)</f>
        <v>Strategic Initiatives</v>
      </c>
      <c r="AE1288" s="380" t="str">
        <f>VLOOKUP($B1288,'D7 - NDB Impacted SPRF''s'!$E$6:$O$9929,7,FALSE)</f>
        <v>Dave Wichmann</v>
      </c>
      <c r="AF1288" s="380" t="str">
        <f>VLOOKUP($B1288,'D7 - NDB Impacted SPRF''s'!$E$6:$O$9929,6,FALSE)</f>
        <v>Nicole Cartwright</v>
      </c>
      <c r="AG1288" s="282"/>
      <c r="AH1288" s="311" t="e">
        <f>INDEX('D5 - Gatekeeper - Projects'!$A$4:$AF$1010,$AM1288, 17)</f>
        <v>#N/A</v>
      </c>
      <c r="AI1288" s="8"/>
      <c r="AJ1288" s="57"/>
      <c r="AK1288" s="105"/>
      <c r="AM1288" s="6" t="e">
        <f>MATCH(D1288,'D5 - Gatekeeper - Projects'!$C$4:$C$1010,0)</f>
        <v>#N/A</v>
      </c>
      <c r="AN1288" s="6" t="b">
        <f t="shared" si="125"/>
        <v>1</v>
      </c>
      <c r="AO1288" s="216" t="str">
        <f t="shared" si="127"/>
        <v>OK</v>
      </c>
      <c r="AQ1288" s="6" t="e">
        <f>MATCH($D1288,'D4 - Provider Council Unsched'!$C$11:$C$234,0)</f>
        <v>#N/A</v>
      </c>
      <c r="AR1288" s="6" t="b">
        <f t="shared" si="126"/>
        <v>1</v>
      </c>
      <c r="AS1288" s="6" t="str">
        <f t="shared" ref="AS1288:AS1299" si="132">IF(AND(H1288="2 - Not Scheduled",AR1288=TRUE,C1288="R1"),"Add","OK")</f>
        <v>OK</v>
      </c>
      <c r="AU1288" s="202"/>
      <c r="AV1288" s="262"/>
      <c r="AW1288" s="274"/>
    </row>
    <row r="1289" spans="1:49" s="13" customFormat="1" ht="45" x14ac:dyDescent="0.2">
      <c r="A1289" s="14">
        <v>1265</v>
      </c>
      <c r="B1289" s="14">
        <v>400028780</v>
      </c>
      <c r="C1289" s="8" t="s">
        <v>2449</v>
      </c>
      <c r="D1289" s="4" t="str">
        <f t="shared" si="131"/>
        <v>400028780R3</v>
      </c>
      <c r="E1289" s="309" t="str">
        <f>VLOOKUP($B1289,'D7 - NDB Impacted SPRF''s'!$E$6:$O$9929,2,FALSE)</f>
        <v>Create COSMOS Batch for NDB in A, B, C, &amp; Master</v>
      </c>
      <c r="F1289" s="8" t="s">
        <v>8133</v>
      </c>
      <c r="G1289" s="8" t="s">
        <v>4758</v>
      </c>
      <c r="H1289" s="8" t="s">
        <v>4246</v>
      </c>
      <c r="I1289" s="20">
        <v>1</v>
      </c>
      <c r="J1289" s="8" t="s">
        <v>4862</v>
      </c>
      <c r="K1289" s="182">
        <v>40355</v>
      </c>
      <c r="L1289" s="8" t="s">
        <v>5743</v>
      </c>
      <c r="M1289" s="8" t="s">
        <v>5626</v>
      </c>
      <c r="N1289" s="38"/>
      <c r="O1289" s="8" t="s">
        <v>4599</v>
      </c>
      <c r="P1289" s="4" t="str">
        <f>VLOOKUP($B1289,'D7 - NDB Impacted SPRF''s'!$E$16:$O$9929,9,FALSE)</f>
        <v>N</v>
      </c>
      <c r="Q1289" s="4" t="str">
        <f>VLOOKUP($B1289,'D7 - NDB Impacted SPRF''s'!$E$16:$O$9929,10,FALSE)</f>
        <v>N</v>
      </c>
      <c r="R1289" s="4" t="str">
        <f>VLOOKUP($B1289,'D7 - NDB Impacted SPRF''s'!$E$16:$O$9929,11,FALSE)</f>
        <v>N</v>
      </c>
      <c r="S1289" s="8"/>
      <c r="T1289" s="310"/>
      <c r="U1289" s="310"/>
      <c r="V1289" s="4"/>
      <c r="W1289" s="4"/>
      <c r="X1289" s="4"/>
      <c r="Y1289" s="4"/>
      <c r="Z1289" s="4"/>
      <c r="AA1289" s="4"/>
      <c r="AB1289" s="380" t="str">
        <f>VLOOKUP($B1289,'D7 - NDB Impacted SPRF''s'!$E$16:$O$9929,4,FALSE)</f>
        <v>Completed</v>
      </c>
      <c r="AC1289" s="380" t="str">
        <f>VLOOKUP($B1289,'D7 - NDB Impacted SPRF''s'!$E$16:$O$9929,3,FALSE)</f>
        <v>UHG IT - Enterprise Technology Services</v>
      </c>
      <c r="AD1289" s="380" t="str">
        <f>VLOOKUP($B1289,'D7 - NDB Impacted SPRF''s'!$E$16:$O$9929,5,FALSE)</f>
        <v>ASG</v>
      </c>
      <c r="AE1289" s="380" t="str">
        <f>VLOOKUP($B1289,'D7 - NDB Impacted SPRF''s'!$E$16:$O$9929,7,FALSE)</f>
        <v>Bob Preston</v>
      </c>
      <c r="AF1289" s="380" t="str">
        <f>VLOOKUP($B1289,'D7 - NDB Impacted SPRF''s'!$E$16:$O$9929,6,FALSE)</f>
        <v>EDWARD SIWICKI</v>
      </c>
      <c r="AG1289" s="282"/>
      <c r="AH1289" s="311" t="e">
        <f>INDEX('D5 - Gatekeeper - Projects'!$A$4:$AF$1010,$AM1289, 17)</f>
        <v>#N/A</v>
      </c>
      <c r="AI1289" s="8"/>
      <c r="AJ1289" s="57"/>
      <c r="AK1289" s="105"/>
      <c r="AM1289" s="6" t="e">
        <f>MATCH(D1289,'D5 - Gatekeeper - Projects'!$C$4:$C$1010,0)</f>
        <v>#N/A</v>
      </c>
      <c r="AN1289" s="6" t="b">
        <f t="shared" si="125"/>
        <v>1</v>
      </c>
      <c r="AO1289" s="6" t="str">
        <f t="shared" si="127"/>
        <v>OK</v>
      </c>
      <c r="AQ1289" s="6" t="e">
        <f>MATCH($D1289,'D4 - Provider Council Unsched'!$C$11:$C$234,0)</f>
        <v>#N/A</v>
      </c>
      <c r="AR1289" s="6" t="b">
        <f t="shared" si="126"/>
        <v>1</v>
      </c>
      <c r="AS1289" s="6" t="str">
        <f t="shared" si="132"/>
        <v>OK</v>
      </c>
      <c r="AU1289" s="202"/>
      <c r="AV1289" s="262"/>
      <c r="AW1289" s="274"/>
    </row>
    <row r="1290" spans="1:49" s="13" customFormat="1" ht="33.75" x14ac:dyDescent="0.2">
      <c r="A1290" s="14">
        <v>1266</v>
      </c>
      <c r="B1290" s="14">
        <v>400030515</v>
      </c>
      <c r="C1290" s="8" t="s">
        <v>5197</v>
      </c>
      <c r="D1290" s="4" t="str">
        <f t="shared" si="131"/>
        <v>400030515R1</v>
      </c>
      <c r="E1290" s="309" t="str">
        <f>VLOOKUP($B1290,'D7 - NDB Impacted SPRF''s'!$E$6:$O$9929,2,FALSE)</f>
        <v>Enterprise Capitation – MAHP R2: Implementation</v>
      </c>
      <c r="F1290" s="8" t="s">
        <v>2463</v>
      </c>
      <c r="G1290" s="8" t="s">
        <v>4758</v>
      </c>
      <c r="H1290" s="8" t="s">
        <v>4246</v>
      </c>
      <c r="I1290" s="20">
        <v>1.07</v>
      </c>
      <c r="J1290" s="8" t="s">
        <v>4862</v>
      </c>
      <c r="K1290" s="182">
        <v>40355</v>
      </c>
      <c r="L1290" s="8" t="s">
        <v>4156</v>
      </c>
      <c r="M1290" s="8" t="s">
        <v>5626</v>
      </c>
      <c r="N1290" s="38"/>
      <c r="O1290" s="8" t="s">
        <v>2000</v>
      </c>
      <c r="P1290" s="4" t="str">
        <f>VLOOKUP($B1290,'D7 - NDB Impacted SPRF''s'!$E$16:$O$9929,9,FALSE)</f>
        <v>N</v>
      </c>
      <c r="Q1290" s="4" t="str">
        <f>VLOOKUP($B1290,'D7 - NDB Impacted SPRF''s'!$E$16:$O$9929,10,FALSE)</f>
        <v>N</v>
      </c>
      <c r="R1290" s="4" t="str">
        <f>VLOOKUP($B1290,'D7 - NDB Impacted SPRF''s'!$E$16:$O$9929,11,FALSE)</f>
        <v>N</v>
      </c>
      <c r="S1290" s="8"/>
      <c r="T1290" s="310"/>
      <c r="U1290" s="310"/>
      <c r="V1290" s="4"/>
      <c r="W1290" s="4"/>
      <c r="X1290" s="4"/>
      <c r="Y1290" s="4"/>
      <c r="Z1290" s="4"/>
      <c r="AA1290" s="4"/>
      <c r="AB1290" s="380" t="str">
        <f>VLOOKUP($B1290,'D7 - NDB Impacted SPRF''s'!$E$6:$O$9929,4,FALSE)</f>
        <v>Completed</v>
      </c>
      <c r="AC1290" s="380" t="str">
        <f>VLOOKUP($B1290,'D7 - NDB Impacted SPRF''s'!$E$6:$O$9929,3,FALSE)</f>
        <v>UnitedHealthcare Employer &amp; Individual</v>
      </c>
      <c r="AD1290" s="380" t="str">
        <f>VLOOKUP($B1290,'D7 - NDB Impacted SPRF''s'!$E$6:$O$9929,5,FALSE)</f>
        <v>Integration Requirements</v>
      </c>
      <c r="AE1290" s="380" t="str">
        <f>VLOOKUP($B1290,'D7 - NDB Impacted SPRF''s'!$E$6:$O$9929,7,FALSE)</f>
        <v>Geno Tenace</v>
      </c>
      <c r="AF1290" s="380" t="str">
        <f>VLOOKUP($B1290,'D7 - NDB Impacted SPRF''s'!$E$6:$O$9929,6,FALSE)</f>
        <v>Delana Anderson</v>
      </c>
      <c r="AG1290" s="282"/>
      <c r="AH1290" s="311" t="e">
        <f>INDEX('D5 - Gatekeeper - Projects'!$A$4:$AF$1010,$AM1290, 17)</f>
        <v>#N/A</v>
      </c>
      <c r="AI1290" s="8"/>
      <c r="AJ1290" s="57"/>
      <c r="AK1290" s="57"/>
      <c r="AM1290" s="6" t="e">
        <f>MATCH(D1290,'D5 - Gatekeeper - Projects'!$C$4:$C$1010,0)</f>
        <v>#N/A</v>
      </c>
      <c r="AN1290" s="6" t="b">
        <f t="shared" si="125"/>
        <v>1</v>
      </c>
      <c r="AO1290" s="6" t="str">
        <f t="shared" si="127"/>
        <v>OK</v>
      </c>
      <c r="AQ1290" s="6" t="e">
        <f>MATCH($D1290,'D4 - Provider Council Unsched'!$C$11:$C$234,0)</f>
        <v>#N/A</v>
      </c>
      <c r="AR1290" s="6" t="b">
        <f t="shared" si="126"/>
        <v>1</v>
      </c>
      <c r="AS1290" s="6" t="str">
        <f t="shared" si="132"/>
        <v>OK</v>
      </c>
      <c r="AU1290" s="202"/>
      <c r="AV1290" s="262"/>
      <c r="AW1290" s="274"/>
    </row>
    <row r="1291" spans="1:49" s="13" customFormat="1" ht="33.75" x14ac:dyDescent="0.2">
      <c r="A1291" s="14">
        <v>1267</v>
      </c>
      <c r="B1291" s="14">
        <v>400031064</v>
      </c>
      <c r="C1291" s="8" t="s">
        <v>5197</v>
      </c>
      <c r="D1291" s="4" t="str">
        <f t="shared" si="131"/>
        <v>400031064R1</v>
      </c>
      <c r="E1291" s="309" t="str">
        <f>VLOOKUP($B1291,'D7 - NDB Impacted SPRF''s'!$E$6:$O$9929,2,FALSE)</f>
        <v>PHS NICE  -Members Assigned to Closed PCP Panels</v>
      </c>
      <c r="F1291" s="8" t="s">
        <v>2114</v>
      </c>
      <c r="G1291" s="8" t="s">
        <v>4758</v>
      </c>
      <c r="H1291" s="8" t="s">
        <v>4246</v>
      </c>
      <c r="I1291" s="20">
        <v>3.77</v>
      </c>
      <c r="J1291" s="8" t="s">
        <v>4862</v>
      </c>
      <c r="K1291" s="182">
        <v>40355</v>
      </c>
      <c r="L1291" s="8" t="s">
        <v>4156</v>
      </c>
      <c r="M1291" s="8" t="s">
        <v>2814</v>
      </c>
      <c r="N1291" s="38"/>
      <c r="O1291" s="8" t="s">
        <v>2875</v>
      </c>
      <c r="P1291" s="4" t="str">
        <f>VLOOKUP($B1291,'D7 - NDB Impacted SPRF''s'!$E$16:$O$9929,9,FALSE)</f>
        <v>N</v>
      </c>
      <c r="Q1291" s="4" t="str">
        <f>VLOOKUP($B1291,'D7 - NDB Impacted SPRF''s'!$E$16:$O$9929,10,FALSE)</f>
        <v>N</v>
      </c>
      <c r="R1291" s="4" t="str">
        <f>VLOOKUP($B1291,'D7 - NDB Impacted SPRF''s'!$E$16:$O$9929,11,FALSE)</f>
        <v>N</v>
      </c>
      <c r="S1291" s="8"/>
      <c r="T1291" s="310"/>
      <c r="U1291" s="310"/>
      <c r="V1291" s="4"/>
      <c r="W1291" s="4"/>
      <c r="X1291" s="4"/>
      <c r="Y1291" s="4"/>
      <c r="Z1291" s="4"/>
      <c r="AA1291" s="4"/>
      <c r="AB1291" s="380" t="str">
        <f>VLOOKUP($B1291,'D7 - NDB Impacted SPRF''s'!$E$6:$O$9929,4,FALSE)</f>
        <v>Completed</v>
      </c>
      <c r="AC1291" s="380" t="str">
        <f>VLOOKUP($B1291,'D7 - NDB Impacted SPRF''s'!$E$6:$O$9929,3,FALSE)</f>
        <v>UnitedHealthcare Employer &amp; Individual</v>
      </c>
      <c r="AD1291" s="380" t="str">
        <f>VLOOKUP($B1291,'D7 - NDB Impacted SPRF''s'!$E$6:$O$9929,5,FALSE)</f>
        <v>Integration Requirements</v>
      </c>
      <c r="AE1291" s="380" t="str">
        <f>VLOOKUP($B1291,'D7 - NDB Impacted SPRF''s'!$E$6:$O$9929,7,FALSE)</f>
        <v>Diane Schofield</v>
      </c>
      <c r="AF1291" s="380" t="str">
        <f>VLOOKUP($B1291,'D7 - NDB Impacted SPRF''s'!$E$6:$O$9929,6,FALSE)</f>
        <v>KAREN MCKINNEY</v>
      </c>
      <c r="AG1291" s="282"/>
      <c r="AH1291" s="311" t="e">
        <f>INDEX('D5 - Gatekeeper - Projects'!$A$4:$AF$1010,$AM1291, 17)</f>
        <v>#N/A</v>
      </c>
      <c r="AI1291" s="8"/>
      <c r="AJ1291" s="57"/>
      <c r="AK1291" s="105"/>
      <c r="AM1291" s="6" t="e">
        <f>MATCH(D1291,'D5 - Gatekeeper - Projects'!$C$4:$C$1010,0)</f>
        <v>#N/A</v>
      </c>
      <c r="AN1291" s="6" t="b">
        <f t="shared" si="125"/>
        <v>1</v>
      </c>
      <c r="AO1291" s="6" t="str">
        <f t="shared" si="127"/>
        <v>OK</v>
      </c>
      <c r="AQ1291" s="6" t="e">
        <f>MATCH($D1291,'D4 - Provider Council Unsched'!$C$11:$C$234,0)</f>
        <v>#N/A</v>
      </c>
      <c r="AR1291" s="6" t="b">
        <f t="shared" si="126"/>
        <v>1</v>
      </c>
      <c r="AS1291" s="6" t="str">
        <f t="shared" si="132"/>
        <v>OK</v>
      </c>
      <c r="AU1291" s="202"/>
      <c r="AV1291" s="262"/>
      <c r="AW1291" s="274"/>
    </row>
    <row r="1292" spans="1:49" s="13" customFormat="1" ht="45" x14ac:dyDescent="0.2">
      <c r="A1292" s="14">
        <v>1268</v>
      </c>
      <c r="B1292" s="14">
        <v>400031437</v>
      </c>
      <c r="C1292" s="8" t="s">
        <v>5197</v>
      </c>
      <c r="D1292" s="4" t="str">
        <f t="shared" si="131"/>
        <v>400031437R1</v>
      </c>
      <c r="E1292" s="309" t="str">
        <f>VLOOKUP($B1292,'D7 - NDB Impacted SPRF''s'!$E$6:$O$9929,2,FALSE)</f>
        <v>PDR - Manual Provider Pick on Claims Highway</v>
      </c>
      <c r="F1292" s="8" t="s">
        <v>5595</v>
      </c>
      <c r="G1292" s="8" t="s">
        <v>4758</v>
      </c>
      <c r="H1292" s="8" t="s">
        <v>4246</v>
      </c>
      <c r="I1292" s="20">
        <v>15.32</v>
      </c>
      <c r="J1292" s="8" t="s">
        <v>4862</v>
      </c>
      <c r="K1292" s="182">
        <v>40355</v>
      </c>
      <c r="L1292" s="8" t="s">
        <v>4156</v>
      </c>
      <c r="M1292" s="8" t="s">
        <v>2814</v>
      </c>
      <c r="N1292" s="38"/>
      <c r="O1292" s="8" t="s">
        <v>4019</v>
      </c>
      <c r="P1292" s="4" t="str">
        <f>VLOOKUP($B1292,'D7 - NDB Impacted SPRF''s'!$E$16:$O$9929,9,FALSE)</f>
        <v>Y</v>
      </c>
      <c r="Q1292" s="4" t="str">
        <f>VLOOKUP($B1292,'D7 - NDB Impacted SPRF''s'!$E$16:$O$9929,10,FALSE)</f>
        <v>N</v>
      </c>
      <c r="R1292" s="4" t="str">
        <f>VLOOKUP($B1292,'D7 - NDB Impacted SPRF''s'!$E$16:$O$9929,11,FALSE)</f>
        <v>N</v>
      </c>
      <c r="S1292" s="8"/>
      <c r="T1292" s="310"/>
      <c r="U1292" s="310"/>
      <c r="V1292" s="4"/>
      <c r="W1292" s="4"/>
      <c r="X1292" s="4"/>
      <c r="Y1292" s="4"/>
      <c r="Z1292" s="4"/>
      <c r="AA1292" s="4"/>
      <c r="AB1292" s="380" t="str">
        <f>VLOOKUP($B1292,'D7 - NDB Impacted SPRF''s'!$E$6:$O$9929,4,FALSE)</f>
        <v>Completed</v>
      </c>
      <c r="AC1292" s="380" t="str">
        <f>VLOOKUP($B1292,'D7 - NDB Impacted SPRF''s'!$E$6:$O$9929,3,FALSE)</f>
        <v>UHG IT - Enterprise Technology Services</v>
      </c>
      <c r="AD1292" s="380" t="str">
        <f>VLOOKUP($B1292,'D7 - NDB Impacted SPRF''s'!$E$6:$O$9929,5,FALSE)</f>
        <v>Strategic Initiatives</v>
      </c>
      <c r="AE1292" s="380" t="str">
        <f>VLOOKUP($B1292,'D7 - NDB Impacted SPRF''s'!$E$6:$O$9929,7,FALSE)</f>
        <v>Dave Wichmann</v>
      </c>
      <c r="AF1292" s="380" t="str">
        <f>VLOOKUP($B1292,'D7 - NDB Impacted SPRF''s'!$E$6:$O$9929,6,FALSE)</f>
        <v>Brenda Colwill</v>
      </c>
      <c r="AG1292" s="282"/>
      <c r="AH1292" s="311" t="e">
        <f>INDEX('D5 - Gatekeeper - Projects'!$A$4:$AF$1010,$AM1292, 17)</f>
        <v>#N/A</v>
      </c>
      <c r="AI1292" s="8"/>
      <c r="AJ1292" s="57"/>
      <c r="AK1292" s="105"/>
      <c r="AM1292" s="6" t="e">
        <f>MATCH(D1292,'D5 - Gatekeeper - Projects'!$C$4:$C$1010,0)</f>
        <v>#N/A</v>
      </c>
      <c r="AN1292" s="6" t="b">
        <f t="shared" si="125"/>
        <v>1</v>
      </c>
      <c r="AO1292" s="6" t="str">
        <f t="shared" si="127"/>
        <v>OK</v>
      </c>
      <c r="AQ1292" s="6" t="e">
        <f>MATCH($D1292,'D4 - Provider Council Unsched'!$C$11:$C$234,0)</f>
        <v>#N/A</v>
      </c>
      <c r="AR1292" s="6" t="b">
        <f t="shared" si="126"/>
        <v>1</v>
      </c>
      <c r="AS1292" s="6" t="str">
        <f t="shared" si="132"/>
        <v>OK</v>
      </c>
      <c r="AU1292" s="202"/>
      <c r="AV1292" s="262"/>
      <c r="AW1292" s="274"/>
    </row>
    <row r="1293" spans="1:49" s="13" customFormat="1" ht="45" x14ac:dyDescent="0.2">
      <c r="A1293" s="14">
        <v>1269</v>
      </c>
      <c r="B1293" s="14">
        <v>400031437</v>
      </c>
      <c r="C1293" s="8" t="s">
        <v>1992</v>
      </c>
      <c r="D1293" s="4" t="str">
        <f t="shared" si="131"/>
        <v>400031437U1</v>
      </c>
      <c r="E1293" s="309" t="str">
        <f>VLOOKUP($B1293,'D7 - NDB Impacted SPRF''s'!$E$6:$O$9929,2,FALSE)</f>
        <v>PDR - Manual Provider Pick on Claims Highway</v>
      </c>
      <c r="F1293" s="8" t="s">
        <v>5595</v>
      </c>
      <c r="G1293" s="8" t="s">
        <v>4758</v>
      </c>
      <c r="H1293" s="8" t="s">
        <v>4246</v>
      </c>
      <c r="I1293" s="20">
        <v>1.2</v>
      </c>
      <c r="J1293" s="8" t="s">
        <v>4862</v>
      </c>
      <c r="K1293" s="182">
        <v>40355</v>
      </c>
      <c r="L1293" s="8" t="s">
        <v>4156</v>
      </c>
      <c r="M1293" s="8" t="s">
        <v>2814</v>
      </c>
      <c r="N1293" s="38"/>
      <c r="O1293" s="8" t="s">
        <v>4019</v>
      </c>
      <c r="P1293" s="4" t="str">
        <f>VLOOKUP($B1293,'D7 - NDB Impacted SPRF''s'!$E$16:$O$9929,9,FALSE)</f>
        <v>Y</v>
      </c>
      <c r="Q1293" s="4" t="str">
        <f>VLOOKUP($B1293,'D7 - NDB Impacted SPRF''s'!$E$16:$O$9929,10,FALSE)</f>
        <v>N</v>
      </c>
      <c r="R1293" s="4" t="str">
        <f>VLOOKUP($B1293,'D7 - NDB Impacted SPRF''s'!$E$16:$O$9929,11,FALSE)</f>
        <v>N</v>
      </c>
      <c r="S1293" s="8"/>
      <c r="T1293" s="310"/>
      <c r="U1293" s="310"/>
      <c r="V1293" s="4"/>
      <c r="W1293" s="4"/>
      <c r="X1293" s="4"/>
      <c r="Y1293" s="4"/>
      <c r="Z1293" s="4"/>
      <c r="AA1293" s="4"/>
      <c r="AB1293" s="380" t="str">
        <f>VLOOKUP($B1293,'D7 - NDB Impacted SPRF''s'!$E$6:$O$9929,4,FALSE)</f>
        <v>Completed</v>
      </c>
      <c r="AC1293" s="380" t="str">
        <f>VLOOKUP($B1293,'D7 - NDB Impacted SPRF''s'!$E$6:$O$9929,3,FALSE)</f>
        <v>UHG IT - Enterprise Technology Services</v>
      </c>
      <c r="AD1293" s="380" t="str">
        <f>VLOOKUP($B1293,'D7 - NDB Impacted SPRF''s'!$E$6:$O$9929,5,FALSE)</f>
        <v>Strategic Initiatives</v>
      </c>
      <c r="AE1293" s="380" t="str">
        <f>VLOOKUP($B1293,'D7 - NDB Impacted SPRF''s'!$E$6:$O$9929,7,FALSE)</f>
        <v>Dave Wichmann</v>
      </c>
      <c r="AF1293" s="380" t="str">
        <f>VLOOKUP($B1293,'D7 - NDB Impacted SPRF''s'!$E$6:$O$9929,6,FALSE)</f>
        <v>Brenda Colwill</v>
      </c>
      <c r="AG1293" s="282"/>
      <c r="AH1293" s="311" t="e">
        <f>INDEX('D5 - Gatekeeper - Projects'!$A$4:$AF$1010,$AM1293, 17)</f>
        <v>#N/A</v>
      </c>
      <c r="AI1293" s="8"/>
      <c r="AJ1293" s="57"/>
      <c r="AK1293" s="105"/>
      <c r="AM1293" s="6" t="e">
        <f>MATCH(D1293,'D5 - Gatekeeper - Projects'!$C$4:$C$1010,0)</f>
        <v>#N/A</v>
      </c>
      <c r="AN1293" s="6" t="b">
        <f t="shared" si="125"/>
        <v>1</v>
      </c>
      <c r="AO1293" s="6" t="str">
        <f t="shared" si="127"/>
        <v>OK</v>
      </c>
      <c r="AQ1293" s="6" t="e">
        <f>MATCH($D1293,'D4 - Provider Council Unsched'!$C$11:$C$234,0)</f>
        <v>#N/A</v>
      </c>
      <c r="AR1293" s="6" t="b">
        <f t="shared" si="126"/>
        <v>1</v>
      </c>
      <c r="AS1293" s="6" t="str">
        <f t="shared" si="132"/>
        <v>OK</v>
      </c>
      <c r="AU1293" s="202"/>
      <c r="AV1293" s="262"/>
      <c r="AW1293" s="274"/>
    </row>
    <row r="1294" spans="1:49" s="13" customFormat="1" ht="33.75" x14ac:dyDescent="0.2">
      <c r="A1294" s="14">
        <v>1270</v>
      </c>
      <c r="B1294" s="14">
        <v>400031981</v>
      </c>
      <c r="C1294" s="8" t="s">
        <v>5197</v>
      </c>
      <c r="D1294" s="4" t="str">
        <f t="shared" si="131"/>
        <v>400031981R1</v>
      </c>
      <c r="E1294" s="309" t="str">
        <f>VLOOKUP($B1294,'D7 - NDB Impacted SPRF''s'!$E$6:$O$9929,2,FALSE)</f>
        <v>Medicaid Incorrect Timely Filing Denials</v>
      </c>
      <c r="F1294" s="8" t="s">
        <v>2114</v>
      </c>
      <c r="G1294" s="8" t="s">
        <v>4758</v>
      </c>
      <c r="H1294" s="8" t="s">
        <v>4246</v>
      </c>
      <c r="I1294" s="20">
        <v>1.17</v>
      </c>
      <c r="J1294" s="8" t="s">
        <v>4862</v>
      </c>
      <c r="K1294" s="182">
        <v>40355</v>
      </c>
      <c r="L1294" s="8" t="s">
        <v>4156</v>
      </c>
      <c r="M1294" s="8" t="s">
        <v>6688</v>
      </c>
      <c r="N1294" s="38" t="s">
        <v>6433</v>
      </c>
      <c r="O1294" s="8"/>
      <c r="P1294" s="4" t="str">
        <f>VLOOKUP($B1294,'D7 - NDB Impacted SPRF''s'!$E$16:$O$9929,9,FALSE)</f>
        <v>Y</v>
      </c>
      <c r="Q1294" s="4" t="str">
        <f>VLOOKUP($B1294,'D7 - NDB Impacted SPRF''s'!$E$16:$O$9929,10,FALSE)</f>
        <v>N</v>
      </c>
      <c r="R1294" s="4" t="str">
        <f>VLOOKUP($B1294,'D7 - NDB Impacted SPRF''s'!$E$16:$O$9929,11,FALSE)</f>
        <v>N</v>
      </c>
      <c r="S1294" s="8"/>
      <c r="T1294" s="310"/>
      <c r="U1294" s="310"/>
      <c r="V1294" s="4"/>
      <c r="W1294" s="4"/>
      <c r="X1294" s="4"/>
      <c r="Y1294" s="4"/>
      <c r="Z1294" s="4"/>
      <c r="AA1294" s="4"/>
      <c r="AB1294" s="380" t="str">
        <f>VLOOKUP($B1294,'D7 - NDB Impacted SPRF''s'!$E$6:$O$9929,4,FALSE)</f>
        <v>Completed</v>
      </c>
      <c r="AC1294" s="380" t="str">
        <f>VLOOKUP($B1294,'D7 - NDB Impacted SPRF''s'!$E$6:$O$9929,3,FALSE)</f>
        <v>UnitedHealthcare Employer &amp; Individual</v>
      </c>
      <c r="AD1294" s="380" t="str">
        <f>VLOOKUP($B1294,'D7 - NDB Impacted SPRF''s'!$E$6:$O$9929,5,FALSE)</f>
        <v>Regulatory / Other</v>
      </c>
      <c r="AE1294" s="380" t="str">
        <f>VLOOKUP($B1294,'D7 - NDB Impacted SPRF''s'!$E$6:$O$9929,7,FALSE)</f>
        <v>Mary Ann Clacko</v>
      </c>
      <c r="AF1294" s="380" t="str">
        <f>VLOOKUP($B1294,'D7 - NDB Impacted SPRF''s'!$E$6:$O$9929,6,FALSE)</f>
        <v>Pujji Anu</v>
      </c>
      <c r="AG1294" s="282"/>
      <c r="AH1294" s="311" t="e">
        <f>INDEX('D5 - Gatekeeper - Projects'!$A$4:$AF$1010,$AM1294, 17)</f>
        <v>#N/A</v>
      </c>
      <c r="AI1294" s="8"/>
      <c r="AJ1294" s="57"/>
      <c r="AK1294" s="57"/>
      <c r="AM1294" s="6" t="e">
        <f>MATCH(D1294,'D5 - Gatekeeper - Projects'!$C$4:$C$1010,0)</f>
        <v>#N/A</v>
      </c>
      <c r="AN1294" s="6" t="b">
        <f t="shared" si="125"/>
        <v>1</v>
      </c>
      <c r="AO1294" s="6" t="str">
        <f t="shared" si="127"/>
        <v>OK</v>
      </c>
      <c r="AQ1294" s="6" t="e">
        <f>MATCH($D1294,'D4 - Provider Council Unsched'!$C$11:$C$234,0)</f>
        <v>#N/A</v>
      </c>
      <c r="AR1294" s="6" t="b">
        <f t="shared" si="126"/>
        <v>1</v>
      </c>
      <c r="AS1294" s="6" t="str">
        <f t="shared" si="132"/>
        <v>OK</v>
      </c>
      <c r="AU1294" s="202"/>
      <c r="AV1294" s="262"/>
      <c r="AW1294" s="274"/>
    </row>
    <row r="1295" spans="1:49" s="13" customFormat="1" ht="33.75" x14ac:dyDescent="0.2">
      <c r="A1295" s="14">
        <v>1271</v>
      </c>
      <c r="B1295" s="14">
        <v>400032328</v>
      </c>
      <c r="C1295" s="8" t="s">
        <v>5197</v>
      </c>
      <c r="D1295" s="4" t="str">
        <f t="shared" si="131"/>
        <v>400032328R1</v>
      </c>
      <c r="E1295" s="309" t="str">
        <f>VLOOKUP($B1295,'D7 - NDB Impacted SPRF''s'!$E$6:$O$9929,2,FALSE)</f>
        <v>WP1 Dual Coverage Members</v>
      </c>
      <c r="F1295" s="8"/>
      <c r="G1295" s="8" t="s">
        <v>4758</v>
      </c>
      <c r="H1295" s="8" t="s">
        <v>4246</v>
      </c>
      <c r="I1295" s="20">
        <v>0.53</v>
      </c>
      <c r="J1295" s="8" t="s">
        <v>4862</v>
      </c>
      <c r="K1295" s="182">
        <v>40355</v>
      </c>
      <c r="L1295" s="8" t="s">
        <v>4156</v>
      </c>
      <c r="M1295" s="8" t="s">
        <v>5626</v>
      </c>
      <c r="N1295" s="38"/>
      <c r="O1295" s="8"/>
      <c r="P1295" s="4" t="str">
        <f>VLOOKUP($B1295,'D7 - NDB Impacted SPRF''s'!$E$16:$O$9929,9,FALSE)</f>
        <v>N</v>
      </c>
      <c r="Q1295" s="4" t="str">
        <f>VLOOKUP($B1295,'D7 - NDB Impacted SPRF''s'!$E$16:$O$9929,10,FALSE)</f>
        <v>N</v>
      </c>
      <c r="R1295" s="4" t="str">
        <f>VLOOKUP($B1295,'D7 - NDB Impacted SPRF''s'!$E$16:$O$9929,11,FALSE)</f>
        <v>N</v>
      </c>
      <c r="S1295" s="8"/>
      <c r="T1295" s="310"/>
      <c r="U1295" s="310"/>
      <c r="V1295" s="4"/>
      <c r="W1295" s="4"/>
      <c r="X1295" s="4"/>
      <c r="Y1295" s="4"/>
      <c r="Z1295" s="4"/>
      <c r="AA1295" s="4"/>
      <c r="AB1295" s="380" t="str">
        <f>VLOOKUP($B1295,'D7 - NDB Impacted SPRF''s'!$E$6:$O$9929,4,FALSE)</f>
        <v>Completed</v>
      </c>
      <c r="AC1295" s="380" t="str">
        <f>VLOOKUP($B1295,'D7 - NDB Impacted SPRF''s'!$E$6:$O$9929,3,FALSE)</f>
        <v>UnitedHealthcare Employer &amp; Individual</v>
      </c>
      <c r="AD1295" s="380" t="str">
        <f>VLOOKUP($B1295,'D7 - NDB Impacted SPRF''s'!$E$6:$O$9929,5,FALSE)</f>
        <v>Integration Requirements</v>
      </c>
      <c r="AE1295" s="380" t="str">
        <f>VLOOKUP($B1295,'D7 - NDB Impacted SPRF''s'!$E$6:$O$9929,7,FALSE)</f>
        <v>Diane Schofield</v>
      </c>
      <c r="AF1295" s="380" t="str">
        <f>VLOOKUP($B1295,'D7 - NDB Impacted SPRF''s'!$E$6:$O$9929,6,FALSE)</f>
        <v>Rebecca Gent</v>
      </c>
      <c r="AG1295" s="282"/>
      <c r="AH1295" s="311" t="e">
        <f>INDEX('D5 - Gatekeeper - Projects'!$A$4:$AF$1010,$AM1295, 17)</f>
        <v>#N/A</v>
      </c>
      <c r="AI1295" s="8"/>
      <c r="AJ1295" s="57"/>
      <c r="AK1295" s="105"/>
      <c r="AM1295" s="6" t="e">
        <f>MATCH(D1295,'D5 - Gatekeeper - Projects'!$C$4:$C$1010,0)</f>
        <v>#N/A</v>
      </c>
      <c r="AN1295" s="6" t="b">
        <f t="shared" si="125"/>
        <v>1</v>
      </c>
      <c r="AO1295" s="6" t="str">
        <f t="shared" si="127"/>
        <v>OK</v>
      </c>
      <c r="AQ1295" s="6" t="e">
        <f>MATCH($D1295,'D4 - Provider Council Unsched'!$C$11:$C$234,0)</f>
        <v>#N/A</v>
      </c>
      <c r="AR1295" s="6" t="b">
        <f t="shared" si="126"/>
        <v>1</v>
      </c>
      <c r="AS1295" s="6" t="str">
        <f t="shared" si="132"/>
        <v>OK</v>
      </c>
      <c r="AU1295" s="202"/>
      <c r="AV1295" s="262"/>
      <c r="AW1295" s="274"/>
    </row>
    <row r="1296" spans="1:49" s="13" customFormat="1" ht="45" x14ac:dyDescent="0.2">
      <c r="A1296" s="14">
        <v>1272</v>
      </c>
      <c r="B1296" s="14">
        <v>400033156</v>
      </c>
      <c r="C1296" s="8" t="s">
        <v>1992</v>
      </c>
      <c r="D1296" s="4" t="str">
        <f t="shared" si="131"/>
        <v>400033156U1</v>
      </c>
      <c r="E1296" s="309" t="str">
        <f>VLOOKUP($B1296,'D7 - NDB Impacted SPRF''s'!$E$6:$O$9929,2,FALSE)</f>
        <v xml:space="preserve">IDT MT Replacement Implement P2 </v>
      </c>
      <c r="F1296" s="8" t="s">
        <v>2114</v>
      </c>
      <c r="G1296" s="8" t="s">
        <v>4758</v>
      </c>
      <c r="H1296" s="8" t="s">
        <v>4246</v>
      </c>
      <c r="I1296" s="20">
        <v>0.27</v>
      </c>
      <c r="J1296" s="8" t="s">
        <v>4862</v>
      </c>
      <c r="K1296" s="182">
        <v>40355</v>
      </c>
      <c r="L1296" s="8" t="s">
        <v>4156</v>
      </c>
      <c r="M1296" s="8" t="s">
        <v>5626</v>
      </c>
      <c r="N1296" s="38"/>
      <c r="O1296" s="8"/>
      <c r="P1296" s="4" t="str">
        <f>VLOOKUP($B1296,'D7 - NDB Impacted SPRF''s'!$E$16:$O$9929,9,FALSE)</f>
        <v>Y</v>
      </c>
      <c r="Q1296" s="4" t="str">
        <f>VLOOKUP($B1296,'D7 - NDB Impacted SPRF''s'!$E$16:$O$9929,10,FALSE)</f>
        <v>N</v>
      </c>
      <c r="R1296" s="4" t="str">
        <f>VLOOKUP($B1296,'D7 - NDB Impacted SPRF''s'!$E$16:$O$9929,11,FALSE)</f>
        <v>N</v>
      </c>
      <c r="S1296" s="8"/>
      <c r="T1296" s="310"/>
      <c r="U1296" s="310"/>
      <c r="V1296" s="4"/>
      <c r="W1296" s="4"/>
      <c r="X1296" s="4"/>
      <c r="Y1296" s="4"/>
      <c r="Z1296" s="4"/>
      <c r="AA1296" s="4"/>
      <c r="AB1296" s="380" t="str">
        <f>VLOOKUP($B1296,'D7 - NDB Impacted SPRF''s'!$E$6:$O$9929,4,FALSE)</f>
        <v>Completed</v>
      </c>
      <c r="AC1296" s="380" t="str">
        <f>VLOOKUP($B1296,'D7 - NDB Impacted SPRF''s'!$E$6:$O$9929,3,FALSE)</f>
        <v>UHG IT - Enterprise Technology Services</v>
      </c>
      <c r="AD1296" s="380" t="str">
        <f>VLOOKUP($B1296,'D7 - NDB Impacted SPRF''s'!$E$6:$O$9929,5,FALSE)</f>
        <v>Strategic Initiatives</v>
      </c>
      <c r="AE1296" s="380" t="str">
        <f>VLOOKUP($B1296,'D7 - NDB Impacted SPRF''s'!$E$6:$O$9929,7,FALSE)</f>
        <v>Milla Hautman</v>
      </c>
      <c r="AF1296" s="380" t="str">
        <f>VLOOKUP($B1296,'D7 - NDB Impacted SPRF''s'!$E$6:$O$9929,6,FALSE)</f>
        <v>colleen meagher</v>
      </c>
      <c r="AG1296" s="282"/>
      <c r="AH1296" s="311" t="e">
        <f>INDEX('D5 - Gatekeeper - Projects'!$A$4:$AF$1010,$AM1296, 17)</f>
        <v>#N/A</v>
      </c>
      <c r="AI1296" s="8"/>
      <c r="AJ1296" s="57"/>
      <c r="AK1296" s="105"/>
      <c r="AM1296" s="6" t="e">
        <f>MATCH(D1296,'D5 - Gatekeeper - Projects'!$C$4:$C$1010,0)</f>
        <v>#N/A</v>
      </c>
      <c r="AN1296" s="6" t="b">
        <f t="shared" si="125"/>
        <v>1</v>
      </c>
      <c r="AO1296" s="6" t="str">
        <f t="shared" si="127"/>
        <v>OK</v>
      </c>
      <c r="AQ1296" s="6" t="e">
        <f>MATCH($D1296,'D4 - Provider Council Unsched'!$C$11:$C$234,0)</f>
        <v>#N/A</v>
      </c>
      <c r="AR1296" s="6" t="b">
        <f t="shared" si="126"/>
        <v>1</v>
      </c>
      <c r="AS1296" s="6" t="str">
        <f t="shared" si="132"/>
        <v>OK</v>
      </c>
      <c r="AU1296" s="202">
        <v>40270</v>
      </c>
      <c r="AV1296" s="262"/>
      <c r="AW1296" s="274"/>
    </row>
    <row r="1297" spans="1:49" s="13" customFormat="1" ht="33.75" x14ac:dyDescent="0.2">
      <c r="A1297" s="14">
        <v>1273</v>
      </c>
      <c r="B1297" s="14">
        <v>400033451</v>
      </c>
      <c r="C1297" s="8" t="s">
        <v>2449</v>
      </c>
      <c r="D1297" s="4" t="str">
        <f t="shared" si="131"/>
        <v>400033451R3</v>
      </c>
      <c r="E1297" s="309" t="str">
        <f>VLOOKUP($B1297,'D7 - NDB Impacted SPRF''s'!$E$6:$O$9929,2,FALSE)</f>
        <v>TRICARE Program:  Provider</v>
      </c>
      <c r="F1297" s="8" t="s">
        <v>3715</v>
      </c>
      <c r="G1297" s="8" t="s">
        <v>4758</v>
      </c>
      <c r="H1297" s="8" t="s">
        <v>4246</v>
      </c>
      <c r="I1297" s="20">
        <v>63</v>
      </c>
      <c r="J1297" s="8" t="s">
        <v>4862</v>
      </c>
      <c r="K1297" s="182">
        <v>40355</v>
      </c>
      <c r="L1297" s="8" t="s">
        <v>4156</v>
      </c>
      <c r="M1297" s="8" t="s">
        <v>2814</v>
      </c>
      <c r="N1297" s="38"/>
      <c r="O1297" s="8"/>
      <c r="P1297" s="4" t="str">
        <f>VLOOKUP($B1297,'D7 - NDB Impacted SPRF''s'!$E$16:$O$9929,9,FALSE)</f>
        <v>N</v>
      </c>
      <c r="Q1297" s="4" t="str">
        <f>VLOOKUP($B1297,'D7 - NDB Impacted SPRF''s'!$E$16:$O$9929,10,FALSE)</f>
        <v>N</v>
      </c>
      <c r="R1297" s="4" t="str">
        <f>VLOOKUP($B1297,'D7 - NDB Impacted SPRF''s'!$E$16:$O$9929,11,FALSE)</f>
        <v>Y</v>
      </c>
      <c r="S1297" s="8"/>
      <c r="T1297" s="310"/>
      <c r="U1297" s="310"/>
      <c r="V1297" s="4"/>
      <c r="W1297" s="4"/>
      <c r="X1297" s="4"/>
      <c r="Y1297" s="4"/>
      <c r="Z1297" s="4"/>
      <c r="AA1297" s="4"/>
      <c r="AB1297" s="380" t="str">
        <f>VLOOKUP($B1297,'D7 - NDB Impacted SPRF''s'!$E$6:$O$9929,4,FALSE)</f>
        <v>Cancelled</v>
      </c>
      <c r="AC1297" s="380" t="str">
        <f>VLOOKUP($B1297,'D7 - NDB Impacted SPRF''s'!$E$6:$O$9929,3,FALSE)</f>
        <v>UnitedHealthcare Military &amp; Veterans</v>
      </c>
      <c r="AD1297" s="380" t="str">
        <f>VLOOKUP($B1297,'D7 - NDB Impacted SPRF''s'!$E$6:$O$9929,5,FALSE)</f>
        <v>TRICARE</v>
      </c>
      <c r="AE1297" s="380" t="str">
        <f>VLOOKUP($B1297,'D7 - NDB Impacted SPRF''s'!$E$6:$O$9929,7,FALSE)</f>
        <v>Randall Smith</v>
      </c>
      <c r="AF1297" s="380" t="str">
        <f>VLOOKUP($B1297,'D7 - NDB Impacted SPRF''s'!$E$6:$O$9929,6,FALSE)</f>
        <v>Brian Lindell</v>
      </c>
      <c r="AG1297" s="282"/>
      <c r="AH1297" s="311" t="e">
        <f>INDEX('D5 - Gatekeeper - Projects'!$A$4:$AF$1010,$AM1297, 17)</f>
        <v>#N/A</v>
      </c>
      <c r="AI1297" s="8"/>
      <c r="AJ1297" s="57"/>
      <c r="AK1297" s="105"/>
      <c r="AM1297" s="6" t="e">
        <f>MATCH(D1297,'D5 - Gatekeeper - Projects'!$C$4:$C$1010,0)</f>
        <v>#N/A</v>
      </c>
      <c r="AN1297" s="6" t="b">
        <f t="shared" ref="AN1297:AN1360" si="133">ISERROR(AM1297)</f>
        <v>1</v>
      </c>
      <c r="AO1297" s="6" t="str">
        <f t="shared" si="127"/>
        <v>OK</v>
      </c>
      <c r="AQ1297" s="6" t="e">
        <f>MATCH($D1297,'D4 - Provider Council Unsched'!$C$11:$C$234,0)</f>
        <v>#N/A</v>
      </c>
      <c r="AR1297" s="6" t="b">
        <f t="shared" ref="AR1297:AR1360" si="134">ISERROR(AQ1297)</f>
        <v>1</v>
      </c>
      <c r="AS1297" s="6" t="str">
        <f t="shared" si="132"/>
        <v>OK</v>
      </c>
      <c r="AU1297" s="202"/>
      <c r="AV1297" s="262"/>
      <c r="AW1297" s="274"/>
    </row>
    <row r="1298" spans="1:49" s="13" customFormat="1" ht="33.75" x14ac:dyDescent="0.2">
      <c r="A1298" s="14">
        <v>1274</v>
      </c>
      <c r="B1298" s="14">
        <v>400033661</v>
      </c>
      <c r="C1298" s="8" t="s">
        <v>5197</v>
      </c>
      <c r="D1298" s="4" t="str">
        <f t="shared" si="131"/>
        <v>400033661R1</v>
      </c>
      <c r="E1298" s="309" t="str">
        <f>VLOOKUP($B1298,'D7 - NDB Impacted SPRF''s'!$E$6:$O$9929,2,FALSE)</f>
        <v>WP1 Member Contin Coverage &amp; Structure Feed</v>
      </c>
      <c r="F1298" s="8" t="s">
        <v>6071</v>
      </c>
      <c r="G1298" s="8" t="s">
        <v>4758</v>
      </c>
      <c r="H1298" s="8" t="s">
        <v>4246</v>
      </c>
      <c r="I1298" s="20">
        <v>1.07</v>
      </c>
      <c r="J1298" s="8" t="s">
        <v>4862</v>
      </c>
      <c r="K1298" s="182">
        <v>40355</v>
      </c>
      <c r="L1298" s="8" t="s">
        <v>4156</v>
      </c>
      <c r="M1298" s="8" t="s">
        <v>5626</v>
      </c>
      <c r="N1298" s="38"/>
      <c r="O1298" s="8"/>
      <c r="P1298" s="4" t="str">
        <f>VLOOKUP($B1298,'D7 - NDB Impacted SPRF''s'!$E$16:$O$9929,9,FALSE)</f>
        <v>N</v>
      </c>
      <c r="Q1298" s="4" t="str">
        <f>VLOOKUP($B1298,'D7 - NDB Impacted SPRF''s'!$E$16:$O$9929,10,FALSE)</f>
        <v>N</v>
      </c>
      <c r="R1298" s="4" t="str">
        <f>VLOOKUP($B1298,'D7 - NDB Impacted SPRF''s'!$E$16:$O$9929,11,FALSE)</f>
        <v>N</v>
      </c>
      <c r="S1298" s="8"/>
      <c r="T1298" s="310"/>
      <c r="U1298" s="310"/>
      <c r="V1298" s="4"/>
      <c r="W1298" s="4"/>
      <c r="X1298" s="4"/>
      <c r="Y1298" s="4"/>
      <c r="Z1298" s="4"/>
      <c r="AA1298" s="4"/>
      <c r="AB1298" s="380" t="str">
        <f>VLOOKUP($B1298,'D7 - NDB Impacted SPRF''s'!$E$6:$O$9929,4,FALSE)</f>
        <v>Completed</v>
      </c>
      <c r="AC1298" s="380" t="str">
        <f>VLOOKUP($B1298,'D7 - NDB Impacted SPRF''s'!$E$6:$O$9929,3,FALSE)</f>
        <v>UnitedHealthcare Employer &amp; Individual</v>
      </c>
      <c r="AD1298" s="380" t="str">
        <f>VLOOKUP($B1298,'D7 - NDB Impacted SPRF''s'!$E$6:$O$9929,5,FALSE)</f>
        <v>Integration Requirements</v>
      </c>
      <c r="AE1298" s="380" t="str">
        <f>VLOOKUP($B1298,'D7 - NDB Impacted SPRF''s'!$E$6:$O$9929,7,FALSE)</f>
        <v>Diane Schofield</v>
      </c>
      <c r="AF1298" s="380" t="str">
        <f>VLOOKUP($B1298,'D7 - NDB Impacted SPRF''s'!$E$6:$O$9929,6,FALSE)</f>
        <v>Rebecca Gent</v>
      </c>
      <c r="AG1298" s="282"/>
      <c r="AH1298" s="311" t="e">
        <f>INDEX('D5 - Gatekeeper - Projects'!$A$4:$AF$1010,$AM1298, 17)</f>
        <v>#N/A</v>
      </c>
      <c r="AI1298" s="8"/>
      <c r="AJ1298" s="57"/>
      <c r="AK1298" s="105"/>
      <c r="AM1298" s="6" t="e">
        <f>MATCH(D1298,'D5 - Gatekeeper - Projects'!$C$4:$C$1010,0)</f>
        <v>#N/A</v>
      </c>
      <c r="AN1298" s="6" t="b">
        <f t="shared" si="133"/>
        <v>1</v>
      </c>
      <c r="AO1298" s="6" t="str">
        <f t="shared" ref="AO1298:AO1361" si="135">IF(AND(H1298="1 - Scheduled",AN1298=TRUE),"Add","OK")</f>
        <v>OK</v>
      </c>
      <c r="AQ1298" s="6" t="e">
        <f>MATCH($D1298,'D4 - Provider Council Unsched'!$C$11:$C$234,0)</f>
        <v>#N/A</v>
      </c>
      <c r="AR1298" s="6" t="b">
        <f t="shared" si="134"/>
        <v>1</v>
      </c>
      <c r="AS1298" s="6" t="str">
        <f t="shared" si="132"/>
        <v>OK</v>
      </c>
      <c r="AU1298" s="202"/>
      <c r="AV1298" s="262"/>
      <c r="AW1298" s="274"/>
    </row>
    <row r="1299" spans="1:49" s="13" customFormat="1" ht="45" x14ac:dyDescent="0.2">
      <c r="A1299" s="14">
        <v>1275</v>
      </c>
      <c r="B1299" s="14">
        <v>400033693</v>
      </c>
      <c r="C1299" s="8" t="s">
        <v>1992</v>
      </c>
      <c r="D1299" s="4" t="str">
        <f t="shared" si="131"/>
        <v>400033693U1</v>
      </c>
      <c r="E1299" s="309" t="str">
        <f>VLOOKUP($B1299,'D7 - NDB Impacted SPRF''s'!$E$6:$O$9929,2,FALSE)</f>
        <v>CDB Online:  Security Enhancements</v>
      </c>
      <c r="F1299" s="8" t="s">
        <v>2114</v>
      </c>
      <c r="G1299" s="8" t="s">
        <v>4758</v>
      </c>
      <c r="H1299" s="8" t="s">
        <v>4246</v>
      </c>
      <c r="I1299" s="20">
        <v>8.51</v>
      </c>
      <c r="J1299" s="8" t="s">
        <v>4862</v>
      </c>
      <c r="K1299" s="182">
        <v>40355</v>
      </c>
      <c r="L1299" s="8" t="s">
        <v>4156</v>
      </c>
      <c r="M1299" s="8" t="s">
        <v>2814</v>
      </c>
      <c r="N1299" s="38" t="s">
        <v>2008</v>
      </c>
      <c r="O1299" s="8"/>
      <c r="P1299" s="4" t="str">
        <f>VLOOKUP($B1299,'D7 - NDB Impacted SPRF''s'!$E$16:$O$9929,9,FALSE)</f>
        <v>N</v>
      </c>
      <c r="Q1299" s="4" t="str">
        <f>VLOOKUP($B1299,'D7 - NDB Impacted SPRF''s'!$E$16:$O$9929,10,FALSE)</f>
        <v>N</v>
      </c>
      <c r="R1299" s="4" t="str">
        <f>VLOOKUP($B1299,'D7 - NDB Impacted SPRF''s'!$E$16:$O$9929,11,FALSE)</f>
        <v>N</v>
      </c>
      <c r="S1299" s="8"/>
      <c r="T1299" s="310"/>
      <c r="U1299" s="310"/>
      <c r="V1299" s="4"/>
      <c r="W1299" s="4"/>
      <c r="X1299" s="4"/>
      <c r="Y1299" s="4"/>
      <c r="Z1299" s="4"/>
      <c r="AA1299" s="4"/>
      <c r="AB1299" s="380" t="str">
        <f>VLOOKUP($B1299,'D7 - NDB Impacted SPRF''s'!$E$6:$O$9929,4,FALSE)</f>
        <v>Completed</v>
      </c>
      <c r="AC1299" s="380" t="str">
        <f>VLOOKUP($B1299,'D7 - NDB Impacted SPRF''s'!$E$6:$O$9929,3,FALSE)</f>
        <v>UHG IT - Enterprise Technology Services</v>
      </c>
      <c r="AD1299" s="380" t="str">
        <f>VLOOKUP($B1299,'D7 - NDB Impacted SPRF''s'!$E$6:$O$9929,5,FALSE)</f>
        <v>Strategic Initiatives</v>
      </c>
      <c r="AE1299" s="380" t="str">
        <f>VLOOKUP($B1299,'D7 - NDB Impacted SPRF''s'!$E$6:$O$9929,7,FALSE)</f>
        <v>Patrick Casey</v>
      </c>
      <c r="AF1299" s="380" t="str">
        <f>VLOOKUP($B1299,'D7 - NDB Impacted SPRF''s'!$E$6:$O$9929,6,FALSE)</f>
        <v>Sue Meotti</v>
      </c>
      <c r="AG1299" s="282"/>
      <c r="AH1299" s="311" t="e">
        <f>INDEX('D5 - Gatekeeper - Projects'!$A$4:$AF$1010,$AM1299, 17)</f>
        <v>#N/A</v>
      </c>
      <c r="AI1299" s="8"/>
      <c r="AJ1299" s="57"/>
      <c r="AK1299" s="105"/>
      <c r="AM1299" s="6" t="e">
        <f>MATCH(D1299,'D5 - Gatekeeper - Projects'!$C$4:$C$1010,0)</f>
        <v>#N/A</v>
      </c>
      <c r="AN1299" s="6" t="b">
        <f t="shared" si="133"/>
        <v>1</v>
      </c>
      <c r="AO1299" s="6" t="str">
        <f t="shared" si="135"/>
        <v>OK</v>
      </c>
      <c r="AQ1299" s="6" t="e">
        <f>MATCH($D1299,'D4 - Provider Council Unsched'!$C$11:$C$234,0)</f>
        <v>#N/A</v>
      </c>
      <c r="AR1299" s="6" t="b">
        <f t="shared" si="134"/>
        <v>1</v>
      </c>
      <c r="AS1299" s="6" t="str">
        <f t="shared" si="132"/>
        <v>OK</v>
      </c>
      <c r="AU1299" s="202"/>
      <c r="AV1299" s="262"/>
      <c r="AW1299" s="274"/>
    </row>
    <row r="1300" spans="1:49" s="13" customFormat="1" ht="22.5" x14ac:dyDescent="0.2">
      <c r="A1300" s="14">
        <v>1276</v>
      </c>
      <c r="B1300" s="14">
        <v>400033790</v>
      </c>
      <c r="C1300" s="8" t="s">
        <v>5197</v>
      </c>
      <c r="D1300" s="4" t="str">
        <f t="shared" si="131"/>
        <v>400033790R1</v>
      </c>
      <c r="E1300" s="309" t="str">
        <f>VLOOKUP($B1300,'D7 - NDB Impacted SPRF''s'!$E$6:$O$9929,2,FALSE)</f>
        <v>OHBS Linx non-par MPIN for UNET Empire auths</v>
      </c>
      <c r="F1300" s="8" t="s">
        <v>2114</v>
      </c>
      <c r="G1300" s="8" t="s">
        <v>4758</v>
      </c>
      <c r="H1300" s="8" t="s">
        <v>4246</v>
      </c>
      <c r="I1300" s="20">
        <v>1.4666666666666666</v>
      </c>
      <c r="J1300" s="8" t="s">
        <v>4862</v>
      </c>
      <c r="K1300" s="182">
        <v>40355</v>
      </c>
      <c r="L1300" s="8" t="s">
        <v>4156</v>
      </c>
      <c r="M1300" s="8" t="s">
        <v>5626</v>
      </c>
      <c r="N1300" s="38" t="s">
        <v>6615</v>
      </c>
      <c r="O1300" s="8"/>
      <c r="P1300" s="4" t="str">
        <f>VLOOKUP($B1300,'D7 - NDB Impacted SPRF''s'!$E$16:$O$9929,9,FALSE)</f>
        <v>N</v>
      </c>
      <c r="Q1300" s="4" t="str">
        <f>VLOOKUP($B1300,'D7 - NDB Impacted SPRF''s'!$E$16:$O$9929,10,FALSE)</f>
        <v>N</v>
      </c>
      <c r="R1300" s="4" t="str">
        <f>VLOOKUP($B1300,'D7 - NDB Impacted SPRF''s'!$E$16:$O$9929,11,FALSE)</f>
        <v>N</v>
      </c>
      <c r="S1300" s="8"/>
      <c r="T1300" s="310"/>
      <c r="U1300" s="310"/>
      <c r="V1300" s="4"/>
      <c r="W1300" s="4"/>
      <c r="X1300" s="4"/>
      <c r="Y1300" s="4"/>
      <c r="Z1300" s="4"/>
      <c r="AA1300" s="4"/>
      <c r="AB1300" s="380" t="str">
        <f>VLOOKUP($B1300,'D7 - NDB Impacted SPRF''s'!$E$6:$O$9929,4,FALSE)</f>
        <v>Completed</v>
      </c>
      <c r="AC1300" s="380" t="str">
        <f>VLOOKUP($B1300,'D7 - NDB Impacted SPRF''s'!$E$6:$O$9929,3,FALSE)</f>
        <v>OptumHealth</v>
      </c>
      <c r="AD1300" s="380" t="str">
        <f>VLOOKUP($B1300,'D7 - NDB Impacted SPRF''s'!$E$6:$O$9929,5,FALSE)</f>
        <v>Behavioral Solutions</v>
      </c>
      <c r="AE1300" s="380" t="str">
        <f>VLOOKUP($B1300,'D7 - NDB Impacted SPRF''s'!$E$6:$O$9929,7,FALSE)</f>
        <v>Bob Preston</v>
      </c>
      <c r="AF1300" s="380" t="str">
        <f>VLOOKUP($B1300,'D7 - NDB Impacted SPRF''s'!$E$6:$O$9929,6,FALSE)</f>
        <v>Mark Leone</v>
      </c>
      <c r="AG1300" s="282"/>
      <c r="AH1300" s="311" t="e">
        <f>INDEX('D5 - Gatekeeper - Projects'!$A$4:$AF$1010,$AM1300, 17)</f>
        <v>#N/A</v>
      </c>
      <c r="AI1300" s="8"/>
      <c r="AJ1300" s="57"/>
      <c r="AK1300" s="105"/>
      <c r="AM1300" s="6" t="e">
        <f>MATCH(D1300,'D5 - Gatekeeper - Projects'!$C$4:$C$1010,0)</f>
        <v>#N/A</v>
      </c>
      <c r="AN1300" s="6" t="b">
        <f t="shared" si="133"/>
        <v>1</v>
      </c>
      <c r="AO1300" s="6" t="str">
        <f t="shared" si="135"/>
        <v>OK</v>
      </c>
      <c r="AQ1300" s="6" t="e">
        <f>MATCH($D1300,'D4 - Provider Council Unsched'!$C$11:$C$234,0)</f>
        <v>#N/A</v>
      </c>
      <c r="AR1300" s="6" t="b">
        <f t="shared" si="134"/>
        <v>1</v>
      </c>
      <c r="AS1300" s="6" t="str">
        <f>IF(AND(H1300="2 - Not Scheduled",AR1300=TRUE),"Add","OK")</f>
        <v>OK</v>
      </c>
      <c r="AU1300" s="202">
        <v>40298</v>
      </c>
      <c r="AV1300" s="262"/>
      <c r="AW1300" s="274"/>
    </row>
    <row r="1301" spans="1:49" s="13" customFormat="1" ht="33.75" x14ac:dyDescent="0.2">
      <c r="A1301" s="14">
        <v>1277</v>
      </c>
      <c r="B1301" s="14">
        <v>400036244</v>
      </c>
      <c r="C1301" s="8" t="s">
        <v>5197</v>
      </c>
      <c r="D1301" s="4" t="str">
        <f t="shared" si="131"/>
        <v>400036244R1</v>
      </c>
      <c r="E1301" s="309" t="str">
        <f>VLOOKUP($B1301,'D7 - NDB Impacted SPRF''s'!$E$6:$O$9929,2,FALSE)</f>
        <v>AmeriChoice of CT Online Authorization Submissions</v>
      </c>
      <c r="F1301" s="8"/>
      <c r="G1301" s="8" t="s">
        <v>4758</v>
      </c>
      <c r="H1301" s="8" t="s">
        <v>4246</v>
      </c>
      <c r="I1301" s="20">
        <v>1.07</v>
      </c>
      <c r="J1301" s="8" t="s">
        <v>4862</v>
      </c>
      <c r="K1301" s="182">
        <v>40355</v>
      </c>
      <c r="L1301" s="8" t="s">
        <v>4156</v>
      </c>
      <c r="M1301" s="8" t="s">
        <v>5626</v>
      </c>
      <c r="N1301" s="38"/>
      <c r="O1301" s="8"/>
      <c r="P1301" s="4" t="str">
        <f>VLOOKUP($B1301,'D7 - NDB Impacted SPRF''s'!$E$16:$O$9929,9,FALSE)</f>
        <v>N</v>
      </c>
      <c r="Q1301" s="4" t="str">
        <f>VLOOKUP($B1301,'D7 - NDB Impacted SPRF''s'!$E$16:$O$9929,10,FALSE)</f>
        <v>N</v>
      </c>
      <c r="R1301" s="4" t="str">
        <f>VLOOKUP($B1301,'D7 - NDB Impacted SPRF''s'!$E$16:$O$9929,11,FALSE)</f>
        <v>N</v>
      </c>
      <c r="S1301" s="8"/>
      <c r="T1301" s="310"/>
      <c r="U1301" s="310"/>
      <c r="V1301" s="4"/>
      <c r="W1301" s="4"/>
      <c r="X1301" s="4"/>
      <c r="Y1301" s="4"/>
      <c r="Z1301" s="4"/>
      <c r="AA1301" s="4"/>
      <c r="AB1301" s="380" t="str">
        <f>VLOOKUP($B1301,'D7 - NDB Impacted SPRF''s'!$E$6:$O$9929,4,FALSE)</f>
        <v>Completed</v>
      </c>
      <c r="AC1301" s="380" t="str">
        <f>VLOOKUP($B1301,'D7 - NDB Impacted SPRF''s'!$E$6:$O$9929,3,FALSE)</f>
        <v>UnitedHealthcare Community &amp; State</v>
      </c>
      <c r="AD1301" s="380" t="str">
        <f>VLOOKUP($B1301,'D7 - NDB Impacted SPRF''s'!$E$6:$O$9929,5,FALSE)</f>
        <v>AmeriChoice</v>
      </c>
      <c r="AE1301" s="380" t="str">
        <f>VLOOKUP($B1301,'D7 - NDB Impacted SPRF''s'!$E$6:$O$9929,7,FALSE)</f>
        <v>Rodney Armstead</v>
      </c>
      <c r="AF1301" s="380" t="str">
        <f>VLOOKUP($B1301,'D7 - NDB Impacted SPRF''s'!$E$6:$O$9929,6,FALSE)</f>
        <v>Carol Brunetti</v>
      </c>
      <c r="AG1301" s="282"/>
      <c r="AH1301" s="311" t="e">
        <f>INDEX('D5 - Gatekeeper - Projects'!$A$4:$AF$1010,$AM1301, 17)</f>
        <v>#N/A</v>
      </c>
      <c r="AI1301" s="8"/>
      <c r="AJ1301" s="57"/>
      <c r="AK1301" s="105"/>
      <c r="AM1301" s="6" t="e">
        <f>MATCH(D1301,'D5 - Gatekeeper - Projects'!$C$4:$C$1010,0)</f>
        <v>#N/A</v>
      </c>
      <c r="AN1301" s="6" t="b">
        <f t="shared" si="133"/>
        <v>1</v>
      </c>
      <c r="AO1301" s="6" t="str">
        <f t="shared" si="135"/>
        <v>OK</v>
      </c>
      <c r="AQ1301" s="6" t="e">
        <f>MATCH($D1301,'D4 - Provider Council Unsched'!$C$11:$C$234,0)</f>
        <v>#N/A</v>
      </c>
      <c r="AR1301" s="6" t="b">
        <f t="shared" si="134"/>
        <v>1</v>
      </c>
      <c r="AS1301" s="6" t="str">
        <f t="shared" ref="AS1301:AS1327" si="136">IF(AND(H1301="2 - Not Scheduled",AR1301=TRUE,C1301="R1"),"Add","OK")</f>
        <v>OK</v>
      </c>
      <c r="AU1301" s="202">
        <v>40343</v>
      </c>
      <c r="AV1301" s="262"/>
      <c r="AW1301" s="274"/>
    </row>
    <row r="1302" spans="1:49" s="13" customFormat="1" ht="33.75" x14ac:dyDescent="0.2">
      <c r="A1302" s="14">
        <v>1278</v>
      </c>
      <c r="B1302" s="14">
        <v>400037069</v>
      </c>
      <c r="C1302" s="8" t="s">
        <v>1992</v>
      </c>
      <c r="D1302" s="4" t="str">
        <f t="shared" si="131"/>
        <v>400037069U1</v>
      </c>
      <c r="E1302" s="309" t="str">
        <f>VLOOKUP($B1302,'D7 - NDB Impacted SPRF''s'!$E$6:$O$9929,2,FALSE)</f>
        <v>New Super User Roles for HP</v>
      </c>
      <c r="F1302" s="8"/>
      <c r="G1302" s="8" t="s">
        <v>4758</v>
      </c>
      <c r="H1302" s="8" t="s">
        <v>4246</v>
      </c>
      <c r="I1302" s="20">
        <v>0.59</v>
      </c>
      <c r="J1302" s="8" t="s">
        <v>4862</v>
      </c>
      <c r="K1302" s="182">
        <v>40355</v>
      </c>
      <c r="L1302" s="8" t="s">
        <v>4156</v>
      </c>
      <c r="M1302" s="8" t="s">
        <v>6007</v>
      </c>
      <c r="N1302" s="38"/>
      <c r="O1302" s="8"/>
      <c r="P1302" s="4" t="str">
        <f>VLOOKUP($B1302,'D7 - NDB Impacted SPRF''s'!$E$16:$O$9929,9,FALSE)</f>
        <v>N</v>
      </c>
      <c r="Q1302" s="4" t="str">
        <f>VLOOKUP($B1302,'D7 - NDB Impacted SPRF''s'!$E$16:$O$9929,10,FALSE)</f>
        <v>N</v>
      </c>
      <c r="R1302" s="4" t="str">
        <f>VLOOKUP($B1302,'D7 - NDB Impacted SPRF''s'!$E$16:$O$9929,11,FALSE)</f>
        <v>N</v>
      </c>
      <c r="S1302" s="8"/>
      <c r="T1302" s="310"/>
      <c r="U1302" s="310"/>
      <c r="V1302" s="4"/>
      <c r="W1302" s="4"/>
      <c r="X1302" s="4"/>
      <c r="Y1302" s="4"/>
      <c r="Z1302" s="4"/>
      <c r="AA1302" s="4"/>
      <c r="AB1302" s="380" t="str">
        <f>VLOOKUP($B1302,'D7 - NDB Impacted SPRF''s'!$E$6:$O$9929,4,FALSE)</f>
        <v>Completed</v>
      </c>
      <c r="AC1302" s="380" t="str">
        <f>VLOOKUP($B1302,'D7 - NDB Impacted SPRF''s'!$E$6:$O$9929,3,FALSE)</f>
        <v>UnitedHealthcare Employer &amp; Individual</v>
      </c>
      <c r="AD1302" s="380" t="str">
        <f>VLOOKUP($B1302,'D7 - NDB Impacted SPRF''s'!$E$6:$O$9929,5,FALSE)</f>
        <v>HCA - Medica Operational Support</v>
      </c>
      <c r="AE1302" s="380" t="str">
        <f>VLOOKUP($B1302,'D7 - NDB Impacted SPRF''s'!$E$6:$O$9929,7,FALSE)</f>
        <v>Linda Dooley</v>
      </c>
      <c r="AF1302" s="380" t="str">
        <f>VLOOKUP($B1302,'D7 - NDB Impacted SPRF''s'!$E$6:$O$9929,6,FALSE)</f>
        <v>GILDA BURFEIND</v>
      </c>
      <c r="AG1302" s="282"/>
      <c r="AH1302" s="311" t="e">
        <f>INDEX('D5 - Gatekeeper - Projects'!$A$4:$AF$1010,$AM1302, 17)</f>
        <v>#N/A</v>
      </c>
      <c r="AI1302" s="8"/>
      <c r="AJ1302" s="57"/>
      <c r="AK1302" s="105"/>
      <c r="AM1302" s="6" t="e">
        <f>MATCH(D1302,'D5 - Gatekeeper - Projects'!$C$4:$C$1010,0)</f>
        <v>#N/A</v>
      </c>
      <c r="AN1302" s="6" t="b">
        <f t="shared" si="133"/>
        <v>1</v>
      </c>
      <c r="AO1302" s="6" t="str">
        <f t="shared" si="135"/>
        <v>OK</v>
      </c>
      <c r="AQ1302" s="6" t="e">
        <f>MATCH($D1302,'D4 - Provider Council Unsched'!$C$11:$C$234,0)</f>
        <v>#N/A</v>
      </c>
      <c r="AR1302" s="6" t="b">
        <f t="shared" si="134"/>
        <v>1</v>
      </c>
      <c r="AS1302" s="6" t="str">
        <f t="shared" si="136"/>
        <v>OK</v>
      </c>
      <c r="AU1302" s="202">
        <v>40322</v>
      </c>
      <c r="AV1302" s="262"/>
      <c r="AW1302" s="274"/>
    </row>
    <row r="1303" spans="1:49" s="13" customFormat="1" ht="45" x14ac:dyDescent="0.2">
      <c r="A1303" s="14">
        <v>1279</v>
      </c>
      <c r="B1303" s="14">
        <v>400020548</v>
      </c>
      <c r="C1303" s="8" t="s">
        <v>5197</v>
      </c>
      <c r="D1303" s="4" t="str">
        <f t="shared" si="131"/>
        <v>400020548R1</v>
      </c>
      <c r="E1303" s="309" t="str">
        <f>VLOOKUP($B1303,'D7 - NDB Impacted SPRF''s'!$E$6:$O$9929,2,FALSE)</f>
        <v>Enterprise SSN Controls</v>
      </c>
      <c r="F1303" s="8"/>
      <c r="G1303" s="8" t="s">
        <v>4758</v>
      </c>
      <c r="H1303" s="8" t="s">
        <v>4246</v>
      </c>
      <c r="I1303" s="20">
        <v>2</v>
      </c>
      <c r="J1303" s="8" t="s">
        <v>4862</v>
      </c>
      <c r="K1303" s="182">
        <v>40404</v>
      </c>
      <c r="L1303" s="8" t="s">
        <v>4156</v>
      </c>
      <c r="M1303" s="8" t="s">
        <v>6688</v>
      </c>
      <c r="N1303" s="38"/>
      <c r="O1303" s="8"/>
      <c r="P1303" s="4" t="str">
        <f>VLOOKUP($B1303,'D7 - NDB Impacted SPRF''s'!$E$16:$O$9929,9,FALSE)</f>
        <v>Y</v>
      </c>
      <c r="Q1303" s="4" t="str">
        <f>VLOOKUP($B1303,'D7 - NDB Impacted SPRF''s'!$E$16:$O$9929,10,FALSE)</f>
        <v>N</v>
      </c>
      <c r="R1303" s="4" t="str">
        <f>VLOOKUP($B1303,'D7 - NDB Impacted SPRF''s'!$E$16:$O$9929,11,FALSE)</f>
        <v>Y</v>
      </c>
      <c r="S1303" s="8"/>
      <c r="T1303" s="310"/>
      <c r="U1303" s="310"/>
      <c r="V1303" s="4"/>
      <c r="W1303" s="4"/>
      <c r="X1303" s="4"/>
      <c r="Y1303" s="4"/>
      <c r="Z1303" s="4"/>
      <c r="AA1303" s="4"/>
      <c r="AB1303" s="380" t="str">
        <f>VLOOKUP($B1303,'D7 - NDB Impacted SPRF''s'!$E$6:$O$9929,4,FALSE)</f>
        <v>In Estimating</v>
      </c>
      <c r="AC1303" s="380" t="str">
        <f>VLOOKUP($B1303,'D7 - NDB Impacted SPRF''s'!$E$6:$O$9929,3,FALSE)</f>
        <v>UHG IT - Enterprise Technology Services</v>
      </c>
      <c r="AD1303" s="380" t="str">
        <f>VLOOKUP($B1303,'D7 - NDB Impacted SPRF''s'!$E$6:$O$9929,5,FALSE)</f>
        <v xml:space="preserve">   IRM </v>
      </c>
      <c r="AE1303" s="380" t="str">
        <f>VLOOKUP($B1303,'D7 - NDB Impacted SPRF''s'!$E$6:$O$9929,7,FALSE)</f>
        <v>Rich Nechanicky</v>
      </c>
      <c r="AF1303" s="380" t="str">
        <f>VLOOKUP($B1303,'D7 - NDB Impacted SPRF''s'!$E$6:$O$9929,6,FALSE)</f>
        <v>Shirelyn Birdwell</v>
      </c>
      <c r="AG1303" s="282"/>
      <c r="AH1303" s="311" t="e">
        <f>INDEX('D5 - Gatekeeper - Projects'!$A$4:$AF$1010,$AM1303, 17)</f>
        <v>#N/A</v>
      </c>
      <c r="AI1303" s="8"/>
      <c r="AJ1303" s="57"/>
      <c r="AK1303" s="105"/>
      <c r="AM1303" s="6" t="e">
        <f>MATCH(D1303,'D5 - Gatekeeper - Projects'!$C$4:$C$1010,0)</f>
        <v>#N/A</v>
      </c>
      <c r="AN1303" s="6" t="b">
        <f t="shared" si="133"/>
        <v>1</v>
      </c>
      <c r="AO1303" s="6" t="str">
        <f t="shared" si="135"/>
        <v>OK</v>
      </c>
      <c r="AQ1303" s="6" t="e">
        <f>MATCH($D1303,'D4 - Provider Council Unsched'!$C$11:$C$234,0)</f>
        <v>#N/A</v>
      </c>
      <c r="AR1303" s="6" t="b">
        <f t="shared" si="134"/>
        <v>1</v>
      </c>
      <c r="AS1303" s="6" t="str">
        <f t="shared" si="136"/>
        <v>OK</v>
      </c>
      <c r="AU1303" s="202">
        <v>40266</v>
      </c>
      <c r="AV1303" s="262"/>
      <c r="AW1303" s="274"/>
    </row>
    <row r="1304" spans="1:49" s="13" customFormat="1" ht="45" x14ac:dyDescent="0.2">
      <c r="A1304" s="14">
        <v>1280</v>
      </c>
      <c r="B1304" s="14">
        <v>400020548</v>
      </c>
      <c r="C1304" s="8" t="s">
        <v>1992</v>
      </c>
      <c r="D1304" s="4" t="str">
        <f t="shared" si="131"/>
        <v>400020548U1</v>
      </c>
      <c r="E1304" s="309" t="str">
        <f>VLOOKUP($B1304,'D7 - NDB Impacted SPRF''s'!$E$6:$O$9929,2,FALSE)</f>
        <v>Enterprise SSN Controls</v>
      </c>
      <c r="F1304" s="8"/>
      <c r="G1304" s="8" t="s">
        <v>4758</v>
      </c>
      <c r="H1304" s="8" t="s">
        <v>4246</v>
      </c>
      <c r="I1304" s="20">
        <v>0.28999999999999998</v>
      </c>
      <c r="J1304" s="8" t="s">
        <v>4862</v>
      </c>
      <c r="K1304" s="182">
        <v>40404</v>
      </c>
      <c r="L1304" s="8" t="s">
        <v>4156</v>
      </c>
      <c r="M1304" s="8" t="s">
        <v>6688</v>
      </c>
      <c r="N1304" s="38"/>
      <c r="O1304" s="8"/>
      <c r="P1304" s="4" t="str">
        <f>VLOOKUP($B1304,'D7 - NDB Impacted SPRF''s'!$E$16:$O$9929,9,FALSE)</f>
        <v>Y</v>
      </c>
      <c r="Q1304" s="4" t="str">
        <f>VLOOKUP($B1304,'D7 - NDB Impacted SPRF''s'!$E$16:$O$9929,10,FALSE)</f>
        <v>N</v>
      </c>
      <c r="R1304" s="4" t="str">
        <f>VLOOKUP($B1304,'D7 - NDB Impacted SPRF''s'!$E$16:$O$9929,11,FALSE)</f>
        <v>Y</v>
      </c>
      <c r="S1304" s="8"/>
      <c r="T1304" s="310"/>
      <c r="U1304" s="310"/>
      <c r="V1304" s="4"/>
      <c r="W1304" s="4"/>
      <c r="X1304" s="4"/>
      <c r="Y1304" s="4"/>
      <c r="Z1304" s="4"/>
      <c r="AA1304" s="4"/>
      <c r="AB1304" s="380" t="str">
        <f>VLOOKUP($B1304,'D7 - NDB Impacted SPRF''s'!$E$6:$O$9929,4,FALSE)</f>
        <v>In Estimating</v>
      </c>
      <c r="AC1304" s="380" t="str">
        <f>VLOOKUP($B1304,'D7 - NDB Impacted SPRF''s'!$E$6:$O$9929,3,FALSE)</f>
        <v>UHG IT - Enterprise Technology Services</v>
      </c>
      <c r="AD1304" s="380" t="str">
        <f>VLOOKUP($B1304,'D7 - NDB Impacted SPRF''s'!$E$6:$O$9929,5,FALSE)</f>
        <v xml:space="preserve">   IRM </v>
      </c>
      <c r="AE1304" s="380" t="str">
        <f>VLOOKUP($B1304,'D7 - NDB Impacted SPRF''s'!$E$6:$O$9929,7,FALSE)</f>
        <v>Rich Nechanicky</v>
      </c>
      <c r="AF1304" s="380" t="str">
        <f>VLOOKUP($B1304,'D7 - NDB Impacted SPRF''s'!$E$6:$O$9929,6,FALSE)</f>
        <v>Shirelyn Birdwell</v>
      </c>
      <c r="AG1304" s="282"/>
      <c r="AH1304" s="311" t="e">
        <f>INDEX('D5 - Gatekeeper - Projects'!$A$4:$AF$1010,$AM1304, 17)</f>
        <v>#N/A</v>
      </c>
      <c r="AI1304" s="8"/>
      <c r="AJ1304" s="57"/>
      <c r="AK1304" s="105"/>
      <c r="AM1304" s="6" t="e">
        <f>MATCH(D1304,'D5 - Gatekeeper - Projects'!$C$4:$C$1010,0)</f>
        <v>#N/A</v>
      </c>
      <c r="AN1304" s="6" t="b">
        <f t="shared" si="133"/>
        <v>1</v>
      </c>
      <c r="AO1304" s="6" t="str">
        <f t="shared" si="135"/>
        <v>OK</v>
      </c>
      <c r="AQ1304" s="6" t="e">
        <f>MATCH($D1304,'D4 - Provider Council Unsched'!$C$11:$C$234,0)</f>
        <v>#N/A</v>
      </c>
      <c r="AR1304" s="6" t="b">
        <f t="shared" si="134"/>
        <v>1</v>
      </c>
      <c r="AS1304" s="6" t="str">
        <f t="shared" si="136"/>
        <v>OK</v>
      </c>
      <c r="AU1304" s="202">
        <v>40266</v>
      </c>
      <c r="AV1304" s="262"/>
      <c r="AW1304" s="274"/>
    </row>
    <row r="1305" spans="1:49" s="13" customFormat="1" ht="45" x14ac:dyDescent="0.2">
      <c r="A1305" s="14">
        <v>1281</v>
      </c>
      <c r="B1305" s="14">
        <v>400029858</v>
      </c>
      <c r="C1305" s="8" t="s">
        <v>1992</v>
      </c>
      <c r="D1305" s="4" t="str">
        <f t="shared" si="131"/>
        <v>400029858U1</v>
      </c>
      <c r="E1305" s="309" t="str">
        <f>VLOOKUP($B1305,'D7 - NDB Impacted SPRF''s'!$E$6:$O$9929,2,FALSE)</f>
        <v>TOPS Employee SSN Usage - Replace SSN with EE ID</v>
      </c>
      <c r="F1305" s="8" t="s">
        <v>2114</v>
      </c>
      <c r="G1305" s="8" t="s">
        <v>4758</v>
      </c>
      <c r="H1305" s="8" t="s">
        <v>4246</v>
      </c>
      <c r="I1305" s="20">
        <v>4.5199999999999996</v>
      </c>
      <c r="J1305" s="8" t="s">
        <v>4862</v>
      </c>
      <c r="K1305" s="182">
        <v>40404</v>
      </c>
      <c r="L1305" s="8" t="s">
        <v>4156</v>
      </c>
      <c r="M1305" s="8" t="s">
        <v>2814</v>
      </c>
      <c r="N1305" s="38"/>
      <c r="O1305" s="8"/>
      <c r="P1305" s="4" t="str">
        <f>VLOOKUP($B1305,'D7 - NDB Impacted SPRF''s'!$E$16:$O$9929,9,FALSE)</f>
        <v>Y</v>
      </c>
      <c r="Q1305" s="4" t="str">
        <f>VLOOKUP($B1305,'D7 - NDB Impacted SPRF''s'!$E$16:$O$9929,10,FALSE)</f>
        <v>N</v>
      </c>
      <c r="R1305" s="4" t="str">
        <f>VLOOKUP($B1305,'D7 - NDB Impacted SPRF''s'!$E$16:$O$9929,11,FALSE)</f>
        <v>N</v>
      </c>
      <c r="S1305" s="8"/>
      <c r="T1305" s="310"/>
      <c r="U1305" s="310"/>
      <c r="V1305" s="4"/>
      <c r="W1305" s="4"/>
      <c r="X1305" s="4"/>
      <c r="Y1305" s="4"/>
      <c r="Z1305" s="4"/>
      <c r="AA1305" s="4"/>
      <c r="AB1305" s="380" t="str">
        <f>VLOOKUP($B1305,'D7 - NDB Impacted SPRF''s'!$E$6:$O$9929,4,FALSE)</f>
        <v>Completed</v>
      </c>
      <c r="AC1305" s="380" t="str">
        <f>VLOOKUP($B1305,'D7 - NDB Impacted SPRF''s'!$E$6:$O$9929,3,FALSE)</f>
        <v>UHG IT - Enterprise Technology Services</v>
      </c>
      <c r="AD1305" s="380" t="str">
        <f>VLOOKUP($B1305,'D7 - NDB Impacted SPRF''s'!$E$6:$O$9929,5,FALSE)</f>
        <v>IRM</v>
      </c>
      <c r="AE1305" s="380" t="str">
        <f>VLOOKUP($B1305,'D7 - NDB Impacted SPRF''s'!$E$6:$O$9929,7,FALSE)</f>
        <v>Robert Booker</v>
      </c>
      <c r="AF1305" s="380" t="str">
        <f>VLOOKUP($B1305,'D7 - NDB Impacted SPRF''s'!$E$6:$O$9929,6,FALSE)</f>
        <v>Michelle Klemz</v>
      </c>
      <c r="AG1305" s="282"/>
      <c r="AH1305" s="311" t="e">
        <f>INDEX('D5 - Gatekeeper - Projects'!$A$4:$AF$1010,$AM1305, 17)</f>
        <v>#N/A</v>
      </c>
      <c r="AI1305" s="8"/>
      <c r="AJ1305" s="57"/>
      <c r="AK1305" s="105"/>
      <c r="AM1305" s="6" t="e">
        <f>MATCH(D1305,'D5 - Gatekeeper - Projects'!$C$4:$C$1010,0)</f>
        <v>#N/A</v>
      </c>
      <c r="AN1305" s="6" t="b">
        <f t="shared" si="133"/>
        <v>1</v>
      </c>
      <c r="AO1305" s="6" t="str">
        <f t="shared" si="135"/>
        <v>OK</v>
      </c>
      <c r="AQ1305" s="6" t="e">
        <f>MATCH($D1305,'D4 - Provider Council Unsched'!$C$11:$C$234,0)</f>
        <v>#N/A</v>
      </c>
      <c r="AR1305" s="6" t="b">
        <f t="shared" si="134"/>
        <v>1</v>
      </c>
      <c r="AS1305" s="6" t="str">
        <f t="shared" si="136"/>
        <v>OK</v>
      </c>
      <c r="AU1305" s="202"/>
      <c r="AV1305" s="262"/>
      <c r="AW1305" s="274"/>
    </row>
    <row r="1306" spans="1:49" s="13" customFormat="1" ht="33.75" x14ac:dyDescent="0.2">
      <c r="A1306" s="14">
        <v>1282</v>
      </c>
      <c r="B1306" s="14">
        <v>400030396</v>
      </c>
      <c r="C1306" s="8" t="s">
        <v>2449</v>
      </c>
      <c r="D1306" s="4" t="str">
        <f t="shared" si="131"/>
        <v>400030396R3</v>
      </c>
      <c r="E1306" s="309" t="str">
        <f>VLOOKUP($B1306,'D7 - NDB Impacted SPRF''s'!$E$6:$O$9929,2,FALSE)</f>
        <v>MAHP Funding Table Redesign</v>
      </c>
      <c r="F1306" s="8" t="s">
        <v>5196</v>
      </c>
      <c r="G1306" s="8" t="s">
        <v>4758</v>
      </c>
      <c r="H1306" s="8" t="s">
        <v>4246</v>
      </c>
      <c r="I1306" s="20">
        <v>11.56</v>
      </c>
      <c r="J1306" s="8" t="s">
        <v>4862</v>
      </c>
      <c r="K1306" s="182">
        <v>40404</v>
      </c>
      <c r="L1306" s="8" t="s">
        <v>4156</v>
      </c>
      <c r="M1306" s="8" t="s">
        <v>2814</v>
      </c>
      <c r="N1306" s="38"/>
      <c r="O1306" s="8" t="s">
        <v>1074</v>
      </c>
      <c r="P1306" s="4" t="str">
        <f>VLOOKUP($B1306,'D7 - NDB Impacted SPRF''s'!$E$16:$O$9929,9,FALSE)</f>
        <v>Y</v>
      </c>
      <c r="Q1306" s="4" t="str">
        <f>VLOOKUP($B1306,'D7 - NDB Impacted SPRF''s'!$E$16:$O$9929,10,FALSE)</f>
        <v>N</v>
      </c>
      <c r="R1306" s="4" t="str">
        <f>VLOOKUP($B1306,'D7 - NDB Impacted SPRF''s'!$E$16:$O$9929,11,FALSE)</f>
        <v>N</v>
      </c>
      <c r="S1306" s="8"/>
      <c r="T1306" s="310"/>
      <c r="U1306" s="310"/>
      <c r="V1306" s="4"/>
      <c r="W1306" s="4"/>
      <c r="X1306" s="4"/>
      <c r="Y1306" s="4"/>
      <c r="Z1306" s="4"/>
      <c r="AA1306" s="4"/>
      <c r="AB1306" s="380" t="str">
        <f>VLOOKUP($B1306,'D7 - NDB Impacted SPRF''s'!$E$6:$O$9929,4,FALSE)</f>
        <v>Completed</v>
      </c>
      <c r="AC1306" s="380" t="str">
        <f>VLOOKUP($B1306,'D7 - NDB Impacted SPRF''s'!$E$6:$O$9929,3,FALSE)</f>
        <v>UnitedHealthcare Employer &amp; Individual</v>
      </c>
      <c r="AD1306" s="380" t="str">
        <f>VLOOKUP($B1306,'D7 - NDB Impacted SPRF''s'!$E$6:$O$9929,5,FALSE)</f>
        <v>Process Improvement</v>
      </c>
      <c r="AE1306" s="380" t="str">
        <f>VLOOKUP($B1306,'D7 - NDB Impacted SPRF''s'!$E$6:$O$9929,7,FALSE)</f>
        <v>Jill Foucre</v>
      </c>
      <c r="AF1306" s="380" t="str">
        <f>VLOOKUP($B1306,'D7 - NDB Impacted SPRF''s'!$E$6:$O$9929,6,FALSE)</f>
        <v>Brent Graham</v>
      </c>
      <c r="AG1306" s="282"/>
      <c r="AH1306" s="311" t="e">
        <f>INDEX('D5 - Gatekeeper - Projects'!$A$4:$AF$1010,$AM1306, 17)</f>
        <v>#N/A</v>
      </c>
      <c r="AI1306" s="8"/>
      <c r="AJ1306" s="57"/>
      <c r="AK1306" s="105"/>
      <c r="AM1306" s="6" t="e">
        <f>MATCH(D1306,'D5 - Gatekeeper - Projects'!$C$4:$C$1010,0)</f>
        <v>#N/A</v>
      </c>
      <c r="AN1306" s="6" t="b">
        <f t="shared" si="133"/>
        <v>1</v>
      </c>
      <c r="AO1306" s="6" t="str">
        <f t="shared" si="135"/>
        <v>OK</v>
      </c>
      <c r="AQ1306" s="6" t="e">
        <f>MATCH($D1306,'D4 - Provider Council Unsched'!$C$11:$C$234,0)</f>
        <v>#N/A</v>
      </c>
      <c r="AR1306" s="6" t="b">
        <f t="shared" si="134"/>
        <v>1</v>
      </c>
      <c r="AS1306" s="6" t="str">
        <f t="shared" si="136"/>
        <v>OK</v>
      </c>
      <c r="AU1306" s="202"/>
      <c r="AV1306" s="262"/>
      <c r="AW1306" s="274"/>
    </row>
    <row r="1307" spans="1:49" s="13" customFormat="1" ht="33.75" x14ac:dyDescent="0.2">
      <c r="A1307" s="14">
        <v>1283</v>
      </c>
      <c r="B1307" s="14">
        <v>400030396</v>
      </c>
      <c r="C1307" s="8" t="s">
        <v>1992</v>
      </c>
      <c r="D1307" s="4" t="str">
        <f t="shared" si="131"/>
        <v>400030396U1</v>
      </c>
      <c r="E1307" s="309" t="str">
        <f>VLOOKUP($B1307,'D7 - NDB Impacted SPRF''s'!$E$6:$O$9929,2,FALSE)</f>
        <v>MAHP Funding Table Redesign</v>
      </c>
      <c r="F1307" s="8" t="s">
        <v>5196</v>
      </c>
      <c r="G1307" s="8" t="s">
        <v>4758</v>
      </c>
      <c r="H1307" s="8" t="s">
        <v>4246</v>
      </c>
      <c r="I1307" s="20">
        <v>1.46</v>
      </c>
      <c r="J1307" s="8" t="s">
        <v>4862</v>
      </c>
      <c r="K1307" s="182">
        <v>40404</v>
      </c>
      <c r="L1307" s="8" t="s">
        <v>4156</v>
      </c>
      <c r="M1307" s="8" t="s">
        <v>2814</v>
      </c>
      <c r="N1307" s="38"/>
      <c r="O1307" s="8" t="s">
        <v>1074</v>
      </c>
      <c r="P1307" s="4" t="str">
        <f>VLOOKUP($B1307,'D7 - NDB Impacted SPRF''s'!$E$16:$O$9929,9,FALSE)</f>
        <v>Y</v>
      </c>
      <c r="Q1307" s="4" t="str">
        <f>VLOOKUP($B1307,'D7 - NDB Impacted SPRF''s'!$E$16:$O$9929,10,FALSE)</f>
        <v>N</v>
      </c>
      <c r="R1307" s="4" t="str">
        <f>VLOOKUP($B1307,'D7 - NDB Impacted SPRF''s'!$E$16:$O$9929,11,FALSE)</f>
        <v>N</v>
      </c>
      <c r="S1307" s="8"/>
      <c r="T1307" s="310"/>
      <c r="U1307" s="310"/>
      <c r="V1307" s="4"/>
      <c r="W1307" s="4"/>
      <c r="X1307" s="4"/>
      <c r="Y1307" s="4"/>
      <c r="Z1307" s="4"/>
      <c r="AA1307" s="4"/>
      <c r="AB1307" s="380" t="str">
        <f>VLOOKUP($B1307,'D7 - NDB Impacted SPRF''s'!$E$6:$O$9929,4,FALSE)</f>
        <v>Completed</v>
      </c>
      <c r="AC1307" s="380" t="str">
        <f>VLOOKUP($B1307,'D7 - NDB Impacted SPRF''s'!$E$6:$O$9929,3,FALSE)</f>
        <v>UnitedHealthcare Employer &amp; Individual</v>
      </c>
      <c r="AD1307" s="380" t="str">
        <f>VLOOKUP($B1307,'D7 - NDB Impacted SPRF''s'!$E$6:$O$9929,5,FALSE)</f>
        <v>Process Improvement</v>
      </c>
      <c r="AE1307" s="380" t="str">
        <f>VLOOKUP($B1307,'D7 - NDB Impacted SPRF''s'!$E$6:$O$9929,7,FALSE)</f>
        <v>Jill Foucre</v>
      </c>
      <c r="AF1307" s="380" t="str">
        <f>VLOOKUP($B1307,'D7 - NDB Impacted SPRF''s'!$E$6:$O$9929,6,FALSE)</f>
        <v>Brent Graham</v>
      </c>
      <c r="AG1307" s="282"/>
      <c r="AH1307" s="311" t="e">
        <f>INDEX('D5 - Gatekeeper - Projects'!$A$4:$AF$1010,$AM1307, 17)</f>
        <v>#N/A</v>
      </c>
      <c r="AI1307" s="8"/>
      <c r="AJ1307" s="57"/>
      <c r="AK1307" s="105"/>
      <c r="AM1307" s="6" t="e">
        <f>MATCH(D1307,'D5 - Gatekeeper - Projects'!$C$4:$C$1010,0)</f>
        <v>#N/A</v>
      </c>
      <c r="AN1307" s="6" t="b">
        <f t="shared" si="133"/>
        <v>1</v>
      </c>
      <c r="AO1307" s="6" t="str">
        <f t="shared" si="135"/>
        <v>OK</v>
      </c>
      <c r="AQ1307" s="6" t="e">
        <f>MATCH($D1307,'D4 - Provider Council Unsched'!$C$11:$C$234,0)</f>
        <v>#N/A</v>
      </c>
      <c r="AR1307" s="6" t="b">
        <f t="shared" si="134"/>
        <v>1</v>
      </c>
      <c r="AS1307" s="6" t="str">
        <f t="shared" si="136"/>
        <v>OK</v>
      </c>
      <c r="AU1307" s="202">
        <v>40266</v>
      </c>
      <c r="AV1307" s="262"/>
      <c r="AW1307" s="274"/>
    </row>
    <row r="1308" spans="1:49" s="13" customFormat="1" ht="33.75" x14ac:dyDescent="0.2">
      <c r="A1308" s="14">
        <v>1284</v>
      </c>
      <c r="B1308" s="14">
        <v>400030480</v>
      </c>
      <c r="C1308" s="8" t="s">
        <v>5197</v>
      </c>
      <c r="D1308" s="4" t="str">
        <f t="shared" si="131"/>
        <v>400030480R1</v>
      </c>
      <c r="E1308" s="309" t="str">
        <f>VLOOKUP($B1308,'D7 - NDB Impacted SPRF''s'!$E$6:$O$9929,2,FALSE)</f>
        <v>iHSR: ICM Integration</v>
      </c>
      <c r="F1308" s="8" t="s">
        <v>2114</v>
      </c>
      <c r="G1308" s="8" t="s">
        <v>4758</v>
      </c>
      <c r="H1308" s="8" t="s">
        <v>4246</v>
      </c>
      <c r="I1308" s="20">
        <v>1.07</v>
      </c>
      <c r="J1308" s="8" t="s">
        <v>4862</v>
      </c>
      <c r="K1308" s="182">
        <v>40404</v>
      </c>
      <c r="L1308" s="8" t="s">
        <v>4156</v>
      </c>
      <c r="M1308" s="8" t="s">
        <v>5626</v>
      </c>
      <c r="N1308" s="38"/>
      <c r="O1308" s="8"/>
      <c r="P1308" s="4" t="str">
        <f>VLOOKUP($B1308,'D7 - NDB Impacted SPRF''s'!$E$16:$O$9929,9,FALSE)</f>
        <v>Y</v>
      </c>
      <c r="Q1308" s="4" t="str">
        <f>VLOOKUP($B1308,'D7 - NDB Impacted SPRF''s'!$E$16:$O$9929,10,FALSE)</f>
        <v>N</v>
      </c>
      <c r="R1308" s="4" t="str">
        <f>VLOOKUP($B1308,'D7 - NDB Impacted SPRF''s'!$E$16:$O$9929,11,FALSE)</f>
        <v>N</v>
      </c>
      <c r="S1308" s="8"/>
      <c r="T1308" s="310"/>
      <c r="U1308" s="310"/>
      <c r="V1308" s="4"/>
      <c r="W1308" s="4"/>
      <c r="X1308" s="4"/>
      <c r="Y1308" s="4"/>
      <c r="Z1308" s="4"/>
      <c r="AA1308" s="4"/>
      <c r="AB1308" s="380" t="str">
        <f>VLOOKUP($B1308,'D7 - NDB Impacted SPRF''s'!$E$6:$O$9929,4,FALSE)</f>
        <v>Completed</v>
      </c>
      <c r="AC1308" s="380" t="str">
        <f>VLOOKUP($B1308,'D7 - NDB Impacted SPRF''s'!$E$6:$O$9929,3,FALSE)</f>
        <v>UnitedHealthcare Medicare &amp; Retirement</v>
      </c>
      <c r="AD1308" s="380" t="str">
        <f>VLOOKUP($B1308,'D7 - NDB Impacted SPRF''s'!$E$6:$O$9929,5,FALSE)</f>
        <v>Enterprise Clinical</v>
      </c>
      <c r="AE1308" s="380" t="str">
        <f>VLOOKUP($B1308,'D7 - NDB Impacted SPRF''s'!$E$6:$O$9929,7,FALSE)</f>
        <v>Mary Jane Beeson</v>
      </c>
      <c r="AF1308" s="380" t="str">
        <f>VLOOKUP($B1308,'D7 - NDB Impacted SPRF''s'!$E$6:$O$9929,6,FALSE)</f>
        <v>Carol Buske</v>
      </c>
      <c r="AG1308" s="282"/>
      <c r="AH1308" s="311" t="e">
        <f>INDEX('D5 - Gatekeeper - Projects'!$A$4:$AF$1010,$AM1308, 17)</f>
        <v>#N/A</v>
      </c>
      <c r="AI1308" s="8"/>
      <c r="AJ1308" s="57"/>
      <c r="AK1308" s="105"/>
      <c r="AM1308" s="6" t="e">
        <f>MATCH(D1308,'D5 - Gatekeeper - Projects'!$C$4:$C$1010,0)</f>
        <v>#N/A</v>
      </c>
      <c r="AN1308" s="6" t="b">
        <f t="shared" si="133"/>
        <v>1</v>
      </c>
      <c r="AO1308" s="6" t="str">
        <f t="shared" si="135"/>
        <v>OK</v>
      </c>
      <c r="AQ1308" s="6" t="e">
        <f>MATCH($D1308,'D4 - Provider Council Unsched'!$C$11:$C$234,0)</f>
        <v>#N/A</v>
      </c>
      <c r="AR1308" s="6" t="b">
        <f t="shared" si="134"/>
        <v>1</v>
      </c>
      <c r="AS1308" s="6" t="str">
        <f t="shared" si="136"/>
        <v>OK</v>
      </c>
      <c r="AU1308" s="202">
        <v>40312</v>
      </c>
      <c r="AV1308" s="262"/>
      <c r="AW1308" s="274"/>
    </row>
    <row r="1309" spans="1:49" s="13" customFormat="1" ht="33.75" x14ac:dyDescent="0.2">
      <c r="A1309" s="14">
        <v>1285</v>
      </c>
      <c r="B1309" s="14">
        <v>400030726</v>
      </c>
      <c r="C1309" s="8" t="s">
        <v>5197</v>
      </c>
      <c r="D1309" s="4" t="str">
        <f t="shared" si="131"/>
        <v>400030726R1</v>
      </c>
      <c r="E1309" s="309" t="str">
        <f>VLOOKUP($B1309,'D7 - NDB Impacted SPRF''s'!$E$6:$O$9929,2,FALSE)</f>
        <v>Integration Framework - NDB searches for CTB</v>
      </c>
      <c r="F1309" s="282" t="s">
        <v>6401</v>
      </c>
      <c r="G1309" s="8" t="s">
        <v>4758</v>
      </c>
      <c r="H1309" s="8" t="s">
        <v>4246</v>
      </c>
      <c r="I1309" s="20">
        <v>22</v>
      </c>
      <c r="J1309" s="8" t="s">
        <v>4862</v>
      </c>
      <c r="K1309" s="182">
        <v>40404</v>
      </c>
      <c r="L1309" s="8" t="s">
        <v>4156</v>
      </c>
      <c r="M1309" s="8" t="s">
        <v>4450</v>
      </c>
      <c r="N1309" s="38"/>
      <c r="O1309" s="8" t="s">
        <v>2875</v>
      </c>
      <c r="P1309" s="4" t="str">
        <f>VLOOKUP($B1309,'D7 - NDB Impacted SPRF''s'!$E$16:$O$9929,9,FALSE)</f>
        <v>N</v>
      </c>
      <c r="Q1309" s="4" t="str">
        <f>VLOOKUP($B1309,'D7 - NDB Impacted SPRF''s'!$E$16:$O$9929,10,FALSE)</f>
        <v>N</v>
      </c>
      <c r="R1309" s="4" t="str">
        <f>VLOOKUP($B1309,'D7 - NDB Impacted SPRF''s'!$E$16:$O$9929,11,FALSE)</f>
        <v>N</v>
      </c>
      <c r="S1309" s="8"/>
      <c r="T1309" s="310"/>
      <c r="U1309" s="310"/>
      <c r="V1309" s="4"/>
      <c r="W1309" s="4"/>
      <c r="X1309" s="4"/>
      <c r="Y1309" s="4"/>
      <c r="Z1309" s="4"/>
      <c r="AA1309" s="4"/>
      <c r="AB1309" s="380" t="str">
        <f>VLOOKUP($B1309,'D7 - NDB Impacted SPRF''s'!$E$6:$O$9929,4,FALSE)</f>
        <v>Completed</v>
      </c>
      <c r="AC1309" s="380" t="str">
        <f>VLOOKUP($B1309,'D7 - NDB Impacted SPRF''s'!$E$6:$O$9929,3,FALSE)</f>
        <v>UnitedHealthcare Medicare &amp; Retirement</v>
      </c>
      <c r="AD1309" s="380" t="str">
        <f>VLOOKUP($B1309,'D7 - NDB Impacted SPRF''s'!$E$6:$O$9929,5,FALSE)</f>
        <v>Enterprise Clinical</v>
      </c>
      <c r="AE1309" s="380" t="str">
        <f>VLOOKUP($B1309,'D7 - NDB Impacted SPRF''s'!$E$6:$O$9929,7,FALSE)</f>
        <v>Cynitha Middaugh</v>
      </c>
      <c r="AF1309" s="380" t="str">
        <f>VLOOKUP($B1309,'D7 - NDB Impacted SPRF''s'!$E$6:$O$9929,6,FALSE)</f>
        <v>Robert Hoerl</v>
      </c>
      <c r="AG1309" s="282"/>
      <c r="AH1309" s="311" t="e">
        <f>INDEX('D5 - Gatekeeper - Projects'!$A$4:$AF$1010,$AM1309, 17)</f>
        <v>#N/A</v>
      </c>
      <c r="AI1309" s="8"/>
      <c r="AJ1309" s="57"/>
      <c r="AK1309" s="57"/>
      <c r="AM1309" s="6" t="e">
        <f>MATCH(D1309,'D5 - Gatekeeper - Projects'!$C$4:$C$1010,0)</f>
        <v>#N/A</v>
      </c>
      <c r="AN1309" s="6" t="b">
        <f t="shared" si="133"/>
        <v>1</v>
      </c>
      <c r="AO1309" s="6" t="str">
        <f t="shared" si="135"/>
        <v>OK</v>
      </c>
      <c r="AQ1309" s="6" t="e">
        <f>MATCH($D1309,'D4 - Provider Council Unsched'!$C$11:$C$234,0)</f>
        <v>#N/A</v>
      </c>
      <c r="AR1309" s="6" t="b">
        <f t="shared" si="134"/>
        <v>1</v>
      </c>
      <c r="AS1309" s="6" t="str">
        <f t="shared" si="136"/>
        <v>OK</v>
      </c>
      <c r="AU1309" s="202"/>
      <c r="AV1309" s="262"/>
      <c r="AW1309" s="274"/>
    </row>
    <row r="1310" spans="1:49" s="13" customFormat="1" ht="22.5" x14ac:dyDescent="0.2">
      <c r="A1310" s="14">
        <v>1286</v>
      </c>
      <c r="B1310" s="14">
        <v>400030838</v>
      </c>
      <c r="C1310" s="8" t="s">
        <v>5197</v>
      </c>
      <c r="D1310" s="4" t="str">
        <f t="shared" si="131"/>
        <v>400030838R1</v>
      </c>
      <c r="E1310" s="309" t="str">
        <f>VLOOKUP($B1310,'D7 - NDB Impacted SPRF''s'!$E$6:$O$9929,2,FALSE)</f>
        <v>Add Organization Type to NDB call</v>
      </c>
      <c r="F1310" s="8" t="s">
        <v>2114</v>
      </c>
      <c r="G1310" s="8" t="s">
        <v>4758</v>
      </c>
      <c r="H1310" s="8" t="s">
        <v>4246</v>
      </c>
      <c r="I1310" s="20">
        <v>3.33</v>
      </c>
      <c r="J1310" s="8" t="s">
        <v>4862</v>
      </c>
      <c r="K1310" s="182">
        <v>40404</v>
      </c>
      <c r="L1310" s="8" t="s">
        <v>4156</v>
      </c>
      <c r="M1310" s="8" t="s">
        <v>2814</v>
      </c>
      <c r="N1310" s="38"/>
      <c r="O1310" s="8"/>
      <c r="P1310" s="4" t="str">
        <f>VLOOKUP($B1310,'D7 - NDB Impacted SPRF''s'!$E$16:$O$9929,9,FALSE)</f>
        <v>N</v>
      </c>
      <c r="Q1310" s="4" t="str">
        <f>VLOOKUP($B1310,'D7 - NDB Impacted SPRF''s'!$E$16:$O$9929,10,FALSE)</f>
        <v>N</v>
      </c>
      <c r="R1310" s="4" t="str">
        <f>VLOOKUP($B1310,'D7 - NDB Impacted SPRF''s'!$E$16:$O$9929,11,FALSE)</f>
        <v>N</v>
      </c>
      <c r="S1310" s="8"/>
      <c r="T1310" s="310"/>
      <c r="U1310" s="310"/>
      <c r="V1310" s="4"/>
      <c r="W1310" s="4"/>
      <c r="X1310" s="4"/>
      <c r="Y1310" s="4"/>
      <c r="Z1310" s="4"/>
      <c r="AA1310" s="4"/>
      <c r="AB1310" s="380" t="str">
        <f>VLOOKUP($B1310,'D7 - NDB Impacted SPRF''s'!$E$6:$O$9929,4,FALSE)</f>
        <v>Completed</v>
      </c>
      <c r="AC1310" s="380" t="str">
        <f>VLOOKUP($B1310,'D7 - NDB Impacted SPRF''s'!$E$6:$O$9929,3,FALSE)</f>
        <v>OptumHealth</v>
      </c>
      <c r="AD1310" s="380" t="str">
        <f>VLOOKUP($B1310,'D7 - NDB Impacted SPRF''s'!$E$6:$O$9929,5,FALSE)</f>
        <v>Behavioral Solutions</v>
      </c>
      <c r="AE1310" s="380" t="str">
        <f>VLOOKUP($B1310,'D7 - NDB Impacted SPRF''s'!$E$6:$O$9929,7,FALSE)</f>
        <v>Bob Preston</v>
      </c>
      <c r="AF1310" s="380" t="str">
        <f>VLOOKUP($B1310,'D7 - NDB Impacted SPRF''s'!$E$6:$O$9929,6,FALSE)</f>
        <v>LAUREN HANOVER</v>
      </c>
      <c r="AG1310" s="282"/>
      <c r="AH1310" s="311" t="e">
        <f>INDEX('D5 - Gatekeeper - Projects'!$A$4:$AF$1010,$AM1310, 17)</f>
        <v>#N/A</v>
      </c>
      <c r="AI1310" s="8"/>
      <c r="AJ1310" s="57"/>
      <c r="AK1310" s="57"/>
      <c r="AM1310" s="6" t="e">
        <f>MATCH(D1310,'D5 - Gatekeeper - Projects'!$C$4:$C$1010,0)</f>
        <v>#N/A</v>
      </c>
      <c r="AN1310" s="6" t="b">
        <f t="shared" si="133"/>
        <v>1</v>
      </c>
      <c r="AO1310" s="6" t="str">
        <f t="shared" si="135"/>
        <v>OK</v>
      </c>
      <c r="AQ1310" s="6" t="e">
        <f>MATCH($D1310,'D4 - Provider Council Unsched'!$C$11:$C$234,0)</f>
        <v>#N/A</v>
      </c>
      <c r="AR1310" s="6" t="b">
        <f t="shared" si="134"/>
        <v>1</v>
      </c>
      <c r="AS1310" s="6" t="str">
        <f t="shared" si="136"/>
        <v>OK</v>
      </c>
      <c r="AU1310" s="202"/>
      <c r="AV1310" s="262"/>
      <c r="AW1310" s="274"/>
    </row>
    <row r="1311" spans="1:49" s="13" customFormat="1" ht="33.75" x14ac:dyDescent="0.2">
      <c r="A1311" s="14">
        <v>1287</v>
      </c>
      <c r="B1311" s="14">
        <v>400031063</v>
      </c>
      <c r="C1311" s="8" t="s">
        <v>5197</v>
      </c>
      <c r="D1311" s="4" t="str">
        <f t="shared" si="131"/>
        <v>400031063R1</v>
      </c>
      <c r="E1311" s="309" t="str">
        <f>VLOOKUP($B1311,'D7 - NDB Impacted SPRF''s'!$E$6:$O$9929,2,FALSE)</f>
        <v>AmC AZ CareOne Migration</v>
      </c>
      <c r="F1311" s="8"/>
      <c r="G1311" s="8" t="s">
        <v>4758</v>
      </c>
      <c r="H1311" s="8" t="s">
        <v>4246</v>
      </c>
      <c r="I1311" s="20">
        <v>1.07</v>
      </c>
      <c r="J1311" s="8" t="s">
        <v>4862</v>
      </c>
      <c r="K1311" s="182">
        <v>40404</v>
      </c>
      <c r="L1311" s="8" t="s">
        <v>4156</v>
      </c>
      <c r="M1311" s="8" t="s">
        <v>5626</v>
      </c>
      <c r="N1311" s="38"/>
      <c r="O1311" s="8"/>
      <c r="P1311" s="4" t="str">
        <f>VLOOKUP($B1311,'D7 - NDB Impacted SPRF''s'!$E$16:$O$9929,9,FALSE)</f>
        <v>N</v>
      </c>
      <c r="Q1311" s="4" t="str">
        <f>VLOOKUP($B1311,'D7 - NDB Impacted SPRF''s'!$E$16:$O$9929,10,FALSE)</f>
        <v>N</v>
      </c>
      <c r="R1311" s="4" t="str">
        <f>VLOOKUP($B1311,'D7 - NDB Impacted SPRF''s'!$E$16:$O$9929,11,FALSE)</f>
        <v>N</v>
      </c>
      <c r="S1311" s="8"/>
      <c r="T1311" s="310"/>
      <c r="U1311" s="310"/>
      <c r="V1311" s="4"/>
      <c r="W1311" s="4"/>
      <c r="X1311" s="4"/>
      <c r="Y1311" s="4"/>
      <c r="Z1311" s="4"/>
      <c r="AA1311" s="4"/>
      <c r="AB1311" s="380" t="str">
        <f>VLOOKUP($B1311,'D7 - NDB Impacted SPRF''s'!$E$6:$O$9929,4,FALSE)</f>
        <v>Completed</v>
      </c>
      <c r="AC1311" s="380" t="str">
        <f>VLOOKUP($B1311,'D7 - NDB Impacted SPRF''s'!$E$6:$O$9929,3,FALSE)</f>
        <v>UnitedHealthcare Medicare &amp; Retirement</v>
      </c>
      <c r="AD1311" s="380" t="str">
        <f>VLOOKUP($B1311,'D7 - NDB Impacted SPRF''s'!$E$6:$O$9929,5,FALSE)</f>
        <v>Enterprise Clinical</v>
      </c>
      <c r="AE1311" s="380" t="str">
        <f>VLOOKUP($B1311,'D7 - NDB Impacted SPRF''s'!$E$6:$O$9929,7,FALSE)</f>
        <v>Sheila Nelson</v>
      </c>
      <c r="AF1311" s="380" t="str">
        <f>VLOOKUP($B1311,'D7 - NDB Impacted SPRF''s'!$E$6:$O$9929,6,FALSE)</f>
        <v>Steve Gudvangen</v>
      </c>
      <c r="AG1311" s="282"/>
      <c r="AH1311" s="311" t="e">
        <f>INDEX('D5 - Gatekeeper - Projects'!$A$4:$AF$1010,$AM1311, 17)</f>
        <v>#N/A</v>
      </c>
      <c r="AI1311" s="8"/>
      <c r="AJ1311" s="57"/>
      <c r="AK1311" s="105"/>
      <c r="AM1311" s="6" t="e">
        <f>MATCH(D1311,'D5 - Gatekeeper - Projects'!$C$4:$C$1010,0)</f>
        <v>#N/A</v>
      </c>
      <c r="AN1311" s="6" t="b">
        <f t="shared" si="133"/>
        <v>1</v>
      </c>
      <c r="AO1311" s="6" t="str">
        <f t="shared" si="135"/>
        <v>OK</v>
      </c>
      <c r="AQ1311" s="6" t="e">
        <f>MATCH($D1311,'D4 - Provider Council Unsched'!$C$11:$C$234,0)</f>
        <v>#N/A</v>
      </c>
      <c r="AR1311" s="6" t="b">
        <f t="shared" si="134"/>
        <v>1</v>
      </c>
      <c r="AS1311" s="6" t="str">
        <f t="shared" si="136"/>
        <v>OK</v>
      </c>
      <c r="AU1311" s="202" t="s">
        <v>3601</v>
      </c>
      <c r="AV1311" s="262"/>
      <c r="AW1311" s="274"/>
    </row>
    <row r="1312" spans="1:49" s="13" customFormat="1" ht="33.75" x14ac:dyDescent="0.2">
      <c r="A1312" s="14">
        <v>1288</v>
      </c>
      <c r="B1312" s="14">
        <v>400031481</v>
      </c>
      <c r="C1312" s="8" t="s">
        <v>5197</v>
      </c>
      <c r="D1312" s="4" t="str">
        <f t="shared" si="131"/>
        <v>400031481R1</v>
      </c>
      <c r="E1312" s="309" t="str">
        <f>VLOOKUP($B1312,'D7 - NDB Impacted SPRF''s'!$E$6:$O$9929,2,FALSE)</f>
        <v>iCES Clearinghouse August 2010 Maintenance Release</v>
      </c>
      <c r="F1312" s="8" t="s">
        <v>2114</v>
      </c>
      <c r="G1312" s="8" t="s">
        <v>4758</v>
      </c>
      <c r="H1312" s="8" t="s">
        <v>4246</v>
      </c>
      <c r="I1312" s="20">
        <v>0.53</v>
      </c>
      <c r="J1312" s="8" t="s">
        <v>4862</v>
      </c>
      <c r="K1312" s="182">
        <v>40404</v>
      </c>
      <c r="L1312" s="8" t="s">
        <v>4156</v>
      </c>
      <c r="M1312" s="8" t="s">
        <v>5626</v>
      </c>
      <c r="N1312" s="38"/>
      <c r="O1312" s="8"/>
      <c r="P1312" s="4" t="str">
        <f>VLOOKUP($B1312,'D7 - NDB Impacted SPRF''s'!$E$16:$O$9929,9,FALSE)</f>
        <v>Y</v>
      </c>
      <c r="Q1312" s="4" t="str">
        <f>VLOOKUP($B1312,'D7 - NDB Impacted SPRF''s'!$E$16:$O$9929,10,FALSE)</f>
        <v>N</v>
      </c>
      <c r="R1312" s="4" t="str">
        <f>VLOOKUP($B1312,'D7 - NDB Impacted SPRF''s'!$E$16:$O$9929,11,FALSE)</f>
        <v>N</v>
      </c>
      <c r="S1312" s="8"/>
      <c r="T1312" s="310"/>
      <c r="U1312" s="310"/>
      <c r="V1312" s="4"/>
      <c r="W1312" s="4"/>
      <c r="X1312" s="4"/>
      <c r="Y1312" s="4"/>
      <c r="Z1312" s="4"/>
      <c r="AA1312" s="4"/>
      <c r="AB1312" s="380" t="str">
        <f>VLOOKUP($B1312,'D7 - NDB Impacted SPRF''s'!$E$6:$O$9929,4,FALSE)</f>
        <v>Completed</v>
      </c>
      <c r="AC1312" s="380" t="str">
        <f>VLOOKUP($B1312,'D7 - NDB Impacted SPRF''s'!$E$6:$O$9929,3,FALSE)</f>
        <v>UnitedHealthcare Employer &amp; Individual</v>
      </c>
      <c r="AD1312" s="380" t="str">
        <f>VLOOKUP($B1312,'D7 - NDB Impacted SPRF''s'!$E$6:$O$9929,5,FALSE)</f>
        <v>Operational Requirements</v>
      </c>
      <c r="AE1312" s="380" t="str">
        <f>VLOOKUP($B1312,'D7 - NDB Impacted SPRF''s'!$E$6:$O$9929,7,FALSE)</f>
        <v>Elena McFann</v>
      </c>
      <c r="AF1312" s="380" t="str">
        <f>VLOOKUP($B1312,'D7 - NDB Impacted SPRF''s'!$E$6:$O$9929,6,FALSE)</f>
        <v>DAWN BOLLER</v>
      </c>
      <c r="AG1312" s="282"/>
      <c r="AH1312" s="311" t="e">
        <f>INDEX('D5 - Gatekeeper - Projects'!$A$4:$AF$1010,$AM1312, 17)</f>
        <v>#N/A</v>
      </c>
      <c r="AI1312" s="8"/>
      <c r="AJ1312" s="57"/>
      <c r="AK1312" s="57"/>
      <c r="AM1312" s="6" t="e">
        <f>MATCH(D1312,'D5 - Gatekeeper - Projects'!$C$4:$C$1010,0)</f>
        <v>#N/A</v>
      </c>
      <c r="AN1312" s="6" t="b">
        <f t="shared" si="133"/>
        <v>1</v>
      </c>
      <c r="AO1312" s="6" t="str">
        <f t="shared" si="135"/>
        <v>OK</v>
      </c>
      <c r="AQ1312" s="6" t="e">
        <f>MATCH($D1312,'D4 - Provider Council Unsched'!$C$11:$C$234,0)</f>
        <v>#N/A</v>
      </c>
      <c r="AR1312" s="6" t="b">
        <f t="shared" si="134"/>
        <v>1</v>
      </c>
      <c r="AS1312" s="6" t="str">
        <f t="shared" si="136"/>
        <v>OK</v>
      </c>
      <c r="AU1312" s="202"/>
      <c r="AV1312" s="262"/>
      <c r="AW1312" s="274"/>
    </row>
    <row r="1313" spans="1:49" s="13" customFormat="1" ht="33.75" x14ac:dyDescent="0.2">
      <c r="A1313" s="14">
        <v>1289</v>
      </c>
      <c r="B1313" s="14">
        <v>400032153</v>
      </c>
      <c r="C1313" s="8" t="s">
        <v>5197</v>
      </c>
      <c r="D1313" s="4" t="str">
        <f t="shared" si="131"/>
        <v>400032153R1</v>
      </c>
      <c r="E1313" s="309" t="str">
        <f>VLOOKUP($B1313,'D7 - NDB Impacted SPRF''s'!$E$6:$O$9929,2,FALSE)</f>
        <v>HEDIS Specialty Board Cert Long Term Corrections</v>
      </c>
      <c r="F1313" s="8" t="s">
        <v>2114</v>
      </c>
      <c r="G1313" s="8" t="s">
        <v>4758</v>
      </c>
      <c r="H1313" s="8" t="s">
        <v>4246</v>
      </c>
      <c r="I1313" s="20">
        <v>12.4</v>
      </c>
      <c r="J1313" s="8" t="s">
        <v>4862</v>
      </c>
      <c r="K1313" s="182">
        <v>40404</v>
      </c>
      <c r="L1313" s="8" t="s">
        <v>4156</v>
      </c>
      <c r="M1313" s="8" t="s">
        <v>2814</v>
      </c>
      <c r="N1313" s="38"/>
      <c r="O1313" s="8" t="s">
        <v>7299</v>
      </c>
      <c r="P1313" s="4" t="str">
        <f>VLOOKUP($B1313,'D7 - NDB Impacted SPRF''s'!$E$16:$O$9929,9,FALSE)</f>
        <v>N</v>
      </c>
      <c r="Q1313" s="4" t="str">
        <f>VLOOKUP($B1313,'D7 - NDB Impacted SPRF''s'!$E$16:$O$9929,10,FALSE)</f>
        <v>N</v>
      </c>
      <c r="R1313" s="4" t="str">
        <f>VLOOKUP($B1313,'D7 - NDB Impacted SPRF''s'!$E$16:$O$9929,11,FALSE)</f>
        <v>N</v>
      </c>
      <c r="S1313" s="8"/>
      <c r="T1313" s="310"/>
      <c r="U1313" s="310"/>
      <c r="V1313" s="4"/>
      <c r="W1313" s="4"/>
      <c r="X1313" s="4"/>
      <c r="Y1313" s="4"/>
      <c r="Z1313" s="4"/>
      <c r="AA1313" s="4"/>
      <c r="AB1313" s="380" t="str">
        <f>VLOOKUP($B1313,'D7 - NDB Impacted SPRF''s'!$E$6:$O$9929,4,FALSE)</f>
        <v>Completed</v>
      </c>
      <c r="AC1313" s="380" t="str">
        <f>VLOOKUP($B1313,'D7 - NDB Impacted SPRF''s'!$E$6:$O$9929,3,FALSE)</f>
        <v>UnitedHealthcare Medicare &amp; Retirement</v>
      </c>
      <c r="AD1313" s="380" t="str">
        <f>VLOOKUP($B1313,'D7 - NDB Impacted SPRF''s'!$E$6:$O$9929,5,FALSE)</f>
        <v>Enterprise Clinical</v>
      </c>
      <c r="AE1313" s="380" t="str">
        <f>VLOOKUP($B1313,'D7 - NDB Impacted SPRF''s'!$E$6:$O$9929,7,FALSE)</f>
        <v>Annelise Martin</v>
      </c>
      <c r="AF1313" s="380" t="str">
        <f>VLOOKUP($B1313,'D7 - NDB Impacted SPRF''s'!$E$6:$O$9929,6,FALSE)</f>
        <v>STEPHANIE LEAPHART</v>
      </c>
      <c r="AG1313" s="282"/>
      <c r="AH1313" s="311" t="e">
        <f>INDEX('D5 - Gatekeeper - Projects'!$A$4:$AF$1010,$AM1313, 17)</f>
        <v>#N/A</v>
      </c>
      <c r="AI1313" s="8"/>
      <c r="AJ1313" s="57"/>
      <c r="AK1313" s="57"/>
      <c r="AM1313" s="6" t="e">
        <f>MATCH(D1313,'D5 - Gatekeeper - Projects'!$C$4:$C$1010,0)</f>
        <v>#N/A</v>
      </c>
      <c r="AN1313" s="6" t="b">
        <f t="shared" si="133"/>
        <v>1</v>
      </c>
      <c r="AO1313" s="6" t="str">
        <f t="shared" si="135"/>
        <v>OK</v>
      </c>
      <c r="AQ1313" s="6" t="e">
        <f>MATCH($D1313,'D4 - Provider Council Unsched'!$C$11:$C$234,0)</f>
        <v>#N/A</v>
      </c>
      <c r="AR1313" s="6" t="b">
        <f t="shared" si="134"/>
        <v>1</v>
      </c>
      <c r="AS1313" s="6" t="str">
        <f t="shared" si="136"/>
        <v>OK</v>
      </c>
      <c r="AU1313" s="202"/>
      <c r="AV1313" s="262"/>
      <c r="AW1313" s="274"/>
    </row>
    <row r="1314" spans="1:49" s="13" customFormat="1" ht="33.75" x14ac:dyDescent="0.2">
      <c r="A1314" s="14">
        <v>1290</v>
      </c>
      <c r="B1314" s="14">
        <v>400032654</v>
      </c>
      <c r="C1314" s="8" t="s">
        <v>5197</v>
      </c>
      <c r="D1314" s="4" t="str">
        <f t="shared" si="131"/>
        <v>400032654R1</v>
      </c>
      <c r="E1314" s="309" t="str">
        <f>VLOOKUP($B1314,'D7 - NDB Impacted SPRF''s'!$E$6:$O$9929,2,FALSE)</f>
        <v>CSS-B2C 2010B RELEASE- CSS FUNDING</v>
      </c>
      <c r="F1314" s="8" t="s">
        <v>6401</v>
      </c>
      <c r="G1314" s="8" t="s">
        <v>4758</v>
      </c>
      <c r="H1314" s="8" t="s">
        <v>4246</v>
      </c>
      <c r="I1314" s="20">
        <v>1.07</v>
      </c>
      <c r="J1314" s="8" t="s">
        <v>4862</v>
      </c>
      <c r="K1314" s="182">
        <v>40404</v>
      </c>
      <c r="L1314" s="8" t="s">
        <v>4156</v>
      </c>
      <c r="M1314" s="8" t="s">
        <v>5626</v>
      </c>
      <c r="N1314" s="38"/>
      <c r="O1314" s="8"/>
      <c r="P1314" s="4" t="str">
        <f>VLOOKUP($B1314,'D7 - NDB Impacted SPRF''s'!$E$16:$O$9929,9,FALSE)</f>
        <v>Y</v>
      </c>
      <c r="Q1314" s="4" t="str">
        <f>VLOOKUP($B1314,'D7 - NDB Impacted SPRF''s'!$E$16:$O$9929,10,FALSE)</f>
        <v>N</v>
      </c>
      <c r="R1314" s="4" t="str">
        <f>VLOOKUP($B1314,'D7 - NDB Impacted SPRF''s'!$E$16:$O$9929,11,FALSE)</f>
        <v>N</v>
      </c>
      <c r="S1314" s="8"/>
      <c r="T1314" s="310"/>
      <c r="U1314" s="310"/>
      <c r="V1314" s="4"/>
      <c r="W1314" s="4"/>
      <c r="X1314" s="4"/>
      <c r="Y1314" s="4"/>
      <c r="Z1314" s="4"/>
      <c r="AA1314" s="4"/>
      <c r="AB1314" s="380" t="str">
        <f>VLOOKUP($B1314,'D7 - NDB Impacted SPRF''s'!$E$6:$O$9929,4,FALSE)</f>
        <v>Completed</v>
      </c>
      <c r="AC1314" s="380" t="str">
        <f>VLOOKUP($B1314,'D7 - NDB Impacted SPRF''s'!$E$6:$O$9929,3,FALSE)</f>
        <v>UnitedHealthcare Medicare &amp; Retirement</v>
      </c>
      <c r="AD1314" s="380" t="str">
        <f>VLOOKUP($B1314,'D7 - NDB Impacted SPRF''s'!$E$6:$O$9929,5,FALSE)</f>
        <v>Enterprise Clinical</v>
      </c>
      <c r="AE1314" s="380" t="str">
        <f>VLOOKUP($B1314,'D7 - NDB Impacted SPRF''s'!$E$6:$O$9929,7,FALSE)</f>
        <v>CYNTHIA MIDDAUGH</v>
      </c>
      <c r="AF1314" s="380" t="str">
        <f>VLOOKUP($B1314,'D7 - NDB Impacted SPRF''s'!$E$6:$O$9929,6,FALSE)</f>
        <v>CHRISTINA MOSHER</v>
      </c>
      <c r="AG1314" s="282"/>
      <c r="AH1314" s="311" t="e">
        <f>INDEX('D5 - Gatekeeper - Projects'!$A$4:$AF$1010,$AM1314, 17)</f>
        <v>#N/A</v>
      </c>
      <c r="AI1314" s="8"/>
      <c r="AJ1314" s="57"/>
      <c r="AK1314" s="105"/>
      <c r="AM1314" s="6" t="e">
        <f>MATCH(D1314,'D5 - Gatekeeper - Projects'!$C$4:$C$1010,0)</f>
        <v>#N/A</v>
      </c>
      <c r="AN1314" s="6" t="b">
        <f t="shared" si="133"/>
        <v>1</v>
      </c>
      <c r="AO1314" s="6" t="str">
        <f t="shared" si="135"/>
        <v>OK</v>
      </c>
      <c r="AQ1314" s="6" t="e">
        <f>MATCH($D1314,'D4 - Provider Council Unsched'!$C$11:$C$234,0)</f>
        <v>#N/A</v>
      </c>
      <c r="AR1314" s="6" t="b">
        <f t="shared" si="134"/>
        <v>1</v>
      </c>
      <c r="AS1314" s="6" t="str">
        <f t="shared" si="136"/>
        <v>OK</v>
      </c>
      <c r="AU1314" s="202"/>
      <c r="AV1314" s="262"/>
      <c r="AW1314" s="274"/>
    </row>
    <row r="1315" spans="1:49" s="13" customFormat="1" ht="33.75" x14ac:dyDescent="0.2">
      <c r="A1315" s="14">
        <v>1291</v>
      </c>
      <c r="B1315" s="286">
        <v>400032696</v>
      </c>
      <c r="C1315" s="8" t="s">
        <v>5197</v>
      </c>
      <c r="D1315" s="4" t="str">
        <f t="shared" si="131"/>
        <v>400032696R1</v>
      </c>
      <c r="E1315" s="309" t="str">
        <f>VLOOKUP($B1315,'D7 - NDB Impacted SPRF''s'!$E$6:$O$9929,2,FALSE)</f>
        <v>Common Intake / Coverage Review Release 2</v>
      </c>
      <c r="F1315" s="8" t="s">
        <v>2114</v>
      </c>
      <c r="G1315" s="8" t="s">
        <v>4758</v>
      </c>
      <c r="H1315" s="8" t="s">
        <v>4246</v>
      </c>
      <c r="I1315" s="20">
        <v>1.07</v>
      </c>
      <c r="J1315" s="8" t="s">
        <v>4862</v>
      </c>
      <c r="K1315" s="182">
        <v>40404</v>
      </c>
      <c r="L1315" s="8" t="s">
        <v>4156</v>
      </c>
      <c r="M1315" s="8" t="s">
        <v>5626</v>
      </c>
      <c r="N1315" s="38"/>
      <c r="O1315" s="8"/>
      <c r="P1315" s="4" t="str">
        <f>VLOOKUP($B1315,'D7 - NDB Impacted SPRF''s'!$E$16:$O$9929,9,FALSE)</f>
        <v>Y</v>
      </c>
      <c r="Q1315" s="4" t="str">
        <f>VLOOKUP($B1315,'D7 - NDB Impacted SPRF''s'!$E$16:$O$9929,10,FALSE)</f>
        <v>N</v>
      </c>
      <c r="R1315" s="4" t="str">
        <f>VLOOKUP($B1315,'D7 - NDB Impacted SPRF''s'!$E$16:$O$9929,11,FALSE)</f>
        <v>N</v>
      </c>
      <c r="S1315" s="8"/>
      <c r="T1315" s="310"/>
      <c r="U1315" s="310"/>
      <c r="V1315" s="4"/>
      <c r="W1315" s="4"/>
      <c r="X1315" s="4"/>
      <c r="Y1315" s="4"/>
      <c r="Z1315" s="4"/>
      <c r="AA1315" s="4"/>
      <c r="AB1315" s="380" t="str">
        <f>VLOOKUP($B1315,'D7 - NDB Impacted SPRF''s'!$E$6:$O$9929,4,FALSE)</f>
        <v>Completed</v>
      </c>
      <c r="AC1315" s="380" t="str">
        <f>VLOOKUP($B1315,'D7 - NDB Impacted SPRF''s'!$E$6:$O$9929,3,FALSE)</f>
        <v>UnitedHealthcare Medicare &amp; Retirement</v>
      </c>
      <c r="AD1315" s="380" t="str">
        <f>VLOOKUP($B1315,'D7 - NDB Impacted SPRF''s'!$E$6:$O$9929,5,FALSE)</f>
        <v>Enterprise Clinical</v>
      </c>
      <c r="AE1315" s="380" t="str">
        <f>VLOOKUP($B1315,'D7 - NDB Impacted SPRF''s'!$E$6:$O$9929,7,FALSE)</f>
        <v>Ellen Koch</v>
      </c>
      <c r="AF1315" s="380" t="str">
        <f>VLOOKUP($B1315,'D7 - NDB Impacted SPRF''s'!$E$6:$O$9929,6,FALSE)</f>
        <v>Carol Buske</v>
      </c>
      <c r="AG1315" s="282"/>
      <c r="AH1315" s="311" t="e">
        <f>INDEX('D5 - Gatekeeper - Projects'!$A$4:$AF$1010,$AM1315, 17)</f>
        <v>#N/A</v>
      </c>
      <c r="AI1315" s="8"/>
      <c r="AJ1315" s="57"/>
      <c r="AK1315" s="105"/>
      <c r="AM1315" s="6" t="e">
        <f>MATCH(D1315,'D5 - Gatekeeper - Projects'!$C$4:$C$1010,0)</f>
        <v>#N/A</v>
      </c>
      <c r="AN1315" s="6" t="b">
        <f t="shared" si="133"/>
        <v>1</v>
      </c>
      <c r="AO1315" s="6" t="str">
        <f t="shared" si="135"/>
        <v>OK</v>
      </c>
      <c r="AQ1315" s="6" t="e">
        <f>MATCH($D1315,'D4 - Provider Council Unsched'!$C$11:$C$234,0)</f>
        <v>#N/A</v>
      </c>
      <c r="AR1315" s="6" t="b">
        <f t="shared" si="134"/>
        <v>1</v>
      </c>
      <c r="AS1315" s="6" t="str">
        <f t="shared" si="136"/>
        <v>OK</v>
      </c>
      <c r="AU1315" s="202">
        <v>40276</v>
      </c>
      <c r="AV1315" s="262"/>
      <c r="AW1315" s="274"/>
    </row>
    <row r="1316" spans="1:49" s="13" customFormat="1" ht="33.75" x14ac:dyDescent="0.2">
      <c r="A1316" s="14">
        <v>1292</v>
      </c>
      <c r="B1316" s="14">
        <v>400033127</v>
      </c>
      <c r="C1316" s="8" t="s">
        <v>3763</v>
      </c>
      <c r="D1316" s="4" t="str">
        <f t="shared" si="131"/>
        <v>400033127R2</v>
      </c>
      <c r="E1316" s="309" t="str">
        <f>VLOOKUP($B1316,'D7 - NDB Impacted SPRF''s'!$E$6:$O$9929,2,FALSE)</f>
        <v>HIPAA 5010-UHC-837I&amp;P</v>
      </c>
      <c r="F1316" s="8" t="s">
        <v>2114</v>
      </c>
      <c r="G1316" s="8" t="s">
        <v>4758</v>
      </c>
      <c r="H1316" s="8" t="s">
        <v>4246</v>
      </c>
      <c r="I1316" s="20">
        <v>1.3333333333333333</v>
      </c>
      <c r="J1316" s="8" t="s">
        <v>4862</v>
      </c>
      <c r="K1316" s="182">
        <v>40404</v>
      </c>
      <c r="L1316" s="8" t="s">
        <v>4156</v>
      </c>
      <c r="M1316" s="8" t="s">
        <v>5626</v>
      </c>
      <c r="N1316" s="38" t="s">
        <v>5552</v>
      </c>
      <c r="O1316" s="8"/>
      <c r="P1316" s="4" t="str">
        <f>VLOOKUP($B1316,'D7 - NDB Impacted SPRF''s'!$E$16:$O$9929,9,FALSE)</f>
        <v>Y</v>
      </c>
      <c r="Q1316" s="4" t="str">
        <f>VLOOKUP($B1316,'D7 - NDB Impacted SPRF''s'!$E$16:$O$9929,10,FALSE)</f>
        <v>N</v>
      </c>
      <c r="R1316" s="4" t="str">
        <f>VLOOKUP($B1316,'D7 - NDB Impacted SPRF''s'!$E$16:$O$9929,11,FALSE)</f>
        <v>Y</v>
      </c>
      <c r="S1316" s="8"/>
      <c r="T1316" s="310"/>
      <c r="U1316" s="310"/>
      <c r="V1316" s="4"/>
      <c r="W1316" s="4"/>
      <c r="X1316" s="4"/>
      <c r="Y1316" s="4"/>
      <c r="Z1316" s="4"/>
      <c r="AA1316" s="4"/>
      <c r="AB1316" s="380" t="str">
        <f>VLOOKUP($B1316,'D7 - NDB Impacted SPRF''s'!$E$6:$O$9929,4,FALSE)</f>
        <v>Completed</v>
      </c>
      <c r="AC1316" s="380" t="str">
        <f>VLOOKUP($B1316,'D7 - NDB Impacted SPRF''s'!$E$6:$O$9929,3,FALSE)</f>
        <v>UnitedHealthcare Employer &amp; Individual</v>
      </c>
      <c r="AD1316" s="380" t="str">
        <f>VLOOKUP($B1316,'D7 - NDB Impacted SPRF''s'!$E$6:$O$9929,5,FALSE)</f>
        <v>HIPAA 5010</v>
      </c>
      <c r="AE1316" s="380" t="str">
        <f>VLOOKUP($B1316,'D7 - NDB Impacted SPRF''s'!$E$6:$O$9929,7,FALSE)</f>
        <v>Tim Kaja</v>
      </c>
      <c r="AF1316" s="380" t="str">
        <f>VLOOKUP($B1316,'D7 - NDB Impacted SPRF''s'!$E$6:$O$9929,6,FALSE)</f>
        <v>Delvis Schilling</v>
      </c>
      <c r="AG1316" s="282"/>
      <c r="AH1316" s="311" t="e">
        <f>INDEX('D5 - Gatekeeper - Projects'!$A$4:$AF$1010,$AM1316, 17)</f>
        <v>#N/A</v>
      </c>
      <c r="AI1316" s="8"/>
      <c r="AJ1316" s="57"/>
      <c r="AK1316" s="105"/>
      <c r="AM1316" s="6" t="e">
        <f>MATCH(D1316,'D5 - Gatekeeper - Projects'!$C$4:$C$1010,0)</f>
        <v>#N/A</v>
      </c>
      <c r="AN1316" s="6" t="b">
        <f t="shared" si="133"/>
        <v>1</v>
      </c>
      <c r="AO1316" s="6" t="str">
        <f t="shared" si="135"/>
        <v>OK</v>
      </c>
      <c r="AQ1316" s="6" t="e">
        <f>MATCH($D1316,'D4 - Provider Council Unsched'!$C$11:$C$234,0)</f>
        <v>#N/A</v>
      </c>
      <c r="AR1316" s="6" t="b">
        <f t="shared" si="134"/>
        <v>1</v>
      </c>
      <c r="AS1316" s="6" t="str">
        <f t="shared" si="136"/>
        <v>OK</v>
      </c>
      <c r="AU1316" s="202">
        <v>40298</v>
      </c>
      <c r="AV1316" s="262"/>
      <c r="AW1316" s="274"/>
    </row>
    <row r="1317" spans="1:49" s="13" customFormat="1" ht="33.75" x14ac:dyDescent="0.2">
      <c r="A1317" s="14">
        <v>1293</v>
      </c>
      <c r="B1317" s="14">
        <v>400033451</v>
      </c>
      <c r="C1317" s="8" t="s">
        <v>4926</v>
      </c>
      <c r="D1317" s="4" t="str">
        <f t="shared" si="131"/>
        <v>400033451R4</v>
      </c>
      <c r="E1317" s="309" t="str">
        <f>VLOOKUP($B1317,'D7 - NDB Impacted SPRF''s'!$E$6:$O$9929,2,FALSE)</f>
        <v>TRICARE Program:  Provider</v>
      </c>
      <c r="F1317" s="8" t="s">
        <v>3715</v>
      </c>
      <c r="G1317" s="8" t="s">
        <v>4758</v>
      </c>
      <c r="H1317" s="8" t="s">
        <v>4246</v>
      </c>
      <c r="I1317" s="20">
        <v>86</v>
      </c>
      <c r="J1317" s="8" t="s">
        <v>4862</v>
      </c>
      <c r="K1317" s="182">
        <v>40404</v>
      </c>
      <c r="L1317" s="8" t="s">
        <v>4156</v>
      </c>
      <c r="M1317" s="8" t="s">
        <v>2814</v>
      </c>
      <c r="N1317" s="38"/>
      <c r="O1317" s="8"/>
      <c r="P1317" s="4" t="str">
        <f>VLOOKUP($B1317,'D7 - NDB Impacted SPRF''s'!$E$16:$O$9929,9,FALSE)</f>
        <v>N</v>
      </c>
      <c r="Q1317" s="4" t="str">
        <f>VLOOKUP($B1317,'D7 - NDB Impacted SPRF''s'!$E$16:$O$9929,10,FALSE)</f>
        <v>N</v>
      </c>
      <c r="R1317" s="4" t="str">
        <f>VLOOKUP($B1317,'D7 - NDB Impacted SPRF''s'!$E$16:$O$9929,11,FALSE)</f>
        <v>Y</v>
      </c>
      <c r="S1317" s="8"/>
      <c r="T1317" s="310"/>
      <c r="U1317" s="310"/>
      <c r="V1317" s="4"/>
      <c r="W1317" s="4"/>
      <c r="X1317" s="4"/>
      <c r="Y1317" s="4"/>
      <c r="Z1317" s="4"/>
      <c r="AA1317" s="4"/>
      <c r="AB1317" s="380" t="str">
        <f>VLOOKUP($B1317,'D7 - NDB Impacted SPRF''s'!$E$6:$O$9929,4,FALSE)</f>
        <v>Cancelled</v>
      </c>
      <c r="AC1317" s="380" t="str">
        <f>VLOOKUP($B1317,'D7 - NDB Impacted SPRF''s'!$E$6:$O$9929,3,FALSE)</f>
        <v>UnitedHealthcare Military &amp; Veterans</v>
      </c>
      <c r="AD1317" s="380" t="str">
        <f>VLOOKUP($B1317,'D7 - NDB Impacted SPRF''s'!$E$6:$O$9929,5,FALSE)</f>
        <v>TRICARE</v>
      </c>
      <c r="AE1317" s="380" t="str">
        <f>VLOOKUP($B1317,'D7 - NDB Impacted SPRF''s'!$E$6:$O$9929,7,FALSE)</f>
        <v>Randall Smith</v>
      </c>
      <c r="AF1317" s="380" t="str">
        <f>VLOOKUP($B1317,'D7 - NDB Impacted SPRF''s'!$E$6:$O$9929,6,FALSE)</f>
        <v>Brian Lindell</v>
      </c>
      <c r="AG1317" s="282"/>
      <c r="AH1317" s="311" t="e">
        <f>INDEX('D5 - Gatekeeper - Projects'!$A$4:$AF$1010,$AM1317, 17)</f>
        <v>#N/A</v>
      </c>
      <c r="AI1317" s="8"/>
      <c r="AJ1317" s="57"/>
      <c r="AK1317" s="105"/>
      <c r="AM1317" s="6" t="e">
        <f>MATCH(D1317,'D5 - Gatekeeper - Projects'!$C$4:$C$1010,0)</f>
        <v>#N/A</v>
      </c>
      <c r="AN1317" s="6" t="b">
        <f t="shared" si="133"/>
        <v>1</v>
      </c>
      <c r="AO1317" s="6" t="str">
        <f t="shared" si="135"/>
        <v>OK</v>
      </c>
      <c r="AQ1317" s="6" t="e">
        <f>MATCH($D1317,'D4 - Provider Council Unsched'!$C$11:$C$234,0)</f>
        <v>#N/A</v>
      </c>
      <c r="AR1317" s="6" t="b">
        <f t="shared" si="134"/>
        <v>1</v>
      </c>
      <c r="AS1317" s="6" t="str">
        <f t="shared" si="136"/>
        <v>OK</v>
      </c>
      <c r="AU1317" s="202"/>
      <c r="AV1317" s="262"/>
      <c r="AW1317" s="274"/>
    </row>
    <row r="1318" spans="1:49" s="13" customFormat="1" ht="33.75" x14ac:dyDescent="0.2">
      <c r="A1318" s="14">
        <v>1294</v>
      </c>
      <c r="B1318" s="14">
        <v>400033735</v>
      </c>
      <c r="C1318" s="8" t="s">
        <v>5197</v>
      </c>
      <c r="D1318" s="4" t="str">
        <f t="shared" si="131"/>
        <v>400033735R1</v>
      </c>
      <c r="E1318" s="309" t="str">
        <f>VLOOKUP($B1318,'D7 - NDB Impacted SPRF''s'!$E$6:$O$9929,2,FALSE)</f>
        <v>NaviNet National Provider Data Extract</v>
      </c>
      <c r="F1318" s="8"/>
      <c r="G1318" s="8" t="s">
        <v>4758</v>
      </c>
      <c r="H1318" s="8" t="s">
        <v>4246</v>
      </c>
      <c r="I1318" s="20">
        <v>1.1499999999999999</v>
      </c>
      <c r="J1318" s="8" t="s">
        <v>4862</v>
      </c>
      <c r="K1318" s="182">
        <v>40404</v>
      </c>
      <c r="L1318" s="8" t="s">
        <v>4156</v>
      </c>
      <c r="M1318" s="8" t="s">
        <v>6007</v>
      </c>
      <c r="N1318" s="38"/>
      <c r="O1318" s="8"/>
      <c r="P1318" s="4" t="str">
        <f>VLOOKUP($B1318,'D7 - NDB Impacted SPRF''s'!$E$16:$O$9929,9,FALSE)</f>
        <v>N</v>
      </c>
      <c r="Q1318" s="4" t="str">
        <f>VLOOKUP($B1318,'D7 - NDB Impacted SPRF''s'!$E$16:$O$9929,10,FALSE)</f>
        <v>N</v>
      </c>
      <c r="R1318" s="4" t="str">
        <f>VLOOKUP($B1318,'D7 - NDB Impacted SPRF''s'!$E$16:$O$9929,11,FALSE)</f>
        <v>N</v>
      </c>
      <c r="S1318" s="8"/>
      <c r="T1318" s="310"/>
      <c r="U1318" s="310"/>
      <c r="V1318" s="4"/>
      <c r="W1318" s="4"/>
      <c r="X1318" s="4"/>
      <c r="Y1318" s="4"/>
      <c r="Z1318" s="4"/>
      <c r="AA1318" s="4"/>
      <c r="AB1318" s="380" t="str">
        <f>VLOOKUP($B1318,'D7 - NDB Impacted SPRF''s'!$E$6:$O$9929,4,FALSE)</f>
        <v>Completed</v>
      </c>
      <c r="AC1318" s="380" t="str">
        <f>VLOOKUP($B1318,'D7 - NDB Impacted SPRF''s'!$E$6:$O$9929,3,FALSE)</f>
        <v>UnitedHealthcare Employer &amp; Individual</v>
      </c>
      <c r="AD1318" s="380" t="str">
        <f>VLOOKUP($B1318,'D7 - NDB Impacted SPRF''s'!$E$6:$O$9929,5,FALSE)</f>
        <v>Operational Requirements</v>
      </c>
      <c r="AE1318" s="380" t="str">
        <f>VLOOKUP($B1318,'D7 - NDB Impacted SPRF''s'!$E$6:$O$9929,7,FALSE)</f>
        <v>Chris Kent</v>
      </c>
      <c r="AF1318" s="380" t="str">
        <f>VLOOKUP($B1318,'D7 - NDB Impacted SPRF''s'!$E$6:$O$9929,6,FALSE)</f>
        <v>Delvis Schilling</v>
      </c>
      <c r="AG1318" s="282"/>
      <c r="AH1318" s="311" t="e">
        <f>INDEX('D5 - Gatekeeper - Projects'!$A$4:$AF$1010,$AM1318, 17)</f>
        <v>#N/A</v>
      </c>
      <c r="AI1318" s="8"/>
      <c r="AJ1318" s="57"/>
      <c r="AK1318" s="105"/>
      <c r="AM1318" s="6" t="e">
        <f>MATCH(D1318,'D5 - Gatekeeper - Projects'!$C$4:$C$1010,0)</f>
        <v>#N/A</v>
      </c>
      <c r="AN1318" s="6" t="b">
        <f t="shared" si="133"/>
        <v>1</v>
      </c>
      <c r="AO1318" s="6" t="str">
        <f t="shared" si="135"/>
        <v>OK</v>
      </c>
      <c r="AQ1318" s="6" t="e">
        <f>MATCH($D1318,'D4 - Provider Council Unsched'!$C$11:$C$234,0)</f>
        <v>#N/A</v>
      </c>
      <c r="AR1318" s="6" t="b">
        <f t="shared" si="134"/>
        <v>1</v>
      </c>
      <c r="AS1318" s="6" t="str">
        <f t="shared" si="136"/>
        <v>OK</v>
      </c>
      <c r="AU1318" s="202"/>
      <c r="AV1318" s="262"/>
      <c r="AW1318" s="274"/>
    </row>
    <row r="1319" spans="1:49" s="13" customFormat="1" ht="33.75" x14ac:dyDescent="0.2">
      <c r="A1319" s="14">
        <v>1295</v>
      </c>
      <c r="B1319" s="14">
        <v>400034829</v>
      </c>
      <c r="C1319" s="8" t="s">
        <v>5197</v>
      </c>
      <c r="D1319" s="4" t="str">
        <f t="shared" si="131"/>
        <v>400034829R1</v>
      </c>
      <c r="E1319" s="309" t="str">
        <f>VLOOKUP($B1319,'D7 - NDB Impacted SPRF''s'!$E$6:$O$9929,2,FALSE)</f>
        <v xml:space="preserve"> AmC Wisconsin CareOne Clinical Migration </v>
      </c>
      <c r="F1319" s="8"/>
      <c r="G1319" s="8" t="s">
        <v>4758</v>
      </c>
      <c r="H1319" s="8" t="s">
        <v>4246</v>
      </c>
      <c r="I1319" s="20">
        <v>0.67</v>
      </c>
      <c r="J1319" s="8" t="s">
        <v>4862</v>
      </c>
      <c r="K1319" s="182">
        <v>40404</v>
      </c>
      <c r="L1319" s="8" t="s">
        <v>4156</v>
      </c>
      <c r="M1319" s="8" t="s">
        <v>5626</v>
      </c>
      <c r="N1319" s="38"/>
      <c r="O1319" s="8"/>
      <c r="P1319" s="4" t="str">
        <f>VLOOKUP($B1319,'D7 - NDB Impacted SPRF''s'!$E$16:$O$9929,9,FALSE)</f>
        <v>N</v>
      </c>
      <c r="Q1319" s="4" t="str">
        <f>VLOOKUP($B1319,'D7 - NDB Impacted SPRF''s'!$E$16:$O$9929,10,FALSE)</f>
        <v>N</v>
      </c>
      <c r="R1319" s="4" t="str">
        <f>VLOOKUP($B1319,'D7 - NDB Impacted SPRF''s'!$E$16:$O$9929,11,FALSE)</f>
        <v>N</v>
      </c>
      <c r="S1319" s="8"/>
      <c r="T1319" s="310"/>
      <c r="U1319" s="310"/>
      <c r="V1319" s="4"/>
      <c r="W1319" s="4"/>
      <c r="X1319" s="4"/>
      <c r="Y1319" s="4"/>
      <c r="Z1319" s="4"/>
      <c r="AA1319" s="4"/>
      <c r="AB1319" s="380" t="str">
        <f>VLOOKUP($B1319,'D7 - NDB Impacted SPRF''s'!$E$6:$O$9929,4,FALSE)</f>
        <v>Completed</v>
      </c>
      <c r="AC1319" s="380" t="str">
        <f>VLOOKUP($B1319,'D7 - NDB Impacted SPRF''s'!$E$6:$O$9929,3,FALSE)</f>
        <v>UnitedHealthcare Medicare &amp; Retirement</v>
      </c>
      <c r="AD1319" s="380" t="str">
        <f>VLOOKUP($B1319,'D7 - NDB Impacted SPRF''s'!$E$6:$O$9929,5,FALSE)</f>
        <v>Enterprise Clinical</v>
      </c>
      <c r="AE1319" s="380" t="str">
        <f>VLOOKUP($B1319,'D7 - NDB Impacted SPRF''s'!$E$6:$O$9929,7,FALSE)</f>
        <v>Sheila Nelson</v>
      </c>
      <c r="AF1319" s="380" t="str">
        <f>VLOOKUP($B1319,'D7 - NDB Impacted SPRF''s'!$E$6:$O$9929,6,FALSE)</f>
        <v>Steve Gudvangen</v>
      </c>
      <c r="AG1319" s="282"/>
      <c r="AH1319" s="311" t="e">
        <f>INDEX('D5 - Gatekeeper - Projects'!$A$4:$AF$1010,$AM1319, 17)</f>
        <v>#N/A</v>
      </c>
      <c r="AI1319" s="8"/>
      <c r="AJ1319" s="57"/>
      <c r="AK1319" s="105"/>
      <c r="AM1319" s="6" t="e">
        <f>MATCH(D1319,'D5 - Gatekeeper - Projects'!$C$4:$C$1010,0)</f>
        <v>#N/A</v>
      </c>
      <c r="AN1319" s="6" t="b">
        <f t="shared" si="133"/>
        <v>1</v>
      </c>
      <c r="AO1319" s="6" t="str">
        <f t="shared" si="135"/>
        <v>OK</v>
      </c>
      <c r="AQ1319" s="6" t="e">
        <f>MATCH($D1319,'D4 - Provider Council Unsched'!$C$11:$C$234,0)</f>
        <v>#N/A</v>
      </c>
      <c r="AR1319" s="6" t="b">
        <f t="shared" si="134"/>
        <v>1</v>
      </c>
      <c r="AS1319" s="6" t="str">
        <f t="shared" si="136"/>
        <v>OK</v>
      </c>
      <c r="AU1319" s="202">
        <v>40346</v>
      </c>
      <c r="AV1319" s="262"/>
      <c r="AW1319" s="274"/>
    </row>
    <row r="1320" spans="1:49" s="13" customFormat="1" ht="33.75" x14ac:dyDescent="0.2">
      <c r="A1320" s="14">
        <v>1296</v>
      </c>
      <c r="B1320" s="14">
        <v>400034904</v>
      </c>
      <c r="C1320" s="8" t="s">
        <v>5197</v>
      </c>
      <c r="D1320" s="4" t="str">
        <f t="shared" si="131"/>
        <v>400034904R1</v>
      </c>
      <c r="E1320" s="309" t="str">
        <f>VLOOKUP($B1320,'D7 - NDB Impacted SPRF''s'!$E$6:$O$9929,2,FALSE)</f>
        <v xml:space="preserve">RSA - CA HMO Network </v>
      </c>
      <c r="F1320" s="8"/>
      <c r="G1320" s="8" t="s">
        <v>4758</v>
      </c>
      <c r="H1320" s="8" t="s">
        <v>4246</v>
      </c>
      <c r="I1320" s="20">
        <v>1.33</v>
      </c>
      <c r="J1320" s="8" t="s">
        <v>4862</v>
      </c>
      <c r="K1320" s="182">
        <v>40404</v>
      </c>
      <c r="L1320" s="8" t="s">
        <v>4156</v>
      </c>
      <c r="M1320" s="8" t="s">
        <v>6688</v>
      </c>
      <c r="N1320" s="38"/>
      <c r="O1320" s="8"/>
      <c r="P1320" s="4" t="str">
        <f>VLOOKUP($B1320,'D7 - NDB Impacted SPRF''s'!$E$16:$O$9929,9,FALSE)</f>
        <v>N</v>
      </c>
      <c r="Q1320" s="4" t="str">
        <f>VLOOKUP($B1320,'D7 - NDB Impacted SPRF''s'!$E$16:$O$9929,10,FALSE)</f>
        <v>N</v>
      </c>
      <c r="R1320" s="4" t="str">
        <f>VLOOKUP($B1320,'D7 - NDB Impacted SPRF''s'!$E$16:$O$9929,11,FALSE)</f>
        <v>N</v>
      </c>
      <c r="S1320" s="8"/>
      <c r="T1320" s="310"/>
      <c r="U1320" s="310"/>
      <c r="V1320" s="4"/>
      <c r="W1320" s="4"/>
      <c r="X1320" s="4"/>
      <c r="Y1320" s="4"/>
      <c r="Z1320" s="4"/>
      <c r="AA1320" s="4"/>
      <c r="AB1320" s="380" t="str">
        <f>VLOOKUP($B1320,'D7 - NDB Impacted SPRF''s'!$E$6:$O$9929,4,FALSE)</f>
        <v>Completed</v>
      </c>
      <c r="AC1320" s="380" t="str">
        <f>VLOOKUP($B1320,'D7 - NDB Impacted SPRF''s'!$E$6:$O$9929,3,FALSE)</f>
        <v>UnitedHealthcare Employer &amp; Individual</v>
      </c>
      <c r="AD1320" s="380" t="str">
        <f>VLOOKUP($B1320,'D7 - NDB Impacted SPRF''s'!$E$6:$O$9929,5,FALSE)</f>
        <v>Membership Growth / Revenue Programs</v>
      </c>
      <c r="AE1320" s="380" t="str">
        <f>VLOOKUP($B1320,'D7 - NDB Impacted SPRF''s'!$E$6:$O$9929,7,FALSE)</f>
        <v>Lee Biersdorf</v>
      </c>
      <c r="AF1320" s="380" t="str">
        <f>VLOOKUP($B1320,'D7 - NDB Impacted SPRF''s'!$E$6:$O$9929,6,FALSE)</f>
        <v>COBB DOROTHY</v>
      </c>
      <c r="AG1320" s="282"/>
      <c r="AH1320" s="311" t="e">
        <f>INDEX('D5 - Gatekeeper - Projects'!$A$4:$AF$1010,$AM1320, 17)</f>
        <v>#N/A</v>
      </c>
      <c r="AI1320" s="8"/>
      <c r="AJ1320" s="57"/>
      <c r="AK1320" s="105"/>
      <c r="AM1320" s="6" t="e">
        <f>MATCH(D1320,'D5 - Gatekeeper - Projects'!$C$4:$C$1010,0)</f>
        <v>#N/A</v>
      </c>
      <c r="AN1320" s="6" t="b">
        <f t="shared" si="133"/>
        <v>1</v>
      </c>
      <c r="AO1320" s="6" t="str">
        <f t="shared" si="135"/>
        <v>OK</v>
      </c>
      <c r="AQ1320" s="6" t="e">
        <f>MATCH($D1320,'D4 - Provider Council Unsched'!$C$11:$C$234,0)</f>
        <v>#N/A</v>
      </c>
      <c r="AR1320" s="6" t="b">
        <f t="shared" si="134"/>
        <v>1</v>
      </c>
      <c r="AS1320" s="6" t="str">
        <f t="shared" si="136"/>
        <v>OK</v>
      </c>
      <c r="AU1320" s="202">
        <v>40266</v>
      </c>
      <c r="AV1320" s="262"/>
      <c r="AW1320" s="274"/>
    </row>
    <row r="1321" spans="1:49" s="13" customFormat="1" ht="33.75" x14ac:dyDescent="0.2">
      <c r="A1321" s="14">
        <v>1297</v>
      </c>
      <c r="B1321" s="14">
        <v>400035075</v>
      </c>
      <c r="C1321" s="8" t="s">
        <v>5197</v>
      </c>
      <c r="D1321" s="4" t="str">
        <f t="shared" si="131"/>
        <v>400035075R1</v>
      </c>
      <c r="E1321" s="309" t="str">
        <f>VLOOKUP($B1321,'D7 - NDB Impacted SPRF''s'!$E$6:$O$9929,2,FALSE)</f>
        <v>All-Inclusive Provider Flat Rate Reimbursement</v>
      </c>
      <c r="F1321" s="8" t="s">
        <v>2114</v>
      </c>
      <c r="G1321" s="8" t="s">
        <v>4758</v>
      </c>
      <c r="H1321" s="8" t="s">
        <v>4246</v>
      </c>
      <c r="I1321" s="20">
        <v>0.93333333333333335</v>
      </c>
      <c r="J1321" s="8" t="s">
        <v>4862</v>
      </c>
      <c r="K1321" s="182">
        <v>40404</v>
      </c>
      <c r="L1321" s="8" t="s">
        <v>4156</v>
      </c>
      <c r="M1321" s="8" t="s">
        <v>6688</v>
      </c>
      <c r="N1321" s="38"/>
      <c r="O1321" s="8"/>
      <c r="P1321" s="4" t="str">
        <f>VLOOKUP($B1321,'D7 - NDB Impacted SPRF''s'!$E$16:$O$9929,9,FALSE)</f>
        <v>Y</v>
      </c>
      <c r="Q1321" s="4" t="str">
        <f>VLOOKUP($B1321,'D7 - NDB Impacted SPRF''s'!$E$16:$O$9929,10,FALSE)</f>
        <v>N</v>
      </c>
      <c r="R1321" s="4" t="str">
        <f>VLOOKUP($B1321,'D7 - NDB Impacted SPRF''s'!$E$16:$O$9929,11,FALSE)</f>
        <v>Y</v>
      </c>
      <c r="S1321" s="8"/>
      <c r="T1321" s="310"/>
      <c r="U1321" s="310"/>
      <c r="V1321" s="4"/>
      <c r="W1321" s="4"/>
      <c r="X1321" s="4"/>
      <c r="Y1321" s="4"/>
      <c r="Z1321" s="4"/>
      <c r="AA1321" s="4"/>
      <c r="AB1321" s="380" t="str">
        <f>VLOOKUP($B1321,'D7 - NDB Impacted SPRF''s'!$E$6:$O$9929,4,FALSE)</f>
        <v>Completed</v>
      </c>
      <c r="AC1321" s="380" t="str">
        <f>VLOOKUP($B1321,'D7 - NDB Impacted SPRF''s'!$E$6:$O$9929,3,FALSE)</f>
        <v>UnitedHealthcare Employer &amp; Individual</v>
      </c>
      <c r="AD1321" s="380" t="str">
        <f>VLOOKUP($B1321,'D7 - NDB Impacted SPRF''s'!$E$6:$O$9929,5,FALSE)</f>
        <v>Process Improvement</v>
      </c>
      <c r="AE1321" s="380" t="str">
        <f>VLOOKUP($B1321,'D7 - NDB Impacted SPRF''s'!$E$6:$O$9929,7,FALSE)</f>
        <v>Tim Kaja</v>
      </c>
      <c r="AF1321" s="380" t="str">
        <f>VLOOKUP($B1321,'D7 - NDB Impacted SPRF''s'!$E$6:$O$9929,6,FALSE)</f>
        <v>CHERYL STAUFFER</v>
      </c>
      <c r="AG1321" s="282"/>
      <c r="AH1321" s="311" t="e">
        <f>INDEX('D5 - Gatekeeper - Projects'!$A$4:$AF$1010,$AM1321, 17)</f>
        <v>#N/A</v>
      </c>
      <c r="AI1321" s="8"/>
      <c r="AJ1321" s="57"/>
      <c r="AK1321" s="105"/>
      <c r="AM1321" s="6" t="e">
        <f>MATCH(D1321,'D5 - Gatekeeper - Projects'!$C$4:$C$1010,0)</f>
        <v>#N/A</v>
      </c>
      <c r="AN1321" s="6" t="b">
        <f t="shared" si="133"/>
        <v>1</v>
      </c>
      <c r="AO1321" s="6" t="str">
        <f t="shared" si="135"/>
        <v>OK</v>
      </c>
      <c r="AQ1321" s="6" t="e">
        <f>MATCH($D1321,'D4 - Provider Council Unsched'!$C$11:$C$234,0)</f>
        <v>#N/A</v>
      </c>
      <c r="AR1321" s="6" t="b">
        <f t="shared" si="134"/>
        <v>1</v>
      </c>
      <c r="AS1321" s="6" t="str">
        <f t="shared" si="136"/>
        <v>OK</v>
      </c>
      <c r="AU1321" s="202">
        <v>40291</v>
      </c>
      <c r="AV1321" s="262"/>
      <c r="AW1321" s="274"/>
    </row>
    <row r="1322" spans="1:49" s="13" customFormat="1" ht="33.75" x14ac:dyDescent="0.2">
      <c r="A1322" s="14">
        <v>1298</v>
      </c>
      <c r="B1322" s="14">
        <v>400036187</v>
      </c>
      <c r="C1322" s="8" t="s">
        <v>5197</v>
      </c>
      <c r="D1322" s="4" t="str">
        <f t="shared" si="131"/>
        <v>400036187R1</v>
      </c>
      <c r="E1322" s="309" t="str">
        <f>VLOOKUP($B1322,'D7 - NDB Impacted SPRF''s'!$E$6:$O$9929,2,FALSE)</f>
        <v xml:space="preserve">Medica Migration from IDT/Qstar to ISET </v>
      </c>
      <c r="F1322" s="8"/>
      <c r="G1322" s="8" t="s">
        <v>4758</v>
      </c>
      <c r="H1322" s="8" t="s">
        <v>4246</v>
      </c>
      <c r="I1322" s="20">
        <v>1.64</v>
      </c>
      <c r="J1322" s="8" t="s">
        <v>4862</v>
      </c>
      <c r="K1322" s="182">
        <v>40404</v>
      </c>
      <c r="L1322" s="8" t="s">
        <v>4156</v>
      </c>
      <c r="M1322" s="8" t="s">
        <v>6688</v>
      </c>
      <c r="N1322" s="38"/>
      <c r="O1322" s="8"/>
      <c r="P1322" s="4" t="str">
        <f>VLOOKUP($B1322,'D7 - NDB Impacted SPRF''s'!$E$16:$O$9929,9,FALSE)</f>
        <v>Y</v>
      </c>
      <c r="Q1322" s="4" t="str">
        <f>VLOOKUP($B1322,'D7 - NDB Impacted SPRF''s'!$E$16:$O$9929,10,FALSE)</f>
        <v>N</v>
      </c>
      <c r="R1322" s="4" t="str">
        <f>VLOOKUP($B1322,'D7 - NDB Impacted SPRF''s'!$E$16:$O$9929,11,FALSE)</f>
        <v>N</v>
      </c>
      <c r="S1322" s="8"/>
      <c r="T1322" s="310"/>
      <c r="U1322" s="310"/>
      <c r="V1322" s="4"/>
      <c r="W1322" s="4"/>
      <c r="X1322" s="4"/>
      <c r="Y1322" s="4"/>
      <c r="Z1322" s="4"/>
      <c r="AA1322" s="4"/>
      <c r="AB1322" s="380" t="str">
        <f>VLOOKUP($B1322,'D7 - NDB Impacted SPRF''s'!$E$6:$O$9929,4,FALSE)</f>
        <v>Completed</v>
      </c>
      <c r="AC1322" s="380" t="str">
        <f>VLOOKUP($B1322,'D7 - NDB Impacted SPRF''s'!$E$6:$O$9929,3,FALSE)</f>
        <v>UnitedHealthcare Employer &amp; Individual</v>
      </c>
      <c r="AD1322" s="380" t="str">
        <f>VLOOKUP($B1322,'D7 - NDB Impacted SPRF''s'!$E$6:$O$9929,5,FALSE)</f>
        <v>HCA - Medica Operational Support</v>
      </c>
      <c r="AE1322" s="380" t="str">
        <f>VLOOKUP($B1322,'D7 - NDB Impacted SPRF''s'!$E$6:$O$9929,7,FALSE)</f>
        <v>Mark Garrity</v>
      </c>
      <c r="AF1322" s="380" t="str">
        <f>VLOOKUP($B1322,'D7 - NDB Impacted SPRF''s'!$E$6:$O$9929,6,FALSE)</f>
        <v>KRISTYN EIRING</v>
      </c>
      <c r="AG1322" s="282"/>
      <c r="AH1322" s="311" t="e">
        <f>INDEX('D5 - Gatekeeper - Projects'!$A$4:$AF$1010,$AM1322, 17)</f>
        <v>#N/A</v>
      </c>
      <c r="AI1322" s="8"/>
      <c r="AJ1322" s="57"/>
      <c r="AK1322" s="105"/>
      <c r="AM1322" s="6" t="e">
        <f>MATCH(D1322,'D5 - Gatekeeper - Projects'!$C$4:$C$1010,0)</f>
        <v>#N/A</v>
      </c>
      <c r="AN1322" s="6" t="b">
        <f t="shared" si="133"/>
        <v>1</v>
      </c>
      <c r="AO1322" s="6" t="str">
        <f t="shared" si="135"/>
        <v>OK</v>
      </c>
      <c r="AQ1322" s="6" t="e">
        <f>MATCH($D1322,'D4 - Provider Council Unsched'!$C$11:$C$234,0)</f>
        <v>#N/A</v>
      </c>
      <c r="AR1322" s="6" t="b">
        <f t="shared" si="134"/>
        <v>1</v>
      </c>
      <c r="AS1322" s="6" t="str">
        <f t="shared" si="136"/>
        <v>OK</v>
      </c>
      <c r="AU1322" s="202">
        <v>40360</v>
      </c>
      <c r="AV1322" s="262"/>
      <c r="AW1322" s="274"/>
    </row>
    <row r="1323" spans="1:49" s="13" customFormat="1" ht="33.75" x14ac:dyDescent="0.2">
      <c r="A1323" s="14">
        <v>1299</v>
      </c>
      <c r="B1323" s="14">
        <v>400036212</v>
      </c>
      <c r="C1323" s="8" t="s">
        <v>5197</v>
      </c>
      <c r="D1323" s="4" t="str">
        <f t="shared" si="131"/>
        <v>400036212R1</v>
      </c>
      <c r="E1323" s="309" t="str">
        <f>VLOOKUP($B1323,'D7 - NDB Impacted SPRF''s'!$E$6:$O$9929,2,FALSE)</f>
        <v>RSA - Provider Search- Telesales Requirements</v>
      </c>
      <c r="F1323" s="8" t="s">
        <v>2114</v>
      </c>
      <c r="G1323" s="8" t="s">
        <v>4758</v>
      </c>
      <c r="H1323" s="8" t="s">
        <v>4246</v>
      </c>
      <c r="I1323" s="20">
        <v>1.23</v>
      </c>
      <c r="J1323" s="8" t="s">
        <v>4862</v>
      </c>
      <c r="K1323" s="182">
        <v>40404</v>
      </c>
      <c r="L1323" s="8" t="s">
        <v>4156</v>
      </c>
      <c r="M1323" s="8" t="s">
        <v>6688</v>
      </c>
      <c r="N1323" s="38" t="s">
        <v>6924</v>
      </c>
      <c r="O1323" s="8"/>
      <c r="P1323" s="4" t="str">
        <f>VLOOKUP($B1323,'D7 - NDB Impacted SPRF''s'!$E$16:$O$9929,9,FALSE)</f>
        <v>N</v>
      </c>
      <c r="Q1323" s="4" t="str">
        <f>VLOOKUP($B1323,'D7 - NDB Impacted SPRF''s'!$E$16:$O$9929,10,FALSE)</f>
        <v>N</v>
      </c>
      <c r="R1323" s="4" t="str">
        <f>VLOOKUP($B1323,'D7 - NDB Impacted SPRF''s'!$E$16:$O$9929,11,FALSE)</f>
        <v>N</v>
      </c>
      <c r="S1323" s="8"/>
      <c r="T1323" s="310"/>
      <c r="U1323" s="310"/>
      <c r="V1323" s="4"/>
      <c r="W1323" s="4"/>
      <c r="X1323" s="4"/>
      <c r="Y1323" s="4"/>
      <c r="Z1323" s="4"/>
      <c r="AA1323" s="4"/>
      <c r="AB1323" s="380" t="str">
        <f>VLOOKUP($B1323,'D7 - NDB Impacted SPRF''s'!$E$6:$O$9929,4,FALSE)</f>
        <v>Completed</v>
      </c>
      <c r="AC1323" s="380" t="str">
        <f>VLOOKUP($B1323,'D7 - NDB Impacted SPRF''s'!$E$6:$O$9929,3,FALSE)</f>
        <v>UnitedHealthcare Medicare &amp; Retirement</v>
      </c>
      <c r="AD1323" s="380" t="str">
        <f>VLOOKUP($B1323,'D7 - NDB Impacted SPRF''s'!$E$6:$O$9929,5,FALSE)</f>
        <v>Tech and Data Management</v>
      </c>
      <c r="AE1323" s="380" t="str">
        <f>VLOOKUP($B1323,'D7 - NDB Impacted SPRF''s'!$E$6:$O$9929,7,FALSE)</f>
        <v>Peter Ngin</v>
      </c>
      <c r="AF1323" s="380" t="str">
        <f>VLOOKUP($B1323,'D7 - NDB Impacted SPRF''s'!$E$6:$O$9929,6,FALSE)</f>
        <v>Jessica Tattersall</v>
      </c>
      <c r="AG1323" s="282"/>
      <c r="AH1323" s="311" t="e">
        <f>INDEX('D5 - Gatekeeper - Projects'!$A$4:$AF$1010,$AM1323, 17)</f>
        <v>#N/A</v>
      </c>
      <c r="AI1323" s="8"/>
      <c r="AJ1323" s="57"/>
      <c r="AK1323" s="105"/>
      <c r="AM1323" s="6" t="e">
        <f>MATCH(D1323,'D5 - Gatekeeper - Projects'!$C$4:$C$1010,0)</f>
        <v>#N/A</v>
      </c>
      <c r="AN1323" s="6" t="b">
        <f t="shared" si="133"/>
        <v>1</v>
      </c>
      <c r="AO1323" s="6" t="str">
        <f t="shared" si="135"/>
        <v>OK</v>
      </c>
      <c r="AQ1323" s="6" t="e">
        <f>MATCH($D1323,'D4 - Provider Council Unsched'!$C$11:$C$234,0)</f>
        <v>#N/A</v>
      </c>
      <c r="AR1323" s="6" t="b">
        <f t="shared" si="134"/>
        <v>1</v>
      </c>
      <c r="AS1323" s="6" t="str">
        <f t="shared" si="136"/>
        <v>OK</v>
      </c>
      <c r="AU1323" s="202">
        <v>40312</v>
      </c>
      <c r="AV1323" s="262"/>
      <c r="AW1323" s="274"/>
    </row>
    <row r="1324" spans="1:49" s="13" customFormat="1" ht="22.5" x14ac:dyDescent="0.2">
      <c r="A1324" s="14">
        <v>1300</v>
      </c>
      <c r="B1324" s="14">
        <v>400036756</v>
      </c>
      <c r="C1324" s="8" t="s">
        <v>5197</v>
      </c>
      <c r="D1324" s="4" t="str">
        <f t="shared" si="131"/>
        <v>400036756R1</v>
      </c>
      <c r="E1324" s="309" t="str">
        <f>VLOOKUP($B1324,'D7 - NDB Impacted SPRF''s'!$E$6:$O$9929,2,FALSE)</f>
        <v>Medica EPDL Feed Update for Premium Designation</v>
      </c>
      <c r="F1324" s="8"/>
      <c r="G1324" s="8" t="s">
        <v>4758</v>
      </c>
      <c r="H1324" s="8" t="s">
        <v>4246</v>
      </c>
      <c r="I1324" s="20">
        <v>1.07</v>
      </c>
      <c r="J1324" s="8" t="s">
        <v>4862</v>
      </c>
      <c r="K1324" s="182">
        <v>40404</v>
      </c>
      <c r="L1324" s="8" t="s">
        <v>4156</v>
      </c>
      <c r="M1324" s="8" t="s">
        <v>5626</v>
      </c>
      <c r="N1324" s="38"/>
      <c r="O1324" s="8"/>
      <c r="P1324" s="4" t="str">
        <f>VLOOKUP($B1324,'D7 - NDB Impacted SPRF''s'!$E$16:$O$9929,9,FALSE)</f>
        <v>N</v>
      </c>
      <c r="Q1324" s="4" t="str">
        <f>VLOOKUP($B1324,'D7 - NDB Impacted SPRF''s'!$E$16:$O$9929,10,FALSE)</f>
        <v>N</v>
      </c>
      <c r="R1324" s="4" t="str">
        <f>VLOOKUP($B1324,'D7 - NDB Impacted SPRF''s'!$E$16:$O$9929,11,FALSE)</f>
        <v>N</v>
      </c>
      <c r="S1324" s="8"/>
      <c r="T1324" s="310"/>
      <c r="U1324" s="310"/>
      <c r="V1324" s="4"/>
      <c r="W1324" s="4"/>
      <c r="X1324" s="4"/>
      <c r="Y1324" s="4"/>
      <c r="Z1324" s="4"/>
      <c r="AA1324" s="4"/>
      <c r="AB1324" s="380" t="str">
        <f>VLOOKUP($B1324,'D7 - NDB Impacted SPRF''s'!$E$6:$O$9929,4,FALSE)</f>
        <v>Completed</v>
      </c>
      <c r="AC1324" s="380" t="str">
        <f>VLOOKUP($B1324,'D7 - NDB Impacted SPRF''s'!$E$6:$O$9929,3,FALSE)</f>
        <v>OptumInsight</v>
      </c>
      <c r="AD1324" s="380" t="str">
        <f>VLOOKUP($B1324,'D7 - NDB Impacted SPRF''s'!$E$6:$O$9929,5,FALSE)</f>
        <v>Ingenix</v>
      </c>
      <c r="AE1324" s="380" t="str">
        <f>VLOOKUP($B1324,'D7 - NDB Impacted SPRF''s'!$E$6:$O$9929,7,FALSE)</f>
        <v>Marilyn Levi-Baumgarten</v>
      </c>
      <c r="AF1324" s="380" t="str">
        <f>VLOOKUP($B1324,'D7 - NDB Impacted SPRF''s'!$E$6:$O$9929,6,FALSE)</f>
        <v>HOLMAN JACQUELYNE</v>
      </c>
      <c r="AG1324" s="282"/>
      <c r="AH1324" s="311" t="e">
        <f>INDEX('D5 - Gatekeeper - Projects'!$A$4:$AF$1010,$AM1324, 17)</f>
        <v>#N/A</v>
      </c>
      <c r="AI1324" s="8"/>
      <c r="AJ1324" s="57"/>
      <c r="AK1324" s="105"/>
      <c r="AM1324" s="6" t="e">
        <f>MATCH(D1324,'D5 - Gatekeeper - Projects'!$C$4:$C$1010,0)</f>
        <v>#N/A</v>
      </c>
      <c r="AN1324" s="6" t="b">
        <f t="shared" si="133"/>
        <v>1</v>
      </c>
      <c r="AO1324" s="6" t="str">
        <f t="shared" si="135"/>
        <v>OK</v>
      </c>
      <c r="AQ1324" s="6" t="e">
        <f>MATCH($D1324,'D4 - Provider Council Unsched'!$C$11:$C$234,0)</f>
        <v>#N/A</v>
      </c>
      <c r="AR1324" s="6" t="b">
        <f t="shared" si="134"/>
        <v>1</v>
      </c>
      <c r="AS1324" s="6" t="str">
        <f t="shared" si="136"/>
        <v>OK</v>
      </c>
      <c r="AU1324" s="202">
        <v>40291</v>
      </c>
      <c r="AV1324" s="262"/>
      <c r="AW1324" s="274"/>
    </row>
    <row r="1325" spans="1:49" s="13" customFormat="1" x14ac:dyDescent="0.2">
      <c r="A1325" s="14">
        <v>1301</v>
      </c>
      <c r="B1325" s="14">
        <v>400036786</v>
      </c>
      <c r="C1325" s="8" t="s">
        <v>5197</v>
      </c>
      <c r="D1325" s="4" t="str">
        <f t="shared" si="131"/>
        <v>400036786R1</v>
      </c>
      <c r="E1325" s="309" t="str">
        <f>VLOOKUP($B1325,'D7 - NDB Impacted SPRF''s'!$E$6:$O$9929,2,FALSE)</f>
        <v>UHPD PAR Edit modification in DDB to NDB Feed</v>
      </c>
      <c r="F1325" s="8"/>
      <c r="G1325" s="8" t="s">
        <v>4758</v>
      </c>
      <c r="H1325" s="8" t="s">
        <v>4246</v>
      </c>
      <c r="I1325" s="20">
        <v>1.53</v>
      </c>
      <c r="J1325" s="8" t="s">
        <v>4862</v>
      </c>
      <c r="K1325" s="182">
        <v>40404</v>
      </c>
      <c r="L1325" s="8" t="s">
        <v>4156</v>
      </c>
      <c r="M1325" s="8" t="s">
        <v>6007</v>
      </c>
      <c r="N1325" s="38"/>
      <c r="O1325" s="8"/>
      <c r="P1325" s="4" t="str">
        <f>VLOOKUP($B1325,'D7 - NDB Impacted SPRF''s'!$E$16:$O$9929,9,FALSE)</f>
        <v>N</v>
      </c>
      <c r="Q1325" s="4" t="str">
        <f>VLOOKUP($B1325,'D7 - NDB Impacted SPRF''s'!$E$16:$O$9929,10,FALSE)</f>
        <v>N</v>
      </c>
      <c r="R1325" s="4" t="str">
        <f>VLOOKUP($B1325,'D7 - NDB Impacted SPRF''s'!$E$16:$O$9929,11,FALSE)</f>
        <v>N</v>
      </c>
      <c r="S1325" s="8"/>
      <c r="T1325" s="310"/>
      <c r="U1325" s="310"/>
      <c r="V1325" s="4"/>
      <c r="W1325" s="4"/>
      <c r="X1325" s="4"/>
      <c r="Y1325" s="4"/>
      <c r="Z1325" s="4"/>
      <c r="AA1325" s="4"/>
      <c r="AB1325" s="380" t="str">
        <f>VLOOKUP($B1325,'D7 - NDB Impacted SPRF''s'!$E$6:$O$9929,4,FALSE)</f>
        <v>Completed</v>
      </c>
      <c r="AC1325" s="380" t="str">
        <f>VLOOKUP($B1325,'D7 - NDB Impacted SPRF''s'!$E$6:$O$9929,3,FALSE)</f>
        <v>OptumInsight</v>
      </c>
      <c r="AD1325" s="380" t="str">
        <f>VLOOKUP($B1325,'D7 - NDB Impacted SPRF''s'!$E$6:$O$9929,5,FALSE)</f>
        <v>Ingenix</v>
      </c>
      <c r="AE1325" s="380" t="str">
        <f>VLOOKUP($B1325,'D7 - NDB Impacted SPRF''s'!$E$6:$O$9929,7,FALSE)</f>
        <v>Christopher J Brown</v>
      </c>
      <c r="AF1325" s="380" t="str">
        <f>VLOOKUP($B1325,'D7 - NDB Impacted SPRF''s'!$E$6:$O$9929,6,FALSE)</f>
        <v>Lee Solheim</v>
      </c>
      <c r="AG1325" s="282"/>
      <c r="AH1325" s="311" t="e">
        <f>INDEX('D5 - Gatekeeper - Projects'!$A$4:$AF$1010,$AM1325, 17)</f>
        <v>#N/A</v>
      </c>
      <c r="AI1325" s="8"/>
      <c r="AJ1325" s="57"/>
      <c r="AK1325" s="105"/>
      <c r="AM1325" s="6" t="e">
        <f>MATCH(D1325,'D5 - Gatekeeper - Projects'!$C$4:$C$1010,0)</f>
        <v>#N/A</v>
      </c>
      <c r="AN1325" s="6" t="b">
        <f t="shared" si="133"/>
        <v>1</v>
      </c>
      <c r="AO1325" s="6" t="str">
        <f t="shared" si="135"/>
        <v>OK</v>
      </c>
      <c r="AQ1325" s="6" t="e">
        <f>MATCH($D1325,'D4 - Provider Council Unsched'!$C$11:$C$234,0)</f>
        <v>#N/A</v>
      </c>
      <c r="AR1325" s="6" t="b">
        <f t="shared" si="134"/>
        <v>1</v>
      </c>
      <c r="AS1325" s="6" t="str">
        <f t="shared" si="136"/>
        <v>OK</v>
      </c>
      <c r="AU1325" s="202">
        <v>40326</v>
      </c>
      <c r="AV1325" s="262"/>
      <c r="AW1325" s="274"/>
    </row>
    <row r="1326" spans="1:49" s="13" customFormat="1" ht="33.75" x14ac:dyDescent="0.2">
      <c r="A1326" s="14">
        <v>1302</v>
      </c>
      <c r="B1326" s="14">
        <v>400037108</v>
      </c>
      <c r="C1326" s="8" t="s">
        <v>5197</v>
      </c>
      <c r="D1326" s="4" t="str">
        <f t="shared" si="131"/>
        <v>400037108R1</v>
      </c>
      <c r="E1326" s="309" t="str">
        <f>VLOOKUP($B1326,'D7 - NDB Impacted SPRF''s'!$E$6:$O$9929,2,FALSE)</f>
        <v>COSMOS Field Expansion Long Term Solution</v>
      </c>
      <c r="F1326" s="8"/>
      <c r="G1326" s="8" t="s">
        <v>4758</v>
      </c>
      <c r="H1326" s="8" t="s">
        <v>4246</v>
      </c>
      <c r="I1326" s="20">
        <v>3.16</v>
      </c>
      <c r="J1326" s="8" t="s">
        <v>4862</v>
      </c>
      <c r="K1326" s="182">
        <v>40404</v>
      </c>
      <c r="L1326" s="8" t="s">
        <v>4156</v>
      </c>
      <c r="M1326" s="8" t="s">
        <v>6688</v>
      </c>
      <c r="N1326" s="38" t="s">
        <v>6927</v>
      </c>
      <c r="O1326" s="8"/>
      <c r="P1326" s="4" t="str">
        <f>VLOOKUP($B1326,'D7 - NDB Impacted SPRF''s'!$E$16:$O$9929,9,FALSE)</f>
        <v>N</v>
      </c>
      <c r="Q1326" s="4" t="str">
        <f>VLOOKUP($B1326,'D7 - NDB Impacted SPRF''s'!$E$16:$O$9929,10,FALSE)</f>
        <v>N</v>
      </c>
      <c r="R1326" s="4" t="str">
        <f>VLOOKUP($B1326,'D7 - NDB Impacted SPRF''s'!$E$16:$O$9929,11,FALSE)</f>
        <v>N</v>
      </c>
      <c r="S1326" s="8"/>
      <c r="T1326" s="310"/>
      <c r="U1326" s="310"/>
      <c r="V1326" s="4"/>
      <c r="W1326" s="4"/>
      <c r="X1326" s="4"/>
      <c r="Y1326" s="4"/>
      <c r="Z1326" s="4"/>
      <c r="AA1326" s="4"/>
      <c r="AB1326" s="380" t="str">
        <f>VLOOKUP($B1326,'D7 - NDB Impacted SPRF''s'!$E$6:$O$9929,4,FALSE)</f>
        <v>Completed</v>
      </c>
      <c r="AC1326" s="380" t="str">
        <f>VLOOKUP($B1326,'D7 - NDB Impacted SPRF''s'!$E$6:$O$9929,3,FALSE)</f>
        <v>UnitedHealthcare Medicare &amp; Retirement</v>
      </c>
      <c r="AD1326" s="380" t="str">
        <f>VLOOKUP($B1326,'D7 - NDB Impacted SPRF''s'!$E$6:$O$9929,5,FALSE)</f>
        <v>Benefit Admin</v>
      </c>
      <c r="AE1326" s="380" t="str">
        <f>VLOOKUP($B1326,'D7 - NDB Impacted SPRF''s'!$E$6:$O$9929,7,FALSE)</f>
        <v>Paul Mead</v>
      </c>
      <c r="AF1326" s="380" t="str">
        <f>VLOOKUP($B1326,'D7 - NDB Impacted SPRF''s'!$E$6:$O$9929,6,FALSE)</f>
        <v>Jessica Tattersall</v>
      </c>
      <c r="AG1326" s="282"/>
      <c r="AH1326" s="311" t="e">
        <f>INDEX('D5 - Gatekeeper - Projects'!$A$4:$AF$1010,$AM1326, 17)</f>
        <v>#N/A</v>
      </c>
      <c r="AI1326" s="8"/>
      <c r="AJ1326" s="57"/>
      <c r="AK1326" s="105"/>
      <c r="AM1326" s="6" t="e">
        <f>MATCH(D1326,'D5 - Gatekeeper - Projects'!$C$4:$C$1010,0)</f>
        <v>#N/A</v>
      </c>
      <c r="AN1326" s="6" t="b">
        <f t="shared" si="133"/>
        <v>1</v>
      </c>
      <c r="AO1326" s="6" t="str">
        <f t="shared" si="135"/>
        <v>OK</v>
      </c>
      <c r="AQ1326" s="6" t="e">
        <f>MATCH($D1326,'D4 - Provider Council Unsched'!$C$11:$C$234,0)</f>
        <v>#N/A</v>
      </c>
      <c r="AR1326" s="6" t="b">
        <f t="shared" si="134"/>
        <v>1</v>
      </c>
      <c r="AS1326" s="6" t="str">
        <f t="shared" si="136"/>
        <v>OK</v>
      </c>
      <c r="AU1326" s="202">
        <v>40322</v>
      </c>
      <c r="AV1326" s="262"/>
      <c r="AW1326" s="274"/>
    </row>
    <row r="1327" spans="1:49" s="13" customFormat="1" ht="45" x14ac:dyDescent="0.2">
      <c r="A1327" s="14">
        <v>1303</v>
      </c>
      <c r="B1327" s="8">
        <v>400038665</v>
      </c>
      <c r="C1327" s="8" t="s">
        <v>1447</v>
      </c>
      <c r="D1327" s="4" t="str">
        <f t="shared" si="131"/>
        <v>400038665A</v>
      </c>
      <c r="E1327" s="309" t="str">
        <f>VLOOKUP($B1327,'D7 - NDB Impacted SPRF''s'!$E$6:$O$9929,2,FALSE)</f>
        <v>PDR 2010 - Scope and Approach Review (Doddy Xfer)</v>
      </c>
      <c r="F1327" s="8"/>
      <c r="G1327" s="8" t="s">
        <v>4758</v>
      </c>
      <c r="H1327" s="8" t="s">
        <v>4246</v>
      </c>
      <c r="I1327" s="20">
        <v>0.13</v>
      </c>
      <c r="J1327" s="8" t="s">
        <v>4862</v>
      </c>
      <c r="K1327" s="182">
        <v>40404</v>
      </c>
      <c r="L1327" s="8" t="s">
        <v>4156</v>
      </c>
      <c r="M1327" s="8" t="s">
        <v>6688</v>
      </c>
      <c r="N1327" s="38"/>
      <c r="O1327" s="8"/>
      <c r="P1327" s="4" t="str">
        <f>VLOOKUP($B1327,'D7 - NDB Impacted SPRF''s'!$E$16:$O$9929,9,FALSE)</f>
        <v>Y</v>
      </c>
      <c r="Q1327" s="4" t="str">
        <f>VLOOKUP($B1327,'D7 - NDB Impacted SPRF''s'!$E$16:$O$9929,10,FALSE)</f>
        <v>N</v>
      </c>
      <c r="R1327" s="4" t="str">
        <f>VLOOKUP($B1327,'D7 - NDB Impacted SPRF''s'!$E$16:$O$9929,11,FALSE)</f>
        <v>Y</v>
      </c>
      <c r="S1327" s="8"/>
      <c r="T1327" s="310"/>
      <c r="U1327" s="310"/>
      <c r="V1327" s="4"/>
      <c r="W1327" s="4"/>
      <c r="X1327" s="4"/>
      <c r="Y1327" s="4"/>
      <c r="Z1327" s="4"/>
      <c r="AA1327" s="4"/>
      <c r="AB1327" s="380" t="str">
        <f>VLOOKUP($B1327,'D7 - NDB Impacted SPRF''s'!$E$6:$O$9929,4,FALSE)</f>
        <v>Completed</v>
      </c>
      <c r="AC1327" s="380" t="str">
        <f>VLOOKUP($B1327,'D7 - NDB Impacted SPRF''s'!$E$6:$O$9929,3,FALSE)</f>
        <v>UHG IT - Enterprise Technology Services</v>
      </c>
      <c r="AD1327" s="380" t="str">
        <f>VLOOKUP($B1327,'D7 - NDB Impacted SPRF''s'!$E$6:$O$9929,5,FALSE)</f>
        <v>Strategic Initiatives</v>
      </c>
      <c r="AE1327" s="380" t="str">
        <f>VLOOKUP($B1327,'D7 - NDB Impacted SPRF''s'!$E$6:$O$9929,7,FALSE)</f>
        <v>Tim Kaja</v>
      </c>
      <c r="AF1327" s="380" t="str">
        <f>VLOOKUP($B1327,'D7 - NDB Impacted SPRF''s'!$E$6:$O$9929,6,FALSE)</f>
        <v>JEFFREY HUXLEY</v>
      </c>
      <c r="AG1327" s="282"/>
      <c r="AH1327" s="311" t="e">
        <f>INDEX('D5 - Gatekeeper - Projects'!$A$4:$AF$1010,$AM1327, 17)</f>
        <v>#N/A</v>
      </c>
      <c r="AI1327" s="8"/>
      <c r="AJ1327" s="57"/>
      <c r="AK1327" s="105"/>
      <c r="AM1327" s="6" t="e">
        <f>MATCH(D1327,'D5 - Gatekeeper - Projects'!$C$4:$C$1010,0)</f>
        <v>#N/A</v>
      </c>
      <c r="AN1327" s="6" t="b">
        <f t="shared" si="133"/>
        <v>1</v>
      </c>
      <c r="AO1327" s="6" t="str">
        <f t="shared" si="135"/>
        <v>OK</v>
      </c>
      <c r="AQ1327" s="6" t="e">
        <f>MATCH($D1327,'D4 - Provider Council Unsched'!$C$11:$C$234,0)</f>
        <v>#N/A</v>
      </c>
      <c r="AR1327" s="6" t="b">
        <f t="shared" si="134"/>
        <v>1</v>
      </c>
      <c r="AS1327" s="6" t="str">
        <f t="shared" si="136"/>
        <v>OK</v>
      </c>
      <c r="AU1327" s="202"/>
      <c r="AV1327" s="262"/>
      <c r="AW1327" s="274"/>
    </row>
    <row r="1328" spans="1:49" s="13" customFormat="1" ht="12.75" x14ac:dyDescent="0.2">
      <c r="A1328" s="14">
        <v>1304</v>
      </c>
      <c r="B1328" s="14" t="s">
        <v>2358</v>
      </c>
      <c r="C1328" s="8" t="s">
        <v>5197</v>
      </c>
      <c r="D1328" s="4" t="s">
        <v>2359</v>
      </c>
      <c r="E1328" s="341" t="s">
        <v>2360</v>
      </c>
      <c r="F1328" s="8" t="s">
        <v>2114</v>
      </c>
      <c r="G1328" s="8" t="s">
        <v>4758</v>
      </c>
      <c r="H1328" s="8" t="s">
        <v>4246</v>
      </c>
      <c r="I1328" s="20">
        <v>1.5</v>
      </c>
      <c r="J1328" s="8" t="s">
        <v>4862</v>
      </c>
      <c r="K1328" s="182">
        <v>40404</v>
      </c>
      <c r="L1328" s="8" t="s">
        <v>5743</v>
      </c>
      <c r="M1328" s="8" t="s">
        <v>2814</v>
      </c>
      <c r="N1328" s="38"/>
      <c r="O1328" s="8" t="s">
        <v>3572</v>
      </c>
      <c r="P1328" s="4" t="e">
        <f>VLOOKUP($B1328,'D7 - NDB Impacted SPRF''s'!$E$16:$O$9929,9,FALSE)</f>
        <v>#N/A</v>
      </c>
      <c r="Q1328" s="4" t="e">
        <f>VLOOKUP($B1328,'D7 - NDB Impacted SPRF''s'!$E$16:$O$9929,10,FALSE)</f>
        <v>#N/A</v>
      </c>
      <c r="R1328" s="4" t="e">
        <f>VLOOKUP($B1328,'D7 - NDB Impacted SPRF''s'!$E$16:$O$9929,11,FALSE)</f>
        <v>#N/A</v>
      </c>
      <c r="S1328" s="8"/>
      <c r="T1328" s="310"/>
      <c r="U1328" s="310"/>
      <c r="V1328" s="4"/>
      <c r="W1328" s="4"/>
      <c r="X1328" s="4"/>
      <c r="Y1328" s="4"/>
      <c r="Z1328" s="4"/>
      <c r="AA1328" s="4"/>
      <c r="AB1328" s="383" t="e">
        <f>VLOOKUP($B1328,'D7 - NDB Impacted SPRF''s'!$E$16:$O$9929,4,FALSE)</f>
        <v>#N/A</v>
      </c>
      <c r="AC1328" s="380" t="e">
        <f>VLOOKUP($B1328,'D7 - NDB Impacted SPRF''s'!$E$16:$O$9929,3,FALSE)</f>
        <v>#N/A</v>
      </c>
      <c r="AD1328" s="380" t="e">
        <f>VLOOKUP($B1328,'D7 - NDB Impacted SPRF''s'!$E$16:$O$9929,5,FALSE)</f>
        <v>#N/A</v>
      </c>
      <c r="AE1328" s="380" t="e">
        <f>VLOOKUP($B1328,'D7 - NDB Impacted SPRF''s'!$E$16:$O$9929,7,FALSE)</f>
        <v>#N/A</v>
      </c>
      <c r="AF1328" s="380" t="e">
        <f>VLOOKUP($B1328,'D7 - NDB Impacted SPRF''s'!$E$16:$O$9929,6,FALSE)</f>
        <v>#N/A</v>
      </c>
      <c r="AG1328" s="282"/>
      <c r="AH1328" s="311" t="e">
        <f>INDEX('D5 - Gatekeeper - Projects'!$A$4:$AF$1010,$AM1328, 17)</f>
        <v>#N/A</v>
      </c>
      <c r="AI1328" s="8"/>
      <c r="AJ1328" s="57"/>
      <c r="AK1328" s="105"/>
      <c r="AM1328" s="6" t="e">
        <f>MATCH(D1328,'D5 - Gatekeeper - Projects'!$C$4:$C$1010,0)</f>
        <v>#N/A</v>
      </c>
      <c r="AN1328" s="6" t="b">
        <f t="shared" si="133"/>
        <v>1</v>
      </c>
      <c r="AO1328" s="6" t="str">
        <f t="shared" si="135"/>
        <v>OK</v>
      </c>
      <c r="AQ1328" s="6" t="e">
        <f>MATCH($D1328,'D4 - Provider Council Unsched'!$C$11:$C$234,0)</f>
        <v>#N/A</v>
      </c>
      <c r="AR1328" s="6" t="b">
        <f t="shared" si="134"/>
        <v>1</v>
      </c>
      <c r="AS1328" s="6" t="str">
        <f>IF(AND(H1328="2 - Not Scheduled",AR1328=TRUE),"Add","OK")</f>
        <v>OK</v>
      </c>
      <c r="AU1328" s="202"/>
      <c r="AV1328" s="262"/>
      <c r="AW1328" s="274"/>
    </row>
    <row r="1329" spans="1:49" s="13" customFormat="1" ht="12.75" x14ac:dyDescent="0.2">
      <c r="A1329" s="14">
        <v>1305</v>
      </c>
      <c r="B1329" s="14" t="s">
        <v>2400</v>
      </c>
      <c r="C1329" s="8" t="s">
        <v>5197</v>
      </c>
      <c r="D1329" s="4" t="s">
        <v>2401</v>
      </c>
      <c r="E1329" s="342" t="s">
        <v>2399</v>
      </c>
      <c r="F1329" s="8" t="s">
        <v>2114</v>
      </c>
      <c r="G1329" s="8" t="s">
        <v>4758</v>
      </c>
      <c r="H1329" s="8" t="s">
        <v>4246</v>
      </c>
      <c r="I1329" s="20">
        <v>2.6</v>
      </c>
      <c r="J1329" s="8" t="s">
        <v>4862</v>
      </c>
      <c r="K1329" s="182">
        <v>40404</v>
      </c>
      <c r="L1329" s="8" t="s">
        <v>5743</v>
      </c>
      <c r="M1329" s="8" t="s">
        <v>2814</v>
      </c>
      <c r="N1329" s="38"/>
      <c r="O1329" s="8" t="s">
        <v>3572</v>
      </c>
      <c r="P1329" s="4" t="e">
        <f>VLOOKUP($B1329,'D7 - NDB Impacted SPRF''s'!$E$16:$O$9929,9,FALSE)</f>
        <v>#N/A</v>
      </c>
      <c r="Q1329" s="4" t="e">
        <f>VLOOKUP($B1329,'D7 - NDB Impacted SPRF''s'!$E$16:$O$9929,10,FALSE)</f>
        <v>#N/A</v>
      </c>
      <c r="R1329" s="4" t="e">
        <f>VLOOKUP($B1329,'D7 - NDB Impacted SPRF''s'!$E$16:$O$9929,11,FALSE)</f>
        <v>#N/A</v>
      </c>
      <c r="S1329" s="8"/>
      <c r="T1329" s="310"/>
      <c r="U1329" s="310"/>
      <c r="V1329" s="4"/>
      <c r="W1329" s="4"/>
      <c r="X1329" s="4"/>
      <c r="Y1329" s="4"/>
      <c r="Z1329" s="4"/>
      <c r="AA1329" s="4"/>
      <c r="AB1329" s="383" t="e">
        <f>VLOOKUP($B1329,'D7 - NDB Impacted SPRF''s'!$E$16:$O$9929,4,FALSE)</f>
        <v>#N/A</v>
      </c>
      <c r="AC1329" s="380" t="e">
        <f>VLOOKUP($B1329,'D7 - NDB Impacted SPRF''s'!$E$16:$O$9929,3,FALSE)</f>
        <v>#N/A</v>
      </c>
      <c r="AD1329" s="380" t="e">
        <f>VLOOKUP($B1329,'D7 - NDB Impacted SPRF''s'!$E$16:$O$9929,5,FALSE)</f>
        <v>#N/A</v>
      </c>
      <c r="AE1329" s="380" t="e">
        <f>VLOOKUP($B1329,'D7 - NDB Impacted SPRF''s'!$E$16:$O$9929,7,FALSE)</f>
        <v>#N/A</v>
      </c>
      <c r="AF1329" s="380" t="e">
        <f>VLOOKUP($B1329,'D7 - NDB Impacted SPRF''s'!$E$16:$O$9929,6,FALSE)</f>
        <v>#N/A</v>
      </c>
      <c r="AG1329" s="282"/>
      <c r="AH1329" s="311" t="e">
        <f>INDEX('D5 - Gatekeeper - Projects'!$A$4:$AF$1010,$AM1329, 17)</f>
        <v>#N/A</v>
      </c>
      <c r="AI1329" s="8"/>
      <c r="AJ1329" s="57"/>
      <c r="AK1329" s="105"/>
      <c r="AM1329" s="6" t="e">
        <f>MATCH(D1329,'D5 - Gatekeeper - Projects'!$C$4:$C$1010,0)</f>
        <v>#N/A</v>
      </c>
      <c r="AN1329" s="6" t="b">
        <f t="shared" si="133"/>
        <v>1</v>
      </c>
      <c r="AO1329" s="6" t="str">
        <f t="shared" si="135"/>
        <v>OK</v>
      </c>
      <c r="AQ1329" s="6" t="e">
        <f>MATCH($D1329,'D4 - Provider Council Unsched'!$C$11:$C$234,0)</f>
        <v>#N/A</v>
      </c>
      <c r="AR1329" s="6" t="b">
        <f t="shared" si="134"/>
        <v>1</v>
      </c>
      <c r="AS1329" s="6" t="str">
        <f>IF(AND(H1329="2 - Not Scheduled",AR1329=TRUE),"Add","OK")</f>
        <v>OK</v>
      </c>
      <c r="AU1329" s="202">
        <v>40266</v>
      </c>
      <c r="AV1329" s="262"/>
      <c r="AW1329" s="274"/>
    </row>
    <row r="1330" spans="1:49" s="13" customFormat="1" ht="33.75" x14ac:dyDescent="0.2">
      <c r="A1330" s="14">
        <v>1306</v>
      </c>
      <c r="B1330" s="14">
        <v>400035751</v>
      </c>
      <c r="C1330" s="8" t="s">
        <v>5197</v>
      </c>
      <c r="D1330" s="4" t="str">
        <f t="shared" ref="D1330:D1347" si="137">CONCATENATE(B1330,C1330)</f>
        <v>400035751R1</v>
      </c>
      <c r="E1330" s="309" t="str">
        <f>VLOOKUP($B1330,'D7 - NDB Impacted SPRF''s'!$E$6:$O$9929,2,FALSE)</f>
        <v>Provider # Re-use:  COSMOS MSP Type 01 Medica OON</v>
      </c>
      <c r="F1330" s="8"/>
      <c r="G1330" s="8" t="s">
        <v>4758</v>
      </c>
      <c r="H1330" s="8" t="s">
        <v>4246</v>
      </c>
      <c r="I1330" s="20">
        <v>0.67</v>
      </c>
      <c r="J1330" s="8" t="s">
        <v>4862</v>
      </c>
      <c r="K1330" s="182">
        <v>40406</v>
      </c>
      <c r="L1330" s="8" t="s">
        <v>4156</v>
      </c>
      <c r="M1330" s="8" t="s">
        <v>4450</v>
      </c>
      <c r="N1330" s="38"/>
      <c r="O1330" s="8"/>
      <c r="P1330" s="4" t="str">
        <f>VLOOKUP($B1330,'D7 - NDB Impacted SPRF''s'!$E$16:$O$9929,9,FALSE)</f>
        <v>N</v>
      </c>
      <c r="Q1330" s="4" t="str">
        <f>VLOOKUP($B1330,'D7 - NDB Impacted SPRF''s'!$E$16:$O$9929,10,FALSE)</f>
        <v>N</v>
      </c>
      <c r="R1330" s="4" t="str">
        <f>VLOOKUP($B1330,'D7 - NDB Impacted SPRF''s'!$E$16:$O$9929,11,FALSE)</f>
        <v>N</v>
      </c>
      <c r="S1330" s="8"/>
      <c r="T1330" s="310"/>
      <c r="U1330" s="310"/>
      <c r="V1330" s="4"/>
      <c r="W1330" s="4"/>
      <c r="X1330" s="4"/>
      <c r="Y1330" s="4"/>
      <c r="Z1330" s="4"/>
      <c r="AA1330" s="4"/>
      <c r="AB1330" s="380" t="str">
        <f>VLOOKUP($B1330,'D7 - NDB Impacted SPRF''s'!$E$6:$O$9929,4,FALSE)</f>
        <v>Completed</v>
      </c>
      <c r="AC1330" s="380" t="str">
        <f>VLOOKUP($B1330,'D7 - NDB Impacted SPRF''s'!$E$6:$O$9929,3,FALSE)</f>
        <v>UnitedHealthcare Employer &amp; Individual</v>
      </c>
      <c r="AD1330" s="380" t="str">
        <f>VLOOKUP($B1330,'D7 - NDB Impacted SPRF''s'!$E$6:$O$9929,5,FALSE)</f>
        <v>HCA - Medica Operational Support</v>
      </c>
      <c r="AE1330" s="380" t="str">
        <f>VLOOKUP($B1330,'D7 - NDB Impacted SPRF''s'!$E$6:$O$9929,7,FALSE)</f>
        <v>Pam Stegora-Axberg</v>
      </c>
      <c r="AF1330" s="380" t="str">
        <f>VLOOKUP($B1330,'D7 - NDB Impacted SPRF''s'!$E$6:$O$9929,6,FALSE)</f>
        <v>Linda Dooley</v>
      </c>
      <c r="AG1330" s="282"/>
      <c r="AH1330" s="311" t="e">
        <f>INDEX('D5 - Gatekeeper - Projects'!$A$4:$AF$1010,$AM1330, 17)</f>
        <v>#N/A</v>
      </c>
      <c r="AI1330" s="8"/>
      <c r="AJ1330" s="57"/>
      <c r="AK1330" s="105"/>
      <c r="AM1330" s="6" t="e">
        <f>MATCH(D1330,'D5 - Gatekeeper - Projects'!$C$4:$C$1010,0)</f>
        <v>#N/A</v>
      </c>
      <c r="AN1330" s="6" t="b">
        <f t="shared" si="133"/>
        <v>1</v>
      </c>
      <c r="AO1330" s="6" t="str">
        <f t="shared" si="135"/>
        <v>OK</v>
      </c>
      <c r="AQ1330" s="6" t="e">
        <f>MATCH($D1330,'D4 - Provider Council Unsched'!$C$11:$C$234,0)</f>
        <v>#N/A</v>
      </c>
      <c r="AR1330" s="6" t="b">
        <f t="shared" si="134"/>
        <v>1</v>
      </c>
      <c r="AS1330" s="6" t="str">
        <f t="shared" ref="AS1330:AS1335" si="138">IF(AND(H1330="2 - Not Scheduled",AR1330=TRUE,C1330="R1"),"Add","OK")</f>
        <v>OK</v>
      </c>
      <c r="AU1330" s="202">
        <v>40276</v>
      </c>
      <c r="AV1330" s="262"/>
      <c r="AW1330" s="274"/>
    </row>
    <row r="1331" spans="1:49" s="13" customFormat="1" ht="33.75" x14ac:dyDescent="0.2">
      <c r="A1331" s="14">
        <v>1307</v>
      </c>
      <c r="B1331" s="14">
        <v>400028153</v>
      </c>
      <c r="C1331" s="8" t="s">
        <v>3763</v>
      </c>
      <c r="D1331" s="4" t="str">
        <f t="shared" si="137"/>
        <v>400028153R2</v>
      </c>
      <c r="E1331" s="309" t="str">
        <f>VLOOKUP($B1331,'D7 - NDB Impacted SPRF''s'!$E$6:$O$9929,2,FALSE)</f>
        <v>NDB support of AmeriChoice Providers contract Info</v>
      </c>
      <c r="F1331" s="8" t="s">
        <v>2114</v>
      </c>
      <c r="G1331" s="8" t="s">
        <v>4758</v>
      </c>
      <c r="H1331" s="8" t="s">
        <v>4246</v>
      </c>
      <c r="I1331" s="20">
        <v>1.07</v>
      </c>
      <c r="J1331" s="8" t="s">
        <v>4862</v>
      </c>
      <c r="K1331" s="182">
        <v>40446</v>
      </c>
      <c r="L1331" s="8" t="s">
        <v>4156</v>
      </c>
      <c r="M1331" s="8" t="s">
        <v>5626</v>
      </c>
      <c r="N1331" s="38"/>
      <c r="O1331" s="8" t="s">
        <v>7086</v>
      </c>
      <c r="P1331" s="4" t="str">
        <f>VLOOKUP($B1331,'D7 - NDB Impacted SPRF''s'!$E$16:$O$9929,9,FALSE)</f>
        <v>N</v>
      </c>
      <c r="Q1331" s="4" t="str">
        <f>VLOOKUP($B1331,'D7 - NDB Impacted SPRF''s'!$E$16:$O$9929,10,FALSE)</f>
        <v>N</v>
      </c>
      <c r="R1331" s="4" t="str">
        <f>VLOOKUP($B1331,'D7 - NDB Impacted SPRF''s'!$E$16:$O$9929,11,FALSE)</f>
        <v>N</v>
      </c>
      <c r="S1331" s="8"/>
      <c r="T1331" s="310"/>
      <c r="U1331" s="310"/>
      <c r="V1331" s="4"/>
      <c r="W1331" s="4"/>
      <c r="X1331" s="4"/>
      <c r="Y1331" s="4"/>
      <c r="Z1331" s="4"/>
      <c r="AA1331" s="4"/>
      <c r="AB1331" s="380" t="str">
        <f>VLOOKUP($B1331,'D7 - NDB Impacted SPRF''s'!$E$6:$O$9929,4,FALSE)</f>
        <v>Completed</v>
      </c>
      <c r="AC1331" s="380" t="str">
        <f>VLOOKUP($B1331,'D7 - NDB Impacted SPRF''s'!$E$16:$O$9929,3,FALSE)</f>
        <v>UnitedHealthcare Medicare &amp; Retirement</v>
      </c>
      <c r="AD1331" s="380" t="str">
        <f>VLOOKUP($B1331,'D7 - NDB Impacted SPRF''s'!$E$16:$O$9929,5,FALSE)</f>
        <v>Enterprise Clinical</v>
      </c>
      <c r="AE1331" s="380" t="str">
        <f>VLOOKUP($B1331,'D7 - NDB Impacted SPRF''s'!$E$16:$O$9929,7,FALSE)</f>
        <v>Cindi Middaugh</v>
      </c>
      <c r="AF1331" s="380" t="str">
        <f>VLOOKUP($B1331,'D7 - NDB Impacted SPRF''s'!$E$16:$O$9929,6,FALSE)</f>
        <v>Robert Hoerl</v>
      </c>
      <c r="AG1331" s="282"/>
      <c r="AH1331" s="311" t="e">
        <f>INDEX('D5 - Gatekeeper - Projects'!$A$4:$AF$1010,$AM1331, 17)</f>
        <v>#N/A</v>
      </c>
      <c r="AI1331" s="8"/>
      <c r="AJ1331" s="57"/>
      <c r="AK1331" s="105"/>
      <c r="AM1331" s="6" t="e">
        <f>MATCH(D1331,'D5 - Gatekeeper - Projects'!$C$4:$C$1010,0)</f>
        <v>#N/A</v>
      </c>
      <c r="AN1331" s="6" t="b">
        <f t="shared" si="133"/>
        <v>1</v>
      </c>
      <c r="AO1331" s="6" t="str">
        <f t="shared" si="135"/>
        <v>OK</v>
      </c>
      <c r="AQ1331" s="6" t="e">
        <f>MATCH($D1331,'D4 - Provider Council Unsched'!$C$11:$C$234,0)</f>
        <v>#N/A</v>
      </c>
      <c r="AR1331" s="6" t="b">
        <f t="shared" si="134"/>
        <v>1</v>
      </c>
      <c r="AS1331" s="6" t="str">
        <f t="shared" si="138"/>
        <v>OK</v>
      </c>
      <c r="AU1331" s="202"/>
      <c r="AV1331" s="262"/>
      <c r="AW1331" s="274"/>
    </row>
    <row r="1332" spans="1:49" s="13" customFormat="1" ht="33.75" x14ac:dyDescent="0.2">
      <c r="A1332" s="14">
        <v>1308</v>
      </c>
      <c r="B1332" s="14">
        <v>400030726</v>
      </c>
      <c r="C1332" s="8" t="s">
        <v>2449</v>
      </c>
      <c r="D1332" s="4" t="str">
        <f t="shared" si="137"/>
        <v>400030726R3</v>
      </c>
      <c r="E1332" s="309" t="str">
        <f>VLOOKUP($B1332,'D7 - NDB Impacted SPRF''s'!$E$6:$O$9929,2,FALSE)</f>
        <v>Integration Framework - NDB searches for CTB</v>
      </c>
      <c r="F1332" s="282" t="s">
        <v>6401</v>
      </c>
      <c r="G1332" s="8" t="s">
        <v>4758</v>
      </c>
      <c r="H1332" s="8" t="s">
        <v>4246</v>
      </c>
      <c r="I1332" s="20">
        <v>14</v>
      </c>
      <c r="J1332" s="8" t="s">
        <v>4862</v>
      </c>
      <c r="K1332" s="182">
        <v>40446</v>
      </c>
      <c r="L1332" s="8" t="s">
        <v>4156</v>
      </c>
      <c r="M1332" s="8" t="s">
        <v>2814</v>
      </c>
      <c r="N1332" s="38"/>
      <c r="O1332" s="8" t="s">
        <v>2875</v>
      </c>
      <c r="P1332" s="4" t="str">
        <f>VLOOKUP($B1332,'D7 - NDB Impacted SPRF''s'!$E$16:$O$9929,9,FALSE)</f>
        <v>N</v>
      </c>
      <c r="Q1332" s="4" t="str">
        <f>VLOOKUP($B1332,'D7 - NDB Impacted SPRF''s'!$E$16:$O$9929,10,FALSE)</f>
        <v>N</v>
      </c>
      <c r="R1332" s="4" t="str">
        <f>VLOOKUP($B1332,'D7 - NDB Impacted SPRF''s'!$E$16:$O$9929,11,FALSE)</f>
        <v>N</v>
      </c>
      <c r="S1332" s="8"/>
      <c r="T1332" s="310"/>
      <c r="U1332" s="310"/>
      <c r="V1332" s="4"/>
      <c r="W1332" s="4"/>
      <c r="X1332" s="4"/>
      <c r="Y1332" s="4"/>
      <c r="Z1332" s="4"/>
      <c r="AA1332" s="4"/>
      <c r="AB1332" s="380" t="str">
        <f>VLOOKUP($B1332,'D7 - NDB Impacted SPRF''s'!$E$6:$O$9929,4,FALSE)</f>
        <v>Completed</v>
      </c>
      <c r="AC1332" s="380" t="str">
        <f>VLOOKUP($B1332,'D7 - NDB Impacted SPRF''s'!$E$6:$O$9929,3,FALSE)</f>
        <v>UnitedHealthcare Medicare &amp; Retirement</v>
      </c>
      <c r="AD1332" s="380" t="str">
        <f>VLOOKUP($B1332,'D7 - NDB Impacted SPRF''s'!$E$6:$O$9929,5,FALSE)</f>
        <v>Enterprise Clinical</v>
      </c>
      <c r="AE1332" s="380" t="str">
        <f>VLOOKUP($B1332,'D7 - NDB Impacted SPRF''s'!$E$6:$O$9929,7,FALSE)</f>
        <v>Cynitha Middaugh</v>
      </c>
      <c r="AF1332" s="380" t="str">
        <f>VLOOKUP($B1332,'D7 - NDB Impacted SPRF''s'!$E$6:$O$9929,6,FALSE)</f>
        <v>Robert Hoerl</v>
      </c>
      <c r="AG1332" s="282"/>
      <c r="AH1332" s="311" t="e">
        <f>INDEX('D5 - Gatekeeper - Projects'!$A$4:$AF$1010,$AM1332, 17)</f>
        <v>#N/A</v>
      </c>
      <c r="AI1332" s="8"/>
      <c r="AJ1332" s="57"/>
      <c r="AK1332" s="57"/>
      <c r="AM1332" s="6" t="e">
        <f>MATCH(D1332,'D5 - Gatekeeper - Projects'!$C$4:$C$1010,0)</f>
        <v>#N/A</v>
      </c>
      <c r="AN1332" s="6" t="b">
        <f t="shared" si="133"/>
        <v>1</v>
      </c>
      <c r="AO1332" s="6" t="str">
        <f t="shared" si="135"/>
        <v>OK</v>
      </c>
      <c r="AQ1332" s="6" t="e">
        <f>MATCH($D1332,'D4 - Provider Council Unsched'!$C$11:$C$234,0)</f>
        <v>#N/A</v>
      </c>
      <c r="AR1332" s="6" t="b">
        <f t="shared" si="134"/>
        <v>1</v>
      </c>
      <c r="AS1332" s="6" t="str">
        <f t="shared" si="138"/>
        <v>OK</v>
      </c>
      <c r="AU1332" s="202">
        <v>40357</v>
      </c>
      <c r="AV1332" s="262"/>
      <c r="AW1332" s="274"/>
    </row>
    <row r="1333" spans="1:49" s="13" customFormat="1" ht="45" x14ac:dyDescent="0.2">
      <c r="A1333" s="14">
        <v>1309</v>
      </c>
      <c r="B1333" s="8">
        <v>400032232</v>
      </c>
      <c r="C1333" s="8" t="s">
        <v>5197</v>
      </c>
      <c r="D1333" s="4" t="str">
        <f t="shared" si="137"/>
        <v>400032232R1</v>
      </c>
      <c r="E1333" s="309" t="str">
        <f>VLOOKUP($B1333,'D7 - NDB Impacted SPRF''s'!$E$6:$O$9929,2,FALSE)</f>
        <v>NICE SSN Masking - Providers, Brokers, Emplyr Grps</v>
      </c>
      <c r="F1333" s="8"/>
      <c r="G1333" s="8" t="s">
        <v>4758</v>
      </c>
      <c r="H1333" s="8" t="s">
        <v>4246</v>
      </c>
      <c r="I1333" s="20">
        <v>1.39</v>
      </c>
      <c r="J1333" s="8" t="s">
        <v>4862</v>
      </c>
      <c r="K1333" s="182">
        <v>40446</v>
      </c>
      <c r="L1333" s="8" t="s">
        <v>4156</v>
      </c>
      <c r="M1333" s="8" t="s">
        <v>2814</v>
      </c>
      <c r="N1333" s="38"/>
      <c r="O1333" s="8"/>
      <c r="P1333" s="4" t="str">
        <f>VLOOKUP($B1333,'D7 - NDB Impacted SPRF''s'!$E$16:$O$9929,9,FALSE)</f>
        <v>N</v>
      </c>
      <c r="Q1333" s="4" t="str">
        <f>VLOOKUP($B1333,'D7 - NDB Impacted SPRF''s'!$E$16:$O$9929,10,FALSE)</f>
        <v>N</v>
      </c>
      <c r="R1333" s="4" t="str">
        <f>VLOOKUP($B1333,'D7 - NDB Impacted SPRF''s'!$E$16:$O$9929,11,FALSE)</f>
        <v>N</v>
      </c>
      <c r="S1333" s="8"/>
      <c r="T1333" s="310"/>
      <c r="U1333" s="310"/>
      <c r="V1333" s="4"/>
      <c r="W1333" s="4"/>
      <c r="X1333" s="4"/>
      <c r="Y1333" s="4"/>
      <c r="Z1333" s="4"/>
      <c r="AA1333" s="4"/>
      <c r="AB1333" s="380" t="str">
        <f>VLOOKUP($B1333,'D7 - NDB Impacted SPRF''s'!$E$6:$O$9929,4,FALSE)</f>
        <v>Completed</v>
      </c>
      <c r="AC1333" s="380" t="str">
        <f>VLOOKUP($B1333,'D7 - NDB Impacted SPRF''s'!$E$6:$O$9929,3,FALSE)</f>
        <v>UHG IT - Enterprise Technology Services</v>
      </c>
      <c r="AD1333" s="380" t="str">
        <f>VLOOKUP($B1333,'D7 - NDB Impacted SPRF''s'!$E$6:$O$9929,5,FALSE)</f>
        <v>IRM</v>
      </c>
      <c r="AE1333" s="380" t="str">
        <f>VLOOKUP($B1333,'D7 - NDB Impacted SPRF''s'!$E$6:$O$9929,7,FALSE)</f>
        <v>Robert Booker</v>
      </c>
      <c r="AF1333" s="380" t="str">
        <f>VLOOKUP($B1333,'D7 - NDB Impacted SPRF''s'!$E$6:$O$9929,6,FALSE)</f>
        <v>Michelle Klemz</v>
      </c>
      <c r="AG1333" s="282"/>
      <c r="AH1333" s="311" t="e">
        <f>INDEX('D5 - Gatekeeper - Projects'!$A$4:$AF$1010,$AM1333, 17)</f>
        <v>#N/A</v>
      </c>
      <c r="AI1333" s="8"/>
      <c r="AJ1333" s="57"/>
      <c r="AK1333" s="105"/>
      <c r="AM1333" s="6" t="e">
        <f>MATCH(D1333,'D5 - Gatekeeper - Projects'!$C$4:$C$1010,0)</f>
        <v>#N/A</v>
      </c>
      <c r="AN1333" s="6" t="b">
        <f t="shared" si="133"/>
        <v>1</v>
      </c>
      <c r="AO1333" s="6" t="str">
        <f t="shared" si="135"/>
        <v>OK</v>
      </c>
      <c r="AQ1333" s="6" t="e">
        <f>MATCH($D1333,'D4 - Provider Council Unsched'!$C$11:$C$234,0)</f>
        <v>#N/A</v>
      </c>
      <c r="AR1333" s="6" t="b">
        <f t="shared" si="134"/>
        <v>1</v>
      </c>
      <c r="AS1333" s="6" t="str">
        <f t="shared" si="138"/>
        <v>OK</v>
      </c>
      <c r="AU1333" s="202">
        <v>40357</v>
      </c>
      <c r="AV1333" s="262"/>
      <c r="AW1333" s="274"/>
    </row>
    <row r="1334" spans="1:49" s="13" customFormat="1" ht="33.75" x14ac:dyDescent="0.2">
      <c r="A1334" s="14">
        <v>1310</v>
      </c>
      <c r="B1334" s="14">
        <v>400033451</v>
      </c>
      <c r="C1334" s="8" t="s">
        <v>5614</v>
      </c>
      <c r="D1334" s="4" t="str">
        <f t="shared" si="137"/>
        <v>400033451R5</v>
      </c>
      <c r="E1334" s="309" t="str">
        <f>VLOOKUP($B1334,'D7 - NDB Impacted SPRF''s'!$E$6:$O$9929,2,FALSE)</f>
        <v>TRICARE Program:  Provider</v>
      </c>
      <c r="F1334" s="8" t="s">
        <v>3715</v>
      </c>
      <c r="G1334" s="8" t="s">
        <v>4758</v>
      </c>
      <c r="H1334" s="8" t="s">
        <v>4246</v>
      </c>
      <c r="I1334" s="20">
        <v>12</v>
      </c>
      <c r="J1334" s="8" t="s">
        <v>4862</v>
      </c>
      <c r="K1334" s="182">
        <v>40446</v>
      </c>
      <c r="L1334" s="8" t="s">
        <v>4156</v>
      </c>
      <c r="M1334" s="8" t="s">
        <v>2814</v>
      </c>
      <c r="N1334" s="38"/>
      <c r="O1334" s="8"/>
      <c r="P1334" s="4" t="str">
        <f>VLOOKUP($B1334,'D7 - NDB Impacted SPRF''s'!$E$16:$O$9929,9,FALSE)</f>
        <v>N</v>
      </c>
      <c r="Q1334" s="4" t="str">
        <f>VLOOKUP($B1334,'D7 - NDB Impacted SPRF''s'!$E$16:$O$9929,10,FALSE)</f>
        <v>N</v>
      </c>
      <c r="R1334" s="4" t="str">
        <f>VLOOKUP($B1334,'D7 - NDB Impacted SPRF''s'!$E$16:$O$9929,11,FALSE)</f>
        <v>Y</v>
      </c>
      <c r="S1334" s="8"/>
      <c r="T1334" s="310"/>
      <c r="U1334" s="310"/>
      <c r="V1334" s="4"/>
      <c r="W1334" s="4"/>
      <c r="X1334" s="4"/>
      <c r="Y1334" s="4"/>
      <c r="Z1334" s="4"/>
      <c r="AA1334" s="4"/>
      <c r="AB1334" s="380" t="str">
        <f>VLOOKUP($B1334,'D7 - NDB Impacted SPRF''s'!$E$6:$O$9929,4,FALSE)</f>
        <v>Cancelled</v>
      </c>
      <c r="AC1334" s="380" t="str">
        <f>VLOOKUP($B1334,'D7 - NDB Impacted SPRF''s'!$E$6:$O$9929,3,FALSE)</f>
        <v>UnitedHealthcare Military &amp; Veterans</v>
      </c>
      <c r="AD1334" s="380" t="str">
        <f>VLOOKUP($B1334,'D7 - NDB Impacted SPRF''s'!$E$6:$O$9929,5,FALSE)</f>
        <v>TRICARE</v>
      </c>
      <c r="AE1334" s="380" t="str">
        <f>VLOOKUP($B1334,'D7 - NDB Impacted SPRF''s'!$E$6:$O$9929,7,FALSE)</f>
        <v>Randall Smith</v>
      </c>
      <c r="AF1334" s="380" t="str">
        <f>VLOOKUP($B1334,'D7 - NDB Impacted SPRF''s'!$E$6:$O$9929,6,FALSE)</f>
        <v>Brian Lindell</v>
      </c>
      <c r="AG1334" s="282"/>
      <c r="AH1334" s="311" t="e">
        <f>INDEX('D5 - Gatekeeper - Projects'!$A$4:$AF$1010,$AM1334, 17)</f>
        <v>#N/A</v>
      </c>
      <c r="AI1334" s="8"/>
      <c r="AJ1334" s="57"/>
      <c r="AK1334" s="105"/>
      <c r="AM1334" s="6" t="e">
        <f>MATCH(D1334,'D5 - Gatekeeper - Projects'!$C$4:$C$1010,0)</f>
        <v>#N/A</v>
      </c>
      <c r="AN1334" s="6" t="b">
        <f t="shared" si="133"/>
        <v>1</v>
      </c>
      <c r="AO1334" s="6" t="str">
        <f t="shared" si="135"/>
        <v>OK</v>
      </c>
      <c r="AQ1334" s="6" t="e">
        <f>MATCH($D1334,'D4 - Provider Council Unsched'!$C$11:$C$234,0)</f>
        <v>#N/A</v>
      </c>
      <c r="AR1334" s="6" t="b">
        <f t="shared" si="134"/>
        <v>1</v>
      </c>
      <c r="AS1334" s="6" t="str">
        <f t="shared" si="138"/>
        <v>OK</v>
      </c>
      <c r="AU1334" s="202"/>
      <c r="AV1334" s="262"/>
      <c r="AW1334" s="274"/>
    </row>
    <row r="1335" spans="1:49" s="13" customFormat="1" ht="33.75" x14ac:dyDescent="0.2">
      <c r="A1335" s="14">
        <v>1311</v>
      </c>
      <c r="B1335" s="14">
        <v>400033657</v>
      </c>
      <c r="C1335" s="8" t="s">
        <v>5197</v>
      </c>
      <c r="D1335" s="4" t="str">
        <f t="shared" si="137"/>
        <v>400033657R1</v>
      </c>
      <c r="E1335" s="309" t="str">
        <f>VLOOKUP($B1335,'D7 - NDB Impacted SPRF''s'!$E$6:$O$9929,2,FALSE)</f>
        <v>PIC Phase 2 and 2010 Enhancements</v>
      </c>
      <c r="F1335" s="8"/>
      <c r="G1335" s="8" t="s">
        <v>4758</v>
      </c>
      <c r="H1335" s="8" t="s">
        <v>4246</v>
      </c>
      <c r="I1335" s="20">
        <v>0.55000000000000004</v>
      </c>
      <c r="J1335" s="8" t="s">
        <v>4862</v>
      </c>
      <c r="K1335" s="182">
        <v>40446</v>
      </c>
      <c r="L1335" s="8" t="s">
        <v>4156</v>
      </c>
      <c r="M1335" s="8" t="s">
        <v>6688</v>
      </c>
      <c r="N1335" s="38"/>
      <c r="O1335" s="8"/>
      <c r="P1335" s="4" t="str">
        <f>VLOOKUP($B1335,'D7 - NDB Impacted SPRF''s'!$E$16:$O$9929,9,FALSE)</f>
        <v>N</v>
      </c>
      <c r="Q1335" s="4" t="str">
        <f>VLOOKUP($B1335,'D7 - NDB Impacted SPRF''s'!$E$16:$O$9929,10,FALSE)</f>
        <v>N</v>
      </c>
      <c r="R1335" s="4" t="str">
        <f>VLOOKUP($B1335,'D7 - NDB Impacted SPRF''s'!$E$16:$O$9929,11,FALSE)</f>
        <v>Y</v>
      </c>
      <c r="S1335" s="8"/>
      <c r="T1335" s="310"/>
      <c r="U1335" s="310"/>
      <c r="V1335" s="4"/>
      <c r="W1335" s="4"/>
      <c r="X1335" s="4"/>
      <c r="Y1335" s="4"/>
      <c r="Z1335" s="4"/>
      <c r="AA1335" s="4"/>
      <c r="AB1335" s="380" t="str">
        <f>VLOOKUP($B1335,'D7 - NDB Impacted SPRF''s'!$E$6:$O$9929,4,FALSE)</f>
        <v>Completed</v>
      </c>
      <c r="AC1335" s="380" t="str">
        <f>VLOOKUP($B1335,'D7 - NDB Impacted SPRF''s'!$E$6:$O$9929,3,FALSE)</f>
        <v>UnitedHealthcare Employer &amp; Individual</v>
      </c>
      <c r="AD1335" s="380" t="str">
        <f>VLOOKUP($B1335,'D7 - NDB Impacted SPRF''s'!$E$6:$O$9929,5,FALSE)</f>
        <v>Medical Cost Savings Programs</v>
      </c>
      <c r="AE1335" s="380" t="str">
        <f>VLOOKUP($B1335,'D7 - NDB Impacted SPRF''s'!$E$6:$O$9929,7,FALSE)</f>
        <v>Jill Foucre</v>
      </c>
      <c r="AF1335" s="380" t="str">
        <f>VLOOKUP($B1335,'D7 - NDB Impacted SPRF''s'!$E$6:$O$9929,6,FALSE)</f>
        <v>Susan Neal</v>
      </c>
      <c r="AG1335" s="282"/>
      <c r="AH1335" s="311" t="e">
        <f>INDEX('D5 - Gatekeeper - Projects'!$A$4:$AF$1010,$AM1335, 17)</f>
        <v>#N/A</v>
      </c>
      <c r="AI1335" s="8"/>
      <c r="AJ1335" s="57"/>
      <c r="AK1335" s="105"/>
      <c r="AM1335" s="6" t="e">
        <f>MATCH(D1335,'D5 - Gatekeeper - Projects'!$C$4:$C$1010,0)</f>
        <v>#N/A</v>
      </c>
      <c r="AN1335" s="6" t="b">
        <f t="shared" si="133"/>
        <v>1</v>
      </c>
      <c r="AO1335" s="6" t="str">
        <f t="shared" si="135"/>
        <v>OK</v>
      </c>
      <c r="AQ1335" s="6" t="e">
        <f>MATCH($D1335,'D4 - Provider Council Unsched'!$C$11:$C$234,0)</f>
        <v>#N/A</v>
      </c>
      <c r="AR1335" s="6" t="b">
        <f t="shared" si="134"/>
        <v>1</v>
      </c>
      <c r="AS1335" s="6" t="str">
        <f t="shared" si="138"/>
        <v>OK</v>
      </c>
      <c r="AU1335" s="202">
        <v>40266</v>
      </c>
      <c r="AV1335" s="262"/>
      <c r="AW1335" s="274"/>
    </row>
    <row r="1336" spans="1:49" s="13" customFormat="1" ht="33.75" x14ac:dyDescent="0.2">
      <c r="A1336" s="14">
        <v>1312</v>
      </c>
      <c r="B1336" s="14">
        <v>400033793</v>
      </c>
      <c r="C1336" s="8" t="s">
        <v>5197</v>
      </c>
      <c r="D1336" s="4" t="str">
        <f t="shared" si="137"/>
        <v>400033793R1</v>
      </c>
      <c r="E1336" s="309" t="str">
        <f>VLOOKUP($B1336,'D7 - NDB Impacted SPRF''s'!$E$6:$O$9929,2,FALSE)</f>
        <v>Gated Product on UNET/UHC Navigate - Core Apps</v>
      </c>
      <c r="F1336" s="8" t="s">
        <v>2114</v>
      </c>
      <c r="G1336" s="8" t="s">
        <v>4758</v>
      </c>
      <c r="H1336" s="8" t="s">
        <v>4246</v>
      </c>
      <c r="I1336" s="20">
        <v>37.72</v>
      </c>
      <c r="J1336" s="8" t="s">
        <v>4862</v>
      </c>
      <c r="K1336" s="182">
        <v>40446</v>
      </c>
      <c r="L1336" s="8" t="s">
        <v>4156</v>
      </c>
      <c r="M1336" s="8" t="s">
        <v>2814</v>
      </c>
      <c r="N1336" s="38"/>
      <c r="O1336" s="8"/>
      <c r="P1336" s="4" t="str">
        <f>VLOOKUP($B1336,'D7 - NDB Impacted SPRF''s'!$E$16:$O$9929,9,FALSE)</f>
        <v>Y</v>
      </c>
      <c r="Q1336" s="4" t="str">
        <f>VLOOKUP($B1336,'D7 - NDB Impacted SPRF''s'!$E$16:$O$9929,10,FALSE)</f>
        <v>N</v>
      </c>
      <c r="R1336" s="4" t="str">
        <f>VLOOKUP($B1336,'D7 - NDB Impacted SPRF''s'!$E$16:$O$9929,11,FALSE)</f>
        <v>Y</v>
      </c>
      <c r="S1336" s="8"/>
      <c r="T1336" s="310"/>
      <c r="U1336" s="310"/>
      <c r="V1336" s="4"/>
      <c r="W1336" s="4"/>
      <c r="X1336" s="4"/>
      <c r="Y1336" s="4"/>
      <c r="Z1336" s="4"/>
      <c r="AA1336" s="4"/>
      <c r="AB1336" s="380" t="str">
        <f>VLOOKUP($B1336,'D7 - NDB Impacted SPRF''s'!$E$6:$O$9929,4,FALSE)</f>
        <v>Completed</v>
      </c>
      <c r="AC1336" s="380" t="str">
        <f>VLOOKUP($B1336,'D7 - NDB Impacted SPRF''s'!$E$6:$O$9929,3,FALSE)</f>
        <v>UnitedHealthcare Employer &amp; Individual</v>
      </c>
      <c r="AD1336" s="380" t="str">
        <f>VLOOKUP($B1336,'D7 - NDB Impacted SPRF''s'!$E$6:$O$9929,5,FALSE)</f>
        <v>Membership Growth / Revenue Programs</v>
      </c>
      <c r="AE1336" s="380" t="str">
        <f>VLOOKUP($B1336,'D7 - NDB Impacted SPRF''s'!$E$6:$O$9929,7,FALSE)</f>
        <v>Yasmine Winkler</v>
      </c>
      <c r="AF1336" s="380" t="str">
        <f>VLOOKUP($B1336,'D7 - NDB Impacted SPRF''s'!$E$6:$O$9929,6,FALSE)</f>
        <v>COBB DOROTHY</v>
      </c>
      <c r="AG1336" s="282"/>
      <c r="AH1336" s="311" t="e">
        <f>INDEX('D5 - Gatekeeper - Projects'!$A$4:$AF$1010,$AM1336, 17)</f>
        <v>#N/A</v>
      </c>
      <c r="AI1336" s="8"/>
      <c r="AJ1336" s="57"/>
      <c r="AK1336" s="105"/>
      <c r="AM1336" s="6" t="e">
        <f>MATCH(D1336,'D5 - Gatekeeper - Projects'!$C$4:$C$1010,0)</f>
        <v>#N/A</v>
      </c>
      <c r="AN1336" s="6" t="b">
        <f t="shared" si="133"/>
        <v>1</v>
      </c>
      <c r="AO1336" s="6" t="str">
        <f t="shared" si="135"/>
        <v>OK</v>
      </c>
      <c r="AQ1336" s="6" t="e">
        <f>MATCH($D1336,'D4 - Provider Council Unsched'!$C$11:$C$234,0)</f>
        <v>#N/A</v>
      </c>
      <c r="AR1336" s="6" t="b">
        <f t="shared" si="134"/>
        <v>1</v>
      </c>
      <c r="AS1336" s="6" t="str">
        <f>IF(AND(H1336="2 - Not Scheduled",AR1336=TRUE),"Add","OK")</f>
        <v>OK</v>
      </c>
      <c r="AU1336" s="202">
        <v>40312</v>
      </c>
      <c r="AV1336" s="262"/>
      <c r="AW1336" s="274"/>
    </row>
    <row r="1337" spans="1:49" s="13" customFormat="1" ht="45" x14ac:dyDescent="0.2">
      <c r="A1337" s="14">
        <v>1313</v>
      </c>
      <c r="B1337" s="14">
        <v>400033827</v>
      </c>
      <c r="C1337" s="8" t="s">
        <v>5197</v>
      </c>
      <c r="D1337" s="4" t="str">
        <f t="shared" si="137"/>
        <v>400033827R1</v>
      </c>
      <c r="E1337" s="309" t="str">
        <f>VLOOKUP($B1337,'D7 - NDB Impacted SPRF''s'!$E$6:$O$9929,2,FALSE)</f>
        <v xml:space="preserve">CDB Core Processing:  Inquiry Views </v>
      </c>
      <c r="F1337" s="8" t="s">
        <v>2114</v>
      </c>
      <c r="G1337" s="8" t="s">
        <v>4758</v>
      </c>
      <c r="H1337" s="8" t="s">
        <v>4246</v>
      </c>
      <c r="I1337" s="20">
        <v>5.98</v>
      </c>
      <c r="J1337" s="8" t="s">
        <v>4862</v>
      </c>
      <c r="K1337" s="182">
        <v>40446</v>
      </c>
      <c r="L1337" s="8" t="s">
        <v>4156</v>
      </c>
      <c r="M1337" s="8" t="s">
        <v>2814</v>
      </c>
      <c r="N1337" s="38"/>
      <c r="O1337" s="8"/>
      <c r="P1337" s="4" t="str">
        <f>VLOOKUP($B1337,'D7 - NDB Impacted SPRF''s'!$E$16:$O$9929,9,FALSE)</f>
        <v>Y</v>
      </c>
      <c r="Q1337" s="4" t="str">
        <f>VLOOKUP($B1337,'D7 - NDB Impacted SPRF''s'!$E$16:$O$9929,10,FALSE)</f>
        <v>N</v>
      </c>
      <c r="R1337" s="4" t="str">
        <f>VLOOKUP($B1337,'D7 - NDB Impacted SPRF''s'!$E$16:$O$9929,11,FALSE)</f>
        <v>N</v>
      </c>
      <c r="S1337" s="8"/>
      <c r="T1337" s="310"/>
      <c r="U1337" s="310"/>
      <c r="V1337" s="4"/>
      <c r="W1337" s="4"/>
      <c r="X1337" s="4"/>
      <c r="Y1337" s="4"/>
      <c r="Z1337" s="4"/>
      <c r="AA1337" s="4"/>
      <c r="AB1337" s="380" t="str">
        <f>VLOOKUP($B1337,'D7 - NDB Impacted SPRF''s'!$E$6:$O$9929,4,FALSE)</f>
        <v>Completed</v>
      </c>
      <c r="AC1337" s="380" t="str">
        <f>VLOOKUP($B1337,'D7 - NDB Impacted SPRF''s'!$E$6:$O$9929,3,FALSE)</f>
        <v>UHG IT - Enterprise Technology Services</v>
      </c>
      <c r="AD1337" s="380" t="str">
        <f>VLOOKUP($B1337,'D7 - NDB Impacted SPRF''s'!$E$6:$O$9929,5,FALSE)</f>
        <v>Strategic Initiatives</v>
      </c>
      <c r="AE1337" s="380" t="str">
        <f>VLOOKUP($B1337,'D7 - NDB Impacted SPRF''s'!$E$6:$O$9929,7,FALSE)</f>
        <v>Patrick Casey</v>
      </c>
      <c r="AF1337" s="380" t="str">
        <f>VLOOKUP($B1337,'D7 - NDB Impacted SPRF''s'!$E$6:$O$9929,6,FALSE)</f>
        <v>Sue Meotti</v>
      </c>
      <c r="AG1337" s="282"/>
      <c r="AH1337" s="311" t="e">
        <f>INDEX('D5 - Gatekeeper - Projects'!$A$4:$AF$1010,$AM1337, 17)</f>
        <v>#N/A</v>
      </c>
      <c r="AI1337" s="8"/>
      <c r="AJ1337" s="57"/>
      <c r="AK1337" s="105"/>
      <c r="AM1337" s="6" t="e">
        <f>MATCH(D1337,'D5 - Gatekeeper - Projects'!$C$4:$C$1010,0)</f>
        <v>#N/A</v>
      </c>
      <c r="AN1337" s="6" t="b">
        <f t="shared" si="133"/>
        <v>1</v>
      </c>
      <c r="AO1337" s="6" t="str">
        <f t="shared" si="135"/>
        <v>OK</v>
      </c>
      <c r="AQ1337" s="6" t="e">
        <f>MATCH($D1337,'D4 - Provider Council Unsched'!$C$11:$C$234,0)</f>
        <v>#N/A</v>
      </c>
      <c r="AR1337" s="6" t="b">
        <f t="shared" si="134"/>
        <v>1</v>
      </c>
      <c r="AS1337" s="6" t="str">
        <f>IF(AND(H1337="2 - Not Scheduled",AR1337=TRUE,C1337="R1"),"Add","OK")</f>
        <v>OK</v>
      </c>
      <c r="AU1337" s="202">
        <v>40270</v>
      </c>
      <c r="AV1337" s="262"/>
      <c r="AW1337" s="274"/>
    </row>
    <row r="1338" spans="1:49" s="13" customFormat="1" ht="33.75" x14ac:dyDescent="0.2">
      <c r="A1338" s="14">
        <v>1314</v>
      </c>
      <c r="B1338" s="14">
        <v>400034142</v>
      </c>
      <c r="C1338" s="8" t="s">
        <v>5197</v>
      </c>
      <c r="D1338" s="4" t="str">
        <f t="shared" si="137"/>
        <v>400034142R1</v>
      </c>
      <c r="E1338" s="309" t="str">
        <f>VLOOKUP($B1338,'D7 - NDB Impacted SPRF''s'!$E$6:$O$9929,2,FALSE)</f>
        <v>Georgia Heritage Expansion to Facets &amp; Narrow Ntwk</v>
      </c>
      <c r="F1338" s="8" t="s">
        <v>2114</v>
      </c>
      <c r="G1338" s="8" t="s">
        <v>4758</v>
      </c>
      <c r="H1338" s="8" t="s">
        <v>4246</v>
      </c>
      <c r="I1338" s="20">
        <v>1.0666666666666667</v>
      </c>
      <c r="J1338" s="8" t="s">
        <v>4862</v>
      </c>
      <c r="K1338" s="182">
        <v>40446</v>
      </c>
      <c r="L1338" s="8" t="s">
        <v>4156</v>
      </c>
      <c r="M1338" s="8" t="s">
        <v>5626</v>
      </c>
      <c r="N1338" s="38"/>
      <c r="O1338" s="8"/>
      <c r="P1338" s="4" t="str">
        <f>VLOOKUP($B1338,'D7 - NDB Impacted SPRF''s'!$E$16:$O$9929,9,FALSE)</f>
        <v>N</v>
      </c>
      <c r="Q1338" s="4" t="str">
        <f>VLOOKUP($B1338,'D7 - NDB Impacted SPRF''s'!$E$16:$O$9929,10,FALSE)</f>
        <v>N</v>
      </c>
      <c r="R1338" s="4" t="str">
        <f>VLOOKUP($B1338,'D7 - NDB Impacted SPRF''s'!$E$16:$O$9929,11,FALSE)</f>
        <v>Y</v>
      </c>
      <c r="S1338" s="8"/>
      <c r="T1338" s="310"/>
      <c r="U1338" s="310"/>
      <c r="V1338" s="4"/>
      <c r="W1338" s="4"/>
      <c r="X1338" s="4"/>
      <c r="Y1338" s="4"/>
      <c r="Z1338" s="4"/>
      <c r="AA1338" s="4"/>
      <c r="AB1338" s="380" t="str">
        <f>VLOOKUP($B1338,'D7 - NDB Impacted SPRF''s'!$E$6:$O$9929,4,FALSE)</f>
        <v>Completed</v>
      </c>
      <c r="AC1338" s="380" t="str">
        <f>VLOOKUP($B1338,'D7 - NDB Impacted SPRF''s'!$E$6:$O$9929,3,FALSE)</f>
        <v>UnitedHealthcare Employer &amp; Individual</v>
      </c>
      <c r="AD1338" s="380" t="str">
        <f>VLOOKUP($B1338,'D7 - NDB Impacted SPRF''s'!$E$6:$O$9929,5,FALSE)</f>
        <v>Membership Growth / Revenue Programs</v>
      </c>
      <c r="AE1338" s="380" t="str">
        <f>VLOOKUP($B1338,'D7 - NDB Impacted SPRF''s'!$E$6:$O$9929,7,FALSE)</f>
        <v>Heather Lowe</v>
      </c>
      <c r="AF1338" s="380" t="str">
        <f>VLOOKUP($B1338,'D7 - NDB Impacted SPRF''s'!$E$6:$O$9929,6,FALSE)</f>
        <v>COBB DOROTHY</v>
      </c>
      <c r="AG1338" s="282"/>
      <c r="AH1338" s="311" t="e">
        <f>INDEX('D5 - Gatekeeper - Projects'!$A$4:$AF$1010,$AM1338, 17)</f>
        <v>#N/A</v>
      </c>
      <c r="AI1338" s="8"/>
      <c r="AJ1338" s="57"/>
      <c r="AK1338" s="105"/>
      <c r="AM1338" s="6" t="e">
        <f>MATCH(D1338,'D5 - Gatekeeper - Projects'!$C$4:$C$1010,0)</f>
        <v>#N/A</v>
      </c>
      <c r="AN1338" s="6" t="b">
        <f t="shared" si="133"/>
        <v>1</v>
      </c>
      <c r="AO1338" s="6" t="str">
        <f t="shared" si="135"/>
        <v>OK</v>
      </c>
      <c r="AQ1338" s="6" t="e">
        <f>MATCH($D1338,'D4 - Provider Council Unsched'!$C$11:$C$234,0)</f>
        <v>#N/A</v>
      </c>
      <c r="AR1338" s="6" t="b">
        <f t="shared" si="134"/>
        <v>1</v>
      </c>
      <c r="AS1338" s="6" t="str">
        <f>IF(AND(H1338="2 - Not Scheduled",AR1338=TRUE),"Add","OK")</f>
        <v>OK</v>
      </c>
      <c r="AU1338" s="202"/>
      <c r="AV1338" s="262"/>
      <c r="AW1338" s="274"/>
    </row>
    <row r="1339" spans="1:49" s="13" customFormat="1" ht="45" x14ac:dyDescent="0.2">
      <c r="A1339" s="14">
        <v>1315</v>
      </c>
      <c r="B1339" s="14">
        <v>400034486</v>
      </c>
      <c r="C1339" s="8" t="s">
        <v>3763</v>
      </c>
      <c r="D1339" s="4" t="str">
        <f t="shared" si="137"/>
        <v>400034486R2</v>
      </c>
      <c r="E1339" s="309" t="str">
        <f>VLOOKUP($B1339,'D7 - NDB Impacted SPRF''s'!$E$6:$O$9929,2,FALSE)</f>
        <v>EPDE Enhancements URV</v>
      </c>
      <c r="F1339" s="8" t="s">
        <v>4069</v>
      </c>
      <c r="G1339" s="8" t="s">
        <v>4758</v>
      </c>
      <c r="H1339" s="8" t="s">
        <v>4246</v>
      </c>
      <c r="I1339" s="20">
        <v>0.65</v>
      </c>
      <c r="J1339" s="8" t="s">
        <v>4862</v>
      </c>
      <c r="K1339" s="182">
        <v>40446</v>
      </c>
      <c r="L1339" s="8" t="s">
        <v>4156</v>
      </c>
      <c r="M1339" s="8" t="s">
        <v>5626</v>
      </c>
      <c r="N1339" s="38"/>
      <c r="O1339" s="8"/>
      <c r="P1339" s="4" t="str">
        <f>VLOOKUP($B1339,'D7 - NDB Impacted SPRF''s'!$E$16:$O$9929,9,FALSE)</f>
        <v>N</v>
      </c>
      <c r="Q1339" s="4" t="str">
        <f>VLOOKUP($B1339,'D7 - NDB Impacted SPRF''s'!$E$16:$O$9929,10,FALSE)</f>
        <v>N</v>
      </c>
      <c r="R1339" s="4" t="str">
        <f>VLOOKUP($B1339,'D7 - NDB Impacted SPRF''s'!$E$16:$O$9929,11,FALSE)</f>
        <v>N</v>
      </c>
      <c r="S1339" s="8"/>
      <c r="T1339" s="310"/>
      <c r="U1339" s="310"/>
      <c r="V1339" s="4"/>
      <c r="W1339" s="4"/>
      <c r="X1339" s="4"/>
      <c r="Y1339" s="4"/>
      <c r="Z1339" s="4"/>
      <c r="AA1339" s="4"/>
      <c r="AB1339" s="380" t="str">
        <f>VLOOKUP($B1339,'D7 - NDB Impacted SPRF''s'!$E$6:$O$9929,4,FALSE)</f>
        <v>Completed</v>
      </c>
      <c r="AC1339" s="380" t="str">
        <f>VLOOKUP($B1339,'D7 - NDB Impacted SPRF''s'!$E$6:$O$9929,3,FALSE)</f>
        <v>UHG IT - Enterprise Technology Services</v>
      </c>
      <c r="AD1339" s="380" t="str">
        <f>VLOOKUP($B1339,'D7 - NDB Impacted SPRF''s'!$E$6:$O$9929,5,FALSE)</f>
        <v>Strategic Initiatives</v>
      </c>
      <c r="AE1339" s="380" t="str">
        <f>VLOOKUP($B1339,'D7 - NDB Impacted SPRF''s'!$E$6:$O$9929,7,FALSE)</f>
        <v>Sally Verrelli</v>
      </c>
      <c r="AF1339" s="380" t="str">
        <f>VLOOKUP($B1339,'D7 - NDB Impacted SPRF''s'!$E$6:$O$9929,6,FALSE)</f>
        <v>Mary Vanspeybroeck</v>
      </c>
      <c r="AG1339" s="282"/>
      <c r="AH1339" s="311" t="e">
        <f>INDEX('D5 - Gatekeeper - Projects'!$A$4:$AF$1010,$AM1339, 17)</f>
        <v>#N/A</v>
      </c>
      <c r="AI1339" s="8"/>
      <c r="AJ1339" s="57"/>
      <c r="AK1339" s="105"/>
      <c r="AM1339" s="6" t="e">
        <f>MATCH(D1339,'D5 - Gatekeeper - Projects'!$C$4:$C$1010,0)</f>
        <v>#N/A</v>
      </c>
      <c r="AN1339" s="6" t="b">
        <f t="shared" si="133"/>
        <v>1</v>
      </c>
      <c r="AO1339" s="6" t="str">
        <f t="shared" si="135"/>
        <v>OK</v>
      </c>
      <c r="AQ1339" s="6" t="e">
        <f>MATCH($D1339,'D4 - Provider Council Unsched'!$C$11:$C$234,0)</f>
        <v>#N/A</v>
      </c>
      <c r="AR1339" s="6" t="b">
        <f t="shared" si="134"/>
        <v>1</v>
      </c>
      <c r="AS1339" s="6" t="str">
        <f>IF(AND(H1339="2 - Not Scheduled",AR1339=TRUE),"Add","OK")</f>
        <v>OK</v>
      </c>
      <c r="AU1339" s="202"/>
      <c r="AV1339" s="262"/>
      <c r="AW1339" s="274"/>
    </row>
    <row r="1340" spans="1:49" s="13" customFormat="1" ht="45" x14ac:dyDescent="0.2">
      <c r="A1340" s="14">
        <v>1316</v>
      </c>
      <c r="B1340" s="14">
        <v>400034893</v>
      </c>
      <c r="C1340" s="8" t="s">
        <v>5197</v>
      </c>
      <c r="D1340" s="4" t="str">
        <f t="shared" si="137"/>
        <v>400034893R1</v>
      </c>
      <c r="E1340" s="309" t="str">
        <f>VLOOKUP($B1340,'D7 - NDB Impacted SPRF''s'!$E$6:$O$9929,2,FALSE)</f>
        <v xml:space="preserve">UDW Systems of Record and Data Discovery </v>
      </c>
      <c r="F1340" s="8"/>
      <c r="G1340" s="8" t="s">
        <v>4758</v>
      </c>
      <c r="H1340" s="8" t="s">
        <v>4246</v>
      </c>
      <c r="I1340" s="20">
        <v>2</v>
      </c>
      <c r="J1340" s="8" t="s">
        <v>4862</v>
      </c>
      <c r="K1340" s="182">
        <v>40446</v>
      </c>
      <c r="L1340" s="8" t="s">
        <v>4156</v>
      </c>
      <c r="M1340" s="8" t="s">
        <v>6688</v>
      </c>
      <c r="N1340" s="38"/>
      <c r="O1340" s="8"/>
      <c r="P1340" s="4" t="str">
        <f>VLOOKUP($B1340,'D7 - NDB Impacted SPRF''s'!$E$16:$O$9929,9,FALSE)</f>
        <v>Y</v>
      </c>
      <c r="Q1340" s="4" t="str">
        <f>VLOOKUP($B1340,'D7 - NDB Impacted SPRF''s'!$E$16:$O$9929,10,FALSE)</f>
        <v>N</v>
      </c>
      <c r="R1340" s="4" t="str">
        <f>VLOOKUP($B1340,'D7 - NDB Impacted SPRF''s'!$E$16:$O$9929,11,FALSE)</f>
        <v>N</v>
      </c>
      <c r="S1340" s="8"/>
      <c r="T1340" s="310"/>
      <c r="U1340" s="310"/>
      <c r="V1340" s="4"/>
      <c r="W1340" s="4"/>
      <c r="X1340" s="4"/>
      <c r="Y1340" s="4"/>
      <c r="Z1340" s="4"/>
      <c r="AA1340" s="4"/>
      <c r="AB1340" s="380" t="str">
        <f>VLOOKUP($B1340,'D7 - NDB Impacted SPRF''s'!$E$6:$O$9929,4,FALSE)</f>
        <v>Completed</v>
      </c>
      <c r="AC1340" s="380" t="str">
        <f>VLOOKUP($B1340,'D7 - NDB Impacted SPRF''s'!$E$6:$O$9929,3,FALSE)</f>
        <v>UHG IT - Enterprise Technology Services</v>
      </c>
      <c r="AD1340" s="380" t="str">
        <f>VLOOKUP($B1340,'D7 - NDB Impacted SPRF''s'!$E$6:$O$9929,5,FALSE)</f>
        <v>Strategic Initiatives</v>
      </c>
      <c r="AE1340" s="380" t="str">
        <f>VLOOKUP($B1340,'D7 - NDB Impacted SPRF''s'!$E$6:$O$9929,7,FALSE)</f>
        <v>David Albright</v>
      </c>
      <c r="AF1340" s="380" t="str">
        <f>VLOOKUP($B1340,'D7 - NDB Impacted SPRF''s'!$E$6:$O$9929,6,FALSE)</f>
        <v>STEEN POULSEN</v>
      </c>
      <c r="AG1340" s="282"/>
      <c r="AH1340" s="311" t="e">
        <f>INDEX('D5 - Gatekeeper - Projects'!$A$4:$AF$1010,$AM1340, 17)</f>
        <v>#N/A</v>
      </c>
      <c r="AI1340" s="8"/>
      <c r="AJ1340" s="57"/>
      <c r="AK1340" s="105"/>
      <c r="AM1340" s="6" t="e">
        <f>MATCH(D1340,'D5 - Gatekeeper - Projects'!$C$4:$C$1010,0)</f>
        <v>#N/A</v>
      </c>
      <c r="AN1340" s="6" t="b">
        <f t="shared" si="133"/>
        <v>1</v>
      </c>
      <c r="AO1340" s="6" t="str">
        <f t="shared" si="135"/>
        <v>OK</v>
      </c>
      <c r="AQ1340" s="6" t="e">
        <f>MATCH($D1340,'D4 - Provider Council Unsched'!$C$11:$C$234,0)</f>
        <v>#N/A</v>
      </c>
      <c r="AR1340" s="6" t="b">
        <f t="shared" si="134"/>
        <v>1</v>
      </c>
      <c r="AS1340" s="6" t="str">
        <f t="shared" ref="AS1340:AS1347" si="139">IF(AND(H1340="2 - Not Scheduled",AR1340=TRUE,C1340="R1"),"Add","OK")</f>
        <v>OK</v>
      </c>
      <c r="AU1340" s="202"/>
      <c r="AV1340" s="262"/>
      <c r="AW1340" s="274"/>
    </row>
    <row r="1341" spans="1:49" s="13" customFormat="1" ht="33.75" x14ac:dyDescent="0.2">
      <c r="A1341" s="14">
        <v>1317</v>
      </c>
      <c r="B1341" s="14">
        <v>400035195</v>
      </c>
      <c r="C1341" s="8" t="s">
        <v>5197</v>
      </c>
      <c r="D1341" s="4" t="str">
        <f t="shared" si="137"/>
        <v>400035195R1</v>
      </c>
      <c r="E1341" s="309" t="str">
        <f>VLOOKUP($B1341,'D7 - NDB Impacted SPRF''s'!$E$6:$O$9929,2,FALSE)</f>
        <v xml:space="preserve">Heritage Expansion - Illinois </v>
      </c>
      <c r="F1341" s="8" t="s">
        <v>2114</v>
      </c>
      <c r="G1341" s="8" t="s">
        <v>4758</v>
      </c>
      <c r="H1341" s="8" t="s">
        <v>4246</v>
      </c>
      <c r="I1341" s="20">
        <v>1.06</v>
      </c>
      <c r="J1341" s="8" t="s">
        <v>4862</v>
      </c>
      <c r="K1341" s="182">
        <v>40446</v>
      </c>
      <c r="L1341" s="8" t="s">
        <v>4156</v>
      </c>
      <c r="M1341" s="8" t="s">
        <v>5626</v>
      </c>
      <c r="N1341" s="38"/>
      <c r="O1341" s="8"/>
      <c r="P1341" s="4" t="str">
        <f>VLOOKUP($B1341,'D7 - NDB Impacted SPRF''s'!$E$16:$O$9929,9,FALSE)</f>
        <v>N</v>
      </c>
      <c r="Q1341" s="4" t="str">
        <f>VLOOKUP($B1341,'D7 - NDB Impacted SPRF''s'!$E$16:$O$9929,10,FALSE)</f>
        <v>N</v>
      </c>
      <c r="R1341" s="4" t="str">
        <f>VLOOKUP($B1341,'D7 - NDB Impacted SPRF''s'!$E$16:$O$9929,11,FALSE)</f>
        <v>Y</v>
      </c>
      <c r="S1341" s="8"/>
      <c r="T1341" s="310"/>
      <c r="U1341" s="310"/>
      <c r="V1341" s="4"/>
      <c r="W1341" s="4"/>
      <c r="X1341" s="4"/>
      <c r="Y1341" s="4"/>
      <c r="Z1341" s="4"/>
      <c r="AA1341" s="4"/>
      <c r="AB1341" s="380" t="str">
        <f>VLOOKUP($B1341,'D7 - NDB Impacted SPRF''s'!$E$6:$O$9929,4,FALSE)</f>
        <v>Completed</v>
      </c>
      <c r="AC1341" s="380" t="str">
        <f>VLOOKUP($B1341,'D7 - NDB Impacted SPRF''s'!$E$6:$O$9929,3,FALSE)</f>
        <v>UnitedHealthcare Employer &amp; Individual</v>
      </c>
      <c r="AD1341" s="380" t="str">
        <f>VLOOKUP($B1341,'D7 - NDB Impacted SPRF''s'!$E$6:$O$9929,5,FALSE)</f>
        <v>Membership Growth / Revenue Programs</v>
      </c>
      <c r="AE1341" s="380" t="str">
        <f>VLOOKUP($B1341,'D7 - NDB Impacted SPRF''s'!$E$6:$O$9929,7,FALSE)</f>
        <v xml:space="preserve">Mike Etheridge </v>
      </c>
      <c r="AF1341" s="380" t="str">
        <f>VLOOKUP($B1341,'D7 - NDB Impacted SPRF''s'!$E$6:$O$9929,6,FALSE)</f>
        <v>Michael Etheridge</v>
      </c>
      <c r="AG1341" s="282"/>
      <c r="AH1341" s="311" t="e">
        <f>INDEX('D5 - Gatekeeper - Projects'!$A$4:$AF$1010,$AM1341, 17)</f>
        <v>#N/A</v>
      </c>
      <c r="AI1341" s="8"/>
      <c r="AJ1341" s="57"/>
      <c r="AK1341" s="105"/>
      <c r="AM1341" s="6" t="e">
        <f>MATCH(D1341,'D5 - Gatekeeper - Projects'!$C$4:$C$1010,0)</f>
        <v>#N/A</v>
      </c>
      <c r="AN1341" s="6" t="b">
        <f t="shared" si="133"/>
        <v>1</v>
      </c>
      <c r="AO1341" s="6" t="str">
        <f t="shared" si="135"/>
        <v>OK</v>
      </c>
      <c r="AQ1341" s="6" t="e">
        <f>MATCH($D1341,'D4 - Provider Council Unsched'!$C$11:$C$234,0)</f>
        <v>#N/A</v>
      </c>
      <c r="AR1341" s="6" t="b">
        <f t="shared" si="134"/>
        <v>1</v>
      </c>
      <c r="AS1341" s="6" t="str">
        <f t="shared" si="139"/>
        <v>OK</v>
      </c>
      <c r="AU1341" s="202"/>
      <c r="AV1341" s="262"/>
      <c r="AW1341" s="274"/>
    </row>
    <row r="1342" spans="1:49" s="13" customFormat="1" ht="33.75" x14ac:dyDescent="0.2">
      <c r="A1342" s="14">
        <v>1318</v>
      </c>
      <c r="B1342" s="14">
        <v>400035528</v>
      </c>
      <c r="C1342" s="8" t="s">
        <v>5197</v>
      </c>
      <c r="D1342" s="4" t="str">
        <f t="shared" si="137"/>
        <v>400035528R1</v>
      </c>
      <c r="E1342" s="309" t="str">
        <f>VLOOKUP($B1342,'D7 - NDB Impacted SPRF''s'!$E$6:$O$9929,2,FALSE)</f>
        <v>MAHP OneNet Replatform - Analysis</v>
      </c>
      <c r="F1342" s="8"/>
      <c r="G1342" s="8" t="s">
        <v>4758</v>
      </c>
      <c r="H1342" s="8" t="s">
        <v>4246</v>
      </c>
      <c r="I1342" s="20">
        <v>2.29</v>
      </c>
      <c r="J1342" s="8" t="s">
        <v>4862</v>
      </c>
      <c r="K1342" s="182">
        <v>40446</v>
      </c>
      <c r="L1342" s="8" t="s">
        <v>4156</v>
      </c>
      <c r="M1342" s="8" t="s">
        <v>6688</v>
      </c>
      <c r="N1342" s="38"/>
      <c r="O1342" s="8"/>
      <c r="P1342" s="4" t="str">
        <f>VLOOKUP($B1342,'D7 - NDB Impacted SPRF''s'!$E$16:$O$9929,9,FALSE)</f>
        <v>N</v>
      </c>
      <c r="Q1342" s="4" t="str">
        <f>VLOOKUP($B1342,'D7 - NDB Impacted SPRF''s'!$E$16:$O$9929,10,FALSE)</f>
        <v>N</v>
      </c>
      <c r="R1342" s="4" t="str">
        <f>VLOOKUP($B1342,'D7 - NDB Impacted SPRF''s'!$E$16:$O$9929,11,FALSE)</f>
        <v>N</v>
      </c>
      <c r="S1342" s="8"/>
      <c r="T1342" s="310"/>
      <c r="U1342" s="310"/>
      <c r="V1342" s="4"/>
      <c r="W1342" s="4"/>
      <c r="X1342" s="4"/>
      <c r="Y1342" s="4"/>
      <c r="Z1342" s="4"/>
      <c r="AA1342" s="4"/>
      <c r="AB1342" s="380" t="str">
        <f>VLOOKUP($B1342,'D7 - NDB Impacted SPRF''s'!$E$6:$O$9929,4,FALSE)</f>
        <v>Completed</v>
      </c>
      <c r="AC1342" s="380" t="str">
        <f>VLOOKUP($B1342,'D7 - NDB Impacted SPRF''s'!$E$6:$O$9929,3,FALSE)</f>
        <v>UnitedHealthcare Employer &amp; Individual</v>
      </c>
      <c r="AD1342" s="380" t="str">
        <f>VLOOKUP($B1342,'D7 - NDB Impacted SPRF''s'!$E$6:$O$9929,5,FALSE)</f>
        <v>Integration Requirements</v>
      </c>
      <c r="AE1342" s="380" t="str">
        <f>VLOOKUP($B1342,'D7 - NDB Impacted SPRF''s'!$E$6:$O$9929,7,FALSE)</f>
        <v>Jim Cronin</v>
      </c>
      <c r="AF1342" s="380" t="str">
        <f>VLOOKUP($B1342,'D7 - NDB Impacted SPRF''s'!$E$6:$O$9929,6,FALSE)</f>
        <v>VERONICA BELL</v>
      </c>
      <c r="AG1342" s="282"/>
      <c r="AH1342" s="311" t="e">
        <f>INDEX('D5 - Gatekeeper - Projects'!$A$4:$AF$1010,$AM1342, 17)</f>
        <v>#N/A</v>
      </c>
      <c r="AI1342" s="8"/>
      <c r="AJ1342" s="57"/>
      <c r="AK1342" s="105"/>
      <c r="AM1342" s="6" t="e">
        <f>MATCH(D1342,'D5 - Gatekeeper - Projects'!$C$4:$C$1010,0)</f>
        <v>#N/A</v>
      </c>
      <c r="AN1342" s="6" t="b">
        <f t="shared" si="133"/>
        <v>1</v>
      </c>
      <c r="AO1342" s="6" t="str">
        <f t="shared" si="135"/>
        <v>OK</v>
      </c>
      <c r="AQ1342" s="6" t="e">
        <f>MATCH($D1342,'D4 - Provider Council Unsched'!$C$11:$C$234,0)</f>
        <v>#N/A</v>
      </c>
      <c r="AR1342" s="6" t="b">
        <f t="shared" si="134"/>
        <v>1</v>
      </c>
      <c r="AS1342" s="6" t="str">
        <f t="shared" si="139"/>
        <v>OK</v>
      </c>
      <c r="AU1342" s="202"/>
      <c r="AV1342" s="262"/>
      <c r="AW1342" s="274"/>
    </row>
    <row r="1343" spans="1:49" s="13" customFormat="1" ht="33.75" x14ac:dyDescent="0.2">
      <c r="A1343" s="14">
        <v>1319</v>
      </c>
      <c r="B1343" s="14">
        <v>400036906</v>
      </c>
      <c r="C1343" s="8" t="s">
        <v>5197</v>
      </c>
      <c r="D1343" s="4" t="str">
        <f t="shared" si="137"/>
        <v>400036906R1</v>
      </c>
      <c r="E1343" s="309" t="str">
        <f>VLOOKUP($B1343,'D7 - NDB Impacted SPRF''s'!$E$6:$O$9929,2,FALSE)</f>
        <v>RSA Ova Provider Search Data Latency Reduction</v>
      </c>
      <c r="F1343" s="8"/>
      <c r="G1343" s="8" t="s">
        <v>4758</v>
      </c>
      <c r="H1343" s="8" t="s">
        <v>4246</v>
      </c>
      <c r="I1343" s="20">
        <v>1.17</v>
      </c>
      <c r="J1343" s="8" t="s">
        <v>4862</v>
      </c>
      <c r="K1343" s="182">
        <v>40446</v>
      </c>
      <c r="L1343" s="8" t="s">
        <v>4156</v>
      </c>
      <c r="M1343" s="8" t="s">
        <v>6688</v>
      </c>
      <c r="N1343" s="38"/>
      <c r="O1343" s="8"/>
      <c r="P1343" s="4" t="str">
        <f>VLOOKUP($B1343,'D7 - NDB Impacted SPRF''s'!$E$16:$O$9929,9,FALSE)</f>
        <v>N</v>
      </c>
      <c r="Q1343" s="4" t="str">
        <f>VLOOKUP($B1343,'D7 - NDB Impacted SPRF''s'!$E$16:$O$9929,10,FALSE)</f>
        <v>N</v>
      </c>
      <c r="R1343" s="4" t="str">
        <f>VLOOKUP($B1343,'D7 - NDB Impacted SPRF''s'!$E$16:$O$9929,11,FALSE)</f>
        <v>N</v>
      </c>
      <c r="S1343" s="8"/>
      <c r="T1343" s="310"/>
      <c r="U1343" s="310"/>
      <c r="V1343" s="4"/>
      <c r="W1343" s="4"/>
      <c r="X1343" s="4"/>
      <c r="Y1343" s="4"/>
      <c r="Z1343" s="4"/>
      <c r="AA1343" s="4"/>
      <c r="AB1343" s="380" t="str">
        <f>VLOOKUP($B1343,'D7 - NDB Impacted SPRF''s'!$E$6:$O$9929,4,FALSE)</f>
        <v>Completed</v>
      </c>
      <c r="AC1343" s="380" t="str">
        <f>VLOOKUP($B1343,'D7 - NDB Impacted SPRF''s'!$E$6:$O$9929,3,FALSE)</f>
        <v>UnitedHealthcare Medicare &amp; Retirement</v>
      </c>
      <c r="AD1343" s="380" t="str">
        <f>VLOOKUP($B1343,'D7 - NDB Impacted SPRF''s'!$E$6:$O$9929,5,FALSE)</f>
        <v>Tech and Data Management</v>
      </c>
      <c r="AE1343" s="380" t="str">
        <f>VLOOKUP($B1343,'D7 - NDB Impacted SPRF''s'!$E$6:$O$9929,7,FALSE)</f>
        <v>Dennis Cernohous</v>
      </c>
      <c r="AF1343" s="380" t="str">
        <f>VLOOKUP($B1343,'D7 - NDB Impacted SPRF''s'!$E$6:$O$9929,6,FALSE)</f>
        <v>Brett Turnquist</v>
      </c>
      <c r="AG1343" s="282"/>
      <c r="AH1343" s="311" t="e">
        <f>INDEX('D5 - Gatekeeper - Projects'!$A$4:$AF$1010,$AM1343, 17)</f>
        <v>#N/A</v>
      </c>
      <c r="AI1343" s="8"/>
      <c r="AJ1343" s="57"/>
      <c r="AK1343" s="105"/>
      <c r="AM1343" s="6" t="e">
        <f>MATCH(D1343,'D5 - Gatekeeper - Projects'!$C$4:$C$1010,0)</f>
        <v>#N/A</v>
      </c>
      <c r="AN1343" s="6" t="b">
        <f t="shared" si="133"/>
        <v>1</v>
      </c>
      <c r="AO1343" s="6" t="str">
        <f t="shared" si="135"/>
        <v>OK</v>
      </c>
      <c r="AQ1343" s="6" t="e">
        <f>MATCH($D1343,'D4 - Provider Council Unsched'!$C$11:$C$234,0)</f>
        <v>#N/A</v>
      </c>
      <c r="AR1343" s="6" t="b">
        <f t="shared" si="134"/>
        <v>1</v>
      </c>
      <c r="AS1343" s="6" t="str">
        <f t="shared" si="139"/>
        <v>OK</v>
      </c>
      <c r="AU1343" s="202"/>
      <c r="AV1343" s="262"/>
      <c r="AW1343" s="274"/>
    </row>
    <row r="1344" spans="1:49" s="13" customFormat="1" ht="33.75" x14ac:dyDescent="0.2">
      <c r="A1344" s="14">
        <v>1320</v>
      </c>
      <c r="B1344" s="14">
        <v>400037490</v>
      </c>
      <c r="C1344" s="8" t="s">
        <v>5197</v>
      </c>
      <c r="D1344" s="4" t="str">
        <f t="shared" si="137"/>
        <v>400037490R1</v>
      </c>
      <c r="E1344" s="309" t="str">
        <f>VLOOKUP($B1344,'D7 - NDB Impacted SPRF''s'!$E$6:$O$9929,2,FALSE)</f>
        <v>NetV Extract</v>
      </c>
      <c r="F1344" s="8"/>
      <c r="G1344" s="8" t="s">
        <v>4758</v>
      </c>
      <c r="H1344" s="8" t="s">
        <v>4246</v>
      </c>
      <c r="I1344" s="20">
        <v>1.07</v>
      </c>
      <c r="J1344" s="8" t="s">
        <v>4862</v>
      </c>
      <c r="K1344" s="182">
        <v>40446</v>
      </c>
      <c r="L1344" s="8" t="s">
        <v>4156</v>
      </c>
      <c r="M1344" s="8" t="s">
        <v>6007</v>
      </c>
      <c r="N1344" s="38"/>
      <c r="O1344" s="8"/>
      <c r="P1344" s="4" t="str">
        <f>VLOOKUP($B1344,'D7 - NDB Impacted SPRF''s'!$E$16:$O$9929,9,FALSE)</f>
        <v>N</v>
      </c>
      <c r="Q1344" s="4" t="str">
        <f>VLOOKUP($B1344,'D7 - NDB Impacted SPRF''s'!$E$16:$O$9929,10,FALSE)</f>
        <v>N</v>
      </c>
      <c r="R1344" s="4" t="str">
        <f>VLOOKUP($B1344,'D7 - NDB Impacted SPRF''s'!$E$16:$O$9929,11,FALSE)</f>
        <v>N</v>
      </c>
      <c r="S1344" s="8"/>
      <c r="T1344" s="310"/>
      <c r="U1344" s="310"/>
      <c r="V1344" s="4"/>
      <c r="W1344" s="4"/>
      <c r="X1344" s="4"/>
      <c r="Y1344" s="4"/>
      <c r="Z1344" s="4"/>
      <c r="AA1344" s="4"/>
      <c r="AB1344" s="380" t="str">
        <f>VLOOKUP($B1344,'D7 - NDB Impacted SPRF''s'!$E$6:$O$9929,4,FALSE)</f>
        <v>Completed</v>
      </c>
      <c r="AC1344" s="380" t="str">
        <f>VLOOKUP($B1344,'D7 - NDB Impacted SPRF''s'!$E$6:$O$9929,3,FALSE)</f>
        <v>UnitedHealthcare Employer &amp; Individual</v>
      </c>
      <c r="AD1344" s="380" t="str">
        <f>VLOOKUP($B1344,'D7 - NDB Impacted SPRF''s'!$E$6:$O$9929,5,FALSE)</f>
        <v>Operational Requirements</v>
      </c>
      <c r="AE1344" s="380" t="str">
        <f>VLOOKUP($B1344,'D7 - NDB Impacted SPRF''s'!$E$6:$O$9929,7,FALSE)</f>
        <v>Keith Koszuta</v>
      </c>
      <c r="AF1344" s="380" t="str">
        <f>VLOOKUP($B1344,'D7 - NDB Impacted SPRF''s'!$E$6:$O$9929,6,FALSE)</f>
        <v>Shawn Lyon</v>
      </c>
      <c r="AG1344" s="282"/>
      <c r="AH1344" s="311" t="e">
        <f>INDEX('D5 - Gatekeeper - Projects'!$A$4:$AF$1010,$AM1344, 17)</f>
        <v>#N/A</v>
      </c>
      <c r="AI1344" s="8"/>
      <c r="AJ1344" s="57"/>
      <c r="AK1344" s="105"/>
      <c r="AM1344" s="6" t="e">
        <f>MATCH(D1344,'D5 - Gatekeeper - Projects'!$C$4:$C$1010,0)</f>
        <v>#N/A</v>
      </c>
      <c r="AN1344" s="6" t="b">
        <f t="shared" si="133"/>
        <v>1</v>
      </c>
      <c r="AO1344" s="6" t="str">
        <f t="shared" si="135"/>
        <v>OK</v>
      </c>
      <c r="AQ1344" s="6" t="e">
        <f>MATCH($D1344,'D4 - Provider Council Unsched'!$C$11:$C$234,0)</f>
        <v>#N/A</v>
      </c>
      <c r="AR1344" s="6" t="b">
        <f t="shared" si="134"/>
        <v>1</v>
      </c>
      <c r="AS1344" s="6" t="str">
        <f t="shared" si="139"/>
        <v>OK</v>
      </c>
      <c r="AU1344" s="202">
        <v>40360</v>
      </c>
      <c r="AV1344" s="262"/>
      <c r="AW1344" s="274"/>
    </row>
    <row r="1345" spans="1:49" s="13" customFormat="1" ht="33.75" x14ac:dyDescent="0.2">
      <c r="A1345" s="14">
        <v>1321</v>
      </c>
      <c r="B1345" s="14">
        <v>400037752</v>
      </c>
      <c r="C1345" s="8" t="s">
        <v>5197</v>
      </c>
      <c r="D1345" s="4" t="str">
        <f t="shared" si="137"/>
        <v>400037752R1</v>
      </c>
      <c r="E1345" s="309" t="str">
        <f>VLOOKUP($B1345,'D7 - NDB Impacted SPRF''s'!$E$6:$O$9929,2,FALSE)</f>
        <v>UMR-UHIS GEHA Public Account EPDE Feed</v>
      </c>
      <c r="F1345" s="8"/>
      <c r="G1345" s="8" t="s">
        <v>4758</v>
      </c>
      <c r="H1345" s="8" t="s">
        <v>4246</v>
      </c>
      <c r="I1345" s="20">
        <v>0.26666666666666666</v>
      </c>
      <c r="J1345" s="8" t="s">
        <v>4862</v>
      </c>
      <c r="K1345" s="182">
        <v>40446</v>
      </c>
      <c r="L1345" s="8" t="s">
        <v>4156</v>
      </c>
      <c r="M1345" s="8" t="s">
        <v>4450</v>
      </c>
      <c r="N1345" s="38"/>
      <c r="O1345" s="8"/>
      <c r="P1345" s="4" t="str">
        <f>VLOOKUP($B1345,'D7 - NDB Impacted SPRF''s'!$E$16:$O$9929,9,FALSE)</f>
        <v>N</v>
      </c>
      <c r="Q1345" s="4" t="str">
        <f>VLOOKUP($B1345,'D7 - NDB Impacted SPRF''s'!$E$16:$O$9929,10,FALSE)</f>
        <v>N</v>
      </c>
      <c r="R1345" s="4" t="str">
        <f>VLOOKUP($B1345,'D7 - NDB Impacted SPRF''s'!$E$16:$O$9929,11,FALSE)</f>
        <v>N</v>
      </c>
      <c r="S1345" s="8"/>
      <c r="T1345" s="310"/>
      <c r="U1345" s="310"/>
      <c r="V1345" s="4"/>
      <c r="W1345" s="4"/>
      <c r="X1345" s="4"/>
      <c r="Y1345" s="4"/>
      <c r="Z1345" s="4"/>
      <c r="AA1345" s="4"/>
      <c r="AB1345" s="380" t="str">
        <f>VLOOKUP($B1345,'D7 - NDB Impacted SPRF''s'!$E$6:$O$9929,4,FALSE)</f>
        <v>Completed</v>
      </c>
      <c r="AC1345" s="380" t="str">
        <f>VLOOKUP($B1345,'D7 - NDB Impacted SPRF''s'!$E$6:$O$9929,3,FALSE)</f>
        <v>UnitedHealthcare Employer &amp; Individual</v>
      </c>
      <c r="AD1345" s="380" t="str">
        <f>VLOOKUP($B1345,'D7 - NDB Impacted SPRF''s'!$E$6:$O$9929,5,FALSE)</f>
        <v>Membership Growth / Revenue Programs</v>
      </c>
      <c r="AE1345" s="380" t="str">
        <f>VLOOKUP($B1345,'D7 - NDB Impacted SPRF''s'!$E$6:$O$9929,7,FALSE)</f>
        <v>Michael Kriofsky</v>
      </c>
      <c r="AF1345" s="380" t="str">
        <f>VLOOKUP($B1345,'D7 - NDB Impacted SPRF''s'!$E$6:$O$9929,6,FALSE)</f>
        <v>KAREN MCKINNEY</v>
      </c>
      <c r="AG1345" s="282"/>
      <c r="AH1345" s="311" t="e">
        <f>INDEX('D5 - Gatekeeper - Projects'!$A$4:$AF$1010,$AM1345, 17)</f>
        <v>#N/A</v>
      </c>
      <c r="AI1345" s="8"/>
      <c r="AJ1345" s="57"/>
      <c r="AK1345" s="105"/>
      <c r="AM1345" s="6" t="e">
        <f>MATCH(D1345,'D5 - Gatekeeper - Projects'!$C$4:$C$1010,0)</f>
        <v>#N/A</v>
      </c>
      <c r="AN1345" s="6" t="b">
        <f t="shared" si="133"/>
        <v>1</v>
      </c>
      <c r="AO1345" s="6" t="str">
        <f t="shared" si="135"/>
        <v>OK</v>
      </c>
      <c r="AQ1345" s="6" t="e">
        <f>MATCH($D1345,'D4 - Provider Council Unsched'!$C$11:$C$234,0)</f>
        <v>#N/A</v>
      </c>
      <c r="AR1345" s="6" t="b">
        <f t="shared" si="134"/>
        <v>1</v>
      </c>
      <c r="AS1345" s="6" t="str">
        <f t="shared" si="139"/>
        <v>OK</v>
      </c>
      <c r="AU1345" s="202">
        <v>40420</v>
      </c>
      <c r="AV1345" s="262"/>
      <c r="AW1345" s="274"/>
    </row>
    <row r="1346" spans="1:49" s="13" customFormat="1" ht="33.75" x14ac:dyDescent="0.2">
      <c r="A1346" s="14">
        <v>1322</v>
      </c>
      <c r="B1346" s="14">
        <v>400038267</v>
      </c>
      <c r="C1346" s="8" t="s">
        <v>5197</v>
      </c>
      <c r="D1346" s="4" t="str">
        <f t="shared" si="137"/>
        <v>400038267R1</v>
      </c>
      <c r="E1346" s="309" t="str">
        <f>VLOOKUP($B1346,'D7 - NDB Impacted SPRF''s'!$E$6:$O$9929,2,FALSE)</f>
        <v>UB92 Modifier Recognition</v>
      </c>
      <c r="F1346" s="8"/>
      <c r="G1346" s="8" t="s">
        <v>4758</v>
      </c>
      <c r="H1346" s="8" t="s">
        <v>4246</v>
      </c>
      <c r="I1346" s="20">
        <v>0.66666666666666663</v>
      </c>
      <c r="J1346" s="8" t="s">
        <v>4862</v>
      </c>
      <c r="K1346" s="182">
        <v>40446</v>
      </c>
      <c r="L1346" s="8" t="s">
        <v>4156</v>
      </c>
      <c r="M1346" s="8" t="s">
        <v>6688</v>
      </c>
      <c r="N1346" s="38"/>
      <c r="O1346" s="8"/>
      <c r="P1346" s="4" t="str">
        <f>VLOOKUP($B1346,'D7 - NDB Impacted SPRF''s'!$E$16:$O$9929,9,FALSE)</f>
        <v>Y</v>
      </c>
      <c r="Q1346" s="4" t="str">
        <f>VLOOKUP($B1346,'D7 - NDB Impacted SPRF''s'!$E$16:$O$9929,10,FALSE)</f>
        <v>N</v>
      </c>
      <c r="R1346" s="4" t="str">
        <f>VLOOKUP($B1346,'D7 - NDB Impacted SPRF''s'!$E$16:$O$9929,11,FALSE)</f>
        <v>Y</v>
      </c>
      <c r="S1346" s="8"/>
      <c r="T1346" s="310"/>
      <c r="U1346" s="310"/>
      <c r="V1346" s="4"/>
      <c r="W1346" s="4"/>
      <c r="X1346" s="4"/>
      <c r="Y1346" s="4"/>
      <c r="Z1346" s="4"/>
      <c r="AA1346" s="4"/>
      <c r="AB1346" s="380" t="str">
        <f>VLOOKUP($B1346,'D7 - NDB Impacted SPRF''s'!$E$6:$O$9929,4,FALSE)</f>
        <v>Completed</v>
      </c>
      <c r="AC1346" s="380" t="str">
        <f>VLOOKUP($B1346,'D7 - NDB Impacted SPRF''s'!$E$6:$O$9929,3,FALSE)</f>
        <v>UnitedHealthcare Employer &amp; Individual</v>
      </c>
      <c r="AD1346" s="380" t="str">
        <f>VLOOKUP($B1346,'D7 - NDB Impacted SPRF''s'!$E$6:$O$9929,5,FALSE)</f>
        <v>Process Improvement</v>
      </c>
      <c r="AE1346" s="380" t="str">
        <f>VLOOKUP($B1346,'D7 - NDB Impacted SPRF''s'!$E$6:$O$9929,7,FALSE)</f>
        <v>Tim Kaja</v>
      </c>
      <c r="AF1346" s="380" t="str">
        <f>VLOOKUP($B1346,'D7 - NDB Impacted SPRF''s'!$E$6:$O$9929,6,FALSE)</f>
        <v>CHERYL STAUFFER</v>
      </c>
      <c r="AG1346" s="282"/>
      <c r="AH1346" s="311" t="e">
        <f>INDEX('D5 - Gatekeeper - Projects'!$A$4:$AF$1010,$AM1346, 17)</f>
        <v>#N/A</v>
      </c>
      <c r="AI1346" s="8"/>
      <c r="AJ1346" s="57"/>
      <c r="AK1346" s="105"/>
      <c r="AM1346" s="6" t="e">
        <f>MATCH(D1346,'D5 - Gatekeeper - Projects'!$C$4:$C$1010,0)</f>
        <v>#N/A</v>
      </c>
      <c r="AN1346" s="6" t="b">
        <f t="shared" si="133"/>
        <v>1</v>
      </c>
      <c r="AO1346" s="6" t="str">
        <f t="shared" si="135"/>
        <v>OK</v>
      </c>
      <c r="AQ1346" s="6" t="e">
        <f>MATCH($D1346,'D4 - Provider Council Unsched'!$C$11:$C$234,0)</f>
        <v>#N/A</v>
      </c>
      <c r="AR1346" s="6" t="b">
        <f t="shared" si="134"/>
        <v>1</v>
      </c>
      <c r="AS1346" s="6" t="str">
        <f t="shared" si="139"/>
        <v>OK</v>
      </c>
      <c r="AU1346" s="202">
        <v>40406</v>
      </c>
      <c r="AV1346" s="262"/>
      <c r="AW1346" s="274"/>
    </row>
    <row r="1347" spans="1:49" s="13" customFormat="1" ht="33.75" x14ac:dyDescent="0.2">
      <c r="A1347" s="14">
        <v>1323</v>
      </c>
      <c r="B1347" s="8">
        <v>400039268</v>
      </c>
      <c r="C1347" s="8" t="s">
        <v>1447</v>
      </c>
      <c r="D1347" s="4" t="str">
        <f t="shared" si="137"/>
        <v>400039268A</v>
      </c>
      <c r="E1347" s="309" t="str">
        <f>VLOOKUP($B1347,'D7 - NDB Impacted SPRF''s'!$E$6:$O$9929,2,FALSE)</f>
        <v>Field Expansion Short Term Fix A&amp;D</v>
      </c>
      <c r="F1347" s="8"/>
      <c r="G1347" s="8" t="s">
        <v>4758</v>
      </c>
      <c r="H1347" s="8" t="s">
        <v>4246</v>
      </c>
      <c r="I1347" s="20">
        <v>0.5</v>
      </c>
      <c r="J1347" s="8" t="s">
        <v>4862</v>
      </c>
      <c r="K1347" s="182">
        <v>40446</v>
      </c>
      <c r="L1347" s="8" t="s">
        <v>4156</v>
      </c>
      <c r="M1347" s="8" t="s">
        <v>4450</v>
      </c>
      <c r="N1347" s="38"/>
      <c r="O1347" s="8"/>
      <c r="P1347" s="4" t="str">
        <f>VLOOKUP($B1347,'D7 - NDB Impacted SPRF''s'!$E$16:$O$9929,9,FALSE)</f>
        <v>N</v>
      </c>
      <c r="Q1347" s="4" t="str">
        <f>VLOOKUP($B1347,'D7 - NDB Impacted SPRF''s'!$E$16:$O$9929,10,FALSE)</f>
        <v>N</v>
      </c>
      <c r="R1347" s="4" t="str">
        <f>VLOOKUP($B1347,'D7 - NDB Impacted SPRF''s'!$E$16:$O$9929,11,FALSE)</f>
        <v>N</v>
      </c>
      <c r="S1347" s="8"/>
      <c r="T1347" s="310"/>
      <c r="U1347" s="310"/>
      <c r="V1347" s="4"/>
      <c r="W1347" s="4"/>
      <c r="X1347" s="4"/>
      <c r="Y1347" s="4"/>
      <c r="Z1347" s="4"/>
      <c r="AA1347" s="4"/>
      <c r="AB1347" s="380" t="str">
        <f>VLOOKUP($B1347,'D7 - NDB Impacted SPRF''s'!$E$6:$O$9929,4,FALSE)</f>
        <v>Completed</v>
      </c>
      <c r="AC1347" s="380" t="str">
        <f>VLOOKUP($B1347,'D7 - NDB Impacted SPRF''s'!$E$6:$O$9929,3,FALSE)</f>
        <v>UnitedHealthcare Medicare &amp; Retirement</v>
      </c>
      <c r="AD1347" s="380" t="str">
        <f>VLOOKUP($B1347,'D7 - NDB Impacted SPRF''s'!$E$6:$O$9929,5,FALSE)</f>
        <v>Benefit Admin</v>
      </c>
      <c r="AE1347" s="380" t="str">
        <f>VLOOKUP($B1347,'D7 - NDB Impacted SPRF''s'!$E$6:$O$9929,7,FALSE)</f>
        <v>Lan Hoang</v>
      </c>
      <c r="AF1347" s="380" t="str">
        <f>VLOOKUP($B1347,'D7 - NDB Impacted SPRF''s'!$E$6:$O$9929,6,FALSE)</f>
        <v>Jessica Tattersall</v>
      </c>
      <c r="AG1347" s="282"/>
      <c r="AH1347" s="311" t="e">
        <f>INDEX('D5 - Gatekeeper - Projects'!$A$4:$AF$1010,$AM1347, 17)</f>
        <v>#N/A</v>
      </c>
      <c r="AI1347" s="8"/>
      <c r="AJ1347" s="57"/>
      <c r="AK1347" s="105"/>
      <c r="AM1347" s="6" t="e">
        <f>MATCH(D1347,'D5 - Gatekeeper - Projects'!$C$4:$C$1010,0)</f>
        <v>#N/A</v>
      </c>
      <c r="AN1347" s="6" t="b">
        <f t="shared" si="133"/>
        <v>1</v>
      </c>
      <c r="AO1347" s="6" t="str">
        <f t="shared" si="135"/>
        <v>OK</v>
      </c>
      <c r="AQ1347" s="6" t="e">
        <f>MATCH($D1347,'D4 - Provider Council Unsched'!$C$11:$C$234,0)</f>
        <v>#N/A</v>
      </c>
      <c r="AR1347" s="6" t="b">
        <f t="shared" si="134"/>
        <v>1</v>
      </c>
      <c r="AS1347" s="6" t="str">
        <f t="shared" si="139"/>
        <v>OK</v>
      </c>
      <c r="AU1347" s="202">
        <v>40424</v>
      </c>
      <c r="AV1347" s="262"/>
      <c r="AW1347" s="274"/>
    </row>
    <row r="1348" spans="1:49" s="13" customFormat="1" ht="12.75" x14ac:dyDescent="0.2">
      <c r="A1348" s="14">
        <v>1324</v>
      </c>
      <c r="B1348" s="14" t="s">
        <v>3288</v>
      </c>
      <c r="C1348" s="8" t="s">
        <v>5197</v>
      </c>
      <c r="D1348" s="4" t="s">
        <v>3289</v>
      </c>
      <c r="E1348" s="341" t="s">
        <v>3892</v>
      </c>
      <c r="F1348" s="8" t="s">
        <v>2114</v>
      </c>
      <c r="G1348" s="8" t="s">
        <v>4758</v>
      </c>
      <c r="H1348" s="8" t="s">
        <v>4246</v>
      </c>
      <c r="I1348" s="20">
        <v>3.8</v>
      </c>
      <c r="J1348" s="8" t="s">
        <v>4862</v>
      </c>
      <c r="K1348" s="182">
        <v>40446</v>
      </c>
      <c r="L1348" s="8" t="s">
        <v>5743</v>
      </c>
      <c r="M1348" s="8" t="s">
        <v>2814</v>
      </c>
      <c r="N1348" s="38"/>
      <c r="O1348" s="8" t="s">
        <v>3572</v>
      </c>
      <c r="P1348" s="4" t="e">
        <f>VLOOKUP($B1348,'D7 - NDB Impacted SPRF''s'!$E$16:$O$9929,9,FALSE)</f>
        <v>#N/A</v>
      </c>
      <c r="Q1348" s="4" t="e">
        <f>VLOOKUP($B1348,'D7 - NDB Impacted SPRF''s'!$E$16:$O$9929,10,FALSE)</f>
        <v>#N/A</v>
      </c>
      <c r="R1348" s="4" t="e">
        <f>VLOOKUP($B1348,'D7 - NDB Impacted SPRF''s'!$E$16:$O$9929,11,FALSE)</f>
        <v>#N/A</v>
      </c>
      <c r="S1348" s="8"/>
      <c r="T1348" s="310"/>
      <c r="U1348" s="310"/>
      <c r="V1348" s="4"/>
      <c r="W1348" s="4"/>
      <c r="X1348" s="4"/>
      <c r="Y1348" s="4"/>
      <c r="Z1348" s="4"/>
      <c r="AA1348" s="4"/>
      <c r="AB1348" s="383" t="e">
        <f>VLOOKUP($B1348,'D7 - NDB Impacted SPRF''s'!$E$16:$O$9929,4,FALSE)</f>
        <v>#N/A</v>
      </c>
      <c r="AC1348" s="380" t="e">
        <f>VLOOKUP($B1348,'D7 - NDB Impacted SPRF''s'!$E$16:$O$9929,3,FALSE)</f>
        <v>#N/A</v>
      </c>
      <c r="AD1348" s="380" t="e">
        <f>VLOOKUP($B1348,'D7 - NDB Impacted SPRF''s'!$E$16:$O$9929,5,FALSE)</f>
        <v>#N/A</v>
      </c>
      <c r="AE1348" s="380" t="e">
        <f>VLOOKUP($B1348,'D7 - NDB Impacted SPRF''s'!$E$16:$O$9929,7,FALSE)</f>
        <v>#N/A</v>
      </c>
      <c r="AF1348" s="380" t="e">
        <f>VLOOKUP($B1348,'D7 - NDB Impacted SPRF''s'!$E$16:$O$9929,6,FALSE)</f>
        <v>#N/A</v>
      </c>
      <c r="AG1348" s="282"/>
      <c r="AH1348" s="311" t="e">
        <f>INDEX('D5 - Gatekeeper - Projects'!$A$4:$AF$1010,$AM1348, 17)</f>
        <v>#N/A</v>
      </c>
      <c r="AI1348" s="8"/>
      <c r="AJ1348" s="57"/>
      <c r="AK1348" s="105"/>
      <c r="AM1348" s="6" t="e">
        <f>MATCH(D1348,'D5 - Gatekeeper - Projects'!$C$4:$C$1010,0)</f>
        <v>#N/A</v>
      </c>
      <c r="AN1348" s="6" t="b">
        <f t="shared" si="133"/>
        <v>1</v>
      </c>
      <c r="AO1348" s="6" t="str">
        <f t="shared" si="135"/>
        <v>OK</v>
      </c>
      <c r="AQ1348" s="6" t="e">
        <f>MATCH($D1348,'D4 - Provider Council Unsched'!$C$11:$C$234,0)</f>
        <v>#N/A</v>
      </c>
      <c r="AR1348" s="6" t="b">
        <f t="shared" si="134"/>
        <v>1</v>
      </c>
      <c r="AS1348" s="6" t="str">
        <f>IF(AND(H1348="2 - Not Scheduled",AR1348=TRUE),"Add","OK")</f>
        <v>OK</v>
      </c>
      <c r="AU1348" s="202"/>
      <c r="AV1348" s="262"/>
      <c r="AW1348" s="274"/>
    </row>
    <row r="1349" spans="1:49" s="13" customFormat="1" x14ac:dyDescent="0.2">
      <c r="A1349" s="14">
        <v>1325</v>
      </c>
      <c r="B1349" s="14" t="s">
        <v>4879</v>
      </c>
      <c r="C1349" s="8" t="s">
        <v>5197</v>
      </c>
      <c r="D1349" s="4" t="s">
        <v>4880</v>
      </c>
      <c r="E1349" s="309" t="s">
        <v>4881</v>
      </c>
      <c r="F1349" s="8" t="s">
        <v>2114</v>
      </c>
      <c r="G1349" s="8" t="s">
        <v>4758</v>
      </c>
      <c r="H1349" s="8" t="s">
        <v>4246</v>
      </c>
      <c r="I1349" s="20">
        <v>1.5</v>
      </c>
      <c r="J1349" s="8" t="s">
        <v>4862</v>
      </c>
      <c r="K1349" s="182">
        <v>40446</v>
      </c>
      <c r="L1349" s="8" t="s">
        <v>5743</v>
      </c>
      <c r="M1349" s="8" t="s">
        <v>6688</v>
      </c>
      <c r="N1349" s="38"/>
      <c r="O1349" s="8" t="s">
        <v>3572</v>
      </c>
      <c r="P1349" s="4" t="e">
        <f>VLOOKUP($B1349,'D7 - NDB Impacted SPRF''s'!$E$16:$O$9929,9,FALSE)</f>
        <v>#N/A</v>
      </c>
      <c r="Q1349" s="4" t="e">
        <f>VLOOKUP($B1349,'D7 - NDB Impacted SPRF''s'!$E$16:$O$9929,10,FALSE)</f>
        <v>#N/A</v>
      </c>
      <c r="R1349" s="4" t="e">
        <f>VLOOKUP($B1349,'D7 - NDB Impacted SPRF''s'!$E$16:$O$9929,11,FALSE)</f>
        <v>#N/A</v>
      </c>
      <c r="S1349" s="8"/>
      <c r="T1349" s="310"/>
      <c r="U1349" s="310"/>
      <c r="V1349" s="4"/>
      <c r="W1349" s="4"/>
      <c r="X1349" s="4"/>
      <c r="Y1349" s="4"/>
      <c r="Z1349" s="4"/>
      <c r="AA1349" s="4"/>
      <c r="AB1349" s="383" t="e">
        <f>VLOOKUP($B1349,'D7 - NDB Impacted SPRF''s'!$E$16:$O$9929,4,FALSE)</f>
        <v>#N/A</v>
      </c>
      <c r="AC1349" s="380" t="e">
        <f>VLOOKUP($B1349,'D7 - NDB Impacted SPRF''s'!$E$16:$O$9929,3,FALSE)</f>
        <v>#N/A</v>
      </c>
      <c r="AD1349" s="380" t="e">
        <f>VLOOKUP($B1349,'D7 - NDB Impacted SPRF''s'!$E$16:$O$9929,5,FALSE)</f>
        <v>#N/A</v>
      </c>
      <c r="AE1349" s="380" t="e">
        <f>VLOOKUP($B1349,'D7 - NDB Impacted SPRF''s'!$E$16:$O$9929,7,FALSE)</f>
        <v>#N/A</v>
      </c>
      <c r="AF1349" s="380" t="e">
        <f>VLOOKUP($B1349,'D7 - NDB Impacted SPRF''s'!$E$16:$O$9929,6,FALSE)</f>
        <v>#N/A</v>
      </c>
      <c r="AG1349" s="282"/>
      <c r="AH1349" s="311" t="e">
        <f>INDEX('D5 - Gatekeeper - Projects'!$A$4:$AF$1010,$AM1349, 17)</f>
        <v>#N/A</v>
      </c>
      <c r="AI1349" s="8"/>
      <c r="AJ1349" s="57"/>
      <c r="AK1349" s="105"/>
      <c r="AM1349" s="6" t="e">
        <f>MATCH(D1349,'D5 - Gatekeeper - Projects'!$C$4:$C$1010,0)</f>
        <v>#N/A</v>
      </c>
      <c r="AN1349" s="6" t="b">
        <f t="shared" si="133"/>
        <v>1</v>
      </c>
      <c r="AO1349" s="6" t="str">
        <f t="shared" si="135"/>
        <v>OK</v>
      </c>
      <c r="AQ1349" s="6" t="e">
        <f>MATCH($D1349,'D4 - Provider Council Unsched'!$C$11:$C$234,0)</f>
        <v>#N/A</v>
      </c>
      <c r="AR1349" s="6" t="b">
        <f t="shared" si="134"/>
        <v>1</v>
      </c>
      <c r="AS1349" s="6" t="str">
        <f>IF(AND(H1349="2 - Not Scheduled",AR1349=TRUE),"Add","OK")</f>
        <v>OK</v>
      </c>
      <c r="AU1349" s="202"/>
      <c r="AV1349" s="262"/>
      <c r="AW1349" s="274"/>
    </row>
    <row r="1350" spans="1:49" s="13" customFormat="1" x14ac:dyDescent="0.2">
      <c r="A1350" s="14">
        <v>1326</v>
      </c>
      <c r="B1350" s="14" t="s">
        <v>6361</v>
      </c>
      <c r="C1350" s="8" t="s">
        <v>5197</v>
      </c>
      <c r="D1350" s="4" t="s">
        <v>6362</v>
      </c>
      <c r="E1350" s="309" t="s">
        <v>6363</v>
      </c>
      <c r="F1350" s="8" t="s">
        <v>2114</v>
      </c>
      <c r="G1350" s="8" t="s">
        <v>4758</v>
      </c>
      <c r="H1350" s="8" t="s">
        <v>4246</v>
      </c>
      <c r="I1350" s="20">
        <v>3.73</v>
      </c>
      <c r="J1350" s="8" t="s">
        <v>4862</v>
      </c>
      <c r="K1350" s="182">
        <v>40446</v>
      </c>
      <c r="L1350" s="8" t="s">
        <v>5743</v>
      </c>
      <c r="M1350" s="8" t="s">
        <v>2814</v>
      </c>
      <c r="N1350" s="38"/>
      <c r="O1350" s="8" t="s">
        <v>3572</v>
      </c>
      <c r="P1350" s="4" t="e">
        <f>VLOOKUP($B1350,'D7 - NDB Impacted SPRF''s'!$E$16:$O$9929,9,FALSE)</f>
        <v>#N/A</v>
      </c>
      <c r="Q1350" s="4" t="e">
        <f>VLOOKUP($B1350,'D7 - NDB Impacted SPRF''s'!$E$16:$O$9929,10,FALSE)</f>
        <v>#N/A</v>
      </c>
      <c r="R1350" s="4" t="e">
        <f>VLOOKUP($B1350,'D7 - NDB Impacted SPRF''s'!$E$16:$O$9929,11,FALSE)</f>
        <v>#N/A</v>
      </c>
      <c r="S1350" s="8"/>
      <c r="T1350" s="310"/>
      <c r="U1350" s="310"/>
      <c r="V1350" s="4"/>
      <c r="W1350" s="4"/>
      <c r="X1350" s="4"/>
      <c r="Y1350" s="4"/>
      <c r="Z1350" s="4"/>
      <c r="AA1350" s="4"/>
      <c r="AB1350" s="383" t="e">
        <f>VLOOKUP($B1350,'D7 - NDB Impacted SPRF''s'!$E$16:$O$9929,4,FALSE)</f>
        <v>#N/A</v>
      </c>
      <c r="AC1350" s="380" t="e">
        <f>VLOOKUP($B1350,'D7 - NDB Impacted SPRF''s'!$E$16:$O$9929,3,FALSE)</f>
        <v>#N/A</v>
      </c>
      <c r="AD1350" s="380" t="e">
        <f>VLOOKUP($B1350,'D7 - NDB Impacted SPRF''s'!$E$16:$O$9929,5,FALSE)</f>
        <v>#N/A</v>
      </c>
      <c r="AE1350" s="380" t="e">
        <f>VLOOKUP($B1350,'D7 - NDB Impacted SPRF''s'!$E$16:$O$9929,7,FALSE)</f>
        <v>#N/A</v>
      </c>
      <c r="AF1350" s="380" t="e">
        <f>VLOOKUP($B1350,'D7 - NDB Impacted SPRF''s'!$E$16:$O$9929,6,FALSE)</f>
        <v>#N/A</v>
      </c>
      <c r="AG1350" s="282"/>
      <c r="AH1350" s="311" t="e">
        <f>INDEX('D5 - Gatekeeper - Projects'!$A$4:$AF$1010,$AM1350, 17)</f>
        <v>#N/A</v>
      </c>
      <c r="AI1350" s="8"/>
      <c r="AJ1350" s="57"/>
      <c r="AK1350" s="105"/>
      <c r="AM1350" s="6" t="e">
        <f>MATCH(D1350,'D5 - Gatekeeper - Projects'!$C$4:$C$1010,0)</f>
        <v>#N/A</v>
      </c>
      <c r="AN1350" s="6" t="b">
        <f t="shared" si="133"/>
        <v>1</v>
      </c>
      <c r="AO1350" s="6" t="str">
        <f t="shared" si="135"/>
        <v>OK</v>
      </c>
      <c r="AQ1350" s="6" t="e">
        <f>MATCH($D1350,'D4 - Provider Council Unsched'!$C$11:$C$234,0)</f>
        <v>#N/A</v>
      </c>
      <c r="AR1350" s="6" t="b">
        <f t="shared" si="134"/>
        <v>1</v>
      </c>
      <c r="AS1350" s="6" t="str">
        <f>IF(AND(H1350="2 - Not Scheduled",AR1350=TRUE),"Add","OK")</f>
        <v>OK</v>
      </c>
      <c r="AU1350" s="202"/>
      <c r="AV1350" s="262"/>
      <c r="AW1350" s="274"/>
    </row>
    <row r="1351" spans="1:49" s="13" customFormat="1" ht="12.75" x14ac:dyDescent="0.2">
      <c r="A1351" s="14">
        <v>1327</v>
      </c>
      <c r="B1351" s="14" t="s">
        <v>6560</v>
      </c>
      <c r="C1351" s="8" t="s">
        <v>5197</v>
      </c>
      <c r="D1351" s="4" t="s">
        <v>6564</v>
      </c>
      <c r="E1351" s="341" t="s">
        <v>4062</v>
      </c>
      <c r="F1351" s="8" t="s">
        <v>2114</v>
      </c>
      <c r="G1351" s="8" t="s">
        <v>4758</v>
      </c>
      <c r="H1351" s="8" t="s">
        <v>4246</v>
      </c>
      <c r="I1351" s="20">
        <v>4</v>
      </c>
      <c r="J1351" s="8" t="s">
        <v>4862</v>
      </c>
      <c r="K1351" s="182">
        <v>40446</v>
      </c>
      <c r="L1351" s="8" t="s">
        <v>4156</v>
      </c>
      <c r="M1351" s="8" t="s">
        <v>2814</v>
      </c>
      <c r="N1351" s="38"/>
      <c r="O1351" s="8" t="s">
        <v>3572</v>
      </c>
      <c r="P1351" s="4" t="e">
        <f>VLOOKUP($B1351,'D7 - NDB Impacted SPRF''s'!$E$16:$O$9929,9,FALSE)</f>
        <v>#N/A</v>
      </c>
      <c r="Q1351" s="4" t="e">
        <f>VLOOKUP($B1351,'D7 - NDB Impacted SPRF''s'!$E$16:$O$9929,10,FALSE)</f>
        <v>#N/A</v>
      </c>
      <c r="R1351" s="4" t="e">
        <f>VLOOKUP($B1351,'D7 - NDB Impacted SPRF''s'!$E$16:$O$9929,11,FALSE)</f>
        <v>#N/A</v>
      </c>
      <c r="S1351" s="8"/>
      <c r="T1351" s="310"/>
      <c r="U1351" s="310"/>
      <c r="V1351" s="4"/>
      <c r="W1351" s="4"/>
      <c r="X1351" s="4"/>
      <c r="Y1351" s="4"/>
      <c r="Z1351" s="4"/>
      <c r="AA1351" s="4"/>
      <c r="AB1351" s="383" t="e">
        <f>VLOOKUP($B1351,'D7 - NDB Impacted SPRF''s'!$E$16:$O$9929,4,FALSE)</f>
        <v>#N/A</v>
      </c>
      <c r="AC1351" s="380" t="e">
        <f>VLOOKUP($B1351,'D7 - NDB Impacted SPRF''s'!$E$16:$O$9929,3,FALSE)</f>
        <v>#N/A</v>
      </c>
      <c r="AD1351" s="380" t="e">
        <f>VLOOKUP($B1351,'D7 - NDB Impacted SPRF''s'!$E$16:$O$9929,5,FALSE)</f>
        <v>#N/A</v>
      </c>
      <c r="AE1351" s="380" t="e">
        <f>VLOOKUP($B1351,'D7 - NDB Impacted SPRF''s'!$E$16:$O$9929,7,FALSE)</f>
        <v>#N/A</v>
      </c>
      <c r="AF1351" s="380" t="e">
        <f>VLOOKUP($B1351,'D7 - NDB Impacted SPRF''s'!$E$16:$O$9929,6,FALSE)</f>
        <v>#N/A</v>
      </c>
      <c r="AG1351" s="282"/>
      <c r="AH1351" s="311" t="e">
        <f>INDEX('D5 - Gatekeeper - Projects'!$A$4:$AF$1010,$AM1351, 17)</f>
        <v>#N/A</v>
      </c>
      <c r="AI1351" s="8"/>
      <c r="AJ1351" s="57"/>
      <c r="AK1351" s="105"/>
      <c r="AM1351" s="6" t="e">
        <f>MATCH(D1351,'D5 - Gatekeeper - Projects'!$C$4:$C$1010,0)</f>
        <v>#N/A</v>
      </c>
      <c r="AN1351" s="6" t="b">
        <f t="shared" si="133"/>
        <v>1</v>
      </c>
      <c r="AO1351" s="6" t="str">
        <f t="shared" si="135"/>
        <v>OK</v>
      </c>
      <c r="AQ1351" s="6" t="e">
        <f>MATCH($D1351,'D4 - Provider Council Unsched'!$C$11:$C$234,0)</f>
        <v>#N/A</v>
      </c>
      <c r="AR1351" s="6" t="b">
        <f t="shared" si="134"/>
        <v>1</v>
      </c>
      <c r="AS1351" s="6" t="str">
        <f>IF(AND(H1351="2 - Not Scheduled",AR1351=TRUE),"Add","OK")</f>
        <v>OK</v>
      </c>
      <c r="AU1351" s="202">
        <v>40288</v>
      </c>
      <c r="AV1351" s="262"/>
      <c r="AW1351" s="274"/>
    </row>
    <row r="1352" spans="1:49" s="13" customFormat="1" ht="12.75" x14ac:dyDescent="0.2">
      <c r="A1352" s="14">
        <v>1328</v>
      </c>
      <c r="B1352" s="14" t="s">
        <v>7836</v>
      </c>
      <c r="C1352" s="8" t="s">
        <v>5197</v>
      </c>
      <c r="D1352" s="4" t="s">
        <v>7841</v>
      </c>
      <c r="E1352" s="341" t="s">
        <v>7846</v>
      </c>
      <c r="F1352" s="8" t="s">
        <v>2114</v>
      </c>
      <c r="G1352" s="8" t="s">
        <v>4758</v>
      </c>
      <c r="H1352" s="8" t="s">
        <v>4246</v>
      </c>
      <c r="I1352" s="20">
        <v>3.6</v>
      </c>
      <c r="J1352" s="8" t="s">
        <v>4862</v>
      </c>
      <c r="K1352" s="182">
        <v>40446</v>
      </c>
      <c r="L1352" s="8" t="s">
        <v>5743</v>
      </c>
      <c r="M1352" s="8" t="s">
        <v>2814</v>
      </c>
      <c r="N1352" s="38"/>
      <c r="O1352" s="8" t="s">
        <v>3572</v>
      </c>
      <c r="P1352" s="4" t="e">
        <f>VLOOKUP($B1352,'D7 - NDB Impacted SPRF''s'!$E$16:$O$9929,9,FALSE)</f>
        <v>#N/A</v>
      </c>
      <c r="Q1352" s="4" t="e">
        <f>VLOOKUP($B1352,'D7 - NDB Impacted SPRF''s'!$E$16:$O$9929,10,FALSE)</f>
        <v>#N/A</v>
      </c>
      <c r="R1352" s="4" t="e">
        <f>VLOOKUP($B1352,'D7 - NDB Impacted SPRF''s'!$E$16:$O$9929,11,FALSE)</f>
        <v>#N/A</v>
      </c>
      <c r="S1352" s="8"/>
      <c r="T1352" s="310"/>
      <c r="U1352" s="310"/>
      <c r="V1352" s="4"/>
      <c r="W1352" s="4"/>
      <c r="X1352" s="4"/>
      <c r="Y1352" s="4"/>
      <c r="Z1352" s="4"/>
      <c r="AA1352" s="4"/>
      <c r="AB1352" s="383" t="e">
        <f>VLOOKUP($B1352,'D7 - NDB Impacted SPRF''s'!$E$16:$O$9929,4,FALSE)</f>
        <v>#N/A</v>
      </c>
      <c r="AC1352" s="380" t="e">
        <f>VLOOKUP($B1352,'D7 - NDB Impacted SPRF''s'!$E$16:$O$9929,3,FALSE)</f>
        <v>#N/A</v>
      </c>
      <c r="AD1352" s="380" t="e">
        <f>VLOOKUP($B1352,'D7 - NDB Impacted SPRF''s'!$E$16:$O$9929,5,FALSE)</f>
        <v>#N/A</v>
      </c>
      <c r="AE1352" s="380" t="e">
        <f>VLOOKUP($B1352,'D7 - NDB Impacted SPRF''s'!$E$16:$O$9929,7,FALSE)</f>
        <v>#N/A</v>
      </c>
      <c r="AF1352" s="380" t="e">
        <f>VLOOKUP($B1352,'D7 - NDB Impacted SPRF''s'!$E$16:$O$9929,6,FALSE)</f>
        <v>#N/A</v>
      </c>
      <c r="AG1352" s="282"/>
      <c r="AH1352" s="311" t="e">
        <f>INDEX('D5 - Gatekeeper - Projects'!$A$4:$AF$1010,$AM1352, 17)</f>
        <v>#N/A</v>
      </c>
      <c r="AI1352" s="8"/>
      <c r="AJ1352" s="57"/>
      <c r="AK1352" s="105"/>
      <c r="AM1352" s="6" t="e">
        <f>MATCH(D1352,'D5 - Gatekeeper - Projects'!$C$4:$C$1010,0)</f>
        <v>#N/A</v>
      </c>
      <c r="AN1352" s="6" t="b">
        <f t="shared" si="133"/>
        <v>1</v>
      </c>
      <c r="AO1352" s="6" t="str">
        <f t="shared" si="135"/>
        <v>OK</v>
      </c>
      <c r="AQ1352" s="6" t="e">
        <f>MATCH($D1352,'D4 - Provider Council Unsched'!$C$11:$C$234,0)</f>
        <v>#N/A</v>
      </c>
      <c r="AR1352" s="6" t="b">
        <f t="shared" si="134"/>
        <v>1</v>
      </c>
      <c r="AS1352" s="6" t="str">
        <f>IF(AND(H1352="2 - Not Scheduled",AR1352=TRUE),"Add","OK")</f>
        <v>OK</v>
      </c>
      <c r="AU1352" s="202"/>
      <c r="AV1352" s="262"/>
      <c r="AW1352" s="274"/>
    </row>
    <row r="1353" spans="1:49" s="13" customFormat="1" ht="33.75" x14ac:dyDescent="0.2">
      <c r="A1353" s="14">
        <v>1329</v>
      </c>
      <c r="B1353" s="14">
        <v>400030726</v>
      </c>
      <c r="C1353" s="8" t="s">
        <v>4926</v>
      </c>
      <c r="D1353" s="4" t="str">
        <f t="shared" ref="D1353:D1400" si="140">CONCATENATE(B1353,C1353)</f>
        <v>400030726R4</v>
      </c>
      <c r="E1353" s="309" t="str">
        <f>VLOOKUP($B1353,'D7 - NDB Impacted SPRF''s'!$E$6:$O$9929,2,FALSE)</f>
        <v>Integration Framework - NDB searches for CTB</v>
      </c>
      <c r="F1353" s="282" t="s">
        <v>6401</v>
      </c>
      <c r="G1353" s="8" t="s">
        <v>4758</v>
      </c>
      <c r="H1353" s="8" t="s">
        <v>4246</v>
      </c>
      <c r="I1353" s="20">
        <v>10</v>
      </c>
      <c r="J1353" s="8" t="s">
        <v>4862</v>
      </c>
      <c r="K1353" s="182">
        <v>40451</v>
      </c>
      <c r="L1353" s="8" t="s">
        <v>4156</v>
      </c>
      <c r="M1353" s="8" t="s">
        <v>2814</v>
      </c>
      <c r="N1353" s="38"/>
      <c r="O1353" s="8" t="s">
        <v>2875</v>
      </c>
      <c r="P1353" s="4" t="str">
        <f>VLOOKUP($B1353,'D7 - NDB Impacted SPRF''s'!$E$16:$O$9929,9,FALSE)</f>
        <v>N</v>
      </c>
      <c r="Q1353" s="4" t="str">
        <f>VLOOKUP($B1353,'D7 - NDB Impacted SPRF''s'!$E$16:$O$9929,10,FALSE)</f>
        <v>N</v>
      </c>
      <c r="R1353" s="4" t="str">
        <f>VLOOKUP($B1353,'D7 - NDB Impacted SPRF''s'!$E$16:$O$9929,11,FALSE)</f>
        <v>N</v>
      </c>
      <c r="S1353" s="8"/>
      <c r="T1353" s="310"/>
      <c r="U1353" s="310"/>
      <c r="V1353" s="4"/>
      <c r="W1353" s="4"/>
      <c r="X1353" s="4"/>
      <c r="Y1353" s="4"/>
      <c r="Z1353" s="4"/>
      <c r="AA1353" s="4"/>
      <c r="AB1353" s="380" t="str">
        <f>VLOOKUP($B1353,'D7 - NDB Impacted SPRF''s'!$E$6:$O$9929,4,FALSE)</f>
        <v>Completed</v>
      </c>
      <c r="AC1353" s="380" t="str">
        <f>VLOOKUP($B1353,'D7 - NDB Impacted SPRF''s'!$E$6:$O$9929,3,FALSE)</f>
        <v>UnitedHealthcare Medicare &amp; Retirement</v>
      </c>
      <c r="AD1353" s="380" t="str">
        <f>VLOOKUP($B1353,'D7 - NDB Impacted SPRF''s'!$E$6:$O$9929,5,FALSE)</f>
        <v>Enterprise Clinical</v>
      </c>
      <c r="AE1353" s="380" t="str">
        <f>VLOOKUP($B1353,'D7 - NDB Impacted SPRF''s'!$E$6:$O$9929,7,FALSE)</f>
        <v>Cynitha Middaugh</v>
      </c>
      <c r="AF1353" s="380" t="str">
        <f>VLOOKUP($B1353,'D7 - NDB Impacted SPRF''s'!$E$6:$O$9929,6,FALSE)</f>
        <v>Robert Hoerl</v>
      </c>
      <c r="AG1353" s="282"/>
      <c r="AH1353" s="311" t="e">
        <f>INDEX('D5 - Gatekeeper - Projects'!$A$4:$AF$1010,$AM1353, 17)</f>
        <v>#N/A</v>
      </c>
      <c r="AI1353" s="8"/>
      <c r="AJ1353" s="57"/>
      <c r="AK1353" s="57"/>
      <c r="AM1353" s="6" t="e">
        <f>MATCH(D1353,'D5 - Gatekeeper - Projects'!$C$4:$C$1010,0)</f>
        <v>#N/A</v>
      </c>
      <c r="AN1353" s="6" t="b">
        <f t="shared" si="133"/>
        <v>1</v>
      </c>
      <c r="AO1353" s="6" t="str">
        <f t="shared" si="135"/>
        <v>OK</v>
      </c>
      <c r="AQ1353" s="6" t="e">
        <f>MATCH($D1353,'D4 - Provider Council Unsched'!$C$11:$C$234,0)</f>
        <v>#N/A</v>
      </c>
      <c r="AR1353" s="6" t="b">
        <f t="shared" si="134"/>
        <v>1</v>
      </c>
      <c r="AS1353" s="6" t="str">
        <f t="shared" ref="AS1353:AS1364" si="141">IF(AND(H1353="2 - Not Scheduled",AR1353=TRUE,C1353="R1"),"Add","OK")</f>
        <v>OK</v>
      </c>
      <c r="AU1353" s="202">
        <v>40357</v>
      </c>
      <c r="AV1353" s="262"/>
      <c r="AW1353" s="274"/>
    </row>
    <row r="1354" spans="1:49" s="13" customFormat="1" ht="33.75" x14ac:dyDescent="0.2">
      <c r="A1354" s="14">
        <v>1330</v>
      </c>
      <c r="B1354" s="14">
        <v>400028213</v>
      </c>
      <c r="C1354" s="8" t="s">
        <v>5197</v>
      </c>
      <c r="D1354" s="4" t="str">
        <f t="shared" si="140"/>
        <v>400028213R1</v>
      </c>
      <c r="E1354" s="309" t="str">
        <f>VLOOKUP($B1354,'D7 - NDB Impacted SPRF''s'!$E$6:$O$9929,2,FALSE)</f>
        <v>AmeriChoice Data Load Funding 2009</v>
      </c>
      <c r="F1354" s="8" t="s">
        <v>8133</v>
      </c>
      <c r="G1354" s="8" t="s">
        <v>4758</v>
      </c>
      <c r="H1354" s="8" t="s">
        <v>4246</v>
      </c>
      <c r="I1354" s="20">
        <f>3150/150</f>
        <v>21</v>
      </c>
      <c r="J1354" s="8" t="s">
        <v>4862</v>
      </c>
      <c r="K1354" s="182">
        <v>40495</v>
      </c>
      <c r="L1354" s="8" t="s">
        <v>5743</v>
      </c>
      <c r="M1354" s="8" t="s">
        <v>5626</v>
      </c>
      <c r="N1354" s="38"/>
      <c r="O1354" s="8" t="s">
        <v>4599</v>
      </c>
      <c r="P1354" s="4" t="str">
        <f>VLOOKUP($B1354,'D7 - NDB Impacted SPRF''s'!$E$16:$O$9929,9,FALSE)</f>
        <v>N</v>
      </c>
      <c r="Q1354" s="4" t="str">
        <f>VLOOKUP($B1354,'D7 - NDB Impacted SPRF''s'!$E$16:$O$9929,10,FALSE)</f>
        <v>N</v>
      </c>
      <c r="R1354" s="4" t="str">
        <f>VLOOKUP($B1354,'D7 - NDB Impacted SPRF''s'!$E$16:$O$9929,11,FALSE)</f>
        <v>N</v>
      </c>
      <c r="S1354" s="8"/>
      <c r="T1354" s="310"/>
      <c r="U1354" s="310"/>
      <c r="V1354" s="4"/>
      <c r="W1354" s="4"/>
      <c r="X1354" s="4"/>
      <c r="Y1354" s="4"/>
      <c r="Z1354" s="4"/>
      <c r="AA1354" s="4"/>
      <c r="AB1354" s="380" t="str">
        <f>VLOOKUP($B1354,'D7 - NDB Impacted SPRF''s'!$E$16:$O$9929,4,FALSE)</f>
        <v>Completed</v>
      </c>
      <c r="AC1354" s="380" t="str">
        <f>VLOOKUP($B1354,'D7 - NDB Impacted SPRF''s'!$E$16:$O$9929,3,FALSE)</f>
        <v>UnitedHealthcare Community &amp; State</v>
      </c>
      <c r="AD1354" s="380" t="str">
        <f>VLOOKUP($B1354,'D7 - NDB Impacted SPRF''s'!$E$16:$O$9929,5,FALSE)</f>
        <v>AmeriChoice</v>
      </c>
      <c r="AE1354" s="380" t="str">
        <f>VLOOKUP($B1354,'D7 - NDB Impacted SPRF''s'!$E$16:$O$9929,7,FALSE)</f>
        <v>Paul Balthazor</v>
      </c>
      <c r="AF1354" s="380" t="str">
        <f>VLOOKUP($B1354,'D7 - NDB Impacted SPRF''s'!$E$16:$O$9929,6,FALSE)</f>
        <v>GREGORY MILLS</v>
      </c>
      <c r="AG1354" s="282"/>
      <c r="AH1354" s="311" t="e">
        <f>INDEX('D5 - Gatekeeper - Projects'!$A$4:$AF$1010,$AM1354, 17)</f>
        <v>#N/A</v>
      </c>
      <c r="AI1354" s="8"/>
      <c r="AJ1354" s="57"/>
      <c r="AK1354" s="105"/>
      <c r="AM1354" s="6" t="e">
        <f>MATCH(D1354,'D5 - Gatekeeper - Projects'!$C$4:$C$1010,0)</f>
        <v>#N/A</v>
      </c>
      <c r="AN1354" s="6" t="b">
        <f t="shared" si="133"/>
        <v>1</v>
      </c>
      <c r="AO1354" s="6" t="str">
        <f t="shared" si="135"/>
        <v>OK</v>
      </c>
      <c r="AQ1354" s="6" t="e">
        <f>MATCH($D1354,'D4 - Provider Council Unsched'!$C$11:$C$234,0)</f>
        <v>#N/A</v>
      </c>
      <c r="AR1354" s="6" t="b">
        <f t="shared" si="134"/>
        <v>1</v>
      </c>
      <c r="AS1354" s="6" t="str">
        <f t="shared" si="141"/>
        <v>OK</v>
      </c>
      <c r="AU1354" s="202"/>
      <c r="AV1354" s="262"/>
      <c r="AW1354" s="274"/>
    </row>
    <row r="1355" spans="1:49" s="13" customFormat="1" ht="56.25" x14ac:dyDescent="0.2">
      <c r="A1355" s="14">
        <v>1331</v>
      </c>
      <c r="B1355" s="14">
        <v>400028345</v>
      </c>
      <c r="C1355" s="8" t="s">
        <v>5197</v>
      </c>
      <c r="D1355" s="4" t="str">
        <f t="shared" si="140"/>
        <v>400028345R1</v>
      </c>
      <c r="E1355" s="309" t="str">
        <f>VLOOKUP($B1355,'D7 - NDB Impacted SPRF''s'!$E$6:$O$9929,2,FALSE)</f>
        <v>CAT to build NICE in Alpha, Bravo, &amp; Master region</v>
      </c>
      <c r="F1355" s="8" t="s">
        <v>8133</v>
      </c>
      <c r="G1355" s="8" t="s">
        <v>4758</v>
      </c>
      <c r="H1355" s="8" t="s">
        <v>4246</v>
      </c>
      <c r="I1355" s="20">
        <v>3.57</v>
      </c>
      <c r="J1355" s="8" t="s">
        <v>7113</v>
      </c>
      <c r="K1355" s="182">
        <v>40495</v>
      </c>
      <c r="L1355" s="8" t="s">
        <v>4156</v>
      </c>
      <c r="M1355" s="8" t="s">
        <v>4450</v>
      </c>
      <c r="N1355" s="38" t="s">
        <v>6133</v>
      </c>
      <c r="O1355" s="8" t="s">
        <v>7086</v>
      </c>
      <c r="P1355" s="4" t="str">
        <f>VLOOKUP($B1355,'D7 - NDB Impacted SPRF''s'!$E$16:$O$9929,9,FALSE)</f>
        <v>N</v>
      </c>
      <c r="Q1355" s="4" t="str">
        <f>VLOOKUP($B1355,'D7 - NDB Impacted SPRF''s'!$E$16:$O$9929,10,FALSE)</f>
        <v>N</v>
      </c>
      <c r="R1355" s="4" t="str">
        <f>VLOOKUP($B1355,'D7 - NDB Impacted SPRF''s'!$E$16:$O$9929,11,FALSE)</f>
        <v>N</v>
      </c>
      <c r="S1355" s="8"/>
      <c r="T1355" s="310"/>
      <c r="U1355" s="310"/>
      <c r="V1355" s="4"/>
      <c r="W1355" s="4"/>
      <c r="X1355" s="4"/>
      <c r="Y1355" s="4"/>
      <c r="Z1355" s="4"/>
      <c r="AA1355" s="4"/>
      <c r="AB1355" s="380" t="str">
        <f>VLOOKUP($B1355,'D7 - NDB Impacted SPRF''s'!$E$16:$O$9929,4,FALSE)</f>
        <v>Completed</v>
      </c>
      <c r="AC1355" s="380" t="str">
        <f>VLOOKUP($B1355,'D7 - NDB Impacted SPRF''s'!$E$16:$O$9929,3,FALSE)</f>
        <v>UHG IT - Enterprise Technology Services</v>
      </c>
      <c r="AD1355" s="380" t="str">
        <f>VLOOKUP($B1355,'D7 - NDB Impacted SPRF''s'!$E$16:$O$9929,5,FALSE)</f>
        <v>ASG</v>
      </c>
      <c r="AE1355" s="380" t="str">
        <f>VLOOKUP($B1355,'D7 - NDB Impacted SPRF''s'!$E$16:$O$9929,7,FALSE)</f>
        <v>Bob Preston</v>
      </c>
      <c r="AF1355" s="380" t="str">
        <f>VLOOKUP($B1355,'D7 - NDB Impacted SPRF''s'!$E$16:$O$9929,6,FALSE)</f>
        <v>EDWARD SIWICKI</v>
      </c>
      <c r="AG1355" s="282"/>
      <c r="AH1355" s="311" t="e">
        <f>INDEX('D5 - Gatekeeper - Projects'!$A$4:$AF$1010,$AM1355, 17)</f>
        <v>#N/A</v>
      </c>
      <c r="AI1355" s="8"/>
      <c r="AJ1355" s="57"/>
      <c r="AK1355" s="105"/>
      <c r="AM1355" s="6" t="e">
        <f>MATCH(D1355,'D5 - Gatekeeper - Projects'!$C$4:$C$1010,0)</f>
        <v>#N/A</v>
      </c>
      <c r="AN1355" s="6" t="b">
        <f t="shared" si="133"/>
        <v>1</v>
      </c>
      <c r="AO1355" s="6" t="str">
        <f t="shared" si="135"/>
        <v>OK</v>
      </c>
      <c r="AQ1355" s="6" t="e">
        <f>MATCH($D1355,'D4 - Provider Council Unsched'!$C$11:$C$234,0)</f>
        <v>#N/A</v>
      </c>
      <c r="AR1355" s="6" t="b">
        <f t="shared" si="134"/>
        <v>1</v>
      </c>
      <c r="AS1355" s="6" t="str">
        <f t="shared" si="141"/>
        <v>OK</v>
      </c>
      <c r="AU1355" s="202"/>
      <c r="AV1355" s="262"/>
      <c r="AW1355" s="274"/>
    </row>
    <row r="1356" spans="1:49" s="13" customFormat="1" ht="33.75" x14ac:dyDescent="0.2">
      <c r="A1356" s="14">
        <v>1332</v>
      </c>
      <c r="B1356" s="8">
        <v>400029455</v>
      </c>
      <c r="C1356" s="8" t="s">
        <v>1447</v>
      </c>
      <c r="D1356" s="4" t="str">
        <f t="shared" si="140"/>
        <v>400029455A</v>
      </c>
      <c r="E1356" s="309" t="str">
        <f>VLOOKUP($B1356,'D7 - NDB Impacted SPRF''s'!$E$6:$O$9929,2,FALSE)</f>
        <v>MississippiCAN Medicaid program - on RV Facets</v>
      </c>
      <c r="F1356" s="8"/>
      <c r="G1356" s="8" t="s">
        <v>4758</v>
      </c>
      <c r="H1356" s="8" t="s">
        <v>4246</v>
      </c>
      <c r="I1356" s="20">
        <v>1.6</v>
      </c>
      <c r="J1356" s="8" t="s">
        <v>4862</v>
      </c>
      <c r="K1356" s="182">
        <v>40495</v>
      </c>
      <c r="L1356" s="8" t="s">
        <v>4156</v>
      </c>
      <c r="M1356" s="8" t="s">
        <v>5626</v>
      </c>
      <c r="N1356" s="38" t="s">
        <v>6043</v>
      </c>
      <c r="O1356" s="8"/>
      <c r="P1356" s="4" t="str">
        <f>VLOOKUP($B1356,'D7 - NDB Impacted SPRF''s'!$E$16:$O$9929,9,FALSE)</f>
        <v>N</v>
      </c>
      <c r="Q1356" s="4" t="str">
        <f>VLOOKUP($B1356,'D7 - NDB Impacted SPRF''s'!$E$16:$O$9929,10,FALSE)</f>
        <v>N</v>
      </c>
      <c r="R1356" s="4" t="str">
        <f>VLOOKUP($B1356,'D7 - NDB Impacted SPRF''s'!$E$16:$O$9929,11,FALSE)</f>
        <v>N</v>
      </c>
      <c r="S1356" s="8"/>
      <c r="T1356" s="310"/>
      <c r="U1356" s="310"/>
      <c r="V1356" s="4"/>
      <c r="W1356" s="4"/>
      <c r="X1356" s="4"/>
      <c r="Y1356" s="4"/>
      <c r="Z1356" s="4"/>
      <c r="AA1356" s="4"/>
      <c r="AB1356" s="380" t="str">
        <f>VLOOKUP($B1356,'D7 - NDB Impacted SPRF''s'!$E$6:$O$9929,4,FALSE)</f>
        <v>Completed</v>
      </c>
      <c r="AC1356" s="380" t="str">
        <f>VLOOKUP($B1356,'D7 - NDB Impacted SPRF''s'!$E$6:$O$9929,3,FALSE)</f>
        <v>UnitedHealthcare Community &amp; State</v>
      </c>
      <c r="AD1356" s="380" t="str">
        <f>VLOOKUP($B1356,'D7 - NDB Impacted SPRF''s'!$E$6:$O$9929,5,FALSE)</f>
        <v>Membership Growth / Revenue Programs</v>
      </c>
      <c r="AE1356" s="380" t="str">
        <f>VLOOKUP($B1356,'D7 - NDB Impacted SPRF''s'!$E$6:$O$9929,7,FALSE)</f>
        <v>Dave Decker</v>
      </c>
      <c r="AF1356" s="380" t="str">
        <f>VLOOKUP($B1356,'D7 - NDB Impacted SPRF''s'!$E$6:$O$9929,6,FALSE)</f>
        <v>Ronald Wilson</v>
      </c>
      <c r="AG1356" s="282"/>
      <c r="AH1356" s="311" t="e">
        <f>INDEX('D5 - Gatekeeper - Projects'!$A$4:$AF$1010,$AM1356, 17)</f>
        <v>#N/A</v>
      </c>
      <c r="AI1356" s="8"/>
      <c r="AJ1356" s="57"/>
      <c r="AK1356" s="105"/>
      <c r="AM1356" s="6" t="e">
        <f>MATCH(D1356,'D5 - Gatekeeper - Projects'!$C$4:$C$1010,0)</f>
        <v>#N/A</v>
      </c>
      <c r="AN1356" s="6" t="b">
        <f t="shared" si="133"/>
        <v>1</v>
      </c>
      <c r="AO1356" s="6" t="str">
        <f t="shared" si="135"/>
        <v>OK</v>
      </c>
      <c r="AQ1356" s="6" t="e">
        <f>MATCH($D1356,'D4 - Provider Council Unsched'!$C$11:$C$234,0)</f>
        <v>#N/A</v>
      </c>
      <c r="AR1356" s="6" t="b">
        <f t="shared" si="134"/>
        <v>1</v>
      </c>
      <c r="AS1356" s="6" t="str">
        <f t="shared" si="141"/>
        <v>OK</v>
      </c>
      <c r="AU1356" s="202">
        <v>40494</v>
      </c>
      <c r="AV1356" s="262"/>
      <c r="AW1356" s="274"/>
    </row>
    <row r="1357" spans="1:49" s="13" customFormat="1" ht="33.75" x14ac:dyDescent="0.2">
      <c r="A1357" s="14">
        <v>1333</v>
      </c>
      <c r="B1357" s="14">
        <v>400030396</v>
      </c>
      <c r="C1357" s="8" t="s">
        <v>4926</v>
      </c>
      <c r="D1357" s="4" t="str">
        <f t="shared" si="140"/>
        <v>400030396R4</v>
      </c>
      <c r="E1357" s="309" t="str">
        <f>VLOOKUP($B1357,'D7 - NDB Impacted SPRF''s'!$E$6:$O$9929,2,FALSE)</f>
        <v>MAHP Funding Table Redesign</v>
      </c>
      <c r="F1357" s="8" t="s">
        <v>5196</v>
      </c>
      <c r="G1357" s="8" t="s">
        <v>4758</v>
      </c>
      <c r="H1357" s="8" t="s">
        <v>4246</v>
      </c>
      <c r="I1357" s="20">
        <v>1</v>
      </c>
      <c r="J1357" s="8" t="s">
        <v>4862</v>
      </c>
      <c r="K1357" s="182">
        <v>40495</v>
      </c>
      <c r="L1357" s="8" t="s">
        <v>4156</v>
      </c>
      <c r="M1357" s="8" t="s">
        <v>2814</v>
      </c>
      <c r="N1357" s="38"/>
      <c r="O1357" s="8" t="s">
        <v>1074</v>
      </c>
      <c r="P1357" s="4" t="str">
        <f>VLOOKUP($B1357,'D7 - NDB Impacted SPRF''s'!$E$16:$O$9929,9,FALSE)</f>
        <v>Y</v>
      </c>
      <c r="Q1357" s="4" t="str">
        <f>VLOOKUP($B1357,'D7 - NDB Impacted SPRF''s'!$E$16:$O$9929,10,FALSE)</f>
        <v>N</v>
      </c>
      <c r="R1357" s="4" t="str">
        <f>VLOOKUP($B1357,'D7 - NDB Impacted SPRF''s'!$E$16:$O$9929,11,FALSE)</f>
        <v>N</v>
      </c>
      <c r="S1357" s="8"/>
      <c r="T1357" s="310"/>
      <c r="U1357" s="310"/>
      <c r="V1357" s="4"/>
      <c r="W1357" s="4"/>
      <c r="X1357" s="4"/>
      <c r="Y1357" s="4"/>
      <c r="Z1357" s="4"/>
      <c r="AA1357" s="4"/>
      <c r="AB1357" s="380" t="str">
        <f>VLOOKUP($B1357,'D7 - NDB Impacted SPRF''s'!$E$6:$O$9929,4,FALSE)</f>
        <v>Completed</v>
      </c>
      <c r="AC1357" s="380" t="str">
        <f>VLOOKUP($B1357,'D7 - NDB Impacted SPRF''s'!$E$6:$O$9929,3,FALSE)</f>
        <v>UnitedHealthcare Employer &amp; Individual</v>
      </c>
      <c r="AD1357" s="380" t="str">
        <f>VLOOKUP($B1357,'D7 - NDB Impacted SPRF''s'!$E$6:$O$9929,5,FALSE)</f>
        <v>Process Improvement</v>
      </c>
      <c r="AE1357" s="380" t="str">
        <f>VLOOKUP($B1357,'D7 - NDB Impacted SPRF''s'!$E$6:$O$9929,7,FALSE)</f>
        <v>Jill Foucre</v>
      </c>
      <c r="AF1357" s="380" t="str">
        <f>VLOOKUP($B1357,'D7 - NDB Impacted SPRF''s'!$E$6:$O$9929,6,FALSE)</f>
        <v>Brent Graham</v>
      </c>
      <c r="AG1357" s="282"/>
      <c r="AH1357" s="311" t="e">
        <f>INDEX('D5 - Gatekeeper - Projects'!$A$4:$AF$1010,$AM1357, 17)</f>
        <v>#N/A</v>
      </c>
      <c r="AI1357" s="8"/>
      <c r="AJ1357" s="57"/>
      <c r="AK1357" s="105"/>
      <c r="AM1357" s="6" t="e">
        <f>MATCH(D1357,'D5 - Gatekeeper - Projects'!$C$4:$C$1010,0)</f>
        <v>#N/A</v>
      </c>
      <c r="AN1357" s="6" t="b">
        <f t="shared" si="133"/>
        <v>1</v>
      </c>
      <c r="AO1357" s="6" t="str">
        <f t="shared" si="135"/>
        <v>OK</v>
      </c>
      <c r="AQ1357" s="6" t="e">
        <f>MATCH($D1357,'D4 - Provider Council Unsched'!$C$11:$C$234,0)</f>
        <v>#N/A</v>
      </c>
      <c r="AR1357" s="6" t="b">
        <f t="shared" si="134"/>
        <v>1</v>
      </c>
      <c r="AS1357" s="6" t="str">
        <f t="shared" si="141"/>
        <v>OK</v>
      </c>
      <c r="AU1357" s="202"/>
      <c r="AV1357" s="262"/>
      <c r="AW1357" s="274"/>
    </row>
    <row r="1358" spans="1:49" s="13" customFormat="1" ht="33.75" x14ac:dyDescent="0.2">
      <c r="A1358" s="14">
        <v>1334</v>
      </c>
      <c r="B1358" s="14">
        <v>400031409</v>
      </c>
      <c r="C1358" s="8" t="s">
        <v>3763</v>
      </c>
      <c r="D1358" s="4" t="str">
        <f t="shared" si="140"/>
        <v>400031409R2</v>
      </c>
      <c r="E1358" s="309" t="str">
        <f>VLOOKUP($B1358,'D7 - NDB Impacted SPRF''s'!$E$6:$O$9929,2,FALSE)</f>
        <v>Cardiac Imaging and EP Implant Notification</v>
      </c>
      <c r="F1358" s="8" t="s">
        <v>2114</v>
      </c>
      <c r="G1358" s="8" t="s">
        <v>4758</v>
      </c>
      <c r="H1358" s="8" t="s">
        <v>4246</v>
      </c>
      <c r="I1358" s="20">
        <v>2.48</v>
      </c>
      <c r="J1358" s="8" t="s">
        <v>4862</v>
      </c>
      <c r="K1358" s="182">
        <v>40495</v>
      </c>
      <c r="L1358" s="8" t="s">
        <v>4156</v>
      </c>
      <c r="M1358" s="8" t="s">
        <v>2814</v>
      </c>
      <c r="N1358" s="38" t="s">
        <v>3918</v>
      </c>
      <c r="O1358" s="8" t="s">
        <v>7299</v>
      </c>
      <c r="P1358" s="4" t="str">
        <f>VLOOKUP($B1358,'D7 - NDB Impacted SPRF''s'!$E$16:$O$9929,9,FALSE)</f>
        <v>Y</v>
      </c>
      <c r="Q1358" s="4" t="str">
        <f>VLOOKUP($B1358,'D7 - NDB Impacted SPRF''s'!$E$16:$O$9929,10,FALSE)</f>
        <v>N</v>
      </c>
      <c r="R1358" s="4" t="str">
        <f>VLOOKUP($B1358,'D7 - NDB Impacted SPRF''s'!$E$16:$O$9929,11,FALSE)</f>
        <v>N</v>
      </c>
      <c r="S1358" s="8"/>
      <c r="T1358" s="310"/>
      <c r="U1358" s="310"/>
      <c r="V1358" s="4"/>
      <c r="W1358" s="4"/>
      <c r="X1358" s="4"/>
      <c r="Y1358" s="4"/>
      <c r="Z1358" s="4"/>
      <c r="AA1358" s="4"/>
      <c r="AB1358" s="380" t="s">
        <v>4917</v>
      </c>
      <c r="AC1358" s="380" t="str">
        <f>VLOOKUP($B1358,'D7 - NDB Impacted SPRF''s'!$E$6:$O$9929,3,FALSE)</f>
        <v>UnitedHealthcare Employer &amp; Individual</v>
      </c>
      <c r="AD1358" s="380" t="str">
        <f>VLOOKUP($B1358,'D7 - NDB Impacted SPRF''s'!$E$6:$O$9929,5,FALSE)</f>
        <v>Medical Cost Savings Programs</v>
      </c>
      <c r="AE1358" s="380" t="str">
        <f>VLOOKUP($B1358,'D7 - NDB Impacted SPRF''s'!$E$6:$O$9929,7,FALSE)</f>
        <v>Chad Peel</v>
      </c>
      <c r="AF1358" s="380" t="str">
        <f>VLOOKUP($B1358,'D7 - NDB Impacted SPRF''s'!$E$6:$O$9929,6,FALSE)</f>
        <v>Dee Wyatt</v>
      </c>
      <c r="AG1358" s="282"/>
      <c r="AH1358" s="311" t="e">
        <f>INDEX('D5 - Gatekeeper - Projects'!$A$4:$AF$1010,$AM1358, 17)</f>
        <v>#N/A</v>
      </c>
      <c r="AI1358" s="8"/>
      <c r="AJ1358" s="57"/>
      <c r="AK1358" s="57"/>
      <c r="AM1358" s="6" t="e">
        <f>MATCH(D1358,'D5 - Gatekeeper - Projects'!$C$4:$C$1010,0)</f>
        <v>#N/A</v>
      </c>
      <c r="AN1358" s="6" t="b">
        <f t="shared" si="133"/>
        <v>1</v>
      </c>
      <c r="AO1358" s="6" t="str">
        <f t="shared" si="135"/>
        <v>OK</v>
      </c>
      <c r="AQ1358" s="6" t="e">
        <f>MATCH($D1358,'D4 - Provider Council Unsched'!$C$11:$C$234,0)</f>
        <v>#N/A</v>
      </c>
      <c r="AR1358" s="6" t="b">
        <f t="shared" si="134"/>
        <v>1</v>
      </c>
      <c r="AS1358" s="6" t="str">
        <f t="shared" si="141"/>
        <v>OK</v>
      </c>
      <c r="AU1358" s="202"/>
      <c r="AV1358" s="262"/>
      <c r="AW1358" s="274"/>
    </row>
    <row r="1359" spans="1:49" s="13" customFormat="1" ht="33.75" x14ac:dyDescent="0.2">
      <c r="A1359" s="14">
        <v>1335</v>
      </c>
      <c r="B1359" s="14">
        <v>400031482</v>
      </c>
      <c r="C1359" s="8" t="s">
        <v>5197</v>
      </c>
      <c r="D1359" s="4" t="str">
        <f t="shared" si="140"/>
        <v>400031482R1</v>
      </c>
      <c r="E1359" s="309" t="str">
        <f>VLOOKUP($B1359,'D7 - NDB Impacted SPRF''s'!$E$6:$O$9929,2,FALSE)</f>
        <v>iCES Clearinghouse November 2010 Maint.Release</v>
      </c>
      <c r="F1359" s="8" t="s">
        <v>2114</v>
      </c>
      <c r="G1359" s="8" t="s">
        <v>4758</v>
      </c>
      <c r="H1359" s="8" t="s">
        <v>4246</v>
      </c>
      <c r="I1359" s="20">
        <v>0.53</v>
      </c>
      <c r="J1359" s="8" t="s">
        <v>4862</v>
      </c>
      <c r="K1359" s="182">
        <v>40495</v>
      </c>
      <c r="L1359" s="8" t="s">
        <v>4156</v>
      </c>
      <c r="M1359" s="8" t="s">
        <v>5626</v>
      </c>
      <c r="N1359" s="38"/>
      <c r="O1359" s="8"/>
      <c r="P1359" s="4" t="str">
        <f>VLOOKUP($B1359,'D7 - NDB Impacted SPRF''s'!$E$16:$O$9929,9,FALSE)</f>
        <v>Y</v>
      </c>
      <c r="Q1359" s="4" t="str">
        <f>VLOOKUP($B1359,'D7 - NDB Impacted SPRF''s'!$E$16:$O$9929,10,FALSE)</f>
        <v>N</v>
      </c>
      <c r="R1359" s="4" t="str">
        <f>VLOOKUP($B1359,'D7 - NDB Impacted SPRF''s'!$E$16:$O$9929,11,FALSE)</f>
        <v>N</v>
      </c>
      <c r="S1359" s="8"/>
      <c r="T1359" s="310"/>
      <c r="U1359" s="310"/>
      <c r="V1359" s="4"/>
      <c r="W1359" s="4"/>
      <c r="X1359" s="4"/>
      <c r="Y1359" s="4"/>
      <c r="Z1359" s="4"/>
      <c r="AA1359" s="4"/>
      <c r="AB1359" s="380" t="str">
        <f>VLOOKUP($B1359,'D7 - NDB Impacted SPRF''s'!$E$6:$O$9929,4,FALSE)</f>
        <v>Completed</v>
      </c>
      <c r="AC1359" s="380" t="str">
        <f>VLOOKUP($B1359,'D7 - NDB Impacted SPRF''s'!$E$6:$O$9929,3,FALSE)</f>
        <v>UnitedHealthcare Employer &amp; Individual</v>
      </c>
      <c r="AD1359" s="380" t="str">
        <f>VLOOKUP($B1359,'D7 - NDB Impacted SPRF''s'!$E$6:$O$9929,5,FALSE)</f>
        <v>Operational Requirements</v>
      </c>
      <c r="AE1359" s="380" t="str">
        <f>VLOOKUP($B1359,'D7 - NDB Impacted SPRF''s'!$E$6:$O$9929,7,FALSE)</f>
        <v>Elena McFann</v>
      </c>
      <c r="AF1359" s="380" t="str">
        <f>VLOOKUP($B1359,'D7 - NDB Impacted SPRF''s'!$E$6:$O$9929,6,FALSE)</f>
        <v>DAWN BOLLER</v>
      </c>
      <c r="AG1359" s="282"/>
      <c r="AH1359" s="311" t="e">
        <f>INDEX('D5 - Gatekeeper - Projects'!$A$4:$AF$1010,$AM1359, 17)</f>
        <v>#N/A</v>
      </c>
      <c r="AI1359" s="8"/>
      <c r="AJ1359" s="57"/>
      <c r="AK1359" s="57"/>
      <c r="AM1359" s="6" t="e">
        <f>MATCH(D1359,'D5 - Gatekeeper - Projects'!$C$4:$C$1010,0)</f>
        <v>#N/A</v>
      </c>
      <c r="AN1359" s="6" t="b">
        <f t="shared" si="133"/>
        <v>1</v>
      </c>
      <c r="AO1359" s="6" t="str">
        <f t="shared" si="135"/>
        <v>OK</v>
      </c>
      <c r="AQ1359" s="6" t="e">
        <f>MATCH($D1359,'D4 - Provider Council Unsched'!$C$11:$C$234,0)</f>
        <v>#N/A</v>
      </c>
      <c r="AR1359" s="6" t="b">
        <f t="shared" si="134"/>
        <v>1</v>
      </c>
      <c r="AS1359" s="6" t="str">
        <f t="shared" si="141"/>
        <v>OK</v>
      </c>
      <c r="AU1359" s="202"/>
      <c r="AV1359" s="262"/>
      <c r="AW1359" s="274"/>
    </row>
    <row r="1360" spans="1:49" s="13" customFormat="1" ht="45" x14ac:dyDescent="0.2">
      <c r="A1360" s="14">
        <v>1336</v>
      </c>
      <c r="B1360" s="14">
        <v>400031493</v>
      </c>
      <c r="C1360" s="8" t="s">
        <v>5197</v>
      </c>
      <c r="D1360" s="4" t="str">
        <f t="shared" si="140"/>
        <v>400031493R1</v>
      </c>
      <c r="E1360" s="309" t="str">
        <f>VLOOKUP($B1360,'D7 - NDB Impacted SPRF''s'!$E$6:$O$9929,2,FALSE)</f>
        <v>PDR -Claims systems to DRG CH / Transfer Pricing</v>
      </c>
      <c r="F1360" s="8" t="s">
        <v>5595</v>
      </c>
      <c r="G1360" s="8" t="s">
        <v>4758</v>
      </c>
      <c r="H1360" s="8" t="s">
        <v>4246</v>
      </c>
      <c r="I1360" s="20">
        <v>22.5</v>
      </c>
      <c r="J1360" s="8" t="s">
        <v>4862</v>
      </c>
      <c r="K1360" s="182">
        <v>40495</v>
      </c>
      <c r="L1360" s="8" t="s">
        <v>4156</v>
      </c>
      <c r="M1360" s="8" t="s">
        <v>2814</v>
      </c>
      <c r="N1360" s="38" t="s">
        <v>5551</v>
      </c>
      <c r="O1360" s="8"/>
      <c r="P1360" s="4" t="str">
        <f>VLOOKUP($B1360,'D7 - NDB Impacted SPRF''s'!$E$16:$O$9929,9,FALSE)</f>
        <v>Y</v>
      </c>
      <c r="Q1360" s="4" t="str">
        <f>VLOOKUP($B1360,'D7 - NDB Impacted SPRF''s'!$E$16:$O$9929,10,FALSE)</f>
        <v>N</v>
      </c>
      <c r="R1360" s="4" t="str">
        <f>VLOOKUP($B1360,'D7 - NDB Impacted SPRF''s'!$E$16:$O$9929,11,FALSE)</f>
        <v>Y</v>
      </c>
      <c r="S1360" s="8"/>
      <c r="T1360" s="310"/>
      <c r="U1360" s="310"/>
      <c r="V1360" s="4"/>
      <c r="W1360" s="4"/>
      <c r="X1360" s="4"/>
      <c r="Y1360" s="4"/>
      <c r="Z1360" s="4"/>
      <c r="AA1360" s="4"/>
      <c r="AB1360" s="380" t="str">
        <f>VLOOKUP($B1360,'D7 - NDB Impacted SPRF''s'!$E$6:$O$9929,4,FALSE)</f>
        <v>Completed</v>
      </c>
      <c r="AC1360" s="380" t="str">
        <f>VLOOKUP($B1360,'D7 - NDB Impacted SPRF''s'!$E$6:$O$9929,3,FALSE)</f>
        <v>UHG IT - Enterprise Technology Services</v>
      </c>
      <c r="AD1360" s="380" t="str">
        <f>VLOOKUP($B1360,'D7 - NDB Impacted SPRF''s'!$E$6:$O$9929,5,FALSE)</f>
        <v>Strategic Initiatives</v>
      </c>
      <c r="AE1360" s="380" t="str">
        <f>VLOOKUP($B1360,'D7 - NDB Impacted SPRF''s'!$E$6:$O$9929,7,FALSE)</f>
        <v>Jill Foucre</v>
      </c>
      <c r="AF1360" s="380" t="str">
        <f>VLOOKUP($B1360,'D7 - NDB Impacted SPRF''s'!$E$6:$O$9929,6,FALSE)</f>
        <v>SUSAN HINES</v>
      </c>
      <c r="AG1360" s="282"/>
      <c r="AH1360" s="311" t="e">
        <f>INDEX('D5 - Gatekeeper - Projects'!$A$4:$AF$1010,$AM1360, 17)</f>
        <v>#N/A</v>
      </c>
      <c r="AI1360" s="8"/>
      <c r="AJ1360" s="57"/>
      <c r="AK1360" s="57"/>
      <c r="AM1360" s="6" t="e">
        <f>MATCH(D1360,'D5 - Gatekeeper - Projects'!$C$4:$C$1010,0)</f>
        <v>#N/A</v>
      </c>
      <c r="AN1360" s="6" t="b">
        <f t="shared" si="133"/>
        <v>1</v>
      </c>
      <c r="AO1360" s="6" t="str">
        <f t="shared" si="135"/>
        <v>OK</v>
      </c>
      <c r="AQ1360" s="6" t="e">
        <f>MATCH($D1360,'D4 - Provider Council Unsched'!$C$11:$C$234,0)</f>
        <v>#N/A</v>
      </c>
      <c r="AR1360" s="6" t="b">
        <f t="shared" si="134"/>
        <v>1</v>
      </c>
      <c r="AS1360" s="6" t="str">
        <f t="shared" si="141"/>
        <v>OK</v>
      </c>
      <c r="AU1360" s="202"/>
      <c r="AV1360" s="262"/>
      <c r="AW1360" s="274"/>
    </row>
    <row r="1361" spans="1:49" s="13" customFormat="1" ht="45" x14ac:dyDescent="0.2">
      <c r="A1361" s="14">
        <v>1337</v>
      </c>
      <c r="B1361" s="14">
        <v>400031493</v>
      </c>
      <c r="C1361" s="8" t="s">
        <v>1992</v>
      </c>
      <c r="D1361" s="4" t="str">
        <f t="shared" si="140"/>
        <v>400031493U1</v>
      </c>
      <c r="E1361" s="309" t="str">
        <f>VLOOKUP($B1361,'D7 - NDB Impacted SPRF''s'!$E$6:$O$9929,2,FALSE)</f>
        <v>PDR -Claims systems to DRG CH / Transfer Pricing</v>
      </c>
      <c r="F1361" s="8" t="s">
        <v>5595</v>
      </c>
      <c r="G1361" s="8" t="s">
        <v>4758</v>
      </c>
      <c r="H1361" s="8" t="s">
        <v>4246</v>
      </c>
      <c r="I1361" s="20">
        <v>1.45</v>
      </c>
      <c r="J1361" s="8" t="s">
        <v>4862</v>
      </c>
      <c r="K1361" s="182">
        <v>40495</v>
      </c>
      <c r="L1361" s="8" t="s">
        <v>4156</v>
      </c>
      <c r="M1361" s="8" t="s">
        <v>2814</v>
      </c>
      <c r="N1361" s="38"/>
      <c r="O1361" s="8"/>
      <c r="P1361" s="4" t="str">
        <f>VLOOKUP($B1361,'D7 - NDB Impacted SPRF''s'!$E$16:$O$9929,9,FALSE)</f>
        <v>Y</v>
      </c>
      <c r="Q1361" s="4" t="str">
        <f>VLOOKUP($B1361,'D7 - NDB Impacted SPRF''s'!$E$16:$O$9929,10,FALSE)</f>
        <v>N</v>
      </c>
      <c r="R1361" s="4" t="str">
        <f>VLOOKUP($B1361,'D7 - NDB Impacted SPRF''s'!$E$16:$O$9929,11,FALSE)</f>
        <v>Y</v>
      </c>
      <c r="S1361" s="8"/>
      <c r="T1361" s="310"/>
      <c r="U1361" s="310"/>
      <c r="V1361" s="4"/>
      <c r="W1361" s="4"/>
      <c r="X1361" s="4"/>
      <c r="Y1361" s="4"/>
      <c r="Z1361" s="4"/>
      <c r="AA1361" s="4"/>
      <c r="AB1361" s="380" t="str">
        <f>VLOOKUP($B1361,'D7 - NDB Impacted SPRF''s'!$E$6:$O$9929,4,FALSE)</f>
        <v>Completed</v>
      </c>
      <c r="AC1361" s="380" t="str">
        <f>VLOOKUP($B1361,'D7 - NDB Impacted SPRF''s'!$E$6:$O$9929,3,FALSE)</f>
        <v>UHG IT - Enterprise Technology Services</v>
      </c>
      <c r="AD1361" s="380" t="str">
        <f>VLOOKUP($B1361,'D7 - NDB Impacted SPRF''s'!$E$6:$O$9929,5,FALSE)</f>
        <v>Strategic Initiatives</v>
      </c>
      <c r="AE1361" s="380" t="str">
        <f>VLOOKUP($B1361,'D7 - NDB Impacted SPRF''s'!$E$6:$O$9929,7,FALSE)</f>
        <v>Jill Foucre</v>
      </c>
      <c r="AF1361" s="380" t="str">
        <f>VLOOKUP($B1361,'D7 - NDB Impacted SPRF''s'!$E$6:$O$9929,6,FALSE)</f>
        <v>SUSAN HINES</v>
      </c>
      <c r="AG1361" s="282"/>
      <c r="AH1361" s="311" t="e">
        <f>INDEX('D5 - Gatekeeper - Projects'!$A$4:$AF$1010,$AM1361, 17)</f>
        <v>#N/A</v>
      </c>
      <c r="AI1361" s="8"/>
      <c r="AJ1361" s="57"/>
      <c r="AK1361" s="57"/>
      <c r="AM1361" s="6" t="e">
        <f>MATCH(D1361,'D5 - Gatekeeper - Projects'!$C$4:$C$1010,0)</f>
        <v>#N/A</v>
      </c>
      <c r="AN1361" s="6" t="b">
        <f t="shared" ref="AN1361:AN1424" si="142">ISERROR(AM1361)</f>
        <v>1</v>
      </c>
      <c r="AO1361" s="6" t="str">
        <f t="shared" si="135"/>
        <v>OK</v>
      </c>
      <c r="AQ1361" s="6" t="e">
        <f>MATCH($D1361,'D4 - Provider Council Unsched'!$C$11:$C$234,0)</f>
        <v>#N/A</v>
      </c>
      <c r="AR1361" s="6" t="b">
        <f t="shared" ref="AR1361:AR1424" si="143">ISERROR(AQ1361)</f>
        <v>1</v>
      </c>
      <c r="AS1361" s="6" t="str">
        <f t="shared" si="141"/>
        <v>OK</v>
      </c>
      <c r="AU1361" s="202">
        <v>40372</v>
      </c>
      <c r="AV1361" s="262"/>
      <c r="AW1361" s="274"/>
    </row>
    <row r="1362" spans="1:49" s="13" customFormat="1" ht="45" x14ac:dyDescent="0.2">
      <c r="A1362" s="14">
        <v>1338</v>
      </c>
      <c r="B1362" s="14">
        <v>400031541</v>
      </c>
      <c r="C1362" s="8" t="s">
        <v>5197</v>
      </c>
      <c r="D1362" s="4" t="str">
        <f t="shared" si="140"/>
        <v>400031541R1</v>
      </c>
      <c r="E1362" s="309" t="str">
        <f>VLOOKUP($B1362,'D7 - NDB Impacted SPRF''s'!$E$6:$O$9929,2,FALSE)</f>
        <v>Enterprise SSN Ctrls - Mask Provider SSN on EOBs</v>
      </c>
      <c r="F1362" s="8" t="s">
        <v>2114</v>
      </c>
      <c r="G1362" s="8" t="s">
        <v>4758</v>
      </c>
      <c r="H1362" s="8" t="s">
        <v>4246</v>
      </c>
      <c r="I1362" s="20">
        <v>0.53</v>
      </c>
      <c r="J1362" s="8" t="s">
        <v>4862</v>
      </c>
      <c r="K1362" s="182">
        <v>40495</v>
      </c>
      <c r="L1362" s="8" t="s">
        <v>4156</v>
      </c>
      <c r="M1362" s="8" t="s">
        <v>5626</v>
      </c>
      <c r="N1362" s="38" t="s">
        <v>6935</v>
      </c>
      <c r="O1362" s="8"/>
      <c r="P1362" s="4" t="str">
        <f>VLOOKUP($B1362,'D7 - NDB Impacted SPRF''s'!$E$16:$O$9929,9,FALSE)</f>
        <v>Y</v>
      </c>
      <c r="Q1362" s="4" t="str">
        <f>VLOOKUP($B1362,'D7 - NDB Impacted SPRF''s'!$E$16:$O$9929,10,FALSE)</f>
        <v>N</v>
      </c>
      <c r="R1362" s="4" t="str">
        <f>VLOOKUP($B1362,'D7 - NDB Impacted SPRF''s'!$E$16:$O$9929,11,FALSE)</f>
        <v>N</v>
      </c>
      <c r="S1362" s="8"/>
      <c r="T1362" s="310"/>
      <c r="U1362" s="310"/>
      <c r="V1362" s="4"/>
      <c r="W1362" s="4"/>
      <c r="X1362" s="4"/>
      <c r="Y1362" s="4"/>
      <c r="Z1362" s="4"/>
      <c r="AA1362" s="4"/>
      <c r="AB1362" s="380" t="str">
        <f>VLOOKUP($B1362,'D7 - NDB Impacted SPRF''s'!$E$6:$O$9929,4,FALSE)</f>
        <v>Completed</v>
      </c>
      <c r="AC1362" s="380" t="str">
        <f>VLOOKUP($B1362,'D7 - NDB Impacted SPRF''s'!$E$6:$O$9929,3,FALSE)</f>
        <v>UHG IT - Enterprise Technology Services</v>
      </c>
      <c r="AD1362" s="380" t="str">
        <f>VLOOKUP($B1362,'D7 - NDB Impacted SPRF''s'!$E$6:$O$9929,5,FALSE)</f>
        <v>IRM</v>
      </c>
      <c r="AE1362" s="380" t="str">
        <f>VLOOKUP($B1362,'D7 - NDB Impacted SPRF''s'!$E$6:$O$9929,7,FALSE)</f>
        <v>Robert Booker</v>
      </c>
      <c r="AF1362" s="380" t="str">
        <f>VLOOKUP($B1362,'D7 - NDB Impacted SPRF''s'!$E$6:$O$9929,6,FALSE)</f>
        <v>Michelle Klemz</v>
      </c>
      <c r="AG1362" s="282"/>
      <c r="AH1362" s="311" t="e">
        <f>INDEX('D5 - Gatekeeper - Projects'!$A$4:$AF$1010,$AM1362, 17)</f>
        <v>#N/A</v>
      </c>
      <c r="AI1362" s="8"/>
      <c r="AJ1362" s="57"/>
      <c r="AK1362" s="57"/>
      <c r="AM1362" s="6" t="e">
        <f>MATCH(D1362,'D5 - Gatekeeper - Projects'!$C$4:$C$1010,0)</f>
        <v>#N/A</v>
      </c>
      <c r="AN1362" s="6" t="b">
        <f t="shared" si="142"/>
        <v>1</v>
      </c>
      <c r="AO1362" s="6" t="str">
        <f t="shared" ref="AO1362:AO1425" si="144">IF(AND(H1362="1 - Scheduled",AN1362=TRUE),"Add","OK")</f>
        <v>OK</v>
      </c>
      <c r="AQ1362" s="6" t="e">
        <f>MATCH($D1362,'D4 - Provider Council Unsched'!$C$11:$C$234,0)</f>
        <v>#N/A</v>
      </c>
      <c r="AR1362" s="6" t="b">
        <f t="shared" si="143"/>
        <v>1</v>
      </c>
      <c r="AS1362" s="6" t="str">
        <f t="shared" si="141"/>
        <v>OK</v>
      </c>
      <c r="AU1362" s="202">
        <v>40266</v>
      </c>
      <c r="AV1362" s="262"/>
      <c r="AW1362" s="274"/>
    </row>
    <row r="1363" spans="1:49" s="13" customFormat="1" x14ac:dyDescent="0.2">
      <c r="A1363" s="14">
        <v>1339</v>
      </c>
      <c r="B1363" s="8">
        <v>400032086</v>
      </c>
      <c r="C1363" s="8" t="s">
        <v>1447</v>
      </c>
      <c r="D1363" s="4" t="str">
        <f t="shared" si="140"/>
        <v>400032086A</v>
      </c>
      <c r="E1363" s="309" t="str">
        <f>VLOOKUP($B1363,'D7 - NDB Impacted SPRF''s'!$E$6:$O$9929,2,FALSE)</f>
        <v>Initiate Provider Matching For UHPD Rel 5.0</v>
      </c>
      <c r="F1363" s="8"/>
      <c r="G1363" s="8" t="s">
        <v>4758</v>
      </c>
      <c r="H1363" s="8" t="s">
        <v>4246</v>
      </c>
      <c r="I1363" s="20">
        <v>1.07</v>
      </c>
      <c r="J1363" s="8" t="s">
        <v>4862</v>
      </c>
      <c r="K1363" s="182">
        <v>40495</v>
      </c>
      <c r="L1363" s="8" t="s">
        <v>4156</v>
      </c>
      <c r="M1363" s="8" t="s">
        <v>5626</v>
      </c>
      <c r="N1363" s="38"/>
      <c r="O1363" s="8"/>
      <c r="P1363" s="4" t="str">
        <f>VLOOKUP($B1363,'D7 - NDB Impacted SPRF''s'!$E$16:$O$9929,9,FALSE)</f>
        <v>N</v>
      </c>
      <c r="Q1363" s="4" t="str">
        <f>VLOOKUP($B1363,'D7 - NDB Impacted SPRF''s'!$E$16:$O$9929,10,FALSE)</f>
        <v>N</v>
      </c>
      <c r="R1363" s="4" t="str">
        <f>VLOOKUP($B1363,'D7 - NDB Impacted SPRF''s'!$E$16:$O$9929,11,FALSE)</f>
        <v>N</v>
      </c>
      <c r="S1363" s="8"/>
      <c r="T1363" s="310"/>
      <c r="U1363" s="310"/>
      <c r="V1363" s="4"/>
      <c r="W1363" s="4"/>
      <c r="X1363" s="4"/>
      <c r="Y1363" s="4"/>
      <c r="Z1363" s="4"/>
      <c r="AA1363" s="4"/>
      <c r="AB1363" s="380" t="str">
        <f>VLOOKUP($B1363,'D7 - NDB Impacted SPRF''s'!$E$6:$O$9929,4,FALSE)</f>
        <v>Completed</v>
      </c>
      <c r="AC1363" s="380" t="str">
        <f>VLOOKUP($B1363,'D7 - NDB Impacted SPRF''s'!$E$6:$O$9929,3,FALSE)</f>
        <v>OptumInsight</v>
      </c>
      <c r="AD1363" s="380" t="str">
        <f>VLOOKUP($B1363,'D7 - NDB Impacted SPRF''s'!$E$6:$O$9929,5,FALSE)</f>
        <v>Ingenix</v>
      </c>
      <c r="AE1363" s="380" t="str">
        <f>VLOOKUP($B1363,'D7 - NDB Impacted SPRF''s'!$E$6:$O$9929,7,FALSE)</f>
        <v>Chris Brown</v>
      </c>
      <c r="AF1363" s="380" t="str">
        <f>VLOOKUP($B1363,'D7 - NDB Impacted SPRF''s'!$E$6:$O$9929,6,FALSE)</f>
        <v>Latha Alex</v>
      </c>
      <c r="AG1363" s="282"/>
      <c r="AH1363" s="311" t="e">
        <f>INDEX('D5 - Gatekeeper - Projects'!$A$4:$AF$1010,$AM1363, 17)</f>
        <v>#N/A</v>
      </c>
      <c r="AI1363" s="8"/>
      <c r="AJ1363" s="57"/>
      <c r="AK1363" s="105"/>
      <c r="AM1363" s="6" t="e">
        <f>MATCH(D1363,'D5 - Gatekeeper - Projects'!$C$4:$C$1010,0)</f>
        <v>#N/A</v>
      </c>
      <c r="AN1363" s="6" t="b">
        <f t="shared" si="142"/>
        <v>1</v>
      </c>
      <c r="AO1363" s="6" t="str">
        <f t="shared" si="144"/>
        <v>OK</v>
      </c>
      <c r="AQ1363" s="6" t="e">
        <f>MATCH($D1363,'D4 - Provider Council Unsched'!$C$11:$C$234,0)</f>
        <v>#N/A</v>
      </c>
      <c r="AR1363" s="6" t="b">
        <f t="shared" si="143"/>
        <v>1</v>
      </c>
      <c r="AS1363" s="6" t="str">
        <f t="shared" si="141"/>
        <v>OK</v>
      </c>
      <c r="AU1363" s="202"/>
      <c r="AV1363" s="262"/>
      <c r="AW1363" s="274"/>
    </row>
    <row r="1364" spans="1:49" s="13" customFormat="1" ht="33.75" x14ac:dyDescent="0.2">
      <c r="A1364" s="14">
        <v>1340</v>
      </c>
      <c r="B1364" s="14">
        <v>400032537</v>
      </c>
      <c r="C1364" s="8" t="s">
        <v>3763</v>
      </c>
      <c r="D1364" s="4" t="str">
        <f t="shared" si="140"/>
        <v>400032537R2</v>
      </c>
      <c r="E1364" s="309" t="str">
        <f>VLOOKUP($B1364,'D7 - NDB Impacted SPRF''s'!$E$6:$O$9929,2,FALSE)</f>
        <v>Accepting Assignment and Limiting Charge</v>
      </c>
      <c r="F1364" s="8" t="s">
        <v>2114</v>
      </c>
      <c r="G1364" s="8" t="s">
        <v>4758</v>
      </c>
      <c r="H1364" s="8" t="s">
        <v>4246</v>
      </c>
      <c r="I1364" s="20">
        <v>1.07</v>
      </c>
      <c r="J1364" s="8" t="s">
        <v>4862</v>
      </c>
      <c r="K1364" s="182">
        <v>40495</v>
      </c>
      <c r="L1364" s="8" t="s">
        <v>4156</v>
      </c>
      <c r="M1364" s="8" t="s">
        <v>5626</v>
      </c>
      <c r="N1364" s="38"/>
      <c r="O1364" s="8"/>
      <c r="P1364" s="4" t="str">
        <f>VLOOKUP($B1364,'D7 - NDB Impacted SPRF''s'!$E$16:$O$9929,9,FALSE)</f>
        <v>N</v>
      </c>
      <c r="Q1364" s="4" t="str">
        <f>VLOOKUP($B1364,'D7 - NDB Impacted SPRF''s'!$E$16:$O$9929,10,FALSE)</f>
        <v>N</v>
      </c>
      <c r="R1364" s="4" t="str">
        <f>VLOOKUP($B1364,'D7 - NDB Impacted SPRF''s'!$E$16:$O$9929,11,FALSE)</f>
        <v>N</v>
      </c>
      <c r="S1364" s="8"/>
      <c r="T1364" s="310"/>
      <c r="U1364" s="310"/>
      <c r="V1364" s="4"/>
      <c r="W1364" s="4"/>
      <c r="X1364" s="4"/>
      <c r="Y1364" s="4"/>
      <c r="Z1364" s="4"/>
      <c r="AA1364" s="4"/>
      <c r="AB1364" s="380" t="str">
        <f>VLOOKUP($B1364,'D7 - NDB Impacted SPRF''s'!$E$6:$O$9929,4,FALSE)</f>
        <v>Completed</v>
      </c>
      <c r="AC1364" s="380" t="str">
        <f>VLOOKUP($B1364,'D7 - NDB Impacted SPRF''s'!$E$6:$O$9929,3,FALSE)</f>
        <v>UnitedHealthcare Medicare &amp; Retirement</v>
      </c>
      <c r="AD1364" s="380" t="str">
        <f>VLOOKUP($B1364,'D7 - NDB Impacted SPRF''s'!$E$6:$O$9929,5,FALSE)</f>
        <v>Claims Remediation</v>
      </c>
      <c r="AE1364" s="380" t="str">
        <f>VLOOKUP($B1364,'D7 - NDB Impacted SPRF''s'!$E$6:$O$9929,7,FALSE)</f>
        <v>Lloyd Wright</v>
      </c>
      <c r="AF1364" s="380" t="str">
        <f>VLOOKUP($B1364,'D7 - NDB Impacted SPRF''s'!$E$6:$O$9929,6,FALSE)</f>
        <v>Jessica Ayers</v>
      </c>
      <c r="AG1364" s="282"/>
      <c r="AH1364" s="311" t="e">
        <f>INDEX('D5 - Gatekeeper - Projects'!$A$4:$AF$1010,$AM1364, 17)</f>
        <v>#N/A</v>
      </c>
      <c r="AI1364" s="8"/>
      <c r="AJ1364" s="57"/>
      <c r="AK1364" s="105"/>
      <c r="AM1364" s="6" t="e">
        <f>MATCH(D1364,'D5 - Gatekeeper - Projects'!$C$4:$C$1010,0)</f>
        <v>#N/A</v>
      </c>
      <c r="AN1364" s="6" t="b">
        <f t="shared" si="142"/>
        <v>1</v>
      </c>
      <c r="AO1364" s="6" t="str">
        <f t="shared" si="144"/>
        <v>OK</v>
      </c>
      <c r="AQ1364" s="6" t="e">
        <f>MATCH($D1364,'D4 - Provider Council Unsched'!$C$11:$C$234,0)</f>
        <v>#N/A</v>
      </c>
      <c r="AR1364" s="6" t="b">
        <f t="shared" si="143"/>
        <v>1</v>
      </c>
      <c r="AS1364" s="6" t="str">
        <f t="shared" si="141"/>
        <v>OK</v>
      </c>
      <c r="AU1364" s="202">
        <v>40424</v>
      </c>
      <c r="AV1364" s="262"/>
      <c r="AW1364" s="274"/>
    </row>
    <row r="1365" spans="1:49" s="13" customFormat="1" ht="33.75" x14ac:dyDescent="0.2">
      <c r="A1365" s="14">
        <v>1341</v>
      </c>
      <c r="B1365" s="14">
        <v>400032787</v>
      </c>
      <c r="C1365" s="8" t="s">
        <v>5197</v>
      </c>
      <c r="D1365" s="4" t="str">
        <f t="shared" si="140"/>
        <v>400032787R1</v>
      </c>
      <c r="E1365" s="309" t="str">
        <f>VLOOKUP($B1365,'D7 - NDB Impacted SPRF''s'!$E$6:$O$9929,2,FALSE)</f>
        <v>MDW 2010 Datawarehouse Issue or IRAAD</v>
      </c>
      <c r="F1365" s="8" t="s">
        <v>2114</v>
      </c>
      <c r="G1365" s="8" t="s">
        <v>4758</v>
      </c>
      <c r="H1365" s="8" t="s">
        <v>4246</v>
      </c>
      <c r="I1365" s="20">
        <v>3.33</v>
      </c>
      <c r="J1365" s="8" t="s">
        <v>4862</v>
      </c>
      <c r="K1365" s="182">
        <v>40495</v>
      </c>
      <c r="L1365" s="8" t="s">
        <v>4156</v>
      </c>
      <c r="M1365" s="8" t="s">
        <v>6688</v>
      </c>
      <c r="N1365" s="38" t="s">
        <v>5059</v>
      </c>
      <c r="O1365" s="8"/>
      <c r="P1365" s="4" t="str">
        <f>VLOOKUP($B1365,'D7 - NDB Impacted SPRF''s'!$E$16:$O$9929,9,FALSE)</f>
        <v>Y</v>
      </c>
      <c r="Q1365" s="4" t="str">
        <f>VLOOKUP($B1365,'D7 - NDB Impacted SPRF''s'!$E$16:$O$9929,10,FALSE)</f>
        <v>N</v>
      </c>
      <c r="R1365" s="4" t="str">
        <f>VLOOKUP($B1365,'D7 - NDB Impacted SPRF''s'!$E$16:$O$9929,11,FALSE)</f>
        <v>N</v>
      </c>
      <c r="S1365" s="8"/>
      <c r="T1365" s="310"/>
      <c r="U1365" s="310"/>
      <c r="V1365" s="4"/>
      <c r="W1365" s="4"/>
      <c r="X1365" s="4"/>
      <c r="Y1365" s="4"/>
      <c r="Z1365" s="4"/>
      <c r="AA1365" s="4"/>
      <c r="AB1365" s="380" t="str">
        <f>VLOOKUP($B1365,'D7 - NDB Impacted SPRF''s'!$E$6:$O$9929,4,FALSE)</f>
        <v>Completed</v>
      </c>
      <c r="AC1365" s="380" t="str">
        <f>VLOOKUP($B1365,'D7 - NDB Impacted SPRF''s'!$E$6:$O$9929,3,FALSE)</f>
        <v>UnitedHealthcare Employer &amp; Individual</v>
      </c>
      <c r="AD1365" s="380" t="str">
        <f>VLOOKUP($B1365,'D7 - NDB Impacted SPRF''s'!$E$6:$O$9929,5,FALSE)</f>
        <v>HCA - Operational Requirements</v>
      </c>
      <c r="AE1365" s="380" t="str">
        <f>VLOOKUP($B1365,'D7 - NDB Impacted SPRF''s'!$E$6:$O$9929,7,FALSE)</f>
        <v>Mark Garrity</v>
      </c>
      <c r="AF1365" s="380" t="str">
        <f>VLOOKUP($B1365,'D7 - NDB Impacted SPRF''s'!$E$6:$O$9929,6,FALSE)</f>
        <v>MONIQUE WERNER</v>
      </c>
      <c r="AG1365" s="282"/>
      <c r="AH1365" s="311" t="e">
        <f>INDEX('D5 - Gatekeeper - Projects'!$A$4:$AF$1010,$AM1365, 17)</f>
        <v>#N/A</v>
      </c>
      <c r="AI1365" s="8"/>
      <c r="AJ1365" s="57"/>
      <c r="AK1365" s="105"/>
      <c r="AM1365" s="6" t="e">
        <f>MATCH(D1365,'D5 - Gatekeeper - Projects'!$C$4:$C$1010,0)</f>
        <v>#N/A</v>
      </c>
      <c r="AN1365" s="6" t="b">
        <f t="shared" si="142"/>
        <v>1</v>
      </c>
      <c r="AO1365" s="6" t="str">
        <f t="shared" si="144"/>
        <v>OK</v>
      </c>
      <c r="AQ1365" s="6" t="e">
        <f>MATCH($D1365,'D4 - Provider Council Unsched'!$C$11:$C$234,0)</f>
        <v>#N/A</v>
      </c>
      <c r="AR1365" s="6" t="b">
        <f t="shared" si="143"/>
        <v>1</v>
      </c>
      <c r="AS1365" s="6" t="str">
        <f>IF(AND(H1365="2 - Not Scheduled",AR1365=TRUE),"Add","OK")</f>
        <v>OK</v>
      </c>
      <c r="AU1365" s="202"/>
      <c r="AV1365" s="262"/>
      <c r="AW1365" s="274"/>
    </row>
    <row r="1366" spans="1:49" s="13" customFormat="1" ht="33.75" x14ac:dyDescent="0.2">
      <c r="A1366" s="14">
        <v>1342</v>
      </c>
      <c r="B1366" s="14">
        <v>400032939</v>
      </c>
      <c r="C1366" s="8" t="s">
        <v>5197</v>
      </c>
      <c r="D1366" s="4" t="str">
        <f t="shared" si="140"/>
        <v>400032939R1</v>
      </c>
      <c r="E1366" s="309" t="str">
        <f>VLOOKUP($B1366,'D7 - NDB Impacted SPRF''s'!$E$6:$O$9929,2,FALSE)</f>
        <v>2010 One Shot Requests</v>
      </c>
      <c r="F1366" s="8" t="s">
        <v>2114</v>
      </c>
      <c r="G1366" s="8" t="s">
        <v>4758</v>
      </c>
      <c r="H1366" s="8" t="s">
        <v>4246</v>
      </c>
      <c r="I1366" s="20">
        <v>16.100000000000001</v>
      </c>
      <c r="J1366" s="8" t="s">
        <v>4862</v>
      </c>
      <c r="K1366" s="182">
        <v>40495</v>
      </c>
      <c r="L1366" s="8" t="s">
        <v>4156</v>
      </c>
      <c r="M1366" s="8" t="s">
        <v>2814</v>
      </c>
      <c r="N1366" s="38"/>
      <c r="O1366" s="8"/>
      <c r="P1366" s="4" t="str">
        <f>VLOOKUP($B1366,'D7 - NDB Impacted SPRF''s'!$E$16:$O$9929,9,FALSE)</f>
        <v>N</v>
      </c>
      <c r="Q1366" s="4" t="str">
        <f>VLOOKUP($B1366,'D7 - NDB Impacted SPRF''s'!$E$16:$O$9929,10,FALSE)</f>
        <v>N</v>
      </c>
      <c r="R1366" s="4" t="str">
        <f>VLOOKUP($B1366,'D7 - NDB Impacted SPRF''s'!$E$16:$O$9929,11,FALSE)</f>
        <v>N</v>
      </c>
      <c r="S1366" s="8"/>
      <c r="T1366" s="310"/>
      <c r="U1366" s="310"/>
      <c r="V1366" s="4"/>
      <c r="W1366" s="4"/>
      <c r="X1366" s="4"/>
      <c r="Y1366" s="4"/>
      <c r="Z1366" s="4"/>
      <c r="AA1366" s="4"/>
      <c r="AB1366" s="380" t="str">
        <f>VLOOKUP($B1366,'D7 - NDB Impacted SPRF''s'!$E$6:$O$9929,4,FALSE)</f>
        <v>Completed</v>
      </c>
      <c r="AC1366" s="380" t="str">
        <f>VLOOKUP($B1366,'D7 - NDB Impacted SPRF''s'!$E$6:$O$9929,3,FALSE)</f>
        <v>UnitedHealthcare Employer &amp; Individual</v>
      </c>
      <c r="AD1366" s="380" t="str">
        <f>VLOOKUP($B1366,'D7 - NDB Impacted SPRF''s'!$E$6:$O$9929,5,FALSE)</f>
        <v>Operational Requirements</v>
      </c>
      <c r="AE1366" s="380" t="str">
        <f>VLOOKUP($B1366,'D7 - NDB Impacted SPRF''s'!$E$6:$O$9929,7,FALSE)</f>
        <v>Tim Kaja</v>
      </c>
      <c r="AF1366" s="380" t="str">
        <f>VLOOKUP($B1366,'D7 - NDB Impacted SPRF''s'!$E$6:$O$9929,6,FALSE)</f>
        <v>Martin Thurber</v>
      </c>
      <c r="AG1366" s="282"/>
      <c r="AH1366" s="311" t="e">
        <f>INDEX('D5 - Gatekeeper - Projects'!$A$4:$AF$1010,$AM1366, 17)</f>
        <v>#N/A</v>
      </c>
      <c r="AI1366" s="8"/>
      <c r="AJ1366" s="57"/>
      <c r="AK1366" s="105"/>
      <c r="AM1366" s="6" t="e">
        <f>MATCH(D1366,'D5 - Gatekeeper - Projects'!$C$4:$C$1010,0)</f>
        <v>#N/A</v>
      </c>
      <c r="AN1366" s="6" t="b">
        <f t="shared" si="142"/>
        <v>1</v>
      </c>
      <c r="AO1366" s="6" t="str">
        <f t="shared" si="144"/>
        <v>OK</v>
      </c>
      <c r="AQ1366" s="6" t="e">
        <f>MATCH($D1366,'D4 - Provider Council Unsched'!$C$11:$C$234,0)</f>
        <v>#N/A</v>
      </c>
      <c r="AR1366" s="6" t="b">
        <f t="shared" si="143"/>
        <v>1</v>
      </c>
      <c r="AS1366" s="6" t="str">
        <f t="shared" ref="AS1366:AS1379" si="145">IF(AND(H1366="2 - Not Scheduled",AR1366=TRUE,C1366="R1"),"Add","OK")</f>
        <v>OK</v>
      </c>
      <c r="AU1366" s="202"/>
      <c r="AV1366" s="262"/>
      <c r="AW1366" s="274"/>
    </row>
    <row r="1367" spans="1:49" s="13" customFormat="1" ht="33.75" x14ac:dyDescent="0.2">
      <c r="A1367" s="14">
        <v>1343</v>
      </c>
      <c r="B1367" s="14">
        <v>400033120</v>
      </c>
      <c r="C1367" s="8" t="s">
        <v>5197</v>
      </c>
      <c r="D1367" s="4" t="str">
        <f t="shared" si="140"/>
        <v>400033120R1</v>
      </c>
      <c r="E1367" s="309" t="str">
        <f>VLOOKUP($B1367,'D7 - NDB Impacted SPRF''s'!$E$6:$O$9929,2,FALSE)</f>
        <v>HIPAA 5010-UHC-270/271 Eligibility</v>
      </c>
      <c r="F1367" s="8" t="s">
        <v>1595</v>
      </c>
      <c r="G1367" s="8" t="s">
        <v>4758</v>
      </c>
      <c r="H1367" s="8" t="s">
        <v>4246</v>
      </c>
      <c r="I1367" s="20">
        <v>2.8333333333333335</v>
      </c>
      <c r="J1367" s="8" t="s">
        <v>4862</v>
      </c>
      <c r="K1367" s="182">
        <v>40495</v>
      </c>
      <c r="L1367" s="8" t="s">
        <v>4156</v>
      </c>
      <c r="M1367" s="8" t="s">
        <v>5626</v>
      </c>
      <c r="N1367" s="38" t="s">
        <v>5552</v>
      </c>
      <c r="O1367" s="8"/>
      <c r="P1367" s="4" t="str">
        <f>VLOOKUP($B1367,'D7 - NDB Impacted SPRF''s'!$E$16:$O$9929,9,FALSE)</f>
        <v>Y</v>
      </c>
      <c r="Q1367" s="4" t="str">
        <f>VLOOKUP($B1367,'D7 - NDB Impacted SPRF''s'!$E$16:$O$9929,10,FALSE)</f>
        <v>N</v>
      </c>
      <c r="R1367" s="4" t="str">
        <f>VLOOKUP($B1367,'D7 - NDB Impacted SPRF''s'!$E$16:$O$9929,11,FALSE)</f>
        <v>Y</v>
      </c>
      <c r="S1367" s="8"/>
      <c r="T1367" s="310"/>
      <c r="U1367" s="310"/>
      <c r="V1367" s="4"/>
      <c r="W1367" s="4"/>
      <c r="X1367" s="4"/>
      <c r="Y1367" s="4"/>
      <c r="Z1367" s="4"/>
      <c r="AA1367" s="4"/>
      <c r="AB1367" s="380" t="str">
        <f>VLOOKUP($B1367,'D7 - NDB Impacted SPRF''s'!$E$6:$O$9929,4,FALSE)</f>
        <v>Completed</v>
      </c>
      <c r="AC1367" s="380" t="str">
        <f>VLOOKUP($B1367,'D7 - NDB Impacted SPRF''s'!$E$6:$O$9929,3,FALSE)</f>
        <v>UnitedHealthcare Employer &amp; Individual</v>
      </c>
      <c r="AD1367" s="380" t="str">
        <f>VLOOKUP($B1367,'D7 - NDB Impacted SPRF''s'!$E$6:$O$9929,5,FALSE)</f>
        <v>HIPAA 5010</v>
      </c>
      <c r="AE1367" s="380" t="str">
        <f>VLOOKUP($B1367,'D7 - NDB Impacted SPRF''s'!$E$6:$O$9929,7,FALSE)</f>
        <v>Tim Kaja</v>
      </c>
      <c r="AF1367" s="380" t="str">
        <f>VLOOKUP($B1367,'D7 - NDB Impacted SPRF''s'!$E$6:$O$9929,6,FALSE)</f>
        <v>Delvis Schilling</v>
      </c>
      <c r="AG1367" s="282"/>
      <c r="AH1367" s="311" t="e">
        <f>INDEX('D5 - Gatekeeper - Projects'!$A$4:$AF$1010,$AM1367, 17)</f>
        <v>#N/A</v>
      </c>
      <c r="AI1367" s="8"/>
      <c r="AJ1367" s="57"/>
      <c r="AK1367" s="105"/>
      <c r="AM1367" s="6" t="e">
        <f>MATCH(D1367,'D5 - Gatekeeper - Projects'!$C$4:$C$1010,0)</f>
        <v>#N/A</v>
      </c>
      <c r="AN1367" s="6" t="b">
        <f t="shared" si="142"/>
        <v>1</v>
      </c>
      <c r="AO1367" s="6" t="str">
        <f t="shared" si="144"/>
        <v>OK</v>
      </c>
      <c r="AQ1367" s="6" t="e">
        <f>MATCH($D1367,'D4 - Provider Council Unsched'!$C$11:$C$234,0)</f>
        <v>#N/A</v>
      </c>
      <c r="AR1367" s="6" t="b">
        <f t="shared" si="143"/>
        <v>1</v>
      </c>
      <c r="AS1367" s="6" t="str">
        <f t="shared" si="145"/>
        <v>OK</v>
      </c>
      <c r="AU1367" s="202"/>
      <c r="AV1367" s="262"/>
      <c r="AW1367" s="274"/>
    </row>
    <row r="1368" spans="1:49" s="13" customFormat="1" ht="33.75" x14ac:dyDescent="0.2">
      <c r="A1368" s="14">
        <v>1344</v>
      </c>
      <c r="B1368" s="14">
        <v>400033121</v>
      </c>
      <c r="C1368" s="8" t="s">
        <v>5197</v>
      </c>
      <c r="D1368" s="4" t="str">
        <f t="shared" si="140"/>
        <v>400033121R1</v>
      </c>
      <c r="E1368" s="309" t="str">
        <f>VLOOKUP($B1368,'D7 - NDB Impacted SPRF''s'!$E$6:$O$9929,2,FALSE)</f>
        <v>HIPAA 5010-UHC-276/277 Calims Inquiry</v>
      </c>
      <c r="F1368" s="8" t="s">
        <v>1595</v>
      </c>
      <c r="G1368" s="8" t="s">
        <v>4758</v>
      </c>
      <c r="H1368" s="8" t="s">
        <v>4246</v>
      </c>
      <c r="I1368" s="20">
        <v>3.3866666666666667</v>
      </c>
      <c r="J1368" s="8" t="s">
        <v>4862</v>
      </c>
      <c r="K1368" s="182">
        <v>40495</v>
      </c>
      <c r="L1368" s="8" t="s">
        <v>4156</v>
      </c>
      <c r="M1368" s="8" t="s">
        <v>5626</v>
      </c>
      <c r="N1368" s="38" t="s">
        <v>5552</v>
      </c>
      <c r="O1368" s="8"/>
      <c r="P1368" s="4" t="str">
        <f>VLOOKUP($B1368,'D7 - NDB Impacted SPRF''s'!$E$16:$O$9929,9,FALSE)</f>
        <v>Y</v>
      </c>
      <c r="Q1368" s="4" t="str">
        <f>VLOOKUP($B1368,'D7 - NDB Impacted SPRF''s'!$E$16:$O$9929,10,FALSE)</f>
        <v>N</v>
      </c>
      <c r="R1368" s="4" t="str">
        <f>VLOOKUP($B1368,'D7 - NDB Impacted SPRF''s'!$E$16:$O$9929,11,FALSE)</f>
        <v>Y</v>
      </c>
      <c r="S1368" s="8"/>
      <c r="T1368" s="310"/>
      <c r="U1368" s="310"/>
      <c r="V1368" s="4"/>
      <c r="W1368" s="4"/>
      <c r="X1368" s="4"/>
      <c r="Y1368" s="4"/>
      <c r="Z1368" s="4"/>
      <c r="AA1368" s="4"/>
      <c r="AB1368" s="380" t="str">
        <f>VLOOKUP($B1368,'D7 - NDB Impacted SPRF''s'!$E$6:$O$9929,4,FALSE)</f>
        <v>Completed</v>
      </c>
      <c r="AC1368" s="380" t="str">
        <f>VLOOKUP($B1368,'D7 - NDB Impacted SPRF''s'!$E$6:$O$9929,3,FALSE)</f>
        <v>UnitedHealthcare Employer &amp; Individual</v>
      </c>
      <c r="AD1368" s="380" t="str">
        <f>VLOOKUP($B1368,'D7 - NDB Impacted SPRF''s'!$E$6:$O$9929,5,FALSE)</f>
        <v>HIPAA 5010</v>
      </c>
      <c r="AE1368" s="380" t="str">
        <f>VLOOKUP($B1368,'D7 - NDB Impacted SPRF''s'!$E$6:$O$9929,7,FALSE)</f>
        <v>Tim Kaja</v>
      </c>
      <c r="AF1368" s="380" t="str">
        <f>VLOOKUP($B1368,'D7 - NDB Impacted SPRF''s'!$E$6:$O$9929,6,FALSE)</f>
        <v>Delvis Schilling</v>
      </c>
      <c r="AG1368" s="282"/>
      <c r="AH1368" s="311" t="e">
        <f>INDEX('D5 - Gatekeeper - Projects'!$A$4:$AF$1010,$AM1368, 17)</f>
        <v>#N/A</v>
      </c>
      <c r="AI1368" s="8"/>
      <c r="AJ1368" s="57"/>
      <c r="AK1368" s="105"/>
      <c r="AM1368" s="6" t="e">
        <f>MATCH(D1368,'D5 - Gatekeeper - Projects'!$C$4:$C$1010,0)</f>
        <v>#N/A</v>
      </c>
      <c r="AN1368" s="6" t="b">
        <f t="shared" si="142"/>
        <v>1</v>
      </c>
      <c r="AO1368" s="6" t="str">
        <f t="shared" si="144"/>
        <v>OK</v>
      </c>
      <c r="AQ1368" s="6" t="e">
        <f>MATCH($D1368,'D4 - Provider Council Unsched'!$C$11:$C$234,0)</f>
        <v>#N/A</v>
      </c>
      <c r="AR1368" s="6" t="b">
        <f t="shared" si="143"/>
        <v>1</v>
      </c>
      <c r="AS1368" s="6" t="str">
        <f t="shared" si="145"/>
        <v>OK</v>
      </c>
      <c r="AU1368" s="202"/>
      <c r="AV1368" s="262"/>
      <c r="AW1368" s="274"/>
    </row>
    <row r="1369" spans="1:49" s="13" customFormat="1" ht="33.75" x14ac:dyDescent="0.2">
      <c r="A1369" s="14">
        <v>1345</v>
      </c>
      <c r="B1369" s="14">
        <v>400033123</v>
      </c>
      <c r="C1369" s="8" t="s">
        <v>5197</v>
      </c>
      <c r="D1369" s="4" t="str">
        <f t="shared" si="140"/>
        <v>400033123R1</v>
      </c>
      <c r="E1369" s="309" t="str">
        <f>VLOOKUP($B1369,'D7 - NDB Impacted SPRF''s'!$E$6:$O$9929,2,FALSE)</f>
        <v>HIPAA 5010-UHC-278 Auth &amp; Referral</v>
      </c>
      <c r="F1369" s="8" t="s">
        <v>1595</v>
      </c>
      <c r="G1369" s="8" t="s">
        <v>4758</v>
      </c>
      <c r="H1369" s="8" t="s">
        <v>4246</v>
      </c>
      <c r="I1369" s="20">
        <v>8.0533333333333328</v>
      </c>
      <c r="J1369" s="8" t="s">
        <v>4862</v>
      </c>
      <c r="K1369" s="182">
        <v>40495</v>
      </c>
      <c r="L1369" s="8" t="s">
        <v>4156</v>
      </c>
      <c r="M1369" s="8" t="s">
        <v>5626</v>
      </c>
      <c r="N1369" s="38" t="s">
        <v>5552</v>
      </c>
      <c r="O1369" s="8"/>
      <c r="P1369" s="4" t="str">
        <f>VLOOKUP($B1369,'D7 - NDB Impacted SPRF''s'!$E$16:$O$9929,9,FALSE)</f>
        <v>Y</v>
      </c>
      <c r="Q1369" s="4" t="str">
        <f>VLOOKUP($B1369,'D7 - NDB Impacted SPRF''s'!$E$16:$O$9929,10,FALSE)</f>
        <v>N</v>
      </c>
      <c r="R1369" s="4" t="str">
        <f>VLOOKUP($B1369,'D7 - NDB Impacted SPRF''s'!$E$16:$O$9929,11,FALSE)</f>
        <v>Y</v>
      </c>
      <c r="S1369" s="8"/>
      <c r="T1369" s="310"/>
      <c r="U1369" s="310"/>
      <c r="V1369" s="4"/>
      <c r="W1369" s="4"/>
      <c r="X1369" s="4"/>
      <c r="Y1369" s="4"/>
      <c r="Z1369" s="4"/>
      <c r="AA1369" s="4"/>
      <c r="AB1369" s="380" t="str">
        <f>VLOOKUP($B1369,'D7 - NDB Impacted SPRF''s'!$E$6:$O$9929,4,FALSE)</f>
        <v>Completed</v>
      </c>
      <c r="AC1369" s="380" t="str">
        <f>VLOOKUP($B1369,'D7 - NDB Impacted SPRF''s'!$E$6:$O$9929,3,FALSE)</f>
        <v>UnitedHealthcare Employer &amp; Individual</v>
      </c>
      <c r="AD1369" s="380" t="str">
        <f>VLOOKUP($B1369,'D7 - NDB Impacted SPRF''s'!$E$6:$O$9929,5,FALSE)</f>
        <v>HIPAA 5010</v>
      </c>
      <c r="AE1369" s="380" t="str">
        <f>VLOOKUP($B1369,'D7 - NDB Impacted SPRF''s'!$E$6:$O$9929,7,FALSE)</f>
        <v>Tim Kaja</v>
      </c>
      <c r="AF1369" s="380" t="str">
        <f>VLOOKUP($B1369,'D7 - NDB Impacted SPRF''s'!$E$6:$O$9929,6,FALSE)</f>
        <v>Melinda Banks</v>
      </c>
      <c r="AG1369" s="282"/>
      <c r="AH1369" s="311" t="e">
        <f>INDEX('D5 - Gatekeeper - Projects'!$A$4:$AF$1010,$AM1369, 17)</f>
        <v>#N/A</v>
      </c>
      <c r="AI1369" s="8"/>
      <c r="AJ1369" s="57"/>
      <c r="AK1369" s="105"/>
      <c r="AM1369" s="6" t="e">
        <f>MATCH(D1369,'D5 - Gatekeeper - Projects'!$C$4:$C$1010,0)</f>
        <v>#N/A</v>
      </c>
      <c r="AN1369" s="6" t="b">
        <f t="shared" si="142"/>
        <v>1</v>
      </c>
      <c r="AO1369" s="6" t="str">
        <f t="shared" si="144"/>
        <v>OK</v>
      </c>
      <c r="AQ1369" s="6" t="e">
        <f>MATCH($D1369,'D4 - Provider Council Unsched'!$C$11:$C$234,0)</f>
        <v>#N/A</v>
      </c>
      <c r="AR1369" s="6" t="b">
        <f t="shared" si="143"/>
        <v>1</v>
      </c>
      <c r="AS1369" s="6" t="str">
        <f t="shared" si="145"/>
        <v>OK</v>
      </c>
      <c r="AU1369" s="202"/>
      <c r="AV1369" s="262"/>
      <c r="AW1369" s="274"/>
    </row>
    <row r="1370" spans="1:49" s="13" customFormat="1" ht="33.75" x14ac:dyDescent="0.2">
      <c r="A1370" s="14">
        <v>1346</v>
      </c>
      <c r="B1370" s="14">
        <v>400033125</v>
      </c>
      <c r="C1370" s="8" t="s">
        <v>5197</v>
      </c>
      <c r="D1370" s="4" t="str">
        <f t="shared" si="140"/>
        <v>400033125R1</v>
      </c>
      <c r="E1370" s="309" t="str">
        <f>VLOOKUP($B1370,'D7 - NDB Impacted SPRF''s'!$E$6:$O$9929,2,FALSE)</f>
        <v xml:space="preserve">HIPAA 5010-UHC-834 Enrollment </v>
      </c>
      <c r="F1370" s="8" t="s">
        <v>1595</v>
      </c>
      <c r="G1370" s="8" t="s">
        <v>4758</v>
      </c>
      <c r="H1370" s="8" t="s">
        <v>4246</v>
      </c>
      <c r="I1370" s="20">
        <v>2.0266666666666668</v>
      </c>
      <c r="J1370" s="8" t="s">
        <v>4862</v>
      </c>
      <c r="K1370" s="182">
        <v>40495</v>
      </c>
      <c r="L1370" s="8" t="s">
        <v>4156</v>
      </c>
      <c r="M1370" s="8" t="s">
        <v>5626</v>
      </c>
      <c r="N1370" s="38" t="s">
        <v>5552</v>
      </c>
      <c r="O1370" s="8"/>
      <c r="P1370" s="4" t="str">
        <f>VLOOKUP($B1370,'D7 - NDB Impacted SPRF''s'!$E$16:$O$9929,9,FALSE)</f>
        <v>N</v>
      </c>
      <c r="Q1370" s="4" t="str">
        <f>VLOOKUP($B1370,'D7 - NDB Impacted SPRF''s'!$E$16:$O$9929,10,FALSE)</f>
        <v>N</v>
      </c>
      <c r="R1370" s="4" t="str">
        <f>VLOOKUP($B1370,'D7 - NDB Impacted SPRF''s'!$E$16:$O$9929,11,FALSE)</f>
        <v>Y</v>
      </c>
      <c r="S1370" s="8"/>
      <c r="T1370" s="310"/>
      <c r="U1370" s="310"/>
      <c r="V1370" s="4"/>
      <c r="W1370" s="4"/>
      <c r="X1370" s="4"/>
      <c r="Y1370" s="4"/>
      <c r="Z1370" s="4"/>
      <c r="AA1370" s="4"/>
      <c r="AB1370" s="380" t="str">
        <f>VLOOKUP($B1370,'D7 - NDB Impacted SPRF''s'!$E$6:$O$9929,4,FALSE)</f>
        <v>Completed</v>
      </c>
      <c r="AC1370" s="380" t="str">
        <f>VLOOKUP($B1370,'D7 - NDB Impacted SPRF''s'!$E$6:$O$9929,3,FALSE)</f>
        <v>UnitedHealthcare Employer &amp; Individual</v>
      </c>
      <c r="AD1370" s="380" t="str">
        <f>VLOOKUP($B1370,'D7 - NDB Impacted SPRF''s'!$E$6:$O$9929,5,FALSE)</f>
        <v>HIPAA 5010</v>
      </c>
      <c r="AE1370" s="380" t="str">
        <f>VLOOKUP($B1370,'D7 - NDB Impacted SPRF''s'!$E$6:$O$9929,7,FALSE)</f>
        <v>Tim Kaja</v>
      </c>
      <c r="AF1370" s="380" t="str">
        <f>VLOOKUP($B1370,'D7 - NDB Impacted SPRF''s'!$E$6:$O$9929,6,FALSE)</f>
        <v>Jai Narayanan</v>
      </c>
      <c r="AG1370" s="282"/>
      <c r="AH1370" s="311" t="e">
        <f>INDEX('D5 - Gatekeeper - Projects'!$A$4:$AF$1010,$AM1370, 17)</f>
        <v>#N/A</v>
      </c>
      <c r="AI1370" s="8"/>
      <c r="AJ1370" s="57"/>
      <c r="AK1370" s="105"/>
      <c r="AM1370" s="6" t="e">
        <f>MATCH(D1370,'D5 - Gatekeeper - Projects'!$C$4:$C$1010,0)</f>
        <v>#N/A</v>
      </c>
      <c r="AN1370" s="6" t="b">
        <f t="shared" si="142"/>
        <v>1</v>
      </c>
      <c r="AO1370" s="6" t="str">
        <f t="shared" si="144"/>
        <v>OK</v>
      </c>
      <c r="AQ1370" s="6" t="e">
        <f>MATCH($D1370,'D4 - Provider Council Unsched'!$C$11:$C$234,0)</f>
        <v>#N/A</v>
      </c>
      <c r="AR1370" s="6" t="b">
        <f t="shared" si="143"/>
        <v>1</v>
      </c>
      <c r="AS1370" s="6" t="str">
        <f t="shared" si="145"/>
        <v>OK</v>
      </c>
      <c r="AU1370" s="202">
        <v>40637</v>
      </c>
      <c r="AV1370" s="262"/>
      <c r="AW1370" s="274"/>
    </row>
    <row r="1371" spans="1:49" s="13" customFormat="1" ht="33.75" x14ac:dyDescent="0.2">
      <c r="A1371" s="14">
        <v>1347</v>
      </c>
      <c r="B1371" s="14">
        <v>400033127</v>
      </c>
      <c r="C1371" s="8" t="s">
        <v>7291</v>
      </c>
      <c r="D1371" s="4" t="str">
        <f t="shared" si="140"/>
        <v>400033127E</v>
      </c>
      <c r="E1371" s="309" t="str">
        <f>VLOOKUP($B1371,'D7 - NDB Impacted SPRF''s'!$E$6:$O$9929,2,FALSE)</f>
        <v>HIPAA 5010-UHC-837I&amp;P</v>
      </c>
      <c r="F1371" s="8" t="s">
        <v>2114</v>
      </c>
      <c r="G1371" s="8" t="s">
        <v>4758</v>
      </c>
      <c r="H1371" s="8" t="s">
        <v>4246</v>
      </c>
      <c r="I1371" s="20">
        <v>1.4666666666666666</v>
      </c>
      <c r="J1371" s="8" t="s">
        <v>4862</v>
      </c>
      <c r="K1371" s="182">
        <v>40495</v>
      </c>
      <c r="L1371" s="8" t="s">
        <v>4156</v>
      </c>
      <c r="M1371" s="8" t="s">
        <v>5626</v>
      </c>
      <c r="N1371" s="38" t="s">
        <v>7098</v>
      </c>
      <c r="O1371" s="8"/>
      <c r="P1371" s="4" t="str">
        <f>VLOOKUP($B1371,'D7 - NDB Impacted SPRF''s'!$E$16:$O$9929,9,FALSE)</f>
        <v>Y</v>
      </c>
      <c r="Q1371" s="4" t="str">
        <f>VLOOKUP($B1371,'D7 - NDB Impacted SPRF''s'!$E$16:$O$9929,10,FALSE)</f>
        <v>N</v>
      </c>
      <c r="R1371" s="4" t="str">
        <f>VLOOKUP($B1371,'D7 - NDB Impacted SPRF''s'!$E$16:$O$9929,11,FALSE)</f>
        <v>Y</v>
      </c>
      <c r="S1371" s="8"/>
      <c r="T1371" s="310"/>
      <c r="U1371" s="310"/>
      <c r="V1371" s="4"/>
      <c r="W1371" s="4"/>
      <c r="X1371" s="4"/>
      <c r="Y1371" s="4"/>
      <c r="Z1371" s="4"/>
      <c r="AA1371" s="4"/>
      <c r="AB1371" s="380" t="str">
        <f>VLOOKUP($B1371,'D7 - NDB Impacted SPRF''s'!$E$6:$O$9929,4,FALSE)</f>
        <v>Completed</v>
      </c>
      <c r="AC1371" s="380" t="str">
        <f>VLOOKUP($B1371,'D7 - NDB Impacted SPRF''s'!$E$6:$O$9929,3,FALSE)</f>
        <v>UnitedHealthcare Employer &amp; Individual</v>
      </c>
      <c r="AD1371" s="380" t="str">
        <f>VLOOKUP($B1371,'D7 - NDB Impacted SPRF''s'!$E$6:$O$9929,5,FALSE)</f>
        <v>HIPAA 5010</v>
      </c>
      <c r="AE1371" s="380" t="str">
        <f>VLOOKUP($B1371,'D7 - NDB Impacted SPRF''s'!$E$6:$O$9929,7,FALSE)</f>
        <v>Tim Kaja</v>
      </c>
      <c r="AF1371" s="380" t="str">
        <f>VLOOKUP($B1371,'D7 - NDB Impacted SPRF''s'!$E$6:$O$9929,6,FALSE)</f>
        <v>Delvis Schilling</v>
      </c>
      <c r="AG1371" s="282"/>
      <c r="AH1371" s="311" t="e">
        <f>INDEX('D5 - Gatekeeper - Projects'!$A$4:$AF$1010,$AM1371, 17)</f>
        <v>#N/A</v>
      </c>
      <c r="AI1371" s="8"/>
      <c r="AJ1371" s="57"/>
      <c r="AK1371" s="105"/>
      <c r="AM1371" s="6" t="e">
        <f>MATCH(D1371,'D5 - Gatekeeper - Projects'!$C$4:$C$1010,0)</f>
        <v>#N/A</v>
      </c>
      <c r="AN1371" s="6" t="b">
        <f t="shared" si="142"/>
        <v>1</v>
      </c>
      <c r="AO1371" s="6" t="str">
        <f t="shared" si="144"/>
        <v>OK</v>
      </c>
      <c r="AQ1371" s="6" t="e">
        <f>MATCH($D1371,'D4 - Provider Council Unsched'!$C$11:$C$234,0)</f>
        <v>#N/A</v>
      </c>
      <c r="AR1371" s="6" t="b">
        <f t="shared" si="143"/>
        <v>1</v>
      </c>
      <c r="AS1371" s="6" t="str">
        <f t="shared" si="145"/>
        <v>OK</v>
      </c>
      <c r="AU1371" s="202"/>
      <c r="AV1371" s="262"/>
      <c r="AW1371" s="274"/>
    </row>
    <row r="1372" spans="1:49" s="13" customFormat="1" ht="33.75" x14ac:dyDescent="0.2">
      <c r="A1372" s="14">
        <v>1348</v>
      </c>
      <c r="B1372" s="14">
        <v>400033127</v>
      </c>
      <c r="C1372" s="8" t="s">
        <v>5197</v>
      </c>
      <c r="D1372" s="4" t="str">
        <f t="shared" si="140"/>
        <v>400033127R1</v>
      </c>
      <c r="E1372" s="309" t="str">
        <f>VLOOKUP($B1372,'D7 - NDB Impacted SPRF''s'!$E$6:$O$9929,2,FALSE)</f>
        <v>HIPAA 5010-UHC-837I&amp;P</v>
      </c>
      <c r="F1372" s="8" t="s">
        <v>2114</v>
      </c>
      <c r="G1372" s="8" t="s">
        <v>4758</v>
      </c>
      <c r="H1372" s="8" t="s">
        <v>4246</v>
      </c>
      <c r="I1372" s="20">
        <v>112.75</v>
      </c>
      <c r="J1372" s="8" t="s">
        <v>4862</v>
      </c>
      <c r="K1372" s="182">
        <v>40495</v>
      </c>
      <c r="L1372" s="8" t="s">
        <v>4156</v>
      </c>
      <c r="M1372" s="8" t="s">
        <v>2814</v>
      </c>
      <c r="N1372" s="38" t="s">
        <v>5552</v>
      </c>
      <c r="O1372" s="8"/>
      <c r="P1372" s="4" t="str">
        <f>VLOOKUP($B1372,'D7 - NDB Impacted SPRF''s'!$E$16:$O$9929,9,FALSE)</f>
        <v>Y</v>
      </c>
      <c r="Q1372" s="4" t="str">
        <f>VLOOKUP($B1372,'D7 - NDB Impacted SPRF''s'!$E$16:$O$9929,10,FALSE)</f>
        <v>N</v>
      </c>
      <c r="R1372" s="4" t="str">
        <f>VLOOKUP($B1372,'D7 - NDB Impacted SPRF''s'!$E$16:$O$9929,11,FALSE)</f>
        <v>Y</v>
      </c>
      <c r="S1372" s="8"/>
      <c r="T1372" s="310"/>
      <c r="U1372" s="310"/>
      <c r="V1372" s="4"/>
      <c r="W1372" s="4"/>
      <c r="X1372" s="4"/>
      <c r="Y1372" s="4"/>
      <c r="Z1372" s="4"/>
      <c r="AA1372" s="4"/>
      <c r="AB1372" s="380" t="str">
        <f>VLOOKUP($B1372,'D7 - NDB Impacted SPRF''s'!$E$6:$O$9929,4,FALSE)</f>
        <v>Completed</v>
      </c>
      <c r="AC1372" s="380" t="str">
        <f>VLOOKUP($B1372,'D7 - NDB Impacted SPRF''s'!$E$6:$O$9929,3,FALSE)</f>
        <v>UnitedHealthcare Employer &amp; Individual</v>
      </c>
      <c r="AD1372" s="380" t="str">
        <f>VLOOKUP($B1372,'D7 - NDB Impacted SPRF''s'!$E$6:$O$9929,5,FALSE)</f>
        <v>HIPAA 5010</v>
      </c>
      <c r="AE1372" s="380" t="str">
        <f>VLOOKUP($B1372,'D7 - NDB Impacted SPRF''s'!$E$6:$O$9929,7,FALSE)</f>
        <v>Tim Kaja</v>
      </c>
      <c r="AF1372" s="380" t="str">
        <f>VLOOKUP($B1372,'D7 - NDB Impacted SPRF''s'!$E$6:$O$9929,6,FALSE)</f>
        <v>Delvis Schilling</v>
      </c>
      <c r="AG1372" s="282"/>
      <c r="AH1372" s="311" t="e">
        <f>INDEX('D5 - Gatekeeper - Projects'!$A$4:$AF$1010,$AM1372, 17)</f>
        <v>#N/A</v>
      </c>
      <c r="AI1372" s="8"/>
      <c r="AJ1372" s="57"/>
      <c r="AK1372" s="105"/>
      <c r="AM1372" s="6" t="e">
        <f>MATCH(D1372,'D5 - Gatekeeper - Projects'!$C$4:$C$1010,0)</f>
        <v>#N/A</v>
      </c>
      <c r="AN1372" s="6" t="b">
        <f t="shared" si="142"/>
        <v>1</v>
      </c>
      <c r="AO1372" s="6" t="str">
        <f t="shared" si="144"/>
        <v>OK</v>
      </c>
      <c r="AQ1372" s="6" t="e">
        <f>MATCH($D1372,'D4 - Provider Council Unsched'!$C$11:$C$234,0)</f>
        <v>#N/A</v>
      </c>
      <c r="AR1372" s="6" t="b">
        <f t="shared" si="143"/>
        <v>1</v>
      </c>
      <c r="AS1372" s="6" t="str">
        <f t="shared" si="145"/>
        <v>OK</v>
      </c>
      <c r="AU1372" s="202"/>
      <c r="AV1372" s="262"/>
      <c r="AW1372" s="274"/>
    </row>
    <row r="1373" spans="1:49" s="13" customFormat="1" ht="33.75" x14ac:dyDescent="0.2">
      <c r="A1373" s="14">
        <v>1349</v>
      </c>
      <c r="B1373" s="14">
        <v>400033127</v>
      </c>
      <c r="C1373" s="8" t="s">
        <v>6445</v>
      </c>
      <c r="D1373" s="4" t="str">
        <f t="shared" si="140"/>
        <v>400033127R7</v>
      </c>
      <c r="E1373" s="309" t="str">
        <f>VLOOKUP($B1373,'D7 - NDB Impacted SPRF''s'!$E$6:$O$9929,2,FALSE)</f>
        <v>HIPAA 5010-UHC-837I&amp;P</v>
      </c>
      <c r="F1373" s="8" t="s">
        <v>2114</v>
      </c>
      <c r="G1373" s="8" t="s">
        <v>4758</v>
      </c>
      <c r="H1373" s="8" t="s">
        <v>4246</v>
      </c>
      <c r="I1373" s="20">
        <v>1.8</v>
      </c>
      <c r="J1373" s="8" t="s">
        <v>4862</v>
      </c>
      <c r="K1373" s="182">
        <v>40495</v>
      </c>
      <c r="L1373" s="8" t="s">
        <v>4156</v>
      </c>
      <c r="M1373" s="8" t="s">
        <v>5626</v>
      </c>
      <c r="N1373" s="38" t="s">
        <v>6042</v>
      </c>
      <c r="O1373" s="8"/>
      <c r="P1373" s="4" t="str">
        <f>VLOOKUP($B1373,'D7 - NDB Impacted SPRF''s'!$E$16:$O$9929,9,FALSE)</f>
        <v>Y</v>
      </c>
      <c r="Q1373" s="4" t="str">
        <f>VLOOKUP($B1373,'D7 - NDB Impacted SPRF''s'!$E$16:$O$9929,10,FALSE)</f>
        <v>N</v>
      </c>
      <c r="R1373" s="4" t="str">
        <f>VLOOKUP($B1373,'D7 - NDB Impacted SPRF''s'!$E$16:$O$9929,11,FALSE)</f>
        <v>Y</v>
      </c>
      <c r="S1373" s="8"/>
      <c r="T1373" s="310"/>
      <c r="U1373" s="310"/>
      <c r="V1373" s="4"/>
      <c r="W1373" s="4"/>
      <c r="X1373" s="4"/>
      <c r="Y1373" s="4"/>
      <c r="Z1373" s="4"/>
      <c r="AA1373" s="4"/>
      <c r="AB1373" s="380" t="str">
        <f>VLOOKUP($B1373,'D7 - NDB Impacted SPRF''s'!$E$6:$O$9929,4,FALSE)</f>
        <v>Completed</v>
      </c>
      <c r="AC1373" s="380" t="str">
        <f>VLOOKUP($B1373,'D7 - NDB Impacted SPRF''s'!$E$6:$O$9929,3,FALSE)</f>
        <v>UnitedHealthcare Employer &amp; Individual</v>
      </c>
      <c r="AD1373" s="380" t="str">
        <f>VLOOKUP($B1373,'D7 - NDB Impacted SPRF''s'!$E$6:$O$9929,5,FALSE)</f>
        <v>HIPAA 5010</v>
      </c>
      <c r="AE1373" s="380" t="str">
        <f>VLOOKUP($B1373,'D7 - NDB Impacted SPRF''s'!$E$6:$O$9929,7,FALSE)</f>
        <v>Tim Kaja</v>
      </c>
      <c r="AF1373" s="380" t="str">
        <f>VLOOKUP($B1373,'D7 - NDB Impacted SPRF''s'!$E$6:$O$9929,6,FALSE)</f>
        <v>Delvis Schilling</v>
      </c>
      <c r="AG1373" s="282"/>
      <c r="AH1373" s="311" t="e">
        <f>INDEX('D5 - Gatekeeper - Projects'!$A$4:$AF$1010,$AM1373, 17)</f>
        <v>#N/A</v>
      </c>
      <c r="AI1373" s="8"/>
      <c r="AJ1373" s="57"/>
      <c r="AK1373" s="105"/>
      <c r="AM1373" s="6" t="e">
        <f>MATCH(D1373,'D5 - Gatekeeper - Projects'!$C$4:$C$1010,0)</f>
        <v>#N/A</v>
      </c>
      <c r="AN1373" s="6" t="b">
        <f t="shared" si="142"/>
        <v>1</v>
      </c>
      <c r="AO1373" s="6" t="str">
        <f t="shared" si="144"/>
        <v>OK</v>
      </c>
      <c r="AQ1373" s="6" t="e">
        <f>MATCH($D1373,'D4 - Provider Council Unsched'!$C$11:$C$234,0)</f>
        <v>#N/A</v>
      </c>
      <c r="AR1373" s="6" t="b">
        <f t="shared" si="143"/>
        <v>1</v>
      </c>
      <c r="AS1373" s="6" t="str">
        <f t="shared" si="145"/>
        <v>OK</v>
      </c>
      <c r="AU1373" s="202">
        <v>40485</v>
      </c>
      <c r="AV1373" s="262"/>
      <c r="AW1373" s="274"/>
    </row>
    <row r="1374" spans="1:49" s="13" customFormat="1" ht="33.75" x14ac:dyDescent="0.2">
      <c r="A1374" s="14">
        <v>1350</v>
      </c>
      <c r="B1374" s="14">
        <v>400033128</v>
      </c>
      <c r="C1374" s="8" t="s">
        <v>5197</v>
      </c>
      <c r="D1374" s="4" t="str">
        <f t="shared" si="140"/>
        <v>400033128R1</v>
      </c>
      <c r="E1374" s="309" t="str">
        <f>VLOOKUP($B1374,'D7 - NDB Impacted SPRF''s'!$E$6:$O$9929,2,FALSE)</f>
        <v>HIPAA 5010-UHC-CORE for 270/271 and 276/277</v>
      </c>
      <c r="F1374" s="8" t="s">
        <v>1595</v>
      </c>
      <c r="G1374" s="8" t="s">
        <v>4758</v>
      </c>
      <c r="H1374" s="8" t="s">
        <v>4246</v>
      </c>
      <c r="I1374" s="20">
        <v>2.3533333333333335</v>
      </c>
      <c r="J1374" s="8" t="s">
        <v>4862</v>
      </c>
      <c r="K1374" s="182">
        <v>40495</v>
      </c>
      <c r="L1374" s="8" t="s">
        <v>4156</v>
      </c>
      <c r="M1374" s="8" t="s">
        <v>5626</v>
      </c>
      <c r="N1374" s="38" t="s">
        <v>5552</v>
      </c>
      <c r="O1374" s="8"/>
      <c r="P1374" s="4" t="str">
        <f>VLOOKUP($B1374,'D7 - NDB Impacted SPRF''s'!$E$16:$O$9929,9,FALSE)</f>
        <v>Y</v>
      </c>
      <c r="Q1374" s="4" t="str">
        <f>VLOOKUP($B1374,'D7 - NDB Impacted SPRF''s'!$E$16:$O$9929,10,FALSE)</f>
        <v>N</v>
      </c>
      <c r="R1374" s="4" t="str">
        <f>VLOOKUP($B1374,'D7 - NDB Impacted SPRF''s'!$E$16:$O$9929,11,FALSE)</f>
        <v>Y</v>
      </c>
      <c r="S1374" s="8"/>
      <c r="T1374" s="310"/>
      <c r="U1374" s="310"/>
      <c r="V1374" s="4"/>
      <c r="W1374" s="4"/>
      <c r="X1374" s="4"/>
      <c r="Y1374" s="4"/>
      <c r="Z1374" s="4"/>
      <c r="AA1374" s="4"/>
      <c r="AB1374" s="380" t="str">
        <f>VLOOKUP($B1374,'D7 - NDB Impacted SPRF''s'!$E$6:$O$9929,4,FALSE)</f>
        <v>Completed</v>
      </c>
      <c r="AC1374" s="380" t="str">
        <f>VLOOKUP($B1374,'D7 - NDB Impacted SPRF''s'!$E$6:$O$9929,3,FALSE)</f>
        <v>UnitedHealthcare Employer &amp; Individual</v>
      </c>
      <c r="AD1374" s="380" t="str">
        <f>VLOOKUP($B1374,'D7 - NDB Impacted SPRF''s'!$E$6:$O$9929,5,FALSE)</f>
        <v>HIPAA 5010</v>
      </c>
      <c r="AE1374" s="380" t="str">
        <f>VLOOKUP($B1374,'D7 - NDB Impacted SPRF''s'!$E$6:$O$9929,7,FALSE)</f>
        <v>Tim Kaja</v>
      </c>
      <c r="AF1374" s="380" t="str">
        <f>VLOOKUP($B1374,'D7 - NDB Impacted SPRF''s'!$E$6:$O$9929,6,FALSE)</f>
        <v>Delvis Schilling</v>
      </c>
      <c r="AG1374" s="282"/>
      <c r="AH1374" s="311" t="e">
        <f>INDEX('D5 - Gatekeeper - Projects'!$A$4:$AF$1010,$AM1374, 17)</f>
        <v>#N/A</v>
      </c>
      <c r="AI1374" s="8"/>
      <c r="AJ1374" s="57"/>
      <c r="AK1374" s="105"/>
      <c r="AM1374" s="6" t="e">
        <f>MATCH(D1374,'D5 - Gatekeeper - Projects'!$C$4:$C$1010,0)</f>
        <v>#N/A</v>
      </c>
      <c r="AN1374" s="6" t="b">
        <f t="shared" si="142"/>
        <v>1</v>
      </c>
      <c r="AO1374" s="6" t="str">
        <f t="shared" si="144"/>
        <v>OK</v>
      </c>
      <c r="AQ1374" s="6" t="e">
        <f>MATCH($D1374,'D4 - Provider Council Unsched'!$C$11:$C$234,0)</f>
        <v>#N/A</v>
      </c>
      <c r="AR1374" s="6" t="b">
        <f t="shared" si="143"/>
        <v>1</v>
      </c>
      <c r="AS1374" s="6" t="str">
        <f t="shared" si="145"/>
        <v>OK</v>
      </c>
      <c r="AU1374" s="202"/>
      <c r="AV1374" s="262"/>
      <c r="AW1374" s="274"/>
    </row>
    <row r="1375" spans="1:49" s="13" customFormat="1" ht="33.75" x14ac:dyDescent="0.2">
      <c r="A1375" s="14">
        <v>1351</v>
      </c>
      <c r="B1375" s="14">
        <v>400033231</v>
      </c>
      <c r="C1375" s="8" t="s">
        <v>5197</v>
      </c>
      <c r="D1375" s="4" t="str">
        <f t="shared" si="140"/>
        <v>400033231R1</v>
      </c>
      <c r="E1375" s="309" t="str">
        <f>VLOOKUP($B1375,'D7 - NDB Impacted SPRF''s'!$E$6:$O$9929,2,FALSE)</f>
        <v>HIPAA 5010-UHC-835 RA</v>
      </c>
      <c r="F1375" s="8" t="s">
        <v>1595</v>
      </c>
      <c r="G1375" s="8" t="s">
        <v>4758</v>
      </c>
      <c r="H1375" s="8" t="s">
        <v>4246</v>
      </c>
      <c r="I1375" s="20">
        <v>56.33</v>
      </c>
      <c r="J1375" s="8" t="s">
        <v>4862</v>
      </c>
      <c r="K1375" s="182">
        <v>40495</v>
      </c>
      <c r="L1375" s="8" t="s">
        <v>4156</v>
      </c>
      <c r="M1375" s="8" t="s">
        <v>2814</v>
      </c>
      <c r="N1375" s="38" t="s">
        <v>5552</v>
      </c>
      <c r="O1375" s="8"/>
      <c r="P1375" s="4" t="str">
        <f>VLOOKUP($B1375,'D7 - NDB Impacted SPRF''s'!$E$16:$O$9929,9,FALSE)</f>
        <v>Y</v>
      </c>
      <c r="Q1375" s="4" t="str">
        <f>VLOOKUP($B1375,'D7 - NDB Impacted SPRF''s'!$E$16:$O$9929,10,FALSE)</f>
        <v>N</v>
      </c>
      <c r="R1375" s="4" t="str">
        <f>VLOOKUP($B1375,'D7 - NDB Impacted SPRF''s'!$E$16:$O$9929,11,FALSE)</f>
        <v>Y</v>
      </c>
      <c r="S1375" s="8"/>
      <c r="T1375" s="310"/>
      <c r="U1375" s="310"/>
      <c r="V1375" s="4"/>
      <c r="W1375" s="4"/>
      <c r="X1375" s="4"/>
      <c r="Y1375" s="4"/>
      <c r="Z1375" s="4"/>
      <c r="AA1375" s="4"/>
      <c r="AB1375" s="380" t="str">
        <f>VLOOKUP($B1375,'D7 - NDB Impacted SPRF''s'!$E$6:$O$9929,4,FALSE)</f>
        <v>Completed</v>
      </c>
      <c r="AC1375" s="380" t="str">
        <f>VLOOKUP($B1375,'D7 - NDB Impacted SPRF''s'!$E$6:$O$9929,3,FALSE)</f>
        <v>UnitedHealthcare Employer &amp; Individual</v>
      </c>
      <c r="AD1375" s="380" t="str">
        <f>VLOOKUP($B1375,'D7 - NDB Impacted SPRF''s'!$E$6:$O$9929,5,FALSE)</f>
        <v>HIPAA 5010</v>
      </c>
      <c r="AE1375" s="380" t="str">
        <f>VLOOKUP($B1375,'D7 - NDB Impacted SPRF''s'!$E$6:$O$9929,7,FALSE)</f>
        <v>Tim Kaja</v>
      </c>
      <c r="AF1375" s="380" t="str">
        <f>VLOOKUP($B1375,'D7 - NDB Impacted SPRF''s'!$E$6:$O$9929,6,FALSE)</f>
        <v>MARGARET CONNIFF</v>
      </c>
      <c r="AG1375" s="282"/>
      <c r="AH1375" s="311" t="e">
        <f>INDEX('D5 - Gatekeeper - Projects'!$A$4:$AF$1010,$AM1375, 17)</f>
        <v>#N/A</v>
      </c>
      <c r="AI1375" s="8"/>
      <c r="AJ1375" s="57"/>
      <c r="AK1375" s="105"/>
      <c r="AM1375" s="6" t="e">
        <f>MATCH(D1375,'D5 - Gatekeeper - Projects'!$C$4:$C$1010,0)</f>
        <v>#N/A</v>
      </c>
      <c r="AN1375" s="6" t="b">
        <f t="shared" si="142"/>
        <v>1</v>
      </c>
      <c r="AO1375" s="6" t="str">
        <f t="shared" si="144"/>
        <v>OK</v>
      </c>
      <c r="AQ1375" s="6" t="e">
        <f>MATCH($D1375,'D4 - Provider Council Unsched'!$C$11:$C$234,0)</f>
        <v>#N/A</v>
      </c>
      <c r="AR1375" s="6" t="b">
        <f t="shared" si="143"/>
        <v>1</v>
      </c>
      <c r="AS1375" s="6" t="str">
        <f t="shared" si="145"/>
        <v>OK</v>
      </c>
      <c r="AU1375" s="202"/>
      <c r="AV1375" s="262"/>
      <c r="AW1375" s="274"/>
    </row>
    <row r="1376" spans="1:49" s="13" customFormat="1" ht="33.75" x14ac:dyDescent="0.2">
      <c r="A1376" s="14">
        <v>1352</v>
      </c>
      <c r="B1376" s="14">
        <v>400033451</v>
      </c>
      <c r="C1376" s="8" t="s">
        <v>6895</v>
      </c>
      <c r="D1376" s="4" t="str">
        <f t="shared" si="140"/>
        <v>400033451R6</v>
      </c>
      <c r="E1376" s="309" t="str">
        <f>VLOOKUP($B1376,'D7 - NDB Impacted SPRF''s'!$E$6:$O$9929,2,FALSE)</f>
        <v>TRICARE Program:  Provider</v>
      </c>
      <c r="F1376" s="8" t="s">
        <v>3715</v>
      </c>
      <c r="G1376" s="8" t="s">
        <v>4758</v>
      </c>
      <c r="H1376" s="8" t="s">
        <v>4246</v>
      </c>
      <c r="I1376" s="20">
        <v>7</v>
      </c>
      <c r="J1376" s="8" t="s">
        <v>4862</v>
      </c>
      <c r="K1376" s="182">
        <v>40495</v>
      </c>
      <c r="L1376" s="8" t="s">
        <v>4156</v>
      </c>
      <c r="M1376" s="8" t="s">
        <v>2814</v>
      </c>
      <c r="N1376" s="38"/>
      <c r="O1376" s="8"/>
      <c r="P1376" s="4" t="str">
        <f>VLOOKUP($B1376,'D7 - NDB Impacted SPRF''s'!$E$16:$O$9929,9,FALSE)</f>
        <v>N</v>
      </c>
      <c r="Q1376" s="4" t="str">
        <f>VLOOKUP($B1376,'D7 - NDB Impacted SPRF''s'!$E$16:$O$9929,10,FALSE)</f>
        <v>N</v>
      </c>
      <c r="R1376" s="4" t="str">
        <f>VLOOKUP($B1376,'D7 - NDB Impacted SPRF''s'!$E$16:$O$9929,11,FALSE)</f>
        <v>Y</v>
      </c>
      <c r="S1376" s="8"/>
      <c r="T1376" s="310"/>
      <c r="U1376" s="310"/>
      <c r="V1376" s="4"/>
      <c r="W1376" s="4"/>
      <c r="X1376" s="4"/>
      <c r="Y1376" s="4"/>
      <c r="Z1376" s="4"/>
      <c r="AA1376" s="4"/>
      <c r="AB1376" s="380" t="str">
        <f>VLOOKUP($B1376,'D7 - NDB Impacted SPRF''s'!$E$6:$O$9929,4,FALSE)</f>
        <v>Cancelled</v>
      </c>
      <c r="AC1376" s="380" t="str">
        <f>VLOOKUP($B1376,'D7 - NDB Impacted SPRF''s'!$E$6:$O$9929,3,FALSE)</f>
        <v>UnitedHealthcare Military &amp; Veterans</v>
      </c>
      <c r="AD1376" s="380" t="str">
        <f>VLOOKUP($B1376,'D7 - NDB Impacted SPRF''s'!$E$6:$O$9929,5,FALSE)</f>
        <v>TRICARE</v>
      </c>
      <c r="AE1376" s="380" t="str">
        <f>VLOOKUP($B1376,'D7 - NDB Impacted SPRF''s'!$E$6:$O$9929,7,FALSE)</f>
        <v>Randall Smith</v>
      </c>
      <c r="AF1376" s="380" t="str">
        <f>VLOOKUP($B1376,'D7 - NDB Impacted SPRF''s'!$E$6:$O$9929,6,FALSE)</f>
        <v>Brian Lindell</v>
      </c>
      <c r="AG1376" s="282"/>
      <c r="AH1376" s="311" t="e">
        <f>INDEX('D5 - Gatekeeper - Projects'!$A$4:$AF$1010,$AM1376, 17)</f>
        <v>#N/A</v>
      </c>
      <c r="AI1376" s="8"/>
      <c r="AJ1376" s="57"/>
      <c r="AK1376" s="105"/>
      <c r="AM1376" s="6" t="e">
        <f>MATCH(D1376,'D5 - Gatekeeper - Projects'!$C$4:$C$1010,0)</f>
        <v>#N/A</v>
      </c>
      <c r="AN1376" s="6" t="b">
        <f t="shared" si="142"/>
        <v>1</v>
      </c>
      <c r="AO1376" s="6" t="str">
        <f t="shared" si="144"/>
        <v>OK</v>
      </c>
      <c r="AQ1376" s="6" t="e">
        <f>MATCH($D1376,'D4 - Provider Council Unsched'!$C$11:$C$234,0)</f>
        <v>#N/A</v>
      </c>
      <c r="AR1376" s="6" t="b">
        <f t="shared" si="143"/>
        <v>1</v>
      </c>
      <c r="AS1376" s="6" t="str">
        <f t="shared" si="145"/>
        <v>OK</v>
      </c>
      <c r="AU1376" s="202">
        <v>40312</v>
      </c>
      <c r="AV1376" s="262"/>
      <c r="AW1376" s="274"/>
    </row>
    <row r="1377" spans="1:49" s="13" customFormat="1" ht="33.75" x14ac:dyDescent="0.2">
      <c r="A1377" s="14">
        <v>1353</v>
      </c>
      <c r="B1377" s="14">
        <v>400033766</v>
      </c>
      <c r="C1377" s="8" t="s">
        <v>5197</v>
      </c>
      <c r="D1377" s="4" t="str">
        <f t="shared" si="140"/>
        <v>400033766R1</v>
      </c>
      <c r="E1377" s="309" t="str">
        <f>VLOOKUP($B1377,'D7 - NDB Impacted SPRF''s'!$E$6:$O$9929,2,FALSE)</f>
        <v>TX OON Medicaid Effort</v>
      </c>
      <c r="F1377" s="8"/>
      <c r="G1377" s="8" t="s">
        <v>4758</v>
      </c>
      <c r="H1377" s="8" t="s">
        <v>4246</v>
      </c>
      <c r="I1377" s="20">
        <v>3.4</v>
      </c>
      <c r="J1377" s="8" t="s">
        <v>4862</v>
      </c>
      <c r="K1377" s="182">
        <v>40495</v>
      </c>
      <c r="L1377" s="8" t="s">
        <v>4156</v>
      </c>
      <c r="M1377" s="8" t="s">
        <v>2814</v>
      </c>
      <c r="N1377" s="38"/>
      <c r="O1377" s="8"/>
      <c r="P1377" s="4" t="str">
        <f>VLOOKUP($B1377,'D7 - NDB Impacted SPRF''s'!$E$16:$O$9929,9,FALSE)</f>
        <v>N</v>
      </c>
      <c r="Q1377" s="4" t="str">
        <f>VLOOKUP($B1377,'D7 - NDB Impacted SPRF''s'!$E$16:$O$9929,10,FALSE)</f>
        <v>N</v>
      </c>
      <c r="R1377" s="4" t="str">
        <f>VLOOKUP($B1377,'D7 - NDB Impacted SPRF''s'!$E$16:$O$9929,11,FALSE)</f>
        <v>N</v>
      </c>
      <c r="S1377" s="8"/>
      <c r="T1377" s="310"/>
      <c r="U1377" s="310"/>
      <c r="V1377" s="4"/>
      <c r="W1377" s="4"/>
      <c r="X1377" s="4"/>
      <c r="Y1377" s="4"/>
      <c r="Z1377" s="4"/>
      <c r="AA1377" s="4"/>
      <c r="AB1377" s="380" t="str">
        <f>VLOOKUP($B1377,'D7 - NDB Impacted SPRF''s'!$E$6:$O$9929,4,FALSE)</f>
        <v>Completed</v>
      </c>
      <c r="AC1377" s="380" t="str">
        <f>VLOOKUP($B1377,'D7 - NDB Impacted SPRF''s'!$E$6:$O$9929,3,FALSE)</f>
        <v>UnitedHealthcare Community &amp; State</v>
      </c>
      <c r="AD1377" s="380" t="str">
        <f>VLOOKUP($B1377,'D7 - NDB Impacted SPRF''s'!$E$6:$O$9929,5,FALSE)</f>
        <v>Regulatory / Other</v>
      </c>
      <c r="AE1377" s="380" t="str">
        <f>VLOOKUP($B1377,'D7 - NDB Impacted SPRF''s'!$E$6:$O$9929,7,FALSE)</f>
        <v>Tom Lindquist</v>
      </c>
      <c r="AF1377" s="380" t="str">
        <f>VLOOKUP($B1377,'D7 - NDB Impacted SPRF''s'!$E$6:$O$9929,6,FALSE)</f>
        <v>Toni Townsend</v>
      </c>
      <c r="AG1377" s="282"/>
      <c r="AH1377" s="311" t="e">
        <f>INDEX('D5 - Gatekeeper - Projects'!$A$4:$AF$1010,$AM1377, 17)</f>
        <v>#N/A</v>
      </c>
      <c r="AI1377" s="8"/>
      <c r="AJ1377" s="57"/>
      <c r="AK1377" s="105"/>
      <c r="AM1377" s="6" t="e">
        <f>MATCH(D1377,'D5 - Gatekeeper - Projects'!$C$4:$C$1010,0)</f>
        <v>#N/A</v>
      </c>
      <c r="AN1377" s="6" t="b">
        <f t="shared" si="142"/>
        <v>1</v>
      </c>
      <c r="AO1377" s="6" t="str">
        <f t="shared" si="144"/>
        <v>OK</v>
      </c>
      <c r="AQ1377" s="6" t="e">
        <f>MATCH($D1377,'D4 - Provider Council Unsched'!$C$11:$C$234,0)</f>
        <v>#N/A</v>
      </c>
      <c r="AR1377" s="6" t="b">
        <f t="shared" si="143"/>
        <v>1</v>
      </c>
      <c r="AS1377" s="6" t="str">
        <f t="shared" si="145"/>
        <v>OK</v>
      </c>
      <c r="AU1377" s="202">
        <v>40372</v>
      </c>
      <c r="AV1377" s="262"/>
      <c r="AW1377" s="274"/>
    </row>
    <row r="1378" spans="1:49" s="13" customFormat="1" ht="33.75" x14ac:dyDescent="0.2">
      <c r="A1378" s="14">
        <v>1354</v>
      </c>
      <c r="B1378" s="8">
        <v>400033787</v>
      </c>
      <c r="C1378" s="8" t="s">
        <v>1447</v>
      </c>
      <c r="D1378" s="4" t="str">
        <f t="shared" si="140"/>
        <v>400033787A</v>
      </c>
      <c r="E1378" s="309" t="str">
        <f>VLOOKUP($B1378,'D7 - NDB Impacted SPRF''s'!$E$6:$O$9929,2,FALSE)</f>
        <v>UNO 2010 Operational Efficiencies</v>
      </c>
      <c r="F1378" s="8"/>
      <c r="G1378" s="8" t="s">
        <v>4758</v>
      </c>
      <c r="H1378" s="8" t="s">
        <v>4246</v>
      </c>
      <c r="I1378" s="20">
        <v>2.13</v>
      </c>
      <c r="J1378" s="8" t="s">
        <v>4862</v>
      </c>
      <c r="K1378" s="182">
        <v>40495</v>
      </c>
      <c r="L1378" s="8" t="s">
        <v>4156</v>
      </c>
      <c r="M1378" s="8" t="s">
        <v>2814</v>
      </c>
      <c r="N1378" s="38"/>
      <c r="O1378" s="8"/>
      <c r="P1378" s="4" t="str">
        <f>VLOOKUP($B1378,'D7 - NDB Impacted SPRF''s'!$E$16:$O$9929,9,FALSE)</f>
        <v>N</v>
      </c>
      <c r="Q1378" s="4" t="str">
        <f>VLOOKUP($B1378,'D7 - NDB Impacted SPRF''s'!$E$16:$O$9929,10,FALSE)</f>
        <v>N</v>
      </c>
      <c r="R1378" s="4" t="str">
        <f>VLOOKUP($B1378,'D7 - NDB Impacted SPRF''s'!$E$16:$O$9929,11,FALSE)</f>
        <v>N</v>
      </c>
      <c r="S1378" s="8"/>
      <c r="T1378" s="310"/>
      <c r="U1378" s="310"/>
      <c r="V1378" s="4"/>
      <c r="W1378" s="4"/>
      <c r="X1378" s="4"/>
      <c r="Y1378" s="4"/>
      <c r="Z1378" s="4"/>
      <c r="AA1378" s="4"/>
      <c r="AB1378" s="380" t="str">
        <f>VLOOKUP($B1378,'D7 - NDB Impacted SPRF''s'!$E$6:$O$9929,4,FALSE)</f>
        <v>Completed</v>
      </c>
      <c r="AC1378" s="380" t="str">
        <f>VLOOKUP($B1378,'D7 - NDB Impacted SPRF''s'!$E$6:$O$9929,3,FALSE)</f>
        <v>UnitedHealthcare Employer &amp; Individual</v>
      </c>
      <c r="AD1378" s="380" t="str">
        <f>VLOOKUP($B1378,'D7 - NDB Impacted SPRF''s'!$E$6:$O$9929,5,FALSE)</f>
        <v>Process Improvement</v>
      </c>
      <c r="AE1378" s="380" t="str">
        <f>VLOOKUP($B1378,'D7 - NDB Impacted SPRF''s'!$E$6:$O$9929,7,FALSE)</f>
        <v>Jill Foucre</v>
      </c>
      <c r="AF1378" s="380" t="str">
        <f>VLOOKUP($B1378,'D7 - NDB Impacted SPRF''s'!$E$6:$O$9929,6,FALSE)</f>
        <v>John Ragland</v>
      </c>
      <c r="AG1378" s="282"/>
      <c r="AH1378" s="311" t="e">
        <f>INDEX('D5 - Gatekeeper - Projects'!$A$4:$AF$1010,$AM1378, 17)</f>
        <v>#N/A</v>
      </c>
      <c r="AI1378" s="8"/>
      <c r="AJ1378" s="57"/>
      <c r="AK1378" s="105"/>
      <c r="AM1378" s="6" t="e">
        <f>MATCH(D1378,'D5 - Gatekeeper - Projects'!$C$4:$C$1010,0)</f>
        <v>#N/A</v>
      </c>
      <c r="AN1378" s="6" t="b">
        <f t="shared" si="142"/>
        <v>1</v>
      </c>
      <c r="AO1378" s="6" t="str">
        <f t="shared" si="144"/>
        <v>OK</v>
      </c>
      <c r="AQ1378" s="6" t="e">
        <f>MATCH($D1378,'D4 - Provider Council Unsched'!$C$11:$C$234,0)</f>
        <v>#N/A</v>
      </c>
      <c r="AR1378" s="6" t="b">
        <f t="shared" si="143"/>
        <v>1</v>
      </c>
      <c r="AS1378" s="6" t="str">
        <f t="shared" si="145"/>
        <v>OK</v>
      </c>
      <c r="AU1378" s="202">
        <v>40424</v>
      </c>
      <c r="AV1378" s="262"/>
      <c r="AW1378" s="274"/>
    </row>
    <row r="1379" spans="1:49" s="13" customFormat="1" ht="33.75" x14ac:dyDescent="0.2">
      <c r="A1379" s="14">
        <v>1355</v>
      </c>
      <c r="B1379" s="8">
        <v>400033787</v>
      </c>
      <c r="C1379" s="8" t="s">
        <v>3763</v>
      </c>
      <c r="D1379" s="4" t="str">
        <f t="shared" si="140"/>
        <v>400033787R2</v>
      </c>
      <c r="E1379" s="309" t="str">
        <f>VLOOKUP($B1379,'D7 - NDB Impacted SPRF''s'!$E$6:$O$9929,2,FALSE)</f>
        <v>UNO 2010 Operational Efficiencies</v>
      </c>
      <c r="F1379" s="8"/>
      <c r="G1379" s="8" t="s">
        <v>4758</v>
      </c>
      <c r="H1379" s="8" t="s">
        <v>4246</v>
      </c>
      <c r="I1379" s="20">
        <v>1.5666666666666667</v>
      </c>
      <c r="J1379" s="8" t="s">
        <v>4862</v>
      </c>
      <c r="K1379" s="182">
        <v>40495</v>
      </c>
      <c r="L1379" s="8" t="s">
        <v>4156</v>
      </c>
      <c r="M1379" s="8" t="s">
        <v>5626</v>
      </c>
      <c r="N1379" s="38" t="s">
        <v>6044</v>
      </c>
      <c r="O1379" s="8"/>
      <c r="P1379" s="4" t="str">
        <f>VLOOKUP($B1379,'D7 - NDB Impacted SPRF''s'!$E$16:$O$9929,9,FALSE)</f>
        <v>N</v>
      </c>
      <c r="Q1379" s="4" t="str">
        <f>VLOOKUP($B1379,'D7 - NDB Impacted SPRF''s'!$E$16:$O$9929,10,FALSE)</f>
        <v>N</v>
      </c>
      <c r="R1379" s="4" t="str">
        <f>VLOOKUP($B1379,'D7 - NDB Impacted SPRF''s'!$E$16:$O$9929,11,FALSE)</f>
        <v>N</v>
      </c>
      <c r="S1379" s="8"/>
      <c r="T1379" s="310"/>
      <c r="U1379" s="310"/>
      <c r="V1379" s="4"/>
      <c r="W1379" s="4"/>
      <c r="X1379" s="4"/>
      <c r="Y1379" s="4"/>
      <c r="Z1379" s="4"/>
      <c r="AA1379" s="4"/>
      <c r="AB1379" s="380" t="str">
        <f>VLOOKUP($B1379,'D7 - NDB Impacted SPRF''s'!$E$6:$O$9929,4,FALSE)</f>
        <v>Completed</v>
      </c>
      <c r="AC1379" s="380" t="str">
        <f>VLOOKUP($B1379,'D7 - NDB Impacted SPRF''s'!$E$6:$O$9929,3,FALSE)</f>
        <v>UnitedHealthcare Employer &amp; Individual</v>
      </c>
      <c r="AD1379" s="380" t="str">
        <f>VLOOKUP($B1379,'D7 - NDB Impacted SPRF''s'!$E$6:$O$9929,5,FALSE)</f>
        <v>Process Improvement</v>
      </c>
      <c r="AE1379" s="380" t="str">
        <f>VLOOKUP($B1379,'D7 - NDB Impacted SPRF''s'!$E$6:$O$9929,7,FALSE)</f>
        <v>Jill Foucre</v>
      </c>
      <c r="AF1379" s="380" t="str">
        <f>VLOOKUP($B1379,'D7 - NDB Impacted SPRF''s'!$E$6:$O$9929,6,FALSE)</f>
        <v>John Ragland</v>
      </c>
      <c r="AG1379" s="282"/>
      <c r="AH1379" s="311" t="e">
        <f>INDEX('D5 - Gatekeeper - Projects'!$A$4:$AF$1010,$AM1379, 17)</f>
        <v>#N/A</v>
      </c>
      <c r="AI1379" s="8"/>
      <c r="AJ1379" s="57"/>
      <c r="AK1379" s="105"/>
      <c r="AM1379" s="6" t="e">
        <f>MATCH(D1379,'D5 - Gatekeeper - Projects'!$C$4:$C$1010,0)</f>
        <v>#N/A</v>
      </c>
      <c r="AN1379" s="6" t="b">
        <f t="shared" si="142"/>
        <v>1</v>
      </c>
      <c r="AO1379" s="6" t="str">
        <f t="shared" si="144"/>
        <v>OK</v>
      </c>
      <c r="AQ1379" s="6" t="e">
        <f>MATCH($D1379,'D4 - Provider Council Unsched'!$C$11:$C$234,0)</f>
        <v>#N/A</v>
      </c>
      <c r="AR1379" s="6" t="b">
        <f t="shared" si="143"/>
        <v>1</v>
      </c>
      <c r="AS1379" s="6" t="str">
        <f t="shared" si="145"/>
        <v>OK</v>
      </c>
      <c r="AU1379" s="202">
        <v>40494</v>
      </c>
      <c r="AV1379" s="262"/>
      <c r="AW1379" s="274"/>
    </row>
    <row r="1380" spans="1:49" s="13" customFormat="1" ht="33.75" x14ac:dyDescent="0.2">
      <c r="A1380" s="14">
        <v>1356</v>
      </c>
      <c r="B1380" s="14">
        <v>400033793</v>
      </c>
      <c r="C1380" s="8" t="s">
        <v>3763</v>
      </c>
      <c r="D1380" s="4" t="str">
        <f t="shared" si="140"/>
        <v>400033793R2</v>
      </c>
      <c r="E1380" s="309" t="str">
        <f>VLOOKUP($B1380,'D7 - NDB Impacted SPRF''s'!$E$6:$O$9929,2,FALSE)</f>
        <v>Gated Product on UNET/UHC Navigate - Core Apps</v>
      </c>
      <c r="F1380" s="8" t="s">
        <v>2114</v>
      </c>
      <c r="G1380" s="8" t="s">
        <v>4758</v>
      </c>
      <c r="H1380" s="8" t="s">
        <v>4246</v>
      </c>
      <c r="I1380" s="20">
        <v>10</v>
      </c>
      <c r="J1380" s="8" t="s">
        <v>4862</v>
      </c>
      <c r="K1380" s="182">
        <v>40495</v>
      </c>
      <c r="L1380" s="8" t="s">
        <v>4156</v>
      </c>
      <c r="M1380" s="8" t="s">
        <v>2814</v>
      </c>
      <c r="N1380" s="38"/>
      <c r="O1380" s="8"/>
      <c r="P1380" s="4" t="str">
        <f>VLOOKUP($B1380,'D7 - NDB Impacted SPRF''s'!$E$16:$O$9929,9,FALSE)</f>
        <v>Y</v>
      </c>
      <c r="Q1380" s="4" t="str">
        <f>VLOOKUP($B1380,'D7 - NDB Impacted SPRF''s'!$E$16:$O$9929,10,FALSE)</f>
        <v>N</v>
      </c>
      <c r="R1380" s="4" t="str">
        <f>VLOOKUP($B1380,'D7 - NDB Impacted SPRF''s'!$E$16:$O$9929,11,FALSE)</f>
        <v>Y</v>
      </c>
      <c r="S1380" s="8"/>
      <c r="T1380" s="310"/>
      <c r="U1380" s="310"/>
      <c r="V1380" s="4"/>
      <c r="W1380" s="4"/>
      <c r="X1380" s="4"/>
      <c r="Y1380" s="4"/>
      <c r="Z1380" s="4"/>
      <c r="AA1380" s="4"/>
      <c r="AB1380" s="380" t="str">
        <f>VLOOKUP($B1380,'D7 - NDB Impacted SPRF''s'!$E$6:$O$9929,4,FALSE)</f>
        <v>Completed</v>
      </c>
      <c r="AC1380" s="380" t="str">
        <f>VLOOKUP($B1380,'D7 - NDB Impacted SPRF''s'!$E$6:$O$9929,3,FALSE)</f>
        <v>UnitedHealthcare Employer &amp; Individual</v>
      </c>
      <c r="AD1380" s="380" t="str">
        <f>VLOOKUP($B1380,'D7 - NDB Impacted SPRF''s'!$E$6:$O$9929,5,FALSE)</f>
        <v>Membership Growth / Revenue Programs</v>
      </c>
      <c r="AE1380" s="380" t="str">
        <f>VLOOKUP($B1380,'D7 - NDB Impacted SPRF''s'!$E$6:$O$9929,7,FALSE)</f>
        <v>Yasmine Winkler</v>
      </c>
      <c r="AF1380" s="380" t="str">
        <f>VLOOKUP($B1380,'D7 - NDB Impacted SPRF''s'!$E$6:$O$9929,6,FALSE)</f>
        <v>COBB DOROTHY</v>
      </c>
      <c r="AG1380" s="282"/>
      <c r="AH1380" s="311" t="e">
        <f>INDEX('D5 - Gatekeeper - Projects'!$A$4:$AF$1010,$AM1380, 17)</f>
        <v>#N/A</v>
      </c>
      <c r="AI1380" s="8"/>
      <c r="AJ1380" s="57"/>
      <c r="AK1380" s="105"/>
      <c r="AM1380" s="6" t="e">
        <f>MATCH(D1380,'D5 - Gatekeeper - Projects'!$C$4:$C$1010,0)</f>
        <v>#N/A</v>
      </c>
      <c r="AN1380" s="6" t="b">
        <f t="shared" si="142"/>
        <v>1</v>
      </c>
      <c r="AO1380" s="6" t="str">
        <f t="shared" si="144"/>
        <v>OK</v>
      </c>
      <c r="AQ1380" s="6" t="e">
        <f>MATCH($D1380,'D4 - Provider Council Unsched'!$C$11:$C$234,0)</f>
        <v>#N/A</v>
      </c>
      <c r="AR1380" s="6" t="b">
        <f t="shared" si="143"/>
        <v>1</v>
      </c>
      <c r="AS1380" s="6" t="str">
        <f>IF(AND(H1380="2 - Not Scheduled",AR1380=TRUE),"Add","OK")</f>
        <v>OK</v>
      </c>
      <c r="AU1380" s="202">
        <v>40312</v>
      </c>
      <c r="AV1380" s="262"/>
      <c r="AW1380" s="274"/>
    </row>
    <row r="1381" spans="1:49" s="13" customFormat="1" ht="45" x14ac:dyDescent="0.2">
      <c r="A1381" s="14">
        <v>1357</v>
      </c>
      <c r="B1381" s="14">
        <v>400033827</v>
      </c>
      <c r="C1381" s="8" t="s">
        <v>3763</v>
      </c>
      <c r="D1381" s="4" t="str">
        <f t="shared" si="140"/>
        <v>400033827R2</v>
      </c>
      <c r="E1381" s="309" t="str">
        <f>VLOOKUP($B1381,'D7 - NDB Impacted SPRF''s'!$E$6:$O$9929,2,FALSE)</f>
        <v xml:space="preserve">CDB Core Processing:  Inquiry Views </v>
      </c>
      <c r="F1381" s="8" t="s">
        <v>2114</v>
      </c>
      <c r="G1381" s="8" t="s">
        <v>4758</v>
      </c>
      <c r="H1381" s="8" t="s">
        <v>4246</v>
      </c>
      <c r="I1381" s="20">
        <v>2</v>
      </c>
      <c r="J1381" s="8" t="s">
        <v>4862</v>
      </c>
      <c r="K1381" s="182">
        <v>40495</v>
      </c>
      <c r="L1381" s="8" t="s">
        <v>4156</v>
      </c>
      <c r="M1381" s="8" t="s">
        <v>5626</v>
      </c>
      <c r="N1381" s="38"/>
      <c r="O1381" s="8"/>
      <c r="P1381" s="4" t="str">
        <f>VLOOKUP($B1381,'D7 - NDB Impacted SPRF''s'!$E$16:$O$9929,9,FALSE)</f>
        <v>Y</v>
      </c>
      <c r="Q1381" s="4" t="str">
        <f>VLOOKUP($B1381,'D7 - NDB Impacted SPRF''s'!$E$16:$O$9929,10,FALSE)</f>
        <v>N</v>
      </c>
      <c r="R1381" s="4" t="str">
        <f>VLOOKUP($B1381,'D7 - NDB Impacted SPRF''s'!$E$16:$O$9929,11,FALSE)</f>
        <v>N</v>
      </c>
      <c r="S1381" s="8"/>
      <c r="T1381" s="310"/>
      <c r="U1381" s="310"/>
      <c r="V1381" s="4"/>
      <c r="W1381" s="4"/>
      <c r="X1381" s="4"/>
      <c r="Y1381" s="4"/>
      <c r="Z1381" s="4"/>
      <c r="AA1381" s="4"/>
      <c r="AB1381" s="380" t="str">
        <f>VLOOKUP($B1381,'D7 - NDB Impacted SPRF''s'!$E$6:$O$9929,4,FALSE)</f>
        <v>Completed</v>
      </c>
      <c r="AC1381" s="380" t="str">
        <f>VLOOKUP($B1381,'D7 - NDB Impacted SPRF''s'!$E$6:$O$9929,3,FALSE)</f>
        <v>UHG IT - Enterprise Technology Services</v>
      </c>
      <c r="AD1381" s="380" t="str">
        <f>VLOOKUP($B1381,'D7 - NDB Impacted SPRF''s'!$E$6:$O$9929,5,FALSE)</f>
        <v>Strategic Initiatives</v>
      </c>
      <c r="AE1381" s="380" t="str">
        <f>VLOOKUP($B1381,'D7 - NDB Impacted SPRF''s'!$E$6:$O$9929,7,FALSE)</f>
        <v>Patrick Casey</v>
      </c>
      <c r="AF1381" s="380" t="str">
        <f>VLOOKUP($B1381,'D7 - NDB Impacted SPRF''s'!$E$6:$O$9929,6,FALSE)</f>
        <v>Sue Meotti</v>
      </c>
      <c r="AG1381" s="282"/>
      <c r="AH1381" s="311" t="e">
        <f>INDEX('D5 - Gatekeeper - Projects'!$A$4:$AF$1010,$AM1381, 17)</f>
        <v>#N/A</v>
      </c>
      <c r="AI1381" s="8"/>
      <c r="AJ1381" s="57"/>
      <c r="AK1381" s="105"/>
      <c r="AM1381" s="6" t="e">
        <f>MATCH(D1381,'D5 - Gatekeeper - Projects'!$C$4:$C$1010,0)</f>
        <v>#N/A</v>
      </c>
      <c r="AN1381" s="6" t="b">
        <f t="shared" si="142"/>
        <v>1</v>
      </c>
      <c r="AO1381" s="6" t="str">
        <f t="shared" si="144"/>
        <v>OK</v>
      </c>
      <c r="AQ1381" s="6" t="e">
        <f>MATCH($D1381,'D4 - Provider Council Unsched'!$C$11:$C$234,0)</f>
        <v>#N/A</v>
      </c>
      <c r="AR1381" s="6" t="b">
        <f t="shared" si="143"/>
        <v>1</v>
      </c>
      <c r="AS1381" s="6" t="str">
        <f t="shared" ref="AS1381:AS1399" si="146">IF(AND(H1381="2 - Not Scheduled",AR1381=TRUE,C1381="R1"),"Add","OK")</f>
        <v>OK</v>
      </c>
      <c r="AU1381" s="202">
        <v>40445</v>
      </c>
      <c r="AV1381" s="262"/>
      <c r="AW1381" s="274"/>
    </row>
    <row r="1382" spans="1:49" s="13" customFormat="1" ht="33.75" x14ac:dyDescent="0.2">
      <c r="A1382" s="14">
        <v>1358</v>
      </c>
      <c r="B1382" s="14">
        <v>400034596</v>
      </c>
      <c r="C1382" s="8" t="s">
        <v>5197</v>
      </c>
      <c r="D1382" s="4" t="str">
        <f t="shared" si="140"/>
        <v>400034596R1</v>
      </c>
      <c r="E1382" s="309" t="str">
        <f>VLOOKUP($B1382,'D7 - NDB Impacted SPRF''s'!$E$6:$O$9929,2,FALSE)</f>
        <v>iHSR - Release 4</v>
      </c>
      <c r="F1382" s="8" t="s">
        <v>2114</v>
      </c>
      <c r="G1382" s="8" t="s">
        <v>4758</v>
      </c>
      <c r="H1382" s="8" t="s">
        <v>4246</v>
      </c>
      <c r="I1382" s="20">
        <v>1.07</v>
      </c>
      <c r="J1382" s="8" t="s">
        <v>4862</v>
      </c>
      <c r="K1382" s="182">
        <v>40495</v>
      </c>
      <c r="L1382" s="8" t="s">
        <v>4156</v>
      </c>
      <c r="M1382" s="8" t="s">
        <v>5626</v>
      </c>
      <c r="N1382" s="38"/>
      <c r="O1382" s="8"/>
      <c r="P1382" s="4" t="str">
        <f>VLOOKUP($B1382,'D7 - NDB Impacted SPRF''s'!$E$16:$O$9929,9,FALSE)</f>
        <v>Y</v>
      </c>
      <c r="Q1382" s="4" t="str">
        <f>VLOOKUP($B1382,'D7 - NDB Impacted SPRF''s'!$E$16:$O$9929,10,FALSE)</f>
        <v>N</v>
      </c>
      <c r="R1382" s="4" t="str">
        <f>VLOOKUP($B1382,'D7 - NDB Impacted SPRF''s'!$E$16:$O$9929,11,FALSE)</f>
        <v>N</v>
      </c>
      <c r="S1382" s="8"/>
      <c r="T1382" s="310"/>
      <c r="U1382" s="310"/>
      <c r="V1382" s="4"/>
      <c r="W1382" s="4"/>
      <c r="X1382" s="4"/>
      <c r="Y1382" s="4"/>
      <c r="Z1382" s="4"/>
      <c r="AA1382" s="4"/>
      <c r="AB1382" s="380" t="str">
        <f>VLOOKUP($B1382,'D7 - NDB Impacted SPRF''s'!$E$6:$O$9929,4,FALSE)</f>
        <v>Completed</v>
      </c>
      <c r="AC1382" s="380" t="str">
        <f>VLOOKUP($B1382,'D7 - NDB Impacted SPRF''s'!$E$6:$O$9929,3,FALSE)</f>
        <v>UnitedHealthcare Medicare &amp; Retirement</v>
      </c>
      <c r="AD1382" s="380" t="str">
        <f>VLOOKUP($B1382,'D7 - NDB Impacted SPRF''s'!$E$6:$O$9929,5,FALSE)</f>
        <v>Enterprise Clinical</v>
      </c>
      <c r="AE1382" s="380" t="str">
        <f>VLOOKUP($B1382,'D7 - NDB Impacted SPRF''s'!$E$6:$O$9929,7,FALSE)</f>
        <v>Ellen Koch</v>
      </c>
      <c r="AF1382" s="380" t="str">
        <f>VLOOKUP($B1382,'D7 - NDB Impacted SPRF''s'!$E$6:$O$9929,6,FALSE)</f>
        <v>Carol Buske</v>
      </c>
      <c r="AG1382" s="282"/>
      <c r="AH1382" s="311" t="e">
        <f>INDEX('D5 - Gatekeeper - Projects'!$A$4:$AF$1010,$AM1382, 17)</f>
        <v>#N/A</v>
      </c>
      <c r="AI1382" s="8"/>
      <c r="AJ1382" s="57"/>
      <c r="AK1382" s="105"/>
      <c r="AM1382" s="6" t="e">
        <f>MATCH(D1382,'D5 - Gatekeeper - Projects'!$C$4:$C$1010,0)</f>
        <v>#N/A</v>
      </c>
      <c r="AN1382" s="6" t="b">
        <f t="shared" si="142"/>
        <v>1</v>
      </c>
      <c r="AO1382" s="6" t="str">
        <f t="shared" si="144"/>
        <v>OK</v>
      </c>
      <c r="AQ1382" s="6" t="e">
        <f>MATCH($D1382,'D4 - Provider Council Unsched'!$C$11:$C$234,0)</f>
        <v>#N/A</v>
      </c>
      <c r="AR1382" s="6" t="b">
        <f t="shared" si="143"/>
        <v>1</v>
      </c>
      <c r="AS1382" s="6" t="str">
        <f t="shared" si="146"/>
        <v>OK</v>
      </c>
      <c r="AU1382" s="202">
        <v>40298</v>
      </c>
      <c r="AV1382" s="262"/>
      <c r="AW1382" s="274"/>
    </row>
    <row r="1383" spans="1:49" s="13" customFormat="1" ht="33.75" x14ac:dyDescent="0.2">
      <c r="A1383" s="14">
        <v>1359</v>
      </c>
      <c r="B1383" s="14">
        <v>400034700</v>
      </c>
      <c r="C1383" s="8" t="s">
        <v>5197</v>
      </c>
      <c r="D1383" s="4" t="str">
        <f t="shared" si="140"/>
        <v>400034700R1</v>
      </c>
      <c r="E1383" s="309" t="str">
        <f>VLOOKUP($B1383,'D7 - NDB Impacted SPRF''s'!$E$6:$O$9929,2,FALSE)</f>
        <v xml:space="preserve">Gated on UNET/UHC Navigate - Constituent Services </v>
      </c>
      <c r="F1383" s="8"/>
      <c r="G1383" s="8" t="s">
        <v>4758</v>
      </c>
      <c r="H1383" s="8" t="s">
        <v>4246</v>
      </c>
      <c r="I1383" s="20">
        <v>13.15</v>
      </c>
      <c r="J1383" s="8" t="s">
        <v>4862</v>
      </c>
      <c r="K1383" s="182">
        <v>40495</v>
      </c>
      <c r="L1383" s="8" t="s">
        <v>4156</v>
      </c>
      <c r="M1383" s="8" t="s">
        <v>2814</v>
      </c>
      <c r="N1383" s="38"/>
      <c r="O1383" s="8"/>
      <c r="P1383" s="4" t="str">
        <f>VLOOKUP($B1383,'D7 - NDB Impacted SPRF''s'!$E$16:$O$9929,9,FALSE)</f>
        <v>N</v>
      </c>
      <c r="Q1383" s="4" t="str">
        <f>VLOOKUP($B1383,'D7 - NDB Impacted SPRF''s'!$E$16:$O$9929,10,FALSE)</f>
        <v>N</v>
      </c>
      <c r="R1383" s="4" t="str">
        <f>VLOOKUP($B1383,'D7 - NDB Impacted SPRF''s'!$E$16:$O$9929,11,FALSE)</f>
        <v>N</v>
      </c>
      <c r="S1383" s="8"/>
      <c r="T1383" s="310"/>
      <c r="U1383" s="310"/>
      <c r="V1383" s="4"/>
      <c r="W1383" s="4"/>
      <c r="X1383" s="4"/>
      <c r="Y1383" s="4"/>
      <c r="Z1383" s="4"/>
      <c r="AA1383" s="4"/>
      <c r="AB1383" s="380" t="str">
        <f>VLOOKUP($B1383,'D7 - NDB Impacted SPRF''s'!$E$6:$O$9929,4,FALSE)</f>
        <v>Completed</v>
      </c>
      <c r="AC1383" s="380" t="str">
        <f>VLOOKUP($B1383,'D7 - NDB Impacted SPRF''s'!$E$6:$O$9929,3,FALSE)</f>
        <v>UnitedHealthcare Employer &amp; Individual</v>
      </c>
      <c r="AD1383" s="380" t="str">
        <f>VLOOKUP($B1383,'D7 - NDB Impacted SPRF''s'!$E$6:$O$9929,5,FALSE)</f>
        <v>Membership Growth / Revenue Programs</v>
      </c>
      <c r="AE1383" s="380" t="str">
        <f>VLOOKUP($B1383,'D7 - NDB Impacted SPRF''s'!$E$6:$O$9929,7,FALSE)</f>
        <v>Yasmine Winkler</v>
      </c>
      <c r="AF1383" s="380" t="str">
        <f>VLOOKUP($B1383,'D7 - NDB Impacted SPRF''s'!$E$6:$O$9929,6,FALSE)</f>
        <v>COBB DOROTHY</v>
      </c>
      <c r="AG1383" s="282"/>
      <c r="AH1383" s="311" t="e">
        <f>INDEX('D5 - Gatekeeper - Projects'!$A$4:$AF$1010,$AM1383, 17)</f>
        <v>#N/A</v>
      </c>
      <c r="AI1383" s="8"/>
      <c r="AJ1383" s="57"/>
      <c r="AK1383" s="105"/>
      <c r="AM1383" s="6" t="e">
        <f>MATCH(D1383,'D5 - Gatekeeper - Projects'!$C$4:$C$1010,0)</f>
        <v>#N/A</v>
      </c>
      <c r="AN1383" s="6" t="b">
        <f t="shared" si="142"/>
        <v>1</v>
      </c>
      <c r="AO1383" s="6" t="str">
        <f t="shared" si="144"/>
        <v>OK</v>
      </c>
      <c r="AQ1383" s="6" t="e">
        <f>MATCH($D1383,'D4 - Provider Council Unsched'!$C$11:$C$234,0)</f>
        <v>#N/A</v>
      </c>
      <c r="AR1383" s="6" t="b">
        <f t="shared" si="143"/>
        <v>1</v>
      </c>
      <c r="AS1383" s="6" t="str">
        <f t="shared" si="146"/>
        <v>OK</v>
      </c>
      <c r="AU1383" s="202">
        <v>40276</v>
      </c>
      <c r="AV1383" s="262"/>
      <c r="AW1383" s="274"/>
    </row>
    <row r="1384" spans="1:49" s="13" customFormat="1" ht="33.75" x14ac:dyDescent="0.2">
      <c r="A1384" s="14">
        <v>1360</v>
      </c>
      <c r="B1384" s="14">
        <v>400034796</v>
      </c>
      <c r="C1384" s="8" t="s">
        <v>5197</v>
      </c>
      <c r="D1384" s="4" t="str">
        <f t="shared" si="140"/>
        <v>400034796R1</v>
      </c>
      <c r="E1384" s="309" t="str">
        <f>VLOOKUP($B1384,'D7 - NDB Impacted SPRF''s'!$E$6:$O$9929,2,FALSE)</f>
        <v>CSS-B2C 2010D Release</v>
      </c>
      <c r="F1384" s="8" t="s">
        <v>6401</v>
      </c>
      <c r="G1384" s="8" t="s">
        <v>4758</v>
      </c>
      <c r="H1384" s="8" t="s">
        <v>4246</v>
      </c>
      <c r="I1384" s="20">
        <v>14.36</v>
      </c>
      <c r="J1384" s="8" t="s">
        <v>4862</v>
      </c>
      <c r="K1384" s="182">
        <v>40495</v>
      </c>
      <c r="L1384" s="8" t="s">
        <v>4156</v>
      </c>
      <c r="M1384" s="8" t="s">
        <v>2814</v>
      </c>
      <c r="N1384" s="38"/>
      <c r="O1384" s="8"/>
      <c r="P1384" s="4" t="str">
        <f>VLOOKUP($B1384,'D7 - NDB Impacted SPRF''s'!$E$16:$O$9929,9,FALSE)</f>
        <v>Y</v>
      </c>
      <c r="Q1384" s="4" t="str">
        <f>VLOOKUP($B1384,'D7 - NDB Impacted SPRF''s'!$E$16:$O$9929,10,FALSE)</f>
        <v>N</v>
      </c>
      <c r="R1384" s="4" t="str">
        <f>VLOOKUP($B1384,'D7 - NDB Impacted SPRF''s'!$E$16:$O$9929,11,FALSE)</f>
        <v>N</v>
      </c>
      <c r="S1384" s="8"/>
      <c r="T1384" s="310"/>
      <c r="U1384" s="310"/>
      <c r="V1384" s="4"/>
      <c r="W1384" s="4"/>
      <c r="X1384" s="4"/>
      <c r="Y1384" s="4"/>
      <c r="Z1384" s="4"/>
      <c r="AA1384" s="4"/>
      <c r="AB1384" s="380" t="str">
        <f>VLOOKUP($B1384,'D7 - NDB Impacted SPRF''s'!$E$6:$O$9929,4,FALSE)</f>
        <v>Completed</v>
      </c>
      <c r="AC1384" s="380" t="str">
        <f>VLOOKUP($B1384,'D7 - NDB Impacted SPRF''s'!$E$6:$O$9929,3,FALSE)</f>
        <v>UnitedHealthcare Medicare &amp; Retirement</v>
      </c>
      <c r="AD1384" s="380" t="str">
        <f>VLOOKUP($B1384,'D7 - NDB Impacted SPRF''s'!$E$6:$O$9929,5,FALSE)</f>
        <v>Enterprise Clinical</v>
      </c>
      <c r="AE1384" s="380" t="str">
        <f>VLOOKUP($B1384,'D7 - NDB Impacted SPRF''s'!$E$6:$O$9929,7,FALSE)</f>
        <v>Cynthia Middaugh</v>
      </c>
      <c r="AF1384" s="380" t="str">
        <f>VLOOKUP($B1384,'D7 - NDB Impacted SPRF''s'!$E$6:$O$9929,6,FALSE)</f>
        <v>CHRISTINA MOSHER</v>
      </c>
      <c r="AG1384" s="282"/>
      <c r="AH1384" s="311" t="e">
        <f>INDEX('D5 - Gatekeeper - Projects'!$A$4:$AF$1010,$AM1384, 17)</f>
        <v>#N/A</v>
      </c>
      <c r="AI1384" s="8"/>
      <c r="AJ1384" s="57"/>
      <c r="AK1384" s="105"/>
      <c r="AM1384" s="6" t="e">
        <f>MATCH(D1384,'D5 - Gatekeeper - Projects'!$C$4:$C$1010,0)</f>
        <v>#N/A</v>
      </c>
      <c r="AN1384" s="6" t="b">
        <f t="shared" si="142"/>
        <v>1</v>
      </c>
      <c r="AO1384" s="6" t="str">
        <f t="shared" si="144"/>
        <v>OK</v>
      </c>
      <c r="AQ1384" s="6" t="e">
        <f>MATCH($D1384,'D4 - Provider Council Unsched'!$C$11:$C$234,0)</f>
        <v>#N/A</v>
      </c>
      <c r="AR1384" s="6" t="b">
        <f t="shared" si="143"/>
        <v>1</v>
      </c>
      <c r="AS1384" s="6" t="str">
        <f t="shared" si="146"/>
        <v>OK</v>
      </c>
      <c r="AU1384" s="202">
        <v>40322</v>
      </c>
      <c r="AV1384" s="262"/>
      <c r="AW1384" s="274"/>
    </row>
    <row r="1385" spans="1:49" s="13" customFormat="1" ht="33.75" x14ac:dyDescent="0.2">
      <c r="A1385" s="14">
        <v>1361</v>
      </c>
      <c r="B1385" s="14">
        <v>400034822</v>
      </c>
      <c r="C1385" s="8" t="s">
        <v>5197</v>
      </c>
      <c r="D1385" s="4" t="str">
        <f t="shared" si="140"/>
        <v>400034822R1</v>
      </c>
      <c r="E1385" s="309" t="str">
        <f>VLOOKUP($B1385,'D7 - NDB Impacted SPRF''s'!$E$6:$O$9929,2,FALSE)</f>
        <v>AmC New York CareOne Clinical Migration</v>
      </c>
      <c r="F1385" s="8"/>
      <c r="G1385" s="8" t="s">
        <v>4758</v>
      </c>
      <c r="H1385" s="8" t="s">
        <v>4246</v>
      </c>
      <c r="I1385" s="20">
        <v>1.07</v>
      </c>
      <c r="J1385" s="8" t="s">
        <v>4862</v>
      </c>
      <c r="K1385" s="182">
        <v>40495</v>
      </c>
      <c r="L1385" s="8" t="s">
        <v>4156</v>
      </c>
      <c r="M1385" s="8" t="s">
        <v>5626</v>
      </c>
      <c r="N1385" s="38"/>
      <c r="O1385" s="8"/>
      <c r="P1385" s="4" t="str">
        <f>VLOOKUP($B1385,'D7 - NDB Impacted SPRF''s'!$E$16:$O$9929,9,FALSE)</f>
        <v>N</v>
      </c>
      <c r="Q1385" s="4" t="str">
        <f>VLOOKUP($B1385,'D7 - NDB Impacted SPRF''s'!$E$16:$O$9929,10,FALSE)</f>
        <v>N</v>
      </c>
      <c r="R1385" s="4" t="str">
        <f>VLOOKUP($B1385,'D7 - NDB Impacted SPRF''s'!$E$16:$O$9929,11,FALSE)</f>
        <v>N</v>
      </c>
      <c r="S1385" s="8"/>
      <c r="T1385" s="310"/>
      <c r="U1385" s="310"/>
      <c r="V1385" s="4"/>
      <c r="W1385" s="4"/>
      <c r="X1385" s="4"/>
      <c r="Y1385" s="4"/>
      <c r="Z1385" s="4"/>
      <c r="AA1385" s="4"/>
      <c r="AB1385" s="380" t="str">
        <f>VLOOKUP($B1385,'D7 - NDB Impacted SPRF''s'!$E$6:$O$9929,4,FALSE)</f>
        <v>Completed</v>
      </c>
      <c r="AC1385" s="380" t="str">
        <f>VLOOKUP($B1385,'D7 - NDB Impacted SPRF''s'!$E$6:$O$9929,3,FALSE)</f>
        <v>UnitedHealthcare Medicare &amp; Retirement</v>
      </c>
      <c r="AD1385" s="380" t="str">
        <f>VLOOKUP($B1385,'D7 - NDB Impacted SPRF''s'!$E$6:$O$9929,5,FALSE)</f>
        <v>Enterprise Clinical</v>
      </c>
      <c r="AE1385" s="380" t="str">
        <f>VLOOKUP($B1385,'D7 - NDB Impacted SPRF''s'!$E$6:$O$9929,7,FALSE)</f>
        <v>Sheila Nelson</v>
      </c>
      <c r="AF1385" s="380" t="str">
        <f>VLOOKUP($B1385,'D7 - NDB Impacted SPRF''s'!$E$6:$O$9929,6,FALSE)</f>
        <v>Steve Gudvangen</v>
      </c>
      <c r="AG1385" s="282"/>
      <c r="AH1385" s="311" t="e">
        <f>INDEX('D5 - Gatekeeper - Projects'!$A$4:$AF$1010,$AM1385, 17)</f>
        <v>#N/A</v>
      </c>
      <c r="AI1385" s="8"/>
      <c r="AJ1385" s="57"/>
      <c r="AK1385" s="105"/>
      <c r="AM1385" s="6" t="e">
        <f>MATCH(D1385,'D5 - Gatekeeper - Projects'!$C$4:$C$1010,0)</f>
        <v>#N/A</v>
      </c>
      <c r="AN1385" s="6" t="b">
        <f t="shared" si="142"/>
        <v>1</v>
      </c>
      <c r="AO1385" s="6" t="str">
        <f t="shared" si="144"/>
        <v>OK</v>
      </c>
      <c r="AQ1385" s="6" t="e">
        <f>MATCH($D1385,'D4 - Provider Council Unsched'!$C$11:$C$234,0)</f>
        <v>#N/A</v>
      </c>
      <c r="AR1385" s="6" t="b">
        <f t="shared" si="143"/>
        <v>1</v>
      </c>
      <c r="AS1385" s="6" t="str">
        <f t="shared" si="146"/>
        <v>OK</v>
      </c>
      <c r="AU1385" s="202">
        <v>40346</v>
      </c>
      <c r="AV1385" s="262"/>
      <c r="AW1385" s="274"/>
    </row>
    <row r="1386" spans="1:49" s="13" customFormat="1" ht="33.75" x14ac:dyDescent="0.2">
      <c r="A1386" s="14">
        <v>1362</v>
      </c>
      <c r="B1386" s="14">
        <v>400034837</v>
      </c>
      <c r="C1386" s="8" t="s">
        <v>5197</v>
      </c>
      <c r="D1386" s="4" t="str">
        <f t="shared" si="140"/>
        <v>400034837R1</v>
      </c>
      <c r="E1386" s="309" t="str">
        <f>VLOOKUP($B1386,'D7 - NDB Impacted SPRF''s'!$E$6:$O$9929,2,FALSE)</f>
        <v xml:space="preserve">AmC Nebraska CareOne Clinical Migration </v>
      </c>
      <c r="F1386" s="8"/>
      <c r="G1386" s="8" t="s">
        <v>4758</v>
      </c>
      <c r="H1386" s="8" t="s">
        <v>4246</v>
      </c>
      <c r="I1386" s="20">
        <v>1.3</v>
      </c>
      <c r="J1386" s="8" t="s">
        <v>4862</v>
      </c>
      <c r="K1386" s="182">
        <v>40495</v>
      </c>
      <c r="L1386" s="8" t="s">
        <v>4156</v>
      </c>
      <c r="M1386" s="8" t="s">
        <v>5626</v>
      </c>
      <c r="N1386" s="38"/>
      <c r="O1386" s="8"/>
      <c r="P1386" s="4" t="str">
        <f>VLOOKUP($B1386,'D7 - NDB Impacted SPRF''s'!$E$16:$O$9929,9,FALSE)</f>
        <v>N</v>
      </c>
      <c r="Q1386" s="4" t="str">
        <f>VLOOKUP($B1386,'D7 - NDB Impacted SPRF''s'!$E$16:$O$9929,10,FALSE)</f>
        <v>N</v>
      </c>
      <c r="R1386" s="4" t="str">
        <f>VLOOKUP($B1386,'D7 - NDB Impacted SPRF''s'!$E$16:$O$9929,11,FALSE)</f>
        <v>N</v>
      </c>
      <c r="S1386" s="8"/>
      <c r="T1386" s="310"/>
      <c r="U1386" s="310"/>
      <c r="V1386" s="4"/>
      <c r="W1386" s="4"/>
      <c r="X1386" s="4"/>
      <c r="Y1386" s="4"/>
      <c r="Z1386" s="4"/>
      <c r="AA1386" s="4"/>
      <c r="AB1386" s="380" t="str">
        <f>VLOOKUP($B1386,'D7 - NDB Impacted SPRF''s'!$E$6:$O$9929,4,FALSE)</f>
        <v>Completed</v>
      </c>
      <c r="AC1386" s="380" t="str">
        <f>VLOOKUP($B1386,'D7 - NDB Impacted SPRF''s'!$E$6:$O$9929,3,FALSE)</f>
        <v>UnitedHealthcare Medicare &amp; Retirement</v>
      </c>
      <c r="AD1386" s="380" t="str">
        <f>VLOOKUP($B1386,'D7 - NDB Impacted SPRF''s'!$E$6:$O$9929,5,FALSE)</f>
        <v>Enterprise Clinical</v>
      </c>
      <c r="AE1386" s="380" t="str">
        <f>VLOOKUP($B1386,'D7 - NDB Impacted SPRF''s'!$E$6:$O$9929,7,FALSE)</f>
        <v>Sheila Nelson</v>
      </c>
      <c r="AF1386" s="380" t="str">
        <f>VLOOKUP($B1386,'D7 - NDB Impacted SPRF''s'!$E$6:$O$9929,6,FALSE)</f>
        <v>Steve Gudvangen</v>
      </c>
      <c r="AG1386" s="282"/>
      <c r="AH1386" s="311" t="e">
        <f>INDEX('D5 - Gatekeeper - Projects'!$A$4:$AF$1010,$AM1386, 17)</f>
        <v>#N/A</v>
      </c>
      <c r="AI1386" s="8"/>
      <c r="AJ1386" s="57"/>
      <c r="AK1386" s="105"/>
      <c r="AM1386" s="6" t="e">
        <f>MATCH(D1386,'D5 - Gatekeeper - Projects'!$C$4:$C$1010,0)</f>
        <v>#N/A</v>
      </c>
      <c r="AN1386" s="6" t="b">
        <f t="shared" si="142"/>
        <v>1</v>
      </c>
      <c r="AO1386" s="6" t="str">
        <f t="shared" si="144"/>
        <v>OK</v>
      </c>
      <c r="AQ1386" s="6" t="e">
        <f>MATCH($D1386,'D4 - Provider Council Unsched'!$C$11:$C$234,0)</f>
        <v>#N/A</v>
      </c>
      <c r="AR1386" s="6" t="b">
        <f t="shared" si="143"/>
        <v>1</v>
      </c>
      <c r="AS1386" s="6" t="str">
        <f t="shared" si="146"/>
        <v>OK</v>
      </c>
      <c r="AU1386" s="202">
        <v>40399</v>
      </c>
      <c r="AV1386" s="262"/>
      <c r="AW1386" s="274"/>
    </row>
    <row r="1387" spans="1:49" s="13" customFormat="1" ht="33.75" x14ac:dyDescent="0.2">
      <c r="A1387" s="14">
        <v>1363</v>
      </c>
      <c r="B1387" s="14">
        <v>400035820</v>
      </c>
      <c r="C1387" s="8" t="s">
        <v>5197</v>
      </c>
      <c r="D1387" s="4" t="str">
        <f t="shared" si="140"/>
        <v>400035820R1</v>
      </c>
      <c r="E1387" s="309" t="str">
        <f>VLOOKUP($B1387,'D7 - NDB Impacted SPRF''s'!$E$6:$O$9929,2,FALSE)</f>
        <v>Portals Roadmap AMC to UHCOL</v>
      </c>
      <c r="F1387" s="8"/>
      <c r="G1387" s="8" t="s">
        <v>4758</v>
      </c>
      <c r="H1387" s="8" t="s">
        <v>4246</v>
      </c>
      <c r="I1387" s="20">
        <v>9</v>
      </c>
      <c r="J1387" s="8" t="s">
        <v>4862</v>
      </c>
      <c r="K1387" s="182">
        <v>40495</v>
      </c>
      <c r="L1387" s="8" t="s">
        <v>4156</v>
      </c>
      <c r="M1387" s="8" t="s">
        <v>5626</v>
      </c>
      <c r="N1387" s="38"/>
      <c r="O1387" s="8"/>
      <c r="P1387" s="4" t="str">
        <f>VLOOKUP($B1387,'D7 - NDB Impacted SPRF''s'!$E$16:$O$9929,9,FALSE)</f>
        <v>N</v>
      </c>
      <c r="Q1387" s="4" t="str">
        <f>VLOOKUP($B1387,'D7 - NDB Impacted SPRF''s'!$E$16:$O$9929,10,FALSE)</f>
        <v>N</v>
      </c>
      <c r="R1387" s="4" t="str">
        <f>VLOOKUP($B1387,'D7 - NDB Impacted SPRF''s'!$E$16:$O$9929,11,FALSE)</f>
        <v>N</v>
      </c>
      <c r="S1387" s="8"/>
      <c r="T1387" s="310"/>
      <c r="U1387" s="310"/>
      <c r="V1387" s="4"/>
      <c r="W1387" s="4"/>
      <c r="X1387" s="4"/>
      <c r="Y1387" s="4"/>
      <c r="Z1387" s="4"/>
      <c r="AA1387" s="4"/>
      <c r="AB1387" s="380" t="str">
        <f>VLOOKUP($B1387,'D7 - NDB Impacted SPRF''s'!$E$6:$O$9929,4,FALSE)</f>
        <v>Completed</v>
      </c>
      <c r="AC1387" s="380" t="str">
        <f>VLOOKUP($B1387,'D7 - NDB Impacted SPRF''s'!$E$6:$O$9929,3,FALSE)</f>
        <v>UnitedHealthcare Community &amp; State</v>
      </c>
      <c r="AD1387" s="380" t="str">
        <f>VLOOKUP($B1387,'D7 - NDB Impacted SPRF''s'!$E$6:$O$9929,5,FALSE)</f>
        <v>AmeriChoice</v>
      </c>
      <c r="AE1387" s="380" t="str">
        <f>VLOOKUP($B1387,'D7 - NDB Impacted SPRF''s'!$E$6:$O$9929,7,FALSE)</f>
        <v>Les Sowa</v>
      </c>
      <c r="AF1387" s="380" t="str">
        <f>VLOOKUP($B1387,'D7 - NDB Impacted SPRF''s'!$E$6:$O$9929,6,FALSE)</f>
        <v>Ronald Wilson</v>
      </c>
      <c r="AG1387" s="282"/>
      <c r="AH1387" s="311" t="e">
        <f>INDEX('D5 - Gatekeeper - Projects'!$A$4:$AF$1010,$AM1387, 17)</f>
        <v>#N/A</v>
      </c>
      <c r="AI1387" s="8"/>
      <c r="AJ1387" s="57"/>
      <c r="AK1387" s="105"/>
      <c r="AM1387" s="6" t="e">
        <f>MATCH(D1387,'D5 - Gatekeeper - Projects'!$C$4:$C$1010,0)</f>
        <v>#N/A</v>
      </c>
      <c r="AN1387" s="6" t="b">
        <f t="shared" si="142"/>
        <v>1</v>
      </c>
      <c r="AO1387" s="6" t="str">
        <f t="shared" si="144"/>
        <v>OK</v>
      </c>
      <c r="AQ1387" s="6" t="e">
        <f>MATCH($D1387,'D4 - Provider Council Unsched'!$C$11:$C$234,0)</f>
        <v>#N/A</v>
      </c>
      <c r="AR1387" s="6" t="b">
        <f t="shared" si="143"/>
        <v>1</v>
      </c>
      <c r="AS1387" s="6" t="str">
        <f t="shared" si="146"/>
        <v>OK</v>
      </c>
      <c r="AU1387" s="202">
        <v>40379</v>
      </c>
      <c r="AV1387" s="262"/>
      <c r="AW1387" s="274"/>
    </row>
    <row r="1388" spans="1:49" s="13" customFormat="1" ht="33.75" x14ac:dyDescent="0.2">
      <c r="A1388" s="14">
        <v>1364</v>
      </c>
      <c r="B1388" s="14">
        <v>400035939</v>
      </c>
      <c r="C1388" s="8" t="s">
        <v>5197</v>
      </c>
      <c r="D1388" s="4" t="str">
        <f t="shared" si="140"/>
        <v>400035939R1</v>
      </c>
      <c r="E1388" s="309" t="str">
        <f>VLOOKUP($B1388,'D7 - NDB Impacted SPRF''s'!$E$6:$O$9929,2,FALSE)</f>
        <v>EDI Hub Consolidation Release 2.0</v>
      </c>
      <c r="F1388" s="8"/>
      <c r="G1388" s="8" t="s">
        <v>4758</v>
      </c>
      <c r="H1388" s="8" t="s">
        <v>4246</v>
      </c>
      <c r="I1388" s="20">
        <v>1.07</v>
      </c>
      <c r="J1388" s="8" t="s">
        <v>4862</v>
      </c>
      <c r="K1388" s="182">
        <v>40495</v>
      </c>
      <c r="L1388" s="8" t="s">
        <v>4156</v>
      </c>
      <c r="M1388" s="8" t="s">
        <v>5626</v>
      </c>
      <c r="N1388" s="38"/>
      <c r="O1388" s="8"/>
      <c r="P1388" s="4" t="str">
        <f>VLOOKUP($B1388,'D7 - NDB Impacted SPRF''s'!$E$16:$O$9929,9,FALSE)</f>
        <v>Y</v>
      </c>
      <c r="Q1388" s="4" t="str">
        <f>VLOOKUP($B1388,'D7 - NDB Impacted SPRF''s'!$E$16:$O$9929,10,FALSE)</f>
        <v>N</v>
      </c>
      <c r="R1388" s="4" t="str">
        <f>VLOOKUP($B1388,'D7 - NDB Impacted SPRF''s'!$E$16:$O$9929,11,FALSE)</f>
        <v>N</v>
      </c>
      <c r="S1388" s="8"/>
      <c r="T1388" s="310"/>
      <c r="U1388" s="310"/>
      <c r="V1388" s="4"/>
      <c r="W1388" s="4"/>
      <c r="X1388" s="4"/>
      <c r="Y1388" s="4"/>
      <c r="Z1388" s="4"/>
      <c r="AA1388" s="4"/>
      <c r="AB1388" s="380" t="str">
        <f>VLOOKUP($B1388,'D7 - NDB Impacted SPRF''s'!$E$6:$O$9929,4,FALSE)</f>
        <v>Completed</v>
      </c>
      <c r="AC1388" s="380" t="str">
        <f>VLOOKUP($B1388,'D7 - NDB Impacted SPRF''s'!$E$6:$O$9929,3,FALSE)</f>
        <v>UnitedHealthcare Employer &amp; Individual</v>
      </c>
      <c r="AD1388" s="380" t="str">
        <f>VLOOKUP($B1388,'D7 - NDB Impacted SPRF''s'!$E$6:$O$9929,5,FALSE)</f>
        <v>HIPAA 5010</v>
      </c>
      <c r="AE1388" s="380" t="str">
        <f>VLOOKUP($B1388,'D7 - NDB Impacted SPRF''s'!$E$6:$O$9929,7,FALSE)</f>
        <v>Ellen Dela Rosa-Pearn</v>
      </c>
      <c r="AF1388" s="380" t="str">
        <f>VLOOKUP($B1388,'D7 - NDB Impacted SPRF''s'!$E$6:$O$9929,6,FALSE)</f>
        <v>LISA FRIDLAND</v>
      </c>
      <c r="AG1388" s="282"/>
      <c r="AH1388" s="311" t="e">
        <f>INDEX('D5 - Gatekeeper - Projects'!$A$4:$AF$1010,$AM1388, 17)</f>
        <v>#N/A</v>
      </c>
      <c r="AI1388" s="8"/>
      <c r="AJ1388" s="57"/>
      <c r="AK1388" s="105"/>
      <c r="AM1388" s="6" t="e">
        <f>MATCH(D1388,'D5 - Gatekeeper - Projects'!$C$4:$C$1010,0)</f>
        <v>#N/A</v>
      </c>
      <c r="AN1388" s="6" t="b">
        <f t="shared" si="142"/>
        <v>1</v>
      </c>
      <c r="AO1388" s="6" t="str">
        <f t="shared" si="144"/>
        <v>OK</v>
      </c>
      <c r="AQ1388" s="6" t="e">
        <f>MATCH($D1388,'D4 - Provider Council Unsched'!$C$11:$C$234,0)</f>
        <v>#N/A</v>
      </c>
      <c r="AR1388" s="6" t="b">
        <f t="shared" si="143"/>
        <v>1</v>
      </c>
      <c r="AS1388" s="6" t="str">
        <f t="shared" si="146"/>
        <v>OK</v>
      </c>
      <c r="AU1388" s="202">
        <v>40381</v>
      </c>
      <c r="AV1388" s="262"/>
      <c r="AW1388" s="274"/>
    </row>
    <row r="1389" spans="1:49" s="13" customFormat="1" ht="33.75" x14ac:dyDescent="0.2">
      <c r="A1389" s="14">
        <v>1365</v>
      </c>
      <c r="B1389" s="14">
        <v>400036073</v>
      </c>
      <c r="C1389" s="8" t="s">
        <v>5197</v>
      </c>
      <c r="D1389" s="4" t="str">
        <f t="shared" si="140"/>
        <v>400036073R1</v>
      </c>
      <c r="E1389" s="309" t="str">
        <f>VLOOKUP($B1389,'D7 - NDB Impacted SPRF''s'!$E$6:$O$9929,2,FALSE)</f>
        <v>UMR - MNRP Implementation</v>
      </c>
      <c r="F1389" s="8"/>
      <c r="G1389" s="8" t="s">
        <v>4758</v>
      </c>
      <c r="H1389" s="8" t="s">
        <v>4246</v>
      </c>
      <c r="I1389" s="20">
        <v>1.07</v>
      </c>
      <c r="J1389" s="8" t="s">
        <v>4862</v>
      </c>
      <c r="K1389" s="182">
        <v>40495</v>
      </c>
      <c r="L1389" s="8" t="s">
        <v>4156</v>
      </c>
      <c r="M1389" s="8" t="s">
        <v>5626</v>
      </c>
      <c r="N1389" s="38"/>
      <c r="O1389" s="8"/>
      <c r="P1389" s="4" t="str">
        <f>VLOOKUP($B1389,'D7 - NDB Impacted SPRF''s'!$E$16:$O$9929,9,FALSE)</f>
        <v>N</v>
      </c>
      <c r="Q1389" s="4" t="str">
        <f>VLOOKUP($B1389,'D7 - NDB Impacted SPRF''s'!$E$16:$O$9929,10,FALSE)</f>
        <v>N</v>
      </c>
      <c r="R1389" s="4" t="str">
        <f>VLOOKUP($B1389,'D7 - NDB Impacted SPRF''s'!$E$16:$O$9929,11,FALSE)</f>
        <v>Y</v>
      </c>
      <c r="S1389" s="8"/>
      <c r="T1389" s="310"/>
      <c r="U1389" s="310"/>
      <c r="V1389" s="4"/>
      <c r="W1389" s="4"/>
      <c r="X1389" s="4"/>
      <c r="Y1389" s="4"/>
      <c r="Z1389" s="4"/>
      <c r="AA1389" s="4"/>
      <c r="AB1389" s="380" t="str">
        <f>VLOOKUP($B1389,'D7 - NDB Impacted SPRF''s'!$E$6:$O$9929,4,FALSE)</f>
        <v>Completed</v>
      </c>
      <c r="AC1389" s="380" t="str">
        <f>VLOOKUP($B1389,'D7 - NDB Impacted SPRF''s'!$E$6:$O$9929,3,FALSE)</f>
        <v>UnitedHealthcare Employer &amp; Individual</v>
      </c>
      <c r="AD1389" s="380" t="str">
        <f>VLOOKUP($B1389,'D7 - NDB Impacted SPRF''s'!$E$6:$O$9929,5,FALSE)</f>
        <v>Membership Growth / Revenue Programs</v>
      </c>
      <c r="AE1389" s="380" t="str">
        <f>VLOOKUP($B1389,'D7 - NDB Impacted SPRF''s'!$E$6:$O$9929,7,FALSE)</f>
        <v>Mike Kriofsky</v>
      </c>
      <c r="AF1389" s="380" t="str">
        <f>VLOOKUP($B1389,'D7 - NDB Impacted SPRF''s'!$E$6:$O$9929,6,FALSE)</f>
        <v>Mariyah Badani</v>
      </c>
      <c r="AG1389" s="282"/>
      <c r="AH1389" s="311" t="e">
        <f>INDEX('D5 - Gatekeeper - Projects'!$A$4:$AF$1010,$AM1389, 17)</f>
        <v>#N/A</v>
      </c>
      <c r="AI1389" s="8"/>
      <c r="AJ1389" s="57"/>
      <c r="AK1389" s="105"/>
      <c r="AM1389" s="6" t="e">
        <f>MATCH(D1389,'D5 - Gatekeeper - Projects'!$C$4:$C$1010,0)</f>
        <v>#N/A</v>
      </c>
      <c r="AN1389" s="6" t="b">
        <f t="shared" si="142"/>
        <v>1</v>
      </c>
      <c r="AO1389" s="6" t="str">
        <f t="shared" si="144"/>
        <v>OK</v>
      </c>
      <c r="AQ1389" s="6" t="e">
        <f>MATCH($D1389,'D4 - Provider Council Unsched'!$C$11:$C$234,0)</f>
        <v>#N/A</v>
      </c>
      <c r="AR1389" s="6" t="b">
        <f t="shared" si="143"/>
        <v>1</v>
      </c>
      <c r="AS1389" s="6" t="str">
        <f t="shared" si="146"/>
        <v>OK</v>
      </c>
      <c r="AU1389" s="202">
        <v>40399</v>
      </c>
      <c r="AV1389" s="262"/>
      <c r="AW1389" s="274"/>
    </row>
    <row r="1390" spans="1:49" s="13" customFormat="1" x14ac:dyDescent="0.2">
      <c r="A1390" s="14">
        <v>1366</v>
      </c>
      <c r="B1390" s="14">
        <v>400036184</v>
      </c>
      <c r="C1390" s="8" t="s">
        <v>5197</v>
      </c>
      <c r="D1390" s="4" t="str">
        <f t="shared" si="140"/>
        <v>400036184R1</v>
      </c>
      <c r="E1390" s="309" t="str">
        <f>VLOOKUP($B1390,'D7 - NDB Impacted SPRF''s'!$E$6:$O$9929,2,FALSE)</f>
        <v>Global Solutions Claim Payment - Q4 2010</v>
      </c>
      <c r="F1390" s="8"/>
      <c r="G1390" s="8" t="s">
        <v>4758</v>
      </c>
      <c r="H1390" s="8" t="s">
        <v>4246</v>
      </c>
      <c r="I1390" s="20">
        <v>1.3</v>
      </c>
      <c r="J1390" s="8" t="s">
        <v>4862</v>
      </c>
      <c r="K1390" s="182">
        <v>40495</v>
      </c>
      <c r="L1390" s="8" t="s">
        <v>4156</v>
      </c>
      <c r="M1390" s="8" t="s">
        <v>5626</v>
      </c>
      <c r="N1390" s="38"/>
      <c r="O1390" s="8"/>
      <c r="P1390" s="4" t="str">
        <f>VLOOKUP($B1390,'D7 - NDB Impacted SPRF''s'!$E$16:$O$9929,9,FALSE)</f>
        <v>Y</v>
      </c>
      <c r="Q1390" s="4" t="str">
        <f>VLOOKUP($B1390,'D7 - NDB Impacted SPRF''s'!$E$16:$O$9929,10,FALSE)</f>
        <v>N</v>
      </c>
      <c r="R1390" s="4" t="str">
        <f>VLOOKUP($B1390,'D7 - NDB Impacted SPRF''s'!$E$16:$O$9929,11,FALSE)</f>
        <v>N</v>
      </c>
      <c r="S1390" s="8"/>
      <c r="T1390" s="310"/>
      <c r="U1390" s="310"/>
      <c r="V1390" s="4"/>
      <c r="W1390" s="4"/>
      <c r="X1390" s="4"/>
      <c r="Y1390" s="4"/>
      <c r="Z1390" s="4"/>
      <c r="AA1390" s="4"/>
      <c r="AB1390" s="380" t="str">
        <f>VLOOKUP($B1390,'D7 - NDB Impacted SPRF''s'!$E$6:$O$9929,4,FALSE)</f>
        <v>Completed</v>
      </c>
      <c r="AC1390" s="380" t="str">
        <f>VLOOKUP($B1390,'D7 - NDB Impacted SPRF''s'!$E$6:$O$9929,3,FALSE)</f>
        <v>UHG Corporate</v>
      </c>
      <c r="AD1390" s="380" t="str">
        <f>VLOOKUP($B1390,'D7 - NDB Impacted SPRF''s'!$E$6:$O$9929,5,FALSE)</f>
        <v>Corporate</v>
      </c>
      <c r="AE1390" s="380" t="str">
        <f>VLOOKUP($B1390,'D7 - NDB Impacted SPRF''s'!$E$6:$O$9929,7,FALSE)</f>
        <v>Ori Karev</v>
      </c>
      <c r="AF1390" s="380" t="str">
        <f>VLOOKUP($B1390,'D7 - NDB Impacted SPRF''s'!$E$6:$O$9929,6,FALSE)</f>
        <v>Steven Kmoch</v>
      </c>
      <c r="AG1390" s="282"/>
      <c r="AH1390" s="311" t="e">
        <f>INDEX('D5 - Gatekeeper - Projects'!$A$4:$AF$1010,$AM1390, 17)</f>
        <v>#N/A</v>
      </c>
      <c r="AI1390" s="8"/>
      <c r="AJ1390" s="57"/>
      <c r="AK1390" s="105"/>
      <c r="AM1390" s="6" t="e">
        <f>MATCH(D1390,'D5 - Gatekeeper - Projects'!$C$4:$C$1010,0)</f>
        <v>#N/A</v>
      </c>
      <c r="AN1390" s="6" t="b">
        <f t="shared" si="142"/>
        <v>1</v>
      </c>
      <c r="AO1390" s="6" t="str">
        <f t="shared" si="144"/>
        <v>OK</v>
      </c>
      <c r="AQ1390" s="6" t="e">
        <f>MATCH($D1390,'D4 - Provider Council Unsched'!$C$11:$C$234,0)</f>
        <v>#N/A</v>
      </c>
      <c r="AR1390" s="6" t="b">
        <f t="shared" si="143"/>
        <v>1</v>
      </c>
      <c r="AS1390" s="6" t="str">
        <f t="shared" si="146"/>
        <v>OK</v>
      </c>
      <c r="AU1390" s="202">
        <v>40312</v>
      </c>
      <c r="AV1390" s="262"/>
      <c r="AW1390" s="274"/>
    </row>
    <row r="1391" spans="1:49" s="13" customFormat="1" ht="33.75" x14ac:dyDescent="0.2">
      <c r="A1391" s="14">
        <v>1367</v>
      </c>
      <c r="B1391" s="14">
        <v>400036724</v>
      </c>
      <c r="C1391" s="8" t="s">
        <v>5197</v>
      </c>
      <c r="D1391" s="4" t="str">
        <f t="shared" si="140"/>
        <v>400036724R1</v>
      </c>
      <c r="E1391" s="309" t="str">
        <f>VLOOKUP($B1391,'D7 - NDB Impacted SPRF''s'!$E$6:$O$9929,2,FALSE)</f>
        <v xml:space="preserve">UMR - Reduce UHN Repricing TAT </v>
      </c>
      <c r="F1391" s="8"/>
      <c r="G1391" s="8" t="s">
        <v>4758</v>
      </c>
      <c r="H1391" s="8" t="s">
        <v>4246</v>
      </c>
      <c r="I1391" s="20">
        <v>0.5</v>
      </c>
      <c r="J1391" s="8" t="s">
        <v>4862</v>
      </c>
      <c r="K1391" s="182">
        <v>40495</v>
      </c>
      <c r="L1391" s="8" t="s">
        <v>4156</v>
      </c>
      <c r="M1391" s="8" t="s">
        <v>6688</v>
      </c>
      <c r="N1391" s="38"/>
      <c r="O1391" s="8"/>
      <c r="P1391" s="4" t="str">
        <f>VLOOKUP($B1391,'D7 - NDB Impacted SPRF''s'!$E$16:$O$9929,9,FALSE)</f>
        <v>N</v>
      </c>
      <c r="Q1391" s="4" t="str">
        <f>VLOOKUP($B1391,'D7 - NDB Impacted SPRF''s'!$E$16:$O$9929,10,FALSE)</f>
        <v>N</v>
      </c>
      <c r="R1391" s="4" t="str">
        <f>VLOOKUP($B1391,'D7 - NDB Impacted SPRF''s'!$E$16:$O$9929,11,FALSE)</f>
        <v>Y</v>
      </c>
      <c r="S1391" s="8"/>
      <c r="T1391" s="310"/>
      <c r="U1391" s="310"/>
      <c r="V1391" s="4"/>
      <c r="W1391" s="4"/>
      <c r="X1391" s="4"/>
      <c r="Y1391" s="4"/>
      <c r="Z1391" s="4"/>
      <c r="AA1391" s="4"/>
      <c r="AB1391" s="380" t="str">
        <f>VLOOKUP($B1391,'D7 - NDB Impacted SPRF''s'!$E$6:$O$9929,4,FALSE)</f>
        <v>Completed</v>
      </c>
      <c r="AC1391" s="380" t="str">
        <f>VLOOKUP($B1391,'D7 - NDB Impacted SPRF''s'!$E$6:$O$9929,3,FALSE)</f>
        <v>UnitedHealthcare Employer &amp; Individual</v>
      </c>
      <c r="AD1391" s="380" t="str">
        <f>VLOOKUP($B1391,'D7 - NDB Impacted SPRF''s'!$E$6:$O$9929,5,FALSE)</f>
        <v>Process Improvement</v>
      </c>
      <c r="AE1391" s="380" t="str">
        <f>VLOOKUP($B1391,'D7 - NDB Impacted SPRF''s'!$E$6:$O$9929,7,FALSE)</f>
        <v>Jay Anliker</v>
      </c>
      <c r="AF1391" s="380" t="str">
        <f>VLOOKUP($B1391,'D7 - NDB Impacted SPRF''s'!$E$6:$O$9929,6,FALSE)</f>
        <v>Stephen Maciosek</v>
      </c>
      <c r="AG1391" s="282"/>
      <c r="AH1391" s="311" t="e">
        <f>INDEX('D5 - Gatekeeper - Projects'!$A$4:$AF$1010,$AM1391, 17)</f>
        <v>#N/A</v>
      </c>
      <c r="AI1391" s="8"/>
      <c r="AJ1391" s="57"/>
      <c r="AK1391" s="105"/>
      <c r="AM1391" s="6" t="e">
        <f>MATCH(D1391,'D5 - Gatekeeper - Projects'!$C$4:$C$1010,0)</f>
        <v>#N/A</v>
      </c>
      <c r="AN1391" s="6" t="b">
        <f t="shared" si="142"/>
        <v>1</v>
      </c>
      <c r="AO1391" s="6" t="str">
        <f t="shared" si="144"/>
        <v>OK</v>
      </c>
      <c r="AQ1391" s="6" t="e">
        <f>MATCH($D1391,'D4 - Provider Council Unsched'!$C$11:$C$234,0)</f>
        <v>#N/A</v>
      </c>
      <c r="AR1391" s="6" t="b">
        <f t="shared" si="143"/>
        <v>1</v>
      </c>
      <c r="AS1391" s="6" t="str">
        <f t="shared" si="146"/>
        <v>OK</v>
      </c>
      <c r="AU1391" s="202">
        <v>40372</v>
      </c>
      <c r="AV1391" s="262"/>
      <c r="AW1391" s="274"/>
    </row>
    <row r="1392" spans="1:49" s="13" customFormat="1" x14ac:dyDescent="0.2">
      <c r="A1392" s="14">
        <v>1368</v>
      </c>
      <c r="B1392" s="14">
        <v>400036792</v>
      </c>
      <c r="C1392" s="8" t="s">
        <v>5197</v>
      </c>
      <c r="D1392" s="4" t="str">
        <f t="shared" si="140"/>
        <v>400036792R1</v>
      </c>
      <c r="E1392" s="309" t="str">
        <f>VLOOKUP($B1392,'D7 - NDB Impacted SPRF''s'!$E$6:$O$9929,2,FALSE)</f>
        <v>UHPD: NDB derived designation values modification</v>
      </c>
      <c r="F1392" s="8"/>
      <c r="G1392" s="8" t="s">
        <v>4758</v>
      </c>
      <c r="H1392" s="8" t="s">
        <v>4246</v>
      </c>
      <c r="I1392" s="20">
        <v>1.53</v>
      </c>
      <c r="J1392" s="8" t="s">
        <v>4862</v>
      </c>
      <c r="K1392" s="182">
        <v>40495</v>
      </c>
      <c r="L1392" s="8" t="s">
        <v>4156</v>
      </c>
      <c r="M1392" s="8" t="s">
        <v>6007</v>
      </c>
      <c r="N1392" s="38"/>
      <c r="O1392" s="8"/>
      <c r="P1392" s="4" t="str">
        <f>VLOOKUP($B1392,'D7 - NDB Impacted SPRF''s'!$E$16:$O$9929,9,FALSE)</f>
        <v>N</v>
      </c>
      <c r="Q1392" s="4" t="str">
        <f>VLOOKUP($B1392,'D7 - NDB Impacted SPRF''s'!$E$16:$O$9929,10,FALSE)</f>
        <v>N</v>
      </c>
      <c r="R1392" s="4" t="str">
        <f>VLOOKUP($B1392,'D7 - NDB Impacted SPRF''s'!$E$16:$O$9929,11,FALSE)</f>
        <v>N</v>
      </c>
      <c r="S1392" s="8"/>
      <c r="T1392" s="310"/>
      <c r="U1392" s="310"/>
      <c r="V1392" s="4"/>
      <c r="W1392" s="4"/>
      <c r="X1392" s="4"/>
      <c r="Y1392" s="4"/>
      <c r="Z1392" s="4"/>
      <c r="AA1392" s="4"/>
      <c r="AB1392" s="380" t="str">
        <f>VLOOKUP($B1392,'D7 - NDB Impacted SPRF''s'!$E$6:$O$9929,4,FALSE)</f>
        <v>Completed</v>
      </c>
      <c r="AC1392" s="380" t="str">
        <f>VLOOKUP($B1392,'D7 - NDB Impacted SPRF''s'!$E$6:$O$9929,3,FALSE)</f>
        <v>OptumInsight</v>
      </c>
      <c r="AD1392" s="380" t="str">
        <f>VLOOKUP($B1392,'D7 - NDB Impacted SPRF''s'!$E$6:$O$9929,5,FALSE)</f>
        <v>Ingenix</v>
      </c>
      <c r="AE1392" s="380" t="str">
        <f>VLOOKUP($B1392,'D7 - NDB Impacted SPRF''s'!$E$6:$O$9929,7,FALSE)</f>
        <v>Christopher J Brown</v>
      </c>
      <c r="AF1392" s="380" t="str">
        <f>VLOOKUP($B1392,'D7 - NDB Impacted SPRF''s'!$E$6:$O$9929,6,FALSE)</f>
        <v>Lee Solheim</v>
      </c>
      <c r="AG1392" s="282"/>
      <c r="AH1392" s="311" t="e">
        <f>INDEX('D5 - Gatekeeper - Projects'!$A$4:$AF$1010,$AM1392, 17)</f>
        <v>#N/A</v>
      </c>
      <c r="AI1392" s="8"/>
      <c r="AJ1392" s="57"/>
      <c r="AK1392" s="105"/>
      <c r="AM1392" s="6" t="e">
        <f>MATCH(D1392,'D5 - Gatekeeper - Projects'!$C$4:$C$1010,0)</f>
        <v>#N/A</v>
      </c>
      <c r="AN1392" s="6" t="b">
        <f t="shared" si="142"/>
        <v>1</v>
      </c>
      <c r="AO1392" s="6" t="str">
        <f t="shared" si="144"/>
        <v>OK</v>
      </c>
      <c r="AQ1392" s="6" t="e">
        <f>MATCH($D1392,'D4 - Provider Council Unsched'!$C$11:$C$234,0)</f>
        <v>#N/A</v>
      </c>
      <c r="AR1392" s="6" t="b">
        <f t="shared" si="143"/>
        <v>1</v>
      </c>
      <c r="AS1392" s="6" t="str">
        <f t="shared" si="146"/>
        <v>OK</v>
      </c>
      <c r="AU1392" s="202">
        <v>40326</v>
      </c>
      <c r="AV1392" s="262"/>
      <c r="AW1392" s="274"/>
    </row>
    <row r="1393" spans="1:49" s="13" customFormat="1" ht="33.75" x14ac:dyDescent="0.2">
      <c r="A1393" s="14">
        <v>1369</v>
      </c>
      <c r="B1393" s="14">
        <v>400037167</v>
      </c>
      <c r="C1393" s="8" t="s">
        <v>5197</v>
      </c>
      <c r="D1393" s="4" t="str">
        <f t="shared" si="140"/>
        <v>400037167R1</v>
      </c>
      <c r="E1393" s="309" t="str">
        <f>VLOOKUP($B1393,'D7 - NDB Impacted SPRF''s'!$E$6:$O$9929,2,FALSE)</f>
        <v xml:space="preserve">UMR Premium Designation </v>
      </c>
      <c r="F1393" s="8"/>
      <c r="G1393" s="8" t="s">
        <v>4758</v>
      </c>
      <c r="H1393" s="8" t="s">
        <v>4246</v>
      </c>
      <c r="I1393" s="20">
        <v>6.52</v>
      </c>
      <c r="J1393" s="8" t="s">
        <v>4862</v>
      </c>
      <c r="K1393" s="182">
        <v>40495</v>
      </c>
      <c r="L1393" s="8" t="s">
        <v>4156</v>
      </c>
      <c r="M1393" s="8" t="s">
        <v>2814</v>
      </c>
      <c r="N1393" s="38"/>
      <c r="O1393" s="8"/>
      <c r="P1393" s="4" t="str">
        <f>VLOOKUP($B1393,'D7 - NDB Impacted SPRF''s'!$E$16:$O$9929,9,FALSE)</f>
        <v>N</v>
      </c>
      <c r="Q1393" s="4" t="str">
        <f>VLOOKUP($B1393,'D7 - NDB Impacted SPRF''s'!$E$16:$O$9929,10,FALSE)</f>
        <v>N</v>
      </c>
      <c r="R1393" s="4" t="str">
        <f>VLOOKUP($B1393,'D7 - NDB Impacted SPRF''s'!$E$16:$O$9929,11,FALSE)</f>
        <v>N</v>
      </c>
      <c r="S1393" s="8"/>
      <c r="T1393" s="310"/>
      <c r="U1393" s="310"/>
      <c r="V1393" s="4"/>
      <c r="W1393" s="4"/>
      <c r="X1393" s="4"/>
      <c r="Y1393" s="4"/>
      <c r="Z1393" s="4"/>
      <c r="AA1393" s="4"/>
      <c r="AB1393" s="380" t="str">
        <f>VLOOKUP($B1393,'D7 - NDB Impacted SPRF''s'!$E$6:$O$9929,4,FALSE)</f>
        <v>Completed</v>
      </c>
      <c r="AC1393" s="380" t="str">
        <f>VLOOKUP($B1393,'D7 - NDB Impacted SPRF''s'!$E$6:$O$9929,3,FALSE)</f>
        <v>UnitedHealthcare Employer &amp; Individual</v>
      </c>
      <c r="AD1393" s="380" t="str">
        <f>VLOOKUP($B1393,'D7 - NDB Impacted SPRF''s'!$E$6:$O$9929,5,FALSE)</f>
        <v>Process Improvement</v>
      </c>
      <c r="AE1393" s="380" t="str">
        <f>VLOOKUP($B1393,'D7 - NDB Impacted SPRF''s'!$E$6:$O$9929,7,FALSE)</f>
        <v xml:space="preserve">Michael Kriofsky </v>
      </c>
      <c r="AF1393" s="380" t="str">
        <f>VLOOKUP($B1393,'D7 - NDB Impacted SPRF''s'!$E$6:$O$9929,6,FALSE)</f>
        <v>Sue Thompson</v>
      </c>
      <c r="AG1393" s="282"/>
      <c r="AH1393" s="311" t="e">
        <f>INDEX('D5 - Gatekeeper - Projects'!$A$4:$AF$1010,$AM1393, 17)</f>
        <v>#N/A</v>
      </c>
      <c r="AI1393" s="8"/>
      <c r="AJ1393" s="57"/>
      <c r="AK1393" s="105"/>
      <c r="AM1393" s="6" t="e">
        <f>MATCH(D1393,'D5 - Gatekeeper - Projects'!$C$4:$C$1010,0)</f>
        <v>#N/A</v>
      </c>
      <c r="AN1393" s="6" t="b">
        <f t="shared" si="142"/>
        <v>1</v>
      </c>
      <c r="AO1393" s="6" t="str">
        <f t="shared" si="144"/>
        <v>OK</v>
      </c>
      <c r="AQ1393" s="6" t="e">
        <f>MATCH($D1393,'D4 - Provider Council Unsched'!$C$11:$C$234,0)</f>
        <v>#N/A</v>
      </c>
      <c r="AR1393" s="6" t="b">
        <f t="shared" si="143"/>
        <v>1</v>
      </c>
      <c r="AS1393" s="6" t="str">
        <f t="shared" si="146"/>
        <v>OK</v>
      </c>
      <c r="AU1393" s="202">
        <v>40406</v>
      </c>
      <c r="AV1393" s="262"/>
      <c r="AW1393" s="274"/>
    </row>
    <row r="1394" spans="1:49" s="13" customFormat="1" ht="33.75" x14ac:dyDescent="0.2">
      <c r="A1394" s="14">
        <v>1370</v>
      </c>
      <c r="B1394" s="14">
        <v>400037752</v>
      </c>
      <c r="C1394" s="8" t="s">
        <v>3763</v>
      </c>
      <c r="D1394" s="4" t="str">
        <f t="shared" si="140"/>
        <v>400037752R2</v>
      </c>
      <c r="E1394" s="309" t="str">
        <f>VLOOKUP($B1394,'D7 - NDB Impacted SPRF''s'!$E$6:$O$9929,2,FALSE)</f>
        <v>UMR-UHIS GEHA Public Account EPDE Feed</v>
      </c>
      <c r="F1394" s="8"/>
      <c r="G1394" s="8" t="s">
        <v>4758</v>
      </c>
      <c r="H1394" s="8" t="s">
        <v>4246</v>
      </c>
      <c r="I1394" s="20">
        <v>2.44</v>
      </c>
      <c r="J1394" s="8" t="s">
        <v>4862</v>
      </c>
      <c r="K1394" s="182">
        <v>40495</v>
      </c>
      <c r="L1394" s="8" t="s">
        <v>4156</v>
      </c>
      <c r="M1394" s="8" t="s">
        <v>2814</v>
      </c>
      <c r="N1394" s="38"/>
      <c r="O1394" s="8"/>
      <c r="P1394" s="4" t="str">
        <f>VLOOKUP($B1394,'D7 - NDB Impacted SPRF''s'!$E$16:$O$9929,9,FALSE)</f>
        <v>N</v>
      </c>
      <c r="Q1394" s="4" t="str">
        <f>VLOOKUP($B1394,'D7 - NDB Impacted SPRF''s'!$E$16:$O$9929,10,FALSE)</f>
        <v>N</v>
      </c>
      <c r="R1394" s="4" t="str">
        <f>VLOOKUP($B1394,'D7 - NDB Impacted SPRF''s'!$E$16:$O$9929,11,FALSE)</f>
        <v>N</v>
      </c>
      <c r="S1394" s="8"/>
      <c r="T1394" s="310"/>
      <c r="U1394" s="310"/>
      <c r="V1394" s="4"/>
      <c r="W1394" s="4"/>
      <c r="X1394" s="4"/>
      <c r="Y1394" s="4"/>
      <c r="Z1394" s="4"/>
      <c r="AA1394" s="4"/>
      <c r="AB1394" s="380" t="str">
        <f>VLOOKUP($B1394,'D7 - NDB Impacted SPRF''s'!$E$6:$O$9929,4,FALSE)</f>
        <v>Completed</v>
      </c>
      <c r="AC1394" s="380" t="str">
        <f>VLOOKUP($B1394,'D7 - NDB Impacted SPRF''s'!$E$6:$O$9929,3,FALSE)</f>
        <v>UnitedHealthcare Employer &amp; Individual</v>
      </c>
      <c r="AD1394" s="380" t="str">
        <f>VLOOKUP($B1394,'D7 - NDB Impacted SPRF''s'!$E$6:$O$9929,5,FALSE)</f>
        <v>Membership Growth / Revenue Programs</v>
      </c>
      <c r="AE1394" s="380" t="str">
        <f>VLOOKUP($B1394,'D7 - NDB Impacted SPRF''s'!$E$6:$O$9929,7,FALSE)</f>
        <v>Michael Kriofsky</v>
      </c>
      <c r="AF1394" s="380" t="str">
        <f>VLOOKUP($B1394,'D7 - NDB Impacted SPRF''s'!$E$6:$O$9929,6,FALSE)</f>
        <v>KAREN MCKINNEY</v>
      </c>
      <c r="AG1394" s="282"/>
      <c r="AH1394" s="311" t="e">
        <f>INDEX('D5 - Gatekeeper - Projects'!$A$4:$AF$1010,$AM1394, 17)</f>
        <v>#N/A</v>
      </c>
      <c r="AI1394" s="8"/>
      <c r="AJ1394" s="57"/>
      <c r="AK1394" s="105"/>
      <c r="AM1394" s="6" t="e">
        <f>MATCH(D1394,'D5 - Gatekeeper - Projects'!$C$4:$C$1010,0)</f>
        <v>#N/A</v>
      </c>
      <c r="AN1394" s="6" t="b">
        <f t="shared" si="142"/>
        <v>1</v>
      </c>
      <c r="AO1394" s="6" t="str">
        <f t="shared" si="144"/>
        <v>OK</v>
      </c>
      <c r="AQ1394" s="6" t="e">
        <f>MATCH($D1394,'D4 - Provider Council Unsched'!$C$11:$C$234,0)</f>
        <v>#N/A</v>
      </c>
      <c r="AR1394" s="6" t="b">
        <f t="shared" si="143"/>
        <v>1</v>
      </c>
      <c r="AS1394" s="6" t="str">
        <f t="shared" si="146"/>
        <v>OK</v>
      </c>
      <c r="AU1394" s="202">
        <v>40420</v>
      </c>
      <c r="AV1394" s="262"/>
      <c r="AW1394" s="274"/>
    </row>
    <row r="1395" spans="1:49" s="13" customFormat="1" ht="33.75" x14ac:dyDescent="0.2">
      <c r="A1395" s="14">
        <v>1371</v>
      </c>
      <c r="B1395" s="14">
        <v>400037764</v>
      </c>
      <c r="C1395" s="8" t="s">
        <v>5197</v>
      </c>
      <c r="D1395" s="4" t="str">
        <f t="shared" si="140"/>
        <v>400037764R1</v>
      </c>
      <c r="E1395" s="309" t="str">
        <f>VLOOKUP($B1395,'D7 - NDB Impacted SPRF''s'!$E$6:$O$9929,2,FALSE)</f>
        <v>UHIS - InforMed Implementation</v>
      </c>
      <c r="F1395" s="8"/>
      <c r="G1395" s="8" t="s">
        <v>4758</v>
      </c>
      <c r="H1395" s="8" t="s">
        <v>4246</v>
      </c>
      <c r="I1395" s="20">
        <v>1.07</v>
      </c>
      <c r="J1395" s="8" t="s">
        <v>4862</v>
      </c>
      <c r="K1395" s="182">
        <v>40495</v>
      </c>
      <c r="L1395" s="8" t="s">
        <v>4156</v>
      </c>
      <c r="M1395" s="8" t="s">
        <v>5626</v>
      </c>
      <c r="N1395" s="38"/>
      <c r="O1395" s="8"/>
      <c r="P1395" s="4" t="str">
        <f>VLOOKUP($B1395,'D7 - NDB Impacted SPRF''s'!$E$16:$O$9929,9,FALSE)</f>
        <v>N</v>
      </c>
      <c r="Q1395" s="4" t="str">
        <f>VLOOKUP($B1395,'D7 - NDB Impacted SPRF''s'!$E$16:$O$9929,10,FALSE)</f>
        <v>N</v>
      </c>
      <c r="R1395" s="4" t="str">
        <f>VLOOKUP($B1395,'D7 - NDB Impacted SPRF''s'!$E$16:$O$9929,11,FALSE)</f>
        <v>Y</v>
      </c>
      <c r="S1395" s="8"/>
      <c r="T1395" s="310"/>
      <c r="U1395" s="310"/>
      <c r="V1395" s="4"/>
      <c r="W1395" s="4"/>
      <c r="X1395" s="4"/>
      <c r="Y1395" s="4"/>
      <c r="Z1395" s="4"/>
      <c r="AA1395" s="4"/>
      <c r="AB1395" s="380" t="str">
        <f>VLOOKUP($B1395,'D7 - NDB Impacted SPRF''s'!$E$6:$O$9929,4,FALSE)</f>
        <v>Completed</v>
      </c>
      <c r="AC1395" s="380" t="str">
        <f>VLOOKUP($B1395,'D7 - NDB Impacted SPRF''s'!$E$6:$O$9929,3,FALSE)</f>
        <v>UnitedHealthcare Employer &amp; Individual</v>
      </c>
      <c r="AD1395" s="380" t="str">
        <f>VLOOKUP($B1395,'D7 - NDB Impacted SPRF''s'!$E$6:$O$9929,5,FALSE)</f>
        <v>Customer Requirements</v>
      </c>
      <c r="AE1395" s="380" t="str">
        <f>VLOOKUP($B1395,'D7 - NDB Impacted SPRF''s'!$E$6:$O$9929,7,FALSE)</f>
        <v>Phil Buttress</v>
      </c>
      <c r="AF1395" s="380" t="str">
        <f>VLOOKUP($B1395,'D7 - NDB Impacted SPRF''s'!$E$6:$O$9929,6,FALSE)</f>
        <v>Stephen Maciosek</v>
      </c>
      <c r="AG1395" s="282"/>
      <c r="AH1395" s="311" t="e">
        <f>INDEX('D5 - Gatekeeper - Projects'!$A$4:$AF$1010,$AM1395, 17)</f>
        <v>#N/A</v>
      </c>
      <c r="AI1395" s="8"/>
      <c r="AJ1395" s="57"/>
      <c r="AK1395" s="105"/>
      <c r="AM1395" s="6" t="e">
        <f>MATCH(D1395,'D5 - Gatekeeper - Projects'!$C$4:$C$1010,0)</f>
        <v>#N/A</v>
      </c>
      <c r="AN1395" s="6" t="b">
        <f t="shared" si="142"/>
        <v>1</v>
      </c>
      <c r="AO1395" s="6" t="str">
        <f t="shared" si="144"/>
        <v>OK</v>
      </c>
      <c r="AQ1395" s="6" t="e">
        <f>MATCH($D1395,'D4 - Provider Council Unsched'!$C$11:$C$234,0)</f>
        <v>#N/A</v>
      </c>
      <c r="AR1395" s="6" t="b">
        <f t="shared" si="143"/>
        <v>1</v>
      </c>
      <c r="AS1395" s="6" t="str">
        <f t="shared" si="146"/>
        <v>OK</v>
      </c>
      <c r="AU1395" s="202">
        <v>40441</v>
      </c>
      <c r="AV1395" s="262"/>
      <c r="AW1395" s="274"/>
    </row>
    <row r="1396" spans="1:49" s="13" customFormat="1" ht="22.5" x14ac:dyDescent="0.2">
      <c r="A1396" s="14">
        <v>1372</v>
      </c>
      <c r="B1396" s="14">
        <v>400037987</v>
      </c>
      <c r="C1396" s="8" t="s">
        <v>5197</v>
      </c>
      <c r="D1396" s="4" t="str">
        <f t="shared" si="140"/>
        <v>400037987R1</v>
      </c>
      <c r="E1396" s="309" t="str">
        <f>VLOOKUP($B1396,'D7 - NDB Impacted SPRF''s'!$E$6:$O$9929,2,FALSE)</f>
        <v>ppoONE Commercial Repricing</v>
      </c>
      <c r="F1396" s="8"/>
      <c r="G1396" s="8" t="s">
        <v>4758</v>
      </c>
      <c r="H1396" s="8" t="s">
        <v>4246</v>
      </c>
      <c r="I1396" s="20">
        <v>1.33</v>
      </c>
      <c r="J1396" s="8" t="s">
        <v>4862</v>
      </c>
      <c r="K1396" s="182">
        <v>40495</v>
      </c>
      <c r="L1396" s="8" t="s">
        <v>4156</v>
      </c>
      <c r="M1396" s="8" t="s">
        <v>6688</v>
      </c>
      <c r="N1396" s="38"/>
      <c r="O1396" s="8"/>
      <c r="P1396" s="4" t="str">
        <f>VLOOKUP($B1396,'D7 - NDB Impacted SPRF''s'!$E$16:$O$9929,9,FALSE)</f>
        <v>N</v>
      </c>
      <c r="Q1396" s="4" t="str">
        <f>VLOOKUP($B1396,'D7 - NDB Impacted SPRF''s'!$E$16:$O$9929,10,FALSE)</f>
        <v>N</v>
      </c>
      <c r="R1396" s="4" t="str">
        <f>VLOOKUP($B1396,'D7 - NDB Impacted SPRF''s'!$E$16:$O$9929,11,FALSE)</f>
        <v>Y</v>
      </c>
      <c r="S1396" s="8"/>
      <c r="T1396" s="310"/>
      <c r="U1396" s="310"/>
      <c r="V1396" s="4"/>
      <c r="W1396" s="4"/>
      <c r="X1396" s="4"/>
      <c r="Y1396" s="4"/>
      <c r="Z1396" s="4"/>
      <c r="AA1396" s="4"/>
      <c r="AB1396" s="380" t="str">
        <f>VLOOKUP($B1396,'D7 - NDB Impacted SPRF''s'!$E$6:$O$9929,4,FALSE)</f>
        <v>Completed</v>
      </c>
      <c r="AC1396" s="380" t="str">
        <f>VLOOKUP($B1396,'D7 - NDB Impacted SPRF''s'!$E$6:$O$9929,3,FALSE)</f>
        <v>OptumHealth</v>
      </c>
      <c r="AD1396" s="380" t="str">
        <f>VLOOKUP($B1396,'D7 - NDB Impacted SPRF''s'!$E$6:$O$9929,5,FALSE)</f>
        <v>Behavioral Solutions</v>
      </c>
      <c r="AE1396" s="380" t="str">
        <f>VLOOKUP($B1396,'D7 - NDB Impacted SPRF''s'!$E$6:$O$9929,7,FALSE)</f>
        <v>Richard Keane</v>
      </c>
      <c r="AF1396" s="380" t="str">
        <f>VLOOKUP($B1396,'D7 - NDB Impacted SPRF''s'!$E$6:$O$9929,6,FALSE)</f>
        <v>ELIZABETH Krajewski</v>
      </c>
      <c r="AG1396" s="282"/>
      <c r="AH1396" s="311" t="e">
        <f>INDEX('D5 - Gatekeeper - Projects'!$A$4:$AF$1010,$AM1396, 17)</f>
        <v>#N/A</v>
      </c>
      <c r="AI1396" s="8"/>
      <c r="AJ1396" s="57"/>
      <c r="AK1396" s="105"/>
      <c r="AM1396" s="6" t="e">
        <f>MATCH(D1396,'D5 - Gatekeeper - Projects'!$C$4:$C$1010,0)</f>
        <v>#N/A</v>
      </c>
      <c r="AN1396" s="6" t="b">
        <f t="shared" si="142"/>
        <v>1</v>
      </c>
      <c r="AO1396" s="6" t="str">
        <f t="shared" si="144"/>
        <v>OK</v>
      </c>
      <c r="AQ1396" s="6" t="e">
        <f>MATCH($D1396,'D4 - Provider Council Unsched'!$C$11:$C$234,0)</f>
        <v>#N/A</v>
      </c>
      <c r="AR1396" s="6" t="b">
        <f t="shared" si="143"/>
        <v>1</v>
      </c>
      <c r="AS1396" s="6" t="str">
        <f t="shared" si="146"/>
        <v>OK</v>
      </c>
      <c r="AU1396" s="202">
        <v>40381</v>
      </c>
      <c r="AV1396" s="262"/>
      <c r="AW1396" s="274"/>
    </row>
    <row r="1397" spans="1:49" s="13" customFormat="1" ht="33.75" x14ac:dyDescent="0.2">
      <c r="A1397" s="14">
        <v>1373</v>
      </c>
      <c r="B1397" s="14">
        <v>400038491</v>
      </c>
      <c r="C1397" s="8" t="s">
        <v>5197</v>
      </c>
      <c r="D1397" s="4" t="str">
        <f t="shared" si="140"/>
        <v>400038491R1</v>
      </c>
      <c r="E1397" s="309" t="str">
        <f>VLOOKUP($B1397,'D7 - NDB Impacted SPRF''s'!$E$6:$O$9929,2,FALSE)</f>
        <v>UHIS - LabCorp Fee Schedule</v>
      </c>
      <c r="F1397" s="8"/>
      <c r="G1397" s="8" t="s">
        <v>4758</v>
      </c>
      <c r="H1397" s="8" t="s">
        <v>4246</v>
      </c>
      <c r="I1397" s="20">
        <v>1.67</v>
      </c>
      <c r="J1397" s="8" t="s">
        <v>4862</v>
      </c>
      <c r="K1397" s="182">
        <v>40495</v>
      </c>
      <c r="L1397" s="8" t="s">
        <v>4156</v>
      </c>
      <c r="M1397" s="8" t="s">
        <v>5626</v>
      </c>
      <c r="N1397" s="38"/>
      <c r="O1397" s="8"/>
      <c r="P1397" s="4" t="str">
        <f>VLOOKUP($B1397,'D7 - NDB Impacted SPRF''s'!$E$16:$O$9929,9,FALSE)</f>
        <v>N</v>
      </c>
      <c r="Q1397" s="4" t="str">
        <f>VLOOKUP($B1397,'D7 - NDB Impacted SPRF''s'!$E$16:$O$9929,10,FALSE)</f>
        <v>N</v>
      </c>
      <c r="R1397" s="4" t="str">
        <f>VLOOKUP($B1397,'D7 - NDB Impacted SPRF''s'!$E$16:$O$9929,11,FALSE)</f>
        <v>Y</v>
      </c>
      <c r="S1397" s="8"/>
      <c r="T1397" s="310"/>
      <c r="U1397" s="310"/>
      <c r="V1397" s="4"/>
      <c r="W1397" s="4"/>
      <c r="X1397" s="4"/>
      <c r="Y1397" s="4"/>
      <c r="Z1397" s="4"/>
      <c r="AA1397" s="4"/>
      <c r="AB1397" s="380" t="str">
        <f>VLOOKUP($B1397,'D7 - NDB Impacted SPRF''s'!$E$6:$O$9929,4,FALSE)</f>
        <v>Completed</v>
      </c>
      <c r="AC1397" s="380" t="str">
        <f>VLOOKUP($B1397,'D7 - NDB Impacted SPRF''s'!$E$6:$O$9929,3,FALSE)</f>
        <v>UnitedHealthcare Employer &amp; Individual</v>
      </c>
      <c r="AD1397" s="380" t="str">
        <f>VLOOKUP($B1397,'D7 - NDB Impacted SPRF''s'!$E$6:$O$9929,5,FALSE)</f>
        <v>Customer Requirements</v>
      </c>
      <c r="AE1397" s="380" t="str">
        <f>VLOOKUP($B1397,'D7 - NDB Impacted SPRF''s'!$E$6:$O$9929,7,FALSE)</f>
        <v>Phil Buttress</v>
      </c>
      <c r="AF1397" s="380" t="str">
        <f>VLOOKUP($B1397,'D7 - NDB Impacted SPRF''s'!$E$6:$O$9929,6,FALSE)</f>
        <v>Stephen Maciosek</v>
      </c>
      <c r="AG1397" s="282"/>
      <c r="AH1397" s="311" t="e">
        <f>INDEX('D5 - Gatekeeper - Projects'!$A$4:$AF$1010,$AM1397, 17)</f>
        <v>#N/A</v>
      </c>
      <c r="AI1397" s="8"/>
      <c r="AJ1397" s="57"/>
      <c r="AK1397" s="105"/>
      <c r="AM1397" s="6" t="e">
        <f>MATCH(D1397,'D5 - Gatekeeper - Projects'!$C$4:$C$1010,0)</f>
        <v>#N/A</v>
      </c>
      <c r="AN1397" s="6" t="b">
        <f t="shared" si="142"/>
        <v>1</v>
      </c>
      <c r="AO1397" s="6" t="str">
        <f t="shared" si="144"/>
        <v>OK</v>
      </c>
      <c r="AQ1397" s="6" t="e">
        <f>MATCH($D1397,'D4 - Provider Council Unsched'!$C$11:$C$234,0)</f>
        <v>#N/A</v>
      </c>
      <c r="AR1397" s="6" t="b">
        <f t="shared" si="143"/>
        <v>1</v>
      </c>
      <c r="AS1397" s="6" t="str">
        <f t="shared" si="146"/>
        <v>OK</v>
      </c>
      <c r="AU1397" s="202">
        <v>40441</v>
      </c>
      <c r="AV1397" s="262"/>
      <c r="AW1397" s="274"/>
    </row>
    <row r="1398" spans="1:49" s="13" customFormat="1" ht="33.75" x14ac:dyDescent="0.2">
      <c r="A1398" s="14">
        <v>1374</v>
      </c>
      <c r="B1398" s="8">
        <v>400039160</v>
      </c>
      <c r="C1398" s="8" t="s">
        <v>1447</v>
      </c>
      <c r="D1398" s="4" t="str">
        <f t="shared" si="140"/>
        <v>400039160A</v>
      </c>
      <c r="E1398" s="309" t="str">
        <f>VLOOKUP($B1398,'D7 - NDB Impacted SPRF''s'!$E$6:$O$9929,2,FALSE)</f>
        <v>EPPS - Telesales Reqs and Affiliated Physicians</v>
      </c>
      <c r="F1398" s="8"/>
      <c r="G1398" s="8" t="s">
        <v>4758</v>
      </c>
      <c r="H1398" s="8" t="s">
        <v>4246</v>
      </c>
      <c r="I1398" s="20">
        <v>2.29</v>
      </c>
      <c r="J1398" s="8" t="s">
        <v>4862</v>
      </c>
      <c r="K1398" s="182">
        <v>40495</v>
      </c>
      <c r="L1398" s="8" t="s">
        <v>4156</v>
      </c>
      <c r="M1398" s="8" t="s">
        <v>5626</v>
      </c>
      <c r="N1398" s="38"/>
      <c r="O1398" s="8"/>
      <c r="P1398" s="4" t="str">
        <f>VLOOKUP($B1398,'D7 - NDB Impacted SPRF''s'!$E$16:$O$9929,9,FALSE)</f>
        <v>N</v>
      </c>
      <c r="Q1398" s="4" t="str">
        <f>VLOOKUP($B1398,'D7 - NDB Impacted SPRF''s'!$E$16:$O$9929,10,FALSE)</f>
        <v>N</v>
      </c>
      <c r="R1398" s="4" t="str">
        <f>VLOOKUP($B1398,'D7 - NDB Impacted SPRF''s'!$E$16:$O$9929,11,FALSE)</f>
        <v>N</v>
      </c>
      <c r="S1398" s="8"/>
      <c r="T1398" s="310"/>
      <c r="U1398" s="310"/>
      <c r="V1398" s="4"/>
      <c r="W1398" s="4"/>
      <c r="X1398" s="4"/>
      <c r="Y1398" s="4"/>
      <c r="Z1398" s="4"/>
      <c r="AA1398" s="4"/>
      <c r="AB1398" s="380" t="str">
        <f>VLOOKUP($B1398,'D7 - NDB Impacted SPRF''s'!$E$6:$O$9929,4,FALSE)</f>
        <v>Completed</v>
      </c>
      <c r="AC1398" s="380" t="str">
        <f>VLOOKUP($B1398,'D7 - NDB Impacted SPRF''s'!$E$6:$O$9929,3,FALSE)</f>
        <v>UnitedHealthcare Medicare &amp; Retirement</v>
      </c>
      <c r="AD1398" s="380" t="str">
        <f>VLOOKUP($B1398,'D7 - NDB Impacted SPRF''s'!$E$6:$O$9929,5,FALSE)</f>
        <v>Tech and Data Management</v>
      </c>
      <c r="AE1398" s="380" t="str">
        <f>VLOOKUP($B1398,'D7 - NDB Impacted SPRF''s'!$E$6:$O$9929,7,FALSE)</f>
        <v>Gordon Sween</v>
      </c>
      <c r="AF1398" s="380" t="str">
        <f>VLOOKUP($B1398,'D7 - NDB Impacted SPRF''s'!$E$6:$O$9929,6,FALSE)</f>
        <v>Brett Turnquist</v>
      </c>
      <c r="AG1398" s="282"/>
      <c r="AH1398" s="311" t="e">
        <f>INDEX('D5 - Gatekeeper - Projects'!$A$4:$AF$1010,$AM1398, 17)</f>
        <v>#N/A</v>
      </c>
      <c r="AI1398" s="8"/>
      <c r="AJ1398" s="57"/>
      <c r="AK1398" s="105"/>
      <c r="AM1398" s="6" t="e">
        <f>MATCH(D1398,'D5 - Gatekeeper - Projects'!$C$4:$C$1010,0)</f>
        <v>#N/A</v>
      </c>
      <c r="AN1398" s="6" t="b">
        <f t="shared" si="142"/>
        <v>1</v>
      </c>
      <c r="AO1398" s="6" t="str">
        <f t="shared" si="144"/>
        <v>OK</v>
      </c>
      <c r="AQ1398" s="6" t="e">
        <f>MATCH($D1398,'D4 - Provider Council Unsched'!$C$11:$C$234,0)</f>
        <v>#N/A</v>
      </c>
      <c r="AR1398" s="6" t="b">
        <f t="shared" si="143"/>
        <v>1</v>
      </c>
      <c r="AS1398" s="6" t="str">
        <f t="shared" si="146"/>
        <v>OK</v>
      </c>
      <c r="AU1398" s="202">
        <v>40441</v>
      </c>
      <c r="AV1398" s="262"/>
      <c r="AW1398" s="274"/>
    </row>
    <row r="1399" spans="1:49" s="13" customFormat="1" ht="33.75" x14ac:dyDescent="0.2">
      <c r="A1399" s="14">
        <v>1375</v>
      </c>
      <c r="B1399" s="14">
        <v>400032685</v>
      </c>
      <c r="C1399" s="8" t="s">
        <v>5197</v>
      </c>
      <c r="D1399" s="4" t="str">
        <f t="shared" si="140"/>
        <v>400032685R1</v>
      </c>
      <c r="E1399" s="309" t="str">
        <f>VLOOKUP($B1399,'D7 - NDB Impacted SPRF''s'!$E$6:$O$9929,2,FALSE)</f>
        <v>Enhance NDB to AmeriChoice Extract</v>
      </c>
      <c r="F1399" s="8" t="s">
        <v>4961</v>
      </c>
      <c r="G1399" s="8" t="s">
        <v>4758</v>
      </c>
      <c r="H1399" s="8" t="s">
        <v>4246</v>
      </c>
      <c r="I1399" s="20">
        <v>11.066666666666666</v>
      </c>
      <c r="J1399" s="8" t="s">
        <v>4862</v>
      </c>
      <c r="K1399" s="182">
        <v>40502</v>
      </c>
      <c r="L1399" s="8" t="s">
        <v>4156</v>
      </c>
      <c r="M1399" s="8" t="s">
        <v>2814</v>
      </c>
      <c r="N1399" s="38"/>
      <c r="O1399" s="8"/>
      <c r="P1399" s="4" t="str">
        <f>VLOOKUP($B1399,'D7 - NDB Impacted SPRF''s'!$E$16:$O$9929,9,FALSE)</f>
        <v>N</v>
      </c>
      <c r="Q1399" s="4" t="str">
        <f>VLOOKUP($B1399,'D7 - NDB Impacted SPRF''s'!$E$16:$O$9929,10,FALSE)</f>
        <v>N</v>
      </c>
      <c r="R1399" s="4" t="str">
        <f>VLOOKUP($B1399,'D7 - NDB Impacted SPRF''s'!$E$16:$O$9929,11,FALSE)</f>
        <v>N</v>
      </c>
      <c r="S1399" s="8"/>
      <c r="T1399" s="310"/>
      <c r="U1399" s="310"/>
      <c r="V1399" s="4"/>
      <c r="W1399" s="4"/>
      <c r="X1399" s="4"/>
      <c r="Y1399" s="4"/>
      <c r="Z1399" s="4"/>
      <c r="AA1399" s="4"/>
      <c r="AB1399" s="380" t="str">
        <f>VLOOKUP($B1399,'D7 - NDB Impacted SPRF''s'!$E$6:$O$9929,4,FALSE)</f>
        <v>Completed</v>
      </c>
      <c r="AC1399" s="380" t="str">
        <f>VLOOKUP($B1399,'D7 - NDB Impacted SPRF''s'!$E$6:$O$9929,3,FALSE)</f>
        <v>UnitedHealthcare Community &amp; State</v>
      </c>
      <c r="AD1399" s="380" t="str">
        <f>VLOOKUP($B1399,'D7 - NDB Impacted SPRF''s'!$E$6:$O$9929,5,FALSE)</f>
        <v>AmeriChoice</v>
      </c>
      <c r="AE1399" s="380" t="str">
        <f>VLOOKUP($B1399,'D7 - NDB Impacted SPRF''s'!$E$6:$O$9929,7,FALSE)</f>
        <v>Les Sowa</v>
      </c>
      <c r="AF1399" s="380" t="str">
        <f>VLOOKUP($B1399,'D7 - NDB Impacted SPRF''s'!$E$6:$O$9929,6,FALSE)</f>
        <v>GREGORY MILLS</v>
      </c>
      <c r="AG1399" s="282"/>
      <c r="AH1399" s="311" t="e">
        <f>INDEX('D5 - Gatekeeper - Projects'!$A$4:$AF$1010,$AM1399, 17)</f>
        <v>#N/A</v>
      </c>
      <c r="AI1399" s="8"/>
      <c r="AJ1399" s="57"/>
      <c r="AK1399" s="105"/>
      <c r="AM1399" s="6" t="e">
        <f>MATCH(D1399,'D5 - Gatekeeper - Projects'!$C$4:$C$1010,0)</f>
        <v>#N/A</v>
      </c>
      <c r="AN1399" s="6" t="b">
        <f t="shared" si="142"/>
        <v>1</v>
      </c>
      <c r="AO1399" s="6" t="str">
        <f t="shared" si="144"/>
        <v>OK</v>
      </c>
      <c r="AQ1399" s="6" t="e">
        <f>MATCH($D1399,'D4 - Provider Council Unsched'!$C$11:$C$234,0)</f>
        <v>#N/A</v>
      </c>
      <c r="AR1399" s="6" t="b">
        <f t="shared" si="143"/>
        <v>1</v>
      </c>
      <c r="AS1399" s="6" t="str">
        <f t="shared" si="146"/>
        <v>OK</v>
      </c>
      <c r="AU1399" s="202">
        <v>40266</v>
      </c>
      <c r="AV1399" s="262"/>
      <c r="AW1399" s="274"/>
    </row>
    <row r="1400" spans="1:49" s="13" customFormat="1" ht="33.75" x14ac:dyDescent="0.2">
      <c r="A1400" s="14">
        <v>1376</v>
      </c>
      <c r="B1400" s="14">
        <v>400033875</v>
      </c>
      <c r="C1400" s="8" t="s">
        <v>5197</v>
      </c>
      <c r="D1400" s="4" t="str">
        <f t="shared" si="140"/>
        <v>400033875R1</v>
      </c>
      <c r="E1400" s="309" t="str">
        <f>VLOOKUP($B1400,'D7 - NDB Impacted SPRF''s'!$E$6:$O$9929,2,FALSE)</f>
        <v>NDB Roll Out for Facets</v>
      </c>
      <c r="F1400" s="8" t="s">
        <v>4961</v>
      </c>
      <c r="G1400" s="8" t="s">
        <v>4758</v>
      </c>
      <c r="H1400" s="8" t="s">
        <v>4246</v>
      </c>
      <c r="I1400" s="20">
        <v>26</v>
      </c>
      <c r="J1400" s="8" t="s">
        <v>4862</v>
      </c>
      <c r="K1400" s="182">
        <v>40502</v>
      </c>
      <c r="L1400" s="8" t="s">
        <v>4156</v>
      </c>
      <c r="M1400" s="8" t="s">
        <v>2814</v>
      </c>
      <c r="N1400" s="38"/>
      <c r="O1400" s="8"/>
      <c r="P1400" s="4" t="str">
        <f>VLOOKUP($B1400,'D7 - NDB Impacted SPRF''s'!$E$16:$O$9929,9,FALSE)</f>
        <v>N</v>
      </c>
      <c r="Q1400" s="4" t="str">
        <f>VLOOKUP($B1400,'D7 - NDB Impacted SPRF''s'!$E$16:$O$9929,10,FALSE)</f>
        <v>N</v>
      </c>
      <c r="R1400" s="4" t="str">
        <f>VLOOKUP($B1400,'D7 - NDB Impacted SPRF''s'!$E$16:$O$9929,11,FALSE)</f>
        <v>N</v>
      </c>
      <c r="S1400" s="8"/>
      <c r="T1400" s="310"/>
      <c r="U1400" s="310"/>
      <c r="V1400" s="4"/>
      <c r="W1400" s="4"/>
      <c r="X1400" s="4"/>
      <c r="Y1400" s="4"/>
      <c r="Z1400" s="4"/>
      <c r="AA1400" s="4"/>
      <c r="AB1400" s="380" t="str">
        <f>VLOOKUP($B1400,'D7 - NDB Impacted SPRF''s'!$E$6:$O$9929,4,FALSE)</f>
        <v>Completed</v>
      </c>
      <c r="AC1400" s="380" t="str">
        <f>VLOOKUP($B1400,'D7 - NDB Impacted SPRF''s'!$E$6:$O$9929,3,FALSE)</f>
        <v>UnitedHealthcare Community &amp; State</v>
      </c>
      <c r="AD1400" s="380" t="str">
        <f>VLOOKUP($B1400,'D7 - NDB Impacted SPRF''s'!$E$6:$O$9929,5,FALSE)</f>
        <v>AmeriChoice</v>
      </c>
      <c r="AE1400" s="380" t="str">
        <f>VLOOKUP($B1400,'D7 - NDB Impacted SPRF''s'!$E$6:$O$9929,7,FALSE)</f>
        <v>Paul Balthazor</v>
      </c>
      <c r="AF1400" s="380" t="str">
        <f>VLOOKUP($B1400,'D7 - NDB Impacted SPRF''s'!$E$6:$O$9929,6,FALSE)</f>
        <v>Ronald Wilson</v>
      </c>
      <c r="AG1400" s="282"/>
      <c r="AH1400" s="311" t="e">
        <f>INDEX('D5 - Gatekeeper - Projects'!$A$4:$AF$1010,$AM1400, 17)</f>
        <v>#N/A</v>
      </c>
      <c r="AI1400" s="8"/>
      <c r="AJ1400" s="57"/>
      <c r="AK1400" s="105"/>
      <c r="AM1400" s="6" t="e">
        <f>MATCH(D1400,'D5 - Gatekeeper - Projects'!$C$4:$C$1010,0)</f>
        <v>#N/A</v>
      </c>
      <c r="AN1400" s="6" t="b">
        <f t="shared" si="142"/>
        <v>1</v>
      </c>
      <c r="AO1400" s="6" t="str">
        <f t="shared" si="144"/>
        <v>OK</v>
      </c>
      <c r="AQ1400" s="6" t="e">
        <f>MATCH($D1400,'D4 - Provider Council Unsched'!$C$11:$C$234,0)</f>
        <v>#N/A</v>
      </c>
      <c r="AR1400" s="6" t="b">
        <f t="shared" si="143"/>
        <v>1</v>
      </c>
      <c r="AS1400" s="6" t="str">
        <f>IF(AND(H1400="2 - Not Scheduled",AR1400=TRUE),"Add","OK")</f>
        <v>OK</v>
      </c>
      <c r="AU1400" s="202">
        <v>40270</v>
      </c>
      <c r="AV1400" s="262"/>
      <c r="AW1400" s="274"/>
    </row>
    <row r="1401" spans="1:49" s="13" customFormat="1" x14ac:dyDescent="0.2">
      <c r="A1401" s="14">
        <v>1377</v>
      </c>
      <c r="B1401" s="14" t="s">
        <v>5359</v>
      </c>
      <c r="C1401" s="8" t="s">
        <v>5197</v>
      </c>
      <c r="D1401" s="4" t="s">
        <v>1642</v>
      </c>
      <c r="E1401" s="309" t="s">
        <v>7070</v>
      </c>
      <c r="F1401" s="8" t="s">
        <v>2114</v>
      </c>
      <c r="G1401" s="8" t="s">
        <v>4758</v>
      </c>
      <c r="H1401" s="8" t="s">
        <v>4246</v>
      </c>
      <c r="I1401" s="20">
        <v>3.67</v>
      </c>
      <c r="J1401" s="8" t="s">
        <v>4862</v>
      </c>
      <c r="K1401" s="182">
        <v>40502</v>
      </c>
      <c r="L1401" s="8" t="s">
        <v>5743</v>
      </c>
      <c r="M1401" s="8" t="s">
        <v>2814</v>
      </c>
      <c r="N1401" s="38"/>
      <c r="O1401" s="8" t="s">
        <v>3572</v>
      </c>
      <c r="P1401" s="4" t="e">
        <f>VLOOKUP($B1401,'D7 - NDB Impacted SPRF''s'!$E$16:$O$9929,9,FALSE)</f>
        <v>#N/A</v>
      </c>
      <c r="Q1401" s="4" t="e">
        <f>VLOOKUP($B1401,'D7 - NDB Impacted SPRF''s'!$E$16:$O$9929,10,FALSE)</f>
        <v>#N/A</v>
      </c>
      <c r="R1401" s="4" t="e">
        <f>VLOOKUP($B1401,'D7 - NDB Impacted SPRF''s'!$E$16:$O$9929,11,FALSE)</f>
        <v>#N/A</v>
      </c>
      <c r="S1401" s="8"/>
      <c r="T1401" s="310"/>
      <c r="U1401" s="310"/>
      <c r="V1401" s="4"/>
      <c r="W1401" s="4"/>
      <c r="X1401" s="4"/>
      <c r="Y1401" s="4"/>
      <c r="Z1401" s="4"/>
      <c r="AA1401" s="4"/>
      <c r="AB1401" s="383" t="e">
        <f>VLOOKUP($B1401,'D7 - NDB Impacted SPRF''s'!$E$16:$O$9929,4,FALSE)</f>
        <v>#N/A</v>
      </c>
      <c r="AC1401" s="380" t="e">
        <f>VLOOKUP($B1401,'D7 - NDB Impacted SPRF''s'!$E$16:$O$9929,3,FALSE)</f>
        <v>#N/A</v>
      </c>
      <c r="AD1401" s="380" t="e">
        <f>VLOOKUP($B1401,'D7 - NDB Impacted SPRF''s'!$E$16:$O$9929,5,FALSE)</f>
        <v>#N/A</v>
      </c>
      <c r="AE1401" s="380" t="e">
        <f>VLOOKUP($B1401,'D7 - NDB Impacted SPRF''s'!$E$16:$O$9929,7,FALSE)</f>
        <v>#N/A</v>
      </c>
      <c r="AF1401" s="380" t="e">
        <f>VLOOKUP($B1401,'D7 - NDB Impacted SPRF''s'!$E$16:$O$9929,6,FALSE)</f>
        <v>#N/A</v>
      </c>
      <c r="AG1401" s="282"/>
      <c r="AH1401" s="311" t="e">
        <f>INDEX('D5 - Gatekeeper - Projects'!$A$4:$AF$1010,$AM1401, 17)</f>
        <v>#N/A</v>
      </c>
      <c r="AI1401" s="8"/>
      <c r="AJ1401" s="57"/>
      <c r="AK1401" s="105"/>
      <c r="AM1401" s="6" t="e">
        <f>MATCH(D1401,'D5 - Gatekeeper - Projects'!$C$4:$C$1010,0)</f>
        <v>#N/A</v>
      </c>
      <c r="AN1401" s="6" t="b">
        <f t="shared" si="142"/>
        <v>1</v>
      </c>
      <c r="AO1401" s="6" t="str">
        <f t="shared" si="144"/>
        <v>OK</v>
      </c>
      <c r="AQ1401" s="6" t="e">
        <f>MATCH($D1401,'D4 - Provider Council Unsched'!$C$11:$C$234,0)</f>
        <v>#N/A</v>
      </c>
      <c r="AR1401" s="6" t="b">
        <f t="shared" si="143"/>
        <v>1</v>
      </c>
      <c r="AS1401" s="6" t="str">
        <f>IF(AND(H1401="2 - Not Scheduled",AR1401=TRUE),"Add","OK")</f>
        <v>OK</v>
      </c>
      <c r="AU1401" s="202"/>
      <c r="AV1401" s="262"/>
      <c r="AW1401" s="274"/>
    </row>
    <row r="1402" spans="1:49" s="13" customFormat="1" x14ac:dyDescent="0.2">
      <c r="A1402" s="14">
        <v>1378</v>
      </c>
      <c r="B1402" s="14" t="s">
        <v>5360</v>
      </c>
      <c r="C1402" s="8" t="s">
        <v>5197</v>
      </c>
      <c r="D1402" s="4" t="s">
        <v>1643</v>
      </c>
      <c r="E1402" s="309" t="s">
        <v>7071</v>
      </c>
      <c r="F1402" s="8" t="s">
        <v>2114</v>
      </c>
      <c r="G1402" s="8" t="s">
        <v>4758</v>
      </c>
      <c r="H1402" s="8" t="s">
        <v>4246</v>
      </c>
      <c r="I1402" s="20">
        <v>3.5</v>
      </c>
      <c r="J1402" s="8" t="s">
        <v>4862</v>
      </c>
      <c r="K1402" s="182">
        <v>40502</v>
      </c>
      <c r="L1402" s="8" t="s">
        <v>5743</v>
      </c>
      <c r="M1402" s="8" t="s">
        <v>2814</v>
      </c>
      <c r="N1402" s="38"/>
      <c r="O1402" s="8" t="s">
        <v>3572</v>
      </c>
      <c r="P1402" s="4" t="e">
        <f>VLOOKUP($B1402,'D7 - NDB Impacted SPRF''s'!$E$16:$O$9929,9,FALSE)</f>
        <v>#N/A</v>
      </c>
      <c r="Q1402" s="4" t="e">
        <f>VLOOKUP($B1402,'D7 - NDB Impacted SPRF''s'!$E$16:$O$9929,10,FALSE)</f>
        <v>#N/A</v>
      </c>
      <c r="R1402" s="4" t="e">
        <f>VLOOKUP($B1402,'D7 - NDB Impacted SPRF''s'!$E$16:$O$9929,11,FALSE)</f>
        <v>#N/A</v>
      </c>
      <c r="S1402" s="8"/>
      <c r="T1402" s="310"/>
      <c r="U1402" s="310"/>
      <c r="V1402" s="4"/>
      <c r="W1402" s="4"/>
      <c r="X1402" s="4"/>
      <c r="Y1402" s="4"/>
      <c r="Z1402" s="4"/>
      <c r="AA1402" s="4"/>
      <c r="AB1402" s="383" t="e">
        <f>VLOOKUP($B1402,'D7 - NDB Impacted SPRF''s'!$E$16:$O$9929,4,FALSE)</f>
        <v>#N/A</v>
      </c>
      <c r="AC1402" s="380" t="e">
        <f>VLOOKUP($B1402,'D7 - NDB Impacted SPRF''s'!$E$16:$O$9929,3,FALSE)</f>
        <v>#N/A</v>
      </c>
      <c r="AD1402" s="380" t="e">
        <f>VLOOKUP($B1402,'D7 - NDB Impacted SPRF''s'!$E$16:$O$9929,5,FALSE)</f>
        <v>#N/A</v>
      </c>
      <c r="AE1402" s="380" t="e">
        <f>VLOOKUP($B1402,'D7 - NDB Impacted SPRF''s'!$E$16:$O$9929,7,FALSE)</f>
        <v>#N/A</v>
      </c>
      <c r="AF1402" s="380" t="e">
        <f>VLOOKUP($B1402,'D7 - NDB Impacted SPRF''s'!$E$16:$O$9929,6,FALSE)</f>
        <v>#N/A</v>
      </c>
      <c r="AG1402" s="282"/>
      <c r="AH1402" s="311" t="e">
        <f>INDEX('D5 - Gatekeeper - Projects'!$A$4:$AF$1010,$AM1402, 17)</f>
        <v>#N/A</v>
      </c>
      <c r="AI1402" s="8"/>
      <c r="AJ1402" s="57"/>
      <c r="AK1402" s="105"/>
      <c r="AM1402" s="6" t="e">
        <f>MATCH(D1402,'D5 - Gatekeeper - Projects'!$C$4:$C$1010,0)</f>
        <v>#N/A</v>
      </c>
      <c r="AN1402" s="6" t="b">
        <f t="shared" si="142"/>
        <v>1</v>
      </c>
      <c r="AO1402" s="6" t="str">
        <f t="shared" si="144"/>
        <v>OK</v>
      </c>
      <c r="AQ1402" s="6" t="e">
        <f>MATCH($D1402,'D4 - Provider Council Unsched'!$C$11:$C$234,0)</f>
        <v>#N/A</v>
      </c>
      <c r="AR1402" s="6" t="b">
        <f t="shared" si="143"/>
        <v>1</v>
      </c>
      <c r="AS1402" s="6" t="str">
        <f>IF(AND(H1402="2 - Not Scheduled",AR1402=TRUE),"Add","OK")</f>
        <v>OK</v>
      </c>
      <c r="AU1402" s="202"/>
      <c r="AV1402" s="262"/>
      <c r="AW1402" s="274"/>
    </row>
    <row r="1403" spans="1:49" s="13" customFormat="1" ht="33.75" x14ac:dyDescent="0.2">
      <c r="A1403" s="14">
        <v>1379</v>
      </c>
      <c r="B1403" s="8">
        <v>400039575</v>
      </c>
      <c r="C1403" s="8" t="s">
        <v>1447</v>
      </c>
      <c r="D1403" s="4" t="str">
        <f t="shared" ref="D1403:D1427" si="147">CONCATENATE(B1403,C1403)</f>
        <v>400039575A</v>
      </c>
      <c r="E1403" s="309" t="str">
        <f>VLOOKUP($B1403,'D7 - NDB Impacted SPRF''s'!$E$6:$O$9929,2,FALSE)</f>
        <v>GE Provider Directory Data Feed - WO</v>
      </c>
      <c r="F1403" s="8"/>
      <c r="G1403" s="8" t="s">
        <v>4758</v>
      </c>
      <c r="H1403" s="8" t="s">
        <v>4246</v>
      </c>
      <c r="I1403" s="20">
        <v>3.17</v>
      </c>
      <c r="J1403" s="8" t="s">
        <v>4862</v>
      </c>
      <c r="K1403" s="182">
        <v>40516</v>
      </c>
      <c r="L1403" s="8" t="s">
        <v>4156</v>
      </c>
      <c r="M1403" s="8" t="s">
        <v>2814</v>
      </c>
      <c r="N1403" s="38"/>
      <c r="O1403" s="8"/>
      <c r="P1403" s="4" t="str">
        <f>VLOOKUP($B1403,'D7 - NDB Impacted SPRF''s'!$E$16:$O$9929,9,FALSE)</f>
        <v>N</v>
      </c>
      <c r="Q1403" s="4" t="str">
        <f>VLOOKUP($B1403,'D7 - NDB Impacted SPRF''s'!$E$16:$O$9929,10,FALSE)</f>
        <v>N</v>
      </c>
      <c r="R1403" s="4" t="str">
        <f>VLOOKUP($B1403,'D7 - NDB Impacted SPRF''s'!$E$16:$O$9929,11,FALSE)</f>
        <v>N</v>
      </c>
      <c r="S1403" s="8"/>
      <c r="T1403" s="310"/>
      <c r="U1403" s="310"/>
      <c r="V1403" s="4"/>
      <c r="W1403" s="4"/>
      <c r="X1403" s="4"/>
      <c r="Y1403" s="4"/>
      <c r="Z1403" s="4"/>
      <c r="AA1403" s="4"/>
      <c r="AB1403" s="380" t="str">
        <f>VLOOKUP($B1403,'D7 - NDB Impacted SPRF''s'!$E$6:$O$9929,4,FALSE)</f>
        <v>Completed</v>
      </c>
      <c r="AC1403" s="380" t="str">
        <f>VLOOKUP($B1403,'D7 - NDB Impacted SPRF''s'!$E$6:$O$9929,3,FALSE)</f>
        <v>UnitedHealthcare Employer &amp; Individual</v>
      </c>
      <c r="AD1403" s="380" t="str">
        <f>VLOOKUP($B1403,'D7 - NDB Impacted SPRF''s'!$E$6:$O$9929,5,FALSE)</f>
        <v>Customer Requirements</v>
      </c>
      <c r="AE1403" s="380" t="str">
        <f>VLOOKUP($B1403,'D7 - NDB Impacted SPRF''s'!$E$6:$O$9929,7,FALSE)</f>
        <v>Scott Roberge</v>
      </c>
      <c r="AF1403" s="380" t="str">
        <f>VLOOKUP($B1403,'D7 - NDB Impacted SPRF''s'!$E$6:$O$9929,6,FALSE)</f>
        <v>Brian Foppes</v>
      </c>
      <c r="AG1403" s="282"/>
      <c r="AH1403" s="311" t="e">
        <f>INDEX('D5 - Gatekeeper - Projects'!$A$4:$AF$1010,$AM1403, 17)</f>
        <v>#N/A</v>
      </c>
      <c r="AI1403" s="8"/>
      <c r="AJ1403" s="57"/>
      <c r="AK1403" s="105"/>
      <c r="AM1403" s="6" t="e">
        <f>MATCH(D1403,'D5 - Gatekeeper - Projects'!$C$4:$C$1010,0)</f>
        <v>#N/A</v>
      </c>
      <c r="AN1403" s="6" t="b">
        <f t="shared" si="142"/>
        <v>1</v>
      </c>
      <c r="AO1403" s="6" t="str">
        <f t="shared" si="144"/>
        <v>OK</v>
      </c>
      <c r="AQ1403" s="6" t="e">
        <f>MATCH($D1403,'D4 - Provider Council Unsched'!$C$11:$C$234,0)</f>
        <v>#N/A</v>
      </c>
      <c r="AR1403" s="6" t="b">
        <f t="shared" si="143"/>
        <v>1</v>
      </c>
      <c r="AS1403" s="6" t="str">
        <f t="shared" ref="AS1403:AS1415" si="148">IF(AND(H1403="2 - Not Scheduled",AR1403=TRUE,C1403="R1"),"Add","OK")</f>
        <v>OK</v>
      </c>
      <c r="AU1403" s="202">
        <v>40480</v>
      </c>
      <c r="AV1403" s="262"/>
      <c r="AW1403" s="274"/>
    </row>
    <row r="1404" spans="1:49" s="13" customFormat="1" ht="33.75" x14ac:dyDescent="0.2">
      <c r="A1404" s="14">
        <v>1380</v>
      </c>
      <c r="B1404" s="14">
        <v>400028213</v>
      </c>
      <c r="C1404" s="8" t="s">
        <v>3763</v>
      </c>
      <c r="D1404" s="4" t="str">
        <f t="shared" si="147"/>
        <v>400028213R2</v>
      </c>
      <c r="E1404" s="309" t="str">
        <f>VLOOKUP($B1404,'D7 - NDB Impacted SPRF''s'!$E$6:$O$9929,2,FALSE)</f>
        <v>AmeriChoice Data Load Funding 2009</v>
      </c>
      <c r="F1404" s="8" t="s">
        <v>8133</v>
      </c>
      <c r="G1404" s="8" t="s">
        <v>4758</v>
      </c>
      <c r="H1404" s="8" t="s">
        <v>4246</v>
      </c>
      <c r="I1404" s="20">
        <v>0.8</v>
      </c>
      <c r="J1404" s="8" t="s">
        <v>4862</v>
      </c>
      <c r="K1404" s="182">
        <v>40586</v>
      </c>
      <c r="L1404" s="8" t="s">
        <v>5743</v>
      </c>
      <c r="M1404" s="8" t="s">
        <v>5626</v>
      </c>
      <c r="N1404" s="38" t="s">
        <v>1486</v>
      </c>
      <c r="O1404" s="8" t="s">
        <v>4599</v>
      </c>
      <c r="P1404" s="4" t="str">
        <f>VLOOKUP($B1404,'D7 - NDB Impacted SPRF''s'!$E$16:$O$9929,9,FALSE)</f>
        <v>N</v>
      </c>
      <c r="Q1404" s="4" t="str">
        <f>VLOOKUP($B1404,'D7 - NDB Impacted SPRF''s'!$E$16:$O$9929,10,FALSE)</f>
        <v>N</v>
      </c>
      <c r="R1404" s="4" t="str">
        <f>VLOOKUP($B1404,'D7 - NDB Impacted SPRF''s'!$E$16:$O$9929,11,FALSE)</f>
        <v>N</v>
      </c>
      <c r="S1404" s="8"/>
      <c r="T1404" s="310"/>
      <c r="U1404" s="310"/>
      <c r="V1404" s="4"/>
      <c r="W1404" s="4"/>
      <c r="X1404" s="4"/>
      <c r="Y1404" s="4"/>
      <c r="Z1404" s="4"/>
      <c r="AA1404" s="4"/>
      <c r="AB1404" s="380" t="str">
        <f>VLOOKUP($B1404,'D7 - NDB Impacted SPRF''s'!$E$16:$O$9929,4,FALSE)</f>
        <v>Completed</v>
      </c>
      <c r="AC1404" s="380" t="str">
        <f>VLOOKUP($B1404,'D7 - NDB Impacted SPRF''s'!$E$16:$O$9929,3,FALSE)</f>
        <v>UnitedHealthcare Community &amp; State</v>
      </c>
      <c r="AD1404" s="380" t="str">
        <f>VLOOKUP($B1404,'D7 - NDB Impacted SPRF''s'!$E$16:$O$9929,5,FALSE)</f>
        <v>AmeriChoice</v>
      </c>
      <c r="AE1404" s="380" t="str">
        <f>VLOOKUP($B1404,'D7 - NDB Impacted SPRF''s'!$E$16:$O$9929,7,FALSE)</f>
        <v>Paul Balthazor</v>
      </c>
      <c r="AF1404" s="380" t="str">
        <f>VLOOKUP($B1404,'D7 - NDB Impacted SPRF''s'!$E$16:$O$9929,6,FALSE)</f>
        <v>GREGORY MILLS</v>
      </c>
      <c r="AG1404" s="282"/>
      <c r="AH1404" s="311" t="e">
        <f>INDEX('D5 - Gatekeeper - Projects'!$A$4:$AF$1010,$AM1404, 17)</f>
        <v>#N/A</v>
      </c>
      <c r="AI1404" s="8"/>
      <c r="AJ1404" s="57"/>
      <c r="AK1404" s="105"/>
      <c r="AM1404" s="6" t="e">
        <f>MATCH(D1404,'D5 - Gatekeeper - Projects'!$C$4:$C$1010,0)</f>
        <v>#N/A</v>
      </c>
      <c r="AN1404" s="6" t="b">
        <f t="shared" si="142"/>
        <v>1</v>
      </c>
      <c r="AO1404" s="6" t="str">
        <f t="shared" si="144"/>
        <v>OK</v>
      </c>
      <c r="AQ1404" s="6" t="e">
        <f>MATCH($D1404,'D4 - Provider Council Unsched'!$C$11:$C$234,0)</f>
        <v>#N/A</v>
      </c>
      <c r="AR1404" s="6" t="b">
        <f t="shared" si="143"/>
        <v>1</v>
      </c>
      <c r="AS1404" s="6" t="str">
        <f t="shared" si="148"/>
        <v>OK</v>
      </c>
      <c r="AU1404" s="202">
        <v>40549</v>
      </c>
      <c r="AV1404" s="262"/>
      <c r="AW1404" s="274"/>
    </row>
    <row r="1405" spans="1:49" s="13" customFormat="1" ht="45" x14ac:dyDescent="0.2">
      <c r="A1405" s="14">
        <v>1381</v>
      </c>
      <c r="B1405" s="14">
        <v>400028333</v>
      </c>
      <c r="C1405" s="8" t="s">
        <v>5197</v>
      </c>
      <c r="D1405" s="4" t="str">
        <f t="shared" si="147"/>
        <v>400028333R1</v>
      </c>
      <c r="E1405" s="309" t="str">
        <f>VLOOKUP($B1405,'D7 - NDB Impacted SPRF''s'!$E$6:$O$9929,2,FALSE)</f>
        <v xml:space="preserve">Build B2B in Alpha, Bravo, Charlie, Master &amp; Zulu </v>
      </c>
      <c r="F1405" s="8" t="s">
        <v>2114</v>
      </c>
      <c r="G1405" s="8" t="s">
        <v>4758</v>
      </c>
      <c r="H1405" s="8" t="s">
        <v>4246</v>
      </c>
      <c r="I1405" s="20">
        <v>1</v>
      </c>
      <c r="J1405" s="8" t="s">
        <v>4862</v>
      </c>
      <c r="K1405" s="182">
        <v>40586</v>
      </c>
      <c r="L1405" s="8" t="s">
        <v>4156</v>
      </c>
      <c r="M1405" s="8" t="s">
        <v>4450</v>
      </c>
      <c r="N1405" s="38" t="s">
        <v>3301</v>
      </c>
      <c r="O1405" s="8"/>
      <c r="P1405" s="4" t="str">
        <f>VLOOKUP($B1405,'D7 - NDB Impacted SPRF''s'!$E$16:$O$9929,9,FALSE)</f>
        <v>Y</v>
      </c>
      <c r="Q1405" s="4" t="str">
        <f>VLOOKUP($B1405,'D7 - NDB Impacted SPRF''s'!$E$16:$O$9929,10,FALSE)</f>
        <v>N</v>
      </c>
      <c r="R1405" s="4" t="str">
        <f>VLOOKUP($B1405,'D7 - NDB Impacted SPRF''s'!$E$16:$O$9929,11,FALSE)</f>
        <v>N</v>
      </c>
      <c r="S1405" s="8"/>
      <c r="T1405" s="310"/>
      <c r="U1405" s="310"/>
      <c r="V1405" s="4"/>
      <c r="W1405" s="4"/>
      <c r="X1405" s="4"/>
      <c r="Y1405" s="4"/>
      <c r="Z1405" s="4"/>
      <c r="AA1405" s="4"/>
      <c r="AB1405" s="380" t="str">
        <f>VLOOKUP($B1405,'D7 - NDB Impacted SPRF''s'!$E$6:$O$9929,4,FALSE)</f>
        <v>Completed</v>
      </c>
      <c r="AC1405" s="380" t="str">
        <f>VLOOKUP($B1405,'D7 - NDB Impacted SPRF''s'!$E$6:$O$9929,3,FALSE)</f>
        <v>UHG IT - Enterprise Technology Services</v>
      </c>
      <c r="AD1405" s="380" t="str">
        <f>VLOOKUP($B1405,'D7 - NDB Impacted SPRF''s'!$E$6:$O$9929,5,FALSE)</f>
        <v>ASG</v>
      </c>
      <c r="AE1405" s="380" t="str">
        <f>VLOOKUP($B1405,'D7 - NDB Impacted SPRF''s'!$E$6:$O$9929,7,FALSE)</f>
        <v>Bob Preston</v>
      </c>
      <c r="AF1405" s="380" t="str">
        <f>VLOOKUP($B1405,'D7 - NDB Impacted SPRF''s'!$E$6:$O$9929,6,FALSE)</f>
        <v>EDWARD SIWICKI</v>
      </c>
      <c r="AG1405" s="282"/>
      <c r="AH1405" s="311" t="e">
        <f>INDEX('D5 - Gatekeeper - Projects'!$A$4:$AF$1010,$AM1405, 17)</f>
        <v>#N/A</v>
      </c>
      <c r="AI1405" s="8"/>
      <c r="AJ1405" s="57"/>
      <c r="AK1405" s="105"/>
      <c r="AM1405" s="6" t="e">
        <f>MATCH(D1405,'D5 - Gatekeeper - Projects'!$C$4:$C$1010,0)</f>
        <v>#N/A</v>
      </c>
      <c r="AN1405" s="6" t="b">
        <f t="shared" si="142"/>
        <v>1</v>
      </c>
      <c r="AO1405" s="6" t="str">
        <f t="shared" si="144"/>
        <v>OK</v>
      </c>
      <c r="AQ1405" s="6" t="e">
        <f>MATCH($D1405,'D4 - Provider Council Unsched'!$C$11:$C$234,0)</f>
        <v>#N/A</v>
      </c>
      <c r="AR1405" s="6" t="b">
        <f t="shared" si="143"/>
        <v>1</v>
      </c>
      <c r="AS1405" s="6" t="str">
        <f t="shared" si="148"/>
        <v>OK</v>
      </c>
      <c r="AU1405" s="202"/>
      <c r="AV1405" s="262"/>
      <c r="AW1405" s="274"/>
    </row>
    <row r="1406" spans="1:49" s="13" customFormat="1" ht="45" x14ac:dyDescent="0.2">
      <c r="A1406" s="14">
        <v>1382</v>
      </c>
      <c r="B1406" s="14">
        <v>400028345</v>
      </c>
      <c r="C1406" s="8" t="s">
        <v>3763</v>
      </c>
      <c r="D1406" s="4" t="str">
        <f t="shared" si="147"/>
        <v>400028345R2</v>
      </c>
      <c r="E1406" s="309" t="str">
        <f>VLOOKUP($B1406,'D7 - NDB Impacted SPRF''s'!$E$6:$O$9929,2,FALSE)</f>
        <v>CAT to build NICE in Alpha, Bravo, &amp; Master region</v>
      </c>
      <c r="F1406" s="8" t="s">
        <v>8133</v>
      </c>
      <c r="G1406" s="8" t="s">
        <v>4758</v>
      </c>
      <c r="H1406" s="8" t="s">
        <v>4246</v>
      </c>
      <c r="I1406" s="20">
        <v>2.44</v>
      </c>
      <c r="J1406" s="8" t="s">
        <v>4862</v>
      </c>
      <c r="K1406" s="182">
        <v>40586</v>
      </c>
      <c r="L1406" s="8" t="s">
        <v>4156</v>
      </c>
      <c r="M1406" s="8" t="s">
        <v>4450</v>
      </c>
      <c r="N1406" s="38"/>
      <c r="O1406" s="8"/>
      <c r="P1406" s="4" t="str">
        <f>VLOOKUP($B1406,'D7 - NDB Impacted SPRF''s'!$E$16:$O$9929,9,FALSE)</f>
        <v>N</v>
      </c>
      <c r="Q1406" s="4" t="str">
        <f>VLOOKUP($B1406,'D7 - NDB Impacted SPRF''s'!$E$16:$O$9929,10,FALSE)</f>
        <v>N</v>
      </c>
      <c r="R1406" s="4" t="str">
        <f>VLOOKUP($B1406,'D7 - NDB Impacted SPRF''s'!$E$16:$O$9929,11,FALSE)</f>
        <v>N</v>
      </c>
      <c r="S1406" s="8"/>
      <c r="T1406" s="310"/>
      <c r="U1406" s="310"/>
      <c r="V1406" s="4"/>
      <c r="W1406" s="4"/>
      <c r="X1406" s="4"/>
      <c r="Y1406" s="4"/>
      <c r="Z1406" s="4"/>
      <c r="AA1406" s="4"/>
      <c r="AB1406" s="380" t="str">
        <f>VLOOKUP($B1406,'D7 - NDB Impacted SPRF''s'!$E$16:$O$9929,4,FALSE)</f>
        <v>Completed</v>
      </c>
      <c r="AC1406" s="380" t="str">
        <f>VLOOKUP($B1406,'D7 - NDB Impacted SPRF''s'!$E$16:$O$9929,3,FALSE)</f>
        <v>UHG IT - Enterprise Technology Services</v>
      </c>
      <c r="AD1406" s="380" t="str">
        <f>VLOOKUP($B1406,'D7 - NDB Impacted SPRF''s'!$E$16:$O$9929,5,FALSE)</f>
        <v>ASG</v>
      </c>
      <c r="AE1406" s="380" t="str">
        <f>VLOOKUP($B1406,'D7 - NDB Impacted SPRF''s'!$E$16:$O$9929,7,FALSE)</f>
        <v>Bob Preston</v>
      </c>
      <c r="AF1406" s="380" t="str">
        <f>VLOOKUP($B1406,'D7 - NDB Impacted SPRF''s'!$E$16:$O$9929,6,FALSE)</f>
        <v>EDWARD SIWICKI</v>
      </c>
      <c r="AG1406" s="282"/>
      <c r="AH1406" s="311" t="e">
        <f>INDEX('D5 - Gatekeeper - Projects'!$A$4:$AF$1010,$AM1406, 17)</f>
        <v>#N/A</v>
      </c>
      <c r="AI1406" s="8"/>
      <c r="AJ1406" s="57"/>
      <c r="AK1406" s="105"/>
      <c r="AM1406" s="6" t="e">
        <f>MATCH(D1406,'D5 - Gatekeeper - Projects'!$C$4:$C$1010,0)</f>
        <v>#N/A</v>
      </c>
      <c r="AN1406" s="6" t="b">
        <f t="shared" si="142"/>
        <v>1</v>
      </c>
      <c r="AO1406" s="6" t="str">
        <f t="shared" si="144"/>
        <v>OK</v>
      </c>
      <c r="AQ1406" s="6" t="e">
        <f>MATCH($D1406,'D4 - Provider Council Unsched'!$C$11:$C$234,0)</f>
        <v>#N/A</v>
      </c>
      <c r="AR1406" s="6" t="b">
        <f t="shared" si="143"/>
        <v>1</v>
      </c>
      <c r="AS1406" s="6" t="str">
        <f t="shared" si="148"/>
        <v>OK</v>
      </c>
      <c r="AU1406" s="202">
        <v>40406</v>
      </c>
      <c r="AV1406" s="262"/>
      <c r="AW1406" s="274"/>
    </row>
    <row r="1407" spans="1:49" s="13" customFormat="1" ht="45" x14ac:dyDescent="0.2">
      <c r="A1407" s="14">
        <v>1383</v>
      </c>
      <c r="B1407" s="14">
        <v>400029465</v>
      </c>
      <c r="C1407" s="8" t="s">
        <v>5197</v>
      </c>
      <c r="D1407" s="4" t="str">
        <f t="shared" si="147"/>
        <v>400029465R1</v>
      </c>
      <c r="E1407" s="309" t="str">
        <f>VLOOKUP($B1407,'D7 - NDB Impacted SPRF''s'!$E$6:$O$9929,2,FALSE)</f>
        <v>Build B2C in Alpha,Bravo,Charlie,Master,&amp; Zulu</v>
      </c>
      <c r="F1407" s="8" t="s">
        <v>2114</v>
      </c>
      <c r="G1407" s="8" t="s">
        <v>4758</v>
      </c>
      <c r="H1407" s="8" t="s">
        <v>4246</v>
      </c>
      <c r="I1407" s="20">
        <v>1</v>
      </c>
      <c r="J1407" s="8" t="s">
        <v>4862</v>
      </c>
      <c r="K1407" s="182">
        <v>40586</v>
      </c>
      <c r="L1407" s="8" t="s">
        <v>4156</v>
      </c>
      <c r="M1407" s="8" t="s">
        <v>4450</v>
      </c>
      <c r="N1407" s="38" t="s">
        <v>3301</v>
      </c>
      <c r="O1407" s="8"/>
      <c r="P1407" s="4" t="str">
        <f>VLOOKUP($B1407,'D7 - NDB Impacted SPRF''s'!$E$16:$O$9929,9,FALSE)</f>
        <v>Y</v>
      </c>
      <c r="Q1407" s="4" t="str">
        <f>VLOOKUP($B1407,'D7 - NDB Impacted SPRF''s'!$E$16:$O$9929,10,FALSE)</f>
        <v>N</v>
      </c>
      <c r="R1407" s="4" t="str">
        <f>VLOOKUP($B1407,'D7 - NDB Impacted SPRF''s'!$E$16:$O$9929,11,FALSE)</f>
        <v>N</v>
      </c>
      <c r="S1407" s="8"/>
      <c r="T1407" s="310"/>
      <c r="U1407" s="310"/>
      <c r="V1407" s="4"/>
      <c r="W1407" s="4"/>
      <c r="X1407" s="4"/>
      <c r="Y1407" s="4"/>
      <c r="Z1407" s="4"/>
      <c r="AA1407" s="4"/>
      <c r="AB1407" s="380" t="str">
        <f>VLOOKUP($B1407,'D7 - NDB Impacted SPRF''s'!$E$6:$O$9929,4,FALSE)</f>
        <v>Completed</v>
      </c>
      <c r="AC1407" s="380" t="str">
        <f>VLOOKUP($B1407,'D7 - NDB Impacted SPRF''s'!$E$6:$O$9929,3,FALSE)</f>
        <v>UHG IT - Enterprise Technology Services</v>
      </c>
      <c r="AD1407" s="380" t="str">
        <f>VLOOKUP($B1407,'D7 - NDB Impacted SPRF''s'!$E$6:$O$9929,5,FALSE)</f>
        <v>ASG</v>
      </c>
      <c r="AE1407" s="380" t="str">
        <f>VLOOKUP($B1407,'D7 - NDB Impacted SPRF''s'!$E$6:$O$9929,7,FALSE)</f>
        <v>Bob Preston</v>
      </c>
      <c r="AF1407" s="380" t="str">
        <f>VLOOKUP($B1407,'D7 - NDB Impacted SPRF''s'!$E$6:$O$9929,6,FALSE)</f>
        <v>EDWARD SIWICKI</v>
      </c>
      <c r="AG1407" s="282"/>
      <c r="AH1407" s="311" t="e">
        <f>INDEX('D5 - Gatekeeper - Projects'!$A$4:$AF$1010,$AM1407, 17)</f>
        <v>#N/A</v>
      </c>
      <c r="AI1407" s="8"/>
      <c r="AJ1407" s="57"/>
      <c r="AK1407" s="105"/>
      <c r="AM1407" s="6" t="e">
        <f>MATCH(D1407,'D5 - Gatekeeper - Projects'!$C$4:$C$1010,0)</f>
        <v>#N/A</v>
      </c>
      <c r="AN1407" s="6" t="b">
        <f t="shared" si="142"/>
        <v>1</v>
      </c>
      <c r="AO1407" s="6" t="str">
        <f t="shared" si="144"/>
        <v>OK</v>
      </c>
      <c r="AQ1407" s="6" t="e">
        <f>MATCH($D1407,'D4 - Provider Council Unsched'!$C$11:$C$234,0)</f>
        <v>#N/A</v>
      </c>
      <c r="AR1407" s="6" t="b">
        <f t="shared" si="143"/>
        <v>1</v>
      </c>
      <c r="AS1407" s="6" t="str">
        <f t="shared" si="148"/>
        <v>OK</v>
      </c>
      <c r="AU1407" s="202"/>
      <c r="AV1407" s="262"/>
      <c r="AW1407" s="274"/>
    </row>
    <row r="1408" spans="1:49" s="13" customFormat="1" ht="33.75" x14ac:dyDescent="0.2">
      <c r="A1408" s="14">
        <v>1384</v>
      </c>
      <c r="B1408" s="14">
        <v>400030726</v>
      </c>
      <c r="C1408" s="8" t="s">
        <v>3763</v>
      </c>
      <c r="D1408" s="4" t="str">
        <f t="shared" si="147"/>
        <v>400030726R2</v>
      </c>
      <c r="E1408" s="309" t="str">
        <f>VLOOKUP($B1408,'D7 - NDB Impacted SPRF''s'!$E$6:$O$9929,2,FALSE)</f>
        <v>Integration Framework - NDB searches for CTB</v>
      </c>
      <c r="F1408" s="282" t="s">
        <v>6401</v>
      </c>
      <c r="G1408" s="8" t="s">
        <v>4758</v>
      </c>
      <c r="H1408" s="8" t="s">
        <v>4246</v>
      </c>
      <c r="I1408" s="20">
        <v>29.58</v>
      </c>
      <c r="J1408" s="8" t="s">
        <v>4862</v>
      </c>
      <c r="K1408" s="182">
        <v>40586</v>
      </c>
      <c r="L1408" s="8" t="s">
        <v>4156</v>
      </c>
      <c r="M1408" s="8" t="s">
        <v>2814</v>
      </c>
      <c r="N1408" s="38"/>
      <c r="O1408" s="8" t="s">
        <v>2875</v>
      </c>
      <c r="P1408" s="4" t="str">
        <f>VLOOKUP($B1408,'D7 - NDB Impacted SPRF''s'!$E$16:$O$9929,9,FALSE)</f>
        <v>N</v>
      </c>
      <c r="Q1408" s="4" t="str">
        <f>VLOOKUP($B1408,'D7 - NDB Impacted SPRF''s'!$E$16:$O$9929,10,FALSE)</f>
        <v>N</v>
      </c>
      <c r="R1408" s="4" t="str">
        <f>VLOOKUP($B1408,'D7 - NDB Impacted SPRF''s'!$E$16:$O$9929,11,FALSE)</f>
        <v>N</v>
      </c>
      <c r="S1408" s="8"/>
      <c r="T1408" s="310"/>
      <c r="U1408" s="310"/>
      <c r="V1408" s="4"/>
      <c r="W1408" s="4"/>
      <c r="X1408" s="4"/>
      <c r="Y1408" s="4"/>
      <c r="Z1408" s="4"/>
      <c r="AA1408" s="4"/>
      <c r="AB1408" s="380" t="str">
        <f>VLOOKUP($B1408,'D7 - NDB Impacted SPRF''s'!$E$6:$O$9929,4,FALSE)</f>
        <v>Completed</v>
      </c>
      <c r="AC1408" s="380" t="str">
        <f>VLOOKUP($B1408,'D7 - NDB Impacted SPRF''s'!$E$6:$O$9929,3,FALSE)</f>
        <v>UnitedHealthcare Medicare &amp; Retirement</v>
      </c>
      <c r="AD1408" s="380" t="str">
        <f>VLOOKUP($B1408,'D7 - NDB Impacted SPRF''s'!$E$6:$O$9929,5,FALSE)</f>
        <v>Enterprise Clinical</v>
      </c>
      <c r="AE1408" s="380" t="str">
        <f>VLOOKUP($B1408,'D7 - NDB Impacted SPRF''s'!$E$6:$O$9929,7,FALSE)</f>
        <v>Cynitha Middaugh</v>
      </c>
      <c r="AF1408" s="380" t="str">
        <f>VLOOKUP($B1408,'D7 - NDB Impacted SPRF''s'!$E$6:$O$9929,6,FALSE)</f>
        <v>Robert Hoerl</v>
      </c>
      <c r="AG1408" s="282"/>
      <c r="AH1408" s="311" t="e">
        <f>INDEX('D5 - Gatekeeper - Projects'!$A$4:$AF$1010,$AM1408, 17)</f>
        <v>#N/A</v>
      </c>
      <c r="AI1408" s="8"/>
      <c r="AJ1408" s="57"/>
      <c r="AK1408" s="57"/>
      <c r="AM1408" s="6" t="e">
        <f>MATCH(D1408,'D5 - Gatekeeper - Projects'!$C$4:$C$1010,0)</f>
        <v>#N/A</v>
      </c>
      <c r="AN1408" s="6" t="b">
        <f t="shared" si="142"/>
        <v>1</v>
      </c>
      <c r="AO1408" s="6" t="str">
        <f t="shared" si="144"/>
        <v>OK</v>
      </c>
      <c r="AQ1408" s="6" t="e">
        <f>MATCH($D1408,'D4 - Provider Council Unsched'!$C$11:$C$234,0)</f>
        <v>#N/A</v>
      </c>
      <c r="AR1408" s="6" t="b">
        <f t="shared" si="143"/>
        <v>1</v>
      </c>
      <c r="AS1408" s="6" t="str">
        <f t="shared" si="148"/>
        <v>OK</v>
      </c>
      <c r="AU1408" s="202">
        <v>40312</v>
      </c>
      <c r="AV1408" s="262"/>
      <c r="AW1408" s="274"/>
    </row>
    <row r="1409" spans="1:49" s="13" customFormat="1" ht="33.75" x14ac:dyDescent="0.2">
      <c r="A1409" s="14">
        <v>1385</v>
      </c>
      <c r="B1409" s="14">
        <v>400032853</v>
      </c>
      <c r="C1409" s="8" t="s">
        <v>5197</v>
      </c>
      <c r="D1409" s="4" t="str">
        <f t="shared" si="147"/>
        <v>400032853R1</v>
      </c>
      <c r="E1409" s="309" t="str">
        <f>VLOOKUP($B1409,'D7 - NDB Impacted SPRF''s'!$E$6:$O$9929,2,FALSE)</f>
        <v xml:space="preserve">TX Provider Repository additions	</v>
      </c>
      <c r="F1409" s="8" t="s">
        <v>4471</v>
      </c>
      <c r="G1409" s="8" t="s">
        <v>4758</v>
      </c>
      <c r="H1409" s="8" t="s">
        <v>4246</v>
      </c>
      <c r="I1409" s="20">
        <v>11.21</v>
      </c>
      <c r="J1409" s="8" t="s">
        <v>4862</v>
      </c>
      <c r="K1409" s="182">
        <v>40586</v>
      </c>
      <c r="L1409" s="8" t="s">
        <v>4156</v>
      </c>
      <c r="M1409" s="8" t="s">
        <v>2814</v>
      </c>
      <c r="N1409" s="38"/>
      <c r="O1409" s="8"/>
      <c r="P1409" s="4" t="str">
        <f>VLOOKUP($B1409,'D7 - NDB Impacted SPRF''s'!$E$16:$O$9929,9,FALSE)</f>
        <v>N</v>
      </c>
      <c r="Q1409" s="4" t="str">
        <f>VLOOKUP($B1409,'D7 - NDB Impacted SPRF''s'!$E$16:$O$9929,10,FALSE)</f>
        <v>N</v>
      </c>
      <c r="R1409" s="4" t="str">
        <f>VLOOKUP($B1409,'D7 - NDB Impacted SPRF''s'!$E$16:$O$9929,11,FALSE)</f>
        <v>N</v>
      </c>
      <c r="S1409" s="8"/>
      <c r="T1409" s="310"/>
      <c r="U1409" s="310"/>
      <c r="V1409" s="4"/>
      <c r="W1409" s="4"/>
      <c r="X1409" s="4"/>
      <c r="Y1409" s="4"/>
      <c r="Z1409" s="4"/>
      <c r="AA1409" s="4"/>
      <c r="AB1409" s="380" t="str">
        <f>VLOOKUP($B1409,'D7 - NDB Impacted SPRF''s'!$E$6:$O$9929,4,FALSE)</f>
        <v>Completed</v>
      </c>
      <c r="AC1409" s="380" t="str">
        <f>VLOOKUP($B1409,'D7 - NDB Impacted SPRF''s'!$E$6:$O$9929,3,FALSE)</f>
        <v>UnitedHealthcare Community &amp; State</v>
      </c>
      <c r="AD1409" s="380" t="str">
        <f>VLOOKUP($B1409,'D7 - NDB Impacted SPRF''s'!$E$6:$O$9929,5,FALSE)</f>
        <v>Evercare Medicaid</v>
      </c>
      <c r="AE1409" s="380" t="str">
        <f>VLOOKUP($B1409,'D7 - NDB Impacted SPRF''s'!$E$6:$O$9929,7,FALSE)</f>
        <v>Kim Nettleton</v>
      </c>
      <c r="AF1409" s="380" t="str">
        <f>VLOOKUP($B1409,'D7 - NDB Impacted SPRF''s'!$E$6:$O$9929,6,FALSE)</f>
        <v>Ronald Wilson</v>
      </c>
      <c r="AG1409" s="282"/>
      <c r="AH1409" s="311" t="e">
        <f>INDEX('D5 - Gatekeeper - Projects'!$A$4:$AF$1010,$AM1409, 17)</f>
        <v>#N/A</v>
      </c>
      <c r="AI1409" s="8"/>
      <c r="AJ1409" s="57"/>
      <c r="AK1409" s="105"/>
      <c r="AM1409" s="6" t="e">
        <f>MATCH(D1409,'D5 - Gatekeeper - Projects'!$C$4:$C$1010,0)</f>
        <v>#N/A</v>
      </c>
      <c r="AN1409" s="6" t="b">
        <f t="shared" si="142"/>
        <v>1</v>
      </c>
      <c r="AO1409" s="6" t="str">
        <f t="shared" si="144"/>
        <v>OK</v>
      </c>
      <c r="AQ1409" s="6" t="e">
        <f>MATCH($D1409,'D4 - Provider Council Unsched'!$C$11:$C$234,0)</f>
        <v>#N/A</v>
      </c>
      <c r="AR1409" s="6" t="b">
        <f t="shared" si="143"/>
        <v>1</v>
      </c>
      <c r="AS1409" s="6" t="str">
        <f t="shared" si="148"/>
        <v>OK</v>
      </c>
      <c r="AU1409" s="202"/>
      <c r="AV1409" s="262"/>
      <c r="AW1409" s="274"/>
    </row>
    <row r="1410" spans="1:49" s="13" customFormat="1" ht="33.75" x14ac:dyDescent="0.2">
      <c r="A1410" s="14">
        <v>1386</v>
      </c>
      <c r="B1410" s="14">
        <v>400032936</v>
      </c>
      <c r="C1410" s="8" t="s">
        <v>5197</v>
      </c>
      <c r="D1410" s="4" t="str">
        <f t="shared" si="147"/>
        <v>400032936R1</v>
      </c>
      <c r="E1410" s="309" t="str">
        <f>VLOOKUP($B1410,'D7 - NDB Impacted SPRF''s'!$E$6:$O$9929,2,FALSE)</f>
        <v>2010 EPDI KTLO: Operational Enhancements</v>
      </c>
      <c r="F1410" s="8" t="s">
        <v>2114</v>
      </c>
      <c r="G1410" s="8" t="s">
        <v>4758</v>
      </c>
      <c r="H1410" s="8" t="s">
        <v>4246</v>
      </c>
      <c r="I1410" s="20">
        <v>2.6666666666666665</v>
      </c>
      <c r="J1410" s="8" t="s">
        <v>4862</v>
      </c>
      <c r="K1410" s="182">
        <v>40586</v>
      </c>
      <c r="L1410" s="8" t="s">
        <v>4156</v>
      </c>
      <c r="M1410" s="8" t="s">
        <v>6688</v>
      </c>
      <c r="N1410" s="38"/>
      <c r="O1410" s="8"/>
      <c r="P1410" s="4" t="str">
        <f>VLOOKUP($B1410,'D7 - NDB Impacted SPRF''s'!$E$16:$O$9929,9,FALSE)</f>
        <v>N</v>
      </c>
      <c r="Q1410" s="4" t="str">
        <f>VLOOKUP($B1410,'D7 - NDB Impacted SPRF''s'!$E$16:$O$9929,10,FALSE)</f>
        <v>N</v>
      </c>
      <c r="R1410" s="4" t="str">
        <f>VLOOKUP($B1410,'D7 - NDB Impacted SPRF''s'!$E$16:$O$9929,11,FALSE)</f>
        <v>N</v>
      </c>
      <c r="S1410" s="8"/>
      <c r="T1410" s="310"/>
      <c r="U1410" s="310"/>
      <c r="V1410" s="4"/>
      <c r="W1410" s="4"/>
      <c r="X1410" s="4"/>
      <c r="Y1410" s="4"/>
      <c r="Z1410" s="4"/>
      <c r="AA1410" s="4"/>
      <c r="AB1410" s="380" t="str">
        <f>VLOOKUP($B1410,'D7 - NDB Impacted SPRF''s'!$E$6:$O$9929,4,FALSE)</f>
        <v>Completed</v>
      </c>
      <c r="AC1410" s="380" t="str">
        <f>VLOOKUP($B1410,'D7 - NDB Impacted SPRF''s'!$E$6:$O$9929,3,FALSE)</f>
        <v>UnitedHealthcare Employer &amp; Individual</v>
      </c>
      <c r="AD1410" s="380" t="str">
        <f>VLOOKUP($B1410,'D7 - NDB Impacted SPRF''s'!$E$6:$O$9929,5,FALSE)</f>
        <v>Process Improvement</v>
      </c>
      <c r="AE1410" s="380" t="str">
        <f>VLOOKUP($B1410,'D7 - NDB Impacted SPRF''s'!$E$6:$O$9929,7,FALSE)</f>
        <v>Jill Foucre</v>
      </c>
      <c r="AF1410" s="380" t="str">
        <f>VLOOKUP($B1410,'D7 - NDB Impacted SPRF''s'!$E$6:$O$9929,6,FALSE)</f>
        <v>JOHN HIEBERT</v>
      </c>
      <c r="AG1410" s="282"/>
      <c r="AH1410" s="311" t="e">
        <f>INDEX('D5 - Gatekeeper - Projects'!$A$4:$AF$1010,$AM1410, 17)</f>
        <v>#N/A</v>
      </c>
      <c r="AI1410" s="8"/>
      <c r="AJ1410" s="57"/>
      <c r="AK1410" s="105"/>
      <c r="AM1410" s="6" t="e">
        <f>MATCH(D1410,'D5 - Gatekeeper - Projects'!$C$4:$C$1010,0)</f>
        <v>#N/A</v>
      </c>
      <c r="AN1410" s="6" t="b">
        <f t="shared" si="142"/>
        <v>1</v>
      </c>
      <c r="AO1410" s="6" t="str">
        <f t="shared" si="144"/>
        <v>OK</v>
      </c>
      <c r="AQ1410" s="6" t="e">
        <f>MATCH($D1410,'D4 - Provider Council Unsched'!$C$11:$C$234,0)</f>
        <v>#N/A</v>
      </c>
      <c r="AR1410" s="6" t="b">
        <f t="shared" si="143"/>
        <v>1</v>
      </c>
      <c r="AS1410" s="6" t="str">
        <f t="shared" si="148"/>
        <v>OK</v>
      </c>
      <c r="AU1410" s="202">
        <v>40480</v>
      </c>
      <c r="AV1410" s="262"/>
      <c r="AW1410" s="274"/>
    </row>
    <row r="1411" spans="1:49" s="13" customFormat="1" ht="33.75" x14ac:dyDescent="0.2">
      <c r="A1411" s="14">
        <v>1387</v>
      </c>
      <c r="B1411" s="14">
        <v>400033127</v>
      </c>
      <c r="C1411" s="8" t="s">
        <v>6445</v>
      </c>
      <c r="D1411" s="4" t="str">
        <f t="shared" si="147"/>
        <v>400033127R7</v>
      </c>
      <c r="E1411" s="309" t="str">
        <f>VLOOKUP($B1411,'D7 - NDB Impacted SPRF''s'!$E$6:$O$9929,2,FALSE)</f>
        <v>HIPAA 5010-UHC-837I&amp;P</v>
      </c>
      <c r="F1411" s="8" t="s">
        <v>2114</v>
      </c>
      <c r="G1411" s="8" t="s">
        <v>4758</v>
      </c>
      <c r="H1411" s="8" t="s">
        <v>4246</v>
      </c>
      <c r="I1411" s="20">
        <v>3.7733333333333334</v>
      </c>
      <c r="J1411" s="8" t="s">
        <v>4862</v>
      </c>
      <c r="K1411" s="182">
        <v>40586</v>
      </c>
      <c r="L1411" s="8" t="s">
        <v>4156</v>
      </c>
      <c r="M1411" s="8" t="s">
        <v>2814</v>
      </c>
      <c r="N1411" s="38" t="s">
        <v>1485</v>
      </c>
      <c r="O1411" s="8"/>
      <c r="P1411" s="4" t="str">
        <f>VLOOKUP($B1411,'D7 - NDB Impacted SPRF''s'!$E$16:$O$9929,9,FALSE)</f>
        <v>Y</v>
      </c>
      <c r="Q1411" s="4" t="str">
        <f>VLOOKUP($B1411,'D7 - NDB Impacted SPRF''s'!$E$16:$O$9929,10,FALSE)</f>
        <v>N</v>
      </c>
      <c r="R1411" s="4" t="str">
        <f>VLOOKUP($B1411,'D7 - NDB Impacted SPRF''s'!$E$16:$O$9929,11,FALSE)</f>
        <v>Y</v>
      </c>
      <c r="S1411" s="8"/>
      <c r="T1411" s="310"/>
      <c r="U1411" s="310"/>
      <c r="V1411" s="4"/>
      <c r="W1411" s="4"/>
      <c r="X1411" s="4"/>
      <c r="Y1411" s="4"/>
      <c r="Z1411" s="4"/>
      <c r="AA1411" s="4"/>
      <c r="AB1411" s="380" t="str">
        <f>VLOOKUP($B1411,'D7 - NDB Impacted SPRF''s'!$E$6:$O$9929,4,FALSE)</f>
        <v>Completed</v>
      </c>
      <c r="AC1411" s="380" t="str">
        <f>VLOOKUP($B1411,'D7 - NDB Impacted SPRF''s'!$E$6:$O$9929,3,FALSE)</f>
        <v>UnitedHealthcare Employer &amp; Individual</v>
      </c>
      <c r="AD1411" s="380" t="str">
        <f>VLOOKUP($B1411,'D7 - NDB Impacted SPRF''s'!$E$6:$O$9929,5,FALSE)</f>
        <v>HIPAA 5010</v>
      </c>
      <c r="AE1411" s="380" t="str">
        <f>VLOOKUP($B1411,'D7 - NDB Impacted SPRF''s'!$E$6:$O$9929,7,FALSE)</f>
        <v>Tim Kaja</v>
      </c>
      <c r="AF1411" s="380" t="str">
        <f>VLOOKUP($B1411,'D7 - NDB Impacted SPRF''s'!$E$6:$O$9929,6,FALSE)</f>
        <v>Delvis Schilling</v>
      </c>
      <c r="AG1411" s="282"/>
      <c r="AH1411" s="311" t="e">
        <f>INDEX('D5 - Gatekeeper - Projects'!$A$4:$AF$1010,$AM1411, 17)</f>
        <v>#N/A</v>
      </c>
      <c r="AI1411" s="8"/>
      <c r="AJ1411" s="57"/>
      <c r="AK1411" s="105"/>
      <c r="AM1411" s="6" t="e">
        <f>MATCH(D1411,'D5 - Gatekeeper - Projects'!$C$4:$C$1010,0)</f>
        <v>#N/A</v>
      </c>
      <c r="AN1411" s="6" t="b">
        <f t="shared" si="142"/>
        <v>1</v>
      </c>
      <c r="AO1411" s="6" t="str">
        <f t="shared" si="144"/>
        <v>OK</v>
      </c>
      <c r="AQ1411" s="6" t="e">
        <f>MATCH($D1411,'D4 - Provider Council Unsched'!$C$11:$C$234,0)</f>
        <v>#N/A</v>
      </c>
      <c r="AR1411" s="6" t="b">
        <f t="shared" si="143"/>
        <v>1</v>
      </c>
      <c r="AS1411" s="6" t="str">
        <f t="shared" si="148"/>
        <v>OK</v>
      </c>
      <c r="AU1411" s="202"/>
      <c r="AV1411" s="262"/>
      <c r="AW1411" s="274"/>
    </row>
    <row r="1412" spans="1:49" s="13" customFormat="1" ht="33.75" x14ac:dyDescent="0.2">
      <c r="A1412" s="14">
        <v>1388</v>
      </c>
      <c r="B1412" s="14">
        <v>400033418</v>
      </c>
      <c r="C1412" s="8" t="s">
        <v>5197</v>
      </c>
      <c r="D1412" s="4" t="str">
        <f t="shared" si="147"/>
        <v>400033418R1</v>
      </c>
      <c r="E1412" s="309" t="str">
        <f>VLOOKUP($B1412,'D7 - NDB Impacted SPRF''s'!$E$6:$O$9929,2,FALSE)</f>
        <v>COSMOS Provider Number Field Expansion</v>
      </c>
      <c r="F1412" s="8" t="s">
        <v>2114</v>
      </c>
      <c r="G1412" s="8" t="s">
        <v>4758</v>
      </c>
      <c r="H1412" s="8" t="s">
        <v>4246</v>
      </c>
      <c r="I1412" s="20">
        <v>162.16666666666666</v>
      </c>
      <c r="J1412" s="8" t="s">
        <v>4862</v>
      </c>
      <c r="K1412" s="182">
        <v>40586</v>
      </c>
      <c r="L1412" s="8" t="s">
        <v>4156</v>
      </c>
      <c r="M1412" s="8" t="s">
        <v>2814</v>
      </c>
      <c r="N1412" s="38" t="s">
        <v>8146</v>
      </c>
      <c r="O1412" s="8"/>
      <c r="P1412" s="4" t="str">
        <f>VLOOKUP($B1412,'D7 - NDB Impacted SPRF''s'!$E$16:$O$9929,9,FALSE)</f>
        <v>Y</v>
      </c>
      <c r="Q1412" s="4" t="str">
        <f>VLOOKUP($B1412,'D7 - NDB Impacted SPRF''s'!$E$16:$O$9929,10,FALSE)</f>
        <v>N</v>
      </c>
      <c r="R1412" s="4" t="str">
        <f>VLOOKUP($B1412,'D7 - NDB Impacted SPRF''s'!$E$16:$O$9929,11,FALSE)</f>
        <v>Y</v>
      </c>
      <c r="S1412" s="8"/>
      <c r="T1412" s="310"/>
      <c r="U1412" s="310"/>
      <c r="V1412" s="4"/>
      <c r="W1412" s="4"/>
      <c r="X1412" s="4"/>
      <c r="Y1412" s="4"/>
      <c r="Z1412" s="4"/>
      <c r="AA1412" s="4"/>
      <c r="AB1412" s="380" t="str">
        <f>VLOOKUP($B1412,'D7 - NDB Impacted SPRF''s'!$E$6:$O$9929,4,FALSE)</f>
        <v>Completed</v>
      </c>
      <c r="AC1412" s="380" t="str">
        <f>VLOOKUP($B1412,'D7 - NDB Impacted SPRF''s'!$E$6:$O$9929,3,FALSE)</f>
        <v>UnitedHealthcare Medicare &amp; Retirement</v>
      </c>
      <c r="AD1412" s="380" t="str">
        <f>VLOOKUP($B1412,'D7 - NDB Impacted SPRF''s'!$E$6:$O$9929,5,FALSE)</f>
        <v>Product Development</v>
      </c>
      <c r="AE1412" s="380" t="str">
        <f>VLOOKUP($B1412,'D7 - NDB Impacted SPRF''s'!$E$6:$O$9929,7,FALSE)</f>
        <v>Pam Stegora Axberg</v>
      </c>
      <c r="AF1412" s="380" t="str">
        <f>VLOOKUP($B1412,'D7 - NDB Impacted SPRF''s'!$E$6:$O$9929,6,FALSE)</f>
        <v>Robert OBrien</v>
      </c>
      <c r="AG1412" s="282"/>
      <c r="AH1412" s="311" t="e">
        <f>INDEX('D5 - Gatekeeper - Projects'!$A$4:$AF$1010,$AM1412, 17)</f>
        <v>#N/A</v>
      </c>
      <c r="AI1412" s="8"/>
      <c r="AJ1412" s="57"/>
      <c r="AK1412" s="105"/>
      <c r="AM1412" s="6" t="e">
        <f>MATCH(D1412,'D5 - Gatekeeper - Projects'!$C$4:$C$1010,0)</f>
        <v>#N/A</v>
      </c>
      <c r="AN1412" s="6" t="b">
        <f t="shared" si="142"/>
        <v>1</v>
      </c>
      <c r="AO1412" s="6" t="str">
        <f t="shared" si="144"/>
        <v>OK</v>
      </c>
      <c r="AQ1412" s="6" t="e">
        <f>MATCH($D1412,'D4 - Provider Council Unsched'!$C$11:$C$234,0)</f>
        <v>#N/A</v>
      </c>
      <c r="AR1412" s="6" t="b">
        <f t="shared" si="143"/>
        <v>1</v>
      </c>
      <c r="AS1412" s="6" t="str">
        <f t="shared" si="148"/>
        <v>OK</v>
      </c>
      <c r="AU1412" s="202">
        <v>40346</v>
      </c>
      <c r="AV1412" s="262"/>
      <c r="AW1412" s="274"/>
    </row>
    <row r="1413" spans="1:49" s="13" customFormat="1" ht="33.75" x14ac:dyDescent="0.2">
      <c r="A1413" s="14">
        <v>1389</v>
      </c>
      <c r="B1413" s="14">
        <v>400033418</v>
      </c>
      <c r="C1413" s="8" t="s">
        <v>1992</v>
      </c>
      <c r="D1413" s="4" t="str">
        <f t="shared" si="147"/>
        <v>400033418U1</v>
      </c>
      <c r="E1413" s="309" t="str">
        <f>VLOOKUP($B1413,'D7 - NDB Impacted SPRF''s'!$E$6:$O$9929,2,FALSE)</f>
        <v>COSMOS Provider Number Field Expansion</v>
      </c>
      <c r="F1413" s="8" t="s">
        <v>2114</v>
      </c>
      <c r="G1413" s="8" t="s">
        <v>4758</v>
      </c>
      <c r="H1413" s="8" t="s">
        <v>4246</v>
      </c>
      <c r="I1413" s="20">
        <v>1.46</v>
      </c>
      <c r="J1413" s="8" t="s">
        <v>4862</v>
      </c>
      <c r="K1413" s="182">
        <v>40586</v>
      </c>
      <c r="L1413" s="8" t="s">
        <v>4156</v>
      </c>
      <c r="M1413" s="8" t="s">
        <v>2814</v>
      </c>
      <c r="N1413" s="38"/>
      <c r="O1413" s="8"/>
      <c r="P1413" s="4" t="str">
        <f>VLOOKUP($B1413,'D7 - NDB Impacted SPRF''s'!$E$16:$O$9929,9,FALSE)</f>
        <v>Y</v>
      </c>
      <c r="Q1413" s="4" t="str">
        <f>VLOOKUP($B1413,'D7 - NDB Impacted SPRF''s'!$E$16:$O$9929,10,FALSE)</f>
        <v>N</v>
      </c>
      <c r="R1413" s="4" t="str">
        <f>VLOOKUP($B1413,'D7 - NDB Impacted SPRF''s'!$E$16:$O$9929,11,FALSE)</f>
        <v>Y</v>
      </c>
      <c r="S1413" s="8"/>
      <c r="T1413" s="310"/>
      <c r="U1413" s="310"/>
      <c r="V1413" s="4"/>
      <c r="W1413" s="4"/>
      <c r="X1413" s="4"/>
      <c r="Y1413" s="4"/>
      <c r="Z1413" s="4"/>
      <c r="AA1413" s="4"/>
      <c r="AB1413" s="380" t="str">
        <f>VLOOKUP($B1413,'D7 - NDB Impacted SPRF''s'!$E$6:$O$9929,4,FALSE)</f>
        <v>Completed</v>
      </c>
      <c r="AC1413" s="380" t="str">
        <f>VLOOKUP($B1413,'D7 - NDB Impacted SPRF''s'!$E$6:$O$9929,3,FALSE)</f>
        <v>UnitedHealthcare Medicare &amp; Retirement</v>
      </c>
      <c r="AD1413" s="380" t="str">
        <f>VLOOKUP($B1413,'D7 - NDB Impacted SPRF''s'!$E$6:$O$9929,5,FALSE)</f>
        <v>Product Development</v>
      </c>
      <c r="AE1413" s="380" t="str">
        <f>VLOOKUP($B1413,'D7 - NDB Impacted SPRF''s'!$E$6:$O$9929,7,FALSE)</f>
        <v>Pam Stegora Axberg</v>
      </c>
      <c r="AF1413" s="380" t="str">
        <f>VLOOKUP($B1413,'D7 - NDB Impacted SPRF''s'!$E$6:$O$9929,6,FALSE)</f>
        <v>Robert OBrien</v>
      </c>
      <c r="AG1413" s="282"/>
      <c r="AH1413" s="311" t="e">
        <f>INDEX('D5 - Gatekeeper - Projects'!$A$4:$AF$1010,$AM1413, 17)</f>
        <v>#N/A</v>
      </c>
      <c r="AI1413" s="8"/>
      <c r="AJ1413" s="57"/>
      <c r="AK1413" s="105"/>
      <c r="AM1413" s="6" t="e">
        <f>MATCH(D1413,'D5 - Gatekeeper - Projects'!$C$4:$C$1010,0)</f>
        <v>#N/A</v>
      </c>
      <c r="AN1413" s="6" t="b">
        <f t="shared" si="142"/>
        <v>1</v>
      </c>
      <c r="AO1413" s="6" t="str">
        <f t="shared" si="144"/>
        <v>OK</v>
      </c>
      <c r="AQ1413" s="6" t="e">
        <f>MATCH($D1413,'D4 - Provider Council Unsched'!$C$11:$C$234,0)</f>
        <v>#N/A</v>
      </c>
      <c r="AR1413" s="6" t="b">
        <f t="shared" si="143"/>
        <v>1</v>
      </c>
      <c r="AS1413" s="6" t="str">
        <f t="shared" si="148"/>
        <v>OK</v>
      </c>
      <c r="AU1413" s="202">
        <v>40462</v>
      </c>
      <c r="AV1413" s="262"/>
      <c r="AW1413" s="274"/>
    </row>
    <row r="1414" spans="1:49" s="13" customFormat="1" ht="33.75" x14ac:dyDescent="0.2">
      <c r="A1414" s="14">
        <v>1390</v>
      </c>
      <c r="B1414" s="14">
        <v>400033431</v>
      </c>
      <c r="C1414" s="8" t="s">
        <v>5197</v>
      </c>
      <c r="D1414" s="4" t="str">
        <f t="shared" si="147"/>
        <v>400033431R1</v>
      </c>
      <c r="E1414" s="309" t="str">
        <f>VLOOKUP($B1414,'D7 - NDB Impacted SPRF''s'!$E$6:$O$9929,2,FALSE)</f>
        <v>RSA - End-to-End Medical Necessity - Analysis Only</v>
      </c>
      <c r="F1414" s="8" t="s">
        <v>7993</v>
      </c>
      <c r="G1414" s="8" t="s">
        <v>4758</v>
      </c>
      <c r="H1414" s="8" t="s">
        <v>4246</v>
      </c>
      <c r="I1414" s="20">
        <v>0.93</v>
      </c>
      <c r="J1414" s="8" t="s">
        <v>4862</v>
      </c>
      <c r="K1414" s="182">
        <v>40586</v>
      </c>
      <c r="L1414" s="8" t="s">
        <v>4156</v>
      </c>
      <c r="M1414" s="8" t="s">
        <v>6688</v>
      </c>
      <c r="N1414" s="38"/>
      <c r="O1414" s="8"/>
      <c r="P1414" s="4" t="str">
        <f>VLOOKUP($B1414,'D7 - NDB Impacted SPRF''s'!$E$16:$O$9929,9,FALSE)</f>
        <v>Y</v>
      </c>
      <c r="Q1414" s="4" t="str">
        <f>VLOOKUP($B1414,'D7 - NDB Impacted SPRF''s'!$E$16:$O$9929,10,FALSE)</f>
        <v>N</v>
      </c>
      <c r="R1414" s="4" t="str">
        <f>VLOOKUP($B1414,'D7 - NDB Impacted SPRF''s'!$E$16:$O$9929,11,FALSE)</f>
        <v>Y</v>
      </c>
      <c r="S1414" s="8"/>
      <c r="T1414" s="310"/>
      <c r="U1414" s="310"/>
      <c r="V1414" s="4"/>
      <c r="W1414" s="4"/>
      <c r="X1414" s="4"/>
      <c r="Y1414" s="4"/>
      <c r="Z1414" s="4"/>
      <c r="AA1414" s="4"/>
      <c r="AB1414" s="380" t="str">
        <f>VLOOKUP($B1414,'D7 - NDB Impacted SPRF''s'!$E$6:$O$9929,4,FALSE)</f>
        <v>Completed</v>
      </c>
      <c r="AC1414" s="380" t="str">
        <f>VLOOKUP($B1414,'D7 - NDB Impacted SPRF''s'!$E$6:$O$9929,3,FALSE)</f>
        <v>UnitedHealthcare Employer &amp; Individual</v>
      </c>
      <c r="AD1414" s="380" t="str">
        <f>VLOOKUP($B1414,'D7 - NDB Impacted SPRF''s'!$E$6:$O$9929,5,FALSE)</f>
        <v>Medical Cost Savings Programs</v>
      </c>
      <c r="AE1414" s="380" t="str">
        <f>VLOOKUP($B1414,'D7 - NDB Impacted SPRF''s'!$E$6:$O$9929,7,FALSE)</f>
        <v>Kevin Ruth / Sam Ho</v>
      </c>
      <c r="AF1414" s="380" t="str">
        <f>VLOOKUP($B1414,'D7 - NDB Impacted SPRF''s'!$E$6:$O$9929,6,FALSE)</f>
        <v>CANDRA TAYLOR</v>
      </c>
      <c r="AG1414" s="282"/>
      <c r="AH1414" s="311" t="e">
        <f>INDEX('D5 - Gatekeeper - Projects'!$A$4:$AF$1010,$AM1414, 17)</f>
        <v>#N/A</v>
      </c>
      <c r="AI1414" s="8"/>
      <c r="AJ1414" s="57"/>
      <c r="AK1414" s="105"/>
      <c r="AM1414" s="6" t="e">
        <f>MATCH(D1414,'D5 - Gatekeeper - Projects'!$C$4:$C$1010,0)</f>
        <v>#N/A</v>
      </c>
      <c r="AN1414" s="6" t="b">
        <f t="shared" si="142"/>
        <v>1</v>
      </c>
      <c r="AO1414" s="6" t="str">
        <f t="shared" si="144"/>
        <v>OK</v>
      </c>
      <c r="AQ1414" s="6" t="e">
        <f>MATCH($D1414,'D4 - Provider Council Unsched'!$C$11:$C$234,0)</f>
        <v>#N/A</v>
      </c>
      <c r="AR1414" s="6" t="b">
        <f t="shared" si="143"/>
        <v>1</v>
      </c>
      <c r="AS1414" s="6" t="str">
        <f t="shared" si="148"/>
        <v>OK</v>
      </c>
      <c r="AU1414" s="202"/>
      <c r="AV1414" s="262"/>
      <c r="AW1414" s="274"/>
    </row>
    <row r="1415" spans="1:49" s="13" customFormat="1" ht="33.75" x14ac:dyDescent="0.2">
      <c r="A1415" s="14">
        <v>1391</v>
      </c>
      <c r="B1415" s="14">
        <v>400033657</v>
      </c>
      <c r="C1415" s="8" t="s">
        <v>3763</v>
      </c>
      <c r="D1415" s="4" t="str">
        <f t="shared" si="147"/>
        <v>400033657R2</v>
      </c>
      <c r="E1415" s="309" t="str">
        <f>VLOOKUP($B1415,'D7 - NDB Impacted SPRF''s'!$E$6:$O$9929,2,FALSE)</f>
        <v>PIC Phase 2 and 2010 Enhancements</v>
      </c>
      <c r="F1415" s="8"/>
      <c r="G1415" s="8" t="s">
        <v>4758</v>
      </c>
      <c r="H1415" s="8" t="s">
        <v>4246</v>
      </c>
      <c r="I1415" s="20">
        <v>5.33</v>
      </c>
      <c r="J1415" s="8" t="s">
        <v>4862</v>
      </c>
      <c r="K1415" s="182">
        <v>40586</v>
      </c>
      <c r="L1415" s="8" t="s">
        <v>4156</v>
      </c>
      <c r="M1415" s="8" t="s">
        <v>2814</v>
      </c>
      <c r="N1415" s="38"/>
      <c r="O1415" s="8"/>
      <c r="P1415" s="4" t="str">
        <f>VLOOKUP($B1415,'D7 - NDB Impacted SPRF''s'!$E$16:$O$9929,9,FALSE)</f>
        <v>N</v>
      </c>
      <c r="Q1415" s="4" t="str">
        <f>VLOOKUP($B1415,'D7 - NDB Impacted SPRF''s'!$E$16:$O$9929,10,FALSE)</f>
        <v>N</v>
      </c>
      <c r="R1415" s="4" t="str">
        <f>VLOOKUP($B1415,'D7 - NDB Impacted SPRF''s'!$E$16:$O$9929,11,FALSE)</f>
        <v>Y</v>
      </c>
      <c r="S1415" s="8"/>
      <c r="T1415" s="310"/>
      <c r="U1415" s="310"/>
      <c r="V1415" s="4"/>
      <c r="W1415" s="4"/>
      <c r="X1415" s="4"/>
      <c r="Y1415" s="4"/>
      <c r="Z1415" s="4"/>
      <c r="AA1415" s="4"/>
      <c r="AB1415" s="380" t="str">
        <f>VLOOKUP($B1415,'D7 - NDB Impacted SPRF''s'!$E$6:$O$9929,4,FALSE)</f>
        <v>Completed</v>
      </c>
      <c r="AC1415" s="380" t="str">
        <f>VLOOKUP($B1415,'D7 - NDB Impacted SPRF''s'!$E$6:$O$9929,3,FALSE)</f>
        <v>UnitedHealthcare Employer &amp; Individual</v>
      </c>
      <c r="AD1415" s="380" t="str">
        <f>VLOOKUP($B1415,'D7 - NDB Impacted SPRF''s'!$E$6:$O$9929,5,FALSE)</f>
        <v>Medical Cost Savings Programs</v>
      </c>
      <c r="AE1415" s="380" t="str">
        <f>VLOOKUP($B1415,'D7 - NDB Impacted SPRF''s'!$E$6:$O$9929,7,FALSE)</f>
        <v>Jill Foucre</v>
      </c>
      <c r="AF1415" s="380" t="str">
        <f>VLOOKUP($B1415,'D7 - NDB Impacted SPRF''s'!$E$6:$O$9929,6,FALSE)</f>
        <v>Susan Neal</v>
      </c>
      <c r="AG1415" s="282"/>
      <c r="AH1415" s="311" t="e">
        <f>INDEX('D5 - Gatekeeper - Projects'!$A$4:$AF$1010,$AM1415, 17)</f>
        <v>#N/A</v>
      </c>
      <c r="AI1415" s="8"/>
      <c r="AJ1415" s="57"/>
      <c r="AK1415" s="105"/>
      <c r="AM1415" s="6" t="e">
        <f>MATCH(D1415,'D5 - Gatekeeper - Projects'!$C$4:$C$1010,0)</f>
        <v>#N/A</v>
      </c>
      <c r="AN1415" s="6" t="b">
        <f t="shared" si="142"/>
        <v>1</v>
      </c>
      <c r="AO1415" s="6" t="str">
        <f t="shared" si="144"/>
        <v>OK</v>
      </c>
      <c r="AQ1415" s="6" t="e">
        <f>MATCH($D1415,'D4 - Provider Council Unsched'!$C$11:$C$234,0)</f>
        <v>#N/A</v>
      </c>
      <c r="AR1415" s="6" t="b">
        <f t="shared" si="143"/>
        <v>1</v>
      </c>
      <c r="AS1415" s="6" t="str">
        <f t="shared" si="148"/>
        <v>OK</v>
      </c>
      <c r="AU1415" s="202">
        <v>40399</v>
      </c>
      <c r="AV1415" s="262"/>
      <c r="AW1415" s="274"/>
    </row>
    <row r="1416" spans="1:49" s="13" customFormat="1" ht="45" x14ac:dyDescent="0.2">
      <c r="A1416" s="14">
        <v>1392</v>
      </c>
      <c r="B1416" s="14">
        <v>400033994</v>
      </c>
      <c r="C1416" s="8" t="s">
        <v>5197</v>
      </c>
      <c r="D1416" s="4" t="str">
        <f t="shared" si="147"/>
        <v>400033994R1</v>
      </c>
      <c r="E1416" s="309" t="str">
        <f>VLOOKUP($B1416,'D7 - NDB Impacted SPRF''s'!$E$6:$O$9929,2,FALSE)</f>
        <v>PDR - NDB Integration Tool - Pulse</v>
      </c>
      <c r="F1416" s="8" t="s">
        <v>5595</v>
      </c>
      <c r="G1416" s="8" t="s">
        <v>4758</v>
      </c>
      <c r="H1416" s="8" t="s">
        <v>4246</v>
      </c>
      <c r="I1416" s="20">
        <v>24.5</v>
      </c>
      <c r="J1416" s="8" t="s">
        <v>4862</v>
      </c>
      <c r="K1416" s="182">
        <v>40586</v>
      </c>
      <c r="L1416" s="8" t="s">
        <v>4156</v>
      </c>
      <c r="M1416" s="8" t="s">
        <v>2814</v>
      </c>
      <c r="N1416" s="38" t="s">
        <v>7136</v>
      </c>
      <c r="O1416" s="8"/>
      <c r="P1416" s="4" t="str">
        <f>VLOOKUP($B1416,'D7 - NDB Impacted SPRF''s'!$E$16:$O$9929,9,FALSE)</f>
        <v>N</v>
      </c>
      <c r="Q1416" s="4" t="str">
        <f>VLOOKUP($B1416,'D7 - NDB Impacted SPRF''s'!$E$16:$O$9929,10,FALSE)</f>
        <v>N</v>
      </c>
      <c r="R1416" s="4" t="str">
        <f>VLOOKUP($B1416,'D7 - NDB Impacted SPRF''s'!$E$16:$O$9929,11,FALSE)</f>
        <v>N</v>
      </c>
      <c r="S1416" s="8"/>
      <c r="T1416" s="310"/>
      <c r="U1416" s="310"/>
      <c r="V1416" s="4"/>
      <c r="W1416" s="4"/>
      <c r="X1416" s="4"/>
      <c r="Y1416" s="4"/>
      <c r="Z1416" s="4"/>
      <c r="AA1416" s="4"/>
      <c r="AB1416" s="380" t="str">
        <f>VLOOKUP($B1416,'D7 - NDB Impacted SPRF''s'!$E$6:$O$9929,4,FALSE)</f>
        <v>Completed</v>
      </c>
      <c r="AC1416" s="380" t="str">
        <f>VLOOKUP($B1416,'D7 - NDB Impacted SPRF''s'!$E$6:$O$9929,3,FALSE)</f>
        <v>UHG IT - Enterprise Technology Services</v>
      </c>
      <c r="AD1416" s="380" t="str">
        <f>VLOOKUP($B1416,'D7 - NDB Impacted SPRF''s'!$E$6:$O$9929,5,FALSE)</f>
        <v>Strategic Initiatives</v>
      </c>
      <c r="AE1416" s="380" t="str">
        <f>VLOOKUP($B1416,'D7 - NDB Impacted SPRF''s'!$E$6:$O$9929,7,FALSE)</f>
        <v>Dave Wichman</v>
      </c>
      <c r="AF1416" s="380" t="str">
        <f>VLOOKUP($B1416,'D7 - NDB Impacted SPRF''s'!$E$6:$O$9929,6,FALSE)</f>
        <v>Brent Graham</v>
      </c>
      <c r="AG1416" s="282"/>
      <c r="AH1416" s="311" t="e">
        <f>INDEX('D5 - Gatekeeper - Projects'!$A$4:$AF$1010,$AM1416, 17)</f>
        <v>#N/A</v>
      </c>
      <c r="AI1416" s="8"/>
      <c r="AJ1416" s="57"/>
      <c r="AK1416" s="105"/>
      <c r="AM1416" s="6" t="e">
        <f>MATCH(D1416,'D5 - Gatekeeper - Projects'!$C$4:$C$1010,0)</f>
        <v>#N/A</v>
      </c>
      <c r="AN1416" s="6" t="b">
        <f t="shared" si="142"/>
        <v>1</v>
      </c>
      <c r="AO1416" s="6" t="str">
        <f t="shared" si="144"/>
        <v>OK</v>
      </c>
      <c r="AQ1416" s="6" t="e">
        <f>MATCH($D1416,'D4 - Provider Council Unsched'!$C$11:$C$234,0)</f>
        <v>#N/A</v>
      </c>
      <c r="AR1416" s="6" t="b">
        <f t="shared" si="143"/>
        <v>1</v>
      </c>
      <c r="AS1416" s="6" t="str">
        <f>IF(AND(H1416="2 - Not Scheduled",AR1416=TRUE),"Add","OK")</f>
        <v>OK</v>
      </c>
      <c r="AU1416" s="202"/>
      <c r="AV1416" s="262"/>
      <c r="AW1416" s="274"/>
    </row>
    <row r="1417" spans="1:49" s="13" customFormat="1" ht="33.75" x14ac:dyDescent="0.2">
      <c r="A1417" s="14">
        <v>1393</v>
      </c>
      <c r="B1417" s="14">
        <v>400034142</v>
      </c>
      <c r="C1417" s="8" t="s">
        <v>3763</v>
      </c>
      <c r="D1417" s="4" t="str">
        <f t="shared" si="147"/>
        <v>400034142R2</v>
      </c>
      <c r="E1417" s="309" t="str">
        <f>VLOOKUP($B1417,'D7 - NDB Impacted SPRF''s'!$E$6:$O$9929,2,FALSE)</f>
        <v>Georgia Heritage Expansion to Facets &amp; Narrow Ntwk</v>
      </c>
      <c r="F1417" s="8" t="s">
        <v>2114</v>
      </c>
      <c r="G1417" s="8" t="s">
        <v>4758</v>
      </c>
      <c r="H1417" s="8" t="s">
        <v>4246</v>
      </c>
      <c r="I1417" s="20">
        <v>4.74</v>
      </c>
      <c r="J1417" s="8" t="s">
        <v>4862</v>
      </c>
      <c r="K1417" s="182">
        <v>40586</v>
      </c>
      <c r="L1417" s="8" t="s">
        <v>4156</v>
      </c>
      <c r="M1417" s="8" t="s">
        <v>2814</v>
      </c>
      <c r="N1417" s="38" t="s">
        <v>6041</v>
      </c>
      <c r="O1417" s="8"/>
      <c r="P1417" s="4" t="str">
        <f>VLOOKUP($B1417,'D7 - NDB Impacted SPRF''s'!$E$16:$O$9929,9,FALSE)</f>
        <v>N</v>
      </c>
      <c r="Q1417" s="4" t="str">
        <f>VLOOKUP($B1417,'D7 - NDB Impacted SPRF''s'!$E$16:$O$9929,10,FALSE)</f>
        <v>N</v>
      </c>
      <c r="R1417" s="4" t="str">
        <f>VLOOKUP($B1417,'D7 - NDB Impacted SPRF''s'!$E$16:$O$9929,11,FALSE)</f>
        <v>Y</v>
      </c>
      <c r="S1417" s="8"/>
      <c r="T1417" s="310"/>
      <c r="U1417" s="310"/>
      <c r="V1417" s="4"/>
      <c r="W1417" s="4"/>
      <c r="X1417" s="4"/>
      <c r="Y1417" s="4"/>
      <c r="Z1417" s="4"/>
      <c r="AA1417" s="4"/>
      <c r="AB1417" s="380" t="str">
        <f>VLOOKUP($B1417,'D7 - NDB Impacted SPRF''s'!$E$6:$O$9929,4,FALSE)</f>
        <v>Completed</v>
      </c>
      <c r="AC1417" s="380" t="str">
        <f>VLOOKUP($B1417,'D7 - NDB Impacted SPRF''s'!$E$6:$O$9929,3,FALSE)</f>
        <v>UnitedHealthcare Employer &amp; Individual</v>
      </c>
      <c r="AD1417" s="380" t="str">
        <f>VLOOKUP($B1417,'D7 - NDB Impacted SPRF''s'!$E$6:$O$9929,5,FALSE)</f>
        <v>Membership Growth / Revenue Programs</v>
      </c>
      <c r="AE1417" s="380" t="str">
        <f>VLOOKUP($B1417,'D7 - NDB Impacted SPRF''s'!$E$6:$O$9929,7,FALSE)</f>
        <v>Heather Lowe</v>
      </c>
      <c r="AF1417" s="380" t="str">
        <f>VLOOKUP($B1417,'D7 - NDB Impacted SPRF''s'!$E$6:$O$9929,6,FALSE)</f>
        <v>COBB DOROTHY</v>
      </c>
      <c r="AG1417" s="282"/>
      <c r="AH1417" s="311" t="e">
        <f>INDEX('D5 - Gatekeeper - Projects'!$A$4:$AF$1010,$AM1417, 17)</f>
        <v>#N/A</v>
      </c>
      <c r="AI1417" s="8"/>
      <c r="AJ1417" s="57"/>
      <c r="AK1417" s="105"/>
      <c r="AM1417" s="6" t="e">
        <f>MATCH(D1417,'D5 - Gatekeeper - Projects'!$C$4:$C$1010,0)</f>
        <v>#N/A</v>
      </c>
      <c r="AN1417" s="6" t="b">
        <f t="shared" si="142"/>
        <v>1</v>
      </c>
      <c r="AO1417" s="6" t="str">
        <f t="shared" si="144"/>
        <v>OK</v>
      </c>
      <c r="AQ1417" s="6" t="e">
        <f>MATCH($D1417,'D4 - Provider Council Unsched'!$C$11:$C$234,0)</f>
        <v>#N/A</v>
      </c>
      <c r="AR1417" s="6" t="b">
        <f t="shared" si="143"/>
        <v>1</v>
      </c>
      <c r="AS1417" s="6" t="str">
        <f>IF(AND(H1417="2 - Not Scheduled",AR1417=TRUE),"Add","OK")</f>
        <v>OK</v>
      </c>
      <c r="AU1417" s="202">
        <v>40485</v>
      </c>
      <c r="AV1417" s="262"/>
      <c r="AW1417" s="274"/>
    </row>
    <row r="1418" spans="1:49" s="13" customFormat="1" x14ac:dyDescent="0.2">
      <c r="A1418" s="14">
        <v>1394</v>
      </c>
      <c r="B1418" s="14">
        <v>400036303</v>
      </c>
      <c r="C1418" s="8" t="s">
        <v>5197</v>
      </c>
      <c r="D1418" s="4" t="str">
        <f t="shared" si="147"/>
        <v>400036303R1</v>
      </c>
      <c r="E1418" s="309" t="str">
        <f>VLOOKUP($B1418,'D7 - NDB Impacted SPRF''s'!$E$6:$O$9929,2,FALSE)</f>
        <v>UHI Global Solutions - Ancillary</v>
      </c>
      <c r="F1418" s="8"/>
      <c r="G1418" s="8" t="s">
        <v>4758</v>
      </c>
      <c r="H1418" s="8" t="s">
        <v>4246</v>
      </c>
      <c r="I1418" s="20">
        <v>1.3</v>
      </c>
      <c r="J1418" s="8" t="s">
        <v>4862</v>
      </c>
      <c r="K1418" s="182">
        <v>40586</v>
      </c>
      <c r="L1418" s="8" t="s">
        <v>4156</v>
      </c>
      <c r="M1418" s="8" t="s">
        <v>5626</v>
      </c>
      <c r="N1418" s="38"/>
      <c r="O1418" s="8"/>
      <c r="P1418" s="4" t="str">
        <f>VLOOKUP($B1418,'D7 - NDB Impacted SPRF''s'!$E$16:$O$9929,9,FALSE)</f>
        <v>Y</v>
      </c>
      <c r="Q1418" s="4" t="str">
        <f>VLOOKUP($B1418,'D7 - NDB Impacted SPRF''s'!$E$16:$O$9929,10,FALSE)</f>
        <v>N</v>
      </c>
      <c r="R1418" s="4" t="str">
        <f>VLOOKUP($B1418,'D7 - NDB Impacted SPRF''s'!$E$16:$O$9929,11,FALSE)</f>
        <v>N</v>
      </c>
      <c r="S1418" s="8"/>
      <c r="T1418" s="310"/>
      <c r="U1418" s="310"/>
      <c r="V1418" s="4"/>
      <c r="W1418" s="4"/>
      <c r="X1418" s="4"/>
      <c r="Y1418" s="4"/>
      <c r="Z1418" s="4"/>
      <c r="AA1418" s="4"/>
      <c r="AB1418" s="380" t="str">
        <f>VLOOKUP($B1418,'D7 - NDB Impacted SPRF''s'!$E$6:$O$9929,4,FALSE)</f>
        <v>Completed</v>
      </c>
      <c r="AC1418" s="380" t="str">
        <f>VLOOKUP($B1418,'D7 - NDB Impacted SPRF''s'!$E$6:$O$9929,3,FALSE)</f>
        <v>UHG Corporate</v>
      </c>
      <c r="AD1418" s="380" t="str">
        <f>VLOOKUP($B1418,'D7 - NDB Impacted SPRF''s'!$E$6:$O$9929,5,FALSE)</f>
        <v>Corporate</v>
      </c>
      <c r="AE1418" s="380" t="str">
        <f>VLOOKUP($B1418,'D7 - NDB Impacted SPRF''s'!$E$6:$O$9929,7,FALSE)</f>
        <v>Ori Karev</v>
      </c>
      <c r="AF1418" s="380" t="str">
        <f>VLOOKUP($B1418,'D7 - NDB Impacted SPRF''s'!$E$6:$O$9929,6,FALSE)</f>
        <v>Steven Kmoch</v>
      </c>
      <c r="AG1418" s="282"/>
      <c r="AH1418" s="311" t="e">
        <f>INDEX('D5 - Gatekeeper - Projects'!$A$4:$AF$1010,$AM1418, 17)</f>
        <v>#N/A</v>
      </c>
      <c r="AI1418" s="8"/>
      <c r="AJ1418" s="57"/>
      <c r="AK1418" s="105"/>
      <c r="AM1418" s="6" t="e">
        <f>MATCH(D1418,'D5 - Gatekeeper - Projects'!$C$4:$C$1010,0)</f>
        <v>#N/A</v>
      </c>
      <c r="AN1418" s="6" t="b">
        <f t="shared" si="142"/>
        <v>1</v>
      </c>
      <c r="AO1418" s="6" t="str">
        <f t="shared" si="144"/>
        <v>OK</v>
      </c>
      <c r="AQ1418" s="6" t="e">
        <f>MATCH($D1418,'D4 - Provider Council Unsched'!$C$11:$C$234,0)</f>
        <v>#N/A</v>
      </c>
      <c r="AR1418" s="6" t="b">
        <f t="shared" si="143"/>
        <v>1</v>
      </c>
      <c r="AS1418" s="6" t="str">
        <f t="shared" ref="AS1418:AS1427" si="149">IF(AND(H1418="2 - Not Scheduled",AR1418=TRUE,C1418="R1"),"Add","OK")</f>
        <v>OK</v>
      </c>
      <c r="AU1418" s="202"/>
      <c r="AV1418" s="262"/>
      <c r="AW1418" s="274"/>
    </row>
    <row r="1419" spans="1:49" s="13" customFormat="1" x14ac:dyDescent="0.2">
      <c r="A1419" s="14">
        <v>1395</v>
      </c>
      <c r="B1419" s="14">
        <v>400037131</v>
      </c>
      <c r="C1419" s="8" t="s">
        <v>5197</v>
      </c>
      <c r="D1419" s="4" t="str">
        <f t="shared" si="147"/>
        <v>400037131R1</v>
      </c>
      <c r="E1419" s="309" t="str">
        <f>VLOOKUP($B1419,'D7 - NDB Impacted SPRF''s'!$E$6:$O$9929,2,FALSE)</f>
        <v>OHBS Parity Process Improvement</v>
      </c>
      <c r="F1419" s="8"/>
      <c r="G1419" s="8" t="s">
        <v>4758</v>
      </c>
      <c r="H1419" s="8" t="s">
        <v>4246</v>
      </c>
      <c r="I1419" s="20">
        <v>27.31</v>
      </c>
      <c r="J1419" s="8" t="s">
        <v>4862</v>
      </c>
      <c r="K1419" s="182">
        <v>40586</v>
      </c>
      <c r="L1419" s="8" t="s">
        <v>4156</v>
      </c>
      <c r="M1419" s="8" t="s">
        <v>2814</v>
      </c>
      <c r="N1419" s="38"/>
      <c r="O1419" s="8"/>
      <c r="P1419" s="4" t="str">
        <f>VLOOKUP($B1419,'D7 - NDB Impacted SPRF''s'!$E$16:$O$9929,9,FALSE)</f>
        <v>Y</v>
      </c>
      <c r="Q1419" s="4" t="str">
        <f>VLOOKUP($B1419,'D7 - NDB Impacted SPRF''s'!$E$16:$O$9929,10,FALSE)</f>
        <v>N</v>
      </c>
      <c r="R1419" s="4" t="str">
        <f>VLOOKUP($B1419,'D7 - NDB Impacted SPRF''s'!$E$16:$O$9929,11,FALSE)</f>
        <v>N</v>
      </c>
      <c r="S1419" s="8"/>
      <c r="T1419" s="310"/>
      <c r="U1419" s="310"/>
      <c r="V1419" s="4"/>
      <c r="W1419" s="4"/>
      <c r="X1419" s="4"/>
      <c r="Y1419" s="4"/>
      <c r="Z1419" s="4"/>
      <c r="AA1419" s="4"/>
      <c r="AB1419" s="380" t="str">
        <f>VLOOKUP($B1419,'D7 - NDB Impacted SPRF''s'!$E$6:$O$9929,4,FALSE)</f>
        <v>Completed</v>
      </c>
      <c r="AC1419" s="380" t="str">
        <f>VLOOKUP($B1419,'D7 - NDB Impacted SPRF''s'!$E$6:$O$9929,3,FALSE)</f>
        <v>OptumHealth</v>
      </c>
      <c r="AD1419" s="380" t="str">
        <f>VLOOKUP($B1419,'D7 - NDB Impacted SPRF''s'!$E$6:$O$9929,5,FALSE)</f>
        <v>Behavioral Solutions</v>
      </c>
      <c r="AE1419" s="380" t="str">
        <f>VLOOKUP($B1419,'D7 - NDB Impacted SPRF''s'!$E$6:$O$9929,7,FALSE)</f>
        <v>Robert Preston</v>
      </c>
      <c r="AF1419" s="380" t="str">
        <f>VLOOKUP($B1419,'D7 - NDB Impacted SPRF''s'!$E$6:$O$9929,6,FALSE)</f>
        <v>Rebecca Embry</v>
      </c>
      <c r="AG1419" s="282"/>
      <c r="AH1419" s="311" t="e">
        <f>INDEX('D5 - Gatekeeper - Projects'!$A$4:$AF$1010,$AM1419, 17)</f>
        <v>#N/A</v>
      </c>
      <c r="AI1419" s="8"/>
      <c r="AJ1419" s="57"/>
      <c r="AK1419" s="105"/>
      <c r="AM1419" s="6" t="e">
        <f>MATCH(D1419,'D5 - Gatekeeper - Projects'!$C$4:$C$1010,0)</f>
        <v>#N/A</v>
      </c>
      <c r="AN1419" s="6" t="b">
        <f t="shared" si="142"/>
        <v>1</v>
      </c>
      <c r="AO1419" s="6" t="str">
        <f t="shared" si="144"/>
        <v>OK</v>
      </c>
      <c r="AQ1419" s="6" t="e">
        <f>MATCH($D1419,'D4 - Provider Council Unsched'!$C$11:$C$234,0)</f>
        <v>#N/A</v>
      </c>
      <c r="AR1419" s="6" t="b">
        <f t="shared" si="143"/>
        <v>1</v>
      </c>
      <c r="AS1419" s="6" t="str">
        <f t="shared" si="149"/>
        <v>OK</v>
      </c>
      <c r="AU1419" s="202">
        <v>40406</v>
      </c>
      <c r="AV1419" s="262"/>
      <c r="AW1419" s="274"/>
    </row>
    <row r="1420" spans="1:49" s="13" customFormat="1" ht="33.75" x14ac:dyDescent="0.2">
      <c r="A1420" s="14">
        <v>1396</v>
      </c>
      <c r="B1420" s="14">
        <v>400037192</v>
      </c>
      <c r="C1420" s="8" t="s">
        <v>5197</v>
      </c>
      <c r="D1420" s="4" t="str">
        <f t="shared" si="147"/>
        <v>400037192R1</v>
      </c>
      <c r="E1420" s="309" t="str">
        <f>VLOOKUP($B1420,'D7 - NDB Impacted SPRF''s'!$E$6:$O$9929,2,FALSE)</f>
        <v>Medica HCA NPI Analysis Only</v>
      </c>
      <c r="F1420" s="8"/>
      <c r="G1420" s="8" t="s">
        <v>4758</v>
      </c>
      <c r="H1420" s="8" t="s">
        <v>4246</v>
      </c>
      <c r="I1420" s="20">
        <v>3.92</v>
      </c>
      <c r="J1420" s="8" t="s">
        <v>4862</v>
      </c>
      <c r="K1420" s="182">
        <v>40586</v>
      </c>
      <c r="L1420" s="8" t="s">
        <v>4156</v>
      </c>
      <c r="M1420" s="8" t="s">
        <v>6688</v>
      </c>
      <c r="N1420" s="38"/>
      <c r="O1420" s="8"/>
      <c r="P1420" s="4" t="str">
        <f>VLOOKUP($B1420,'D7 - NDB Impacted SPRF''s'!$E$16:$O$9929,9,FALSE)</f>
        <v>Y</v>
      </c>
      <c r="Q1420" s="4" t="str">
        <f>VLOOKUP($B1420,'D7 - NDB Impacted SPRF''s'!$E$16:$O$9929,10,FALSE)</f>
        <v>N</v>
      </c>
      <c r="R1420" s="4" t="str">
        <f>VLOOKUP($B1420,'D7 - NDB Impacted SPRF''s'!$E$16:$O$9929,11,FALSE)</f>
        <v>N</v>
      </c>
      <c r="S1420" s="8"/>
      <c r="T1420" s="310"/>
      <c r="U1420" s="310"/>
      <c r="V1420" s="4"/>
      <c r="W1420" s="4"/>
      <c r="X1420" s="4"/>
      <c r="Y1420" s="4"/>
      <c r="Z1420" s="4"/>
      <c r="AA1420" s="4"/>
      <c r="AB1420" s="380" t="str">
        <f>VLOOKUP($B1420,'D7 - NDB Impacted SPRF''s'!$E$6:$O$9929,4,FALSE)</f>
        <v>Completed</v>
      </c>
      <c r="AC1420" s="380" t="str">
        <f>VLOOKUP($B1420,'D7 - NDB Impacted SPRF''s'!$E$6:$O$9929,3,FALSE)</f>
        <v>UnitedHealthcare Employer &amp; Individual</v>
      </c>
      <c r="AD1420" s="380" t="str">
        <f>VLOOKUP($B1420,'D7 - NDB Impacted SPRF''s'!$E$6:$O$9929,5,FALSE)</f>
        <v xml:space="preserve">HCA - Regulatory </v>
      </c>
      <c r="AE1420" s="380" t="str">
        <f>VLOOKUP($B1420,'D7 - NDB Impacted SPRF''s'!$E$6:$O$9929,7,FALSE)</f>
        <v>Joanne Houck</v>
      </c>
      <c r="AF1420" s="380" t="str">
        <f>VLOOKUP($B1420,'D7 - NDB Impacted SPRF''s'!$E$6:$O$9929,6,FALSE)</f>
        <v>James Genovese</v>
      </c>
      <c r="AG1420" s="282"/>
      <c r="AH1420" s="311" t="e">
        <f>INDEX('D5 - Gatekeeper - Projects'!$A$4:$AF$1010,$AM1420, 17)</f>
        <v>#N/A</v>
      </c>
      <c r="AI1420" s="8"/>
      <c r="AJ1420" s="57"/>
      <c r="AK1420" s="105"/>
      <c r="AM1420" s="6" t="e">
        <f>MATCH(D1420,'D5 - Gatekeeper - Projects'!$C$4:$C$1010,0)</f>
        <v>#N/A</v>
      </c>
      <c r="AN1420" s="6" t="b">
        <f t="shared" si="142"/>
        <v>1</v>
      </c>
      <c r="AO1420" s="6" t="str">
        <f t="shared" si="144"/>
        <v>OK</v>
      </c>
      <c r="AQ1420" s="6" t="e">
        <f>MATCH($D1420,'D4 - Provider Council Unsched'!$C$11:$C$234,0)</f>
        <v>#N/A</v>
      </c>
      <c r="AR1420" s="6" t="b">
        <f t="shared" si="143"/>
        <v>1</v>
      </c>
      <c r="AS1420" s="6" t="str">
        <f t="shared" si="149"/>
        <v>OK</v>
      </c>
      <c r="AU1420" s="202">
        <v>40379</v>
      </c>
      <c r="AV1420" s="262"/>
      <c r="AW1420" s="274"/>
    </row>
    <row r="1421" spans="1:49" s="13" customFormat="1" ht="33.75" x14ac:dyDescent="0.2">
      <c r="A1421" s="14">
        <v>1397</v>
      </c>
      <c r="B1421" s="8">
        <v>400037314</v>
      </c>
      <c r="C1421" s="8" t="s">
        <v>1447</v>
      </c>
      <c r="D1421" s="4" t="str">
        <f t="shared" si="147"/>
        <v>400037314A</v>
      </c>
      <c r="E1421" s="309" t="str">
        <f>VLOOKUP($B1421,'D7 - NDB Impacted SPRF''s'!$E$6:$O$9929,2,FALSE)</f>
        <v>PE IVR Procedure Code Benefits and Notifications</v>
      </c>
      <c r="F1421" s="8"/>
      <c r="G1421" s="8" t="s">
        <v>4758</v>
      </c>
      <c r="H1421" s="8" t="s">
        <v>4246</v>
      </c>
      <c r="I1421" s="20">
        <v>0.7533333333333333</v>
      </c>
      <c r="J1421" s="8" t="s">
        <v>4862</v>
      </c>
      <c r="K1421" s="182">
        <v>40586</v>
      </c>
      <c r="L1421" s="8" t="s">
        <v>4156</v>
      </c>
      <c r="M1421" s="8" t="s">
        <v>6688</v>
      </c>
      <c r="N1421" s="38"/>
      <c r="O1421" s="8"/>
      <c r="P1421" s="4" t="str">
        <f>VLOOKUP($B1421,'D7 - NDB Impacted SPRF''s'!$E$16:$O$9929,9,FALSE)</f>
        <v>Y</v>
      </c>
      <c r="Q1421" s="4" t="str">
        <f>VLOOKUP($B1421,'D7 - NDB Impacted SPRF''s'!$E$16:$O$9929,10,FALSE)</f>
        <v>N</v>
      </c>
      <c r="R1421" s="4" t="str">
        <f>VLOOKUP($B1421,'D7 - NDB Impacted SPRF''s'!$E$16:$O$9929,11,FALSE)</f>
        <v>N</v>
      </c>
      <c r="S1421" s="8"/>
      <c r="T1421" s="310"/>
      <c r="U1421" s="310"/>
      <c r="V1421" s="4"/>
      <c r="W1421" s="4"/>
      <c r="X1421" s="4"/>
      <c r="Y1421" s="4"/>
      <c r="Z1421" s="4"/>
      <c r="AA1421" s="4"/>
      <c r="AB1421" s="380" t="str">
        <f>VLOOKUP($B1421,'D7 - NDB Impacted SPRF''s'!$E$6:$O$9929,4,FALSE)</f>
        <v>Completed</v>
      </c>
      <c r="AC1421" s="380" t="str">
        <f>VLOOKUP($B1421,'D7 - NDB Impacted SPRF''s'!$E$6:$O$9929,3,FALSE)</f>
        <v>UnitedHealthcare Employer &amp; Individual</v>
      </c>
      <c r="AD1421" s="380" t="str">
        <f>VLOOKUP($B1421,'D7 - NDB Impacted SPRF''s'!$E$6:$O$9929,5,FALSE)</f>
        <v>Process Improvement</v>
      </c>
      <c r="AE1421" s="380" t="str">
        <f>VLOOKUP($B1421,'D7 - NDB Impacted SPRF''s'!$E$6:$O$9929,7,FALSE)</f>
        <v>Scott Naasz</v>
      </c>
      <c r="AF1421" s="380" t="str">
        <f>VLOOKUP($B1421,'D7 - NDB Impacted SPRF''s'!$E$6:$O$9929,6,FALSE)</f>
        <v>SCHWENDINGER HOLLY</v>
      </c>
      <c r="AG1421" s="282"/>
      <c r="AH1421" s="311" t="e">
        <f>INDEX('D5 - Gatekeeper - Projects'!$A$4:$AF$1010,$AM1421, 17)</f>
        <v>#N/A</v>
      </c>
      <c r="AI1421" s="8"/>
      <c r="AJ1421" s="57"/>
      <c r="AK1421" s="105"/>
      <c r="AM1421" s="6" t="e">
        <f>MATCH(D1421,'D5 - Gatekeeper - Projects'!$C$4:$C$1010,0)</f>
        <v>#N/A</v>
      </c>
      <c r="AN1421" s="6" t="b">
        <f t="shared" si="142"/>
        <v>1</v>
      </c>
      <c r="AO1421" s="6" t="str">
        <f t="shared" si="144"/>
        <v>OK</v>
      </c>
      <c r="AQ1421" s="6" t="e">
        <f>MATCH($D1421,'D4 - Provider Council Unsched'!$C$11:$C$234,0)</f>
        <v>#N/A</v>
      </c>
      <c r="AR1421" s="6" t="b">
        <f t="shared" si="143"/>
        <v>1</v>
      </c>
      <c r="AS1421" s="6" t="str">
        <f t="shared" si="149"/>
        <v>OK</v>
      </c>
      <c r="AU1421" s="202">
        <v>40556</v>
      </c>
      <c r="AV1421" s="262"/>
      <c r="AW1421" s="274"/>
    </row>
    <row r="1422" spans="1:49" s="13" customFormat="1" ht="33.75" x14ac:dyDescent="0.2">
      <c r="A1422" s="14">
        <v>1398</v>
      </c>
      <c r="B1422" s="14">
        <v>400038390</v>
      </c>
      <c r="C1422" s="8" t="s">
        <v>5197</v>
      </c>
      <c r="D1422" s="4" t="str">
        <f t="shared" si="147"/>
        <v>400038390R1</v>
      </c>
      <c r="E1422" s="309" t="str">
        <f>VLOOKUP($B1422,'D7 - NDB Impacted SPRF''s'!$E$6:$O$9929,2,FALSE)</f>
        <v>HSR Q1 2011 Release</v>
      </c>
      <c r="F1422" s="8"/>
      <c r="G1422" s="8" t="s">
        <v>4758</v>
      </c>
      <c r="H1422" s="8" t="s">
        <v>4246</v>
      </c>
      <c r="I1422" s="20">
        <v>1.82</v>
      </c>
      <c r="J1422" s="8" t="s">
        <v>4862</v>
      </c>
      <c r="K1422" s="182">
        <v>40586</v>
      </c>
      <c r="L1422" s="8" t="s">
        <v>4156</v>
      </c>
      <c r="M1422" s="8" t="s">
        <v>5626</v>
      </c>
      <c r="N1422" s="38"/>
      <c r="O1422" s="8"/>
      <c r="P1422" s="4" t="str">
        <f>VLOOKUP($B1422,'D7 - NDB Impacted SPRF''s'!$E$16:$O$9929,9,FALSE)</f>
        <v>Y</v>
      </c>
      <c r="Q1422" s="4" t="str">
        <f>VLOOKUP($B1422,'D7 - NDB Impacted SPRF''s'!$E$16:$O$9929,10,FALSE)</f>
        <v>N</v>
      </c>
      <c r="R1422" s="4" t="str">
        <f>VLOOKUP($B1422,'D7 - NDB Impacted SPRF''s'!$E$16:$O$9929,11,FALSE)</f>
        <v>N</v>
      </c>
      <c r="S1422" s="8"/>
      <c r="T1422" s="310"/>
      <c r="U1422" s="310"/>
      <c r="V1422" s="4"/>
      <c r="W1422" s="4"/>
      <c r="X1422" s="4"/>
      <c r="Y1422" s="4"/>
      <c r="Z1422" s="4"/>
      <c r="AA1422" s="4"/>
      <c r="AB1422" s="380" t="str">
        <f>VLOOKUP($B1422,'D7 - NDB Impacted SPRF''s'!$E$6:$O$9929,4,FALSE)</f>
        <v>Completed</v>
      </c>
      <c r="AC1422" s="380" t="str">
        <f>VLOOKUP($B1422,'D7 - NDB Impacted SPRF''s'!$E$6:$O$9929,3,FALSE)</f>
        <v>UnitedHealthcare Medicare &amp; Retirement</v>
      </c>
      <c r="AD1422" s="380" t="str">
        <f>VLOOKUP($B1422,'D7 - NDB Impacted SPRF''s'!$E$6:$O$9929,5,FALSE)</f>
        <v>Enterprise Clinical</v>
      </c>
      <c r="AE1422" s="380" t="str">
        <f>VLOOKUP($B1422,'D7 - NDB Impacted SPRF''s'!$E$6:$O$9929,7,FALSE)</f>
        <v>Ellen Koch</v>
      </c>
      <c r="AF1422" s="380" t="str">
        <f>VLOOKUP($B1422,'D7 - NDB Impacted SPRF''s'!$E$6:$O$9929,6,FALSE)</f>
        <v>Carol Buske</v>
      </c>
      <c r="AG1422" s="282"/>
      <c r="AH1422" s="311" t="e">
        <f>INDEX('D5 - Gatekeeper - Projects'!$A$4:$AF$1010,$AM1422, 17)</f>
        <v>#N/A</v>
      </c>
      <c r="AI1422" s="8"/>
      <c r="AJ1422" s="57"/>
      <c r="AK1422" s="105"/>
      <c r="AM1422" s="6" t="e">
        <f>MATCH(D1422,'D5 - Gatekeeper - Projects'!$C$4:$C$1010,0)</f>
        <v>#N/A</v>
      </c>
      <c r="AN1422" s="6" t="b">
        <f t="shared" si="142"/>
        <v>1</v>
      </c>
      <c r="AO1422" s="6" t="str">
        <f t="shared" si="144"/>
        <v>OK</v>
      </c>
      <c r="AQ1422" s="6" t="e">
        <f>MATCH($D1422,'D4 - Provider Council Unsched'!$C$11:$C$234,0)</f>
        <v>#N/A</v>
      </c>
      <c r="AR1422" s="6" t="b">
        <f t="shared" si="143"/>
        <v>1</v>
      </c>
      <c r="AS1422" s="6" t="str">
        <f t="shared" si="149"/>
        <v>OK</v>
      </c>
      <c r="AU1422" s="202">
        <v>40462</v>
      </c>
      <c r="AV1422" s="262"/>
      <c r="AW1422" s="274"/>
    </row>
    <row r="1423" spans="1:49" s="13" customFormat="1" ht="33.75" x14ac:dyDescent="0.2">
      <c r="A1423" s="14">
        <v>1399</v>
      </c>
      <c r="B1423" s="14">
        <v>400038465</v>
      </c>
      <c r="C1423" s="8" t="s">
        <v>5197</v>
      </c>
      <c r="D1423" s="4" t="str">
        <f t="shared" si="147"/>
        <v>400038465R1</v>
      </c>
      <c r="E1423" s="343" t="str">
        <f>VLOOKUP($B1423,'D7 - NDB Impacted SPRF''s'!$E$6:$O$9929,2,FALSE)</f>
        <v>iCES Clearinghouse February 2011 Maint. Release</v>
      </c>
      <c r="F1423" s="8"/>
      <c r="G1423" s="8" t="s">
        <v>4758</v>
      </c>
      <c r="H1423" s="8" t="s">
        <v>4246</v>
      </c>
      <c r="I1423" s="20">
        <v>0.53333333333333333</v>
      </c>
      <c r="J1423" s="8" t="s">
        <v>4862</v>
      </c>
      <c r="K1423" s="182">
        <v>40586</v>
      </c>
      <c r="L1423" s="8" t="s">
        <v>4156</v>
      </c>
      <c r="M1423" s="8" t="s">
        <v>5626</v>
      </c>
      <c r="N1423" s="38"/>
      <c r="O1423" s="8"/>
      <c r="P1423" s="4" t="str">
        <f>VLOOKUP($B1423,'D7 - NDB Impacted SPRF''s'!$E$16:$O$9929,9,FALSE)</f>
        <v>N</v>
      </c>
      <c r="Q1423" s="4" t="str">
        <f>VLOOKUP($B1423,'D7 - NDB Impacted SPRF''s'!$E$16:$O$9929,10,FALSE)</f>
        <v>N</v>
      </c>
      <c r="R1423" s="4" t="str">
        <f>VLOOKUP($B1423,'D7 - NDB Impacted SPRF''s'!$E$16:$O$9929,11,FALSE)</f>
        <v>N</v>
      </c>
      <c r="S1423" s="8"/>
      <c r="T1423" s="310"/>
      <c r="U1423" s="310"/>
      <c r="V1423" s="4"/>
      <c r="W1423" s="4"/>
      <c r="X1423" s="4"/>
      <c r="Y1423" s="4"/>
      <c r="Z1423" s="4"/>
      <c r="AA1423" s="4"/>
      <c r="AB1423" s="380" t="str">
        <f>VLOOKUP($B1423,'D7 - NDB Impacted SPRF''s'!$E$6:$O$9929,4,FALSE)</f>
        <v>Completed</v>
      </c>
      <c r="AC1423" s="380" t="str">
        <f>VLOOKUP($B1423,'D7 - NDB Impacted SPRF''s'!$E$6:$O$9929,3,FALSE)</f>
        <v>UnitedHealthcare Employer &amp; Individual</v>
      </c>
      <c r="AD1423" s="380" t="str">
        <f>VLOOKUP($B1423,'D7 - NDB Impacted SPRF''s'!$E$6:$O$9929,5,FALSE)</f>
        <v>Operational Requirements</v>
      </c>
      <c r="AE1423" s="380" t="str">
        <f>VLOOKUP($B1423,'D7 - NDB Impacted SPRF''s'!$E$6:$O$9929,7,FALSE)</f>
        <v>Elena McFann</v>
      </c>
      <c r="AF1423" s="380" t="str">
        <f>VLOOKUP($B1423,'D7 - NDB Impacted SPRF''s'!$E$6:$O$9929,6,FALSE)</f>
        <v>DAWN BOLLER</v>
      </c>
      <c r="AG1423" s="282"/>
      <c r="AH1423" s="311" t="e">
        <f>INDEX('D5 - Gatekeeper - Projects'!$A$4:$AF$1010,$AM1423, 17)</f>
        <v>#N/A</v>
      </c>
      <c r="AI1423" s="8"/>
      <c r="AJ1423" s="57"/>
      <c r="AK1423" s="105"/>
      <c r="AM1423" s="6" t="e">
        <f>MATCH(D1423,'D5 - Gatekeeper - Projects'!$C$4:$C$1010,0)</f>
        <v>#N/A</v>
      </c>
      <c r="AN1423" s="6" t="b">
        <f t="shared" si="142"/>
        <v>1</v>
      </c>
      <c r="AO1423" s="6" t="str">
        <f t="shared" si="144"/>
        <v>OK</v>
      </c>
      <c r="AQ1423" s="6" t="e">
        <f>MATCH($D1423,'D4 - Provider Council Unsched'!$C$11:$C$234,0)</f>
        <v>#N/A</v>
      </c>
      <c r="AR1423" s="6" t="b">
        <f t="shared" si="143"/>
        <v>1</v>
      </c>
      <c r="AS1423" s="6" t="str">
        <f t="shared" si="149"/>
        <v>OK</v>
      </c>
      <c r="AU1423" s="202">
        <v>40518</v>
      </c>
      <c r="AV1423" s="262"/>
      <c r="AW1423" s="274"/>
    </row>
    <row r="1424" spans="1:49" s="13" customFormat="1" ht="45" x14ac:dyDescent="0.2">
      <c r="A1424" s="14">
        <v>1400</v>
      </c>
      <c r="B1424" s="8">
        <v>400038665</v>
      </c>
      <c r="C1424" s="8" t="s">
        <v>7292</v>
      </c>
      <c r="D1424" s="4" t="str">
        <f t="shared" si="147"/>
        <v>400038665C</v>
      </c>
      <c r="E1424" s="309" t="str">
        <f>VLOOKUP($B1424,'D7 - NDB Impacted SPRF''s'!$E$6:$O$9929,2,FALSE)</f>
        <v>PDR 2010 - Scope and Approach Review (Doddy Xfer)</v>
      </c>
      <c r="F1424" s="8"/>
      <c r="G1424" s="8" t="s">
        <v>4758</v>
      </c>
      <c r="H1424" s="8" t="s">
        <v>4246</v>
      </c>
      <c r="I1424" s="20">
        <v>4.2133333333333329</v>
      </c>
      <c r="J1424" s="8" t="s">
        <v>4862</v>
      </c>
      <c r="K1424" s="182">
        <v>40586</v>
      </c>
      <c r="L1424" s="8" t="s">
        <v>4156</v>
      </c>
      <c r="M1424" s="8" t="s">
        <v>6688</v>
      </c>
      <c r="N1424" s="38" t="s">
        <v>4052</v>
      </c>
      <c r="O1424" s="8"/>
      <c r="P1424" s="4" t="str">
        <f>VLOOKUP($B1424,'D7 - NDB Impacted SPRF''s'!$E$16:$O$9929,9,FALSE)</f>
        <v>Y</v>
      </c>
      <c r="Q1424" s="4" t="str">
        <f>VLOOKUP($B1424,'D7 - NDB Impacted SPRF''s'!$E$16:$O$9929,10,FALSE)</f>
        <v>N</v>
      </c>
      <c r="R1424" s="4" t="str">
        <f>VLOOKUP($B1424,'D7 - NDB Impacted SPRF''s'!$E$16:$O$9929,11,FALSE)</f>
        <v>Y</v>
      </c>
      <c r="S1424" s="8"/>
      <c r="T1424" s="310"/>
      <c r="U1424" s="310"/>
      <c r="V1424" s="4"/>
      <c r="W1424" s="4"/>
      <c r="X1424" s="4"/>
      <c r="Y1424" s="4"/>
      <c r="Z1424" s="4"/>
      <c r="AA1424" s="4"/>
      <c r="AB1424" s="380" t="str">
        <f>VLOOKUP($B1424,'D7 - NDB Impacted SPRF''s'!$E$6:$O$9929,4,FALSE)</f>
        <v>Completed</v>
      </c>
      <c r="AC1424" s="380" t="str">
        <f>VLOOKUP($B1424,'D7 - NDB Impacted SPRF''s'!$E$6:$O$9929,3,FALSE)</f>
        <v>UHG IT - Enterprise Technology Services</v>
      </c>
      <c r="AD1424" s="380" t="str">
        <f>VLOOKUP($B1424,'D7 - NDB Impacted SPRF''s'!$E$6:$O$9929,5,FALSE)</f>
        <v>Strategic Initiatives</v>
      </c>
      <c r="AE1424" s="380" t="str">
        <f>VLOOKUP($B1424,'D7 - NDB Impacted SPRF''s'!$E$6:$O$9929,7,FALSE)</f>
        <v>Tim Kaja</v>
      </c>
      <c r="AF1424" s="380" t="str">
        <f>VLOOKUP($B1424,'D7 - NDB Impacted SPRF''s'!$E$6:$O$9929,6,FALSE)</f>
        <v>JEFFREY HUXLEY</v>
      </c>
      <c r="AG1424" s="282"/>
      <c r="AH1424" s="311" t="e">
        <f>INDEX('D5 - Gatekeeper - Projects'!$A$4:$AF$1010,$AM1424, 17)</f>
        <v>#N/A</v>
      </c>
      <c r="AI1424" s="8"/>
      <c r="AJ1424" s="57"/>
      <c r="AK1424" s="105"/>
      <c r="AM1424" s="6" t="e">
        <f>MATCH(D1424,'D5 - Gatekeeper - Projects'!$C$4:$C$1010,0)</f>
        <v>#N/A</v>
      </c>
      <c r="AN1424" s="6" t="b">
        <f t="shared" si="142"/>
        <v>1</v>
      </c>
      <c r="AO1424" s="6" t="str">
        <f t="shared" si="144"/>
        <v>OK</v>
      </c>
      <c r="AQ1424" s="6" t="e">
        <f>MATCH($D1424,'D4 - Provider Council Unsched'!$C$11:$C$234,0)</f>
        <v>#N/A</v>
      </c>
      <c r="AR1424" s="6" t="b">
        <f t="shared" si="143"/>
        <v>1</v>
      </c>
      <c r="AS1424" s="6" t="str">
        <f t="shared" si="149"/>
        <v>OK</v>
      </c>
      <c r="AU1424" s="202">
        <v>40462</v>
      </c>
      <c r="AV1424" s="262"/>
      <c r="AW1424" s="274"/>
    </row>
    <row r="1425" spans="1:49" s="13" customFormat="1" ht="33.75" x14ac:dyDescent="0.2">
      <c r="A1425" s="14">
        <v>1401</v>
      </c>
      <c r="B1425" s="8">
        <v>400039517</v>
      </c>
      <c r="C1425" s="8" t="s">
        <v>1447</v>
      </c>
      <c r="D1425" s="4" t="str">
        <f t="shared" si="147"/>
        <v>400039517A</v>
      </c>
      <c r="E1425" s="309" t="str">
        <f>VLOOKUP($B1425,'D7 - NDB Impacted SPRF''s'!$E$6:$O$9929,2,FALSE)</f>
        <v>NDM/NCST Reengineering Proof of Concept RSA</v>
      </c>
      <c r="F1425" s="8"/>
      <c r="G1425" s="8" t="s">
        <v>4758</v>
      </c>
      <c r="H1425" s="8" t="s">
        <v>4246</v>
      </c>
      <c r="I1425" s="20">
        <v>1.08</v>
      </c>
      <c r="J1425" s="8" t="s">
        <v>4862</v>
      </c>
      <c r="K1425" s="182">
        <v>40586</v>
      </c>
      <c r="L1425" s="8" t="s">
        <v>4156</v>
      </c>
      <c r="M1425" s="8" t="s">
        <v>6688</v>
      </c>
      <c r="N1425" s="38" t="s">
        <v>7097</v>
      </c>
      <c r="O1425" s="8"/>
      <c r="P1425" s="4" t="str">
        <f>VLOOKUP($B1425,'D7 - NDB Impacted SPRF''s'!$E$16:$O$9929,9,FALSE)</f>
        <v>N</v>
      </c>
      <c r="Q1425" s="4" t="str">
        <f>VLOOKUP($B1425,'D7 - NDB Impacted SPRF''s'!$E$16:$O$9929,10,FALSE)</f>
        <v>N</v>
      </c>
      <c r="R1425" s="4" t="str">
        <f>VLOOKUP($B1425,'D7 - NDB Impacted SPRF''s'!$E$16:$O$9929,11,FALSE)</f>
        <v>N</v>
      </c>
      <c r="S1425" s="8"/>
      <c r="T1425" s="310"/>
      <c r="U1425" s="310"/>
      <c r="V1425" s="4"/>
      <c r="W1425" s="4"/>
      <c r="X1425" s="4"/>
      <c r="Y1425" s="4"/>
      <c r="Z1425" s="4"/>
      <c r="AA1425" s="4"/>
      <c r="AB1425" s="380" t="str">
        <f>VLOOKUP($B1425,'D7 - NDB Impacted SPRF''s'!$E$6:$O$9929,4,FALSE)</f>
        <v>Completed</v>
      </c>
      <c r="AC1425" s="380" t="str">
        <f>VLOOKUP($B1425,'D7 - NDB Impacted SPRF''s'!$E$6:$O$9929,3,FALSE)</f>
        <v>UnitedHealthcare Employer &amp; Individual</v>
      </c>
      <c r="AD1425" s="380" t="str">
        <f>VLOOKUP($B1425,'D7 - NDB Impacted SPRF''s'!$E$6:$O$9929,5,FALSE)</f>
        <v>Process Improvement</v>
      </c>
      <c r="AE1425" s="380" t="str">
        <f>VLOOKUP($B1425,'D7 - NDB Impacted SPRF''s'!$E$6:$O$9929,7,FALSE)</f>
        <v>Tim Kaja</v>
      </c>
      <c r="AF1425" s="380" t="str">
        <f>VLOOKUP($B1425,'D7 - NDB Impacted SPRF''s'!$E$6:$O$9929,6,FALSE)</f>
        <v>LAURA GUY</v>
      </c>
      <c r="AG1425" s="282"/>
      <c r="AH1425" s="311" t="e">
        <f>INDEX('D5 - Gatekeeper - Projects'!$A$4:$AF$1010,$AM1425, 17)</f>
        <v>#N/A</v>
      </c>
      <c r="AI1425" s="8"/>
      <c r="AJ1425" s="57"/>
      <c r="AK1425" s="105"/>
      <c r="AM1425" s="6" t="e">
        <f>MATCH(D1425,'D5 - Gatekeeper - Projects'!$C$4:$C$1010,0)</f>
        <v>#N/A</v>
      </c>
      <c r="AN1425" s="6" t="b">
        <f t="shared" ref="AN1425:AN1488" si="150">ISERROR(AM1425)</f>
        <v>1</v>
      </c>
      <c r="AO1425" s="6" t="str">
        <f t="shared" si="144"/>
        <v>OK</v>
      </c>
      <c r="AQ1425" s="6" t="e">
        <f>MATCH($D1425,'D4 - Provider Council Unsched'!$C$11:$C$234,0)</f>
        <v>#N/A</v>
      </c>
      <c r="AR1425" s="6" t="b">
        <f t="shared" ref="AR1425:AR1488" si="151">ISERROR(AQ1425)</f>
        <v>1</v>
      </c>
      <c r="AS1425" s="6" t="str">
        <f t="shared" si="149"/>
        <v>OK</v>
      </c>
      <c r="AU1425" s="202"/>
      <c r="AV1425" s="262"/>
      <c r="AW1425" s="274"/>
    </row>
    <row r="1426" spans="1:49" s="13" customFormat="1" ht="45" x14ac:dyDescent="0.2">
      <c r="A1426" s="14">
        <v>1402</v>
      </c>
      <c r="B1426" s="8">
        <v>400039962</v>
      </c>
      <c r="C1426" s="8" t="s">
        <v>1447</v>
      </c>
      <c r="D1426" s="4" t="str">
        <f t="shared" si="147"/>
        <v>400039962A</v>
      </c>
      <c r="E1426" s="309" t="str">
        <f>VLOOKUP($B1426,'D7 - NDB Impacted SPRF''s'!$E$6:$O$9929,2,FALSE)</f>
        <v>Decoupling Clms Hwy from TOPS Phase 2</v>
      </c>
      <c r="F1426" s="8"/>
      <c r="G1426" s="8" t="s">
        <v>4758</v>
      </c>
      <c r="H1426" s="8" t="s">
        <v>4246</v>
      </c>
      <c r="I1426" s="20">
        <v>1.46</v>
      </c>
      <c r="J1426" s="8" t="s">
        <v>4862</v>
      </c>
      <c r="K1426" s="182">
        <v>40586</v>
      </c>
      <c r="L1426" s="8" t="s">
        <v>4156</v>
      </c>
      <c r="M1426" s="8" t="s">
        <v>4450</v>
      </c>
      <c r="N1426" s="38"/>
      <c r="O1426" s="8"/>
      <c r="P1426" s="4" t="str">
        <f>VLOOKUP($B1426,'D7 - NDB Impacted SPRF''s'!$E$16:$O$9929,9,FALSE)</f>
        <v>Y</v>
      </c>
      <c r="Q1426" s="4" t="str">
        <f>VLOOKUP($B1426,'D7 - NDB Impacted SPRF''s'!$E$16:$O$9929,10,FALSE)</f>
        <v>N</v>
      </c>
      <c r="R1426" s="4" t="str">
        <f>VLOOKUP($B1426,'D7 - NDB Impacted SPRF''s'!$E$16:$O$9929,11,FALSE)</f>
        <v>Y</v>
      </c>
      <c r="S1426" s="8"/>
      <c r="T1426" s="310"/>
      <c r="U1426" s="310"/>
      <c r="V1426" s="4"/>
      <c r="W1426" s="4"/>
      <c r="X1426" s="4"/>
      <c r="Y1426" s="4"/>
      <c r="Z1426" s="4"/>
      <c r="AA1426" s="4"/>
      <c r="AB1426" s="380" t="str">
        <f>VLOOKUP($B1426,'D7 - NDB Impacted SPRF''s'!$E$6:$O$9929,4,FALSE)</f>
        <v>Completed</v>
      </c>
      <c r="AC1426" s="380" t="str">
        <f>VLOOKUP($B1426,'D7 - NDB Impacted SPRF''s'!$E$6:$O$9929,3,FALSE)</f>
        <v>UHG IT - Enterprise Technology Services</v>
      </c>
      <c r="AD1426" s="380" t="str">
        <f>VLOOKUP($B1426,'D7 - NDB Impacted SPRF''s'!$E$6:$O$9929,5,FALSE)</f>
        <v>Strategic Initiatives</v>
      </c>
      <c r="AE1426" s="380" t="str">
        <f>VLOOKUP($B1426,'D7 - NDB Impacted SPRF''s'!$E$6:$O$9929,7,FALSE)</f>
        <v>John Doddy</v>
      </c>
      <c r="AF1426" s="380" t="str">
        <f>VLOOKUP($B1426,'D7 - NDB Impacted SPRF''s'!$E$6:$O$9929,6,FALSE)</f>
        <v>CAROL BERCAW</v>
      </c>
      <c r="AG1426" s="282"/>
      <c r="AH1426" s="311" t="e">
        <f>INDEX('D5 - Gatekeeper - Projects'!$A$4:$AF$1010,$AM1426, 17)</f>
        <v>#N/A</v>
      </c>
      <c r="AI1426" s="8"/>
      <c r="AJ1426" s="57"/>
      <c r="AK1426" s="105"/>
      <c r="AM1426" s="6" t="e">
        <f>MATCH(D1426,'D5 - Gatekeeper - Projects'!$C$4:$C$1010,0)</f>
        <v>#N/A</v>
      </c>
      <c r="AN1426" s="6" t="b">
        <f t="shared" si="150"/>
        <v>1</v>
      </c>
      <c r="AO1426" s="6" t="str">
        <f t="shared" ref="AO1426:AO1489" si="152">IF(AND(H1426="1 - Scheduled",AN1426=TRUE),"Add","OK")</f>
        <v>OK</v>
      </c>
      <c r="AQ1426" s="6" t="e">
        <f>MATCH($D1426,'D4 - Provider Council Unsched'!$C$11:$C$234,0)</f>
        <v>#N/A</v>
      </c>
      <c r="AR1426" s="6" t="b">
        <f t="shared" si="151"/>
        <v>1</v>
      </c>
      <c r="AS1426" s="6" t="str">
        <f t="shared" si="149"/>
        <v>OK</v>
      </c>
      <c r="AU1426" s="202">
        <v>40525</v>
      </c>
      <c r="AV1426" s="262"/>
      <c r="AW1426" s="274"/>
    </row>
    <row r="1427" spans="1:49" s="13" customFormat="1" ht="33.75" x14ac:dyDescent="0.2">
      <c r="A1427" s="14">
        <v>1403</v>
      </c>
      <c r="B1427" s="8">
        <v>400041297</v>
      </c>
      <c r="C1427" s="8" t="s">
        <v>1447</v>
      </c>
      <c r="D1427" s="4" t="str">
        <f t="shared" si="147"/>
        <v>400041297A</v>
      </c>
      <c r="E1427" s="309" t="str">
        <f>VLOOKUP($B1427,'D7 - NDB Impacted SPRF''s'!$E$6:$O$9929,2,FALSE)</f>
        <v>HPHC Expansion of A Record Anesth. Factor Field</v>
      </c>
      <c r="F1427" s="8"/>
      <c r="G1427" s="8" t="s">
        <v>4758</v>
      </c>
      <c r="H1427" s="8" t="s">
        <v>4246</v>
      </c>
      <c r="I1427" s="20">
        <v>0.74</v>
      </c>
      <c r="J1427" s="8" t="s">
        <v>4862</v>
      </c>
      <c r="K1427" s="182">
        <v>40586</v>
      </c>
      <c r="L1427" s="8" t="s">
        <v>4156</v>
      </c>
      <c r="M1427" s="8" t="s">
        <v>6007</v>
      </c>
      <c r="N1427" s="38"/>
      <c r="O1427" s="8"/>
      <c r="P1427" s="4" t="str">
        <f>VLOOKUP($B1427,'D7 - NDB Impacted SPRF''s'!$E$16:$O$9929,9,FALSE)</f>
        <v>N</v>
      </c>
      <c r="Q1427" s="4" t="str">
        <f>VLOOKUP($B1427,'D7 - NDB Impacted SPRF''s'!$E$16:$O$9929,10,FALSE)</f>
        <v>N</v>
      </c>
      <c r="R1427" s="4" t="str">
        <f>VLOOKUP($B1427,'D7 - NDB Impacted SPRF''s'!$E$16:$O$9929,11,FALSE)</f>
        <v>N</v>
      </c>
      <c r="S1427" s="8"/>
      <c r="T1427" s="310"/>
      <c r="U1427" s="310"/>
      <c r="V1427" s="4"/>
      <c r="W1427" s="4"/>
      <c r="X1427" s="4"/>
      <c r="Y1427" s="4"/>
      <c r="Z1427" s="4"/>
      <c r="AA1427" s="4"/>
      <c r="AB1427" s="380" t="str">
        <f>VLOOKUP($B1427,'D7 - NDB Impacted SPRF''s'!$E$6:$O$9929,4,FALSE)</f>
        <v>Completed</v>
      </c>
      <c r="AC1427" s="380" t="str">
        <f>VLOOKUP($B1427,'D7 - NDB Impacted SPRF''s'!$E$6:$O$9929,3,FALSE)</f>
        <v>UnitedHealthcare Employer &amp; Individual</v>
      </c>
      <c r="AD1427" s="380" t="str">
        <f>VLOOKUP($B1427,'D7 - NDB Impacted SPRF''s'!$E$6:$O$9929,5,FALSE)</f>
        <v>HCA - Operational Requirements</v>
      </c>
      <c r="AE1427" s="380" t="str">
        <f>VLOOKUP($B1427,'D7 - NDB Impacted SPRF''s'!$E$6:$O$9929,7,FALSE)</f>
        <v>Kelly Lee</v>
      </c>
      <c r="AF1427" s="380" t="str">
        <f>VLOOKUP($B1427,'D7 - NDB Impacted SPRF''s'!$E$6:$O$9929,6,FALSE)</f>
        <v>LUND ROSS</v>
      </c>
      <c r="AG1427" s="282"/>
      <c r="AH1427" s="311" t="e">
        <f>INDEX('D5 - Gatekeeper - Projects'!$A$4:$AF$1010,$AM1427, 17)</f>
        <v>#N/A</v>
      </c>
      <c r="AI1427" s="8"/>
      <c r="AJ1427" s="57"/>
      <c r="AK1427" s="105"/>
      <c r="AM1427" s="6" t="e">
        <f>MATCH(D1427,'D5 - Gatekeeper - Projects'!$C$4:$C$1010,0)</f>
        <v>#N/A</v>
      </c>
      <c r="AN1427" s="6" t="b">
        <f t="shared" si="150"/>
        <v>1</v>
      </c>
      <c r="AO1427" s="6" t="str">
        <f t="shared" si="152"/>
        <v>OK</v>
      </c>
      <c r="AQ1427" s="6" t="e">
        <f>MATCH($D1427,'D4 - Provider Council Unsched'!$C$11:$C$234,0)</f>
        <v>#N/A</v>
      </c>
      <c r="AR1427" s="6" t="b">
        <f t="shared" si="151"/>
        <v>1</v>
      </c>
      <c r="AS1427" s="6" t="str">
        <f t="shared" si="149"/>
        <v>OK</v>
      </c>
      <c r="AU1427" s="202">
        <v>40553</v>
      </c>
      <c r="AV1427" s="262"/>
      <c r="AW1427" s="274"/>
    </row>
    <row r="1428" spans="1:49" s="13" customFormat="1" x14ac:dyDescent="0.2">
      <c r="A1428" s="14">
        <v>1404</v>
      </c>
      <c r="B1428" s="14" t="s">
        <v>7345</v>
      </c>
      <c r="C1428" s="8" t="s">
        <v>3763</v>
      </c>
      <c r="D1428" s="4" t="s">
        <v>1496</v>
      </c>
      <c r="E1428" s="309" t="s">
        <v>1495</v>
      </c>
      <c r="F1428" s="8" t="s">
        <v>2114</v>
      </c>
      <c r="G1428" s="8" t="s">
        <v>4758</v>
      </c>
      <c r="H1428" s="8" t="s">
        <v>4246</v>
      </c>
      <c r="I1428" s="20">
        <v>4</v>
      </c>
      <c r="J1428" s="8" t="s">
        <v>4862</v>
      </c>
      <c r="K1428" s="182">
        <v>40586</v>
      </c>
      <c r="L1428" s="8" t="s">
        <v>5743</v>
      </c>
      <c r="M1428" s="8" t="s">
        <v>6688</v>
      </c>
      <c r="N1428" s="38"/>
      <c r="O1428" s="8" t="s">
        <v>3572</v>
      </c>
      <c r="P1428" s="4" t="e">
        <f>VLOOKUP($B1428,'D7 - NDB Impacted SPRF''s'!$E$16:$O$9929,9,FALSE)</f>
        <v>#N/A</v>
      </c>
      <c r="Q1428" s="4" t="e">
        <f>VLOOKUP($B1428,'D7 - NDB Impacted SPRF''s'!$E$16:$O$9929,10,FALSE)</f>
        <v>#N/A</v>
      </c>
      <c r="R1428" s="4" t="e">
        <f>VLOOKUP($B1428,'D7 - NDB Impacted SPRF''s'!$E$16:$O$9929,11,FALSE)</f>
        <v>#N/A</v>
      </c>
      <c r="S1428" s="8"/>
      <c r="T1428" s="310"/>
      <c r="U1428" s="310"/>
      <c r="V1428" s="4"/>
      <c r="W1428" s="4"/>
      <c r="X1428" s="4"/>
      <c r="Y1428" s="4"/>
      <c r="Z1428" s="4"/>
      <c r="AA1428" s="4"/>
      <c r="AB1428" s="383" t="e">
        <f>VLOOKUP($B1428,'D7 - NDB Impacted SPRF''s'!$E$16:$O$9929,4,FALSE)</f>
        <v>#N/A</v>
      </c>
      <c r="AC1428" s="380" t="e">
        <f>VLOOKUP($B1428,'D7 - NDB Impacted SPRF''s'!$E$16:$O$9929,3,FALSE)</f>
        <v>#N/A</v>
      </c>
      <c r="AD1428" s="380" t="e">
        <f>VLOOKUP($B1428,'D7 - NDB Impacted SPRF''s'!$E$16:$O$9929,5,FALSE)</f>
        <v>#N/A</v>
      </c>
      <c r="AE1428" s="380" t="e">
        <f>VLOOKUP($B1428,'D7 - NDB Impacted SPRF''s'!$E$16:$O$9929,7,FALSE)</f>
        <v>#N/A</v>
      </c>
      <c r="AF1428" s="380" t="e">
        <f>VLOOKUP($B1428,'D7 - NDB Impacted SPRF''s'!$E$16:$O$9929,6,FALSE)</f>
        <v>#N/A</v>
      </c>
      <c r="AG1428" s="282"/>
      <c r="AH1428" s="311" t="e">
        <f>INDEX('D5 - Gatekeeper - Projects'!$A$4:$AF$1010,$AM1428, 17)</f>
        <v>#N/A</v>
      </c>
      <c r="AI1428" s="8"/>
      <c r="AJ1428" s="57"/>
      <c r="AK1428" s="105"/>
      <c r="AM1428" s="6" t="e">
        <f>MATCH(D1428,'D5 - Gatekeeper - Projects'!$C$4:$C$1010,0)</f>
        <v>#N/A</v>
      </c>
      <c r="AN1428" s="6" t="b">
        <f t="shared" si="150"/>
        <v>1</v>
      </c>
      <c r="AO1428" s="6" t="str">
        <f t="shared" si="152"/>
        <v>OK</v>
      </c>
      <c r="AQ1428" s="6" t="e">
        <f>MATCH($D1428,'D4 - Provider Council Unsched'!$C$11:$C$234,0)</f>
        <v>#N/A</v>
      </c>
      <c r="AR1428" s="6" t="b">
        <f t="shared" si="151"/>
        <v>1</v>
      </c>
      <c r="AS1428" s="6" t="str">
        <f t="shared" ref="AS1428:AS1437" si="153">IF(AND(H1428="2 - Not Scheduled",AR1428=TRUE),"Add","OK")</f>
        <v>OK</v>
      </c>
      <c r="AU1428" s="202"/>
      <c r="AV1428" s="262"/>
      <c r="AW1428" s="274"/>
    </row>
    <row r="1429" spans="1:49" s="13" customFormat="1" x14ac:dyDescent="0.2">
      <c r="A1429" s="14">
        <v>1405</v>
      </c>
      <c r="B1429" s="14" t="s">
        <v>5135</v>
      </c>
      <c r="C1429" s="8" t="s">
        <v>5197</v>
      </c>
      <c r="D1429" s="4" t="s">
        <v>5134</v>
      </c>
      <c r="E1429" s="309" t="s">
        <v>5142</v>
      </c>
      <c r="F1429" s="8" t="s">
        <v>2114</v>
      </c>
      <c r="G1429" s="8" t="s">
        <v>4758</v>
      </c>
      <c r="H1429" s="8" t="s">
        <v>4246</v>
      </c>
      <c r="I1429" s="20">
        <v>3.9</v>
      </c>
      <c r="J1429" s="8" t="s">
        <v>4862</v>
      </c>
      <c r="K1429" s="182">
        <v>40586</v>
      </c>
      <c r="L1429" s="8" t="s">
        <v>5743</v>
      </c>
      <c r="M1429" s="8" t="s">
        <v>6688</v>
      </c>
      <c r="N1429" s="38"/>
      <c r="O1429" s="8" t="s">
        <v>3572</v>
      </c>
      <c r="P1429" s="4" t="e">
        <f>VLOOKUP($B1429,'D7 - NDB Impacted SPRF''s'!$E$16:$O$9929,9,FALSE)</f>
        <v>#N/A</v>
      </c>
      <c r="Q1429" s="4" t="e">
        <f>VLOOKUP($B1429,'D7 - NDB Impacted SPRF''s'!$E$16:$O$9929,10,FALSE)</f>
        <v>#N/A</v>
      </c>
      <c r="R1429" s="4" t="e">
        <f>VLOOKUP($B1429,'D7 - NDB Impacted SPRF''s'!$E$16:$O$9929,11,FALSE)</f>
        <v>#N/A</v>
      </c>
      <c r="S1429" s="8"/>
      <c r="T1429" s="310"/>
      <c r="U1429" s="310"/>
      <c r="V1429" s="4"/>
      <c r="W1429" s="4"/>
      <c r="X1429" s="4"/>
      <c r="Y1429" s="4"/>
      <c r="Z1429" s="4"/>
      <c r="AA1429" s="4"/>
      <c r="AB1429" s="383" t="e">
        <f>VLOOKUP($B1429,'D7 - NDB Impacted SPRF''s'!$E$16:$O$9929,4,FALSE)</f>
        <v>#N/A</v>
      </c>
      <c r="AC1429" s="380" t="e">
        <f>VLOOKUP($B1429,'D7 - NDB Impacted SPRF''s'!$E$16:$O$9929,3,FALSE)</f>
        <v>#N/A</v>
      </c>
      <c r="AD1429" s="380" t="e">
        <f>VLOOKUP($B1429,'D7 - NDB Impacted SPRF''s'!$E$16:$O$9929,5,FALSE)</f>
        <v>#N/A</v>
      </c>
      <c r="AE1429" s="380" t="e">
        <f>VLOOKUP($B1429,'D7 - NDB Impacted SPRF''s'!$E$16:$O$9929,7,FALSE)</f>
        <v>#N/A</v>
      </c>
      <c r="AF1429" s="380" t="e">
        <f>VLOOKUP($B1429,'D7 - NDB Impacted SPRF''s'!$E$16:$O$9929,6,FALSE)</f>
        <v>#N/A</v>
      </c>
      <c r="AG1429" s="282"/>
      <c r="AH1429" s="311" t="e">
        <f>INDEX('D5 - Gatekeeper - Projects'!$A$4:$AF$1010,$AM1429, 17)</f>
        <v>#N/A</v>
      </c>
      <c r="AI1429" s="8"/>
      <c r="AJ1429" s="57"/>
      <c r="AK1429" s="105"/>
      <c r="AM1429" s="6" t="e">
        <f>MATCH(D1429,'D5 - Gatekeeper - Projects'!$C$4:$C$1010,0)</f>
        <v>#N/A</v>
      </c>
      <c r="AN1429" s="6" t="b">
        <f t="shared" si="150"/>
        <v>1</v>
      </c>
      <c r="AO1429" s="6" t="str">
        <f t="shared" si="152"/>
        <v>OK</v>
      </c>
      <c r="AQ1429" s="6" t="e">
        <f>MATCH($D1429,'D4 - Provider Council Unsched'!$C$11:$C$234,0)</f>
        <v>#N/A</v>
      </c>
      <c r="AR1429" s="6" t="b">
        <f t="shared" si="151"/>
        <v>1</v>
      </c>
      <c r="AS1429" s="6" t="str">
        <f t="shared" si="153"/>
        <v>OK</v>
      </c>
      <c r="AU1429" s="202">
        <v>40357</v>
      </c>
      <c r="AV1429" s="262"/>
      <c r="AW1429" s="274"/>
    </row>
    <row r="1430" spans="1:49" s="13" customFormat="1" x14ac:dyDescent="0.2">
      <c r="A1430" s="14">
        <v>1406</v>
      </c>
      <c r="B1430" s="14" t="s">
        <v>7837</v>
      </c>
      <c r="C1430" s="8" t="s">
        <v>3763</v>
      </c>
      <c r="D1430" s="4" t="s">
        <v>7842</v>
      </c>
      <c r="E1430" s="309" t="s">
        <v>7847</v>
      </c>
      <c r="F1430" s="8" t="s">
        <v>2114</v>
      </c>
      <c r="G1430" s="8" t="s">
        <v>4758</v>
      </c>
      <c r="H1430" s="8" t="s">
        <v>4246</v>
      </c>
      <c r="I1430" s="20">
        <v>5.5</v>
      </c>
      <c r="J1430" s="8" t="s">
        <v>4862</v>
      </c>
      <c r="K1430" s="182">
        <v>40586</v>
      </c>
      <c r="L1430" s="8" t="s">
        <v>5743</v>
      </c>
      <c r="M1430" s="8" t="s">
        <v>2814</v>
      </c>
      <c r="N1430" s="38"/>
      <c r="O1430" s="8" t="s">
        <v>3572</v>
      </c>
      <c r="P1430" s="4" t="e">
        <f>VLOOKUP($B1430,'D7 - NDB Impacted SPRF''s'!$E$16:$O$9929,9,FALSE)</f>
        <v>#N/A</v>
      </c>
      <c r="Q1430" s="4" t="e">
        <f>VLOOKUP($B1430,'D7 - NDB Impacted SPRF''s'!$E$16:$O$9929,10,FALSE)</f>
        <v>#N/A</v>
      </c>
      <c r="R1430" s="4" t="e">
        <f>VLOOKUP($B1430,'D7 - NDB Impacted SPRF''s'!$E$16:$O$9929,11,FALSE)</f>
        <v>#N/A</v>
      </c>
      <c r="S1430" s="8"/>
      <c r="T1430" s="310"/>
      <c r="U1430" s="310"/>
      <c r="V1430" s="4"/>
      <c r="W1430" s="4"/>
      <c r="X1430" s="4"/>
      <c r="Y1430" s="4"/>
      <c r="Z1430" s="4"/>
      <c r="AA1430" s="4"/>
      <c r="AB1430" s="383" t="e">
        <f>VLOOKUP($B1430,'D7 - NDB Impacted SPRF''s'!$E$16:$O$9929,4,FALSE)</f>
        <v>#N/A</v>
      </c>
      <c r="AC1430" s="380" t="e">
        <f>VLOOKUP($B1430,'D7 - NDB Impacted SPRF''s'!$E$16:$O$9929,3,FALSE)</f>
        <v>#N/A</v>
      </c>
      <c r="AD1430" s="380" t="e">
        <f>VLOOKUP($B1430,'D7 - NDB Impacted SPRF''s'!$E$16:$O$9929,5,FALSE)</f>
        <v>#N/A</v>
      </c>
      <c r="AE1430" s="380" t="e">
        <f>VLOOKUP($B1430,'D7 - NDB Impacted SPRF''s'!$E$16:$O$9929,7,FALSE)</f>
        <v>#N/A</v>
      </c>
      <c r="AF1430" s="380" t="e">
        <f>VLOOKUP($B1430,'D7 - NDB Impacted SPRF''s'!$E$16:$O$9929,6,FALSE)</f>
        <v>#N/A</v>
      </c>
      <c r="AG1430" s="282"/>
      <c r="AH1430" s="311" t="e">
        <f>INDEX('D5 - Gatekeeper - Projects'!$A$4:$AF$1010,$AM1430, 17)</f>
        <v>#N/A</v>
      </c>
      <c r="AI1430" s="8"/>
      <c r="AJ1430" s="57"/>
      <c r="AK1430" s="105"/>
      <c r="AM1430" s="6" t="e">
        <f>MATCH(D1430,'D5 - Gatekeeper - Projects'!$C$4:$C$1010,0)</f>
        <v>#N/A</v>
      </c>
      <c r="AN1430" s="6" t="b">
        <f t="shared" si="150"/>
        <v>1</v>
      </c>
      <c r="AO1430" s="6" t="str">
        <f t="shared" si="152"/>
        <v>OK</v>
      </c>
      <c r="AQ1430" s="6" t="e">
        <f>MATCH($D1430,'D4 - Provider Council Unsched'!$C$11:$C$234,0)</f>
        <v>#N/A</v>
      </c>
      <c r="AR1430" s="6" t="b">
        <f t="shared" si="151"/>
        <v>1</v>
      </c>
      <c r="AS1430" s="6" t="str">
        <f t="shared" si="153"/>
        <v>OK</v>
      </c>
      <c r="AU1430" s="202"/>
      <c r="AV1430" s="262"/>
      <c r="AW1430" s="274"/>
    </row>
    <row r="1431" spans="1:49" s="13" customFormat="1" x14ac:dyDescent="0.2">
      <c r="A1431" s="14">
        <v>1407</v>
      </c>
      <c r="B1431" s="14" t="s">
        <v>6616</v>
      </c>
      <c r="C1431" s="8" t="s">
        <v>5197</v>
      </c>
      <c r="D1431" s="4" t="s">
        <v>7909</v>
      </c>
      <c r="E1431" s="309" t="s">
        <v>7910</v>
      </c>
      <c r="F1431" s="8" t="s">
        <v>2114</v>
      </c>
      <c r="G1431" s="8" t="s">
        <v>4758</v>
      </c>
      <c r="H1431" s="8" t="s">
        <v>4246</v>
      </c>
      <c r="I1431" s="20">
        <v>4</v>
      </c>
      <c r="J1431" s="8" t="s">
        <v>4862</v>
      </c>
      <c r="K1431" s="182">
        <v>40586</v>
      </c>
      <c r="L1431" s="8" t="s">
        <v>5743</v>
      </c>
      <c r="M1431" s="8" t="s">
        <v>2814</v>
      </c>
      <c r="N1431" s="38"/>
      <c r="O1431" s="8" t="s">
        <v>3572</v>
      </c>
      <c r="P1431" s="4" t="e">
        <f>VLOOKUP($B1431,'D7 - NDB Impacted SPRF''s'!$E$16:$O$9929,9,FALSE)</f>
        <v>#N/A</v>
      </c>
      <c r="Q1431" s="4" t="e">
        <f>VLOOKUP($B1431,'D7 - NDB Impacted SPRF''s'!$E$16:$O$9929,10,FALSE)</f>
        <v>#N/A</v>
      </c>
      <c r="R1431" s="4" t="e">
        <f>VLOOKUP($B1431,'D7 - NDB Impacted SPRF''s'!$E$16:$O$9929,11,FALSE)</f>
        <v>#N/A</v>
      </c>
      <c r="S1431" s="8"/>
      <c r="T1431" s="310"/>
      <c r="U1431" s="310"/>
      <c r="V1431" s="4"/>
      <c r="W1431" s="4"/>
      <c r="X1431" s="4"/>
      <c r="Y1431" s="4"/>
      <c r="Z1431" s="4"/>
      <c r="AA1431" s="4"/>
      <c r="AB1431" s="383" t="e">
        <f>VLOOKUP($B1431,'D7 - NDB Impacted SPRF''s'!$E$16:$O$9929,4,FALSE)</f>
        <v>#N/A</v>
      </c>
      <c r="AC1431" s="380" t="e">
        <f>VLOOKUP($B1431,'D7 - NDB Impacted SPRF''s'!$E$16:$O$9929,3,FALSE)</f>
        <v>#N/A</v>
      </c>
      <c r="AD1431" s="380" t="e">
        <f>VLOOKUP($B1431,'D7 - NDB Impacted SPRF''s'!$E$16:$O$9929,5,FALSE)</f>
        <v>#N/A</v>
      </c>
      <c r="AE1431" s="380" t="e">
        <f>VLOOKUP($B1431,'D7 - NDB Impacted SPRF''s'!$E$16:$O$9929,7,FALSE)</f>
        <v>#N/A</v>
      </c>
      <c r="AF1431" s="380" t="e">
        <f>VLOOKUP($B1431,'D7 - NDB Impacted SPRF''s'!$E$16:$O$9929,6,FALSE)</f>
        <v>#N/A</v>
      </c>
      <c r="AG1431" s="282"/>
      <c r="AH1431" s="311" t="e">
        <f>INDEX('D5 - Gatekeeper - Projects'!$A$4:$AF$1010,$AM1431, 17)</f>
        <v>#N/A</v>
      </c>
      <c r="AI1431" s="8"/>
      <c r="AJ1431" s="57"/>
      <c r="AK1431" s="105"/>
      <c r="AM1431" s="6" t="e">
        <f>MATCH(D1431,'D5 - Gatekeeper - Projects'!$C$4:$C$1010,0)</f>
        <v>#N/A</v>
      </c>
      <c r="AN1431" s="6" t="b">
        <f t="shared" si="150"/>
        <v>1</v>
      </c>
      <c r="AO1431" s="6" t="str">
        <f t="shared" si="152"/>
        <v>OK</v>
      </c>
      <c r="AQ1431" s="6" t="e">
        <f>MATCH($D1431,'D4 - Provider Council Unsched'!$C$11:$C$234,0)</f>
        <v>#N/A</v>
      </c>
      <c r="AR1431" s="6" t="b">
        <f t="shared" si="151"/>
        <v>1</v>
      </c>
      <c r="AS1431" s="6" t="str">
        <f t="shared" si="153"/>
        <v>OK</v>
      </c>
      <c r="AU1431" s="202">
        <v>40298</v>
      </c>
      <c r="AV1431" s="262"/>
      <c r="AW1431" s="274"/>
    </row>
    <row r="1432" spans="1:49" s="13" customFormat="1" ht="12.75" x14ac:dyDescent="0.2">
      <c r="A1432" s="14">
        <v>1408</v>
      </c>
      <c r="B1432" s="14" t="s">
        <v>7840</v>
      </c>
      <c r="C1432" s="8" t="s">
        <v>5197</v>
      </c>
      <c r="D1432" s="4" t="s">
        <v>7845</v>
      </c>
      <c r="E1432" s="341" t="s">
        <v>7850</v>
      </c>
      <c r="F1432" s="8" t="s">
        <v>2114</v>
      </c>
      <c r="G1432" s="8" t="s">
        <v>4758</v>
      </c>
      <c r="H1432" s="8" t="s">
        <v>4246</v>
      </c>
      <c r="I1432" s="20">
        <v>2.2999999999999998</v>
      </c>
      <c r="J1432" s="8" t="s">
        <v>4862</v>
      </c>
      <c r="K1432" s="182">
        <v>40586</v>
      </c>
      <c r="L1432" s="8" t="s">
        <v>5743</v>
      </c>
      <c r="M1432" s="8" t="s">
        <v>2814</v>
      </c>
      <c r="N1432" s="38"/>
      <c r="O1432" s="8" t="s">
        <v>3572</v>
      </c>
      <c r="P1432" s="4" t="e">
        <f>VLOOKUP($B1432,'D7 - NDB Impacted SPRF''s'!$E$16:$O$9929,9,FALSE)</f>
        <v>#N/A</v>
      </c>
      <c r="Q1432" s="4" t="e">
        <f>VLOOKUP($B1432,'D7 - NDB Impacted SPRF''s'!$E$16:$O$9929,10,FALSE)</f>
        <v>#N/A</v>
      </c>
      <c r="R1432" s="4" t="e">
        <f>VLOOKUP($B1432,'D7 - NDB Impacted SPRF''s'!$E$16:$O$9929,11,FALSE)</f>
        <v>#N/A</v>
      </c>
      <c r="S1432" s="8"/>
      <c r="T1432" s="310"/>
      <c r="U1432" s="310"/>
      <c r="V1432" s="4"/>
      <c r="W1432" s="4"/>
      <c r="X1432" s="4"/>
      <c r="Y1432" s="4"/>
      <c r="Z1432" s="4"/>
      <c r="AA1432" s="4"/>
      <c r="AB1432" s="383" t="e">
        <f>VLOOKUP($B1432,'D7 - NDB Impacted SPRF''s'!$E$16:$O$9929,4,FALSE)</f>
        <v>#N/A</v>
      </c>
      <c r="AC1432" s="380" t="e">
        <f>VLOOKUP($B1432,'D7 - NDB Impacted SPRF''s'!$E$16:$O$9929,3,FALSE)</f>
        <v>#N/A</v>
      </c>
      <c r="AD1432" s="380" t="e">
        <f>VLOOKUP($B1432,'D7 - NDB Impacted SPRF''s'!$E$16:$O$9929,5,FALSE)</f>
        <v>#N/A</v>
      </c>
      <c r="AE1432" s="380" t="e">
        <f>VLOOKUP($B1432,'D7 - NDB Impacted SPRF''s'!$E$16:$O$9929,7,FALSE)</f>
        <v>#N/A</v>
      </c>
      <c r="AF1432" s="380" t="e">
        <f>VLOOKUP($B1432,'D7 - NDB Impacted SPRF''s'!$E$16:$O$9929,6,FALSE)</f>
        <v>#N/A</v>
      </c>
      <c r="AG1432" s="282"/>
      <c r="AH1432" s="311" t="e">
        <f>INDEX('D5 - Gatekeeper - Projects'!$A$4:$AF$1010,$AM1432, 17)</f>
        <v>#N/A</v>
      </c>
      <c r="AI1432" s="8"/>
      <c r="AJ1432" s="57"/>
      <c r="AK1432" s="105"/>
      <c r="AM1432" s="6" t="e">
        <f>MATCH(D1432,'D5 - Gatekeeper - Projects'!$C$4:$C$1010,0)</f>
        <v>#N/A</v>
      </c>
      <c r="AN1432" s="6" t="b">
        <f t="shared" si="150"/>
        <v>1</v>
      </c>
      <c r="AO1432" s="6" t="str">
        <f t="shared" si="152"/>
        <v>OK</v>
      </c>
      <c r="AQ1432" s="6" t="e">
        <f>MATCH($D1432,'D4 - Provider Council Unsched'!$C$11:$C$234,0)</f>
        <v>#N/A</v>
      </c>
      <c r="AR1432" s="6" t="b">
        <f t="shared" si="151"/>
        <v>1</v>
      </c>
      <c r="AS1432" s="6" t="str">
        <f t="shared" si="153"/>
        <v>OK</v>
      </c>
      <c r="AU1432" s="202"/>
      <c r="AV1432" s="262"/>
      <c r="AW1432" s="274"/>
    </row>
    <row r="1433" spans="1:49" s="13" customFormat="1" ht="12.75" x14ac:dyDescent="0.2">
      <c r="A1433" s="14">
        <v>1409</v>
      </c>
      <c r="B1433" s="14" t="s">
        <v>5136</v>
      </c>
      <c r="C1433" s="8" t="s">
        <v>5197</v>
      </c>
      <c r="D1433" s="4" t="s">
        <v>5137</v>
      </c>
      <c r="E1433" s="341" t="s">
        <v>5143</v>
      </c>
      <c r="F1433" s="8" t="s">
        <v>2114</v>
      </c>
      <c r="G1433" s="8" t="s">
        <v>4758</v>
      </c>
      <c r="H1433" s="8" t="s">
        <v>4246</v>
      </c>
      <c r="I1433" s="20">
        <v>1.06</v>
      </c>
      <c r="J1433" s="8" t="s">
        <v>4862</v>
      </c>
      <c r="K1433" s="182">
        <v>40586</v>
      </c>
      <c r="L1433" s="8" t="s">
        <v>5743</v>
      </c>
      <c r="M1433" s="8" t="s">
        <v>2814</v>
      </c>
      <c r="N1433" s="38"/>
      <c r="O1433" s="8" t="s">
        <v>3572</v>
      </c>
      <c r="P1433" s="4" t="e">
        <f>VLOOKUP($B1433,'D7 - NDB Impacted SPRF''s'!$E$16:$O$9929,9,FALSE)</f>
        <v>#N/A</v>
      </c>
      <c r="Q1433" s="4" t="e">
        <f>VLOOKUP($B1433,'D7 - NDB Impacted SPRF''s'!$E$16:$O$9929,10,FALSE)</f>
        <v>#N/A</v>
      </c>
      <c r="R1433" s="4" t="e">
        <f>VLOOKUP($B1433,'D7 - NDB Impacted SPRF''s'!$E$16:$O$9929,11,FALSE)</f>
        <v>#N/A</v>
      </c>
      <c r="S1433" s="8"/>
      <c r="T1433" s="310"/>
      <c r="U1433" s="310"/>
      <c r="V1433" s="4"/>
      <c r="W1433" s="4"/>
      <c r="X1433" s="4"/>
      <c r="Y1433" s="4"/>
      <c r="Z1433" s="4"/>
      <c r="AA1433" s="4"/>
      <c r="AB1433" s="383" t="e">
        <f>VLOOKUP($B1433,'D7 - NDB Impacted SPRF''s'!$E$16:$O$9929,4,FALSE)</f>
        <v>#N/A</v>
      </c>
      <c r="AC1433" s="380" t="e">
        <f>VLOOKUP($B1433,'D7 - NDB Impacted SPRF''s'!$E$16:$O$9929,3,FALSE)</f>
        <v>#N/A</v>
      </c>
      <c r="AD1433" s="380" t="e">
        <f>VLOOKUP($B1433,'D7 - NDB Impacted SPRF''s'!$E$16:$O$9929,5,FALSE)</f>
        <v>#N/A</v>
      </c>
      <c r="AE1433" s="380" t="e">
        <f>VLOOKUP($B1433,'D7 - NDB Impacted SPRF''s'!$E$16:$O$9929,7,FALSE)</f>
        <v>#N/A</v>
      </c>
      <c r="AF1433" s="380" t="e">
        <f>VLOOKUP($B1433,'D7 - NDB Impacted SPRF''s'!$E$16:$O$9929,6,FALSE)</f>
        <v>#N/A</v>
      </c>
      <c r="AG1433" s="282"/>
      <c r="AH1433" s="311" t="e">
        <f>INDEX('D5 - Gatekeeper - Projects'!$A$4:$AF$1010,$AM1433, 17)</f>
        <v>#N/A</v>
      </c>
      <c r="AI1433" s="8"/>
      <c r="AJ1433" s="57"/>
      <c r="AK1433" s="105"/>
      <c r="AM1433" s="6" t="e">
        <f>MATCH(D1433,'D5 - Gatekeeper - Projects'!$C$4:$C$1010,0)</f>
        <v>#N/A</v>
      </c>
      <c r="AN1433" s="6" t="b">
        <f t="shared" si="150"/>
        <v>1</v>
      </c>
      <c r="AO1433" s="6" t="str">
        <f t="shared" si="152"/>
        <v>OK</v>
      </c>
      <c r="AQ1433" s="6" t="e">
        <f>MATCH($D1433,'D4 - Provider Council Unsched'!$C$11:$C$234,0)</f>
        <v>#N/A</v>
      </c>
      <c r="AR1433" s="6" t="b">
        <f t="shared" si="151"/>
        <v>1</v>
      </c>
      <c r="AS1433" s="6" t="str">
        <f t="shared" si="153"/>
        <v>OK</v>
      </c>
      <c r="AU1433" s="202">
        <v>40357</v>
      </c>
      <c r="AV1433" s="262"/>
      <c r="AW1433" s="274"/>
    </row>
    <row r="1434" spans="1:49" s="13" customFormat="1" ht="12.75" x14ac:dyDescent="0.2">
      <c r="A1434" s="14">
        <v>1410</v>
      </c>
      <c r="B1434" s="14" t="s">
        <v>7839</v>
      </c>
      <c r="C1434" s="8" t="s">
        <v>5197</v>
      </c>
      <c r="D1434" s="4" t="s">
        <v>7844</v>
      </c>
      <c r="E1434" s="341" t="s">
        <v>7849</v>
      </c>
      <c r="F1434" s="8" t="s">
        <v>2114</v>
      </c>
      <c r="G1434" s="8" t="s">
        <v>4758</v>
      </c>
      <c r="H1434" s="8" t="s">
        <v>4246</v>
      </c>
      <c r="I1434" s="20">
        <v>2.5666666666666669</v>
      </c>
      <c r="J1434" s="8" t="s">
        <v>4862</v>
      </c>
      <c r="K1434" s="182">
        <v>40586</v>
      </c>
      <c r="L1434" s="8" t="s">
        <v>5743</v>
      </c>
      <c r="M1434" s="8" t="s">
        <v>2814</v>
      </c>
      <c r="N1434" s="38"/>
      <c r="O1434" s="8" t="s">
        <v>3572</v>
      </c>
      <c r="P1434" s="4" t="e">
        <f>VLOOKUP($B1434,'D7 - NDB Impacted SPRF''s'!$E$16:$O$9929,9,FALSE)</f>
        <v>#N/A</v>
      </c>
      <c r="Q1434" s="4" t="e">
        <f>VLOOKUP($B1434,'D7 - NDB Impacted SPRF''s'!$E$16:$O$9929,10,FALSE)</f>
        <v>#N/A</v>
      </c>
      <c r="R1434" s="4" t="e">
        <f>VLOOKUP($B1434,'D7 - NDB Impacted SPRF''s'!$E$16:$O$9929,11,FALSE)</f>
        <v>#N/A</v>
      </c>
      <c r="S1434" s="8"/>
      <c r="T1434" s="310"/>
      <c r="U1434" s="310"/>
      <c r="V1434" s="4"/>
      <c r="W1434" s="4"/>
      <c r="X1434" s="4"/>
      <c r="Y1434" s="4"/>
      <c r="Z1434" s="4"/>
      <c r="AA1434" s="4"/>
      <c r="AB1434" s="383" t="e">
        <f>VLOOKUP($B1434,'D7 - NDB Impacted SPRF''s'!$E$16:$O$9929,4,FALSE)</f>
        <v>#N/A</v>
      </c>
      <c r="AC1434" s="380" t="e">
        <f>VLOOKUP($B1434,'D7 - NDB Impacted SPRF''s'!$E$16:$O$9929,3,FALSE)</f>
        <v>#N/A</v>
      </c>
      <c r="AD1434" s="380" t="e">
        <f>VLOOKUP($B1434,'D7 - NDB Impacted SPRF''s'!$E$16:$O$9929,5,FALSE)</f>
        <v>#N/A</v>
      </c>
      <c r="AE1434" s="380" t="e">
        <f>VLOOKUP($B1434,'D7 - NDB Impacted SPRF''s'!$E$16:$O$9929,7,FALSE)</f>
        <v>#N/A</v>
      </c>
      <c r="AF1434" s="380" t="e">
        <f>VLOOKUP($B1434,'D7 - NDB Impacted SPRF''s'!$E$16:$O$9929,6,FALSE)</f>
        <v>#N/A</v>
      </c>
      <c r="AG1434" s="282"/>
      <c r="AH1434" s="311" t="e">
        <f>INDEX('D5 - Gatekeeper - Projects'!$A$4:$AF$1010,$AM1434, 17)</f>
        <v>#N/A</v>
      </c>
      <c r="AI1434" s="8"/>
      <c r="AJ1434" s="57"/>
      <c r="AK1434" s="105"/>
      <c r="AM1434" s="6" t="e">
        <f>MATCH(D1434,'D5 - Gatekeeper - Projects'!$C$4:$C$1010,0)</f>
        <v>#N/A</v>
      </c>
      <c r="AN1434" s="6" t="b">
        <f t="shared" si="150"/>
        <v>1</v>
      </c>
      <c r="AO1434" s="6" t="str">
        <f t="shared" si="152"/>
        <v>OK</v>
      </c>
      <c r="AQ1434" s="6" t="e">
        <f>MATCH($D1434,'D4 - Provider Council Unsched'!$C$11:$C$234,0)</f>
        <v>#N/A</v>
      </c>
      <c r="AR1434" s="6" t="b">
        <f t="shared" si="151"/>
        <v>1</v>
      </c>
      <c r="AS1434" s="6" t="str">
        <f t="shared" si="153"/>
        <v>OK</v>
      </c>
      <c r="AU1434" s="202"/>
      <c r="AV1434" s="262"/>
      <c r="AW1434" s="274"/>
    </row>
    <row r="1435" spans="1:49" s="13" customFormat="1" ht="12.75" x14ac:dyDescent="0.2">
      <c r="A1435" s="14">
        <v>1411</v>
      </c>
      <c r="B1435" s="14" t="s">
        <v>7838</v>
      </c>
      <c r="C1435" s="8" t="s">
        <v>5197</v>
      </c>
      <c r="D1435" s="4" t="s">
        <v>7843</v>
      </c>
      <c r="E1435" s="342" t="s">
        <v>7848</v>
      </c>
      <c r="F1435" s="8" t="s">
        <v>2114</v>
      </c>
      <c r="G1435" s="8" t="s">
        <v>4758</v>
      </c>
      <c r="H1435" s="8" t="s">
        <v>4246</v>
      </c>
      <c r="I1435" s="20">
        <v>1.0666666666666667</v>
      </c>
      <c r="J1435" s="8" t="s">
        <v>4862</v>
      </c>
      <c r="K1435" s="182">
        <v>40586</v>
      </c>
      <c r="L1435" s="8" t="s">
        <v>5743</v>
      </c>
      <c r="M1435" s="8" t="s">
        <v>2814</v>
      </c>
      <c r="N1435" s="38"/>
      <c r="O1435" s="8" t="s">
        <v>3572</v>
      </c>
      <c r="P1435" s="4" t="e">
        <f>VLOOKUP($B1435,'D7 - NDB Impacted SPRF''s'!$E$16:$O$9929,9,FALSE)</f>
        <v>#N/A</v>
      </c>
      <c r="Q1435" s="4" t="e">
        <f>VLOOKUP($B1435,'D7 - NDB Impacted SPRF''s'!$E$16:$O$9929,10,FALSE)</f>
        <v>#N/A</v>
      </c>
      <c r="R1435" s="4" t="e">
        <f>VLOOKUP($B1435,'D7 - NDB Impacted SPRF''s'!$E$16:$O$9929,11,FALSE)</f>
        <v>#N/A</v>
      </c>
      <c r="S1435" s="8"/>
      <c r="T1435" s="310"/>
      <c r="U1435" s="310"/>
      <c r="V1435" s="4"/>
      <c r="W1435" s="4"/>
      <c r="X1435" s="4"/>
      <c r="Y1435" s="4"/>
      <c r="Z1435" s="4"/>
      <c r="AA1435" s="4"/>
      <c r="AB1435" s="383" t="e">
        <f>VLOOKUP($B1435,'D7 - NDB Impacted SPRF''s'!$E$16:$O$9929,4,FALSE)</f>
        <v>#N/A</v>
      </c>
      <c r="AC1435" s="380" t="e">
        <f>VLOOKUP($B1435,'D7 - NDB Impacted SPRF''s'!$E$16:$O$9929,3,FALSE)</f>
        <v>#N/A</v>
      </c>
      <c r="AD1435" s="380" t="e">
        <f>VLOOKUP($B1435,'D7 - NDB Impacted SPRF''s'!$E$16:$O$9929,5,FALSE)</f>
        <v>#N/A</v>
      </c>
      <c r="AE1435" s="380" t="e">
        <f>VLOOKUP($B1435,'D7 - NDB Impacted SPRF''s'!$E$16:$O$9929,7,FALSE)</f>
        <v>#N/A</v>
      </c>
      <c r="AF1435" s="380" t="e">
        <f>VLOOKUP($B1435,'D7 - NDB Impacted SPRF''s'!$E$16:$O$9929,6,FALSE)</f>
        <v>#N/A</v>
      </c>
      <c r="AG1435" s="282"/>
      <c r="AH1435" s="311" t="e">
        <f>INDEX('D5 - Gatekeeper - Projects'!$A$4:$AF$1010,$AM1435, 17)</f>
        <v>#N/A</v>
      </c>
      <c r="AI1435" s="8"/>
      <c r="AJ1435" s="57"/>
      <c r="AK1435" s="105"/>
      <c r="AM1435" s="6" t="e">
        <f>MATCH(D1435,'D5 - Gatekeeper - Projects'!$C$4:$C$1010,0)</f>
        <v>#N/A</v>
      </c>
      <c r="AN1435" s="6" t="b">
        <f t="shared" si="150"/>
        <v>1</v>
      </c>
      <c r="AO1435" s="6" t="str">
        <f t="shared" si="152"/>
        <v>OK</v>
      </c>
      <c r="AQ1435" s="6" t="e">
        <f>MATCH($D1435,'D4 - Provider Council Unsched'!$C$11:$C$234,0)</f>
        <v>#N/A</v>
      </c>
      <c r="AR1435" s="6" t="b">
        <f t="shared" si="151"/>
        <v>1</v>
      </c>
      <c r="AS1435" s="6" t="str">
        <f t="shared" si="153"/>
        <v>OK</v>
      </c>
      <c r="AU1435" s="202"/>
      <c r="AV1435" s="262"/>
      <c r="AW1435" s="274"/>
    </row>
    <row r="1436" spans="1:49" s="13" customFormat="1" ht="12.75" x14ac:dyDescent="0.2">
      <c r="A1436" s="14">
        <v>1412</v>
      </c>
      <c r="B1436" s="14" t="s">
        <v>5138</v>
      </c>
      <c r="C1436" s="8" t="s">
        <v>5197</v>
      </c>
      <c r="D1436" s="4" t="s">
        <v>5139</v>
      </c>
      <c r="E1436" s="342" t="s">
        <v>5118</v>
      </c>
      <c r="F1436" s="8" t="s">
        <v>2114</v>
      </c>
      <c r="G1436" s="8" t="s">
        <v>4758</v>
      </c>
      <c r="H1436" s="8" t="s">
        <v>4246</v>
      </c>
      <c r="I1436" s="20">
        <v>3.37</v>
      </c>
      <c r="J1436" s="8" t="s">
        <v>4862</v>
      </c>
      <c r="K1436" s="182">
        <v>40586</v>
      </c>
      <c r="L1436" s="8" t="s">
        <v>5743</v>
      </c>
      <c r="M1436" s="8" t="s">
        <v>2814</v>
      </c>
      <c r="N1436" s="38"/>
      <c r="O1436" s="8" t="s">
        <v>3572</v>
      </c>
      <c r="P1436" s="4" t="e">
        <f>VLOOKUP($B1436,'D7 - NDB Impacted SPRF''s'!$E$16:$O$9929,9,FALSE)</f>
        <v>#N/A</v>
      </c>
      <c r="Q1436" s="4" t="e">
        <f>VLOOKUP($B1436,'D7 - NDB Impacted SPRF''s'!$E$16:$O$9929,10,FALSE)</f>
        <v>#N/A</v>
      </c>
      <c r="R1436" s="4" t="e">
        <f>VLOOKUP($B1436,'D7 - NDB Impacted SPRF''s'!$E$16:$O$9929,11,FALSE)</f>
        <v>#N/A</v>
      </c>
      <c r="S1436" s="8"/>
      <c r="T1436" s="310"/>
      <c r="U1436" s="310"/>
      <c r="V1436" s="4"/>
      <c r="W1436" s="4"/>
      <c r="X1436" s="4"/>
      <c r="Y1436" s="4"/>
      <c r="Z1436" s="4"/>
      <c r="AA1436" s="4"/>
      <c r="AB1436" s="383" t="e">
        <f>VLOOKUP($B1436,'D7 - NDB Impacted SPRF''s'!$E$16:$O$9929,4,FALSE)</f>
        <v>#N/A</v>
      </c>
      <c r="AC1436" s="380" t="e">
        <f>VLOOKUP($B1436,'D7 - NDB Impacted SPRF''s'!$E$16:$O$9929,3,FALSE)</f>
        <v>#N/A</v>
      </c>
      <c r="AD1436" s="380" t="e">
        <f>VLOOKUP($B1436,'D7 - NDB Impacted SPRF''s'!$E$16:$O$9929,5,FALSE)</f>
        <v>#N/A</v>
      </c>
      <c r="AE1436" s="380" t="e">
        <f>VLOOKUP($B1436,'D7 - NDB Impacted SPRF''s'!$E$16:$O$9929,7,FALSE)</f>
        <v>#N/A</v>
      </c>
      <c r="AF1436" s="380" t="e">
        <f>VLOOKUP($B1436,'D7 - NDB Impacted SPRF''s'!$E$16:$O$9929,6,FALSE)</f>
        <v>#N/A</v>
      </c>
      <c r="AG1436" s="282"/>
      <c r="AH1436" s="311" t="e">
        <f>INDEX('D5 - Gatekeeper - Projects'!$A$4:$AF$1010,$AM1436, 17)</f>
        <v>#N/A</v>
      </c>
      <c r="AI1436" s="8"/>
      <c r="AJ1436" s="57"/>
      <c r="AK1436" s="105"/>
      <c r="AM1436" s="6" t="e">
        <f>MATCH(D1436,'D5 - Gatekeeper - Projects'!$C$4:$C$1010,0)</f>
        <v>#N/A</v>
      </c>
      <c r="AN1436" s="6" t="b">
        <f t="shared" si="150"/>
        <v>1</v>
      </c>
      <c r="AO1436" s="6" t="str">
        <f t="shared" si="152"/>
        <v>OK</v>
      </c>
      <c r="AQ1436" s="6" t="e">
        <f>MATCH($D1436,'D4 - Provider Council Unsched'!$C$11:$C$234,0)</f>
        <v>#N/A</v>
      </c>
      <c r="AR1436" s="6" t="b">
        <f t="shared" si="151"/>
        <v>1</v>
      </c>
      <c r="AS1436" s="6" t="str">
        <f t="shared" si="153"/>
        <v>OK</v>
      </c>
      <c r="AU1436" s="202">
        <v>40357</v>
      </c>
      <c r="AV1436" s="262"/>
      <c r="AW1436" s="274"/>
    </row>
    <row r="1437" spans="1:49" s="13" customFormat="1" ht="12.75" x14ac:dyDescent="0.2">
      <c r="A1437" s="14">
        <v>1413</v>
      </c>
      <c r="B1437" s="14" t="s">
        <v>6037</v>
      </c>
      <c r="C1437" s="8" t="s">
        <v>5197</v>
      </c>
      <c r="D1437" s="4" t="s">
        <v>6036</v>
      </c>
      <c r="E1437" s="342" t="s">
        <v>6038</v>
      </c>
      <c r="F1437" s="8" t="s">
        <v>2114</v>
      </c>
      <c r="G1437" s="8" t="s">
        <v>4758</v>
      </c>
      <c r="H1437" s="8" t="s">
        <v>4246</v>
      </c>
      <c r="I1437" s="20">
        <v>1.3</v>
      </c>
      <c r="J1437" s="8" t="s">
        <v>4862</v>
      </c>
      <c r="K1437" s="182">
        <v>40586</v>
      </c>
      <c r="L1437" s="8" t="s">
        <v>5743</v>
      </c>
      <c r="M1437" s="8" t="s">
        <v>2814</v>
      </c>
      <c r="N1437" s="38"/>
      <c r="O1437" s="8" t="s">
        <v>3572</v>
      </c>
      <c r="P1437" s="4" t="e">
        <f>VLOOKUP($B1437,'D7 - NDB Impacted SPRF''s'!$E$16:$O$9929,9,FALSE)</f>
        <v>#N/A</v>
      </c>
      <c r="Q1437" s="4" t="e">
        <f>VLOOKUP($B1437,'D7 - NDB Impacted SPRF''s'!$E$16:$O$9929,10,FALSE)</f>
        <v>#N/A</v>
      </c>
      <c r="R1437" s="4" t="e">
        <f>VLOOKUP($B1437,'D7 - NDB Impacted SPRF''s'!$E$16:$O$9929,11,FALSE)</f>
        <v>#N/A</v>
      </c>
      <c r="S1437" s="8"/>
      <c r="T1437" s="310"/>
      <c r="U1437" s="310"/>
      <c r="V1437" s="4"/>
      <c r="W1437" s="4"/>
      <c r="X1437" s="4"/>
      <c r="Y1437" s="4"/>
      <c r="Z1437" s="4"/>
      <c r="AA1437" s="4"/>
      <c r="AB1437" s="383" t="e">
        <f>VLOOKUP($B1437,'D7 - NDB Impacted SPRF''s'!$E$16:$O$9929,4,FALSE)</f>
        <v>#N/A</v>
      </c>
      <c r="AC1437" s="380" t="e">
        <f>VLOOKUP($B1437,'D7 - NDB Impacted SPRF''s'!$E$16:$O$9929,3,FALSE)</f>
        <v>#N/A</v>
      </c>
      <c r="AD1437" s="380" t="e">
        <f>VLOOKUP($B1437,'D7 - NDB Impacted SPRF''s'!$E$16:$O$9929,5,FALSE)</f>
        <v>#N/A</v>
      </c>
      <c r="AE1437" s="380" t="e">
        <f>VLOOKUP($B1437,'D7 - NDB Impacted SPRF''s'!$E$16:$O$9929,7,FALSE)</f>
        <v>#N/A</v>
      </c>
      <c r="AF1437" s="380" t="e">
        <f>VLOOKUP($B1437,'D7 - NDB Impacted SPRF''s'!$E$16:$O$9929,6,FALSE)</f>
        <v>#N/A</v>
      </c>
      <c r="AG1437" s="282"/>
      <c r="AH1437" s="311" t="e">
        <f>INDEX('D5 - Gatekeeper - Projects'!$A$4:$AF$1010,$AM1437, 17)</f>
        <v>#N/A</v>
      </c>
      <c r="AI1437" s="8"/>
      <c r="AJ1437" s="57"/>
      <c r="AK1437" s="105"/>
      <c r="AM1437" s="6" t="e">
        <f>MATCH(D1437,'D5 - Gatekeeper - Projects'!$C$4:$C$1010,0)</f>
        <v>#N/A</v>
      </c>
      <c r="AN1437" s="6" t="b">
        <f t="shared" si="150"/>
        <v>1</v>
      </c>
      <c r="AO1437" s="6" t="str">
        <f t="shared" si="152"/>
        <v>OK</v>
      </c>
      <c r="AQ1437" s="6" t="e">
        <f>MATCH($D1437,'D4 - Provider Council Unsched'!$C$11:$C$234,0)</f>
        <v>#N/A</v>
      </c>
      <c r="AR1437" s="6" t="b">
        <f t="shared" si="151"/>
        <v>1</v>
      </c>
      <c r="AS1437" s="6" t="str">
        <f t="shared" si="153"/>
        <v>OK</v>
      </c>
      <c r="AU1437" s="202">
        <v>40480</v>
      </c>
      <c r="AV1437" s="262"/>
      <c r="AW1437" s="274"/>
    </row>
    <row r="1438" spans="1:49" s="13" customFormat="1" ht="33.75" x14ac:dyDescent="0.2">
      <c r="A1438" s="14">
        <v>1414</v>
      </c>
      <c r="B1438" s="8">
        <v>400039254</v>
      </c>
      <c r="C1438" s="8" t="s">
        <v>7290</v>
      </c>
      <c r="D1438" s="4" t="str">
        <f t="shared" ref="D1438:D1455" si="154">CONCATENATE(B1438,C1438)</f>
        <v>400039254B</v>
      </c>
      <c r="E1438" s="309" t="str">
        <f>VLOOKUP($B1438,'D7 - NDB Impacted SPRF''s'!$E$6:$O$9929,2,FALSE)</f>
        <v>INT AMC 1151 NDB Roll Out for Facets</v>
      </c>
      <c r="F1438" s="8"/>
      <c r="G1438" s="8" t="s">
        <v>4758</v>
      </c>
      <c r="H1438" s="8" t="s">
        <v>4246</v>
      </c>
      <c r="I1438" s="20">
        <v>1</v>
      </c>
      <c r="J1438" s="8" t="s">
        <v>4862</v>
      </c>
      <c r="K1438" s="182">
        <v>40593</v>
      </c>
      <c r="L1438" s="8" t="s">
        <v>4156</v>
      </c>
      <c r="M1438" s="8" t="s">
        <v>6007</v>
      </c>
      <c r="N1438" s="38" t="s">
        <v>1666</v>
      </c>
      <c r="O1438" s="8"/>
      <c r="P1438" s="4" t="str">
        <f>VLOOKUP($B1438,'D7 - NDB Impacted SPRF''s'!$E$16:$O$9929,9,FALSE)</f>
        <v>N</v>
      </c>
      <c r="Q1438" s="4" t="str">
        <f>VLOOKUP($B1438,'D7 - NDB Impacted SPRF''s'!$E$16:$O$9929,10,FALSE)</f>
        <v>N</v>
      </c>
      <c r="R1438" s="4" t="str">
        <f>VLOOKUP($B1438,'D7 - NDB Impacted SPRF''s'!$E$16:$O$9929,11,FALSE)</f>
        <v>N</v>
      </c>
      <c r="S1438" s="8"/>
      <c r="T1438" s="310"/>
      <c r="U1438" s="310"/>
      <c r="V1438" s="4"/>
      <c r="W1438" s="4"/>
      <c r="X1438" s="4"/>
      <c r="Y1438" s="4"/>
      <c r="Z1438" s="4"/>
      <c r="AA1438" s="4"/>
      <c r="AB1438" s="380" t="str">
        <f>VLOOKUP($B1438,'D7 - NDB Impacted SPRF''s'!$E$6:$O$9929,4,FALSE)</f>
        <v>Completed</v>
      </c>
      <c r="AC1438" s="380" t="str">
        <f>VLOOKUP($B1438,'D7 - NDB Impacted SPRF''s'!$E$6:$O$9929,3,FALSE)</f>
        <v>UnitedHealthcare Community &amp; State</v>
      </c>
      <c r="AD1438" s="380" t="str">
        <f>VLOOKUP($B1438,'D7 - NDB Impacted SPRF''s'!$E$6:$O$9929,5,FALSE)</f>
        <v>AmeriChoice</v>
      </c>
      <c r="AE1438" s="380" t="str">
        <f>VLOOKUP($B1438,'D7 - NDB Impacted SPRF''s'!$E$6:$O$9929,7,FALSE)</f>
        <v>Paul Balthazor</v>
      </c>
      <c r="AF1438" s="380" t="str">
        <f>VLOOKUP($B1438,'D7 - NDB Impacted SPRF''s'!$E$6:$O$9929,6,FALSE)</f>
        <v>JOSEPH TISCHIO</v>
      </c>
      <c r="AG1438" s="282"/>
      <c r="AH1438" s="311" t="e">
        <f>INDEX('D5 - Gatekeeper - Projects'!$A$4:$AF$1010,$AM1438, 17)</f>
        <v>#N/A</v>
      </c>
      <c r="AI1438" s="8"/>
      <c r="AJ1438" s="57"/>
      <c r="AK1438" s="105"/>
      <c r="AM1438" s="6" t="e">
        <f>MATCH(D1438,'D5 - Gatekeeper - Projects'!$C$4:$C$1010,0)</f>
        <v>#N/A</v>
      </c>
      <c r="AN1438" s="6" t="b">
        <f t="shared" si="150"/>
        <v>1</v>
      </c>
      <c r="AO1438" s="6" t="str">
        <f t="shared" si="152"/>
        <v>OK</v>
      </c>
      <c r="AQ1438" s="6" t="e">
        <f>MATCH($D1438,'D4 - Provider Council Unsched'!$C$11:$C$234,0)</f>
        <v>#N/A</v>
      </c>
      <c r="AR1438" s="6" t="b">
        <f t="shared" si="151"/>
        <v>1</v>
      </c>
      <c r="AS1438" s="6" t="str">
        <f t="shared" ref="AS1438:AS1455" si="155">IF(AND(H1438="2 - Not Scheduled",AR1438=TRUE,C1438="R1"),"Add","OK")</f>
        <v>OK</v>
      </c>
      <c r="AU1438" s="202"/>
      <c r="AV1438" s="262" t="e">
        <v>#N/A</v>
      </c>
      <c r="AW1438" s="274"/>
    </row>
    <row r="1439" spans="1:49" s="13" customFormat="1" ht="33.75" x14ac:dyDescent="0.2">
      <c r="A1439" s="14">
        <v>1415</v>
      </c>
      <c r="B1439" s="14">
        <v>400032447</v>
      </c>
      <c r="C1439" s="8" t="s">
        <v>5197</v>
      </c>
      <c r="D1439" s="4" t="str">
        <f t="shared" si="154"/>
        <v>400032447R1</v>
      </c>
      <c r="E1439" s="309" t="str">
        <f>VLOOKUP($B1439,'D7 - NDB Impacted SPRF''s'!$E$6:$O$9929,2,FALSE)</f>
        <v>AmC Maryland CareOne Clinical Migration</v>
      </c>
      <c r="F1439" s="8"/>
      <c r="G1439" s="8" t="s">
        <v>4758</v>
      </c>
      <c r="H1439" s="8" t="s">
        <v>4246</v>
      </c>
      <c r="I1439" s="20">
        <v>1.3</v>
      </c>
      <c r="J1439" s="8" t="s">
        <v>4862</v>
      </c>
      <c r="K1439" s="182">
        <v>40614</v>
      </c>
      <c r="L1439" s="8" t="s">
        <v>4156</v>
      </c>
      <c r="M1439" s="8" t="s">
        <v>5626</v>
      </c>
      <c r="N1439" s="38"/>
      <c r="O1439" s="8"/>
      <c r="P1439" s="4" t="str">
        <f>VLOOKUP($B1439,'D7 - NDB Impacted SPRF''s'!$E$16:$O$9929,9,FALSE)</f>
        <v>N</v>
      </c>
      <c r="Q1439" s="4" t="str">
        <f>VLOOKUP($B1439,'D7 - NDB Impacted SPRF''s'!$E$16:$O$9929,10,FALSE)</f>
        <v>N</v>
      </c>
      <c r="R1439" s="4" t="str">
        <f>VLOOKUP($B1439,'D7 - NDB Impacted SPRF''s'!$E$16:$O$9929,11,FALSE)</f>
        <v>N</v>
      </c>
      <c r="S1439" s="8"/>
      <c r="T1439" s="310"/>
      <c r="U1439" s="310"/>
      <c r="V1439" s="4"/>
      <c r="W1439" s="4"/>
      <c r="X1439" s="4"/>
      <c r="Y1439" s="4"/>
      <c r="Z1439" s="4"/>
      <c r="AA1439" s="4"/>
      <c r="AB1439" s="380" t="str">
        <f>VLOOKUP($B1439,'D7 - NDB Impacted SPRF''s'!$E$6:$O$9929,4,FALSE)</f>
        <v>Completed</v>
      </c>
      <c r="AC1439" s="380" t="str">
        <f>VLOOKUP($B1439,'D7 - NDB Impacted SPRF''s'!$E$6:$O$9929,3,FALSE)</f>
        <v>UnitedHealthcare Medicare &amp; Retirement</v>
      </c>
      <c r="AD1439" s="380" t="str">
        <f>VLOOKUP($B1439,'D7 - NDB Impacted SPRF''s'!$E$6:$O$9929,5,FALSE)</f>
        <v>Enterprise Clinical</v>
      </c>
      <c r="AE1439" s="380" t="str">
        <f>VLOOKUP($B1439,'D7 - NDB Impacted SPRF''s'!$E$6:$O$9929,7,FALSE)</f>
        <v>Sheila Nelson</v>
      </c>
      <c r="AF1439" s="380" t="str">
        <f>VLOOKUP($B1439,'D7 - NDB Impacted SPRF''s'!$E$6:$O$9929,6,FALSE)</f>
        <v>Steve Gudvangen</v>
      </c>
      <c r="AG1439" s="282"/>
      <c r="AH1439" s="311" t="e">
        <f>INDEX('D5 - Gatekeeper - Projects'!$A$4:$AF$1010,$AM1439, 17)</f>
        <v>#N/A</v>
      </c>
      <c r="AI1439" s="8"/>
      <c r="AJ1439" s="57"/>
      <c r="AK1439" s="105"/>
      <c r="AM1439" s="6" t="e">
        <f>MATCH(D1439,'D5 - Gatekeeper - Projects'!$C$4:$C$1010,0)</f>
        <v>#N/A</v>
      </c>
      <c r="AN1439" s="6" t="b">
        <f t="shared" si="150"/>
        <v>1</v>
      </c>
      <c r="AO1439" s="6" t="str">
        <f t="shared" si="152"/>
        <v>OK</v>
      </c>
      <c r="AQ1439" s="6" t="e">
        <f>MATCH($D1439,'D4 - Provider Council Unsched'!$C$11:$C$234,0)</f>
        <v>#N/A</v>
      </c>
      <c r="AR1439" s="6" t="b">
        <f t="shared" si="151"/>
        <v>1</v>
      </c>
      <c r="AS1439" s="6" t="str">
        <f t="shared" si="155"/>
        <v>OK</v>
      </c>
      <c r="AU1439" s="202">
        <v>40413</v>
      </c>
      <c r="AV1439" s="262"/>
      <c r="AW1439" s="274"/>
    </row>
    <row r="1440" spans="1:49" s="13" customFormat="1" ht="33.75" x14ac:dyDescent="0.2">
      <c r="A1440" s="14">
        <v>1416</v>
      </c>
      <c r="B1440" s="14">
        <v>400032537</v>
      </c>
      <c r="C1440" s="8" t="s">
        <v>2449</v>
      </c>
      <c r="D1440" s="4" t="str">
        <f t="shared" si="154"/>
        <v>400032537R3</v>
      </c>
      <c r="E1440" s="309" t="str">
        <f>VLOOKUP($B1440,'D7 - NDB Impacted SPRF''s'!$E$6:$O$9929,2,FALSE)</f>
        <v>Accepting Assignment and Limiting Charge</v>
      </c>
      <c r="F1440" s="8" t="s">
        <v>2114</v>
      </c>
      <c r="G1440" s="8" t="s">
        <v>4758</v>
      </c>
      <c r="H1440" s="8" t="s">
        <v>4246</v>
      </c>
      <c r="I1440" s="20">
        <v>0.67</v>
      </c>
      <c r="J1440" s="8" t="s">
        <v>4862</v>
      </c>
      <c r="K1440" s="182">
        <v>40614</v>
      </c>
      <c r="L1440" s="8" t="s">
        <v>4156</v>
      </c>
      <c r="M1440" s="8" t="s">
        <v>5626</v>
      </c>
      <c r="N1440" s="38" t="s">
        <v>1889</v>
      </c>
      <c r="O1440" s="8"/>
      <c r="P1440" s="4" t="str">
        <f>VLOOKUP($B1440,'D7 - NDB Impacted SPRF''s'!$E$16:$O$9929,9,FALSE)</f>
        <v>N</v>
      </c>
      <c r="Q1440" s="4" t="str">
        <f>VLOOKUP($B1440,'D7 - NDB Impacted SPRF''s'!$E$16:$O$9929,10,FALSE)</f>
        <v>N</v>
      </c>
      <c r="R1440" s="4" t="str">
        <f>VLOOKUP($B1440,'D7 - NDB Impacted SPRF''s'!$E$16:$O$9929,11,FALSE)</f>
        <v>N</v>
      </c>
      <c r="S1440" s="8"/>
      <c r="T1440" s="310"/>
      <c r="U1440" s="310"/>
      <c r="V1440" s="4"/>
      <c r="W1440" s="4"/>
      <c r="X1440" s="4"/>
      <c r="Y1440" s="4"/>
      <c r="Z1440" s="4"/>
      <c r="AA1440" s="4"/>
      <c r="AB1440" s="380" t="str">
        <f>VLOOKUP($B1440,'D7 - NDB Impacted SPRF''s'!$E$6:$O$9929,4,FALSE)</f>
        <v>Completed</v>
      </c>
      <c r="AC1440" s="380" t="str">
        <f>VLOOKUP($B1440,'D7 - NDB Impacted SPRF''s'!$E$6:$O$9929,3,FALSE)</f>
        <v>UnitedHealthcare Medicare &amp; Retirement</v>
      </c>
      <c r="AD1440" s="380" t="str">
        <f>VLOOKUP($B1440,'D7 - NDB Impacted SPRF''s'!$E$6:$O$9929,5,FALSE)</f>
        <v>Claims Remediation</v>
      </c>
      <c r="AE1440" s="380" t="str">
        <f>VLOOKUP($B1440,'D7 - NDB Impacted SPRF''s'!$E$6:$O$9929,7,FALSE)</f>
        <v>Lloyd Wright</v>
      </c>
      <c r="AF1440" s="380" t="str">
        <f>VLOOKUP($B1440,'D7 - NDB Impacted SPRF''s'!$E$6:$O$9929,6,FALSE)</f>
        <v>Jessica Ayers</v>
      </c>
      <c r="AG1440" s="282"/>
      <c r="AH1440" s="311" t="e">
        <f>INDEX('D5 - Gatekeeper - Projects'!$A$4:$AF$1010,$AM1440, 17)</f>
        <v>#N/A</v>
      </c>
      <c r="AI1440" s="8"/>
      <c r="AJ1440" s="57"/>
      <c r="AK1440" s="105"/>
      <c r="AM1440" s="6" t="e">
        <f>MATCH(D1440,'D5 - Gatekeeper - Projects'!$C$4:$C$1010,0)</f>
        <v>#N/A</v>
      </c>
      <c r="AN1440" s="6" t="b">
        <f t="shared" si="150"/>
        <v>1</v>
      </c>
      <c r="AO1440" s="6" t="str">
        <f t="shared" si="152"/>
        <v>OK</v>
      </c>
      <c r="AQ1440" s="6" t="e">
        <f>MATCH($D1440,'D4 - Provider Council Unsched'!$C$11:$C$234,0)</f>
        <v>#N/A</v>
      </c>
      <c r="AR1440" s="6" t="b">
        <f t="shared" si="151"/>
        <v>1</v>
      </c>
      <c r="AS1440" s="6" t="str">
        <f t="shared" si="155"/>
        <v>OK</v>
      </c>
      <c r="AU1440" s="202">
        <v>40567</v>
      </c>
      <c r="AV1440" s="262"/>
      <c r="AW1440" s="274"/>
    </row>
    <row r="1441" spans="1:49" s="13" customFormat="1" ht="33.75" x14ac:dyDescent="0.2">
      <c r="A1441" s="14">
        <v>1417</v>
      </c>
      <c r="B1441" s="14">
        <v>400033123</v>
      </c>
      <c r="C1441" s="8" t="s">
        <v>3763</v>
      </c>
      <c r="D1441" s="4" t="str">
        <f t="shared" si="154"/>
        <v>400033123R2</v>
      </c>
      <c r="E1441" s="309" t="str">
        <f>VLOOKUP($B1441,'D7 - NDB Impacted SPRF''s'!$E$6:$O$9929,2,FALSE)</f>
        <v>HIPAA 5010-UHC-278 Auth &amp; Referral</v>
      </c>
      <c r="F1441" s="8" t="s">
        <v>1595</v>
      </c>
      <c r="G1441" s="8" t="s">
        <v>4758</v>
      </c>
      <c r="H1441" s="8" t="s">
        <v>4246</v>
      </c>
      <c r="I1441" s="20">
        <v>1.22</v>
      </c>
      <c r="J1441" s="8" t="s">
        <v>4862</v>
      </c>
      <c r="K1441" s="182">
        <v>40614</v>
      </c>
      <c r="L1441" s="8" t="s">
        <v>4156</v>
      </c>
      <c r="M1441" s="8" t="s">
        <v>5626</v>
      </c>
      <c r="N1441" s="38" t="s">
        <v>6884</v>
      </c>
      <c r="O1441" s="8"/>
      <c r="P1441" s="4" t="str">
        <f>VLOOKUP($B1441,'D7 - NDB Impacted SPRF''s'!$E$16:$O$9929,9,FALSE)</f>
        <v>Y</v>
      </c>
      <c r="Q1441" s="4" t="str">
        <f>VLOOKUP($B1441,'D7 - NDB Impacted SPRF''s'!$E$16:$O$9929,10,FALSE)</f>
        <v>N</v>
      </c>
      <c r="R1441" s="4" t="str">
        <f>VLOOKUP($B1441,'D7 - NDB Impacted SPRF''s'!$E$16:$O$9929,11,FALSE)</f>
        <v>Y</v>
      </c>
      <c r="S1441" s="8"/>
      <c r="T1441" s="310"/>
      <c r="U1441" s="310"/>
      <c r="V1441" s="4"/>
      <c r="W1441" s="4"/>
      <c r="X1441" s="4"/>
      <c r="Y1441" s="4"/>
      <c r="Z1441" s="4"/>
      <c r="AA1441" s="4"/>
      <c r="AB1441" s="380" t="str">
        <f>VLOOKUP($B1441,'D7 - NDB Impacted SPRF''s'!$E$6:$O$9929,4,FALSE)</f>
        <v>Completed</v>
      </c>
      <c r="AC1441" s="380" t="str">
        <f>VLOOKUP($B1441,'D7 - NDB Impacted SPRF''s'!$E$6:$O$9929,3,FALSE)</f>
        <v>UnitedHealthcare Employer &amp; Individual</v>
      </c>
      <c r="AD1441" s="380" t="str">
        <f>VLOOKUP($B1441,'D7 - NDB Impacted SPRF''s'!$E$6:$O$9929,5,FALSE)</f>
        <v>HIPAA 5010</v>
      </c>
      <c r="AE1441" s="380" t="str">
        <f>VLOOKUP($B1441,'D7 - NDB Impacted SPRF''s'!$E$6:$O$9929,7,FALSE)</f>
        <v>Tim Kaja</v>
      </c>
      <c r="AF1441" s="380" t="str">
        <f>VLOOKUP($B1441,'D7 - NDB Impacted SPRF''s'!$E$6:$O$9929,6,FALSE)</f>
        <v>Melinda Banks</v>
      </c>
      <c r="AG1441" s="282"/>
      <c r="AH1441" s="311" t="e">
        <f>INDEX('D5 - Gatekeeper - Projects'!$A$4:$AF$1010,$AM1441, 17)</f>
        <v>#N/A</v>
      </c>
      <c r="AI1441" s="8"/>
      <c r="AJ1441" s="57"/>
      <c r="AK1441" s="105"/>
      <c r="AM1441" s="6" t="e">
        <f>MATCH(D1441,'D5 - Gatekeeper - Projects'!$C$4:$C$1010,0)</f>
        <v>#N/A</v>
      </c>
      <c r="AN1441" s="6" t="b">
        <f t="shared" si="150"/>
        <v>1</v>
      </c>
      <c r="AO1441" s="6" t="str">
        <f t="shared" si="152"/>
        <v>OK</v>
      </c>
      <c r="AQ1441" s="6" t="e">
        <f>MATCH($D1441,'D4 - Provider Council Unsched'!$C$11:$C$234,0)</f>
        <v>#N/A</v>
      </c>
      <c r="AR1441" s="6" t="b">
        <f t="shared" si="151"/>
        <v>1</v>
      </c>
      <c r="AS1441" s="6" t="str">
        <f t="shared" si="155"/>
        <v>OK</v>
      </c>
      <c r="AU1441" s="202">
        <v>40592</v>
      </c>
      <c r="AV1441" s="262"/>
      <c r="AW1441" s="274"/>
    </row>
    <row r="1442" spans="1:49" s="13" customFormat="1" ht="33.75" x14ac:dyDescent="0.2">
      <c r="A1442" s="14">
        <v>1418</v>
      </c>
      <c r="B1442" s="14">
        <v>400033127</v>
      </c>
      <c r="C1442" s="8" t="s">
        <v>2449</v>
      </c>
      <c r="D1442" s="4" t="str">
        <f t="shared" si="154"/>
        <v>400033127R3</v>
      </c>
      <c r="E1442" s="309" t="str">
        <f>VLOOKUP($B1442,'D7 - NDB Impacted SPRF''s'!$E$6:$O$9929,2,FALSE)</f>
        <v>HIPAA 5010-UHC-837I&amp;P</v>
      </c>
      <c r="F1442" s="8" t="s">
        <v>2114</v>
      </c>
      <c r="G1442" s="8" t="s">
        <v>4758</v>
      </c>
      <c r="H1442" s="8" t="s">
        <v>4246</v>
      </c>
      <c r="I1442" s="20">
        <v>2.4666666666666668</v>
      </c>
      <c r="J1442" s="8" t="s">
        <v>4862</v>
      </c>
      <c r="K1442" s="182">
        <v>40614</v>
      </c>
      <c r="L1442" s="8" t="s">
        <v>4156</v>
      </c>
      <c r="M1442" s="8" t="s">
        <v>5626</v>
      </c>
      <c r="N1442" s="38" t="s">
        <v>5278</v>
      </c>
      <c r="O1442" s="8"/>
      <c r="P1442" s="4" t="str">
        <f>VLOOKUP($B1442,'D7 - NDB Impacted SPRF''s'!$E$16:$O$9929,9,FALSE)</f>
        <v>Y</v>
      </c>
      <c r="Q1442" s="4" t="str">
        <f>VLOOKUP($B1442,'D7 - NDB Impacted SPRF''s'!$E$16:$O$9929,10,FALSE)</f>
        <v>N</v>
      </c>
      <c r="R1442" s="4" t="str">
        <f>VLOOKUP($B1442,'D7 - NDB Impacted SPRF''s'!$E$16:$O$9929,11,FALSE)</f>
        <v>Y</v>
      </c>
      <c r="S1442" s="8"/>
      <c r="T1442" s="310"/>
      <c r="U1442" s="310"/>
      <c r="V1442" s="4"/>
      <c r="W1442" s="4"/>
      <c r="X1442" s="4"/>
      <c r="Y1442" s="4"/>
      <c r="Z1442" s="4"/>
      <c r="AA1442" s="4"/>
      <c r="AB1442" s="380" t="str">
        <f>VLOOKUP($B1442,'D7 - NDB Impacted SPRF''s'!$E$6:$O$9929,4,FALSE)</f>
        <v>Completed</v>
      </c>
      <c r="AC1442" s="380" t="str">
        <f>VLOOKUP($B1442,'D7 - NDB Impacted SPRF''s'!$E$6:$O$9929,3,FALSE)</f>
        <v>UnitedHealthcare Employer &amp; Individual</v>
      </c>
      <c r="AD1442" s="380" t="str">
        <f>VLOOKUP($B1442,'D7 - NDB Impacted SPRF''s'!$E$6:$O$9929,5,FALSE)</f>
        <v>HIPAA 5010</v>
      </c>
      <c r="AE1442" s="380" t="str">
        <f>VLOOKUP($B1442,'D7 - NDB Impacted SPRF''s'!$E$6:$O$9929,7,FALSE)</f>
        <v>Tim Kaja</v>
      </c>
      <c r="AF1442" s="380" t="str">
        <f>VLOOKUP($B1442,'D7 - NDB Impacted SPRF''s'!$E$6:$O$9929,6,FALSE)</f>
        <v>Delvis Schilling</v>
      </c>
      <c r="AG1442" s="282"/>
      <c r="AH1442" s="311" t="e">
        <f>INDEX('D5 - Gatekeeper - Projects'!$A$4:$AF$1010,$AM1442, 17)</f>
        <v>#N/A</v>
      </c>
      <c r="AI1442" s="8"/>
      <c r="AJ1442" s="57"/>
      <c r="AK1442" s="105"/>
      <c r="AM1442" s="6" t="e">
        <f>MATCH(D1442,'D5 - Gatekeeper - Projects'!$C$4:$C$1010,0)</f>
        <v>#N/A</v>
      </c>
      <c r="AN1442" s="6" t="b">
        <f t="shared" si="150"/>
        <v>1</v>
      </c>
      <c r="AO1442" s="6" t="str">
        <f t="shared" si="152"/>
        <v>OK</v>
      </c>
      <c r="AQ1442" s="6" t="e">
        <f>MATCH($D1442,'D4 - Provider Council Unsched'!$C$11:$C$234,0)</f>
        <v>#N/A</v>
      </c>
      <c r="AR1442" s="6" t="b">
        <f t="shared" si="151"/>
        <v>1</v>
      </c>
      <c r="AS1442" s="6" t="str">
        <f t="shared" si="155"/>
        <v>OK</v>
      </c>
      <c r="AU1442" s="202">
        <v>40462</v>
      </c>
      <c r="AV1442" s="262"/>
      <c r="AW1442" s="274"/>
    </row>
    <row r="1443" spans="1:49" s="13" customFormat="1" ht="33.75" x14ac:dyDescent="0.2">
      <c r="A1443" s="14">
        <v>1419</v>
      </c>
      <c r="B1443" s="14">
        <v>400033127</v>
      </c>
      <c r="C1443" s="8" t="s">
        <v>4926</v>
      </c>
      <c r="D1443" s="4" t="str">
        <f t="shared" si="154"/>
        <v>400033127R4</v>
      </c>
      <c r="E1443" s="309" t="str">
        <f>VLOOKUP($B1443,'D7 - NDB Impacted SPRF''s'!$E$6:$O$9929,2,FALSE)</f>
        <v>HIPAA 5010-UHC-837I&amp;P</v>
      </c>
      <c r="F1443" s="8" t="s">
        <v>2114</v>
      </c>
      <c r="G1443" s="8" t="s">
        <v>4758</v>
      </c>
      <c r="H1443" s="8" t="s">
        <v>4246</v>
      </c>
      <c r="I1443" s="20">
        <v>4.4666666666666668</v>
      </c>
      <c r="J1443" s="8" t="s">
        <v>4862</v>
      </c>
      <c r="K1443" s="182">
        <v>40614</v>
      </c>
      <c r="L1443" s="8" t="s">
        <v>4156</v>
      </c>
      <c r="M1443" s="8" t="s">
        <v>5626</v>
      </c>
      <c r="N1443" s="38"/>
      <c r="O1443" s="8"/>
      <c r="P1443" s="4" t="str">
        <f>VLOOKUP($B1443,'D7 - NDB Impacted SPRF''s'!$E$16:$O$9929,9,FALSE)</f>
        <v>Y</v>
      </c>
      <c r="Q1443" s="4" t="str">
        <f>VLOOKUP($B1443,'D7 - NDB Impacted SPRF''s'!$E$16:$O$9929,10,FALSE)</f>
        <v>N</v>
      </c>
      <c r="R1443" s="4" t="str">
        <f>VLOOKUP($B1443,'D7 - NDB Impacted SPRF''s'!$E$16:$O$9929,11,FALSE)</f>
        <v>Y</v>
      </c>
      <c r="S1443" s="8"/>
      <c r="T1443" s="310"/>
      <c r="U1443" s="310"/>
      <c r="V1443" s="4"/>
      <c r="W1443" s="4"/>
      <c r="X1443" s="4"/>
      <c r="Y1443" s="4"/>
      <c r="Z1443" s="4"/>
      <c r="AA1443" s="4"/>
      <c r="AB1443" s="380" t="str">
        <f>VLOOKUP($B1443,'D7 - NDB Impacted SPRF''s'!$E$6:$O$9929,4,FALSE)</f>
        <v>Completed</v>
      </c>
      <c r="AC1443" s="380" t="str">
        <f>VLOOKUP($B1443,'D7 - NDB Impacted SPRF''s'!$E$6:$O$9929,3,FALSE)</f>
        <v>UnitedHealthcare Employer &amp; Individual</v>
      </c>
      <c r="AD1443" s="380" t="str">
        <f>VLOOKUP($B1443,'D7 - NDB Impacted SPRF''s'!$E$6:$O$9929,5,FALSE)</f>
        <v>HIPAA 5010</v>
      </c>
      <c r="AE1443" s="380" t="str">
        <f>VLOOKUP($B1443,'D7 - NDB Impacted SPRF''s'!$E$6:$O$9929,7,FALSE)</f>
        <v>Tim Kaja</v>
      </c>
      <c r="AF1443" s="380" t="str">
        <f>VLOOKUP($B1443,'D7 - NDB Impacted SPRF''s'!$E$6:$O$9929,6,FALSE)</f>
        <v>Delvis Schilling</v>
      </c>
      <c r="AG1443" s="282"/>
      <c r="AH1443" s="311" t="e">
        <f>INDEX('D5 - Gatekeeper - Projects'!$A$4:$AF$1010,$AM1443, 17)</f>
        <v>#N/A</v>
      </c>
      <c r="AI1443" s="8"/>
      <c r="AJ1443" s="57"/>
      <c r="AK1443" s="105"/>
      <c r="AM1443" s="6" t="e">
        <f>MATCH(D1443,'D5 - Gatekeeper - Projects'!$C$4:$C$1010,0)</f>
        <v>#N/A</v>
      </c>
      <c r="AN1443" s="6" t="b">
        <f t="shared" si="150"/>
        <v>1</v>
      </c>
      <c r="AO1443" s="6" t="str">
        <f t="shared" si="152"/>
        <v>OK</v>
      </c>
      <c r="AQ1443" s="6" t="e">
        <f>MATCH($D1443,'D4 - Provider Council Unsched'!$C$11:$C$234,0)</f>
        <v>#N/A</v>
      </c>
      <c r="AR1443" s="6" t="b">
        <f t="shared" si="151"/>
        <v>1</v>
      </c>
      <c r="AS1443" s="6" t="str">
        <f t="shared" si="155"/>
        <v>OK</v>
      </c>
      <c r="AU1443" s="202">
        <v>40462</v>
      </c>
      <c r="AV1443" s="262"/>
      <c r="AW1443" s="274"/>
    </row>
    <row r="1444" spans="1:49" s="13" customFormat="1" ht="33.75" x14ac:dyDescent="0.2">
      <c r="A1444" s="14">
        <v>1420</v>
      </c>
      <c r="B1444" s="14">
        <v>400033128</v>
      </c>
      <c r="C1444" s="8" t="s">
        <v>3763</v>
      </c>
      <c r="D1444" s="4" t="str">
        <f t="shared" si="154"/>
        <v>400033128R2</v>
      </c>
      <c r="E1444" s="309" t="str">
        <f>VLOOKUP($B1444,'D7 - NDB Impacted SPRF''s'!$E$6:$O$9929,2,FALSE)</f>
        <v>HIPAA 5010-UHC-CORE for 270/271 and 276/277</v>
      </c>
      <c r="F1444" s="8" t="s">
        <v>1595</v>
      </c>
      <c r="G1444" s="8" t="s">
        <v>4758</v>
      </c>
      <c r="H1444" s="8" t="s">
        <v>4246</v>
      </c>
      <c r="I1444" s="20">
        <v>0.2</v>
      </c>
      <c r="J1444" s="8" t="s">
        <v>4862</v>
      </c>
      <c r="K1444" s="182">
        <v>40614</v>
      </c>
      <c r="L1444" s="8" t="s">
        <v>4156</v>
      </c>
      <c r="M1444" s="8" t="s">
        <v>5626</v>
      </c>
      <c r="N1444" s="38" t="s">
        <v>1170</v>
      </c>
      <c r="O1444" s="8"/>
      <c r="P1444" s="4" t="str">
        <f>VLOOKUP($B1444,'D7 - NDB Impacted SPRF''s'!$E$16:$O$9929,9,FALSE)</f>
        <v>Y</v>
      </c>
      <c r="Q1444" s="4" t="str">
        <f>VLOOKUP($B1444,'D7 - NDB Impacted SPRF''s'!$E$16:$O$9929,10,FALSE)</f>
        <v>N</v>
      </c>
      <c r="R1444" s="4" t="str">
        <f>VLOOKUP($B1444,'D7 - NDB Impacted SPRF''s'!$E$16:$O$9929,11,FALSE)</f>
        <v>Y</v>
      </c>
      <c r="S1444" s="8"/>
      <c r="T1444" s="310"/>
      <c r="U1444" s="310"/>
      <c r="V1444" s="4"/>
      <c r="W1444" s="4"/>
      <c r="X1444" s="4"/>
      <c r="Y1444" s="4"/>
      <c r="Z1444" s="4"/>
      <c r="AA1444" s="4"/>
      <c r="AB1444" s="380" t="str">
        <f>VLOOKUP($B1444,'D7 - NDB Impacted SPRF''s'!$E$6:$O$9929,4,FALSE)</f>
        <v>Completed</v>
      </c>
      <c r="AC1444" s="380" t="str">
        <f>VLOOKUP($B1444,'D7 - NDB Impacted SPRF''s'!$E$6:$O$9929,3,FALSE)</f>
        <v>UnitedHealthcare Employer &amp; Individual</v>
      </c>
      <c r="AD1444" s="380" t="str">
        <f>VLOOKUP($B1444,'D7 - NDB Impacted SPRF''s'!$E$6:$O$9929,5,FALSE)</f>
        <v>HIPAA 5010</v>
      </c>
      <c r="AE1444" s="380" t="str">
        <f>VLOOKUP($B1444,'D7 - NDB Impacted SPRF''s'!$E$6:$O$9929,7,FALSE)</f>
        <v>Tim Kaja</v>
      </c>
      <c r="AF1444" s="380" t="str">
        <f>VLOOKUP($B1444,'D7 - NDB Impacted SPRF''s'!$E$6:$O$9929,6,FALSE)</f>
        <v>Delvis Schilling</v>
      </c>
      <c r="AG1444" s="282"/>
      <c r="AH1444" s="311" t="e">
        <f>INDEX('D5 - Gatekeeper - Projects'!$A$4:$AF$1010,$AM1444, 17)</f>
        <v>#N/A</v>
      </c>
      <c r="AI1444" s="8"/>
      <c r="AJ1444" s="57"/>
      <c r="AK1444" s="105"/>
      <c r="AM1444" s="6" t="e">
        <f>MATCH(D1444,'D5 - Gatekeeper - Projects'!$C$4:$C$1010,0)</f>
        <v>#N/A</v>
      </c>
      <c r="AN1444" s="6" t="b">
        <f t="shared" si="150"/>
        <v>1</v>
      </c>
      <c r="AO1444" s="6" t="str">
        <f t="shared" si="152"/>
        <v>OK</v>
      </c>
      <c r="AQ1444" s="6" t="e">
        <f>MATCH($D1444,'D4 - Provider Council Unsched'!$C$11:$C$234,0)</f>
        <v>#N/A</v>
      </c>
      <c r="AR1444" s="6" t="b">
        <f t="shared" si="151"/>
        <v>1</v>
      </c>
      <c r="AS1444" s="6" t="str">
        <f t="shared" si="155"/>
        <v>OK</v>
      </c>
      <c r="AU1444" s="202">
        <v>40610</v>
      </c>
      <c r="AV1444" s="262"/>
      <c r="AW1444" s="274"/>
    </row>
    <row r="1445" spans="1:49" s="13" customFormat="1" ht="45" x14ac:dyDescent="0.2">
      <c r="A1445" s="14">
        <v>1421</v>
      </c>
      <c r="B1445" s="14">
        <v>400033827</v>
      </c>
      <c r="C1445" s="8" t="s">
        <v>4926</v>
      </c>
      <c r="D1445" s="4" t="str">
        <f t="shared" si="154"/>
        <v>400033827R4</v>
      </c>
      <c r="E1445" s="309" t="str">
        <f>VLOOKUP($B1445,'D7 - NDB Impacted SPRF''s'!$E$6:$O$9929,2,FALSE)</f>
        <v xml:space="preserve">CDB Core Processing:  Inquiry Views </v>
      </c>
      <c r="F1445" s="8" t="s">
        <v>2114</v>
      </c>
      <c r="G1445" s="8" t="s">
        <v>4758</v>
      </c>
      <c r="H1445" s="8" t="s">
        <v>4246</v>
      </c>
      <c r="I1445" s="20">
        <v>0.67</v>
      </c>
      <c r="J1445" s="8" t="s">
        <v>4862</v>
      </c>
      <c r="K1445" s="182">
        <v>40614</v>
      </c>
      <c r="L1445" s="8" t="s">
        <v>4156</v>
      </c>
      <c r="M1445" s="8" t="s">
        <v>5626</v>
      </c>
      <c r="N1445" s="38" t="s">
        <v>4276</v>
      </c>
      <c r="O1445" s="8"/>
      <c r="P1445" s="4" t="str">
        <f>VLOOKUP($B1445,'D7 - NDB Impacted SPRF''s'!$E$16:$O$9929,9,FALSE)</f>
        <v>Y</v>
      </c>
      <c r="Q1445" s="4" t="str">
        <f>VLOOKUP($B1445,'D7 - NDB Impacted SPRF''s'!$E$16:$O$9929,10,FALSE)</f>
        <v>N</v>
      </c>
      <c r="R1445" s="4" t="str">
        <f>VLOOKUP($B1445,'D7 - NDB Impacted SPRF''s'!$E$16:$O$9929,11,FALSE)</f>
        <v>N</v>
      </c>
      <c r="S1445" s="8"/>
      <c r="T1445" s="310"/>
      <c r="U1445" s="310"/>
      <c r="V1445" s="4"/>
      <c r="W1445" s="4"/>
      <c r="X1445" s="4"/>
      <c r="Y1445" s="4"/>
      <c r="Z1445" s="4"/>
      <c r="AA1445" s="4"/>
      <c r="AB1445" s="380" t="str">
        <f>VLOOKUP($B1445,'D7 - NDB Impacted SPRF''s'!$E$6:$O$9929,4,FALSE)</f>
        <v>Completed</v>
      </c>
      <c r="AC1445" s="380" t="str">
        <f>VLOOKUP($B1445,'D7 - NDB Impacted SPRF''s'!$E$6:$O$9929,3,FALSE)</f>
        <v>UHG IT - Enterprise Technology Services</v>
      </c>
      <c r="AD1445" s="380" t="str">
        <f>VLOOKUP($B1445,'D7 - NDB Impacted SPRF''s'!$E$6:$O$9929,5,FALSE)</f>
        <v>Strategic Initiatives</v>
      </c>
      <c r="AE1445" s="380" t="str">
        <f>VLOOKUP($B1445,'D7 - NDB Impacted SPRF''s'!$E$6:$O$9929,7,FALSE)</f>
        <v>Patrick Casey</v>
      </c>
      <c r="AF1445" s="380" t="str">
        <f>VLOOKUP($B1445,'D7 - NDB Impacted SPRF''s'!$E$6:$O$9929,6,FALSE)</f>
        <v>Sue Meotti</v>
      </c>
      <c r="AG1445" s="282"/>
      <c r="AH1445" s="311" t="e">
        <f>INDEX('D5 - Gatekeeper - Projects'!$A$4:$AF$1010,$AM1445, 17)</f>
        <v>#N/A</v>
      </c>
      <c r="AI1445" s="8"/>
      <c r="AJ1445" s="57"/>
      <c r="AK1445" s="105"/>
      <c r="AM1445" s="6" t="e">
        <f>MATCH(D1445,'D5 - Gatekeeper - Projects'!$C$4:$C$1010,0)</f>
        <v>#N/A</v>
      </c>
      <c r="AN1445" s="6" t="b">
        <f t="shared" si="150"/>
        <v>1</v>
      </c>
      <c r="AO1445" s="6" t="str">
        <f t="shared" si="152"/>
        <v>OK</v>
      </c>
      <c r="AQ1445" s="6" t="e">
        <f>MATCH($D1445,'D4 - Provider Council Unsched'!$C$11:$C$234,0)</f>
        <v>#N/A</v>
      </c>
      <c r="AR1445" s="6" t="b">
        <f t="shared" si="151"/>
        <v>1</v>
      </c>
      <c r="AS1445" s="6" t="str">
        <f t="shared" si="155"/>
        <v>OK</v>
      </c>
      <c r="AU1445" s="202">
        <v>40592</v>
      </c>
      <c r="AV1445" s="262"/>
      <c r="AW1445" s="274"/>
    </row>
    <row r="1446" spans="1:49" s="13" customFormat="1" ht="45" x14ac:dyDescent="0.2">
      <c r="A1446" s="14">
        <v>1422</v>
      </c>
      <c r="B1446" s="14">
        <v>400035731</v>
      </c>
      <c r="C1446" s="8" t="s">
        <v>5197</v>
      </c>
      <c r="D1446" s="4" t="str">
        <f t="shared" si="154"/>
        <v>400035731R1</v>
      </c>
      <c r="E1446" s="309" t="str">
        <f>VLOOKUP($B1446,'D7 - NDB Impacted SPRF''s'!$E$6:$O$9929,2,FALSE)</f>
        <v>UHPD Feeds Scheduling Changes</v>
      </c>
      <c r="F1446" s="8" t="s">
        <v>5443</v>
      </c>
      <c r="G1446" s="8" t="s">
        <v>4758</v>
      </c>
      <c r="H1446" s="8" t="s">
        <v>4246</v>
      </c>
      <c r="I1446" s="20">
        <v>0.8</v>
      </c>
      <c r="J1446" s="8" t="s">
        <v>4862</v>
      </c>
      <c r="K1446" s="182">
        <v>40614</v>
      </c>
      <c r="L1446" s="8" t="s">
        <v>4156</v>
      </c>
      <c r="M1446" s="8" t="s">
        <v>6688</v>
      </c>
      <c r="N1446" s="38" t="s">
        <v>3119</v>
      </c>
      <c r="O1446" s="8"/>
      <c r="P1446" s="4" t="str">
        <f>VLOOKUP($B1446,'D7 - NDB Impacted SPRF''s'!$E$16:$O$9929,9,FALSE)</f>
        <v>N</v>
      </c>
      <c r="Q1446" s="4" t="str">
        <f>VLOOKUP($B1446,'D7 - NDB Impacted SPRF''s'!$E$16:$O$9929,10,FALSE)</f>
        <v>N</v>
      </c>
      <c r="R1446" s="4" t="str">
        <f>VLOOKUP($B1446,'D7 - NDB Impacted SPRF''s'!$E$16:$O$9929,11,FALSE)</f>
        <v>N</v>
      </c>
      <c r="S1446" s="8"/>
      <c r="T1446" s="310"/>
      <c r="U1446" s="310"/>
      <c r="V1446" s="4"/>
      <c r="W1446" s="4"/>
      <c r="X1446" s="4"/>
      <c r="Y1446" s="4"/>
      <c r="Z1446" s="4"/>
      <c r="AA1446" s="4"/>
      <c r="AB1446" s="380" t="str">
        <f>VLOOKUP($B1446,'D7 - NDB Impacted SPRF''s'!$E$6:$O$9929,4,FALSE)</f>
        <v>Completed</v>
      </c>
      <c r="AC1446" s="380" t="str">
        <f>VLOOKUP($B1446,'D7 - NDB Impacted SPRF''s'!$E$6:$O$9929,3,FALSE)</f>
        <v>OptumInsight</v>
      </c>
      <c r="AD1446" s="380" t="str">
        <f>VLOOKUP($B1446,'D7 - NDB Impacted SPRF''s'!$E$6:$O$9929,5,FALSE)</f>
        <v>Ingenix</v>
      </c>
      <c r="AE1446" s="380" t="str">
        <f>VLOOKUP($B1446,'D7 - NDB Impacted SPRF''s'!$E$6:$O$9929,7,FALSE)</f>
        <v>Christopher J Brown</v>
      </c>
      <c r="AF1446" s="380" t="str">
        <f>VLOOKUP($B1446,'D7 - NDB Impacted SPRF''s'!$E$6:$O$9929,6,FALSE)</f>
        <v>Lee Solheim</v>
      </c>
      <c r="AG1446" s="282"/>
      <c r="AH1446" s="311" t="e">
        <f>INDEX('D5 - Gatekeeper - Projects'!$A$4:$AF$1010,$AM1446, 17)</f>
        <v>#N/A</v>
      </c>
      <c r="AI1446" s="8"/>
      <c r="AJ1446" s="57"/>
      <c r="AK1446" s="105"/>
      <c r="AM1446" s="6" t="e">
        <f>MATCH(D1446,'D5 - Gatekeeper - Projects'!$C$4:$C$1010,0)</f>
        <v>#N/A</v>
      </c>
      <c r="AN1446" s="6" t="b">
        <f t="shared" si="150"/>
        <v>1</v>
      </c>
      <c r="AO1446" s="6" t="str">
        <f t="shared" si="152"/>
        <v>OK</v>
      </c>
      <c r="AQ1446" s="6" t="e">
        <f>MATCH($D1446,'D4 - Provider Council Unsched'!$C$11:$C$234,0)</f>
        <v>#N/A</v>
      </c>
      <c r="AR1446" s="6" t="b">
        <f t="shared" si="151"/>
        <v>1</v>
      </c>
      <c r="AS1446" s="6" t="str">
        <f t="shared" si="155"/>
        <v>OK</v>
      </c>
      <c r="AU1446" s="202">
        <v>40581</v>
      </c>
      <c r="AV1446" s="262"/>
      <c r="AW1446" s="274"/>
    </row>
    <row r="1447" spans="1:49" s="13" customFormat="1" ht="33.75" x14ac:dyDescent="0.2">
      <c r="A1447" s="14">
        <v>1423</v>
      </c>
      <c r="B1447" s="14">
        <v>400037479</v>
      </c>
      <c r="C1447" s="8" t="s">
        <v>5197</v>
      </c>
      <c r="D1447" s="4" t="str">
        <f t="shared" si="154"/>
        <v>400037479R1</v>
      </c>
      <c r="E1447" s="309" t="str">
        <f>VLOOKUP($B1447,'D7 - NDB Impacted SPRF''s'!$E$6:$O$9929,2,FALSE)</f>
        <v>CSS-B2C 2011A RELEASE</v>
      </c>
      <c r="F1447" s="8"/>
      <c r="G1447" s="8" t="s">
        <v>4758</v>
      </c>
      <c r="H1447" s="8" t="s">
        <v>4246</v>
      </c>
      <c r="I1447" s="20">
        <v>1.3</v>
      </c>
      <c r="J1447" s="8" t="s">
        <v>4862</v>
      </c>
      <c r="K1447" s="182">
        <v>40614</v>
      </c>
      <c r="L1447" s="8" t="s">
        <v>4156</v>
      </c>
      <c r="M1447" s="8" t="s">
        <v>5626</v>
      </c>
      <c r="N1447" s="38"/>
      <c r="O1447" s="8"/>
      <c r="P1447" s="4" t="str">
        <f>VLOOKUP($B1447,'D7 - NDB Impacted SPRF''s'!$E$16:$O$9929,9,FALSE)</f>
        <v>Y</v>
      </c>
      <c r="Q1447" s="4" t="str">
        <f>VLOOKUP($B1447,'D7 - NDB Impacted SPRF''s'!$E$16:$O$9929,10,FALSE)</f>
        <v>N</v>
      </c>
      <c r="R1447" s="4" t="str">
        <f>VLOOKUP($B1447,'D7 - NDB Impacted SPRF''s'!$E$16:$O$9929,11,FALSE)</f>
        <v>N</v>
      </c>
      <c r="S1447" s="8"/>
      <c r="T1447" s="310"/>
      <c r="U1447" s="310"/>
      <c r="V1447" s="4"/>
      <c r="W1447" s="4"/>
      <c r="X1447" s="4"/>
      <c r="Y1447" s="4"/>
      <c r="Z1447" s="4"/>
      <c r="AA1447" s="4"/>
      <c r="AB1447" s="380" t="str">
        <f>VLOOKUP($B1447,'D7 - NDB Impacted SPRF''s'!$E$6:$O$9929,4,FALSE)</f>
        <v>Completed</v>
      </c>
      <c r="AC1447" s="380" t="str">
        <f>VLOOKUP($B1447,'D7 - NDB Impacted SPRF''s'!$E$6:$O$9929,3,FALSE)</f>
        <v>UnitedHealthcare Medicare &amp; Retirement</v>
      </c>
      <c r="AD1447" s="380" t="str">
        <f>VLOOKUP($B1447,'D7 - NDB Impacted SPRF''s'!$E$6:$O$9929,5,FALSE)</f>
        <v>Enterprise Clinical</v>
      </c>
      <c r="AE1447" s="380" t="str">
        <f>VLOOKUP($B1447,'D7 - NDB Impacted SPRF''s'!$E$6:$O$9929,7,FALSE)</f>
        <v>Cynthia Middaugh</v>
      </c>
      <c r="AF1447" s="380" t="str">
        <f>VLOOKUP($B1447,'D7 - NDB Impacted SPRF''s'!$E$6:$O$9929,6,FALSE)</f>
        <v>CHRISTINA MOSHER</v>
      </c>
      <c r="AG1447" s="282"/>
      <c r="AH1447" s="311" t="e">
        <f>INDEX('D5 - Gatekeeper - Projects'!$A$4:$AF$1010,$AM1447, 17)</f>
        <v>#N/A</v>
      </c>
      <c r="AI1447" s="8"/>
      <c r="AJ1447" s="57"/>
      <c r="AK1447" s="105"/>
      <c r="AM1447" s="6" t="e">
        <f>MATCH(D1447,'D5 - Gatekeeper - Projects'!$C$4:$C$1010,0)</f>
        <v>#N/A</v>
      </c>
      <c r="AN1447" s="6" t="b">
        <f t="shared" si="150"/>
        <v>1</v>
      </c>
      <c r="AO1447" s="6" t="str">
        <f t="shared" si="152"/>
        <v>OK</v>
      </c>
      <c r="AQ1447" s="6" t="e">
        <f>MATCH($D1447,'D4 - Provider Council Unsched'!$C$11:$C$234,0)</f>
        <v>#N/A</v>
      </c>
      <c r="AR1447" s="6" t="b">
        <f t="shared" si="151"/>
        <v>1</v>
      </c>
      <c r="AS1447" s="6" t="str">
        <f t="shared" si="155"/>
        <v>OK</v>
      </c>
      <c r="AU1447" s="202">
        <v>40420</v>
      </c>
      <c r="AV1447" s="262"/>
      <c r="AW1447" s="274"/>
    </row>
    <row r="1448" spans="1:49" s="13" customFormat="1" ht="33.75" x14ac:dyDescent="0.2">
      <c r="A1448" s="14">
        <v>1424</v>
      </c>
      <c r="B1448" s="14">
        <v>400038122</v>
      </c>
      <c r="C1448" s="8" t="s">
        <v>5197</v>
      </c>
      <c r="D1448" s="4" t="str">
        <f t="shared" si="154"/>
        <v>400038122R1</v>
      </c>
      <c r="E1448" s="309" t="str">
        <f>VLOOKUP($B1448,'D7 - NDB Impacted SPRF''s'!$E$6:$O$9929,2,FALSE)</f>
        <v>UHCOnline for Facets ASP</v>
      </c>
      <c r="F1448" s="8"/>
      <c r="G1448" s="8" t="s">
        <v>4758</v>
      </c>
      <c r="H1448" s="8" t="s">
        <v>4246</v>
      </c>
      <c r="I1448" s="20">
        <v>1.0666666666666667</v>
      </c>
      <c r="J1448" s="8" t="s">
        <v>4862</v>
      </c>
      <c r="K1448" s="182">
        <v>40614</v>
      </c>
      <c r="L1448" s="8" t="s">
        <v>4156</v>
      </c>
      <c r="M1448" s="8" t="s">
        <v>5626</v>
      </c>
      <c r="N1448" s="38" t="s">
        <v>4053</v>
      </c>
      <c r="O1448" s="8"/>
      <c r="P1448" s="4" t="str">
        <f>VLOOKUP($B1448,'D7 - NDB Impacted SPRF''s'!$E$16:$O$9929,9,FALSE)</f>
        <v>N</v>
      </c>
      <c r="Q1448" s="4" t="str">
        <f>VLOOKUP($B1448,'D7 - NDB Impacted SPRF''s'!$E$16:$O$9929,10,FALSE)</f>
        <v>N</v>
      </c>
      <c r="R1448" s="4" t="str">
        <f>VLOOKUP($B1448,'D7 - NDB Impacted SPRF''s'!$E$16:$O$9929,11,FALSE)</f>
        <v>N</v>
      </c>
      <c r="S1448" s="8"/>
      <c r="T1448" s="310"/>
      <c r="U1448" s="310"/>
      <c r="V1448" s="4"/>
      <c r="W1448" s="4"/>
      <c r="X1448" s="4"/>
      <c r="Y1448" s="4"/>
      <c r="Z1448" s="4"/>
      <c r="AA1448" s="4"/>
      <c r="AB1448" s="380" t="str">
        <f>VLOOKUP($B1448,'D7 - NDB Impacted SPRF''s'!$E$6:$O$9929,4,FALSE)</f>
        <v>Completed</v>
      </c>
      <c r="AC1448" s="380" t="str">
        <f>VLOOKUP($B1448,'D7 - NDB Impacted SPRF''s'!$E$6:$O$9929,3,FALSE)</f>
        <v>UnitedHealthcare Community &amp; State</v>
      </c>
      <c r="AD1448" s="380" t="str">
        <f>VLOOKUP($B1448,'D7 - NDB Impacted SPRF''s'!$E$6:$O$9929,5,FALSE)</f>
        <v>AmeriChoice</v>
      </c>
      <c r="AE1448" s="380" t="str">
        <f>VLOOKUP($B1448,'D7 - NDB Impacted SPRF''s'!$E$6:$O$9929,7,FALSE)</f>
        <v>Chris Scherer</v>
      </c>
      <c r="AF1448" s="380" t="str">
        <f>VLOOKUP($B1448,'D7 - NDB Impacted SPRF''s'!$E$6:$O$9929,6,FALSE)</f>
        <v>JEFFREY KINNEMANN</v>
      </c>
      <c r="AG1448" s="282"/>
      <c r="AH1448" s="311" t="e">
        <f>INDEX('D5 - Gatekeeper - Projects'!$A$4:$AF$1010,$AM1448, 17)</f>
        <v>#N/A</v>
      </c>
      <c r="AI1448" s="8"/>
      <c r="AJ1448" s="57"/>
      <c r="AK1448" s="105"/>
      <c r="AM1448" s="6" t="e">
        <f>MATCH(D1448,'D5 - Gatekeeper - Projects'!$C$4:$C$1010,0)</f>
        <v>#N/A</v>
      </c>
      <c r="AN1448" s="6" t="b">
        <f t="shared" si="150"/>
        <v>1</v>
      </c>
      <c r="AO1448" s="6" t="str">
        <f t="shared" si="152"/>
        <v>OK</v>
      </c>
      <c r="AQ1448" s="6" t="e">
        <f>MATCH($D1448,'D4 - Provider Council Unsched'!$C$11:$C$234,0)</f>
        <v>#N/A</v>
      </c>
      <c r="AR1448" s="6" t="b">
        <f t="shared" si="151"/>
        <v>1</v>
      </c>
      <c r="AS1448" s="6" t="str">
        <f t="shared" si="155"/>
        <v>OK</v>
      </c>
      <c r="AU1448" s="202">
        <v>40441</v>
      </c>
      <c r="AV1448" s="262"/>
      <c r="AW1448" s="274"/>
    </row>
    <row r="1449" spans="1:49" s="13" customFormat="1" ht="33.75" x14ac:dyDescent="0.2">
      <c r="A1449" s="14">
        <v>1425</v>
      </c>
      <c r="B1449" s="8">
        <v>400038388</v>
      </c>
      <c r="C1449" s="8" t="s">
        <v>3763</v>
      </c>
      <c r="D1449" s="4" t="str">
        <f t="shared" si="154"/>
        <v>400038388R2</v>
      </c>
      <c r="E1449" s="309" t="str">
        <f>VLOOKUP($B1449,'D7 - NDB Impacted SPRF''s'!$E$6:$O$9929,2,FALSE)</f>
        <v>PULSE Migration to GPS/COSMOS</v>
      </c>
      <c r="F1449" s="8"/>
      <c r="G1449" s="8" t="s">
        <v>4758</v>
      </c>
      <c r="H1449" s="8" t="s">
        <v>4246</v>
      </c>
      <c r="I1449" s="20">
        <v>2</v>
      </c>
      <c r="J1449" s="8" t="s">
        <v>4862</v>
      </c>
      <c r="K1449" s="182">
        <v>40614</v>
      </c>
      <c r="L1449" s="8" t="s">
        <v>4156</v>
      </c>
      <c r="M1449" s="8" t="s">
        <v>6688</v>
      </c>
      <c r="N1449" s="38" t="s">
        <v>1187</v>
      </c>
      <c r="O1449" s="8"/>
      <c r="P1449" s="4" t="str">
        <f>VLOOKUP($B1449,'D7 - NDB Impacted SPRF''s'!$E$16:$O$9929,9,FALSE)</f>
        <v>Y</v>
      </c>
      <c r="Q1449" s="4" t="str">
        <f>VLOOKUP($B1449,'D7 - NDB Impacted SPRF''s'!$E$16:$O$9929,10,FALSE)</f>
        <v>N</v>
      </c>
      <c r="R1449" s="4" t="str">
        <f>VLOOKUP($B1449,'D7 - NDB Impacted SPRF''s'!$E$16:$O$9929,11,FALSE)</f>
        <v>N</v>
      </c>
      <c r="S1449" s="8"/>
      <c r="T1449" s="310"/>
      <c r="U1449" s="310"/>
      <c r="V1449" s="4"/>
      <c r="W1449" s="4"/>
      <c r="X1449" s="4"/>
      <c r="Y1449" s="4"/>
      <c r="Z1449" s="4"/>
      <c r="AA1449" s="4"/>
      <c r="AB1449" s="380" t="str">
        <f>VLOOKUP($B1449,'D7 - NDB Impacted SPRF''s'!$E$6:$O$9929,4,FALSE)</f>
        <v>Completed</v>
      </c>
      <c r="AC1449" s="380" t="str">
        <f>VLOOKUP($B1449,'D7 - NDB Impacted SPRF''s'!$E$6:$O$9929,3,FALSE)</f>
        <v>UnitedHealthcare Medicare &amp; Retirement</v>
      </c>
      <c r="AD1449" s="380" t="str">
        <f>VLOOKUP($B1449,'D7 - NDB Impacted SPRF''s'!$E$6:$O$9929,5,FALSE)</f>
        <v>Regulatory / Other</v>
      </c>
      <c r="AE1449" s="380" t="str">
        <f>VLOOKUP($B1449,'D7 - NDB Impacted SPRF''s'!$E$6:$O$9929,7,FALSE)</f>
        <v>Debi Streb</v>
      </c>
      <c r="AF1449" s="380" t="str">
        <f>VLOOKUP($B1449,'D7 - NDB Impacted SPRF''s'!$E$6:$O$9929,6,FALSE)</f>
        <v>Jessica Tattersall</v>
      </c>
      <c r="AG1449" s="282"/>
      <c r="AH1449" s="311" t="e">
        <f>INDEX('D5 - Gatekeeper - Projects'!$A$4:$AF$1010,$AM1449, 17)</f>
        <v>#N/A</v>
      </c>
      <c r="AI1449" s="8"/>
      <c r="AJ1449" s="57"/>
      <c r="AK1449" s="105"/>
      <c r="AM1449" s="6" t="e">
        <f>MATCH(D1449,'D5 - Gatekeeper - Projects'!$C$4:$C$1010,0)</f>
        <v>#N/A</v>
      </c>
      <c r="AN1449" s="6" t="b">
        <f t="shared" si="150"/>
        <v>1</v>
      </c>
      <c r="AO1449" s="6" t="str">
        <f t="shared" si="152"/>
        <v>OK</v>
      </c>
      <c r="AQ1449" s="6" t="e">
        <f>MATCH($D1449,'D4 - Provider Council Unsched'!$C$11:$C$234,0)</f>
        <v>#N/A</v>
      </c>
      <c r="AR1449" s="6" t="b">
        <f t="shared" si="151"/>
        <v>1</v>
      </c>
      <c r="AS1449" s="6" t="str">
        <f t="shared" si="155"/>
        <v>OK</v>
      </c>
      <c r="AU1449" s="202">
        <v>40616</v>
      </c>
      <c r="AV1449" s="262"/>
      <c r="AW1449" s="274"/>
    </row>
    <row r="1450" spans="1:49" s="13" customFormat="1" ht="33.75" x14ac:dyDescent="0.2">
      <c r="A1450" s="14">
        <v>1426</v>
      </c>
      <c r="B1450" s="8">
        <v>400038669</v>
      </c>
      <c r="C1450" s="8" t="s">
        <v>1447</v>
      </c>
      <c r="D1450" s="4" t="str">
        <f t="shared" si="154"/>
        <v>400038669A</v>
      </c>
      <c r="E1450" s="309" t="str">
        <f>VLOOKUP($B1450,'D7 - NDB Impacted SPRF''s'!$E$6:$O$9929,2,FALSE)</f>
        <v>OneNet Migration NDB Y-Line Enhancement</v>
      </c>
      <c r="F1450" s="8"/>
      <c r="G1450" s="8" t="s">
        <v>4758</v>
      </c>
      <c r="H1450" s="8" t="s">
        <v>4246</v>
      </c>
      <c r="I1450" s="20">
        <v>19.53</v>
      </c>
      <c r="J1450" s="8" t="s">
        <v>4862</v>
      </c>
      <c r="K1450" s="182">
        <v>40614</v>
      </c>
      <c r="L1450" s="8" t="s">
        <v>4156</v>
      </c>
      <c r="M1450" s="8" t="s">
        <v>2814</v>
      </c>
      <c r="N1450" s="38"/>
      <c r="O1450" s="8"/>
      <c r="P1450" s="4" t="str">
        <f>VLOOKUP($B1450,'D7 - NDB Impacted SPRF''s'!$E$16:$O$9929,9,FALSE)</f>
        <v>N</v>
      </c>
      <c r="Q1450" s="4" t="str">
        <f>VLOOKUP($B1450,'D7 - NDB Impacted SPRF''s'!$E$16:$O$9929,10,FALSE)</f>
        <v>N</v>
      </c>
      <c r="R1450" s="4" t="str">
        <f>VLOOKUP($B1450,'D7 - NDB Impacted SPRF''s'!$E$16:$O$9929,11,FALSE)</f>
        <v>N</v>
      </c>
      <c r="S1450" s="8"/>
      <c r="T1450" s="310"/>
      <c r="U1450" s="310"/>
      <c r="V1450" s="4"/>
      <c r="W1450" s="4"/>
      <c r="X1450" s="4"/>
      <c r="Y1450" s="4"/>
      <c r="Z1450" s="4"/>
      <c r="AA1450" s="4"/>
      <c r="AB1450" s="380" t="str">
        <f>VLOOKUP($B1450,'D7 - NDB Impacted SPRF''s'!$E$6:$O$9929,4,FALSE)</f>
        <v>Completed</v>
      </c>
      <c r="AC1450" s="380" t="str">
        <f>VLOOKUP($B1450,'D7 - NDB Impacted SPRF''s'!$E$6:$O$9929,3,FALSE)</f>
        <v>UnitedHealthcare Employer &amp; Individual</v>
      </c>
      <c r="AD1450" s="380" t="str">
        <f>VLOOKUP($B1450,'D7 - NDB Impacted SPRF''s'!$E$6:$O$9929,5,FALSE)</f>
        <v>Integration Requirements</v>
      </c>
      <c r="AE1450" s="380" t="str">
        <f>VLOOKUP($B1450,'D7 - NDB Impacted SPRF''s'!$E$6:$O$9929,7,FALSE)</f>
        <v>Jim Cronin</v>
      </c>
      <c r="AF1450" s="380" t="str">
        <f>VLOOKUP($B1450,'D7 - NDB Impacted SPRF''s'!$E$6:$O$9929,6,FALSE)</f>
        <v>VERONICA BELL</v>
      </c>
      <c r="AG1450" s="282"/>
      <c r="AH1450" s="311" t="e">
        <f>INDEX('D5 - Gatekeeper - Projects'!$A$4:$AF$1010,$AM1450, 17)</f>
        <v>#N/A</v>
      </c>
      <c r="AI1450" s="8"/>
      <c r="AJ1450" s="57"/>
      <c r="AK1450" s="105"/>
      <c r="AM1450" s="6" t="e">
        <f>MATCH(D1450,'D5 - Gatekeeper - Projects'!$C$4:$C$1010,0)</f>
        <v>#N/A</v>
      </c>
      <c r="AN1450" s="6" t="b">
        <f t="shared" si="150"/>
        <v>1</v>
      </c>
      <c r="AO1450" s="6" t="str">
        <f t="shared" si="152"/>
        <v>OK</v>
      </c>
      <c r="AQ1450" s="6" t="e">
        <f>MATCH($D1450,'D4 - Provider Council Unsched'!$C$11:$C$234,0)</f>
        <v>#N/A</v>
      </c>
      <c r="AR1450" s="6" t="b">
        <f t="shared" si="151"/>
        <v>1</v>
      </c>
      <c r="AS1450" s="6" t="str">
        <f t="shared" si="155"/>
        <v>OK</v>
      </c>
      <c r="AU1450" s="202">
        <v>40441</v>
      </c>
      <c r="AV1450" s="262"/>
      <c r="AW1450" s="274"/>
    </row>
    <row r="1451" spans="1:49" s="13" customFormat="1" ht="33.75" x14ac:dyDescent="0.2">
      <c r="A1451" s="14">
        <v>1427</v>
      </c>
      <c r="B1451" s="8">
        <v>400038885</v>
      </c>
      <c r="C1451" s="8" t="s">
        <v>1447</v>
      </c>
      <c r="D1451" s="4" t="str">
        <f t="shared" si="154"/>
        <v>400038885A</v>
      </c>
      <c r="E1451" s="309" t="str">
        <f>VLOOKUP($B1451,'D7 - NDB Impacted SPRF''s'!$E$6:$O$9929,2,FALSE)</f>
        <v>HIPAA 5010-UHC-UHC Duhaime Trading Partner Testing</v>
      </c>
      <c r="F1451" s="8"/>
      <c r="G1451" s="8" t="s">
        <v>4758</v>
      </c>
      <c r="H1451" s="8" t="s">
        <v>4246</v>
      </c>
      <c r="I1451" s="20">
        <v>4.7</v>
      </c>
      <c r="J1451" s="8" t="s">
        <v>4862</v>
      </c>
      <c r="K1451" s="182">
        <v>40614</v>
      </c>
      <c r="L1451" s="8" t="s">
        <v>4156</v>
      </c>
      <c r="M1451" s="8" t="s">
        <v>5626</v>
      </c>
      <c r="N1451" s="38" t="s">
        <v>4298</v>
      </c>
      <c r="O1451" s="8"/>
      <c r="P1451" s="4" t="str">
        <f>VLOOKUP($B1451,'D7 - NDB Impacted SPRF''s'!$E$16:$O$9929,9,FALSE)</f>
        <v>Y</v>
      </c>
      <c r="Q1451" s="4" t="str">
        <f>VLOOKUP($B1451,'D7 - NDB Impacted SPRF''s'!$E$16:$O$9929,10,FALSE)</f>
        <v>N</v>
      </c>
      <c r="R1451" s="4" t="str">
        <f>VLOOKUP($B1451,'D7 - NDB Impacted SPRF''s'!$E$16:$O$9929,11,FALSE)</f>
        <v>N</v>
      </c>
      <c r="S1451" s="8"/>
      <c r="T1451" s="310"/>
      <c r="U1451" s="310"/>
      <c r="V1451" s="4"/>
      <c r="W1451" s="4"/>
      <c r="X1451" s="4"/>
      <c r="Y1451" s="4"/>
      <c r="Z1451" s="4"/>
      <c r="AA1451" s="4"/>
      <c r="AB1451" s="380" t="str">
        <f>VLOOKUP($B1451,'D7 - NDB Impacted SPRF''s'!$E$6:$O$9929,4,FALSE)</f>
        <v>Completed</v>
      </c>
      <c r="AC1451" s="380" t="str">
        <f>VLOOKUP($B1451,'D7 - NDB Impacted SPRF''s'!$E$6:$O$9929,3,FALSE)</f>
        <v>UnitedHealthcare Employer &amp; Individual</v>
      </c>
      <c r="AD1451" s="380" t="str">
        <f>VLOOKUP($B1451,'D7 - NDB Impacted SPRF''s'!$E$6:$O$9929,5,FALSE)</f>
        <v>HIPAA 5010</v>
      </c>
      <c r="AE1451" s="380" t="str">
        <f>VLOOKUP($B1451,'D7 - NDB Impacted SPRF''s'!$E$6:$O$9929,7,FALSE)</f>
        <v>Ross Lippincott</v>
      </c>
      <c r="AF1451" s="380" t="str">
        <f>VLOOKUP($B1451,'D7 - NDB Impacted SPRF''s'!$E$6:$O$9929,6,FALSE)</f>
        <v>Delvis Schilling</v>
      </c>
      <c r="AG1451" s="282"/>
      <c r="AH1451" s="311" t="e">
        <f>INDEX('D5 - Gatekeeper - Projects'!$A$4:$AF$1010,$AM1451, 17)</f>
        <v>#N/A</v>
      </c>
      <c r="AI1451" s="8"/>
      <c r="AJ1451" s="57"/>
      <c r="AK1451" s="105"/>
      <c r="AM1451" s="6" t="e">
        <f>MATCH(D1451,'D5 - Gatekeeper - Projects'!$C$4:$C$1010,0)</f>
        <v>#N/A</v>
      </c>
      <c r="AN1451" s="6" t="b">
        <f t="shared" si="150"/>
        <v>1</v>
      </c>
      <c r="AO1451" s="6" t="str">
        <f t="shared" si="152"/>
        <v>OK</v>
      </c>
      <c r="AQ1451" s="6" t="e">
        <f>MATCH($D1451,'D4 - Provider Council Unsched'!$C$11:$C$234,0)</f>
        <v>#N/A</v>
      </c>
      <c r="AR1451" s="6" t="b">
        <f t="shared" si="151"/>
        <v>1</v>
      </c>
      <c r="AS1451" s="6" t="str">
        <f t="shared" si="155"/>
        <v>OK</v>
      </c>
      <c r="AU1451" s="202">
        <v>40505</v>
      </c>
      <c r="AV1451" s="262"/>
      <c r="AW1451" s="274"/>
    </row>
    <row r="1452" spans="1:49" s="13" customFormat="1" ht="33.75" x14ac:dyDescent="0.2">
      <c r="A1452" s="14">
        <v>1428</v>
      </c>
      <c r="B1452" s="8">
        <v>400039661</v>
      </c>
      <c r="C1452" s="8" t="s">
        <v>1447</v>
      </c>
      <c r="D1452" s="4" t="str">
        <f t="shared" si="154"/>
        <v>400039661A</v>
      </c>
      <c r="E1452" s="309" t="str">
        <f>VLOOKUP($B1452,'D7 - NDB Impacted SPRF''s'!$E$6:$O$9929,2,FALSE)</f>
        <v>End-to-End Medicare MedNec PreService</v>
      </c>
      <c r="F1452" s="8"/>
      <c r="G1452" s="8" t="s">
        <v>4758</v>
      </c>
      <c r="H1452" s="8" t="s">
        <v>4246</v>
      </c>
      <c r="I1452" s="20">
        <v>1.95</v>
      </c>
      <c r="J1452" s="8" t="s">
        <v>4862</v>
      </c>
      <c r="K1452" s="182">
        <v>40614</v>
      </c>
      <c r="L1452" s="8" t="s">
        <v>4156</v>
      </c>
      <c r="M1452" s="8" t="s">
        <v>6688</v>
      </c>
      <c r="N1452" s="38"/>
      <c r="O1452" s="8"/>
      <c r="P1452" s="4" t="str">
        <f>VLOOKUP($B1452,'D7 - NDB Impacted SPRF''s'!$E$16:$O$9929,9,FALSE)</f>
        <v>N</v>
      </c>
      <c r="Q1452" s="4" t="str">
        <f>VLOOKUP($B1452,'D7 - NDB Impacted SPRF''s'!$E$16:$O$9929,10,FALSE)</f>
        <v>N</v>
      </c>
      <c r="R1452" s="4" t="str">
        <f>VLOOKUP($B1452,'D7 - NDB Impacted SPRF''s'!$E$16:$O$9929,11,FALSE)</f>
        <v>N</v>
      </c>
      <c r="S1452" s="8"/>
      <c r="T1452" s="310"/>
      <c r="U1452" s="310"/>
      <c r="V1452" s="4"/>
      <c r="W1452" s="4"/>
      <c r="X1452" s="4"/>
      <c r="Y1452" s="4"/>
      <c r="Z1452" s="4"/>
      <c r="AA1452" s="4"/>
      <c r="AB1452" s="380" t="str">
        <f>VLOOKUP($B1452,'D7 - NDB Impacted SPRF''s'!$E$6:$O$9929,4,FALSE)</f>
        <v>Completed</v>
      </c>
      <c r="AC1452" s="380" t="str">
        <f>VLOOKUP($B1452,'D7 - NDB Impacted SPRF''s'!$E$6:$O$9929,3,FALSE)</f>
        <v>UnitedHealthcare Medicare &amp; Retirement</v>
      </c>
      <c r="AD1452" s="380" t="str">
        <f>VLOOKUP($B1452,'D7 - NDB Impacted SPRF''s'!$E$6:$O$9929,5,FALSE)</f>
        <v>Health Services</v>
      </c>
      <c r="AE1452" s="380" t="str">
        <f>VLOOKUP($B1452,'D7 - NDB Impacted SPRF''s'!$E$6:$O$9929,7,FALSE)</f>
        <v>Mark Leenay</v>
      </c>
      <c r="AF1452" s="380" t="str">
        <f>VLOOKUP($B1452,'D7 - NDB Impacted SPRF''s'!$E$6:$O$9929,6,FALSE)</f>
        <v>Brendan Dolan</v>
      </c>
      <c r="AG1452" s="282"/>
      <c r="AH1452" s="311" t="e">
        <f>INDEX('D5 - Gatekeeper - Projects'!$A$4:$AF$1010,$AM1452, 17)</f>
        <v>#N/A</v>
      </c>
      <c r="AI1452" s="8"/>
      <c r="AJ1452" s="57"/>
      <c r="AK1452" s="105"/>
      <c r="AM1452" s="6" t="e">
        <f>MATCH(D1452,'D5 - Gatekeeper - Projects'!$C$4:$C$1010,0)</f>
        <v>#N/A</v>
      </c>
      <c r="AN1452" s="6" t="b">
        <f t="shared" si="150"/>
        <v>1</v>
      </c>
      <c r="AO1452" s="6" t="str">
        <f t="shared" si="152"/>
        <v>OK</v>
      </c>
      <c r="AQ1452" s="6" t="e">
        <f>MATCH($D1452,'D4 - Provider Council Unsched'!$C$11:$C$234,0)</f>
        <v>#N/A</v>
      </c>
      <c r="AR1452" s="6" t="b">
        <f t="shared" si="151"/>
        <v>1</v>
      </c>
      <c r="AS1452" s="6" t="str">
        <f t="shared" si="155"/>
        <v>OK</v>
      </c>
      <c r="AU1452" s="202">
        <v>40494</v>
      </c>
      <c r="AV1452" s="262"/>
      <c r="AW1452" s="274"/>
    </row>
    <row r="1453" spans="1:49" s="13" customFormat="1" x14ac:dyDescent="0.2">
      <c r="A1453" s="14">
        <v>1429</v>
      </c>
      <c r="B1453" s="8">
        <v>400040350</v>
      </c>
      <c r="C1453" s="8" t="s">
        <v>1447</v>
      </c>
      <c r="D1453" s="4" t="str">
        <f t="shared" si="154"/>
        <v>400040350A</v>
      </c>
      <c r="E1453" s="309" t="str">
        <f>VLOOKUP($B1453,'D7 - NDB Impacted SPRF''s'!$E$6:$O$9929,2,FALSE)</f>
        <v>UHPD values missing on Directory (Prim Dir Ind=N)</v>
      </c>
      <c r="F1453" s="8"/>
      <c r="G1453" s="8" t="s">
        <v>4758</v>
      </c>
      <c r="H1453" s="8" t="s">
        <v>4246</v>
      </c>
      <c r="I1453" s="20">
        <v>6.62</v>
      </c>
      <c r="J1453" s="8" t="s">
        <v>4862</v>
      </c>
      <c r="K1453" s="182">
        <v>40614</v>
      </c>
      <c r="L1453" s="8" t="s">
        <v>4156</v>
      </c>
      <c r="M1453" s="8" t="s">
        <v>2814</v>
      </c>
      <c r="N1453" s="38"/>
      <c r="O1453" s="8"/>
      <c r="P1453" s="4" t="str">
        <f>VLOOKUP($B1453,'D7 - NDB Impacted SPRF''s'!$E$16:$O$9929,9,FALSE)</f>
        <v>N</v>
      </c>
      <c r="Q1453" s="4" t="str">
        <f>VLOOKUP($B1453,'D7 - NDB Impacted SPRF''s'!$E$16:$O$9929,10,FALSE)</f>
        <v>N</v>
      </c>
      <c r="R1453" s="4" t="str">
        <f>VLOOKUP($B1453,'D7 - NDB Impacted SPRF''s'!$E$16:$O$9929,11,FALSE)</f>
        <v>N</v>
      </c>
      <c r="S1453" s="8"/>
      <c r="T1453" s="310"/>
      <c r="U1453" s="310"/>
      <c r="V1453" s="4"/>
      <c r="W1453" s="4"/>
      <c r="X1453" s="4"/>
      <c r="Y1453" s="4"/>
      <c r="Z1453" s="4"/>
      <c r="AA1453" s="4"/>
      <c r="AB1453" s="380" t="str">
        <f>VLOOKUP($B1453,'D7 - NDB Impacted SPRF''s'!$E$6:$O$9929,4,FALSE)</f>
        <v>Completed</v>
      </c>
      <c r="AC1453" s="380" t="str">
        <f>VLOOKUP($B1453,'D7 - NDB Impacted SPRF''s'!$E$6:$O$9929,3,FALSE)</f>
        <v>OptumInsight</v>
      </c>
      <c r="AD1453" s="380" t="str">
        <f>VLOOKUP($B1453,'D7 - NDB Impacted SPRF''s'!$E$6:$O$9929,5,FALSE)</f>
        <v>Ingenix</v>
      </c>
      <c r="AE1453" s="380" t="str">
        <f>VLOOKUP($B1453,'D7 - NDB Impacted SPRF''s'!$E$6:$O$9929,7,FALSE)</f>
        <v>Christopher J Brown</v>
      </c>
      <c r="AF1453" s="380" t="str">
        <f>VLOOKUP($B1453,'D7 - NDB Impacted SPRF''s'!$E$6:$O$9929,6,FALSE)</f>
        <v>Lee Solheim</v>
      </c>
      <c r="AG1453" s="282"/>
      <c r="AH1453" s="311" t="e">
        <f>INDEX('D5 - Gatekeeper - Projects'!$A$4:$AF$1010,$AM1453, 17)</f>
        <v>#N/A</v>
      </c>
      <c r="AI1453" s="8"/>
      <c r="AJ1453" s="57"/>
      <c r="AK1453" s="105"/>
      <c r="AM1453" s="6" t="e">
        <f>MATCH(D1453,'D5 - Gatekeeper - Projects'!$C$4:$C$1010,0)</f>
        <v>#N/A</v>
      </c>
      <c r="AN1453" s="6" t="b">
        <f t="shared" si="150"/>
        <v>1</v>
      </c>
      <c r="AO1453" s="6" t="str">
        <f t="shared" si="152"/>
        <v>OK</v>
      </c>
      <c r="AQ1453" s="6" t="e">
        <f>MATCH($D1453,'D4 - Provider Council Unsched'!$C$11:$C$234,0)</f>
        <v>#N/A</v>
      </c>
      <c r="AR1453" s="6" t="b">
        <f t="shared" si="151"/>
        <v>1</v>
      </c>
      <c r="AS1453" s="6" t="str">
        <f t="shared" si="155"/>
        <v>OK</v>
      </c>
      <c r="AU1453" s="202">
        <v>40532</v>
      </c>
      <c r="AV1453" s="262"/>
      <c r="AW1453" s="274"/>
    </row>
    <row r="1454" spans="1:49" s="13" customFormat="1" ht="45" x14ac:dyDescent="0.2">
      <c r="A1454" s="14">
        <v>1430</v>
      </c>
      <c r="B1454" s="8">
        <v>400041323</v>
      </c>
      <c r="C1454" s="8" t="s">
        <v>1447</v>
      </c>
      <c r="D1454" s="4" t="str">
        <f t="shared" si="154"/>
        <v>400041323A</v>
      </c>
      <c r="E1454" s="309" t="str">
        <f>VLOOKUP($B1454,'D7 - NDB Impacted SPRF''s'!$E$6:$O$9929,2,FALSE)</f>
        <v xml:space="preserve">PDR - NDB Fee Schedule Soft dollar  </v>
      </c>
      <c r="F1454" s="8"/>
      <c r="G1454" s="8" t="s">
        <v>4758</v>
      </c>
      <c r="H1454" s="8" t="s">
        <v>4246</v>
      </c>
      <c r="I1454" s="20">
        <v>10.75</v>
      </c>
      <c r="J1454" s="8" t="s">
        <v>4862</v>
      </c>
      <c r="K1454" s="182">
        <v>40614</v>
      </c>
      <c r="L1454" s="8" t="s">
        <v>4156</v>
      </c>
      <c r="M1454" s="8" t="s">
        <v>2814</v>
      </c>
      <c r="N1454" s="38" t="s">
        <v>5274</v>
      </c>
      <c r="O1454" s="8"/>
      <c r="P1454" s="4" t="str">
        <f>VLOOKUP($B1454,'D7 - NDB Impacted SPRF''s'!$E$16:$O$9929,9,FALSE)</f>
        <v>Y</v>
      </c>
      <c r="Q1454" s="4" t="str">
        <f>VLOOKUP($B1454,'D7 - NDB Impacted SPRF''s'!$E$16:$O$9929,10,FALSE)</f>
        <v>N</v>
      </c>
      <c r="R1454" s="4" t="str">
        <f>VLOOKUP($B1454,'D7 - NDB Impacted SPRF''s'!$E$16:$O$9929,11,FALSE)</f>
        <v>Y</v>
      </c>
      <c r="S1454" s="8"/>
      <c r="T1454" s="310"/>
      <c r="U1454" s="310"/>
      <c r="V1454" s="4"/>
      <c r="W1454" s="4"/>
      <c r="X1454" s="4"/>
      <c r="Y1454" s="4"/>
      <c r="Z1454" s="4"/>
      <c r="AA1454" s="4"/>
      <c r="AB1454" s="380" t="str">
        <f>VLOOKUP($B1454,'D7 - NDB Impacted SPRF''s'!$E$6:$O$9929,4,FALSE)</f>
        <v>Completed</v>
      </c>
      <c r="AC1454" s="380" t="str">
        <f>VLOOKUP($B1454,'D7 - NDB Impacted SPRF''s'!$E$6:$O$9929,3,FALSE)</f>
        <v>UHG IT - Enterprise Technology Services</v>
      </c>
      <c r="AD1454" s="380" t="str">
        <f>VLOOKUP($B1454,'D7 - NDB Impacted SPRF''s'!$E$6:$O$9929,5,FALSE)</f>
        <v>Strategic Initiatives</v>
      </c>
      <c r="AE1454" s="380" t="str">
        <f>VLOOKUP($B1454,'D7 - NDB Impacted SPRF''s'!$E$6:$O$9929,7,FALSE)</f>
        <v>Wichmann</v>
      </c>
      <c r="AF1454" s="380" t="str">
        <f>VLOOKUP($B1454,'D7 - NDB Impacted SPRF''s'!$E$6:$O$9929,6,FALSE)</f>
        <v>LEISA SODHI</v>
      </c>
      <c r="AG1454" s="282"/>
      <c r="AH1454" s="311" t="e">
        <f>INDEX('D5 - Gatekeeper - Projects'!$A$4:$AF$1010,$AM1454, 17)</f>
        <v>#N/A</v>
      </c>
      <c r="AI1454" s="8"/>
      <c r="AJ1454" s="57"/>
      <c r="AK1454" s="105"/>
      <c r="AM1454" s="6" t="e">
        <f>MATCH(D1454,'D5 - Gatekeeper - Projects'!$C$4:$C$1010,0)</f>
        <v>#N/A</v>
      </c>
      <c r="AN1454" s="6" t="b">
        <f t="shared" si="150"/>
        <v>1</v>
      </c>
      <c r="AO1454" s="6" t="str">
        <f t="shared" si="152"/>
        <v>OK</v>
      </c>
      <c r="AQ1454" s="6" t="e">
        <f>MATCH($D1454,'D4 - Provider Council Unsched'!$C$11:$C$234,0)</f>
        <v>#N/A</v>
      </c>
      <c r="AR1454" s="6" t="b">
        <f t="shared" si="151"/>
        <v>1</v>
      </c>
      <c r="AS1454" s="6" t="str">
        <f t="shared" si="155"/>
        <v>OK</v>
      </c>
      <c r="AU1454" s="202">
        <v>40549</v>
      </c>
      <c r="AV1454" s="262"/>
      <c r="AW1454" s="274"/>
    </row>
    <row r="1455" spans="1:49" s="13" customFormat="1" ht="33.75" x14ac:dyDescent="0.2">
      <c r="A1455" s="14">
        <v>1431</v>
      </c>
      <c r="B1455" s="8">
        <v>400042615</v>
      </c>
      <c r="C1455" s="8" t="s">
        <v>1447</v>
      </c>
      <c r="D1455" s="4" t="str">
        <f t="shared" si="154"/>
        <v>400042615A</v>
      </c>
      <c r="E1455" s="309" t="str">
        <f>VLOOKUP($B1455,'D7 - NDB Impacted SPRF''s'!$E$6:$O$9929,2,FALSE)</f>
        <v>Complete NDB to Facets for Pittsburgh Facets/ASP</v>
      </c>
      <c r="F1455" s="8"/>
      <c r="G1455" s="8" t="s">
        <v>4758</v>
      </c>
      <c r="H1455" s="8" t="s">
        <v>4246</v>
      </c>
      <c r="I1455" s="20">
        <v>2</v>
      </c>
      <c r="J1455" s="8" t="s">
        <v>4862</v>
      </c>
      <c r="K1455" s="182">
        <v>40614</v>
      </c>
      <c r="L1455" s="8" t="s">
        <v>4156</v>
      </c>
      <c r="M1455" s="8" t="s">
        <v>6688</v>
      </c>
      <c r="N1455" s="38" t="s">
        <v>4277</v>
      </c>
      <c r="O1455" s="8"/>
      <c r="P1455" s="4" t="str">
        <f>VLOOKUP($B1455,'D7 - NDB Impacted SPRF''s'!$E$16:$O$9929,9,FALSE)</f>
        <v>N</v>
      </c>
      <c r="Q1455" s="4" t="str">
        <f>VLOOKUP($B1455,'D7 - NDB Impacted SPRF''s'!$E$16:$O$9929,10,FALSE)</f>
        <v>N</v>
      </c>
      <c r="R1455" s="4" t="str">
        <f>VLOOKUP($B1455,'D7 - NDB Impacted SPRF''s'!$E$16:$O$9929,11,FALSE)</f>
        <v>N</v>
      </c>
      <c r="S1455" s="8"/>
      <c r="T1455" s="310"/>
      <c r="U1455" s="310"/>
      <c r="V1455" s="4"/>
      <c r="W1455" s="4"/>
      <c r="X1455" s="4"/>
      <c r="Y1455" s="4"/>
      <c r="Z1455" s="4"/>
      <c r="AA1455" s="4"/>
      <c r="AB1455" s="380" t="str">
        <f>VLOOKUP($B1455,'D7 - NDB Impacted SPRF''s'!$E$6:$O$9929,4,FALSE)</f>
        <v>Completed</v>
      </c>
      <c r="AC1455" s="380" t="str">
        <f>VLOOKUP($B1455,'D7 - NDB Impacted SPRF''s'!$E$6:$O$9929,3,FALSE)</f>
        <v>UnitedHealthcare Community &amp; State</v>
      </c>
      <c r="AD1455" s="380" t="str">
        <f>VLOOKUP($B1455,'D7 - NDB Impacted SPRF''s'!$E$6:$O$9929,5,FALSE)</f>
        <v>AmeriChoice</v>
      </c>
      <c r="AE1455" s="380" t="str">
        <f>VLOOKUP($B1455,'D7 - NDB Impacted SPRF''s'!$E$6:$O$9929,7,FALSE)</f>
        <v>Paul Balthazor</v>
      </c>
      <c r="AF1455" s="380" t="str">
        <f>VLOOKUP($B1455,'D7 - NDB Impacted SPRF''s'!$E$6:$O$9929,6,FALSE)</f>
        <v>Carol Brunetti</v>
      </c>
      <c r="AG1455" s="282"/>
      <c r="AH1455" s="311" t="e">
        <f>INDEX('D5 - Gatekeeper - Projects'!$A$4:$AF$1010,$AM1455, 17)</f>
        <v>#N/A</v>
      </c>
      <c r="AI1455" s="8"/>
      <c r="AJ1455" s="57"/>
      <c r="AK1455" s="105"/>
      <c r="AM1455" s="6" t="e">
        <f>MATCH(D1455,'D5 - Gatekeeper - Projects'!$C$4:$C$1010,0)</f>
        <v>#N/A</v>
      </c>
      <c r="AN1455" s="6" t="b">
        <f t="shared" si="150"/>
        <v>1</v>
      </c>
      <c r="AO1455" s="6" t="str">
        <f t="shared" si="152"/>
        <v>OK</v>
      </c>
      <c r="AQ1455" s="6" t="e">
        <f>MATCH($D1455,'D4 - Provider Council Unsched'!$C$11:$C$234,0)</f>
        <v>#N/A</v>
      </c>
      <c r="AR1455" s="6" t="b">
        <f t="shared" si="151"/>
        <v>1</v>
      </c>
      <c r="AS1455" s="6" t="str">
        <f t="shared" si="155"/>
        <v>OK</v>
      </c>
      <c r="AU1455" s="202">
        <v>40592</v>
      </c>
      <c r="AV1455" s="262"/>
      <c r="AW1455" s="274"/>
    </row>
    <row r="1456" spans="1:49" s="13" customFormat="1" ht="12.75" x14ac:dyDescent="0.2">
      <c r="A1456" s="14">
        <v>1432</v>
      </c>
      <c r="B1456" s="14" t="s">
        <v>5140</v>
      </c>
      <c r="C1456" s="8" t="s">
        <v>5197</v>
      </c>
      <c r="D1456" s="4" t="s">
        <v>5141</v>
      </c>
      <c r="E1456" s="341" t="s">
        <v>5119</v>
      </c>
      <c r="F1456" s="8" t="s">
        <v>2114</v>
      </c>
      <c r="G1456" s="8" t="s">
        <v>4758</v>
      </c>
      <c r="H1456" s="8" t="s">
        <v>4246</v>
      </c>
      <c r="I1456" s="20">
        <v>3.21</v>
      </c>
      <c r="J1456" s="8" t="s">
        <v>4862</v>
      </c>
      <c r="K1456" s="182">
        <v>40614</v>
      </c>
      <c r="L1456" s="8" t="s">
        <v>5743</v>
      </c>
      <c r="M1456" s="8" t="s">
        <v>2814</v>
      </c>
      <c r="N1456" s="38"/>
      <c r="O1456" s="8" t="s">
        <v>3572</v>
      </c>
      <c r="P1456" s="4" t="e">
        <f>VLOOKUP($B1456,'D7 - NDB Impacted SPRF''s'!$E$16:$O$9929,9,FALSE)</f>
        <v>#N/A</v>
      </c>
      <c r="Q1456" s="4" t="e">
        <f>VLOOKUP($B1456,'D7 - NDB Impacted SPRF''s'!$E$16:$O$9929,10,FALSE)</f>
        <v>#N/A</v>
      </c>
      <c r="R1456" s="4" t="e">
        <f>VLOOKUP($B1456,'D7 - NDB Impacted SPRF''s'!$E$16:$O$9929,11,FALSE)</f>
        <v>#N/A</v>
      </c>
      <c r="S1456" s="8"/>
      <c r="T1456" s="310"/>
      <c r="U1456" s="310"/>
      <c r="V1456" s="4"/>
      <c r="W1456" s="4"/>
      <c r="X1456" s="4"/>
      <c r="Y1456" s="4"/>
      <c r="Z1456" s="4"/>
      <c r="AA1456" s="4"/>
      <c r="AB1456" s="383" t="e">
        <f>VLOOKUP($B1456,'D7 - NDB Impacted SPRF''s'!$E$16:$O$9929,4,FALSE)</f>
        <v>#N/A</v>
      </c>
      <c r="AC1456" s="380" t="e">
        <f>VLOOKUP($B1456,'D7 - NDB Impacted SPRF''s'!$E$16:$O$9929,3,FALSE)</f>
        <v>#N/A</v>
      </c>
      <c r="AD1456" s="380" t="e">
        <f>VLOOKUP($B1456,'D7 - NDB Impacted SPRF''s'!$E$16:$O$9929,5,FALSE)</f>
        <v>#N/A</v>
      </c>
      <c r="AE1456" s="380" t="e">
        <f>VLOOKUP($B1456,'D7 - NDB Impacted SPRF''s'!$E$16:$O$9929,7,FALSE)</f>
        <v>#N/A</v>
      </c>
      <c r="AF1456" s="380" t="e">
        <f>VLOOKUP($B1456,'D7 - NDB Impacted SPRF''s'!$E$16:$O$9929,6,FALSE)</f>
        <v>#N/A</v>
      </c>
      <c r="AG1456" s="282"/>
      <c r="AH1456" s="311" t="e">
        <f>INDEX('D5 - Gatekeeper - Projects'!$A$4:$AF$1010,$AM1456, 17)</f>
        <v>#N/A</v>
      </c>
      <c r="AI1456" s="8"/>
      <c r="AJ1456" s="57"/>
      <c r="AK1456" s="105"/>
      <c r="AM1456" s="6" t="e">
        <f>MATCH(D1456,'D5 - Gatekeeper - Projects'!$C$4:$C$1010,0)</f>
        <v>#N/A</v>
      </c>
      <c r="AN1456" s="6" t="b">
        <f t="shared" si="150"/>
        <v>1</v>
      </c>
      <c r="AO1456" s="6" t="str">
        <f t="shared" si="152"/>
        <v>OK</v>
      </c>
      <c r="AQ1456" s="6" t="e">
        <f>MATCH($D1456,'D4 - Provider Council Unsched'!$C$11:$C$234,0)</f>
        <v>#N/A</v>
      </c>
      <c r="AR1456" s="6" t="b">
        <f t="shared" si="151"/>
        <v>1</v>
      </c>
      <c r="AS1456" s="6" t="str">
        <f>IF(AND(H1456="2 - Not Scheduled",AR1456=TRUE),"Add","OK")</f>
        <v>OK</v>
      </c>
      <c r="AU1456" s="202">
        <v>40357</v>
      </c>
      <c r="AV1456" s="262"/>
      <c r="AW1456" s="274"/>
    </row>
    <row r="1457" spans="1:49" s="13" customFormat="1" ht="12.75" x14ac:dyDescent="0.2">
      <c r="A1457" s="14">
        <v>1433</v>
      </c>
      <c r="B1457" s="14" t="s">
        <v>3989</v>
      </c>
      <c r="C1457" s="8" t="s">
        <v>5197</v>
      </c>
      <c r="D1457" s="4" t="s">
        <v>3990</v>
      </c>
      <c r="E1457" s="341" t="s">
        <v>3991</v>
      </c>
      <c r="F1457" s="8" t="s">
        <v>2114</v>
      </c>
      <c r="G1457" s="8" t="s">
        <v>4758</v>
      </c>
      <c r="H1457" s="8" t="s">
        <v>4246</v>
      </c>
      <c r="I1457" s="20">
        <v>4</v>
      </c>
      <c r="J1457" s="8" t="s">
        <v>4862</v>
      </c>
      <c r="K1457" s="182">
        <v>40614</v>
      </c>
      <c r="L1457" s="8" t="s">
        <v>5743</v>
      </c>
      <c r="M1457" s="8" t="s">
        <v>6688</v>
      </c>
      <c r="N1457" s="38"/>
      <c r="O1457" s="8" t="s">
        <v>3572</v>
      </c>
      <c r="P1457" s="4" t="e">
        <f>VLOOKUP($B1457,'D7 - NDB Impacted SPRF''s'!$E$16:$O$9929,9,FALSE)</f>
        <v>#N/A</v>
      </c>
      <c r="Q1457" s="4" t="e">
        <f>VLOOKUP($B1457,'D7 - NDB Impacted SPRF''s'!$E$16:$O$9929,10,FALSE)</f>
        <v>#N/A</v>
      </c>
      <c r="R1457" s="4" t="e">
        <f>VLOOKUP($B1457,'D7 - NDB Impacted SPRF''s'!$E$16:$O$9929,11,FALSE)</f>
        <v>#N/A</v>
      </c>
      <c r="S1457" s="8"/>
      <c r="T1457" s="310"/>
      <c r="U1457" s="310"/>
      <c r="V1457" s="4"/>
      <c r="W1457" s="4"/>
      <c r="X1457" s="4"/>
      <c r="Y1457" s="4"/>
      <c r="Z1457" s="4"/>
      <c r="AA1457" s="4"/>
      <c r="AB1457" s="383" t="e">
        <f>VLOOKUP($B1457,'D7 - NDB Impacted SPRF''s'!$E$16:$O$9929,4,FALSE)</f>
        <v>#N/A</v>
      </c>
      <c r="AC1457" s="380" t="e">
        <f>VLOOKUP($B1457,'D7 - NDB Impacted SPRF''s'!$E$16:$O$9929,3,FALSE)</f>
        <v>#N/A</v>
      </c>
      <c r="AD1457" s="380" t="e">
        <f>VLOOKUP($B1457,'D7 - NDB Impacted SPRF''s'!$E$16:$O$9929,5,FALSE)</f>
        <v>#N/A</v>
      </c>
      <c r="AE1457" s="380" t="e">
        <f>VLOOKUP($B1457,'D7 - NDB Impacted SPRF''s'!$E$16:$O$9929,7,FALSE)</f>
        <v>#N/A</v>
      </c>
      <c r="AF1457" s="380" t="e">
        <f>VLOOKUP($B1457,'D7 - NDB Impacted SPRF''s'!$E$16:$O$9929,6,FALSE)</f>
        <v>#N/A</v>
      </c>
      <c r="AG1457" s="282"/>
      <c r="AH1457" s="311" t="e">
        <f>INDEX('D5 - Gatekeeper - Projects'!$A$4:$AF$1010,$AM1457, 17)</f>
        <v>#N/A</v>
      </c>
      <c r="AI1457" s="8"/>
      <c r="AJ1457" s="57"/>
      <c r="AK1457" s="105"/>
      <c r="AM1457" s="6" t="e">
        <f>MATCH(D1457,'D5 - Gatekeeper - Projects'!$C$4:$C$1010,0)</f>
        <v>#N/A</v>
      </c>
      <c r="AN1457" s="6" t="b">
        <f t="shared" si="150"/>
        <v>1</v>
      </c>
      <c r="AO1457" s="6" t="str">
        <f t="shared" si="152"/>
        <v>OK</v>
      </c>
      <c r="AQ1457" s="6" t="e">
        <f>MATCH($D1457,'D4 - Provider Council Unsched'!$C$11:$C$234,0)</f>
        <v>#N/A</v>
      </c>
      <c r="AR1457" s="6" t="b">
        <f t="shared" si="151"/>
        <v>1</v>
      </c>
      <c r="AS1457" s="6" t="str">
        <f>IF(AND(H1457="2 - Not Scheduled",AR1457=TRUE),"Add","OK")</f>
        <v>OK</v>
      </c>
      <c r="AU1457" s="202">
        <v>40525</v>
      </c>
      <c r="AV1457" s="262"/>
      <c r="AW1457" s="274"/>
    </row>
    <row r="1458" spans="1:49" s="13" customFormat="1" ht="33.75" x14ac:dyDescent="0.2">
      <c r="A1458" s="14">
        <v>1434</v>
      </c>
      <c r="B1458" s="14">
        <v>400033418</v>
      </c>
      <c r="C1458" s="8" t="s">
        <v>2449</v>
      </c>
      <c r="D1458" s="4" t="str">
        <f t="shared" ref="D1458:D1489" si="156">CONCATENATE(B1458,C1458)</f>
        <v>400033418R3</v>
      </c>
      <c r="E1458" s="309" t="str">
        <f>VLOOKUP($B1458,'D7 - NDB Impacted SPRF''s'!$E$6:$O$9929,2,FALSE)</f>
        <v>COSMOS Provider Number Field Expansion</v>
      </c>
      <c r="F1458" s="8" t="s">
        <v>2114</v>
      </c>
      <c r="G1458" s="8" t="s">
        <v>4758</v>
      </c>
      <c r="H1458" s="8" t="s">
        <v>4246</v>
      </c>
      <c r="I1458" s="20">
        <v>1.6</v>
      </c>
      <c r="J1458" s="8" t="s">
        <v>4862</v>
      </c>
      <c r="K1458" s="182">
        <v>40672</v>
      </c>
      <c r="L1458" s="8" t="s">
        <v>4156</v>
      </c>
      <c r="M1458" s="8" t="s">
        <v>4450</v>
      </c>
      <c r="N1458" s="38" t="s">
        <v>1150</v>
      </c>
      <c r="O1458" s="8"/>
      <c r="P1458" s="4" t="str">
        <f>VLOOKUP($B1458,'D7 - NDB Impacted SPRF''s'!$E$16:$O$9929,9,FALSE)</f>
        <v>Y</v>
      </c>
      <c r="Q1458" s="4" t="str">
        <f>VLOOKUP($B1458,'D7 - NDB Impacted SPRF''s'!$E$16:$O$9929,10,FALSE)</f>
        <v>N</v>
      </c>
      <c r="R1458" s="4" t="str">
        <f>VLOOKUP($B1458,'D7 - NDB Impacted SPRF''s'!$E$16:$O$9929,11,FALSE)</f>
        <v>Y</v>
      </c>
      <c r="S1458" s="8"/>
      <c r="T1458" s="310"/>
      <c r="U1458" s="310"/>
      <c r="V1458" s="4"/>
      <c r="W1458" s="4"/>
      <c r="X1458" s="4"/>
      <c r="Y1458" s="4"/>
      <c r="Z1458" s="4"/>
      <c r="AA1458" s="4"/>
      <c r="AB1458" s="380" t="str">
        <f>VLOOKUP($B1458,'D7 - NDB Impacted SPRF''s'!$E$6:$O$9929,4,FALSE)</f>
        <v>Completed</v>
      </c>
      <c r="AC1458" s="380" t="str">
        <f>VLOOKUP($B1458,'D7 - NDB Impacted SPRF''s'!$E$6:$O$9929,3,FALSE)</f>
        <v>UnitedHealthcare Medicare &amp; Retirement</v>
      </c>
      <c r="AD1458" s="380" t="str">
        <f>VLOOKUP($B1458,'D7 - NDB Impacted SPRF''s'!$E$6:$O$9929,5,FALSE)</f>
        <v>Product Development</v>
      </c>
      <c r="AE1458" s="380" t="str">
        <f>VLOOKUP($B1458,'D7 - NDB Impacted SPRF''s'!$E$6:$O$9929,7,FALSE)</f>
        <v>Pam Stegora Axberg</v>
      </c>
      <c r="AF1458" s="380" t="str">
        <f>VLOOKUP($B1458,'D7 - NDB Impacted SPRF''s'!$E$6:$O$9929,6,FALSE)</f>
        <v>Robert OBrien</v>
      </c>
      <c r="AG1458" s="282"/>
      <c r="AH1458" s="311" t="e">
        <f>INDEX('D5 - Gatekeeper - Projects'!$A$4:$AF$1010,$AM1458, 17)</f>
        <v>#N/A</v>
      </c>
      <c r="AI1458" s="8"/>
      <c r="AJ1458" s="57"/>
      <c r="AK1458" s="105"/>
      <c r="AM1458" s="6" t="e">
        <f>MATCH(D1458,'D5 - Gatekeeper - Projects'!$C$4:$C$1010,0)</f>
        <v>#N/A</v>
      </c>
      <c r="AN1458" s="6" t="b">
        <f t="shared" si="150"/>
        <v>1</v>
      </c>
      <c r="AO1458" s="6" t="str">
        <f t="shared" si="152"/>
        <v>OK</v>
      </c>
      <c r="AQ1458" s="6" t="e">
        <f>MATCH($D1458,'D4 - Provider Council Unsched'!$C$11:$C$234,0)</f>
        <v>#N/A</v>
      </c>
      <c r="AR1458" s="6" t="b">
        <f t="shared" si="151"/>
        <v>1</v>
      </c>
      <c r="AS1458" s="6" t="str">
        <f t="shared" ref="AS1458:AS1468" si="157">IF(AND(H1458="2 - Not Scheduled",AR1458=TRUE,C1458="R1"),"Add","OK")</f>
        <v>OK</v>
      </c>
      <c r="AU1458" s="202">
        <v>40592</v>
      </c>
      <c r="AV1458" s="262"/>
      <c r="AW1458" s="274"/>
    </row>
    <row r="1459" spans="1:49" s="13" customFormat="1" ht="33.75" x14ac:dyDescent="0.2">
      <c r="A1459" s="14">
        <v>1435</v>
      </c>
      <c r="B1459" s="14">
        <v>400034709</v>
      </c>
      <c r="C1459" s="8" t="s">
        <v>7290</v>
      </c>
      <c r="D1459" s="4" t="str">
        <f t="shared" si="156"/>
        <v>400034709B</v>
      </c>
      <c r="E1459" s="309" t="str">
        <f>VLOOKUP($B1459,'D7 - NDB Impacted SPRF''s'!$E$6:$O$9929,2,FALSE)</f>
        <v>Gated on UNET/UHC Navigate - HS PP Ref &amp; P Penalty</v>
      </c>
      <c r="F1459" s="8"/>
      <c r="G1459" s="8" t="s">
        <v>4758</v>
      </c>
      <c r="H1459" s="8" t="s">
        <v>4246</v>
      </c>
      <c r="I1459" s="20">
        <v>34.130000000000003</v>
      </c>
      <c r="J1459" s="8" t="s">
        <v>4862</v>
      </c>
      <c r="K1459" s="182">
        <v>40672</v>
      </c>
      <c r="L1459" s="8" t="s">
        <v>4156</v>
      </c>
      <c r="M1459" s="8" t="s">
        <v>2814</v>
      </c>
      <c r="N1459" s="38" t="s">
        <v>6040</v>
      </c>
      <c r="O1459" s="8"/>
      <c r="P1459" s="4" t="str">
        <f>VLOOKUP($B1459,'D7 - NDB Impacted SPRF''s'!$E$16:$O$9929,9,FALSE)</f>
        <v>Y</v>
      </c>
      <c r="Q1459" s="4" t="str">
        <f>VLOOKUP($B1459,'D7 - NDB Impacted SPRF''s'!$E$16:$O$9929,10,FALSE)</f>
        <v>N</v>
      </c>
      <c r="R1459" s="4" t="str">
        <f>VLOOKUP($B1459,'D7 - NDB Impacted SPRF''s'!$E$16:$O$9929,11,FALSE)</f>
        <v>N</v>
      </c>
      <c r="S1459" s="8"/>
      <c r="T1459" s="310"/>
      <c r="U1459" s="310"/>
      <c r="V1459" s="4"/>
      <c r="W1459" s="4"/>
      <c r="X1459" s="4"/>
      <c r="Y1459" s="4"/>
      <c r="Z1459" s="4"/>
      <c r="AA1459" s="4"/>
      <c r="AB1459" s="380" t="str">
        <f>VLOOKUP($B1459,'D7 - NDB Impacted SPRF''s'!$E$6:$O$9929,4,FALSE)</f>
        <v>Completed</v>
      </c>
      <c r="AC1459" s="380" t="str">
        <f>VLOOKUP($B1459,'D7 - NDB Impacted SPRF''s'!$E$6:$O$9929,3,FALSE)</f>
        <v>UnitedHealthcare Employer &amp; Individual</v>
      </c>
      <c r="AD1459" s="380" t="str">
        <f>VLOOKUP($B1459,'D7 - NDB Impacted SPRF''s'!$E$6:$O$9929,5,FALSE)</f>
        <v>Membership Growth / Revenue Programs</v>
      </c>
      <c r="AE1459" s="380" t="str">
        <f>VLOOKUP($B1459,'D7 - NDB Impacted SPRF''s'!$E$6:$O$9929,7,FALSE)</f>
        <v>Yasmine Winkler</v>
      </c>
      <c r="AF1459" s="380" t="str">
        <f>VLOOKUP($B1459,'D7 - NDB Impacted SPRF''s'!$E$6:$O$9929,6,FALSE)</f>
        <v>Joan Roby</v>
      </c>
      <c r="AG1459" s="282"/>
      <c r="AH1459" s="311" t="e">
        <f>INDEX('D5 - Gatekeeper - Projects'!$A$4:$AF$1010,$AM1459, 17)</f>
        <v>#N/A</v>
      </c>
      <c r="AI1459" s="8"/>
      <c r="AJ1459" s="57"/>
      <c r="AK1459" s="105"/>
      <c r="AM1459" s="6" t="e">
        <f>MATCH(D1459,'D5 - Gatekeeper - Projects'!$C$4:$C$1010,0)</f>
        <v>#N/A</v>
      </c>
      <c r="AN1459" s="6" t="b">
        <f t="shared" si="150"/>
        <v>1</v>
      </c>
      <c r="AO1459" s="6" t="str">
        <f t="shared" si="152"/>
        <v>OK</v>
      </c>
      <c r="AQ1459" s="6" t="e">
        <f>MATCH($D1459,'D4 - Provider Council Unsched'!$C$11:$C$234,0)</f>
        <v>#N/A</v>
      </c>
      <c r="AR1459" s="6" t="b">
        <f t="shared" si="151"/>
        <v>1</v>
      </c>
      <c r="AS1459" s="6" t="str">
        <f t="shared" si="157"/>
        <v>OK</v>
      </c>
      <c r="AU1459" s="202">
        <v>40485</v>
      </c>
      <c r="AV1459" s="262"/>
      <c r="AW1459" s="274"/>
    </row>
    <row r="1460" spans="1:49" s="13" customFormat="1" ht="33.75" x14ac:dyDescent="0.2">
      <c r="A1460" s="14">
        <v>1436</v>
      </c>
      <c r="B1460" s="14">
        <v>400034709</v>
      </c>
      <c r="C1460" s="8" t="s">
        <v>7292</v>
      </c>
      <c r="D1460" s="4" t="str">
        <f t="shared" si="156"/>
        <v>400034709C</v>
      </c>
      <c r="E1460" s="309" t="str">
        <f>VLOOKUP($B1460,'D7 - NDB Impacted SPRF''s'!$E$6:$O$9929,2,FALSE)</f>
        <v>Gated on UNET/UHC Navigate - HS PP Ref &amp; P Penalty</v>
      </c>
      <c r="F1460" s="8"/>
      <c r="G1460" s="8" t="s">
        <v>4758</v>
      </c>
      <c r="H1460" s="8" t="s">
        <v>4246</v>
      </c>
      <c r="I1460" s="20">
        <v>5.66</v>
      </c>
      <c r="J1460" s="8" t="s">
        <v>7114</v>
      </c>
      <c r="K1460" s="182">
        <v>40672</v>
      </c>
      <c r="L1460" s="8" t="s">
        <v>4156</v>
      </c>
      <c r="M1460" s="8" t="s">
        <v>2814</v>
      </c>
      <c r="N1460" s="38" t="s">
        <v>4279</v>
      </c>
      <c r="O1460" s="8"/>
      <c r="P1460" s="4" t="str">
        <f>VLOOKUP($B1460,'D7 - NDB Impacted SPRF''s'!$E$16:$O$9929,9,FALSE)</f>
        <v>Y</v>
      </c>
      <c r="Q1460" s="4" t="str">
        <f>VLOOKUP($B1460,'D7 - NDB Impacted SPRF''s'!$E$16:$O$9929,10,FALSE)</f>
        <v>N</v>
      </c>
      <c r="R1460" s="4" t="str">
        <f>VLOOKUP($B1460,'D7 - NDB Impacted SPRF''s'!$E$16:$O$9929,11,FALSE)</f>
        <v>N</v>
      </c>
      <c r="S1460" s="8"/>
      <c r="T1460" s="310"/>
      <c r="U1460" s="310"/>
      <c r="V1460" s="4"/>
      <c r="W1460" s="4"/>
      <c r="X1460" s="4"/>
      <c r="Y1460" s="4"/>
      <c r="Z1460" s="4"/>
      <c r="AA1460" s="4"/>
      <c r="AB1460" s="380" t="str">
        <f>VLOOKUP($B1460,'D7 - NDB Impacted SPRF''s'!$E$6:$O$9929,4,FALSE)</f>
        <v>Completed</v>
      </c>
      <c r="AC1460" s="380" t="str">
        <f>VLOOKUP($B1460,'D7 - NDB Impacted SPRF''s'!$E$6:$O$9929,3,FALSE)</f>
        <v>UnitedHealthcare Employer &amp; Individual</v>
      </c>
      <c r="AD1460" s="380" t="str">
        <f>VLOOKUP($B1460,'D7 - NDB Impacted SPRF''s'!$E$6:$O$9929,5,FALSE)</f>
        <v>Membership Growth / Revenue Programs</v>
      </c>
      <c r="AE1460" s="380" t="str">
        <f>VLOOKUP($B1460,'D7 - NDB Impacted SPRF''s'!$E$6:$O$9929,7,FALSE)</f>
        <v>Yasmine Winkler</v>
      </c>
      <c r="AF1460" s="380" t="str">
        <f>VLOOKUP($B1460,'D7 - NDB Impacted SPRF''s'!$E$6:$O$9929,6,FALSE)</f>
        <v>Joan Roby</v>
      </c>
      <c r="AG1460" s="282"/>
      <c r="AH1460" s="311" t="e">
        <f>INDEX('D5 - Gatekeeper - Projects'!$A$4:$AF$1010,$AM1460, 17)</f>
        <v>#N/A</v>
      </c>
      <c r="AI1460" s="8"/>
      <c r="AJ1460" s="57"/>
      <c r="AK1460" s="105"/>
      <c r="AM1460" s="6" t="e">
        <f>MATCH(D1460,'D5 - Gatekeeper - Projects'!$C$4:$C$1010,0)</f>
        <v>#N/A</v>
      </c>
      <c r="AN1460" s="6" t="b">
        <f t="shared" si="150"/>
        <v>1</v>
      </c>
      <c r="AO1460" s="6" t="str">
        <f t="shared" si="152"/>
        <v>OK</v>
      </c>
      <c r="AQ1460" s="6" t="e">
        <f>MATCH($D1460,'D4 - Provider Council Unsched'!$C$11:$C$234,0)</f>
        <v>#N/A</v>
      </c>
      <c r="AR1460" s="6" t="b">
        <f t="shared" si="151"/>
        <v>1</v>
      </c>
      <c r="AS1460" s="6" t="str">
        <f t="shared" si="157"/>
        <v>OK</v>
      </c>
      <c r="AU1460" s="202">
        <v>40592</v>
      </c>
      <c r="AV1460" s="262"/>
      <c r="AW1460" s="274"/>
    </row>
    <row r="1461" spans="1:49" s="13" customFormat="1" ht="33.75" x14ac:dyDescent="0.2">
      <c r="A1461" s="14">
        <v>1437</v>
      </c>
      <c r="B1461" s="14">
        <v>400034709</v>
      </c>
      <c r="C1461" s="8" t="s">
        <v>5197</v>
      </c>
      <c r="D1461" s="4" t="str">
        <f t="shared" si="156"/>
        <v>400034709R1</v>
      </c>
      <c r="E1461" s="309" t="str">
        <f>VLOOKUP($B1461,'D7 - NDB Impacted SPRF''s'!$E$6:$O$9929,2,FALSE)</f>
        <v>Gated on UNET/UHC Navigate - HS PP Ref &amp; P Penalty</v>
      </c>
      <c r="F1461" s="8"/>
      <c r="G1461" s="8" t="s">
        <v>4758</v>
      </c>
      <c r="H1461" s="8" t="s">
        <v>4246</v>
      </c>
      <c r="I1461" s="20">
        <v>11.07</v>
      </c>
      <c r="J1461" s="8" t="s">
        <v>4862</v>
      </c>
      <c r="K1461" s="182">
        <v>40672</v>
      </c>
      <c r="L1461" s="8" t="s">
        <v>4156</v>
      </c>
      <c r="M1461" s="8" t="s">
        <v>2814</v>
      </c>
      <c r="N1461" s="38"/>
      <c r="O1461" s="8"/>
      <c r="P1461" s="4" t="str">
        <f>VLOOKUP($B1461,'D7 - NDB Impacted SPRF''s'!$E$16:$O$9929,9,FALSE)</f>
        <v>Y</v>
      </c>
      <c r="Q1461" s="4" t="str">
        <f>VLOOKUP($B1461,'D7 - NDB Impacted SPRF''s'!$E$16:$O$9929,10,FALSE)</f>
        <v>N</v>
      </c>
      <c r="R1461" s="4" t="str">
        <f>VLOOKUP($B1461,'D7 - NDB Impacted SPRF''s'!$E$16:$O$9929,11,FALSE)</f>
        <v>N</v>
      </c>
      <c r="S1461" s="8"/>
      <c r="T1461" s="310"/>
      <c r="U1461" s="310"/>
      <c r="V1461" s="4"/>
      <c r="W1461" s="4"/>
      <c r="X1461" s="4"/>
      <c r="Y1461" s="4"/>
      <c r="Z1461" s="4"/>
      <c r="AA1461" s="4"/>
      <c r="AB1461" s="380" t="str">
        <f>VLOOKUP($B1461,'D7 - NDB Impacted SPRF''s'!$E$6:$O$9929,4,FALSE)</f>
        <v>Completed</v>
      </c>
      <c r="AC1461" s="380" t="str">
        <f>VLOOKUP($B1461,'D7 - NDB Impacted SPRF''s'!$E$6:$O$9929,3,FALSE)</f>
        <v>UnitedHealthcare Employer &amp; Individual</v>
      </c>
      <c r="AD1461" s="380" t="str">
        <f>VLOOKUP($B1461,'D7 - NDB Impacted SPRF''s'!$E$6:$O$9929,5,FALSE)</f>
        <v>Membership Growth / Revenue Programs</v>
      </c>
      <c r="AE1461" s="380" t="str">
        <f>VLOOKUP($B1461,'D7 - NDB Impacted SPRF''s'!$E$6:$O$9929,7,FALSE)</f>
        <v>Yasmine Winkler</v>
      </c>
      <c r="AF1461" s="380" t="str">
        <f>VLOOKUP($B1461,'D7 - NDB Impacted SPRF''s'!$E$6:$O$9929,6,FALSE)</f>
        <v>Joan Roby</v>
      </c>
      <c r="AG1461" s="282"/>
      <c r="AH1461" s="311" t="e">
        <f>INDEX('D5 - Gatekeeper - Projects'!$A$4:$AF$1010,$AM1461, 17)</f>
        <v>#N/A</v>
      </c>
      <c r="AI1461" s="8"/>
      <c r="AJ1461" s="57"/>
      <c r="AK1461" s="105"/>
      <c r="AM1461" s="6" t="e">
        <f>MATCH(D1461,'D5 - Gatekeeper - Projects'!$C$4:$C$1010,0)</f>
        <v>#N/A</v>
      </c>
      <c r="AN1461" s="6" t="b">
        <f t="shared" si="150"/>
        <v>1</v>
      </c>
      <c r="AO1461" s="6" t="str">
        <f t="shared" si="152"/>
        <v>OK</v>
      </c>
      <c r="AQ1461" s="6" t="e">
        <f>MATCH($D1461,'D4 - Provider Council Unsched'!$C$11:$C$234,0)</f>
        <v>#N/A</v>
      </c>
      <c r="AR1461" s="6" t="b">
        <f t="shared" si="151"/>
        <v>1</v>
      </c>
      <c r="AS1461" s="6" t="str">
        <f t="shared" si="157"/>
        <v>OK</v>
      </c>
      <c r="AU1461" s="202">
        <v>40326</v>
      </c>
      <c r="AV1461" s="262"/>
      <c r="AW1461" s="274"/>
    </row>
    <row r="1462" spans="1:49" s="13" customFormat="1" ht="45" x14ac:dyDescent="0.2">
      <c r="A1462" s="14">
        <v>1438</v>
      </c>
      <c r="B1462" s="14">
        <v>400028333</v>
      </c>
      <c r="C1462" s="8" t="s">
        <v>7290</v>
      </c>
      <c r="D1462" s="4" t="str">
        <f t="shared" si="156"/>
        <v>400028333B</v>
      </c>
      <c r="E1462" s="309" t="str">
        <f>VLOOKUP($B1462,'D7 - NDB Impacted SPRF''s'!$E$6:$O$9929,2,FALSE)</f>
        <v xml:space="preserve">Build B2B in Alpha, Bravo, Charlie, Master &amp; Zulu </v>
      </c>
      <c r="F1462" s="8" t="s">
        <v>2114</v>
      </c>
      <c r="G1462" s="8" t="s">
        <v>4758</v>
      </c>
      <c r="H1462" s="8" t="s">
        <v>4246</v>
      </c>
      <c r="I1462" s="20">
        <v>1</v>
      </c>
      <c r="J1462" s="8" t="s">
        <v>4862</v>
      </c>
      <c r="K1462" s="182">
        <v>40677</v>
      </c>
      <c r="L1462" s="8" t="s">
        <v>4156</v>
      </c>
      <c r="M1462" s="8" t="s">
        <v>4450</v>
      </c>
      <c r="N1462" s="38" t="s">
        <v>3301</v>
      </c>
      <c r="O1462" s="8"/>
      <c r="P1462" s="4" t="str">
        <f>VLOOKUP($B1462,'D7 - NDB Impacted SPRF''s'!$E$16:$O$9929,9,FALSE)</f>
        <v>Y</v>
      </c>
      <c r="Q1462" s="4" t="str">
        <f>VLOOKUP($B1462,'D7 - NDB Impacted SPRF''s'!$E$16:$O$9929,10,FALSE)</f>
        <v>N</v>
      </c>
      <c r="R1462" s="4" t="str">
        <f>VLOOKUP($B1462,'D7 - NDB Impacted SPRF''s'!$E$16:$O$9929,11,FALSE)</f>
        <v>N</v>
      </c>
      <c r="S1462" s="8"/>
      <c r="T1462" s="310"/>
      <c r="U1462" s="310"/>
      <c r="V1462" s="4"/>
      <c r="W1462" s="4"/>
      <c r="X1462" s="4"/>
      <c r="Y1462" s="4"/>
      <c r="Z1462" s="4"/>
      <c r="AA1462" s="4"/>
      <c r="AB1462" s="380" t="str">
        <f>VLOOKUP($B1462,'D7 - NDB Impacted SPRF''s'!$E$6:$O$9929,4,FALSE)</f>
        <v>Completed</v>
      </c>
      <c r="AC1462" s="380" t="str">
        <f>VLOOKUP($B1462,'D7 - NDB Impacted SPRF''s'!$E$6:$O$9929,3,FALSE)</f>
        <v>UHG IT - Enterprise Technology Services</v>
      </c>
      <c r="AD1462" s="380" t="str">
        <f>VLOOKUP($B1462,'D7 - NDB Impacted SPRF''s'!$E$6:$O$9929,5,FALSE)</f>
        <v>ASG</v>
      </c>
      <c r="AE1462" s="380" t="str">
        <f>VLOOKUP($B1462,'D7 - NDB Impacted SPRF''s'!$E$6:$O$9929,7,FALSE)</f>
        <v>Bob Preston</v>
      </c>
      <c r="AF1462" s="380" t="str">
        <f>VLOOKUP($B1462,'D7 - NDB Impacted SPRF''s'!$E$6:$O$9929,6,FALSE)</f>
        <v>EDWARD SIWICKI</v>
      </c>
      <c r="AG1462" s="282"/>
      <c r="AH1462" s="311" t="e">
        <f>INDEX('D5 - Gatekeeper - Projects'!$A$4:$AF$1010,$AM1462, 17)</f>
        <v>#N/A</v>
      </c>
      <c r="AI1462" s="8"/>
      <c r="AJ1462" s="57"/>
      <c r="AK1462" s="105"/>
      <c r="AM1462" s="6" t="e">
        <f>MATCH(D1462,'D5 - Gatekeeper - Projects'!$C$4:$C$1010,0)</f>
        <v>#N/A</v>
      </c>
      <c r="AN1462" s="6" t="b">
        <f t="shared" si="150"/>
        <v>1</v>
      </c>
      <c r="AO1462" s="6" t="str">
        <f t="shared" si="152"/>
        <v>OK</v>
      </c>
      <c r="AQ1462" s="6" t="e">
        <f>MATCH($D1462,'D4 - Provider Council Unsched'!$C$11:$C$234,0)</f>
        <v>#N/A</v>
      </c>
      <c r="AR1462" s="6" t="b">
        <f t="shared" si="151"/>
        <v>1</v>
      </c>
      <c r="AS1462" s="6" t="str">
        <f t="shared" si="157"/>
        <v>OK</v>
      </c>
      <c r="AU1462" s="202"/>
      <c r="AV1462" s="262"/>
      <c r="AW1462" s="274"/>
    </row>
    <row r="1463" spans="1:49" s="13" customFormat="1" ht="45" x14ac:dyDescent="0.2">
      <c r="A1463" s="14">
        <v>1439</v>
      </c>
      <c r="B1463" s="14">
        <v>400028345</v>
      </c>
      <c r="C1463" s="8" t="s">
        <v>2449</v>
      </c>
      <c r="D1463" s="4" t="str">
        <f t="shared" si="156"/>
        <v>400028345R3</v>
      </c>
      <c r="E1463" s="309" t="str">
        <f>VLOOKUP($B1463,'D7 - NDB Impacted SPRF''s'!$E$6:$O$9929,2,FALSE)</f>
        <v>CAT to build NICE in Alpha, Bravo, &amp; Master region</v>
      </c>
      <c r="F1463" s="8" t="s">
        <v>8133</v>
      </c>
      <c r="G1463" s="8" t="s">
        <v>4758</v>
      </c>
      <c r="H1463" s="8" t="s">
        <v>4246</v>
      </c>
      <c r="I1463" s="20">
        <v>1.96</v>
      </c>
      <c r="J1463" s="8" t="s">
        <v>4862</v>
      </c>
      <c r="K1463" s="182">
        <v>40677</v>
      </c>
      <c r="L1463" s="8" t="s">
        <v>4156</v>
      </c>
      <c r="M1463" s="8" t="s">
        <v>4450</v>
      </c>
      <c r="N1463" s="38"/>
      <c r="O1463" s="8"/>
      <c r="P1463" s="4" t="str">
        <f>VLOOKUP($B1463,'D7 - NDB Impacted SPRF''s'!$E$16:$O$9929,9,FALSE)</f>
        <v>N</v>
      </c>
      <c r="Q1463" s="4" t="str">
        <f>VLOOKUP($B1463,'D7 - NDB Impacted SPRF''s'!$E$16:$O$9929,10,FALSE)</f>
        <v>N</v>
      </c>
      <c r="R1463" s="4" t="str">
        <f>VLOOKUP($B1463,'D7 - NDB Impacted SPRF''s'!$E$16:$O$9929,11,FALSE)</f>
        <v>N</v>
      </c>
      <c r="S1463" s="8"/>
      <c r="T1463" s="310"/>
      <c r="U1463" s="310"/>
      <c r="V1463" s="4"/>
      <c r="W1463" s="4"/>
      <c r="X1463" s="4"/>
      <c r="Y1463" s="4"/>
      <c r="Z1463" s="4"/>
      <c r="AA1463" s="4"/>
      <c r="AB1463" s="380" t="str">
        <f>VLOOKUP($B1463,'D7 - NDB Impacted SPRF''s'!$E$16:$O$9929,4,FALSE)</f>
        <v>Completed</v>
      </c>
      <c r="AC1463" s="380" t="str">
        <f>VLOOKUP($B1463,'D7 - NDB Impacted SPRF''s'!$E$16:$O$9929,3,FALSE)</f>
        <v>UHG IT - Enterprise Technology Services</v>
      </c>
      <c r="AD1463" s="380" t="str">
        <f>VLOOKUP($B1463,'D7 - NDB Impacted SPRF''s'!$E$16:$O$9929,5,FALSE)</f>
        <v>ASG</v>
      </c>
      <c r="AE1463" s="380" t="str">
        <f>VLOOKUP($B1463,'D7 - NDB Impacted SPRF''s'!$E$16:$O$9929,7,FALSE)</f>
        <v>Bob Preston</v>
      </c>
      <c r="AF1463" s="380" t="str">
        <f>VLOOKUP($B1463,'D7 - NDB Impacted SPRF''s'!$E$16:$O$9929,6,FALSE)</f>
        <v>EDWARD SIWICKI</v>
      </c>
      <c r="AG1463" s="282"/>
      <c r="AH1463" s="311" t="e">
        <f>INDEX('D5 - Gatekeeper - Projects'!$A$4:$AF$1010,$AM1463, 17)</f>
        <v>#N/A</v>
      </c>
      <c r="AI1463" s="8"/>
      <c r="AJ1463" s="57"/>
      <c r="AK1463" s="105"/>
      <c r="AM1463" s="6" t="e">
        <f>MATCH(D1463,'D5 - Gatekeeper - Projects'!$C$4:$C$1010,0)</f>
        <v>#N/A</v>
      </c>
      <c r="AN1463" s="6" t="b">
        <f t="shared" si="150"/>
        <v>1</v>
      </c>
      <c r="AO1463" s="6" t="str">
        <f t="shared" si="152"/>
        <v>OK</v>
      </c>
      <c r="AQ1463" s="6" t="e">
        <f>MATCH($D1463,'D4 - Provider Council Unsched'!$C$11:$C$234,0)</f>
        <v>#N/A</v>
      </c>
      <c r="AR1463" s="6" t="b">
        <f t="shared" si="151"/>
        <v>1</v>
      </c>
      <c r="AS1463" s="6" t="str">
        <f t="shared" si="157"/>
        <v>OK</v>
      </c>
      <c r="AU1463" s="202">
        <v>40476</v>
      </c>
      <c r="AV1463" s="262"/>
      <c r="AW1463" s="274"/>
    </row>
    <row r="1464" spans="1:49" s="13" customFormat="1" ht="45" x14ac:dyDescent="0.2">
      <c r="A1464" s="14">
        <v>1440</v>
      </c>
      <c r="B1464" s="14">
        <v>400029465</v>
      </c>
      <c r="C1464" s="8" t="s">
        <v>7290</v>
      </c>
      <c r="D1464" s="4" t="str">
        <f t="shared" si="156"/>
        <v>400029465B</v>
      </c>
      <c r="E1464" s="309" t="str">
        <f>VLOOKUP($B1464,'D7 - NDB Impacted SPRF''s'!$E$6:$O$9929,2,FALSE)</f>
        <v>Build B2C in Alpha,Bravo,Charlie,Master,&amp; Zulu</v>
      </c>
      <c r="F1464" s="8" t="s">
        <v>2114</v>
      </c>
      <c r="G1464" s="8" t="s">
        <v>4758</v>
      </c>
      <c r="H1464" s="8" t="s">
        <v>4246</v>
      </c>
      <c r="I1464" s="20">
        <v>1</v>
      </c>
      <c r="J1464" s="8" t="s">
        <v>4862</v>
      </c>
      <c r="K1464" s="182">
        <v>40677</v>
      </c>
      <c r="L1464" s="8" t="s">
        <v>4156</v>
      </c>
      <c r="M1464" s="8" t="s">
        <v>4450</v>
      </c>
      <c r="N1464" s="38" t="s">
        <v>3301</v>
      </c>
      <c r="O1464" s="8"/>
      <c r="P1464" s="4" t="str">
        <f>VLOOKUP($B1464,'D7 - NDB Impacted SPRF''s'!$E$16:$O$9929,9,FALSE)</f>
        <v>Y</v>
      </c>
      <c r="Q1464" s="4" t="str">
        <f>VLOOKUP($B1464,'D7 - NDB Impacted SPRF''s'!$E$16:$O$9929,10,FALSE)</f>
        <v>N</v>
      </c>
      <c r="R1464" s="4" t="str">
        <f>VLOOKUP($B1464,'D7 - NDB Impacted SPRF''s'!$E$16:$O$9929,11,FALSE)</f>
        <v>N</v>
      </c>
      <c r="S1464" s="8"/>
      <c r="T1464" s="310"/>
      <c r="U1464" s="310"/>
      <c r="V1464" s="4"/>
      <c r="W1464" s="4"/>
      <c r="X1464" s="4"/>
      <c r="Y1464" s="4"/>
      <c r="Z1464" s="4"/>
      <c r="AA1464" s="4"/>
      <c r="AB1464" s="380" t="str">
        <f>VLOOKUP($B1464,'D7 - NDB Impacted SPRF''s'!$E$6:$O$9929,4,FALSE)</f>
        <v>Completed</v>
      </c>
      <c r="AC1464" s="380" t="str">
        <f>VLOOKUP($B1464,'D7 - NDB Impacted SPRF''s'!$E$6:$O$9929,3,FALSE)</f>
        <v>UHG IT - Enterprise Technology Services</v>
      </c>
      <c r="AD1464" s="380" t="str">
        <f>VLOOKUP($B1464,'D7 - NDB Impacted SPRF''s'!$E$6:$O$9929,5,FALSE)</f>
        <v>ASG</v>
      </c>
      <c r="AE1464" s="380" t="str">
        <f>VLOOKUP($B1464,'D7 - NDB Impacted SPRF''s'!$E$6:$O$9929,7,FALSE)</f>
        <v>Bob Preston</v>
      </c>
      <c r="AF1464" s="380" t="str">
        <f>VLOOKUP($B1464,'D7 - NDB Impacted SPRF''s'!$E$6:$O$9929,6,FALSE)</f>
        <v>EDWARD SIWICKI</v>
      </c>
      <c r="AG1464" s="282"/>
      <c r="AH1464" s="311" t="e">
        <f>INDEX('D5 - Gatekeeper - Projects'!$A$4:$AF$1010,$AM1464, 17)</f>
        <v>#N/A</v>
      </c>
      <c r="AI1464" s="8"/>
      <c r="AJ1464" s="57"/>
      <c r="AK1464" s="105"/>
      <c r="AM1464" s="6" t="e">
        <f>MATCH(D1464,'D5 - Gatekeeper - Projects'!$C$4:$C$1010,0)</f>
        <v>#N/A</v>
      </c>
      <c r="AN1464" s="6" t="b">
        <f t="shared" si="150"/>
        <v>1</v>
      </c>
      <c r="AO1464" s="6" t="str">
        <f t="shared" si="152"/>
        <v>OK</v>
      </c>
      <c r="AQ1464" s="6" t="e">
        <f>MATCH($D1464,'D4 - Provider Council Unsched'!$C$11:$C$234,0)</f>
        <v>#N/A</v>
      </c>
      <c r="AR1464" s="6" t="b">
        <f t="shared" si="151"/>
        <v>1</v>
      </c>
      <c r="AS1464" s="6" t="str">
        <f t="shared" si="157"/>
        <v>OK</v>
      </c>
      <c r="AU1464" s="202"/>
      <c r="AV1464" s="262"/>
      <c r="AW1464" s="274"/>
    </row>
    <row r="1465" spans="1:49" s="13" customFormat="1" ht="33.75" x14ac:dyDescent="0.2">
      <c r="A1465" s="14">
        <v>1441</v>
      </c>
      <c r="B1465" s="14">
        <v>400033127</v>
      </c>
      <c r="C1465" s="8" t="s">
        <v>5614</v>
      </c>
      <c r="D1465" s="4" t="str">
        <f t="shared" si="156"/>
        <v>400033127R5</v>
      </c>
      <c r="E1465" s="309" t="str">
        <f>VLOOKUP($B1465,'D7 - NDB Impacted SPRF''s'!$E$6:$O$9929,2,FALSE)</f>
        <v>HIPAA 5010-UHC-837I&amp;P</v>
      </c>
      <c r="F1465" s="8" t="s">
        <v>2114</v>
      </c>
      <c r="G1465" s="8" t="s">
        <v>4758</v>
      </c>
      <c r="H1465" s="8" t="s">
        <v>4246</v>
      </c>
      <c r="I1465" s="20">
        <v>1</v>
      </c>
      <c r="J1465" s="8" t="s">
        <v>4862</v>
      </c>
      <c r="K1465" s="182">
        <v>40677</v>
      </c>
      <c r="L1465" s="8" t="s">
        <v>4156</v>
      </c>
      <c r="M1465" s="8" t="s">
        <v>5626</v>
      </c>
      <c r="N1465" s="38" t="s">
        <v>1190</v>
      </c>
      <c r="O1465" s="8"/>
      <c r="P1465" s="4" t="str">
        <f>VLOOKUP($B1465,'D7 - NDB Impacted SPRF''s'!$E$16:$O$9929,9,FALSE)</f>
        <v>Y</v>
      </c>
      <c r="Q1465" s="4" t="str">
        <f>VLOOKUP($B1465,'D7 - NDB Impacted SPRF''s'!$E$16:$O$9929,10,FALSE)</f>
        <v>N</v>
      </c>
      <c r="R1465" s="4" t="str">
        <f>VLOOKUP($B1465,'D7 - NDB Impacted SPRF''s'!$E$16:$O$9929,11,FALSE)</f>
        <v>Y</v>
      </c>
      <c r="S1465" s="8"/>
      <c r="T1465" s="310"/>
      <c r="U1465" s="310"/>
      <c r="V1465" s="4"/>
      <c r="W1465" s="4"/>
      <c r="X1465" s="4"/>
      <c r="Y1465" s="4"/>
      <c r="Z1465" s="4"/>
      <c r="AA1465" s="4"/>
      <c r="AB1465" s="380" t="str">
        <f>VLOOKUP($B1465,'D7 - NDB Impacted SPRF''s'!$E$6:$O$9929,4,FALSE)</f>
        <v>Completed</v>
      </c>
      <c r="AC1465" s="380" t="str">
        <f>VLOOKUP($B1465,'D7 - NDB Impacted SPRF''s'!$E$6:$O$9929,3,FALSE)</f>
        <v>UnitedHealthcare Employer &amp; Individual</v>
      </c>
      <c r="AD1465" s="380" t="str">
        <f>VLOOKUP($B1465,'D7 - NDB Impacted SPRF''s'!$E$6:$O$9929,5,FALSE)</f>
        <v>HIPAA 5010</v>
      </c>
      <c r="AE1465" s="380" t="str">
        <f>VLOOKUP($B1465,'D7 - NDB Impacted SPRF''s'!$E$6:$O$9929,7,FALSE)</f>
        <v>Tim Kaja</v>
      </c>
      <c r="AF1465" s="380" t="str">
        <f>VLOOKUP($B1465,'D7 - NDB Impacted SPRF''s'!$E$6:$O$9929,6,FALSE)</f>
        <v>Delvis Schilling</v>
      </c>
      <c r="AG1465" s="282"/>
      <c r="AH1465" s="311" t="e">
        <f>INDEX('D5 - Gatekeeper - Projects'!$A$4:$AF$1010,$AM1465, 17)</f>
        <v>#N/A</v>
      </c>
      <c r="AI1465" s="8"/>
      <c r="AJ1465" s="57"/>
      <c r="AK1465" s="105"/>
      <c r="AM1465" s="6" t="e">
        <f>MATCH(D1465,'D5 - Gatekeeper - Projects'!$C$4:$C$1010,0)</f>
        <v>#N/A</v>
      </c>
      <c r="AN1465" s="6" t="b">
        <f t="shared" si="150"/>
        <v>1</v>
      </c>
      <c r="AO1465" s="6" t="str">
        <f t="shared" si="152"/>
        <v>OK</v>
      </c>
      <c r="AQ1465" s="6" t="e">
        <f>MATCH($D1465,'D4 - Provider Council Unsched'!$C$11:$C$234,0)</f>
        <v>#N/A</v>
      </c>
      <c r="AR1465" s="6" t="b">
        <f t="shared" si="151"/>
        <v>1</v>
      </c>
      <c r="AS1465" s="6" t="str">
        <f t="shared" si="157"/>
        <v>OK</v>
      </c>
      <c r="AU1465" s="202">
        <v>40462</v>
      </c>
      <c r="AV1465" s="262"/>
      <c r="AW1465" s="274"/>
    </row>
    <row r="1466" spans="1:49" s="13" customFormat="1" ht="33.75" x14ac:dyDescent="0.2">
      <c r="A1466" s="14">
        <v>1442</v>
      </c>
      <c r="B1466" s="14">
        <v>400033245</v>
      </c>
      <c r="C1466" s="8" t="s">
        <v>5197</v>
      </c>
      <c r="D1466" s="4" t="str">
        <f t="shared" si="156"/>
        <v>400033245R1</v>
      </c>
      <c r="E1466" s="309" t="str">
        <f>VLOOKUP($B1466,'D7 - NDB Impacted SPRF''s'!$E$6:$O$9929,2,FALSE)</f>
        <v>ISET for MAHP</v>
      </c>
      <c r="F1466" s="8" t="s">
        <v>2114</v>
      </c>
      <c r="G1466" s="8" t="s">
        <v>4758</v>
      </c>
      <c r="H1466" s="8" t="s">
        <v>4246</v>
      </c>
      <c r="I1466" s="20">
        <v>1.07</v>
      </c>
      <c r="J1466" s="8" t="s">
        <v>4862</v>
      </c>
      <c r="K1466" s="182">
        <v>40677</v>
      </c>
      <c r="L1466" s="8" t="s">
        <v>4156</v>
      </c>
      <c r="M1466" s="8" t="s">
        <v>5626</v>
      </c>
      <c r="N1466" s="38"/>
      <c r="O1466" s="8"/>
      <c r="P1466" s="4" t="str">
        <f>VLOOKUP($B1466,'D7 - NDB Impacted SPRF''s'!$E$16:$O$9929,9,FALSE)</f>
        <v>Y</v>
      </c>
      <c r="Q1466" s="4" t="str">
        <f>VLOOKUP($B1466,'D7 - NDB Impacted SPRF''s'!$E$16:$O$9929,10,FALSE)</f>
        <v>N</v>
      </c>
      <c r="R1466" s="4" t="str">
        <f>VLOOKUP($B1466,'D7 - NDB Impacted SPRF''s'!$E$16:$O$9929,11,FALSE)</f>
        <v>N</v>
      </c>
      <c r="S1466" s="8"/>
      <c r="T1466" s="310"/>
      <c r="U1466" s="310"/>
      <c r="V1466" s="4"/>
      <c r="W1466" s="4"/>
      <c r="X1466" s="4"/>
      <c r="Y1466" s="4"/>
      <c r="Z1466" s="4"/>
      <c r="AA1466" s="4"/>
      <c r="AB1466" s="380" t="str">
        <f>VLOOKUP($B1466,'D7 - NDB Impacted SPRF''s'!$E$6:$O$9929,4,FALSE)</f>
        <v>Completed</v>
      </c>
      <c r="AC1466" s="380" t="str">
        <f>VLOOKUP($B1466,'D7 - NDB Impacted SPRF''s'!$E$6:$O$9929,3,FALSE)</f>
        <v>UnitedHealthcare Employer &amp; Individual</v>
      </c>
      <c r="AD1466" s="380" t="str">
        <f>VLOOKUP($B1466,'D7 - NDB Impacted SPRF''s'!$E$6:$O$9929,5,FALSE)</f>
        <v>Membership Growth / Revenue Programs</v>
      </c>
      <c r="AE1466" s="380" t="str">
        <f>VLOOKUP($B1466,'D7 - NDB Impacted SPRF''s'!$E$6:$O$9929,7,FALSE)</f>
        <v>Roger Wambheim</v>
      </c>
      <c r="AF1466" s="380" t="str">
        <f>VLOOKUP($B1466,'D7 - NDB Impacted SPRF''s'!$E$6:$O$9929,6,FALSE)</f>
        <v>Cassandra Logue</v>
      </c>
      <c r="AG1466" s="282"/>
      <c r="AH1466" s="311" t="e">
        <f>INDEX('D5 - Gatekeeper - Projects'!$A$4:$AF$1010,$AM1466, 17)</f>
        <v>#N/A</v>
      </c>
      <c r="AI1466" s="8"/>
      <c r="AJ1466" s="57"/>
      <c r="AK1466" s="105"/>
      <c r="AM1466" s="6" t="e">
        <f>MATCH(D1466,'D5 - Gatekeeper - Projects'!$C$4:$C$1010,0)</f>
        <v>#N/A</v>
      </c>
      <c r="AN1466" s="6" t="b">
        <f t="shared" si="150"/>
        <v>1</v>
      </c>
      <c r="AO1466" s="6" t="str">
        <f t="shared" si="152"/>
        <v>OK</v>
      </c>
      <c r="AQ1466" s="6" t="e">
        <f>MATCH($D1466,'D4 - Provider Council Unsched'!$C$11:$C$234,0)</f>
        <v>#N/A</v>
      </c>
      <c r="AR1466" s="6" t="b">
        <f t="shared" si="151"/>
        <v>1</v>
      </c>
      <c r="AS1466" s="6" t="str">
        <f t="shared" si="157"/>
        <v>OK</v>
      </c>
      <c r="AU1466" s="202">
        <v>40343</v>
      </c>
      <c r="AV1466" s="262"/>
      <c r="AW1466" s="274"/>
    </row>
    <row r="1467" spans="1:49" s="13" customFormat="1" ht="33.75" x14ac:dyDescent="0.2">
      <c r="A1467" s="14">
        <v>1443</v>
      </c>
      <c r="B1467" s="14">
        <v>400033418</v>
      </c>
      <c r="C1467" s="8" t="s">
        <v>3763</v>
      </c>
      <c r="D1467" s="4" t="str">
        <f t="shared" si="156"/>
        <v>400033418R2</v>
      </c>
      <c r="E1467" s="309" t="str">
        <f>VLOOKUP($B1467,'D7 - NDB Impacted SPRF''s'!$E$6:$O$9929,2,FALSE)</f>
        <v>COSMOS Provider Number Field Expansion</v>
      </c>
      <c r="F1467" s="8" t="s">
        <v>2114</v>
      </c>
      <c r="G1467" s="8" t="s">
        <v>4758</v>
      </c>
      <c r="H1467" s="8" t="s">
        <v>4246</v>
      </c>
      <c r="I1467" s="20">
        <v>9.1</v>
      </c>
      <c r="J1467" s="8" t="s">
        <v>4862</v>
      </c>
      <c r="K1467" s="182">
        <v>40677</v>
      </c>
      <c r="L1467" s="8" t="s">
        <v>4156</v>
      </c>
      <c r="M1467" s="8" t="s">
        <v>2814</v>
      </c>
      <c r="N1467" s="38" t="s">
        <v>6045</v>
      </c>
      <c r="O1467" s="8"/>
      <c r="P1467" s="4" t="str">
        <f>VLOOKUP($B1467,'D7 - NDB Impacted SPRF''s'!$E$16:$O$9929,9,FALSE)</f>
        <v>Y</v>
      </c>
      <c r="Q1467" s="4" t="str">
        <f>VLOOKUP($B1467,'D7 - NDB Impacted SPRF''s'!$E$16:$O$9929,10,FALSE)</f>
        <v>N</v>
      </c>
      <c r="R1467" s="4" t="str">
        <f>VLOOKUP($B1467,'D7 - NDB Impacted SPRF''s'!$E$16:$O$9929,11,FALSE)</f>
        <v>Y</v>
      </c>
      <c r="S1467" s="8"/>
      <c r="T1467" s="310"/>
      <c r="U1467" s="310"/>
      <c r="V1467" s="4"/>
      <c r="W1467" s="4"/>
      <c r="X1467" s="4"/>
      <c r="Y1467" s="4"/>
      <c r="Z1467" s="4"/>
      <c r="AA1467" s="4"/>
      <c r="AB1467" s="380" t="str">
        <f>VLOOKUP($B1467,'D7 - NDB Impacted SPRF''s'!$E$6:$O$9929,4,FALSE)</f>
        <v>Completed</v>
      </c>
      <c r="AC1467" s="380" t="str">
        <f>VLOOKUP($B1467,'D7 - NDB Impacted SPRF''s'!$E$6:$O$9929,3,FALSE)</f>
        <v>UnitedHealthcare Medicare &amp; Retirement</v>
      </c>
      <c r="AD1467" s="380" t="str">
        <f>VLOOKUP($B1467,'D7 - NDB Impacted SPRF''s'!$E$6:$O$9929,5,FALSE)</f>
        <v>Product Development</v>
      </c>
      <c r="AE1467" s="380" t="str">
        <f>VLOOKUP($B1467,'D7 - NDB Impacted SPRF''s'!$E$6:$O$9929,7,FALSE)</f>
        <v>Pam Stegora Axberg</v>
      </c>
      <c r="AF1467" s="380" t="str">
        <f>VLOOKUP($B1467,'D7 - NDB Impacted SPRF''s'!$E$6:$O$9929,6,FALSE)</f>
        <v>Robert OBrien</v>
      </c>
      <c r="AG1467" s="282"/>
      <c r="AH1467" s="311" t="e">
        <f>INDEX('D5 - Gatekeeper - Projects'!$A$4:$AF$1010,$AM1467, 17)</f>
        <v>#N/A</v>
      </c>
      <c r="AI1467" s="8"/>
      <c r="AJ1467" s="57"/>
      <c r="AK1467" s="105"/>
      <c r="AM1467" s="6" t="e">
        <f>MATCH(D1467,'D5 - Gatekeeper - Projects'!$C$4:$C$1010,0)</f>
        <v>#N/A</v>
      </c>
      <c r="AN1467" s="6" t="b">
        <f t="shared" si="150"/>
        <v>1</v>
      </c>
      <c r="AO1467" s="6" t="str">
        <f t="shared" si="152"/>
        <v>OK</v>
      </c>
      <c r="AQ1467" s="6" t="e">
        <f>MATCH($D1467,'D4 - Provider Council Unsched'!$C$11:$C$234,0)</f>
        <v>#N/A</v>
      </c>
      <c r="AR1467" s="6" t="b">
        <f t="shared" si="151"/>
        <v>1</v>
      </c>
      <c r="AS1467" s="6" t="str">
        <f t="shared" si="157"/>
        <v>OK</v>
      </c>
      <c r="AU1467" s="202">
        <v>40494</v>
      </c>
      <c r="AV1467" s="262"/>
      <c r="AW1467" s="274"/>
    </row>
    <row r="1468" spans="1:49" s="13" customFormat="1" ht="22.5" x14ac:dyDescent="0.2">
      <c r="A1468" s="14">
        <v>1444</v>
      </c>
      <c r="B1468" s="8">
        <v>400033823</v>
      </c>
      <c r="C1468" s="8" t="s">
        <v>7290</v>
      </c>
      <c r="D1468" s="4" t="str">
        <f t="shared" si="156"/>
        <v>400033823B</v>
      </c>
      <c r="E1468" s="309" t="str">
        <f>VLOOKUP($B1468,'D7 - NDB Impacted SPRF''s'!$E$6:$O$9929,2,FALSE)</f>
        <v>CDB Online - Convert EEMS to Update CDB</v>
      </c>
      <c r="F1468" s="8"/>
      <c r="G1468" s="8" t="s">
        <v>4758</v>
      </c>
      <c r="H1468" s="8" t="s">
        <v>4246</v>
      </c>
      <c r="I1468" s="20">
        <v>1.35</v>
      </c>
      <c r="J1468" s="8" t="s">
        <v>4862</v>
      </c>
      <c r="K1468" s="182">
        <v>40677</v>
      </c>
      <c r="L1468" s="8" t="s">
        <v>4156</v>
      </c>
      <c r="M1468" s="8" t="s">
        <v>4450</v>
      </c>
      <c r="N1468" s="38" t="s">
        <v>4278</v>
      </c>
      <c r="O1468" s="8"/>
      <c r="P1468" s="4" t="str">
        <f>VLOOKUP($B1468,'D7 - NDB Impacted SPRF''s'!$E$16:$O$9929,9,FALSE)</f>
        <v>N</v>
      </c>
      <c r="Q1468" s="4" t="str">
        <f>VLOOKUP($B1468,'D7 - NDB Impacted SPRF''s'!$E$16:$O$9929,10,FALSE)</f>
        <v>N</v>
      </c>
      <c r="R1468" s="4" t="str">
        <f>VLOOKUP($B1468,'D7 - NDB Impacted SPRF''s'!$E$16:$O$9929,11,FALSE)</f>
        <v>N</v>
      </c>
      <c r="S1468" s="8"/>
      <c r="T1468" s="310"/>
      <c r="U1468" s="310"/>
      <c r="V1468" s="4"/>
      <c r="W1468" s="4"/>
      <c r="X1468" s="4"/>
      <c r="Y1468" s="4"/>
      <c r="Z1468" s="4"/>
      <c r="AA1468" s="4"/>
      <c r="AB1468" s="380" t="str">
        <f>VLOOKUP($B1468,'D7 - NDB Impacted SPRF''s'!$E$6:$O$9929,4,FALSE)</f>
        <v>Completed</v>
      </c>
      <c r="AC1468" s="380" t="str">
        <f>VLOOKUP($B1468,'D7 - NDB Impacted SPRF''s'!$E$6:$O$9929,3,FALSE)</f>
        <v>UHG IT - Shared Services</v>
      </c>
      <c r="AD1468" s="380" t="str">
        <f>VLOOKUP($B1468,'D7 - NDB Impacted SPRF''s'!$E$6:$O$9929,5,FALSE)</f>
        <v>Strategic Initiatives</v>
      </c>
      <c r="AE1468" s="380" t="str">
        <f>VLOOKUP($B1468,'D7 - NDB Impacted SPRF''s'!$E$6:$O$9929,7,FALSE)</f>
        <v>Patrick Casey</v>
      </c>
      <c r="AF1468" s="380" t="str">
        <f>VLOOKUP($B1468,'D7 - NDB Impacted SPRF''s'!$E$6:$O$9929,6,FALSE)</f>
        <v>Sue Meotti</v>
      </c>
      <c r="AG1468" s="282"/>
      <c r="AH1468" s="311" t="e">
        <f>INDEX('D5 - Gatekeeper - Projects'!$A$4:$AF$1010,$AM1468, 17)</f>
        <v>#N/A</v>
      </c>
      <c r="AI1468" s="8"/>
      <c r="AJ1468" s="57"/>
      <c r="AK1468" s="105"/>
      <c r="AM1468" s="6" t="e">
        <f>MATCH(D1468,'D5 - Gatekeeper - Projects'!$C$4:$C$1010,0)</f>
        <v>#N/A</v>
      </c>
      <c r="AN1468" s="6" t="b">
        <f t="shared" si="150"/>
        <v>1</v>
      </c>
      <c r="AO1468" s="6" t="str">
        <f t="shared" si="152"/>
        <v>OK</v>
      </c>
      <c r="AQ1468" s="6" t="e">
        <f>MATCH($D1468,'D4 - Provider Council Unsched'!$C$11:$C$234,0)</f>
        <v>#N/A</v>
      </c>
      <c r="AR1468" s="6" t="b">
        <f t="shared" si="151"/>
        <v>1</v>
      </c>
      <c r="AS1468" s="6" t="str">
        <f t="shared" si="157"/>
        <v>OK</v>
      </c>
      <c r="AU1468" s="202">
        <v>40592</v>
      </c>
      <c r="AV1468" s="262"/>
      <c r="AW1468" s="274"/>
    </row>
    <row r="1469" spans="1:49" s="13" customFormat="1" ht="33.75" x14ac:dyDescent="0.2">
      <c r="A1469" s="14">
        <v>1445</v>
      </c>
      <c r="B1469" s="14">
        <v>400034464</v>
      </c>
      <c r="C1469" s="8" t="s">
        <v>5197</v>
      </c>
      <c r="D1469" s="4" t="str">
        <f t="shared" si="156"/>
        <v>400034464R1</v>
      </c>
      <c r="E1469" s="309" t="str">
        <f>VLOOKUP($B1469,'D7 - NDB Impacted SPRF''s'!$E$6:$O$9929,2,FALSE)</f>
        <v>Fix to CT State-Req Mid-Lvl Provider Report</v>
      </c>
      <c r="F1469" s="8" t="s">
        <v>2114</v>
      </c>
      <c r="G1469" s="8" t="s">
        <v>4758</v>
      </c>
      <c r="H1469" s="8" t="s">
        <v>4246</v>
      </c>
      <c r="I1469" s="20">
        <v>7.31</v>
      </c>
      <c r="J1469" s="8" t="s">
        <v>4862</v>
      </c>
      <c r="K1469" s="182">
        <v>40677</v>
      </c>
      <c r="L1469" s="8" t="s">
        <v>4156</v>
      </c>
      <c r="M1469" s="8" t="s">
        <v>2814</v>
      </c>
      <c r="N1469" s="38" t="s">
        <v>636</v>
      </c>
      <c r="O1469" s="8"/>
      <c r="P1469" s="4" t="str">
        <f>VLOOKUP($B1469,'D7 - NDB Impacted SPRF''s'!$E$16:$O$9929,9,FALSE)</f>
        <v>N</v>
      </c>
      <c r="Q1469" s="4" t="str">
        <f>VLOOKUP($B1469,'D7 - NDB Impacted SPRF''s'!$E$16:$O$9929,10,FALSE)</f>
        <v>N</v>
      </c>
      <c r="R1469" s="4" t="str">
        <f>VLOOKUP($B1469,'D7 - NDB Impacted SPRF''s'!$E$16:$O$9929,11,FALSE)</f>
        <v>N</v>
      </c>
      <c r="S1469" s="8"/>
      <c r="T1469" s="310"/>
      <c r="U1469" s="310"/>
      <c r="V1469" s="4"/>
      <c r="W1469" s="4"/>
      <c r="X1469" s="4"/>
      <c r="Y1469" s="4"/>
      <c r="Z1469" s="4"/>
      <c r="AA1469" s="4"/>
      <c r="AB1469" s="380" t="str">
        <f>VLOOKUP($B1469,'D7 - NDB Impacted SPRF''s'!$E$6:$O$9929,4,FALSE)</f>
        <v>Completed</v>
      </c>
      <c r="AC1469" s="380" t="str">
        <f>VLOOKUP($B1469,'D7 - NDB Impacted SPRF''s'!$E$6:$O$9929,3,FALSE)</f>
        <v>UnitedHealthcare Community &amp; State</v>
      </c>
      <c r="AD1469" s="380" t="str">
        <f>VLOOKUP($B1469,'D7 - NDB Impacted SPRF''s'!$E$6:$O$9929,5,FALSE)</f>
        <v>Evercare Medicaid</v>
      </c>
      <c r="AE1469" s="380" t="str">
        <f>VLOOKUP($B1469,'D7 - NDB Impacted SPRF''s'!$E$6:$O$9929,7,FALSE)</f>
        <v>Rita Johnson-Mills</v>
      </c>
      <c r="AF1469" s="380" t="str">
        <f>VLOOKUP($B1469,'D7 - NDB Impacted SPRF''s'!$E$6:$O$9929,6,FALSE)</f>
        <v>Ronald Wilson</v>
      </c>
      <c r="AG1469" s="282"/>
      <c r="AH1469" s="311" t="e">
        <f>INDEX('D5 - Gatekeeper - Projects'!$A$4:$AF$1010,$AM1469, 17)</f>
        <v>#N/A</v>
      </c>
      <c r="AI1469" s="8"/>
      <c r="AJ1469" s="57"/>
      <c r="AK1469" s="105"/>
      <c r="AM1469" s="6" t="e">
        <f>MATCH(D1469,'D5 - Gatekeeper - Projects'!$C$4:$C$1010,0)</f>
        <v>#N/A</v>
      </c>
      <c r="AN1469" s="6" t="b">
        <f t="shared" si="150"/>
        <v>1</v>
      </c>
      <c r="AO1469" s="6" t="str">
        <f t="shared" si="152"/>
        <v>OK</v>
      </c>
      <c r="AQ1469" s="6" t="e">
        <f>MATCH($D1469,'D4 - Provider Council Unsched'!$C$11:$C$234,0)</f>
        <v>#N/A</v>
      </c>
      <c r="AR1469" s="6" t="b">
        <f t="shared" si="151"/>
        <v>1</v>
      </c>
      <c r="AS1469" s="6" t="str">
        <f>IF(AND(H1469="2 - Not Scheduled",AR1469=TRUE),"Add","OK")</f>
        <v>OK</v>
      </c>
      <c r="AU1469" s="202">
        <v>40470</v>
      </c>
      <c r="AV1469" s="262"/>
      <c r="AW1469" s="274"/>
    </row>
    <row r="1470" spans="1:49" s="13" customFormat="1" x14ac:dyDescent="0.2">
      <c r="A1470" s="14">
        <v>1446</v>
      </c>
      <c r="B1470" s="14">
        <v>400034915</v>
      </c>
      <c r="C1470" s="8" t="s">
        <v>3763</v>
      </c>
      <c r="D1470" s="4" t="str">
        <f t="shared" si="156"/>
        <v>400034915R2</v>
      </c>
      <c r="E1470" s="309" t="str">
        <f>VLOOKUP($B1470,'D7 - NDB Impacted SPRF''s'!$E$6:$O$9929,2,FALSE)</f>
        <v>Changes to provider functions in COMET</v>
      </c>
      <c r="F1470" s="8" t="s">
        <v>2114</v>
      </c>
      <c r="G1470" s="8" t="s">
        <v>4758</v>
      </c>
      <c r="H1470" s="8" t="s">
        <v>4246</v>
      </c>
      <c r="I1470" s="20">
        <v>7.98</v>
      </c>
      <c r="J1470" s="8" t="s">
        <v>4862</v>
      </c>
      <c r="K1470" s="182">
        <v>40677</v>
      </c>
      <c r="L1470" s="8" t="s">
        <v>4156</v>
      </c>
      <c r="M1470" s="8" t="s">
        <v>2814</v>
      </c>
      <c r="N1470" s="38" t="s">
        <v>1891</v>
      </c>
      <c r="O1470" s="8"/>
      <c r="P1470" s="4" t="str">
        <f>VLOOKUP($B1470,'D7 - NDB Impacted SPRF''s'!$E$16:$O$9929,9,FALSE)</f>
        <v>Y</v>
      </c>
      <c r="Q1470" s="4" t="str">
        <f>VLOOKUP($B1470,'D7 - NDB Impacted SPRF''s'!$E$16:$O$9929,10,FALSE)</f>
        <v>N</v>
      </c>
      <c r="R1470" s="4" t="str">
        <f>VLOOKUP($B1470,'D7 - NDB Impacted SPRF''s'!$E$16:$O$9929,11,FALSE)</f>
        <v>N</v>
      </c>
      <c r="S1470" s="8"/>
      <c r="T1470" s="310"/>
      <c r="U1470" s="310"/>
      <c r="V1470" s="4"/>
      <c r="W1470" s="4"/>
      <c r="X1470" s="4"/>
      <c r="Y1470" s="4"/>
      <c r="Z1470" s="4"/>
      <c r="AA1470" s="4"/>
      <c r="AB1470" s="380" t="str">
        <f>VLOOKUP($B1470,'D7 - NDB Impacted SPRF''s'!$E$6:$O$9929,4,FALSE)</f>
        <v>Completed</v>
      </c>
      <c r="AC1470" s="380" t="str">
        <f>VLOOKUP($B1470,'D7 - NDB Impacted SPRF''s'!$E$6:$O$9929,3,FALSE)</f>
        <v>OptumHealth</v>
      </c>
      <c r="AD1470" s="380" t="str">
        <f>VLOOKUP($B1470,'D7 - NDB Impacted SPRF''s'!$E$6:$O$9929,5,FALSE)</f>
        <v>Behavioral Solutions</v>
      </c>
      <c r="AE1470" s="380" t="str">
        <f>VLOOKUP($B1470,'D7 - NDB Impacted SPRF''s'!$E$6:$O$9929,7,FALSE)</f>
        <v>Bob Preston</v>
      </c>
      <c r="AF1470" s="380" t="str">
        <f>VLOOKUP($B1470,'D7 - NDB Impacted SPRF''s'!$E$6:$O$9929,6,FALSE)</f>
        <v>Rebecca Embry</v>
      </c>
      <c r="AG1470" s="282"/>
      <c r="AH1470" s="311" t="e">
        <f>INDEX('D5 - Gatekeeper - Projects'!$A$4:$AF$1010,$AM1470, 17)</f>
        <v>#N/A</v>
      </c>
      <c r="AI1470" s="8"/>
      <c r="AJ1470" s="57"/>
      <c r="AK1470" s="105"/>
      <c r="AM1470" s="6" t="e">
        <f>MATCH(D1470,'D5 - Gatekeeper - Projects'!$C$4:$C$1010,0)</f>
        <v>#N/A</v>
      </c>
      <c r="AN1470" s="6" t="b">
        <f t="shared" si="150"/>
        <v>1</v>
      </c>
      <c r="AO1470" s="6" t="str">
        <f t="shared" si="152"/>
        <v>OK</v>
      </c>
      <c r="AQ1470" s="6" t="e">
        <f>MATCH($D1470,'D4 - Provider Council Unsched'!$C$11:$C$234,0)</f>
        <v>#N/A</v>
      </c>
      <c r="AR1470" s="6" t="b">
        <f t="shared" si="151"/>
        <v>1</v>
      </c>
      <c r="AS1470" s="6" t="str">
        <f t="shared" ref="AS1470:AS1508" si="158">IF(AND(H1470="2 - Not Scheduled",AR1470=TRUE,C1470="R1"),"Add","OK")</f>
        <v>OK</v>
      </c>
      <c r="AU1470" s="202">
        <v>40567</v>
      </c>
      <c r="AV1470" s="262"/>
      <c r="AW1470" s="274"/>
    </row>
    <row r="1471" spans="1:49" s="13" customFormat="1" ht="33.75" x14ac:dyDescent="0.2">
      <c r="A1471" s="14">
        <v>1447</v>
      </c>
      <c r="B1471" s="8">
        <v>400036131</v>
      </c>
      <c r="C1471" s="8" t="s">
        <v>1447</v>
      </c>
      <c r="D1471" s="4" t="str">
        <f t="shared" si="156"/>
        <v>400036131A</v>
      </c>
      <c r="E1471" s="309" t="str">
        <f>VLOOKUP($B1471,'D7 - NDB Impacted SPRF''s'!$E$6:$O$9929,2,FALSE)</f>
        <v>EOB Print 2010</v>
      </c>
      <c r="F1471" s="8"/>
      <c r="G1471" s="8" t="s">
        <v>4758</v>
      </c>
      <c r="H1471" s="8" t="s">
        <v>4246</v>
      </c>
      <c r="I1471" s="20">
        <v>0.6</v>
      </c>
      <c r="J1471" s="8" t="s">
        <v>4862</v>
      </c>
      <c r="K1471" s="182">
        <v>40677</v>
      </c>
      <c r="L1471" s="8" t="s">
        <v>4156</v>
      </c>
      <c r="M1471" s="8" t="s">
        <v>5626</v>
      </c>
      <c r="N1471" s="38" t="s">
        <v>1191</v>
      </c>
      <c r="O1471" s="8"/>
      <c r="P1471" s="4" t="str">
        <f>VLOOKUP($B1471,'D7 - NDB Impacted SPRF''s'!$E$16:$O$9929,9,FALSE)</f>
        <v>Y</v>
      </c>
      <c r="Q1471" s="4" t="str">
        <f>VLOOKUP($B1471,'D7 - NDB Impacted SPRF''s'!$E$16:$O$9929,10,FALSE)</f>
        <v>N</v>
      </c>
      <c r="R1471" s="4" t="str">
        <f>VLOOKUP($B1471,'D7 - NDB Impacted SPRF''s'!$E$16:$O$9929,11,FALSE)</f>
        <v>N</v>
      </c>
      <c r="S1471" s="8"/>
      <c r="T1471" s="310"/>
      <c r="U1471" s="310"/>
      <c r="V1471" s="4"/>
      <c r="W1471" s="4"/>
      <c r="X1471" s="4"/>
      <c r="Y1471" s="4"/>
      <c r="Z1471" s="4"/>
      <c r="AA1471" s="4"/>
      <c r="AB1471" s="380" t="str">
        <f>VLOOKUP($B1471,'D7 - NDB Impacted SPRF''s'!$E$6:$O$9929,4,FALSE)</f>
        <v>Completed</v>
      </c>
      <c r="AC1471" s="380" t="str">
        <f>VLOOKUP($B1471,'D7 - NDB Impacted SPRF''s'!$E$6:$O$9929,3,FALSE)</f>
        <v>UnitedHealthcare Employer &amp; Individual</v>
      </c>
      <c r="AD1471" s="380" t="str">
        <f>VLOOKUP($B1471,'D7 - NDB Impacted SPRF''s'!$E$6:$O$9929,5,FALSE)</f>
        <v>Process Improvement</v>
      </c>
      <c r="AE1471" s="380" t="str">
        <f>VLOOKUP($B1471,'D7 - NDB Impacted SPRF''s'!$E$6:$O$9929,7,FALSE)</f>
        <v>Chris Kent</v>
      </c>
      <c r="AF1471" s="380" t="str">
        <f>VLOOKUP($B1471,'D7 - NDB Impacted SPRF''s'!$E$6:$O$9929,6,FALSE)</f>
        <v>Melinda Banks</v>
      </c>
      <c r="AG1471" s="282"/>
      <c r="AH1471" s="311" t="e">
        <f>INDEX('D5 - Gatekeeper - Projects'!$A$4:$AF$1010,$AM1471, 17)</f>
        <v>#N/A</v>
      </c>
      <c r="AI1471" s="8"/>
      <c r="AJ1471" s="57"/>
      <c r="AK1471" s="105"/>
      <c r="AM1471" s="6" t="e">
        <f>MATCH(D1471,'D5 - Gatekeeper - Projects'!$C$4:$C$1010,0)</f>
        <v>#N/A</v>
      </c>
      <c r="AN1471" s="6" t="b">
        <f t="shared" si="150"/>
        <v>1</v>
      </c>
      <c r="AO1471" s="6" t="str">
        <f t="shared" si="152"/>
        <v>OK</v>
      </c>
      <c r="AQ1471" s="6" t="e">
        <f>MATCH($D1471,'D4 - Provider Council Unsched'!$C$11:$C$234,0)</f>
        <v>#N/A</v>
      </c>
      <c r="AR1471" s="6" t="b">
        <f t="shared" si="151"/>
        <v>1</v>
      </c>
      <c r="AS1471" s="6" t="str">
        <f t="shared" si="158"/>
        <v>OK</v>
      </c>
      <c r="AU1471" s="202">
        <v>40581</v>
      </c>
      <c r="AV1471" s="262"/>
      <c r="AW1471" s="274"/>
    </row>
    <row r="1472" spans="1:49" s="13" customFormat="1" ht="33.75" x14ac:dyDescent="0.2">
      <c r="A1472" s="14">
        <v>1448</v>
      </c>
      <c r="B1472" s="8">
        <v>400037013</v>
      </c>
      <c r="C1472" s="8" t="s">
        <v>1447</v>
      </c>
      <c r="D1472" s="4" t="str">
        <f t="shared" si="156"/>
        <v>400037013A</v>
      </c>
      <c r="E1472" s="309" t="str">
        <f>VLOOKUP($B1472,'D7 - NDB Impacted SPRF''s'!$E$6:$O$9929,2,FALSE)</f>
        <v>PacifiCare Brand Transition</v>
      </c>
      <c r="F1472" s="8"/>
      <c r="G1472" s="8" t="s">
        <v>4758</v>
      </c>
      <c r="H1472" s="8" t="s">
        <v>4246</v>
      </c>
      <c r="I1472" s="20">
        <v>0.03</v>
      </c>
      <c r="J1472" s="8" t="s">
        <v>4862</v>
      </c>
      <c r="K1472" s="182">
        <v>40677</v>
      </c>
      <c r="L1472" s="8" t="s">
        <v>4156</v>
      </c>
      <c r="M1472" s="8" t="s">
        <v>4450</v>
      </c>
      <c r="N1472" s="38" t="s">
        <v>6041</v>
      </c>
      <c r="O1472" s="8"/>
      <c r="P1472" s="4" t="str">
        <f>VLOOKUP($B1472,'D7 - NDB Impacted SPRF''s'!$E$16:$O$9929,9,FALSE)</f>
        <v>Y</v>
      </c>
      <c r="Q1472" s="4" t="str">
        <f>VLOOKUP($B1472,'D7 - NDB Impacted SPRF''s'!$E$16:$O$9929,10,FALSE)</f>
        <v>N</v>
      </c>
      <c r="R1472" s="4" t="str">
        <f>VLOOKUP($B1472,'D7 - NDB Impacted SPRF''s'!$E$16:$O$9929,11,FALSE)</f>
        <v>N</v>
      </c>
      <c r="S1472" s="8"/>
      <c r="T1472" s="310"/>
      <c r="U1472" s="310"/>
      <c r="V1472" s="4"/>
      <c r="W1472" s="4"/>
      <c r="X1472" s="4"/>
      <c r="Y1472" s="4"/>
      <c r="Z1472" s="4"/>
      <c r="AA1472" s="4"/>
      <c r="AB1472" s="380" t="str">
        <f>VLOOKUP($B1472,'D7 - NDB Impacted SPRF''s'!$E$6:$O$9929,4,FALSE)</f>
        <v>Completed</v>
      </c>
      <c r="AC1472" s="380" t="str">
        <f>VLOOKUP($B1472,'D7 - NDB Impacted SPRF''s'!$E$6:$O$9929,3,FALSE)</f>
        <v>UnitedHealthcare Employer &amp; Individual</v>
      </c>
      <c r="AD1472" s="380" t="str">
        <f>VLOOKUP($B1472,'D7 - NDB Impacted SPRF''s'!$E$6:$O$9929,5,FALSE)</f>
        <v>Membership Growth / Revenue Programs</v>
      </c>
      <c r="AE1472" s="380" t="str">
        <f>VLOOKUP($B1472,'D7 - NDB Impacted SPRF''s'!$E$6:$O$9929,7,FALSE)</f>
        <v>Steve Nelson</v>
      </c>
      <c r="AF1472" s="380" t="str">
        <f>VLOOKUP($B1472,'D7 - NDB Impacted SPRF''s'!$E$6:$O$9929,6,FALSE)</f>
        <v>Debra Rogers</v>
      </c>
      <c r="AG1472" s="282"/>
      <c r="AH1472" s="311" t="e">
        <f>INDEX('D5 - Gatekeeper - Projects'!$A$4:$AF$1010,$AM1472, 17)</f>
        <v>#N/A</v>
      </c>
      <c r="AI1472" s="8"/>
      <c r="AJ1472" s="57"/>
      <c r="AK1472" s="105"/>
      <c r="AM1472" s="6" t="e">
        <f>MATCH(D1472,'D5 - Gatekeeper - Projects'!$C$4:$C$1010,0)</f>
        <v>#N/A</v>
      </c>
      <c r="AN1472" s="6" t="b">
        <f t="shared" si="150"/>
        <v>1</v>
      </c>
      <c r="AO1472" s="6" t="str">
        <f t="shared" si="152"/>
        <v>OK</v>
      </c>
      <c r="AQ1472" s="6" t="e">
        <f>MATCH($D1472,'D4 - Provider Council Unsched'!$C$11:$C$234,0)</f>
        <v>#N/A</v>
      </c>
      <c r="AR1472" s="6" t="b">
        <f t="shared" si="151"/>
        <v>1</v>
      </c>
      <c r="AS1472" s="6" t="str">
        <f t="shared" si="158"/>
        <v>OK</v>
      </c>
      <c r="AU1472" s="202">
        <v>40637</v>
      </c>
      <c r="AV1472" s="262"/>
      <c r="AW1472" s="274"/>
    </row>
    <row r="1473" spans="1:49" s="13" customFormat="1" ht="33.75" x14ac:dyDescent="0.2">
      <c r="A1473" s="14">
        <v>1449</v>
      </c>
      <c r="B1473" s="14">
        <v>400037131</v>
      </c>
      <c r="C1473" s="8" t="s">
        <v>3763</v>
      </c>
      <c r="D1473" s="4" t="str">
        <f t="shared" si="156"/>
        <v>400037131R2</v>
      </c>
      <c r="E1473" s="309" t="str">
        <f>VLOOKUP($B1473,'D7 - NDB Impacted SPRF''s'!$E$6:$O$9929,2,FALSE)</f>
        <v>OHBS Parity Process Improvement</v>
      </c>
      <c r="F1473" s="8"/>
      <c r="G1473" s="8" t="s">
        <v>4758</v>
      </c>
      <c r="H1473" s="8" t="s">
        <v>4246</v>
      </c>
      <c r="I1473" s="20">
        <v>5.26</v>
      </c>
      <c r="J1473" s="8" t="s">
        <v>4862</v>
      </c>
      <c r="K1473" s="182">
        <v>40677</v>
      </c>
      <c r="L1473" s="8" t="s">
        <v>4156</v>
      </c>
      <c r="M1473" s="8" t="s">
        <v>2814</v>
      </c>
      <c r="N1473" s="38" t="s">
        <v>3115</v>
      </c>
      <c r="O1473" s="8"/>
      <c r="P1473" s="4" t="str">
        <f>VLOOKUP($B1473,'D7 - NDB Impacted SPRF''s'!$E$16:$O$9929,9,FALSE)</f>
        <v>Y</v>
      </c>
      <c r="Q1473" s="4" t="str">
        <f>VLOOKUP($B1473,'D7 - NDB Impacted SPRF''s'!$E$16:$O$9929,10,FALSE)</f>
        <v>N</v>
      </c>
      <c r="R1473" s="4" t="str">
        <f>VLOOKUP($B1473,'D7 - NDB Impacted SPRF''s'!$E$16:$O$9929,11,FALSE)</f>
        <v>N</v>
      </c>
      <c r="S1473" s="8"/>
      <c r="T1473" s="310"/>
      <c r="U1473" s="310"/>
      <c r="V1473" s="4"/>
      <c r="W1473" s="4"/>
      <c r="X1473" s="4"/>
      <c r="Y1473" s="4"/>
      <c r="Z1473" s="4"/>
      <c r="AA1473" s="4"/>
      <c r="AB1473" s="380" t="str">
        <f>VLOOKUP($B1473,'D7 - NDB Impacted SPRF''s'!$E$6:$O$9929,4,FALSE)</f>
        <v>Completed</v>
      </c>
      <c r="AC1473" s="380" t="str">
        <f>VLOOKUP($B1473,'D7 - NDB Impacted SPRF''s'!$E$6:$O$9929,3,FALSE)</f>
        <v>OptumHealth</v>
      </c>
      <c r="AD1473" s="380" t="str">
        <f>VLOOKUP($B1473,'D7 - NDB Impacted SPRF''s'!$E$6:$O$9929,5,FALSE)</f>
        <v>Behavioral Solutions</v>
      </c>
      <c r="AE1473" s="380" t="str">
        <f>VLOOKUP($B1473,'D7 - NDB Impacted SPRF''s'!$E$6:$O$9929,7,FALSE)</f>
        <v>Robert Preston</v>
      </c>
      <c r="AF1473" s="380" t="str">
        <f>VLOOKUP($B1473,'D7 - NDB Impacted SPRF''s'!$E$6:$O$9929,6,FALSE)</f>
        <v>Rebecca Embry</v>
      </c>
      <c r="AG1473" s="282"/>
      <c r="AH1473" s="311" t="e">
        <f>INDEX('D5 - Gatekeeper - Projects'!$A$4:$AF$1010,$AM1473, 17)</f>
        <v>#N/A</v>
      </c>
      <c r="AI1473" s="8"/>
      <c r="AJ1473" s="57"/>
      <c r="AK1473" s="105"/>
      <c r="AM1473" s="6" t="e">
        <f>MATCH(D1473,'D5 - Gatekeeper - Projects'!$C$4:$C$1010,0)</f>
        <v>#N/A</v>
      </c>
      <c r="AN1473" s="6" t="b">
        <f t="shared" si="150"/>
        <v>1</v>
      </c>
      <c r="AO1473" s="6" t="str">
        <f t="shared" si="152"/>
        <v>OK</v>
      </c>
      <c r="AQ1473" s="6" t="e">
        <f>MATCH($D1473,'D4 - Provider Council Unsched'!$C$11:$C$234,0)</f>
        <v>#N/A</v>
      </c>
      <c r="AR1473" s="6" t="b">
        <f t="shared" si="151"/>
        <v>1</v>
      </c>
      <c r="AS1473" s="6" t="str">
        <f t="shared" si="158"/>
        <v>OK</v>
      </c>
      <c r="AU1473" s="202">
        <v>40619</v>
      </c>
      <c r="AV1473" s="262"/>
      <c r="AW1473" s="274"/>
    </row>
    <row r="1474" spans="1:49" s="13" customFormat="1" ht="45" x14ac:dyDescent="0.2">
      <c r="A1474" s="14">
        <v>1450</v>
      </c>
      <c r="B1474" s="14">
        <v>400037865</v>
      </c>
      <c r="C1474" s="8" t="s">
        <v>5197</v>
      </c>
      <c r="D1474" s="4" t="str">
        <f t="shared" si="156"/>
        <v>400037865R1</v>
      </c>
      <c r="E1474" s="309" t="str">
        <f>VLOOKUP($B1474,'D7 - NDB Impacted SPRF''s'!$E$6:$O$9929,2,FALSE)</f>
        <v>OneNet Migration - Analysis and Development</v>
      </c>
      <c r="F1474" s="8" t="s">
        <v>1931</v>
      </c>
      <c r="G1474" s="8" t="s">
        <v>4758</v>
      </c>
      <c r="H1474" s="8" t="s">
        <v>4246</v>
      </c>
      <c r="I1474" s="20">
        <v>17.78</v>
      </c>
      <c r="J1474" s="8" t="s">
        <v>4862</v>
      </c>
      <c r="K1474" s="182">
        <v>40677</v>
      </c>
      <c r="L1474" s="8" t="s">
        <v>4156</v>
      </c>
      <c r="M1474" s="8" t="s">
        <v>2814</v>
      </c>
      <c r="N1474" s="38" t="s">
        <v>2258</v>
      </c>
      <c r="O1474" s="8"/>
      <c r="P1474" s="4" t="str">
        <f>VLOOKUP($B1474,'D7 - NDB Impacted SPRF''s'!$E$16:$O$9929,9,FALSE)</f>
        <v>Y</v>
      </c>
      <c r="Q1474" s="4" t="str">
        <f>VLOOKUP($B1474,'D7 - NDB Impacted SPRF''s'!$E$16:$O$9929,10,FALSE)</f>
        <v>N</v>
      </c>
      <c r="R1474" s="4" t="str">
        <f>VLOOKUP($B1474,'D7 - NDB Impacted SPRF''s'!$E$16:$O$9929,11,FALSE)</f>
        <v>Y</v>
      </c>
      <c r="S1474" s="8"/>
      <c r="T1474" s="310"/>
      <c r="U1474" s="310"/>
      <c r="V1474" s="4"/>
      <c r="W1474" s="4"/>
      <c r="X1474" s="4"/>
      <c r="Y1474" s="4"/>
      <c r="Z1474" s="4"/>
      <c r="AA1474" s="4"/>
      <c r="AB1474" s="380" t="str">
        <f>VLOOKUP($B1474,'D7 - NDB Impacted SPRF''s'!$E$6:$O$9929,4,FALSE)</f>
        <v>Scheduled</v>
      </c>
      <c r="AC1474" s="380" t="str">
        <f>VLOOKUP($B1474,'D7 - NDB Impacted SPRF''s'!$E$6:$O$9929,3,FALSE)</f>
        <v>UnitedHealthcare Employer &amp; Individual</v>
      </c>
      <c r="AD1474" s="380" t="str">
        <f>VLOOKUP($B1474,'D7 - NDB Impacted SPRF''s'!$E$6:$O$9929,5,FALSE)</f>
        <v>Integration Requirements</v>
      </c>
      <c r="AE1474" s="380" t="str">
        <f>VLOOKUP($B1474,'D7 - NDB Impacted SPRF''s'!$E$6:$O$9929,7,FALSE)</f>
        <v>Jim Cronin</v>
      </c>
      <c r="AF1474" s="380" t="str">
        <f>VLOOKUP($B1474,'D7 - NDB Impacted SPRF''s'!$E$6:$O$9929,6,FALSE)</f>
        <v>VERONICA BELL</v>
      </c>
      <c r="AG1474" s="282"/>
      <c r="AH1474" s="311" t="e">
        <f>INDEX('D5 - Gatekeeper - Projects'!$A$4:$AF$1010,$AM1474, 17)</f>
        <v>#N/A</v>
      </c>
      <c r="AI1474" s="8"/>
      <c r="AJ1474" s="57"/>
      <c r="AK1474" s="105"/>
      <c r="AM1474" s="6" t="e">
        <f>MATCH(D1474,'D5 - Gatekeeper - Projects'!$C$4:$C$1010,0)</f>
        <v>#N/A</v>
      </c>
      <c r="AN1474" s="6" t="b">
        <f t="shared" si="150"/>
        <v>1</v>
      </c>
      <c r="AO1474" s="6" t="str">
        <f t="shared" si="152"/>
        <v>OK</v>
      </c>
      <c r="AQ1474" s="6" t="e">
        <f>MATCH($D1474,'D4 - Provider Council Unsched'!$C$11:$C$234,0)</f>
        <v>#N/A</v>
      </c>
      <c r="AR1474" s="6" t="b">
        <f t="shared" si="151"/>
        <v>1</v>
      </c>
      <c r="AS1474" s="6" t="str">
        <f t="shared" si="158"/>
        <v>OK</v>
      </c>
      <c r="AU1474" s="202">
        <v>40553</v>
      </c>
      <c r="AV1474" s="262"/>
      <c r="AW1474" s="274"/>
    </row>
    <row r="1475" spans="1:49" s="13" customFormat="1" ht="45" x14ac:dyDescent="0.2">
      <c r="A1475" s="14">
        <v>1451</v>
      </c>
      <c r="B1475" s="8">
        <v>400038388</v>
      </c>
      <c r="C1475" s="8" t="s">
        <v>2449</v>
      </c>
      <c r="D1475" s="4" t="str">
        <f t="shared" si="156"/>
        <v>400038388R3</v>
      </c>
      <c r="E1475" s="309" t="str">
        <f>VLOOKUP($B1475,'D7 - NDB Impacted SPRF''s'!$E$6:$O$9929,2,FALSE)</f>
        <v>PULSE Migration to GPS/COSMOS</v>
      </c>
      <c r="F1475" s="8"/>
      <c r="G1475" s="8" t="s">
        <v>4758</v>
      </c>
      <c r="H1475" s="8" t="s">
        <v>4246</v>
      </c>
      <c r="I1475" s="20">
        <v>0.84</v>
      </c>
      <c r="J1475" s="8" t="s">
        <v>4862</v>
      </c>
      <c r="K1475" s="182">
        <v>40677</v>
      </c>
      <c r="L1475" s="8" t="s">
        <v>4156</v>
      </c>
      <c r="M1475" s="8" t="s">
        <v>5626</v>
      </c>
      <c r="N1475" s="38" t="s">
        <v>410</v>
      </c>
      <c r="O1475" s="8"/>
      <c r="P1475" s="4" t="str">
        <f>VLOOKUP($B1475,'D7 - NDB Impacted SPRF''s'!$E$16:$O$9929,9,FALSE)</f>
        <v>Y</v>
      </c>
      <c r="Q1475" s="4" t="str">
        <f>VLOOKUP($B1475,'D7 - NDB Impacted SPRF''s'!$E$16:$O$9929,10,FALSE)</f>
        <v>N</v>
      </c>
      <c r="R1475" s="4" t="str">
        <f>VLOOKUP($B1475,'D7 - NDB Impacted SPRF''s'!$E$16:$O$9929,11,FALSE)</f>
        <v>N</v>
      </c>
      <c r="S1475" s="8"/>
      <c r="T1475" s="310"/>
      <c r="U1475" s="310"/>
      <c r="V1475" s="4"/>
      <c r="W1475" s="4"/>
      <c r="X1475" s="4"/>
      <c r="Y1475" s="4"/>
      <c r="Z1475" s="4"/>
      <c r="AA1475" s="4"/>
      <c r="AB1475" s="380" t="str">
        <f>VLOOKUP($B1475,'D7 - NDB Impacted SPRF''s'!$E$6:$O$9929,4,FALSE)</f>
        <v>Completed</v>
      </c>
      <c r="AC1475" s="380" t="str">
        <f>VLOOKUP($B1475,'D7 - NDB Impacted SPRF''s'!$E$6:$O$9929,3,FALSE)</f>
        <v>UnitedHealthcare Medicare &amp; Retirement</v>
      </c>
      <c r="AD1475" s="380" t="str">
        <f>VLOOKUP($B1475,'D7 - NDB Impacted SPRF''s'!$E$6:$O$9929,5,FALSE)</f>
        <v>Regulatory / Other</v>
      </c>
      <c r="AE1475" s="380" t="str">
        <f>VLOOKUP($B1475,'D7 - NDB Impacted SPRF''s'!$E$6:$O$9929,7,FALSE)</f>
        <v>Debi Streb</v>
      </c>
      <c r="AF1475" s="380" t="str">
        <f>VLOOKUP($B1475,'D7 - NDB Impacted SPRF''s'!$E$6:$O$9929,6,FALSE)</f>
        <v>Jessica Tattersall</v>
      </c>
      <c r="AG1475" s="282"/>
      <c r="AH1475" s="311" t="e">
        <f>INDEX('D5 - Gatekeeper - Projects'!$A$4:$AF$1010,$AM1475, 17)</f>
        <v>#N/A</v>
      </c>
      <c r="AI1475" s="8"/>
      <c r="AJ1475" s="57"/>
      <c r="AK1475" s="105"/>
      <c r="AM1475" s="6" t="e">
        <f>MATCH(D1475,'D5 - Gatekeeper - Projects'!$C$4:$C$1010,0)</f>
        <v>#N/A</v>
      </c>
      <c r="AN1475" s="6" t="b">
        <f t="shared" si="150"/>
        <v>1</v>
      </c>
      <c r="AO1475" s="6" t="str">
        <f t="shared" si="152"/>
        <v>OK</v>
      </c>
      <c r="AQ1475" s="6" t="e">
        <f>MATCH($D1475,'D4 - Provider Council Unsched'!$C$11:$C$234,0)</f>
        <v>#N/A</v>
      </c>
      <c r="AR1475" s="6" t="b">
        <f t="shared" si="151"/>
        <v>1</v>
      </c>
      <c r="AS1475" s="6" t="str">
        <f t="shared" si="158"/>
        <v>OK</v>
      </c>
      <c r="AU1475" s="202">
        <v>40616</v>
      </c>
      <c r="AV1475" s="262"/>
      <c r="AW1475" s="274"/>
    </row>
    <row r="1476" spans="1:49" s="13" customFormat="1" ht="33.75" x14ac:dyDescent="0.2">
      <c r="A1476" s="14">
        <v>1452</v>
      </c>
      <c r="B1476" s="14">
        <v>400038391</v>
      </c>
      <c r="C1476" s="8" t="s">
        <v>5197</v>
      </c>
      <c r="D1476" s="4" t="str">
        <f t="shared" si="156"/>
        <v>400038391R1</v>
      </c>
      <c r="E1476" s="309" t="str">
        <f>VLOOKUP($B1476,'D7 - NDB Impacted SPRF''s'!$E$6:$O$9929,2,FALSE)</f>
        <v>HSR Q2 2011 Release</v>
      </c>
      <c r="F1476" s="8"/>
      <c r="G1476" s="8" t="s">
        <v>4758</v>
      </c>
      <c r="H1476" s="8" t="s">
        <v>4246</v>
      </c>
      <c r="I1476" s="20">
        <v>0.6</v>
      </c>
      <c r="J1476" s="8" t="s">
        <v>4862</v>
      </c>
      <c r="K1476" s="182">
        <v>40677</v>
      </c>
      <c r="L1476" s="8" t="s">
        <v>4156</v>
      </c>
      <c r="M1476" s="8" t="s">
        <v>5626</v>
      </c>
      <c r="N1476" s="38"/>
      <c r="O1476" s="8"/>
      <c r="P1476" s="4" t="str">
        <f>VLOOKUP($B1476,'D7 - NDB Impacted SPRF''s'!$E$16:$O$9929,9,FALSE)</f>
        <v>Y</v>
      </c>
      <c r="Q1476" s="4" t="str">
        <f>VLOOKUP($B1476,'D7 - NDB Impacted SPRF''s'!$E$16:$O$9929,10,FALSE)</f>
        <v>N</v>
      </c>
      <c r="R1476" s="4" t="str">
        <f>VLOOKUP($B1476,'D7 - NDB Impacted SPRF''s'!$E$16:$O$9929,11,FALSE)</f>
        <v>N</v>
      </c>
      <c r="S1476" s="8"/>
      <c r="T1476" s="310"/>
      <c r="U1476" s="310"/>
      <c r="V1476" s="4"/>
      <c r="W1476" s="4"/>
      <c r="X1476" s="4"/>
      <c r="Y1476" s="4"/>
      <c r="Z1476" s="4"/>
      <c r="AA1476" s="4"/>
      <c r="AB1476" s="380" t="str">
        <f>VLOOKUP($B1476,'D7 - NDB Impacted SPRF''s'!$E$6:$O$9929,4,FALSE)</f>
        <v>Completed</v>
      </c>
      <c r="AC1476" s="380" t="str">
        <f>VLOOKUP($B1476,'D7 - NDB Impacted SPRF''s'!$E$6:$O$9929,3,FALSE)</f>
        <v>UnitedHealthcare Medicare &amp; Retirement</v>
      </c>
      <c r="AD1476" s="380" t="str">
        <f>VLOOKUP($B1476,'D7 - NDB Impacted SPRF''s'!$E$6:$O$9929,5,FALSE)</f>
        <v>Enterprise Clinical</v>
      </c>
      <c r="AE1476" s="380" t="str">
        <f>VLOOKUP($B1476,'D7 - NDB Impacted SPRF''s'!$E$6:$O$9929,7,FALSE)</f>
        <v>Ellen Koch</v>
      </c>
      <c r="AF1476" s="380" t="str">
        <f>VLOOKUP($B1476,'D7 - NDB Impacted SPRF''s'!$E$6:$O$9929,6,FALSE)</f>
        <v>Carol Buske</v>
      </c>
      <c r="AG1476" s="282"/>
      <c r="AH1476" s="311" t="e">
        <f>INDEX('D5 - Gatekeeper - Projects'!$A$4:$AF$1010,$AM1476, 17)</f>
        <v>#N/A</v>
      </c>
      <c r="AI1476" s="8"/>
      <c r="AJ1476" s="57"/>
      <c r="AK1476" s="105"/>
      <c r="AM1476" s="6" t="e">
        <f>MATCH(D1476,'D5 - Gatekeeper - Projects'!$C$4:$C$1010,0)</f>
        <v>#N/A</v>
      </c>
      <c r="AN1476" s="6" t="b">
        <f t="shared" si="150"/>
        <v>1</v>
      </c>
      <c r="AO1476" s="6" t="str">
        <f t="shared" si="152"/>
        <v>OK</v>
      </c>
      <c r="AQ1476" s="6" t="e">
        <f>MATCH($D1476,'D4 - Provider Council Unsched'!$C$11:$C$234,0)</f>
        <v>#N/A</v>
      </c>
      <c r="AR1476" s="6" t="b">
        <f t="shared" si="151"/>
        <v>1</v>
      </c>
      <c r="AS1476" s="6" t="str">
        <f t="shared" si="158"/>
        <v>OK</v>
      </c>
      <c r="AU1476" s="202">
        <v>40556</v>
      </c>
      <c r="AV1476" s="262"/>
      <c r="AW1476" s="274"/>
    </row>
    <row r="1477" spans="1:49" s="13" customFormat="1" ht="45" x14ac:dyDescent="0.2">
      <c r="A1477" s="14">
        <v>1453</v>
      </c>
      <c r="B1477" s="14">
        <v>400038466</v>
      </c>
      <c r="C1477" s="8" t="s">
        <v>5197</v>
      </c>
      <c r="D1477" s="4" t="str">
        <f t="shared" si="156"/>
        <v>400038466R1</v>
      </c>
      <c r="E1477" s="309" t="str">
        <f>VLOOKUP($B1477,'D7 - NDB Impacted SPRF''s'!$E$6:$O$9929,2,FALSE)</f>
        <v>iCES Clearinghouse May 2011 Maintenance Release</v>
      </c>
      <c r="F1477" s="8"/>
      <c r="G1477" s="8" t="s">
        <v>4758</v>
      </c>
      <c r="H1477" s="8" t="s">
        <v>4246</v>
      </c>
      <c r="I1477" s="20">
        <v>0.13</v>
      </c>
      <c r="J1477" s="8" t="s">
        <v>4862</v>
      </c>
      <c r="K1477" s="182">
        <v>40677</v>
      </c>
      <c r="L1477" s="8" t="s">
        <v>4156</v>
      </c>
      <c r="M1477" s="8" t="s">
        <v>5626</v>
      </c>
      <c r="N1477" s="38" t="s">
        <v>2711</v>
      </c>
      <c r="O1477" s="8"/>
      <c r="P1477" s="4" t="str">
        <f>VLOOKUP($B1477,'D7 - NDB Impacted SPRF''s'!$E$16:$O$9929,9,FALSE)</f>
        <v>N</v>
      </c>
      <c r="Q1477" s="4" t="str">
        <f>VLOOKUP($B1477,'D7 - NDB Impacted SPRF''s'!$E$16:$O$9929,10,FALSE)</f>
        <v>N</v>
      </c>
      <c r="R1477" s="4" t="str">
        <f>VLOOKUP($B1477,'D7 - NDB Impacted SPRF''s'!$E$16:$O$9929,11,FALSE)</f>
        <v>N</v>
      </c>
      <c r="S1477" s="8"/>
      <c r="T1477" s="310"/>
      <c r="U1477" s="310"/>
      <c r="V1477" s="4"/>
      <c r="W1477" s="4"/>
      <c r="X1477" s="4"/>
      <c r="Y1477" s="4"/>
      <c r="Z1477" s="4"/>
      <c r="AA1477" s="4"/>
      <c r="AB1477" s="380" t="str">
        <f>VLOOKUP($B1477,'D7 - NDB Impacted SPRF''s'!$E$6:$O$9929,4,FALSE)</f>
        <v>Completed</v>
      </c>
      <c r="AC1477" s="380" t="str">
        <f>VLOOKUP($B1477,'D7 - NDB Impacted SPRF''s'!$E$6:$O$9929,3,FALSE)</f>
        <v>UnitedHealthcare Employer &amp; Individual</v>
      </c>
      <c r="AD1477" s="380" t="str">
        <f>VLOOKUP($B1477,'D7 - NDB Impacted SPRF''s'!$E$6:$O$9929,5,FALSE)</f>
        <v>Operational Requirements</v>
      </c>
      <c r="AE1477" s="380" t="str">
        <f>VLOOKUP($B1477,'D7 - NDB Impacted SPRF''s'!$E$6:$O$9929,7,FALSE)</f>
        <v>Elena McFann</v>
      </c>
      <c r="AF1477" s="380" t="str">
        <f>VLOOKUP($B1477,'D7 - NDB Impacted SPRF''s'!$E$6:$O$9929,6,FALSE)</f>
        <v>DAWN BOLLER</v>
      </c>
      <c r="AG1477" s="282"/>
      <c r="AH1477" s="311" t="e">
        <f>INDEX('D5 - Gatekeeper - Projects'!$A$4:$AF$1010,$AM1477, 17)</f>
        <v>#N/A</v>
      </c>
      <c r="AI1477" s="8"/>
      <c r="AJ1477" s="57"/>
      <c r="AK1477" s="105"/>
      <c r="AM1477" s="6" t="e">
        <f>MATCH(D1477,'D5 - Gatekeeper - Projects'!$C$4:$C$1010,0)</f>
        <v>#N/A</v>
      </c>
      <c r="AN1477" s="6" t="b">
        <f t="shared" si="150"/>
        <v>1</v>
      </c>
      <c r="AO1477" s="6" t="str">
        <f t="shared" si="152"/>
        <v>OK</v>
      </c>
      <c r="AQ1477" s="6" t="e">
        <f>MATCH($D1477,'D4 - Provider Council Unsched'!$C$11:$C$234,0)</f>
        <v>#N/A</v>
      </c>
      <c r="AR1477" s="6" t="b">
        <f t="shared" si="151"/>
        <v>1</v>
      </c>
      <c r="AS1477" s="6" t="str">
        <f t="shared" si="158"/>
        <v>OK</v>
      </c>
      <c r="AU1477" s="202">
        <v>40556</v>
      </c>
      <c r="AV1477" s="262"/>
      <c r="AW1477" s="274"/>
    </row>
    <row r="1478" spans="1:49" s="13" customFormat="1" ht="33.75" x14ac:dyDescent="0.2">
      <c r="A1478" s="14">
        <v>1454</v>
      </c>
      <c r="B1478" s="8">
        <v>400038669</v>
      </c>
      <c r="C1478" s="8" t="s">
        <v>7290</v>
      </c>
      <c r="D1478" s="4" t="str">
        <f t="shared" si="156"/>
        <v>400038669B</v>
      </c>
      <c r="E1478" s="309" t="str">
        <f>VLOOKUP($B1478,'D7 - NDB Impacted SPRF''s'!$E$6:$O$9929,2,FALSE)</f>
        <v>OneNet Migration NDB Y-Line Enhancement</v>
      </c>
      <c r="F1478" s="8"/>
      <c r="G1478" s="8" t="s">
        <v>4758</v>
      </c>
      <c r="H1478" s="8" t="s">
        <v>4246</v>
      </c>
      <c r="I1478" s="20">
        <v>5.99</v>
      </c>
      <c r="J1478" s="8" t="s">
        <v>4862</v>
      </c>
      <c r="K1478" s="182">
        <v>40677</v>
      </c>
      <c r="L1478" s="8" t="s">
        <v>4156</v>
      </c>
      <c r="M1478" s="8" t="s">
        <v>2814</v>
      </c>
      <c r="N1478" s="38" t="s">
        <v>551</v>
      </c>
      <c r="O1478" s="8"/>
      <c r="P1478" s="4" t="str">
        <f>VLOOKUP($B1478,'D7 - NDB Impacted SPRF''s'!$E$16:$O$9929,9,FALSE)</f>
        <v>N</v>
      </c>
      <c r="Q1478" s="4" t="str">
        <f>VLOOKUP($B1478,'D7 - NDB Impacted SPRF''s'!$E$16:$O$9929,10,FALSE)</f>
        <v>N</v>
      </c>
      <c r="R1478" s="4" t="str">
        <f>VLOOKUP($B1478,'D7 - NDB Impacted SPRF''s'!$E$16:$O$9929,11,FALSE)</f>
        <v>N</v>
      </c>
      <c r="S1478" s="8"/>
      <c r="T1478" s="310"/>
      <c r="U1478" s="310"/>
      <c r="V1478" s="4"/>
      <c r="W1478" s="4"/>
      <c r="X1478" s="4"/>
      <c r="Y1478" s="4"/>
      <c r="Z1478" s="4"/>
      <c r="AA1478" s="4"/>
      <c r="AB1478" s="380" t="str">
        <f>VLOOKUP($B1478,'D7 - NDB Impacted SPRF''s'!$E$6:$O$9929,4,FALSE)</f>
        <v>Completed</v>
      </c>
      <c r="AC1478" s="380" t="str">
        <f>VLOOKUP($B1478,'D7 - NDB Impacted SPRF''s'!$E$6:$O$9929,3,FALSE)</f>
        <v>UnitedHealthcare Employer &amp; Individual</v>
      </c>
      <c r="AD1478" s="380" t="str">
        <f>VLOOKUP($B1478,'D7 - NDB Impacted SPRF''s'!$E$6:$O$9929,5,FALSE)</f>
        <v>Integration Requirements</v>
      </c>
      <c r="AE1478" s="380" t="str">
        <f>VLOOKUP($B1478,'D7 - NDB Impacted SPRF''s'!$E$6:$O$9929,7,FALSE)</f>
        <v>Jim Cronin</v>
      </c>
      <c r="AF1478" s="380" t="str">
        <f>VLOOKUP($B1478,'D7 - NDB Impacted SPRF''s'!$E$6:$O$9929,6,FALSE)</f>
        <v>VERONICA BELL</v>
      </c>
      <c r="AG1478" s="282"/>
      <c r="AH1478" s="311" t="e">
        <f>INDEX('D5 - Gatekeeper - Projects'!$A$4:$AF$1010,$AM1478, 17)</f>
        <v>#N/A</v>
      </c>
      <c r="AI1478" s="8"/>
      <c r="AJ1478" s="57"/>
      <c r="AK1478" s="105"/>
      <c r="AM1478" s="6" t="e">
        <f>MATCH(D1478,'D5 - Gatekeeper - Projects'!$C$4:$C$1010,0)</f>
        <v>#N/A</v>
      </c>
      <c r="AN1478" s="6" t="b">
        <f t="shared" si="150"/>
        <v>1</v>
      </c>
      <c r="AO1478" s="6" t="str">
        <f t="shared" si="152"/>
        <v>OK</v>
      </c>
      <c r="AQ1478" s="6" t="e">
        <f>MATCH($D1478,'D4 - Provider Council Unsched'!$C$11:$C$234,0)</f>
        <v>#N/A</v>
      </c>
      <c r="AR1478" s="6" t="b">
        <f t="shared" si="151"/>
        <v>1</v>
      </c>
      <c r="AS1478" s="6" t="str">
        <f t="shared" si="158"/>
        <v>OK</v>
      </c>
      <c r="AU1478" s="202">
        <v>40619</v>
      </c>
      <c r="AV1478" s="262"/>
      <c r="AW1478" s="274"/>
    </row>
    <row r="1479" spans="1:49" s="13" customFormat="1" ht="33.75" x14ac:dyDescent="0.2">
      <c r="A1479" s="14">
        <v>1455</v>
      </c>
      <c r="B1479" s="8">
        <v>400038705</v>
      </c>
      <c r="C1479" s="8" t="s">
        <v>1447</v>
      </c>
      <c r="D1479" s="4" t="str">
        <f t="shared" si="156"/>
        <v>400038705A</v>
      </c>
      <c r="E1479" s="309" t="str">
        <f>VLOOKUP($B1479,'D7 - NDB Impacted SPRF''s'!$E$6:$O$9929,2,FALSE)</f>
        <v>NDC Remediation - Package Size Enhancement</v>
      </c>
      <c r="F1479" s="8"/>
      <c r="G1479" s="8" t="s">
        <v>4758</v>
      </c>
      <c r="H1479" s="8" t="s">
        <v>4246</v>
      </c>
      <c r="I1479" s="20">
        <v>11.45</v>
      </c>
      <c r="J1479" s="8" t="s">
        <v>4862</v>
      </c>
      <c r="K1479" s="182">
        <v>40677</v>
      </c>
      <c r="L1479" s="8" t="s">
        <v>4156</v>
      </c>
      <c r="M1479" s="8" t="s">
        <v>2814</v>
      </c>
      <c r="N1479" s="38"/>
      <c r="O1479" s="8"/>
      <c r="P1479" s="4" t="str">
        <f>VLOOKUP($B1479,'D7 - NDB Impacted SPRF''s'!$E$16:$O$9929,9,FALSE)</f>
        <v>N</v>
      </c>
      <c r="Q1479" s="4" t="str">
        <f>VLOOKUP($B1479,'D7 - NDB Impacted SPRF''s'!$E$16:$O$9929,10,FALSE)</f>
        <v>N</v>
      </c>
      <c r="R1479" s="4" t="str">
        <f>VLOOKUP($B1479,'D7 - NDB Impacted SPRF''s'!$E$16:$O$9929,11,FALSE)</f>
        <v>Y</v>
      </c>
      <c r="S1479" s="8"/>
      <c r="T1479" s="310"/>
      <c r="U1479" s="310"/>
      <c r="V1479" s="4"/>
      <c r="W1479" s="4"/>
      <c r="X1479" s="4"/>
      <c r="Y1479" s="4"/>
      <c r="Z1479" s="4"/>
      <c r="AA1479" s="4"/>
      <c r="AB1479" s="380" t="str">
        <f>VLOOKUP($B1479,'D7 - NDB Impacted SPRF''s'!$E$6:$O$9929,4,FALSE)</f>
        <v>Completed</v>
      </c>
      <c r="AC1479" s="380" t="str">
        <f>VLOOKUP($B1479,'D7 - NDB Impacted SPRF''s'!$E$6:$O$9929,3,FALSE)</f>
        <v>UnitedHealthcare Employer &amp; Individual</v>
      </c>
      <c r="AD1479" s="380" t="str">
        <f>VLOOKUP($B1479,'D7 - NDB Impacted SPRF''s'!$E$6:$O$9929,5,FALSE)</f>
        <v>Medical Cost Savings Programs</v>
      </c>
      <c r="AE1479" s="380" t="str">
        <f>VLOOKUP($B1479,'D7 - NDB Impacted SPRF''s'!$E$6:$O$9929,7,FALSE)</f>
        <v>Lisa McDonnel</v>
      </c>
      <c r="AF1479" s="380" t="str">
        <f>VLOOKUP($B1479,'D7 - NDB Impacted SPRF''s'!$E$6:$O$9929,6,FALSE)</f>
        <v>JAMES SHELTON</v>
      </c>
      <c r="AG1479" s="282"/>
      <c r="AH1479" s="311" t="e">
        <f>INDEX('D5 - Gatekeeper - Projects'!$A$4:$AF$1010,$AM1479, 17)</f>
        <v>#N/A</v>
      </c>
      <c r="AI1479" s="8"/>
      <c r="AJ1479" s="57"/>
      <c r="AK1479" s="105"/>
      <c r="AM1479" s="6" t="e">
        <f>MATCH(D1479,'D5 - Gatekeeper - Projects'!$C$4:$C$1010,0)</f>
        <v>#N/A</v>
      </c>
      <c r="AN1479" s="6" t="b">
        <f t="shared" si="150"/>
        <v>1</v>
      </c>
      <c r="AO1479" s="6" t="str">
        <f t="shared" si="152"/>
        <v>OK</v>
      </c>
      <c r="AQ1479" s="6" t="e">
        <f>MATCH($D1479,'D4 - Provider Council Unsched'!$C$11:$C$234,0)</f>
        <v>#N/A</v>
      </c>
      <c r="AR1479" s="6" t="b">
        <f t="shared" si="151"/>
        <v>1</v>
      </c>
      <c r="AS1479" s="6" t="str">
        <f t="shared" si="158"/>
        <v>OK</v>
      </c>
      <c r="AU1479" s="202">
        <v>40445</v>
      </c>
      <c r="AV1479" s="262"/>
      <c r="AW1479" s="274"/>
    </row>
    <row r="1480" spans="1:49" s="13" customFormat="1" ht="56.25" x14ac:dyDescent="0.2">
      <c r="A1480" s="14">
        <v>1456</v>
      </c>
      <c r="B1480" s="8">
        <v>400038885</v>
      </c>
      <c r="C1480" s="8" t="s">
        <v>7290</v>
      </c>
      <c r="D1480" s="4" t="str">
        <f t="shared" si="156"/>
        <v>400038885B</v>
      </c>
      <c r="E1480" s="309" t="str">
        <f>VLOOKUP($B1480,'D7 - NDB Impacted SPRF''s'!$E$6:$O$9929,2,FALSE)</f>
        <v>HIPAA 5010-UHC-UHC Duhaime Trading Partner Testing</v>
      </c>
      <c r="F1480" s="8"/>
      <c r="G1480" s="8" t="s">
        <v>4758</v>
      </c>
      <c r="H1480" s="8" t="s">
        <v>4246</v>
      </c>
      <c r="I1480" s="20">
        <v>1</v>
      </c>
      <c r="J1480" s="8" t="s">
        <v>4862</v>
      </c>
      <c r="K1480" s="182">
        <v>40677</v>
      </c>
      <c r="L1480" s="8" t="s">
        <v>4156</v>
      </c>
      <c r="M1480" s="8" t="s">
        <v>5626</v>
      </c>
      <c r="N1480" s="38" t="s">
        <v>2704</v>
      </c>
      <c r="O1480" s="8"/>
      <c r="P1480" s="4" t="str">
        <f>VLOOKUP($B1480,'D7 - NDB Impacted SPRF''s'!$E$16:$O$9929,9,FALSE)</f>
        <v>Y</v>
      </c>
      <c r="Q1480" s="4" t="str">
        <f>VLOOKUP($B1480,'D7 - NDB Impacted SPRF''s'!$E$16:$O$9929,10,FALSE)</f>
        <v>N</v>
      </c>
      <c r="R1480" s="4" t="str">
        <f>VLOOKUP($B1480,'D7 - NDB Impacted SPRF''s'!$E$16:$O$9929,11,FALSE)</f>
        <v>N</v>
      </c>
      <c r="S1480" s="8"/>
      <c r="T1480" s="310"/>
      <c r="U1480" s="310"/>
      <c r="V1480" s="4"/>
      <c r="W1480" s="4"/>
      <c r="X1480" s="4"/>
      <c r="Y1480" s="4"/>
      <c r="Z1480" s="4"/>
      <c r="AA1480" s="4"/>
      <c r="AB1480" s="380" t="str">
        <f>VLOOKUP($B1480,'D7 - NDB Impacted SPRF''s'!$E$6:$O$9929,4,FALSE)</f>
        <v>Completed</v>
      </c>
      <c r="AC1480" s="380" t="str">
        <f>VLOOKUP($B1480,'D7 - NDB Impacted SPRF''s'!$E$6:$O$9929,3,FALSE)</f>
        <v>UnitedHealthcare Employer &amp; Individual</v>
      </c>
      <c r="AD1480" s="380" t="str">
        <f>VLOOKUP($B1480,'D7 - NDB Impacted SPRF''s'!$E$6:$O$9929,5,FALSE)</f>
        <v>HIPAA 5010</v>
      </c>
      <c r="AE1480" s="380" t="str">
        <f>VLOOKUP($B1480,'D7 - NDB Impacted SPRF''s'!$E$6:$O$9929,7,FALSE)</f>
        <v>Ross Lippincott</v>
      </c>
      <c r="AF1480" s="380" t="str">
        <f>VLOOKUP($B1480,'D7 - NDB Impacted SPRF''s'!$E$6:$O$9929,6,FALSE)</f>
        <v>Delvis Schilling</v>
      </c>
      <c r="AG1480" s="282"/>
      <c r="AH1480" s="311" t="e">
        <f>INDEX('D5 - Gatekeeper - Projects'!$A$4:$AF$1010,$AM1480, 17)</f>
        <v>#N/A</v>
      </c>
      <c r="AI1480" s="8"/>
      <c r="AJ1480" s="57"/>
      <c r="AK1480" s="105"/>
      <c r="AM1480" s="6" t="e">
        <f>MATCH(D1480,'D5 - Gatekeeper - Projects'!$C$4:$C$1010,0)</f>
        <v>#N/A</v>
      </c>
      <c r="AN1480" s="6" t="b">
        <f t="shared" si="150"/>
        <v>1</v>
      </c>
      <c r="AO1480" s="6" t="str">
        <f t="shared" si="152"/>
        <v>OK</v>
      </c>
      <c r="AQ1480" s="6" t="e">
        <f>MATCH($D1480,'D4 - Provider Council Unsched'!$C$11:$C$234,0)</f>
        <v>#N/A</v>
      </c>
      <c r="AR1480" s="6" t="b">
        <f t="shared" si="151"/>
        <v>1</v>
      </c>
      <c r="AS1480" s="6" t="str">
        <f t="shared" si="158"/>
        <v>OK</v>
      </c>
      <c r="AU1480" s="202">
        <v>40505</v>
      </c>
      <c r="AV1480" s="262"/>
      <c r="AW1480" s="274"/>
    </row>
    <row r="1481" spans="1:49" s="13" customFormat="1" ht="33.75" x14ac:dyDescent="0.2">
      <c r="A1481" s="14">
        <v>1457</v>
      </c>
      <c r="B1481" s="8">
        <v>400039453</v>
      </c>
      <c r="C1481" s="8" t="s">
        <v>1447</v>
      </c>
      <c r="D1481" s="4" t="str">
        <f t="shared" si="156"/>
        <v>400039453A</v>
      </c>
      <c r="E1481" s="309" t="str">
        <f>VLOOKUP($B1481,'D7 - NDB Impacted SPRF''s'!$E$6:$O$9929,2,FALSE)</f>
        <v>NDC Remediation - RSA COSMOS PrePricing validation</v>
      </c>
      <c r="F1481" s="8"/>
      <c r="G1481" s="8" t="s">
        <v>4758</v>
      </c>
      <c r="H1481" s="8" t="s">
        <v>4246</v>
      </c>
      <c r="I1481" s="20">
        <v>2</v>
      </c>
      <c r="J1481" s="8" t="s">
        <v>4862</v>
      </c>
      <c r="K1481" s="182">
        <v>40677</v>
      </c>
      <c r="L1481" s="8" t="s">
        <v>4156</v>
      </c>
      <c r="M1481" s="8" t="s">
        <v>6688</v>
      </c>
      <c r="N1481" s="38"/>
      <c r="O1481" s="8"/>
      <c r="P1481" s="4" t="str">
        <f>VLOOKUP($B1481,'D7 - NDB Impacted SPRF''s'!$E$16:$O$9929,9,FALSE)</f>
        <v>N</v>
      </c>
      <c r="Q1481" s="4" t="str">
        <f>VLOOKUP($B1481,'D7 - NDB Impacted SPRF''s'!$E$16:$O$9929,10,FALSE)</f>
        <v>N</v>
      </c>
      <c r="R1481" s="4" t="str">
        <f>VLOOKUP($B1481,'D7 - NDB Impacted SPRF''s'!$E$16:$O$9929,11,FALSE)</f>
        <v>Y</v>
      </c>
      <c r="S1481" s="8"/>
      <c r="T1481" s="310"/>
      <c r="U1481" s="310"/>
      <c r="V1481" s="4"/>
      <c r="W1481" s="4"/>
      <c r="X1481" s="4"/>
      <c r="Y1481" s="4"/>
      <c r="Z1481" s="4"/>
      <c r="AA1481" s="4"/>
      <c r="AB1481" s="380" t="str">
        <f>VLOOKUP($B1481,'D7 - NDB Impacted SPRF''s'!$E$6:$O$9929,4,FALSE)</f>
        <v>Completed</v>
      </c>
      <c r="AC1481" s="380" t="str">
        <f>VLOOKUP($B1481,'D7 - NDB Impacted SPRF''s'!$E$6:$O$9929,3,FALSE)</f>
        <v>UnitedHealthcare Employer &amp; Individual</v>
      </c>
      <c r="AD1481" s="380" t="str">
        <f>VLOOKUP($B1481,'D7 - NDB Impacted SPRF''s'!$E$6:$O$9929,5,FALSE)</f>
        <v>Medical Cost Savings Programs</v>
      </c>
      <c r="AE1481" s="380" t="str">
        <f>VLOOKUP($B1481,'D7 - NDB Impacted SPRF''s'!$E$6:$O$9929,7,FALSE)</f>
        <v>Elena McFann</v>
      </c>
      <c r="AF1481" s="380" t="str">
        <f>VLOOKUP($B1481,'D7 - NDB Impacted SPRF''s'!$E$6:$O$9929,6,FALSE)</f>
        <v>Thekkot Suresh</v>
      </c>
      <c r="AG1481" s="282"/>
      <c r="AH1481" s="311" t="e">
        <f>INDEX('D5 - Gatekeeper - Projects'!$A$4:$AF$1010,$AM1481, 17)</f>
        <v>#N/A</v>
      </c>
      <c r="AI1481" s="8"/>
      <c r="AJ1481" s="57"/>
      <c r="AK1481" s="105"/>
      <c r="AM1481" s="6" t="e">
        <f>MATCH(D1481,'D5 - Gatekeeper - Projects'!$C$4:$C$1010,0)</f>
        <v>#N/A</v>
      </c>
      <c r="AN1481" s="6" t="b">
        <f t="shared" si="150"/>
        <v>1</v>
      </c>
      <c r="AO1481" s="6" t="str">
        <f t="shared" si="152"/>
        <v>OK</v>
      </c>
      <c r="AQ1481" s="6" t="e">
        <f>MATCH($D1481,'D4 - Provider Council Unsched'!$C$11:$C$234,0)</f>
        <v>#N/A</v>
      </c>
      <c r="AR1481" s="6" t="b">
        <f t="shared" si="151"/>
        <v>1</v>
      </c>
      <c r="AS1481" s="6" t="str">
        <f t="shared" si="158"/>
        <v>OK</v>
      </c>
      <c r="AU1481" s="202">
        <v>40518</v>
      </c>
      <c r="AV1481" s="262"/>
      <c r="AW1481" s="274"/>
    </row>
    <row r="1482" spans="1:49" s="13" customFormat="1" ht="33.75" x14ac:dyDescent="0.2">
      <c r="A1482" s="14">
        <v>1458</v>
      </c>
      <c r="B1482" s="8">
        <v>400039476</v>
      </c>
      <c r="C1482" s="8" t="s">
        <v>7292</v>
      </c>
      <c r="D1482" s="4" t="str">
        <f t="shared" si="156"/>
        <v>400039476C</v>
      </c>
      <c r="E1482" s="309" t="str">
        <f>VLOOKUP($B1482,'D7 - NDB Impacted SPRF''s'!$E$6:$O$9929,2,FALSE)</f>
        <v>MPFS Non-Par - Plan Does Not Pay Balance Billing</v>
      </c>
      <c r="F1482" s="8"/>
      <c r="G1482" s="8" t="s">
        <v>4758</v>
      </c>
      <c r="H1482" s="8" t="s">
        <v>4246</v>
      </c>
      <c r="I1482" s="20">
        <v>0.6</v>
      </c>
      <c r="J1482" s="8" t="s">
        <v>4862</v>
      </c>
      <c r="K1482" s="182">
        <v>40677</v>
      </c>
      <c r="L1482" s="8" t="s">
        <v>4156</v>
      </c>
      <c r="M1482" s="8" t="s">
        <v>5626</v>
      </c>
      <c r="N1482" s="38" t="s">
        <v>3068</v>
      </c>
      <c r="O1482" s="8"/>
      <c r="P1482" s="4" t="str">
        <f>VLOOKUP($B1482,'D7 - NDB Impacted SPRF''s'!$E$16:$O$9929,9,FALSE)</f>
        <v>N</v>
      </c>
      <c r="Q1482" s="4" t="str">
        <f>VLOOKUP($B1482,'D7 - NDB Impacted SPRF''s'!$E$16:$O$9929,10,FALSE)</f>
        <v>N</v>
      </c>
      <c r="R1482" s="4" t="str">
        <f>VLOOKUP($B1482,'D7 - NDB Impacted SPRF''s'!$E$16:$O$9929,11,FALSE)</f>
        <v>N</v>
      </c>
      <c r="S1482" s="8"/>
      <c r="T1482" s="310"/>
      <c r="U1482" s="310"/>
      <c r="V1482" s="4"/>
      <c r="W1482" s="4"/>
      <c r="X1482" s="4"/>
      <c r="Y1482" s="4"/>
      <c r="Z1482" s="4"/>
      <c r="AA1482" s="4"/>
      <c r="AB1482" s="380" t="str">
        <f>VLOOKUP($B1482,'D7 - NDB Impacted SPRF''s'!$E$6:$O$9929,4,FALSE)</f>
        <v>Completed</v>
      </c>
      <c r="AC1482" s="380" t="str">
        <f>VLOOKUP($B1482,'D7 - NDB Impacted SPRF''s'!$E$6:$O$9929,3,FALSE)</f>
        <v>UnitedHealthcare Medicare &amp; Retirement</v>
      </c>
      <c r="AD1482" s="380" t="str">
        <f>VLOOKUP($B1482,'D7 - NDB Impacted SPRF''s'!$E$6:$O$9929,5,FALSE)</f>
        <v>Claims Remediation</v>
      </c>
      <c r="AE1482" s="380" t="str">
        <f>VLOOKUP($B1482,'D7 - NDB Impacted SPRF''s'!$E$6:$O$9929,7,FALSE)</f>
        <v>Kelly Gilbertson</v>
      </c>
      <c r="AF1482" s="380" t="str">
        <f>VLOOKUP($B1482,'D7 - NDB Impacted SPRF''s'!$E$6:$O$9929,6,FALSE)</f>
        <v>Julie Hays</v>
      </c>
      <c r="AG1482" s="282"/>
      <c r="AH1482" s="311" t="e">
        <f>INDEX('D5 - Gatekeeper - Projects'!$A$4:$AF$1010,$AM1482, 17)</f>
        <v>#N/A</v>
      </c>
      <c r="AI1482" s="8"/>
      <c r="AJ1482" s="57"/>
      <c r="AK1482" s="105"/>
      <c r="AM1482" s="6" t="e">
        <f>MATCH(D1482,'D5 - Gatekeeper - Projects'!$C$4:$C$1010,0)</f>
        <v>#N/A</v>
      </c>
      <c r="AN1482" s="6" t="b">
        <f t="shared" si="150"/>
        <v>1</v>
      </c>
      <c r="AO1482" s="6" t="str">
        <f t="shared" si="152"/>
        <v>OK</v>
      </c>
      <c r="AQ1482" s="6" t="e">
        <f>MATCH($D1482,'D4 - Provider Council Unsched'!$C$11:$C$234,0)</f>
        <v>#N/A</v>
      </c>
      <c r="AR1482" s="6" t="b">
        <f t="shared" si="151"/>
        <v>1</v>
      </c>
      <c r="AS1482" s="6" t="str">
        <f t="shared" si="158"/>
        <v>OK</v>
      </c>
      <c r="AU1482" s="202">
        <v>40511</v>
      </c>
      <c r="AV1482" s="262"/>
      <c r="AW1482" s="274"/>
    </row>
    <row r="1483" spans="1:49" s="13" customFormat="1" x14ac:dyDescent="0.2">
      <c r="A1483" s="14">
        <v>1459</v>
      </c>
      <c r="B1483" s="8">
        <v>400039697</v>
      </c>
      <c r="C1483" s="8" t="s">
        <v>1447</v>
      </c>
      <c r="D1483" s="4" t="str">
        <f t="shared" si="156"/>
        <v>400039697A</v>
      </c>
      <c r="E1483" s="309" t="str">
        <f>VLOOKUP($B1483,'D7 - NDB Impacted SPRF''s'!$E$6:$O$9929,2,FALSE)</f>
        <v>Provider Search - PiQ Data Replacement</v>
      </c>
      <c r="F1483" s="8"/>
      <c r="G1483" s="8" t="s">
        <v>4758</v>
      </c>
      <c r="H1483" s="8" t="s">
        <v>4246</v>
      </c>
      <c r="I1483" s="20">
        <v>0.4</v>
      </c>
      <c r="J1483" s="8" t="s">
        <v>4862</v>
      </c>
      <c r="K1483" s="182">
        <v>40677</v>
      </c>
      <c r="L1483" s="8" t="s">
        <v>4156</v>
      </c>
      <c r="M1483" s="8" t="s">
        <v>5626</v>
      </c>
      <c r="N1483" s="38"/>
      <c r="O1483" s="8"/>
      <c r="P1483" s="4" t="str">
        <f>VLOOKUP($B1483,'D7 - NDB Impacted SPRF''s'!$E$16:$O$9929,9,FALSE)</f>
        <v>N</v>
      </c>
      <c r="Q1483" s="4" t="str">
        <f>VLOOKUP($B1483,'D7 - NDB Impacted SPRF''s'!$E$16:$O$9929,10,FALSE)</f>
        <v>N</v>
      </c>
      <c r="R1483" s="4" t="str">
        <f>VLOOKUP($B1483,'D7 - NDB Impacted SPRF''s'!$E$16:$O$9929,11,FALSE)</f>
        <v>N</v>
      </c>
      <c r="S1483" s="8"/>
      <c r="T1483" s="310"/>
      <c r="U1483" s="310"/>
      <c r="V1483" s="4"/>
      <c r="W1483" s="4"/>
      <c r="X1483" s="4"/>
      <c r="Y1483" s="4"/>
      <c r="Z1483" s="4"/>
      <c r="AA1483" s="4"/>
      <c r="AB1483" s="380" t="str">
        <f>VLOOKUP($B1483,'D7 - NDB Impacted SPRF''s'!$E$6:$O$9929,4,FALSE)</f>
        <v>Completed</v>
      </c>
      <c r="AC1483" s="380" t="str">
        <f>VLOOKUP($B1483,'D7 - NDB Impacted SPRF''s'!$E$6:$O$9929,3,FALSE)</f>
        <v>OptumHealth</v>
      </c>
      <c r="AD1483" s="380" t="str">
        <f>VLOOKUP($B1483,'D7 - NDB Impacted SPRF''s'!$E$6:$O$9929,5,FALSE)</f>
        <v>OptumHealth Care Solutions</v>
      </c>
      <c r="AE1483" s="380" t="str">
        <f>VLOOKUP($B1483,'D7 - NDB Impacted SPRF''s'!$E$6:$O$9929,7,FALSE)</f>
        <v>Darin Bergeson</v>
      </c>
      <c r="AF1483" s="380" t="str">
        <f>VLOOKUP($B1483,'D7 - NDB Impacted SPRF''s'!$E$6:$O$9929,6,FALSE)</f>
        <v>Darin Bergeson</v>
      </c>
      <c r="AG1483" s="282"/>
      <c r="AH1483" s="311" t="e">
        <f>INDEX('D5 - Gatekeeper - Projects'!$A$4:$AF$1010,$AM1483, 17)</f>
        <v>#N/A</v>
      </c>
      <c r="AI1483" s="8"/>
      <c r="AJ1483" s="57"/>
      <c r="AK1483" s="105"/>
      <c r="AM1483" s="6" t="e">
        <f>MATCH(D1483,'D5 - Gatekeeper - Projects'!$C$4:$C$1010,0)</f>
        <v>#N/A</v>
      </c>
      <c r="AN1483" s="6" t="b">
        <f t="shared" si="150"/>
        <v>1</v>
      </c>
      <c r="AO1483" s="6" t="str">
        <f t="shared" si="152"/>
        <v>OK</v>
      </c>
      <c r="AQ1483" s="6" t="e">
        <f>MATCH($D1483,'D4 - Provider Council Unsched'!$C$11:$C$234,0)</f>
        <v>#N/A</v>
      </c>
      <c r="AR1483" s="6" t="b">
        <f t="shared" si="151"/>
        <v>1</v>
      </c>
      <c r="AS1483" s="6" t="str">
        <f t="shared" si="158"/>
        <v>OK</v>
      </c>
      <c r="AU1483" s="202">
        <v>40619</v>
      </c>
      <c r="AV1483" s="262"/>
      <c r="AW1483" s="274"/>
    </row>
    <row r="1484" spans="1:49" s="13" customFormat="1" ht="33.75" x14ac:dyDescent="0.2">
      <c r="A1484" s="14">
        <v>1460</v>
      </c>
      <c r="B1484" s="8">
        <v>400040017</v>
      </c>
      <c r="C1484" s="8" t="s">
        <v>1447</v>
      </c>
      <c r="D1484" s="4" t="str">
        <f t="shared" si="156"/>
        <v>400040017A</v>
      </c>
      <c r="E1484" s="309" t="str">
        <f>VLOOKUP($B1484,'D7 - NDB Impacted SPRF''s'!$E$6:$O$9929,2,FALSE)</f>
        <v>ER/HBP OON Fee schedule</v>
      </c>
      <c r="F1484" s="8"/>
      <c r="G1484" s="8" t="s">
        <v>4758</v>
      </c>
      <c r="H1484" s="8" t="s">
        <v>4246</v>
      </c>
      <c r="I1484" s="20">
        <v>0.95</v>
      </c>
      <c r="J1484" s="8" t="s">
        <v>4862</v>
      </c>
      <c r="K1484" s="182">
        <v>40677</v>
      </c>
      <c r="L1484" s="8" t="s">
        <v>4156</v>
      </c>
      <c r="M1484" s="8" t="s">
        <v>6688</v>
      </c>
      <c r="N1484" s="38" t="s">
        <v>2705</v>
      </c>
      <c r="O1484" s="8"/>
      <c r="P1484" s="4" t="str">
        <f>VLOOKUP($B1484,'D7 - NDB Impacted SPRF''s'!$E$16:$O$9929,9,FALSE)</f>
        <v>Y</v>
      </c>
      <c r="Q1484" s="4" t="str">
        <f>VLOOKUP($B1484,'D7 - NDB Impacted SPRF''s'!$E$16:$O$9929,10,FALSE)</f>
        <v>N</v>
      </c>
      <c r="R1484" s="4" t="str">
        <f>VLOOKUP($B1484,'D7 - NDB Impacted SPRF''s'!$E$16:$O$9929,11,FALSE)</f>
        <v>Y</v>
      </c>
      <c r="S1484" s="8"/>
      <c r="T1484" s="310"/>
      <c r="U1484" s="310"/>
      <c r="V1484" s="4"/>
      <c r="W1484" s="4"/>
      <c r="X1484" s="4"/>
      <c r="Y1484" s="4"/>
      <c r="Z1484" s="4"/>
      <c r="AA1484" s="4"/>
      <c r="AB1484" s="380" t="str">
        <f>VLOOKUP($B1484,'D7 - NDB Impacted SPRF''s'!$E$6:$O$9929,4,FALSE)</f>
        <v>Completed</v>
      </c>
      <c r="AC1484" s="380" t="str">
        <f>VLOOKUP($B1484,'D7 - NDB Impacted SPRF''s'!$E$6:$O$9929,3,FALSE)</f>
        <v>UnitedHealthcare Employer &amp; Individual</v>
      </c>
      <c r="AD1484" s="380" t="str">
        <f>VLOOKUP($B1484,'D7 - NDB Impacted SPRF''s'!$E$6:$O$9929,5,FALSE)</f>
        <v>Medical Cost Savings Programs</v>
      </c>
      <c r="AE1484" s="380" t="str">
        <f>VLOOKUP($B1484,'D7 - NDB Impacted SPRF''s'!$E$6:$O$9929,7,FALSE)</f>
        <v>Molly Knorr</v>
      </c>
      <c r="AF1484" s="380" t="str">
        <f>VLOOKUP($B1484,'D7 - NDB Impacted SPRF''s'!$E$6:$O$9929,6,FALSE)</f>
        <v>SARAH PETERSON</v>
      </c>
      <c r="AG1484" s="282"/>
      <c r="AH1484" s="311" t="e">
        <f>INDEX('D5 - Gatekeeper - Projects'!$A$4:$AF$1010,$AM1484, 17)</f>
        <v>#N/A</v>
      </c>
      <c r="AI1484" s="8"/>
      <c r="AJ1484" s="57"/>
      <c r="AK1484" s="105"/>
      <c r="AM1484" s="6" t="e">
        <f>MATCH(D1484,'D5 - Gatekeeper - Projects'!$C$4:$C$1010,0)</f>
        <v>#N/A</v>
      </c>
      <c r="AN1484" s="6" t="b">
        <f t="shared" si="150"/>
        <v>1</v>
      </c>
      <c r="AO1484" s="6" t="str">
        <f t="shared" si="152"/>
        <v>OK</v>
      </c>
      <c r="AQ1484" s="6" t="e">
        <f>MATCH($D1484,'D4 - Provider Council Unsched'!$C$11:$C$234,0)</f>
        <v>#N/A</v>
      </c>
      <c r="AR1484" s="6" t="b">
        <f t="shared" si="151"/>
        <v>1</v>
      </c>
      <c r="AS1484" s="6" t="str">
        <f t="shared" si="158"/>
        <v>OK</v>
      </c>
      <c r="AU1484" s="202">
        <v>40546</v>
      </c>
      <c r="AV1484" s="262"/>
      <c r="AW1484" s="274"/>
    </row>
    <row r="1485" spans="1:49" s="13" customFormat="1" ht="33.75" x14ac:dyDescent="0.2">
      <c r="A1485" s="14">
        <v>1461</v>
      </c>
      <c r="B1485" s="8">
        <v>400040376</v>
      </c>
      <c r="C1485" s="8" t="s">
        <v>1447</v>
      </c>
      <c r="D1485" s="4" t="str">
        <f t="shared" si="156"/>
        <v>400040376A</v>
      </c>
      <c r="E1485" s="309" t="str">
        <f>VLOOKUP($B1485,'D7 - NDB Impacted SPRF''s'!$E$6:$O$9929,2,FALSE)</f>
        <v>NDC Pricing for Facets Alpha</v>
      </c>
      <c r="F1485" s="8"/>
      <c r="G1485" s="8" t="s">
        <v>4758</v>
      </c>
      <c r="H1485" s="8" t="s">
        <v>4246</v>
      </c>
      <c r="I1485" s="20">
        <v>0.08</v>
      </c>
      <c r="J1485" s="8" t="s">
        <v>4862</v>
      </c>
      <c r="K1485" s="182">
        <v>40677</v>
      </c>
      <c r="L1485" s="8" t="s">
        <v>4156</v>
      </c>
      <c r="M1485" s="8" t="s">
        <v>5626</v>
      </c>
      <c r="N1485" s="38"/>
      <c r="O1485" s="8"/>
      <c r="P1485" s="4" t="str">
        <f>VLOOKUP($B1485,'D7 - NDB Impacted SPRF''s'!$E$16:$O$9929,9,FALSE)</f>
        <v>N</v>
      </c>
      <c r="Q1485" s="4" t="str">
        <f>VLOOKUP($B1485,'D7 - NDB Impacted SPRF''s'!$E$16:$O$9929,10,FALSE)</f>
        <v>N</v>
      </c>
      <c r="R1485" s="4" t="str">
        <f>VLOOKUP($B1485,'D7 - NDB Impacted SPRF''s'!$E$16:$O$9929,11,FALSE)</f>
        <v>Y</v>
      </c>
      <c r="S1485" s="8"/>
      <c r="T1485" s="310"/>
      <c r="U1485" s="310"/>
      <c r="V1485" s="4"/>
      <c r="W1485" s="4"/>
      <c r="X1485" s="4"/>
      <c r="Y1485" s="4"/>
      <c r="Z1485" s="4"/>
      <c r="AA1485" s="4"/>
      <c r="AB1485" s="380" t="str">
        <f>VLOOKUP($B1485,'D7 - NDB Impacted SPRF''s'!$E$6:$O$9929,4,FALSE)</f>
        <v>Completed</v>
      </c>
      <c r="AC1485" s="380" t="str">
        <f>VLOOKUP($B1485,'D7 - NDB Impacted SPRF''s'!$E$6:$O$9929,3,FALSE)</f>
        <v>UnitedHealthcare Community &amp; State</v>
      </c>
      <c r="AD1485" s="380" t="str">
        <f>VLOOKUP($B1485,'D7 - NDB Impacted SPRF''s'!$E$6:$O$9929,5,FALSE)</f>
        <v>Regulatory / Other</v>
      </c>
      <c r="AE1485" s="380" t="str">
        <f>VLOOKUP($B1485,'D7 - NDB Impacted SPRF''s'!$E$6:$O$9929,7,FALSE)</f>
        <v>Chris Scherer</v>
      </c>
      <c r="AF1485" s="380" t="str">
        <f>VLOOKUP($B1485,'D7 - NDB Impacted SPRF''s'!$E$6:$O$9929,6,FALSE)</f>
        <v>JEFFREY KINNEMANN</v>
      </c>
      <c r="AG1485" s="282"/>
      <c r="AH1485" s="311" t="e">
        <f>INDEX('D5 - Gatekeeper - Projects'!$A$4:$AF$1010,$AM1485, 17)</f>
        <v>#N/A</v>
      </c>
      <c r="AI1485" s="8"/>
      <c r="AJ1485" s="57"/>
      <c r="AK1485" s="105"/>
      <c r="AM1485" s="6" t="e">
        <f>MATCH(D1485,'D5 - Gatekeeper - Projects'!$C$4:$C$1010,0)</f>
        <v>#N/A</v>
      </c>
      <c r="AN1485" s="6" t="b">
        <f t="shared" si="150"/>
        <v>1</v>
      </c>
      <c r="AO1485" s="6" t="str">
        <f t="shared" si="152"/>
        <v>OK</v>
      </c>
      <c r="AQ1485" s="6" t="e">
        <f>MATCH($D1485,'D4 - Provider Council Unsched'!$C$11:$C$234,0)</f>
        <v>#N/A</v>
      </c>
      <c r="AR1485" s="6" t="b">
        <f t="shared" si="151"/>
        <v>1</v>
      </c>
      <c r="AS1485" s="6" t="str">
        <f t="shared" si="158"/>
        <v>OK</v>
      </c>
      <c r="AU1485" s="202">
        <v>40619</v>
      </c>
      <c r="AV1485" s="262"/>
      <c r="AW1485" s="274"/>
    </row>
    <row r="1486" spans="1:49" s="13" customFormat="1" ht="33.75" x14ac:dyDescent="0.2">
      <c r="A1486" s="14">
        <v>1462</v>
      </c>
      <c r="B1486" s="8">
        <v>400040438</v>
      </c>
      <c r="C1486" s="8" t="s">
        <v>7290</v>
      </c>
      <c r="D1486" s="4" t="str">
        <f t="shared" si="156"/>
        <v>400040438B</v>
      </c>
      <c r="E1486" s="309" t="str">
        <f>VLOOKUP($B1486,'D7 - NDB Impacted SPRF''s'!$E$6:$O$9929,2,FALSE)</f>
        <v>Harvard Pilgrim (HPHC) Migration to ISET</v>
      </c>
      <c r="F1486" s="8"/>
      <c r="G1486" s="8" t="s">
        <v>4758</v>
      </c>
      <c r="H1486" s="8" t="s">
        <v>4246</v>
      </c>
      <c r="I1486" s="20">
        <v>0.33</v>
      </c>
      <c r="J1486" s="8" t="s">
        <v>4862</v>
      </c>
      <c r="K1486" s="182">
        <v>40677</v>
      </c>
      <c r="L1486" s="8" t="s">
        <v>4156</v>
      </c>
      <c r="M1486" s="8" t="s">
        <v>5626</v>
      </c>
      <c r="N1486" s="38" t="s">
        <v>3067</v>
      </c>
      <c r="O1486" s="8"/>
      <c r="P1486" s="4" t="str">
        <f>VLOOKUP($B1486,'D7 - NDB Impacted SPRF''s'!$E$16:$O$9929,9,FALSE)</f>
        <v>Y</v>
      </c>
      <c r="Q1486" s="4" t="str">
        <f>VLOOKUP($B1486,'D7 - NDB Impacted SPRF''s'!$E$16:$O$9929,10,FALSE)</f>
        <v>N</v>
      </c>
      <c r="R1486" s="4" t="str">
        <f>VLOOKUP($B1486,'D7 - NDB Impacted SPRF''s'!$E$16:$O$9929,11,FALSE)</f>
        <v>N</v>
      </c>
      <c r="S1486" s="8"/>
      <c r="T1486" s="310"/>
      <c r="U1486" s="310"/>
      <c r="V1486" s="4"/>
      <c r="W1486" s="4"/>
      <c r="X1486" s="4"/>
      <c r="Y1486" s="4"/>
      <c r="Z1486" s="4"/>
      <c r="AA1486" s="4"/>
      <c r="AB1486" s="380" t="str">
        <f>VLOOKUP($B1486,'D7 - NDB Impacted SPRF''s'!$E$6:$O$9929,4,FALSE)</f>
        <v>Completed</v>
      </c>
      <c r="AC1486" s="380" t="str">
        <f>VLOOKUP($B1486,'D7 - NDB Impacted SPRF''s'!$E$6:$O$9929,3,FALSE)</f>
        <v>UnitedHealthcare Employer &amp; Individual</v>
      </c>
      <c r="AD1486" s="380" t="str">
        <f>VLOOKUP($B1486,'D7 - NDB Impacted SPRF''s'!$E$6:$O$9929,5,FALSE)</f>
        <v>HCA - Operational Requirements</v>
      </c>
      <c r="AE1486" s="380" t="str">
        <f>VLOOKUP($B1486,'D7 - NDB Impacted SPRF''s'!$E$6:$O$9929,7,FALSE)</f>
        <v>Pam Stegora Axberg</v>
      </c>
      <c r="AF1486" s="380" t="str">
        <f>VLOOKUP($B1486,'D7 - NDB Impacted SPRF''s'!$E$6:$O$9929,6,FALSE)</f>
        <v>Chad Wege</v>
      </c>
      <c r="AG1486" s="282"/>
      <c r="AH1486" s="311" t="e">
        <f>INDEX('D5 - Gatekeeper - Projects'!$A$4:$AF$1010,$AM1486, 17)</f>
        <v>#N/A</v>
      </c>
      <c r="AI1486" s="8"/>
      <c r="AJ1486" s="57"/>
      <c r="AK1486" s="105"/>
      <c r="AM1486" s="6" t="e">
        <f>MATCH(D1486,'D5 - Gatekeeper - Projects'!$C$4:$C$1010,0)</f>
        <v>#N/A</v>
      </c>
      <c r="AN1486" s="6" t="b">
        <f t="shared" si="150"/>
        <v>1</v>
      </c>
      <c r="AO1486" s="6" t="str">
        <f t="shared" si="152"/>
        <v>OK</v>
      </c>
      <c r="AQ1486" s="6" t="e">
        <f>MATCH($D1486,'D4 - Provider Council Unsched'!$C$11:$C$234,0)</f>
        <v>#N/A</v>
      </c>
      <c r="AR1486" s="6" t="b">
        <f t="shared" si="151"/>
        <v>1</v>
      </c>
      <c r="AS1486" s="6" t="str">
        <f t="shared" si="158"/>
        <v>OK</v>
      </c>
      <c r="AU1486" s="202">
        <v>40651</v>
      </c>
      <c r="AV1486" s="262"/>
      <c r="AW1486" s="274"/>
    </row>
    <row r="1487" spans="1:49" s="13" customFormat="1" ht="33.75" x14ac:dyDescent="0.2">
      <c r="A1487" s="14">
        <v>1463</v>
      </c>
      <c r="B1487" s="8">
        <v>400040488</v>
      </c>
      <c r="C1487" s="8" t="s">
        <v>1447</v>
      </c>
      <c r="D1487" s="4" t="str">
        <f t="shared" si="156"/>
        <v>400040488A</v>
      </c>
      <c r="E1487" s="309" t="str">
        <f>VLOOKUP($B1487,'D7 - NDB Impacted SPRF''s'!$E$6:$O$9929,2,FALSE)</f>
        <v>Heritage RV Expansion to SC</v>
      </c>
      <c r="F1487" s="8"/>
      <c r="G1487" s="8" t="s">
        <v>4758</v>
      </c>
      <c r="H1487" s="8" t="s">
        <v>4246</v>
      </c>
      <c r="I1487" s="20">
        <v>0.67</v>
      </c>
      <c r="J1487" s="8" t="s">
        <v>4862</v>
      </c>
      <c r="K1487" s="182">
        <v>40677</v>
      </c>
      <c r="L1487" s="8" t="s">
        <v>4156</v>
      </c>
      <c r="M1487" s="8" t="s">
        <v>5626</v>
      </c>
      <c r="N1487" s="38" t="s">
        <v>2712</v>
      </c>
      <c r="O1487" s="8"/>
      <c r="P1487" s="4" t="str">
        <f>VLOOKUP($B1487,'D7 - NDB Impacted SPRF''s'!$E$16:$O$9929,9,FALSE)</f>
        <v>N</v>
      </c>
      <c r="Q1487" s="4" t="str">
        <f>VLOOKUP($B1487,'D7 - NDB Impacted SPRF''s'!$E$16:$O$9929,10,FALSE)</f>
        <v>N</v>
      </c>
      <c r="R1487" s="4" t="str">
        <f>VLOOKUP($B1487,'D7 - NDB Impacted SPRF''s'!$E$16:$O$9929,11,FALSE)</f>
        <v>Y</v>
      </c>
      <c r="S1487" s="8"/>
      <c r="T1487" s="310"/>
      <c r="U1487" s="310"/>
      <c r="V1487" s="4"/>
      <c r="W1487" s="4"/>
      <c r="X1487" s="4"/>
      <c r="Y1487" s="4"/>
      <c r="Z1487" s="4"/>
      <c r="AA1487" s="4"/>
      <c r="AB1487" s="380" t="str">
        <f>VLOOKUP($B1487,'D7 - NDB Impacted SPRF''s'!$E$6:$O$9929,4,FALSE)</f>
        <v>Completed</v>
      </c>
      <c r="AC1487" s="380" t="str">
        <f>VLOOKUP($B1487,'D7 - NDB Impacted SPRF''s'!$E$6:$O$9929,3,FALSE)</f>
        <v>UnitedHealthcare Employer &amp; Individual</v>
      </c>
      <c r="AD1487" s="380" t="str">
        <f>VLOOKUP($B1487,'D7 - NDB Impacted SPRF''s'!$E$6:$O$9929,5,FALSE)</f>
        <v>Membership Growth / Revenue Programs</v>
      </c>
      <c r="AE1487" s="380" t="str">
        <f>VLOOKUP($B1487,'D7 - NDB Impacted SPRF''s'!$E$6:$O$9929,7,FALSE)</f>
        <v xml:space="preserve">Lori Logan </v>
      </c>
      <c r="AF1487" s="380" t="str">
        <f>VLOOKUP($B1487,'D7 - NDB Impacted SPRF''s'!$E$6:$O$9929,6,FALSE)</f>
        <v>Joan Roby</v>
      </c>
      <c r="AG1487" s="282"/>
      <c r="AH1487" s="311" t="e">
        <f>INDEX('D5 - Gatekeeper - Projects'!$A$4:$AF$1010,$AM1487, 17)</f>
        <v>#N/A</v>
      </c>
      <c r="AI1487" s="8"/>
      <c r="AJ1487" s="57"/>
      <c r="AK1487" s="105"/>
      <c r="AM1487" s="6" t="e">
        <f>MATCH(D1487,'D5 - Gatekeeper - Projects'!$C$4:$C$1010,0)</f>
        <v>#N/A</v>
      </c>
      <c r="AN1487" s="6" t="b">
        <f t="shared" si="150"/>
        <v>1</v>
      </c>
      <c r="AO1487" s="6" t="str">
        <f t="shared" si="152"/>
        <v>OK</v>
      </c>
      <c r="AQ1487" s="6" t="e">
        <f>MATCH($D1487,'D4 - Provider Council Unsched'!$C$11:$C$234,0)</f>
        <v>#N/A</v>
      </c>
      <c r="AR1487" s="6" t="b">
        <f t="shared" si="151"/>
        <v>1</v>
      </c>
      <c r="AS1487" s="6" t="str">
        <f t="shared" si="158"/>
        <v>OK</v>
      </c>
      <c r="AU1487" s="202">
        <v>40616</v>
      </c>
      <c r="AV1487" s="262"/>
      <c r="AW1487" s="274"/>
    </row>
    <row r="1488" spans="1:49" s="13" customFormat="1" ht="33.75" x14ac:dyDescent="0.2">
      <c r="A1488" s="14">
        <v>1464</v>
      </c>
      <c r="B1488" s="8">
        <v>400040917</v>
      </c>
      <c r="C1488" s="8" t="s">
        <v>1447</v>
      </c>
      <c r="D1488" s="4" t="str">
        <f t="shared" si="156"/>
        <v>400040917A</v>
      </c>
      <c r="E1488" s="309" t="str">
        <f>VLOOKUP($B1488,'D7 - NDB Impacted SPRF''s'!$E$6:$O$9929,2,FALSE)</f>
        <v>Primary Advantage on UNET</v>
      </c>
      <c r="F1488" s="8"/>
      <c r="G1488" s="8" t="s">
        <v>4758</v>
      </c>
      <c r="H1488" s="8" t="s">
        <v>4246</v>
      </c>
      <c r="I1488" s="20">
        <v>0.27</v>
      </c>
      <c r="J1488" s="8" t="s">
        <v>4862</v>
      </c>
      <c r="K1488" s="182">
        <v>40677</v>
      </c>
      <c r="L1488" s="8" t="s">
        <v>4156</v>
      </c>
      <c r="M1488" s="8" t="s">
        <v>6688</v>
      </c>
      <c r="N1488" s="38" t="s">
        <v>2706</v>
      </c>
      <c r="O1488" s="8"/>
      <c r="P1488" s="4" t="str">
        <f>VLOOKUP($B1488,'D7 - NDB Impacted SPRF''s'!$E$16:$O$9929,9,FALSE)</f>
        <v>Y</v>
      </c>
      <c r="Q1488" s="4" t="str">
        <f>VLOOKUP($B1488,'D7 - NDB Impacted SPRF''s'!$E$16:$O$9929,10,FALSE)</f>
        <v>N</v>
      </c>
      <c r="R1488" s="4" t="str">
        <f>VLOOKUP($B1488,'D7 - NDB Impacted SPRF''s'!$E$16:$O$9929,11,FALSE)</f>
        <v>N</v>
      </c>
      <c r="S1488" s="8"/>
      <c r="T1488" s="310"/>
      <c r="U1488" s="310"/>
      <c r="V1488" s="4"/>
      <c r="W1488" s="4"/>
      <c r="X1488" s="4"/>
      <c r="Y1488" s="4"/>
      <c r="Z1488" s="4"/>
      <c r="AA1488" s="4"/>
      <c r="AB1488" s="380" t="str">
        <f>VLOOKUP($B1488,'D7 - NDB Impacted SPRF''s'!$E$6:$O$9929,4,FALSE)</f>
        <v>Completed</v>
      </c>
      <c r="AC1488" s="380" t="str">
        <f>VLOOKUP($B1488,'D7 - NDB Impacted SPRF''s'!$E$6:$O$9929,3,FALSE)</f>
        <v>UnitedHealthcare Employer &amp; Individual</v>
      </c>
      <c r="AD1488" s="380" t="str">
        <f>VLOOKUP($B1488,'D7 - NDB Impacted SPRF''s'!$E$6:$O$9929,5,FALSE)</f>
        <v>Membership Growth / Revenue Programs</v>
      </c>
      <c r="AE1488" s="380" t="str">
        <f>VLOOKUP($B1488,'D7 - NDB Impacted SPRF''s'!$E$6:$O$9929,7,FALSE)</f>
        <v>Desmond Hussey</v>
      </c>
      <c r="AF1488" s="380" t="str">
        <f>VLOOKUP($B1488,'D7 - NDB Impacted SPRF''s'!$E$6:$O$9929,6,FALSE)</f>
        <v>COBB DOROTHY</v>
      </c>
      <c r="AG1488" s="282"/>
      <c r="AH1488" s="311" t="e">
        <f>INDEX('D5 - Gatekeeper - Projects'!$A$4:$AF$1010,$AM1488, 17)</f>
        <v>#N/A</v>
      </c>
      <c r="AI1488" s="8"/>
      <c r="AJ1488" s="57"/>
      <c r="AK1488" s="105"/>
      <c r="AM1488" s="6" t="e">
        <f>MATCH(D1488,'D5 - Gatekeeper - Projects'!$C$4:$C$1010,0)</f>
        <v>#N/A</v>
      </c>
      <c r="AN1488" s="6" t="b">
        <f t="shared" si="150"/>
        <v>1</v>
      </c>
      <c r="AO1488" s="6" t="str">
        <f t="shared" si="152"/>
        <v>OK</v>
      </c>
      <c r="AQ1488" s="6" t="e">
        <f>MATCH($D1488,'D4 - Provider Council Unsched'!$C$11:$C$234,0)</f>
        <v>#N/A</v>
      </c>
      <c r="AR1488" s="6" t="b">
        <f t="shared" si="151"/>
        <v>1</v>
      </c>
      <c r="AS1488" s="6" t="str">
        <f t="shared" si="158"/>
        <v>OK</v>
      </c>
      <c r="AU1488" s="202"/>
      <c r="AV1488" s="262"/>
      <c r="AW1488" s="274"/>
    </row>
    <row r="1489" spans="1:49" s="13" customFormat="1" ht="33.75" x14ac:dyDescent="0.2">
      <c r="A1489" s="14">
        <v>1465</v>
      </c>
      <c r="B1489" s="8">
        <v>400041197</v>
      </c>
      <c r="C1489" s="8" t="s">
        <v>1447</v>
      </c>
      <c r="D1489" s="4" t="str">
        <f t="shared" si="156"/>
        <v>400041197A</v>
      </c>
      <c r="E1489" s="309" t="str">
        <f>VLOOKUP($B1489,'D7 - NDB Impacted SPRF''s'!$E$6:$O$9929,2,FALSE)</f>
        <v xml:space="preserve"> Oncology Episode Fee Program </v>
      </c>
      <c r="F1489" s="8"/>
      <c r="G1489" s="8" t="s">
        <v>4758</v>
      </c>
      <c r="H1489" s="8" t="s">
        <v>4246</v>
      </c>
      <c r="I1489" s="20">
        <v>0.2</v>
      </c>
      <c r="J1489" s="8" t="s">
        <v>4862</v>
      </c>
      <c r="K1489" s="182">
        <v>40677</v>
      </c>
      <c r="L1489" s="8" t="s">
        <v>4156</v>
      </c>
      <c r="M1489" s="8" t="s">
        <v>6688</v>
      </c>
      <c r="N1489" s="38" t="s">
        <v>2707</v>
      </c>
      <c r="O1489" s="8"/>
      <c r="P1489" s="4" t="str">
        <f>VLOOKUP($B1489,'D7 - NDB Impacted SPRF''s'!$E$16:$O$9929,9,FALSE)</f>
        <v>Y</v>
      </c>
      <c r="Q1489" s="4" t="str">
        <f>VLOOKUP($B1489,'D7 - NDB Impacted SPRF''s'!$E$16:$O$9929,10,FALSE)</f>
        <v>N</v>
      </c>
      <c r="R1489" s="4" t="str">
        <f>VLOOKUP($B1489,'D7 - NDB Impacted SPRF''s'!$E$16:$O$9929,11,FALSE)</f>
        <v>Y</v>
      </c>
      <c r="S1489" s="8"/>
      <c r="T1489" s="310"/>
      <c r="U1489" s="310"/>
      <c r="V1489" s="4"/>
      <c r="W1489" s="4"/>
      <c r="X1489" s="4"/>
      <c r="Y1489" s="4"/>
      <c r="Z1489" s="4"/>
      <c r="AA1489" s="4"/>
      <c r="AB1489" s="380" t="str">
        <f>VLOOKUP($B1489,'D7 - NDB Impacted SPRF''s'!$E$6:$O$9929,4,FALSE)</f>
        <v>Cancelled</v>
      </c>
      <c r="AC1489" s="380" t="str">
        <f>VLOOKUP($B1489,'D7 - NDB Impacted SPRF''s'!$E$6:$O$9929,3,FALSE)</f>
        <v>UnitedHealthcare Employer &amp; Individual</v>
      </c>
      <c r="AD1489" s="380" t="str">
        <f>VLOOKUP($B1489,'D7 - NDB Impacted SPRF''s'!$E$6:$O$9929,5,FALSE)</f>
        <v>Medical Cost Savings Programs</v>
      </c>
      <c r="AE1489" s="380" t="str">
        <f>VLOOKUP($B1489,'D7 - NDB Impacted SPRF''s'!$E$6:$O$9929,7,FALSE)</f>
        <v>Lee Newcomer, MD</v>
      </c>
      <c r="AF1489" s="380" t="str">
        <f>VLOOKUP($B1489,'D7 - NDB Impacted SPRF''s'!$E$6:$O$9929,6,FALSE)</f>
        <v>CAROL WINTER</v>
      </c>
      <c r="AG1489" s="282"/>
      <c r="AH1489" s="311" t="e">
        <f>INDEX('D5 - Gatekeeper - Projects'!$A$4:$AF$1010,$AM1489, 17)</f>
        <v>#N/A</v>
      </c>
      <c r="AI1489" s="8"/>
      <c r="AJ1489" s="57"/>
      <c r="AK1489" s="105"/>
      <c r="AM1489" s="6" t="e">
        <f>MATCH(D1489,'D5 - Gatekeeper - Projects'!$C$4:$C$1010,0)</f>
        <v>#N/A</v>
      </c>
      <c r="AN1489" s="6" t="b">
        <f t="shared" ref="AN1489:AN1552" si="159">ISERROR(AM1489)</f>
        <v>1</v>
      </c>
      <c r="AO1489" s="6" t="str">
        <f t="shared" si="152"/>
        <v>OK</v>
      </c>
      <c r="AQ1489" s="6" t="e">
        <f>MATCH($D1489,'D4 - Provider Council Unsched'!$C$11:$C$234,0)</f>
        <v>#N/A</v>
      </c>
      <c r="AR1489" s="6" t="b">
        <f t="shared" ref="AR1489:AR1552" si="160">ISERROR(AQ1489)</f>
        <v>1</v>
      </c>
      <c r="AS1489" s="6" t="str">
        <f t="shared" si="158"/>
        <v>OK</v>
      </c>
      <c r="AU1489" s="202">
        <v>40641</v>
      </c>
      <c r="AV1489" s="262"/>
      <c r="AW1489" s="274"/>
    </row>
    <row r="1490" spans="1:49" s="13" customFormat="1" ht="33.75" x14ac:dyDescent="0.2">
      <c r="A1490" s="14">
        <v>1466</v>
      </c>
      <c r="B1490" s="8">
        <v>400041398</v>
      </c>
      <c r="C1490" s="8" t="s">
        <v>1447</v>
      </c>
      <c r="D1490" s="4" t="str">
        <f t="shared" ref="D1490:D1508" si="161">CONCATENATE(B1490,C1490)</f>
        <v>400041398A</v>
      </c>
      <c r="E1490" s="309" t="str">
        <f>VLOOKUP($B1490,'D7 - NDB Impacted SPRF''s'!$E$6:$O$9929,2,FALSE)</f>
        <v>Claim Estimator Enhancements</v>
      </c>
      <c r="F1490" s="8"/>
      <c r="G1490" s="8" t="s">
        <v>4758</v>
      </c>
      <c r="H1490" s="8" t="s">
        <v>4246</v>
      </c>
      <c r="I1490" s="20">
        <v>1.0900000000000001</v>
      </c>
      <c r="J1490" s="8" t="s">
        <v>4862</v>
      </c>
      <c r="K1490" s="182">
        <v>40677</v>
      </c>
      <c r="L1490" s="8" t="s">
        <v>4156</v>
      </c>
      <c r="M1490" s="8" t="s">
        <v>6688</v>
      </c>
      <c r="N1490" s="38" t="s">
        <v>2706</v>
      </c>
      <c r="O1490" s="8"/>
      <c r="P1490" s="4" t="str">
        <f>VLOOKUP($B1490,'D7 - NDB Impacted SPRF''s'!$E$16:$O$9929,9,FALSE)</f>
        <v>Y</v>
      </c>
      <c r="Q1490" s="4" t="str">
        <f>VLOOKUP($B1490,'D7 - NDB Impacted SPRF''s'!$E$16:$O$9929,10,FALSE)</f>
        <v>N</v>
      </c>
      <c r="R1490" s="4" t="str">
        <f>VLOOKUP($B1490,'D7 - NDB Impacted SPRF''s'!$E$16:$O$9929,11,FALSE)</f>
        <v>N</v>
      </c>
      <c r="S1490" s="8"/>
      <c r="T1490" s="310"/>
      <c r="U1490" s="310"/>
      <c r="V1490" s="4"/>
      <c r="W1490" s="4"/>
      <c r="X1490" s="4"/>
      <c r="Y1490" s="4"/>
      <c r="Z1490" s="4"/>
      <c r="AA1490" s="4"/>
      <c r="AB1490" s="380" t="str">
        <f>VLOOKUP($B1490,'D7 - NDB Impacted SPRF''s'!$E$6:$O$9929,4,FALSE)</f>
        <v>Completed</v>
      </c>
      <c r="AC1490" s="380" t="str">
        <f>VLOOKUP($B1490,'D7 - NDB Impacted SPRF''s'!$E$6:$O$9929,3,FALSE)</f>
        <v>UnitedHealthcare Employer &amp; Individual</v>
      </c>
      <c r="AD1490" s="380" t="str">
        <f>VLOOKUP($B1490,'D7 - NDB Impacted SPRF''s'!$E$6:$O$9929,5,FALSE)</f>
        <v>Process Improvement</v>
      </c>
      <c r="AE1490" s="380" t="str">
        <f>VLOOKUP($B1490,'D7 - NDB Impacted SPRF''s'!$E$6:$O$9929,7,FALSE)</f>
        <v>Chris Kent</v>
      </c>
      <c r="AF1490" s="380" t="str">
        <f>VLOOKUP($B1490,'D7 - NDB Impacted SPRF''s'!$E$6:$O$9929,6,FALSE)</f>
        <v>Delvis Schilling</v>
      </c>
      <c r="AG1490" s="282"/>
      <c r="AH1490" s="311" t="e">
        <f>INDEX('D5 - Gatekeeper - Projects'!$A$4:$AF$1010,$AM1490, 17)</f>
        <v>#N/A</v>
      </c>
      <c r="AI1490" s="8"/>
      <c r="AJ1490" s="57"/>
      <c r="AK1490" s="105"/>
      <c r="AM1490" s="6" t="e">
        <f>MATCH(D1490,'D5 - Gatekeeper - Projects'!$C$4:$C$1010,0)</f>
        <v>#N/A</v>
      </c>
      <c r="AN1490" s="6" t="b">
        <f t="shared" si="159"/>
        <v>1</v>
      </c>
      <c r="AO1490" s="6" t="str">
        <f t="shared" ref="AO1490:AO1553" si="162">IF(AND(H1490="1 - Scheduled",AN1490=TRUE),"Add","OK")</f>
        <v>OK</v>
      </c>
      <c r="AQ1490" s="6" t="e">
        <f>MATCH($D1490,'D4 - Provider Council Unsched'!$C$11:$C$234,0)</f>
        <v>#N/A</v>
      </c>
      <c r="AR1490" s="6" t="b">
        <f t="shared" si="160"/>
        <v>1</v>
      </c>
      <c r="AS1490" s="6" t="str">
        <f t="shared" si="158"/>
        <v>OK</v>
      </c>
      <c r="AU1490" s="202">
        <v>40590</v>
      </c>
      <c r="AV1490" s="262"/>
      <c r="AW1490" s="274"/>
    </row>
    <row r="1491" spans="1:49" s="13" customFormat="1" ht="33.75" x14ac:dyDescent="0.2">
      <c r="A1491" s="14">
        <v>1467</v>
      </c>
      <c r="B1491" s="8">
        <v>400037882</v>
      </c>
      <c r="C1491" s="8" t="s">
        <v>7291</v>
      </c>
      <c r="D1491" s="4" t="str">
        <f t="shared" si="161"/>
        <v>400037882E</v>
      </c>
      <c r="E1491" s="309" t="str">
        <f>VLOOKUP($B1491,'D7 - NDB Impacted SPRF''s'!$E$6:$O$9929,2,FALSE)</f>
        <v>NDB to Facets for Pittsburgh Facets/ASP</v>
      </c>
      <c r="F1491" s="8"/>
      <c r="G1491" s="8" t="s">
        <v>4758</v>
      </c>
      <c r="H1491" s="8" t="s">
        <v>4246</v>
      </c>
      <c r="I1491" s="20">
        <v>19.920000000000002</v>
      </c>
      <c r="J1491" s="8" t="s">
        <v>4862</v>
      </c>
      <c r="K1491" s="182">
        <v>40689</v>
      </c>
      <c r="L1491" s="8" t="s">
        <v>4156</v>
      </c>
      <c r="M1491" s="8" t="s">
        <v>2814</v>
      </c>
      <c r="N1491" s="38"/>
      <c r="O1491" s="8"/>
      <c r="P1491" s="4" t="str">
        <f>VLOOKUP($B1491,'D7 - NDB Impacted SPRF''s'!$E$16:$O$9929,9,FALSE)</f>
        <v>N</v>
      </c>
      <c r="Q1491" s="4" t="str">
        <f>VLOOKUP($B1491,'D7 - NDB Impacted SPRF''s'!$E$16:$O$9929,10,FALSE)</f>
        <v>N</v>
      </c>
      <c r="R1491" s="4" t="str">
        <f>VLOOKUP($B1491,'D7 - NDB Impacted SPRF''s'!$E$16:$O$9929,11,FALSE)</f>
        <v>N</v>
      </c>
      <c r="S1491" s="8"/>
      <c r="T1491" s="310"/>
      <c r="U1491" s="310"/>
      <c r="V1491" s="4"/>
      <c r="W1491" s="4"/>
      <c r="X1491" s="4"/>
      <c r="Y1491" s="4"/>
      <c r="Z1491" s="4"/>
      <c r="AA1491" s="4"/>
      <c r="AB1491" s="380" t="str">
        <f>VLOOKUP($B1491,'D7 - NDB Impacted SPRF''s'!$E$6:$O$9929,4,FALSE)</f>
        <v>Completed</v>
      </c>
      <c r="AC1491" s="380" t="str">
        <f>VLOOKUP($B1491,'D7 - NDB Impacted SPRF''s'!$E$6:$O$9929,3,FALSE)</f>
        <v>UnitedHealthcare Community &amp; State</v>
      </c>
      <c r="AD1491" s="380" t="str">
        <f>VLOOKUP($B1491,'D7 - NDB Impacted SPRF''s'!$E$6:$O$9929,5,FALSE)</f>
        <v>AmeriChoice</v>
      </c>
      <c r="AE1491" s="380" t="str">
        <f>VLOOKUP($B1491,'D7 - NDB Impacted SPRF''s'!$E$6:$O$9929,7,FALSE)</f>
        <v>Paul Balthazor</v>
      </c>
      <c r="AF1491" s="380" t="str">
        <f>VLOOKUP($B1491,'D7 - NDB Impacted SPRF''s'!$E$6:$O$9929,6,FALSE)</f>
        <v>Carol Brunetti</v>
      </c>
      <c r="AG1491" s="282"/>
      <c r="AH1491" s="311" t="e">
        <f>INDEX('D5 - Gatekeeper - Projects'!$A$4:$AF$1010,$AM1491, 17)</f>
        <v>#N/A</v>
      </c>
      <c r="AI1491" s="8"/>
      <c r="AJ1491" s="57"/>
      <c r="AK1491" s="105"/>
      <c r="AM1491" s="6" t="e">
        <f>MATCH(D1491,'D5 - Gatekeeper - Projects'!$C$4:$C$1010,0)</f>
        <v>#N/A</v>
      </c>
      <c r="AN1491" s="6" t="b">
        <f t="shared" si="159"/>
        <v>1</v>
      </c>
      <c r="AO1491" s="6" t="str">
        <f t="shared" si="162"/>
        <v>OK</v>
      </c>
      <c r="AQ1491" s="6" t="e">
        <f>MATCH($D1491,'D4 - Provider Council Unsched'!$C$11:$C$234,0)</f>
        <v>#N/A</v>
      </c>
      <c r="AR1491" s="6" t="b">
        <f t="shared" si="160"/>
        <v>1</v>
      </c>
      <c r="AS1491" s="6" t="str">
        <f t="shared" si="158"/>
        <v>OK</v>
      </c>
      <c r="AU1491" s="202">
        <v>40602</v>
      </c>
      <c r="AV1491" s="262"/>
      <c r="AW1491" s="274"/>
    </row>
    <row r="1492" spans="1:49" s="13" customFormat="1" ht="33.75" x14ac:dyDescent="0.2">
      <c r="A1492" s="14">
        <v>1468</v>
      </c>
      <c r="B1492" s="14">
        <v>400033231</v>
      </c>
      <c r="C1492" s="8" t="s">
        <v>3763</v>
      </c>
      <c r="D1492" s="4" t="str">
        <f t="shared" si="161"/>
        <v>400033231R2</v>
      </c>
      <c r="E1492" s="309" t="str">
        <f>VLOOKUP($B1492,'D7 - NDB Impacted SPRF''s'!$E$6:$O$9929,2,FALSE)</f>
        <v>HIPAA 5010-UHC-835 RA</v>
      </c>
      <c r="F1492" s="8" t="s">
        <v>1595</v>
      </c>
      <c r="G1492" s="8" t="s">
        <v>4758</v>
      </c>
      <c r="H1492" s="8" t="s">
        <v>4246</v>
      </c>
      <c r="I1492" s="20">
        <v>0.56999999999999995</v>
      </c>
      <c r="J1492" s="8" t="s">
        <v>4862</v>
      </c>
      <c r="K1492" s="182">
        <v>40719</v>
      </c>
      <c r="L1492" s="8" t="s">
        <v>4156</v>
      </c>
      <c r="M1492" s="8" t="s">
        <v>6688</v>
      </c>
      <c r="N1492" s="38" t="s">
        <v>2219</v>
      </c>
      <c r="O1492" s="8"/>
      <c r="P1492" s="4" t="str">
        <f>VLOOKUP($B1492,'D7 - NDB Impacted SPRF''s'!$E$16:$O$9929,9,FALSE)</f>
        <v>Y</v>
      </c>
      <c r="Q1492" s="4" t="str">
        <f>VLOOKUP($B1492,'D7 - NDB Impacted SPRF''s'!$E$16:$O$9929,10,FALSE)</f>
        <v>N</v>
      </c>
      <c r="R1492" s="4" t="str">
        <f>VLOOKUP($B1492,'D7 - NDB Impacted SPRF''s'!$E$16:$O$9929,11,FALSE)</f>
        <v>Y</v>
      </c>
      <c r="S1492" s="8"/>
      <c r="T1492" s="310"/>
      <c r="U1492" s="310"/>
      <c r="V1492" s="4"/>
      <c r="W1492" s="4"/>
      <c r="X1492" s="4"/>
      <c r="Y1492" s="4"/>
      <c r="Z1492" s="4"/>
      <c r="AA1492" s="4"/>
      <c r="AB1492" s="380" t="str">
        <f>VLOOKUP($B1492,'D7 - NDB Impacted SPRF''s'!$E$6:$O$9929,4,FALSE)</f>
        <v>Completed</v>
      </c>
      <c r="AC1492" s="380" t="str">
        <f>VLOOKUP($B1492,'D7 - NDB Impacted SPRF''s'!$E$6:$O$9929,3,FALSE)</f>
        <v>UnitedHealthcare Employer &amp; Individual</v>
      </c>
      <c r="AD1492" s="380" t="str">
        <f>VLOOKUP($B1492,'D7 - NDB Impacted SPRF''s'!$E$6:$O$9929,5,FALSE)</f>
        <v>HIPAA 5010</v>
      </c>
      <c r="AE1492" s="380" t="str">
        <f>VLOOKUP($B1492,'D7 - NDB Impacted SPRF''s'!$E$6:$O$9929,7,FALSE)</f>
        <v>Tim Kaja</v>
      </c>
      <c r="AF1492" s="380" t="str">
        <f>VLOOKUP($B1492,'D7 - NDB Impacted SPRF''s'!$E$6:$O$9929,6,FALSE)</f>
        <v>MARGARET CONNIFF</v>
      </c>
      <c r="AG1492" s="282"/>
      <c r="AH1492" s="311" t="e">
        <f>INDEX('D5 - Gatekeeper - Projects'!$A$4:$AF$1010,$AM1492, 17)</f>
        <v>#N/A</v>
      </c>
      <c r="AI1492" s="8"/>
      <c r="AJ1492" s="57"/>
      <c r="AK1492" s="105"/>
      <c r="AM1492" s="6" t="e">
        <f>MATCH(D1492,'D5 - Gatekeeper - Projects'!$C$4:$C$1010,0)</f>
        <v>#N/A</v>
      </c>
      <c r="AN1492" s="6" t="b">
        <f t="shared" si="159"/>
        <v>1</v>
      </c>
      <c r="AO1492" s="6" t="str">
        <f t="shared" si="162"/>
        <v>OK</v>
      </c>
      <c r="AQ1492" s="6" t="e">
        <f>MATCH($D1492,'D4 - Provider Council Unsched'!$C$11:$C$234,0)</f>
        <v>#N/A</v>
      </c>
      <c r="AR1492" s="6" t="b">
        <f t="shared" si="160"/>
        <v>1</v>
      </c>
      <c r="AS1492" s="6" t="str">
        <f t="shared" si="158"/>
        <v>OK</v>
      </c>
      <c r="AU1492" s="202">
        <v>40637</v>
      </c>
      <c r="AV1492" s="262"/>
      <c r="AW1492" s="274"/>
    </row>
    <row r="1493" spans="1:49" s="13" customFormat="1" ht="33.75" x14ac:dyDescent="0.2">
      <c r="A1493" s="14">
        <v>1469</v>
      </c>
      <c r="B1493" s="14">
        <v>400033231</v>
      </c>
      <c r="C1493" s="8" t="s">
        <v>2449</v>
      </c>
      <c r="D1493" s="4" t="str">
        <f t="shared" si="161"/>
        <v>400033231R3</v>
      </c>
      <c r="E1493" s="309" t="str">
        <f>VLOOKUP($B1493,'D7 - NDB Impacted SPRF''s'!$E$6:$O$9929,2,FALSE)</f>
        <v>HIPAA 5010-UHC-835 RA</v>
      </c>
      <c r="F1493" s="8" t="s">
        <v>1595</v>
      </c>
      <c r="G1493" s="8" t="s">
        <v>4758</v>
      </c>
      <c r="H1493" s="8" t="s">
        <v>4246</v>
      </c>
      <c r="I1493" s="20">
        <v>1.03</v>
      </c>
      <c r="J1493" s="8" t="s">
        <v>4862</v>
      </c>
      <c r="K1493" s="182">
        <v>40719</v>
      </c>
      <c r="L1493" s="8" t="s">
        <v>4156</v>
      </c>
      <c r="M1493" s="8" t="s">
        <v>4450</v>
      </c>
      <c r="N1493" s="38" t="s">
        <v>3020</v>
      </c>
      <c r="O1493" s="8"/>
      <c r="P1493" s="4" t="str">
        <f>VLOOKUP($B1493,'D7 - NDB Impacted SPRF''s'!$E$16:$O$9929,9,FALSE)</f>
        <v>Y</v>
      </c>
      <c r="Q1493" s="4" t="str">
        <f>VLOOKUP($B1493,'D7 - NDB Impacted SPRF''s'!$E$16:$O$9929,10,FALSE)</f>
        <v>N</v>
      </c>
      <c r="R1493" s="4" t="str">
        <f>VLOOKUP($B1493,'D7 - NDB Impacted SPRF''s'!$E$16:$O$9929,11,FALSE)</f>
        <v>Y</v>
      </c>
      <c r="S1493" s="8"/>
      <c r="T1493" s="310"/>
      <c r="U1493" s="310"/>
      <c r="V1493" s="4"/>
      <c r="W1493" s="4"/>
      <c r="X1493" s="4"/>
      <c r="Y1493" s="4"/>
      <c r="Z1493" s="4"/>
      <c r="AA1493" s="4"/>
      <c r="AB1493" s="380" t="str">
        <f>VLOOKUP($B1493,'D7 - NDB Impacted SPRF''s'!$E$6:$O$9929,4,FALSE)</f>
        <v>Completed</v>
      </c>
      <c r="AC1493" s="380" t="str">
        <f>VLOOKUP($B1493,'D7 - NDB Impacted SPRF''s'!$E$6:$O$9929,3,FALSE)</f>
        <v>UnitedHealthcare Employer &amp; Individual</v>
      </c>
      <c r="AD1493" s="380" t="str">
        <f>VLOOKUP($B1493,'D7 - NDB Impacted SPRF''s'!$E$6:$O$9929,5,FALSE)</f>
        <v>HIPAA 5010</v>
      </c>
      <c r="AE1493" s="380" t="str">
        <f>VLOOKUP($B1493,'D7 - NDB Impacted SPRF''s'!$E$6:$O$9929,7,FALSE)</f>
        <v>Tim Kaja</v>
      </c>
      <c r="AF1493" s="380" t="str">
        <f>VLOOKUP($B1493,'D7 - NDB Impacted SPRF''s'!$E$6:$O$9929,6,FALSE)</f>
        <v>MARGARET CONNIFF</v>
      </c>
      <c r="AG1493" s="282"/>
      <c r="AH1493" s="311" t="e">
        <f>INDEX('D5 - Gatekeeper - Projects'!$A$4:$AF$1010,$AM1493, 17)</f>
        <v>#N/A</v>
      </c>
      <c r="AI1493" s="8"/>
      <c r="AJ1493" s="57"/>
      <c r="AK1493" s="105"/>
      <c r="AM1493" s="6" t="e">
        <f>MATCH(D1493,'D5 - Gatekeeper - Projects'!$C$4:$C$1010,0)</f>
        <v>#N/A</v>
      </c>
      <c r="AN1493" s="6" t="b">
        <f t="shared" si="159"/>
        <v>1</v>
      </c>
      <c r="AO1493" s="6" t="str">
        <f t="shared" si="162"/>
        <v>OK</v>
      </c>
      <c r="AQ1493" s="6" t="e">
        <f>MATCH($D1493,'D4 - Provider Council Unsched'!$C$11:$C$234,0)</f>
        <v>#N/A</v>
      </c>
      <c r="AR1493" s="6" t="b">
        <f t="shared" si="160"/>
        <v>1</v>
      </c>
      <c r="AS1493" s="6" t="str">
        <f t="shared" si="158"/>
        <v>OK</v>
      </c>
      <c r="AU1493" s="202">
        <v>40665</v>
      </c>
      <c r="AV1493" s="262"/>
      <c r="AW1493" s="274"/>
    </row>
    <row r="1494" spans="1:49" s="13" customFormat="1" ht="22.5" x14ac:dyDescent="0.2">
      <c r="A1494" s="14">
        <v>1470</v>
      </c>
      <c r="B1494" s="8">
        <v>400033823</v>
      </c>
      <c r="C1494" s="8" t="s">
        <v>1447</v>
      </c>
      <c r="D1494" s="4" t="str">
        <f t="shared" si="161"/>
        <v>400033823A</v>
      </c>
      <c r="E1494" s="309" t="str">
        <f>VLOOKUP($B1494,'D7 - NDB Impacted SPRF''s'!$E$6:$O$9929,2,FALSE)</f>
        <v>CDB Online - Convert EEMS to Update CDB</v>
      </c>
      <c r="F1494" s="8"/>
      <c r="G1494" s="8" t="s">
        <v>4758</v>
      </c>
      <c r="H1494" s="8" t="s">
        <v>4246</v>
      </c>
      <c r="I1494" s="20">
        <v>0.78</v>
      </c>
      <c r="J1494" s="8" t="s">
        <v>4862</v>
      </c>
      <c r="K1494" s="182">
        <v>40719</v>
      </c>
      <c r="L1494" s="8" t="s">
        <v>4156</v>
      </c>
      <c r="M1494" s="8" t="s">
        <v>5626</v>
      </c>
      <c r="N1494" s="38" t="s">
        <v>5405</v>
      </c>
      <c r="O1494" s="8"/>
      <c r="P1494" s="4" t="str">
        <f>VLOOKUP($B1494,'D7 - NDB Impacted SPRF''s'!$E$16:$O$9929,9,FALSE)</f>
        <v>N</v>
      </c>
      <c r="Q1494" s="4" t="str">
        <f>VLOOKUP($B1494,'D7 - NDB Impacted SPRF''s'!$E$16:$O$9929,10,FALSE)</f>
        <v>N</v>
      </c>
      <c r="R1494" s="4" t="str">
        <f>VLOOKUP($B1494,'D7 - NDB Impacted SPRF''s'!$E$16:$O$9929,11,FALSE)</f>
        <v>N</v>
      </c>
      <c r="S1494" s="8"/>
      <c r="T1494" s="310"/>
      <c r="U1494" s="310"/>
      <c r="V1494" s="4"/>
      <c r="W1494" s="4"/>
      <c r="X1494" s="4"/>
      <c r="Y1494" s="4"/>
      <c r="Z1494" s="4"/>
      <c r="AA1494" s="4"/>
      <c r="AB1494" s="380" t="str">
        <f>VLOOKUP($B1494,'D7 - NDB Impacted SPRF''s'!$E$6:$O$9929,4,FALSE)</f>
        <v>Completed</v>
      </c>
      <c r="AC1494" s="380" t="str">
        <f>VLOOKUP($B1494,'D7 - NDB Impacted SPRF''s'!$E$6:$O$9929,3,FALSE)</f>
        <v>UHG IT - Shared Services</v>
      </c>
      <c r="AD1494" s="380" t="str">
        <f>VLOOKUP($B1494,'D7 - NDB Impacted SPRF''s'!$E$6:$O$9929,5,FALSE)</f>
        <v>Strategic Initiatives</v>
      </c>
      <c r="AE1494" s="380" t="str">
        <f>VLOOKUP($B1494,'D7 - NDB Impacted SPRF''s'!$E$6:$O$9929,7,FALSE)</f>
        <v>Patrick Casey</v>
      </c>
      <c r="AF1494" s="380" t="str">
        <f>VLOOKUP($B1494,'D7 - NDB Impacted SPRF''s'!$E$6:$O$9929,6,FALSE)</f>
        <v>Sue Meotti</v>
      </c>
      <c r="AG1494" s="282"/>
      <c r="AH1494" s="311" t="e">
        <f>INDEX('D5 - Gatekeeper - Projects'!$A$4:$AF$1010,$AM1494, 17)</f>
        <v>#N/A</v>
      </c>
      <c r="AI1494" s="8"/>
      <c r="AJ1494" s="57"/>
      <c r="AK1494" s="105"/>
      <c r="AM1494" s="6" t="e">
        <f>MATCH(D1494,'D5 - Gatekeeper - Projects'!$C$4:$C$1010,0)</f>
        <v>#N/A</v>
      </c>
      <c r="AN1494" s="6" t="b">
        <f t="shared" si="159"/>
        <v>1</v>
      </c>
      <c r="AO1494" s="6" t="str">
        <f t="shared" si="162"/>
        <v>OK</v>
      </c>
      <c r="AQ1494" s="6" t="e">
        <f>MATCH($D1494,'D4 - Provider Council Unsched'!$C$11:$C$234,0)</f>
        <v>#N/A</v>
      </c>
      <c r="AR1494" s="6" t="b">
        <f t="shared" si="160"/>
        <v>1</v>
      </c>
      <c r="AS1494" s="6" t="str">
        <f t="shared" si="158"/>
        <v>OK</v>
      </c>
      <c r="AU1494" s="202">
        <v>40581</v>
      </c>
      <c r="AV1494" s="262"/>
      <c r="AW1494" s="274"/>
    </row>
    <row r="1495" spans="1:49" s="13" customFormat="1" ht="22.5" x14ac:dyDescent="0.2">
      <c r="A1495" s="14">
        <v>1471</v>
      </c>
      <c r="B1495" s="8">
        <v>400033825</v>
      </c>
      <c r="C1495" s="8" t="s">
        <v>1447</v>
      </c>
      <c r="D1495" s="4" t="str">
        <f t="shared" si="161"/>
        <v>400033825A</v>
      </c>
      <c r="E1495" s="309" t="str">
        <f>VLOOKUP($B1495,'D7 - NDB Impacted SPRF''s'!$E$6:$O$9929,2,FALSE)</f>
        <v>CDB Online:  Update /Channels Other</v>
      </c>
      <c r="F1495" s="8"/>
      <c r="G1495" s="8" t="s">
        <v>4758</v>
      </c>
      <c r="H1495" s="8" t="s">
        <v>4246</v>
      </c>
      <c r="I1495" s="20">
        <v>10.07</v>
      </c>
      <c r="J1495" s="8" t="s">
        <v>4862</v>
      </c>
      <c r="K1495" s="182">
        <v>40719</v>
      </c>
      <c r="L1495" s="8" t="s">
        <v>4156</v>
      </c>
      <c r="M1495" s="8" t="s">
        <v>2814</v>
      </c>
      <c r="N1495" s="38" t="s">
        <v>5276</v>
      </c>
      <c r="O1495" s="8"/>
      <c r="P1495" s="4" t="str">
        <f>VLOOKUP($B1495,'D7 - NDB Impacted SPRF''s'!$E$16:$O$9929,9,FALSE)</f>
        <v>N</v>
      </c>
      <c r="Q1495" s="4" t="str">
        <f>VLOOKUP($B1495,'D7 - NDB Impacted SPRF''s'!$E$16:$O$9929,10,FALSE)</f>
        <v>N</v>
      </c>
      <c r="R1495" s="4" t="str">
        <f>VLOOKUP($B1495,'D7 - NDB Impacted SPRF''s'!$E$16:$O$9929,11,FALSE)</f>
        <v>N</v>
      </c>
      <c r="S1495" s="8"/>
      <c r="T1495" s="310"/>
      <c r="U1495" s="310"/>
      <c r="V1495" s="4"/>
      <c r="W1495" s="4"/>
      <c r="X1495" s="4"/>
      <c r="Y1495" s="4"/>
      <c r="Z1495" s="4"/>
      <c r="AA1495" s="4"/>
      <c r="AB1495" s="380" t="str">
        <f>VLOOKUP($B1495,'D7 - NDB Impacted SPRF''s'!$E$6:$O$9929,4,FALSE)</f>
        <v>Scheduled</v>
      </c>
      <c r="AC1495" s="380" t="str">
        <f>VLOOKUP($B1495,'D7 - NDB Impacted SPRF''s'!$E$6:$O$9929,3,FALSE)</f>
        <v>UHG IT - Shared Services</v>
      </c>
      <c r="AD1495" s="380" t="str">
        <f>VLOOKUP($B1495,'D7 - NDB Impacted SPRF''s'!$E$6:$O$9929,5,FALSE)</f>
        <v>Strategic Initiatives</v>
      </c>
      <c r="AE1495" s="380" t="str">
        <f>VLOOKUP($B1495,'D7 - NDB Impacted SPRF''s'!$E$6:$O$9929,7,FALSE)</f>
        <v>Patrick Casey</v>
      </c>
      <c r="AF1495" s="380" t="str">
        <f>VLOOKUP($B1495,'D7 - NDB Impacted SPRF''s'!$E$6:$O$9929,6,FALSE)</f>
        <v>Sue Meotti</v>
      </c>
      <c r="AG1495" s="282"/>
      <c r="AH1495" s="311" t="e">
        <f>INDEX('D5 - Gatekeeper - Projects'!$A$4:$AF$1010,$AM1495, 17)</f>
        <v>#N/A</v>
      </c>
      <c r="AI1495" s="8"/>
      <c r="AJ1495" s="57"/>
      <c r="AK1495" s="105"/>
      <c r="AM1495" s="6" t="e">
        <f>MATCH(D1495,'D5 - Gatekeeper - Projects'!$C$4:$C$1010,0)</f>
        <v>#N/A</v>
      </c>
      <c r="AN1495" s="6" t="b">
        <f t="shared" si="159"/>
        <v>1</v>
      </c>
      <c r="AO1495" s="6" t="str">
        <f t="shared" si="162"/>
        <v>OK</v>
      </c>
      <c r="AQ1495" s="6" t="e">
        <f>MATCH($D1495,'D4 - Provider Council Unsched'!$C$11:$C$234,0)</f>
        <v>#N/A</v>
      </c>
      <c r="AR1495" s="6" t="b">
        <f t="shared" si="160"/>
        <v>1</v>
      </c>
      <c r="AS1495" s="6" t="str">
        <f t="shared" si="158"/>
        <v>OK</v>
      </c>
      <c r="AU1495" s="202">
        <v>40590</v>
      </c>
      <c r="AV1495" s="262"/>
      <c r="AW1495" s="274"/>
    </row>
    <row r="1496" spans="1:49" s="13" customFormat="1" ht="22.5" x14ac:dyDescent="0.2">
      <c r="A1496" s="14">
        <v>1472</v>
      </c>
      <c r="B1496" s="8">
        <v>400033825</v>
      </c>
      <c r="C1496" s="8" t="s">
        <v>8138</v>
      </c>
      <c r="D1496" s="4" t="str">
        <f t="shared" si="161"/>
        <v>400033825UA</v>
      </c>
      <c r="E1496" s="309" t="str">
        <f>VLOOKUP($B1496,'D7 - NDB Impacted SPRF''s'!$E$6:$O$9929,2,FALSE)</f>
        <v>CDB Online:  Update /Channels Other</v>
      </c>
      <c r="F1496" s="8"/>
      <c r="G1496" s="8" t="s">
        <v>4758</v>
      </c>
      <c r="H1496" s="8" t="s">
        <v>4246</v>
      </c>
      <c r="I1496" s="20">
        <v>8.3800000000000008</v>
      </c>
      <c r="J1496" s="8" t="s">
        <v>4862</v>
      </c>
      <c r="K1496" s="182">
        <v>40719</v>
      </c>
      <c r="L1496" s="8" t="s">
        <v>4156</v>
      </c>
      <c r="M1496" s="8" t="s">
        <v>2814</v>
      </c>
      <c r="N1496" s="38" t="s">
        <v>5276</v>
      </c>
      <c r="O1496" s="8"/>
      <c r="P1496" s="4" t="str">
        <f>VLOOKUP($B1496,'D7 - NDB Impacted SPRF''s'!$E$16:$O$9929,9,FALSE)</f>
        <v>N</v>
      </c>
      <c r="Q1496" s="4" t="str">
        <f>VLOOKUP($B1496,'D7 - NDB Impacted SPRF''s'!$E$16:$O$9929,10,FALSE)</f>
        <v>N</v>
      </c>
      <c r="R1496" s="4" t="str">
        <f>VLOOKUP($B1496,'D7 - NDB Impacted SPRF''s'!$E$16:$O$9929,11,FALSE)</f>
        <v>N</v>
      </c>
      <c r="S1496" s="8"/>
      <c r="T1496" s="310"/>
      <c r="U1496" s="310"/>
      <c r="V1496" s="4"/>
      <c r="W1496" s="4"/>
      <c r="X1496" s="4"/>
      <c r="Y1496" s="4"/>
      <c r="Z1496" s="4"/>
      <c r="AA1496" s="4"/>
      <c r="AB1496" s="380" t="str">
        <f>VLOOKUP($B1496,'D7 - NDB Impacted SPRF''s'!$E$6:$O$9929,4,FALSE)</f>
        <v>Scheduled</v>
      </c>
      <c r="AC1496" s="380" t="str">
        <f>VLOOKUP($B1496,'D7 - NDB Impacted SPRF''s'!$E$6:$O$9929,3,FALSE)</f>
        <v>UHG IT - Shared Services</v>
      </c>
      <c r="AD1496" s="380" t="str">
        <f>VLOOKUP($B1496,'D7 - NDB Impacted SPRF''s'!$E$6:$O$9929,5,FALSE)</f>
        <v>Strategic Initiatives</v>
      </c>
      <c r="AE1496" s="380" t="str">
        <f>VLOOKUP($B1496,'D7 - NDB Impacted SPRF''s'!$E$6:$O$9929,7,FALSE)</f>
        <v>Patrick Casey</v>
      </c>
      <c r="AF1496" s="380" t="str">
        <f>VLOOKUP($B1496,'D7 - NDB Impacted SPRF''s'!$E$6:$O$9929,6,FALSE)</f>
        <v>Sue Meotti</v>
      </c>
      <c r="AG1496" s="282"/>
      <c r="AH1496" s="311" t="e">
        <f>INDEX('D5 - Gatekeeper - Projects'!$A$4:$AF$1010,$AM1496, 17)</f>
        <v>#N/A</v>
      </c>
      <c r="AI1496" s="8"/>
      <c r="AJ1496" s="57"/>
      <c r="AK1496" s="105"/>
      <c r="AM1496" s="6" t="e">
        <f>MATCH(D1496,'D5 - Gatekeeper - Projects'!$C$4:$C$1010,0)</f>
        <v>#N/A</v>
      </c>
      <c r="AN1496" s="6" t="b">
        <f t="shared" si="159"/>
        <v>1</v>
      </c>
      <c r="AO1496" s="6" t="str">
        <f t="shared" si="162"/>
        <v>OK</v>
      </c>
      <c r="AQ1496" s="6" t="e">
        <f>MATCH($D1496,'D4 - Provider Council Unsched'!$C$11:$C$234,0)</f>
        <v>#N/A</v>
      </c>
      <c r="AR1496" s="6" t="b">
        <f t="shared" si="160"/>
        <v>1</v>
      </c>
      <c r="AS1496" s="6" t="str">
        <f t="shared" si="158"/>
        <v>OK</v>
      </c>
      <c r="AU1496" s="202">
        <v>40590</v>
      </c>
      <c r="AV1496" s="262"/>
      <c r="AW1496" s="274"/>
    </row>
    <row r="1497" spans="1:49" s="13" customFormat="1" ht="22.5" x14ac:dyDescent="0.2">
      <c r="A1497" s="14">
        <v>1473</v>
      </c>
      <c r="B1497" s="8">
        <v>400033825</v>
      </c>
      <c r="C1497" s="8" t="s">
        <v>1188</v>
      </c>
      <c r="D1497" s="4" t="str">
        <f t="shared" si="161"/>
        <v>400033825UB</v>
      </c>
      <c r="E1497" s="309" t="str">
        <f>VLOOKUP($B1497,'D7 - NDB Impacted SPRF''s'!$E$6:$O$9929,2,FALSE)</f>
        <v>CDB Online:  Update /Channels Other</v>
      </c>
      <c r="F1497" s="8"/>
      <c r="G1497" s="8" t="s">
        <v>4758</v>
      </c>
      <c r="H1497" s="8" t="s">
        <v>4246</v>
      </c>
      <c r="I1497" s="20">
        <v>10.15</v>
      </c>
      <c r="J1497" s="8" t="s">
        <v>4862</v>
      </c>
      <c r="K1497" s="182">
        <v>40719</v>
      </c>
      <c r="L1497" s="8" t="s">
        <v>4156</v>
      </c>
      <c r="M1497" s="8" t="s">
        <v>2814</v>
      </c>
      <c r="N1497" s="38" t="s">
        <v>1189</v>
      </c>
      <c r="O1497" s="8"/>
      <c r="P1497" s="4" t="str">
        <f>VLOOKUP($B1497,'D7 - NDB Impacted SPRF''s'!$E$16:$O$9929,9,FALSE)</f>
        <v>N</v>
      </c>
      <c r="Q1497" s="4" t="str">
        <f>VLOOKUP($B1497,'D7 - NDB Impacted SPRF''s'!$E$16:$O$9929,10,FALSE)</f>
        <v>N</v>
      </c>
      <c r="R1497" s="4" t="str">
        <f>VLOOKUP($B1497,'D7 - NDB Impacted SPRF''s'!$E$16:$O$9929,11,FALSE)</f>
        <v>N</v>
      </c>
      <c r="S1497" s="8"/>
      <c r="T1497" s="310"/>
      <c r="U1497" s="310"/>
      <c r="V1497" s="4"/>
      <c r="W1497" s="4"/>
      <c r="X1497" s="4"/>
      <c r="Y1497" s="4"/>
      <c r="Z1497" s="4"/>
      <c r="AA1497" s="4"/>
      <c r="AB1497" s="380" t="str">
        <f>VLOOKUP($B1497,'D7 - NDB Impacted SPRF''s'!$E$6:$O$9929,4,FALSE)</f>
        <v>Scheduled</v>
      </c>
      <c r="AC1497" s="380" t="str">
        <f>VLOOKUP($B1497,'D7 - NDB Impacted SPRF''s'!$E$6:$O$9929,3,FALSE)</f>
        <v>UHG IT - Shared Services</v>
      </c>
      <c r="AD1497" s="380" t="str">
        <f>VLOOKUP($B1497,'D7 - NDB Impacted SPRF''s'!$E$6:$O$9929,5,FALSE)</f>
        <v>Strategic Initiatives</v>
      </c>
      <c r="AE1497" s="380" t="str">
        <f>VLOOKUP($B1497,'D7 - NDB Impacted SPRF''s'!$E$6:$O$9929,7,FALSE)</f>
        <v>Patrick Casey</v>
      </c>
      <c r="AF1497" s="380" t="str">
        <f>VLOOKUP($B1497,'D7 - NDB Impacted SPRF''s'!$E$6:$O$9929,6,FALSE)</f>
        <v>Sue Meotti</v>
      </c>
      <c r="AG1497" s="282"/>
      <c r="AH1497" s="311" t="e">
        <f>INDEX('D5 - Gatekeeper - Projects'!$A$4:$AF$1010,$AM1497, 17)</f>
        <v>#N/A</v>
      </c>
      <c r="AI1497" s="8"/>
      <c r="AJ1497" s="57"/>
      <c r="AK1497" s="105"/>
      <c r="AM1497" s="6" t="e">
        <f>MATCH(D1497,'D5 - Gatekeeper - Projects'!$C$4:$C$1010,0)</f>
        <v>#N/A</v>
      </c>
      <c r="AN1497" s="6" t="b">
        <f t="shared" si="159"/>
        <v>1</v>
      </c>
      <c r="AO1497" s="6" t="str">
        <f t="shared" si="162"/>
        <v>OK</v>
      </c>
      <c r="AQ1497" s="6" t="e">
        <f>MATCH($D1497,'D4 - Provider Council Unsched'!$C$11:$C$234,0)</f>
        <v>#N/A</v>
      </c>
      <c r="AR1497" s="6" t="b">
        <f t="shared" si="160"/>
        <v>1</v>
      </c>
      <c r="AS1497" s="6" t="str">
        <f t="shared" si="158"/>
        <v>OK</v>
      </c>
      <c r="AU1497" s="202">
        <v>40770</v>
      </c>
      <c r="AV1497" s="262"/>
      <c r="AW1497" s="274"/>
    </row>
    <row r="1498" spans="1:49" s="13" customFormat="1" ht="45" x14ac:dyDescent="0.2">
      <c r="A1498" s="14">
        <v>1474</v>
      </c>
      <c r="B1498" s="14">
        <v>400033827</v>
      </c>
      <c r="C1498" s="8" t="s">
        <v>2449</v>
      </c>
      <c r="D1498" s="4" t="str">
        <f t="shared" si="161"/>
        <v>400033827R3</v>
      </c>
      <c r="E1498" s="309" t="str">
        <f>VLOOKUP($B1498,'D7 - NDB Impacted SPRF''s'!$E$6:$O$9929,2,FALSE)</f>
        <v xml:space="preserve">CDB Core Processing:  Inquiry Views </v>
      </c>
      <c r="F1498" s="8" t="s">
        <v>2114</v>
      </c>
      <c r="G1498" s="8" t="s">
        <v>4758</v>
      </c>
      <c r="H1498" s="8" t="s">
        <v>4246</v>
      </c>
      <c r="I1498" s="20">
        <v>5.96</v>
      </c>
      <c r="J1498" s="8" t="s">
        <v>4862</v>
      </c>
      <c r="K1498" s="182">
        <v>40719</v>
      </c>
      <c r="L1498" s="8" t="s">
        <v>4156</v>
      </c>
      <c r="M1498" s="8" t="s">
        <v>2814</v>
      </c>
      <c r="N1498" s="38" t="s">
        <v>4011</v>
      </c>
      <c r="O1498" s="8"/>
      <c r="P1498" s="4" t="str">
        <f>VLOOKUP($B1498,'D7 - NDB Impacted SPRF''s'!$E$16:$O$9929,9,FALSE)</f>
        <v>Y</v>
      </c>
      <c r="Q1498" s="4" t="str">
        <f>VLOOKUP($B1498,'D7 - NDB Impacted SPRF''s'!$E$16:$O$9929,10,FALSE)</f>
        <v>N</v>
      </c>
      <c r="R1498" s="4" t="str">
        <f>VLOOKUP($B1498,'D7 - NDB Impacted SPRF''s'!$E$16:$O$9929,11,FALSE)</f>
        <v>N</v>
      </c>
      <c r="S1498" s="8"/>
      <c r="T1498" s="310"/>
      <c r="U1498" s="310"/>
      <c r="V1498" s="4"/>
      <c r="W1498" s="4"/>
      <c r="X1498" s="4"/>
      <c r="Y1498" s="4"/>
      <c r="Z1498" s="4"/>
      <c r="AA1498" s="4"/>
      <c r="AB1498" s="380" t="str">
        <f>VLOOKUP($B1498,'D7 - NDB Impacted SPRF''s'!$E$6:$O$9929,4,FALSE)</f>
        <v>Completed</v>
      </c>
      <c r="AC1498" s="380" t="str">
        <f>VLOOKUP($B1498,'D7 - NDB Impacted SPRF''s'!$E$6:$O$9929,3,FALSE)</f>
        <v>UHG IT - Enterprise Technology Services</v>
      </c>
      <c r="AD1498" s="380" t="str">
        <f>VLOOKUP($B1498,'D7 - NDB Impacted SPRF''s'!$E$6:$O$9929,5,FALSE)</f>
        <v>Strategic Initiatives</v>
      </c>
      <c r="AE1498" s="380" t="str">
        <f>VLOOKUP($B1498,'D7 - NDB Impacted SPRF''s'!$E$6:$O$9929,7,FALSE)</f>
        <v>Patrick Casey</v>
      </c>
      <c r="AF1498" s="380" t="str">
        <f>VLOOKUP($B1498,'D7 - NDB Impacted SPRF''s'!$E$6:$O$9929,6,FALSE)</f>
        <v>Sue Meotti</v>
      </c>
      <c r="AG1498" s="282"/>
      <c r="AH1498" s="311" t="e">
        <f>INDEX('D5 - Gatekeeper - Projects'!$A$4:$AF$1010,$AM1498, 17)</f>
        <v>#N/A</v>
      </c>
      <c r="AI1498" s="8"/>
      <c r="AJ1498" s="57"/>
      <c r="AK1498" s="105"/>
      <c r="AM1498" s="6" t="e">
        <f>MATCH(D1498,'D5 - Gatekeeper - Projects'!$C$4:$C$1010,0)</f>
        <v>#N/A</v>
      </c>
      <c r="AN1498" s="6" t="b">
        <f t="shared" si="159"/>
        <v>1</v>
      </c>
      <c r="AO1498" s="6" t="str">
        <f t="shared" si="162"/>
        <v>OK</v>
      </c>
      <c r="AQ1498" s="6" t="e">
        <f>MATCH($D1498,'D4 - Provider Council Unsched'!$C$11:$C$234,0)</f>
        <v>#N/A</v>
      </c>
      <c r="AR1498" s="6" t="b">
        <f t="shared" si="160"/>
        <v>1</v>
      </c>
      <c r="AS1498" s="6" t="str">
        <f t="shared" si="158"/>
        <v>OK</v>
      </c>
      <c r="AU1498" s="202">
        <v>40505</v>
      </c>
      <c r="AV1498" s="262"/>
      <c r="AW1498" s="274"/>
    </row>
    <row r="1499" spans="1:49" s="13" customFormat="1" ht="33.75" x14ac:dyDescent="0.2">
      <c r="A1499" s="14">
        <v>1475</v>
      </c>
      <c r="B1499" s="8">
        <v>400037882</v>
      </c>
      <c r="C1499" s="8" t="s">
        <v>1196</v>
      </c>
      <c r="D1499" s="4" t="str">
        <f t="shared" si="161"/>
        <v>400037882F</v>
      </c>
      <c r="E1499" s="309" t="str">
        <f>VLOOKUP($B1499,'D7 - NDB Impacted SPRF''s'!$E$6:$O$9929,2,FALSE)</f>
        <v>NDB to Facets for Pittsburgh Facets/ASP</v>
      </c>
      <c r="F1499" s="8"/>
      <c r="G1499" s="8" t="s">
        <v>4758</v>
      </c>
      <c r="H1499" s="8" t="s">
        <v>4246</v>
      </c>
      <c r="I1499" s="20">
        <v>8</v>
      </c>
      <c r="J1499" s="8" t="s">
        <v>4862</v>
      </c>
      <c r="K1499" s="182">
        <v>40719</v>
      </c>
      <c r="L1499" s="8" t="s">
        <v>4156</v>
      </c>
      <c r="M1499" s="8" t="s">
        <v>2814</v>
      </c>
      <c r="N1499" s="38" t="s">
        <v>1199</v>
      </c>
      <c r="O1499" s="8"/>
      <c r="P1499" s="4" t="str">
        <f>VLOOKUP($B1499,'D7 - NDB Impacted SPRF''s'!$E$16:$O$9929,9,FALSE)</f>
        <v>N</v>
      </c>
      <c r="Q1499" s="4" t="str">
        <f>VLOOKUP($B1499,'D7 - NDB Impacted SPRF''s'!$E$16:$O$9929,10,FALSE)</f>
        <v>N</v>
      </c>
      <c r="R1499" s="4" t="str">
        <f>VLOOKUP($B1499,'D7 - NDB Impacted SPRF''s'!$E$16:$O$9929,11,FALSE)</f>
        <v>N</v>
      </c>
      <c r="S1499" s="8"/>
      <c r="T1499" s="310"/>
      <c r="U1499" s="310"/>
      <c r="V1499" s="4"/>
      <c r="W1499" s="4"/>
      <c r="X1499" s="4"/>
      <c r="Y1499" s="4"/>
      <c r="Z1499" s="4"/>
      <c r="AA1499" s="4"/>
      <c r="AB1499" s="380" t="str">
        <f>VLOOKUP($B1499,'D7 - NDB Impacted SPRF''s'!$E$6:$O$9929,4,FALSE)</f>
        <v>Completed</v>
      </c>
      <c r="AC1499" s="380" t="str">
        <f>VLOOKUP($B1499,'D7 - NDB Impacted SPRF''s'!$E$6:$O$9929,3,FALSE)</f>
        <v>UnitedHealthcare Community &amp; State</v>
      </c>
      <c r="AD1499" s="380" t="str">
        <f>VLOOKUP($B1499,'D7 - NDB Impacted SPRF''s'!$E$6:$O$9929,5,FALSE)</f>
        <v>AmeriChoice</v>
      </c>
      <c r="AE1499" s="380" t="str">
        <f>VLOOKUP($B1499,'D7 - NDB Impacted SPRF''s'!$E$6:$O$9929,7,FALSE)</f>
        <v>Paul Balthazor</v>
      </c>
      <c r="AF1499" s="380" t="str">
        <f>VLOOKUP($B1499,'D7 - NDB Impacted SPRF''s'!$E$6:$O$9929,6,FALSE)</f>
        <v>Carol Brunetti</v>
      </c>
      <c r="AG1499" s="282"/>
      <c r="AH1499" s="311" t="e">
        <f>INDEX('D5 - Gatekeeper - Projects'!$A$4:$AF$1010,$AM1499, 17)</f>
        <v>#N/A</v>
      </c>
      <c r="AI1499" s="8"/>
      <c r="AJ1499" s="57"/>
      <c r="AK1499" s="105"/>
      <c r="AM1499" s="6" t="e">
        <f>MATCH(D1499,'D5 - Gatekeeper - Projects'!$C$4:$C$1010,0)</f>
        <v>#N/A</v>
      </c>
      <c r="AN1499" s="6" t="b">
        <f t="shared" si="159"/>
        <v>1</v>
      </c>
      <c r="AO1499" s="6" t="str">
        <f t="shared" si="162"/>
        <v>OK</v>
      </c>
      <c r="AQ1499" s="6" t="e">
        <f>MATCH($D1499,'D4 - Provider Council Unsched'!$C$11:$C$234,0)</f>
        <v>#N/A</v>
      </c>
      <c r="AR1499" s="6" t="b">
        <f t="shared" si="160"/>
        <v>1</v>
      </c>
      <c r="AS1499" s="6" t="str">
        <f t="shared" si="158"/>
        <v>OK</v>
      </c>
      <c r="AU1499" s="202">
        <v>40617</v>
      </c>
      <c r="AV1499" s="262"/>
      <c r="AW1499" s="274"/>
    </row>
    <row r="1500" spans="1:49" s="13" customFormat="1" ht="33.75" x14ac:dyDescent="0.2">
      <c r="A1500" s="14">
        <v>1476</v>
      </c>
      <c r="B1500" s="14">
        <v>400037885</v>
      </c>
      <c r="C1500" s="8" t="s">
        <v>5197</v>
      </c>
      <c r="D1500" s="4" t="str">
        <f t="shared" si="161"/>
        <v>400037885R1</v>
      </c>
      <c r="E1500" s="309" t="str">
        <f>VLOOKUP($B1500,'D7 - NDB Impacted SPRF''s'!$E$6:$O$9929,2,FALSE)</f>
        <v>Medica ISET Q2 Project</v>
      </c>
      <c r="F1500" s="8"/>
      <c r="G1500" s="8" t="s">
        <v>4758</v>
      </c>
      <c r="H1500" s="8" t="s">
        <v>4246</v>
      </c>
      <c r="I1500" s="20">
        <v>1.4666666666666666</v>
      </c>
      <c r="J1500" s="8" t="s">
        <v>4862</v>
      </c>
      <c r="K1500" s="182">
        <v>40719</v>
      </c>
      <c r="L1500" s="8" t="s">
        <v>4156</v>
      </c>
      <c r="M1500" s="8" t="s">
        <v>5626</v>
      </c>
      <c r="N1500" s="38" t="s">
        <v>4054</v>
      </c>
      <c r="O1500" s="8"/>
      <c r="P1500" s="4" t="str">
        <f>VLOOKUP($B1500,'D7 - NDB Impacted SPRF''s'!$E$16:$O$9929,9,FALSE)</f>
        <v>N</v>
      </c>
      <c r="Q1500" s="4" t="str">
        <f>VLOOKUP($B1500,'D7 - NDB Impacted SPRF''s'!$E$16:$O$9929,10,FALSE)</f>
        <v>N</v>
      </c>
      <c r="R1500" s="4" t="str">
        <f>VLOOKUP($B1500,'D7 - NDB Impacted SPRF''s'!$E$16:$O$9929,11,FALSE)</f>
        <v>N</v>
      </c>
      <c r="S1500" s="8"/>
      <c r="T1500" s="310"/>
      <c r="U1500" s="310"/>
      <c r="V1500" s="4"/>
      <c r="W1500" s="4"/>
      <c r="X1500" s="4"/>
      <c r="Y1500" s="4"/>
      <c r="Z1500" s="4"/>
      <c r="AA1500" s="4"/>
      <c r="AB1500" s="380" t="str">
        <f>VLOOKUP($B1500,'D7 - NDB Impacted SPRF''s'!$E$6:$O$9929,4,FALSE)</f>
        <v>Completed</v>
      </c>
      <c r="AC1500" s="380" t="str">
        <f>VLOOKUP($B1500,'D7 - NDB Impacted SPRF''s'!$E$6:$O$9929,3,FALSE)</f>
        <v>UnitedHealthcare Employer &amp; Individual</v>
      </c>
      <c r="AD1500" s="380" t="str">
        <f>VLOOKUP($B1500,'D7 - NDB Impacted SPRF''s'!$E$6:$O$9929,5,FALSE)</f>
        <v>HCA - Operational Requirements</v>
      </c>
      <c r="AE1500" s="380" t="str">
        <f>VLOOKUP($B1500,'D7 - NDB Impacted SPRF''s'!$E$6:$O$9929,7,FALSE)</f>
        <v>Robyn Athmann</v>
      </c>
      <c r="AF1500" s="380" t="str">
        <f>VLOOKUP($B1500,'D7 - NDB Impacted SPRF''s'!$E$6:$O$9929,6,FALSE)</f>
        <v>KRISTYN EIRING</v>
      </c>
      <c r="AG1500" s="282"/>
      <c r="AH1500" s="311" t="e">
        <f>INDEX('D5 - Gatekeeper - Projects'!$A$4:$AF$1010,$AM1500, 17)</f>
        <v>#N/A</v>
      </c>
      <c r="AI1500" s="8"/>
      <c r="AJ1500" s="57"/>
      <c r="AK1500" s="105"/>
      <c r="AM1500" s="6" t="e">
        <f>MATCH(D1500,'D5 - Gatekeeper - Projects'!$C$4:$C$1010,0)</f>
        <v>#N/A</v>
      </c>
      <c r="AN1500" s="6" t="b">
        <f t="shared" si="159"/>
        <v>1</v>
      </c>
      <c r="AO1500" s="6" t="str">
        <f t="shared" si="162"/>
        <v>OK</v>
      </c>
      <c r="AQ1500" s="6" t="e">
        <f>MATCH($D1500,'D4 - Provider Council Unsched'!$C$11:$C$234,0)</f>
        <v>#N/A</v>
      </c>
      <c r="AR1500" s="6" t="b">
        <f t="shared" si="160"/>
        <v>1</v>
      </c>
      <c r="AS1500" s="6" t="str">
        <f t="shared" si="158"/>
        <v>OK</v>
      </c>
      <c r="AU1500" s="202">
        <v>40441</v>
      </c>
      <c r="AV1500" s="262"/>
      <c r="AW1500" s="274"/>
    </row>
    <row r="1501" spans="1:49" s="13" customFormat="1" ht="33.75" x14ac:dyDescent="0.2">
      <c r="A1501" s="14">
        <v>1477</v>
      </c>
      <c r="B1501" s="8">
        <v>400039471</v>
      </c>
      <c r="C1501" s="8" t="s">
        <v>1447</v>
      </c>
      <c r="D1501" s="4" t="str">
        <f t="shared" si="161"/>
        <v>400039471A</v>
      </c>
      <c r="E1501" s="309" t="str">
        <f>VLOOKUP($B1501,'D7 - NDB Impacted SPRF''s'!$E$6:$O$9929,2,FALSE)</f>
        <v>NDC Remediation-RSA NDC pricing end state analysis</v>
      </c>
      <c r="F1501" s="8"/>
      <c r="G1501" s="8" t="s">
        <v>4758</v>
      </c>
      <c r="H1501" s="8" t="s">
        <v>4246</v>
      </c>
      <c r="I1501" s="20">
        <v>2</v>
      </c>
      <c r="J1501" s="8" t="s">
        <v>4862</v>
      </c>
      <c r="K1501" s="182">
        <v>40719</v>
      </c>
      <c r="L1501" s="8" t="s">
        <v>4156</v>
      </c>
      <c r="M1501" s="8" t="s">
        <v>6688</v>
      </c>
      <c r="N1501" s="38" t="s">
        <v>2709</v>
      </c>
      <c r="O1501" s="8"/>
      <c r="P1501" s="4" t="str">
        <f>VLOOKUP($B1501,'D7 - NDB Impacted SPRF''s'!$E$16:$O$9929,9,FALSE)</f>
        <v>Y</v>
      </c>
      <c r="Q1501" s="4" t="str">
        <f>VLOOKUP($B1501,'D7 - NDB Impacted SPRF''s'!$E$16:$O$9929,10,FALSE)</f>
        <v>N</v>
      </c>
      <c r="R1501" s="4" t="str">
        <f>VLOOKUP($B1501,'D7 - NDB Impacted SPRF''s'!$E$16:$O$9929,11,FALSE)</f>
        <v>Y</v>
      </c>
      <c r="S1501" s="8"/>
      <c r="T1501" s="310"/>
      <c r="U1501" s="310"/>
      <c r="V1501" s="4"/>
      <c r="W1501" s="4"/>
      <c r="X1501" s="4"/>
      <c r="Y1501" s="4"/>
      <c r="Z1501" s="4"/>
      <c r="AA1501" s="4"/>
      <c r="AB1501" s="380" t="str">
        <f>VLOOKUP($B1501,'D7 - NDB Impacted SPRF''s'!$E$6:$O$9929,4,FALSE)</f>
        <v>Completed</v>
      </c>
      <c r="AC1501" s="380" t="str">
        <f>VLOOKUP($B1501,'D7 - NDB Impacted SPRF''s'!$E$6:$O$9929,3,FALSE)</f>
        <v>UnitedHealthcare Employer &amp; Individual</v>
      </c>
      <c r="AD1501" s="380" t="str">
        <f>VLOOKUP($B1501,'D7 - NDB Impacted SPRF''s'!$E$6:$O$9929,5,FALSE)</f>
        <v>Medical Cost Savings Programs</v>
      </c>
      <c r="AE1501" s="380" t="str">
        <f>VLOOKUP($B1501,'D7 - NDB Impacted SPRF''s'!$E$6:$O$9929,7,FALSE)</f>
        <v>Elena McFann</v>
      </c>
      <c r="AF1501" s="380" t="str">
        <f>VLOOKUP($B1501,'D7 - NDB Impacted SPRF''s'!$E$6:$O$9929,6,FALSE)</f>
        <v>Thekkot Suresh</v>
      </c>
      <c r="AG1501" s="282"/>
      <c r="AH1501" s="311" t="e">
        <f>INDEX('D5 - Gatekeeper - Projects'!$A$4:$AF$1010,$AM1501, 17)</f>
        <v>#N/A</v>
      </c>
      <c r="AI1501" s="8"/>
      <c r="AJ1501" s="57"/>
      <c r="AK1501" s="105"/>
      <c r="AM1501" s="6" t="e">
        <f>MATCH(D1501,'D5 - Gatekeeper - Projects'!$C$4:$C$1010,0)</f>
        <v>#N/A</v>
      </c>
      <c r="AN1501" s="6" t="b">
        <f t="shared" si="159"/>
        <v>1</v>
      </c>
      <c r="AO1501" s="6" t="str">
        <f t="shared" si="162"/>
        <v>OK</v>
      </c>
      <c r="AQ1501" s="6" t="e">
        <f>MATCH($D1501,'D4 - Provider Council Unsched'!$C$11:$C$234,0)</f>
        <v>#N/A</v>
      </c>
      <c r="AR1501" s="6" t="b">
        <f t="shared" si="160"/>
        <v>1</v>
      </c>
      <c r="AS1501" s="6" t="str">
        <f t="shared" si="158"/>
        <v>OK</v>
      </c>
      <c r="AU1501" s="202">
        <v>40570</v>
      </c>
      <c r="AV1501" s="262"/>
      <c r="AW1501" s="274"/>
    </row>
    <row r="1502" spans="1:49" s="13" customFormat="1" ht="45" x14ac:dyDescent="0.2">
      <c r="A1502" s="14">
        <v>1478</v>
      </c>
      <c r="B1502" s="8">
        <v>400039944</v>
      </c>
      <c r="C1502" s="8" t="s">
        <v>1447</v>
      </c>
      <c r="D1502" s="4" t="str">
        <f t="shared" si="161"/>
        <v>400039944A</v>
      </c>
      <c r="E1502" s="309" t="str">
        <f>VLOOKUP($B1502,'D7 - NDB Impacted SPRF''s'!$E$6:$O$9929,2,FALSE)</f>
        <v xml:space="preserve">Enterprise Provider Data Interface </v>
      </c>
      <c r="F1502" s="8"/>
      <c r="G1502" s="8" t="s">
        <v>4758</v>
      </c>
      <c r="H1502" s="8" t="s">
        <v>4246</v>
      </c>
      <c r="I1502" s="20">
        <v>2.7066666666666666</v>
      </c>
      <c r="J1502" s="8" t="s">
        <v>4862</v>
      </c>
      <c r="K1502" s="182">
        <v>40719</v>
      </c>
      <c r="L1502" s="8" t="s">
        <v>4156</v>
      </c>
      <c r="M1502" s="8" t="s">
        <v>6688</v>
      </c>
      <c r="N1502" s="38" t="s">
        <v>1943</v>
      </c>
      <c r="O1502" s="8"/>
      <c r="P1502" s="4" t="str">
        <f>VLOOKUP($B1502,'D7 - NDB Impacted SPRF''s'!$E$16:$O$9929,9,FALSE)</f>
        <v>N</v>
      </c>
      <c r="Q1502" s="4" t="str">
        <f>VLOOKUP($B1502,'D7 - NDB Impacted SPRF''s'!$E$16:$O$9929,10,FALSE)</f>
        <v>N</v>
      </c>
      <c r="R1502" s="4" t="str">
        <f>VLOOKUP($B1502,'D7 - NDB Impacted SPRF''s'!$E$16:$O$9929,11,FALSE)</f>
        <v>N</v>
      </c>
      <c r="S1502" s="8"/>
      <c r="T1502" s="310"/>
      <c r="U1502" s="310"/>
      <c r="V1502" s="4"/>
      <c r="W1502" s="4"/>
      <c r="X1502" s="4"/>
      <c r="Y1502" s="4"/>
      <c r="Z1502" s="4"/>
      <c r="AA1502" s="4"/>
      <c r="AB1502" s="380" t="str">
        <f>VLOOKUP($B1502,'D7 - NDB Impacted SPRF''s'!$E$6:$O$9929,4,FALSE)</f>
        <v>Completed</v>
      </c>
      <c r="AC1502" s="380" t="str">
        <f>VLOOKUP($B1502,'D7 - NDB Impacted SPRF''s'!$E$6:$O$9929,3,FALSE)</f>
        <v>UHG IT - Enterprise Technology Services</v>
      </c>
      <c r="AD1502" s="380" t="str">
        <f>VLOOKUP($B1502,'D7 - NDB Impacted SPRF''s'!$E$6:$O$9929,5,FALSE)</f>
        <v>Strategic Initiatives</v>
      </c>
      <c r="AE1502" s="380" t="str">
        <f>VLOOKUP($B1502,'D7 - NDB Impacted SPRF''s'!$E$6:$O$9929,7,FALSE)</f>
        <v>David Albright</v>
      </c>
      <c r="AF1502" s="380" t="str">
        <f>VLOOKUP($B1502,'D7 - NDB Impacted SPRF''s'!$E$6:$O$9929,6,FALSE)</f>
        <v>Stacy Blackstad</v>
      </c>
      <c r="AG1502" s="282"/>
      <c r="AH1502" s="311" t="e">
        <f>INDEX('D5 - Gatekeeper - Projects'!$A$4:$AF$1010,$AM1502, 17)</f>
        <v>#N/A</v>
      </c>
      <c r="AI1502" s="8"/>
      <c r="AJ1502" s="57"/>
      <c r="AK1502" s="105"/>
      <c r="AM1502" s="6" t="e">
        <f>MATCH(D1502,'D5 - Gatekeeper - Projects'!$C$4:$C$1010,0)</f>
        <v>#N/A</v>
      </c>
      <c r="AN1502" s="6" t="b">
        <f t="shared" si="159"/>
        <v>1</v>
      </c>
      <c r="AO1502" s="6" t="str">
        <f t="shared" si="162"/>
        <v>OK</v>
      </c>
      <c r="AQ1502" s="6" t="e">
        <f>MATCH($D1502,'D4 - Provider Council Unsched'!$C$11:$C$234,0)</f>
        <v>#N/A</v>
      </c>
      <c r="AR1502" s="6" t="b">
        <f t="shared" si="160"/>
        <v>1</v>
      </c>
      <c r="AS1502" s="6" t="str">
        <f t="shared" si="158"/>
        <v>OK</v>
      </c>
      <c r="AU1502" s="202">
        <v>40567</v>
      </c>
      <c r="AV1502" s="262"/>
      <c r="AW1502" s="274"/>
    </row>
    <row r="1503" spans="1:49" s="13" customFormat="1" ht="33.75" x14ac:dyDescent="0.2">
      <c r="A1503" s="14">
        <v>1479</v>
      </c>
      <c r="B1503" s="8">
        <v>400041306</v>
      </c>
      <c r="C1503" s="8" t="s">
        <v>1447</v>
      </c>
      <c r="D1503" s="4" t="str">
        <f t="shared" si="161"/>
        <v>400041306A</v>
      </c>
      <c r="E1503" s="309" t="str">
        <f>VLOOKUP($B1503,'D7 - NDB Impacted SPRF''s'!$E$6:$O$9929,2,FALSE)</f>
        <v>Prevent Pricing by Related Schedule</v>
      </c>
      <c r="F1503" s="8"/>
      <c r="G1503" s="8" t="s">
        <v>4758</v>
      </c>
      <c r="H1503" s="8" t="s">
        <v>4246</v>
      </c>
      <c r="I1503" s="20">
        <v>3.03</v>
      </c>
      <c r="J1503" s="8" t="s">
        <v>4862</v>
      </c>
      <c r="K1503" s="182">
        <v>40719</v>
      </c>
      <c r="L1503" s="8" t="s">
        <v>4156</v>
      </c>
      <c r="M1503" s="8" t="s">
        <v>2814</v>
      </c>
      <c r="N1503" s="38"/>
      <c r="O1503" s="8"/>
      <c r="P1503" s="4" t="str">
        <f>VLOOKUP($B1503,'D7 - NDB Impacted SPRF''s'!$E$16:$O$9929,9,FALSE)</f>
        <v>Y</v>
      </c>
      <c r="Q1503" s="4" t="str">
        <f>VLOOKUP($B1503,'D7 - NDB Impacted SPRF''s'!$E$16:$O$9929,10,FALSE)</f>
        <v>N</v>
      </c>
      <c r="R1503" s="4" t="str">
        <f>VLOOKUP($B1503,'D7 - NDB Impacted SPRF''s'!$E$16:$O$9929,11,FALSE)</f>
        <v>N</v>
      </c>
      <c r="S1503" s="8"/>
      <c r="T1503" s="310"/>
      <c r="U1503" s="310"/>
      <c r="V1503" s="4"/>
      <c r="W1503" s="4"/>
      <c r="X1503" s="4"/>
      <c r="Y1503" s="4"/>
      <c r="Z1503" s="4"/>
      <c r="AA1503" s="4"/>
      <c r="AB1503" s="380" t="str">
        <f>VLOOKUP($B1503,'D7 - NDB Impacted SPRF''s'!$E$6:$O$9929,4,FALSE)</f>
        <v>Completed</v>
      </c>
      <c r="AC1503" s="380" t="str">
        <f>VLOOKUP($B1503,'D7 - NDB Impacted SPRF''s'!$E$6:$O$9929,3,FALSE)</f>
        <v>UnitedHealthcare Employer &amp; Individual</v>
      </c>
      <c r="AD1503" s="380" t="str">
        <f>VLOOKUP($B1503,'D7 - NDB Impacted SPRF''s'!$E$6:$O$9929,5,FALSE)</f>
        <v>HCA - Operational Requirements</v>
      </c>
      <c r="AE1503" s="380" t="str">
        <f>VLOOKUP($B1503,'D7 - NDB Impacted SPRF''s'!$E$6:$O$9929,7,FALSE)</f>
        <v>Kelly Lee</v>
      </c>
      <c r="AF1503" s="380" t="str">
        <f>VLOOKUP($B1503,'D7 - NDB Impacted SPRF''s'!$E$6:$O$9929,6,FALSE)</f>
        <v>LUND ROSS</v>
      </c>
      <c r="AG1503" s="282"/>
      <c r="AH1503" s="311" t="e">
        <f>INDEX('D5 - Gatekeeper - Projects'!$A$4:$AF$1010,$AM1503, 17)</f>
        <v>#N/A</v>
      </c>
      <c r="AI1503" s="8"/>
      <c r="AJ1503" s="57"/>
      <c r="AK1503" s="105"/>
      <c r="AM1503" s="6" t="e">
        <f>MATCH(D1503,'D5 - Gatekeeper - Projects'!$C$4:$C$1010,0)</f>
        <v>#N/A</v>
      </c>
      <c r="AN1503" s="6" t="b">
        <f t="shared" si="159"/>
        <v>1</v>
      </c>
      <c r="AO1503" s="6" t="str">
        <f t="shared" si="162"/>
        <v>OK</v>
      </c>
      <c r="AQ1503" s="6" t="e">
        <f>MATCH($D1503,'D4 - Provider Council Unsched'!$C$11:$C$234,0)</f>
        <v>#N/A</v>
      </c>
      <c r="AR1503" s="6" t="b">
        <f t="shared" si="160"/>
        <v>1</v>
      </c>
      <c r="AS1503" s="6" t="str">
        <f t="shared" si="158"/>
        <v>OK</v>
      </c>
      <c r="AU1503" s="202">
        <v>40616</v>
      </c>
      <c r="AV1503" s="262"/>
      <c r="AW1503" s="274"/>
    </row>
    <row r="1504" spans="1:49" s="13" customFormat="1" ht="22.5" x14ac:dyDescent="0.2">
      <c r="A1504" s="14">
        <v>1480</v>
      </c>
      <c r="B1504" s="8">
        <v>400041320</v>
      </c>
      <c r="C1504" s="8" t="s">
        <v>1447</v>
      </c>
      <c r="D1504" s="4" t="str">
        <f t="shared" si="161"/>
        <v>400041320A</v>
      </c>
      <c r="E1504" s="309" t="str">
        <f>VLOOKUP($B1504,'D7 - NDB Impacted SPRF''s'!$E$6:$O$9929,2,FALSE)</f>
        <v>Decoupling Clms Hwy from TOPS Phase 3</v>
      </c>
      <c r="F1504" s="8"/>
      <c r="G1504" s="8" t="s">
        <v>4758</v>
      </c>
      <c r="H1504" s="8" t="s">
        <v>4246</v>
      </c>
      <c r="I1504" s="20">
        <v>1.3</v>
      </c>
      <c r="J1504" s="8" t="s">
        <v>4862</v>
      </c>
      <c r="K1504" s="182">
        <v>40719</v>
      </c>
      <c r="L1504" s="8" t="s">
        <v>4156</v>
      </c>
      <c r="M1504" s="8" t="s">
        <v>5626</v>
      </c>
      <c r="N1504" s="38"/>
      <c r="O1504" s="8"/>
      <c r="P1504" s="4" t="str">
        <f>VLOOKUP($B1504,'D7 - NDB Impacted SPRF''s'!$E$16:$O$9929,9,FALSE)</f>
        <v>Y</v>
      </c>
      <c r="Q1504" s="4" t="str">
        <f>VLOOKUP($B1504,'D7 - NDB Impacted SPRF''s'!$E$16:$O$9929,10,FALSE)</f>
        <v>N</v>
      </c>
      <c r="R1504" s="4" t="str">
        <f>VLOOKUP($B1504,'D7 - NDB Impacted SPRF''s'!$E$16:$O$9929,11,FALSE)</f>
        <v>N</v>
      </c>
      <c r="S1504" s="8"/>
      <c r="T1504" s="310"/>
      <c r="U1504" s="310"/>
      <c r="V1504" s="4"/>
      <c r="W1504" s="4"/>
      <c r="X1504" s="4"/>
      <c r="Y1504" s="4"/>
      <c r="Z1504" s="4"/>
      <c r="AA1504" s="4"/>
      <c r="AB1504" s="380" t="str">
        <f>VLOOKUP($B1504,'D7 - NDB Impacted SPRF''s'!$E$6:$O$9929,4,FALSE)</f>
        <v>Completed</v>
      </c>
      <c r="AC1504" s="380" t="str">
        <f>VLOOKUP($B1504,'D7 - NDB Impacted SPRF''s'!$E$6:$O$9929,3,FALSE)</f>
        <v>UHG IT - Shared Services</v>
      </c>
      <c r="AD1504" s="380" t="str">
        <f>VLOOKUP($B1504,'D7 - NDB Impacted SPRF''s'!$E$6:$O$9929,5,FALSE)</f>
        <v>Strategic Initiatives</v>
      </c>
      <c r="AE1504" s="380" t="str">
        <f>VLOOKUP($B1504,'D7 - NDB Impacted SPRF''s'!$E$6:$O$9929,7,FALSE)</f>
        <v>John Doddy</v>
      </c>
      <c r="AF1504" s="380" t="str">
        <f>VLOOKUP($B1504,'D7 - NDB Impacted SPRF''s'!$E$6:$O$9929,6,FALSE)</f>
        <v>CAROL BERCAW</v>
      </c>
      <c r="AG1504" s="282"/>
      <c r="AH1504" s="311" t="e">
        <f>INDEX('D5 - Gatekeeper - Projects'!$A$4:$AF$1010,$AM1504, 17)</f>
        <v>#N/A</v>
      </c>
      <c r="AI1504" s="8"/>
      <c r="AJ1504" s="57"/>
      <c r="AK1504" s="105"/>
      <c r="AM1504" s="6" t="e">
        <f>MATCH(D1504,'D5 - Gatekeeper - Projects'!$C$4:$C$1010,0)</f>
        <v>#N/A</v>
      </c>
      <c r="AN1504" s="6" t="b">
        <f t="shared" si="159"/>
        <v>1</v>
      </c>
      <c r="AO1504" s="6" t="str">
        <f t="shared" si="162"/>
        <v>OK</v>
      </c>
      <c r="AQ1504" s="6" t="e">
        <f>MATCH($D1504,'D4 - Provider Council Unsched'!$C$11:$C$234,0)</f>
        <v>#N/A</v>
      </c>
      <c r="AR1504" s="6" t="b">
        <f t="shared" si="160"/>
        <v>1</v>
      </c>
      <c r="AS1504" s="6" t="str">
        <f t="shared" si="158"/>
        <v>OK</v>
      </c>
      <c r="AU1504" s="202">
        <v>40592</v>
      </c>
      <c r="AV1504" s="262"/>
      <c r="AW1504" s="274"/>
    </row>
    <row r="1505" spans="1:49" s="13" customFormat="1" ht="22.5" x14ac:dyDescent="0.2">
      <c r="A1505" s="14">
        <v>1481</v>
      </c>
      <c r="B1505" s="8">
        <v>400041452</v>
      </c>
      <c r="C1505" s="8" t="s">
        <v>1447</v>
      </c>
      <c r="D1505" s="4" t="str">
        <f t="shared" si="161"/>
        <v>400041452A</v>
      </c>
      <c r="E1505" s="309" t="str">
        <f>VLOOKUP($B1505,'D7 - NDB Impacted SPRF''s'!$E$6:$O$9929,2,FALSE)</f>
        <v>Cont CDB Core Processing: Inc View Cutovers</v>
      </c>
      <c r="F1505" s="8"/>
      <c r="G1505" s="8" t="s">
        <v>4758</v>
      </c>
      <c r="H1505" s="8" t="s">
        <v>4246</v>
      </c>
      <c r="I1505" s="20">
        <v>4.28</v>
      </c>
      <c r="J1505" s="8" t="s">
        <v>4862</v>
      </c>
      <c r="K1505" s="182">
        <v>40719</v>
      </c>
      <c r="L1505" s="8" t="s">
        <v>4156</v>
      </c>
      <c r="M1505" s="8" t="s">
        <v>2814</v>
      </c>
      <c r="N1505" s="38" t="s">
        <v>409</v>
      </c>
      <c r="O1505" s="8"/>
      <c r="P1505" s="4" t="str">
        <f>VLOOKUP($B1505,'D7 - NDB Impacted SPRF''s'!$E$16:$O$9929,9,FALSE)</f>
        <v>Y</v>
      </c>
      <c r="Q1505" s="4" t="str">
        <f>VLOOKUP($B1505,'D7 - NDB Impacted SPRF''s'!$E$16:$O$9929,10,FALSE)</f>
        <v>N</v>
      </c>
      <c r="R1505" s="4" t="str">
        <f>VLOOKUP($B1505,'D7 - NDB Impacted SPRF''s'!$E$16:$O$9929,11,FALSE)</f>
        <v>N</v>
      </c>
      <c r="S1505" s="8"/>
      <c r="T1505" s="310"/>
      <c r="U1505" s="310"/>
      <c r="V1505" s="4"/>
      <c r="W1505" s="4"/>
      <c r="X1505" s="4"/>
      <c r="Y1505" s="4"/>
      <c r="Z1505" s="4"/>
      <c r="AA1505" s="4"/>
      <c r="AB1505" s="380" t="str">
        <f>VLOOKUP($B1505,'D7 - NDB Impacted SPRF''s'!$E$6:$O$9929,4,FALSE)</f>
        <v>Scheduled</v>
      </c>
      <c r="AC1505" s="380" t="str">
        <f>VLOOKUP($B1505,'D7 - NDB Impacted SPRF''s'!$E$6:$O$9929,3,FALSE)</f>
        <v>UHG IT - Shared Services</v>
      </c>
      <c r="AD1505" s="380" t="str">
        <f>VLOOKUP($B1505,'D7 - NDB Impacted SPRF''s'!$E$6:$O$9929,5,FALSE)</f>
        <v>Strategic Initiatives</v>
      </c>
      <c r="AE1505" s="380" t="str">
        <f>VLOOKUP($B1505,'D7 - NDB Impacted SPRF''s'!$E$6:$O$9929,7,FALSE)</f>
        <v>Patrick Casey</v>
      </c>
      <c r="AF1505" s="380" t="str">
        <f>VLOOKUP($B1505,'D7 - NDB Impacted SPRF''s'!$E$6:$O$9929,6,FALSE)</f>
        <v>DIANE KOWAL</v>
      </c>
      <c r="AG1505" s="282"/>
      <c r="AH1505" s="311" t="e">
        <f>INDEX('D5 - Gatekeeper - Projects'!$A$4:$AF$1010,$AM1505, 17)</f>
        <v>#N/A</v>
      </c>
      <c r="AI1505" s="8"/>
      <c r="AJ1505" s="57"/>
      <c r="AK1505" s="105"/>
      <c r="AM1505" s="6" t="e">
        <f>MATCH(D1505,'D5 - Gatekeeper - Projects'!$C$4:$C$1010,0)</f>
        <v>#N/A</v>
      </c>
      <c r="AN1505" s="6" t="b">
        <f t="shared" si="159"/>
        <v>1</v>
      </c>
      <c r="AO1505" s="6" t="str">
        <f t="shared" si="162"/>
        <v>OK</v>
      </c>
      <c r="AQ1505" s="6" t="e">
        <f>MATCH($D1505,'D4 - Provider Council Unsched'!$C$11:$C$234,0)</f>
        <v>#N/A</v>
      </c>
      <c r="AR1505" s="6" t="b">
        <f t="shared" si="160"/>
        <v>1</v>
      </c>
      <c r="AS1505" s="6" t="str">
        <f t="shared" si="158"/>
        <v>OK</v>
      </c>
      <c r="AU1505" s="202">
        <v>40637</v>
      </c>
      <c r="AV1505" s="262"/>
      <c r="AW1505" s="274"/>
    </row>
    <row r="1506" spans="1:49" s="13" customFormat="1" ht="45" x14ac:dyDescent="0.2">
      <c r="A1506" s="14">
        <v>1482</v>
      </c>
      <c r="B1506" s="8">
        <v>400041530</v>
      </c>
      <c r="C1506" s="8" t="s">
        <v>1447</v>
      </c>
      <c r="D1506" s="4" t="str">
        <f t="shared" si="161"/>
        <v>400041530A</v>
      </c>
      <c r="E1506" s="309" t="str">
        <f>VLOOKUP($B1506,'D7 - NDB Impacted SPRF''s'!$E$6:$O$9929,2,FALSE)</f>
        <v>SSN Tokenization - TOPS</v>
      </c>
      <c r="F1506" s="8"/>
      <c r="G1506" s="8" t="s">
        <v>4758</v>
      </c>
      <c r="H1506" s="8" t="s">
        <v>4246</v>
      </c>
      <c r="I1506" s="20">
        <v>0.69</v>
      </c>
      <c r="J1506" s="8" t="s">
        <v>4862</v>
      </c>
      <c r="K1506" s="182">
        <v>40719</v>
      </c>
      <c r="L1506" s="8" t="s">
        <v>4156</v>
      </c>
      <c r="M1506" s="8" t="s">
        <v>6688</v>
      </c>
      <c r="N1506" s="38" t="s">
        <v>2256</v>
      </c>
      <c r="O1506" s="8"/>
      <c r="P1506" s="4" t="str">
        <f>VLOOKUP($B1506,'D7 - NDB Impacted SPRF''s'!$E$16:$O$9929,9,FALSE)</f>
        <v>Y</v>
      </c>
      <c r="Q1506" s="4" t="str">
        <f>VLOOKUP($B1506,'D7 - NDB Impacted SPRF''s'!$E$16:$O$9929,10,FALSE)</f>
        <v>N</v>
      </c>
      <c r="R1506" s="4" t="str">
        <f>VLOOKUP($B1506,'D7 - NDB Impacted SPRF''s'!$E$16:$O$9929,11,FALSE)</f>
        <v>N</v>
      </c>
      <c r="S1506" s="8"/>
      <c r="T1506" s="310"/>
      <c r="U1506" s="310"/>
      <c r="V1506" s="4"/>
      <c r="W1506" s="4"/>
      <c r="X1506" s="4"/>
      <c r="Y1506" s="4"/>
      <c r="Z1506" s="4"/>
      <c r="AA1506" s="4"/>
      <c r="AB1506" s="380" t="str">
        <f>VLOOKUP($B1506,'D7 - NDB Impacted SPRF''s'!$E$6:$O$9929,4,FALSE)</f>
        <v>Completed</v>
      </c>
      <c r="AC1506" s="380" t="str">
        <f>VLOOKUP($B1506,'D7 - NDB Impacted SPRF''s'!$E$6:$O$9929,3,FALSE)</f>
        <v>UHG IT - Enterprise Technology Services</v>
      </c>
      <c r="AD1506" s="380" t="str">
        <f>VLOOKUP($B1506,'D7 - NDB Impacted SPRF''s'!$E$6:$O$9929,5,FALSE)</f>
        <v>IRM</v>
      </c>
      <c r="AE1506" s="380" t="str">
        <f>VLOOKUP($B1506,'D7 - NDB Impacted SPRF''s'!$E$6:$O$9929,7,FALSE)</f>
        <v>Robert Booker</v>
      </c>
      <c r="AF1506" s="380" t="str">
        <f>VLOOKUP($B1506,'D7 - NDB Impacted SPRF''s'!$E$6:$O$9929,6,FALSE)</f>
        <v>Michelle Klemz</v>
      </c>
      <c r="AG1506" s="282"/>
      <c r="AH1506" s="311" t="e">
        <f>INDEX('D5 - Gatekeeper - Projects'!$A$4:$AF$1010,$AM1506, 17)</f>
        <v>#N/A</v>
      </c>
      <c r="AI1506" s="8"/>
      <c r="AJ1506" s="57"/>
      <c r="AK1506" s="105"/>
      <c r="AM1506" s="6" t="e">
        <f>MATCH(D1506,'D5 - Gatekeeper - Projects'!$C$4:$C$1010,0)</f>
        <v>#N/A</v>
      </c>
      <c r="AN1506" s="6" t="b">
        <f t="shared" si="159"/>
        <v>1</v>
      </c>
      <c r="AO1506" s="6" t="str">
        <f t="shared" si="162"/>
        <v>OK</v>
      </c>
      <c r="AQ1506" s="6" t="e">
        <f>MATCH($D1506,'D4 - Provider Council Unsched'!$C$11:$C$234,0)</f>
        <v>#N/A</v>
      </c>
      <c r="AR1506" s="6" t="b">
        <f t="shared" si="160"/>
        <v>1</v>
      </c>
      <c r="AS1506" s="6" t="str">
        <f t="shared" si="158"/>
        <v>OK</v>
      </c>
      <c r="AU1506" s="202">
        <v>40680</v>
      </c>
      <c r="AV1506" s="262"/>
      <c r="AW1506" s="274"/>
    </row>
    <row r="1507" spans="1:49" s="13" customFormat="1" ht="33.75" x14ac:dyDescent="0.2">
      <c r="A1507" s="14">
        <v>1483</v>
      </c>
      <c r="B1507" s="8">
        <v>400042108</v>
      </c>
      <c r="C1507" s="8" t="s">
        <v>1447</v>
      </c>
      <c r="D1507" s="4" t="str">
        <f t="shared" si="161"/>
        <v>400042108A</v>
      </c>
      <c r="E1507" s="309" t="str">
        <f>VLOOKUP($B1507,'D7 - NDB Impacted SPRF''s'!$E$6:$O$9929,2,FALSE)</f>
        <v>Provider SoT &amp; Data Workflow</v>
      </c>
      <c r="F1507" s="8"/>
      <c r="G1507" s="8" t="s">
        <v>4758</v>
      </c>
      <c r="H1507" s="8" t="s">
        <v>4246</v>
      </c>
      <c r="I1507" s="20">
        <v>2.16</v>
      </c>
      <c r="J1507" s="8" t="s">
        <v>4862</v>
      </c>
      <c r="K1507" s="182">
        <v>40719</v>
      </c>
      <c r="L1507" s="8" t="s">
        <v>4156</v>
      </c>
      <c r="M1507" s="8" t="s">
        <v>6688</v>
      </c>
      <c r="N1507" s="38" t="s">
        <v>2710</v>
      </c>
      <c r="O1507" s="8"/>
      <c r="P1507" s="4" t="str">
        <f>VLOOKUP($B1507,'D7 - NDB Impacted SPRF''s'!$E$16:$O$9929,9,FALSE)</f>
        <v>Y</v>
      </c>
      <c r="Q1507" s="4" t="str">
        <f>VLOOKUP($B1507,'D7 - NDB Impacted SPRF''s'!$E$16:$O$9929,10,FALSE)</f>
        <v>N</v>
      </c>
      <c r="R1507" s="4" t="str">
        <f>VLOOKUP($B1507,'D7 - NDB Impacted SPRF''s'!$E$16:$O$9929,11,FALSE)</f>
        <v>N</v>
      </c>
      <c r="S1507" s="8"/>
      <c r="T1507" s="310"/>
      <c r="U1507" s="310"/>
      <c r="V1507" s="4"/>
      <c r="W1507" s="4"/>
      <c r="X1507" s="4"/>
      <c r="Y1507" s="4"/>
      <c r="Z1507" s="4"/>
      <c r="AA1507" s="4"/>
      <c r="AB1507" s="380" t="str">
        <f>VLOOKUP($B1507,'D7 - NDB Impacted SPRF''s'!$E$6:$O$9929,4,FALSE)</f>
        <v>Completed</v>
      </c>
      <c r="AC1507" s="380" t="s">
        <v>5324</v>
      </c>
      <c r="AD1507" s="380" t="str">
        <f>VLOOKUP($B1507,'D7 - NDB Impacted SPRF''s'!$E$6:$O$9929,5,FALSE)</f>
        <v>Behavioral Solutions</v>
      </c>
      <c r="AE1507" s="380" t="str">
        <f>VLOOKUP($B1507,'D7 - NDB Impacted SPRF''s'!$E$6:$O$9929,7,FALSE)</f>
        <v>Deb Adler</v>
      </c>
      <c r="AF1507" s="380" t="str">
        <f>VLOOKUP($B1507,'D7 - NDB Impacted SPRF''s'!$E$6:$O$9929,6,FALSE)</f>
        <v>Beverly Johnson</v>
      </c>
      <c r="AG1507" s="282"/>
      <c r="AH1507" s="311" t="e">
        <f>INDEX('D5 - Gatekeeper - Projects'!$A$4:$AF$1010,$AM1507, 17)</f>
        <v>#N/A</v>
      </c>
      <c r="AI1507" s="8"/>
      <c r="AJ1507" s="57"/>
      <c r="AK1507" s="105"/>
      <c r="AM1507" s="6" t="e">
        <f>MATCH(D1507,'D5 - Gatekeeper - Projects'!$C$4:$C$1010,0)</f>
        <v>#N/A</v>
      </c>
      <c r="AN1507" s="6" t="b">
        <f t="shared" si="159"/>
        <v>1</v>
      </c>
      <c r="AO1507" s="6" t="str">
        <f t="shared" si="162"/>
        <v>OK</v>
      </c>
      <c r="AQ1507" s="6" t="e">
        <f>MATCH($D1507,'D4 - Provider Council Unsched'!$C$11:$C$234,0)</f>
        <v>#N/A</v>
      </c>
      <c r="AR1507" s="6" t="b">
        <f t="shared" si="160"/>
        <v>1</v>
      </c>
      <c r="AS1507" s="6" t="str">
        <f t="shared" si="158"/>
        <v>OK</v>
      </c>
      <c r="AU1507" s="202">
        <v>40610</v>
      </c>
      <c r="AV1507" s="262"/>
      <c r="AW1507" s="274"/>
    </row>
    <row r="1508" spans="1:49" s="13" customFormat="1" ht="33.75" x14ac:dyDescent="0.2">
      <c r="A1508" s="14">
        <v>1484</v>
      </c>
      <c r="B1508" s="8">
        <v>400042381</v>
      </c>
      <c r="C1508" s="8" t="s">
        <v>1447</v>
      </c>
      <c r="D1508" s="4" t="str">
        <f t="shared" si="161"/>
        <v>400042381A</v>
      </c>
      <c r="E1508" s="309" t="str">
        <f>VLOOKUP($B1508,'D7 - NDB Impacted SPRF''s'!$E$6:$O$9929,2,FALSE)</f>
        <v>Enterprise Adjudication Service</v>
      </c>
      <c r="F1508" s="8"/>
      <c r="G1508" s="8" t="s">
        <v>4758</v>
      </c>
      <c r="H1508" s="8" t="s">
        <v>4246</v>
      </c>
      <c r="I1508" s="20">
        <v>2.72</v>
      </c>
      <c r="J1508" s="8" t="s">
        <v>4862</v>
      </c>
      <c r="K1508" s="182">
        <v>40719</v>
      </c>
      <c r="L1508" s="8" t="s">
        <v>4156</v>
      </c>
      <c r="M1508" s="8" t="s">
        <v>2814</v>
      </c>
      <c r="N1508" s="38"/>
      <c r="O1508" s="8"/>
      <c r="P1508" s="4" t="str">
        <f>VLOOKUP($B1508,'D7 - NDB Impacted SPRF''s'!$E$16:$O$9929,9,FALSE)</f>
        <v>Y</v>
      </c>
      <c r="Q1508" s="4" t="str">
        <f>VLOOKUP($B1508,'D7 - NDB Impacted SPRF''s'!$E$16:$O$9929,10,FALSE)</f>
        <v>N</v>
      </c>
      <c r="R1508" s="4" t="str">
        <f>VLOOKUP($B1508,'D7 - NDB Impacted SPRF''s'!$E$16:$O$9929,11,FALSE)</f>
        <v>N</v>
      </c>
      <c r="S1508" s="8"/>
      <c r="T1508" s="310"/>
      <c r="U1508" s="310"/>
      <c r="V1508" s="4"/>
      <c r="W1508" s="4"/>
      <c r="X1508" s="4"/>
      <c r="Y1508" s="4"/>
      <c r="Z1508" s="4"/>
      <c r="AA1508" s="4"/>
      <c r="AB1508" s="380" t="str">
        <f>VLOOKUP($B1508,'D7 - NDB Impacted SPRF''s'!$E$6:$O$9929,4,FALSE)</f>
        <v>Completed</v>
      </c>
      <c r="AC1508" s="380" t="s">
        <v>5324</v>
      </c>
      <c r="AD1508" s="380" t="str">
        <f>VLOOKUP($B1508,'D7 - NDB Impacted SPRF''s'!$E$6:$O$9929,5,FALSE)</f>
        <v>Strategic Initiatives</v>
      </c>
      <c r="AE1508" s="380" t="str">
        <f>VLOOKUP($B1508,'D7 - NDB Impacted SPRF''s'!$E$6:$O$9929,7,FALSE)</f>
        <v>John Doddy</v>
      </c>
      <c r="AF1508" s="380" t="str">
        <f>VLOOKUP($B1508,'D7 - NDB Impacted SPRF''s'!$E$6:$O$9929,6,FALSE)</f>
        <v>Glen Ferrera</v>
      </c>
      <c r="AG1508" s="282"/>
      <c r="AH1508" s="311" t="e">
        <f>INDEX('D5 - Gatekeeper - Projects'!$A$4:$AF$1010,$AM1508, 17)</f>
        <v>#N/A</v>
      </c>
      <c r="AI1508" s="8"/>
      <c r="AJ1508" s="57"/>
      <c r="AK1508" s="105"/>
      <c r="AM1508" s="6" t="e">
        <f>MATCH(D1508,'D5 - Gatekeeper - Projects'!$C$4:$C$1010,0)</f>
        <v>#N/A</v>
      </c>
      <c r="AN1508" s="6" t="b">
        <f t="shared" si="159"/>
        <v>1</v>
      </c>
      <c r="AO1508" s="6" t="str">
        <f t="shared" si="162"/>
        <v>OK</v>
      </c>
      <c r="AQ1508" s="6" t="e">
        <f>MATCH($D1508,'D4 - Provider Council Unsched'!$C$11:$C$234,0)</f>
        <v>#N/A</v>
      </c>
      <c r="AR1508" s="6" t="b">
        <f t="shared" si="160"/>
        <v>1</v>
      </c>
      <c r="AS1508" s="6" t="str">
        <f t="shared" si="158"/>
        <v>OK</v>
      </c>
      <c r="AU1508" s="202">
        <v>40673</v>
      </c>
      <c r="AV1508" s="262"/>
      <c r="AW1508" s="274">
        <v>32939</v>
      </c>
    </row>
    <row r="1509" spans="1:49" s="13" customFormat="1" x14ac:dyDescent="0.2">
      <c r="A1509" s="14">
        <v>1485</v>
      </c>
      <c r="B1509" s="14" t="s">
        <v>7363</v>
      </c>
      <c r="C1509" s="8" t="s">
        <v>5197</v>
      </c>
      <c r="D1509" s="4" t="s">
        <v>7364</v>
      </c>
      <c r="E1509" s="309" t="s">
        <v>7365</v>
      </c>
      <c r="F1509" s="8" t="s">
        <v>2114</v>
      </c>
      <c r="G1509" s="8" t="s">
        <v>4758</v>
      </c>
      <c r="H1509" s="8" t="s">
        <v>4246</v>
      </c>
      <c r="I1509" s="20">
        <v>3.9</v>
      </c>
      <c r="J1509" s="8" t="s">
        <v>4862</v>
      </c>
      <c r="K1509" s="182">
        <v>40719</v>
      </c>
      <c r="L1509" s="8" t="s">
        <v>5743</v>
      </c>
      <c r="M1509" s="8" t="s">
        <v>2814</v>
      </c>
      <c r="N1509" s="38"/>
      <c r="O1509" s="8" t="s">
        <v>3572</v>
      </c>
      <c r="P1509" s="4" t="e">
        <f>VLOOKUP($B1509,'D7 - NDB Impacted SPRF''s'!$E$16:$O$9929,9,FALSE)</f>
        <v>#N/A</v>
      </c>
      <c r="Q1509" s="4" t="e">
        <f>VLOOKUP($B1509,'D7 - NDB Impacted SPRF''s'!$E$16:$O$9929,10,FALSE)</f>
        <v>#N/A</v>
      </c>
      <c r="R1509" s="4" t="e">
        <f>VLOOKUP($B1509,'D7 - NDB Impacted SPRF''s'!$E$16:$O$9929,11,FALSE)</f>
        <v>#N/A</v>
      </c>
      <c r="S1509" s="8"/>
      <c r="T1509" s="310"/>
      <c r="U1509" s="310"/>
      <c r="V1509" s="4"/>
      <c r="W1509" s="4"/>
      <c r="X1509" s="4"/>
      <c r="Y1509" s="4"/>
      <c r="Z1509" s="4"/>
      <c r="AA1509" s="4"/>
      <c r="AB1509" s="383" t="e">
        <f>VLOOKUP($B1509,'D7 - NDB Impacted SPRF''s'!$E$16:$O$9929,4,FALSE)</f>
        <v>#N/A</v>
      </c>
      <c r="AC1509" s="380" t="e">
        <f>VLOOKUP($B1509,'D7 - NDB Impacted SPRF''s'!$E$16:$O$9929,3,FALSE)</f>
        <v>#N/A</v>
      </c>
      <c r="AD1509" s="380" t="e">
        <f>VLOOKUP($B1509,'D7 - NDB Impacted SPRF''s'!$E$16:$O$9929,5,FALSE)</f>
        <v>#N/A</v>
      </c>
      <c r="AE1509" s="380" t="e">
        <f>VLOOKUP($B1509,'D7 - NDB Impacted SPRF''s'!$E$16:$O$9929,7,FALSE)</f>
        <v>#N/A</v>
      </c>
      <c r="AF1509" s="380" t="e">
        <f>VLOOKUP($B1509,'D7 - NDB Impacted SPRF''s'!$E$16:$O$9929,6,FALSE)</f>
        <v>#N/A</v>
      </c>
      <c r="AG1509" s="282"/>
      <c r="AH1509" s="311" t="e">
        <f>INDEX('D5 - Gatekeeper - Projects'!$A$4:$AF$1010,$AM1509, 17)</f>
        <v>#N/A</v>
      </c>
      <c r="AI1509" s="8"/>
      <c r="AJ1509" s="57"/>
      <c r="AK1509" s="105"/>
      <c r="AM1509" s="6" t="e">
        <f>MATCH(D1509,'D5 - Gatekeeper - Projects'!$C$4:$C$1010,0)</f>
        <v>#N/A</v>
      </c>
      <c r="AN1509" s="6" t="b">
        <f t="shared" si="159"/>
        <v>1</v>
      </c>
      <c r="AO1509" s="6" t="str">
        <f t="shared" si="162"/>
        <v>OK</v>
      </c>
      <c r="AQ1509" s="6" t="e">
        <f>MATCH($D1509,'D4 - Provider Council Unsched'!$C$11:$C$234,0)</f>
        <v>#N/A</v>
      </c>
      <c r="AR1509" s="6" t="b">
        <f t="shared" si="160"/>
        <v>1</v>
      </c>
      <c r="AS1509" s="6" t="str">
        <f>IF(AND(H1509="2 - Not Scheduled",AR1509=TRUE),"Add","OK")</f>
        <v>OK</v>
      </c>
      <c r="AU1509" s="202">
        <v>40518</v>
      </c>
      <c r="AV1509" s="262"/>
      <c r="AW1509" s="274"/>
    </row>
    <row r="1510" spans="1:49" s="13" customFormat="1" ht="33.75" x14ac:dyDescent="0.2">
      <c r="A1510" s="14">
        <v>1486</v>
      </c>
      <c r="B1510" s="8">
        <v>400045120</v>
      </c>
      <c r="C1510" s="8" t="s">
        <v>1447</v>
      </c>
      <c r="D1510" s="4" t="str">
        <f t="shared" ref="D1510:D1535" si="163">CONCATENATE(B1510,C1510)</f>
        <v>400045120A</v>
      </c>
      <c r="E1510" s="309" t="str">
        <f>VLOOKUP($B1510,'D7 - NDB Impacted SPRF''s'!$E$6:$O$9929,2,FALSE)</f>
        <v>Medica Superuser Role - refer also to 4-43407</v>
      </c>
      <c r="F1510" s="8"/>
      <c r="G1510" s="8" t="s">
        <v>4758</v>
      </c>
      <c r="H1510" s="8" t="s">
        <v>4246</v>
      </c>
      <c r="I1510" s="20">
        <v>0.47</v>
      </c>
      <c r="J1510" s="8" t="s">
        <v>4862</v>
      </c>
      <c r="K1510" s="182">
        <v>40731</v>
      </c>
      <c r="L1510" s="8" t="s">
        <v>4156</v>
      </c>
      <c r="M1510" s="8" t="s">
        <v>6007</v>
      </c>
      <c r="N1510" s="38"/>
      <c r="O1510" s="8"/>
      <c r="P1510" s="4" t="str">
        <f>VLOOKUP($B1510,'D7 - NDB Impacted SPRF''s'!$E$16:$O$9929,9,FALSE)</f>
        <v>N</v>
      </c>
      <c r="Q1510" s="4" t="str">
        <f>VLOOKUP($B1510,'D7 - NDB Impacted SPRF''s'!$E$16:$O$9929,10,FALSE)</f>
        <v>N</v>
      </c>
      <c r="R1510" s="4" t="str">
        <f>VLOOKUP($B1510,'D7 - NDB Impacted SPRF''s'!$E$16:$O$9929,11,FALSE)</f>
        <v>N</v>
      </c>
      <c r="S1510" s="8"/>
      <c r="T1510" s="310"/>
      <c r="U1510" s="310"/>
      <c r="V1510" s="4"/>
      <c r="W1510" s="4"/>
      <c r="X1510" s="4"/>
      <c r="Y1510" s="4"/>
      <c r="Z1510" s="4"/>
      <c r="AA1510" s="4"/>
      <c r="AB1510" s="380" t="str">
        <f>VLOOKUP($B1510,'D7 - NDB Impacted SPRF''s'!$E$6:$O$9929,4,FALSE)</f>
        <v>Completed</v>
      </c>
      <c r="AC1510" s="380" t="str">
        <f>VLOOKUP($B1510,'D7 - NDB Impacted SPRF''s'!$E$6:$O$9929,3,FALSE)</f>
        <v>UnitedHealthcare Employer &amp; Individual</v>
      </c>
      <c r="AD1510" s="380" t="str">
        <f>VLOOKUP($B1510,'D7 - NDB Impacted SPRF''s'!$E$6:$O$9929,5,FALSE)</f>
        <v>HCA - Process Improvement</v>
      </c>
      <c r="AE1510" s="380" t="str">
        <f>VLOOKUP($B1510,'D7 - NDB Impacted SPRF''s'!$E$6:$O$9929,7,FALSE)</f>
        <v>Robyn Athmann</v>
      </c>
      <c r="AF1510" s="380" t="str">
        <f>VLOOKUP($B1510,'D7 - NDB Impacted SPRF''s'!$E$6:$O$9929,6,FALSE)</f>
        <v>HOLMAN JACQUELYNE</v>
      </c>
      <c r="AG1510" s="282"/>
      <c r="AH1510" s="311" t="e">
        <f>INDEX('D5 - Gatekeeper - Projects'!$A$4:$AF$1010,$AM1510, 17)</f>
        <v>#N/A</v>
      </c>
      <c r="AI1510" s="8"/>
      <c r="AJ1510" s="57"/>
      <c r="AK1510" s="105"/>
      <c r="AM1510" s="6" t="e">
        <f>MATCH(D1510,'D5 - Gatekeeper - Projects'!$C$4:$C$1010,0)</f>
        <v>#N/A</v>
      </c>
      <c r="AN1510" s="6" t="b">
        <f t="shared" si="159"/>
        <v>1</v>
      </c>
      <c r="AO1510" s="6" t="str">
        <f t="shared" si="162"/>
        <v>OK</v>
      </c>
      <c r="AQ1510" s="6" t="e">
        <f>MATCH($D1510,'D4 - Provider Council Unsched'!$C$11:$C$234,0)</f>
        <v>#N/A</v>
      </c>
      <c r="AR1510" s="6" t="b">
        <f t="shared" si="160"/>
        <v>1</v>
      </c>
      <c r="AS1510" s="6" t="str">
        <f t="shared" ref="AS1510:AS1535" si="164">IF(AND(H1510="2 - Not Scheduled",AR1510=TRUE,C1510="R1"),"Add","OK")</f>
        <v>OK</v>
      </c>
      <c r="AU1510" s="202">
        <v>40714</v>
      </c>
      <c r="AV1510" s="262"/>
      <c r="AW1510" s="274"/>
    </row>
    <row r="1511" spans="1:49" s="13" customFormat="1" ht="33.75" x14ac:dyDescent="0.2">
      <c r="A1511" s="14">
        <v>1487</v>
      </c>
      <c r="B1511" s="8">
        <v>400043195</v>
      </c>
      <c r="C1511" s="8" t="s">
        <v>1447</v>
      </c>
      <c r="D1511" s="4" t="str">
        <f t="shared" si="163"/>
        <v>400043195A</v>
      </c>
      <c r="E1511" s="309" t="str">
        <f>VLOOKUP($B1511,'D7 - NDB Impacted SPRF''s'!$E$6:$O$9929,2,FALSE)</f>
        <v>OptumHealth Behavioral Health Migration to CSP-AO</v>
      </c>
      <c r="F1511" s="8"/>
      <c r="G1511" s="8" t="s">
        <v>4758</v>
      </c>
      <c r="H1511" s="8" t="s">
        <v>4246</v>
      </c>
      <c r="I1511" s="20">
        <v>1.37</v>
      </c>
      <c r="J1511" s="8" t="s">
        <v>4862</v>
      </c>
      <c r="K1511" s="182">
        <v>40753</v>
      </c>
      <c r="L1511" s="8" t="s">
        <v>4156</v>
      </c>
      <c r="M1511" s="8" t="s">
        <v>6688</v>
      </c>
      <c r="N1511" s="38"/>
      <c r="O1511" s="8"/>
      <c r="P1511" s="4" t="str">
        <f>VLOOKUP($B1511,'D7 - NDB Impacted SPRF''s'!$E$16:$O$9929,9,FALSE)</f>
        <v>N</v>
      </c>
      <c r="Q1511" s="4" t="str">
        <f>VLOOKUP($B1511,'D7 - NDB Impacted SPRF''s'!$E$16:$O$9929,10,FALSE)</f>
        <v>N</v>
      </c>
      <c r="R1511" s="4" t="str">
        <f>VLOOKUP($B1511,'D7 - NDB Impacted SPRF''s'!$E$16:$O$9929,11,FALSE)</f>
        <v>N</v>
      </c>
      <c r="S1511" s="8"/>
      <c r="T1511" s="310"/>
      <c r="U1511" s="310"/>
      <c r="V1511" s="4"/>
      <c r="W1511" s="4"/>
      <c r="X1511" s="4"/>
      <c r="Y1511" s="4"/>
      <c r="Z1511" s="4"/>
      <c r="AA1511" s="4"/>
      <c r="AB1511" s="380" t="str">
        <f>VLOOKUP($B1511,'D7 - NDB Impacted SPRF''s'!$E$6:$O$9929,4,FALSE)</f>
        <v>Completed</v>
      </c>
      <c r="AC1511" s="380" t="s">
        <v>5324</v>
      </c>
      <c r="AD1511" s="380" t="str">
        <f>VLOOKUP($B1511,'D7 - NDB Impacted SPRF''s'!$E$6:$O$9929,5,FALSE)</f>
        <v>Behavioral Solutions</v>
      </c>
      <c r="AE1511" s="380" t="str">
        <f>VLOOKUP($B1511,'D7 - NDB Impacted SPRF''s'!$E$6:$O$9929,7,FALSE)</f>
        <v>Craig Herman</v>
      </c>
      <c r="AF1511" s="380" t="str">
        <f>VLOOKUP($B1511,'D7 - NDB Impacted SPRF''s'!$E$6:$O$9929,6,FALSE)</f>
        <v>Amy Joy</v>
      </c>
      <c r="AG1511" s="282"/>
      <c r="AH1511" s="311" t="e">
        <f>INDEX('D5 - Gatekeeper - Projects'!$A$4:$AF$1010,$AM1511, 17)</f>
        <v>#N/A</v>
      </c>
      <c r="AI1511" s="8"/>
      <c r="AJ1511" s="57"/>
      <c r="AK1511" s="105"/>
      <c r="AM1511" s="6" t="e">
        <f>MATCH(D1511,'D5 - Gatekeeper - Projects'!$C$4:$C$1010,0)</f>
        <v>#N/A</v>
      </c>
      <c r="AN1511" s="6" t="b">
        <f t="shared" si="159"/>
        <v>1</v>
      </c>
      <c r="AO1511" s="6" t="str">
        <f t="shared" si="162"/>
        <v>OK</v>
      </c>
      <c r="AQ1511" s="6" t="e">
        <f>MATCH($D1511,'D4 - Provider Council Unsched'!$C$11:$C$234,0)</f>
        <v>#N/A</v>
      </c>
      <c r="AR1511" s="6" t="b">
        <f t="shared" si="160"/>
        <v>1</v>
      </c>
      <c r="AS1511" s="6" t="str">
        <f t="shared" si="164"/>
        <v>OK</v>
      </c>
      <c r="AU1511" s="202"/>
      <c r="AV1511" s="262"/>
      <c r="AW1511" s="274"/>
    </row>
    <row r="1512" spans="1:49" s="13" customFormat="1" ht="45" x14ac:dyDescent="0.2">
      <c r="A1512" s="14">
        <v>1488</v>
      </c>
      <c r="B1512" s="14">
        <v>400028333</v>
      </c>
      <c r="C1512" s="8" t="s">
        <v>7292</v>
      </c>
      <c r="D1512" s="4" t="str">
        <f t="shared" si="163"/>
        <v>400028333C</v>
      </c>
      <c r="E1512" s="309" t="str">
        <f>VLOOKUP($B1512,'D7 - NDB Impacted SPRF''s'!$E$6:$O$9929,2,FALSE)</f>
        <v xml:space="preserve">Build B2B in Alpha, Bravo, Charlie, Master &amp; Zulu </v>
      </c>
      <c r="F1512" s="8" t="s">
        <v>2114</v>
      </c>
      <c r="G1512" s="8" t="s">
        <v>4758</v>
      </c>
      <c r="H1512" s="8" t="s">
        <v>4246</v>
      </c>
      <c r="I1512" s="20">
        <v>1</v>
      </c>
      <c r="J1512" s="8" t="s">
        <v>4862</v>
      </c>
      <c r="K1512" s="182">
        <v>40768</v>
      </c>
      <c r="L1512" s="8" t="s">
        <v>4156</v>
      </c>
      <c r="M1512" s="8" t="s">
        <v>4450</v>
      </c>
      <c r="N1512" s="38" t="s">
        <v>3301</v>
      </c>
      <c r="O1512" s="8"/>
      <c r="P1512" s="4" t="str">
        <f>VLOOKUP($B1512,'D7 - NDB Impacted SPRF''s'!$E$16:$O$9929,9,FALSE)</f>
        <v>Y</v>
      </c>
      <c r="Q1512" s="4" t="str">
        <f>VLOOKUP($B1512,'D7 - NDB Impacted SPRF''s'!$E$16:$O$9929,10,FALSE)</f>
        <v>N</v>
      </c>
      <c r="R1512" s="4" t="str">
        <f>VLOOKUP($B1512,'D7 - NDB Impacted SPRF''s'!$E$16:$O$9929,11,FALSE)</f>
        <v>N</v>
      </c>
      <c r="S1512" s="8"/>
      <c r="T1512" s="310"/>
      <c r="U1512" s="310"/>
      <c r="V1512" s="4"/>
      <c r="W1512" s="4"/>
      <c r="X1512" s="4"/>
      <c r="Y1512" s="4"/>
      <c r="Z1512" s="4"/>
      <c r="AA1512" s="4"/>
      <c r="AB1512" s="380" t="str">
        <f>VLOOKUP($B1512,'D7 - NDB Impacted SPRF''s'!$E$6:$O$9929,4,FALSE)</f>
        <v>Completed</v>
      </c>
      <c r="AC1512" s="380" t="str">
        <f>VLOOKUP($B1512,'D7 - NDB Impacted SPRF''s'!$E$6:$O$9929,3,FALSE)</f>
        <v>UHG IT - Enterprise Technology Services</v>
      </c>
      <c r="AD1512" s="380" t="str">
        <f>VLOOKUP($B1512,'D7 - NDB Impacted SPRF''s'!$E$6:$O$9929,5,FALSE)</f>
        <v>ASG</v>
      </c>
      <c r="AE1512" s="380" t="str">
        <f>VLOOKUP($B1512,'D7 - NDB Impacted SPRF''s'!$E$6:$O$9929,7,FALSE)</f>
        <v>Bob Preston</v>
      </c>
      <c r="AF1512" s="380" t="str">
        <f>VLOOKUP($B1512,'D7 - NDB Impacted SPRF''s'!$E$6:$O$9929,6,FALSE)</f>
        <v>EDWARD SIWICKI</v>
      </c>
      <c r="AG1512" s="282"/>
      <c r="AH1512" s="311" t="e">
        <f>INDEX('D5 - Gatekeeper - Projects'!$A$4:$AF$1010,$AM1512, 17)</f>
        <v>#N/A</v>
      </c>
      <c r="AI1512" s="8"/>
      <c r="AJ1512" s="57"/>
      <c r="AK1512" s="105"/>
      <c r="AM1512" s="6" t="e">
        <f>MATCH(D1512,'D5 - Gatekeeper - Projects'!$C$4:$C$1010,0)</f>
        <v>#N/A</v>
      </c>
      <c r="AN1512" s="6" t="b">
        <f t="shared" si="159"/>
        <v>1</v>
      </c>
      <c r="AO1512" s="6" t="str">
        <f t="shared" si="162"/>
        <v>OK</v>
      </c>
      <c r="AQ1512" s="6" t="e">
        <f>MATCH($D1512,'D4 - Provider Council Unsched'!$C$11:$C$234,0)</f>
        <v>#N/A</v>
      </c>
      <c r="AR1512" s="6" t="b">
        <f t="shared" si="160"/>
        <v>1</v>
      </c>
      <c r="AS1512" s="6" t="str">
        <f t="shared" si="164"/>
        <v>OK</v>
      </c>
      <c r="AU1512" s="202"/>
      <c r="AV1512" s="262"/>
      <c r="AW1512" s="274"/>
    </row>
    <row r="1513" spans="1:49" s="13" customFormat="1" ht="45" x14ac:dyDescent="0.2">
      <c r="A1513" s="14">
        <v>1489</v>
      </c>
      <c r="B1513" s="14">
        <v>400028345</v>
      </c>
      <c r="C1513" s="8" t="s">
        <v>4926</v>
      </c>
      <c r="D1513" s="4" t="str">
        <f t="shared" si="163"/>
        <v>400028345R4</v>
      </c>
      <c r="E1513" s="309" t="str">
        <f>VLOOKUP($B1513,'D7 - NDB Impacted SPRF''s'!$E$6:$O$9929,2,FALSE)</f>
        <v>CAT to build NICE in Alpha, Bravo, &amp; Master region</v>
      </c>
      <c r="F1513" s="8" t="s">
        <v>8133</v>
      </c>
      <c r="G1513" s="8" t="s">
        <v>4758</v>
      </c>
      <c r="H1513" s="8" t="s">
        <v>4246</v>
      </c>
      <c r="I1513" s="20">
        <v>1.96</v>
      </c>
      <c r="J1513" s="8" t="s">
        <v>4862</v>
      </c>
      <c r="K1513" s="182">
        <v>40768</v>
      </c>
      <c r="L1513" s="8" t="s">
        <v>4156</v>
      </c>
      <c r="M1513" s="8" t="s">
        <v>4450</v>
      </c>
      <c r="N1513" s="38"/>
      <c r="O1513" s="8"/>
      <c r="P1513" s="4" t="str">
        <f>VLOOKUP($B1513,'D7 - NDB Impacted SPRF''s'!$E$16:$O$9929,9,FALSE)</f>
        <v>N</v>
      </c>
      <c r="Q1513" s="4" t="str">
        <f>VLOOKUP($B1513,'D7 - NDB Impacted SPRF''s'!$E$16:$O$9929,10,FALSE)</f>
        <v>N</v>
      </c>
      <c r="R1513" s="4" t="str">
        <f>VLOOKUP($B1513,'D7 - NDB Impacted SPRF''s'!$E$16:$O$9929,11,FALSE)</f>
        <v>N</v>
      </c>
      <c r="S1513" s="8"/>
      <c r="T1513" s="310"/>
      <c r="U1513" s="310"/>
      <c r="V1513" s="4"/>
      <c r="W1513" s="4"/>
      <c r="X1513" s="4"/>
      <c r="Y1513" s="4"/>
      <c r="Z1513" s="4"/>
      <c r="AA1513" s="4"/>
      <c r="AB1513" s="380" t="str">
        <f>VLOOKUP($B1513,'D7 - NDB Impacted SPRF''s'!$E$16:$O$9929,4,FALSE)</f>
        <v>Completed</v>
      </c>
      <c r="AC1513" s="380" t="str">
        <f>VLOOKUP($B1513,'D7 - NDB Impacted SPRF''s'!$E$16:$O$9929,3,FALSE)</f>
        <v>UHG IT - Enterprise Technology Services</v>
      </c>
      <c r="AD1513" s="380" t="str">
        <f>VLOOKUP($B1513,'D7 - NDB Impacted SPRF''s'!$E$16:$O$9929,5,FALSE)</f>
        <v>ASG</v>
      </c>
      <c r="AE1513" s="380" t="str">
        <f>VLOOKUP($B1513,'D7 - NDB Impacted SPRF''s'!$E$16:$O$9929,7,FALSE)</f>
        <v>Bob Preston</v>
      </c>
      <c r="AF1513" s="380" t="str">
        <f>VLOOKUP($B1513,'D7 - NDB Impacted SPRF''s'!$E$16:$O$9929,6,FALSE)</f>
        <v>EDWARD SIWICKI</v>
      </c>
      <c r="AG1513" s="282"/>
      <c r="AH1513" s="311" t="e">
        <f>INDEX('D5 - Gatekeeper - Projects'!$A$4:$AF$1010,$AM1513, 17)</f>
        <v>#N/A</v>
      </c>
      <c r="AI1513" s="8"/>
      <c r="AJ1513" s="57"/>
      <c r="AK1513" s="105"/>
      <c r="AM1513" s="6" t="e">
        <f>MATCH(D1513,'D5 - Gatekeeper - Projects'!$C$4:$C$1010,0)</f>
        <v>#N/A</v>
      </c>
      <c r="AN1513" s="6" t="b">
        <f t="shared" si="159"/>
        <v>1</v>
      </c>
      <c r="AO1513" s="6" t="str">
        <f t="shared" si="162"/>
        <v>OK</v>
      </c>
      <c r="AQ1513" s="6" t="e">
        <f>MATCH($D1513,'D4 - Provider Council Unsched'!$C$11:$C$234,0)</f>
        <v>#N/A</v>
      </c>
      <c r="AR1513" s="6" t="b">
        <f t="shared" si="160"/>
        <v>1</v>
      </c>
      <c r="AS1513" s="6" t="str">
        <f t="shared" si="164"/>
        <v>OK</v>
      </c>
      <c r="AU1513" s="202">
        <v>40476</v>
      </c>
      <c r="AV1513" s="262"/>
      <c r="AW1513" s="274"/>
    </row>
    <row r="1514" spans="1:49" s="13" customFormat="1" ht="45" x14ac:dyDescent="0.2">
      <c r="A1514" s="14">
        <v>1490</v>
      </c>
      <c r="B1514" s="14">
        <v>400029465</v>
      </c>
      <c r="C1514" s="8" t="s">
        <v>7292</v>
      </c>
      <c r="D1514" s="4" t="str">
        <f t="shared" si="163"/>
        <v>400029465C</v>
      </c>
      <c r="E1514" s="309" t="str">
        <f>VLOOKUP($B1514,'D7 - NDB Impacted SPRF''s'!$E$6:$O$9929,2,FALSE)</f>
        <v>Build B2C in Alpha,Bravo,Charlie,Master,&amp; Zulu</v>
      </c>
      <c r="F1514" s="8" t="s">
        <v>2114</v>
      </c>
      <c r="G1514" s="8" t="s">
        <v>4758</v>
      </c>
      <c r="H1514" s="8" t="s">
        <v>4246</v>
      </c>
      <c r="I1514" s="20">
        <v>1</v>
      </c>
      <c r="J1514" s="8" t="s">
        <v>4862</v>
      </c>
      <c r="K1514" s="182">
        <v>40768</v>
      </c>
      <c r="L1514" s="8" t="s">
        <v>4156</v>
      </c>
      <c r="M1514" s="8" t="s">
        <v>4450</v>
      </c>
      <c r="N1514" s="38" t="s">
        <v>3301</v>
      </c>
      <c r="O1514" s="8"/>
      <c r="P1514" s="4" t="str">
        <f>VLOOKUP($B1514,'D7 - NDB Impacted SPRF''s'!$E$16:$O$9929,9,FALSE)</f>
        <v>Y</v>
      </c>
      <c r="Q1514" s="4" t="str">
        <f>VLOOKUP($B1514,'D7 - NDB Impacted SPRF''s'!$E$16:$O$9929,10,FALSE)</f>
        <v>N</v>
      </c>
      <c r="R1514" s="4" t="str">
        <f>VLOOKUP($B1514,'D7 - NDB Impacted SPRF''s'!$E$16:$O$9929,11,FALSE)</f>
        <v>N</v>
      </c>
      <c r="S1514" s="8"/>
      <c r="T1514" s="310"/>
      <c r="U1514" s="310"/>
      <c r="V1514" s="4"/>
      <c r="W1514" s="4"/>
      <c r="X1514" s="4"/>
      <c r="Y1514" s="4"/>
      <c r="Z1514" s="4"/>
      <c r="AA1514" s="4"/>
      <c r="AB1514" s="380" t="str">
        <f>VLOOKUP($B1514,'D7 - NDB Impacted SPRF''s'!$E$6:$O$9929,4,FALSE)</f>
        <v>Completed</v>
      </c>
      <c r="AC1514" s="380" t="str">
        <f>VLOOKUP($B1514,'D7 - NDB Impacted SPRF''s'!$E$6:$O$9929,3,FALSE)</f>
        <v>UHG IT - Enterprise Technology Services</v>
      </c>
      <c r="AD1514" s="380" t="str">
        <f>VLOOKUP($B1514,'D7 - NDB Impacted SPRF''s'!$E$6:$O$9929,5,FALSE)</f>
        <v>ASG</v>
      </c>
      <c r="AE1514" s="380" t="str">
        <f>VLOOKUP($B1514,'D7 - NDB Impacted SPRF''s'!$E$6:$O$9929,7,FALSE)</f>
        <v>Bob Preston</v>
      </c>
      <c r="AF1514" s="380" t="str">
        <f>VLOOKUP($B1514,'D7 - NDB Impacted SPRF''s'!$E$6:$O$9929,6,FALSE)</f>
        <v>EDWARD SIWICKI</v>
      </c>
      <c r="AG1514" s="282"/>
      <c r="AH1514" s="311" t="e">
        <f>INDEX('D5 - Gatekeeper - Projects'!$A$4:$AF$1010,$AM1514, 17)</f>
        <v>#N/A</v>
      </c>
      <c r="AI1514" s="8"/>
      <c r="AJ1514" s="57"/>
      <c r="AK1514" s="105"/>
      <c r="AM1514" s="6" t="e">
        <f>MATCH(D1514,'D5 - Gatekeeper - Projects'!$C$4:$C$1010,0)</f>
        <v>#N/A</v>
      </c>
      <c r="AN1514" s="6" t="b">
        <f t="shared" si="159"/>
        <v>1</v>
      </c>
      <c r="AO1514" s="6" t="str">
        <f t="shared" si="162"/>
        <v>OK</v>
      </c>
      <c r="AQ1514" s="6" t="e">
        <f>MATCH($D1514,'D4 - Provider Council Unsched'!$C$11:$C$234,0)</f>
        <v>#N/A</v>
      </c>
      <c r="AR1514" s="6" t="b">
        <f t="shared" si="160"/>
        <v>1</v>
      </c>
      <c r="AS1514" s="6" t="str">
        <f t="shared" si="164"/>
        <v>OK</v>
      </c>
      <c r="AU1514" s="202">
        <v>40381</v>
      </c>
      <c r="AV1514" s="262"/>
      <c r="AW1514" s="274"/>
    </row>
    <row r="1515" spans="1:49" s="13" customFormat="1" ht="45" x14ac:dyDescent="0.2">
      <c r="A1515" s="14">
        <v>1491</v>
      </c>
      <c r="B1515" s="14">
        <v>400030448</v>
      </c>
      <c r="C1515" s="8" t="s">
        <v>2449</v>
      </c>
      <c r="D1515" s="4" t="str">
        <f t="shared" si="163"/>
        <v>400030448R3</v>
      </c>
      <c r="E1515" s="309" t="str">
        <f>VLOOKUP($B1515,'D7 - NDB Impacted SPRF''s'!$E$6:$O$9929,2,FALSE)</f>
        <v>PDR - Loading UBH Providers in NDB</v>
      </c>
      <c r="F1515" s="8" t="s">
        <v>5595</v>
      </c>
      <c r="G1515" s="8" t="s">
        <v>4758</v>
      </c>
      <c r="H1515" s="8" t="s">
        <v>4246</v>
      </c>
      <c r="I1515" s="20">
        <v>2</v>
      </c>
      <c r="J1515" s="8" t="s">
        <v>4862</v>
      </c>
      <c r="K1515" s="182">
        <v>40768</v>
      </c>
      <c r="L1515" s="8" t="s">
        <v>4156</v>
      </c>
      <c r="M1515" s="8" t="s">
        <v>2814</v>
      </c>
      <c r="N1515" s="38"/>
      <c r="O1515" s="8" t="s">
        <v>1074</v>
      </c>
      <c r="P1515" s="4" t="str">
        <f>VLOOKUP($B1515,'D7 - NDB Impacted SPRF''s'!$E$16:$O$9929,9,FALSE)</f>
        <v>N</v>
      </c>
      <c r="Q1515" s="4" t="str">
        <f>VLOOKUP($B1515,'D7 - NDB Impacted SPRF''s'!$E$16:$O$9929,10,FALSE)</f>
        <v>N</v>
      </c>
      <c r="R1515" s="4" t="str">
        <f>VLOOKUP($B1515,'D7 - NDB Impacted SPRF''s'!$E$16:$O$9929,11,FALSE)</f>
        <v>N</v>
      </c>
      <c r="S1515" s="8"/>
      <c r="T1515" s="310"/>
      <c r="U1515" s="310"/>
      <c r="V1515" s="4"/>
      <c r="W1515" s="4"/>
      <c r="X1515" s="4"/>
      <c r="Y1515" s="4"/>
      <c r="Z1515" s="4"/>
      <c r="AA1515" s="4"/>
      <c r="AB1515" s="380" t="str">
        <f>VLOOKUP($B1515,'D7 - NDB Impacted SPRF''s'!$E$6:$O$9929,4,FALSE)</f>
        <v>Completed</v>
      </c>
      <c r="AC1515" s="380" t="str">
        <f>VLOOKUP($B1515,'D7 - NDB Impacted SPRF''s'!$E$6:$O$9929,3,FALSE)</f>
        <v>UHG IT - Enterprise Technology Services</v>
      </c>
      <c r="AD1515" s="380" t="str">
        <f>VLOOKUP($B1515,'D7 - NDB Impacted SPRF''s'!$E$6:$O$9929,5,FALSE)</f>
        <v>Strategic Initiatives</v>
      </c>
      <c r="AE1515" s="380" t="str">
        <f>VLOOKUP($B1515,'D7 - NDB Impacted SPRF''s'!$E$6:$O$9929,7,FALSE)</f>
        <v>Dave Wichmann</v>
      </c>
      <c r="AF1515" s="380" t="str">
        <f>VLOOKUP($B1515,'D7 - NDB Impacted SPRF''s'!$E$6:$O$9929,6,FALSE)</f>
        <v>Nicole Cartwright</v>
      </c>
      <c r="AG1515" s="282"/>
      <c r="AH1515" s="311" t="e">
        <f>INDEX('D5 - Gatekeeper - Projects'!$A$4:$AF$1010,$AM1515, 17)</f>
        <v>#N/A</v>
      </c>
      <c r="AI1515" s="8"/>
      <c r="AJ1515" s="57"/>
      <c r="AK1515" s="105"/>
      <c r="AM1515" s="6" t="e">
        <f>MATCH(D1515,'D5 - Gatekeeper - Projects'!$C$4:$C$1010,0)</f>
        <v>#N/A</v>
      </c>
      <c r="AN1515" s="6" t="b">
        <f t="shared" si="159"/>
        <v>1</v>
      </c>
      <c r="AO1515" s="6" t="str">
        <f t="shared" si="162"/>
        <v>OK</v>
      </c>
      <c r="AQ1515" s="6" t="e">
        <f>MATCH($D1515,'D4 - Provider Council Unsched'!$C$11:$C$234,0)</f>
        <v>#N/A</v>
      </c>
      <c r="AR1515" s="6" t="b">
        <f t="shared" si="160"/>
        <v>1</v>
      </c>
      <c r="AS1515" s="6" t="str">
        <f t="shared" si="164"/>
        <v>OK</v>
      </c>
      <c r="AU1515" s="202">
        <v>40298</v>
      </c>
      <c r="AV1515" s="262"/>
      <c r="AW1515" s="274"/>
    </row>
    <row r="1516" spans="1:49" s="13" customFormat="1" ht="45" x14ac:dyDescent="0.2">
      <c r="A1516" s="14">
        <v>1492</v>
      </c>
      <c r="B1516" s="14">
        <v>400031493</v>
      </c>
      <c r="C1516" s="8" t="s">
        <v>3763</v>
      </c>
      <c r="D1516" s="4" t="str">
        <f t="shared" si="163"/>
        <v>400031493R2</v>
      </c>
      <c r="E1516" s="309" t="str">
        <f>VLOOKUP($B1516,'D7 - NDB Impacted SPRF''s'!$E$6:$O$9929,2,FALSE)</f>
        <v>PDR -Claims systems to DRG CH / Transfer Pricing</v>
      </c>
      <c r="F1516" s="8" t="s">
        <v>5595</v>
      </c>
      <c r="G1516" s="8" t="s">
        <v>4758</v>
      </c>
      <c r="H1516" s="8" t="s">
        <v>4246</v>
      </c>
      <c r="I1516" s="20">
        <v>39.36</v>
      </c>
      <c r="J1516" s="8" t="s">
        <v>4862</v>
      </c>
      <c r="K1516" s="182">
        <v>40768</v>
      </c>
      <c r="L1516" s="8" t="s">
        <v>4156</v>
      </c>
      <c r="M1516" s="8" t="s">
        <v>2814</v>
      </c>
      <c r="N1516" s="38" t="s">
        <v>3029</v>
      </c>
      <c r="O1516" s="8"/>
      <c r="P1516" s="4" t="str">
        <f>VLOOKUP($B1516,'D7 - NDB Impacted SPRF''s'!$E$16:$O$9929,9,FALSE)</f>
        <v>Y</v>
      </c>
      <c r="Q1516" s="4" t="str">
        <f>VLOOKUP($B1516,'D7 - NDB Impacted SPRF''s'!$E$16:$O$9929,10,FALSE)</f>
        <v>N</v>
      </c>
      <c r="R1516" s="4" t="str">
        <f>VLOOKUP($B1516,'D7 - NDB Impacted SPRF''s'!$E$16:$O$9929,11,FALSE)</f>
        <v>Y</v>
      </c>
      <c r="S1516" s="8"/>
      <c r="T1516" s="310"/>
      <c r="U1516" s="310"/>
      <c r="V1516" s="4"/>
      <c r="W1516" s="4"/>
      <c r="X1516" s="4"/>
      <c r="Y1516" s="4"/>
      <c r="Z1516" s="4"/>
      <c r="AA1516" s="4"/>
      <c r="AB1516" s="380" t="str">
        <f>VLOOKUP($B1516,'D7 - NDB Impacted SPRF''s'!$E$6:$O$9929,4,FALSE)</f>
        <v>Completed</v>
      </c>
      <c r="AC1516" s="380" t="str">
        <f>VLOOKUP($B1516,'D7 - NDB Impacted SPRF''s'!$E$6:$O$9929,3,FALSE)</f>
        <v>UHG IT - Enterprise Technology Services</v>
      </c>
      <c r="AD1516" s="380" t="str">
        <f>VLOOKUP($B1516,'D7 - NDB Impacted SPRF''s'!$E$6:$O$9929,5,FALSE)</f>
        <v>Strategic Initiatives</v>
      </c>
      <c r="AE1516" s="380" t="str">
        <f>VLOOKUP($B1516,'D7 - NDB Impacted SPRF''s'!$E$6:$O$9929,7,FALSE)</f>
        <v>Jill Foucre</v>
      </c>
      <c r="AF1516" s="380" t="str">
        <f>VLOOKUP($B1516,'D7 - NDB Impacted SPRF''s'!$E$6:$O$9929,6,FALSE)</f>
        <v>SUSAN HINES</v>
      </c>
      <c r="AG1516" s="282"/>
      <c r="AH1516" s="311" t="e">
        <f>INDEX('D5 - Gatekeeper - Projects'!$A$4:$AF$1010,$AM1516, 17)</f>
        <v>#N/A</v>
      </c>
      <c r="AI1516" s="8"/>
      <c r="AJ1516" s="57"/>
      <c r="AK1516" s="57"/>
      <c r="AM1516" s="6" t="e">
        <f>MATCH(D1516,'D5 - Gatekeeper - Projects'!$C$4:$C$1010,0)</f>
        <v>#N/A</v>
      </c>
      <c r="AN1516" s="6" t="b">
        <f t="shared" si="159"/>
        <v>1</v>
      </c>
      <c r="AO1516" s="6" t="str">
        <f t="shared" si="162"/>
        <v>OK</v>
      </c>
      <c r="AQ1516" s="6" t="e">
        <f>MATCH($D1516,'D4 - Provider Council Unsched'!$C$11:$C$234,0)</f>
        <v>#N/A</v>
      </c>
      <c r="AR1516" s="6" t="b">
        <f t="shared" si="160"/>
        <v>1</v>
      </c>
      <c r="AS1516" s="6" t="str">
        <f t="shared" si="164"/>
        <v>OK</v>
      </c>
      <c r="AU1516" s="202"/>
      <c r="AV1516" s="262"/>
      <c r="AW1516" s="274"/>
    </row>
    <row r="1517" spans="1:49" s="13" customFormat="1" ht="33.75" x14ac:dyDescent="0.2">
      <c r="A1517" s="14">
        <v>1493</v>
      </c>
      <c r="B1517" s="14">
        <v>400032790</v>
      </c>
      <c r="C1517" s="8" t="s">
        <v>4926</v>
      </c>
      <c r="D1517" s="4" t="str">
        <f t="shared" si="163"/>
        <v>400032790R4</v>
      </c>
      <c r="E1517" s="309" t="str">
        <f>VLOOKUP($B1517,'D7 - NDB Impacted SPRF''s'!$E$6:$O$9929,2,FALSE)</f>
        <v>Ovations Provider Pick Improvements</v>
      </c>
      <c r="F1517" s="8" t="s">
        <v>3925</v>
      </c>
      <c r="G1517" s="8" t="s">
        <v>4758</v>
      </c>
      <c r="H1517" s="8" t="s">
        <v>4246</v>
      </c>
      <c r="I1517" s="20">
        <v>8.19</v>
      </c>
      <c r="J1517" s="8" t="s">
        <v>4862</v>
      </c>
      <c r="K1517" s="182">
        <v>40768</v>
      </c>
      <c r="L1517" s="8" t="s">
        <v>4156</v>
      </c>
      <c r="M1517" s="8" t="s">
        <v>2814</v>
      </c>
      <c r="N1517" s="38" t="s">
        <v>1555</v>
      </c>
      <c r="O1517" s="8"/>
      <c r="P1517" s="4" t="str">
        <f>VLOOKUP($B1517,'D7 - NDB Impacted SPRF''s'!$E$16:$O$9929,9,FALSE)</f>
        <v>N</v>
      </c>
      <c r="Q1517" s="4" t="str">
        <f>VLOOKUP($B1517,'D7 - NDB Impacted SPRF''s'!$E$16:$O$9929,10,FALSE)</f>
        <v>N</v>
      </c>
      <c r="R1517" s="4" t="str">
        <f>VLOOKUP($B1517,'D7 - NDB Impacted SPRF''s'!$E$16:$O$9929,11,FALSE)</f>
        <v>N</v>
      </c>
      <c r="S1517" s="8"/>
      <c r="T1517" s="310"/>
      <c r="U1517" s="310"/>
      <c r="V1517" s="4"/>
      <c r="W1517" s="4"/>
      <c r="X1517" s="4"/>
      <c r="Y1517" s="4"/>
      <c r="Z1517" s="4"/>
      <c r="AA1517" s="4"/>
      <c r="AB1517" s="380" t="str">
        <f>VLOOKUP($B1517,'D7 - NDB Impacted SPRF''s'!$E$6:$O$9929,4,FALSE)</f>
        <v>Completed</v>
      </c>
      <c r="AC1517" s="380" t="str">
        <f>VLOOKUP($B1517,'D7 - NDB Impacted SPRF''s'!$E$6:$O$9929,3,FALSE)</f>
        <v>UnitedHealthcare Medicare &amp; Retirement</v>
      </c>
      <c r="AD1517" s="380" t="str">
        <f>VLOOKUP($B1517,'D7 - NDB Impacted SPRF''s'!$E$6:$O$9929,5,FALSE)</f>
        <v>Process Improvement</v>
      </c>
      <c r="AE1517" s="380" t="str">
        <f>VLOOKUP($B1517,'D7 - NDB Impacted SPRF''s'!$E$6:$O$9929,7,FALSE)</f>
        <v>Kelly Gilberston</v>
      </c>
      <c r="AF1517" s="380" t="str">
        <f>VLOOKUP($B1517,'D7 - NDB Impacted SPRF''s'!$E$6:$O$9929,6,FALSE)</f>
        <v>Brian Schimke</v>
      </c>
      <c r="AG1517" s="282"/>
      <c r="AH1517" s="311" t="e">
        <f>INDEX('D5 - Gatekeeper - Projects'!$A$4:$AF$1010,$AM1517, 17)</f>
        <v>#N/A</v>
      </c>
      <c r="AI1517" s="8"/>
      <c r="AJ1517" s="57"/>
      <c r="AK1517" s="105"/>
      <c r="AM1517" s="6" t="e">
        <f>MATCH(D1517,'D5 - Gatekeeper - Projects'!$C$4:$C$1010,0)</f>
        <v>#N/A</v>
      </c>
      <c r="AN1517" s="6" t="b">
        <f t="shared" si="159"/>
        <v>1</v>
      </c>
      <c r="AO1517" s="6" t="str">
        <f t="shared" si="162"/>
        <v>OK</v>
      </c>
      <c r="AQ1517" s="6" t="e">
        <f>MATCH($D1517,'D4 - Provider Council Unsched'!$C$11:$C$234,0)</f>
        <v>#N/A</v>
      </c>
      <c r="AR1517" s="6" t="b">
        <f t="shared" si="160"/>
        <v>1</v>
      </c>
      <c r="AS1517" s="6" t="str">
        <f t="shared" si="164"/>
        <v>OK</v>
      </c>
      <c r="AU1517" s="202">
        <v>40542</v>
      </c>
      <c r="AV1517" s="262"/>
      <c r="AW1517" s="274"/>
    </row>
    <row r="1518" spans="1:49" s="13" customFormat="1" ht="33.75" x14ac:dyDescent="0.2">
      <c r="A1518" s="14">
        <v>1494</v>
      </c>
      <c r="B1518" s="14">
        <v>400033127</v>
      </c>
      <c r="C1518" s="8" t="s">
        <v>6895</v>
      </c>
      <c r="D1518" s="4" t="str">
        <f t="shared" si="163"/>
        <v>400033127R6</v>
      </c>
      <c r="E1518" s="309" t="str">
        <f>VLOOKUP($B1518,'D7 - NDB Impacted SPRF''s'!$E$6:$O$9929,2,FALSE)</f>
        <v>HIPAA 5010-UHC-837I&amp;P</v>
      </c>
      <c r="F1518" s="8" t="s">
        <v>2114</v>
      </c>
      <c r="G1518" s="8" t="s">
        <v>4758</v>
      </c>
      <c r="H1518" s="8" t="s">
        <v>4246</v>
      </c>
      <c r="I1518" s="20">
        <v>1</v>
      </c>
      <c r="J1518" s="8" t="s">
        <v>4862</v>
      </c>
      <c r="K1518" s="182">
        <v>40768</v>
      </c>
      <c r="L1518" s="8" t="s">
        <v>4156</v>
      </c>
      <c r="M1518" s="8" t="s">
        <v>5626</v>
      </c>
      <c r="N1518" s="38" t="s">
        <v>2257</v>
      </c>
      <c r="O1518" s="8"/>
      <c r="P1518" s="4" t="str">
        <f>VLOOKUP($B1518,'D7 - NDB Impacted SPRF''s'!$E$16:$O$9929,9,FALSE)</f>
        <v>Y</v>
      </c>
      <c r="Q1518" s="4" t="str">
        <f>VLOOKUP($B1518,'D7 - NDB Impacted SPRF''s'!$E$16:$O$9929,10,FALSE)</f>
        <v>N</v>
      </c>
      <c r="R1518" s="4" t="str">
        <f>VLOOKUP($B1518,'D7 - NDB Impacted SPRF''s'!$E$16:$O$9929,11,FALSE)</f>
        <v>Y</v>
      </c>
      <c r="S1518" s="8"/>
      <c r="T1518" s="310"/>
      <c r="U1518" s="310"/>
      <c r="V1518" s="4"/>
      <c r="W1518" s="4"/>
      <c r="X1518" s="4"/>
      <c r="Y1518" s="4"/>
      <c r="Z1518" s="4"/>
      <c r="AA1518" s="4"/>
      <c r="AB1518" s="380" t="str">
        <f>VLOOKUP($B1518,'D7 - NDB Impacted SPRF''s'!$E$6:$O$9929,4,FALSE)</f>
        <v>Completed</v>
      </c>
      <c r="AC1518" s="380" t="str">
        <f>VLOOKUP($B1518,'D7 - NDB Impacted SPRF''s'!$E$6:$O$9929,3,FALSE)</f>
        <v>UnitedHealthcare Employer &amp; Individual</v>
      </c>
      <c r="AD1518" s="380" t="str">
        <f>VLOOKUP($B1518,'D7 - NDB Impacted SPRF''s'!$E$6:$O$9929,5,FALSE)</f>
        <v>HIPAA 5010</v>
      </c>
      <c r="AE1518" s="380" t="str">
        <f>VLOOKUP($B1518,'D7 - NDB Impacted SPRF''s'!$E$6:$O$9929,7,FALSE)</f>
        <v>Tim Kaja</v>
      </c>
      <c r="AF1518" s="380" t="str">
        <f>VLOOKUP($B1518,'D7 - NDB Impacted SPRF''s'!$E$6:$O$9929,6,FALSE)</f>
        <v>Delvis Schilling</v>
      </c>
      <c r="AG1518" s="282"/>
      <c r="AH1518" s="311" t="e">
        <f>INDEX('D5 - Gatekeeper - Projects'!$A$4:$AF$1010,$AM1518, 17)</f>
        <v>#N/A</v>
      </c>
      <c r="AI1518" s="8"/>
      <c r="AJ1518" s="57"/>
      <c r="AK1518" s="105"/>
      <c r="AM1518" s="6" t="e">
        <f>MATCH(D1518,'D5 - Gatekeeper - Projects'!$C$4:$C$1010,0)</f>
        <v>#N/A</v>
      </c>
      <c r="AN1518" s="6" t="b">
        <f t="shared" si="159"/>
        <v>1</v>
      </c>
      <c r="AO1518" s="6" t="str">
        <f t="shared" si="162"/>
        <v>OK</v>
      </c>
      <c r="AQ1518" s="6" t="e">
        <f>MATCH($D1518,'D4 - Provider Council Unsched'!$C$11:$C$234,0)</f>
        <v>#N/A</v>
      </c>
      <c r="AR1518" s="6" t="b">
        <f t="shared" si="160"/>
        <v>1</v>
      </c>
      <c r="AS1518" s="6" t="str">
        <f t="shared" si="164"/>
        <v>OK</v>
      </c>
      <c r="AU1518" s="202" t="s">
        <v>3602</v>
      </c>
      <c r="AV1518" s="262"/>
      <c r="AW1518" s="274"/>
    </row>
    <row r="1519" spans="1:49" s="13" customFormat="1" ht="33.75" x14ac:dyDescent="0.2">
      <c r="A1519" s="14">
        <v>1495</v>
      </c>
      <c r="B1519" s="8">
        <v>400037320</v>
      </c>
      <c r="C1519" s="8" t="s">
        <v>1447</v>
      </c>
      <c r="D1519" s="4" t="str">
        <f t="shared" si="163"/>
        <v>400037320A</v>
      </c>
      <c r="E1519" s="309" t="str">
        <f>VLOOKUP($B1519,'D7 - NDB Impacted SPRF''s'!$E$6:$O$9929,2,FALSE)</f>
        <v>PO Database Data Sources</v>
      </c>
      <c r="F1519" s="8"/>
      <c r="G1519" s="8" t="s">
        <v>4758</v>
      </c>
      <c r="H1519" s="8" t="s">
        <v>4246</v>
      </c>
      <c r="I1519" s="20">
        <v>1.04</v>
      </c>
      <c r="J1519" s="8" t="s">
        <v>4862</v>
      </c>
      <c r="K1519" s="182">
        <v>40768</v>
      </c>
      <c r="L1519" s="8" t="s">
        <v>4156</v>
      </c>
      <c r="M1519" s="8" t="s">
        <v>6688</v>
      </c>
      <c r="N1519" s="38"/>
      <c r="O1519" s="8"/>
      <c r="P1519" s="4" t="str">
        <f>VLOOKUP($B1519,'D7 - NDB Impacted SPRF''s'!$E$16:$O$9929,9,FALSE)</f>
        <v>N</v>
      </c>
      <c r="Q1519" s="4" t="str">
        <f>VLOOKUP($B1519,'D7 - NDB Impacted SPRF''s'!$E$16:$O$9929,10,FALSE)</f>
        <v>N</v>
      </c>
      <c r="R1519" s="4" t="str">
        <f>VLOOKUP($B1519,'D7 - NDB Impacted SPRF''s'!$E$16:$O$9929,11,FALSE)</f>
        <v>N</v>
      </c>
      <c r="S1519" s="8"/>
      <c r="T1519" s="310"/>
      <c r="U1519" s="310"/>
      <c r="V1519" s="4"/>
      <c r="W1519" s="4"/>
      <c r="X1519" s="4"/>
      <c r="Y1519" s="4"/>
      <c r="Z1519" s="4"/>
      <c r="AA1519" s="4"/>
      <c r="AB1519" s="380" t="str">
        <f>VLOOKUP($B1519,'D7 - NDB Impacted SPRF''s'!$E$6:$O$9929,4,FALSE)</f>
        <v>Completed</v>
      </c>
      <c r="AC1519" s="380" t="str">
        <f>VLOOKUP($B1519,'D7 - NDB Impacted SPRF''s'!$E$6:$O$9929,3,FALSE)</f>
        <v>UnitedHealthcare Medicare &amp; Retirement</v>
      </c>
      <c r="AD1519" s="380" t="str">
        <f>VLOOKUP($B1519,'D7 - NDB Impacted SPRF''s'!$E$6:$O$9929,5,FALSE)</f>
        <v>Health Services</v>
      </c>
      <c r="AE1519" s="380" t="str">
        <f>VLOOKUP($B1519,'D7 - NDB Impacted SPRF''s'!$E$6:$O$9929,7,FALSE)</f>
        <v>David Stratton, Susan Struebing</v>
      </c>
      <c r="AF1519" s="380" t="str">
        <f>VLOOKUP($B1519,'D7 - NDB Impacted SPRF''s'!$E$6:$O$9929,6,FALSE)</f>
        <v>Jennifer Wayland</v>
      </c>
      <c r="AG1519" s="282"/>
      <c r="AH1519" s="311" t="e">
        <f>INDEX('D5 - Gatekeeper - Projects'!$A$4:$AF$1010,$AM1519, 17)</f>
        <v>#N/A</v>
      </c>
      <c r="AI1519" s="8"/>
      <c r="AJ1519" s="57"/>
      <c r="AK1519" s="105"/>
      <c r="AM1519" s="6" t="e">
        <f>MATCH(D1519,'D5 - Gatekeeper - Projects'!$C$4:$C$1010,0)</f>
        <v>#N/A</v>
      </c>
      <c r="AN1519" s="6" t="b">
        <f t="shared" si="159"/>
        <v>1</v>
      </c>
      <c r="AO1519" s="6" t="str">
        <f t="shared" si="162"/>
        <v>OK</v>
      </c>
      <c r="AQ1519" s="6" t="e">
        <f>MATCH($D1519,'D4 - Provider Council Unsched'!$C$11:$C$234,0)</f>
        <v>#N/A</v>
      </c>
      <c r="AR1519" s="6" t="b">
        <f t="shared" si="160"/>
        <v>1</v>
      </c>
      <c r="AS1519" s="6" t="str">
        <f t="shared" si="164"/>
        <v>OK</v>
      </c>
      <c r="AU1519" s="202">
        <v>40480</v>
      </c>
      <c r="AV1519" s="262"/>
      <c r="AW1519" s="274"/>
    </row>
    <row r="1520" spans="1:49" s="13" customFormat="1" ht="45" x14ac:dyDescent="0.2">
      <c r="A1520" s="14">
        <v>1496</v>
      </c>
      <c r="B1520" s="8">
        <v>400038388</v>
      </c>
      <c r="C1520" s="8" t="s">
        <v>4926</v>
      </c>
      <c r="D1520" s="4" t="str">
        <f t="shared" si="163"/>
        <v>400038388R4</v>
      </c>
      <c r="E1520" s="309" t="str">
        <f>VLOOKUP($B1520,'D7 - NDB Impacted SPRF''s'!$E$6:$O$9929,2,FALSE)</f>
        <v>PULSE Migration to GPS/COSMOS</v>
      </c>
      <c r="F1520" s="8"/>
      <c r="G1520" s="8" t="s">
        <v>4758</v>
      </c>
      <c r="H1520" s="8" t="s">
        <v>4246</v>
      </c>
      <c r="I1520" s="20">
        <v>20.46</v>
      </c>
      <c r="J1520" s="8" t="s">
        <v>4862</v>
      </c>
      <c r="K1520" s="182">
        <v>40768</v>
      </c>
      <c r="L1520" s="8" t="s">
        <v>4156</v>
      </c>
      <c r="M1520" s="8" t="s">
        <v>2814</v>
      </c>
      <c r="N1520" s="38" t="s">
        <v>2209</v>
      </c>
      <c r="O1520" s="8"/>
      <c r="P1520" s="4" t="str">
        <f>VLOOKUP($B1520,'D7 - NDB Impacted SPRF''s'!$E$16:$O$9929,9,FALSE)</f>
        <v>Y</v>
      </c>
      <c r="Q1520" s="4" t="str">
        <f>VLOOKUP($B1520,'D7 - NDB Impacted SPRF''s'!$E$16:$O$9929,10,FALSE)</f>
        <v>N</v>
      </c>
      <c r="R1520" s="4" t="str">
        <f>VLOOKUP($B1520,'D7 - NDB Impacted SPRF''s'!$E$16:$O$9929,11,FALSE)</f>
        <v>N</v>
      </c>
      <c r="S1520" s="8"/>
      <c r="T1520" s="310"/>
      <c r="U1520" s="310"/>
      <c r="V1520" s="4"/>
      <c r="W1520" s="4"/>
      <c r="X1520" s="4"/>
      <c r="Y1520" s="4"/>
      <c r="Z1520" s="4"/>
      <c r="AA1520" s="4"/>
      <c r="AB1520" s="380" t="str">
        <f>VLOOKUP($B1520,'D7 - NDB Impacted SPRF''s'!$E$6:$O$9929,4,FALSE)</f>
        <v>Completed</v>
      </c>
      <c r="AC1520" s="380" t="str">
        <f>VLOOKUP($B1520,'D7 - NDB Impacted SPRF''s'!$E$6:$O$9929,3,FALSE)</f>
        <v>UnitedHealthcare Medicare &amp; Retirement</v>
      </c>
      <c r="AD1520" s="380" t="str">
        <f>VLOOKUP($B1520,'D7 - NDB Impacted SPRF''s'!$E$6:$O$9929,5,FALSE)</f>
        <v>Regulatory / Other</v>
      </c>
      <c r="AE1520" s="380" t="str">
        <f>VLOOKUP($B1520,'D7 - NDB Impacted SPRF''s'!$E$6:$O$9929,7,FALSE)</f>
        <v>Debi Streb</v>
      </c>
      <c r="AF1520" s="380" t="str">
        <f>VLOOKUP($B1520,'D7 - NDB Impacted SPRF''s'!$E$6:$O$9929,6,FALSE)</f>
        <v>Jessica Tattersall</v>
      </c>
      <c r="AG1520" s="282"/>
      <c r="AH1520" s="311" t="e">
        <f>INDEX('D5 - Gatekeeper - Projects'!$A$4:$AF$1010,$AM1520, 17)</f>
        <v>#N/A</v>
      </c>
      <c r="AI1520" s="8"/>
      <c r="AJ1520" s="57"/>
      <c r="AK1520" s="105"/>
      <c r="AM1520" s="6" t="e">
        <f>MATCH(D1520,'D5 - Gatekeeper - Projects'!$C$4:$C$1010,0)</f>
        <v>#N/A</v>
      </c>
      <c r="AN1520" s="6" t="b">
        <f t="shared" si="159"/>
        <v>1</v>
      </c>
      <c r="AO1520" s="6" t="str">
        <f t="shared" si="162"/>
        <v>OK</v>
      </c>
      <c r="AQ1520" s="6" t="e">
        <f>MATCH($D1520,'D4 - Provider Council Unsched'!$C$11:$C$234,0)</f>
        <v>#N/A</v>
      </c>
      <c r="AR1520" s="6" t="b">
        <f t="shared" si="160"/>
        <v>1</v>
      </c>
      <c r="AS1520" s="6" t="str">
        <f t="shared" si="164"/>
        <v>OK</v>
      </c>
      <c r="AU1520" s="202">
        <v>40616</v>
      </c>
      <c r="AV1520" s="262"/>
      <c r="AW1520" s="274"/>
    </row>
    <row r="1521" spans="1:49" s="13" customFormat="1" ht="33.75" x14ac:dyDescent="0.2">
      <c r="A1521" s="14">
        <v>1497</v>
      </c>
      <c r="B1521" s="14">
        <v>400038467</v>
      </c>
      <c r="C1521" s="8" t="s">
        <v>5197</v>
      </c>
      <c r="D1521" s="4" t="str">
        <f t="shared" si="163"/>
        <v>400038467R1</v>
      </c>
      <c r="E1521" s="309" t="str">
        <f>VLOOKUP($B1521,'D7 - NDB Impacted SPRF''s'!$E$6:$O$9929,2,FALSE)</f>
        <v>iCES Clearinghouse August 2011 Maintenance Release</v>
      </c>
      <c r="F1521" s="8"/>
      <c r="G1521" s="8" t="s">
        <v>4758</v>
      </c>
      <c r="H1521" s="8" t="s">
        <v>4246</v>
      </c>
      <c r="I1521" s="20">
        <v>0.13</v>
      </c>
      <c r="J1521" s="8" t="s">
        <v>4862</v>
      </c>
      <c r="K1521" s="182">
        <v>40768</v>
      </c>
      <c r="L1521" s="8" t="s">
        <v>4156</v>
      </c>
      <c r="M1521" s="8" t="s">
        <v>5626</v>
      </c>
      <c r="N1521" s="38" t="s">
        <v>1198</v>
      </c>
      <c r="O1521" s="8"/>
      <c r="P1521" s="4" t="str">
        <f>VLOOKUP($B1521,'D7 - NDB Impacted SPRF''s'!$E$16:$O$9929,9,FALSE)</f>
        <v>N</v>
      </c>
      <c r="Q1521" s="4" t="str">
        <f>VLOOKUP($B1521,'D7 - NDB Impacted SPRF''s'!$E$16:$O$9929,10,FALSE)</f>
        <v>N</v>
      </c>
      <c r="R1521" s="4" t="str">
        <f>VLOOKUP($B1521,'D7 - NDB Impacted SPRF''s'!$E$16:$O$9929,11,FALSE)</f>
        <v>N</v>
      </c>
      <c r="S1521" s="8"/>
      <c r="T1521" s="310"/>
      <c r="U1521" s="310"/>
      <c r="V1521" s="4"/>
      <c r="W1521" s="4"/>
      <c r="X1521" s="4"/>
      <c r="Y1521" s="4"/>
      <c r="Z1521" s="4"/>
      <c r="AA1521" s="4"/>
      <c r="AB1521" s="380" t="str">
        <f>VLOOKUP($B1521,'D7 - NDB Impacted SPRF''s'!$E$6:$O$9929,4,FALSE)</f>
        <v>Completed</v>
      </c>
      <c r="AC1521" s="380" t="str">
        <f>VLOOKUP($B1521,'D7 - NDB Impacted SPRF''s'!$E$6:$O$9929,3,FALSE)</f>
        <v>UnitedHealthcare Employer &amp; Individual</v>
      </c>
      <c r="AD1521" s="380" t="str">
        <f>VLOOKUP($B1521,'D7 - NDB Impacted SPRF''s'!$E$6:$O$9929,5,FALSE)</f>
        <v>Operational Requirements</v>
      </c>
      <c r="AE1521" s="380" t="str">
        <f>VLOOKUP($B1521,'D7 - NDB Impacted SPRF''s'!$E$6:$O$9929,7,FALSE)</f>
        <v>Lisa McDonnel</v>
      </c>
      <c r="AF1521" s="380" t="str">
        <f>VLOOKUP($B1521,'D7 - NDB Impacted SPRF''s'!$E$6:$O$9929,6,FALSE)</f>
        <v>DAWN BOLLER</v>
      </c>
      <c r="AG1521" s="282"/>
      <c r="AH1521" s="311" t="e">
        <f>INDEX('D5 - Gatekeeper - Projects'!$A$4:$AF$1010,$AM1521, 17)</f>
        <v>#N/A</v>
      </c>
      <c r="AI1521" s="8"/>
      <c r="AJ1521" s="57"/>
      <c r="AK1521" s="105"/>
      <c r="AM1521" s="6" t="e">
        <f>MATCH(D1521,'D5 - Gatekeeper - Projects'!$C$4:$C$1010,0)</f>
        <v>#N/A</v>
      </c>
      <c r="AN1521" s="6" t="b">
        <f t="shared" si="159"/>
        <v>1</v>
      </c>
      <c r="AO1521" s="6" t="str">
        <f t="shared" si="162"/>
        <v>OK</v>
      </c>
      <c r="AQ1521" s="6" t="e">
        <f>MATCH($D1521,'D4 - Provider Council Unsched'!$C$11:$C$234,0)</f>
        <v>#N/A</v>
      </c>
      <c r="AR1521" s="6" t="b">
        <f t="shared" si="160"/>
        <v>1</v>
      </c>
      <c r="AS1521" s="6" t="str">
        <f t="shared" si="164"/>
        <v>OK</v>
      </c>
      <c r="AU1521" s="202">
        <v>40556</v>
      </c>
      <c r="AV1521" s="262"/>
      <c r="AW1521" s="274"/>
    </row>
    <row r="1522" spans="1:49" s="13" customFormat="1" ht="33.75" x14ac:dyDescent="0.2">
      <c r="A1522" s="14">
        <v>1498</v>
      </c>
      <c r="B1522" s="8">
        <v>400038607</v>
      </c>
      <c r="C1522" s="8" t="s">
        <v>1447</v>
      </c>
      <c r="D1522" s="4" t="str">
        <f t="shared" si="163"/>
        <v>400038607A</v>
      </c>
      <c r="E1522" s="309" t="str">
        <f>VLOOKUP($B1522,'D7 - NDB Impacted SPRF''s'!$E$6:$O$9929,2,FALSE)</f>
        <v>HSR Q3 2011 Release</v>
      </c>
      <c r="F1522" s="8"/>
      <c r="G1522" s="8" t="s">
        <v>4758</v>
      </c>
      <c r="H1522" s="8" t="s">
        <v>4246</v>
      </c>
      <c r="I1522" s="20">
        <v>0.67</v>
      </c>
      <c r="J1522" s="8" t="s">
        <v>4862</v>
      </c>
      <c r="K1522" s="182">
        <v>40768</v>
      </c>
      <c r="L1522" s="8" t="s">
        <v>4156</v>
      </c>
      <c r="M1522" s="8" t="s">
        <v>5626</v>
      </c>
      <c r="N1522" s="38" t="s">
        <v>2256</v>
      </c>
      <c r="O1522" s="8"/>
      <c r="P1522" s="4" t="str">
        <f>VLOOKUP($B1522,'D7 - NDB Impacted SPRF''s'!$E$16:$O$9929,9,FALSE)</f>
        <v>Y</v>
      </c>
      <c r="Q1522" s="4" t="str">
        <f>VLOOKUP($B1522,'D7 - NDB Impacted SPRF''s'!$E$16:$O$9929,10,FALSE)</f>
        <v>N</v>
      </c>
      <c r="R1522" s="4" t="str">
        <f>VLOOKUP($B1522,'D7 - NDB Impacted SPRF''s'!$E$16:$O$9929,11,FALSE)</f>
        <v>N</v>
      </c>
      <c r="S1522" s="8"/>
      <c r="T1522" s="310"/>
      <c r="U1522" s="310"/>
      <c r="V1522" s="4"/>
      <c r="W1522" s="4"/>
      <c r="X1522" s="4"/>
      <c r="Y1522" s="4"/>
      <c r="Z1522" s="4"/>
      <c r="AA1522" s="4"/>
      <c r="AB1522" s="380" t="str">
        <f>VLOOKUP($B1522,'D7 - NDB Impacted SPRF''s'!$E$6:$O$9929,4,FALSE)</f>
        <v>Completed</v>
      </c>
      <c r="AC1522" s="380" t="str">
        <f>VLOOKUP($B1522,'D7 - NDB Impacted SPRF''s'!$E$6:$O$9929,3,FALSE)</f>
        <v>UnitedHealthcare Medicare &amp; Retirement</v>
      </c>
      <c r="AD1522" s="380" t="str">
        <f>VLOOKUP($B1522,'D7 - NDB Impacted SPRF''s'!$E$6:$O$9929,5,FALSE)</f>
        <v>Enterprise Clinical</v>
      </c>
      <c r="AE1522" s="380" t="str">
        <f>VLOOKUP($B1522,'D7 - NDB Impacted SPRF''s'!$E$6:$O$9929,7,FALSE)</f>
        <v>Ellen Koch</v>
      </c>
      <c r="AF1522" s="380" t="str">
        <f>VLOOKUP($B1522,'D7 - NDB Impacted SPRF''s'!$E$6:$O$9929,6,FALSE)</f>
        <v>Carol Buske</v>
      </c>
      <c r="AG1522" s="282"/>
      <c r="AH1522" s="311" t="e">
        <f>INDEX('D5 - Gatekeeper - Projects'!$A$4:$AF$1010,$AM1522, 17)</f>
        <v>#N/A</v>
      </c>
      <c r="AI1522" s="8"/>
      <c r="AJ1522" s="57"/>
      <c r="AK1522" s="105"/>
      <c r="AM1522" s="6" t="e">
        <f>MATCH(D1522,'D5 - Gatekeeper - Projects'!$C$4:$C$1010,0)</f>
        <v>#N/A</v>
      </c>
      <c r="AN1522" s="6" t="b">
        <f t="shared" si="159"/>
        <v>1</v>
      </c>
      <c r="AO1522" s="6" t="str">
        <f t="shared" si="162"/>
        <v>OK</v>
      </c>
      <c r="AQ1522" s="6" t="e">
        <f>MATCH($D1522,'D4 - Provider Council Unsched'!$C$11:$C$234,0)</f>
        <v>#N/A</v>
      </c>
      <c r="AR1522" s="6" t="b">
        <f t="shared" si="160"/>
        <v>1</v>
      </c>
      <c r="AS1522" s="6" t="str">
        <f t="shared" si="164"/>
        <v>OK</v>
      </c>
      <c r="AU1522" s="202"/>
      <c r="AV1522" s="262"/>
      <c r="AW1522" s="274"/>
    </row>
    <row r="1523" spans="1:49" s="13" customFormat="1" ht="33.75" x14ac:dyDescent="0.2">
      <c r="A1523" s="14">
        <v>1499</v>
      </c>
      <c r="B1523" s="8">
        <v>400038705</v>
      </c>
      <c r="C1523" s="8" t="s">
        <v>7290</v>
      </c>
      <c r="D1523" s="4" t="str">
        <f t="shared" si="163"/>
        <v>400038705B</v>
      </c>
      <c r="E1523" s="309" t="str">
        <f>VLOOKUP($B1523,'D7 - NDB Impacted SPRF''s'!$E$6:$O$9929,2,FALSE)</f>
        <v>NDC Remediation - Package Size Enhancement</v>
      </c>
      <c r="F1523" s="8"/>
      <c r="G1523" s="8" t="s">
        <v>4758</v>
      </c>
      <c r="H1523" s="8" t="s">
        <v>4246</v>
      </c>
      <c r="I1523" s="20">
        <v>2.1</v>
      </c>
      <c r="J1523" s="8" t="s">
        <v>4862</v>
      </c>
      <c r="K1523" s="182">
        <v>40768</v>
      </c>
      <c r="L1523" s="8" t="s">
        <v>4156</v>
      </c>
      <c r="M1523" s="8" t="s">
        <v>2814</v>
      </c>
      <c r="N1523" s="38" t="s">
        <v>3918</v>
      </c>
      <c r="O1523" s="8"/>
      <c r="P1523" s="4" t="str">
        <f>VLOOKUP($B1523,'D7 - NDB Impacted SPRF''s'!$E$16:$O$9929,9,FALSE)</f>
        <v>N</v>
      </c>
      <c r="Q1523" s="4" t="str">
        <f>VLOOKUP($B1523,'D7 - NDB Impacted SPRF''s'!$E$16:$O$9929,10,FALSE)</f>
        <v>N</v>
      </c>
      <c r="R1523" s="4" t="str">
        <f>VLOOKUP($B1523,'D7 - NDB Impacted SPRF''s'!$E$16:$O$9929,11,FALSE)</f>
        <v>Y</v>
      </c>
      <c r="S1523" s="8"/>
      <c r="T1523" s="310"/>
      <c r="U1523" s="310"/>
      <c r="V1523" s="4"/>
      <c r="W1523" s="4"/>
      <c r="X1523" s="4"/>
      <c r="Y1523" s="4"/>
      <c r="Z1523" s="4"/>
      <c r="AA1523" s="4"/>
      <c r="AB1523" s="380" t="str">
        <f>VLOOKUP($B1523,'D7 - NDB Impacted SPRF''s'!$E$6:$O$9929,4,FALSE)</f>
        <v>Completed</v>
      </c>
      <c r="AC1523" s="380" t="str">
        <f>VLOOKUP($B1523,'D7 - NDB Impacted SPRF''s'!$E$6:$O$9929,3,FALSE)</f>
        <v>UnitedHealthcare Employer &amp; Individual</v>
      </c>
      <c r="AD1523" s="380" t="str">
        <f>VLOOKUP($B1523,'D7 - NDB Impacted SPRF''s'!$E$6:$O$9929,5,FALSE)</f>
        <v>Medical Cost Savings Programs</v>
      </c>
      <c r="AE1523" s="380" t="str">
        <f>VLOOKUP($B1523,'D7 - NDB Impacted SPRF''s'!$E$6:$O$9929,7,FALSE)</f>
        <v>Lisa McDonnel</v>
      </c>
      <c r="AF1523" s="380" t="str">
        <f>VLOOKUP($B1523,'D7 - NDB Impacted SPRF''s'!$E$6:$O$9929,6,FALSE)</f>
        <v>JAMES SHELTON</v>
      </c>
      <c r="AG1523" s="282"/>
      <c r="AH1523" s="311" t="e">
        <f>INDEX('D5 - Gatekeeper - Projects'!$A$4:$AF$1010,$AM1523, 17)</f>
        <v>#N/A</v>
      </c>
      <c r="AI1523" s="8"/>
      <c r="AJ1523" s="57"/>
      <c r="AK1523" s="105"/>
      <c r="AM1523" s="6" t="e">
        <f>MATCH(D1523,'D5 - Gatekeeper - Projects'!$C$4:$C$1010,0)</f>
        <v>#N/A</v>
      </c>
      <c r="AN1523" s="6" t="b">
        <f t="shared" si="159"/>
        <v>1</v>
      </c>
      <c r="AO1523" s="6" t="str">
        <f t="shared" si="162"/>
        <v>OK</v>
      </c>
      <c r="AQ1523" s="6" t="e">
        <f>MATCH($D1523,'D4 - Provider Council Unsched'!$C$11:$C$234,0)</f>
        <v>#N/A</v>
      </c>
      <c r="AR1523" s="6" t="b">
        <f t="shared" si="160"/>
        <v>1</v>
      </c>
      <c r="AS1523" s="6" t="str">
        <f t="shared" si="164"/>
        <v>OK</v>
      </c>
      <c r="AU1523" s="202">
        <v>40690</v>
      </c>
      <c r="AV1523" s="262"/>
      <c r="AW1523" s="274"/>
    </row>
    <row r="1524" spans="1:49" s="13" customFormat="1" ht="45" x14ac:dyDescent="0.2">
      <c r="A1524" s="14">
        <v>1500</v>
      </c>
      <c r="B1524" s="8">
        <v>400038885</v>
      </c>
      <c r="C1524" s="8" t="s">
        <v>7292</v>
      </c>
      <c r="D1524" s="4" t="str">
        <f t="shared" si="163"/>
        <v>400038885C</v>
      </c>
      <c r="E1524" s="309" t="str">
        <f>VLOOKUP($B1524,'D7 - NDB Impacted SPRF''s'!$E$6:$O$9929,2,FALSE)</f>
        <v>HIPAA 5010-UHC-UHC Duhaime Trading Partner Testing</v>
      </c>
      <c r="F1524" s="8"/>
      <c r="G1524" s="8" t="s">
        <v>4758</v>
      </c>
      <c r="H1524" s="8" t="s">
        <v>4246</v>
      </c>
      <c r="I1524" s="20">
        <v>1</v>
      </c>
      <c r="J1524" s="8" t="s">
        <v>4862</v>
      </c>
      <c r="K1524" s="182">
        <v>40768</v>
      </c>
      <c r="L1524" s="8" t="s">
        <v>4156</v>
      </c>
      <c r="M1524" s="8" t="s">
        <v>5626</v>
      </c>
      <c r="N1524" s="38" t="s">
        <v>3069</v>
      </c>
      <c r="O1524" s="8"/>
      <c r="P1524" s="4" t="str">
        <f>VLOOKUP($B1524,'D7 - NDB Impacted SPRF''s'!$E$16:$O$9929,9,FALSE)</f>
        <v>Y</v>
      </c>
      <c r="Q1524" s="4" t="str">
        <f>VLOOKUP($B1524,'D7 - NDB Impacted SPRF''s'!$E$16:$O$9929,10,FALSE)</f>
        <v>N</v>
      </c>
      <c r="R1524" s="4" t="str">
        <f>VLOOKUP($B1524,'D7 - NDB Impacted SPRF''s'!$E$16:$O$9929,11,FALSE)</f>
        <v>N</v>
      </c>
      <c r="S1524" s="8"/>
      <c r="T1524" s="310"/>
      <c r="U1524" s="310"/>
      <c r="V1524" s="4"/>
      <c r="W1524" s="4"/>
      <c r="X1524" s="4"/>
      <c r="Y1524" s="4"/>
      <c r="Z1524" s="4"/>
      <c r="AA1524" s="4"/>
      <c r="AB1524" s="380" t="str">
        <f>VLOOKUP($B1524,'D7 - NDB Impacted SPRF''s'!$E$6:$O$9929,4,FALSE)</f>
        <v>Completed</v>
      </c>
      <c r="AC1524" s="380" t="str">
        <f>VLOOKUP($B1524,'D7 - NDB Impacted SPRF''s'!$E$6:$O$9929,3,FALSE)</f>
        <v>UnitedHealthcare Employer &amp; Individual</v>
      </c>
      <c r="AD1524" s="380" t="str">
        <f>VLOOKUP($B1524,'D7 - NDB Impacted SPRF''s'!$E$6:$O$9929,5,FALSE)</f>
        <v>HIPAA 5010</v>
      </c>
      <c r="AE1524" s="380" t="str">
        <f>VLOOKUP($B1524,'D7 - NDB Impacted SPRF''s'!$E$6:$O$9929,7,FALSE)</f>
        <v>Ross Lippincott</v>
      </c>
      <c r="AF1524" s="380" t="str">
        <f>VLOOKUP($B1524,'D7 - NDB Impacted SPRF''s'!$E$6:$O$9929,6,FALSE)</f>
        <v>Delvis Schilling</v>
      </c>
      <c r="AG1524" s="282"/>
      <c r="AH1524" s="311" t="e">
        <f>INDEX('D5 - Gatekeeper - Projects'!$A$4:$AF$1010,$AM1524, 17)</f>
        <v>#N/A</v>
      </c>
      <c r="AI1524" s="8"/>
      <c r="AJ1524" s="57"/>
      <c r="AK1524" s="105"/>
      <c r="AM1524" s="6" t="e">
        <f>MATCH(D1524,'D5 - Gatekeeper - Projects'!$C$4:$C$1010,0)</f>
        <v>#N/A</v>
      </c>
      <c r="AN1524" s="6" t="b">
        <f t="shared" si="159"/>
        <v>1</v>
      </c>
      <c r="AO1524" s="6" t="str">
        <f t="shared" si="162"/>
        <v>OK</v>
      </c>
      <c r="AQ1524" s="6" t="e">
        <f>MATCH($D1524,'D4 - Provider Council Unsched'!$C$11:$C$234,0)</f>
        <v>#N/A</v>
      </c>
      <c r="AR1524" s="6" t="b">
        <f t="shared" si="160"/>
        <v>1</v>
      </c>
      <c r="AS1524" s="6" t="str">
        <f t="shared" si="164"/>
        <v>OK</v>
      </c>
      <c r="AU1524" s="202">
        <v>40505</v>
      </c>
      <c r="AV1524" s="262"/>
      <c r="AW1524" s="274"/>
    </row>
    <row r="1525" spans="1:49" s="13" customFormat="1" ht="33.75" x14ac:dyDescent="0.2">
      <c r="A1525" s="14">
        <v>1501</v>
      </c>
      <c r="B1525" s="8">
        <v>400040075</v>
      </c>
      <c r="C1525" s="8" t="s">
        <v>1447</v>
      </c>
      <c r="D1525" s="4" t="str">
        <f t="shared" si="163"/>
        <v>400040075A</v>
      </c>
      <c r="E1525" s="309" t="str">
        <f>VLOOKUP($B1525,'D7 - NDB Impacted SPRF''s'!$E$6:$O$9929,2,FALSE)</f>
        <v>NICE Narrow Networks</v>
      </c>
      <c r="F1525" s="8"/>
      <c r="G1525" s="8" t="s">
        <v>4758</v>
      </c>
      <c r="H1525" s="8" t="s">
        <v>4246</v>
      </c>
      <c r="I1525" s="20">
        <v>8</v>
      </c>
      <c r="J1525" s="8" t="s">
        <v>4862</v>
      </c>
      <c r="K1525" s="182">
        <v>40768</v>
      </c>
      <c r="L1525" s="8" t="s">
        <v>4156</v>
      </c>
      <c r="M1525" s="8" t="s">
        <v>2814</v>
      </c>
      <c r="N1525" s="38" t="s">
        <v>1169</v>
      </c>
      <c r="O1525" s="8"/>
      <c r="P1525" s="4" t="str">
        <f>VLOOKUP($B1525,'D7 - NDB Impacted SPRF''s'!$E$16:$O$9929,9,FALSE)</f>
        <v>Y</v>
      </c>
      <c r="Q1525" s="4" t="str">
        <f>VLOOKUP($B1525,'D7 - NDB Impacted SPRF''s'!$E$16:$O$9929,10,FALSE)</f>
        <v>N</v>
      </c>
      <c r="R1525" s="4" t="str">
        <f>VLOOKUP($B1525,'D7 - NDB Impacted SPRF''s'!$E$16:$O$9929,11,FALSE)</f>
        <v>N</v>
      </c>
      <c r="S1525" s="8"/>
      <c r="T1525" s="310"/>
      <c r="U1525" s="310"/>
      <c r="V1525" s="4"/>
      <c r="W1525" s="4"/>
      <c r="X1525" s="4"/>
      <c r="Y1525" s="4"/>
      <c r="Z1525" s="4"/>
      <c r="AA1525" s="4"/>
      <c r="AB1525" s="380" t="str">
        <f>VLOOKUP($B1525,'D7 - NDB Impacted SPRF''s'!$E$6:$O$9929,4,FALSE)</f>
        <v>Completed</v>
      </c>
      <c r="AC1525" s="380" t="str">
        <f>VLOOKUP($B1525,'D7 - NDB Impacted SPRF''s'!$E$6:$O$9929,3,FALSE)</f>
        <v>UnitedHealthcare Employer &amp; Individual</v>
      </c>
      <c r="AD1525" s="380" t="str">
        <f>VLOOKUP($B1525,'D7 - NDB Impacted SPRF''s'!$E$6:$O$9929,5,FALSE)</f>
        <v>Membership Growth / Revenue Programs</v>
      </c>
      <c r="AE1525" s="380" t="str">
        <f>VLOOKUP($B1525,'D7 - NDB Impacted SPRF''s'!$E$6:$O$9929,7,FALSE)</f>
        <v>Steve Hantula</v>
      </c>
      <c r="AF1525" s="380" t="str">
        <f>VLOOKUP($B1525,'D7 - NDB Impacted SPRF''s'!$E$6:$O$9929,6,FALSE)</f>
        <v>Joan Roby</v>
      </c>
      <c r="AG1525" s="282"/>
      <c r="AH1525" s="311" t="e">
        <f>INDEX('D5 - Gatekeeper - Projects'!$A$4:$AF$1010,$AM1525, 17)</f>
        <v>#N/A</v>
      </c>
      <c r="AI1525" s="8"/>
      <c r="AJ1525" s="57"/>
      <c r="AK1525" s="105"/>
      <c r="AM1525" s="6" t="e">
        <f>MATCH(D1525,'D5 - Gatekeeper - Projects'!$C$4:$C$1010,0)</f>
        <v>#N/A</v>
      </c>
      <c r="AN1525" s="6" t="b">
        <f t="shared" si="159"/>
        <v>1</v>
      </c>
      <c r="AO1525" s="6" t="str">
        <f t="shared" si="162"/>
        <v>OK</v>
      </c>
      <c r="AQ1525" s="6" t="e">
        <f>MATCH($D1525,'D4 - Provider Council Unsched'!$C$11:$C$234,0)</f>
        <v>#N/A</v>
      </c>
      <c r="AR1525" s="6" t="b">
        <f t="shared" si="160"/>
        <v>1</v>
      </c>
      <c r="AS1525" s="6" t="str">
        <f t="shared" si="164"/>
        <v>OK</v>
      </c>
      <c r="AU1525" s="202">
        <v>40549</v>
      </c>
      <c r="AV1525" s="262"/>
      <c r="AW1525" s="274"/>
    </row>
    <row r="1526" spans="1:49" s="13" customFormat="1" ht="33.75" x14ac:dyDescent="0.2">
      <c r="A1526" s="14">
        <v>1502</v>
      </c>
      <c r="B1526" s="8">
        <v>400040541</v>
      </c>
      <c r="C1526" s="8" t="s">
        <v>1447</v>
      </c>
      <c r="D1526" s="4" t="str">
        <f t="shared" si="163"/>
        <v>400040541A</v>
      </c>
      <c r="E1526" s="309" t="str">
        <f>VLOOKUP($B1526,'D7 - NDB Impacted SPRF''s'!$E$6:$O$9929,2,FALSE)</f>
        <v>Lab Network Reimbursement Model Claims Enhancement</v>
      </c>
      <c r="F1526" s="8"/>
      <c r="G1526" s="8" t="s">
        <v>4758</v>
      </c>
      <c r="H1526" s="8" t="s">
        <v>4246</v>
      </c>
      <c r="I1526" s="20">
        <v>2.19</v>
      </c>
      <c r="J1526" s="8" t="s">
        <v>4862</v>
      </c>
      <c r="K1526" s="182">
        <v>40768</v>
      </c>
      <c r="L1526" s="8" t="s">
        <v>4156</v>
      </c>
      <c r="M1526" s="8" t="s">
        <v>6688</v>
      </c>
      <c r="N1526" s="38"/>
      <c r="O1526" s="8"/>
      <c r="P1526" s="4" t="str">
        <f>VLOOKUP($B1526,'D7 - NDB Impacted SPRF''s'!$E$16:$O$9929,9,FALSE)</f>
        <v>Y</v>
      </c>
      <c r="Q1526" s="4" t="str">
        <f>VLOOKUP($B1526,'D7 - NDB Impacted SPRF''s'!$E$16:$O$9929,10,FALSE)</f>
        <v>N</v>
      </c>
      <c r="R1526" s="4" t="str">
        <f>VLOOKUP($B1526,'D7 - NDB Impacted SPRF''s'!$E$16:$O$9929,11,FALSE)</f>
        <v>Y</v>
      </c>
      <c r="S1526" s="8"/>
      <c r="T1526" s="310"/>
      <c r="U1526" s="310"/>
      <c r="V1526" s="4"/>
      <c r="W1526" s="4"/>
      <c r="X1526" s="4"/>
      <c r="Y1526" s="4"/>
      <c r="Z1526" s="4"/>
      <c r="AA1526" s="4"/>
      <c r="AB1526" s="380" t="str">
        <f>VLOOKUP($B1526,'D7 - NDB Impacted SPRF''s'!$E$6:$O$9929,4,FALSE)</f>
        <v>Completed</v>
      </c>
      <c r="AC1526" s="380" t="str">
        <f>VLOOKUP($B1526,'D7 - NDB Impacted SPRF''s'!$E$6:$O$9929,3,FALSE)</f>
        <v>UnitedHealthcare Employer &amp; Individual</v>
      </c>
      <c r="AD1526" s="380" t="str">
        <f>VLOOKUP($B1526,'D7 - NDB Impacted SPRF''s'!$E$6:$O$9929,5,FALSE)</f>
        <v>Medical Cost Savings Programs</v>
      </c>
      <c r="AE1526" s="380" t="str">
        <f>VLOOKUP($B1526,'D7 - NDB Impacted SPRF''s'!$E$6:$O$9929,7,FALSE)</f>
        <v>Linda Stewart / Mark Allen</v>
      </c>
      <c r="AF1526" s="380" t="str">
        <f>VLOOKUP($B1526,'D7 - NDB Impacted SPRF''s'!$E$6:$O$9929,6,FALSE)</f>
        <v>Melanie Lidster</v>
      </c>
      <c r="AG1526" s="282"/>
      <c r="AH1526" s="311" t="e">
        <f>INDEX('D5 - Gatekeeper - Projects'!$A$4:$AF$1010,$AM1526, 17)</f>
        <v>#N/A</v>
      </c>
      <c r="AI1526" s="8"/>
      <c r="AJ1526" s="57"/>
      <c r="AK1526" s="105"/>
      <c r="AM1526" s="6" t="e">
        <f>MATCH(D1526,'D5 - Gatekeeper - Projects'!$C$4:$C$1010,0)</f>
        <v>#N/A</v>
      </c>
      <c r="AN1526" s="6" t="b">
        <f t="shared" si="159"/>
        <v>1</v>
      </c>
      <c r="AO1526" s="6" t="str">
        <f t="shared" si="162"/>
        <v>OK</v>
      </c>
      <c r="AQ1526" s="6" t="e">
        <f>MATCH($D1526,'D4 - Provider Council Unsched'!$C$11:$C$234,0)</f>
        <v>#N/A</v>
      </c>
      <c r="AR1526" s="6" t="b">
        <f t="shared" si="160"/>
        <v>1</v>
      </c>
      <c r="AS1526" s="6" t="str">
        <f t="shared" si="164"/>
        <v>OK</v>
      </c>
      <c r="AU1526" s="202">
        <v>40505</v>
      </c>
      <c r="AV1526" s="262"/>
      <c r="AW1526" s="274"/>
    </row>
    <row r="1527" spans="1:49" s="13" customFormat="1" ht="45" x14ac:dyDescent="0.2">
      <c r="A1527" s="14">
        <v>1503</v>
      </c>
      <c r="B1527" s="8">
        <v>400040729</v>
      </c>
      <c r="C1527" s="8" t="s">
        <v>1447</v>
      </c>
      <c r="D1527" s="4" t="str">
        <f t="shared" si="163"/>
        <v>400040729A</v>
      </c>
      <c r="E1527" s="309" t="str">
        <f>VLOOKUP($B1527,'D7 - NDB Impacted SPRF''s'!$E$6:$O$9929,2,FALSE)</f>
        <v>HIPAA 5010 CMS 25 Occurrences E&amp;I</v>
      </c>
      <c r="F1527" s="8"/>
      <c r="G1527" s="8" t="s">
        <v>4758</v>
      </c>
      <c r="H1527" s="8" t="s">
        <v>4246</v>
      </c>
      <c r="I1527" s="20">
        <v>23.69</v>
      </c>
      <c r="J1527" s="8" t="s">
        <v>4862</v>
      </c>
      <c r="K1527" s="182">
        <v>40768</v>
      </c>
      <c r="L1527" s="8" t="s">
        <v>4156</v>
      </c>
      <c r="M1527" s="8" t="s">
        <v>2814</v>
      </c>
      <c r="N1527" s="38" t="s">
        <v>406</v>
      </c>
      <c r="O1527" s="8"/>
      <c r="P1527" s="4" t="str">
        <f>VLOOKUP($B1527,'D7 - NDB Impacted SPRF''s'!$E$16:$O$9929,9,FALSE)</f>
        <v>Y</v>
      </c>
      <c r="Q1527" s="4" t="str">
        <f>VLOOKUP($B1527,'D7 - NDB Impacted SPRF''s'!$E$16:$O$9929,10,FALSE)</f>
        <v>N</v>
      </c>
      <c r="R1527" s="4" t="str">
        <f>VLOOKUP($B1527,'D7 - NDB Impacted SPRF''s'!$E$16:$O$9929,11,FALSE)</f>
        <v>Y</v>
      </c>
      <c r="S1527" s="8"/>
      <c r="T1527" s="310"/>
      <c r="U1527" s="310"/>
      <c r="V1527" s="4"/>
      <c r="W1527" s="4"/>
      <c r="X1527" s="4"/>
      <c r="Y1527" s="4"/>
      <c r="Z1527" s="4"/>
      <c r="AA1527" s="4"/>
      <c r="AB1527" s="380" t="str">
        <f>VLOOKUP($B1527,'D7 - NDB Impacted SPRF''s'!$E$6:$O$9929,4,FALSE)</f>
        <v>Completed</v>
      </c>
      <c r="AC1527" s="380" t="str">
        <f>VLOOKUP($B1527,'D7 - NDB Impacted SPRF''s'!$E$6:$O$9929,3,FALSE)</f>
        <v>UnitedHealthcare Employer &amp; Individual</v>
      </c>
      <c r="AD1527" s="380" t="str">
        <f>VLOOKUP($B1527,'D7 - NDB Impacted SPRF''s'!$E$6:$O$9929,5,FALSE)</f>
        <v>HIPAA 5010</v>
      </c>
      <c r="AE1527" s="380" t="str">
        <f>VLOOKUP($B1527,'D7 - NDB Impacted SPRF''s'!$E$6:$O$9929,7,FALSE)</f>
        <v>Tim Kaja</v>
      </c>
      <c r="AF1527" s="380" t="str">
        <f>VLOOKUP($B1527,'D7 - NDB Impacted SPRF''s'!$E$6:$O$9929,6,FALSE)</f>
        <v>Sherry Galetka</v>
      </c>
      <c r="AG1527" s="282"/>
      <c r="AH1527" s="311" t="e">
        <f>INDEX('D5 - Gatekeeper - Projects'!$A$4:$AF$1010,$AM1527, 17)</f>
        <v>#N/A</v>
      </c>
      <c r="AI1527" s="8"/>
      <c r="AJ1527" s="57"/>
      <c r="AK1527" s="105"/>
      <c r="AM1527" s="6" t="e">
        <f>MATCH(D1527,'D5 - Gatekeeper - Projects'!$C$4:$C$1010,0)</f>
        <v>#N/A</v>
      </c>
      <c r="AN1527" s="6" t="b">
        <f t="shared" si="159"/>
        <v>1</v>
      </c>
      <c r="AO1527" s="6" t="str">
        <f t="shared" si="162"/>
        <v>OK</v>
      </c>
      <c r="AQ1527" s="6" t="e">
        <f>MATCH($D1527,'D4 - Provider Council Unsched'!$C$11:$C$234,0)</f>
        <v>#N/A</v>
      </c>
      <c r="AR1527" s="6" t="b">
        <f t="shared" si="160"/>
        <v>1</v>
      </c>
      <c r="AS1527" s="6" t="str">
        <f t="shared" si="164"/>
        <v>OK</v>
      </c>
      <c r="AU1527" s="202">
        <v>40619</v>
      </c>
      <c r="AV1527" s="262"/>
      <c r="AW1527" s="274"/>
    </row>
    <row r="1528" spans="1:49" s="13" customFormat="1" x14ac:dyDescent="0.2">
      <c r="A1528" s="14">
        <v>1504</v>
      </c>
      <c r="B1528" s="8">
        <v>400041257</v>
      </c>
      <c r="C1528" s="8" t="s">
        <v>1447</v>
      </c>
      <c r="D1528" s="4" t="str">
        <f t="shared" si="163"/>
        <v>400041257A</v>
      </c>
      <c r="E1528" s="309" t="str">
        <f>VLOOKUP($B1528,'D7 - NDB Impacted SPRF''s'!$E$6:$O$9929,2,FALSE)</f>
        <v>Consumer Transparency 2011 AO</v>
      </c>
      <c r="F1528" s="8"/>
      <c r="G1528" s="8" t="s">
        <v>4758</v>
      </c>
      <c r="H1528" s="8" t="s">
        <v>4246</v>
      </c>
      <c r="I1528" s="20">
        <v>2.11</v>
      </c>
      <c r="J1528" s="8" t="s">
        <v>4862</v>
      </c>
      <c r="K1528" s="182">
        <v>40768</v>
      </c>
      <c r="L1528" s="8" t="s">
        <v>4156</v>
      </c>
      <c r="M1528" s="8" t="s">
        <v>6688</v>
      </c>
      <c r="N1528" s="38"/>
      <c r="O1528" s="8"/>
      <c r="P1528" s="4" t="str">
        <f>VLOOKUP($B1528,'D7 - NDB Impacted SPRF''s'!$E$16:$O$9929,9,FALSE)</f>
        <v>Y</v>
      </c>
      <c r="Q1528" s="4" t="str">
        <f>VLOOKUP($B1528,'D7 - NDB Impacted SPRF''s'!$E$16:$O$9929,10,FALSE)</f>
        <v>N</v>
      </c>
      <c r="R1528" s="4" t="str">
        <f>VLOOKUP($B1528,'D7 - NDB Impacted SPRF''s'!$E$16:$O$9929,11,FALSE)</f>
        <v>Y</v>
      </c>
      <c r="S1528" s="8"/>
      <c r="T1528" s="310"/>
      <c r="U1528" s="310"/>
      <c r="V1528" s="4"/>
      <c r="W1528" s="4"/>
      <c r="X1528" s="4"/>
      <c r="Y1528" s="4"/>
      <c r="Z1528" s="4"/>
      <c r="AA1528" s="4"/>
      <c r="AB1528" s="380" t="str">
        <f>VLOOKUP($B1528,'D7 - NDB Impacted SPRF''s'!$E$6:$O$9929,4,FALSE)</f>
        <v>Completed</v>
      </c>
      <c r="AC1528" s="380" t="str">
        <f>VLOOKUP($B1528,'D7 - NDB Impacted SPRF''s'!$E$6:$O$9929,3,FALSE)</f>
        <v>OptumHealth</v>
      </c>
      <c r="AD1528" s="380" t="str">
        <f>VLOOKUP($B1528,'D7 - NDB Impacted SPRF''s'!$E$6:$O$9929,5,FALSE)</f>
        <v>OptumHealth Care Solutions</v>
      </c>
      <c r="AE1528" s="380" t="str">
        <f>VLOOKUP($B1528,'D7 - NDB Impacted SPRF''s'!$E$6:$O$9929,7,FALSE)</f>
        <v>Camacho, Fred</v>
      </c>
      <c r="AF1528" s="380" t="str">
        <f>VLOOKUP($B1528,'D7 - NDB Impacted SPRF''s'!$E$6:$O$9929,6,FALSE)</f>
        <v>Kari Mclarty</v>
      </c>
      <c r="AG1528" s="282"/>
      <c r="AH1528" s="311" t="e">
        <f>INDEX('D5 - Gatekeeper - Projects'!$A$4:$AF$1010,$AM1528, 17)</f>
        <v>#N/A</v>
      </c>
      <c r="AI1528" s="8"/>
      <c r="AJ1528" s="57"/>
      <c r="AK1528" s="105"/>
      <c r="AM1528" s="6" t="e">
        <f>MATCH(D1528,'D5 - Gatekeeper - Projects'!$C$4:$C$1010,0)</f>
        <v>#N/A</v>
      </c>
      <c r="AN1528" s="6" t="b">
        <f t="shared" si="159"/>
        <v>1</v>
      </c>
      <c r="AO1528" s="6" t="str">
        <f t="shared" si="162"/>
        <v>OK</v>
      </c>
      <c r="AQ1528" s="6" t="e">
        <f>MATCH($D1528,'D4 - Provider Council Unsched'!$C$11:$C$234,0)</f>
        <v>#N/A</v>
      </c>
      <c r="AR1528" s="6" t="b">
        <f t="shared" si="160"/>
        <v>1</v>
      </c>
      <c r="AS1528" s="6" t="str">
        <f t="shared" si="164"/>
        <v>OK</v>
      </c>
      <c r="AU1528" s="202">
        <v>40610</v>
      </c>
      <c r="AV1528" s="262"/>
      <c r="AW1528" s="274"/>
    </row>
    <row r="1529" spans="1:49" s="13" customFormat="1" ht="33.75" x14ac:dyDescent="0.2">
      <c r="A1529" s="14">
        <v>1505</v>
      </c>
      <c r="B1529" s="8">
        <v>400041480</v>
      </c>
      <c r="C1529" s="8" t="s">
        <v>1447</v>
      </c>
      <c r="D1529" s="4" t="str">
        <f t="shared" si="163"/>
        <v>400041480A</v>
      </c>
      <c r="E1529" s="309" t="str">
        <f>VLOOKUP($B1529,'D7 - NDB Impacted SPRF''s'!$E$6:$O$9929,2,FALSE)</f>
        <v>Medica ISET Q3 Project</v>
      </c>
      <c r="F1529" s="8" t="s">
        <v>7420</v>
      </c>
      <c r="G1529" s="8" t="s">
        <v>4758</v>
      </c>
      <c r="H1529" s="8" t="s">
        <v>4246</v>
      </c>
      <c r="I1529" s="20">
        <v>0.33</v>
      </c>
      <c r="J1529" s="8" t="s">
        <v>4862</v>
      </c>
      <c r="K1529" s="182">
        <v>40768</v>
      </c>
      <c r="L1529" s="8" t="s">
        <v>4156</v>
      </c>
      <c r="M1529" s="8" t="s">
        <v>5626</v>
      </c>
      <c r="N1529" s="38" t="s">
        <v>4278</v>
      </c>
      <c r="O1529" s="8"/>
      <c r="P1529" s="4" t="str">
        <f>VLOOKUP($B1529,'D7 - NDB Impacted SPRF''s'!$E$16:$O$9929,9,FALSE)</f>
        <v>Y</v>
      </c>
      <c r="Q1529" s="4" t="str">
        <f>VLOOKUP($B1529,'D7 - NDB Impacted SPRF''s'!$E$16:$O$9929,10,FALSE)</f>
        <v>N</v>
      </c>
      <c r="R1529" s="4" t="str">
        <f>VLOOKUP($B1529,'D7 - NDB Impacted SPRF''s'!$E$16:$O$9929,11,FALSE)</f>
        <v>N</v>
      </c>
      <c r="S1529" s="8"/>
      <c r="T1529" s="310"/>
      <c r="U1529" s="310"/>
      <c r="V1529" s="4"/>
      <c r="W1529" s="4"/>
      <c r="X1529" s="4"/>
      <c r="Y1529" s="4"/>
      <c r="Z1529" s="4"/>
      <c r="AA1529" s="4"/>
      <c r="AB1529" s="380" t="str">
        <f>VLOOKUP($B1529,'D7 - NDB Impacted SPRF''s'!$E$6:$O$9929,4,FALSE)</f>
        <v>Completed</v>
      </c>
      <c r="AC1529" s="380" t="str">
        <f>VLOOKUP($B1529,'D7 - NDB Impacted SPRF''s'!$E$6:$O$9929,3,FALSE)</f>
        <v>UnitedHealthcare Employer &amp; Individual</v>
      </c>
      <c r="AD1529" s="380" t="str">
        <f>VLOOKUP($B1529,'D7 - NDB Impacted SPRF''s'!$E$6:$O$9929,5,FALSE)</f>
        <v>HCA - Operational Requirements</v>
      </c>
      <c r="AE1529" s="380" t="str">
        <f>VLOOKUP($B1529,'D7 - NDB Impacted SPRF''s'!$E$6:$O$9929,7,FALSE)</f>
        <v>Robyn Athmann</v>
      </c>
      <c r="AF1529" s="380" t="str">
        <f>VLOOKUP($B1529,'D7 - NDB Impacted SPRF''s'!$E$6:$O$9929,6,FALSE)</f>
        <v>KRISTYN EIRING</v>
      </c>
      <c r="AG1529" s="282"/>
      <c r="AH1529" s="311" t="e">
        <f>INDEX('D5 - Gatekeeper - Projects'!$A$4:$AF$1010,$AM1529, 17)</f>
        <v>#N/A</v>
      </c>
      <c r="AI1529" s="8"/>
      <c r="AJ1529" s="57"/>
      <c r="AK1529" s="105"/>
      <c r="AM1529" s="6" t="e">
        <f>MATCH(D1529,'D5 - Gatekeeper - Projects'!$C$4:$C$1010,0)</f>
        <v>#N/A</v>
      </c>
      <c r="AN1529" s="6" t="b">
        <f t="shared" si="159"/>
        <v>1</v>
      </c>
      <c r="AO1529" s="6" t="str">
        <f t="shared" si="162"/>
        <v>OK</v>
      </c>
      <c r="AQ1529" s="6" t="e">
        <f>MATCH($D1529,'D4 - Provider Council Unsched'!$C$11:$C$234,0)</f>
        <v>#N/A</v>
      </c>
      <c r="AR1529" s="6" t="b">
        <f t="shared" si="160"/>
        <v>1</v>
      </c>
      <c r="AS1529" s="6" t="str">
        <f t="shared" si="164"/>
        <v>OK</v>
      </c>
      <c r="AU1529" s="202">
        <v>40714</v>
      </c>
      <c r="AV1529" s="267" t="e">
        <v>#N/A</v>
      </c>
      <c r="AW1529" s="274"/>
    </row>
    <row r="1530" spans="1:49" s="13" customFormat="1" ht="78.75" x14ac:dyDescent="0.2">
      <c r="A1530" s="14">
        <v>1506</v>
      </c>
      <c r="B1530" s="8">
        <v>400041737</v>
      </c>
      <c r="C1530" s="8" t="s">
        <v>1447</v>
      </c>
      <c r="D1530" s="4" t="str">
        <f t="shared" si="163"/>
        <v>400041737A</v>
      </c>
      <c r="E1530" s="309" t="str">
        <f>VLOOKUP($B1530,'D7 - NDB Impacted SPRF''s'!$E$6:$O$9929,2,FALSE)</f>
        <v>ICD10- Field Expansion- UHC EI</v>
      </c>
      <c r="F1530" s="8"/>
      <c r="G1530" s="8" t="s">
        <v>4758</v>
      </c>
      <c r="H1530" s="8" t="s">
        <v>4246</v>
      </c>
      <c r="I1530" s="20">
        <v>104.03</v>
      </c>
      <c r="J1530" s="8" t="s">
        <v>4862</v>
      </c>
      <c r="K1530" s="182">
        <v>40768</v>
      </c>
      <c r="L1530" s="8" t="s">
        <v>4156</v>
      </c>
      <c r="M1530" s="8" t="s">
        <v>2814</v>
      </c>
      <c r="N1530" s="38" t="s">
        <v>1101</v>
      </c>
      <c r="O1530" s="8"/>
      <c r="P1530" s="4" t="str">
        <f>VLOOKUP($B1530,'D7 - NDB Impacted SPRF''s'!$E$16:$O$9929,9,FALSE)</f>
        <v>Y</v>
      </c>
      <c r="Q1530" s="4" t="str">
        <f>VLOOKUP($B1530,'D7 - NDB Impacted SPRF''s'!$E$16:$O$9929,10,FALSE)</f>
        <v>N</v>
      </c>
      <c r="R1530" s="4" t="str">
        <f>VLOOKUP($B1530,'D7 - NDB Impacted SPRF''s'!$E$16:$O$9929,11,FALSE)</f>
        <v>Y</v>
      </c>
      <c r="S1530" s="8"/>
      <c r="T1530" s="310"/>
      <c r="U1530" s="310"/>
      <c r="V1530" s="4"/>
      <c r="W1530" s="4"/>
      <c r="X1530" s="4"/>
      <c r="Y1530" s="4"/>
      <c r="Z1530" s="4"/>
      <c r="AA1530" s="4"/>
      <c r="AB1530" s="380" t="str">
        <f>VLOOKUP($B1530,'D7 - NDB Impacted SPRF''s'!$E$6:$O$9929,4,FALSE)</f>
        <v>Scheduled</v>
      </c>
      <c r="AC1530" s="380" t="str">
        <f>VLOOKUP($B1530,'D7 - NDB Impacted SPRF''s'!$E$6:$O$9929,3,FALSE)</f>
        <v>UnitedHealthcare Employer &amp; Individual</v>
      </c>
      <c r="AD1530" s="380" t="str">
        <f>VLOOKUP($B1530,'D7 - NDB Impacted SPRF''s'!$E$6:$O$9929,5,FALSE)</f>
        <v>Regulatory / Other</v>
      </c>
      <c r="AE1530" s="380" t="str">
        <f>VLOOKUP($B1530,'D7 - NDB Impacted SPRF''s'!$E$6:$O$9929,7,FALSE)</f>
        <v>Tim Kaja</v>
      </c>
      <c r="AF1530" s="380" t="str">
        <f>VLOOKUP($B1530,'D7 - NDB Impacted SPRF''s'!$E$6:$O$9929,6,FALSE)</f>
        <v>Delvis Schilling</v>
      </c>
      <c r="AG1530" s="282"/>
      <c r="AH1530" s="311" t="e">
        <f>INDEX('D5 - Gatekeeper - Projects'!$A$4:$AF$1010,$AM1530, 17)</f>
        <v>#N/A</v>
      </c>
      <c r="AI1530" s="8"/>
      <c r="AJ1530" s="57"/>
      <c r="AK1530" s="105"/>
      <c r="AM1530" s="6" t="e">
        <f>MATCH(D1530,'D5 - Gatekeeper - Projects'!$C$4:$C$1010,0)</f>
        <v>#N/A</v>
      </c>
      <c r="AN1530" s="6" t="b">
        <f t="shared" si="159"/>
        <v>1</v>
      </c>
      <c r="AO1530" s="6" t="str">
        <f t="shared" si="162"/>
        <v>OK</v>
      </c>
      <c r="AQ1530" s="6" t="e">
        <f>MATCH($D1530,'D4 - Provider Council Unsched'!$C$11:$C$234,0)</f>
        <v>#N/A</v>
      </c>
      <c r="AR1530" s="6" t="b">
        <f t="shared" si="160"/>
        <v>1</v>
      </c>
      <c r="AS1530" s="6" t="str">
        <f t="shared" si="164"/>
        <v>OK</v>
      </c>
      <c r="AU1530" s="202">
        <v>40549</v>
      </c>
      <c r="AV1530" s="262"/>
      <c r="AW1530" s="274"/>
    </row>
    <row r="1531" spans="1:49" s="13" customFormat="1" ht="33.75" x14ac:dyDescent="0.2">
      <c r="A1531" s="14">
        <v>1507</v>
      </c>
      <c r="B1531" s="8">
        <v>400041805</v>
      </c>
      <c r="C1531" s="8" t="s">
        <v>1447</v>
      </c>
      <c r="D1531" s="4" t="str">
        <f t="shared" si="163"/>
        <v>400041805A</v>
      </c>
      <c r="E1531" s="309" t="str">
        <f>VLOOKUP($B1531,'D7 - NDB Impacted SPRF''s'!$E$6:$O$9929,2,FALSE)</f>
        <v>Medical Necessity-Foundational CoreMed Prior Auth</v>
      </c>
      <c r="F1531" s="8"/>
      <c r="G1531" s="8" t="s">
        <v>4758</v>
      </c>
      <c r="H1531" s="8" t="s">
        <v>4246</v>
      </c>
      <c r="I1531" s="20">
        <v>22.52</v>
      </c>
      <c r="J1531" s="8" t="s">
        <v>4862</v>
      </c>
      <c r="K1531" s="182">
        <v>40768</v>
      </c>
      <c r="L1531" s="8" t="s">
        <v>4156</v>
      </c>
      <c r="M1531" s="8" t="s">
        <v>2814</v>
      </c>
      <c r="N1531" s="38"/>
      <c r="O1531" s="8"/>
      <c r="P1531" s="4" t="str">
        <f>VLOOKUP($B1531,'D7 - NDB Impacted SPRF''s'!$E$16:$O$9929,9,FALSE)</f>
        <v>Y</v>
      </c>
      <c r="Q1531" s="4" t="str">
        <f>VLOOKUP($B1531,'D7 - NDB Impacted SPRF''s'!$E$16:$O$9929,10,FALSE)</f>
        <v>N</v>
      </c>
      <c r="R1531" s="4" t="str">
        <f>VLOOKUP($B1531,'D7 - NDB Impacted SPRF''s'!$E$16:$O$9929,11,FALSE)</f>
        <v>Y</v>
      </c>
      <c r="S1531" s="8"/>
      <c r="T1531" s="310"/>
      <c r="U1531" s="310"/>
      <c r="V1531" s="4"/>
      <c r="W1531" s="4"/>
      <c r="X1531" s="4"/>
      <c r="Y1531" s="4"/>
      <c r="Z1531" s="4"/>
      <c r="AA1531" s="4"/>
      <c r="AB1531" s="380" t="str">
        <f>VLOOKUP($B1531,'D7 - NDB Impacted SPRF''s'!$E$6:$O$9929,4,FALSE)</f>
        <v>Completed</v>
      </c>
      <c r="AC1531" s="380" t="s">
        <v>5324</v>
      </c>
      <c r="AD1531" s="380" t="str">
        <f>VLOOKUP($B1531,'D7 - NDB Impacted SPRF''s'!$E$6:$O$9929,5,FALSE)</f>
        <v>Medical Cost Savings Programs</v>
      </c>
      <c r="AE1531" s="380" t="str">
        <f>VLOOKUP($B1531,'D7 - NDB Impacted SPRF''s'!$E$6:$O$9929,7,FALSE)</f>
        <v>Kevin Ruth / Dr.Sam Ho</v>
      </c>
      <c r="AF1531" s="380" t="str">
        <f>VLOOKUP($B1531,'D7 - NDB Impacted SPRF''s'!$E$6:$O$9929,6,FALSE)</f>
        <v>ROSS OGDEN</v>
      </c>
      <c r="AG1531" s="282"/>
      <c r="AH1531" s="311" t="e">
        <f>INDEX('D5 - Gatekeeper - Projects'!$A$4:$AF$1010,$AM1531, 17)</f>
        <v>#N/A</v>
      </c>
      <c r="AI1531" s="8"/>
      <c r="AJ1531" s="57"/>
      <c r="AK1531" s="105"/>
      <c r="AM1531" s="6" t="e">
        <f>MATCH(D1531,'D5 - Gatekeeper - Projects'!$C$4:$C$1010,0)</f>
        <v>#N/A</v>
      </c>
      <c r="AN1531" s="6" t="b">
        <f t="shared" si="159"/>
        <v>1</v>
      </c>
      <c r="AO1531" s="6" t="str">
        <f t="shared" si="162"/>
        <v>OK</v>
      </c>
      <c r="AQ1531" s="6" t="e">
        <f>MATCH($D1531,'D4 - Provider Council Unsched'!$C$11:$C$234,0)</f>
        <v>#N/A</v>
      </c>
      <c r="AR1531" s="6" t="b">
        <f t="shared" si="160"/>
        <v>1</v>
      </c>
      <c r="AS1531" s="6" t="str">
        <f t="shared" si="164"/>
        <v>OK</v>
      </c>
      <c r="AU1531" s="202">
        <v>40610</v>
      </c>
      <c r="AV1531" s="262"/>
      <c r="AW1531" s="274"/>
    </row>
    <row r="1532" spans="1:49" s="13" customFormat="1" ht="33.75" x14ac:dyDescent="0.2">
      <c r="A1532" s="14">
        <v>1508</v>
      </c>
      <c r="B1532" s="8">
        <v>400042193</v>
      </c>
      <c r="C1532" s="8" t="s">
        <v>1447</v>
      </c>
      <c r="D1532" s="4" t="str">
        <f t="shared" si="163"/>
        <v>400042193A</v>
      </c>
      <c r="E1532" s="309" t="str">
        <f>VLOOKUP($B1532,'D7 - NDB Impacted SPRF''s'!$E$6:$O$9929,2,FALSE)</f>
        <v>Incorrect Dup Denials related to modifiers and SDS</v>
      </c>
      <c r="F1532" s="8"/>
      <c r="G1532" s="8" t="s">
        <v>4758</v>
      </c>
      <c r="H1532" s="8" t="s">
        <v>4246</v>
      </c>
      <c r="I1532" s="20">
        <v>0.69</v>
      </c>
      <c r="J1532" s="8" t="s">
        <v>4862</v>
      </c>
      <c r="K1532" s="182">
        <v>40768</v>
      </c>
      <c r="L1532" s="8" t="s">
        <v>4156</v>
      </c>
      <c r="M1532" s="8" t="s">
        <v>6688</v>
      </c>
      <c r="N1532" s="38"/>
      <c r="O1532" s="8"/>
      <c r="P1532" s="4" t="str">
        <f>VLOOKUP($B1532,'D7 - NDB Impacted SPRF''s'!$E$16:$O$9929,9,FALSE)</f>
        <v>Y</v>
      </c>
      <c r="Q1532" s="4" t="str">
        <f>VLOOKUP($B1532,'D7 - NDB Impacted SPRF''s'!$E$16:$O$9929,10,FALSE)</f>
        <v>N</v>
      </c>
      <c r="R1532" s="4" t="str">
        <f>VLOOKUP($B1532,'D7 - NDB Impacted SPRF''s'!$E$16:$O$9929,11,FALSE)</f>
        <v>N</v>
      </c>
      <c r="S1532" s="8"/>
      <c r="T1532" s="310"/>
      <c r="U1532" s="310"/>
      <c r="V1532" s="4"/>
      <c r="W1532" s="4"/>
      <c r="X1532" s="4"/>
      <c r="Y1532" s="4"/>
      <c r="Z1532" s="4"/>
      <c r="AA1532" s="4"/>
      <c r="AB1532" s="380" t="str">
        <f>VLOOKUP($B1532,'D7 - NDB Impacted SPRF''s'!$E$6:$O$9929,4,FALSE)</f>
        <v>Completed</v>
      </c>
      <c r="AC1532" s="380" t="s">
        <v>5324</v>
      </c>
      <c r="AD1532" s="380" t="str">
        <f>VLOOKUP($B1532,'D7 - NDB Impacted SPRF''s'!$E$6:$O$9929,5,FALSE)</f>
        <v>Process Improvement</v>
      </c>
      <c r="AE1532" s="380" t="str">
        <f>VLOOKUP($B1532,'D7 - NDB Impacted SPRF''s'!$E$6:$O$9929,7,FALSE)</f>
        <v>Tim Kaja</v>
      </c>
      <c r="AF1532" s="380" t="str">
        <f>VLOOKUP($B1532,'D7 - NDB Impacted SPRF''s'!$E$6:$O$9929,6,FALSE)</f>
        <v>CHERYL STAUFFER</v>
      </c>
      <c r="AG1532" s="282"/>
      <c r="AH1532" s="311" t="e">
        <f>INDEX('D5 - Gatekeeper - Projects'!$A$4:$AF$1010,$AM1532, 17)</f>
        <v>#N/A</v>
      </c>
      <c r="AI1532" s="8"/>
      <c r="AJ1532" s="57"/>
      <c r="AK1532" s="105"/>
      <c r="AM1532" s="6" t="e">
        <f>MATCH(D1532,'D5 - Gatekeeper - Projects'!$C$4:$C$1010,0)</f>
        <v>#N/A</v>
      </c>
      <c r="AN1532" s="6" t="b">
        <f t="shared" si="159"/>
        <v>1</v>
      </c>
      <c r="AO1532" s="6" t="str">
        <f t="shared" si="162"/>
        <v>OK</v>
      </c>
      <c r="AQ1532" s="6" t="e">
        <f>MATCH($D1532,'D4 - Provider Council Unsched'!$C$11:$C$234,0)</f>
        <v>#N/A</v>
      </c>
      <c r="AR1532" s="6" t="b">
        <f t="shared" si="160"/>
        <v>1</v>
      </c>
      <c r="AS1532" s="6" t="str">
        <f t="shared" si="164"/>
        <v>OK</v>
      </c>
      <c r="AU1532" s="202">
        <v>40665</v>
      </c>
      <c r="AV1532" s="262"/>
      <c r="AW1532" s="274"/>
    </row>
    <row r="1533" spans="1:49" s="13" customFormat="1" ht="33.75" x14ac:dyDescent="0.2">
      <c r="A1533" s="14">
        <v>1509</v>
      </c>
      <c r="B1533" s="8">
        <v>400042576</v>
      </c>
      <c r="C1533" s="8" t="s">
        <v>1447</v>
      </c>
      <c r="D1533" s="4" t="str">
        <f t="shared" si="163"/>
        <v>400042576A</v>
      </c>
      <c r="E1533" s="309" t="str">
        <f>VLOOKUP($B1533,'D7 - NDB Impacted SPRF''s'!$E$6:$O$9929,2,FALSE)</f>
        <v>Consumer Web Portal</v>
      </c>
      <c r="F1533" s="8"/>
      <c r="G1533" s="8" t="s">
        <v>4758</v>
      </c>
      <c r="H1533" s="8" t="s">
        <v>4246</v>
      </c>
      <c r="I1533" s="20">
        <v>1.2</v>
      </c>
      <c r="J1533" s="8" t="s">
        <v>4862</v>
      </c>
      <c r="K1533" s="182">
        <v>40768</v>
      </c>
      <c r="L1533" s="8" t="s">
        <v>4156</v>
      </c>
      <c r="M1533" s="8" t="s">
        <v>6688</v>
      </c>
      <c r="N1533" s="38" t="s">
        <v>3614</v>
      </c>
      <c r="O1533" s="8"/>
      <c r="P1533" s="4" t="str">
        <f>VLOOKUP($B1533,'D7 - NDB Impacted SPRF''s'!$E$16:$O$9929,9,FALSE)</f>
        <v>N</v>
      </c>
      <c r="Q1533" s="4" t="str">
        <f>VLOOKUP($B1533,'D7 - NDB Impacted SPRF''s'!$E$16:$O$9929,10,FALSE)</f>
        <v>N</v>
      </c>
      <c r="R1533" s="4" t="str">
        <f>VLOOKUP($B1533,'D7 - NDB Impacted SPRF''s'!$E$16:$O$9929,11,FALSE)</f>
        <v>N</v>
      </c>
      <c r="S1533" s="8"/>
      <c r="T1533" s="310"/>
      <c r="U1533" s="310"/>
      <c r="V1533" s="4"/>
      <c r="W1533" s="4"/>
      <c r="X1533" s="4"/>
      <c r="Y1533" s="4"/>
      <c r="Z1533" s="4"/>
      <c r="AA1533" s="4"/>
      <c r="AB1533" s="380" t="str">
        <f>VLOOKUP($B1533,'D7 - NDB Impacted SPRF''s'!$E$6:$O$9929,4,FALSE)</f>
        <v>Completed</v>
      </c>
      <c r="AC1533" s="380" t="str">
        <f>VLOOKUP($B1533,'D7 - NDB Impacted SPRF''s'!$E$6:$O$9929,3,FALSE)</f>
        <v>UnitedHealthcare Employer &amp; Individual</v>
      </c>
      <c r="AD1533" s="380" t="str">
        <f>VLOOKUP($B1533,'D7 - NDB Impacted SPRF''s'!$E$6:$O$9929,5,FALSE)</f>
        <v>Specialty Benefits</v>
      </c>
      <c r="AE1533" s="380" t="str">
        <f>VLOOKUP($B1533,'D7 - NDB Impacted SPRF''s'!$E$6:$O$9929,7,FALSE)</f>
        <v>Paul Hebert</v>
      </c>
      <c r="AF1533" s="380" t="str">
        <f>VLOOKUP($B1533,'D7 - NDB Impacted SPRF''s'!$E$6:$O$9929,6,FALSE)</f>
        <v>Tamara Zwirtz</v>
      </c>
      <c r="AG1533" s="282"/>
      <c r="AH1533" s="311" t="e">
        <f>INDEX('D5 - Gatekeeper - Projects'!$A$4:$AF$1010,$AM1533, 17)</f>
        <v>#N/A</v>
      </c>
      <c r="AI1533" s="8"/>
      <c r="AJ1533" s="57"/>
      <c r="AK1533" s="105"/>
      <c r="AM1533" s="6" t="e">
        <f>MATCH(D1533,'D5 - Gatekeeper - Projects'!$C$4:$C$1010,0)</f>
        <v>#N/A</v>
      </c>
      <c r="AN1533" s="6" t="b">
        <f t="shared" si="159"/>
        <v>1</v>
      </c>
      <c r="AO1533" s="6" t="str">
        <f t="shared" si="162"/>
        <v>OK</v>
      </c>
      <c r="AQ1533" s="6" t="e">
        <f>MATCH($D1533,'D4 - Provider Council Unsched'!$C$11:$C$234,0)</f>
        <v>#N/A</v>
      </c>
      <c r="AR1533" s="6" t="b">
        <f t="shared" si="160"/>
        <v>1</v>
      </c>
      <c r="AS1533" s="6" t="str">
        <f t="shared" si="164"/>
        <v>OK</v>
      </c>
      <c r="AU1533" s="202">
        <v>40687</v>
      </c>
      <c r="AV1533" s="262"/>
      <c r="AW1533" s="274"/>
    </row>
    <row r="1534" spans="1:49" s="13" customFormat="1" ht="33.75" x14ac:dyDescent="0.2">
      <c r="A1534" s="14">
        <v>1510</v>
      </c>
      <c r="B1534" s="8">
        <v>400042633</v>
      </c>
      <c r="C1534" s="8" t="s">
        <v>1447</v>
      </c>
      <c r="D1534" s="4" t="str">
        <f t="shared" si="163"/>
        <v>400042633A</v>
      </c>
      <c r="E1534" s="309" t="str">
        <f>VLOOKUP($B1534,'D7 - NDB Impacted SPRF''s'!$E$6:$O$9929,2,FALSE)</f>
        <v>MAHP Non-Standard Fee Schedules</v>
      </c>
      <c r="F1534" s="8"/>
      <c r="G1534" s="8" t="s">
        <v>4758</v>
      </c>
      <c r="H1534" s="8" t="s">
        <v>4246</v>
      </c>
      <c r="I1534" s="20">
        <v>1.41</v>
      </c>
      <c r="J1534" s="8" t="s">
        <v>4862</v>
      </c>
      <c r="K1534" s="182">
        <v>40768</v>
      </c>
      <c r="L1534" s="8" t="s">
        <v>4156</v>
      </c>
      <c r="M1534" s="8" t="s">
        <v>6688</v>
      </c>
      <c r="N1534" s="38" t="s">
        <v>3116</v>
      </c>
      <c r="O1534" s="8"/>
      <c r="P1534" s="4" t="str">
        <f>VLOOKUP($B1534,'D7 - NDB Impacted SPRF''s'!$E$16:$O$9929,9,FALSE)</f>
        <v>N</v>
      </c>
      <c r="Q1534" s="4" t="str">
        <f>VLOOKUP($B1534,'D7 - NDB Impacted SPRF''s'!$E$16:$O$9929,10,FALSE)</f>
        <v>N</v>
      </c>
      <c r="R1534" s="4" t="str">
        <f>VLOOKUP($B1534,'D7 - NDB Impacted SPRF''s'!$E$16:$O$9929,11,FALSE)</f>
        <v>N</v>
      </c>
      <c r="S1534" s="8"/>
      <c r="T1534" s="310"/>
      <c r="U1534" s="310"/>
      <c r="V1534" s="4"/>
      <c r="W1534" s="4"/>
      <c r="X1534" s="4"/>
      <c r="Y1534" s="4"/>
      <c r="Z1534" s="4"/>
      <c r="AA1534" s="4"/>
      <c r="AB1534" s="380" t="str">
        <f>VLOOKUP($B1534,'D7 - NDB Impacted SPRF''s'!$E$6:$O$9929,4,FALSE)</f>
        <v>Completed</v>
      </c>
      <c r="AC1534" s="380" t="str">
        <f>VLOOKUP($B1534,'D7 - NDB Impacted SPRF''s'!$E$6:$O$9929,3,FALSE)</f>
        <v>UnitedHealthcare Employer &amp; Individual</v>
      </c>
      <c r="AD1534" s="380" t="str">
        <f>VLOOKUP($B1534,'D7 - NDB Impacted SPRF''s'!$E$6:$O$9929,5,FALSE)</f>
        <v>Integration Requirements</v>
      </c>
      <c r="AE1534" s="380" t="str">
        <f>VLOOKUP($B1534,'D7 - NDB Impacted SPRF''s'!$E$6:$O$9929,7,FALSE)</f>
        <v>Bob Holman</v>
      </c>
      <c r="AF1534" s="380" t="str">
        <f>VLOOKUP($B1534,'D7 - NDB Impacted SPRF''s'!$E$6:$O$9929,6,FALSE)</f>
        <v>Corrine Guerber</v>
      </c>
      <c r="AG1534" s="282"/>
      <c r="AH1534" s="311" t="e">
        <f>INDEX('D5 - Gatekeeper - Projects'!$A$4:$AF$1010,$AM1534, 17)</f>
        <v>#N/A</v>
      </c>
      <c r="AI1534" s="8"/>
      <c r="AJ1534" s="57"/>
      <c r="AK1534" s="105"/>
      <c r="AM1534" s="6" t="e">
        <f>MATCH(D1534,'D5 - Gatekeeper - Projects'!$C$4:$C$1010,0)</f>
        <v>#N/A</v>
      </c>
      <c r="AN1534" s="6" t="b">
        <f t="shared" si="159"/>
        <v>1</v>
      </c>
      <c r="AO1534" s="6" t="str">
        <f t="shared" si="162"/>
        <v>OK</v>
      </c>
      <c r="AQ1534" s="6" t="e">
        <f>MATCH($D1534,'D4 - Provider Council Unsched'!$C$11:$C$234,0)</f>
        <v>#N/A</v>
      </c>
      <c r="AR1534" s="6" t="b">
        <f t="shared" si="160"/>
        <v>1</v>
      </c>
      <c r="AS1534" s="6" t="str">
        <f t="shared" si="164"/>
        <v>OK</v>
      </c>
      <c r="AU1534" s="202">
        <v>40619</v>
      </c>
      <c r="AV1534" s="262"/>
      <c r="AW1534" s="274"/>
    </row>
    <row r="1535" spans="1:49" s="13" customFormat="1" ht="33.75" x14ac:dyDescent="0.2">
      <c r="A1535" s="14">
        <v>1511</v>
      </c>
      <c r="B1535" s="8">
        <v>400045267</v>
      </c>
      <c r="C1535" s="8" t="s">
        <v>1447</v>
      </c>
      <c r="D1535" s="4" t="str">
        <f t="shared" si="163"/>
        <v>400045267A</v>
      </c>
      <c r="E1535" s="309" t="str">
        <f>VLOOKUP($B1535,'D7 - NDB Impacted SPRF''s'!$E$6:$O$9929,2,FALSE)</f>
        <v>New Market # 21646 in NDB</v>
      </c>
      <c r="F1535" s="8" t="s">
        <v>7420</v>
      </c>
      <c r="G1535" s="8" t="s">
        <v>4758</v>
      </c>
      <c r="H1535" s="8" t="s">
        <v>4246</v>
      </c>
      <c r="I1535" s="20">
        <v>0.56999999999999995</v>
      </c>
      <c r="J1535" s="8" t="s">
        <v>4862</v>
      </c>
      <c r="K1535" s="182">
        <v>40768</v>
      </c>
      <c r="L1535" s="8" t="s">
        <v>4156</v>
      </c>
      <c r="M1535" s="8" t="s">
        <v>6007</v>
      </c>
      <c r="N1535" s="38"/>
      <c r="O1535" s="8"/>
      <c r="P1535" s="4" t="str">
        <f>VLOOKUP($B1535,'D7 - NDB Impacted SPRF''s'!$E$16:$O$9929,9,FALSE)</f>
        <v>N</v>
      </c>
      <c r="Q1535" s="4" t="str">
        <f>VLOOKUP($B1535,'D7 - NDB Impacted SPRF''s'!$E$16:$O$9929,10,FALSE)</f>
        <v>N</v>
      </c>
      <c r="R1535" s="4" t="str">
        <f>VLOOKUP($B1535,'D7 - NDB Impacted SPRF''s'!$E$16:$O$9929,11,FALSE)</f>
        <v>N</v>
      </c>
      <c r="S1535" s="8"/>
      <c r="T1535" s="310"/>
      <c r="U1535" s="310"/>
      <c r="V1535" s="4"/>
      <c r="W1535" s="4"/>
      <c r="X1535" s="4"/>
      <c r="Y1535" s="4"/>
      <c r="Z1535" s="4"/>
      <c r="AA1535" s="4"/>
      <c r="AB1535" s="380" t="str">
        <f>VLOOKUP($B1535,'D7 - NDB Impacted SPRF''s'!$E$6:$O$9929,4,FALSE)</f>
        <v>Completed</v>
      </c>
      <c r="AC1535" s="380" t="str">
        <f>VLOOKUP($B1535,'D7 - NDB Impacted SPRF''s'!$E$6:$O$9929,3,FALSE)</f>
        <v>UnitedHealthcare Employer &amp; Individual</v>
      </c>
      <c r="AD1535" s="380" t="str">
        <f>VLOOKUP($B1535,'D7 - NDB Impacted SPRF''s'!$E$6:$O$9929,5,FALSE)</f>
        <v>Operational Requirements</v>
      </c>
      <c r="AE1535" s="380" t="str">
        <f>VLOOKUP($B1535,'D7 - NDB Impacted SPRF''s'!$E$6:$O$9929,7,FALSE)</f>
        <v>MI Network Management</v>
      </c>
      <c r="AF1535" s="380" t="str">
        <f>VLOOKUP($B1535,'D7 - NDB Impacted SPRF''s'!$E$6:$O$9929,6,FALSE)</f>
        <v>Vickie Gross</v>
      </c>
      <c r="AG1535" s="282"/>
      <c r="AH1535" s="311" t="e">
        <f>INDEX('D5 - Gatekeeper - Projects'!$A$4:$AF$1010,$AM1535, 17)</f>
        <v>#N/A</v>
      </c>
      <c r="AI1535" s="8"/>
      <c r="AJ1535" s="57"/>
      <c r="AK1535" s="105"/>
      <c r="AM1535" s="6" t="e">
        <f>MATCH(D1535,'D5 - Gatekeeper - Projects'!$C$4:$C$1010,0)</f>
        <v>#N/A</v>
      </c>
      <c r="AN1535" s="6" t="b">
        <f t="shared" si="159"/>
        <v>1</v>
      </c>
      <c r="AO1535" s="6" t="str">
        <f t="shared" si="162"/>
        <v>OK</v>
      </c>
      <c r="AQ1535" s="6" t="e">
        <f>MATCH($D1535,'D4 - Provider Council Unsched'!$C$11:$C$234,0)</f>
        <v>#N/A</v>
      </c>
      <c r="AR1535" s="6" t="b">
        <f t="shared" si="160"/>
        <v>1</v>
      </c>
      <c r="AS1535" s="6" t="str">
        <f t="shared" si="164"/>
        <v>OK</v>
      </c>
      <c r="AU1535" s="202">
        <v>40725</v>
      </c>
      <c r="AV1535" s="262"/>
      <c r="AW1535" s="274"/>
    </row>
    <row r="1536" spans="1:49" s="13" customFormat="1" ht="22.5" x14ac:dyDescent="0.2">
      <c r="A1536" s="14">
        <v>1512</v>
      </c>
      <c r="B1536" s="14" t="s">
        <v>8139</v>
      </c>
      <c r="C1536" s="8" t="s">
        <v>5197</v>
      </c>
      <c r="D1536" s="4" t="s">
        <v>8144</v>
      </c>
      <c r="E1536" s="339" t="s">
        <v>8141</v>
      </c>
      <c r="F1536" s="8" t="s">
        <v>2114</v>
      </c>
      <c r="G1536" s="8" t="s">
        <v>4758</v>
      </c>
      <c r="H1536" s="8" t="s">
        <v>4246</v>
      </c>
      <c r="I1536" s="20">
        <v>3</v>
      </c>
      <c r="J1536" s="8" t="s">
        <v>4862</v>
      </c>
      <c r="K1536" s="182">
        <v>40768</v>
      </c>
      <c r="L1536" s="8" t="s">
        <v>5743</v>
      </c>
      <c r="M1536" s="8" t="s">
        <v>2814</v>
      </c>
      <c r="N1536" s="38" t="s">
        <v>8142</v>
      </c>
      <c r="O1536" s="8" t="s">
        <v>3572</v>
      </c>
      <c r="P1536" s="4" t="e">
        <f>VLOOKUP($B1536,'D7 - NDB Impacted SPRF''s'!$E$16:$O$9929,9,FALSE)</f>
        <v>#N/A</v>
      </c>
      <c r="Q1536" s="4" t="e">
        <f>VLOOKUP($B1536,'D7 - NDB Impacted SPRF''s'!$E$16:$O$9929,10,FALSE)</f>
        <v>#N/A</v>
      </c>
      <c r="R1536" s="4" t="e">
        <f>VLOOKUP($B1536,'D7 - NDB Impacted SPRF''s'!$E$16:$O$9929,11,FALSE)</f>
        <v>#N/A</v>
      </c>
      <c r="S1536" s="8"/>
      <c r="T1536" s="310"/>
      <c r="U1536" s="310"/>
      <c r="V1536" s="4"/>
      <c r="W1536" s="4"/>
      <c r="X1536" s="4"/>
      <c r="Y1536" s="4"/>
      <c r="Z1536" s="4"/>
      <c r="AA1536" s="4"/>
      <c r="AB1536" s="383" t="e">
        <f>VLOOKUP($B1536,'D7 - NDB Impacted SPRF''s'!$E$16:$O$9929,4,FALSE)</f>
        <v>#N/A</v>
      </c>
      <c r="AC1536" s="380" t="e">
        <f>VLOOKUP($B1536,'D7 - NDB Impacted SPRF''s'!$E$16:$O$9929,3,FALSE)</f>
        <v>#N/A</v>
      </c>
      <c r="AD1536" s="380" t="e">
        <f>VLOOKUP($B1536,'D7 - NDB Impacted SPRF''s'!$E$16:$O$9929,5,FALSE)</f>
        <v>#N/A</v>
      </c>
      <c r="AE1536" s="380" t="e">
        <f>VLOOKUP($B1536,'D7 - NDB Impacted SPRF''s'!$E$16:$O$9929,7,FALSE)</f>
        <v>#N/A</v>
      </c>
      <c r="AF1536" s="380" t="e">
        <f>VLOOKUP($B1536,'D7 - NDB Impacted SPRF''s'!$E$16:$O$9929,6,FALSE)</f>
        <v>#N/A</v>
      </c>
      <c r="AG1536" s="282"/>
      <c r="AH1536" s="311" t="e">
        <f>INDEX('D5 - Gatekeeper - Projects'!$A$4:$AF$1010,$AM1536, 17)</f>
        <v>#N/A</v>
      </c>
      <c r="AI1536" s="8"/>
      <c r="AJ1536" s="57"/>
      <c r="AK1536" s="105"/>
      <c r="AM1536" s="6" t="e">
        <f>MATCH(D1536,'D5 - Gatekeeper - Projects'!$C$4:$C$1010,0)</f>
        <v>#N/A</v>
      </c>
      <c r="AN1536" s="6" t="b">
        <f t="shared" si="159"/>
        <v>1</v>
      </c>
      <c r="AO1536" s="6" t="str">
        <f t="shared" si="162"/>
        <v>OK</v>
      </c>
      <c r="AQ1536" s="6" t="e">
        <f>MATCH($D1536,'D4 - Provider Council Unsched'!$C$11:$C$234,0)</f>
        <v>#N/A</v>
      </c>
      <c r="AR1536" s="6" t="b">
        <f t="shared" si="160"/>
        <v>1</v>
      </c>
      <c r="AS1536" s="6" t="str">
        <f>IF(AND(H1536="2 - Not Scheduled",AR1536=TRUE),"Add","OK")</f>
        <v>OK</v>
      </c>
      <c r="AU1536" s="202">
        <v>40505</v>
      </c>
      <c r="AV1536" s="262"/>
      <c r="AW1536" s="274"/>
    </row>
    <row r="1537" spans="1:49" s="13" customFormat="1" x14ac:dyDescent="0.2">
      <c r="A1537" s="14">
        <v>1513</v>
      </c>
      <c r="B1537" s="14" t="s">
        <v>8140</v>
      </c>
      <c r="C1537" s="8" t="s">
        <v>5197</v>
      </c>
      <c r="D1537" s="4" t="s">
        <v>8145</v>
      </c>
      <c r="E1537" s="339" t="s">
        <v>8141</v>
      </c>
      <c r="F1537" s="8" t="s">
        <v>2114</v>
      </c>
      <c r="G1537" s="8" t="s">
        <v>4758</v>
      </c>
      <c r="H1537" s="8" t="s">
        <v>4246</v>
      </c>
      <c r="I1537" s="20">
        <v>3</v>
      </c>
      <c r="J1537" s="8" t="s">
        <v>4862</v>
      </c>
      <c r="K1537" s="182">
        <v>40768</v>
      </c>
      <c r="L1537" s="8" t="s">
        <v>5743</v>
      </c>
      <c r="M1537" s="8" t="s">
        <v>2814</v>
      </c>
      <c r="N1537" s="38" t="s">
        <v>8143</v>
      </c>
      <c r="O1537" s="8" t="s">
        <v>3572</v>
      </c>
      <c r="P1537" s="4" t="e">
        <f>VLOOKUP($B1537,'D7 - NDB Impacted SPRF''s'!$E$16:$O$9929,9,FALSE)</f>
        <v>#N/A</v>
      </c>
      <c r="Q1537" s="4" t="e">
        <f>VLOOKUP($B1537,'D7 - NDB Impacted SPRF''s'!$E$16:$O$9929,10,FALSE)</f>
        <v>#N/A</v>
      </c>
      <c r="R1537" s="4" t="e">
        <f>VLOOKUP($B1537,'D7 - NDB Impacted SPRF''s'!$E$16:$O$9929,11,FALSE)</f>
        <v>#N/A</v>
      </c>
      <c r="S1537" s="8"/>
      <c r="T1537" s="310"/>
      <c r="U1537" s="310"/>
      <c r="V1537" s="4"/>
      <c r="W1537" s="4"/>
      <c r="X1537" s="4"/>
      <c r="Y1537" s="4"/>
      <c r="Z1537" s="4"/>
      <c r="AA1537" s="4"/>
      <c r="AB1537" s="383" t="e">
        <f>VLOOKUP($B1537,'D7 - NDB Impacted SPRF''s'!$E$16:$O$9929,4,FALSE)</f>
        <v>#N/A</v>
      </c>
      <c r="AC1537" s="380" t="e">
        <f>VLOOKUP($B1537,'D7 - NDB Impacted SPRF''s'!$E$16:$O$9929,3,FALSE)</f>
        <v>#N/A</v>
      </c>
      <c r="AD1537" s="380" t="e">
        <f>VLOOKUP($B1537,'D7 - NDB Impacted SPRF''s'!$E$16:$O$9929,5,FALSE)</f>
        <v>#N/A</v>
      </c>
      <c r="AE1537" s="380" t="e">
        <f>VLOOKUP($B1537,'D7 - NDB Impacted SPRF''s'!$E$16:$O$9929,7,FALSE)</f>
        <v>#N/A</v>
      </c>
      <c r="AF1537" s="380" t="e">
        <f>VLOOKUP($B1537,'D7 - NDB Impacted SPRF''s'!$E$16:$O$9929,6,FALSE)</f>
        <v>#N/A</v>
      </c>
      <c r="AG1537" s="282"/>
      <c r="AH1537" s="311" t="e">
        <f>INDEX('D5 - Gatekeeper - Projects'!$A$4:$AF$1010,$AM1537, 17)</f>
        <v>#N/A</v>
      </c>
      <c r="AI1537" s="8"/>
      <c r="AJ1537" s="57"/>
      <c r="AK1537" s="105"/>
      <c r="AM1537" s="6" t="e">
        <f>MATCH(D1537,'D5 - Gatekeeper - Projects'!$C$4:$C$1010,0)</f>
        <v>#N/A</v>
      </c>
      <c r="AN1537" s="6" t="b">
        <f t="shared" si="159"/>
        <v>1</v>
      </c>
      <c r="AO1537" s="6" t="str">
        <f t="shared" si="162"/>
        <v>OK</v>
      </c>
      <c r="AQ1537" s="6" t="e">
        <f>MATCH($D1537,'D4 - Provider Council Unsched'!$C$11:$C$234,0)</f>
        <v>#N/A</v>
      </c>
      <c r="AR1537" s="6" t="b">
        <f t="shared" si="160"/>
        <v>1</v>
      </c>
      <c r="AS1537" s="6" t="str">
        <f>IF(AND(H1537="2 - Not Scheduled",AR1537=TRUE),"Add","OK")</f>
        <v>OK</v>
      </c>
      <c r="AU1537" s="202">
        <v>40505</v>
      </c>
      <c r="AV1537" s="262"/>
      <c r="AW1537" s="274"/>
    </row>
    <row r="1538" spans="1:49" s="13" customFormat="1" x14ac:dyDescent="0.2">
      <c r="A1538" s="14">
        <v>1514</v>
      </c>
      <c r="B1538" s="14" t="s">
        <v>2878</v>
      </c>
      <c r="C1538" s="8" t="s">
        <v>1992</v>
      </c>
      <c r="D1538" s="4" t="s">
        <v>550</v>
      </c>
      <c r="E1538" s="339" t="s">
        <v>2879</v>
      </c>
      <c r="F1538" s="8" t="s">
        <v>2114</v>
      </c>
      <c r="G1538" s="8" t="s">
        <v>4758</v>
      </c>
      <c r="H1538" s="8" t="s">
        <v>4246</v>
      </c>
      <c r="I1538" s="20">
        <v>3.4</v>
      </c>
      <c r="J1538" s="8" t="s">
        <v>4862</v>
      </c>
      <c r="K1538" s="182">
        <v>40768</v>
      </c>
      <c r="L1538" s="8" t="s">
        <v>5743</v>
      </c>
      <c r="M1538" s="8" t="s">
        <v>2814</v>
      </c>
      <c r="N1538" s="38" t="s">
        <v>1002</v>
      </c>
      <c r="O1538" s="8" t="s">
        <v>3572</v>
      </c>
      <c r="P1538" s="4" t="e">
        <f>VLOOKUP($B1538,'D7 - NDB Impacted SPRF''s'!$E$16:$O$9929,9,FALSE)</f>
        <v>#N/A</v>
      </c>
      <c r="Q1538" s="4" t="e">
        <f>VLOOKUP($B1538,'D7 - NDB Impacted SPRF''s'!$E$16:$O$9929,10,FALSE)</f>
        <v>#N/A</v>
      </c>
      <c r="R1538" s="4" t="e">
        <f>VLOOKUP($B1538,'D7 - NDB Impacted SPRF''s'!$E$16:$O$9929,11,FALSE)</f>
        <v>#N/A</v>
      </c>
      <c r="S1538" s="8"/>
      <c r="T1538" s="310"/>
      <c r="U1538" s="310"/>
      <c r="V1538" s="4"/>
      <c r="W1538" s="4"/>
      <c r="X1538" s="4"/>
      <c r="Y1538" s="4"/>
      <c r="Z1538" s="4"/>
      <c r="AA1538" s="4"/>
      <c r="AB1538" s="383" t="e">
        <f>VLOOKUP($B1538,'D7 - NDB Impacted SPRF''s'!$E$16:$O$9929,4,FALSE)</f>
        <v>#N/A</v>
      </c>
      <c r="AC1538" s="380" t="e">
        <f>VLOOKUP($B1538,'D7 - NDB Impacted SPRF''s'!$E$16:$O$9929,3,FALSE)</f>
        <v>#N/A</v>
      </c>
      <c r="AD1538" s="380" t="e">
        <f>VLOOKUP($B1538,'D7 - NDB Impacted SPRF''s'!$E$16:$O$9929,5,FALSE)</f>
        <v>#N/A</v>
      </c>
      <c r="AE1538" s="380" t="e">
        <f>VLOOKUP($B1538,'D7 - NDB Impacted SPRF''s'!$E$16:$O$9929,7,FALSE)</f>
        <v>#N/A</v>
      </c>
      <c r="AF1538" s="380" t="e">
        <f>VLOOKUP($B1538,'D7 - NDB Impacted SPRF''s'!$E$16:$O$9929,6,FALSE)</f>
        <v>#N/A</v>
      </c>
      <c r="AG1538" s="282"/>
      <c r="AH1538" s="311" t="e">
        <f>INDEX('D5 - Gatekeeper - Projects'!$A$4:$AF$1010,$AM1538, 17)</f>
        <v>#N/A</v>
      </c>
      <c r="AI1538" s="8"/>
      <c r="AJ1538" s="57"/>
      <c r="AK1538" s="105"/>
      <c r="AM1538" s="6" t="e">
        <f>MATCH(D1538,'D5 - Gatekeeper - Projects'!$C$4:$C$1010,0)</f>
        <v>#N/A</v>
      </c>
      <c r="AN1538" s="6" t="b">
        <f t="shared" si="159"/>
        <v>1</v>
      </c>
      <c r="AO1538" s="6" t="str">
        <f t="shared" si="162"/>
        <v>OK</v>
      </c>
      <c r="AQ1538" s="6" t="e">
        <f>MATCH($D1538,'D4 - Provider Council Unsched'!$C$11:$C$234,0)</f>
        <v>#N/A</v>
      </c>
      <c r="AR1538" s="6" t="b">
        <f t="shared" si="160"/>
        <v>1</v>
      </c>
      <c r="AS1538" s="6" t="str">
        <f>IF(AND(H1538="2 - Not Scheduled",AR1538=TRUE),"Add","OK")</f>
        <v>OK</v>
      </c>
      <c r="AU1538" s="202">
        <v>40631</v>
      </c>
      <c r="AV1538" s="262"/>
      <c r="AW1538" s="274"/>
    </row>
    <row r="1539" spans="1:49" s="13" customFormat="1" x14ac:dyDescent="0.2">
      <c r="A1539" s="14">
        <v>1515</v>
      </c>
      <c r="B1539" s="14" t="s">
        <v>2220</v>
      </c>
      <c r="C1539" s="8" t="s">
        <v>1992</v>
      </c>
      <c r="D1539" s="4" t="s">
        <v>2677</v>
      </c>
      <c r="E1539" s="309" t="s">
        <v>2678</v>
      </c>
      <c r="F1539" s="8" t="s">
        <v>2114</v>
      </c>
      <c r="G1539" s="8" t="s">
        <v>4758</v>
      </c>
      <c r="H1539" s="8" t="s">
        <v>4246</v>
      </c>
      <c r="I1539" s="20">
        <v>0.32</v>
      </c>
      <c r="J1539" s="8" t="s">
        <v>4862</v>
      </c>
      <c r="K1539" s="182">
        <v>40768</v>
      </c>
      <c r="L1539" s="8" t="s">
        <v>5743</v>
      </c>
      <c r="M1539" s="8" t="s">
        <v>2814</v>
      </c>
      <c r="N1539" s="38"/>
      <c r="O1539" s="8" t="s">
        <v>3572</v>
      </c>
      <c r="P1539" s="4" t="e">
        <f>VLOOKUP($B1539,'D7 - NDB Impacted SPRF''s'!$E$16:$O$9929,9,FALSE)</f>
        <v>#N/A</v>
      </c>
      <c r="Q1539" s="4" t="e">
        <f>VLOOKUP($B1539,'D7 - NDB Impacted SPRF''s'!$E$16:$O$9929,10,FALSE)</f>
        <v>#N/A</v>
      </c>
      <c r="R1539" s="4" t="e">
        <f>VLOOKUP($B1539,'D7 - NDB Impacted SPRF''s'!$E$16:$O$9929,11,FALSE)</f>
        <v>#N/A</v>
      </c>
      <c r="S1539" s="8"/>
      <c r="T1539" s="310"/>
      <c r="U1539" s="310"/>
      <c r="V1539" s="4"/>
      <c r="W1539" s="4"/>
      <c r="X1539" s="4"/>
      <c r="Y1539" s="4"/>
      <c r="Z1539" s="4"/>
      <c r="AA1539" s="4"/>
      <c r="AB1539" s="383" t="e">
        <f>VLOOKUP($B1539,'D7 - NDB Impacted SPRF''s'!$E$16:$O$9929,4,FALSE)</f>
        <v>#N/A</v>
      </c>
      <c r="AC1539" s="380" t="e">
        <f>VLOOKUP($B1539,'D7 - NDB Impacted SPRF''s'!$E$16:$O$9929,3,FALSE)</f>
        <v>#N/A</v>
      </c>
      <c r="AD1539" s="380" t="e">
        <f>VLOOKUP($B1539,'D7 - NDB Impacted SPRF''s'!$E$16:$O$9929,5,FALSE)</f>
        <v>#N/A</v>
      </c>
      <c r="AE1539" s="380" t="e">
        <f>VLOOKUP($B1539,'D7 - NDB Impacted SPRF''s'!$E$16:$O$9929,7,FALSE)</f>
        <v>#N/A</v>
      </c>
      <c r="AF1539" s="380" t="e">
        <f>VLOOKUP($B1539,'D7 - NDB Impacted SPRF''s'!$E$16:$O$9929,6,FALSE)</f>
        <v>#N/A</v>
      </c>
      <c r="AG1539" s="282"/>
      <c r="AH1539" s="311" t="e">
        <f>INDEX('D5 - Gatekeeper - Projects'!$A$4:$AF$1010,$AM1539, 17)</f>
        <v>#N/A</v>
      </c>
      <c r="AI1539" s="8"/>
      <c r="AJ1539" s="57"/>
      <c r="AK1539" s="105"/>
      <c r="AM1539" s="6" t="e">
        <f>MATCH(D1539,'D5 - Gatekeeper - Projects'!$C$4:$C$1010,0)</f>
        <v>#N/A</v>
      </c>
      <c r="AN1539" s="6" t="b">
        <f t="shared" si="159"/>
        <v>1</v>
      </c>
      <c r="AO1539" s="6" t="str">
        <f t="shared" si="162"/>
        <v>OK</v>
      </c>
      <c r="AQ1539" s="6" t="e">
        <f>MATCH($D1539,'D4 - Provider Council Unsched'!$C$11:$C$234,0)</f>
        <v>#N/A</v>
      </c>
      <c r="AR1539" s="6" t="b">
        <f t="shared" si="160"/>
        <v>1</v>
      </c>
      <c r="AS1539" s="6" t="str">
        <f>IF(AND(H1539="2 - Not Scheduled",AR1539=TRUE),"Add","OK")</f>
        <v>OK</v>
      </c>
      <c r="AU1539" s="202">
        <v>40673</v>
      </c>
      <c r="AV1539" s="262"/>
      <c r="AW1539" s="274"/>
    </row>
    <row r="1540" spans="1:49" s="13" customFormat="1" ht="33.75" x14ac:dyDescent="0.2">
      <c r="A1540" s="14">
        <v>1516</v>
      </c>
      <c r="B1540" s="8">
        <v>400037882</v>
      </c>
      <c r="C1540" s="8" t="s">
        <v>2207</v>
      </c>
      <c r="D1540" s="4" t="str">
        <f t="shared" ref="D1540:D1550" si="165">CONCATENATE(B1540,C1540)</f>
        <v>400037882G</v>
      </c>
      <c r="E1540" s="309" t="str">
        <f>VLOOKUP($B1540,'D7 - NDB Impacted SPRF''s'!$E$6:$O$9929,2,FALSE)</f>
        <v>NDB to Facets for Pittsburgh Facets/ASP</v>
      </c>
      <c r="F1540" s="8"/>
      <c r="G1540" s="8" t="s">
        <v>4758</v>
      </c>
      <c r="H1540" s="8" t="s">
        <v>4246</v>
      </c>
      <c r="I1540" s="20">
        <v>1.1100000000000001</v>
      </c>
      <c r="J1540" s="8" t="s">
        <v>4862</v>
      </c>
      <c r="K1540" s="182">
        <v>40774</v>
      </c>
      <c r="L1540" s="8" t="s">
        <v>4156</v>
      </c>
      <c r="M1540" s="8" t="s">
        <v>2814</v>
      </c>
      <c r="N1540" s="38" t="s">
        <v>2208</v>
      </c>
      <c r="O1540" s="8"/>
      <c r="P1540" s="4" t="str">
        <f>VLOOKUP($B1540,'D7 - NDB Impacted SPRF''s'!$E$16:$O$9929,9,FALSE)</f>
        <v>N</v>
      </c>
      <c r="Q1540" s="4" t="str">
        <f>VLOOKUP($B1540,'D7 - NDB Impacted SPRF''s'!$E$16:$O$9929,10,FALSE)</f>
        <v>N</v>
      </c>
      <c r="R1540" s="4" t="str">
        <f>VLOOKUP($B1540,'D7 - NDB Impacted SPRF''s'!$E$16:$O$9929,11,FALSE)</f>
        <v>N</v>
      </c>
      <c r="S1540" s="8"/>
      <c r="T1540" s="310"/>
      <c r="U1540" s="310"/>
      <c r="V1540" s="4"/>
      <c r="W1540" s="4"/>
      <c r="X1540" s="4"/>
      <c r="Y1540" s="4"/>
      <c r="Z1540" s="4"/>
      <c r="AA1540" s="4"/>
      <c r="AB1540" s="380" t="str">
        <f>VLOOKUP($B1540,'D7 - NDB Impacted SPRF''s'!$E$6:$O$9929,4,FALSE)</f>
        <v>Completed</v>
      </c>
      <c r="AC1540" s="380" t="str">
        <f>VLOOKUP($B1540,'D7 - NDB Impacted SPRF''s'!$E$6:$O$9929,3,FALSE)</f>
        <v>UnitedHealthcare Community &amp; State</v>
      </c>
      <c r="AD1540" s="380" t="str">
        <f>VLOOKUP($B1540,'D7 - NDB Impacted SPRF''s'!$E$6:$O$9929,5,FALSE)</f>
        <v>AmeriChoice</v>
      </c>
      <c r="AE1540" s="380" t="str">
        <f>VLOOKUP($B1540,'D7 - NDB Impacted SPRF''s'!$E$6:$O$9929,7,FALSE)</f>
        <v>Paul Balthazor</v>
      </c>
      <c r="AF1540" s="380" t="str">
        <f>VLOOKUP($B1540,'D7 - NDB Impacted SPRF''s'!$E$6:$O$9929,6,FALSE)</f>
        <v>Carol Brunetti</v>
      </c>
      <c r="AG1540" s="282"/>
      <c r="AH1540" s="311" t="e">
        <f>INDEX('D5 - Gatekeeper - Projects'!$A$4:$AF$1010,$AM1540, 17)</f>
        <v>#N/A</v>
      </c>
      <c r="AI1540" s="8"/>
      <c r="AJ1540" s="57"/>
      <c r="AK1540" s="105"/>
      <c r="AM1540" s="6" t="e">
        <f>MATCH(D1540,'D5 - Gatekeeper - Projects'!$C$4:$C$1010,0)</f>
        <v>#N/A</v>
      </c>
      <c r="AN1540" s="6" t="b">
        <f t="shared" si="159"/>
        <v>1</v>
      </c>
      <c r="AO1540" s="6" t="str">
        <f t="shared" si="162"/>
        <v>OK</v>
      </c>
      <c r="AQ1540" s="6" t="e">
        <f>MATCH($D1540,'D4 - Provider Council Unsched'!$C$11:$C$234,0)</f>
        <v>#N/A</v>
      </c>
      <c r="AR1540" s="6" t="b">
        <f t="shared" si="160"/>
        <v>1</v>
      </c>
      <c r="AS1540" s="6" t="str">
        <f t="shared" ref="AS1540:AS1550" si="166">IF(AND(H1540="2 - Not Scheduled",AR1540=TRUE,C1540="R1"),"Add","OK")</f>
        <v>OK</v>
      </c>
      <c r="AU1540" s="202">
        <v>40757</v>
      </c>
      <c r="AV1540" s="262"/>
      <c r="AW1540" s="274"/>
    </row>
    <row r="1541" spans="1:49" s="13" customFormat="1" ht="45" x14ac:dyDescent="0.2">
      <c r="A1541" s="14">
        <v>1517</v>
      </c>
      <c r="B1541" s="14">
        <v>400037224</v>
      </c>
      <c r="C1541" s="8" t="s">
        <v>5197</v>
      </c>
      <c r="D1541" s="4" t="str">
        <f t="shared" si="165"/>
        <v>400037224R1</v>
      </c>
      <c r="E1541" s="309" t="str">
        <f>VLOOKUP($B1541,'D7 - NDB Impacted SPRF''s'!$E$6:$O$9929,2,FALSE)</f>
        <v xml:space="preserve">Systems of Record - Data Interface 2011 H1 </v>
      </c>
      <c r="F1541" s="8"/>
      <c r="G1541" s="8" t="s">
        <v>4758</v>
      </c>
      <c r="H1541" s="8" t="s">
        <v>4246</v>
      </c>
      <c r="I1541" s="20">
        <v>80.52</v>
      </c>
      <c r="J1541" s="8" t="s">
        <v>4862</v>
      </c>
      <c r="K1541" s="182">
        <v>40795</v>
      </c>
      <c r="L1541" s="8" t="s">
        <v>4156</v>
      </c>
      <c r="M1541" s="8" t="s">
        <v>2814</v>
      </c>
      <c r="N1541" s="38" t="s">
        <v>2717</v>
      </c>
      <c r="O1541" s="8"/>
      <c r="P1541" s="4" t="str">
        <f>VLOOKUP($B1541,'D7 - NDB Impacted SPRF''s'!$E$16:$O$9929,9,FALSE)</f>
        <v>Y</v>
      </c>
      <c r="Q1541" s="4" t="str">
        <f>VLOOKUP($B1541,'D7 - NDB Impacted SPRF''s'!$E$16:$O$9929,10,FALSE)</f>
        <v>N</v>
      </c>
      <c r="R1541" s="4" t="str">
        <f>VLOOKUP($B1541,'D7 - NDB Impacted SPRF''s'!$E$16:$O$9929,11,FALSE)</f>
        <v>N</v>
      </c>
      <c r="S1541" s="8"/>
      <c r="T1541" s="310"/>
      <c r="U1541" s="310"/>
      <c r="V1541" s="4"/>
      <c r="W1541" s="4"/>
      <c r="X1541" s="4"/>
      <c r="Y1541" s="4"/>
      <c r="Z1541" s="4"/>
      <c r="AA1541" s="4"/>
      <c r="AB1541" s="380" t="str">
        <f>VLOOKUP($B1541,'D7 - NDB Impacted SPRF''s'!$E$6:$O$9929,4,FALSE)</f>
        <v>Completed</v>
      </c>
      <c r="AC1541" s="380" t="str">
        <f>VLOOKUP($B1541,'D7 - NDB Impacted SPRF''s'!$E$6:$O$9929,3,FALSE)</f>
        <v>UHG IT - Shared Services</v>
      </c>
      <c r="AD1541" s="380" t="str">
        <f>VLOOKUP($B1541,'D7 - NDB Impacted SPRF''s'!$E$6:$O$9929,5,FALSE)</f>
        <v>Strategic Initiatives</v>
      </c>
      <c r="AE1541" s="380" t="str">
        <f>VLOOKUP($B1541,'D7 - NDB Impacted SPRF''s'!$E$6:$O$9929,7,FALSE)</f>
        <v>David Albright</v>
      </c>
      <c r="AF1541" s="380" t="str">
        <f>VLOOKUP($B1541,'D7 - NDB Impacted SPRF''s'!$E$6:$O$9929,6,FALSE)</f>
        <v>Stacy Blackstad</v>
      </c>
      <c r="AG1541" s="282"/>
      <c r="AH1541" s="311" t="e">
        <f>INDEX('D5 - Gatekeeper - Projects'!$A$4:$AF$1010,$AM1541, 17)</f>
        <v>#N/A</v>
      </c>
      <c r="AI1541" s="8"/>
      <c r="AJ1541" s="57"/>
      <c r="AK1541" s="105"/>
      <c r="AM1541" s="6" t="e">
        <f>MATCH(D1541,'D5 - Gatekeeper - Projects'!$C$4:$C$1010,0)</f>
        <v>#N/A</v>
      </c>
      <c r="AN1541" s="6" t="b">
        <f t="shared" si="159"/>
        <v>1</v>
      </c>
      <c r="AO1541" s="6" t="str">
        <f t="shared" si="162"/>
        <v>OK</v>
      </c>
      <c r="AQ1541" s="6" t="e">
        <f>MATCH($D1541,'D4 - Provider Council Unsched'!$C$11:$C$234,0)</f>
        <v>#N/A</v>
      </c>
      <c r="AR1541" s="6" t="b">
        <f t="shared" si="160"/>
        <v>1</v>
      </c>
      <c r="AS1541" s="6" t="str">
        <f t="shared" si="166"/>
        <v>OK</v>
      </c>
      <c r="AU1541" s="202">
        <v>40485</v>
      </c>
      <c r="AV1541" s="262" t="s">
        <v>2752</v>
      </c>
      <c r="AW1541" s="274"/>
    </row>
    <row r="1542" spans="1:49" s="13" customFormat="1" ht="33.75" x14ac:dyDescent="0.2">
      <c r="A1542" s="14">
        <v>1518</v>
      </c>
      <c r="B1542" s="14">
        <v>400033125</v>
      </c>
      <c r="C1542" s="8" t="s">
        <v>3763</v>
      </c>
      <c r="D1542" s="4" t="str">
        <f t="shared" si="165"/>
        <v>400033125R2</v>
      </c>
      <c r="E1542" s="309" t="str">
        <f>VLOOKUP($B1542,'D7 - NDB Impacted SPRF''s'!$E$6:$O$9929,2,FALSE)</f>
        <v xml:space="preserve">HIPAA 5010-UHC-834 Enrollment </v>
      </c>
      <c r="F1542" s="8" t="s">
        <v>1595</v>
      </c>
      <c r="G1542" s="8" t="s">
        <v>4758</v>
      </c>
      <c r="H1542" s="8" t="s">
        <v>4246</v>
      </c>
      <c r="I1542" s="20">
        <v>0.43</v>
      </c>
      <c r="J1542" s="8" t="s">
        <v>4862</v>
      </c>
      <c r="K1542" s="182">
        <v>40810</v>
      </c>
      <c r="L1542" s="8" t="s">
        <v>4156</v>
      </c>
      <c r="M1542" s="8" t="s">
        <v>5626</v>
      </c>
      <c r="N1542" s="38" t="s">
        <v>2247</v>
      </c>
      <c r="O1542" s="8"/>
      <c r="P1542" s="4" t="str">
        <f>VLOOKUP($B1542,'D7 - NDB Impacted SPRF''s'!$E$16:$O$9929,9,FALSE)</f>
        <v>N</v>
      </c>
      <c r="Q1542" s="4" t="str">
        <f>VLOOKUP($B1542,'D7 - NDB Impacted SPRF''s'!$E$16:$O$9929,10,FALSE)</f>
        <v>N</v>
      </c>
      <c r="R1542" s="4" t="str">
        <f>VLOOKUP($B1542,'D7 - NDB Impacted SPRF''s'!$E$16:$O$9929,11,FALSE)</f>
        <v>Y</v>
      </c>
      <c r="S1542" s="8"/>
      <c r="T1542" s="310"/>
      <c r="U1542" s="310"/>
      <c r="V1542" s="4"/>
      <c r="W1542" s="4"/>
      <c r="X1542" s="4"/>
      <c r="Y1542" s="4"/>
      <c r="Z1542" s="4"/>
      <c r="AA1542" s="4"/>
      <c r="AB1542" s="380" t="str">
        <f>VLOOKUP($B1542,'D7 - NDB Impacted SPRF''s'!$E$6:$O$9929,4,FALSE)</f>
        <v>Completed</v>
      </c>
      <c r="AC1542" s="380" t="str">
        <f>VLOOKUP($B1542,'D7 - NDB Impacted SPRF''s'!$E$6:$O$9929,3,FALSE)</f>
        <v>UnitedHealthcare Employer &amp; Individual</v>
      </c>
      <c r="AD1542" s="380" t="str">
        <f>VLOOKUP($B1542,'D7 - NDB Impacted SPRF''s'!$E$6:$O$9929,5,FALSE)</f>
        <v>HIPAA 5010</v>
      </c>
      <c r="AE1542" s="380" t="str">
        <f>VLOOKUP($B1542,'D7 - NDB Impacted SPRF''s'!$E$6:$O$9929,7,FALSE)</f>
        <v>Tim Kaja</v>
      </c>
      <c r="AF1542" s="380" t="str">
        <f>VLOOKUP($B1542,'D7 - NDB Impacted SPRF''s'!$E$6:$O$9929,6,FALSE)</f>
        <v>Jai Narayanan</v>
      </c>
      <c r="AG1542" s="282"/>
      <c r="AH1542" s="311" t="e">
        <f>INDEX('D5 - Gatekeeper - Projects'!$A$4:$AF$1010,$AM1542, 17)</f>
        <v>#N/A</v>
      </c>
      <c r="AI1542" s="8"/>
      <c r="AJ1542" s="57"/>
      <c r="AK1542" s="105"/>
      <c r="AM1542" s="6" t="e">
        <f>MATCH(D1542,'D5 - Gatekeeper - Projects'!$C$4:$C$1010,0)</f>
        <v>#N/A</v>
      </c>
      <c r="AN1542" s="6" t="b">
        <f t="shared" si="159"/>
        <v>1</v>
      </c>
      <c r="AO1542" s="6" t="str">
        <f t="shared" si="162"/>
        <v>OK</v>
      </c>
      <c r="AQ1542" s="6" t="e">
        <f>MATCH($D1542,'D4 - Provider Council Unsched'!$C$11:$C$234,0)</f>
        <v>#N/A</v>
      </c>
      <c r="AR1542" s="6" t="b">
        <f t="shared" si="160"/>
        <v>1</v>
      </c>
      <c r="AS1542" s="6" t="str">
        <f t="shared" si="166"/>
        <v>OK</v>
      </c>
      <c r="AU1542" s="202"/>
      <c r="AV1542" s="262"/>
      <c r="AW1542" s="274"/>
    </row>
    <row r="1543" spans="1:49" s="13" customFormat="1" ht="33.75" x14ac:dyDescent="0.2">
      <c r="A1543" s="14">
        <v>1519</v>
      </c>
      <c r="B1543" s="14">
        <v>400036303</v>
      </c>
      <c r="C1543" s="8" t="s">
        <v>3763</v>
      </c>
      <c r="D1543" s="4" t="str">
        <f t="shared" si="165"/>
        <v>400036303R2</v>
      </c>
      <c r="E1543" s="309" t="str">
        <f>VLOOKUP($B1543,'D7 - NDB Impacted SPRF''s'!$E$6:$O$9929,2,FALSE)</f>
        <v>UHI Global Solutions - Ancillary</v>
      </c>
      <c r="F1543" s="8"/>
      <c r="G1543" s="8" t="s">
        <v>4758</v>
      </c>
      <c r="H1543" s="8" t="s">
        <v>4246</v>
      </c>
      <c r="I1543" s="20">
        <v>0.33</v>
      </c>
      <c r="J1543" s="8" t="s">
        <v>4862</v>
      </c>
      <c r="K1543" s="182">
        <v>40810</v>
      </c>
      <c r="L1543" s="8" t="s">
        <v>4156</v>
      </c>
      <c r="M1543" s="8" t="s">
        <v>5626</v>
      </c>
      <c r="N1543" s="38" t="s">
        <v>6948</v>
      </c>
      <c r="O1543" s="8"/>
      <c r="P1543" s="4" t="str">
        <f>VLOOKUP($B1543,'D7 - NDB Impacted SPRF''s'!$E$16:$O$9929,9,FALSE)</f>
        <v>Y</v>
      </c>
      <c r="Q1543" s="4" t="str">
        <f>VLOOKUP($B1543,'D7 - NDB Impacted SPRF''s'!$E$16:$O$9929,10,FALSE)</f>
        <v>N</v>
      </c>
      <c r="R1543" s="4" t="str">
        <f>VLOOKUP($B1543,'D7 - NDB Impacted SPRF''s'!$E$16:$O$9929,11,FALSE)</f>
        <v>N</v>
      </c>
      <c r="S1543" s="8"/>
      <c r="T1543" s="310"/>
      <c r="U1543" s="310"/>
      <c r="V1543" s="4"/>
      <c r="W1543" s="4"/>
      <c r="X1543" s="4"/>
      <c r="Y1543" s="4"/>
      <c r="Z1543" s="4"/>
      <c r="AA1543" s="4"/>
      <c r="AB1543" s="380" t="str">
        <f>VLOOKUP($B1543,'D7 - NDB Impacted SPRF''s'!$E$6:$O$9929,4,FALSE)</f>
        <v>Completed</v>
      </c>
      <c r="AC1543" s="380" t="str">
        <f>VLOOKUP($B1543,'D7 - NDB Impacted SPRF''s'!$E$6:$O$9929,3,FALSE)</f>
        <v>UHG Corporate</v>
      </c>
      <c r="AD1543" s="380" t="str">
        <f>VLOOKUP($B1543,'D7 - NDB Impacted SPRF''s'!$E$6:$O$9929,5,FALSE)</f>
        <v>Corporate</v>
      </c>
      <c r="AE1543" s="380" t="str">
        <f>VLOOKUP($B1543,'D7 - NDB Impacted SPRF''s'!$E$6:$O$9929,7,FALSE)</f>
        <v>Ori Karev</v>
      </c>
      <c r="AF1543" s="380" t="str">
        <f>VLOOKUP($B1543,'D7 - NDB Impacted SPRF''s'!$E$6:$O$9929,6,FALSE)</f>
        <v>Steven Kmoch</v>
      </c>
      <c r="AG1543" s="282"/>
      <c r="AH1543" s="311" t="e">
        <f>INDEX('D5 - Gatekeeper - Projects'!$A$4:$AF$1010,$AM1543, 17)</f>
        <v>#N/A</v>
      </c>
      <c r="AI1543" s="8"/>
      <c r="AJ1543" s="57"/>
      <c r="AK1543" s="105"/>
      <c r="AM1543" s="6" t="e">
        <f>MATCH(D1543,'D5 - Gatekeeper - Projects'!$C$4:$C$1010,0)</f>
        <v>#N/A</v>
      </c>
      <c r="AN1543" s="6" t="b">
        <f t="shared" si="159"/>
        <v>1</v>
      </c>
      <c r="AO1543" s="6" t="str">
        <f t="shared" si="162"/>
        <v>OK</v>
      </c>
      <c r="AQ1543" s="6" t="e">
        <f>MATCH($D1543,'D4 - Provider Council Unsched'!$C$11:$C$234,0)</f>
        <v>#N/A</v>
      </c>
      <c r="AR1543" s="6" t="b">
        <f t="shared" si="160"/>
        <v>1</v>
      </c>
      <c r="AS1543" s="6" t="str">
        <f t="shared" si="166"/>
        <v>OK</v>
      </c>
      <c r="AU1543" s="202"/>
      <c r="AV1543" s="262"/>
      <c r="AW1543" s="274"/>
    </row>
    <row r="1544" spans="1:49" s="13" customFormat="1" ht="33.75" x14ac:dyDescent="0.2">
      <c r="A1544" s="14">
        <v>1520</v>
      </c>
      <c r="B1544" s="14">
        <v>400037865</v>
      </c>
      <c r="C1544" s="8" t="s">
        <v>2449</v>
      </c>
      <c r="D1544" s="4" t="str">
        <f t="shared" si="165"/>
        <v>400037865R3</v>
      </c>
      <c r="E1544" s="309" t="str">
        <f>VLOOKUP($B1544,'D7 - NDB Impacted SPRF''s'!$E$6:$O$9929,2,FALSE)</f>
        <v>OneNet Migration - Analysis and Development</v>
      </c>
      <c r="F1544" s="8" t="s">
        <v>1931</v>
      </c>
      <c r="G1544" s="8" t="s">
        <v>4758</v>
      </c>
      <c r="H1544" s="8" t="s">
        <v>4246</v>
      </c>
      <c r="I1544" s="20">
        <v>0.27</v>
      </c>
      <c r="J1544" s="8" t="s">
        <v>4862</v>
      </c>
      <c r="K1544" s="182">
        <v>40810</v>
      </c>
      <c r="L1544" s="8" t="s">
        <v>4156</v>
      </c>
      <c r="M1544" s="8" t="s">
        <v>5626</v>
      </c>
      <c r="N1544" s="38" t="s">
        <v>2907</v>
      </c>
      <c r="O1544" s="8"/>
      <c r="P1544" s="4" t="str">
        <f>VLOOKUP($B1544,'D7 - NDB Impacted SPRF''s'!$E$16:$O$9929,9,FALSE)</f>
        <v>Y</v>
      </c>
      <c r="Q1544" s="4" t="str">
        <f>VLOOKUP($B1544,'D7 - NDB Impacted SPRF''s'!$E$16:$O$9929,10,FALSE)</f>
        <v>N</v>
      </c>
      <c r="R1544" s="4" t="str">
        <f>VLOOKUP($B1544,'D7 - NDB Impacted SPRF''s'!$E$16:$O$9929,11,FALSE)</f>
        <v>Y</v>
      </c>
      <c r="S1544" s="8"/>
      <c r="T1544" s="310"/>
      <c r="U1544" s="310"/>
      <c r="V1544" s="4"/>
      <c r="W1544" s="4"/>
      <c r="X1544" s="4"/>
      <c r="Y1544" s="4"/>
      <c r="Z1544" s="4"/>
      <c r="AA1544" s="4"/>
      <c r="AB1544" s="380" t="str">
        <f>VLOOKUP($B1544,'D7 - NDB Impacted SPRF''s'!$E$6:$O$9929,4,FALSE)</f>
        <v>Scheduled</v>
      </c>
      <c r="AC1544" s="380" t="str">
        <f>VLOOKUP($B1544,'D7 - NDB Impacted SPRF''s'!$E$6:$O$9929,3,FALSE)</f>
        <v>UnitedHealthcare Employer &amp; Individual</v>
      </c>
      <c r="AD1544" s="380" t="str">
        <f>VLOOKUP($B1544,'D7 - NDB Impacted SPRF''s'!$E$6:$O$9929,5,FALSE)</f>
        <v>Integration Requirements</v>
      </c>
      <c r="AE1544" s="380" t="str">
        <f>VLOOKUP($B1544,'D7 - NDB Impacted SPRF''s'!$E$6:$O$9929,7,FALSE)</f>
        <v>Jim Cronin</v>
      </c>
      <c r="AF1544" s="380" t="str">
        <f>VLOOKUP($B1544,'D7 - NDB Impacted SPRF''s'!$E$6:$O$9929,6,FALSE)</f>
        <v>VERONICA BELL</v>
      </c>
      <c r="AG1544" s="282"/>
      <c r="AH1544" s="311" t="e">
        <f>INDEX('D5 - Gatekeeper - Projects'!$A$4:$AF$1010,$AM1544, 17)</f>
        <v>#N/A</v>
      </c>
      <c r="AI1544" s="8"/>
      <c r="AJ1544" s="57"/>
      <c r="AK1544" s="105"/>
      <c r="AM1544" s="6" t="e">
        <f>MATCH(D1544,'D5 - Gatekeeper - Projects'!$C$4:$C$1010,0)</f>
        <v>#N/A</v>
      </c>
      <c r="AN1544" s="6" t="b">
        <f t="shared" si="159"/>
        <v>1</v>
      </c>
      <c r="AO1544" s="6" t="str">
        <f t="shared" si="162"/>
        <v>OK</v>
      </c>
      <c r="AQ1544" s="6" t="e">
        <f>MATCH($D1544,'D4 - Provider Council Unsched'!$C$11:$C$234,0)</f>
        <v>#N/A</v>
      </c>
      <c r="AR1544" s="6" t="b">
        <f t="shared" si="160"/>
        <v>1</v>
      </c>
      <c r="AS1544" s="6" t="str">
        <f t="shared" si="166"/>
        <v>OK</v>
      </c>
      <c r="AU1544" s="202">
        <v>40721</v>
      </c>
      <c r="AV1544" s="262"/>
      <c r="AW1544" s="274"/>
    </row>
    <row r="1545" spans="1:49" s="13" customFormat="1" ht="33.75" x14ac:dyDescent="0.2">
      <c r="A1545" s="14">
        <v>1521</v>
      </c>
      <c r="B1545" s="8">
        <v>400038607</v>
      </c>
      <c r="C1545" s="8" t="s">
        <v>7290</v>
      </c>
      <c r="D1545" s="4" t="str">
        <f t="shared" si="165"/>
        <v>400038607B</v>
      </c>
      <c r="E1545" s="309" t="str">
        <f>VLOOKUP($B1545,'D7 - NDB Impacted SPRF''s'!$E$6:$O$9929,2,FALSE)</f>
        <v>HSR Q3 2011 Release</v>
      </c>
      <c r="F1545" s="8"/>
      <c r="G1545" s="8" t="s">
        <v>4758</v>
      </c>
      <c r="H1545" s="8" t="s">
        <v>4246</v>
      </c>
      <c r="I1545" s="20">
        <v>3.9</v>
      </c>
      <c r="J1545" s="8" t="s">
        <v>4862</v>
      </c>
      <c r="K1545" s="182">
        <v>40810</v>
      </c>
      <c r="L1545" s="8" t="s">
        <v>4156</v>
      </c>
      <c r="M1545" s="8" t="s">
        <v>2814</v>
      </c>
      <c r="N1545" s="38" t="s">
        <v>974</v>
      </c>
      <c r="O1545" s="8"/>
      <c r="P1545" s="4" t="str">
        <f>VLOOKUP($B1545,'D7 - NDB Impacted SPRF''s'!$E$16:$O$9929,9,FALSE)</f>
        <v>Y</v>
      </c>
      <c r="Q1545" s="4" t="str">
        <f>VLOOKUP($B1545,'D7 - NDB Impacted SPRF''s'!$E$16:$O$9929,10,FALSE)</f>
        <v>N</v>
      </c>
      <c r="R1545" s="4" t="str">
        <f>VLOOKUP($B1545,'D7 - NDB Impacted SPRF''s'!$E$16:$O$9929,11,FALSE)</f>
        <v>N</v>
      </c>
      <c r="S1545" s="8"/>
      <c r="T1545" s="310"/>
      <c r="U1545" s="310"/>
      <c r="V1545" s="4"/>
      <c r="W1545" s="4"/>
      <c r="X1545" s="4"/>
      <c r="Y1545" s="4"/>
      <c r="Z1545" s="4"/>
      <c r="AA1545" s="4"/>
      <c r="AB1545" s="380" t="str">
        <f>VLOOKUP($B1545,'D7 - NDB Impacted SPRF''s'!$E$6:$O$9929,4,FALSE)</f>
        <v>Completed</v>
      </c>
      <c r="AC1545" s="380" t="str">
        <f>VLOOKUP($B1545,'D7 - NDB Impacted SPRF''s'!$E$6:$O$9929,3,FALSE)</f>
        <v>UnitedHealthcare Medicare &amp; Retirement</v>
      </c>
      <c r="AD1545" s="380" t="str">
        <f>VLOOKUP($B1545,'D7 - NDB Impacted SPRF''s'!$E$6:$O$9929,5,FALSE)</f>
        <v>Enterprise Clinical</v>
      </c>
      <c r="AE1545" s="380" t="str">
        <f>VLOOKUP($B1545,'D7 - NDB Impacted SPRF''s'!$E$6:$O$9929,7,FALSE)</f>
        <v>Ellen Koch</v>
      </c>
      <c r="AF1545" s="380" t="str">
        <f>VLOOKUP($B1545,'D7 - NDB Impacted SPRF''s'!$E$6:$O$9929,6,FALSE)</f>
        <v>Carol Buske</v>
      </c>
      <c r="AG1545" s="282"/>
      <c r="AH1545" s="311" t="e">
        <f>INDEX('D5 - Gatekeeper - Projects'!$A$4:$AF$1010,$AM1545, 17)</f>
        <v>#N/A</v>
      </c>
      <c r="AI1545" s="8"/>
      <c r="AJ1545" s="57"/>
      <c r="AK1545" s="105"/>
      <c r="AM1545" s="6" t="e">
        <f>MATCH(D1545,'D5 - Gatekeeper - Projects'!$C$4:$C$1010,0)</f>
        <v>#N/A</v>
      </c>
      <c r="AN1545" s="6" t="b">
        <f t="shared" si="159"/>
        <v>1</v>
      </c>
      <c r="AO1545" s="6" t="str">
        <f t="shared" si="162"/>
        <v>OK</v>
      </c>
      <c r="AQ1545" s="6" t="e">
        <f>MATCH($D1545,'D4 - Provider Council Unsched'!$C$11:$C$234,0)</f>
        <v>#N/A</v>
      </c>
      <c r="AR1545" s="6" t="b">
        <f t="shared" si="160"/>
        <v>1</v>
      </c>
      <c r="AS1545" s="6" t="str">
        <f t="shared" si="166"/>
        <v>OK</v>
      </c>
      <c r="AU1545" s="202">
        <v>40680</v>
      </c>
      <c r="AV1545" s="262"/>
      <c r="AW1545" s="274"/>
    </row>
    <row r="1546" spans="1:49" s="13" customFormat="1" ht="33.75" x14ac:dyDescent="0.2">
      <c r="A1546" s="14">
        <v>1522</v>
      </c>
      <c r="B1546" s="8">
        <v>400039719</v>
      </c>
      <c r="C1546" s="8" t="s">
        <v>1447</v>
      </c>
      <c r="D1546" s="4" t="str">
        <f t="shared" si="165"/>
        <v>400039719A</v>
      </c>
      <c r="E1546" s="309" t="str">
        <f>VLOOKUP($B1546,'D7 - NDB Impacted SPRF''s'!$E$6:$O$9929,2,FALSE)</f>
        <v xml:space="preserve"> NDB Data Quality Edits and Functionality</v>
      </c>
      <c r="F1546" s="8"/>
      <c r="G1546" s="8" t="s">
        <v>4758</v>
      </c>
      <c r="H1546" s="8" t="s">
        <v>4246</v>
      </c>
      <c r="I1546" s="20">
        <v>12</v>
      </c>
      <c r="J1546" s="8" t="s">
        <v>4862</v>
      </c>
      <c r="K1546" s="182">
        <v>40810</v>
      </c>
      <c r="L1546" s="8" t="s">
        <v>4156</v>
      </c>
      <c r="M1546" s="8" t="s">
        <v>2814</v>
      </c>
      <c r="N1546" s="38" t="s">
        <v>405</v>
      </c>
      <c r="O1546" s="8"/>
      <c r="P1546" s="4" t="str">
        <f>VLOOKUP($B1546,'D7 - NDB Impacted SPRF''s'!$E$16:$O$9929,9,FALSE)</f>
        <v>N</v>
      </c>
      <c r="Q1546" s="4" t="str">
        <f>VLOOKUP($B1546,'D7 - NDB Impacted SPRF''s'!$E$16:$O$9929,10,FALSE)</f>
        <v>N</v>
      </c>
      <c r="R1546" s="4" t="str">
        <f>VLOOKUP($B1546,'D7 - NDB Impacted SPRF''s'!$E$16:$O$9929,11,FALSE)</f>
        <v>N</v>
      </c>
      <c r="S1546" s="8"/>
      <c r="T1546" s="310"/>
      <c r="U1546" s="310"/>
      <c r="V1546" s="4"/>
      <c r="W1546" s="4"/>
      <c r="X1546" s="4"/>
      <c r="Y1546" s="4"/>
      <c r="Z1546" s="4"/>
      <c r="AA1546" s="4"/>
      <c r="AB1546" s="380" t="str">
        <f>VLOOKUP($B1546,'D7 - NDB Impacted SPRF''s'!$E$6:$O$9929,4,FALSE)</f>
        <v>Completed</v>
      </c>
      <c r="AC1546" s="380" t="str">
        <f>VLOOKUP($B1546,'D7 - NDB Impacted SPRF''s'!$E$6:$O$9929,3,FALSE)</f>
        <v>UnitedHealthcare Employer &amp; Individual</v>
      </c>
      <c r="AD1546" s="380" t="str">
        <f>VLOOKUP($B1546,'D7 - NDB Impacted SPRF''s'!$E$6:$O$9929,5,FALSE)</f>
        <v>Process Improvement</v>
      </c>
      <c r="AE1546" s="380" t="str">
        <f>VLOOKUP($B1546,'D7 - NDB Impacted SPRF''s'!$E$6:$O$9929,7,FALSE)</f>
        <v>Sally Verrilli</v>
      </c>
      <c r="AF1546" s="380" t="str">
        <f>VLOOKUP($B1546,'D7 - NDB Impacted SPRF''s'!$E$6:$O$9929,6,FALSE)</f>
        <v>Jeffrey Clark</v>
      </c>
      <c r="AG1546" s="282"/>
      <c r="AH1546" s="311" t="e">
        <f>INDEX('D5 - Gatekeeper - Projects'!$A$4:$AF$1010,$AM1546, 17)</f>
        <v>#N/A</v>
      </c>
      <c r="AI1546" s="8"/>
      <c r="AJ1546" s="57"/>
      <c r="AK1546" s="105"/>
      <c r="AM1546" s="6" t="e">
        <f>MATCH(D1546,'D5 - Gatekeeper - Projects'!$C$4:$C$1010,0)</f>
        <v>#N/A</v>
      </c>
      <c r="AN1546" s="6" t="b">
        <f t="shared" si="159"/>
        <v>1</v>
      </c>
      <c r="AO1546" s="6" t="str">
        <f t="shared" si="162"/>
        <v>OK</v>
      </c>
      <c r="AQ1546" s="6" t="e">
        <f>MATCH($D1546,'D4 - Provider Council Unsched'!$C$11:$C$234,0)</f>
        <v>#N/A</v>
      </c>
      <c r="AR1546" s="6" t="b">
        <f t="shared" si="160"/>
        <v>1</v>
      </c>
      <c r="AS1546" s="6" t="str">
        <f t="shared" si="166"/>
        <v>OK</v>
      </c>
      <c r="AU1546" s="202">
        <v>40549</v>
      </c>
      <c r="AV1546" s="262"/>
      <c r="AW1546" s="274"/>
    </row>
    <row r="1547" spans="1:49" s="13" customFormat="1" ht="45" x14ac:dyDescent="0.2">
      <c r="A1547" s="14">
        <v>1523</v>
      </c>
      <c r="B1547" s="8">
        <v>400042115</v>
      </c>
      <c r="C1547" s="8" t="s">
        <v>1447</v>
      </c>
      <c r="D1547" s="4" t="str">
        <f t="shared" si="165"/>
        <v>400042115A</v>
      </c>
      <c r="E1547" s="309" t="str">
        <f>VLOOKUP($B1547,'D7 - NDB Impacted SPRF''s'!$E$6:$O$9929,2,FALSE)</f>
        <v>Improve Pricing TAT between UMR Wausau and UHN</v>
      </c>
      <c r="F1547" s="8"/>
      <c r="G1547" s="8" t="s">
        <v>4758</v>
      </c>
      <c r="H1547" s="8" t="s">
        <v>4246</v>
      </c>
      <c r="I1547" s="20">
        <v>0.27</v>
      </c>
      <c r="J1547" s="8" t="s">
        <v>4862</v>
      </c>
      <c r="K1547" s="182">
        <v>40810</v>
      </c>
      <c r="L1547" s="8" t="s">
        <v>4156</v>
      </c>
      <c r="M1547" s="8" t="s">
        <v>5626</v>
      </c>
      <c r="N1547" s="38" t="s">
        <v>2904</v>
      </c>
      <c r="O1547" s="8"/>
      <c r="P1547" s="4" t="str">
        <f>VLOOKUP($B1547,'D7 - NDB Impacted SPRF''s'!$E$16:$O$9929,9,FALSE)</f>
        <v>N</v>
      </c>
      <c r="Q1547" s="4" t="str">
        <f>VLOOKUP($B1547,'D7 - NDB Impacted SPRF''s'!$E$16:$O$9929,10,FALSE)</f>
        <v>N</v>
      </c>
      <c r="R1547" s="4" t="str">
        <f>VLOOKUP($B1547,'D7 - NDB Impacted SPRF''s'!$E$16:$O$9929,11,FALSE)</f>
        <v>Y</v>
      </c>
      <c r="S1547" s="8"/>
      <c r="T1547" s="310"/>
      <c r="U1547" s="310"/>
      <c r="V1547" s="4"/>
      <c r="W1547" s="4"/>
      <c r="X1547" s="4"/>
      <c r="Y1547" s="4"/>
      <c r="Z1547" s="4"/>
      <c r="AA1547" s="4"/>
      <c r="AB1547" s="380" t="str">
        <f>VLOOKUP($B1547,'D7 - NDB Impacted SPRF''s'!$E$6:$O$9929,4,FALSE)</f>
        <v>Scheduled</v>
      </c>
      <c r="AC1547" s="380" t="s">
        <v>5324</v>
      </c>
      <c r="AD1547" s="380" t="str">
        <f>VLOOKUP($B1547,'D7 - NDB Impacted SPRF''s'!$E$6:$O$9929,5,FALSE)</f>
        <v>Process Improvement</v>
      </c>
      <c r="AE1547" s="380" t="str">
        <f>VLOOKUP($B1547,'D7 - NDB Impacted SPRF''s'!$E$6:$O$9929,7,FALSE)</f>
        <v>Mike Kriofsky</v>
      </c>
      <c r="AF1547" s="380" t="str">
        <f>VLOOKUP($B1547,'D7 - NDB Impacted SPRF''s'!$E$6:$O$9929,6,FALSE)</f>
        <v>Sue Thompson</v>
      </c>
      <c r="AG1547" s="282"/>
      <c r="AH1547" s="311" t="e">
        <f>INDEX('D5 - Gatekeeper - Projects'!$A$4:$AF$1010,$AM1547, 17)</f>
        <v>#N/A</v>
      </c>
      <c r="AI1547" s="8"/>
      <c r="AJ1547" s="57"/>
      <c r="AK1547" s="105"/>
      <c r="AM1547" s="6" t="e">
        <f>MATCH(D1547,'D5 - Gatekeeper - Projects'!$C$4:$C$1010,0)</f>
        <v>#N/A</v>
      </c>
      <c r="AN1547" s="6" t="b">
        <f t="shared" si="159"/>
        <v>1</v>
      </c>
      <c r="AO1547" s="6" t="str">
        <f t="shared" si="162"/>
        <v>OK</v>
      </c>
      <c r="AQ1547" s="6" t="e">
        <f>MATCH($D1547,'D4 - Provider Council Unsched'!$C$11:$C$234,0)</f>
        <v>#N/A</v>
      </c>
      <c r="AR1547" s="6" t="b">
        <f t="shared" si="160"/>
        <v>1</v>
      </c>
      <c r="AS1547" s="6" t="str">
        <f t="shared" si="166"/>
        <v>OK</v>
      </c>
      <c r="AU1547" s="202">
        <v>40619</v>
      </c>
      <c r="AV1547" s="262"/>
      <c r="AW1547" s="274"/>
    </row>
    <row r="1548" spans="1:49" s="13" customFormat="1" ht="45" x14ac:dyDescent="0.2">
      <c r="A1548" s="14">
        <v>1524</v>
      </c>
      <c r="B1548" s="8">
        <v>400042320</v>
      </c>
      <c r="C1548" s="8" t="s">
        <v>1447</v>
      </c>
      <c r="D1548" s="4" t="str">
        <f t="shared" si="165"/>
        <v>400042320A</v>
      </c>
      <c r="E1548" s="309" t="str">
        <f>VLOOKUP($B1548,'D7 - NDB Impacted SPRF''s'!$E$6:$O$9929,2,FALSE)</f>
        <v>CSS-B2X 2011C ICD-10 Remediation</v>
      </c>
      <c r="F1548" s="8"/>
      <c r="G1548" s="8" t="s">
        <v>4758</v>
      </c>
      <c r="H1548" s="8" t="s">
        <v>4246</v>
      </c>
      <c r="I1548" s="20">
        <v>0.33333333333333331</v>
      </c>
      <c r="J1548" s="8" t="s">
        <v>4862</v>
      </c>
      <c r="K1548" s="182">
        <v>40810</v>
      </c>
      <c r="L1548" s="8" t="s">
        <v>4156</v>
      </c>
      <c r="M1548" s="8" t="s">
        <v>5626</v>
      </c>
      <c r="N1548" s="38" t="s">
        <v>2905</v>
      </c>
      <c r="O1548" s="8"/>
      <c r="P1548" s="4" t="str">
        <f>VLOOKUP($B1548,'D7 - NDB Impacted SPRF''s'!$E$16:$O$9929,9,FALSE)</f>
        <v>Y</v>
      </c>
      <c r="Q1548" s="4" t="str">
        <f>VLOOKUP($B1548,'D7 - NDB Impacted SPRF''s'!$E$16:$O$9929,10,FALSE)</f>
        <v>N</v>
      </c>
      <c r="R1548" s="4" t="str">
        <f>VLOOKUP($B1548,'D7 - NDB Impacted SPRF''s'!$E$16:$O$9929,11,FALSE)</f>
        <v>N</v>
      </c>
      <c r="S1548" s="8"/>
      <c r="T1548" s="310"/>
      <c r="U1548" s="310"/>
      <c r="V1548" s="4"/>
      <c r="W1548" s="4"/>
      <c r="X1548" s="4"/>
      <c r="Y1548" s="4"/>
      <c r="Z1548" s="4"/>
      <c r="AA1548" s="4"/>
      <c r="AB1548" s="380" t="str">
        <f>VLOOKUP($B1548,'D7 - NDB Impacted SPRF''s'!$E$6:$O$9929,4,FALSE)</f>
        <v>Completed</v>
      </c>
      <c r="AC1548" s="380" t="str">
        <f>VLOOKUP($B1548,'D7 - NDB Impacted SPRF''s'!$E$6:$O$9929,3,FALSE)</f>
        <v>UnitedHealthcare Employer &amp; Individual</v>
      </c>
      <c r="AD1548" s="380" t="str">
        <f>VLOOKUP($B1548,'D7 - NDB Impacted SPRF''s'!$E$6:$O$9929,5,FALSE)</f>
        <v>Regulatory / Other</v>
      </c>
      <c r="AE1548" s="380" t="str">
        <f>VLOOKUP($B1548,'D7 - NDB Impacted SPRF''s'!$E$6:$O$9929,7,FALSE)</f>
        <v>Cynthia Middaugh</v>
      </c>
      <c r="AF1548" s="380" t="str">
        <f>VLOOKUP($B1548,'D7 - NDB Impacted SPRF''s'!$E$6:$O$9929,6,FALSE)</f>
        <v>CHRISTINA MOSHER</v>
      </c>
      <c r="AG1548" s="282"/>
      <c r="AH1548" s="311" t="e">
        <f>INDEX('D5 - Gatekeeper - Projects'!$A$4:$AF$1010,$AM1548, 17)</f>
        <v>#N/A</v>
      </c>
      <c r="AI1548" s="8"/>
      <c r="AJ1548" s="57"/>
      <c r="AK1548" s="105"/>
      <c r="AM1548" s="6" t="e">
        <f>MATCH(D1548,'D5 - Gatekeeper - Projects'!$C$4:$C$1010,0)</f>
        <v>#N/A</v>
      </c>
      <c r="AN1548" s="6" t="b">
        <f t="shared" si="159"/>
        <v>1</v>
      </c>
      <c r="AO1548" s="6" t="str">
        <f t="shared" si="162"/>
        <v>OK</v>
      </c>
      <c r="AQ1548" s="6" t="e">
        <f>MATCH($D1548,'D4 - Provider Council Unsched'!$C$11:$C$234,0)</f>
        <v>#N/A</v>
      </c>
      <c r="AR1548" s="6" t="b">
        <f t="shared" si="160"/>
        <v>1</v>
      </c>
      <c r="AS1548" s="6" t="str">
        <f t="shared" si="166"/>
        <v>OK</v>
      </c>
      <c r="AU1548" s="202"/>
      <c r="AV1548" s="262"/>
      <c r="AW1548" s="274"/>
    </row>
    <row r="1549" spans="1:49" s="13" customFormat="1" ht="33.75" x14ac:dyDescent="0.2">
      <c r="A1549" s="14">
        <v>1525</v>
      </c>
      <c r="B1549" s="8">
        <v>400043816</v>
      </c>
      <c r="C1549" s="8" t="s">
        <v>1447</v>
      </c>
      <c r="D1549" s="4" t="str">
        <f t="shared" si="165"/>
        <v>400043816A</v>
      </c>
      <c r="E1549" s="309" t="str">
        <f>VLOOKUP($B1549,'D7 - NDB Impacted SPRF''s'!$E$6:$O$9929,2,FALSE)</f>
        <v>AZ LTC RFP</v>
      </c>
      <c r="F1549" s="8"/>
      <c r="G1549" s="8" t="s">
        <v>4758</v>
      </c>
      <c r="H1549" s="8" t="s">
        <v>4246</v>
      </c>
      <c r="I1549" s="20">
        <v>0.8</v>
      </c>
      <c r="J1549" s="8" t="s">
        <v>4862</v>
      </c>
      <c r="K1549" s="182">
        <v>40810</v>
      </c>
      <c r="L1549" s="8" t="s">
        <v>4156</v>
      </c>
      <c r="M1549" s="8" t="s">
        <v>5626</v>
      </c>
      <c r="N1549" s="38"/>
      <c r="O1549" s="8"/>
      <c r="P1549" s="4" t="str">
        <f>VLOOKUP($B1549,'D7 - NDB Impacted SPRF''s'!$E$16:$O$9929,9,FALSE)</f>
        <v>N</v>
      </c>
      <c r="Q1549" s="4" t="str">
        <f>VLOOKUP($B1549,'D7 - NDB Impacted SPRF''s'!$E$16:$O$9929,10,FALSE)</f>
        <v>N</v>
      </c>
      <c r="R1549" s="4" t="str">
        <f>VLOOKUP($B1549,'D7 - NDB Impacted SPRF''s'!$E$16:$O$9929,11,FALSE)</f>
        <v>Y</v>
      </c>
      <c r="S1549" s="8"/>
      <c r="T1549" s="310"/>
      <c r="U1549" s="310"/>
      <c r="V1549" s="4"/>
      <c r="W1549" s="4"/>
      <c r="X1549" s="4"/>
      <c r="Y1549" s="4"/>
      <c r="Z1549" s="4"/>
      <c r="AA1549" s="4"/>
      <c r="AB1549" s="380" t="str">
        <f>VLOOKUP($B1549,'D7 - NDB Impacted SPRF''s'!$E$6:$O$9929,4,FALSE)</f>
        <v>Completed</v>
      </c>
      <c r="AC1549" s="380" t="str">
        <f>VLOOKUP($B1549,'D7 - NDB Impacted SPRF''s'!$E$6:$O$9929,3,FALSE)</f>
        <v>UnitedHealthcare Community &amp; State</v>
      </c>
      <c r="AD1549" s="380" t="str">
        <f>VLOOKUP($B1549,'D7 - NDB Impacted SPRF''s'!$E$6:$O$9929,5,FALSE)</f>
        <v>Membership Growth / Revenue Programs</v>
      </c>
      <c r="AE1549" s="380" t="str">
        <f>VLOOKUP($B1549,'D7 - NDB Impacted SPRF''s'!$E$6:$O$9929,7,FALSE)</f>
        <v>Bill Hagan</v>
      </c>
      <c r="AF1549" s="380" t="str">
        <f>VLOOKUP($B1549,'D7 - NDB Impacted SPRF''s'!$E$6:$O$9929,6,FALSE)</f>
        <v>KELLY LEONARD</v>
      </c>
      <c r="AG1549" s="282"/>
      <c r="AH1549" s="311" t="e">
        <f>INDEX('D5 - Gatekeeper - Projects'!$A$4:$AF$1010,$AM1549, 17)</f>
        <v>#N/A</v>
      </c>
      <c r="AI1549" s="8"/>
      <c r="AJ1549" s="57"/>
      <c r="AK1549" s="105"/>
      <c r="AM1549" s="6" t="e">
        <f>MATCH(D1549,'D5 - Gatekeeper - Projects'!$C$4:$C$1010,0)</f>
        <v>#N/A</v>
      </c>
      <c r="AN1549" s="6" t="b">
        <f t="shared" si="159"/>
        <v>1</v>
      </c>
      <c r="AO1549" s="6" t="str">
        <f t="shared" si="162"/>
        <v>OK</v>
      </c>
      <c r="AQ1549" s="6" t="e">
        <f>MATCH($D1549,'D4 - Provider Council Unsched'!$C$11:$C$234,0)</f>
        <v>#N/A</v>
      </c>
      <c r="AR1549" s="6" t="b">
        <f t="shared" si="160"/>
        <v>1</v>
      </c>
      <c r="AS1549" s="6" t="str">
        <f t="shared" si="166"/>
        <v>OK</v>
      </c>
      <c r="AU1549" s="202">
        <v>40757</v>
      </c>
      <c r="AV1549" s="262"/>
      <c r="AW1549" s="274"/>
    </row>
    <row r="1550" spans="1:49" s="13" customFormat="1" ht="33.75" x14ac:dyDescent="0.2">
      <c r="A1550" s="14">
        <v>1526</v>
      </c>
      <c r="B1550" s="8">
        <v>400044043</v>
      </c>
      <c r="C1550" s="8" t="s">
        <v>1447</v>
      </c>
      <c r="D1550" s="4" t="str">
        <f t="shared" si="165"/>
        <v>400044043A</v>
      </c>
      <c r="E1550" s="309" t="str">
        <f>VLOOKUP($B1550,'D7 - NDB Impacted SPRF''s'!$E$6:$O$9929,2,FALSE)</f>
        <v>2012 Provider Search Tool EPS Annual Readiness</v>
      </c>
      <c r="F1550" s="8"/>
      <c r="G1550" s="8" t="s">
        <v>4758</v>
      </c>
      <c r="H1550" s="8" t="s">
        <v>4246</v>
      </c>
      <c r="I1550" s="20">
        <v>0.27</v>
      </c>
      <c r="J1550" s="8" t="s">
        <v>4862</v>
      </c>
      <c r="K1550" s="182">
        <v>40810</v>
      </c>
      <c r="L1550" s="8" t="s">
        <v>4156</v>
      </c>
      <c r="M1550" s="8" t="s">
        <v>5626</v>
      </c>
      <c r="N1550" s="38" t="s">
        <v>2906</v>
      </c>
      <c r="O1550" s="8"/>
      <c r="P1550" s="4" t="str">
        <f>VLOOKUP($B1550,'D7 - NDB Impacted SPRF''s'!$E$16:$O$9929,9,FALSE)</f>
        <v>N</v>
      </c>
      <c r="Q1550" s="4" t="str">
        <f>VLOOKUP($B1550,'D7 - NDB Impacted SPRF''s'!$E$16:$O$9929,10,FALSE)</f>
        <v>N</v>
      </c>
      <c r="R1550" s="4" t="str">
        <f>VLOOKUP($B1550,'D7 - NDB Impacted SPRF''s'!$E$16:$O$9929,11,FALSE)</f>
        <v>N</v>
      </c>
      <c r="S1550" s="8"/>
      <c r="T1550" s="310"/>
      <c r="U1550" s="310"/>
      <c r="V1550" s="4"/>
      <c r="W1550" s="4"/>
      <c r="X1550" s="4"/>
      <c r="Y1550" s="4"/>
      <c r="Z1550" s="4"/>
      <c r="AA1550" s="4"/>
      <c r="AB1550" s="380" t="str">
        <f>VLOOKUP($B1550,'D7 - NDB Impacted SPRF''s'!$E$6:$O$9929,4,FALSE)</f>
        <v>Completed</v>
      </c>
      <c r="AC1550" s="380" t="str">
        <f>VLOOKUP($B1550,'D7 - NDB Impacted SPRF''s'!$E$6:$O$9929,3,FALSE)</f>
        <v>UnitedHealthcare Medicare &amp; Retirement</v>
      </c>
      <c r="AD1550" s="380" t="str">
        <f>VLOOKUP($B1550,'D7 - NDB Impacted SPRF''s'!$E$6:$O$9929,5,FALSE)</f>
        <v>Tech and Data Management</v>
      </c>
      <c r="AE1550" s="380" t="str">
        <f>VLOOKUP($B1550,'D7 - NDB Impacted SPRF''s'!$E$6:$O$9929,7,FALSE)</f>
        <v>Peter Ngin</v>
      </c>
      <c r="AF1550" s="380" t="str">
        <f>VLOOKUP($B1550,'D7 - NDB Impacted SPRF''s'!$E$6:$O$9929,6,FALSE)</f>
        <v>Jessica Tattersall</v>
      </c>
      <c r="AG1550" s="282"/>
      <c r="AH1550" s="311" t="e">
        <f>INDEX('D5 - Gatekeeper - Projects'!$A$4:$AF$1010,$AM1550, 17)</f>
        <v>#N/A</v>
      </c>
      <c r="AI1550" s="8"/>
      <c r="AJ1550" s="57"/>
      <c r="AK1550" s="105"/>
      <c r="AM1550" s="6" t="e">
        <f>MATCH(D1550,'D5 - Gatekeeper - Projects'!$C$4:$C$1010,0)</f>
        <v>#N/A</v>
      </c>
      <c r="AN1550" s="6" t="b">
        <f t="shared" si="159"/>
        <v>1</v>
      </c>
      <c r="AO1550" s="6" t="str">
        <f t="shared" si="162"/>
        <v>OK</v>
      </c>
      <c r="AQ1550" s="6" t="e">
        <f>MATCH($D1550,'D4 - Provider Council Unsched'!$C$11:$C$234,0)</f>
        <v>#N/A</v>
      </c>
      <c r="AR1550" s="6" t="b">
        <f t="shared" si="160"/>
        <v>1</v>
      </c>
      <c r="AS1550" s="6" t="str">
        <f t="shared" si="166"/>
        <v>OK</v>
      </c>
      <c r="AU1550" s="202">
        <v>40690</v>
      </c>
      <c r="AV1550" s="262"/>
      <c r="AW1550" s="274"/>
    </row>
    <row r="1551" spans="1:49" s="13" customFormat="1" x14ac:dyDescent="0.2">
      <c r="A1551" s="14">
        <v>1527</v>
      </c>
      <c r="B1551" s="14" t="s">
        <v>6216</v>
      </c>
      <c r="C1551" s="8" t="s">
        <v>5197</v>
      </c>
      <c r="D1551" s="4" t="s">
        <v>6217</v>
      </c>
      <c r="E1551" s="309" t="s">
        <v>6218</v>
      </c>
      <c r="F1551" s="8" t="s">
        <v>2114</v>
      </c>
      <c r="G1551" s="8" t="s">
        <v>4758</v>
      </c>
      <c r="H1551" s="8" t="s">
        <v>4246</v>
      </c>
      <c r="I1551" s="20">
        <v>3.83</v>
      </c>
      <c r="J1551" s="8" t="s">
        <v>4862</v>
      </c>
      <c r="K1551" s="182">
        <v>40810</v>
      </c>
      <c r="L1551" s="8" t="s">
        <v>5743</v>
      </c>
      <c r="M1551" s="8" t="s">
        <v>5626</v>
      </c>
      <c r="N1551" s="38"/>
      <c r="O1551" s="8" t="s">
        <v>3572</v>
      </c>
      <c r="P1551" s="4" t="e">
        <f>VLOOKUP($B1551,'D7 - NDB Impacted SPRF''s'!$E$16:$O$9929,9,FALSE)</f>
        <v>#N/A</v>
      </c>
      <c r="Q1551" s="4" t="e">
        <f>VLOOKUP($B1551,'D7 - NDB Impacted SPRF''s'!$E$16:$O$9929,10,FALSE)</f>
        <v>#N/A</v>
      </c>
      <c r="R1551" s="4" t="e">
        <f>VLOOKUP($B1551,'D7 - NDB Impacted SPRF''s'!$E$16:$O$9929,11,FALSE)</f>
        <v>#N/A</v>
      </c>
      <c r="S1551" s="8"/>
      <c r="T1551" s="310"/>
      <c r="U1551" s="310"/>
      <c r="V1551" s="4"/>
      <c r="W1551" s="4"/>
      <c r="X1551" s="4"/>
      <c r="Y1551" s="4"/>
      <c r="Z1551" s="4"/>
      <c r="AA1551" s="4"/>
      <c r="AB1551" s="383" t="e">
        <f>VLOOKUP($B1551,'D7 - NDB Impacted SPRF''s'!$E$16:$O$9929,4,FALSE)</f>
        <v>#N/A</v>
      </c>
      <c r="AC1551" s="380" t="e">
        <f>VLOOKUP($B1551,'D7 - NDB Impacted SPRF''s'!$E$16:$O$9929,3,FALSE)</f>
        <v>#N/A</v>
      </c>
      <c r="AD1551" s="380" t="e">
        <f>VLOOKUP($B1551,'D7 - NDB Impacted SPRF''s'!$E$16:$O$9929,5,FALSE)</f>
        <v>#N/A</v>
      </c>
      <c r="AE1551" s="380" t="e">
        <f>VLOOKUP($B1551,'D7 - NDB Impacted SPRF''s'!$E$16:$O$9929,7,FALSE)</f>
        <v>#N/A</v>
      </c>
      <c r="AF1551" s="380" t="e">
        <f>VLOOKUP($B1551,'D7 - NDB Impacted SPRF''s'!$E$16:$O$9929,6,FALSE)</f>
        <v>#N/A</v>
      </c>
      <c r="AG1551" s="282"/>
      <c r="AH1551" s="311" t="e">
        <f>INDEX('D5 - Gatekeeper - Projects'!$A$4:$AF$1010,$AM1551, 17)</f>
        <v>#N/A</v>
      </c>
      <c r="AI1551" s="8"/>
      <c r="AJ1551" s="57"/>
      <c r="AK1551" s="105"/>
      <c r="AM1551" s="6" t="e">
        <f>MATCH(D1551,'D5 - Gatekeeper - Projects'!$C$4:$C$1010,0)</f>
        <v>#N/A</v>
      </c>
      <c r="AN1551" s="6" t="b">
        <f t="shared" si="159"/>
        <v>1</v>
      </c>
      <c r="AO1551" s="6" t="str">
        <f t="shared" si="162"/>
        <v>OK</v>
      </c>
      <c r="AQ1551" s="6" t="e">
        <f>MATCH($D1551,'D4 - Provider Council Unsched'!$C$11:$C$234,0)</f>
        <v>#N/A</v>
      </c>
      <c r="AR1551" s="6" t="b">
        <f t="shared" si="160"/>
        <v>1</v>
      </c>
      <c r="AS1551" s="6" t="str">
        <f t="shared" ref="AS1551:AS1557" si="167">IF(AND(H1551="2 - Not Scheduled",AR1551=TRUE),"Add","OK")</f>
        <v>OK</v>
      </c>
      <c r="AU1551" s="202"/>
      <c r="AV1551" s="262"/>
      <c r="AW1551" s="274"/>
    </row>
    <row r="1552" spans="1:49" s="13" customFormat="1" x14ac:dyDescent="0.2">
      <c r="A1552" s="14">
        <v>1528</v>
      </c>
      <c r="B1552" s="14" t="s">
        <v>6219</v>
      </c>
      <c r="C1552" s="8" t="s">
        <v>5197</v>
      </c>
      <c r="D1552" s="4" t="s">
        <v>8053</v>
      </c>
      <c r="E1552" s="309" t="s">
        <v>4475</v>
      </c>
      <c r="F1552" s="8" t="s">
        <v>2114</v>
      </c>
      <c r="G1552" s="8" t="s">
        <v>4758</v>
      </c>
      <c r="H1552" s="8" t="s">
        <v>4246</v>
      </c>
      <c r="I1552" s="20">
        <v>3.83</v>
      </c>
      <c r="J1552" s="8" t="s">
        <v>4862</v>
      </c>
      <c r="K1552" s="182">
        <v>40810</v>
      </c>
      <c r="L1552" s="8" t="s">
        <v>5743</v>
      </c>
      <c r="M1552" s="8" t="s">
        <v>5626</v>
      </c>
      <c r="N1552" s="38"/>
      <c r="O1552" s="8" t="s">
        <v>3572</v>
      </c>
      <c r="P1552" s="4" t="e">
        <f>VLOOKUP($B1552,'D7 - NDB Impacted SPRF''s'!$E$16:$O$9929,9,FALSE)</f>
        <v>#N/A</v>
      </c>
      <c r="Q1552" s="4" t="e">
        <f>VLOOKUP($B1552,'D7 - NDB Impacted SPRF''s'!$E$16:$O$9929,10,FALSE)</f>
        <v>#N/A</v>
      </c>
      <c r="R1552" s="4" t="e">
        <f>VLOOKUP($B1552,'D7 - NDB Impacted SPRF''s'!$E$16:$O$9929,11,FALSE)</f>
        <v>#N/A</v>
      </c>
      <c r="S1552" s="8"/>
      <c r="T1552" s="310"/>
      <c r="U1552" s="310"/>
      <c r="V1552" s="4"/>
      <c r="W1552" s="4"/>
      <c r="X1552" s="4"/>
      <c r="Y1552" s="4"/>
      <c r="Z1552" s="4"/>
      <c r="AA1552" s="4"/>
      <c r="AB1552" s="383" t="e">
        <f>VLOOKUP($B1552,'D7 - NDB Impacted SPRF''s'!$E$16:$O$9929,4,FALSE)</f>
        <v>#N/A</v>
      </c>
      <c r="AC1552" s="380" t="e">
        <f>VLOOKUP($B1552,'D7 - NDB Impacted SPRF''s'!$E$16:$O$9929,3,FALSE)</f>
        <v>#N/A</v>
      </c>
      <c r="AD1552" s="380" t="e">
        <f>VLOOKUP($B1552,'D7 - NDB Impacted SPRF''s'!$E$16:$O$9929,5,FALSE)</f>
        <v>#N/A</v>
      </c>
      <c r="AE1552" s="380" t="e">
        <f>VLOOKUP($B1552,'D7 - NDB Impacted SPRF''s'!$E$16:$O$9929,7,FALSE)</f>
        <v>#N/A</v>
      </c>
      <c r="AF1552" s="380" t="e">
        <f>VLOOKUP($B1552,'D7 - NDB Impacted SPRF''s'!$E$16:$O$9929,6,FALSE)</f>
        <v>#N/A</v>
      </c>
      <c r="AG1552" s="282"/>
      <c r="AH1552" s="311" t="e">
        <f>INDEX('D5 - Gatekeeper - Projects'!$A$4:$AF$1010,$AM1552, 17)</f>
        <v>#N/A</v>
      </c>
      <c r="AI1552" s="8"/>
      <c r="AJ1552" s="57"/>
      <c r="AK1552" s="105"/>
      <c r="AM1552" s="6" t="e">
        <f>MATCH(D1552,'D5 - Gatekeeper - Projects'!$C$4:$C$1010,0)</f>
        <v>#N/A</v>
      </c>
      <c r="AN1552" s="6" t="b">
        <f t="shared" si="159"/>
        <v>1</v>
      </c>
      <c r="AO1552" s="6" t="str">
        <f t="shared" si="162"/>
        <v>OK</v>
      </c>
      <c r="AQ1552" s="6" t="e">
        <f>MATCH($D1552,'D4 - Provider Council Unsched'!$C$11:$C$234,0)</f>
        <v>#N/A</v>
      </c>
      <c r="AR1552" s="6" t="b">
        <f t="shared" si="160"/>
        <v>1</v>
      </c>
      <c r="AS1552" s="6" t="str">
        <f t="shared" si="167"/>
        <v>OK</v>
      </c>
      <c r="AU1552" s="202"/>
      <c r="AV1552" s="262"/>
      <c r="AW1552" s="274"/>
    </row>
    <row r="1553" spans="1:49" s="13" customFormat="1" x14ac:dyDescent="0.2">
      <c r="A1553" s="14">
        <v>1529</v>
      </c>
      <c r="B1553" s="14" t="s">
        <v>3125</v>
      </c>
      <c r="C1553" s="8" t="s">
        <v>5197</v>
      </c>
      <c r="D1553" s="4" t="s">
        <v>3129</v>
      </c>
      <c r="E1553" s="309" t="s">
        <v>3021</v>
      </c>
      <c r="F1553" s="8" t="s">
        <v>2114</v>
      </c>
      <c r="G1553" s="8" t="s">
        <v>4758</v>
      </c>
      <c r="H1553" s="8" t="s">
        <v>4246</v>
      </c>
      <c r="I1553" s="20">
        <v>3.5</v>
      </c>
      <c r="J1553" s="8" t="s">
        <v>4862</v>
      </c>
      <c r="K1553" s="182">
        <v>40810</v>
      </c>
      <c r="L1553" s="8" t="s">
        <v>5743</v>
      </c>
      <c r="M1553" s="8" t="s">
        <v>2814</v>
      </c>
      <c r="N1553" s="38"/>
      <c r="O1553" s="8" t="s">
        <v>3572</v>
      </c>
      <c r="P1553" s="4" t="e">
        <f>VLOOKUP($B1553,'D7 - NDB Impacted SPRF''s'!$E$16:$O$9929,9,FALSE)</f>
        <v>#N/A</v>
      </c>
      <c r="Q1553" s="4" t="e">
        <f>VLOOKUP($B1553,'D7 - NDB Impacted SPRF''s'!$E$16:$O$9929,10,FALSE)</f>
        <v>#N/A</v>
      </c>
      <c r="R1553" s="4" t="e">
        <f>VLOOKUP($B1553,'D7 - NDB Impacted SPRF''s'!$E$16:$O$9929,11,FALSE)</f>
        <v>#N/A</v>
      </c>
      <c r="S1553" s="8"/>
      <c r="T1553" s="310"/>
      <c r="U1553" s="310"/>
      <c r="V1553" s="4"/>
      <c r="W1553" s="4"/>
      <c r="X1553" s="4"/>
      <c r="Y1553" s="4"/>
      <c r="Z1553" s="4"/>
      <c r="AA1553" s="4"/>
      <c r="AB1553" s="383" t="e">
        <f>VLOOKUP($B1553,'D7 - NDB Impacted SPRF''s'!$E$16:$O$9929,4,FALSE)</f>
        <v>#N/A</v>
      </c>
      <c r="AC1553" s="380" t="e">
        <f>VLOOKUP($B1553,'D7 - NDB Impacted SPRF''s'!$E$16:$O$9929,3,FALSE)</f>
        <v>#N/A</v>
      </c>
      <c r="AD1553" s="380" t="e">
        <f>VLOOKUP($B1553,'D7 - NDB Impacted SPRF''s'!$E$16:$O$9929,5,FALSE)</f>
        <v>#N/A</v>
      </c>
      <c r="AE1553" s="380" t="e">
        <f>VLOOKUP($B1553,'D7 - NDB Impacted SPRF''s'!$E$16:$O$9929,7,FALSE)</f>
        <v>#N/A</v>
      </c>
      <c r="AF1553" s="380" t="e">
        <f>VLOOKUP($B1553,'D7 - NDB Impacted SPRF''s'!$E$16:$O$9929,6,FALSE)</f>
        <v>#N/A</v>
      </c>
      <c r="AG1553" s="282"/>
      <c r="AH1553" s="311" t="e">
        <f>INDEX('D5 - Gatekeeper - Projects'!$A$4:$AF$1010,$AM1553, 17)</f>
        <v>#N/A</v>
      </c>
      <c r="AI1553" s="8"/>
      <c r="AJ1553" s="57"/>
      <c r="AK1553" s="105"/>
      <c r="AM1553" s="6" t="e">
        <f>MATCH(D1553,'D5 - Gatekeeper - Projects'!$C$4:$C$1010,0)</f>
        <v>#N/A</v>
      </c>
      <c r="AN1553" s="6" t="b">
        <f t="shared" ref="AN1553:AN1616" si="168">ISERROR(AM1553)</f>
        <v>1</v>
      </c>
      <c r="AO1553" s="6" t="str">
        <f t="shared" si="162"/>
        <v>OK</v>
      </c>
      <c r="AQ1553" s="6" t="e">
        <f>MATCH($D1553,'D4 - Provider Council Unsched'!$C$11:$C$234,0)</f>
        <v>#N/A</v>
      </c>
      <c r="AR1553" s="6" t="b">
        <f t="shared" ref="AR1553:AR1616" si="169">ISERROR(AQ1553)</f>
        <v>1</v>
      </c>
      <c r="AS1553" s="6" t="str">
        <f t="shared" si="167"/>
        <v>OK</v>
      </c>
      <c r="AU1553" s="202">
        <v>40665</v>
      </c>
      <c r="AV1553" s="262"/>
      <c r="AW1553" s="274"/>
    </row>
    <row r="1554" spans="1:49" s="13" customFormat="1" x14ac:dyDescent="0.2">
      <c r="A1554" s="14">
        <v>1530</v>
      </c>
      <c r="B1554" s="14" t="s">
        <v>2220</v>
      </c>
      <c r="C1554" s="8" t="s">
        <v>5197</v>
      </c>
      <c r="D1554" s="4" t="s">
        <v>2221</v>
      </c>
      <c r="E1554" s="309" t="s">
        <v>2222</v>
      </c>
      <c r="F1554" s="8" t="s">
        <v>2114</v>
      </c>
      <c r="G1554" s="8" t="s">
        <v>4758</v>
      </c>
      <c r="H1554" s="8" t="s">
        <v>4246</v>
      </c>
      <c r="I1554" s="20">
        <v>3.3</v>
      </c>
      <c r="J1554" s="8" t="s">
        <v>4862</v>
      </c>
      <c r="K1554" s="182">
        <v>40810</v>
      </c>
      <c r="L1554" s="8" t="s">
        <v>5743</v>
      </c>
      <c r="M1554" s="8" t="s">
        <v>2814</v>
      </c>
      <c r="N1554" s="38"/>
      <c r="O1554" s="8" t="s">
        <v>3572</v>
      </c>
      <c r="P1554" s="4" t="e">
        <f>VLOOKUP($B1554,'D7 - NDB Impacted SPRF''s'!$E$16:$O$9929,9,FALSE)</f>
        <v>#N/A</v>
      </c>
      <c r="Q1554" s="4" t="e">
        <f>VLOOKUP($B1554,'D7 - NDB Impacted SPRF''s'!$E$16:$O$9929,10,FALSE)</f>
        <v>#N/A</v>
      </c>
      <c r="R1554" s="4" t="e">
        <f>VLOOKUP($B1554,'D7 - NDB Impacted SPRF''s'!$E$16:$O$9929,11,FALSE)</f>
        <v>#N/A</v>
      </c>
      <c r="S1554" s="8"/>
      <c r="T1554" s="310"/>
      <c r="U1554" s="310"/>
      <c r="V1554" s="4"/>
      <c r="W1554" s="4"/>
      <c r="X1554" s="4"/>
      <c r="Y1554" s="4"/>
      <c r="Z1554" s="4"/>
      <c r="AA1554" s="4"/>
      <c r="AB1554" s="383" t="e">
        <f>VLOOKUP($B1554,'D7 - NDB Impacted SPRF''s'!$E$16:$O$9929,4,FALSE)</f>
        <v>#N/A</v>
      </c>
      <c r="AC1554" s="380" t="e">
        <f>VLOOKUP($B1554,'D7 - NDB Impacted SPRF''s'!$E$16:$O$9929,3,FALSE)</f>
        <v>#N/A</v>
      </c>
      <c r="AD1554" s="380" t="e">
        <f>VLOOKUP($B1554,'D7 - NDB Impacted SPRF''s'!$E$16:$O$9929,5,FALSE)</f>
        <v>#N/A</v>
      </c>
      <c r="AE1554" s="380" t="e">
        <f>VLOOKUP($B1554,'D7 - NDB Impacted SPRF''s'!$E$16:$O$9929,7,FALSE)</f>
        <v>#N/A</v>
      </c>
      <c r="AF1554" s="380" t="e">
        <f>VLOOKUP($B1554,'D7 - NDB Impacted SPRF''s'!$E$16:$O$9929,6,FALSE)</f>
        <v>#N/A</v>
      </c>
      <c r="AG1554" s="282"/>
      <c r="AH1554" s="311" t="e">
        <f>INDEX('D5 - Gatekeeper - Projects'!$A$4:$AF$1010,$AM1554, 17)</f>
        <v>#N/A</v>
      </c>
      <c r="AI1554" s="8"/>
      <c r="AJ1554" s="57"/>
      <c r="AK1554" s="105"/>
      <c r="AM1554" s="6" t="e">
        <f>MATCH(D1554,'D5 - Gatekeeper - Projects'!$C$4:$C$1010,0)</f>
        <v>#N/A</v>
      </c>
      <c r="AN1554" s="6" t="b">
        <f t="shared" si="168"/>
        <v>1</v>
      </c>
      <c r="AO1554" s="6" t="str">
        <f t="shared" ref="AO1554:AO1617" si="170">IF(AND(H1554="1 - Scheduled",AN1554=TRUE),"Add","OK")</f>
        <v>OK</v>
      </c>
      <c r="AQ1554" s="6" t="e">
        <f>MATCH($D1554,'D4 - Provider Council Unsched'!$C$11:$C$234,0)</f>
        <v>#N/A</v>
      </c>
      <c r="AR1554" s="6" t="b">
        <f t="shared" si="169"/>
        <v>1</v>
      </c>
      <c r="AS1554" s="6" t="str">
        <f t="shared" si="167"/>
        <v>OK</v>
      </c>
      <c r="AU1554" s="202">
        <v>40637</v>
      </c>
      <c r="AV1554" s="262"/>
      <c r="AW1554" s="274"/>
    </row>
    <row r="1555" spans="1:49" s="13" customFormat="1" x14ac:dyDescent="0.2">
      <c r="A1555" s="14">
        <v>1531</v>
      </c>
      <c r="B1555" s="14" t="s">
        <v>2279</v>
      </c>
      <c r="C1555" s="8" t="s">
        <v>5197</v>
      </c>
      <c r="D1555" s="4" t="s">
        <v>2283</v>
      </c>
      <c r="E1555" s="309" t="s">
        <v>3114</v>
      </c>
      <c r="F1555" s="8" t="s">
        <v>2114</v>
      </c>
      <c r="G1555" s="8" t="s">
        <v>4758</v>
      </c>
      <c r="H1555" s="8" t="s">
        <v>4246</v>
      </c>
      <c r="I1555" s="20">
        <v>3.9</v>
      </c>
      <c r="J1555" s="8" t="s">
        <v>4862</v>
      </c>
      <c r="K1555" s="182">
        <v>40810</v>
      </c>
      <c r="L1555" s="8" t="s">
        <v>5743</v>
      </c>
      <c r="M1555" s="8" t="s">
        <v>5626</v>
      </c>
      <c r="N1555" s="38"/>
      <c r="O1555" s="8" t="s">
        <v>3572</v>
      </c>
      <c r="P1555" s="4" t="e">
        <f>VLOOKUP($B1555,'D7 - NDB Impacted SPRF''s'!$E$16:$O$9929,9,FALSE)</f>
        <v>#N/A</v>
      </c>
      <c r="Q1555" s="4" t="e">
        <f>VLOOKUP($B1555,'D7 - NDB Impacted SPRF''s'!$E$16:$O$9929,10,FALSE)</f>
        <v>#N/A</v>
      </c>
      <c r="R1555" s="4" t="e">
        <f>VLOOKUP($B1555,'D7 - NDB Impacted SPRF''s'!$E$16:$O$9929,11,FALSE)</f>
        <v>#N/A</v>
      </c>
      <c r="S1555" s="8"/>
      <c r="T1555" s="310"/>
      <c r="U1555" s="310"/>
      <c r="V1555" s="4"/>
      <c r="W1555" s="4"/>
      <c r="X1555" s="4"/>
      <c r="Y1555" s="4"/>
      <c r="Z1555" s="4"/>
      <c r="AA1555" s="4"/>
      <c r="AB1555" s="383" t="e">
        <f>VLOOKUP($B1555,'D7 - NDB Impacted SPRF''s'!$E$16:$O$9929,4,FALSE)</f>
        <v>#N/A</v>
      </c>
      <c r="AC1555" s="380" t="e">
        <f>VLOOKUP($B1555,'D7 - NDB Impacted SPRF''s'!$E$16:$O$9929,3,FALSE)</f>
        <v>#N/A</v>
      </c>
      <c r="AD1555" s="380" t="e">
        <f>VLOOKUP($B1555,'D7 - NDB Impacted SPRF''s'!$E$16:$O$9929,5,FALSE)</f>
        <v>#N/A</v>
      </c>
      <c r="AE1555" s="380" t="e">
        <f>VLOOKUP($B1555,'D7 - NDB Impacted SPRF''s'!$E$16:$O$9929,7,FALSE)</f>
        <v>#N/A</v>
      </c>
      <c r="AF1555" s="380" t="e">
        <f>VLOOKUP($B1555,'D7 - NDB Impacted SPRF''s'!$E$16:$O$9929,6,FALSE)</f>
        <v>#N/A</v>
      </c>
      <c r="AG1555" s="282"/>
      <c r="AH1555" s="311" t="e">
        <f>INDEX('D5 - Gatekeeper - Projects'!$A$4:$AF$1010,$AM1555, 17)</f>
        <v>#N/A</v>
      </c>
      <c r="AI1555" s="8"/>
      <c r="AJ1555" s="57"/>
      <c r="AK1555" s="105"/>
      <c r="AM1555" s="6" t="e">
        <f>MATCH(D1555,'D5 - Gatekeeper - Projects'!$C$4:$C$1010,0)</f>
        <v>#N/A</v>
      </c>
      <c r="AN1555" s="6" t="b">
        <f t="shared" si="168"/>
        <v>1</v>
      </c>
      <c r="AO1555" s="6" t="str">
        <f t="shared" si="170"/>
        <v>OK</v>
      </c>
      <c r="AQ1555" s="6" t="e">
        <f>MATCH($D1555,'D4 - Provider Council Unsched'!$C$11:$C$234,0)</f>
        <v>#N/A</v>
      </c>
      <c r="AR1555" s="6" t="b">
        <f t="shared" si="169"/>
        <v>1</v>
      </c>
      <c r="AS1555" s="6" t="str">
        <f t="shared" si="167"/>
        <v>OK</v>
      </c>
      <c r="AU1555" s="202">
        <v>40651</v>
      </c>
      <c r="AV1555" s="262"/>
      <c r="AW1555" s="274"/>
    </row>
    <row r="1556" spans="1:49" s="13" customFormat="1" ht="22.5" x14ac:dyDescent="0.2">
      <c r="A1556" s="14">
        <v>1532</v>
      </c>
      <c r="B1556" s="14" t="s">
        <v>622</v>
      </c>
      <c r="C1556" s="8" t="s">
        <v>5197</v>
      </c>
      <c r="D1556" s="4" t="s">
        <v>407</v>
      </c>
      <c r="E1556" s="339" t="s">
        <v>631</v>
      </c>
      <c r="F1556" s="8" t="s">
        <v>2114</v>
      </c>
      <c r="G1556" s="8" t="s">
        <v>4758</v>
      </c>
      <c r="H1556" s="8" t="s">
        <v>4246</v>
      </c>
      <c r="I1556" s="20">
        <v>3.5</v>
      </c>
      <c r="J1556" s="8" t="s">
        <v>4862</v>
      </c>
      <c r="K1556" s="182">
        <v>40810</v>
      </c>
      <c r="L1556" s="8" t="s">
        <v>5743</v>
      </c>
      <c r="M1556" s="8" t="s">
        <v>2814</v>
      </c>
      <c r="N1556" s="38" t="s">
        <v>1102</v>
      </c>
      <c r="O1556" s="8" t="s">
        <v>3572</v>
      </c>
      <c r="P1556" s="4" t="e">
        <f>VLOOKUP($B1556,'D7 - NDB Impacted SPRF''s'!$E$16:$O$9929,9,FALSE)</f>
        <v>#N/A</v>
      </c>
      <c r="Q1556" s="4" t="e">
        <f>VLOOKUP($B1556,'D7 - NDB Impacted SPRF''s'!$E$16:$O$9929,10,FALSE)</f>
        <v>#N/A</v>
      </c>
      <c r="R1556" s="4" t="e">
        <f>VLOOKUP($B1556,'D7 - NDB Impacted SPRF''s'!$E$16:$O$9929,11,FALSE)</f>
        <v>#N/A</v>
      </c>
      <c r="S1556" s="8"/>
      <c r="T1556" s="310"/>
      <c r="U1556" s="310"/>
      <c r="V1556" s="4"/>
      <c r="W1556" s="4"/>
      <c r="X1556" s="4"/>
      <c r="Y1556" s="4"/>
      <c r="Z1556" s="4"/>
      <c r="AA1556" s="4"/>
      <c r="AB1556" s="383" t="e">
        <f>VLOOKUP($B1556,'D7 - NDB Impacted SPRF''s'!$E$16:$O$9929,4,FALSE)</f>
        <v>#N/A</v>
      </c>
      <c r="AC1556" s="380" t="e">
        <f>VLOOKUP($B1556,'D7 - NDB Impacted SPRF''s'!$E$16:$O$9929,3,FALSE)</f>
        <v>#N/A</v>
      </c>
      <c r="AD1556" s="380" t="e">
        <f>VLOOKUP($B1556,'D7 - NDB Impacted SPRF''s'!$E$16:$O$9929,5,FALSE)</f>
        <v>#N/A</v>
      </c>
      <c r="AE1556" s="380" t="e">
        <f>VLOOKUP($B1556,'D7 - NDB Impacted SPRF''s'!$E$16:$O$9929,7,FALSE)</f>
        <v>#N/A</v>
      </c>
      <c r="AF1556" s="380" t="e">
        <f>VLOOKUP($B1556,'D7 - NDB Impacted SPRF''s'!$E$16:$O$9929,6,FALSE)</f>
        <v>#N/A</v>
      </c>
      <c r="AG1556" s="282"/>
      <c r="AH1556" s="311" t="e">
        <f>INDEX('D5 - Gatekeeper - Projects'!$A$4:$AF$1010,$AM1556, 17)</f>
        <v>#N/A</v>
      </c>
      <c r="AI1556" s="8"/>
      <c r="AJ1556" s="57"/>
      <c r="AK1556" s="105"/>
      <c r="AM1556" s="6" t="e">
        <f>MATCH(D1556,'D5 - Gatekeeper - Projects'!$C$4:$C$1010,0)</f>
        <v>#N/A</v>
      </c>
      <c r="AN1556" s="6" t="b">
        <f t="shared" si="168"/>
        <v>1</v>
      </c>
      <c r="AO1556" s="6" t="str">
        <f t="shared" si="170"/>
        <v>OK</v>
      </c>
      <c r="AQ1556" s="6" t="e">
        <f>MATCH($D1556,'D4 - Provider Council Unsched'!$C$11:$C$234,0)</f>
        <v>#N/A</v>
      </c>
      <c r="AR1556" s="6" t="b">
        <f t="shared" si="169"/>
        <v>1</v>
      </c>
      <c r="AS1556" s="6" t="str">
        <f t="shared" si="167"/>
        <v>OK</v>
      </c>
      <c r="AU1556" s="202">
        <v>40680</v>
      </c>
      <c r="AV1556" s="262"/>
      <c r="AW1556" s="274"/>
    </row>
    <row r="1557" spans="1:49" s="13" customFormat="1" x14ac:dyDescent="0.2">
      <c r="A1557" s="14">
        <v>1533</v>
      </c>
      <c r="B1557" s="14" t="s">
        <v>624</v>
      </c>
      <c r="C1557" s="8" t="s">
        <v>5197</v>
      </c>
      <c r="D1557" s="4" t="s">
        <v>628</v>
      </c>
      <c r="E1557" s="309" t="s">
        <v>633</v>
      </c>
      <c r="F1557" s="8" t="s">
        <v>2114</v>
      </c>
      <c r="G1557" s="8" t="s">
        <v>4758</v>
      </c>
      <c r="H1557" s="8" t="s">
        <v>4246</v>
      </c>
      <c r="I1557" s="20">
        <v>3.3</v>
      </c>
      <c r="J1557" s="8" t="s">
        <v>4862</v>
      </c>
      <c r="K1557" s="182">
        <v>40810</v>
      </c>
      <c r="L1557" s="8" t="s">
        <v>5743</v>
      </c>
      <c r="M1557" s="8" t="s">
        <v>2814</v>
      </c>
      <c r="N1557" s="38"/>
      <c r="O1557" s="8" t="s">
        <v>3572</v>
      </c>
      <c r="P1557" s="4" t="e">
        <f>VLOOKUP($B1557,'D7 - NDB Impacted SPRF''s'!$E$16:$O$9929,9,FALSE)</f>
        <v>#N/A</v>
      </c>
      <c r="Q1557" s="4" t="e">
        <f>VLOOKUP($B1557,'D7 - NDB Impacted SPRF''s'!$E$16:$O$9929,10,FALSE)</f>
        <v>#N/A</v>
      </c>
      <c r="R1557" s="4" t="e">
        <f>VLOOKUP($B1557,'D7 - NDB Impacted SPRF''s'!$E$16:$O$9929,11,FALSE)</f>
        <v>#N/A</v>
      </c>
      <c r="S1557" s="8"/>
      <c r="T1557" s="310"/>
      <c r="U1557" s="310"/>
      <c r="V1557" s="4"/>
      <c r="W1557" s="4"/>
      <c r="X1557" s="4"/>
      <c r="Y1557" s="4"/>
      <c r="Z1557" s="4"/>
      <c r="AA1557" s="4"/>
      <c r="AB1557" s="383" t="e">
        <f>VLOOKUP($B1557,'D7 - NDB Impacted SPRF''s'!$E$16:$O$9929,4,FALSE)</f>
        <v>#N/A</v>
      </c>
      <c r="AC1557" s="380" t="e">
        <f>VLOOKUP($B1557,'D7 - NDB Impacted SPRF''s'!$E$16:$O$9929,3,FALSE)</f>
        <v>#N/A</v>
      </c>
      <c r="AD1557" s="380" t="e">
        <f>VLOOKUP($B1557,'D7 - NDB Impacted SPRF''s'!$E$16:$O$9929,5,FALSE)</f>
        <v>#N/A</v>
      </c>
      <c r="AE1557" s="380" t="e">
        <f>VLOOKUP($B1557,'D7 - NDB Impacted SPRF''s'!$E$16:$O$9929,7,FALSE)</f>
        <v>#N/A</v>
      </c>
      <c r="AF1557" s="380" t="e">
        <f>VLOOKUP($B1557,'D7 - NDB Impacted SPRF''s'!$E$16:$O$9929,6,FALSE)</f>
        <v>#N/A</v>
      </c>
      <c r="AG1557" s="282"/>
      <c r="AH1557" s="311" t="e">
        <f>INDEX('D5 - Gatekeeper - Projects'!$A$4:$AF$1010,$AM1557, 17)</f>
        <v>#N/A</v>
      </c>
      <c r="AI1557" s="8"/>
      <c r="AJ1557" s="57"/>
      <c r="AK1557" s="105"/>
      <c r="AM1557" s="6" t="e">
        <f>MATCH(D1557,'D5 - Gatekeeper - Projects'!$C$4:$C$1010,0)</f>
        <v>#N/A</v>
      </c>
      <c r="AN1557" s="6" t="b">
        <f t="shared" si="168"/>
        <v>1</v>
      </c>
      <c r="AO1557" s="6" t="str">
        <f t="shared" si="170"/>
        <v>OK</v>
      </c>
      <c r="AQ1557" s="6" t="e">
        <f>MATCH($D1557,'D4 - Provider Council Unsched'!$C$11:$C$234,0)</f>
        <v>#N/A</v>
      </c>
      <c r="AR1557" s="6" t="b">
        <f t="shared" si="169"/>
        <v>1</v>
      </c>
      <c r="AS1557" s="6" t="str">
        <f t="shared" si="167"/>
        <v>OK</v>
      </c>
      <c r="AU1557" s="202">
        <v>40680</v>
      </c>
      <c r="AV1557" s="262"/>
      <c r="AW1557" s="274"/>
    </row>
    <row r="1558" spans="1:49" s="13" customFormat="1" ht="56.25" x14ac:dyDescent="0.2">
      <c r="A1558" s="14">
        <v>1534</v>
      </c>
      <c r="B1558" s="14">
        <v>400037224</v>
      </c>
      <c r="C1558" s="8" t="s">
        <v>2449</v>
      </c>
      <c r="D1558" s="4" t="str">
        <f t="shared" ref="D1558:D1599" si="171">CONCATENATE(B1558,C1558)</f>
        <v>400037224R3</v>
      </c>
      <c r="E1558" s="309" t="str">
        <f>VLOOKUP($B1558,'D7 - NDB Impacted SPRF''s'!$E$6:$O$9929,2,FALSE)</f>
        <v xml:space="preserve">Systems of Record - Data Interface 2011 H1 </v>
      </c>
      <c r="F1558" s="8"/>
      <c r="G1558" s="8" t="s">
        <v>4758</v>
      </c>
      <c r="H1558" s="8" t="s">
        <v>4246</v>
      </c>
      <c r="I1558" s="20">
        <v>52.79</v>
      </c>
      <c r="J1558" s="8" t="s">
        <v>4862</v>
      </c>
      <c r="K1558" s="182">
        <v>40844</v>
      </c>
      <c r="L1558" s="8" t="s">
        <v>4156</v>
      </c>
      <c r="M1558" s="8" t="s">
        <v>2814</v>
      </c>
      <c r="N1558" s="38" t="s">
        <v>2718</v>
      </c>
      <c r="O1558" s="8"/>
      <c r="P1558" s="4" t="str">
        <f>VLOOKUP($B1558,'D7 - NDB Impacted SPRF''s'!$E$16:$O$9929,9,FALSE)</f>
        <v>Y</v>
      </c>
      <c r="Q1558" s="4" t="str">
        <f>VLOOKUP($B1558,'D7 - NDB Impacted SPRF''s'!$E$16:$O$9929,10,FALSE)</f>
        <v>N</v>
      </c>
      <c r="R1558" s="4" t="str">
        <f>VLOOKUP($B1558,'D7 - NDB Impacted SPRF''s'!$E$16:$O$9929,11,FALSE)</f>
        <v>N</v>
      </c>
      <c r="S1558" s="8"/>
      <c r="T1558" s="310"/>
      <c r="U1558" s="310"/>
      <c r="V1558" s="4"/>
      <c r="W1558" s="4"/>
      <c r="X1558" s="4"/>
      <c r="Y1558" s="4"/>
      <c r="Z1558" s="4"/>
      <c r="AA1558" s="4"/>
      <c r="AB1558" s="380" t="str">
        <f>VLOOKUP($B1558,'D7 - NDB Impacted SPRF''s'!$E$6:$O$9929,4,FALSE)</f>
        <v>Completed</v>
      </c>
      <c r="AC1558" s="380" t="str">
        <f>VLOOKUP($B1558,'D7 - NDB Impacted SPRF''s'!$E$6:$O$9929,3,FALSE)</f>
        <v>UHG IT - Shared Services</v>
      </c>
      <c r="AD1558" s="380" t="str">
        <f>VLOOKUP($B1558,'D7 - NDB Impacted SPRF''s'!$E$6:$O$9929,5,FALSE)</f>
        <v>Strategic Initiatives</v>
      </c>
      <c r="AE1558" s="380" t="str">
        <f>VLOOKUP($B1558,'D7 - NDB Impacted SPRF''s'!$E$6:$O$9929,7,FALSE)</f>
        <v>David Albright</v>
      </c>
      <c r="AF1558" s="380" t="str">
        <f>VLOOKUP($B1558,'D7 - NDB Impacted SPRF''s'!$E$6:$O$9929,6,FALSE)</f>
        <v>Stacy Blackstad</v>
      </c>
      <c r="AG1558" s="282"/>
      <c r="AH1558" s="311" t="e">
        <f>INDEX('D5 - Gatekeeper - Projects'!$A$4:$AF$1010,$AM1558, 17)</f>
        <v>#N/A</v>
      </c>
      <c r="AI1558" s="8"/>
      <c r="AJ1558" s="57"/>
      <c r="AK1558" s="105"/>
      <c r="AM1558" s="6" t="e">
        <f>MATCH(D1558,'D5 - Gatekeeper - Projects'!$C$4:$C$1010,0)</f>
        <v>#N/A</v>
      </c>
      <c r="AN1558" s="6" t="b">
        <f t="shared" si="168"/>
        <v>1</v>
      </c>
      <c r="AO1558" s="6" t="str">
        <f t="shared" si="170"/>
        <v>OK</v>
      </c>
      <c r="AQ1558" s="6" t="e">
        <f>MATCH($D1558,'D4 - Provider Council Unsched'!$C$11:$C$234,0)</f>
        <v>#N/A</v>
      </c>
      <c r="AR1558" s="6" t="b">
        <f t="shared" si="169"/>
        <v>1</v>
      </c>
      <c r="AS1558" s="6" t="str">
        <f>IF(AND(H1558="2 - Not Scheduled",AR1558=TRUE,C1558="R1"),"Add","OK")</f>
        <v>OK</v>
      </c>
      <c r="AU1558" s="202">
        <v>40485</v>
      </c>
      <c r="AV1558" s="262" t="s">
        <v>2752</v>
      </c>
      <c r="AW1558" s="274"/>
    </row>
    <row r="1559" spans="1:49" s="13" customFormat="1" ht="45" x14ac:dyDescent="0.2">
      <c r="A1559" s="14">
        <v>1535</v>
      </c>
      <c r="B1559" s="14">
        <v>400033809</v>
      </c>
      <c r="C1559" s="8" t="s">
        <v>5197</v>
      </c>
      <c r="D1559" s="4" t="str">
        <f t="shared" si="171"/>
        <v>400033809R1</v>
      </c>
      <c r="E1559" s="309" t="str">
        <f>VLOOKUP($B1559,'D7 - NDB Impacted SPRF''s'!$E$6:$O$9929,2,FALSE)</f>
        <v>PDR - NDB Data Model Buildout</v>
      </c>
      <c r="F1559" s="8" t="s">
        <v>5595</v>
      </c>
      <c r="G1559" s="8" t="s">
        <v>4758</v>
      </c>
      <c r="H1559" s="8" t="s">
        <v>4246</v>
      </c>
      <c r="I1559" s="20">
        <v>25</v>
      </c>
      <c r="J1559" s="8" t="s">
        <v>4862</v>
      </c>
      <c r="K1559" s="182">
        <v>40859</v>
      </c>
      <c r="L1559" s="8" t="s">
        <v>4156</v>
      </c>
      <c r="M1559" s="8" t="s">
        <v>2814</v>
      </c>
      <c r="N1559" s="38" t="s">
        <v>3599</v>
      </c>
      <c r="O1559" s="8"/>
      <c r="P1559" s="4" t="str">
        <f>VLOOKUP($B1559,'D7 - NDB Impacted SPRF''s'!$E$16:$O$9929,9,FALSE)</f>
        <v>Y</v>
      </c>
      <c r="Q1559" s="4" t="str">
        <f>VLOOKUP($B1559,'D7 - NDB Impacted SPRF''s'!$E$16:$O$9929,10,FALSE)</f>
        <v>N</v>
      </c>
      <c r="R1559" s="4" t="str">
        <f>VLOOKUP($B1559,'D7 - NDB Impacted SPRF''s'!$E$16:$O$9929,11,FALSE)</f>
        <v>N</v>
      </c>
      <c r="S1559" s="8"/>
      <c r="T1559" s="310"/>
      <c r="U1559" s="310"/>
      <c r="V1559" s="4"/>
      <c r="W1559" s="4"/>
      <c r="X1559" s="4"/>
      <c r="Y1559" s="4"/>
      <c r="Z1559" s="4"/>
      <c r="AA1559" s="4"/>
      <c r="AB1559" s="380" t="str">
        <f>VLOOKUP($B1559,'D7 - NDB Impacted SPRF''s'!$E$6:$O$9929,4,FALSE)</f>
        <v>Completed</v>
      </c>
      <c r="AC1559" s="380" t="str">
        <f>VLOOKUP($B1559,'D7 - NDB Impacted SPRF''s'!$E$6:$O$9929,3,FALSE)</f>
        <v>UHG IT - Enterprise Technology Services</v>
      </c>
      <c r="AD1559" s="380" t="str">
        <f>VLOOKUP($B1559,'D7 - NDB Impacted SPRF''s'!$E$6:$O$9929,5,FALSE)</f>
        <v>Strategic Initiatives</v>
      </c>
      <c r="AE1559" s="380" t="str">
        <f>VLOOKUP($B1559,'D7 - NDB Impacted SPRF''s'!$E$6:$O$9929,7,FALSE)</f>
        <v>Dave Wichman</v>
      </c>
      <c r="AF1559" s="380" t="str">
        <f>VLOOKUP($B1559,'D7 - NDB Impacted SPRF''s'!$E$6:$O$9929,6,FALSE)</f>
        <v>Brent Graham</v>
      </c>
      <c r="AG1559" s="282"/>
      <c r="AH1559" s="311" t="e">
        <f>INDEX('D5 - Gatekeeper - Projects'!$A$4:$AF$1010,$AM1559, 17)</f>
        <v>#N/A</v>
      </c>
      <c r="AI1559" s="8"/>
      <c r="AJ1559" s="57"/>
      <c r="AK1559" s="105"/>
      <c r="AM1559" s="6" t="e">
        <f>MATCH(D1559,'D5 - Gatekeeper - Projects'!$C$4:$C$1010,0)</f>
        <v>#N/A</v>
      </c>
      <c r="AN1559" s="6" t="b">
        <f t="shared" si="168"/>
        <v>1</v>
      </c>
      <c r="AO1559" s="6" t="str">
        <f t="shared" si="170"/>
        <v>OK</v>
      </c>
      <c r="AQ1559" s="6" t="e">
        <f>MATCH($D1559,'D4 - Provider Council Unsched'!$C$11:$C$234,0)</f>
        <v>#N/A</v>
      </c>
      <c r="AR1559" s="6" t="b">
        <f t="shared" si="169"/>
        <v>1</v>
      </c>
      <c r="AS1559" s="6" t="str">
        <f>IF(AND(H1559="2 - Not Scheduled",AR1559=TRUE),"Add","OK")</f>
        <v>OK</v>
      </c>
      <c r="AU1559" s="202">
        <v>40276</v>
      </c>
      <c r="AV1559" s="262"/>
      <c r="AW1559" s="274"/>
    </row>
    <row r="1560" spans="1:49" s="13" customFormat="1" ht="45" x14ac:dyDescent="0.2">
      <c r="A1560" s="14">
        <v>1536</v>
      </c>
      <c r="B1560" s="14">
        <v>400033809</v>
      </c>
      <c r="C1560" s="8" t="s">
        <v>3763</v>
      </c>
      <c r="D1560" s="4" t="str">
        <f t="shared" si="171"/>
        <v>400033809R2</v>
      </c>
      <c r="E1560" s="309" t="str">
        <f>VLOOKUP($B1560,'D7 - NDB Impacted SPRF''s'!$E$6:$O$9929,2,FALSE)</f>
        <v>PDR - NDB Data Model Buildout</v>
      </c>
      <c r="F1560" s="8" t="s">
        <v>5595</v>
      </c>
      <c r="G1560" s="8" t="s">
        <v>4758</v>
      </c>
      <c r="H1560" s="8" t="s">
        <v>4246</v>
      </c>
      <c r="I1560" s="20">
        <v>29</v>
      </c>
      <c r="J1560" s="8" t="s">
        <v>4862</v>
      </c>
      <c r="K1560" s="182">
        <v>40859</v>
      </c>
      <c r="L1560" s="8" t="s">
        <v>4156</v>
      </c>
      <c r="M1560" s="8" t="s">
        <v>2814</v>
      </c>
      <c r="N1560" s="38" t="s">
        <v>3599</v>
      </c>
      <c r="O1560" s="8"/>
      <c r="P1560" s="4" t="str">
        <f>VLOOKUP($B1560,'D7 - NDB Impacted SPRF''s'!$E$16:$O$9929,9,FALSE)</f>
        <v>Y</v>
      </c>
      <c r="Q1560" s="4" t="str">
        <f>VLOOKUP($B1560,'D7 - NDB Impacted SPRF''s'!$E$16:$O$9929,10,FALSE)</f>
        <v>N</v>
      </c>
      <c r="R1560" s="4" t="str">
        <f>VLOOKUP($B1560,'D7 - NDB Impacted SPRF''s'!$E$16:$O$9929,11,FALSE)</f>
        <v>N</v>
      </c>
      <c r="S1560" s="8"/>
      <c r="T1560" s="310"/>
      <c r="U1560" s="310"/>
      <c r="V1560" s="4"/>
      <c r="W1560" s="4"/>
      <c r="X1560" s="4"/>
      <c r="Y1560" s="4"/>
      <c r="Z1560" s="4"/>
      <c r="AA1560" s="4"/>
      <c r="AB1560" s="380" t="str">
        <f>VLOOKUP($B1560,'D7 - NDB Impacted SPRF''s'!$E$6:$O$9929,4,FALSE)</f>
        <v>Completed</v>
      </c>
      <c r="AC1560" s="380" t="str">
        <f>VLOOKUP($B1560,'D7 - NDB Impacted SPRF''s'!$E$6:$O$9929,3,FALSE)</f>
        <v>UHG IT - Enterprise Technology Services</v>
      </c>
      <c r="AD1560" s="380" t="str">
        <f>VLOOKUP($B1560,'D7 - NDB Impacted SPRF''s'!$E$6:$O$9929,5,FALSE)</f>
        <v>Strategic Initiatives</v>
      </c>
      <c r="AE1560" s="380" t="str">
        <f>VLOOKUP($B1560,'D7 - NDB Impacted SPRF''s'!$E$6:$O$9929,7,FALSE)</f>
        <v>Dave Wichman</v>
      </c>
      <c r="AF1560" s="380" t="str">
        <f>VLOOKUP($B1560,'D7 - NDB Impacted SPRF''s'!$E$6:$O$9929,6,FALSE)</f>
        <v>Brent Graham</v>
      </c>
      <c r="AG1560" s="282"/>
      <c r="AH1560" s="311" t="e">
        <f>INDEX('D5 - Gatekeeper - Projects'!$A$4:$AF$1010,$AM1560, 17)</f>
        <v>#N/A</v>
      </c>
      <c r="AI1560" s="8"/>
      <c r="AJ1560" s="57"/>
      <c r="AK1560" s="105"/>
      <c r="AM1560" s="6" t="e">
        <f>MATCH(D1560,'D5 - Gatekeeper - Projects'!$C$4:$C$1010,0)</f>
        <v>#N/A</v>
      </c>
      <c r="AN1560" s="6" t="b">
        <f t="shared" si="168"/>
        <v>1</v>
      </c>
      <c r="AO1560" s="6" t="str">
        <f t="shared" si="170"/>
        <v>OK</v>
      </c>
      <c r="AQ1560" s="6" t="e">
        <f>MATCH($D1560,'D4 - Provider Council Unsched'!$C$11:$C$234,0)</f>
        <v>#N/A</v>
      </c>
      <c r="AR1560" s="6" t="b">
        <f t="shared" si="169"/>
        <v>1</v>
      </c>
      <c r="AS1560" s="6" t="str">
        <f>IF(AND(H1560="2 - Not Scheduled",AR1560=TRUE),"Add","OK")</f>
        <v>OK</v>
      </c>
      <c r="AU1560" s="202">
        <v>40276</v>
      </c>
      <c r="AV1560" s="262"/>
      <c r="AW1560" s="274"/>
    </row>
    <row r="1561" spans="1:49" s="13" customFormat="1" ht="45" x14ac:dyDescent="0.2">
      <c r="A1561" s="14">
        <v>1537</v>
      </c>
      <c r="B1561" s="14">
        <v>400033809</v>
      </c>
      <c r="C1561" s="8" t="s">
        <v>2449</v>
      </c>
      <c r="D1561" s="4" t="str">
        <f t="shared" si="171"/>
        <v>400033809R3</v>
      </c>
      <c r="E1561" s="309" t="str">
        <f>VLOOKUP($B1561,'D7 - NDB Impacted SPRF''s'!$E$6:$O$9929,2,FALSE)</f>
        <v>PDR - NDB Data Model Buildout</v>
      </c>
      <c r="F1561" s="8" t="s">
        <v>5595</v>
      </c>
      <c r="G1561" s="8" t="s">
        <v>4758</v>
      </c>
      <c r="H1561" s="8" t="s">
        <v>4246</v>
      </c>
      <c r="I1561" s="20">
        <v>25</v>
      </c>
      <c r="J1561" s="8" t="s">
        <v>4862</v>
      </c>
      <c r="K1561" s="182">
        <v>40859</v>
      </c>
      <c r="L1561" s="8" t="s">
        <v>4156</v>
      </c>
      <c r="M1561" s="8" t="s">
        <v>2814</v>
      </c>
      <c r="N1561" s="38" t="s">
        <v>3599</v>
      </c>
      <c r="O1561" s="8"/>
      <c r="P1561" s="4" t="str">
        <f>VLOOKUP($B1561,'D7 - NDB Impacted SPRF''s'!$E$16:$O$9929,9,FALSE)</f>
        <v>Y</v>
      </c>
      <c r="Q1561" s="4" t="str">
        <f>VLOOKUP($B1561,'D7 - NDB Impacted SPRF''s'!$E$16:$O$9929,10,FALSE)</f>
        <v>N</v>
      </c>
      <c r="R1561" s="4" t="str">
        <f>VLOOKUP($B1561,'D7 - NDB Impacted SPRF''s'!$E$16:$O$9929,11,FALSE)</f>
        <v>N</v>
      </c>
      <c r="S1561" s="8"/>
      <c r="T1561" s="310"/>
      <c r="U1561" s="310"/>
      <c r="V1561" s="4"/>
      <c r="W1561" s="4"/>
      <c r="X1561" s="4"/>
      <c r="Y1561" s="4"/>
      <c r="Z1561" s="4"/>
      <c r="AA1561" s="4"/>
      <c r="AB1561" s="380" t="str">
        <f>VLOOKUP($B1561,'D7 - NDB Impacted SPRF''s'!$E$6:$O$9929,4,FALSE)</f>
        <v>Completed</v>
      </c>
      <c r="AC1561" s="380" t="str">
        <f>VLOOKUP($B1561,'D7 - NDB Impacted SPRF''s'!$E$6:$O$9929,3,FALSE)</f>
        <v>UHG IT - Enterprise Technology Services</v>
      </c>
      <c r="AD1561" s="380" t="str">
        <f>VLOOKUP($B1561,'D7 - NDB Impacted SPRF''s'!$E$6:$O$9929,5,FALSE)</f>
        <v>Strategic Initiatives</v>
      </c>
      <c r="AE1561" s="380" t="str">
        <f>VLOOKUP($B1561,'D7 - NDB Impacted SPRF''s'!$E$6:$O$9929,7,FALSE)</f>
        <v>Dave Wichman</v>
      </c>
      <c r="AF1561" s="380" t="str">
        <f>VLOOKUP($B1561,'D7 - NDB Impacted SPRF''s'!$E$6:$O$9929,6,FALSE)</f>
        <v>Brent Graham</v>
      </c>
      <c r="AG1561" s="282"/>
      <c r="AH1561" s="311" t="e">
        <f>INDEX('D5 - Gatekeeper - Projects'!$A$4:$AF$1010,$AM1561, 17)</f>
        <v>#N/A</v>
      </c>
      <c r="AI1561" s="8"/>
      <c r="AJ1561" s="57"/>
      <c r="AK1561" s="105"/>
      <c r="AM1561" s="6" t="e">
        <f>MATCH(D1561,'D5 - Gatekeeper - Projects'!$C$4:$C$1010,0)</f>
        <v>#N/A</v>
      </c>
      <c r="AN1561" s="6" t="b">
        <f t="shared" si="168"/>
        <v>1</v>
      </c>
      <c r="AO1561" s="6" t="str">
        <f t="shared" si="170"/>
        <v>OK</v>
      </c>
      <c r="AQ1561" s="6" t="e">
        <f>MATCH($D1561,'D4 - Provider Council Unsched'!$C$11:$C$234,0)</f>
        <v>#N/A</v>
      </c>
      <c r="AR1561" s="6" t="b">
        <f t="shared" si="169"/>
        <v>1</v>
      </c>
      <c r="AS1561" s="6" t="str">
        <f>IF(AND(H1561="2 - Not Scheduled",AR1561=TRUE),"Add","OK")</f>
        <v>OK</v>
      </c>
      <c r="AU1561" s="202">
        <v>40276</v>
      </c>
      <c r="AV1561" s="262"/>
      <c r="AW1561" s="274"/>
    </row>
    <row r="1562" spans="1:49" s="13" customFormat="1" ht="45" x14ac:dyDescent="0.2">
      <c r="A1562" s="14">
        <v>1538</v>
      </c>
      <c r="B1562" s="14">
        <v>400033809</v>
      </c>
      <c r="C1562" s="8" t="s">
        <v>4926</v>
      </c>
      <c r="D1562" s="4" t="str">
        <f t="shared" si="171"/>
        <v>400033809R4</v>
      </c>
      <c r="E1562" s="309" t="str">
        <f>VLOOKUP($B1562,'D7 - NDB Impacted SPRF''s'!$E$6:$O$9929,2,FALSE)</f>
        <v>PDR - NDB Data Model Buildout</v>
      </c>
      <c r="F1562" s="8" t="s">
        <v>5595</v>
      </c>
      <c r="G1562" s="8" t="s">
        <v>4758</v>
      </c>
      <c r="H1562" s="8" t="s">
        <v>4246</v>
      </c>
      <c r="I1562" s="20">
        <v>25</v>
      </c>
      <c r="J1562" s="8" t="s">
        <v>4862</v>
      </c>
      <c r="K1562" s="182">
        <v>40859</v>
      </c>
      <c r="L1562" s="8" t="s">
        <v>4156</v>
      </c>
      <c r="M1562" s="8" t="s">
        <v>2814</v>
      </c>
      <c r="N1562" s="38" t="s">
        <v>3599</v>
      </c>
      <c r="O1562" s="8"/>
      <c r="P1562" s="4" t="str">
        <f>VLOOKUP($B1562,'D7 - NDB Impacted SPRF''s'!$E$16:$O$9929,9,FALSE)</f>
        <v>Y</v>
      </c>
      <c r="Q1562" s="4" t="str">
        <f>VLOOKUP($B1562,'D7 - NDB Impacted SPRF''s'!$E$16:$O$9929,10,FALSE)</f>
        <v>N</v>
      </c>
      <c r="R1562" s="4" t="str">
        <f>VLOOKUP($B1562,'D7 - NDB Impacted SPRF''s'!$E$16:$O$9929,11,FALSE)</f>
        <v>N</v>
      </c>
      <c r="S1562" s="8"/>
      <c r="T1562" s="310"/>
      <c r="U1562" s="310"/>
      <c r="V1562" s="4"/>
      <c r="W1562" s="4"/>
      <c r="X1562" s="4"/>
      <c r="Y1562" s="4"/>
      <c r="Z1562" s="4"/>
      <c r="AA1562" s="4"/>
      <c r="AB1562" s="380" t="str">
        <f>VLOOKUP($B1562,'D7 - NDB Impacted SPRF''s'!$E$6:$O$9929,4,FALSE)</f>
        <v>Completed</v>
      </c>
      <c r="AC1562" s="380" t="str">
        <f>VLOOKUP($B1562,'D7 - NDB Impacted SPRF''s'!$E$6:$O$9929,3,FALSE)</f>
        <v>UHG IT - Enterprise Technology Services</v>
      </c>
      <c r="AD1562" s="380" t="str">
        <f>VLOOKUP($B1562,'D7 - NDB Impacted SPRF''s'!$E$6:$O$9929,5,FALSE)</f>
        <v>Strategic Initiatives</v>
      </c>
      <c r="AE1562" s="380" t="str">
        <f>VLOOKUP($B1562,'D7 - NDB Impacted SPRF''s'!$E$6:$O$9929,7,FALSE)</f>
        <v>Dave Wichman</v>
      </c>
      <c r="AF1562" s="380" t="str">
        <f>VLOOKUP($B1562,'D7 - NDB Impacted SPRF''s'!$E$6:$O$9929,6,FALSE)</f>
        <v>Brent Graham</v>
      </c>
      <c r="AG1562" s="282"/>
      <c r="AH1562" s="311" t="e">
        <f>INDEX('D5 - Gatekeeper - Projects'!$A$4:$AF$1010,$AM1562, 17)</f>
        <v>#N/A</v>
      </c>
      <c r="AI1562" s="8"/>
      <c r="AJ1562" s="57"/>
      <c r="AK1562" s="105"/>
      <c r="AM1562" s="6" t="e">
        <f>MATCH(D1562,'D5 - Gatekeeper - Projects'!$C$4:$C$1010,0)</f>
        <v>#N/A</v>
      </c>
      <c r="AN1562" s="6" t="b">
        <f t="shared" si="168"/>
        <v>1</v>
      </c>
      <c r="AO1562" s="6" t="str">
        <f t="shared" si="170"/>
        <v>OK</v>
      </c>
      <c r="AQ1562" s="6" t="e">
        <f>MATCH($D1562,'D4 - Provider Council Unsched'!$C$11:$C$234,0)</f>
        <v>#N/A</v>
      </c>
      <c r="AR1562" s="6" t="b">
        <f t="shared" si="169"/>
        <v>1</v>
      </c>
      <c r="AS1562" s="6" t="str">
        <f>IF(AND(H1562="2 - Not Scheduled",AR1562=TRUE),"Add","OK")</f>
        <v>OK</v>
      </c>
      <c r="AU1562" s="202">
        <v>40276</v>
      </c>
      <c r="AV1562" s="262"/>
      <c r="AW1562" s="274"/>
    </row>
    <row r="1563" spans="1:49" s="13" customFormat="1" ht="33.75" x14ac:dyDescent="0.2">
      <c r="A1563" s="14">
        <v>1539</v>
      </c>
      <c r="B1563" s="8">
        <v>400036284</v>
      </c>
      <c r="C1563" s="8" t="s">
        <v>1447</v>
      </c>
      <c r="D1563" s="4" t="str">
        <f t="shared" si="171"/>
        <v>400036284A</v>
      </c>
      <c r="E1563" s="309" t="str">
        <f>VLOOKUP($B1563,'D7 - NDB Impacted SPRF''s'!$E$6:$O$9929,2,FALSE)</f>
        <v>Global Solutions Claim Payment</v>
      </c>
      <c r="F1563" s="8"/>
      <c r="G1563" s="8" t="s">
        <v>4758</v>
      </c>
      <c r="H1563" s="8" t="s">
        <v>4246</v>
      </c>
      <c r="I1563" s="20">
        <v>0.27</v>
      </c>
      <c r="J1563" s="8" t="s">
        <v>4862</v>
      </c>
      <c r="K1563" s="182">
        <v>40859</v>
      </c>
      <c r="L1563" s="8" t="s">
        <v>4156</v>
      </c>
      <c r="M1563" s="8" t="s">
        <v>5626</v>
      </c>
      <c r="N1563" s="38" t="s">
        <v>2908</v>
      </c>
      <c r="O1563" s="8"/>
      <c r="P1563" s="4" t="str">
        <f>VLOOKUP($B1563,'D7 - NDB Impacted SPRF''s'!$E$16:$O$9929,9,FALSE)</f>
        <v>Y</v>
      </c>
      <c r="Q1563" s="4" t="str">
        <f>VLOOKUP($B1563,'D7 - NDB Impacted SPRF''s'!$E$16:$O$9929,10,FALSE)</f>
        <v>N</v>
      </c>
      <c r="R1563" s="4" t="str">
        <f>VLOOKUP($B1563,'D7 - NDB Impacted SPRF''s'!$E$16:$O$9929,11,FALSE)</f>
        <v>N</v>
      </c>
      <c r="S1563" s="8"/>
      <c r="T1563" s="310"/>
      <c r="U1563" s="310"/>
      <c r="V1563" s="4"/>
      <c r="W1563" s="4"/>
      <c r="X1563" s="4"/>
      <c r="Y1563" s="4"/>
      <c r="Z1563" s="4"/>
      <c r="AA1563" s="4"/>
      <c r="AB1563" s="380" t="str">
        <f>VLOOKUP($B1563,'D7 - NDB Impacted SPRF''s'!$E$6:$O$9929,4,FALSE)</f>
        <v>Completed</v>
      </c>
      <c r="AC1563" s="380" t="str">
        <f>VLOOKUP($B1563,'D7 - NDB Impacted SPRF''s'!$E$6:$O$9929,3,FALSE)</f>
        <v>UHG Corporate</v>
      </c>
      <c r="AD1563" s="380" t="str">
        <f>VLOOKUP($B1563,'D7 - NDB Impacted SPRF''s'!$E$6:$O$9929,5,FALSE)</f>
        <v>Corporate</v>
      </c>
      <c r="AE1563" s="380" t="str">
        <f>VLOOKUP($B1563,'D7 - NDB Impacted SPRF''s'!$E$6:$O$9929,7,FALSE)</f>
        <v>Ori Karev</v>
      </c>
      <c r="AF1563" s="380" t="str">
        <f>VLOOKUP($B1563,'D7 - NDB Impacted SPRF''s'!$E$6:$O$9929,6,FALSE)</f>
        <v>Steven Kmoch</v>
      </c>
      <c r="AG1563" s="282"/>
      <c r="AH1563" s="311" t="e">
        <f>INDEX('D5 - Gatekeeper - Projects'!$A$4:$AF$1010,$AM1563, 17)</f>
        <v>#N/A</v>
      </c>
      <c r="AI1563" s="8"/>
      <c r="AJ1563" s="57"/>
      <c r="AK1563" s="105"/>
      <c r="AM1563" s="6" t="e">
        <f>MATCH(D1563,'D5 - Gatekeeper - Projects'!$C$4:$C$1010,0)</f>
        <v>#N/A</v>
      </c>
      <c r="AN1563" s="6" t="b">
        <f t="shared" si="168"/>
        <v>1</v>
      </c>
      <c r="AO1563" s="6" t="str">
        <f t="shared" si="170"/>
        <v>OK</v>
      </c>
      <c r="AQ1563" s="6" t="e">
        <f>MATCH($D1563,'D4 - Provider Council Unsched'!$C$11:$C$234,0)</f>
        <v>#N/A</v>
      </c>
      <c r="AR1563" s="6" t="b">
        <f t="shared" si="169"/>
        <v>1</v>
      </c>
      <c r="AS1563" s="6" t="str">
        <f t="shared" ref="AS1563:AS1599" si="172">IF(AND(H1563="2 - Not Scheduled",AR1563=TRUE,C1563="R1"),"Add","OK")</f>
        <v>OK</v>
      </c>
      <c r="AU1563" s="202"/>
      <c r="AV1563" s="262"/>
      <c r="AW1563" s="274"/>
    </row>
    <row r="1564" spans="1:49" s="13" customFormat="1" ht="22.5" x14ac:dyDescent="0.2">
      <c r="A1564" s="14">
        <v>1540</v>
      </c>
      <c r="B1564" s="14">
        <v>400037131</v>
      </c>
      <c r="C1564" s="8" t="s">
        <v>2449</v>
      </c>
      <c r="D1564" s="4" t="str">
        <f t="shared" si="171"/>
        <v>400037131R3</v>
      </c>
      <c r="E1564" s="309" t="str">
        <f>VLOOKUP($B1564,'D7 - NDB Impacted SPRF''s'!$E$6:$O$9929,2,FALSE)</f>
        <v>OHBS Parity Process Improvement</v>
      </c>
      <c r="F1564" s="8"/>
      <c r="G1564" s="8" t="s">
        <v>4758</v>
      </c>
      <c r="H1564" s="8" t="s">
        <v>4246</v>
      </c>
      <c r="I1564" s="20">
        <v>0.8</v>
      </c>
      <c r="J1564" s="8" t="s">
        <v>4862</v>
      </c>
      <c r="K1564" s="182">
        <v>40859</v>
      </c>
      <c r="L1564" s="8" t="s">
        <v>4156</v>
      </c>
      <c r="M1564" s="8" t="s">
        <v>5626</v>
      </c>
      <c r="N1564" s="38" t="s">
        <v>1318</v>
      </c>
      <c r="O1564" s="8"/>
      <c r="P1564" s="4" t="str">
        <f>VLOOKUP($B1564,'D7 - NDB Impacted SPRF''s'!$E$16:$O$9929,9,FALSE)</f>
        <v>Y</v>
      </c>
      <c r="Q1564" s="4" t="str">
        <f>VLOOKUP($B1564,'D7 - NDB Impacted SPRF''s'!$E$16:$O$9929,10,FALSE)</f>
        <v>N</v>
      </c>
      <c r="R1564" s="4" t="str">
        <f>VLOOKUP($B1564,'D7 - NDB Impacted SPRF''s'!$E$16:$O$9929,11,FALSE)</f>
        <v>N</v>
      </c>
      <c r="S1564" s="8"/>
      <c r="T1564" s="310"/>
      <c r="U1564" s="310"/>
      <c r="V1564" s="4"/>
      <c r="W1564" s="4"/>
      <c r="X1564" s="4"/>
      <c r="Y1564" s="4"/>
      <c r="Z1564" s="4"/>
      <c r="AA1564" s="4"/>
      <c r="AB1564" s="380" t="str">
        <f>VLOOKUP($B1564,'D7 - NDB Impacted SPRF''s'!$E$6:$O$9929,4,FALSE)</f>
        <v>Completed</v>
      </c>
      <c r="AC1564" s="380" t="str">
        <f>VLOOKUP($B1564,'D7 - NDB Impacted SPRF''s'!$E$6:$O$9929,3,FALSE)</f>
        <v>OptumHealth</v>
      </c>
      <c r="AD1564" s="380" t="str">
        <f>VLOOKUP($B1564,'D7 - NDB Impacted SPRF''s'!$E$6:$O$9929,5,FALSE)</f>
        <v>Behavioral Solutions</v>
      </c>
      <c r="AE1564" s="380" t="str">
        <f>VLOOKUP($B1564,'D7 - NDB Impacted SPRF''s'!$E$6:$O$9929,7,FALSE)</f>
        <v>Robert Preston</v>
      </c>
      <c r="AF1564" s="380" t="str">
        <f>VLOOKUP($B1564,'D7 - NDB Impacted SPRF''s'!$E$6:$O$9929,6,FALSE)</f>
        <v>Rebecca Embry</v>
      </c>
      <c r="AG1564" s="282"/>
      <c r="AH1564" s="311" t="e">
        <f>INDEX('D5 - Gatekeeper - Projects'!$A$4:$AF$1010,$AM1564, 17)</f>
        <v>#N/A</v>
      </c>
      <c r="AI1564" s="8"/>
      <c r="AJ1564" s="57"/>
      <c r="AK1564" s="105"/>
      <c r="AM1564" s="6" t="e">
        <f>MATCH(D1564,'D5 - Gatekeeper - Projects'!$C$4:$C$1010,0)</f>
        <v>#N/A</v>
      </c>
      <c r="AN1564" s="6" t="b">
        <f t="shared" si="168"/>
        <v>1</v>
      </c>
      <c r="AO1564" s="6" t="str">
        <f t="shared" si="170"/>
        <v>OK</v>
      </c>
      <c r="AQ1564" s="6" t="e">
        <f>MATCH($D1564,'D4 - Provider Council Unsched'!$C$11:$C$234,0)</f>
        <v>#N/A</v>
      </c>
      <c r="AR1564" s="6" t="b">
        <f t="shared" si="169"/>
        <v>1</v>
      </c>
      <c r="AS1564" s="6" t="str">
        <f t="shared" si="172"/>
        <v>OK</v>
      </c>
      <c r="AU1564" s="202">
        <v>40802</v>
      </c>
      <c r="AV1564" s="262"/>
      <c r="AW1564" s="274"/>
    </row>
    <row r="1565" spans="1:49" s="13" customFormat="1" ht="45" x14ac:dyDescent="0.2">
      <c r="A1565" s="14">
        <v>1541</v>
      </c>
      <c r="B1565" s="14">
        <v>400037515</v>
      </c>
      <c r="C1565" s="8" t="s">
        <v>5197</v>
      </c>
      <c r="D1565" s="4" t="str">
        <f t="shared" si="171"/>
        <v>400037515R1</v>
      </c>
      <c r="E1565" s="309" t="str">
        <f>VLOOKUP($B1565,'D7 - NDB Impacted SPRF''s'!$E$6:$O$9929,2,FALSE)</f>
        <v>OHBS MNAUC 837 5010</v>
      </c>
      <c r="F1565" s="8"/>
      <c r="G1565" s="8" t="s">
        <v>4758</v>
      </c>
      <c r="H1565" s="8" t="s">
        <v>4246</v>
      </c>
      <c r="I1565" s="20">
        <v>0.53</v>
      </c>
      <c r="J1565" s="8" t="s">
        <v>4862</v>
      </c>
      <c r="K1565" s="182">
        <v>40859</v>
      </c>
      <c r="L1565" s="8" t="s">
        <v>4156</v>
      </c>
      <c r="M1565" s="8" t="s">
        <v>5626</v>
      </c>
      <c r="N1565" s="38" t="s">
        <v>2909</v>
      </c>
      <c r="O1565" s="8"/>
      <c r="P1565" s="4" t="str">
        <f>VLOOKUP($B1565,'D7 - NDB Impacted SPRF''s'!$E$16:$O$9929,9,FALSE)</f>
        <v>N</v>
      </c>
      <c r="Q1565" s="4" t="str">
        <f>VLOOKUP($B1565,'D7 - NDB Impacted SPRF''s'!$E$16:$O$9929,10,FALSE)</f>
        <v>N</v>
      </c>
      <c r="R1565" s="4" t="str">
        <f>VLOOKUP($B1565,'D7 - NDB Impacted SPRF''s'!$E$16:$O$9929,11,FALSE)</f>
        <v>N</v>
      </c>
      <c r="S1565" s="8"/>
      <c r="T1565" s="310"/>
      <c r="U1565" s="310"/>
      <c r="V1565" s="4"/>
      <c r="W1565" s="4"/>
      <c r="X1565" s="4"/>
      <c r="Y1565" s="4"/>
      <c r="Z1565" s="4"/>
      <c r="AA1565" s="4"/>
      <c r="AB1565" s="380" t="str">
        <f>VLOOKUP($B1565,'D7 - NDB Impacted SPRF''s'!$E$6:$O$9929,4,FALSE)</f>
        <v>Completed</v>
      </c>
      <c r="AC1565" s="380" t="str">
        <f>VLOOKUP($B1565,'D7 - NDB Impacted SPRF''s'!$E$6:$O$9929,3,FALSE)</f>
        <v>OptumHealth</v>
      </c>
      <c r="AD1565" s="380" t="str">
        <f>VLOOKUP($B1565,'D7 - NDB Impacted SPRF''s'!$E$6:$O$9929,5,FALSE)</f>
        <v>Behavioral Solutions</v>
      </c>
      <c r="AE1565" s="380" t="str">
        <f>VLOOKUP($B1565,'D7 - NDB Impacted SPRF''s'!$E$6:$O$9929,7,FALSE)</f>
        <v>Lloyd Dyer</v>
      </c>
      <c r="AF1565" s="380" t="str">
        <f>VLOOKUP($B1565,'D7 - NDB Impacted SPRF''s'!$E$6:$O$9929,6,FALSE)</f>
        <v>Pujji Anu</v>
      </c>
      <c r="AG1565" s="282"/>
      <c r="AH1565" s="311" t="e">
        <f>INDEX('D5 - Gatekeeper - Projects'!$A$4:$AF$1010,$AM1565, 17)</f>
        <v>#N/A</v>
      </c>
      <c r="AI1565" s="8"/>
      <c r="AJ1565" s="57"/>
      <c r="AK1565" s="105"/>
      <c r="AM1565" s="6" t="e">
        <f>MATCH(D1565,'D5 - Gatekeeper - Projects'!$C$4:$C$1010,0)</f>
        <v>#N/A</v>
      </c>
      <c r="AN1565" s="6" t="b">
        <f t="shared" si="168"/>
        <v>1</v>
      </c>
      <c r="AO1565" s="6" t="str">
        <f t="shared" si="170"/>
        <v>OK</v>
      </c>
      <c r="AQ1565" s="6" t="e">
        <f>MATCH($D1565,'D4 - Provider Council Unsched'!$C$11:$C$234,0)</f>
        <v>#N/A</v>
      </c>
      <c r="AR1565" s="6" t="b">
        <f t="shared" si="169"/>
        <v>1</v>
      </c>
      <c r="AS1565" s="6" t="str">
        <f t="shared" si="172"/>
        <v>OK</v>
      </c>
      <c r="AU1565" s="202">
        <v>40556</v>
      </c>
      <c r="AV1565" s="262"/>
      <c r="AW1565" s="274"/>
    </row>
    <row r="1566" spans="1:49" s="13" customFormat="1" ht="33.75" x14ac:dyDescent="0.2">
      <c r="A1566" s="14">
        <v>1542</v>
      </c>
      <c r="B1566" s="14">
        <v>400037865</v>
      </c>
      <c r="C1566" s="8" t="s">
        <v>3763</v>
      </c>
      <c r="D1566" s="4" t="str">
        <f t="shared" si="171"/>
        <v>400037865R2</v>
      </c>
      <c r="E1566" s="309" t="str">
        <f>VLOOKUP($B1566,'D7 - NDB Impacted SPRF''s'!$E$6:$O$9929,2,FALSE)</f>
        <v>OneNet Migration - Analysis and Development</v>
      </c>
      <c r="F1566" s="8" t="s">
        <v>1931</v>
      </c>
      <c r="G1566" s="8" t="s">
        <v>4758</v>
      </c>
      <c r="H1566" s="8" t="s">
        <v>4246</v>
      </c>
      <c r="I1566" s="20">
        <v>15.57</v>
      </c>
      <c r="J1566" s="8" t="s">
        <v>4862</v>
      </c>
      <c r="K1566" s="182">
        <v>40859</v>
      </c>
      <c r="L1566" s="8" t="s">
        <v>4156</v>
      </c>
      <c r="M1566" s="8" t="s">
        <v>2814</v>
      </c>
      <c r="N1566" s="38" t="s">
        <v>165</v>
      </c>
      <c r="O1566" s="8"/>
      <c r="P1566" s="4" t="str">
        <f>VLOOKUP($B1566,'D7 - NDB Impacted SPRF''s'!$E$16:$O$9929,9,FALSE)</f>
        <v>Y</v>
      </c>
      <c r="Q1566" s="4" t="str">
        <f>VLOOKUP($B1566,'D7 - NDB Impacted SPRF''s'!$E$16:$O$9929,10,FALSE)</f>
        <v>N</v>
      </c>
      <c r="R1566" s="4" t="str">
        <f>VLOOKUP($B1566,'D7 - NDB Impacted SPRF''s'!$E$16:$O$9929,11,FALSE)</f>
        <v>Y</v>
      </c>
      <c r="S1566" s="8"/>
      <c r="T1566" s="310"/>
      <c r="U1566" s="310"/>
      <c r="V1566" s="4"/>
      <c r="W1566" s="4"/>
      <c r="X1566" s="4"/>
      <c r="Y1566" s="4"/>
      <c r="Z1566" s="4"/>
      <c r="AA1566" s="4"/>
      <c r="AB1566" s="380" t="str">
        <f>VLOOKUP($B1566,'D7 - NDB Impacted SPRF''s'!$E$6:$O$9929,4,FALSE)</f>
        <v>Scheduled</v>
      </c>
      <c r="AC1566" s="380" t="str">
        <f>VLOOKUP($B1566,'D7 - NDB Impacted SPRF''s'!$E$6:$O$9929,3,FALSE)</f>
        <v>UnitedHealthcare Employer &amp; Individual</v>
      </c>
      <c r="AD1566" s="380" t="str">
        <f>VLOOKUP($B1566,'D7 - NDB Impacted SPRF''s'!$E$6:$O$9929,5,FALSE)</f>
        <v>Integration Requirements</v>
      </c>
      <c r="AE1566" s="380" t="str">
        <f>VLOOKUP($B1566,'D7 - NDB Impacted SPRF''s'!$E$6:$O$9929,7,FALSE)</f>
        <v>Jim Cronin</v>
      </c>
      <c r="AF1566" s="380" t="str">
        <f>VLOOKUP($B1566,'D7 - NDB Impacted SPRF''s'!$E$6:$O$9929,6,FALSE)</f>
        <v>VERONICA BELL</v>
      </c>
      <c r="AG1566" s="282"/>
      <c r="AH1566" s="311" t="e">
        <f>INDEX('D5 - Gatekeeper - Projects'!$A$4:$AF$1010,$AM1566, 17)</f>
        <v>#N/A</v>
      </c>
      <c r="AI1566" s="8"/>
      <c r="AJ1566" s="57"/>
      <c r="AK1566" s="105"/>
      <c r="AM1566" s="6" t="e">
        <f>MATCH(D1566,'D5 - Gatekeeper - Projects'!$C$4:$C$1010,0)</f>
        <v>#N/A</v>
      </c>
      <c r="AN1566" s="6" t="b">
        <f t="shared" si="168"/>
        <v>1</v>
      </c>
      <c r="AO1566" s="6" t="str">
        <f t="shared" si="170"/>
        <v>OK</v>
      </c>
      <c r="AQ1566" s="6" t="e">
        <f>MATCH($D1566,'D4 - Provider Council Unsched'!$C$11:$C$234,0)</f>
        <v>#N/A</v>
      </c>
      <c r="AR1566" s="6" t="b">
        <f t="shared" si="169"/>
        <v>1</v>
      </c>
      <c r="AS1566" s="6" t="str">
        <f t="shared" si="172"/>
        <v>OK</v>
      </c>
      <c r="AU1566" s="202">
        <v>40680</v>
      </c>
      <c r="AV1566" s="262"/>
      <c r="AW1566" s="274"/>
    </row>
    <row r="1567" spans="1:49" s="13" customFormat="1" ht="33.75" x14ac:dyDescent="0.2">
      <c r="A1567" s="14">
        <v>1543</v>
      </c>
      <c r="B1567" s="8">
        <v>400037964</v>
      </c>
      <c r="C1567" s="8" t="s">
        <v>1447</v>
      </c>
      <c r="D1567" s="4" t="str">
        <f t="shared" si="171"/>
        <v>400037964A</v>
      </c>
      <c r="E1567" s="309" t="str">
        <f>VLOOKUP($B1567,'D7 - NDB Impacted SPRF''s'!$E$6:$O$9929,2,FALSE)</f>
        <v xml:space="preserve">MNRP - Override codes </v>
      </c>
      <c r="F1567" s="8"/>
      <c r="G1567" s="8" t="s">
        <v>4758</v>
      </c>
      <c r="H1567" s="8" t="s">
        <v>4246</v>
      </c>
      <c r="I1567" s="20">
        <v>0.33</v>
      </c>
      <c r="J1567" s="8" t="s">
        <v>4862</v>
      </c>
      <c r="K1567" s="182">
        <v>40859</v>
      </c>
      <c r="L1567" s="8" t="s">
        <v>4156</v>
      </c>
      <c r="M1567" s="8" t="s">
        <v>5626</v>
      </c>
      <c r="N1567" s="38" t="s">
        <v>1875</v>
      </c>
      <c r="O1567" s="8"/>
      <c r="P1567" s="4" t="str">
        <f>VLOOKUP($B1567,'D7 - NDB Impacted SPRF''s'!$E$16:$O$9929,9,FALSE)</f>
        <v>Y</v>
      </c>
      <c r="Q1567" s="4" t="str">
        <f>VLOOKUP($B1567,'D7 - NDB Impacted SPRF''s'!$E$16:$O$9929,10,FALSE)</f>
        <v>N</v>
      </c>
      <c r="R1567" s="4" t="str">
        <f>VLOOKUP($B1567,'D7 - NDB Impacted SPRF''s'!$E$16:$O$9929,11,FALSE)</f>
        <v>N</v>
      </c>
      <c r="S1567" s="8"/>
      <c r="T1567" s="310"/>
      <c r="U1567" s="310"/>
      <c r="V1567" s="4"/>
      <c r="W1567" s="4"/>
      <c r="X1567" s="4"/>
      <c r="Y1567" s="4"/>
      <c r="Z1567" s="4"/>
      <c r="AA1567" s="4"/>
      <c r="AB1567" s="380" t="str">
        <f>VLOOKUP($B1567,'D7 - NDB Impacted SPRF''s'!$E$6:$O$9929,4,FALSE)</f>
        <v>Completed</v>
      </c>
      <c r="AC1567" s="380" t="str">
        <f>VLOOKUP($B1567,'D7 - NDB Impacted SPRF''s'!$E$6:$O$9929,3,FALSE)</f>
        <v>UnitedHealthcare Employer &amp; Individual</v>
      </c>
      <c r="AD1567" s="380" t="str">
        <f>VLOOKUP($B1567,'D7 - NDB Impacted SPRF''s'!$E$6:$O$9929,5,FALSE)</f>
        <v>Medical Cost Savings Programs</v>
      </c>
      <c r="AE1567" s="380" t="str">
        <f>VLOOKUP($B1567,'D7 - NDB Impacted SPRF''s'!$E$6:$O$9929,7,FALSE)</f>
        <v>Peterson, Sarah</v>
      </c>
      <c r="AF1567" s="380" t="str">
        <f>VLOOKUP($B1567,'D7 - NDB Impacted SPRF''s'!$E$6:$O$9929,6,FALSE)</f>
        <v>LARSON CAROLYN</v>
      </c>
      <c r="AG1567" s="282"/>
      <c r="AH1567" s="311" t="e">
        <f>INDEX('D5 - Gatekeeper - Projects'!$A$4:$AF$1010,$AM1567, 17)</f>
        <v>#N/A</v>
      </c>
      <c r="AI1567" s="8"/>
      <c r="AJ1567" s="57"/>
      <c r="AK1567" s="105"/>
      <c r="AM1567" s="6" t="e">
        <f>MATCH(D1567,'D5 - Gatekeeper - Projects'!$C$4:$C$1010,0)</f>
        <v>#N/A</v>
      </c>
      <c r="AN1567" s="6" t="b">
        <f t="shared" si="168"/>
        <v>1</v>
      </c>
      <c r="AO1567" s="6" t="str">
        <f t="shared" si="170"/>
        <v>OK</v>
      </c>
      <c r="AQ1567" s="6" t="e">
        <f>MATCH($D1567,'D4 - Provider Council Unsched'!$C$11:$C$234,0)</f>
        <v>#N/A</v>
      </c>
      <c r="AR1567" s="6" t="b">
        <f t="shared" si="169"/>
        <v>1</v>
      </c>
      <c r="AS1567" s="6" t="str">
        <f t="shared" si="172"/>
        <v>OK</v>
      </c>
      <c r="AU1567" s="202">
        <v>40770</v>
      </c>
      <c r="AV1567" s="262"/>
      <c r="AW1567" s="274"/>
    </row>
    <row r="1568" spans="1:49" s="13" customFormat="1" ht="33.75" x14ac:dyDescent="0.2">
      <c r="A1568" s="14">
        <v>1544</v>
      </c>
      <c r="B1568" s="14">
        <v>400038468</v>
      </c>
      <c r="C1568" s="8" t="s">
        <v>5197</v>
      </c>
      <c r="D1568" s="4" t="str">
        <f t="shared" si="171"/>
        <v>400038468R1</v>
      </c>
      <c r="E1568" s="309" t="str">
        <f>VLOOKUP($B1568,'D7 - NDB Impacted SPRF''s'!$E$6:$O$9929,2,FALSE)</f>
        <v>iCES Clearinghouse November 2011 Maint.Release</v>
      </c>
      <c r="F1568" s="8"/>
      <c r="G1568" s="8" t="s">
        <v>4758</v>
      </c>
      <c r="H1568" s="8" t="s">
        <v>4246</v>
      </c>
      <c r="I1568" s="20">
        <v>0.13333333333333333</v>
      </c>
      <c r="J1568" s="8" t="s">
        <v>4862</v>
      </c>
      <c r="K1568" s="182">
        <v>40859</v>
      </c>
      <c r="L1568" s="8" t="s">
        <v>4156</v>
      </c>
      <c r="M1568" s="8" t="s">
        <v>5626</v>
      </c>
      <c r="N1568" s="38" t="s">
        <v>2912</v>
      </c>
      <c r="O1568" s="8"/>
      <c r="P1568" s="4" t="str">
        <f>VLOOKUP($B1568,'D7 - NDB Impacted SPRF''s'!$E$16:$O$9929,9,FALSE)</f>
        <v>N</v>
      </c>
      <c r="Q1568" s="4" t="str">
        <f>VLOOKUP($B1568,'D7 - NDB Impacted SPRF''s'!$E$16:$O$9929,10,FALSE)</f>
        <v>N</v>
      </c>
      <c r="R1568" s="4" t="str">
        <f>VLOOKUP($B1568,'D7 - NDB Impacted SPRF''s'!$E$16:$O$9929,11,FALSE)</f>
        <v>N</v>
      </c>
      <c r="S1568" s="8"/>
      <c r="T1568" s="310"/>
      <c r="U1568" s="310"/>
      <c r="V1568" s="4"/>
      <c r="W1568" s="4"/>
      <c r="X1568" s="4"/>
      <c r="Y1568" s="4"/>
      <c r="Z1568" s="4"/>
      <c r="AA1568" s="4"/>
      <c r="AB1568" s="380" t="str">
        <f>VLOOKUP($B1568,'D7 - NDB Impacted SPRF''s'!$E$6:$O$9929,4,FALSE)</f>
        <v>Completed</v>
      </c>
      <c r="AC1568" s="380" t="str">
        <f>VLOOKUP($B1568,'D7 - NDB Impacted SPRF''s'!$E$6:$O$9929,3,FALSE)</f>
        <v>UnitedHealthcare Employer &amp; Individual</v>
      </c>
      <c r="AD1568" s="380" t="str">
        <f>VLOOKUP($B1568,'D7 - NDB Impacted SPRF''s'!$E$6:$O$9929,5,FALSE)</f>
        <v>Operational Requirements</v>
      </c>
      <c r="AE1568" s="380" t="str">
        <f>VLOOKUP($B1568,'D7 - NDB Impacted SPRF''s'!$E$6:$O$9929,7,FALSE)</f>
        <v>Lisa McDonnel</v>
      </c>
      <c r="AF1568" s="380" t="str">
        <f>VLOOKUP($B1568,'D7 - NDB Impacted SPRF''s'!$E$6:$O$9929,6,FALSE)</f>
        <v>DAWN BOLLER</v>
      </c>
      <c r="AG1568" s="282"/>
      <c r="AH1568" s="311" t="e">
        <f>INDEX('D5 - Gatekeeper - Projects'!$A$4:$AF$1010,$AM1568, 17)</f>
        <v>#N/A</v>
      </c>
      <c r="AI1568" s="8"/>
      <c r="AJ1568" s="57"/>
      <c r="AK1568" s="105"/>
      <c r="AM1568" s="6" t="e">
        <f>MATCH(D1568,'D5 - Gatekeeper - Projects'!$C$4:$C$1010,0)</f>
        <v>#N/A</v>
      </c>
      <c r="AN1568" s="6" t="b">
        <f t="shared" si="168"/>
        <v>1</v>
      </c>
      <c r="AO1568" s="6" t="str">
        <f t="shared" si="170"/>
        <v>OK</v>
      </c>
      <c r="AQ1568" s="6" t="e">
        <f>MATCH($D1568,'D4 - Provider Council Unsched'!$C$11:$C$234,0)</f>
        <v>#N/A</v>
      </c>
      <c r="AR1568" s="6" t="b">
        <f t="shared" si="169"/>
        <v>1</v>
      </c>
      <c r="AS1568" s="6" t="str">
        <f t="shared" si="172"/>
        <v>OK</v>
      </c>
      <c r="AU1568" s="202">
        <v>40556</v>
      </c>
      <c r="AV1568" s="262"/>
      <c r="AW1568" s="274"/>
    </row>
    <row r="1569" spans="1:49" s="13" customFormat="1" ht="33.75" x14ac:dyDescent="0.2">
      <c r="A1569" s="14">
        <v>1545</v>
      </c>
      <c r="B1569" s="8">
        <v>400038608</v>
      </c>
      <c r="C1569" s="8" t="s">
        <v>1447</v>
      </c>
      <c r="D1569" s="4" t="str">
        <f t="shared" si="171"/>
        <v>400038608A</v>
      </c>
      <c r="E1569" s="309" t="str">
        <f>VLOOKUP($B1569,'D7 - NDB Impacted SPRF''s'!$E$6:$O$9929,2,FALSE)</f>
        <v>ICUE Q4 2011 Release</v>
      </c>
      <c r="F1569" s="8"/>
      <c r="G1569" s="8" t="s">
        <v>4758</v>
      </c>
      <c r="H1569" s="8" t="s">
        <v>4246</v>
      </c>
      <c r="I1569" s="20">
        <v>0.6</v>
      </c>
      <c r="J1569" s="8" t="s">
        <v>4862</v>
      </c>
      <c r="K1569" s="182">
        <v>40859</v>
      </c>
      <c r="L1569" s="8" t="s">
        <v>4156</v>
      </c>
      <c r="M1569" s="8" t="s">
        <v>5626</v>
      </c>
      <c r="N1569" s="38" t="s">
        <v>2256</v>
      </c>
      <c r="O1569" s="8"/>
      <c r="P1569" s="4" t="str">
        <f>VLOOKUP($B1569,'D7 - NDB Impacted SPRF''s'!$E$16:$O$9929,9,FALSE)</f>
        <v>Y</v>
      </c>
      <c r="Q1569" s="4" t="str">
        <f>VLOOKUP($B1569,'D7 - NDB Impacted SPRF''s'!$E$16:$O$9929,10,FALSE)</f>
        <v>N</v>
      </c>
      <c r="R1569" s="4" t="str">
        <f>VLOOKUP($B1569,'D7 - NDB Impacted SPRF''s'!$E$16:$O$9929,11,FALSE)</f>
        <v>N</v>
      </c>
      <c r="S1569" s="8"/>
      <c r="T1569" s="310"/>
      <c r="U1569" s="310"/>
      <c r="V1569" s="4"/>
      <c r="W1569" s="4"/>
      <c r="X1569" s="4"/>
      <c r="Y1569" s="4"/>
      <c r="Z1569" s="4"/>
      <c r="AA1569" s="4"/>
      <c r="AB1569" s="380" t="str">
        <f>VLOOKUP($B1569,'D7 - NDB Impacted SPRF''s'!$E$6:$O$9929,4,FALSE)</f>
        <v>Completed</v>
      </c>
      <c r="AC1569" s="380" t="str">
        <f>VLOOKUP($B1569,'D7 - NDB Impacted SPRF''s'!$E$6:$O$9929,3,FALSE)</f>
        <v>UnitedHealthcare Employer &amp; Individual</v>
      </c>
      <c r="AD1569" s="380" t="str">
        <f>VLOOKUP($B1569,'D7 - NDB Impacted SPRF''s'!$E$6:$O$9929,5,FALSE)</f>
        <v>Medical Cost Savings Programs</v>
      </c>
      <c r="AE1569" s="380" t="str">
        <f>VLOOKUP($B1569,'D7 - NDB Impacted SPRF''s'!$E$6:$O$9929,7,FALSE)</f>
        <v>Ellen Koch</v>
      </c>
      <c r="AF1569" s="380" t="str">
        <f>VLOOKUP($B1569,'D7 - NDB Impacted SPRF''s'!$E$6:$O$9929,6,FALSE)</f>
        <v>Carol Buske</v>
      </c>
      <c r="AG1569" s="282"/>
      <c r="AH1569" s="311" t="e">
        <f>INDEX('D5 - Gatekeeper - Projects'!$A$4:$AF$1010,$AM1569, 17)</f>
        <v>#N/A</v>
      </c>
      <c r="AI1569" s="8"/>
      <c r="AJ1569" s="57"/>
      <c r="AK1569" s="105"/>
      <c r="AM1569" s="6" t="e">
        <f>MATCH(D1569,'D5 - Gatekeeper - Projects'!$C$4:$C$1010,0)</f>
        <v>#N/A</v>
      </c>
      <c r="AN1569" s="6" t="b">
        <f t="shared" si="168"/>
        <v>1</v>
      </c>
      <c r="AO1569" s="6" t="str">
        <f t="shared" si="170"/>
        <v>OK</v>
      </c>
      <c r="AQ1569" s="6" t="e">
        <f>MATCH($D1569,'D4 - Provider Council Unsched'!$C$11:$C$234,0)</f>
        <v>#N/A</v>
      </c>
      <c r="AR1569" s="6" t="b">
        <f t="shared" si="169"/>
        <v>1</v>
      </c>
      <c r="AS1569" s="6" t="str">
        <f t="shared" si="172"/>
        <v>OK</v>
      </c>
      <c r="AU1569" s="202">
        <v>40690</v>
      </c>
      <c r="AV1569" s="262"/>
      <c r="AW1569" s="274"/>
    </row>
    <row r="1570" spans="1:49" s="13" customFormat="1" ht="33.75" x14ac:dyDescent="0.2">
      <c r="A1570" s="14">
        <v>1546</v>
      </c>
      <c r="B1570" s="8">
        <v>400038608</v>
      </c>
      <c r="C1570" s="8" t="s">
        <v>7290</v>
      </c>
      <c r="D1570" s="4" t="str">
        <f t="shared" si="171"/>
        <v>400038608B</v>
      </c>
      <c r="E1570" s="309" t="str">
        <f>VLOOKUP($B1570,'D7 - NDB Impacted SPRF''s'!$E$6:$O$9929,2,FALSE)</f>
        <v>ICUE Q4 2011 Release</v>
      </c>
      <c r="F1570" s="8"/>
      <c r="G1570" s="8" t="s">
        <v>4758</v>
      </c>
      <c r="H1570" s="8" t="s">
        <v>4246</v>
      </c>
      <c r="I1570" s="20">
        <v>5.3</v>
      </c>
      <c r="J1570" s="8" t="s">
        <v>4862</v>
      </c>
      <c r="K1570" s="182">
        <v>40859</v>
      </c>
      <c r="L1570" s="8" t="s">
        <v>4156</v>
      </c>
      <c r="M1570" s="8" t="s">
        <v>2814</v>
      </c>
      <c r="N1570" s="38" t="s">
        <v>799</v>
      </c>
      <c r="O1570" s="8"/>
      <c r="P1570" s="4" t="str">
        <f>VLOOKUP($B1570,'D7 - NDB Impacted SPRF''s'!$E$16:$O$9929,9,FALSE)</f>
        <v>Y</v>
      </c>
      <c r="Q1570" s="4" t="str">
        <f>VLOOKUP($B1570,'D7 - NDB Impacted SPRF''s'!$E$16:$O$9929,10,FALSE)</f>
        <v>N</v>
      </c>
      <c r="R1570" s="4" t="str">
        <f>VLOOKUP($B1570,'D7 - NDB Impacted SPRF''s'!$E$16:$O$9929,11,FALSE)</f>
        <v>N</v>
      </c>
      <c r="S1570" s="8"/>
      <c r="T1570" s="310"/>
      <c r="U1570" s="310"/>
      <c r="V1570" s="4"/>
      <c r="W1570" s="4"/>
      <c r="X1570" s="4"/>
      <c r="Y1570" s="4"/>
      <c r="Z1570" s="4"/>
      <c r="AA1570" s="4"/>
      <c r="AB1570" s="380" t="str">
        <f>VLOOKUP($B1570,'D7 - NDB Impacted SPRF''s'!$E$6:$O$9929,4,FALSE)</f>
        <v>Completed</v>
      </c>
      <c r="AC1570" s="380" t="str">
        <f>VLOOKUP($B1570,'D7 - NDB Impacted SPRF''s'!$E$6:$O$9929,3,FALSE)</f>
        <v>UnitedHealthcare Employer &amp; Individual</v>
      </c>
      <c r="AD1570" s="380" t="str">
        <f>VLOOKUP($B1570,'D7 - NDB Impacted SPRF''s'!$E$6:$O$9929,5,FALSE)</f>
        <v>Medical Cost Savings Programs</v>
      </c>
      <c r="AE1570" s="380" t="str">
        <f>VLOOKUP($B1570,'D7 - NDB Impacted SPRF''s'!$E$6:$O$9929,7,FALSE)</f>
        <v>Ellen Koch</v>
      </c>
      <c r="AF1570" s="380" t="str">
        <f>VLOOKUP($B1570,'D7 - NDB Impacted SPRF''s'!$E$6:$O$9929,6,FALSE)</f>
        <v>Carol Buske</v>
      </c>
      <c r="AG1570" s="282"/>
      <c r="AH1570" s="311" t="e">
        <f>INDEX('D5 - Gatekeeper - Projects'!$A$4:$AF$1010,$AM1570, 17)</f>
        <v>#N/A</v>
      </c>
      <c r="AI1570" s="8"/>
      <c r="AJ1570" s="57"/>
      <c r="AK1570" s="105"/>
      <c r="AM1570" s="6" t="e">
        <f>MATCH(D1570,'D5 - Gatekeeper - Projects'!$C$4:$C$1010,0)</f>
        <v>#N/A</v>
      </c>
      <c r="AN1570" s="6" t="b">
        <f t="shared" si="168"/>
        <v>1</v>
      </c>
      <c r="AO1570" s="6" t="str">
        <f t="shared" si="170"/>
        <v>OK</v>
      </c>
      <c r="AQ1570" s="6" t="e">
        <f>MATCH($D1570,'D4 - Provider Council Unsched'!$C$11:$C$234,0)</f>
        <v>#N/A</v>
      </c>
      <c r="AR1570" s="6" t="b">
        <f t="shared" si="169"/>
        <v>1</v>
      </c>
      <c r="AS1570" s="6" t="str">
        <f t="shared" si="172"/>
        <v>OK</v>
      </c>
      <c r="AU1570" s="202">
        <v>40714</v>
      </c>
      <c r="AV1570" s="262"/>
      <c r="AW1570" s="274"/>
    </row>
    <row r="1571" spans="1:49" s="13" customFormat="1" ht="33.75" x14ac:dyDescent="0.2">
      <c r="A1571" s="14">
        <v>1547</v>
      </c>
      <c r="B1571" s="8">
        <v>400038608</v>
      </c>
      <c r="C1571" s="8" t="s">
        <v>7292</v>
      </c>
      <c r="D1571" s="4" t="str">
        <f t="shared" si="171"/>
        <v>400038608C</v>
      </c>
      <c r="E1571" s="309" t="str">
        <f>VLOOKUP($B1571,'D7 - NDB Impacted SPRF''s'!$E$6:$O$9929,2,FALSE)</f>
        <v>ICUE Q4 2011 Release</v>
      </c>
      <c r="F1571" s="8"/>
      <c r="G1571" s="8" t="s">
        <v>4758</v>
      </c>
      <c r="H1571" s="8" t="s">
        <v>4246</v>
      </c>
      <c r="I1571" s="20">
        <v>4.3600000000000003</v>
      </c>
      <c r="J1571" s="8" t="s">
        <v>4862</v>
      </c>
      <c r="K1571" s="182">
        <v>40859</v>
      </c>
      <c r="L1571" s="8" t="s">
        <v>4156</v>
      </c>
      <c r="M1571" s="8" t="s">
        <v>2814</v>
      </c>
      <c r="N1571" s="38" t="s">
        <v>4965</v>
      </c>
      <c r="O1571" s="8"/>
      <c r="P1571" s="4" t="str">
        <f>VLOOKUP($B1571,'D7 - NDB Impacted SPRF''s'!$E$16:$O$9929,9,FALSE)</f>
        <v>Y</v>
      </c>
      <c r="Q1571" s="4" t="str">
        <f>VLOOKUP($B1571,'D7 - NDB Impacted SPRF''s'!$E$16:$O$9929,10,FALSE)</f>
        <v>N</v>
      </c>
      <c r="R1571" s="4" t="str">
        <f>VLOOKUP($B1571,'D7 - NDB Impacted SPRF''s'!$E$16:$O$9929,11,FALSE)</f>
        <v>N</v>
      </c>
      <c r="S1571" s="8"/>
      <c r="T1571" s="310"/>
      <c r="U1571" s="310"/>
      <c r="V1571" s="4"/>
      <c r="W1571" s="4"/>
      <c r="X1571" s="4"/>
      <c r="Y1571" s="4"/>
      <c r="Z1571" s="4"/>
      <c r="AA1571" s="4"/>
      <c r="AB1571" s="380" t="str">
        <f>VLOOKUP($B1571,'D7 - NDB Impacted SPRF''s'!$E$6:$O$9929,4,FALSE)</f>
        <v>Completed</v>
      </c>
      <c r="AC1571" s="380" t="str">
        <f>VLOOKUP($B1571,'D7 - NDB Impacted SPRF''s'!$E$6:$O$9929,3,FALSE)</f>
        <v>UnitedHealthcare Employer &amp; Individual</v>
      </c>
      <c r="AD1571" s="380" t="str">
        <f>VLOOKUP($B1571,'D7 - NDB Impacted SPRF''s'!$E$6:$O$9929,5,FALSE)</f>
        <v>Medical Cost Savings Programs</v>
      </c>
      <c r="AE1571" s="380" t="str">
        <f>VLOOKUP($B1571,'D7 - NDB Impacted SPRF''s'!$E$6:$O$9929,7,FALSE)</f>
        <v>Ellen Koch</v>
      </c>
      <c r="AF1571" s="380" t="str">
        <f>VLOOKUP($B1571,'D7 - NDB Impacted SPRF''s'!$E$6:$O$9929,6,FALSE)</f>
        <v>Carol Buske</v>
      </c>
      <c r="AG1571" s="282"/>
      <c r="AH1571" s="311" t="e">
        <f>INDEX('D5 - Gatekeeper - Projects'!$A$4:$AF$1010,$AM1571, 17)</f>
        <v>#N/A</v>
      </c>
      <c r="AI1571" s="8"/>
      <c r="AJ1571" s="57"/>
      <c r="AK1571" s="105"/>
      <c r="AM1571" s="6" t="e">
        <f>MATCH(D1571,'D5 - Gatekeeper - Projects'!$C$4:$C$1010,0)</f>
        <v>#N/A</v>
      </c>
      <c r="AN1571" s="6" t="b">
        <f t="shared" si="168"/>
        <v>1</v>
      </c>
      <c r="AO1571" s="6" t="str">
        <f t="shared" si="170"/>
        <v>OK</v>
      </c>
      <c r="AQ1571" s="6" t="e">
        <f>MATCH($D1571,'D4 - Provider Council Unsched'!$C$11:$C$234,0)</f>
        <v>#N/A</v>
      </c>
      <c r="AR1571" s="6" t="b">
        <f t="shared" si="169"/>
        <v>1</v>
      </c>
      <c r="AS1571" s="6" t="str">
        <f t="shared" si="172"/>
        <v>OK</v>
      </c>
      <c r="AU1571" s="202">
        <v>40802</v>
      </c>
      <c r="AV1571" s="262"/>
      <c r="AW1571" s="274"/>
    </row>
    <row r="1572" spans="1:49" s="13" customFormat="1" ht="67.5" x14ac:dyDescent="0.2">
      <c r="A1572" s="14">
        <v>1548</v>
      </c>
      <c r="B1572" s="8">
        <v>400038885</v>
      </c>
      <c r="C1572" s="8" t="s">
        <v>7289</v>
      </c>
      <c r="D1572" s="4" t="str">
        <f t="shared" si="171"/>
        <v>400038885D</v>
      </c>
      <c r="E1572" s="309" t="str">
        <f>VLOOKUP($B1572,'D7 - NDB Impacted SPRF''s'!$E$6:$O$9929,2,FALSE)</f>
        <v>HIPAA 5010-UHC-UHC Duhaime Trading Partner Testing</v>
      </c>
      <c r="F1572" s="8"/>
      <c r="G1572" s="8" t="s">
        <v>4758</v>
      </c>
      <c r="H1572" s="8" t="s">
        <v>4246</v>
      </c>
      <c r="I1572" s="20">
        <v>0.6</v>
      </c>
      <c r="J1572" s="8" t="s">
        <v>4862</v>
      </c>
      <c r="K1572" s="182">
        <v>40859</v>
      </c>
      <c r="L1572" s="8" t="s">
        <v>4156</v>
      </c>
      <c r="M1572" s="8" t="s">
        <v>5626</v>
      </c>
      <c r="N1572" s="38" t="s">
        <v>2913</v>
      </c>
      <c r="O1572" s="8"/>
      <c r="P1572" s="4" t="str">
        <f>VLOOKUP($B1572,'D7 - NDB Impacted SPRF''s'!$E$16:$O$9929,9,FALSE)</f>
        <v>Y</v>
      </c>
      <c r="Q1572" s="4" t="str">
        <f>VLOOKUP($B1572,'D7 - NDB Impacted SPRF''s'!$E$16:$O$9929,10,FALSE)</f>
        <v>N</v>
      </c>
      <c r="R1572" s="4" t="str">
        <f>VLOOKUP($B1572,'D7 - NDB Impacted SPRF''s'!$E$16:$O$9929,11,FALSE)</f>
        <v>N</v>
      </c>
      <c r="S1572" s="8"/>
      <c r="T1572" s="310"/>
      <c r="U1572" s="310"/>
      <c r="V1572" s="4"/>
      <c r="W1572" s="4"/>
      <c r="X1572" s="4"/>
      <c r="Y1572" s="4"/>
      <c r="Z1572" s="4"/>
      <c r="AA1572" s="4"/>
      <c r="AB1572" s="380" t="str">
        <f>VLOOKUP($B1572,'D7 - NDB Impacted SPRF''s'!$E$6:$O$9929,4,FALSE)</f>
        <v>Completed</v>
      </c>
      <c r="AC1572" s="380" t="str">
        <f>VLOOKUP($B1572,'D7 - NDB Impacted SPRF''s'!$E$6:$O$9929,3,FALSE)</f>
        <v>UnitedHealthcare Employer &amp; Individual</v>
      </c>
      <c r="AD1572" s="380" t="str">
        <f>VLOOKUP($B1572,'D7 - NDB Impacted SPRF''s'!$E$6:$O$9929,5,FALSE)</f>
        <v>HIPAA 5010</v>
      </c>
      <c r="AE1572" s="380" t="str">
        <f>VLOOKUP($B1572,'D7 - NDB Impacted SPRF''s'!$E$6:$O$9929,7,FALSE)</f>
        <v>Ross Lippincott</v>
      </c>
      <c r="AF1572" s="380" t="str">
        <f>VLOOKUP($B1572,'D7 - NDB Impacted SPRF''s'!$E$6:$O$9929,6,FALSE)</f>
        <v>Delvis Schilling</v>
      </c>
      <c r="AG1572" s="282"/>
      <c r="AH1572" s="311" t="e">
        <f>INDEX('D5 - Gatekeeper - Projects'!$A$4:$AF$1010,$AM1572, 17)</f>
        <v>#N/A</v>
      </c>
      <c r="AI1572" s="8"/>
      <c r="AJ1572" s="57"/>
      <c r="AK1572" s="105"/>
      <c r="AM1572" s="6" t="e">
        <f>MATCH(D1572,'D5 - Gatekeeper - Projects'!$C$4:$C$1010,0)</f>
        <v>#N/A</v>
      </c>
      <c r="AN1572" s="6" t="b">
        <f t="shared" si="168"/>
        <v>1</v>
      </c>
      <c r="AO1572" s="6" t="str">
        <f t="shared" si="170"/>
        <v>OK</v>
      </c>
      <c r="AQ1572" s="6" t="e">
        <f>MATCH($D1572,'D4 - Provider Council Unsched'!$C$11:$C$234,0)</f>
        <v>#N/A</v>
      </c>
      <c r="AR1572" s="6" t="b">
        <f t="shared" si="169"/>
        <v>1</v>
      </c>
      <c r="AS1572" s="6" t="str">
        <f t="shared" si="172"/>
        <v>OK</v>
      </c>
      <c r="AU1572" s="202">
        <v>40505</v>
      </c>
      <c r="AV1572" s="262"/>
      <c r="AW1572" s="274"/>
    </row>
    <row r="1573" spans="1:49" s="13" customFormat="1" ht="33.75" x14ac:dyDescent="0.2">
      <c r="A1573" s="14">
        <v>1549</v>
      </c>
      <c r="B1573" s="8">
        <v>400039292</v>
      </c>
      <c r="C1573" s="8" t="s">
        <v>1447</v>
      </c>
      <c r="D1573" s="4" t="str">
        <f t="shared" si="171"/>
        <v>400039292A</v>
      </c>
      <c r="E1573" s="309" t="str">
        <f>VLOOKUP($B1573,'D7 - NDB Impacted SPRF''s'!$E$6:$O$9929,2,FALSE)</f>
        <v>Provider Data Synchronization - NDB/IFS Oracle(Tax</v>
      </c>
      <c r="F1573" s="8"/>
      <c r="G1573" s="8" t="s">
        <v>4758</v>
      </c>
      <c r="H1573" s="8" t="s">
        <v>4246</v>
      </c>
      <c r="I1573" s="20">
        <v>7.79</v>
      </c>
      <c r="J1573" s="8" t="s">
        <v>4862</v>
      </c>
      <c r="K1573" s="182">
        <v>40859</v>
      </c>
      <c r="L1573" s="8" t="s">
        <v>4156</v>
      </c>
      <c r="M1573" s="8" t="s">
        <v>2814</v>
      </c>
      <c r="N1573" s="38" t="s">
        <v>2194</v>
      </c>
      <c r="O1573" s="8"/>
      <c r="P1573" s="4" t="str">
        <f>VLOOKUP($B1573,'D7 - NDB Impacted SPRF''s'!$E$16:$O$9929,9,FALSE)</f>
        <v>N</v>
      </c>
      <c r="Q1573" s="4" t="str">
        <f>VLOOKUP($B1573,'D7 - NDB Impacted SPRF''s'!$E$16:$O$9929,10,FALSE)</f>
        <v>N</v>
      </c>
      <c r="R1573" s="4" t="str">
        <f>VLOOKUP($B1573,'D7 - NDB Impacted SPRF''s'!$E$16:$O$9929,11,FALSE)</f>
        <v>N</v>
      </c>
      <c r="S1573" s="8"/>
      <c r="T1573" s="310"/>
      <c r="U1573" s="310"/>
      <c r="V1573" s="4"/>
      <c r="W1573" s="4"/>
      <c r="X1573" s="4"/>
      <c r="Y1573" s="4"/>
      <c r="Z1573" s="4"/>
      <c r="AA1573" s="4"/>
      <c r="AB1573" s="380" t="str">
        <f>VLOOKUP($B1573,'D7 - NDB Impacted SPRF''s'!$E$6:$O$9929,4,FALSE)</f>
        <v>Completed</v>
      </c>
      <c r="AC1573" s="380" t="str">
        <f>VLOOKUP($B1573,'D7 - NDB Impacted SPRF''s'!$E$6:$O$9929,3,FALSE)</f>
        <v>UnitedHealthcare Employer &amp; Individual</v>
      </c>
      <c r="AD1573" s="380" t="str">
        <f>VLOOKUP($B1573,'D7 - NDB Impacted SPRF''s'!$E$6:$O$9929,5,FALSE)</f>
        <v>Operational Requirements</v>
      </c>
      <c r="AE1573" s="380" t="str">
        <f>VLOOKUP($B1573,'D7 - NDB Impacted SPRF''s'!$E$6:$O$9929,7,FALSE)</f>
        <v>Brandon Cuevas</v>
      </c>
      <c r="AF1573" s="380" t="str">
        <f>VLOOKUP($B1573,'D7 - NDB Impacted SPRF''s'!$E$6:$O$9929,6,FALSE)</f>
        <v>Charlotte Salisbury</v>
      </c>
      <c r="AG1573" s="282"/>
      <c r="AH1573" s="311" t="e">
        <f>INDEX('D5 - Gatekeeper - Projects'!$A$4:$AF$1010,$AM1573, 17)</f>
        <v>#N/A</v>
      </c>
      <c r="AI1573" s="8"/>
      <c r="AJ1573" s="57"/>
      <c r="AK1573" s="105"/>
      <c r="AM1573" s="6" t="e">
        <f>MATCH(D1573,'D5 - Gatekeeper - Projects'!$C$4:$C$1010,0)</f>
        <v>#N/A</v>
      </c>
      <c r="AN1573" s="6" t="b">
        <f t="shared" si="168"/>
        <v>1</v>
      </c>
      <c r="AO1573" s="6" t="str">
        <f t="shared" si="170"/>
        <v>OK</v>
      </c>
      <c r="AQ1573" s="6" t="e">
        <f>MATCH($D1573,'D4 - Provider Council Unsched'!$C$11:$C$234,0)</f>
        <v>#N/A</v>
      </c>
      <c r="AR1573" s="6" t="b">
        <f t="shared" si="169"/>
        <v>1</v>
      </c>
      <c r="AS1573" s="6" t="str">
        <f t="shared" si="172"/>
        <v>OK</v>
      </c>
      <c r="AU1573" s="202">
        <v>40637</v>
      </c>
      <c r="AV1573" s="262"/>
      <c r="AW1573" s="274"/>
    </row>
    <row r="1574" spans="1:49" s="13" customFormat="1" ht="22.5" x14ac:dyDescent="0.2">
      <c r="A1574" s="14">
        <v>1550</v>
      </c>
      <c r="B1574" s="8">
        <v>400039379</v>
      </c>
      <c r="C1574" s="8" t="s">
        <v>1447</v>
      </c>
      <c r="D1574" s="4" t="str">
        <f t="shared" si="171"/>
        <v>400039379A</v>
      </c>
      <c r="E1574" s="309" t="str">
        <f>VLOOKUP($B1574,'D7 - NDB Impacted SPRF''s'!$E$6:$O$9929,2,FALSE)</f>
        <v>NYHCRA System Analysis</v>
      </c>
      <c r="F1574" s="8"/>
      <c r="G1574" s="8" t="s">
        <v>4758</v>
      </c>
      <c r="H1574" s="8" t="s">
        <v>4246</v>
      </c>
      <c r="I1574" s="20">
        <v>2.1800000000000002</v>
      </c>
      <c r="J1574" s="8" t="s">
        <v>4862</v>
      </c>
      <c r="K1574" s="182">
        <v>40859</v>
      </c>
      <c r="L1574" s="8" t="s">
        <v>4156</v>
      </c>
      <c r="M1574" s="8" t="s">
        <v>6688</v>
      </c>
      <c r="N1574" s="38" t="s">
        <v>2708</v>
      </c>
      <c r="O1574" s="8"/>
      <c r="P1574" s="4" t="str">
        <f>VLOOKUP($B1574,'D7 - NDB Impacted SPRF''s'!$E$16:$O$9929,9,FALSE)</f>
        <v>Y</v>
      </c>
      <c r="Q1574" s="4" t="str">
        <f>VLOOKUP($B1574,'D7 - NDB Impacted SPRF''s'!$E$16:$O$9929,10,FALSE)</f>
        <v>N</v>
      </c>
      <c r="R1574" s="4" t="str">
        <f>VLOOKUP($B1574,'D7 - NDB Impacted SPRF''s'!$E$16:$O$9929,11,FALSE)</f>
        <v>N</v>
      </c>
      <c r="S1574" s="8"/>
      <c r="T1574" s="310"/>
      <c r="U1574" s="310"/>
      <c r="V1574" s="4"/>
      <c r="W1574" s="4"/>
      <c r="X1574" s="4"/>
      <c r="Y1574" s="4"/>
      <c r="Z1574" s="4"/>
      <c r="AA1574" s="4"/>
      <c r="AB1574" s="380" t="str">
        <f>VLOOKUP($B1574,'D7 - NDB Impacted SPRF''s'!$E$6:$O$9929,4,FALSE)</f>
        <v>Cancelled</v>
      </c>
      <c r="AC1574" s="380" t="str">
        <f>VLOOKUP($B1574,'D7 - NDB Impacted SPRF''s'!$E$6:$O$9929,3,FALSE)</f>
        <v>UHG Corporate</v>
      </c>
      <c r="AD1574" s="380" t="str">
        <f>VLOOKUP($B1574,'D7 - NDB Impacted SPRF''s'!$E$6:$O$9929,5,FALSE)</f>
        <v>Corporate</v>
      </c>
      <c r="AE1574" s="380" t="str">
        <f>VLOOKUP($B1574,'D7 - NDB Impacted SPRF''s'!$E$6:$O$9929,7,FALSE)</f>
        <v>Kevin Ericson</v>
      </c>
      <c r="AF1574" s="380" t="str">
        <f>VLOOKUP($B1574,'D7 - NDB Impacted SPRF''s'!$E$6:$O$9929,6,FALSE)</f>
        <v>William Wallberg</v>
      </c>
      <c r="AG1574" s="282"/>
      <c r="AH1574" s="311" t="e">
        <f>INDEX('D5 - Gatekeeper - Projects'!$A$4:$AF$1010,$AM1574, 17)</f>
        <v>#N/A</v>
      </c>
      <c r="AI1574" s="8"/>
      <c r="AJ1574" s="57"/>
      <c r="AK1574" s="105"/>
      <c r="AM1574" s="6" t="e">
        <f>MATCH(D1574,'D5 - Gatekeeper - Projects'!$C$4:$C$1010,0)</f>
        <v>#N/A</v>
      </c>
      <c r="AN1574" s="6" t="b">
        <f t="shared" si="168"/>
        <v>1</v>
      </c>
      <c r="AO1574" s="6" t="str">
        <f t="shared" si="170"/>
        <v>OK</v>
      </c>
      <c r="AQ1574" s="6" t="e">
        <f>MATCH($D1574,'D4 - Provider Council Unsched'!$C$11:$C$234,0)</f>
        <v>#N/A</v>
      </c>
      <c r="AR1574" s="6" t="b">
        <f t="shared" si="169"/>
        <v>1</v>
      </c>
      <c r="AS1574" s="6" t="str">
        <f t="shared" si="172"/>
        <v>OK</v>
      </c>
      <c r="AU1574" s="202">
        <v>40631</v>
      </c>
      <c r="AV1574" s="262"/>
      <c r="AW1574" s="274"/>
    </row>
    <row r="1575" spans="1:49" s="13" customFormat="1" ht="33.75" x14ac:dyDescent="0.2">
      <c r="A1575" s="14">
        <v>1551</v>
      </c>
      <c r="B1575" s="8">
        <v>400039771</v>
      </c>
      <c r="C1575" s="8" t="s">
        <v>1447</v>
      </c>
      <c r="D1575" s="4" t="str">
        <f t="shared" si="171"/>
        <v>400039771A</v>
      </c>
      <c r="E1575" s="309" t="str">
        <f>VLOOKUP($B1575,'D7 - NDB Impacted SPRF''s'!$E$6:$O$9929,2,FALSE)</f>
        <v>Emptoris 2011 Integration Enhancements</v>
      </c>
      <c r="F1575" s="8"/>
      <c r="G1575" s="8" t="s">
        <v>4758</v>
      </c>
      <c r="H1575" s="8" t="s">
        <v>4246</v>
      </c>
      <c r="I1575" s="20">
        <v>7.02</v>
      </c>
      <c r="J1575" s="8" t="s">
        <v>4862</v>
      </c>
      <c r="K1575" s="182">
        <v>40859</v>
      </c>
      <c r="L1575" s="8" t="s">
        <v>4156</v>
      </c>
      <c r="M1575" s="8" t="s">
        <v>2814</v>
      </c>
      <c r="N1575" s="38"/>
      <c r="O1575" s="8"/>
      <c r="P1575" s="4" t="str">
        <f>VLOOKUP($B1575,'D7 - NDB Impacted SPRF''s'!$E$16:$O$9929,9,FALSE)</f>
        <v>N</v>
      </c>
      <c r="Q1575" s="4" t="str">
        <f>VLOOKUP($B1575,'D7 - NDB Impacted SPRF''s'!$E$16:$O$9929,10,FALSE)</f>
        <v>N</v>
      </c>
      <c r="R1575" s="4" t="str">
        <f>VLOOKUP($B1575,'D7 - NDB Impacted SPRF''s'!$E$16:$O$9929,11,FALSE)</f>
        <v>N</v>
      </c>
      <c r="S1575" s="8"/>
      <c r="T1575" s="310"/>
      <c r="U1575" s="310"/>
      <c r="V1575" s="4"/>
      <c r="W1575" s="4"/>
      <c r="X1575" s="4"/>
      <c r="Y1575" s="4"/>
      <c r="Z1575" s="4"/>
      <c r="AA1575" s="4"/>
      <c r="AB1575" s="380" t="str">
        <f>VLOOKUP($B1575,'D7 - NDB Impacted SPRF''s'!$E$6:$O$9929,4,FALSE)</f>
        <v>Completed</v>
      </c>
      <c r="AC1575" s="380" t="str">
        <f>VLOOKUP($B1575,'D7 - NDB Impacted SPRF''s'!$E$6:$O$9929,3,FALSE)</f>
        <v>UnitedHealthcare Employer &amp; Individual</v>
      </c>
      <c r="AD1575" s="380" t="str">
        <f>VLOOKUP($B1575,'D7 - NDB Impacted SPRF''s'!$E$6:$O$9929,5,FALSE)</f>
        <v>Process Improvement</v>
      </c>
      <c r="AE1575" s="380" t="str">
        <f>VLOOKUP($B1575,'D7 - NDB Impacted SPRF''s'!$E$6:$O$9929,7,FALSE)</f>
        <v>Sally Verrilli</v>
      </c>
      <c r="AF1575" s="380" t="str">
        <f>VLOOKUP($B1575,'D7 - NDB Impacted SPRF''s'!$E$6:$O$9929,6,FALSE)</f>
        <v>Shelly Heit</v>
      </c>
      <c r="AG1575" s="282"/>
      <c r="AH1575" s="311" t="e">
        <f>INDEX('D5 - Gatekeeper - Projects'!$A$4:$AF$1010,$AM1575, 17)</f>
        <v>#N/A</v>
      </c>
      <c r="AI1575" s="8"/>
      <c r="AJ1575" s="57"/>
      <c r="AK1575" s="105"/>
      <c r="AM1575" s="6" t="e">
        <f>MATCH(D1575,'D5 - Gatekeeper - Projects'!$C$4:$C$1010,0)</f>
        <v>#N/A</v>
      </c>
      <c r="AN1575" s="6" t="b">
        <f t="shared" si="168"/>
        <v>1</v>
      </c>
      <c r="AO1575" s="6" t="str">
        <f t="shared" si="170"/>
        <v>OK</v>
      </c>
      <c r="AQ1575" s="6" t="e">
        <f>MATCH($D1575,'D4 - Provider Council Unsched'!$C$11:$C$234,0)</f>
        <v>#N/A</v>
      </c>
      <c r="AR1575" s="6" t="b">
        <f t="shared" si="169"/>
        <v>1</v>
      </c>
      <c r="AS1575" s="6" t="str">
        <f t="shared" si="172"/>
        <v>OK</v>
      </c>
      <c r="AU1575" s="202">
        <v>40592</v>
      </c>
      <c r="AV1575" s="262"/>
      <c r="AW1575" s="274"/>
    </row>
    <row r="1576" spans="1:49" s="13" customFormat="1" ht="33.75" x14ac:dyDescent="0.2">
      <c r="A1576" s="14">
        <v>1552</v>
      </c>
      <c r="B1576" s="8">
        <v>400040033</v>
      </c>
      <c r="C1576" s="8" t="s">
        <v>1447</v>
      </c>
      <c r="D1576" s="4" t="str">
        <f t="shared" si="171"/>
        <v>400040033A</v>
      </c>
      <c r="E1576" s="309" t="str">
        <f>VLOOKUP($B1576,'D7 - NDB Impacted SPRF''s'!$E$6:$O$9929,2,FALSE)</f>
        <v>Facets ASP Texas Medicaid Migration</v>
      </c>
      <c r="F1576" s="8"/>
      <c r="G1576" s="8" t="s">
        <v>4758</v>
      </c>
      <c r="H1576" s="8" t="s">
        <v>4246</v>
      </c>
      <c r="I1576" s="20">
        <v>3.49</v>
      </c>
      <c r="J1576" s="8" t="s">
        <v>4862</v>
      </c>
      <c r="K1576" s="182">
        <v>40859</v>
      </c>
      <c r="L1576" s="8" t="s">
        <v>4156</v>
      </c>
      <c r="M1576" s="8" t="s">
        <v>3598</v>
      </c>
      <c r="N1576" s="38"/>
      <c r="O1576" s="8"/>
      <c r="P1576" s="4" t="str">
        <f>VLOOKUP($B1576,'D7 - NDB Impacted SPRF''s'!$E$16:$O$9929,9,FALSE)</f>
        <v>N</v>
      </c>
      <c r="Q1576" s="4" t="str">
        <f>VLOOKUP($B1576,'D7 - NDB Impacted SPRF''s'!$E$16:$O$9929,10,FALSE)</f>
        <v>N</v>
      </c>
      <c r="R1576" s="4" t="str">
        <f>VLOOKUP($B1576,'D7 - NDB Impacted SPRF''s'!$E$16:$O$9929,11,FALSE)</f>
        <v>Y</v>
      </c>
      <c r="S1576" s="8"/>
      <c r="T1576" s="310"/>
      <c r="U1576" s="310"/>
      <c r="V1576" s="4"/>
      <c r="W1576" s="4"/>
      <c r="X1576" s="4"/>
      <c r="Y1576" s="4"/>
      <c r="Z1576" s="4"/>
      <c r="AA1576" s="4"/>
      <c r="AB1576" s="380" t="str">
        <f>VLOOKUP($B1576,'D7 - NDB Impacted SPRF''s'!$E$6:$O$9929,4,FALSE)</f>
        <v>Scheduled</v>
      </c>
      <c r="AC1576" s="380" t="str">
        <f>VLOOKUP($B1576,'D7 - NDB Impacted SPRF''s'!$E$6:$O$9929,3,FALSE)</f>
        <v>UnitedHealthcare Community &amp; State</v>
      </c>
      <c r="AD1576" s="380" t="str">
        <f>VLOOKUP($B1576,'D7 - NDB Impacted SPRF''s'!$E$6:$O$9929,5,FALSE)</f>
        <v>Integration Requirements</v>
      </c>
      <c r="AE1576" s="380" t="str">
        <f>VLOOKUP($B1576,'D7 - NDB Impacted SPRF''s'!$E$6:$O$9929,7,FALSE)</f>
        <v>Chris Schere</v>
      </c>
      <c r="AF1576" s="380" t="str">
        <f>VLOOKUP($B1576,'D7 - NDB Impacted SPRF''s'!$E$6:$O$9929,6,FALSE)</f>
        <v>SCOTT HENNESSEY</v>
      </c>
      <c r="AG1576" s="282"/>
      <c r="AH1576" s="311" t="e">
        <f>INDEX('D5 - Gatekeeper - Projects'!$A$4:$AF$1010,$AM1576, 17)</f>
        <v>#N/A</v>
      </c>
      <c r="AI1576" s="8"/>
      <c r="AJ1576" s="57"/>
      <c r="AK1576" s="105"/>
      <c r="AM1576" s="6" t="e">
        <f>MATCH(D1576,'D5 - Gatekeeper - Projects'!$C$4:$C$1010,0)</f>
        <v>#N/A</v>
      </c>
      <c r="AN1576" s="6" t="b">
        <f t="shared" si="168"/>
        <v>1</v>
      </c>
      <c r="AO1576" s="6" t="str">
        <f t="shared" si="170"/>
        <v>OK</v>
      </c>
      <c r="AQ1576" s="6" t="e">
        <f>MATCH($D1576,'D4 - Provider Council Unsched'!$C$11:$C$234,0)</f>
        <v>#N/A</v>
      </c>
      <c r="AR1576" s="6" t="b">
        <f t="shared" si="169"/>
        <v>1</v>
      </c>
      <c r="AS1576" s="6" t="str">
        <f t="shared" si="172"/>
        <v>OK</v>
      </c>
      <c r="AU1576" s="202">
        <v>40680</v>
      </c>
      <c r="AV1576" s="262"/>
      <c r="AW1576" s="274"/>
    </row>
    <row r="1577" spans="1:49" s="13" customFormat="1" ht="78.75" x14ac:dyDescent="0.2">
      <c r="A1577" s="14">
        <v>1553</v>
      </c>
      <c r="B1577" s="8">
        <v>400040139</v>
      </c>
      <c r="C1577" s="8" t="s">
        <v>1447</v>
      </c>
      <c r="D1577" s="4" t="str">
        <f t="shared" si="171"/>
        <v>400040139A</v>
      </c>
      <c r="E1577" s="309" t="str">
        <f>VLOOKUP($B1577,'D7 - NDB Impacted SPRF''s'!$E$6:$O$9929,2,FALSE)</f>
        <v xml:space="preserve">Business Discovery </v>
      </c>
      <c r="F1577" s="8"/>
      <c r="G1577" s="8" t="s">
        <v>4758</v>
      </c>
      <c r="H1577" s="8" t="s">
        <v>4246</v>
      </c>
      <c r="I1577" s="20">
        <v>1.33</v>
      </c>
      <c r="J1577" s="8" t="s">
        <v>4862</v>
      </c>
      <c r="K1577" s="182">
        <v>40859</v>
      </c>
      <c r="L1577" s="8" t="s">
        <v>4156</v>
      </c>
      <c r="M1577" s="8" t="s">
        <v>6688</v>
      </c>
      <c r="N1577" s="38" t="s">
        <v>1345</v>
      </c>
      <c r="O1577" s="8"/>
      <c r="P1577" s="4" t="str">
        <f>VLOOKUP($B1577,'D7 - NDB Impacted SPRF''s'!$E$16:$O$9929,9,FALSE)</f>
        <v>N</v>
      </c>
      <c r="Q1577" s="4" t="str">
        <f>VLOOKUP($B1577,'D7 - NDB Impacted SPRF''s'!$E$16:$O$9929,10,FALSE)</f>
        <v>N</v>
      </c>
      <c r="R1577" s="4" t="str">
        <f>VLOOKUP($B1577,'D7 - NDB Impacted SPRF''s'!$E$16:$O$9929,11,FALSE)</f>
        <v>N</v>
      </c>
      <c r="S1577" s="8"/>
      <c r="T1577" s="310"/>
      <c r="U1577" s="310"/>
      <c r="V1577" s="4"/>
      <c r="W1577" s="4"/>
      <c r="X1577" s="4"/>
      <c r="Y1577" s="4"/>
      <c r="Z1577" s="4"/>
      <c r="AA1577" s="4"/>
      <c r="AB1577" s="380" t="str">
        <f>VLOOKUP($B1577,'D7 - NDB Impacted SPRF''s'!$E$6:$O$9929,4,FALSE)</f>
        <v>Completed</v>
      </c>
      <c r="AC1577" s="380" t="str">
        <f>VLOOKUP($B1577,'D7 - NDB Impacted SPRF''s'!$E$6:$O$9929,3,FALSE)</f>
        <v>UHG IT - Shared Services</v>
      </c>
      <c r="AD1577" s="380" t="str">
        <f>VLOOKUP($B1577,'D7 - NDB Impacted SPRF''s'!$E$6:$O$9929,5,FALSE)</f>
        <v>Strategic Initiatives</v>
      </c>
      <c r="AE1577" s="380" t="str">
        <f>VLOOKUP($B1577,'D7 - NDB Impacted SPRF''s'!$E$6:$O$9929,7,FALSE)</f>
        <v>David Albright</v>
      </c>
      <c r="AF1577" s="380" t="str">
        <f>VLOOKUP($B1577,'D7 - NDB Impacted SPRF''s'!$E$6:$O$9929,6,FALSE)</f>
        <v>David Clevenger</v>
      </c>
      <c r="AG1577" s="282"/>
      <c r="AH1577" s="311" t="e">
        <f>INDEX('D5 - Gatekeeper - Projects'!$A$4:$AF$1010,$AM1577, 17)</f>
        <v>#N/A</v>
      </c>
      <c r="AI1577" s="8"/>
      <c r="AJ1577" s="57"/>
      <c r="AK1577" s="105"/>
      <c r="AM1577" s="6" t="e">
        <f>MATCH(D1577,'D5 - Gatekeeper - Projects'!$C$4:$C$1010,0)</f>
        <v>#N/A</v>
      </c>
      <c r="AN1577" s="6" t="b">
        <f t="shared" si="168"/>
        <v>1</v>
      </c>
      <c r="AO1577" s="6" t="str">
        <f t="shared" si="170"/>
        <v>OK</v>
      </c>
      <c r="AQ1577" s="6" t="e">
        <f>MATCH($D1577,'D4 - Provider Council Unsched'!$C$11:$C$234,0)</f>
        <v>#N/A</v>
      </c>
      <c r="AR1577" s="6" t="b">
        <f t="shared" si="169"/>
        <v>1</v>
      </c>
      <c r="AS1577" s="6" t="str">
        <f t="shared" si="172"/>
        <v>OK</v>
      </c>
      <c r="AU1577" s="202">
        <v>40777</v>
      </c>
      <c r="AV1577" s="262"/>
      <c r="AW1577" s="274"/>
    </row>
    <row r="1578" spans="1:49" s="13" customFormat="1" ht="22.5" x14ac:dyDescent="0.2">
      <c r="A1578" s="14">
        <v>1554</v>
      </c>
      <c r="B1578" s="8">
        <v>400041255</v>
      </c>
      <c r="C1578" s="8" t="s">
        <v>1447</v>
      </c>
      <c r="D1578" s="4" t="str">
        <f t="shared" si="171"/>
        <v>400041255A</v>
      </c>
      <c r="E1578" s="309" t="str">
        <f>VLOOKUP($B1578,'D7 - NDB Impacted SPRF''s'!$E$6:$O$9929,2,FALSE)</f>
        <v>ED - PARIS Decommission 2011</v>
      </c>
      <c r="F1578" s="8"/>
      <c r="G1578" s="8" t="s">
        <v>4758</v>
      </c>
      <c r="H1578" s="8" t="s">
        <v>4246</v>
      </c>
      <c r="I1578" s="20">
        <v>4.91</v>
      </c>
      <c r="J1578" s="8" t="s">
        <v>4862</v>
      </c>
      <c r="K1578" s="182">
        <v>40859</v>
      </c>
      <c r="L1578" s="8" t="s">
        <v>4156</v>
      </c>
      <c r="M1578" s="8" t="s">
        <v>2814</v>
      </c>
      <c r="N1578" s="38" t="s">
        <v>3067</v>
      </c>
      <c r="O1578" s="8"/>
      <c r="P1578" s="4" t="str">
        <f>VLOOKUP($B1578,'D7 - NDB Impacted SPRF''s'!$E$16:$O$9929,9,FALSE)</f>
        <v>N</v>
      </c>
      <c r="Q1578" s="4" t="str">
        <f>VLOOKUP($B1578,'D7 - NDB Impacted SPRF''s'!$E$16:$O$9929,10,FALSE)</f>
        <v>N</v>
      </c>
      <c r="R1578" s="4" t="str">
        <f>VLOOKUP($B1578,'D7 - NDB Impacted SPRF''s'!$E$16:$O$9929,11,FALSE)</f>
        <v>N</v>
      </c>
      <c r="S1578" s="8"/>
      <c r="T1578" s="310"/>
      <c r="U1578" s="310"/>
      <c r="V1578" s="4"/>
      <c r="W1578" s="4"/>
      <c r="X1578" s="4"/>
      <c r="Y1578" s="4"/>
      <c r="Z1578" s="4"/>
      <c r="AA1578" s="4"/>
      <c r="AB1578" s="380" t="str">
        <f>VLOOKUP($B1578,'D7 - NDB Impacted SPRF''s'!$E$6:$O$9929,4,FALSE)</f>
        <v>Completed</v>
      </c>
      <c r="AC1578" s="380" t="str">
        <f>VLOOKUP($B1578,'D7 - NDB Impacted SPRF''s'!$E$6:$O$9929,3,FALSE)</f>
        <v>UHG IT - Shared Services</v>
      </c>
      <c r="AD1578" s="380" t="str">
        <f>VLOOKUP($B1578,'D7 - NDB Impacted SPRF''s'!$E$6:$O$9929,5,FALSE)</f>
        <v>Strategic Initiatives</v>
      </c>
      <c r="AE1578" s="380" t="str">
        <f>VLOOKUP($B1578,'D7 - NDB Impacted SPRF''s'!$E$6:$O$9929,7,FALSE)</f>
        <v>Kevin Cogle</v>
      </c>
      <c r="AF1578" s="380" t="str">
        <f>VLOOKUP($B1578,'D7 - NDB Impacted SPRF''s'!$E$6:$O$9929,6,FALSE)</f>
        <v>Renee Overton-Palma</v>
      </c>
      <c r="AG1578" s="282"/>
      <c r="AH1578" s="311" t="e">
        <f>INDEX('D5 - Gatekeeper - Projects'!$A$4:$AF$1010,$AM1578, 17)</f>
        <v>#N/A</v>
      </c>
      <c r="AI1578" s="8"/>
      <c r="AJ1578" s="57"/>
      <c r="AK1578" s="105"/>
      <c r="AM1578" s="6" t="e">
        <f>MATCH(D1578,'D5 - Gatekeeper - Projects'!$C$4:$C$1010,0)</f>
        <v>#N/A</v>
      </c>
      <c r="AN1578" s="6" t="b">
        <f t="shared" si="168"/>
        <v>1</v>
      </c>
      <c r="AO1578" s="6" t="str">
        <f t="shared" si="170"/>
        <v>OK</v>
      </c>
      <c r="AQ1578" s="6" t="e">
        <f>MATCH($D1578,'D4 - Provider Council Unsched'!$C$11:$C$234,0)</f>
        <v>#N/A</v>
      </c>
      <c r="AR1578" s="6" t="b">
        <f t="shared" si="169"/>
        <v>1</v>
      </c>
      <c r="AS1578" s="6" t="str">
        <f t="shared" si="172"/>
        <v>OK</v>
      </c>
      <c r="AU1578" s="202">
        <v>40680</v>
      </c>
      <c r="AV1578" s="262"/>
      <c r="AW1578" s="274"/>
    </row>
    <row r="1579" spans="1:49" s="13" customFormat="1" ht="56.25" x14ac:dyDescent="0.2">
      <c r="A1579" s="14">
        <v>1555</v>
      </c>
      <c r="B1579" s="8">
        <v>400041737</v>
      </c>
      <c r="C1579" s="8" t="s">
        <v>7290</v>
      </c>
      <c r="D1579" s="4" t="str">
        <f t="shared" si="171"/>
        <v>400041737B</v>
      </c>
      <c r="E1579" s="309" t="str">
        <f>VLOOKUP($B1579,'D7 - NDB Impacted SPRF''s'!$E$6:$O$9929,2,FALSE)</f>
        <v>ICD10- Field Expansion- UHC EI</v>
      </c>
      <c r="F1579" s="8"/>
      <c r="G1579" s="8" t="s">
        <v>4758</v>
      </c>
      <c r="H1579" s="8" t="s">
        <v>4246</v>
      </c>
      <c r="I1579" s="20">
        <v>5.76</v>
      </c>
      <c r="J1579" s="8" t="s">
        <v>4862</v>
      </c>
      <c r="K1579" s="182">
        <v>40859</v>
      </c>
      <c r="L1579" s="8" t="s">
        <v>4156</v>
      </c>
      <c r="M1579" s="8" t="s">
        <v>2814</v>
      </c>
      <c r="N1579" s="38" t="s">
        <v>1001</v>
      </c>
      <c r="O1579" s="8"/>
      <c r="P1579" s="4" t="str">
        <f>VLOOKUP($B1579,'D7 - NDB Impacted SPRF''s'!$E$16:$O$9929,9,FALSE)</f>
        <v>Y</v>
      </c>
      <c r="Q1579" s="4" t="str">
        <f>VLOOKUP($B1579,'D7 - NDB Impacted SPRF''s'!$E$16:$O$9929,10,FALSE)</f>
        <v>N</v>
      </c>
      <c r="R1579" s="4" t="str">
        <f>VLOOKUP($B1579,'D7 - NDB Impacted SPRF''s'!$E$16:$O$9929,11,FALSE)</f>
        <v>Y</v>
      </c>
      <c r="S1579" s="8"/>
      <c r="T1579" s="310"/>
      <c r="U1579" s="310"/>
      <c r="V1579" s="4"/>
      <c r="W1579" s="4"/>
      <c r="X1579" s="4"/>
      <c r="Y1579" s="4"/>
      <c r="Z1579" s="4"/>
      <c r="AA1579" s="4"/>
      <c r="AB1579" s="380" t="str">
        <f>VLOOKUP($B1579,'D7 - NDB Impacted SPRF''s'!$E$6:$O$9929,4,FALSE)</f>
        <v>Scheduled</v>
      </c>
      <c r="AC1579" s="380" t="str">
        <f>VLOOKUP($B1579,'D7 - NDB Impacted SPRF''s'!$E$6:$O$9929,3,FALSE)</f>
        <v>UnitedHealthcare Employer &amp; Individual</v>
      </c>
      <c r="AD1579" s="380" t="str">
        <f>VLOOKUP($B1579,'D7 - NDB Impacted SPRF''s'!$E$6:$O$9929,5,FALSE)</f>
        <v>Regulatory / Other</v>
      </c>
      <c r="AE1579" s="380" t="str">
        <f>VLOOKUP($B1579,'D7 - NDB Impacted SPRF''s'!$E$6:$O$9929,7,FALSE)</f>
        <v>Tim Kaja</v>
      </c>
      <c r="AF1579" s="380" t="str">
        <f>VLOOKUP($B1579,'D7 - NDB Impacted SPRF''s'!$E$6:$O$9929,6,FALSE)</f>
        <v>Delvis Schilling</v>
      </c>
      <c r="AG1579" s="282"/>
      <c r="AH1579" s="311" t="e">
        <f>INDEX('D5 - Gatekeeper - Projects'!$A$4:$AF$1010,$AM1579, 17)</f>
        <v>#N/A</v>
      </c>
      <c r="AI1579" s="8"/>
      <c r="AJ1579" s="57"/>
      <c r="AK1579" s="105"/>
      <c r="AM1579" s="6" t="e">
        <f>MATCH(D1579,'D5 - Gatekeeper - Projects'!$C$4:$C$1010,0)</f>
        <v>#N/A</v>
      </c>
      <c r="AN1579" s="6" t="b">
        <f t="shared" si="168"/>
        <v>1</v>
      </c>
      <c r="AO1579" s="6" t="str">
        <f t="shared" si="170"/>
        <v>OK</v>
      </c>
      <c r="AQ1579" s="6" t="e">
        <f>MATCH($D1579,'D4 - Provider Council Unsched'!$C$11:$C$234,0)</f>
        <v>#N/A</v>
      </c>
      <c r="AR1579" s="6" t="b">
        <f t="shared" si="169"/>
        <v>1</v>
      </c>
      <c r="AS1579" s="6" t="str">
        <f t="shared" si="172"/>
        <v>OK</v>
      </c>
      <c r="AU1579" s="202">
        <v>40651</v>
      </c>
      <c r="AV1579" s="262"/>
      <c r="AW1579" s="274"/>
    </row>
    <row r="1580" spans="1:49" s="13" customFormat="1" ht="33.75" x14ac:dyDescent="0.2">
      <c r="A1580" s="14">
        <v>1556</v>
      </c>
      <c r="B1580" s="8">
        <v>400041737</v>
      </c>
      <c r="C1580" s="8" t="s">
        <v>7292</v>
      </c>
      <c r="D1580" s="4" t="str">
        <f t="shared" si="171"/>
        <v>400041737C</v>
      </c>
      <c r="E1580" s="309" t="str">
        <f>VLOOKUP($B1580,'D7 - NDB Impacted SPRF''s'!$E$6:$O$9929,2,FALSE)</f>
        <v>ICD10- Field Expansion- UHC EI</v>
      </c>
      <c r="F1580" s="8"/>
      <c r="G1580" s="8" t="s">
        <v>4758</v>
      </c>
      <c r="H1580" s="8" t="s">
        <v>4246</v>
      </c>
      <c r="I1580" s="20">
        <v>2.33</v>
      </c>
      <c r="J1580" s="8" t="s">
        <v>4862</v>
      </c>
      <c r="K1580" s="182">
        <v>40859</v>
      </c>
      <c r="L1580" s="8" t="s">
        <v>4156</v>
      </c>
      <c r="M1580" s="8" t="s">
        <v>6688</v>
      </c>
      <c r="N1580" s="38" t="s">
        <v>2206</v>
      </c>
      <c r="O1580" s="8"/>
      <c r="P1580" s="4" t="str">
        <f>VLOOKUP($B1580,'D7 - NDB Impacted SPRF''s'!$E$16:$O$9929,9,FALSE)</f>
        <v>Y</v>
      </c>
      <c r="Q1580" s="4" t="str">
        <f>VLOOKUP($B1580,'D7 - NDB Impacted SPRF''s'!$E$16:$O$9929,10,FALSE)</f>
        <v>N</v>
      </c>
      <c r="R1580" s="4" t="str">
        <f>VLOOKUP($B1580,'D7 - NDB Impacted SPRF''s'!$E$16:$O$9929,11,FALSE)</f>
        <v>Y</v>
      </c>
      <c r="S1580" s="8"/>
      <c r="T1580" s="310"/>
      <c r="U1580" s="310"/>
      <c r="V1580" s="4"/>
      <c r="W1580" s="4"/>
      <c r="X1580" s="4"/>
      <c r="Y1580" s="4"/>
      <c r="Z1580" s="4"/>
      <c r="AA1580" s="4"/>
      <c r="AB1580" s="380" t="str">
        <f>VLOOKUP($B1580,'D7 - NDB Impacted SPRF''s'!$E$6:$O$9929,4,FALSE)</f>
        <v>Scheduled</v>
      </c>
      <c r="AC1580" s="380" t="str">
        <f>VLOOKUP($B1580,'D7 - NDB Impacted SPRF''s'!$E$6:$O$9929,3,FALSE)</f>
        <v>UnitedHealthcare Employer &amp; Individual</v>
      </c>
      <c r="AD1580" s="380" t="str">
        <f>VLOOKUP($B1580,'D7 - NDB Impacted SPRF''s'!$E$6:$O$9929,5,FALSE)</f>
        <v>Regulatory / Other</v>
      </c>
      <c r="AE1580" s="380" t="str">
        <f>VLOOKUP($B1580,'D7 - NDB Impacted SPRF''s'!$E$6:$O$9929,7,FALSE)</f>
        <v>Tim Kaja</v>
      </c>
      <c r="AF1580" s="380" t="str">
        <f>VLOOKUP($B1580,'D7 - NDB Impacted SPRF''s'!$E$6:$O$9929,6,FALSE)</f>
        <v>Delvis Schilling</v>
      </c>
      <c r="AG1580" s="282"/>
      <c r="AH1580" s="311" t="e">
        <f>INDEX('D5 - Gatekeeper - Projects'!$A$4:$AF$1010,$AM1580, 17)</f>
        <v>#N/A</v>
      </c>
      <c r="AI1580" s="8"/>
      <c r="AJ1580" s="57"/>
      <c r="AK1580" s="105"/>
      <c r="AM1580" s="6" t="e">
        <f>MATCH(D1580,'D5 - Gatekeeper - Projects'!$C$4:$C$1010,0)</f>
        <v>#N/A</v>
      </c>
      <c r="AN1580" s="6" t="b">
        <f t="shared" si="168"/>
        <v>1</v>
      </c>
      <c r="AO1580" s="6" t="str">
        <f t="shared" si="170"/>
        <v>OK</v>
      </c>
      <c r="AQ1580" s="6" t="e">
        <f>MATCH($D1580,'D4 - Provider Council Unsched'!$C$11:$C$234,0)</f>
        <v>#N/A</v>
      </c>
      <c r="AR1580" s="6" t="b">
        <f t="shared" si="169"/>
        <v>1</v>
      </c>
      <c r="AS1580" s="6" t="str">
        <f t="shared" si="172"/>
        <v>OK</v>
      </c>
      <c r="AU1580" s="202">
        <v>40757</v>
      </c>
      <c r="AV1580" s="262"/>
      <c r="AW1580" s="274"/>
    </row>
    <row r="1581" spans="1:49" s="13" customFormat="1" ht="67.5" x14ac:dyDescent="0.2">
      <c r="A1581" s="14">
        <v>1557</v>
      </c>
      <c r="B1581" s="8">
        <v>400042216</v>
      </c>
      <c r="C1581" s="8" t="s">
        <v>1447</v>
      </c>
      <c r="D1581" s="4" t="str">
        <f t="shared" si="171"/>
        <v>400042216A</v>
      </c>
      <c r="E1581" s="309" t="str">
        <f>VLOOKUP($B1581,'D7 - NDB Impacted SPRF''s'!$E$6:$O$9929,2,FALSE)</f>
        <v>2011 One Shot Requests</v>
      </c>
      <c r="F1581" s="8"/>
      <c r="G1581" s="8" t="s">
        <v>4758</v>
      </c>
      <c r="H1581" s="8" t="s">
        <v>4246</v>
      </c>
      <c r="I1581" s="20">
        <v>9.82</v>
      </c>
      <c r="J1581" s="8" t="s">
        <v>4862</v>
      </c>
      <c r="K1581" s="182">
        <v>40859</v>
      </c>
      <c r="L1581" s="8" t="s">
        <v>4156</v>
      </c>
      <c r="M1581" s="8" t="s">
        <v>2814</v>
      </c>
      <c r="N1581" s="38" t="s">
        <v>1726</v>
      </c>
      <c r="O1581" s="8"/>
      <c r="P1581" s="4" t="str">
        <f>VLOOKUP($B1581,'D7 - NDB Impacted SPRF''s'!$E$16:$O$9929,9,FALSE)</f>
        <v>N</v>
      </c>
      <c r="Q1581" s="4" t="str">
        <f>VLOOKUP($B1581,'D7 - NDB Impacted SPRF''s'!$E$16:$O$9929,10,FALSE)</f>
        <v>N</v>
      </c>
      <c r="R1581" s="4" t="str">
        <f>VLOOKUP($B1581,'D7 - NDB Impacted SPRF''s'!$E$16:$O$9929,11,FALSE)</f>
        <v>N</v>
      </c>
      <c r="S1581" s="8"/>
      <c r="T1581" s="310"/>
      <c r="U1581" s="310"/>
      <c r="V1581" s="4"/>
      <c r="W1581" s="4"/>
      <c r="X1581" s="4"/>
      <c r="Y1581" s="4"/>
      <c r="Z1581" s="4"/>
      <c r="AA1581" s="4"/>
      <c r="AB1581" s="380" t="str">
        <f>VLOOKUP($B1581,'D7 - NDB Impacted SPRF''s'!$E$6:$O$9929,4,FALSE)</f>
        <v>Completed</v>
      </c>
      <c r="AC1581" s="380" t="s">
        <v>5324</v>
      </c>
      <c r="AD1581" s="380" t="str">
        <f>VLOOKUP($B1581,'D7 - NDB Impacted SPRF''s'!$E$6:$O$9929,5,FALSE)</f>
        <v>Operational Requirements</v>
      </c>
      <c r="AE1581" s="380" t="str">
        <f>VLOOKUP($B1581,'D7 - NDB Impacted SPRF''s'!$E$6:$O$9929,7,FALSE)</f>
        <v>Tim Kaja</v>
      </c>
      <c r="AF1581" s="380" t="str">
        <f>VLOOKUP($B1581,'D7 - NDB Impacted SPRF''s'!$E$6:$O$9929,6,FALSE)</f>
        <v>Shelly Heit</v>
      </c>
      <c r="AG1581" s="282"/>
      <c r="AH1581" s="311" t="e">
        <f>INDEX('D5 - Gatekeeper - Projects'!$A$4:$AF$1010,$AM1581, 17)</f>
        <v>#N/A</v>
      </c>
      <c r="AI1581" s="8"/>
      <c r="AJ1581" s="57"/>
      <c r="AK1581" s="105"/>
      <c r="AM1581" s="6" t="e">
        <f>MATCH(D1581,'D5 - Gatekeeper - Projects'!$C$4:$C$1010,0)</f>
        <v>#N/A</v>
      </c>
      <c r="AN1581" s="6" t="b">
        <f t="shared" si="168"/>
        <v>1</v>
      </c>
      <c r="AO1581" s="6" t="str">
        <f t="shared" si="170"/>
        <v>OK</v>
      </c>
      <c r="AQ1581" s="6" t="e">
        <f>MATCH($D1581,'D4 - Provider Council Unsched'!$C$11:$C$234,0)</f>
        <v>#N/A</v>
      </c>
      <c r="AR1581" s="6" t="b">
        <f t="shared" si="169"/>
        <v>1</v>
      </c>
      <c r="AS1581" s="6" t="str">
        <f t="shared" si="172"/>
        <v>OK</v>
      </c>
      <c r="AU1581" s="202">
        <v>40619</v>
      </c>
      <c r="AV1581" s="267" t="s">
        <v>2303</v>
      </c>
      <c r="AW1581" s="274"/>
    </row>
    <row r="1582" spans="1:49" s="13" customFormat="1" ht="67.5" x14ac:dyDescent="0.2">
      <c r="A1582" s="14">
        <v>1558</v>
      </c>
      <c r="B1582" s="8">
        <v>400042323</v>
      </c>
      <c r="C1582" s="8" t="s">
        <v>1447</v>
      </c>
      <c r="D1582" s="4" t="str">
        <f t="shared" si="171"/>
        <v>400042323A</v>
      </c>
      <c r="E1582" s="309" t="str">
        <f>VLOOKUP($B1582,'D7 - NDB Impacted SPRF''s'!$E$6:$O$9929,2,FALSE)</f>
        <v>TX Star Plus CSP Migration</v>
      </c>
      <c r="F1582" s="8"/>
      <c r="G1582" s="8" t="s">
        <v>4758</v>
      </c>
      <c r="H1582" s="8" t="s">
        <v>4246</v>
      </c>
      <c r="I1582" s="20">
        <v>12.63</v>
      </c>
      <c r="J1582" s="8" t="s">
        <v>4862</v>
      </c>
      <c r="K1582" s="182">
        <v>40859</v>
      </c>
      <c r="L1582" s="8" t="s">
        <v>4156</v>
      </c>
      <c r="M1582" s="8" t="s">
        <v>2814</v>
      </c>
      <c r="N1582" s="38" t="s">
        <v>1346</v>
      </c>
      <c r="O1582" s="8"/>
      <c r="P1582" s="4" t="str">
        <f>VLOOKUP($B1582,'D7 - NDB Impacted SPRF''s'!$E$16:$O$9929,9,FALSE)</f>
        <v>N</v>
      </c>
      <c r="Q1582" s="4" t="str">
        <f>VLOOKUP($B1582,'D7 - NDB Impacted SPRF''s'!$E$16:$O$9929,10,FALSE)</f>
        <v>N</v>
      </c>
      <c r="R1582" s="4" t="str">
        <f>VLOOKUP($B1582,'D7 - NDB Impacted SPRF''s'!$E$16:$O$9929,11,FALSE)</f>
        <v>Y</v>
      </c>
      <c r="S1582" s="8"/>
      <c r="T1582" s="310"/>
      <c r="U1582" s="310"/>
      <c r="V1582" s="4"/>
      <c r="W1582" s="4"/>
      <c r="X1582" s="4"/>
      <c r="Y1582" s="4"/>
      <c r="Z1582" s="4"/>
      <c r="AA1582" s="4"/>
      <c r="AB1582" s="380" t="str">
        <f>VLOOKUP($B1582,'D7 - NDB Impacted SPRF''s'!$E$6:$O$9929,4,FALSE)</f>
        <v>Completed</v>
      </c>
      <c r="AC1582" s="380" t="str">
        <f>VLOOKUP($B1582,'D7 - NDB Impacted SPRF''s'!$E$6:$O$9929,3,FALSE)</f>
        <v>UnitedHealthcare Community &amp; State</v>
      </c>
      <c r="AD1582" s="380" t="str">
        <f>VLOOKUP($B1582,'D7 - NDB Impacted SPRF''s'!$E$6:$O$9929,5,FALSE)</f>
        <v>Integration Requirements</v>
      </c>
      <c r="AE1582" s="380" t="str">
        <f>VLOOKUP($B1582,'D7 - NDB Impacted SPRF''s'!$E$6:$O$9929,7,FALSE)</f>
        <v>Chris Scherer</v>
      </c>
      <c r="AF1582" s="380" t="str">
        <f>VLOOKUP($B1582,'D7 - NDB Impacted SPRF''s'!$E$6:$O$9929,6,FALSE)</f>
        <v>SCOTT HENNESSEY</v>
      </c>
      <c r="AG1582" s="282"/>
      <c r="AH1582" s="311" t="e">
        <f>INDEX('D5 - Gatekeeper - Projects'!$A$4:$AF$1010,$AM1582, 17)</f>
        <v>#N/A</v>
      </c>
      <c r="AI1582" s="8"/>
      <c r="AJ1582" s="57"/>
      <c r="AK1582" s="105"/>
      <c r="AM1582" s="6" t="e">
        <f>MATCH(D1582,'D5 - Gatekeeper - Projects'!$C$4:$C$1010,0)</f>
        <v>#N/A</v>
      </c>
      <c r="AN1582" s="6" t="b">
        <f t="shared" si="168"/>
        <v>1</v>
      </c>
      <c r="AO1582" s="6" t="str">
        <f t="shared" si="170"/>
        <v>OK</v>
      </c>
      <c r="AQ1582" s="6" t="e">
        <f>MATCH($D1582,'D4 - Provider Council Unsched'!$C$11:$C$234,0)</f>
        <v>#N/A</v>
      </c>
      <c r="AR1582" s="6" t="b">
        <f t="shared" si="169"/>
        <v>1</v>
      </c>
      <c r="AS1582" s="6" t="str">
        <f t="shared" si="172"/>
        <v>OK</v>
      </c>
      <c r="AU1582" s="202">
        <v>40690</v>
      </c>
      <c r="AV1582" s="262"/>
      <c r="AW1582" s="274"/>
    </row>
    <row r="1583" spans="1:49" s="13" customFormat="1" ht="33.75" x14ac:dyDescent="0.2">
      <c r="A1583" s="14">
        <v>1559</v>
      </c>
      <c r="B1583" s="8">
        <v>400042525</v>
      </c>
      <c r="C1583" s="8" t="s">
        <v>1447</v>
      </c>
      <c r="D1583" s="4" t="str">
        <f t="shared" si="171"/>
        <v>400042525A</v>
      </c>
      <c r="E1583" s="309" t="str">
        <f>VLOOKUP($B1583,'D7 - NDB Impacted SPRF''s'!$E$6:$O$9929,2,FALSE)</f>
        <v>TX CHIP CSP Migration</v>
      </c>
      <c r="F1583" s="8"/>
      <c r="G1583" s="8" t="s">
        <v>4758</v>
      </c>
      <c r="H1583" s="8" t="s">
        <v>4246</v>
      </c>
      <c r="I1583" s="20">
        <v>4.05</v>
      </c>
      <c r="J1583" s="8" t="s">
        <v>4862</v>
      </c>
      <c r="K1583" s="182">
        <v>40859</v>
      </c>
      <c r="L1583" s="8" t="s">
        <v>4156</v>
      </c>
      <c r="M1583" s="8" t="s">
        <v>3598</v>
      </c>
      <c r="N1583" s="38"/>
      <c r="O1583" s="8"/>
      <c r="P1583" s="4" t="str">
        <f>VLOOKUP($B1583,'D7 - NDB Impacted SPRF''s'!$E$16:$O$9929,9,FALSE)</f>
        <v>N</v>
      </c>
      <c r="Q1583" s="4" t="str">
        <f>VLOOKUP($B1583,'D7 - NDB Impacted SPRF''s'!$E$16:$O$9929,10,FALSE)</f>
        <v>N</v>
      </c>
      <c r="R1583" s="4" t="str">
        <f>VLOOKUP($B1583,'D7 - NDB Impacted SPRF''s'!$E$16:$O$9929,11,FALSE)</f>
        <v>Y</v>
      </c>
      <c r="S1583" s="8"/>
      <c r="T1583" s="310"/>
      <c r="U1583" s="310"/>
      <c r="V1583" s="4"/>
      <c r="W1583" s="4"/>
      <c r="X1583" s="4"/>
      <c r="Y1583" s="4"/>
      <c r="Z1583" s="4"/>
      <c r="AA1583" s="4"/>
      <c r="AB1583" s="380" t="str">
        <f>VLOOKUP($B1583,'D7 - NDB Impacted SPRF''s'!$E$6:$O$9929,4,FALSE)</f>
        <v>Completed</v>
      </c>
      <c r="AC1583" s="380" t="str">
        <f>VLOOKUP($B1583,'D7 - NDB Impacted SPRF''s'!$E$6:$O$9929,3,FALSE)</f>
        <v>UnitedHealthcare Community &amp; State</v>
      </c>
      <c r="AD1583" s="380" t="str">
        <f>VLOOKUP($B1583,'D7 - NDB Impacted SPRF''s'!$E$6:$O$9929,5,FALSE)</f>
        <v>Integration Requirements</v>
      </c>
      <c r="AE1583" s="380" t="str">
        <f>VLOOKUP($B1583,'D7 - NDB Impacted SPRF''s'!$E$6:$O$9929,7,FALSE)</f>
        <v>Chris Scherer</v>
      </c>
      <c r="AF1583" s="380" t="str">
        <f>VLOOKUP($B1583,'D7 - NDB Impacted SPRF''s'!$E$6:$O$9929,6,FALSE)</f>
        <v>SCOTT HENNESSEY</v>
      </c>
      <c r="AG1583" s="282"/>
      <c r="AH1583" s="311" t="e">
        <f>INDEX('D5 - Gatekeeper - Projects'!$A$4:$AF$1010,$AM1583, 17)</f>
        <v>#N/A</v>
      </c>
      <c r="AI1583" s="8"/>
      <c r="AJ1583" s="57"/>
      <c r="AK1583" s="105"/>
      <c r="AM1583" s="6" t="e">
        <f>MATCH(D1583,'D5 - Gatekeeper - Projects'!$C$4:$C$1010,0)</f>
        <v>#N/A</v>
      </c>
      <c r="AN1583" s="6" t="b">
        <f t="shared" si="168"/>
        <v>1</v>
      </c>
      <c r="AO1583" s="6" t="str">
        <f t="shared" si="170"/>
        <v>OK</v>
      </c>
      <c r="AQ1583" s="6" t="e">
        <f>MATCH($D1583,'D4 - Provider Council Unsched'!$C$11:$C$234,0)</f>
        <v>#N/A</v>
      </c>
      <c r="AR1583" s="6" t="b">
        <f t="shared" si="169"/>
        <v>1</v>
      </c>
      <c r="AS1583" s="6" t="str">
        <f t="shared" si="172"/>
        <v>OK</v>
      </c>
      <c r="AU1583" s="202">
        <v>40680</v>
      </c>
      <c r="AV1583" s="262"/>
      <c r="AW1583" s="274"/>
    </row>
    <row r="1584" spans="1:49" s="13" customFormat="1" ht="45" x14ac:dyDescent="0.2">
      <c r="A1584" s="14">
        <v>1560</v>
      </c>
      <c r="B1584" s="8">
        <v>400042641</v>
      </c>
      <c r="C1584" s="8" t="s">
        <v>1447</v>
      </c>
      <c r="D1584" s="4" t="str">
        <f t="shared" si="171"/>
        <v>400042641A</v>
      </c>
      <c r="E1584" s="309" t="str">
        <f>VLOOKUP($B1584,'D7 - NDB Impacted SPRF''s'!$E$6:$O$9929,2,FALSE)</f>
        <v>Systems of Record - Data Integration Support 2011</v>
      </c>
      <c r="F1584" s="8"/>
      <c r="G1584" s="8" t="s">
        <v>4758</v>
      </c>
      <c r="H1584" s="8" t="s">
        <v>4246</v>
      </c>
      <c r="I1584" s="20">
        <v>1.35</v>
      </c>
      <c r="J1584" s="8" t="s">
        <v>4862</v>
      </c>
      <c r="K1584" s="182">
        <v>40859</v>
      </c>
      <c r="L1584" s="8" t="s">
        <v>4156</v>
      </c>
      <c r="M1584" s="8" t="s">
        <v>6688</v>
      </c>
      <c r="N1584" s="38" t="s">
        <v>3102</v>
      </c>
      <c r="O1584" s="8"/>
      <c r="P1584" s="4" t="str">
        <f>VLOOKUP($B1584,'D7 - NDB Impacted SPRF''s'!$E$16:$O$9929,9,FALSE)</f>
        <v>N</v>
      </c>
      <c r="Q1584" s="4" t="str">
        <f>VLOOKUP($B1584,'D7 - NDB Impacted SPRF''s'!$E$16:$O$9929,10,FALSE)</f>
        <v>N</v>
      </c>
      <c r="R1584" s="4" t="str">
        <f>VLOOKUP($B1584,'D7 - NDB Impacted SPRF''s'!$E$16:$O$9929,11,FALSE)</f>
        <v>N</v>
      </c>
      <c r="S1584" s="8"/>
      <c r="T1584" s="310"/>
      <c r="U1584" s="310"/>
      <c r="V1584" s="4"/>
      <c r="W1584" s="4"/>
      <c r="X1584" s="4"/>
      <c r="Y1584" s="4"/>
      <c r="Z1584" s="4"/>
      <c r="AA1584" s="4"/>
      <c r="AB1584" s="380" t="str">
        <f>VLOOKUP($B1584,'D7 - NDB Impacted SPRF''s'!$E$6:$O$9929,4,FALSE)</f>
        <v>Completed</v>
      </c>
      <c r="AC1584" s="380" t="s">
        <v>5324</v>
      </c>
      <c r="AD1584" s="380" t="str">
        <f>VLOOKUP($B1584,'D7 - NDB Impacted SPRF''s'!$E$6:$O$9929,5,FALSE)</f>
        <v>Strategic Initiatives</v>
      </c>
      <c r="AE1584" s="380" t="str">
        <f>VLOOKUP($B1584,'D7 - NDB Impacted SPRF''s'!$E$6:$O$9929,7,FALSE)</f>
        <v>David Albright</v>
      </c>
      <c r="AF1584" s="380" t="str">
        <f>VLOOKUP($B1584,'D7 - NDB Impacted SPRF''s'!$E$6:$O$9929,6,FALSE)</f>
        <v>Stacy Blackstad</v>
      </c>
      <c r="AG1584" s="282"/>
      <c r="AH1584" s="311" t="e">
        <f>INDEX('D5 - Gatekeeper - Projects'!$A$4:$AF$1010,$AM1584, 17)</f>
        <v>#N/A</v>
      </c>
      <c r="AI1584" s="8"/>
      <c r="AJ1584" s="57"/>
      <c r="AK1584" s="105"/>
      <c r="AM1584" s="6" t="e">
        <f>MATCH(D1584,'D5 - Gatekeeper - Projects'!$C$4:$C$1010,0)</f>
        <v>#N/A</v>
      </c>
      <c r="AN1584" s="6" t="b">
        <f t="shared" si="168"/>
        <v>1</v>
      </c>
      <c r="AO1584" s="6" t="str">
        <f t="shared" si="170"/>
        <v>OK</v>
      </c>
      <c r="AQ1584" s="6" t="e">
        <f>MATCH($D1584,'D4 - Provider Council Unsched'!$C$11:$C$234,0)</f>
        <v>#N/A</v>
      </c>
      <c r="AR1584" s="6" t="b">
        <f t="shared" si="169"/>
        <v>1</v>
      </c>
      <c r="AS1584" s="6" t="str">
        <f t="shared" si="172"/>
        <v>OK</v>
      </c>
      <c r="AU1584" s="202">
        <v>40777</v>
      </c>
      <c r="AV1584" s="262"/>
      <c r="AW1584" s="274"/>
    </row>
    <row r="1585" spans="1:49" s="13" customFormat="1" ht="33.75" x14ac:dyDescent="0.2">
      <c r="A1585" s="14">
        <v>1561</v>
      </c>
      <c r="B1585" s="8">
        <v>400042795</v>
      </c>
      <c r="C1585" s="8" t="s">
        <v>7290</v>
      </c>
      <c r="D1585" s="4" t="str">
        <f t="shared" si="171"/>
        <v>400042795B</v>
      </c>
      <c r="E1585" s="309" t="str">
        <f>VLOOKUP($B1585,'D7 - NDB Impacted SPRF''s'!$E$6:$O$9929,2,FALSE)</f>
        <v>PDR - EVC Fee Schedule Migration to NDB</v>
      </c>
      <c r="F1585" s="8"/>
      <c r="G1585" s="8" t="s">
        <v>4758</v>
      </c>
      <c r="H1585" s="8" t="s">
        <v>4246</v>
      </c>
      <c r="I1585" s="20">
        <v>55.17</v>
      </c>
      <c r="J1585" s="8" t="s">
        <v>4862</v>
      </c>
      <c r="K1585" s="182">
        <v>40859</v>
      </c>
      <c r="L1585" s="8" t="s">
        <v>4156</v>
      </c>
      <c r="M1585" s="8" t="s">
        <v>2814</v>
      </c>
      <c r="N1585" s="38" t="s">
        <v>3118</v>
      </c>
      <c r="O1585" s="8"/>
      <c r="P1585" s="4" t="str">
        <f>VLOOKUP($B1585,'D7 - NDB Impacted SPRF''s'!$E$16:$O$9929,9,FALSE)</f>
        <v>N</v>
      </c>
      <c r="Q1585" s="4" t="str">
        <f>VLOOKUP($B1585,'D7 - NDB Impacted SPRF''s'!$E$16:$O$9929,10,FALSE)</f>
        <v>N</v>
      </c>
      <c r="R1585" s="4" t="str">
        <f>VLOOKUP($B1585,'D7 - NDB Impacted SPRF''s'!$E$16:$O$9929,11,FALSE)</f>
        <v>Y</v>
      </c>
      <c r="S1585" s="8"/>
      <c r="T1585" s="310"/>
      <c r="U1585" s="310"/>
      <c r="V1585" s="4"/>
      <c r="W1585" s="4"/>
      <c r="X1585" s="4"/>
      <c r="Y1585" s="4"/>
      <c r="Z1585" s="4"/>
      <c r="AA1585" s="4"/>
      <c r="AB1585" s="380" t="str">
        <f>VLOOKUP($B1585,'D7 - NDB Impacted SPRF''s'!$E$6:$O$9929,4,FALSE)</f>
        <v>Completed</v>
      </c>
      <c r="AC1585" s="380" t="s">
        <v>5324</v>
      </c>
      <c r="AD1585" s="380" t="str">
        <f>VLOOKUP($B1585,'D7 - NDB Impacted SPRF''s'!$E$6:$O$9929,5,FALSE)</f>
        <v>Strategic Initiatives</v>
      </c>
      <c r="AE1585" s="380" t="str">
        <f>VLOOKUP($B1585,'D7 - NDB Impacted SPRF''s'!$E$6:$O$9929,7,FALSE)</f>
        <v>Wichmann</v>
      </c>
      <c r="AF1585" s="380" t="str">
        <f>VLOOKUP($B1585,'D7 - NDB Impacted SPRF''s'!$E$6:$O$9929,6,FALSE)</f>
        <v>Joshua Ely</v>
      </c>
      <c r="AG1585" s="282"/>
      <c r="AH1585" s="311" t="e">
        <f>INDEX('D5 - Gatekeeper - Projects'!$A$4:$AF$1010,$AM1585, 17)</f>
        <v>#N/A</v>
      </c>
      <c r="AI1585" s="8"/>
      <c r="AJ1585" s="57"/>
      <c r="AK1585" s="105"/>
      <c r="AM1585" s="6" t="e">
        <f>MATCH(D1585,'D5 - Gatekeeper - Projects'!$C$4:$C$1010,0)</f>
        <v>#N/A</v>
      </c>
      <c r="AN1585" s="6" t="b">
        <f t="shared" si="168"/>
        <v>1</v>
      </c>
      <c r="AO1585" s="6" t="str">
        <f t="shared" si="170"/>
        <v>OK</v>
      </c>
      <c r="AQ1585" s="6" t="e">
        <f>MATCH($D1585,'D4 - Provider Council Unsched'!$C$11:$C$234,0)</f>
        <v>#N/A</v>
      </c>
      <c r="AR1585" s="6" t="b">
        <f t="shared" si="169"/>
        <v>1</v>
      </c>
      <c r="AS1585" s="6" t="str">
        <f t="shared" si="172"/>
        <v>OK</v>
      </c>
      <c r="AU1585" s="202">
        <v>40637</v>
      </c>
      <c r="AV1585" s="262"/>
      <c r="AW1585" s="274"/>
    </row>
    <row r="1586" spans="1:49" s="13" customFormat="1" ht="45" x14ac:dyDescent="0.2">
      <c r="A1586" s="14">
        <v>1562</v>
      </c>
      <c r="B1586" s="8">
        <v>400042795</v>
      </c>
      <c r="C1586" s="8" t="s">
        <v>7292</v>
      </c>
      <c r="D1586" s="4" t="str">
        <f t="shared" si="171"/>
        <v>400042795C</v>
      </c>
      <c r="E1586" s="309" t="str">
        <f>VLOOKUP($B1586,'D7 - NDB Impacted SPRF''s'!$E$6:$O$9929,2,FALSE)</f>
        <v>PDR - EVC Fee Schedule Migration to NDB</v>
      </c>
      <c r="F1586" s="8"/>
      <c r="G1586" s="8" t="s">
        <v>4758</v>
      </c>
      <c r="H1586" s="8" t="s">
        <v>4246</v>
      </c>
      <c r="I1586" s="20">
        <v>11.72</v>
      </c>
      <c r="J1586" s="8" t="s">
        <v>4862</v>
      </c>
      <c r="K1586" s="182">
        <v>40859</v>
      </c>
      <c r="L1586" s="8" t="s">
        <v>4156</v>
      </c>
      <c r="M1586" s="8" t="s">
        <v>2814</v>
      </c>
      <c r="N1586" s="38" t="s">
        <v>5398</v>
      </c>
      <c r="O1586" s="8"/>
      <c r="P1586" s="4" t="str">
        <f>VLOOKUP($B1586,'D7 - NDB Impacted SPRF''s'!$E$16:$O$9929,9,FALSE)</f>
        <v>N</v>
      </c>
      <c r="Q1586" s="4" t="str">
        <f>VLOOKUP($B1586,'D7 - NDB Impacted SPRF''s'!$E$16:$O$9929,10,FALSE)</f>
        <v>N</v>
      </c>
      <c r="R1586" s="4" t="str">
        <f>VLOOKUP($B1586,'D7 - NDB Impacted SPRF''s'!$E$16:$O$9929,11,FALSE)</f>
        <v>Y</v>
      </c>
      <c r="S1586" s="8"/>
      <c r="T1586" s="310"/>
      <c r="U1586" s="310"/>
      <c r="V1586" s="4"/>
      <c r="W1586" s="4"/>
      <c r="X1586" s="4"/>
      <c r="Y1586" s="4"/>
      <c r="Z1586" s="4"/>
      <c r="AA1586" s="4"/>
      <c r="AB1586" s="380" t="str">
        <f>VLOOKUP($B1586,'D7 - NDB Impacted SPRF''s'!$E$6:$O$9929,4,FALSE)</f>
        <v>Completed</v>
      </c>
      <c r="AC1586" s="380" t="s">
        <v>5324</v>
      </c>
      <c r="AD1586" s="380" t="str">
        <f>VLOOKUP($B1586,'D7 - NDB Impacted SPRF''s'!$E$6:$O$9929,5,FALSE)</f>
        <v>Strategic Initiatives</v>
      </c>
      <c r="AE1586" s="380" t="str">
        <f>VLOOKUP($B1586,'D7 - NDB Impacted SPRF''s'!$E$6:$O$9929,7,FALSE)</f>
        <v>Wichmann</v>
      </c>
      <c r="AF1586" s="380" t="str">
        <f>VLOOKUP($B1586,'D7 - NDB Impacted SPRF''s'!$E$6:$O$9929,6,FALSE)</f>
        <v>Joshua Ely</v>
      </c>
      <c r="AG1586" s="282"/>
      <c r="AH1586" s="311" t="e">
        <f>INDEX('D5 - Gatekeeper - Projects'!$A$4:$AF$1010,$AM1586, 17)</f>
        <v>#N/A</v>
      </c>
      <c r="AI1586" s="8"/>
      <c r="AJ1586" s="57"/>
      <c r="AK1586" s="105"/>
      <c r="AM1586" s="6" t="e">
        <f>MATCH(D1586,'D5 - Gatekeeper - Projects'!$C$4:$C$1010,0)</f>
        <v>#N/A</v>
      </c>
      <c r="AN1586" s="6" t="b">
        <f t="shared" si="168"/>
        <v>1</v>
      </c>
      <c r="AO1586" s="6" t="str">
        <f t="shared" si="170"/>
        <v>OK</v>
      </c>
      <c r="AQ1586" s="6" t="e">
        <f>MATCH($D1586,'D4 - Provider Council Unsched'!$C$11:$C$234,0)</f>
        <v>#N/A</v>
      </c>
      <c r="AR1586" s="6" t="b">
        <f t="shared" si="169"/>
        <v>1</v>
      </c>
      <c r="AS1586" s="6" t="str">
        <f t="shared" si="172"/>
        <v>OK</v>
      </c>
      <c r="AU1586" s="202">
        <v>40680</v>
      </c>
      <c r="AV1586" s="262"/>
      <c r="AW1586" s="274"/>
    </row>
    <row r="1587" spans="1:49" s="13" customFormat="1" ht="33.75" x14ac:dyDescent="0.2">
      <c r="A1587" s="14">
        <v>1563</v>
      </c>
      <c r="B1587" s="8">
        <v>400042795</v>
      </c>
      <c r="C1587" s="8" t="s">
        <v>7289</v>
      </c>
      <c r="D1587" s="4" t="str">
        <f t="shared" si="171"/>
        <v>400042795D</v>
      </c>
      <c r="E1587" s="309" t="str">
        <f>VLOOKUP($B1587,'D7 - NDB Impacted SPRF''s'!$E$6:$O$9929,2,FALSE)</f>
        <v>PDR - EVC Fee Schedule Migration to NDB</v>
      </c>
      <c r="F1587" s="8"/>
      <c r="G1587" s="8" t="s">
        <v>4758</v>
      </c>
      <c r="H1587" s="8" t="s">
        <v>4246</v>
      </c>
      <c r="I1587" s="20">
        <v>4.54</v>
      </c>
      <c r="J1587" s="8" t="s">
        <v>4862</v>
      </c>
      <c r="K1587" s="182">
        <v>40859</v>
      </c>
      <c r="L1587" s="8" t="s">
        <v>4156</v>
      </c>
      <c r="M1587" s="8" t="s">
        <v>2814</v>
      </c>
      <c r="N1587" s="38" t="s">
        <v>5399</v>
      </c>
      <c r="O1587" s="8"/>
      <c r="P1587" s="4" t="str">
        <f>VLOOKUP($B1587,'D7 - NDB Impacted SPRF''s'!$E$16:$O$9929,9,FALSE)</f>
        <v>N</v>
      </c>
      <c r="Q1587" s="4" t="str">
        <f>VLOOKUP($B1587,'D7 - NDB Impacted SPRF''s'!$E$16:$O$9929,10,FALSE)</f>
        <v>N</v>
      </c>
      <c r="R1587" s="4" t="str">
        <f>VLOOKUP($B1587,'D7 - NDB Impacted SPRF''s'!$E$16:$O$9929,11,FALSE)</f>
        <v>Y</v>
      </c>
      <c r="S1587" s="8"/>
      <c r="T1587" s="310"/>
      <c r="U1587" s="310"/>
      <c r="V1587" s="4"/>
      <c r="W1587" s="4"/>
      <c r="X1587" s="4"/>
      <c r="Y1587" s="4"/>
      <c r="Z1587" s="4"/>
      <c r="AA1587" s="4"/>
      <c r="AB1587" s="380" t="str">
        <f>VLOOKUP($B1587,'D7 - NDB Impacted SPRF''s'!$E$6:$O$9929,4,FALSE)</f>
        <v>Completed</v>
      </c>
      <c r="AC1587" s="380" t="s">
        <v>5324</v>
      </c>
      <c r="AD1587" s="380" t="str">
        <f>VLOOKUP($B1587,'D7 - NDB Impacted SPRF''s'!$E$6:$O$9929,5,FALSE)</f>
        <v>Strategic Initiatives</v>
      </c>
      <c r="AE1587" s="380" t="str">
        <f>VLOOKUP($B1587,'D7 - NDB Impacted SPRF''s'!$E$6:$O$9929,7,FALSE)</f>
        <v>Wichmann</v>
      </c>
      <c r="AF1587" s="380" t="str">
        <f>VLOOKUP($B1587,'D7 - NDB Impacted SPRF''s'!$E$6:$O$9929,6,FALSE)</f>
        <v>Joshua Ely</v>
      </c>
      <c r="AG1587" s="282"/>
      <c r="AH1587" s="311" t="e">
        <f>INDEX('D5 - Gatekeeper - Projects'!$A$4:$AF$1010,$AM1587, 17)</f>
        <v>#N/A</v>
      </c>
      <c r="AI1587" s="8"/>
      <c r="AJ1587" s="57"/>
      <c r="AK1587" s="105"/>
      <c r="AM1587" s="6" t="e">
        <f>MATCH(D1587,'D5 - Gatekeeper - Projects'!$C$4:$C$1010,0)</f>
        <v>#N/A</v>
      </c>
      <c r="AN1587" s="6" t="b">
        <f t="shared" si="168"/>
        <v>1</v>
      </c>
      <c r="AO1587" s="6" t="str">
        <f t="shared" si="170"/>
        <v>OK</v>
      </c>
      <c r="AQ1587" s="6" t="e">
        <f>MATCH($D1587,'D4 - Provider Council Unsched'!$C$11:$C$234,0)</f>
        <v>#N/A</v>
      </c>
      <c r="AR1587" s="6" t="b">
        <f t="shared" si="169"/>
        <v>1</v>
      </c>
      <c r="AS1587" s="6" t="str">
        <f t="shared" si="172"/>
        <v>OK</v>
      </c>
      <c r="AU1587" s="202">
        <v>40707</v>
      </c>
      <c r="AV1587" s="262"/>
      <c r="AW1587" s="274"/>
    </row>
    <row r="1588" spans="1:49" s="13" customFormat="1" ht="33.75" x14ac:dyDescent="0.2">
      <c r="A1588" s="14">
        <v>1564</v>
      </c>
      <c r="B1588" s="8">
        <v>400042795</v>
      </c>
      <c r="C1588" s="8" t="s">
        <v>8138</v>
      </c>
      <c r="D1588" s="4" t="str">
        <f t="shared" si="171"/>
        <v>400042795UA</v>
      </c>
      <c r="E1588" s="309" t="str">
        <f>VLOOKUP($B1588,'D7 - NDB Impacted SPRF''s'!$E$6:$O$9929,2,FALSE)</f>
        <v>PDR - EVC Fee Schedule Migration to NDB</v>
      </c>
      <c r="F1588" s="8"/>
      <c r="G1588" s="8" t="s">
        <v>4758</v>
      </c>
      <c r="H1588" s="8" t="s">
        <v>4246</v>
      </c>
      <c r="I1588" s="20">
        <v>1.4</v>
      </c>
      <c r="J1588" s="8" t="s">
        <v>4862</v>
      </c>
      <c r="K1588" s="182">
        <v>40859</v>
      </c>
      <c r="L1588" s="8" t="s">
        <v>4156</v>
      </c>
      <c r="M1588" s="8" t="s">
        <v>2814</v>
      </c>
      <c r="N1588" s="38" t="s">
        <v>5400</v>
      </c>
      <c r="O1588" s="8"/>
      <c r="P1588" s="4" t="str">
        <f>VLOOKUP($B1588,'D7 - NDB Impacted SPRF''s'!$E$16:$O$9929,9,FALSE)</f>
        <v>N</v>
      </c>
      <c r="Q1588" s="4" t="str">
        <f>VLOOKUP($B1588,'D7 - NDB Impacted SPRF''s'!$E$16:$O$9929,10,FALSE)</f>
        <v>N</v>
      </c>
      <c r="R1588" s="4" t="str">
        <f>VLOOKUP($B1588,'D7 - NDB Impacted SPRF''s'!$E$16:$O$9929,11,FALSE)</f>
        <v>Y</v>
      </c>
      <c r="S1588" s="8"/>
      <c r="T1588" s="310"/>
      <c r="U1588" s="310"/>
      <c r="V1588" s="4"/>
      <c r="W1588" s="4"/>
      <c r="X1588" s="4"/>
      <c r="Y1588" s="4"/>
      <c r="Z1588" s="4"/>
      <c r="AA1588" s="4"/>
      <c r="AB1588" s="380" t="str">
        <f>VLOOKUP($B1588,'D7 - NDB Impacted SPRF''s'!$E$6:$O$9929,4,FALSE)</f>
        <v>Completed</v>
      </c>
      <c r="AC1588" s="380" t="s">
        <v>5324</v>
      </c>
      <c r="AD1588" s="380" t="str">
        <f>VLOOKUP($B1588,'D7 - NDB Impacted SPRF''s'!$E$6:$O$9929,5,FALSE)</f>
        <v>Strategic Initiatives</v>
      </c>
      <c r="AE1588" s="380" t="str">
        <f>VLOOKUP($B1588,'D7 - NDB Impacted SPRF''s'!$E$6:$O$9929,7,FALSE)</f>
        <v>Wichmann</v>
      </c>
      <c r="AF1588" s="380" t="str">
        <f>VLOOKUP($B1588,'D7 - NDB Impacted SPRF''s'!$E$6:$O$9929,6,FALSE)</f>
        <v>Joshua Ely</v>
      </c>
      <c r="AG1588" s="282"/>
      <c r="AH1588" s="311" t="e">
        <f>INDEX('D5 - Gatekeeper - Projects'!$A$4:$AF$1010,$AM1588, 17)</f>
        <v>#N/A</v>
      </c>
      <c r="AI1588" s="8"/>
      <c r="AJ1588" s="57"/>
      <c r="AK1588" s="105"/>
      <c r="AM1588" s="6" t="e">
        <f>MATCH(D1588,'D5 - Gatekeeper - Projects'!$C$4:$C$1010,0)</f>
        <v>#N/A</v>
      </c>
      <c r="AN1588" s="6" t="b">
        <f t="shared" si="168"/>
        <v>1</v>
      </c>
      <c r="AO1588" s="6" t="str">
        <f t="shared" si="170"/>
        <v>OK</v>
      </c>
      <c r="AQ1588" s="6" t="e">
        <f>MATCH($D1588,'D4 - Provider Council Unsched'!$C$11:$C$234,0)</f>
        <v>#N/A</v>
      </c>
      <c r="AR1588" s="6" t="b">
        <f t="shared" si="169"/>
        <v>1</v>
      </c>
      <c r="AS1588" s="6" t="str">
        <f t="shared" si="172"/>
        <v>OK</v>
      </c>
      <c r="AU1588" s="202">
        <v>40707</v>
      </c>
      <c r="AV1588" s="262"/>
      <c r="AW1588" s="274"/>
    </row>
    <row r="1589" spans="1:49" s="13" customFormat="1" ht="45" x14ac:dyDescent="0.2">
      <c r="A1589" s="14">
        <v>1565</v>
      </c>
      <c r="B1589" s="8">
        <v>400042820</v>
      </c>
      <c r="C1589" s="8" t="s">
        <v>1447</v>
      </c>
      <c r="D1589" s="4" t="str">
        <f t="shared" si="171"/>
        <v>400042820A</v>
      </c>
      <c r="E1589" s="309" t="str">
        <f>VLOOKUP($B1589,'D7 - NDB Impacted SPRF''s'!$E$6:$O$9929,2,FALSE)</f>
        <v>CSS-B2X 2011D Release</v>
      </c>
      <c r="F1589" s="8"/>
      <c r="G1589" s="8" t="s">
        <v>4758</v>
      </c>
      <c r="H1589" s="8" t="s">
        <v>4246</v>
      </c>
      <c r="I1589" s="20">
        <v>0.8</v>
      </c>
      <c r="J1589" s="8" t="s">
        <v>4862</v>
      </c>
      <c r="K1589" s="182">
        <v>40859</v>
      </c>
      <c r="L1589" s="8" t="s">
        <v>4156</v>
      </c>
      <c r="M1589" s="8" t="s">
        <v>5626</v>
      </c>
      <c r="N1589" s="38" t="s">
        <v>213</v>
      </c>
      <c r="O1589" s="8"/>
      <c r="P1589" s="4" t="str">
        <f>VLOOKUP($B1589,'D7 - NDB Impacted SPRF''s'!$E$16:$O$9929,9,FALSE)</f>
        <v>N</v>
      </c>
      <c r="Q1589" s="4" t="str">
        <f>VLOOKUP($B1589,'D7 - NDB Impacted SPRF''s'!$E$16:$O$9929,10,FALSE)</f>
        <v>N</v>
      </c>
      <c r="R1589" s="4" t="str">
        <f>VLOOKUP($B1589,'D7 - NDB Impacted SPRF''s'!$E$16:$O$9929,11,FALSE)</f>
        <v>N</v>
      </c>
      <c r="S1589" s="8"/>
      <c r="T1589" s="310"/>
      <c r="U1589" s="310"/>
      <c r="V1589" s="4"/>
      <c r="W1589" s="4"/>
      <c r="X1589" s="4"/>
      <c r="Y1589" s="4"/>
      <c r="Z1589" s="4"/>
      <c r="AA1589" s="4"/>
      <c r="AB1589" s="380" t="str">
        <f>VLOOKUP($B1589,'D7 - NDB Impacted SPRF''s'!$E$6:$O$9929,4,FALSE)</f>
        <v>Completed</v>
      </c>
      <c r="AC1589" s="380" t="s">
        <v>5324</v>
      </c>
      <c r="AD1589" s="380" t="str">
        <f>VLOOKUP($B1589,'D7 - NDB Impacted SPRF''s'!$E$6:$O$9929,5,FALSE)</f>
        <v>Medical Cost Savings Programs</v>
      </c>
      <c r="AE1589" s="380" t="str">
        <f>VLOOKUP($B1589,'D7 - NDB Impacted SPRF''s'!$E$6:$O$9929,7,FALSE)</f>
        <v>Cynthia Middaugh</v>
      </c>
      <c r="AF1589" s="380" t="str">
        <f>VLOOKUP($B1589,'D7 - NDB Impacted SPRF''s'!$E$6:$O$9929,6,FALSE)</f>
        <v>CHRISTINA MOSHER</v>
      </c>
      <c r="AG1589" s="282"/>
      <c r="AH1589" s="311" t="e">
        <f>INDEX('D5 - Gatekeeper - Projects'!$A$4:$AF$1010,$AM1589, 17)</f>
        <v>#N/A</v>
      </c>
      <c r="AI1589" s="8"/>
      <c r="AJ1589" s="57"/>
      <c r="AK1589" s="105"/>
      <c r="AM1589" s="6" t="e">
        <f>MATCH(D1589,'D5 - Gatekeeper - Projects'!$C$4:$C$1010,0)</f>
        <v>#N/A</v>
      </c>
      <c r="AN1589" s="6" t="b">
        <f t="shared" si="168"/>
        <v>1</v>
      </c>
      <c r="AO1589" s="6" t="str">
        <f t="shared" si="170"/>
        <v>OK</v>
      </c>
      <c r="AQ1589" s="6" t="e">
        <f>MATCH($D1589,'D4 - Provider Council Unsched'!$C$11:$C$234,0)</f>
        <v>#N/A</v>
      </c>
      <c r="AR1589" s="6" t="b">
        <f t="shared" si="169"/>
        <v>1</v>
      </c>
      <c r="AS1589" s="6" t="str">
        <f t="shared" si="172"/>
        <v>OK</v>
      </c>
      <c r="AU1589" s="202">
        <v>40777</v>
      </c>
      <c r="AV1589" s="262"/>
      <c r="AW1589" s="274"/>
    </row>
    <row r="1590" spans="1:49" s="13" customFormat="1" ht="33.75" x14ac:dyDescent="0.2">
      <c r="A1590" s="14">
        <v>1566</v>
      </c>
      <c r="B1590" s="8">
        <v>400043017</v>
      </c>
      <c r="C1590" s="8" t="s">
        <v>1447</v>
      </c>
      <c r="D1590" s="4" t="str">
        <f t="shared" si="171"/>
        <v>400043017A</v>
      </c>
      <c r="E1590" s="309" t="str">
        <f>VLOOKUP($B1590,'D7 - NDB Impacted SPRF''s'!$E$6:$O$9929,2,FALSE)</f>
        <v>Prospective Fraud Process Enhancement</v>
      </c>
      <c r="F1590" s="8"/>
      <c r="G1590" s="8" t="s">
        <v>4758</v>
      </c>
      <c r="H1590" s="8" t="s">
        <v>4246</v>
      </c>
      <c r="I1590" s="20">
        <v>0.59</v>
      </c>
      <c r="J1590" s="8" t="s">
        <v>4862</v>
      </c>
      <c r="K1590" s="182">
        <v>40859</v>
      </c>
      <c r="L1590" s="8" t="s">
        <v>4156</v>
      </c>
      <c r="M1590" s="8" t="s">
        <v>6688</v>
      </c>
      <c r="N1590" s="38"/>
      <c r="O1590" s="8"/>
      <c r="P1590" s="4" t="str">
        <f>VLOOKUP($B1590,'D7 - NDB Impacted SPRF''s'!$E$16:$O$9929,9,FALSE)</f>
        <v>Y</v>
      </c>
      <c r="Q1590" s="4" t="str">
        <f>VLOOKUP($B1590,'D7 - NDB Impacted SPRF''s'!$E$16:$O$9929,10,FALSE)</f>
        <v>N</v>
      </c>
      <c r="R1590" s="4" t="str">
        <f>VLOOKUP($B1590,'D7 - NDB Impacted SPRF''s'!$E$16:$O$9929,11,FALSE)</f>
        <v>N</v>
      </c>
      <c r="S1590" s="8"/>
      <c r="T1590" s="310"/>
      <c r="U1590" s="310"/>
      <c r="V1590" s="4"/>
      <c r="W1590" s="4"/>
      <c r="X1590" s="4"/>
      <c r="Y1590" s="4"/>
      <c r="Z1590" s="4"/>
      <c r="AA1590" s="4"/>
      <c r="AB1590" s="380" t="str">
        <f>VLOOKUP($B1590,'D7 - NDB Impacted SPRF''s'!$E$6:$O$9929,4,FALSE)</f>
        <v>Completed</v>
      </c>
      <c r="AC1590" s="380" t="str">
        <f>VLOOKUP($B1590,'D7 - NDB Impacted SPRF''s'!$E$6:$O$9929,3,FALSE)</f>
        <v>UnitedHealthcare Employer &amp; Individual</v>
      </c>
      <c r="AD1590" s="380" t="str">
        <f>VLOOKUP($B1590,'D7 - NDB Impacted SPRF''s'!$E$6:$O$9929,5,FALSE)</f>
        <v>Medical Cost Savings Programs</v>
      </c>
      <c r="AE1590" s="380" t="str">
        <f>VLOOKUP($B1590,'D7 - NDB Impacted SPRF''s'!$E$6:$O$9929,7,FALSE)</f>
        <v>Molly Knorr</v>
      </c>
      <c r="AF1590" s="380" t="str">
        <f>VLOOKUP($B1590,'D7 - NDB Impacted SPRF''s'!$E$6:$O$9929,6,FALSE)</f>
        <v>Amy Gustafson</v>
      </c>
      <c r="AG1590" s="282"/>
      <c r="AH1590" s="311" t="e">
        <f>INDEX('D5 - Gatekeeper - Projects'!$A$4:$AF$1010,$AM1590, 17)</f>
        <v>#N/A</v>
      </c>
      <c r="AI1590" s="8"/>
      <c r="AJ1590" s="57"/>
      <c r="AK1590" s="105"/>
      <c r="AM1590" s="6" t="e">
        <f>MATCH(D1590,'D5 - Gatekeeper - Projects'!$C$4:$C$1010,0)</f>
        <v>#N/A</v>
      </c>
      <c r="AN1590" s="6" t="b">
        <f t="shared" si="168"/>
        <v>1</v>
      </c>
      <c r="AO1590" s="6" t="str">
        <f t="shared" si="170"/>
        <v>OK</v>
      </c>
      <c r="AQ1590" s="6" t="e">
        <f>MATCH($D1590,'D4 - Provider Council Unsched'!$C$11:$C$234,0)</f>
        <v>#N/A</v>
      </c>
      <c r="AR1590" s="6" t="b">
        <f t="shared" si="169"/>
        <v>1</v>
      </c>
      <c r="AS1590" s="6" t="str">
        <f t="shared" si="172"/>
        <v>OK</v>
      </c>
      <c r="AU1590" s="202">
        <v>40816</v>
      </c>
      <c r="AV1590" s="262"/>
      <c r="AW1590" s="274"/>
    </row>
    <row r="1591" spans="1:49" s="13" customFormat="1" ht="45" x14ac:dyDescent="0.2">
      <c r="A1591" s="14">
        <v>1567</v>
      </c>
      <c r="B1591" s="8">
        <v>400043123</v>
      </c>
      <c r="C1591" s="8" t="s">
        <v>1447</v>
      </c>
      <c r="D1591" s="4" t="str">
        <f t="shared" si="171"/>
        <v>400043123A</v>
      </c>
      <c r="E1591" s="309" t="str">
        <f>VLOOKUP($B1591,'D7 - NDB Impacted SPRF''s'!$E$6:$O$9929,2,FALSE)</f>
        <v>ER/HBP OON Fee schedule</v>
      </c>
      <c r="F1591" s="8"/>
      <c r="G1591" s="8" t="s">
        <v>4758</v>
      </c>
      <c r="H1591" s="8" t="s">
        <v>4246</v>
      </c>
      <c r="I1591" s="20">
        <v>12.14</v>
      </c>
      <c r="J1591" s="8" t="s">
        <v>4862</v>
      </c>
      <c r="K1591" s="182">
        <v>40859</v>
      </c>
      <c r="L1591" s="8" t="s">
        <v>4156</v>
      </c>
      <c r="M1591" s="8" t="s">
        <v>2814</v>
      </c>
      <c r="N1591" s="38" t="s">
        <v>2211</v>
      </c>
      <c r="O1591" s="8"/>
      <c r="P1591" s="4" t="str">
        <f>VLOOKUP($B1591,'D7 - NDB Impacted SPRF''s'!$E$16:$O$9929,9,FALSE)</f>
        <v>Y</v>
      </c>
      <c r="Q1591" s="4" t="str">
        <f>VLOOKUP($B1591,'D7 - NDB Impacted SPRF''s'!$E$16:$O$9929,10,FALSE)</f>
        <v>N</v>
      </c>
      <c r="R1591" s="4" t="str">
        <f>VLOOKUP($B1591,'D7 - NDB Impacted SPRF''s'!$E$16:$O$9929,11,FALSE)</f>
        <v>N</v>
      </c>
      <c r="S1591" s="8"/>
      <c r="T1591" s="310"/>
      <c r="U1591" s="310"/>
      <c r="V1591" s="4"/>
      <c r="W1591" s="4"/>
      <c r="X1591" s="4"/>
      <c r="Y1591" s="4"/>
      <c r="Z1591" s="4"/>
      <c r="AA1591" s="4"/>
      <c r="AB1591" s="380" t="str">
        <f>VLOOKUP($B1591,'D7 - NDB Impacted SPRF''s'!$E$6:$O$9929,4,FALSE)</f>
        <v>Completed</v>
      </c>
      <c r="AC1591" s="380" t="str">
        <f>VLOOKUP($B1591,'D7 - NDB Impacted SPRF''s'!$E$6:$O$9929,3,FALSE)</f>
        <v>UnitedHealthcare Employer &amp; Individual</v>
      </c>
      <c r="AD1591" s="380" t="str">
        <f>VLOOKUP($B1591,'D7 - NDB Impacted SPRF''s'!$E$6:$O$9929,5,FALSE)</f>
        <v>Medical Cost Savings Programs</v>
      </c>
      <c r="AE1591" s="380" t="str">
        <f>VLOOKUP($B1591,'D7 - NDB Impacted SPRF''s'!$E$6:$O$9929,7,FALSE)</f>
        <v xml:space="preserve">Molly Knorr </v>
      </c>
      <c r="AF1591" s="380" t="str">
        <f>VLOOKUP($B1591,'D7 - NDB Impacted SPRF''s'!$E$6:$O$9929,6,FALSE)</f>
        <v>LARSON CAROLYN</v>
      </c>
      <c r="AG1591" s="282"/>
      <c r="AH1591" s="311" t="e">
        <f>INDEX('D5 - Gatekeeper - Projects'!$A$4:$AF$1010,$AM1591, 17)</f>
        <v>#N/A</v>
      </c>
      <c r="AI1591" s="8"/>
      <c r="AJ1591" s="57"/>
      <c r="AK1591" s="105"/>
      <c r="AM1591" s="6" t="e">
        <f>MATCH(D1591,'D5 - Gatekeeper - Projects'!$C$4:$C$1010,0)</f>
        <v>#N/A</v>
      </c>
      <c r="AN1591" s="6" t="b">
        <f t="shared" si="168"/>
        <v>1</v>
      </c>
      <c r="AO1591" s="6" t="str">
        <f t="shared" si="170"/>
        <v>OK</v>
      </c>
      <c r="AQ1591" s="6" t="e">
        <f>MATCH($D1591,'D4 - Provider Council Unsched'!$C$11:$C$234,0)</f>
        <v>#N/A</v>
      </c>
      <c r="AR1591" s="6" t="b">
        <f t="shared" si="169"/>
        <v>1</v>
      </c>
      <c r="AS1591" s="6" t="str">
        <f t="shared" si="172"/>
        <v>OK</v>
      </c>
      <c r="AU1591" s="202">
        <v>40673</v>
      </c>
      <c r="AV1591" s="262"/>
      <c r="AW1591" s="274"/>
    </row>
    <row r="1592" spans="1:49" s="13" customFormat="1" ht="33.75" x14ac:dyDescent="0.2">
      <c r="A1592" s="14">
        <v>1568</v>
      </c>
      <c r="B1592" s="8">
        <v>400044754</v>
      </c>
      <c r="C1592" s="8" t="s">
        <v>1447</v>
      </c>
      <c r="D1592" s="4" t="str">
        <f t="shared" si="171"/>
        <v>400044754A</v>
      </c>
      <c r="E1592" s="309" t="str">
        <f>VLOOKUP($B1592,'D7 - NDB Impacted SPRF''s'!$E$6:$O$9929,2,FALSE)</f>
        <v>Project Strawberry - Application Solutions</v>
      </c>
      <c r="F1592" s="8"/>
      <c r="G1592" s="8" t="s">
        <v>4758</v>
      </c>
      <c r="H1592" s="8" t="s">
        <v>4246</v>
      </c>
      <c r="I1592" s="20">
        <v>3.82</v>
      </c>
      <c r="J1592" s="8" t="s">
        <v>4862</v>
      </c>
      <c r="K1592" s="182">
        <v>40859</v>
      </c>
      <c r="L1592" s="8" t="s">
        <v>4156</v>
      </c>
      <c r="M1592" s="8" t="s">
        <v>2814</v>
      </c>
      <c r="N1592" s="38" t="s">
        <v>1753</v>
      </c>
      <c r="O1592" s="8"/>
      <c r="P1592" s="4" t="str">
        <f>VLOOKUP($B1592,'D7 - NDB Impacted SPRF''s'!$E$16:$O$9929,9,FALSE)</f>
        <v>N</v>
      </c>
      <c r="Q1592" s="4" t="str">
        <f>VLOOKUP($B1592,'D7 - NDB Impacted SPRF''s'!$E$16:$O$9929,10,FALSE)</f>
        <v>N</v>
      </c>
      <c r="R1592" s="4" t="str">
        <f>VLOOKUP($B1592,'D7 - NDB Impacted SPRF''s'!$E$16:$O$9929,11,FALSE)</f>
        <v>N</v>
      </c>
      <c r="S1592" s="8"/>
      <c r="T1592" s="310"/>
      <c r="U1592" s="310"/>
      <c r="V1592" s="4"/>
      <c r="W1592" s="4"/>
      <c r="X1592" s="4"/>
      <c r="Y1592" s="4"/>
      <c r="Z1592" s="4"/>
      <c r="AA1592" s="4"/>
      <c r="AB1592" s="380" t="str">
        <f>VLOOKUP($B1592,'D7 - NDB Impacted SPRF''s'!$E$6:$O$9929,4,FALSE)</f>
        <v>Completed</v>
      </c>
      <c r="AC1592" s="380" t="str">
        <f>VLOOKUP($B1592,'D7 - NDB Impacted SPRF''s'!$E$6:$O$9929,3,FALSE)</f>
        <v>UHG IT - Shared Services</v>
      </c>
      <c r="AD1592" s="380" t="str">
        <f>VLOOKUP($B1592,'D7 - NDB Impacted SPRF''s'!$E$6:$O$9929,5,FALSE)</f>
        <v>Strategic Initiatives</v>
      </c>
      <c r="AE1592" s="380" t="str">
        <f>VLOOKUP($B1592,'D7 - NDB Impacted SPRF''s'!$E$6:$O$9929,7,FALSE)</f>
        <v>Dino Colaluca</v>
      </c>
      <c r="AF1592" s="380" t="str">
        <f>VLOOKUP($B1592,'D7 - NDB Impacted SPRF''s'!$E$6:$O$9929,6,FALSE)</f>
        <v>Bill Schofield</v>
      </c>
      <c r="AG1592" s="282"/>
      <c r="AH1592" s="311" t="e">
        <f>INDEX('D5 - Gatekeeper - Projects'!$A$4:$AF$1010,$AM1592, 17)</f>
        <v>#N/A</v>
      </c>
      <c r="AI1592" s="8"/>
      <c r="AJ1592" s="57"/>
      <c r="AK1592" s="105"/>
      <c r="AM1592" s="6" t="e">
        <f>MATCH(D1592,'D5 - Gatekeeper - Projects'!$C$4:$C$1010,0)</f>
        <v>#N/A</v>
      </c>
      <c r="AN1592" s="6" t="b">
        <f t="shared" si="168"/>
        <v>1</v>
      </c>
      <c r="AO1592" s="6" t="str">
        <f t="shared" si="170"/>
        <v>OK</v>
      </c>
      <c r="AQ1592" s="6" t="e">
        <f>MATCH($D1592,'D4 - Provider Council Unsched'!$C$11:$C$234,0)</f>
        <v>#N/A</v>
      </c>
      <c r="AR1592" s="6" t="b">
        <f t="shared" si="169"/>
        <v>1</v>
      </c>
      <c r="AS1592" s="6" t="str">
        <f t="shared" si="172"/>
        <v>OK</v>
      </c>
      <c r="AU1592" s="202">
        <v>40735</v>
      </c>
      <c r="AV1592" s="262"/>
      <c r="AW1592" s="274"/>
    </row>
    <row r="1593" spans="1:49" s="13" customFormat="1" ht="123.75" x14ac:dyDescent="0.2">
      <c r="A1593" s="14">
        <v>1569</v>
      </c>
      <c r="B1593" s="8">
        <v>400044755</v>
      </c>
      <c r="C1593" s="8" t="s">
        <v>1447</v>
      </c>
      <c r="D1593" s="4" t="str">
        <f t="shared" si="171"/>
        <v>400044755A</v>
      </c>
      <c r="E1593" s="309" t="str">
        <f>VLOOKUP($B1593,'D7 - NDB Impacted SPRF''s'!$E$6:$O$9929,2,FALSE)</f>
        <v>2011 EPDL KTLO Shared Provider</v>
      </c>
      <c r="F1593" s="8"/>
      <c r="G1593" s="8" t="s">
        <v>4758</v>
      </c>
      <c r="H1593" s="8" t="s">
        <v>4246</v>
      </c>
      <c r="I1593" s="20">
        <v>33.659999999999997</v>
      </c>
      <c r="J1593" s="8" t="s">
        <v>4862</v>
      </c>
      <c r="K1593" s="182">
        <v>40859</v>
      </c>
      <c r="L1593" s="8" t="s">
        <v>4156</v>
      </c>
      <c r="M1593" s="8" t="s">
        <v>2814</v>
      </c>
      <c r="N1593" s="38" t="s">
        <v>1754</v>
      </c>
      <c r="O1593" s="8"/>
      <c r="P1593" s="4" t="str">
        <f>VLOOKUP($B1593,'D7 - NDB Impacted SPRF''s'!$E$16:$O$9929,9,FALSE)</f>
        <v>N</v>
      </c>
      <c r="Q1593" s="4" t="str">
        <f>VLOOKUP($B1593,'D7 - NDB Impacted SPRF''s'!$E$16:$O$9929,10,FALSE)</f>
        <v>N</v>
      </c>
      <c r="R1593" s="4" t="str">
        <f>VLOOKUP($B1593,'D7 - NDB Impacted SPRF''s'!$E$16:$O$9929,11,FALSE)</f>
        <v>N</v>
      </c>
      <c r="S1593" s="8"/>
      <c r="T1593" s="310"/>
      <c r="U1593" s="310"/>
      <c r="V1593" s="4"/>
      <c r="W1593" s="4"/>
      <c r="X1593" s="4"/>
      <c r="Y1593" s="4"/>
      <c r="Z1593" s="4"/>
      <c r="AA1593" s="4"/>
      <c r="AB1593" s="380" t="str">
        <f>VLOOKUP($B1593,'D7 - NDB Impacted SPRF''s'!$E$6:$O$9929,4,FALSE)</f>
        <v>Completed</v>
      </c>
      <c r="AC1593" s="380" t="str">
        <f>VLOOKUP($B1593,'D7 - NDB Impacted SPRF''s'!$E$6:$O$9929,3,FALSE)</f>
        <v>UHG IT - Enterprise Technology Services</v>
      </c>
      <c r="AD1593" s="380" t="str">
        <f>VLOOKUP($B1593,'D7 - NDB Impacted SPRF''s'!$E$6:$O$9929,5,FALSE)</f>
        <v>Strategic Initiatives</v>
      </c>
      <c r="AE1593" s="380" t="str">
        <f>VLOOKUP($B1593,'D7 - NDB Impacted SPRF''s'!$E$6:$O$9929,7,FALSE)</f>
        <v>Dave Wichmann</v>
      </c>
      <c r="AF1593" s="380" t="str">
        <f>VLOOKUP($B1593,'D7 - NDB Impacted SPRF''s'!$E$6:$O$9929,6,FALSE)</f>
        <v>LINK KAREN</v>
      </c>
      <c r="AG1593" s="282"/>
      <c r="AH1593" s="311" t="e">
        <f>INDEX('D5 - Gatekeeper - Projects'!$A$4:$AF$1010,$AM1593, 17)</f>
        <v>#N/A</v>
      </c>
      <c r="AI1593" s="8"/>
      <c r="AJ1593" s="57"/>
      <c r="AK1593" s="105"/>
      <c r="AM1593" s="6" t="e">
        <f>MATCH(D1593,'D5 - Gatekeeper - Projects'!$C$4:$C$1010,0)</f>
        <v>#N/A</v>
      </c>
      <c r="AN1593" s="6" t="b">
        <f t="shared" si="168"/>
        <v>1</v>
      </c>
      <c r="AO1593" s="6" t="str">
        <f t="shared" si="170"/>
        <v>OK</v>
      </c>
      <c r="AQ1593" s="6" t="e">
        <f>MATCH($D1593,'D4 - Provider Council Unsched'!$C$11:$C$234,0)</f>
        <v>#N/A</v>
      </c>
      <c r="AR1593" s="6" t="b">
        <f t="shared" si="169"/>
        <v>1</v>
      </c>
      <c r="AS1593" s="6" t="str">
        <f t="shared" si="172"/>
        <v>OK</v>
      </c>
      <c r="AU1593" s="202">
        <v>40673</v>
      </c>
      <c r="AV1593" s="262"/>
      <c r="AW1593" s="274"/>
    </row>
    <row r="1594" spans="1:49" s="13" customFormat="1" ht="22.5" x14ac:dyDescent="0.2">
      <c r="A1594" s="14">
        <v>1570</v>
      </c>
      <c r="B1594" s="8">
        <v>400044781</v>
      </c>
      <c r="C1594" s="8" t="s">
        <v>1447</v>
      </c>
      <c r="D1594" s="4" t="str">
        <f t="shared" si="171"/>
        <v>400044781A</v>
      </c>
      <c r="E1594" s="309" t="str">
        <f>VLOOKUP($B1594,'D7 - NDB Impacted SPRF''s'!$E$6:$O$9929,2,FALSE)</f>
        <v>TBS Provider Data Quality - Bridge NDB Gaps</v>
      </c>
      <c r="F1594" s="8"/>
      <c r="G1594" s="8" t="s">
        <v>4758</v>
      </c>
      <c r="H1594" s="8" t="s">
        <v>4246</v>
      </c>
      <c r="I1594" s="20">
        <v>20.27</v>
      </c>
      <c r="J1594" s="8" t="s">
        <v>4862</v>
      </c>
      <c r="K1594" s="182">
        <v>40859</v>
      </c>
      <c r="L1594" s="8" t="s">
        <v>4156</v>
      </c>
      <c r="M1594" s="8" t="s">
        <v>2814</v>
      </c>
      <c r="N1594" s="38"/>
      <c r="O1594" s="8"/>
      <c r="P1594" s="4" t="str">
        <f>VLOOKUP($B1594,'D7 - NDB Impacted SPRF''s'!$E$16:$O$9929,9,FALSE)</f>
        <v>N</v>
      </c>
      <c r="Q1594" s="4" t="str">
        <f>VLOOKUP($B1594,'D7 - NDB Impacted SPRF''s'!$E$16:$O$9929,10,FALSE)</f>
        <v>N</v>
      </c>
      <c r="R1594" s="4" t="str">
        <f>VLOOKUP($B1594,'D7 - NDB Impacted SPRF''s'!$E$16:$O$9929,11,FALSE)</f>
        <v>N</v>
      </c>
      <c r="S1594" s="8"/>
      <c r="T1594" s="310"/>
      <c r="U1594" s="310"/>
      <c r="V1594" s="4"/>
      <c r="W1594" s="4"/>
      <c r="X1594" s="4"/>
      <c r="Y1594" s="4"/>
      <c r="Z1594" s="4"/>
      <c r="AA1594" s="4"/>
      <c r="AB1594" s="380" t="str">
        <f>VLOOKUP($B1594,'D7 - NDB Impacted SPRF''s'!$E$6:$O$9929,4,FALSE)</f>
        <v>Completed</v>
      </c>
      <c r="AC1594" s="380" t="str">
        <f>VLOOKUP($B1594,'D7 - NDB Impacted SPRF''s'!$E$6:$O$9929,3,FALSE)</f>
        <v>OptumHealth</v>
      </c>
      <c r="AD1594" s="380" t="str">
        <f>VLOOKUP($B1594,'D7 - NDB Impacted SPRF''s'!$E$6:$O$9929,5,FALSE)</f>
        <v>Behavioral Solutions</v>
      </c>
      <c r="AE1594" s="380" t="str">
        <f>VLOOKUP($B1594,'D7 - NDB Impacted SPRF''s'!$E$6:$O$9929,7,FALSE)</f>
        <v>Deb Adler</v>
      </c>
      <c r="AF1594" s="380" t="str">
        <f>VLOOKUP($B1594,'D7 - NDB Impacted SPRF''s'!$E$6:$O$9929,6,FALSE)</f>
        <v>Stephanie Logan</v>
      </c>
      <c r="AG1594" s="282"/>
      <c r="AH1594" s="311" t="e">
        <f>INDEX('D5 - Gatekeeper - Projects'!$A$4:$AF$1010,$AM1594, 17)</f>
        <v>#N/A</v>
      </c>
      <c r="AI1594" s="8"/>
      <c r="AJ1594" s="57"/>
      <c r="AK1594" s="105"/>
      <c r="AM1594" s="6" t="e">
        <f>MATCH(D1594,'D5 - Gatekeeper - Projects'!$C$4:$C$1010,0)</f>
        <v>#N/A</v>
      </c>
      <c r="AN1594" s="6" t="b">
        <f t="shared" si="168"/>
        <v>1</v>
      </c>
      <c r="AO1594" s="6" t="str">
        <f t="shared" si="170"/>
        <v>OK</v>
      </c>
      <c r="AQ1594" s="6" t="e">
        <f>MATCH($D1594,'D4 - Provider Council Unsched'!$C$11:$C$234,0)</f>
        <v>#N/A</v>
      </c>
      <c r="AR1594" s="6" t="b">
        <f t="shared" si="169"/>
        <v>1</v>
      </c>
      <c r="AS1594" s="6" t="str">
        <f t="shared" si="172"/>
        <v>OK</v>
      </c>
      <c r="AU1594" s="202">
        <v>40680</v>
      </c>
      <c r="AV1594" s="262"/>
      <c r="AW1594" s="274"/>
    </row>
    <row r="1595" spans="1:49" s="13" customFormat="1" ht="33.75" x14ac:dyDescent="0.2">
      <c r="A1595" s="14">
        <v>1571</v>
      </c>
      <c r="B1595" s="8">
        <v>400045359</v>
      </c>
      <c r="C1595" s="8" t="s">
        <v>1447</v>
      </c>
      <c r="D1595" s="4" t="str">
        <f t="shared" si="171"/>
        <v>400045359A</v>
      </c>
      <c r="E1595" s="309" t="str">
        <f>VLOOKUP($B1595,'D7 - NDB Impacted SPRF''s'!$E$6:$O$9929,2,FALSE)</f>
        <v xml:space="preserve">PDR - Cosmos to PDR Pilot Facility Pricing </v>
      </c>
      <c r="F1595" s="8"/>
      <c r="G1595" s="8" t="s">
        <v>4758</v>
      </c>
      <c r="H1595" s="8" t="s">
        <v>4246</v>
      </c>
      <c r="I1595" s="20">
        <v>6</v>
      </c>
      <c r="J1595" s="8" t="s">
        <v>4862</v>
      </c>
      <c r="K1595" s="182">
        <v>40859</v>
      </c>
      <c r="L1595" s="8" t="s">
        <v>4156</v>
      </c>
      <c r="M1595" s="8" t="s">
        <v>6688</v>
      </c>
      <c r="N1595" s="38"/>
      <c r="O1595" s="8"/>
      <c r="P1595" s="4" t="str">
        <f>VLOOKUP($B1595,'D7 - NDB Impacted SPRF''s'!$E$16:$O$9929,9,FALSE)</f>
        <v>N</v>
      </c>
      <c r="Q1595" s="4" t="str">
        <f>VLOOKUP($B1595,'D7 - NDB Impacted SPRF''s'!$E$16:$O$9929,10,FALSE)</f>
        <v>N</v>
      </c>
      <c r="R1595" s="4" t="str">
        <f>VLOOKUP($B1595,'D7 - NDB Impacted SPRF''s'!$E$16:$O$9929,11,FALSE)</f>
        <v>Y</v>
      </c>
      <c r="S1595" s="8"/>
      <c r="T1595" s="310"/>
      <c r="U1595" s="310"/>
      <c r="V1595" s="4"/>
      <c r="W1595" s="4"/>
      <c r="X1595" s="4"/>
      <c r="Y1595" s="4"/>
      <c r="Z1595" s="4"/>
      <c r="AA1595" s="4"/>
      <c r="AB1595" s="380" t="str">
        <f>VLOOKUP($B1595,'D7 - NDB Impacted SPRF''s'!$E$6:$O$9929,4,FALSE)</f>
        <v>Completed</v>
      </c>
      <c r="AC1595" s="380" t="str">
        <f>VLOOKUP($B1595,'D7 - NDB Impacted SPRF''s'!$E$6:$O$9929,3,FALSE)</f>
        <v>UnitedHealthcare Medicare &amp; Retirement</v>
      </c>
      <c r="AD1595" s="380" t="str">
        <f>VLOOKUP($B1595,'D7 - NDB Impacted SPRF''s'!$E$6:$O$9929,5,FALSE)</f>
        <v>Regulatory / Other</v>
      </c>
      <c r="AE1595" s="380" t="str">
        <f>VLOOKUP($B1595,'D7 - NDB Impacted SPRF''s'!$E$6:$O$9929,7,FALSE)</f>
        <v>Dave Wichmann</v>
      </c>
      <c r="AF1595" s="380" t="str">
        <f>VLOOKUP($B1595,'D7 - NDB Impacted SPRF''s'!$E$6:$O$9929,6,FALSE)</f>
        <v>Julie Severson</v>
      </c>
      <c r="AG1595" s="282"/>
      <c r="AH1595" s="311" t="e">
        <f>INDEX('D5 - Gatekeeper - Projects'!$A$4:$AF$1010,$AM1595, 17)</f>
        <v>#N/A</v>
      </c>
      <c r="AI1595" s="8"/>
      <c r="AJ1595" s="57"/>
      <c r="AK1595" s="105"/>
      <c r="AM1595" s="6" t="e">
        <f>MATCH(D1595,'D5 - Gatekeeper - Projects'!$C$4:$C$1010,0)</f>
        <v>#N/A</v>
      </c>
      <c r="AN1595" s="6" t="b">
        <f t="shared" si="168"/>
        <v>1</v>
      </c>
      <c r="AO1595" s="6" t="str">
        <f t="shared" si="170"/>
        <v>OK</v>
      </c>
      <c r="AQ1595" s="6" t="e">
        <f>MATCH($D1595,'D4 - Provider Council Unsched'!$C$11:$C$234,0)</f>
        <v>#N/A</v>
      </c>
      <c r="AR1595" s="6" t="b">
        <f t="shared" si="169"/>
        <v>1</v>
      </c>
      <c r="AS1595" s="6" t="str">
        <f t="shared" si="172"/>
        <v>OK</v>
      </c>
      <c r="AU1595" s="202">
        <v>40816</v>
      </c>
      <c r="AV1595" s="262"/>
      <c r="AW1595" s="274"/>
    </row>
    <row r="1596" spans="1:49" s="13" customFormat="1" ht="67.5" x14ac:dyDescent="0.2">
      <c r="A1596" s="14">
        <v>1572</v>
      </c>
      <c r="B1596" s="8">
        <v>400045814</v>
      </c>
      <c r="C1596" s="8" t="s">
        <v>1447</v>
      </c>
      <c r="D1596" s="4" t="str">
        <f t="shared" si="171"/>
        <v>400045814A</v>
      </c>
      <c r="E1596" s="309" t="str">
        <f>VLOOKUP($B1596,'D7 - NDB Impacted SPRF''s'!$E$6:$O$9929,2,FALSE)</f>
        <v>E2E Performance test for all HIPA5010 transactions</v>
      </c>
      <c r="F1596" s="8"/>
      <c r="G1596" s="8" t="s">
        <v>4758</v>
      </c>
      <c r="H1596" s="8" t="s">
        <v>4246</v>
      </c>
      <c r="I1596" s="20">
        <v>0.17</v>
      </c>
      <c r="J1596" s="8" t="s">
        <v>4862</v>
      </c>
      <c r="K1596" s="182">
        <v>40859</v>
      </c>
      <c r="L1596" s="8" t="s">
        <v>4156</v>
      </c>
      <c r="M1596" s="8" t="s">
        <v>5626</v>
      </c>
      <c r="N1596" s="38" t="s">
        <v>215</v>
      </c>
      <c r="O1596" s="8"/>
      <c r="P1596" s="4" t="str">
        <f>VLOOKUP($B1596,'D7 - NDB Impacted SPRF''s'!$E$16:$O$9929,9,FALSE)</f>
        <v>Y</v>
      </c>
      <c r="Q1596" s="4" t="str">
        <f>VLOOKUP($B1596,'D7 - NDB Impacted SPRF''s'!$E$16:$O$9929,10,FALSE)</f>
        <v>N</v>
      </c>
      <c r="R1596" s="4" t="str">
        <f>VLOOKUP($B1596,'D7 - NDB Impacted SPRF''s'!$E$16:$O$9929,11,FALSE)</f>
        <v>Y</v>
      </c>
      <c r="S1596" s="8"/>
      <c r="T1596" s="310"/>
      <c r="U1596" s="310"/>
      <c r="V1596" s="4"/>
      <c r="W1596" s="4"/>
      <c r="X1596" s="4"/>
      <c r="Y1596" s="4"/>
      <c r="Z1596" s="4"/>
      <c r="AA1596" s="4"/>
      <c r="AB1596" s="380" t="str">
        <f>VLOOKUP($B1596,'D7 - NDB Impacted SPRF''s'!$E$6:$O$9929,4,FALSE)</f>
        <v>Completed</v>
      </c>
      <c r="AC1596" s="380" t="str">
        <f>VLOOKUP($B1596,'D7 - NDB Impacted SPRF''s'!$E$6:$O$9929,3,FALSE)</f>
        <v>UnitedHealthcare Employer &amp; Individual</v>
      </c>
      <c r="AD1596" s="380" t="str">
        <f>VLOOKUP($B1596,'D7 - NDB Impacted SPRF''s'!$E$6:$O$9929,5,FALSE)</f>
        <v>HIPAA 5010</v>
      </c>
      <c r="AE1596" s="380" t="str">
        <f>VLOOKUP($B1596,'D7 - NDB Impacted SPRF''s'!$E$6:$O$9929,7,FALSE)</f>
        <v>Chris Kent</v>
      </c>
      <c r="AF1596" s="380" t="str">
        <f>VLOOKUP($B1596,'D7 - NDB Impacted SPRF''s'!$E$6:$O$9929,6,FALSE)</f>
        <v>Delvis Schilling</v>
      </c>
      <c r="AG1596" s="282"/>
      <c r="AH1596" s="311" t="e">
        <f>INDEX('D5 - Gatekeeper - Projects'!$A$4:$AF$1010,$AM1596, 17)</f>
        <v>#N/A</v>
      </c>
      <c r="AI1596" s="8"/>
      <c r="AJ1596" s="57"/>
      <c r="AK1596" s="105"/>
      <c r="AM1596" s="6" t="e">
        <f>MATCH(D1596,'D5 - Gatekeeper - Projects'!$C$4:$C$1010,0)</f>
        <v>#N/A</v>
      </c>
      <c r="AN1596" s="6" t="b">
        <f t="shared" si="168"/>
        <v>1</v>
      </c>
      <c r="AO1596" s="6" t="str">
        <f t="shared" si="170"/>
        <v>OK</v>
      </c>
      <c r="AQ1596" s="6" t="e">
        <f>MATCH($D1596,'D4 - Provider Council Unsched'!$C$11:$C$234,0)</f>
        <v>#N/A</v>
      </c>
      <c r="AR1596" s="6" t="b">
        <f t="shared" si="169"/>
        <v>1</v>
      </c>
      <c r="AS1596" s="6" t="str">
        <f t="shared" si="172"/>
        <v>OK</v>
      </c>
      <c r="AU1596" s="202">
        <v>40802</v>
      </c>
      <c r="AV1596" s="262"/>
      <c r="AW1596" s="274"/>
    </row>
    <row r="1597" spans="1:49" s="13" customFormat="1" ht="45" x14ac:dyDescent="0.2">
      <c r="A1597" s="14">
        <v>1573</v>
      </c>
      <c r="B1597" s="8">
        <v>400047208</v>
      </c>
      <c r="C1597" s="8" t="s">
        <v>1447</v>
      </c>
      <c r="D1597" s="4" t="str">
        <f t="shared" si="171"/>
        <v>400047208A</v>
      </c>
      <c r="E1597" s="309" t="str">
        <f>VLOOKUP($B1597,'D7 - NDB Impacted SPRF''s'!$E$6:$O$9929,2,FALSE)</f>
        <v>Establish an instance of NDB in Zulu ITE region</v>
      </c>
      <c r="F1597" s="8"/>
      <c r="G1597" s="8" t="s">
        <v>4758</v>
      </c>
      <c r="H1597" s="8" t="s">
        <v>4246</v>
      </c>
      <c r="I1597" s="20">
        <v>2</v>
      </c>
      <c r="J1597" s="8" t="s">
        <v>4862</v>
      </c>
      <c r="K1597" s="182">
        <v>40859</v>
      </c>
      <c r="L1597" s="8" t="s">
        <v>4156</v>
      </c>
      <c r="M1597" s="8" t="s">
        <v>6688</v>
      </c>
      <c r="N1597" s="38" t="s">
        <v>797</v>
      </c>
      <c r="O1597" s="8"/>
      <c r="P1597" s="4" t="str">
        <f>VLOOKUP($B1597,'D7 - NDB Impacted SPRF''s'!$E$16:$O$9929,9,FALSE)</f>
        <v>N</v>
      </c>
      <c r="Q1597" s="4" t="str">
        <f>VLOOKUP($B1597,'D7 - NDB Impacted SPRF''s'!$E$16:$O$9929,10,FALSE)</f>
        <v>N</v>
      </c>
      <c r="R1597" s="4" t="str">
        <f>VLOOKUP($B1597,'D7 - NDB Impacted SPRF''s'!$E$16:$O$9929,11,FALSE)</f>
        <v>N</v>
      </c>
      <c r="S1597" s="8"/>
      <c r="T1597" s="310"/>
      <c r="U1597" s="310"/>
      <c r="V1597" s="4"/>
      <c r="W1597" s="4"/>
      <c r="X1597" s="4"/>
      <c r="Y1597" s="4"/>
      <c r="Z1597" s="4"/>
      <c r="AA1597" s="4"/>
      <c r="AB1597" s="380" t="str">
        <f>VLOOKUP($B1597,'D7 - NDB Impacted SPRF''s'!$E$6:$O$9929,4,FALSE)</f>
        <v>Completed</v>
      </c>
      <c r="AC1597" s="380" t="str">
        <f>VLOOKUP($B1597,'D7 - NDB Impacted SPRF''s'!$E$6:$O$9929,3,FALSE)</f>
        <v>UHG IT - Enterprise Technology Services</v>
      </c>
      <c r="AD1597" s="380" t="str">
        <f>VLOOKUP($B1597,'D7 - NDB Impacted SPRF''s'!$E$6:$O$9929,5,FALSE)</f>
        <v>ASG</v>
      </c>
      <c r="AE1597" s="380" t="str">
        <f>VLOOKUP($B1597,'D7 - NDB Impacted SPRF''s'!$E$6:$O$9929,7,FALSE)</f>
        <v>Mark Duhaime</v>
      </c>
      <c r="AF1597" s="380" t="str">
        <f>VLOOKUP($B1597,'D7 - NDB Impacted SPRF''s'!$E$6:$O$9929,6,FALSE)</f>
        <v>EDWARD SIWICKI</v>
      </c>
      <c r="AG1597" s="282"/>
      <c r="AH1597" s="311" t="e">
        <f>INDEX('D5 - Gatekeeper - Projects'!$A$4:$AF$1010,$AM1597, 17)</f>
        <v>#N/A</v>
      </c>
      <c r="AI1597" s="8"/>
      <c r="AJ1597" s="57"/>
      <c r="AK1597" s="105"/>
      <c r="AM1597" s="6" t="e">
        <f>MATCH(D1597,'D5 - Gatekeeper - Projects'!$C$4:$C$1010,0)</f>
        <v>#N/A</v>
      </c>
      <c r="AN1597" s="6" t="b">
        <f t="shared" si="168"/>
        <v>1</v>
      </c>
      <c r="AO1597" s="6" t="str">
        <f t="shared" si="170"/>
        <v>OK</v>
      </c>
      <c r="AQ1597" s="6" t="e">
        <f>MATCH($D1597,'D4 - Provider Council Unsched'!$C$11:$C$234,0)</f>
        <v>#N/A</v>
      </c>
      <c r="AR1597" s="6" t="b">
        <f t="shared" si="169"/>
        <v>1</v>
      </c>
      <c r="AS1597" s="6" t="str">
        <f t="shared" si="172"/>
        <v>OK</v>
      </c>
      <c r="AU1597" s="202">
        <v>40851</v>
      </c>
      <c r="AV1597" s="262" t="e">
        <v>#N/A</v>
      </c>
      <c r="AW1597" s="274"/>
    </row>
    <row r="1598" spans="1:49" s="13" customFormat="1" x14ac:dyDescent="0.2">
      <c r="A1598" s="14">
        <v>1574</v>
      </c>
      <c r="B1598" s="8">
        <v>477777777</v>
      </c>
      <c r="C1598" s="8" t="s">
        <v>1447</v>
      </c>
      <c r="D1598" s="4" t="str">
        <f t="shared" si="171"/>
        <v>477777777A</v>
      </c>
      <c r="E1598" s="309" t="str">
        <f>VLOOKUP($B1598,'D7 - NDB Impacted SPRF''s'!$E$6:$O$9929,2,FALSE)</f>
        <v>DBRMS</v>
      </c>
      <c r="F1598" s="8"/>
      <c r="G1598" s="8" t="s">
        <v>4758</v>
      </c>
      <c r="H1598" s="8" t="s">
        <v>4246</v>
      </c>
      <c r="I1598" s="20">
        <v>0.27</v>
      </c>
      <c r="J1598" s="8" t="s">
        <v>4862</v>
      </c>
      <c r="K1598" s="182">
        <v>40859</v>
      </c>
      <c r="L1598" s="8" t="s">
        <v>4156</v>
      </c>
      <c r="M1598" s="8" t="s">
        <v>3598</v>
      </c>
      <c r="N1598" s="38" t="s">
        <v>1341</v>
      </c>
      <c r="O1598" s="8"/>
      <c r="P1598" s="4" t="str">
        <f>VLOOKUP($B1598,'D7 - NDB Impacted SPRF''s'!$E$16:$O$9929,9,FALSE)</f>
        <v>N</v>
      </c>
      <c r="Q1598" s="4" t="str">
        <f>VLOOKUP($B1598,'D7 - NDB Impacted SPRF''s'!$E$16:$O$9929,10,FALSE)</f>
        <v>N</v>
      </c>
      <c r="R1598" s="4" t="str">
        <f>VLOOKUP($B1598,'D7 - NDB Impacted SPRF''s'!$E$16:$O$9929,11,FALSE)</f>
        <v>N</v>
      </c>
      <c r="S1598" s="8"/>
      <c r="T1598" s="310"/>
      <c r="U1598" s="310"/>
      <c r="V1598" s="4"/>
      <c r="W1598" s="4"/>
      <c r="X1598" s="4"/>
      <c r="Y1598" s="4"/>
      <c r="Z1598" s="4"/>
      <c r="AA1598" s="4"/>
      <c r="AB1598" s="380" t="str">
        <f>VLOOKUP($B1598,'D7 - NDB Impacted SPRF''s'!$E$6:$O$9929,4,FALSE)</f>
        <v>n/a</v>
      </c>
      <c r="AC1598" s="380" t="str">
        <f>VLOOKUP($B1598,'D7 - NDB Impacted SPRF''s'!$E$6:$O$9929,3,FALSE)</f>
        <v>n/a</v>
      </c>
      <c r="AD1598" s="380" t="str">
        <f>VLOOKUP($B1598,'D7 - NDB Impacted SPRF''s'!$E$6:$O$9929,5,FALSE)</f>
        <v>n/a</v>
      </c>
      <c r="AE1598" s="380" t="str">
        <f>VLOOKUP($B1598,'D7 - NDB Impacted SPRF''s'!$E$6:$O$9929,7,FALSE)</f>
        <v>n/a</v>
      </c>
      <c r="AF1598" s="380" t="str">
        <f>VLOOKUP($B1598,'D7 - NDB Impacted SPRF''s'!$E$6:$O$9929,6,FALSE)</f>
        <v>n/a</v>
      </c>
      <c r="AG1598" s="282"/>
      <c r="AH1598" s="311" t="e">
        <f>INDEX('D5 - Gatekeeper - Projects'!$A$4:$AF$1010,$AM1598, 17)</f>
        <v>#N/A</v>
      </c>
      <c r="AI1598" s="8"/>
      <c r="AJ1598" s="57"/>
      <c r="AK1598" s="105"/>
      <c r="AM1598" s="6" t="e">
        <f>MATCH(D1598,'D5 - Gatekeeper - Projects'!$C$4:$C$1010,0)</f>
        <v>#N/A</v>
      </c>
      <c r="AN1598" s="6" t="b">
        <f t="shared" si="168"/>
        <v>1</v>
      </c>
      <c r="AO1598" s="6" t="str">
        <f t="shared" si="170"/>
        <v>OK</v>
      </c>
      <c r="AQ1598" s="6" t="e">
        <f>MATCH($D1598,'D4 - Provider Council Unsched'!$C$11:$C$234,0)</f>
        <v>#N/A</v>
      </c>
      <c r="AR1598" s="6" t="b">
        <f t="shared" si="169"/>
        <v>1</v>
      </c>
      <c r="AS1598" s="6" t="str">
        <f t="shared" si="172"/>
        <v>OK</v>
      </c>
      <c r="AU1598" s="202">
        <v>40828</v>
      </c>
      <c r="AV1598" s="262" t="e">
        <v>#N/A</v>
      </c>
      <c r="AW1598" s="274"/>
    </row>
    <row r="1599" spans="1:49" s="13" customFormat="1" ht="22.5" x14ac:dyDescent="0.2">
      <c r="A1599" s="14">
        <v>1575</v>
      </c>
      <c r="B1599" s="8">
        <v>499999999</v>
      </c>
      <c r="C1599" s="8" t="s">
        <v>1447</v>
      </c>
      <c r="D1599" s="4" t="str">
        <f t="shared" si="171"/>
        <v>499999999A</v>
      </c>
      <c r="E1599" s="309" t="str">
        <f>VLOOKUP($B1599,'D7 - NDB Impacted SPRF''s'!$E$6:$O$9929,2,FALSE)</f>
        <v>Bring Address down to Business Segment Level</v>
      </c>
      <c r="F1599" s="8"/>
      <c r="G1599" s="8" t="s">
        <v>4758</v>
      </c>
      <c r="H1599" s="8" t="s">
        <v>4246</v>
      </c>
      <c r="I1599" s="20">
        <v>15</v>
      </c>
      <c r="J1599" s="8" t="s">
        <v>4862</v>
      </c>
      <c r="K1599" s="182">
        <v>40859</v>
      </c>
      <c r="L1599" s="8" t="s">
        <v>4156</v>
      </c>
      <c r="M1599" s="8" t="s">
        <v>2814</v>
      </c>
      <c r="N1599" s="38" t="s">
        <v>3019</v>
      </c>
      <c r="O1599" s="8"/>
      <c r="P1599" s="4" t="str">
        <f>VLOOKUP($B1599,'D7 - NDB Impacted SPRF''s'!$E$16:$O$9929,9,FALSE)</f>
        <v>N</v>
      </c>
      <c r="Q1599" s="4" t="str">
        <f>VLOOKUP($B1599,'D7 - NDB Impacted SPRF''s'!$E$16:$O$9929,10,FALSE)</f>
        <v>N</v>
      </c>
      <c r="R1599" s="4" t="str">
        <f>VLOOKUP($B1599,'D7 - NDB Impacted SPRF''s'!$E$16:$O$9929,11,FALSE)</f>
        <v>N</v>
      </c>
      <c r="S1599" s="8"/>
      <c r="T1599" s="310"/>
      <c r="U1599" s="310"/>
      <c r="V1599" s="4"/>
      <c r="W1599" s="4"/>
      <c r="X1599" s="4"/>
      <c r="Y1599" s="4"/>
      <c r="Z1599" s="4"/>
      <c r="AA1599" s="4"/>
      <c r="AB1599" s="380">
        <f>VLOOKUP($B1599,'D7 - NDB Impacted SPRF''s'!$E$6:$O$9929,4,FALSE)</f>
        <v>0</v>
      </c>
      <c r="AC1599" s="380">
        <f>VLOOKUP($B1599,'D7 - NDB Impacted SPRF''s'!$E$6:$O$9929,3,FALSE)</f>
        <v>0</v>
      </c>
      <c r="AD1599" s="380">
        <f>VLOOKUP($B1599,'D7 - NDB Impacted SPRF''s'!$E$6:$O$9929,5,FALSE)</f>
        <v>0</v>
      </c>
      <c r="AE1599" s="380">
        <f>VLOOKUP($B1599,'D7 - NDB Impacted SPRF''s'!$E$6:$O$9929,7,FALSE)</f>
        <v>0</v>
      </c>
      <c r="AF1599" s="380">
        <f>VLOOKUP($B1599,'D7 - NDB Impacted SPRF''s'!$E$6:$O$9929,6,FALSE)</f>
        <v>0</v>
      </c>
      <c r="AG1599" s="282"/>
      <c r="AH1599" s="311" t="e">
        <f>INDEX('D5 - Gatekeeper - Projects'!$A$4:$AF$1010,$AM1599, 17)</f>
        <v>#N/A</v>
      </c>
      <c r="AI1599" s="8"/>
      <c r="AJ1599" s="57"/>
      <c r="AK1599" s="105"/>
      <c r="AM1599" s="6" t="e">
        <f>MATCH(D1599,'D5 - Gatekeeper - Projects'!$C$4:$C$1010,0)</f>
        <v>#N/A</v>
      </c>
      <c r="AN1599" s="6" t="b">
        <f t="shared" si="168"/>
        <v>1</v>
      </c>
      <c r="AO1599" s="6" t="str">
        <f t="shared" si="170"/>
        <v>OK</v>
      </c>
      <c r="AQ1599" s="6" t="e">
        <f>MATCH($D1599,'D4 - Provider Council Unsched'!$C$11:$C$234,0)</f>
        <v>#N/A</v>
      </c>
      <c r="AR1599" s="6" t="b">
        <f t="shared" si="169"/>
        <v>1</v>
      </c>
      <c r="AS1599" s="6" t="str">
        <f t="shared" si="172"/>
        <v>OK</v>
      </c>
      <c r="AU1599" s="202">
        <v>40665</v>
      </c>
      <c r="AV1599" s="262"/>
      <c r="AW1599" s="274"/>
    </row>
    <row r="1600" spans="1:49" s="13" customFormat="1" ht="22.5" x14ac:dyDescent="0.2">
      <c r="A1600" s="14">
        <v>1576</v>
      </c>
      <c r="B1600" s="14" t="s">
        <v>3121</v>
      </c>
      <c r="C1600" s="8" t="s">
        <v>5197</v>
      </c>
      <c r="D1600" s="4" t="s">
        <v>3126</v>
      </c>
      <c r="E1600" s="339" t="s">
        <v>3130</v>
      </c>
      <c r="F1600" s="8" t="s">
        <v>2114</v>
      </c>
      <c r="G1600" s="8" t="s">
        <v>4758</v>
      </c>
      <c r="H1600" s="8" t="s">
        <v>4246</v>
      </c>
      <c r="I1600" s="20">
        <v>3</v>
      </c>
      <c r="J1600" s="8" t="s">
        <v>4862</v>
      </c>
      <c r="K1600" s="182">
        <v>40859</v>
      </c>
      <c r="L1600" s="8" t="s">
        <v>5743</v>
      </c>
      <c r="M1600" s="8" t="s">
        <v>2814</v>
      </c>
      <c r="N1600" s="38" t="s">
        <v>8142</v>
      </c>
      <c r="O1600" s="8" t="s">
        <v>3572</v>
      </c>
      <c r="P1600" s="4" t="e">
        <f>VLOOKUP($B1600,'D7 - NDB Impacted SPRF''s'!$E$16:$O$9929,9,FALSE)</f>
        <v>#N/A</v>
      </c>
      <c r="Q1600" s="4" t="e">
        <f>VLOOKUP($B1600,'D7 - NDB Impacted SPRF''s'!$E$16:$O$9929,10,FALSE)</f>
        <v>#N/A</v>
      </c>
      <c r="R1600" s="4" t="e">
        <f>VLOOKUP($B1600,'D7 - NDB Impacted SPRF''s'!$E$16:$O$9929,11,FALSE)</f>
        <v>#N/A</v>
      </c>
      <c r="S1600" s="8"/>
      <c r="T1600" s="310"/>
      <c r="U1600" s="310"/>
      <c r="V1600" s="4"/>
      <c r="W1600" s="4"/>
      <c r="X1600" s="4"/>
      <c r="Y1600" s="4"/>
      <c r="Z1600" s="4"/>
      <c r="AA1600" s="4"/>
      <c r="AB1600" s="383" t="e">
        <f>VLOOKUP($B1600,'D7 - NDB Impacted SPRF''s'!$E$16:$O$9929,4,FALSE)</f>
        <v>#N/A</v>
      </c>
      <c r="AC1600" s="380" t="e">
        <f>VLOOKUP($B1600,'D7 - NDB Impacted SPRF''s'!$E$16:$O$9929,3,FALSE)</f>
        <v>#N/A</v>
      </c>
      <c r="AD1600" s="380" t="e">
        <f>VLOOKUP($B1600,'D7 - NDB Impacted SPRF''s'!$E$16:$O$9929,5,FALSE)</f>
        <v>#N/A</v>
      </c>
      <c r="AE1600" s="380" t="e">
        <f>VLOOKUP($B1600,'D7 - NDB Impacted SPRF''s'!$E$16:$O$9929,7,FALSE)</f>
        <v>#N/A</v>
      </c>
      <c r="AF1600" s="380" t="e">
        <f>VLOOKUP($B1600,'D7 - NDB Impacted SPRF''s'!$E$16:$O$9929,6,FALSE)</f>
        <v>#N/A</v>
      </c>
      <c r="AG1600" s="282"/>
      <c r="AH1600" s="311" t="e">
        <f>INDEX('D5 - Gatekeeper - Projects'!$A$4:$AF$1010,$AM1600, 17)</f>
        <v>#N/A</v>
      </c>
      <c r="AI1600" s="8"/>
      <c r="AJ1600" s="57"/>
      <c r="AK1600" s="105"/>
      <c r="AM1600" s="6" t="e">
        <f>MATCH(D1600,'D5 - Gatekeeper - Projects'!$C$4:$C$1010,0)</f>
        <v>#N/A</v>
      </c>
      <c r="AN1600" s="6" t="b">
        <f t="shared" si="168"/>
        <v>1</v>
      </c>
      <c r="AO1600" s="6" t="str">
        <f t="shared" si="170"/>
        <v>OK</v>
      </c>
      <c r="AQ1600" s="6" t="e">
        <f>MATCH($D1600,'D4 - Provider Council Unsched'!$C$11:$C$234,0)</f>
        <v>#N/A</v>
      </c>
      <c r="AR1600" s="6" t="b">
        <f t="shared" si="169"/>
        <v>1</v>
      </c>
      <c r="AS1600" s="6" t="str">
        <f t="shared" ref="AS1600:AS1605" si="173">IF(AND(H1600="2 - Not Scheduled",AR1600=TRUE),"Add","OK")</f>
        <v>OK</v>
      </c>
      <c r="AU1600" s="202">
        <v>40665</v>
      </c>
      <c r="AV1600" s="262"/>
      <c r="AW1600" s="274"/>
    </row>
    <row r="1601" spans="1:49" s="13" customFormat="1" x14ac:dyDescent="0.2">
      <c r="A1601" s="14">
        <v>1577</v>
      </c>
      <c r="B1601" s="14" t="s">
        <v>3122</v>
      </c>
      <c r="C1601" s="8" t="s">
        <v>5197</v>
      </c>
      <c r="D1601" s="4" t="s">
        <v>3127</v>
      </c>
      <c r="E1601" s="339" t="s">
        <v>3131</v>
      </c>
      <c r="F1601" s="8" t="s">
        <v>2114</v>
      </c>
      <c r="G1601" s="8" t="s">
        <v>4758</v>
      </c>
      <c r="H1601" s="8" t="s">
        <v>4246</v>
      </c>
      <c r="I1601" s="20">
        <v>3.6</v>
      </c>
      <c r="J1601" s="8" t="s">
        <v>4862</v>
      </c>
      <c r="K1601" s="182">
        <v>40859</v>
      </c>
      <c r="L1601" s="8" t="s">
        <v>5743</v>
      </c>
      <c r="M1601" s="8" t="s">
        <v>2814</v>
      </c>
      <c r="N1601" s="38" t="s">
        <v>8143</v>
      </c>
      <c r="O1601" s="8" t="s">
        <v>3572</v>
      </c>
      <c r="P1601" s="4" t="e">
        <f>VLOOKUP($B1601,'D7 - NDB Impacted SPRF''s'!$E$16:$O$9929,9,FALSE)</f>
        <v>#N/A</v>
      </c>
      <c r="Q1601" s="4" t="e">
        <f>VLOOKUP($B1601,'D7 - NDB Impacted SPRF''s'!$E$16:$O$9929,10,FALSE)</f>
        <v>#N/A</v>
      </c>
      <c r="R1601" s="4" t="e">
        <f>VLOOKUP($B1601,'D7 - NDB Impacted SPRF''s'!$E$16:$O$9929,11,FALSE)</f>
        <v>#N/A</v>
      </c>
      <c r="S1601" s="8"/>
      <c r="T1601" s="310"/>
      <c r="U1601" s="310"/>
      <c r="V1601" s="4"/>
      <c r="W1601" s="4"/>
      <c r="X1601" s="4"/>
      <c r="Y1601" s="4"/>
      <c r="Z1601" s="4"/>
      <c r="AA1601" s="4"/>
      <c r="AB1601" s="383" t="e">
        <f>VLOOKUP($B1601,'D7 - NDB Impacted SPRF''s'!$E$16:$O$9929,4,FALSE)</f>
        <v>#N/A</v>
      </c>
      <c r="AC1601" s="380" t="e">
        <f>VLOOKUP($B1601,'D7 - NDB Impacted SPRF''s'!$E$16:$O$9929,3,FALSE)</f>
        <v>#N/A</v>
      </c>
      <c r="AD1601" s="380" t="e">
        <f>VLOOKUP($B1601,'D7 - NDB Impacted SPRF''s'!$E$16:$O$9929,5,FALSE)</f>
        <v>#N/A</v>
      </c>
      <c r="AE1601" s="380" t="e">
        <f>VLOOKUP($B1601,'D7 - NDB Impacted SPRF''s'!$E$16:$O$9929,7,FALSE)</f>
        <v>#N/A</v>
      </c>
      <c r="AF1601" s="380" t="e">
        <f>VLOOKUP($B1601,'D7 - NDB Impacted SPRF''s'!$E$16:$O$9929,6,FALSE)</f>
        <v>#N/A</v>
      </c>
      <c r="AG1601" s="282"/>
      <c r="AH1601" s="311" t="e">
        <f>INDEX('D5 - Gatekeeper - Projects'!$A$4:$AF$1010,$AM1601, 17)</f>
        <v>#N/A</v>
      </c>
      <c r="AI1601" s="8"/>
      <c r="AJ1601" s="57"/>
      <c r="AK1601" s="105"/>
      <c r="AM1601" s="6" t="e">
        <f>MATCH(D1601,'D5 - Gatekeeper - Projects'!$C$4:$C$1010,0)</f>
        <v>#N/A</v>
      </c>
      <c r="AN1601" s="6" t="b">
        <f t="shared" si="168"/>
        <v>1</v>
      </c>
      <c r="AO1601" s="6" t="str">
        <f t="shared" si="170"/>
        <v>OK</v>
      </c>
      <c r="AQ1601" s="6" t="e">
        <f>MATCH($D1601,'D4 - Provider Council Unsched'!$C$11:$C$234,0)</f>
        <v>#N/A</v>
      </c>
      <c r="AR1601" s="6" t="b">
        <f t="shared" si="169"/>
        <v>1</v>
      </c>
      <c r="AS1601" s="6" t="str">
        <f t="shared" si="173"/>
        <v>OK</v>
      </c>
      <c r="AU1601" s="202">
        <v>40665</v>
      </c>
      <c r="AV1601" s="262"/>
      <c r="AW1601" s="274"/>
    </row>
    <row r="1602" spans="1:49" s="13" customFormat="1" x14ac:dyDescent="0.2">
      <c r="A1602" s="14">
        <v>1578</v>
      </c>
      <c r="B1602" s="14" t="s">
        <v>3123</v>
      </c>
      <c r="C1602" s="8" t="s">
        <v>5197</v>
      </c>
      <c r="D1602" s="4" t="s">
        <v>1945</v>
      </c>
      <c r="E1602" s="339" t="s">
        <v>3132</v>
      </c>
      <c r="F1602" s="8" t="s">
        <v>2114</v>
      </c>
      <c r="G1602" s="8" t="s">
        <v>4758</v>
      </c>
      <c r="H1602" s="8" t="s">
        <v>4246</v>
      </c>
      <c r="I1602" s="20">
        <v>3.1</v>
      </c>
      <c r="J1602" s="8" t="s">
        <v>4862</v>
      </c>
      <c r="K1602" s="182">
        <v>40859</v>
      </c>
      <c r="L1602" s="8" t="s">
        <v>5743</v>
      </c>
      <c r="M1602" s="8" t="s">
        <v>2814</v>
      </c>
      <c r="N1602" s="38"/>
      <c r="O1602" s="8" t="s">
        <v>3572</v>
      </c>
      <c r="P1602" s="4" t="e">
        <f>VLOOKUP($B1602,'D7 - NDB Impacted SPRF''s'!$E$16:$O$9929,9,FALSE)</f>
        <v>#N/A</v>
      </c>
      <c r="Q1602" s="4" t="e">
        <f>VLOOKUP($B1602,'D7 - NDB Impacted SPRF''s'!$E$16:$O$9929,10,FALSE)</f>
        <v>#N/A</v>
      </c>
      <c r="R1602" s="4" t="e">
        <f>VLOOKUP($B1602,'D7 - NDB Impacted SPRF''s'!$E$16:$O$9929,11,FALSE)</f>
        <v>#N/A</v>
      </c>
      <c r="S1602" s="8"/>
      <c r="T1602" s="310"/>
      <c r="U1602" s="310"/>
      <c r="V1602" s="4"/>
      <c r="W1602" s="4"/>
      <c r="X1602" s="4"/>
      <c r="Y1602" s="4"/>
      <c r="Z1602" s="4"/>
      <c r="AA1602" s="4"/>
      <c r="AB1602" s="383" t="e">
        <f>VLOOKUP($B1602,'D7 - NDB Impacted SPRF''s'!$E$16:$O$9929,4,FALSE)</f>
        <v>#N/A</v>
      </c>
      <c r="AC1602" s="380" t="e">
        <f>VLOOKUP($B1602,'D7 - NDB Impacted SPRF''s'!$E$16:$O$9929,3,FALSE)</f>
        <v>#N/A</v>
      </c>
      <c r="AD1602" s="380" t="e">
        <f>VLOOKUP($B1602,'D7 - NDB Impacted SPRF''s'!$E$16:$O$9929,5,FALSE)</f>
        <v>#N/A</v>
      </c>
      <c r="AE1602" s="380" t="e">
        <f>VLOOKUP($B1602,'D7 - NDB Impacted SPRF''s'!$E$16:$O$9929,7,FALSE)</f>
        <v>#N/A</v>
      </c>
      <c r="AF1602" s="380" t="e">
        <f>VLOOKUP($B1602,'D7 - NDB Impacted SPRF''s'!$E$16:$O$9929,6,FALSE)</f>
        <v>#N/A</v>
      </c>
      <c r="AG1602" s="282"/>
      <c r="AH1602" s="311" t="e">
        <f>INDEX('D5 - Gatekeeper - Projects'!$A$4:$AF$1010,$AM1602, 17)</f>
        <v>#N/A</v>
      </c>
      <c r="AI1602" s="8"/>
      <c r="AJ1602" s="57"/>
      <c r="AK1602" s="105"/>
      <c r="AM1602" s="6" t="e">
        <f>MATCH(D1602,'D5 - Gatekeeper - Projects'!$C$4:$C$1010,0)</f>
        <v>#N/A</v>
      </c>
      <c r="AN1602" s="6" t="b">
        <f t="shared" si="168"/>
        <v>1</v>
      </c>
      <c r="AO1602" s="6" t="str">
        <f t="shared" si="170"/>
        <v>OK</v>
      </c>
      <c r="AQ1602" s="6" t="e">
        <f>MATCH($D1602,'D4 - Provider Council Unsched'!$C$11:$C$234,0)</f>
        <v>#N/A</v>
      </c>
      <c r="AR1602" s="6" t="b">
        <f t="shared" si="169"/>
        <v>1</v>
      </c>
      <c r="AS1602" s="6" t="str">
        <f t="shared" si="173"/>
        <v>OK</v>
      </c>
      <c r="AU1602" s="202">
        <v>40665</v>
      </c>
      <c r="AV1602" s="262"/>
      <c r="AW1602" s="274"/>
    </row>
    <row r="1603" spans="1:49" s="13" customFormat="1" x14ac:dyDescent="0.2">
      <c r="A1603" s="14">
        <v>1579</v>
      </c>
      <c r="B1603" s="14" t="s">
        <v>620</v>
      </c>
      <c r="C1603" s="8" t="s">
        <v>5197</v>
      </c>
      <c r="D1603" s="4" t="s">
        <v>625</v>
      </c>
      <c r="E1603" s="339" t="s">
        <v>629</v>
      </c>
      <c r="F1603" s="8" t="s">
        <v>2114</v>
      </c>
      <c r="G1603" s="8" t="s">
        <v>4758</v>
      </c>
      <c r="H1603" s="8" t="s">
        <v>4246</v>
      </c>
      <c r="I1603" s="20">
        <v>1.9</v>
      </c>
      <c r="J1603" s="8" t="s">
        <v>4862</v>
      </c>
      <c r="K1603" s="182">
        <v>40859</v>
      </c>
      <c r="L1603" s="8" t="s">
        <v>5743</v>
      </c>
      <c r="M1603" s="8" t="s">
        <v>4450</v>
      </c>
      <c r="N1603" s="38"/>
      <c r="O1603" s="8" t="s">
        <v>3572</v>
      </c>
      <c r="P1603" s="4" t="e">
        <f>VLOOKUP($B1603,'D7 - NDB Impacted SPRF''s'!$E$16:$O$9929,9,FALSE)</f>
        <v>#N/A</v>
      </c>
      <c r="Q1603" s="4" t="e">
        <f>VLOOKUP($B1603,'D7 - NDB Impacted SPRF''s'!$E$16:$O$9929,10,FALSE)</f>
        <v>#N/A</v>
      </c>
      <c r="R1603" s="4" t="e">
        <f>VLOOKUP($B1603,'D7 - NDB Impacted SPRF''s'!$E$16:$O$9929,11,FALSE)</f>
        <v>#N/A</v>
      </c>
      <c r="S1603" s="8"/>
      <c r="T1603" s="310"/>
      <c r="U1603" s="310"/>
      <c r="V1603" s="4"/>
      <c r="W1603" s="4"/>
      <c r="X1603" s="4"/>
      <c r="Y1603" s="4"/>
      <c r="Z1603" s="4"/>
      <c r="AA1603" s="4"/>
      <c r="AB1603" s="383" t="e">
        <f>VLOOKUP($B1603,'D7 - NDB Impacted SPRF''s'!$E$16:$O$9929,4,FALSE)</f>
        <v>#N/A</v>
      </c>
      <c r="AC1603" s="380" t="e">
        <f>VLOOKUP($B1603,'D7 - NDB Impacted SPRF''s'!$E$16:$O$9929,3,FALSE)</f>
        <v>#N/A</v>
      </c>
      <c r="AD1603" s="380" t="e">
        <f>VLOOKUP($B1603,'D7 - NDB Impacted SPRF''s'!$E$16:$O$9929,5,FALSE)</f>
        <v>#N/A</v>
      </c>
      <c r="AE1603" s="380" t="e">
        <f>VLOOKUP($B1603,'D7 - NDB Impacted SPRF''s'!$E$16:$O$9929,7,FALSE)</f>
        <v>#N/A</v>
      </c>
      <c r="AF1603" s="380" t="e">
        <f>VLOOKUP($B1603,'D7 - NDB Impacted SPRF''s'!$E$16:$O$9929,6,FALSE)</f>
        <v>#N/A</v>
      </c>
      <c r="AG1603" s="282"/>
      <c r="AH1603" s="311" t="e">
        <f>INDEX('D5 - Gatekeeper - Projects'!$A$4:$AF$1010,$AM1603, 17)</f>
        <v>#N/A</v>
      </c>
      <c r="AI1603" s="8"/>
      <c r="AJ1603" s="57"/>
      <c r="AK1603" s="105"/>
      <c r="AM1603" s="6" t="e">
        <f>MATCH(D1603,'D5 - Gatekeeper - Projects'!$C$4:$C$1010,0)</f>
        <v>#N/A</v>
      </c>
      <c r="AN1603" s="6" t="b">
        <f t="shared" si="168"/>
        <v>1</v>
      </c>
      <c r="AO1603" s="6" t="str">
        <f t="shared" si="170"/>
        <v>OK</v>
      </c>
      <c r="AQ1603" s="6" t="e">
        <f>MATCH($D1603,'D4 - Provider Council Unsched'!$C$11:$C$234,0)</f>
        <v>#N/A</v>
      </c>
      <c r="AR1603" s="6" t="b">
        <f t="shared" si="169"/>
        <v>1</v>
      </c>
      <c r="AS1603" s="6" t="str">
        <f t="shared" si="173"/>
        <v>OK</v>
      </c>
      <c r="AU1603" s="202">
        <v>40680</v>
      </c>
      <c r="AV1603" s="262"/>
      <c r="AW1603" s="274"/>
    </row>
    <row r="1604" spans="1:49" s="13" customFormat="1" x14ac:dyDescent="0.2">
      <c r="A1604" s="14">
        <v>1580</v>
      </c>
      <c r="B1604" s="14" t="s">
        <v>621</v>
      </c>
      <c r="C1604" s="8" t="s">
        <v>5197</v>
      </c>
      <c r="D1604" s="4" t="s">
        <v>626</v>
      </c>
      <c r="E1604" s="339" t="s">
        <v>630</v>
      </c>
      <c r="F1604" s="8" t="s">
        <v>2114</v>
      </c>
      <c r="G1604" s="8" t="s">
        <v>4758</v>
      </c>
      <c r="H1604" s="8" t="s">
        <v>4246</v>
      </c>
      <c r="I1604" s="20">
        <v>1.9</v>
      </c>
      <c r="J1604" s="8" t="s">
        <v>4862</v>
      </c>
      <c r="K1604" s="182">
        <v>40859</v>
      </c>
      <c r="L1604" s="8" t="s">
        <v>5743</v>
      </c>
      <c r="M1604" s="8" t="s">
        <v>4450</v>
      </c>
      <c r="N1604" s="38"/>
      <c r="O1604" s="8" t="s">
        <v>3572</v>
      </c>
      <c r="P1604" s="4" t="e">
        <f>VLOOKUP($B1604,'D7 - NDB Impacted SPRF''s'!$E$16:$O$9929,9,FALSE)</f>
        <v>#N/A</v>
      </c>
      <c r="Q1604" s="4" t="e">
        <f>VLOOKUP($B1604,'D7 - NDB Impacted SPRF''s'!$E$16:$O$9929,10,FALSE)</f>
        <v>#N/A</v>
      </c>
      <c r="R1604" s="4" t="e">
        <f>VLOOKUP($B1604,'D7 - NDB Impacted SPRF''s'!$E$16:$O$9929,11,FALSE)</f>
        <v>#N/A</v>
      </c>
      <c r="S1604" s="8"/>
      <c r="T1604" s="310"/>
      <c r="U1604" s="310"/>
      <c r="V1604" s="4"/>
      <c r="W1604" s="4"/>
      <c r="X1604" s="4"/>
      <c r="Y1604" s="4"/>
      <c r="Z1604" s="4"/>
      <c r="AA1604" s="4"/>
      <c r="AB1604" s="383" t="e">
        <f>VLOOKUP($B1604,'D7 - NDB Impacted SPRF''s'!$E$16:$O$9929,4,FALSE)</f>
        <v>#N/A</v>
      </c>
      <c r="AC1604" s="380" t="e">
        <f>VLOOKUP($B1604,'D7 - NDB Impacted SPRF''s'!$E$16:$O$9929,3,FALSE)</f>
        <v>#N/A</v>
      </c>
      <c r="AD1604" s="380" t="e">
        <f>VLOOKUP($B1604,'D7 - NDB Impacted SPRF''s'!$E$16:$O$9929,5,FALSE)</f>
        <v>#N/A</v>
      </c>
      <c r="AE1604" s="380" t="e">
        <f>VLOOKUP($B1604,'D7 - NDB Impacted SPRF''s'!$E$16:$O$9929,7,FALSE)</f>
        <v>#N/A</v>
      </c>
      <c r="AF1604" s="380" t="e">
        <f>VLOOKUP($B1604,'D7 - NDB Impacted SPRF''s'!$E$16:$O$9929,6,FALSE)</f>
        <v>#N/A</v>
      </c>
      <c r="AG1604" s="282"/>
      <c r="AH1604" s="311" t="e">
        <f>INDEX('D5 - Gatekeeper - Projects'!$A$4:$AF$1010,$AM1604, 17)</f>
        <v>#N/A</v>
      </c>
      <c r="AI1604" s="8"/>
      <c r="AJ1604" s="57"/>
      <c r="AK1604" s="105"/>
      <c r="AM1604" s="6" t="e">
        <f>MATCH(D1604,'D5 - Gatekeeper - Projects'!$C$4:$C$1010,0)</f>
        <v>#N/A</v>
      </c>
      <c r="AN1604" s="6" t="b">
        <f t="shared" si="168"/>
        <v>1</v>
      </c>
      <c r="AO1604" s="6" t="str">
        <f t="shared" si="170"/>
        <v>OK</v>
      </c>
      <c r="AQ1604" s="6" t="e">
        <f>MATCH($D1604,'D4 - Provider Council Unsched'!$C$11:$C$234,0)</f>
        <v>#N/A</v>
      </c>
      <c r="AR1604" s="6" t="b">
        <f t="shared" si="169"/>
        <v>1</v>
      </c>
      <c r="AS1604" s="6" t="str">
        <f t="shared" si="173"/>
        <v>OK</v>
      </c>
      <c r="AU1604" s="202">
        <v>40680</v>
      </c>
      <c r="AV1604" s="262"/>
      <c r="AW1604" s="274"/>
    </row>
    <row r="1605" spans="1:49" s="13" customFormat="1" x14ac:dyDescent="0.2">
      <c r="A1605" s="14">
        <v>1581</v>
      </c>
      <c r="B1605" s="14" t="s">
        <v>623</v>
      </c>
      <c r="C1605" s="8" t="s">
        <v>5197</v>
      </c>
      <c r="D1605" s="4" t="s">
        <v>627</v>
      </c>
      <c r="E1605" s="339" t="s">
        <v>632</v>
      </c>
      <c r="F1605" s="8" t="s">
        <v>2114</v>
      </c>
      <c r="G1605" s="8" t="s">
        <v>4758</v>
      </c>
      <c r="H1605" s="8" t="s">
        <v>4246</v>
      </c>
      <c r="I1605" s="20">
        <v>3.94</v>
      </c>
      <c r="J1605" s="8" t="s">
        <v>4862</v>
      </c>
      <c r="K1605" s="182">
        <v>40859</v>
      </c>
      <c r="L1605" s="8" t="s">
        <v>5743</v>
      </c>
      <c r="M1605" s="8" t="s">
        <v>2814</v>
      </c>
      <c r="N1605" s="38"/>
      <c r="O1605" s="8" t="s">
        <v>3572</v>
      </c>
      <c r="P1605" s="4" t="e">
        <f>VLOOKUP($B1605,'D7 - NDB Impacted SPRF''s'!$E$16:$O$9929,9,FALSE)</f>
        <v>#N/A</v>
      </c>
      <c r="Q1605" s="4" t="e">
        <f>VLOOKUP($B1605,'D7 - NDB Impacted SPRF''s'!$E$16:$O$9929,10,FALSE)</f>
        <v>#N/A</v>
      </c>
      <c r="R1605" s="4" t="e">
        <f>VLOOKUP($B1605,'D7 - NDB Impacted SPRF''s'!$E$16:$O$9929,11,FALSE)</f>
        <v>#N/A</v>
      </c>
      <c r="S1605" s="8"/>
      <c r="T1605" s="310"/>
      <c r="U1605" s="310"/>
      <c r="V1605" s="4"/>
      <c r="W1605" s="4"/>
      <c r="X1605" s="4"/>
      <c r="Y1605" s="4"/>
      <c r="Z1605" s="4"/>
      <c r="AA1605" s="4"/>
      <c r="AB1605" s="383" t="e">
        <f>VLOOKUP($B1605,'D7 - NDB Impacted SPRF''s'!$E$16:$O$9929,4,FALSE)</f>
        <v>#N/A</v>
      </c>
      <c r="AC1605" s="380" t="e">
        <f>VLOOKUP($B1605,'D7 - NDB Impacted SPRF''s'!$E$16:$O$9929,3,FALSE)</f>
        <v>#N/A</v>
      </c>
      <c r="AD1605" s="380" t="e">
        <f>VLOOKUP($B1605,'D7 - NDB Impacted SPRF''s'!$E$16:$O$9929,5,FALSE)</f>
        <v>#N/A</v>
      </c>
      <c r="AE1605" s="380" t="e">
        <f>VLOOKUP($B1605,'D7 - NDB Impacted SPRF''s'!$E$16:$O$9929,7,FALSE)</f>
        <v>#N/A</v>
      </c>
      <c r="AF1605" s="380" t="e">
        <f>VLOOKUP($B1605,'D7 - NDB Impacted SPRF''s'!$E$16:$O$9929,6,FALSE)</f>
        <v>#N/A</v>
      </c>
      <c r="AG1605" s="282"/>
      <c r="AH1605" s="311" t="e">
        <f>INDEX('D5 - Gatekeeper - Projects'!$A$4:$AF$1010,$AM1605, 17)</f>
        <v>#N/A</v>
      </c>
      <c r="AI1605" s="8"/>
      <c r="AJ1605" s="57"/>
      <c r="AK1605" s="105"/>
      <c r="AM1605" s="6" t="e">
        <f>MATCH(D1605,'D5 - Gatekeeper - Projects'!$C$4:$C$1010,0)</f>
        <v>#N/A</v>
      </c>
      <c r="AN1605" s="6" t="b">
        <f t="shared" si="168"/>
        <v>1</v>
      </c>
      <c r="AO1605" s="6" t="str">
        <f t="shared" si="170"/>
        <v>OK</v>
      </c>
      <c r="AQ1605" s="6" t="e">
        <f>MATCH($D1605,'D4 - Provider Council Unsched'!$C$11:$C$234,0)</f>
        <v>#N/A</v>
      </c>
      <c r="AR1605" s="6" t="b">
        <f t="shared" si="169"/>
        <v>1</v>
      </c>
      <c r="AS1605" s="6" t="str">
        <f t="shared" si="173"/>
        <v>OK</v>
      </c>
      <c r="AU1605" s="202">
        <v>40680</v>
      </c>
      <c r="AV1605" s="262"/>
      <c r="AW1605" s="274"/>
    </row>
    <row r="1606" spans="1:49" s="13" customFormat="1" ht="33.75" x14ac:dyDescent="0.2">
      <c r="A1606" s="14">
        <v>1582</v>
      </c>
      <c r="B1606" s="8">
        <v>400041517</v>
      </c>
      <c r="C1606" s="8" t="s">
        <v>1447</v>
      </c>
      <c r="D1606" s="4" t="str">
        <f t="shared" ref="D1606:D1611" si="174">CONCATENATE(B1606,C1606)</f>
        <v>400041517A</v>
      </c>
      <c r="E1606" s="309" t="str">
        <f>VLOOKUP($B1606,'D7 - NDB Impacted SPRF''s'!$E$6:$O$9929,2,FALSE)</f>
        <v>ORBIT Report-Provider Accred Status</v>
      </c>
      <c r="F1606" s="8"/>
      <c r="G1606" s="8" t="s">
        <v>4758</v>
      </c>
      <c r="H1606" s="8" t="s">
        <v>4246</v>
      </c>
      <c r="I1606" s="20">
        <v>1.26</v>
      </c>
      <c r="J1606" s="8" t="s">
        <v>4862</v>
      </c>
      <c r="K1606" s="182">
        <v>40876</v>
      </c>
      <c r="L1606" s="8" t="s">
        <v>4156</v>
      </c>
      <c r="M1606" s="8" t="s">
        <v>2814</v>
      </c>
      <c r="N1606" s="38" t="s">
        <v>1100</v>
      </c>
      <c r="O1606" s="8"/>
      <c r="P1606" s="4" t="str">
        <f>VLOOKUP($B1606,'D7 - NDB Impacted SPRF''s'!$E$16:$O$9929,9,FALSE)</f>
        <v>N</v>
      </c>
      <c r="Q1606" s="4" t="str">
        <f>VLOOKUP($B1606,'D7 - NDB Impacted SPRF''s'!$E$16:$O$9929,10,FALSE)</f>
        <v>N</v>
      </c>
      <c r="R1606" s="4" t="str">
        <f>VLOOKUP($B1606,'D7 - NDB Impacted SPRF''s'!$E$16:$O$9929,11,FALSE)</f>
        <v>N</v>
      </c>
      <c r="S1606" s="8"/>
      <c r="T1606" s="310"/>
      <c r="U1606" s="310"/>
      <c r="V1606" s="4"/>
      <c r="W1606" s="4"/>
      <c r="X1606" s="4"/>
      <c r="Y1606" s="4"/>
      <c r="Z1606" s="4"/>
      <c r="AA1606" s="4"/>
      <c r="AB1606" s="380" t="str">
        <f>VLOOKUP($B1606,'D7 - NDB Impacted SPRF''s'!$E$6:$O$9929,4,FALSE)</f>
        <v>Completed</v>
      </c>
      <c r="AC1606" s="380" t="s">
        <v>5324</v>
      </c>
      <c r="AD1606" s="380" t="str">
        <f>VLOOKUP($B1606,'D7 - NDB Impacted SPRF''s'!$E$6:$O$9929,5,FALSE)</f>
        <v>Regulatory / Other</v>
      </c>
      <c r="AE1606" s="380" t="str">
        <f>VLOOKUP($B1606,'D7 - NDB Impacted SPRF''s'!$E$6:$O$9929,7,FALSE)</f>
        <v>Jason Somrock</v>
      </c>
      <c r="AF1606" s="380" t="str">
        <f>VLOOKUP($B1606,'D7 - NDB Impacted SPRF''s'!$E$6:$O$9929,6,FALSE)</f>
        <v>Dwayne Pettway</v>
      </c>
      <c r="AG1606" s="282"/>
      <c r="AH1606" s="311" t="e">
        <f>INDEX('D5 - Gatekeeper - Projects'!$A$4:$AF$1010,$AM1606, 17)</f>
        <v>#N/A</v>
      </c>
      <c r="AI1606" s="8"/>
      <c r="AJ1606" s="57"/>
      <c r="AK1606" s="105"/>
      <c r="AM1606" s="6" t="e">
        <f>MATCH(D1606,'D5 - Gatekeeper - Projects'!$C$4:$C$1010,0)</f>
        <v>#N/A</v>
      </c>
      <c r="AN1606" s="6" t="b">
        <f t="shared" si="168"/>
        <v>1</v>
      </c>
      <c r="AO1606" s="6" t="str">
        <f t="shared" si="170"/>
        <v>OK</v>
      </c>
      <c r="AQ1606" s="6" t="e">
        <f>MATCH($D1606,'D4 - Provider Council Unsched'!$C$11:$C$234,0)</f>
        <v>#N/A</v>
      </c>
      <c r="AR1606" s="6" t="b">
        <f t="shared" si="169"/>
        <v>1</v>
      </c>
      <c r="AS1606" s="6" t="str">
        <f t="shared" ref="AS1606:AS1611" si="175">IF(AND(H1606="2 - Not Scheduled",AR1606=TRUE,C1606="R1"),"Add","OK")</f>
        <v>OK</v>
      </c>
      <c r="AU1606" s="202">
        <v>40673</v>
      </c>
      <c r="AV1606" s="262"/>
      <c r="AW1606" s="274"/>
    </row>
    <row r="1607" spans="1:49" s="13" customFormat="1" ht="45" x14ac:dyDescent="0.2">
      <c r="A1607" s="14">
        <v>1583</v>
      </c>
      <c r="B1607" s="8">
        <v>400044863</v>
      </c>
      <c r="C1607" s="8" t="s">
        <v>1447</v>
      </c>
      <c r="D1607" s="4" t="str">
        <f t="shared" si="174"/>
        <v>400044863A</v>
      </c>
      <c r="E1607" s="309" t="str">
        <f>VLOOKUP($B1607,'D7 - NDB Impacted SPRF''s'!$E$6:$O$9929,2,FALSE)</f>
        <v>PDR - Cosmos Demographics Gap Remediation (AO)</v>
      </c>
      <c r="F1607" s="8"/>
      <c r="G1607" s="8" t="s">
        <v>4758</v>
      </c>
      <c r="H1607" s="8" t="s">
        <v>4246</v>
      </c>
      <c r="I1607" s="20">
        <v>4.32</v>
      </c>
      <c r="J1607" s="8" t="s">
        <v>4862</v>
      </c>
      <c r="K1607" s="182">
        <v>40877</v>
      </c>
      <c r="L1607" s="8" t="s">
        <v>4156</v>
      </c>
      <c r="M1607" s="8" t="s">
        <v>6688</v>
      </c>
      <c r="N1607" s="38" t="s">
        <v>973</v>
      </c>
      <c r="O1607" s="8"/>
      <c r="P1607" s="4" t="str">
        <f>VLOOKUP($B1607,'D7 - NDB Impacted SPRF''s'!$E$16:$O$9929,9,FALSE)</f>
        <v>N</v>
      </c>
      <c r="Q1607" s="4" t="str">
        <f>VLOOKUP($B1607,'D7 - NDB Impacted SPRF''s'!$E$16:$O$9929,10,FALSE)</f>
        <v>N</v>
      </c>
      <c r="R1607" s="4" t="str">
        <f>VLOOKUP($B1607,'D7 - NDB Impacted SPRF''s'!$E$16:$O$9929,11,FALSE)</f>
        <v>N</v>
      </c>
      <c r="S1607" s="8"/>
      <c r="T1607" s="310"/>
      <c r="U1607" s="310"/>
      <c r="V1607" s="4"/>
      <c r="W1607" s="4"/>
      <c r="X1607" s="4"/>
      <c r="Y1607" s="4"/>
      <c r="Z1607" s="4"/>
      <c r="AA1607" s="4"/>
      <c r="AB1607" s="380" t="str">
        <f>VLOOKUP($B1607,'D7 - NDB Impacted SPRF''s'!$E$6:$O$9929,4,FALSE)</f>
        <v>Completed</v>
      </c>
      <c r="AC1607" s="380" t="str">
        <f>VLOOKUP($B1607,'D7 - NDB Impacted SPRF''s'!$E$6:$O$9929,3,FALSE)</f>
        <v>UHG IT - Enterprise Technology Services</v>
      </c>
      <c r="AD1607" s="380" t="str">
        <f>VLOOKUP($B1607,'D7 - NDB Impacted SPRF''s'!$E$6:$O$9929,5,FALSE)</f>
        <v>Strategic Initiatives</v>
      </c>
      <c r="AE1607" s="380" t="str">
        <f>VLOOKUP($B1607,'D7 - NDB Impacted SPRF''s'!$E$6:$O$9929,7,FALSE)</f>
        <v>Wichmann</v>
      </c>
      <c r="AF1607" s="380" t="str">
        <f>VLOOKUP($B1607,'D7 - NDB Impacted SPRF''s'!$E$6:$O$9929,6,FALSE)</f>
        <v>Suzanne Smith</v>
      </c>
      <c r="AG1607" s="282"/>
      <c r="AH1607" s="311" t="e">
        <f>INDEX('D5 - Gatekeeper - Projects'!$A$4:$AF$1010,$AM1607, 17)</f>
        <v>#N/A</v>
      </c>
      <c r="AI1607" s="8"/>
      <c r="AJ1607" s="57"/>
      <c r="AK1607" s="105"/>
      <c r="AM1607" s="6" t="e">
        <f>MATCH(D1607,'D5 - Gatekeeper - Projects'!$C$4:$C$1010,0)</f>
        <v>#N/A</v>
      </c>
      <c r="AN1607" s="6" t="b">
        <f t="shared" si="168"/>
        <v>1</v>
      </c>
      <c r="AO1607" s="6" t="str">
        <f t="shared" si="170"/>
        <v>OK</v>
      </c>
      <c r="AQ1607" s="6" t="e">
        <f>MATCH($D1607,'D4 - Provider Council Unsched'!$C$11:$C$234,0)</f>
        <v>#N/A</v>
      </c>
      <c r="AR1607" s="6" t="b">
        <f t="shared" si="169"/>
        <v>1</v>
      </c>
      <c r="AS1607" s="6" t="str">
        <f t="shared" si="175"/>
        <v>OK</v>
      </c>
      <c r="AU1607" s="202">
        <v>40680</v>
      </c>
      <c r="AV1607" s="262"/>
      <c r="AW1607" s="274"/>
    </row>
    <row r="1608" spans="1:49" s="13" customFormat="1" ht="33.75" x14ac:dyDescent="0.2">
      <c r="A1608" s="14">
        <v>1584</v>
      </c>
      <c r="B1608" s="14">
        <v>400033231</v>
      </c>
      <c r="C1608" s="8" t="s">
        <v>6895</v>
      </c>
      <c r="D1608" s="4" t="str">
        <f t="shared" si="174"/>
        <v>400033231R6</v>
      </c>
      <c r="E1608" s="309" t="str">
        <f>VLOOKUP($B1608,'D7 - NDB Impacted SPRF''s'!$E$6:$O$9929,2,FALSE)</f>
        <v>HIPAA 5010-UHC-835 RA</v>
      </c>
      <c r="F1608" s="8" t="s">
        <v>1595</v>
      </c>
      <c r="G1608" s="8" t="s">
        <v>4758</v>
      </c>
      <c r="H1608" s="8" t="s">
        <v>4246</v>
      </c>
      <c r="I1608" s="20">
        <v>0.6</v>
      </c>
      <c r="J1608" s="8" t="s">
        <v>4862</v>
      </c>
      <c r="K1608" s="182">
        <v>40886</v>
      </c>
      <c r="L1608" s="8" t="s">
        <v>4156</v>
      </c>
      <c r="M1608" s="8" t="s">
        <v>4450</v>
      </c>
      <c r="N1608" s="38" t="s">
        <v>1981</v>
      </c>
      <c r="O1608" s="8"/>
      <c r="P1608" s="4" t="str">
        <f>VLOOKUP($B1608,'D7 - NDB Impacted SPRF''s'!$E$16:$O$9929,9,FALSE)</f>
        <v>Y</v>
      </c>
      <c r="Q1608" s="4" t="str">
        <f>VLOOKUP($B1608,'D7 - NDB Impacted SPRF''s'!$E$16:$O$9929,10,FALSE)</f>
        <v>N</v>
      </c>
      <c r="R1608" s="4" t="str">
        <f>VLOOKUP($B1608,'D7 - NDB Impacted SPRF''s'!$E$16:$O$9929,11,FALSE)</f>
        <v>Y</v>
      </c>
      <c r="S1608" s="8"/>
      <c r="T1608" s="310"/>
      <c r="U1608" s="310"/>
      <c r="V1608" s="4"/>
      <c r="W1608" s="4"/>
      <c r="X1608" s="4"/>
      <c r="Y1608" s="4"/>
      <c r="Z1608" s="4"/>
      <c r="AA1608" s="4"/>
      <c r="AB1608" s="380" t="str">
        <f>VLOOKUP($B1608,'D7 - NDB Impacted SPRF''s'!$E$6:$O$9929,4,FALSE)</f>
        <v>Completed</v>
      </c>
      <c r="AC1608" s="380" t="str">
        <f>VLOOKUP($B1608,'D7 - NDB Impacted SPRF''s'!$E$6:$O$9929,3,FALSE)</f>
        <v>UnitedHealthcare Employer &amp; Individual</v>
      </c>
      <c r="AD1608" s="380" t="str">
        <f>VLOOKUP($B1608,'D7 - NDB Impacted SPRF''s'!$E$6:$O$9929,5,FALSE)</f>
        <v>HIPAA 5010</v>
      </c>
      <c r="AE1608" s="380" t="str">
        <f>VLOOKUP($B1608,'D7 - NDB Impacted SPRF''s'!$E$6:$O$9929,7,FALSE)</f>
        <v>Tim Kaja</v>
      </c>
      <c r="AF1608" s="380" t="str">
        <f>VLOOKUP($B1608,'D7 - NDB Impacted SPRF''s'!$E$6:$O$9929,6,FALSE)</f>
        <v>MARGARET CONNIFF</v>
      </c>
      <c r="AG1608" s="282"/>
      <c r="AH1608" s="311" t="e">
        <f>INDEX('D5 - Gatekeeper - Projects'!$A$4:$AF$1010,$AM1608, 17)</f>
        <v>#N/A</v>
      </c>
      <c r="AI1608" s="8"/>
      <c r="AJ1608" s="57"/>
      <c r="AK1608" s="105"/>
      <c r="AM1608" s="6" t="e">
        <f>MATCH(D1608,'D5 - Gatekeeper - Projects'!$C$4:$C$1010,0)</f>
        <v>#N/A</v>
      </c>
      <c r="AN1608" s="6" t="b">
        <f t="shared" si="168"/>
        <v>1</v>
      </c>
      <c r="AO1608" s="6" t="str">
        <f t="shared" si="170"/>
        <v>OK</v>
      </c>
      <c r="AQ1608" s="6" t="e">
        <f>MATCH($D1608,'D4 - Provider Council Unsched'!$C$11:$C$234,0)</f>
        <v>#N/A</v>
      </c>
      <c r="AR1608" s="6" t="b">
        <f t="shared" si="169"/>
        <v>1</v>
      </c>
      <c r="AS1608" s="6" t="str">
        <f t="shared" si="175"/>
        <v>OK</v>
      </c>
      <c r="AU1608" s="202">
        <v>40802</v>
      </c>
      <c r="AV1608" s="262"/>
      <c r="AW1608" s="274"/>
    </row>
    <row r="1609" spans="1:49" s="13" customFormat="1" ht="22.5" x14ac:dyDescent="0.2">
      <c r="A1609" s="14">
        <v>1585</v>
      </c>
      <c r="B1609" s="14">
        <v>400037224</v>
      </c>
      <c r="C1609" s="8" t="s">
        <v>5614</v>
      </c>
      <c r="D1609" s="4" t="str">
        <f t="shared" si="174"/>
        <v>400037224R5</v>
      </c>
      <c r="E1609" s="309" t="str">
        <f>VLOOKUP($B1609,'D7 - NDB Impacted SPRF''s'!$E$6:$O$9929,2,FALSE)</f>
        <v xml:space="preserve">Systems of Record - Data Interface 2011 H1 </v>
      </c>
      <c r="F1609" s="8"/>
      <c r="G1609" s="8" t="s">
        <v>4758</v>
      </c>
      <c r="H1609" s="8" t="s">
        <v>4246</v>
      </c>
      <c r="I1609" s="20">
        <v>0.4</v>
      </c>
      <c r="J1609" s="8" t="s">
        <v>4862</v>
      </c>
      <c r="K1609" s="182">
        <v>40886</v>
      </c>
      <c r="L1609" s="8" t="s">
        <v>4156</v>
      </c>
      <c r="M1609" s="8" t="s">
        <v>2814</v>
      </c>
      <c r="N1609" s="38" t="s">
        <v>305</v>
      </c>
      <c r="O1609" s="8"/>
      <c r="P1609" s="4" t="str">
        <f>VLOOKUP($B1609,'D7 - NDB Impacted SPRF''s'!$E$16:$O$9929,9,FALSE)</f>
        <v>Y</v>
      </c>
      <c r="Q1609" s="4" t="str">
        <f>VLOOKUP($B1609,'D7 - NDB Impacted SPRF''s'!$E$16:$O$9929,10,FALSE)</f>
        <v>N</v>
      </c>
      <c r="R1609" s="4" t="str">
        <f>VLOOKUP($B1609,'D7 - NDB Impacted SPRF''s'!$E$16:$O$9929,11,FALSE)</f>
        <v>N</v>
      </c>
      <c r="S1609" s="8"/>
      <c r="T1609" s="310"/>
      <c r="U1609" s="310"/>
      <c r="V1609" s="4"/>
      <c r="W1609" s="4"/>
      <c r="X1609" s="4"/>
      <c r="Y1609" s="4"/>
      <c r="Z1609" s="4"/>
      <c r="AA1609" s="4"/>
      <c r="AB1609" s="380" t="str">
        <f>VLOOKUP($B1609,'D7 - NDB Impacted SPRF''s'!$E$6:$O$9929,4,FALSE)</f>
        <v>Completed</v>
      </c>
      <c r="AC1609" s="380" t="str">
        <f>VLOOKUP($B1609,'D7 - NDB Impacted SPRF''s'!$E$6:$O$9929,3,FALSE)</f>
        <v>UHG IT - Shared Services</v>
      </c>
      <c r="AD1609" s="380" t="str">
        <f>VLOOKUP($B1609,'D7 - NDB Impacted SPRF''s'!$E$6:$O$9929,5,FALSE)</f>
        <v>Strategic Initiatives</v>
      </c>
      <c r="AE1609" s="380" t="str">
        <f>VLOOKUP($B1609,'D7 - NDB Impacted SPRF''s'!$E$6:$O$9929,7,FALSE)</f>
        <v>David Albright</v>
      </c>
      <c r="AF1609" s="380" t="str">
        <f>VLOOKUP($B1609,'D7 - NDB Impacted SPRF''s'!$E$6:$O$9929,6,FALSE)</f>
        <v>Stacy Blackstad</v>
      </c>
      <c r="AG1609" s="282"/>
      <c r="AH1609" s="311" t="e">
        <f>INDEX('D5 - Gatekeeper - Projects'!$A$4:$AF$1010,$AM1609, 17)</f>
        <v>#N/A</v>
      </c>
      <c r="AI1609" s="8"/>
      <c r="AJ1609" s="57"/>
      <c r="AK1609" s="105"/>
      <c r="AM1609" s="6" t="e">
        <f>MATCH(D1609,'D5 - Gatekeeper - Projects'!$C$4:$C$1010,0)</f>
        <v>#N/A</v>
      </c>
      <c r="AN1609" s="6" t="b">
        <f t="shared" si="168"/>
        <v>1</v>
      </c>
      <c r="AO1609" s="6" t="str">
        <f t="shared" si="170"/>
        <v>OK</v>
      </c>
      <c r="AQ1609" s="6" t="e">
        <f>MATCH($D1609,'D4 - Provider Council Unsched'!$C$11:$C$234,0)</f>
        <v>#N/A</v>
      </c>
      <c r="AR1609" s="6" t="b">
        <f t="shared" si="169"/>
        <v>1</v>
      </c>
      <c r="AS1609" s="6" t="str">
        <f t="shared" si="175"/>
        <v>OK</v>
      </c>
      <c r="AU1609" s="202">
        <v>40861</v>
      </c>
      <c r="AV1609" s="262" t="s">
        <v>2752</v>
      </c>
      <c r="AW1609" s="274"/>
    </row>
    <row r="1610" spans="1:49" s="13" customFormat="1" ht="45" x14ac:dyDescent="0.2">
      <c r="A1610" s="14">
        <v>1586</v>
      </c>
      <c r="B1610" s="8">
        <v>400044755</v>
      </c>
      <c r="C1610" s="8" t="s">
        <v>7290</v>
      </c>
      <c r="D1610" s="4" t="str">
        <f t="shared" si="174"/>
        <v>400044755B</v>
      </c>
      <c r="E1610" s="309" t="str">
        <f>VLOOKUP($B1610,'D7 - NDB Impacted SPRF''s'!$E$6:$O$9929,2,FALSE)</f>
        <v>2011 EPDL KTLO Shared Provider</v>
      </c>
      <c r="F1610" s="8"/>
      <c r="G1610" s="8" t="s">
        <v>4758</v>
      </c>
      <c r="H1610" s="8" t="s">
        <v>4246</v>
      </c>
      <c r="I1610" s="20">
        <v>2.33</v>
      </c>
      <c r="J1610" s="8" t="s">
        <v>4862</v>
      </c>
      <c r="K1610" s="182">
        <v>40886</v>
      </c>
      <c r="L1610" s="8" t="s">
        <v>4156</v>
      </c>
      <c r="M1610" s="8" t="s">
        <v>2814</v>
      </c>
      <c r="N1610" s="38" t="s">
        <v>3538</v>
      </c>
      <c r="O1610" s="8"/>
      <c r="P1610" s="4" t="str">
        <f>VLOOKUP($B1610,'D7 - NDB Impacted SPRF''s'!$E$16:$O$9929,9,FALSE)</f>
        <v>N</v>
      </c>
      <c r="Q1610" s="4" t="str">
        <f>VLOOKUP($B1610,'D7 - NDB Impacted SPRF''s'!$E$16:$O$9929,10,FALSE)</f>
        <v>N</v>
      </c>
      <c r="R1610" s="4" t="str">
        <f>VLOOKUP($B1610,'D7 - NDB Impacted SPRF''s'!$E$16:$O$9929,11,FALSE)</f>
        <v>N</v>
      </c>
      <c r="S1610" s="8"/>
      <c r="T1610" s="310"/>
      <c r="U1610" s="310"/>
      <c r="V1610" s="4"/>
      <c r="W1610" s="4"/>
      <c r="X1610" s="4"/>
      <c r="Y1610" s="4"/>
      <c r="Z1610" s="4"/>
      <c r="AA1610" s="4"/>
      <c r="AB1610" s="380" t="str">
        <f>VLOOKUP($B1610,'D7 - NDB Impacted SPRF''s'!$E$6:$O$9929,4,FALSE)</f>
        <v>Completed</v>
      </c>
      <c r="AC1610" s="380" t="str">
        <f>VLOOKUP($B1610,'D7 - NDB Impacted SPRF''s'!$E$6:$O$9929,3,FALSE)</f>
        <v>UHG IT - Enterprise Technology Services</v>
      </c>
      <c r="AD1610" s="380" t="str">
        <f>VLOOKUP($B1610,'D7 - NDB Impacted SPRF''s'!$E$6:$O$9929,5,FALSE)</f>
        <v>Strategic Initiatives</v>
      </c>
      <c r="AE1610" s="380" t="str">
        <f>VLOOKUP($B1610,'D7 - NDB Impacted SPRF''s'!$E$6:$O$9929,7,FALSE)</f>
        <v>Dave Wichmann</v>
      </c>
      <c r="AF1610" s="380" t="str">
        <f>VLOOKUP($B1610,'D7 - NDB Impacted SPRF''s'!$E$6:$O$9929,6,FALSE)</f>
        <v>LINK KAREN</v>
      </c>
      <c r="AG1610" s="282"/>
      <c r="AH1610" s="311" t="e">
        <f>INDEX('D5 - Gatekeeper - Projects'!$A$4:$AF$1010,$AM1610, 17)</f>
        <v>#N/A</v>
      </c>
      <c r="AI1610" s="8"/>
      <c r="AJ1610" s="57"/>
      <c r="AK1610" s="105"/>
      <c r="AM1610" s="6" t="e">
        <f>MATCH(D1610,'D5 - Gatekeeper - Projects'!$C$4:$C$1010,0)</f>
        <v>#N/A</v>
      </c>
      <c r="AN1610" s="6" t="b">
        <f t="shared" si="168"/>
        <v>1</v>
      </c>
      <c r="AO1610" s="6" t="str">
        <f t="shared" si="170"/>
        <v>OK</v>
      </c>
      <c r="AQ1610" s="6" t="e">
        <f>MATCH($D1610,'D4 - Provider Council Unsched'!$C$11:$C$234,0)</f>
        <v>#N/A</v>
      </c>
      <c r="AR1610" s="6" t="b">
        <f t="shared" si="169"/>
        <v>1</v>
      </c>
      <c r="AS1610" s="6" t="str">
        <f t="shared" si="175"/>
        <v>OK</v>
      </c>
      <c r="AU1610" s="202">
        <v>41231</v>
      </c>
      <c r="AV1610" s="262"/>
      <c r="AW1610" s="274"/>
    </row>
    <row r="1611" spans="1:49" s="13" customFormat="1" ht="33.75" x14ac:dyDescent="0.2">
      <c r="A1611" s="14">
        <v>1587</v>
      </c>
      <c r="B1611" s="8">
        <v>400043376</v>
      </c>
      <c r="C1611" s="8" t="s">
        <v>1447</v>
      </c>
      <c r="D1611" s="4" t="str">
        <f t="shared" si="174"/>
        <v>400043376A</v>
      </c>
      <c r="E1611" s="309" t="str">
        <f>VLOOKUP($B1611,'D7 - NDB Impacted SPRF''s'!$E$6:$O$9929,2,FALSE)</f>
        <v>M&amp;R Provider Rep Migration to ISET</v>
      </c>
      <c r="F1611" s="8"/>
      <c r="G1611" s="8" t="s">
        <v>4758</v>
      </c>
      <c r="H1611" s="8" t="s">
        <v>4246</v>
      </c>
      <c r="I1611" s="20">
        <v>0.52</v>
      </c>
      <c r="J1611" s="8" t="s">
        <v>4862</v>
      </c>
      <c r="K1611" s="182">
        <v>40893</v>
      </c>
      <c r="L1611" s="8" t="s">
        <v>4156</v>
      </c>
      <c r="M1611" s="8" t="s">
        <v>5626</v>
      </c>
      <c r="N1611" s="38" t="s">
        <v>214</v>
      </c>
      <c r="O1611" s="8"/>
      <c r="P1611" s="4" t="str">
        <f>VLOOKUP($B1611,'D7 - NDB Impacted SPRF''s'!$E$16:$O$9929,9,FALSE)</f>
        <v>N</v>
      </c>
      <c r="Q1611" s="4" t="str">
        <f>VLOOKUP($B1611,'D7 - NDB Impacted SPRF''s'!$E$16:$O$9929,10,FALSE)</f>
        <v>N</v>
      </c>
      <c r="R1611" s="4" t="str">
        <f>VLOOKUP($B1611,'D7 - NDB Impacted SPRF''s'!$E$16:$O$9929,11,FALSE)</f>
        <v>N</v>
      </c>
      <c r="S1611" s="8"/>
      <c r="T1611" s="310"/>
      <c r="U1611" s="310"/>
      <c r="V1611" s="4"/>
      <c r="W1611" s="4"/>
      <c r="X1611" s="4"/>
      <c r="Y1611" s="4"/>
      <c r="Z1611" s="4"/>
      <c r="AA1611" s="4"/>
      <c r="AB1611" s="380" t="str">
        <f>VLOOKUP($B1611,'D7 - NDB Impacted SPRF''s'!$E$6:$O$9929,4,FALSE)</f>
        <v>Completed</v>
      </c>
      <c r="AC1611" s="380" t="str">
        <f>VLOOKUP($B1611,'D7 - NDB Impacted SPRF''s'!$E$6:$O$9929,3,FALSE)</f>
        <v>UnitedHealthcare Medicare &amp; Retirement</v>
      </c>
      <c r="AD1611" s="380" t="str">
        <f>VLOOKUP($B1611,'D7 - NDB Impacted SPRF''s'!$E$6:$O$9929,5,FALSE)</f>
        <v>Constituent Services</v>
      </c>
      <c r="AE1611" s="380" t="str">
        <f>VLOOKUP($B1611,'D7 - NDB Impacted SPRF''s'!$E$6:$O$9929,7,FALSE)</f>
        <v>Scott Naasz</v>
      </c>
      <c r="AF1611" s="380" t="str">
        <f>VLOOKUP($B1611,'D7 - NDB Impacted SPRF''s'!$E$6:$O$9929,6,FALSE)</f>
        <v>Chad Wege</v>
      </c>
      <c r="AG1611" s="282"/>
      <c r="AH1611" s="311" t="e">
        <f>INDEX('D5 - Gatekeeper - Projects'!$A$4:$AF$1010,$AM1611, 17)</f>
        <v>#N/A</v>
      </c>
      <c r="AI1611" s="8"/>
      <c r="AJ1611" s="57"/>
      <c r="AK1611" s="105"/>
      <c r="AM1611" s="6" t="e">
        <f>MATCH(D1611,'D5 - Gatekeeper - Projects'!$C$4:$C$1010,0)</f>
        <v>#N/A</v>
      </c>
      <c r="AN1611" s="6" t="b">
        <f t="shared" si="168"/>
        <v>1</v>
      </c>
      <c r="AO1611" s="6" t="str">
        <f t="shared" si="170"/>
        <v>OK</v>
      </c>
      <c r="AQ1611" s="6" t="e">
        <f>MATCH($D1611,'D4 - Provider Council Unsched'!$C$11:$C$234,0)</f>
        <v>#N/A</v>
      </c>
      <c r="AR1611" s="6" t="b">
        <f t="shared" si="169"/>
        <v>1</v>
      </c>
      <c r="AS1611" s="6" t="str">
        <f t="shared" si="175"/>
        <v>OK</v>
      </c>
      <c r="AU1611" s="202">
        <v>40707</v>
      </c>
      <c r="AV1611" s="262" t="s">
        <v>2304</v>
      </c>
      <c r="AW1611" s="274"/>
    </row>
    <row r="1612" spans="1:49" s="13" customFormat="1" ht="12.75" x14ac:dyDescent="0.2">
      <c r="A1612" s="14">
        <v>1588</v>
      </c>
      <c r="B1612" s="14" t="s">
        <v>3542</v>
      </c>
      <c r="C1612" s="8" t="s">
        <v>5197</v>
      </c>
      <c r="D1612" s="4" t="s">
        <v>3543</v>
      </c>
      <c r="E1612" s="341" t="s">
        <v>3544</v>
      </c>
      <c r="F1612" s="8" t="s">
        <v>2114</v>
      </c>
      <c r="G1612" s="8" t="s">
        <v>4758</v>
      </c>
      <c r="H1612" s="8" t="s">
        <v>4246</v>
      </c>
      <c r="I1612" s="20">
        <v>2.8</v>
      </c>
      <c r="J1612" s="8" t="s">
        <v>4862</v>
      </c>
      <c r="K1612" s="182">
        <v>40894</v>
      </c>
      <c r="L1612" s="8" t="s">
        <v>5743</v>
      </c>
      <c r="M1612" s="8" t="s">
        <v>2814</v>
      </c>
      <c r="N1612" s="38"/>
      <c r="O1612" s="8" t="s">
        <v>3572</v>
      </c>
      <c r="P1612" s="4" t="e">
        <f>VLOOKUP($B1612,'D7 - NDB Impacted SPRF''s'!$E$16:$O$9929,9,FALSE)</f>
        <v>#N/A</v>
      </c>
      <c r="Q1612" s="4" t="e">
        <f>VLOOKUP($B1612,'D7 - NDB Impacted SPRF''s'!$E$16:$O$9929,10,FALSE)</f>
        <v>#N/A</v>
      </c>
      <c r="R1612" s="4" t="e">
        <f>VLOOKUP($B1612,'D7 - NDB Impacted SPRF''s'!$E$16:$O$9929,11,FALSE)</f>
        <v>#N/A</v>
      </c>
      <c r="S1612" s="8"/>
      <c r="T1612" s="310"/>
      <c r="U1612" s="310"/>
      <c r="V1612" s="4"/>
      <c r="W1612" s="4"/>
      <c r="X1612" s="4"/>
      <c r="Y1612" s="4"/>
      <c r="Z1612" s="4"/>
      <c r="AA1612" s="4"/>
      <c r="AB1612" s="383" t="e">
        <f>VLOOKUP($B1612,'D7 - NDB Impacted SPRF''s'!$E$16:$O$9929,4,FALSE)</f>
        <v>#N/A</v>
      </c>
      <c r="AC1612" s="380" t="e">
        <f>VLOOKUP($B1612,'D7 - NDB Impacted SPRF''s'!$E$16:$O$9929,3,FALSE)</f>
        <v>#N/A</v>
      </c>
      <c r="AD1612" s="380" t="e">
        <f>VLOOKUP($B1612,'D7 - NDB Impacted SPRF''s'!$E$16:$O$9929,5,FALSE)</f>
        <v>#N/A</v>
      </c>
      <c r="AE1612" s="380" t="e">
        <f>VLOOKUP($B1612,'D7 - NDB Impacted SPRF''s'!$E$16:$O$9929,7,FALSE)</f>
        <v>#N/A</v>
      </c>
      <c r="AF1612" s="380" t="e">
        <f>VLOOKUP($B1612,'D7 - NDB Impacted SPRF''s'!$E$16:$O$9929,6,FALSE)</f>
        <v>#N/A</v>
      </c>
      <c r="AG1612" s="282"/>
      <c r="AH1612" s="311" t="e">
        <f>INDEX('D5 - Gatekeeper - Projects'!$A$4:$AF$1010,$AM1612, 17)</f>
        <v>#N/A</v>
      </c>
      <c r="AI1612" s="8"/>
      <c r="AJ1612" s="57"/>
      <c r="AK1612" s="105"/>
      <c r="AM1612" s="6" t="e">
        <f>MATCH(D1612,'D5 - Gatekeeper - Projects'!$C$4:$C$1010,0)</f>
        <v>#N/A</v>
      </c>
      <c r="AN1612" s="6" t="b">
        <f t="shared" si="168"/>
        <v>1</v>
      </c>
      <c r="AO1612" s="6" t="str">
        <f t="shared" si="170"/>
        <v>OK</v>
      </c>
      <c r="AQ1612" s="6" t="e">
        <f>MATCH($D1612,'D4 - Provider Council Unsched'!$C$11:$C$234,0)</f>
        <v>#N/A</v>
      </c>
      <c r="AR1612" s="6" t="b">
        <f t="shared" si="169"/>
        <v>1</v>
      </c>
      <c r="AS1612" s="6" t="str">
        <f>IF(AND(H1612="2 - Not Scheduled",AR1612=TRUE),"Add","OK")</f>
        <v>OK</v>
      </c>
      <c r="AU1612" s="202">
        <v>40870</v>
      </c>
      <c r="AV1612" s="262"/>
      <c r="AW1612" s="274"/>
    </row>
    <row r="1613" spans="1:49" s="13" customFormat="1" ht="33.75" x14ac:dyDescent="0.2">
      <c r="A1613" s="14">
        <v>1589</v>
      </c>
      <c r="B1613" s="14">
        <v>400038502</v>
      </c>
      <c r="C1613" s="8" t="s">
        <v>5197</v>
      </c>
      <c r="D1613" s="4" t="str">
        <f t="shared" ref="D1613:D1658" si="176">CONCATENATE(B1613,C1613)</f>
        <v>400038502R1</v>
      </c>
      <c r="E1613" s="309" t="str">
        <f>VLOOKUP($B1613,'D7 - NDB Impacted SPRF''s'!$E$6:$O$9929,2,FALSE)</f>
        <v>Provider File Transfer to Firstsource and Tricom</v>
      </c>
      <c r="F1613" s="8"/>
      <c r="G1613" s="8" t="s">
        <v>4758</v>
      </c>
      <c r="H1613" s="8" t="s">
        <v>4246</v>
      </c>
      <c r="I1613" s="20">
        <v>0.27</v>
      </c>
      <c r="J1613" s="8" t="s">
        <v>4862</v>
      </c>
      <c r="K1613" s="182">
        <v>40899</v>
      </c>
      <c r="L1613" s="8" t="s">
        <v>4156</v>
      </c>
      <c r="M1613" s="8" t="s">
        <v>4450</v>
      </c>
      <c r="N1613" s="38" t="s">
        <v>3545</v>
      </c>
      <c r="O1613" s="8"/>
      <c r="P1613" s="4" t="str">
        <f>VLOOKUP($B1613,'D7 - NDB Impacted SPRF''s'!$E$16:$O$9929,9,FALSE)</f>
        <v>N</v>
      </c>
      <c r="Q1613" s="4" t="str">
        <f>VLOOKUP($B1613,'D7 - NDB Impacted SPRF''s'!$E$16:$O$9929,10,FALSE)</f>
        <v>N</v>
      </c>
      <c r="R1613" s="4" t="str">
        <f>VLOOKUP($B1613,'D7 - NDB Impacted SPRF''s'!$E$16:$O$9929,11,FALSE)</f>
        <v>N</v>
      </c>
      <c r="S1613" s="8"/>
      <c r="T1613" s="310"/>
      <c r="U1613" s="310"/>
      <c r="V1613" s="4"/>
      <c r="W1613" s="4"/>
      <c r="X1613" s="4"/>
      <c r="Y1613" s="4"/>
      <c r="Z1613" s="4"/>
      <c r="AA1613" s="4"/>
      <c r="AB1613" s="380" t="str">
        <f>VLOOKUP($B1613,'D7 - NDB Impacted SPRF''s'!$E$6:$O$9929,4,FALSE)</f>
        <v>Completed</v>
      </c>
      <c r="AC1613" s="380" t="str">
        <f>VLOOKUP($B1613,'D7 - NDB Impacted SPRF''s'!$E$6:$O$9929,3,FALSE)</f>
        <v>UnitedHealthcare Employer &amp; Individual</v>
      </c>
      <c r="AD1613" s="380" t="str">
        <f>VLOOKUP($B1613,'D7 - NDB Impacted SPRF''s'!$E$6:$O$9929,5,FALSE)</f>
        <v>Operational Requirements</v>
      </c>
      <c r="AE1613" s="380" t="str">
        <f>VLOOKUP($B1613,'D7 - NDB Impacted SPRF''s'!$E$6:$O$9929,7,FALSE)</f>
        <v>Scott Powell</v>
      </c>
      <c r="AF1613" s="380" t="str">
        <f>VLOOKUP($B1613,'D7 - NDB Impacted SPRF''s'!$E$6:$O$9929,6,FALSE)</f>
        <v>JOHNSON KIMBERLY</v>
      </c>
      <c r="AG1613" s="282"/>
      <c r="AH1613" s="311" t="e">
        <f>INDEX('D5 - Gatekeeper - Projects'!$A$4:$AF$1010,$AM1613, 17)</f>
        <v>#N/A</v>
      </c>
      <c r="AI1613" s="8"/>
      <c r="AJ1613" s="57"/>
      <c r="AK1613" s="105"/>
      <c r="AM1613" s="6" t="e">
        <f>MATCH(D1613,'D5 - Gatekeeper - Projects'!$C$4:$C$1010,0)</f>
        <v>#N/A</v>
      </c>
      <c r="AN1613" s="6" t="b">
        <f t="shared" si="168"/>
        <v>1</v>
      </c>
      <c r="AO1613" s="6" t="str">
        <f t="shared" si="170"/>
        <v>OK</v>
      </c>
      <c r="AQ1613" s="6" t="e">
        <f>MATCH($D1613,'D4 - Provider Council Unsched'!$C$11:$C$234,0)</f>
        <v>#N/A</v>
      </c>
      <c r="AR1613" s="6" t="b">
        <f t="shared" si="169"/>
        <v>1</v>
      </c>
      <c r="AS1613" s="6" t="str">
        <f t="shared" ref="AS1613:AS1658" si="177">IF(AND(H1613="2 - Not Scheduled",AR1613=TRUE,C1613="R1"),"Add","OK")</f>
        <v>OK</v>
      </c>
      <c r="AU1613" s="202">
        <v>40886</v>
      </c>
      <c r="AV1613" s="262"/>
      <c r="AW1613" s="274"/>
    </row>
    <row r="1614" spans="1:49" s="13" customFormat="1" ht="56.25" x14ac:dyDescent="0.2">
      <c r="A1614" s="14">
        <v>1590</v>
      </c>
      <c r="B1614" s="8">
        <v>400038313</v>
      </c>
      <c r="C1614" s="8" t="s">
        <v>1447</v>
      </c>
      <c r="D1614" s="4" t="str">
        <f t="shared" si="176"/>
        <v>400038313A</v>
      </c>
      <c r="E1614" s="309" t="str">
        <f>VLOOKUP($B1614,'D7 - NDB Impacted SPRF''s'!$E$6:$O$9929,2,FALSE)</f>
        <v>MAHP LIVE Decommission</v>
      </c>
      <c r="F1614" s="8"/>
      <c r="G1614" s="8" t="s">
        <v>4758</v>
      </c>
      <c r="H1614" s="8" t="s">
        <v>4246</v>
      </c>
      <c r="I1614" s="20">
        <v>0.4</v>
      </c>
      <c r="J1614" s="8" t="s">
        <v>4862</v>
      </c>
      <c r="K1614" s="182">
        <v>40908</v>
      </c>
      <c r="L1614" s="8" t="s">
        <v>4156</v>
      </c>
      <c r="M1614" s="8" t="s">
        <v>5626</v>
      </c>
      <c r="N1614" s="38" t="s">
        <v>216</v>
      </c>
      <c r="O1614" s="8"/>
      <c r="P1614" s="4" t="str">
        <f>VLOOKUP($B1614,'D7 - NDB Impacted SPRF''s'!$E$16:$O$9929,9,FALSE)</f>
        <v>Y</v>
      </c>
      <c r="Q1614" s="4" t="str">
        <f>VLOOKUP($B1614,'D7 - NDB Impacted SPRF''s'!$E$16:$O$9929,10,FALSE)</f>
        <v>N</v>
      </c>
      <c r="R1614" s="4" t="str">
        <f>VLOOKUP($B1614,'D7 - NDB Impacted SPRF''s'!$E$16:$O$9929,11,FALSE)</f>
        <v>N</v>
      </c>
      <c r="S1614" s="8"/>
      <c r="T1614" s="310"/>
      <c r="U1614" s="310"/>
      <c r="V1614" s="4"/>
      <c r="W1614" s="4"/>
      <c r="X1614" s="4"/>
      <c r="Y1614" s="4"/>
      <c r="Z1614" s="4"/>
      <c r="AA1614" s="4"/>
      <c r="AB1614" s="380" t="str">
        <f>VLOOKUP($B1614,'D7 - NDB Impacted SPRF''s'!$E$6:$O$9929,4,FALSE)</f>
        <v>Scheduled</v>
      </c>
      <c r="AC1614" s="380" t="str">
        <f>VLOOKUP($B1614,'D7 - NDB Impacted SPRF''s'!$E$6:$O$9929,3,FALSE)</f>
        <v>UnitedHealthcare Employer &amp; Individual</v>
      </c>
      <c r="AD1614" s="380" t="str">
        <f>VLOOKUP($B1614,'D7 - NDB Impacted SPRF''s'!$E$6:$O$9929,5,FALSE)</f>
        <v>Integration Requirements</v>
      </c>
      <c r="AE1614" s="380" t="str">
        <f>VLOOKUP($B1614,'D7 - NDB Impacted SPRF''s'!$E$6:$O$9929,7,FALSE)</f>
        <v>Kevin Cogle</v>
      </c>
      <c r="AF1614" s="380" t="str">
        <f>VLOOKUP($B1614,'D7 - NDB Impacted SPRF''s'!$E$6:$O$9929,6,FALSE)</f>
        <v>Elizabeth Zadrozny</v>
      </c>
      <c r="AG1614" s="282"/>
      <c r="AH1614" s="311" t="e">
        <f>INDEX('D5 - Gatekeeper - Projects'!$A$4:$AF$1010,$AM1614, 17)</f>
        <v>#N/A</v>
      </c>
      <c r="AI1614" s="8"/>
      <c r="AJ1614" s="57"/>
      <c r="AK1614" s="105"/>
      <c r="AM1614" s="6" t="e">
        <f>MATCH(D1614,'D5 - Gatekeeper - Projects'!$C$4:$C$1010,0)</f>
        <v>#N/A</v>
      </c>
      <c r="AN1614" s="6" t="b">
        <f t="shared" si="168"/>
        <v>1</v>
      </c>
      <c r="AO1614" s="6" t="str">
        <f t="shared" si="170"/>
        <v>OK</v>
      </c>
      <c r="AQ1614" s="6" t="e">
        <f>MATCH($D1614,'D4 - Provider Council Unsched'!$C$11:$C$234,0)</f>
        <v>#N/A</v>
      </c>
      <c r="AR1614" s="6" t="b">
        <f t="shared" si="169"/>
        <v>1</v>
      </c>
      <c r="AS1614" s="6" t="str">
        <f t="shared" si="177"/>
        <v>OK</v>
      </c>
      <c r="AU1614" s="202">
        <v>40610</v>
      </c>
      <c r="AV1614" s="262" t="s">
        <v>2305</v>
      </c>
      <c r="AW1614" s="274" t="s">
        <v>3572</v>
      </c>
    </row>
    <row r="1615" spans="1:49" s="13" customFormat="1" ht="33.75" x14ac:dyDescent="0.2">
      <c r="A1615" s="14">
        <v>1591</v>
      </c>
      <c r="B1615" s="8">
        <v>400038388</v>
      </c>
      <c r="C1615" s="8" t="s">
        <v>5197</v>
      </c>
      <c r="D1615" s="4" t="str">
        <f t="shared" si="176"/>
        <v>400038388R1</v>
      </c>
      <c r="E1615" s="309" t="str">
        <f>VLOOKUP($B1615,'D7 - NDB Impacted SPRF''s'!$E$6:$O$9929,2,FALSE)</f>
        <v>PULSE Migration to GPS/COSMOS</v>
      </c>
      <c r="F1615" s="8"/>
      <c r="G1615" s="8" t="s">
        <v>4758</v>
      </c>
      <c r="H1615" s="8" t="s">
        <v>4246</v>
      </c>
      <c r="I1615" s="20">
        <v>0.56000000000000005</v>
      </c>
      <c r="J1615" s="8" t="s">
        <v>4862</v>
      </c>
      <c r="K1615" s="182">
        <v>40908</v>
      </c>
      <c r="L1615" s="8" t="s">
        <v>4156</v>
      </c>
      <c r="M1615" s="8" t="s">
        <v>5626</v>
      </c>
      <c r="N1615" s="38" t="s">
        <v>217</v>
      </c>
      <c r="O1615" s="8"/>
      <c r="P1615" s="4" t="str">
        <f>VLOOKUP($B1615,'D7 - NDB Impacted SPRF''s'!$E$16:$O$9929,9,FALSE)</f>
        <v>Y</v>
      </c>
      <c r="Q1615" s="4" t="str">
        <f>VLOOKUP($B1615,'D7 - NDB Impacted SPRF''s'!$E$16:$O$9929,10,FALSE)</f>
        <v>N</v>
      </c>
      <c r="R1615" s="4" t="str">
        <f>VLOOKUP($B1615,'D7 - NDB Impacted SPRF''s'!$E$16:$O$9929,11,FALSE)</f>
        <v>N</v>
      </c>
      <c r="S1615" s="8"/>
      <c r="T1615" s="310"/>
      <c r="U1615" s="310"/>
      <c r="V1615" s="4"/>
      <c r="W1615" s="4"/>
      <c r="X1615" s="4"/>
      <c r="Y1615" s="4"/>
      <c r="Z1615" s="4"/>
      <c r="AA1615" s="4"/>
      <c r="AB1615" s="380" t="str">
        <f>VLOOKUP($B1615,'D7 - NDB Impacted SPRF''s'!$E$6:$O$9929,4,FALSE)</f>
        <v>Completed</v>
      </c>
      <c r="AC1615" s="380" t="str">
        <f>VLOOKUP($B1615,'D7 - NDB Impacted SPRF''s'!$E$6:$O$9929,3,FALSE)</f>
        <v>UnitedHealthcare Medicare &amp; Retirement</v>
      </c>
      <c r="AD1615" s="380" t="str">
        <f>VLOOKUP($B1615,'D7 - NDB Impacted SPRF''s'!$E$6:$O$9929,5,FALSE)</f>
        <v>Regulatory / Other</v>
      </c>
      <c r="AE1615" s="380" t="str">
        <f>VLOOKUP($B1615,'D7 - NDB Impacted SPRF''s'!$E$6:$O$9929,7,FALSE)</f>
        <v>Debi Streb</v>
      </c>
      <c r="AF1615" s="380" t="str">
        <f>VLOOKUP($B1615,'D7 - NDB Impacted SPRF''s'!$E$6:$O$9929,6,FALSE)</f>
        <v>Jessica Tattersall</v>
      </c>
      <c r="AG1615" s="282"/>
      <c r="AH1615" s="311" t="e">
        <f>INDEX('D5 - Gatekeeper - Projects'!$A$4:$AF$1010,$AM1615, 17)</f>
        <v>#N/A</v>
      </c>
      <c r="AI1615" s="8"/>
      <c r="AJ1615" s="57"/>
      <c r="AK1615" s="105"/>
      <c r="AM1615" s="6" t="e">
        <f>MATCH(D1615,'D5 - Gatekeeper - Projects'!$C$4:$C$1010,0)</f>
        <v>#N/A</v>
      </c>
      <c r="AN1615" s="6" t="b">
        <f t="shared" si="168"/>
        <v>1</v>
      </c>
      <c r="AO1615" s="6" t="str">
        <f t="shared" si="170"/>
        <v>OK</v>
      </c>
      <c r="AQ1615" s="6" t="e">
        <f>MATCH($D1615,'D4 - Provider Council Unsched'!$C$11:$C$234,0)</f>
        <v>#N/A</v>
      </c>
      <c r="AR1615" s="6" t="b">
        <f t="shared" si="169"/>
        <v>1</v>
      </c>
      <c r="AS1615" s="6" t="str">
        <f t="shared" si="177"/>
        <v>OK</v>
      </c>
      <c r="AU1615" s="202">
        <v>40556</v>
      </c>
      <c r="AV1615" s="262" t="s">
        <v>2306</v>
      </c>
      <c r="AW1615" s="274"/>
    </row>
    <row r="1616" spans="1:49" s="13" customFormat="1" ht="33.75" x14ac:dyDescent="0.2">
      <c r="A1616" s="14">
        <v>1592</v>
      </c>
      <c r="B1616" s="8">
        <v>400039439</v>
      </c>
      <c r="C1616" s="8" t="s">
        <v>1447</v>
      </c>
      <c r="D1616" s="4" t="str">
        <f t="shared" si="176"/>
        <v>400039439A</v>
      </c>
      <c r="E1616" s="309" t="str">
        <f>VLOOKUP($B1616,'D7 - NDB Impacted SPRF''s'!$E$6:$O$9929,2,FALSE)</f>
        <v>RSA - Episode Payments</v>
      </c>
      <c r="F1616" s="8"/>
      <c r="G1616" s="8" t="s">
        <v>4758</v>
      </c>
      <c r="H1616" s="8" t="s">
        <v>4246</v>
      </c>
      <c r="I1616" s="20">
        <v>2.0299999999999998</v>
      </c>
      <c r="J1616" s="8" t="s">
        <v>4862</v>
      </c>
      <c r="K1616" s="182">
        <v>40908</v>
      </c>
      <c r="L1616" s="8" t="s">
        <v>4156</v>
      </c>
      <c r="M1616" s="8" t="s">
        <v>6688</v>
      </c>
      <c r="N1616" s="38" t="s">
        <v>7420</v>
      </c>
      <c r="O1616" s="8"/>
      <c r="P1616" s="4" t="str">
        <f>VLOOKUP($B1616,'D7 - NDB Impacted SPRF''s'!$E$16:$O$9929,9,FALSE)</f>
        <v>Y</v>
      </c>
      <c r="Q1616" s="4" t="str">
        <f>VLOOKUP($B1616,'D7 - NDB Impacted SPRF''s'!$E$16:$O$9929,10,FALSE)</f>
        <v>N</v>
      </c>
      <c r="R1616" s="4" t="str">
        <f>VLOOKUP($B1616,'D7 - NDB Impacted SPRF''s'!$E$16:$O$9929,11,FALSE)</f>
        <v>Y</v>
      </c>
      <c r="S1616" s="8"/>
      <c r="T1616" s="310"/>
      <c r="U1616" s="310"/>
      <c r="V1616" s="4"/>
      <c r="W1616" s="4"/>
      <c r="X1616" s="4"/>
      <c r="Y1616" s="4"/>
      <c r="Z1616" s="4"/>
      <c r="AA1616" s="4"/>
      <c r="AB1616" s="380" t="str">
        <f>VLOOKUP($B1616,'D7 - NDB Impacted SPRF''s'!$E$6:$O$9929,4,FALSE)</f>
        <v>Completed</v>
      </c>
      <c r="AC1616" s="380" t="str">
        <f>VLOOKUP($B1616,'D7 - NDB Impacted SPRF''s'!$E$6:$O$9929,3,FALSE)</f>
        <v>UnitedHealthcare Employer &amp; Individual</v>
      </c>
      <c r="AD1616" s="380" t="str">
        <f>VLOOKUP($B1616,'D7 - NDB Impacted SPRF''s'!$E$6:$O$9929,5,FALSE)</f>
        <v>Medical Cost Savings Programs</v>
      </c>
      <c r="AE1616" s="380" t="str">
        <f>VLOOKUP($B1616,'D7 - NDB Impacted SPRF''s'!$E$6:$O$9929,7,FALSE)</f>
        <v>Lisa McDonnel</v>
      </c>
      <c r="AF1616" s="380" t="str">
        <f>VLOOKUP($B1616,'D7 - NDB Impacted SPRF''s'!$E$6:$O$9929,6,FALSE)</f>
        <v>Chen-yuan Dumnmuh</v>
      </c>
      <c r="AG1616" s="282"/>
      <c r="AH1616" s="311" t="e">
        <f>INDEX('D5 - Gatekeeper - Projects'!$A$4:$AF$1010,$AM1616, 17)</f>
        <v>#N/A</v>
      </c>
      <c r="AI1616" s="8"/>
      <c r="AJ1616" s="57"/>
      <c r="AK1616" s="105"/>
      <c r="AM1616" s="6" t="e">
        <f>MATCH(D1616,'D5 - Gatekeeper - Projects'!$C$4:$C$1010,0)</f>
        <v>#N/A</v>
      </c>
      <c r="AN1616" s="6" t="b">
        <f t="shared" si="168"/>
        <v>1</v>
      </c>
      <c r="AO1616" s="6" t="str">
        <f t="shared" si="170"/>
        <v>OK</v>
      </c>
      <c r="AQ1616" s="6" t="e">
        <f>MATCH($D1616,'D4 - Provider Council Unsched'!$C$11:$C$234,0)</f>
        <v>#N/A</v>
      </c>
      <c r="AR1616" s="6" t="b">
        <f t="shared" si="169"/>
        <v>1</v>
      </c>
      <c r="AS1616" s="6" t="str">
        <f t="shared" si="177"/>
        <v>OK</v>
      </c>
      <c r="AU1616" s="202">
        <v>40549</v>
      </c>
      <c r="AV1616" s="262"/>
      <c r="AW1616" s="274"/>
    </row>
    <row r="1617" spans="1:49" s="13" customFormat="1" ht="33.75" x14ac:dyDescent="0.2">
      <c r="A1617" s="14">
        <v>1593</v>
      </c>
      <c r="B1617" s="8">
        <v>400040729</v>
      </c>
      <c r="C1617" s="8" t="s">
        <v>7290</v>
      </c>
      <c r="D1617" s="4" t="str">
        <f t="shared" si="176"/>
        <v>400040729B</v>
      </c>
      <c r="E1617" s="309" t="str">
        <f>VLOOKUP($B1617,'D7 - NDB Impacted SPRF''s'!$E$6:$O$9929,2,FALSE)</f>
        <v>HIPAA 5010 CMS 25 Occurrences E&amp;I</v>
      </c>
      <c r="F1617" s="8"/>
      <c r="G1617" s="8" t="s">
        <v>4758</v>
      </c>
      <c r="H1617" s="8" t="s">
        <v>4246</v>
      </c>
      <c r="I1617" s="20">
        <v>0.27</v>
      </c>
      <c r="J1617" s="8" t="s">
        <v>4862</v>
      </c>
      <c r="K1617" s="182">
        <v>40908</v>
      </c>
      <c r="L1617" s="8" t="s">
        <v>4156</v>
      </c>
      <c r="M1617" s="8" t="s">
        <v>5626</v>
      </c>
      <c r="N1617" s="38" t="s">
        <v>218</v>
      </c>
      <c r="O1617" s="8"/>
      <c r="P1617" s="4" t="str">
        <f>VLOOKUP($B1617,'D7 - NDB Impacted SPRF''s'!$E$16:$O$9929,9,FALSE)</f>
        <v>Y</v>
      </c>
      <c r="Q1617" s="4" t="str">
        <f>VLOOKUP($B1617,'D7 - NDB Impacted SPRF''s'!$E$16:$O$9929,10,FALSE)</f>
        <v>N</v>
      </c>
      <c r="R1617" s="4" t="str">
        <f>VLOOKUP($B1617,'D7 - NDB Impacted SPRF''s'!$E$16:$O$9929,11,FALSE)</f>
        <v>Y</v>
      </c>
      <c r="S1617" s="8"/>
      <c r="T1617" s="310"/>
      <c r="U1617" s="310"/>
      <c r="V1617" s="4"/>
      <c r="W1617" s="4"/>
      <c r="X1617" s="4"/>
      <c r="Y1617" s="4"/>
      <c r="Z1617" s="4"/>
      <c r="AA1617" s="4"/>
      <c r="AB1617" s="380" t="str">
        <f>VLOOKUP($B1617,'D7 - NDB Impacted SPRF''s'!$E$6:$O$9929,4,FALSE)</f>
        <v>Completed</v>
      </c>
      <c r="AC1617" s="380" t="str">
        <f>VLOOKUP($B1617,'D7 - NDB Impacted SPRF''s'!$E$6:$O$9929,3,FALSE)</f>
        <v>UnitedHealthcare Employer &amp; Individual</v>
      </c>
      <c r="AD1617" s="380" t="str">
        <f>VLOOKUP($B1617,'D7 - NDB Impacted SPRF''s'!$E$6:$O$9929,5,FALSE)</f>
        <v>HIPAA 5010</v>
      </c>
      <c r="AE1617" s="380" t="str">
        <f>VLOOKUP($B1617,'D7 - NDB Impacted SPRF''s'!$E$6:$O$9929,7,FALSE)</f>
        <v>Tim Kaja</v>
      </c>
      <c r="AF1617" s="380" t="str">
        <f>VLOOKUP($B1617,'D7 - NDB Impacted SPRF''s'!$E$6:$O$9929,6,FALSE)</f>
        <v>Sherry Galetka</v>
      </c>
      <c r="AG1617" s="282"/>
      <c r="AH1617" s="311" t="e">
        <f>INDEX('D5 - Gatekeeper - Projects'!$A$4:$AF$1010,$AM1617, 17)</f>
        <v>#N/A</v>
      </c>
      <c r="AI1617" s="8"/>
      <c r="AJ1617" s="57"/>
      <c r="AK1617" s="105"/>
      <c r="AM1617" s="6" t="e">
        <f>MATCH(D1617,'D5 - Gatekeeper - Projects'!$C$4:$C$1010,0)</f>
        <v>#N/A</v>
      </c>
      <c r="AN1617" s="6" t="b">
        <f t="shared" ref="AN1617:AN1680" si="178">ISERROR(AM1617)</f>
        <v>1</v>
      </c>
      <c r="AO1617" s="6" t="str">
        <f t="shared" si="170"/>
        <v>OK</v>
      </c>
      <c r="AQ1617" s="6" t="e">
        <f>MATCH($D1617,'D4 - Provider Council Unsched'!$C$11:$C$234,0)</f>
        <v>#N/A</v>
      </c>
      <c r="AR1617" s="6" t="b">
        <f t="shared" ref="AR1617:AR1680" si="179">ISERROR(AQ1617)</f>
        <v>1</v>
      </c>
      <c r="AS1617" s="6" t="str">
        <f t="shared" si="177"/>
        <v>OK</v>
      </c>
      <c r="AU1617" s="202">
        <v>40851</v>
      </c>
      <c r="AV1617" s="262"/>
      <c r="AW1617" s="274"/>
    </row>
    <row r="1618" spans="1:49" s="13" customFormat="1" ht="33.75" x14ac:dyDescent="0.2">
      <c r="A1618" s="14">
        <v>1594</v>
      </c>
      <c r="B1618" s="8">
        <v>400042058</v>
      </c>
      <c r="C1618" s="8" t="s">
        <v>1447</v>
      </c>
      <c r="D1618" s="4" t="str">
        <f t="shared" si="176"/>
        <v>400042058A</v>
      </c>
      <c r="E1618" s="309" t="str">
        <f>VLOOKUP($B1618,'D7 - NDB Impacted SPRF''s'!$E$6:$O$9929,2,FALSE)</f>
        <v>2011 NDB Provider Pick Research Analysis Only</v>
      </c>
      <c r="F1618" s="8"/>
      <c r="G1618" s="8" t="s">
        <v>4758</v>
      </c>
      <c r="H1618" s="8" t="s">
        <v>4246</v>
      </c>
      <c r="I1618" s="20">
        <v>0.99</v>
      </c>
      <c r="J1618" s="8" t="s">
        <v>4862</v>
      </c>
      <c r="K1618" s="182">
        <v>40908</v>
      </c>
      <c r="L1618" s="8" t="s">
        <v>4156</v>
      </c>
      <c r="M1618" s="8" t="s">
        <v>6007</v>
      </c>
      <c r="N1618" s="38" t="s">
        <v>2039</v>
      </c>
      <c r="O1618" s="8"/>
      <c r="P1618" s="4" t="str">
        <f>VLOOKUP($B1618,'D7 - NDB Impacted SPRF''s'!$E$16:$O$9929,9,FALSE)</f>
        <v>N</v>
      </c>
      <c r="Q1618" s="4" t="str">
        <f>VLOOKUP($B1618,'D7 - NDB Impacted SPRF''s'!$E$16:$O$9929,10,FALSE)</f>
        <v>N</v>
      </c>
      <c r="R1618" s="4" t="str">
        <f>VLOOKUP($B1618,'D7 - NDB Impacted SPRF''s'!$E$16:$O$9929,11,FALSE)</f>
        <v>N</v>
      </c>
      <c r="S1618" s="8"/>
      <c r="T1618" s="310"/>
      <c r="U1618" s="310"/>
      <c r="V1618" s="4"/>
      <c r="W1618" s="4"/>
      <c r="X1618" s="4"/>
      <c r="Y1618" s="4"/>
      <c r="Z1618" s="4"/>
      <c r="AA1618" s="4"/>
      <c r="AB1618" s="380" t="str">
        <f>VLOOKUP($B1618,'D7 - NDB Impacted SPRF''s'!$E$6:$O$9929,4,FALSE)</f>
        <v>Completed</v>
      </c>
      <c r="AC1618" s="380" t="s">
        <v>5324</v>
      </c>
      <c r="AD1618" s="380" t="str">
        <f>VLOOKUP($B1618,'D7 - NDB Impacted SPRF''s'!$E$6:$O$9929,5,FALSE)</f>
        <v>Operational Requirements</v>
      </c>
      <c r="AE1618" s="380" t="str">
        <f>VLOOKUP($B1618,'D7 - NDB Impacted SPRF''s'!$E$6:$O$9929,7,FALSE)</f>
        <v>Karen Davezac</v>
      </c>
      <c r="AF1618" s="380" t="str">
        <f>VLOOKUP($B1618,'D7 - NDB Impacted SPRF''s'!$E$6:$O$9929,6,FALSE)</f>
        <v>Brenda Colwill</v>
      </c>
      <c r="AG1618" s="282"/>
      <c r="AH1618" s="311" t="e">
        <f>INDEX('D5 - Gatekeeper - Projects'!$A$4:$AF$1010,$AM1618, 17)</f>
        <v>#N/A</v>
      </c>
      <c r="AI1618" s="8"/>
      <c r="AJ1618" s="57"/>
      <c r="AK1618" s="105"/>
      <c r="AM1618" s="6" t="e">
        <f>MATCH(D1618,'D5 - Gatekeeper - Projects'!$C$4:$C$1010,0)</f>
        <v>#N/A</v>
      </c>
      <c r="AN1618" s="6" t="b">
        <f t="shared" si="178"/>
        <v>1</v>
      </c>
      <c r="AO1618" s="6" t="str">
        <f t="shared" ref="AO1618:AO1681" si="180">IF(AND(H1618="1 - Scheduled",AN1618=TRUE),"Add","OK")</f>
        <v>OK</v>
      </c>
      <c r="AQ1618" s="6" t="e">
        <f>MATCH($D1618,'D4 - Provider Council Unsched'!$C$11:$C$234,0)</f>
        <v>#N/A</v>
      </c>
      <c r="AR1618" s="6" t="b">
        <f t="shared" si="179"/>
        <v>1</v>
      </c>
      <c r="AS1618" s="6" t="str">
        <f t="shared" si="177"/>
        <v>OK</v>
      </c>
      <c r="AU1618" s="202">
        <v>40631</v>
      </c>
      <c r="AV1618" s="262" t="s">
        <v>2303</v>
      </c>
      <c r="AW1618" s="274"/>
    </row>
    <row r="1619" spans="1:49" s="13" customFormat="1" ht="33.75" x14ac:dyDescent="0.2">
      <c r="A1619" s="14">
        <v>1595</v>
      </c>
      <c r="B1619" s="8">
        <v>400045746</v>
      </c>
      <c r="C1619" s="8" t="s">
        <v>1447</v>
      </c>
      <c r="D1619" s="4" t="str">
        <f t="shared" si="176"/>
        <v>400045746A</v>
      </c>
      <c r="E1619" s="309" t="str">
        <f>VLOOKUP($B1619,'D7 - NDB Impacted SPRF''s'!$E$6:$O$9929,2,FALSE)</f>
        <v xml:space="preserve">HPHC Platform Based Joint Venture </v>
      </c>
      <c r="F1619" s="8"/>
      <c r="G1619" s="8" t="s">
        <v>4758</v>
      </c>
      <c r="H1619" s="8" t="s">
        <v>4246</v>
      </c>
      <c r="I1619" s="20">
        <v>0.54</v>
      </c>
      <c r="J1619" s="8" t="s">
        <v>4862</v>
      </c>
      <c r="K1619" s="182">
        <v>40908</v>
      </c>
      <c r="L1619" s="8" t="s">
        <v>4156</v>
      </c>
      <c r="M1619" s="8" t="s">
        <v>6688</v>
      </c>
      <c r="N1619" s="38" t="s">
        <v>6248</v>
      </c>
      <c r="O1619" s="8"/>
      <c r="P1619" s="4" t="str">
        <f>VLOOKUP($B1619,'D7 - NDB Impacted SPRF''s'!$E$16:$O$9929,9,FALSE)</f>
        <v>N</v>
      </c>
      <c r="Q1619" s="4" t="str">
        <f>VLOOKUP($B1619,'D7 - NDB Impacted SPRF''s'!$E$16:$O$9929,10,FALSE)</f>
        <v>N</v>
      </c>
      <c r="R1619" s="4" t="str">
        <f>VLOOKUP($B1619,'D7 - NDB Impacted SPRF''s'!$E$16:$O$9929,11,FALSE)</f>
        <v>Y</v>
      </c>
      <c r="S1619" s="8"/>
      <c r="T1619" s="310"/>
      <c r="U1619" s="310"/>
      <c r="V1619" s="4"/>
      <c r="W1619" s="4"/>
      <c r="X1619" s="4"/>
      <c r="Y1619" s="4"/>
      <c r="Z1619" s="4"/>
      <c r="AA1619" s="4"/>
      <c r="AB1619" s="380" t="str">
        <f>VLOOKUP($B1619,'D7 - NDB Impacted SPRF''s'!$E$6:$O$9929,4,FALSE)</f>
        <v>Scheduled</v>
      </c>
      <c r="AC1619" s="380" t="str">
        <f>VLOOKUP($B1619,'D7 - NDB Impacted SPRF''s'!$E$6:$O$9929,3,FALSE)</f>
        <v>UnitedHealthcare Employer &amp; Individual</v>
      </c>
      <c r="AD1619" s="380" t="str">
        <f>VLOOKUP($B1619,'D7 - NDB Impacted SPRF''s'!$E$6:$O$9929,5,FALSE)</f>
        <v>Membership Growth / Revenue Programs</v>
      </c>
      <c r="AE1619" s="380" t="str">
        <f>VLOOKUP($B1619,'D7 - NDB Impacted SPRF''s'!$E$6:$O$9929,7,FALSE)</f>
        <v>Pam Stegora-Axberg</v>
      </c>
      <c r="AF1619" s="380" t="str">
        <f>VLOOKUP($B1619,'D7 - NDB Impacted SPRF''s'!$E$6:$O$9929,6,FALSE)</f>
        <v>Ryan Anderson</v>
      </c>
      <c r="AG1619" s="282"/>
      <c r="AH1619" s="311" t="e">
        <f>INDEX('D5 - Gatekeeper - Projects'!$A$4:$AF$1010,$AM1619, 17)</f>
        <v>#N/A</v>
      </c>
      <c r="AI1619" s="8"/>
      <c r="AJ1619" s="57"/>
      <c r="AK1619" s="105"/>
      <c r="AM1619" s="6" t="e">
        <f>MATCH(D1619,'D5 - Gatekeeper - Projects'!$C$4:$C$1010,0)</f>
        <v>#N/A</v>
      </c>
      <c r="AN1619" s="6" t="b">
        <f t="shared" si="178"/>
        <v>1</v>
      </c>
      <c r="AO1619" s="6" t="str">
        <f t="shared" si="180"/>
        <v>OK</v>
      </c>
      <c r="AQ1619" s="6" t="e">
        <f>MATCH($D1619,'D4 - Provider Council Unsched'!$C$11:$C$234,0)</f>
        <v>#N/A</v>
      </c>
      <c r="AR1619" s="6" t="b">
        <f t="shared" si="179"/>
        <v>1</v>
      </c>
      <c r="AS1619" s="6" t="str">
        <f t="shared" si="177"/>
        <v>OK</v>
      </c>
      <c r="AU1619" s="202">
        <v>40851</v>
      </c>
      <c r="AV1619" s="262" t="s">
        <v>930</v>
      </c>
      <c r="AW1619" s="274"/>
    </row>
    <row r="1620" spans="1:49" s="13" customFormat="1" ht="33.75" x14ac:dyDescent="0.2">
      <c r="A1620" s="14">
        <v>1596</v>
      </c>
      <c r="B1620" s="8">
        <v>400048113</v>
      </c>
      <c r="C1620" s="8" t="s">
        <v>1447</v>
      </c>
      <c r="D1620" s="4" t="str">
        <f t="shared" si="176"/>
        <v>400048113A</v>
      </c>
      <c r="E1620" s="309" t="str">
        <f>VLOOKUP($B1620,'D7 - NDB Impacted SPRF''s'!$E$6:$O$9929,2,FALSE)</f>
        <v>RSA Solutions Analysis for Fractional Mileage</v>
      </c>
      <c r="F1620" s="8"/>
      <c r="G1620" s="8" t="s">
        <v>4758</v>
      </c>
      <c r="H1620" s="8" t="s">
        <v>4246</v>
      </c>
      <c r="I1620" s="20">
        <v>0.93</v>
      </c>
      <c r="J1620" s="8" t="s">
        <v>4862</v>
      </c>
      <c r="K1620" s="182">
        <v>40908</v>
      </c>
      <c r="L1620" s="8" t="s">
        <v>4156</v>
      </c>
      <c r="M1620" s="8" t="s">
        <v>6688</v>
      </c>
      <c r="N1620" s="38" t="s">
        <v>2256</v>
      </c>
      <c r="O1620" s="8"/>
      <c r="P1620" s="4" t="str">
        <f>VLOOKUP($B1620,'D7 - NDB Impacted SPRF''s'!$E$16:$O$9929,9,FALSE)</f>
        <v>N</v>
      </c>
      <c r="Q1620" s="4" t="str">
        <f>VLOOKUP($B1620,'D7 - NDB Impacted SPRF''s'!$E$16:$O$9929,10,FALSE)</f>
        <v>N</v>
      </c>
      <c r="R1620" s="4" t="str">
        <f>VLOOKUP($B1620,'D7 - NDB Impacted SPRF''s'!$E$16:$O$9929,11,FALSE)</f>
        <v>Y</v>
      </c>
      <c r="S1620" s="8"/>
      <c r="T1620" s="310"/>
      <c r="U1620" s="310"/>
      <c r="V1620" s="4"/>
      <c r="W1620" s="4"/>
      <c r="X1620" s="4"/>
      <c r="Y1620" s="4"/>
      <c r="Z1620" s="4"/>
      <c r="AA1620" s="4"/>
      <c r="AB1620" s="380" t="str">
        <f>VLOOKUP($B1620,'D7 - NDB Impacted SPRF''s'!$E$6:$O$9929,4,FALSE)</f>
        <v>Completed</v>
      </c>
      <c r="AC1620" s="380" t="str">
        <f>VLOOKUP($B1620,'D7 - NDB Impacted SPRF''s'!$E$6:$O$9929,3,FALSE)</f>
        <v>UnitedHealthcare Medicare &amp; Retirement</v>
      </c>
      <c r="AD1620" s="380" t="str">
        <f>VLOOKUP($B1620,'D7 - NDB Impacted SPRF''s'!$E$6:$O$9929,5,FALSE)</f>
        <v>Medical Cost Savings Programs</v>
      </c>
      <c r="AE1620" s="380" t="str">
        <f>VLOOKUP($B1620,'D7 - NDB Impacted SPRF''s'!$E$6:$O$9929,7,FALSE)</f>
        <v>Susan Gamache</v>
      </c>
      <c r="AF1620" s="380" t="str">
        <f>VLOOKUP($B1620,'D7 - NDB Impacted SPRF''s'!$E$6:$O$9929,6,FALSE)</f>
        <v>Brian Schimke</v>
      </c>
      <c r="AG1620" s="282"/>
      <c r="AH1620" s="311" t="e">
        <f>INDEX('D5 - Gatekeeper - Projects'!$A$4:$AF$1010,$AM1620, 17)</f>
        <v>#N/A</v>
      </c>
      <c r="AI1620" s="8"/>
      <c r="AJ1620" s="57"/>
      <c r="AK1620" s="105"/>
      <c r="AM1620" s="6" t="e">
        <f>MATCH(D1620,'D5 - Gatekeeper - Projects'!$C$4:$C$1010,0)</f>
        <v>#N/A</v>
      </c>
      <c r="AN1620" s="6" t="b">
        <f t="shared" si="178"/>
        <v>1</v>
      </c>
      <c r="AO1620" s="6" t="str">
        <f t="shared" si="180"/>
        <v>OK</v>
      </c>
      <c r="AQ1620" s="6" t="e">
        <f>MATCH($D1620,'D4 - Provider Council Unsched'!$C$11:$C$234,0)</f>
        <v>#N/A</v>
      </c>
      <c r="AR1620" s="6" t="b">
        <f t="shared" si="179"/>
        <v>1</v>
      </c>
      <c r="AS1620" s="6" t="str">
        <f t="shared" si="177"/>
        <v>OK</v>
      </c>
      <c r="AU1620" s="202"/>
      <c r="AV1620" s="262"/>
      <c r="AW1620" s="274"/>
    </row>
    <row r="1621" spans="1:49" s="13" customFormat="1" ht="22.5" x14ac:dyDescent="0.2">
      <c r="A1621" s="14">
        <v>1597</v>
      </c>
      <c r="B1621" s="8">
        <v>400048397</v>
      </c>
      <c r="C1621" s="8" t="s">
        <v>1447</v>
      </c>
      <c r="D1621" s="4" t="str">
        <f t="shared" si="176"/>
        <v>400048397A</v>
      </c>
      <c r="E1621" s="309" t="str">
        <f>VLOOKUP($B1621,'D7 - NDB Impacted SPRF''s'!$E$6:$O$9929,2,FALSE)</f>
        <v xml:space="preserve">UDW Strategic Sourcing Planning </v>
      </c>
      <c r="F1621" s="8"/>
      <c r="G1621" s="8" t="s">
        <v>4758</v>
      </c>
      <c r="H1621" s="8" t="s">
        <v>4246</v>
      </c>
      <c r="I1621" s="20">
        <v>1</v>
      </c>
      <c r="J1621" s="8" t="s">
        <v>4862</v>
      </c>
      <c r="K1621" s="182">
        <v>40908</v>
      </c>
      <c r="L1621" s="8" t="s">
        <v>4156</v>
      </c>
      <c r="M1621" s="8" t="s">
        <v>6688</v>
      </c>
      <c r="N1621" s="38" t="s">
        <v>794</v>
      </c>
      <c r="O1621" s="8"/>
      <c r="P1621" s="4" t="str">
        <f>VLOOKUP($B1621,'D7 - NDB Impacted SPRF''s'!$E$16:$O$9929,9,FALSE)</f>
        <v>N</v>
      </c>
      <c r="Q1621" s="4" t="str">
        <f>VLOOKUP($B1621,'D7 - NDB Impacted SPRF''s'!$E$16:$O$9929,10,FALSE)</f>
        <v>N</v>
      </c>
      <c r="R1621" s="4" t="str">
        <f>VLOOKUP($B1621,'D7 - NDB Impacted SPRF''s'!$E$16:$O$9929,11,FALSE)</f>
        <v>N</v>
      </c>
      <c r="S1621" s="8"/>
      <c r="T1621" s="310"/>
      <c r="U1621" s="310"/>
      <c r="V1621" s="4"/>
      <c r="W1621" s="4"/>
      <c r="X1621" s="4"/>
      <c r="Y1621" s="4"/>
      <c r="Z1621" s="4"/>
      <c r="AA1621" s="4"/>
      <c r="AB1621" s="380" t="str">
        <f>VLOOKUP($B1621,'D7 - NDB Impacted SPRF''s'!$E$6:$O$9929,4,FALSE)</f>
        <v>Completed</v>
      </c>
      <c r="AC1621" s="380" t="str">
        <f>VLOOKUP($B1621,'D7 - NDB Impacted SPRF''s'!$E$6:$O$9929,3,FALSE)</f>
        <v>UHG IT - Shared Services</v>
      </c>
      <c r="AD1621" s="380" t="str">
        <f>VLOOKUP($B1621,'D7 - NDB Impacted SPRF''s'!$E$6:$O$9929,5,FALSE)</f>
        <v>Strategic Initiatives</v>
      </c>
      <c r="AE1621" s="380" t="str">
        <f>VLOOKUP($B1621,'D7 - NDB Impacted SPRF''s'!$E$6:$O$9929,7,FALSE)</f>
        <v>David Albright</v>
      </c>
      <c r="AF1621" s="380" t="str">
        <f>VLOOKUP($B1621,'D7 - NDB Impacted SPRF''s'!$E$6:$O$9929,6,FALSE)</f>
        <v>Stacy Blackstad</v>
      </c>
      <c r="AG1621" s="282"/>
      <c r="AH1621" s="311" t="e">
        <f>INDEX('D5 - Gatekeeper - Projects'!$A$4:$AF$1010,$AM1621, 17)</f>
        <v>#N/A</v>
      </c>
      <c r="AI1621" s="8"/>
      <c r="AJ1621" s="57"/>
      <c r="AK1621" s="105"/>
      <c r="AM1621" s="6" t="e">
        <f>MATCH(D1621,'D5 - Gatekeeper - Projects'!$C$4:$C$1010,0)</f>
        <v>#N/A</v>
      </c>
      <c r="AN1621" s="6" t="b">
        <f t="shared" si="178"/>
        <v>1</v>
      </c>
      <c r="AO1621" s="6" t="str">
        <f t="shared" si="180"/>
        <v>OK</v>
      </c>
      <c r="AQ1621" s="6" t="e">
        <f>MATCH($D1621,'D4 - Provider Council Unsched'!$C$11:$C$234,0)</f>
        <v>#N/A</v>
      </c>
      <c r="AR1621" s="6" t="b">
        <f t="shared" si="179"/>
        <v>1</v>
      </c>
      <c r="AS1621" s="6" t="str">
        <f t="shared" si="177"/>
        <v>OK</v>
      </c>
      <c r="AU1621" s="202"/>
      <c r="AV1621" s="262"/>
      <c r="AW1621" s="274"/>
    </row>
    <row r="1622" spans="1:49" s="13" customFormat="1" ht="33.75" x14ac:dyDescent="0.2">
      <c r="A1622" s="14">
        <v>1598</v>
      </c>
      <c r="B1622" s="8">
        <v>400046661</v>
      </c>
      <c r="C1622" s="8" t="s">
        <v>1447</v>
      </c>
      <c r="D1622" s="4" t="str">
        <f t="shared" si="176"/>
        <v>400046661A</v>
      </c>
      <c r="E1622" s="309" t="str">
        <f>VLOOKUP($B1622,'D7 - NDB Impacted SPRF''s'!$E$6:$O$9929,2,FALSE)</f>
        <v>NDB One shot to update HIPAA version for OI 835's</v>
      </c>
      <c r="F1622" s="8"/>
      <c r="G1622" s="8" t="s">
        <v>4758</v>
      </c>
      <c r="H1622" s="8" t="s">
        <v>4246</v>
      </c>
      <c r="I1622" s="20">
        <v>1.05</v>
      </c>
      <c r="J1622" s="8" t="s">
        <v>4862</v>
      </c>
      <c r="K1622" s="182">
        <v>40911</v>
      </c>
      <c r="L1622" s="8" t="s">
        <v>4156</v>
      </c>
      <c r="M1622" s="8" t="s">
        <v>6007</v>
      </c>
      <c r="N1622" s="38"/>
      <c r="O1622" s="8"/>
      <c r="P1622" s="4" t="str">
        <f>VLOOKUP($B1622,'D7 - NDB Impacted SPRF''s'!$E$16:$O$9929,9,FALSE)</f>
        <v>N</v>
      </c>
      <c r="Q1622" s="4" t="str">
        <f>VLOOKUP($B1622,'D7 - NDB Impacted SPRF''s'!$E$16:$O$9929,10,FALSE)</f>
        <v>N</v>
      </c>
      <c r="R1622" s="4" t="str">
        <f>VLOOKUP($B1622,'D7 - NDB Impacted SPRF''s'!$E$16:$O$9929,11,FALSE)</f>
        <v>N</v>
      </c>
      <c r="S1622" s="8"/>
      <c r="T1622" s="310"/>
      <c r="U1622" s="310"/>
      <c r="V1622" s="4"/>
      <c r="W1622" s="4"/>
      <c r="X1622" s="4"/>
      <c r="Y1622" s="4"/>
      <c r="Z1622" s="4"/>
      <c r="AA1622" s="4"/>
      <c r="AB1622" s="380" t="str">
        <f>VLOOKUP($B1622,'D7 - NDB Impacted SPRF''s'!$E$6:$O$9929,4,FALSE)</f>
        <v>Completed</v>
      </c>
      <c r="AC1622" s="380" t="str">
        <f>VLOOKUP($B1622,'D7 - NDB Impacted SPRF''s'!$E$6:$O$9929,3,FALSE)</f>
        <v>UnitedHealthcare Employer &amp; Individual</v>
      </c>
      <c r="AD1622" s="380" t="str">
        <f>VLOOKUP($B1622,'D7 - NDB Impacted SPRF''s'!$E$6:$O$9929,5,FALSE)</f>
        <v>HIPAA 5010</v>
      </c>
      <c r="AE1622" s="380" t="str">
        <f>VLOOKUP($B1622,'D7 - NDB Impacted SPRF''s'!$E$6:$O$9929,7,FALSE)</f>
        <v>Ross Lippincott</v>
      </c>
      <c r="AF1622" s="380" t="str">
        <f>VLOOKUP($B1622,'D7 - NDB Impacted SPRF''s'!$E$6:$O$9929,6,FALSE)</f>
        <v>Delvis Schilling</v>
      </c>
      <c r="AG1622" s="282"/>
      <c r="AH1622" s="311" t="e">
        <f>INDEX('D5 - Gatekeeper - Projects'!$A$4:$AF$1010,$AM1622, 17)</f>
        <v>#N/A</v>
      </c>
      <c r="AI1622" s="8"/>
      <c r="AJ1622" s="57"/>
      <c r="AK1622" s="105"/>
      <c r="AM1622" s="6" t="e">
        <f>MATCH(D1622,'D5 - Gatekeeper - Projects'!$C$4:$C$1010,0)</f>
        <v>#N/A</v>
      </c>
      <c r="AN1622" s="6" t="b">
        <f t="shared" si="178"/>
        <v>1</v>
      </c>
      <c r="AO1622" s="6" t="str">
        <f t="shared" si="180"/>
        <v>OK</v>
      </c>
      <c r="AQ1622" s="6" t="e">
        <f>MATCH($D1622,'D4 - Provider Council Unsched'!$C$11:$C$234,0)</f>
        <v>#N/A</v>
      </c>
      <c r="AR1622" s="6" t="b">
        <f t="shared" si="179"/>
        <v>1</v>
      </c>
      <c r="AS1622" s="6" t="str">
        <f t="shared" si="177"/>
        <v>OK</v>
      </c>
      <c r="AU1622" s="202">
        <v>40816</v>
      </c>
      <c r="AV1622" s="262"/>
      <c r="AW1622" s="274"/>
    </row>
    <row r="1623" spans="1:49" s="13" customFormat="1" ht="45" x14ac:dyDescent="0.2">
      <c r="A1623" s="14">
        <v>1599</v>
      </c>
      <c r="B1623" s="8">
        <v>400045842</v>
      </c>
      <c r="C1623" s="8" t="s">
        <v>1447</v>
      </c>
      <c r="D1623" s="4" t="str">
        <f t="shared" si="176"/>
        <v>400045842A</v>
      </c>
      <c r="E1623" s="309" t="str">
        <f>VLOOKUP($B1623,'D7 - NDB Impacted SPRF''s'!$E$6:$O$9929,2,FALSE)</f>
        <v>TX 2011-2012 RFP implementation</v>
      </c>
      <c r="F1623" s="8"/>
      <c r="G1623" s="8" t="s">
        <v>4758</v>
      </c>
      <c r="H1623" s="8" t="s">
        <v>4246</v>
      </c>
      <c r="I1623" s="20">
        <v>1.9</v>
      </c>
      <c r="J1623" s="8" t="s">
        <v>4862</v>
      </c>
      <c r="K1623" s="182">
        <v>40934</v>
      </c>
      <c r="L1623" s="8" t="s">
        <v>4156</v>
      </c>
      <c r="M1623" s="8" t="s">
        <v>3598</v>
      </c>
      <c r="N1623" s="38" t="s">
        <v>2756</v>
      </c>
      <c r="O1623" s="8"/>
      <c r="P1623" s="4" t="str">
        <f>VLOOKUP($B1623,'D7 - NDB Impacted SPRF''s'!$E$16:$O$9929,9,FALSE)</f>
        <v>N</v>
      </c>
      <c r="Q1623" s="4" t="str">
        <f>VLOOKUP($B1623,'D7 - NDB Impacted SPRF''s'!$E$16:$O$9929,10,FALSE)</f>
        <v>N</v>
      </c>
      <c r="R1623" s="4" t="str">
        <f>VLOOKUP($B1623,'D7 - NDB Impacted SPRF''s'!$E$16:$O$9929,11,FALSE)</f>
        <v>Y</v>
      </c>
      <c r="S1623" s="8"/>
      <c r="T1623" s="310"/>
      <c r="U1623" s="310"/>
      <c r="V1623" s="4"/>
      <c r="W1623" s="4"/>
      <c r="X1623" s="4"/>
      <c r="Y1623" s="4"/>
      <c r="Z1623" s="4"/>
      <c r="AA1623" s="4"/>
      <c r="AB1623" s="380" t="str">
        <f>VLOOKUP($B1623,'D7 - NDB Impacted SPRF''s'!$E$6:$O$9929,4,FALSE)</f>
        <v>Completed</v>
      </c>
      <c r="AC1623" s="380" t="str">
        <f>VLOOKUP($B1623,'D7 - NDB Impacted SPRF''s'!$E$6:$O$9929,3,FALSE)</f>
        <v>UnitedHealthcare Community &amp; State</v>
      </c>
      <c r="AD1623" s="380" t="str">
        <f>VLOOKUP($B1623,'D7 - NDB Impacted SPRF''s'!$E$6:$O$9929,5,FALSE)</f>
        <v>Membership Growth / Revenue Programs</v>
      </c>
      <c r="AE1623" s="380" t="str">
        <f>VLOOKUP($B1623,'D7 - NDB Impacted SPRF''s'!$E$6:$O$9929,7,FALSE)</f>
        <v xml:space="preserve"> Rios, Kara</v>
      </c>
      <c r="AF1623" s="380" t="str">
        <f>VLOOKUP($B1623,'D7 - NDB Impacted SPRF''s'!$E$6:$O$9929,6,FALSE)</f>
        <v>KELLY LEONARD</v>
      </c>
      <c r="AG1623" s="282"/>
      <c r="AH1623" s="311" t="e">
        <f>INDEX('D5 - Gatekeeper - Projects'!$A$4:$AF$1010,$AM1623, 17)</f>
        <v>#N/A</v>
      </c>
      <c r="AI1623" s="8"/>
      <c r="AJ1623" s="57"/>
      <c r="AK1623" s="105"/>
      <c r="AM1623" s="6" t="e">
        <f>MATCH(D1623,'D5 - Gatekeeper - Projects'!$C$4:$C$1010,0)</f>
        <v>#N/A</v>
      </c>
      <c r="AN1623" s="6" t="b">
        <f t="shared" si="178"/>
        <v>1</v>
      </c>
      <c r="AO1623" s="6" t="str">
        <f t="shared" si="180"/>
        <v>OK</v>
      </c>
      <c r="AQ1623" s="6" t="e">
        <f>MATCH($D1623,'D4 - Provider Council Unsched'!$C$11:$C$234,0)</f>
        <v>#N/A</v>
      </c>
      <c r="AR1623" s="6" t="b">
        <f t="shared" si="179"/>
        <v>1</v>
      </c>
      <c r="AS1623" s="6" t="str">
        <f t="shared" si="177"/>
        <v>OK</v>
      </c>
      <c r="AU1623" s="202"/>
      <c r="AV1623" s="262" t="s">
        <v>2307</v>
      </c>
      <c r="AW1623" s="274">
        <v>45295</v>
      </c>
    </row>
    <row r="1624" spans="1:49" s="13" customFormat="1" ht="33.75" x14ac:dyDescent="0.2">
      <c r="A1624" s="14">
        <v>1600</v>
      </c>
      <c r="B1624" s="8">
        <v>400045720</v>
      </c>
      <c r="C1624" s="8" t="s">
        <v>1447</v>
      </c>
      <c r="D1624" s="4" t="str">
        <f t="shared" si="176"/>
        <v>400045720A</v>
      </c>
      <c r="E1624" s="309" t="str">
        <f>VLOOKUP($B1624,'D7 - NDB Impacted SPRF''s'!$E$6:$O$9929,2,FALSE)</f>
        <v>HCR Preventive Allowing Additional Services</v>
      </c>
      <c r="F1624" s="8"/>
      <c r="G1624" s="8" t="s">
        <v>4758</v>
      </c>
      <c r="H1624" s="8" t="s">
        <v>4246</v>
      </c>
      <c r="I1624" s="20">
        <v>1</v>
      </c>
      <c r="J1624" s="8" t="s">
        <v>4862</v>
      </c>
      <c r="K1624" s="182">
        <v>40938</v>
      </c>
      <c r="L1624" s="8" t="s">
        <v>4156</v>
      </c>
      <c r="M1624" s="8" t="s">
        <v>6688</v>
      </c>
      <c r="N1624" s="38" t="s">
        <v>2256</v>
      </c>
      <c r="O1624" s="8"/>
      <c r="P1624" s="4" t="str">
        <f>VLOOKUP($B1624,'D7 - NDB Impacted SPRF''s'!$E$16:$O$9929,9,FALSE)</f>
        <v>Y</v>
      </c>
      <c r="Q1624" s="4" t="str">
        <f>VLOOKUP($B1624,'D7 - NDB Impacted SPRF''s'!$E$16:$O$9929,10,FALSE)</f>
        <v>N</v>
      </c>
      <c r="R1624" s="4" t="str">
        <f>VLOOKUP($B1624,'D7 - NDB Impacted SPRF''s'!$E$16:$O$9929,11,FALSE)</f>
        <v>N</v>
      </c>
      <c r="S1624" s="8"/>
      <c r="T1624" s="310"/>
      <c r="U1624" s="310"/>
      <c r="V1624" s="4"/>
      <c r="W1624" s="4"/>
      <c r="X1624" s="4"/>
      <c r="Y1624" s="4"/>
      <c r="Z1624" s="4"/>
      <c r="AA1624" s="4"/>
      <c r="AB1624" s="380" t="str">
        <f>VLOOKUP($B1624,'D7 - NDB Impacted SPRF''s'!$E$6:$O$9929,4,FALSE)</f>
        <v>Completed</v>
      </c>
      <c r="AC1624" s="380" t="str">
        <f>VLOOKUP($B1624,'D7 - NDB Impacted SPRF''s'!$E$6:$O$9929,3,FALSE)</f>
        <v>UnitedHealthcare Employer &amp; Individual</v>
      </c>
      <c r="AD1624" s="380" t="str">
        <f>VLOOKUP($B1624,'D7 - NDB Impacted SPRF''s'!$E$6:$O$9929,5,FALSE)</f>
        <v>Regulatory / Other</v>
      </c>
      <c r="AE1624" s="380" t="str">
        <f>VLOOKUP($B1624,'D7 - NDB Impacted SPRF''s'!$E$6:$O$9929,7,FALSE)</f>
        <v>Regis O'Neill</v>
      </c>
      <c r="AF1624" s="380" t="str">
        <f>VLOOKUP($B1624,'D7 - NDB Impacted SPRF''s'!$E$6:$O$9929,6,FALSE)</f>
        <v>Sue Ann Sparks</v>
      </c>
      <c r="AG1624" s="282"/>
      <c r="AH1624" s="311" t="e">
        <f>INDEX('D5 - Gatekeeper - Projects'!$A$4:$AF$1010,$AM1624, 17)</f>
        <v>#N/A</v>
      </c>
      <c r="AI1624" s="8"/>
      <c r="AJ1624" s="57"/>
      <c r="AK1624" s="105"/>
      <c r="AM1624" s="6" t="e">
        <f>MATCH(D1624,'D5 - Gatekeeper - Projects'!$C$4:$C$1010,0)</f>
        <v>#N/A</v>
      </c>
      <c r="AN1624" s="6" t="b">
        <f t="shared" si="178"/>
        <v>1</v>
      </c>
      <c r="AO1624" s="6" t="str">
        <f t="shared" si="180"/>
        <v>OK</v>
      </c>
      <c r="AQ1624" s="6" t="e">
        <f>MATCH($D1624,'D4 - Provider Council Unsched'!$C$11:$C$234,0)</f>
        <v>#N/A</v>
      </c>
      <c r="AR1624" s="6" t="b">
        <f t="shared" si="179"/>
        <v>1</v>
      </c>
      <c r="AS1624" s="6" t="str">
        <f t="shared" si="177"/>
        <v>OK</v>
      </c>
      <c r="AU1624" s="202">
        <v>40931</v>
      </c>
      <c r="AV1624" s="262"/>
      <c r="AW1624" s="274">
        <v>45973</v>
      </c>
    </row>
    <row r="1625" spans="1:49" s="13" customFormat="1" ht="33.75" x14ac:dyDescent="0.2">
      <c r="A1625" s="14">
        <v>1601</v>
      </c>
      <c r="B1625" s="14">
        <v>400033231</v>
      </c>
      <c r="C1625" s="8" t="s">
        <v>5614</v>
      </c>
      <c r="D1625" s="4" t="str">
        <f t="shared" si="176"/>
        <v>400033231R5</v>
      </c>
      <c r="E1625" s="309" t="str">
        <f>VLOOKUP($B1625,'D7 - NDB Impacted SPRF''s'!$E$6:$O$9929,2,FALSE)</f>
        <v>HIPAA 5010-UHC-835 RA</v>
      </c>
      <c r="F1625" s="8"/>
      <c r="G1625" s="8" t="s">
        <v>4758</v>
      </c>
      <c r="H1625" s="8" t="s">
        <v>4246</v>
      </c>
      <c r="I1625" s="20">
        <v>0.48</v>
      </c>
      <c r="J1625" s="8" t="s">
        <v>4862</v>
      </c>
      <c r="K1625" s="182">
        <v>40950</v>
      </c>
      <c r="L1625" s="8" t="s">
        <v>4156</v>
      </c>
      <c r="M1625" s="8" t="s">
        <v>2814</v>
      </c>
      <c r="N1625" s="38" t="s">
        <v>1317</v>
      </c>
      <c r="O1625" s="8"/>
      <c r="P1625" s="4" t="str">
        <f>VLOOKUP($B1625,'D7 - NDB Impacted SPRF''s'!$E$16:$O$9929,9,FALSE)</f>
        <v>Y</v>
      </c>
      <c r="Q1625" s="4" t="str">
        <f>VLOOKUP($B1625,'D7 - NDB Impacted SPRF''s'!$E$16:$O$9929,10,FALSE)</f>
        <v>N</v>
      </c>
      <c r="R1625" s="4" t="str">
        <f>VLOOKUP($B1625,'D7 - NDB Impacted SPRF''s'!$E$16:$O$9929,11,FALSE)</f>
        <v>Y</v>
      </c>
      <c r="S1625" s="8"/>
      <c r="T1625" s="310"/>
      <c r="U1625" s="310"/>
      <c r="V1625" s="4"/>
      <c r="W1625" s="4"/>
      <c r="X1625" s="4"/>
      <c r="Y1625" s="4"/>
      <c r="Z1625" s="4"/>
      <c r="AA1625" s="4"/>
      <c r="AB1625" s="380" t="str">
        <f>VLOOKUP($B1625,'D7 - NDB Impacted SPRF''s'!$E$6:$O$9929,4,FALSE)</f>
        <v>Completed</v>
      </c>
      <c r="AC1625" s="380" t="str">
        <f>VLOOKUP($B1625,'D7 - NDB Impacted SPRF''s'!$E$6:$O$9929,3,FALSE)</f>
        <v>UnitedHealthcare Employer &amp; Individual</v>
      </c>
      <c r="AD1625" s="380" t="str">
        <f>VLOOKUP($B1625,'D7 - NDB Impacted SPRF''s'!$E$6:$O$9929,5,FALSE)</f>
        <v>HIPAA 5010</v>
      </c>
      <c r="AE1625" s="380" t="str">
        <f>VLOOKUP($B1625,'D7 - NDB Impacted SPRF''s'!$E$6:$O$9929,7,FALSE)</f>
        <v>Tim Kaja</v>
      </c>
      <c r="AF1625" s="380" t="str">
        <f>VLOOKUP($B1625,'D7 - NDB Impacted SPRF''s'!$E$6:$O$9929,6,FALSE)</f>
        <v>MARGARET CONNIFF</v>
      </c>
      <c r="AG1625" s="282"/>
      <c r="AH1625" s="311" t="e">
        <f>INDEX('D5 - Gatekeeper - Projects'!$A$4:$AF$1010,$AM1625, 17)</f>
        <v>#N/A</v>
      </c>
      <c r="AI1625" s="8"/>
      <c r="AJ1625" s="57"/>
      <c r="AK1625" s="105"/>
      <c r="AM1625" s="6" t="e">
        <f>MATCH(D1625,'D5 - Gatekeeper - Projects'!$C$4:$C$1010,0)</f>
        <v>#N/A</v>
      </c>
      <c r="AN1625" s="6" t="b">
        <f t="shared" si="178"/>
        <v>1</v>
      </c>
      <c r="AO1625" s="6" t="str">
        <f t="shared" si="180"/>
        <v>OK</v>
      </c>
      <c r="AQ1625" s="6" t="e">
        <f>MATCH($D1625,'D4 - Provider Council Unsched'!$C$11:$C$234,0)</f>
        <v>#N/A</v>
      </c>
      <c r="AR1625" s="6" t="b">
        <f t="shared" si="179"/>
        <v>1</v>
      </c>
      <c r="AS1625" s="6" t="str">
        <f t="shared" si="177"/>
        <v>OK</v>
      </c>
      <c r="AU1625" s="202">
        <v>40802</v>
      </c>
      <c r="AV1625" s="262" t="s">
        <v>2308</v>
      </c>
      <c r="AW1625" s="274">
        <v>43609</v>
      </c>
    </row>
    <row r="1626" spans="1:49" s="13" customFormat="1" ht="67.5" x14ac:dyDescent="0.2">
      <c r="A1626" s="14">
        <v>1602</v>
      </c>
      <c r="B1626" s="8">
        <v>400036284</v>
      </c>
      <c r="C1626" s="8" t="s">
        <v>7290</v>
      </c>
      <c r="D1626" s="4" t="str">
        <f t="shared" si="176"/>
        <v>400036284B</v>
      </c>
      <c r="E1626" s="309" t="str">
        <f>VLOOKUP($B1626,'D7 - NDB Impacted SPRF''s'!$E$6:$O$9929,2,FALSE)</f>
        <v>Global Solutions Claim Payment</v>
      </c>
      <c r="F1626" s="8"/>
      <c r="G1626" s="8" t="s">
        <v>4758</v>
      </c>
      <c r="H1626" s="8" t="s">
        <v>4246</v>
      </c>
      <c r="I1626" s="20">
        <v>0.47</v>
      </c>
      <c r="J1626" s="8" t="s">
        <v>4862</v>
      </c>
      <c r="K1626" s="182">
        <v>40950</v>
      </c>
      <c r="L1626" s="8" t="s">
        <v>4156</v>
      </c>
      <c r="M1626" s="8" t="s">
        <v>5626</v>
      </c>
      <c r="N1626" s="38" t="s">
        <v>1748</v>
      </c>
      <c r="O1626" s="8"/>
      <c r="P1626" s="4" t="str">
        <f>VLOOKUP($B1626,'D7 - NDB Impacted SPRF''s'!$E$16:$O$9929,9,FALSE)</f>
        <v>Y</v>
      </c>
      <c r="Q1626" s="4" t="str">
        <f>VLOOKUP($B1626,'D7 - NDB Impacted SPRF''s'!$E$16:$O$9929,10,FALSE)</f>
        <v>N</v>
      </c>
      <c r="R1626" s="4" t="str">
        <f>VLOOKUP($B1626,'D7 - NDB Impacted SPRF''s'!$E$16:$O$9929,11,FALSE)</f>
        <v>N</v>
      </c>
      <c r="S1626" s="8"/>
      <c r="T1626" s="310"/>
      <c r="U1626" s="310"/>
      <c r="V1626" s="4"/>
      <c r="W1626" s="4"/>
      <c r="X1626" s="4"/>
      <c r="Y1626" s="4"/>
      <c r="Z1626" s="4"/>
      <c r="AA1626" s="4"/>
      <c r="AB1626" s="380" t="str">
        <f>VLOOKUP($B1626,'D7 - NDB Impacted SPRF''s'!$E$6:$O$9929,4,FALSE)</f>
        <v>Completed</v>
      </c>
      <c r="AC1626" s="380" t="str">
        <f>VLOOKUP($B1626,'D7 - NDB Impacted SPRF''s'!$E$6:$O$9929,3,FALSE)</f>
        <v>UHG Corporate</v>
      </c>
      <c r="AD1626" s="380" t="str">
        <f>VLOOKUP($B1626,'D7 - NDB Impacted SPRF''s'!$E$6:$O$9929,5,FALSE)</f>
        <v>Corporate</v>
      </c>
      <c r="AE1626" s="380" t="str">
        <f>VLOOKUP($B1626,'D7 - NDB Impacted SPRF''s'!$E$6:$O$9929,7,FALSE)</f>
        <v>Ori Karev</v>
      </c>
      <c r="AF1626" s="380" t="str">
        <f>VLOOKUP($B1626,'D7 - NDB Impacted SPRF''s'!$E$6:$O$9929,6,FALSE)</f>
        <v>Steven Kmoch</v>
      </c>
      <c r="AG1626" s="282"/>
      <c r="AH1626" s="311" t="e">
        <f>INDEX('D5 - Gatekeeper - Projects'!$A$4:$AF$1010,$AM1626, 17)</f>
        <v>#N/A</v>
      </c>
      <c r="AI1626" s="8"/>
      <c r="AJ1626" s="57"/>
      <c r="AK1626" s="105"/>
      <c r="AM1626" s="6" t="e">
        <f>MATCH(D1626,'D5 - Gatekeeper - Projects'!$C$4:$C$1010,0)</f>
        <v>#N/A</v>
      </c>
      <c r="AN1626" s="6" t="b">
        <f t="shared" si="178"/>
        <v>1</v>
      </c>
      <c r="AO1626" s="6" t="str">
        <f t="shared" si="180"/>
        <v>OK</v>
      </c>
      <c r="AQ1626" s="6" t="e">
        <f>MATCH($D1626,'D4 - Provider Council Unsched'!$C$11:$C$234,0)</f>
        <v>#N/A</v>
      </c>
      <c r="AR1626" s="6" t="b">
        <f t="shared" si="179"/>
        <v>1</v>
      </c>
      <c r="AS1626" s="6" t="str">
        <f t="shared" si="177"/>
        <v>OK</v>
      </c>
      <c r="AU1626" s="202"/>
      <c r="AV1626" s="262" t="s">
        <v>2310</v>
      </c>
      <c r="AW1626" s="274">
        <v>45035</v>
      </c>
    </row>
    <row r="1627" spans="1:49" s="13" customFormat="1" ht="33.75" x14ac:dyDescent="0.2">
      <c r="A1627" s="14">
        <v>1603</v>
      </c>
      <c r="B1627" s="8">
        <v>400041269</v>
      </c>
      <c r="C1627" s="8" t="s">
        <v>1447</v>
      </c>
      <c r="D1627" s="4" t="str">
        <f t="shared" si="176"/>
        <v>400041269A</v>
      </c>
      <c r="E1627" s="309" t="str">
        <f>VLOOKUP($B1627,'D7 - NDB Impacted SPRF''s'!$E$6:$O$9929,2,FALSE)</f>
        <v>ACNJ Contract Changes 7/1/2011</v>
      </c>
      <c r="F1627" s="8"/>
      <c r="G1627" s="8" t="s">
        <v>4758</v>
      </c>
      <c r="H1627" s="8" t="s">
        <v>4246</v>
      </c>
      <c r="I1627" s="20">
        <v>0.14000000000000001</v>
      </c>
      <c r="J1627" s="8" t="s">
        <v>4862</v>
      </c>
      <c r="K1627" s="182">
        <v>40950</v>
      </c>
      <c r="L1627" s="8" t="s">
        <v>4156</v>
      </c>
      <c r="M1627" s="8" t="s">
        <v>5626</v>
      </c>
      <c r="N1627" s="38" t="s">
        <v>1750</v>
      </c>
      <c r="O1627" s="8"/>
      <c r="P1627" s="4" t="str">
        <f>VLOOKUP($B1627,'D7 - NDB Impacted SPRF''s'!$E$16:$O$9929,9,FALSE)</f>
        <v>N</v>
      </c>
      <c r="Q1627" s="4" t="str">
        <f>VLOOKUP($B1627,'D7 - NDB Impacted SPRF''s'!$E$16:$O$9929,10,FALSE)</f>
        <v>N</v>
      </c>
      <c r="R1627" s="4" t="str">
        <f>VLOOKUP($B1627,'D7 - NDB Impacted SPRF''s'!$E$16:$O$9929,11,FALSE)</f>
        <v>N</v>
      </c>
      <c r="S1627" s="8"/>
      <c r="T1627" s="310"/>
      <c r="U1627" s="310"/>
      <c r="V1627" s="4"/>
      <c r="W1627" s="4"/>
      <c r="X1627" s="4"/>
      <c r="Y1627" s="4"/>
      <c r="Z1627" s="4"/>
      <c r="AA1627" s="4"/>
      <c r="AB1627" s="380" t="str">
        <f>VLOOKUP($B1627,'D7 - NDB Impacted SPRF''s'!$E$6:$O$9929,4,FALSE)</f>
        <v>Completed</v>
      </c>
      <c r="AC1627" s="380" t="str">
        <f>VLOOKUP($B1627,'D7 - NDB Impacted SPRF''s'!$E$6:$O$9929,3,FALSE)</f>
        <v>UnitedHealthcare Community &amp; State</v>
      </c>
      <c r="AD1627" s="380" t="str">
        <f>VLOOKUP($B1627,'D7 - NDB Impacted SPRF''s'!$E$6:$O$9929,5,FALSE)</f>
        <v>Regulatory / Other</v>
      </c>
      <c r="AE1627" s="380" t="str">
        <f>VLOOKUP($B1627,'D7 - NDB Impacted SPRF''s'!$E$6:$O$9929,7,FALSE)</f>
        <v>Rodney Armstead</v>
      </c>
      <c r="AF1627" s="380" t="str">
        <f>VLOOKUP($B1627,'D7 - NDB Impacted SPRF''s'!$E$6:$O$9929,6,FALSE)</f>
        <v>Carol Brunetti</v>
      </c>
      <c r="AG1627" s="282"/>
      <c r="AH1627" s="311" t="e">
        <f>INDEX('D5 - Gatekeeper - Projects'!$A$4:$AF$1010,$AM1627, 17)</f>
        <v>#N/A</v>
      </c>
      <c r="AI1627" s="8"/>
      <c r="AJ1627" s="57"/>
      <c r="AK1627" s="105"/>
      <c r="AM1627" s="6" t="e">
        <f>MATCH(D1627,'D5 - Gatekeeper - Projects'!$C$4:$C$1010,0)</f>
        <v>#N/A</v>
      </c>
      <c r="AN1627" s="6" t="b">
        <f t="shared" si="178"/>
        <v>1</v>
      </c>
      <c r="AO1627" s="6" t="str">
        <f t="shared" si="180"/>
        <v>OK</v>
      </c>
      <c r="AQ1627" s="6" t="e">
        <f>MATCH($D1627,'D4 - Provider Council Unsched'!$C$11:$C$234,0)</f>
        <v>#N/A</v>
      </c>
      <c r="AR1627" s="6" t="b">
        <f t="shared" si="179"/>
        <v>1</v>
      </c>
      <c r="AS1627" s="6" t="str">
        <f t="shared" si="177"/>
        <v>OK</v>
      </c>
      <c r="AU1627" s="202">
        <v>40865</v>
      </c>
      <c r="AV1627" s="262" t="s">
        <v>2312</v>
      </c>
      <c r="AW1627" s="274">
        <v>38305</v>
      </c>
    </row>
    <row r="1628" spans="1:49" s="13" customFormat="1" ht="33.75" x14ac:dyDescent="0.2">
      <c r="A1628" s="14">
        <v>1604</v>
      </c>
      <c r="B1628" s="8">
        <v>400041390</v>
      </c>
      <c r="C1628" s="8" t="s">
        <v>1447</v>
      </c>
      <c r="D1628" s="4" t="str">
        <f t="shared" si="176"/>
        <v>400041390A</v>
      </c>
      <c r="E1628" s="309" t="str">
        <f>VLOOKUP($B1628,'D7 - NDB Impacted SPRF''s'!$E$6:$O$9929,2,FALSE)</f>
        <v>Louisiana Medicaid</v>
      </c>
      <c r="F1628" s="8"/>
      <c r="G1628" s="8" t="s">
        <v>4758</v>
      </c>
      <c r="H1628" s="8" t="s">
        <v>4246</v>
      </c>
      <c r="I1628" s="20">
        <v>0.96</v>
      </c>
      <c r="J1628" s="8" t="s">
        <v>4862</v>
      </c>
      <c r="K1628" s="182">
        <v>40950</v>
      </c>
      <c r="L1628" s="8" t="s">
        <v>4156</v>
      </c>
      <c r="M1628" s="8" t="s">
        <v>5626</v>
      </c>
      <c r="N1628" s="38" t="s">
        <v>1751</v>
      </c>
      <c r="O1628" s="8"/>
      <c r="P1628" s="4" t="str">
        <f>VLOOKUP($B1628,'D7 - NDB Impacted SPRF''s'!$E$16:$O$9929,9,FALSE)</f>
        <v>N</v>
      </c>
      <c r="Q1628" s="4" t="str">
        <f>VLOOKUP($B1628,'D7 - NDB Impacted SPRF''s'!$E$16:$O$9929,10,FALSE)</f>
        <v>N</v>
      </c>
      <c r="R1628" s="4" t="str">
        <f>VLOOKUP($B1628,'D7 - NDB Impacted SPRF''s'!$E$16:$O$9929,11,FALSE)</f>
        <v>N</v>
      </c>
      <c r="S1628" s="8"/>
      <c r="T1628" s="310"/>
      <c r="U1628" s="310"/>
      <c r="V1628" s="4"/>
      <c r="W1628" s="4"/>
      <c r="X1628" s="4"/>
      <c r="Y1628" s="4"/>
      <c r="Z1628" s="4"/>
      <c r="AA1628" s="4"/>
      <c r="AB1628" s="380" t="str">
        <f>VLOOKUP($B1628,'D7 - NDB Impacted SPRF''s'!$E$6:$O$9929,4,FALSE)</f>
        <v>Completed</v>
      </c>
      <c r="AC1628" s="380" t="str">
        <f>VLOOKUP($B1628,'D7 - NDB Impacted SPRF''s'!$E$6:$O$9929,3,FALSE)</f>
        <v>UnitedHealthcare Community &amp; State</v>
      </c>
      <c r="AD1628" s="380" t="str">
        <f>VLOOKUP($B1628,'D7 - NDB Impacted SPRF''s'!$E$6:$O$9929,5,FALSE)</f>
        <v>Membership Growth / Revenue Programs</v>
      </c>
      <c r="AE1628" s="380" t="str">
        <f>VLOOKUP($B1628,'D7 - NDB Impacted SPRF''s'!$E$6:$O$9929,7,FALSE)</f>
        <v>Mike Radu</v>
      </c>
      <c r="AF1628" s="380" t="str">
        <f>VLOOKUP($B1628,'D7 - NDB Impacted SPRF''s'!$E$6:$O$9929,6,FALSE)</f>
        <v>Carol Brunetti</v>
      </c>
      <c r="AG1628" s="282"/>
      <c r="AH1628" s="311" t="e">
        <f>INDEX('D5 - Gatekeeper - Projects'!$A$4:$AF$1010,$AM1628, 17)</f>
        <v>#N/A</v>
      </c>
      <c r="AI1628" s="8"/>
      <c r="AJ1628" s="57"/>
      <c r="AK1628" s="105"/>
      <c r="AM1628" s="6" t="e">
        <f>MATCH(D1628,'D5 - Gatekeeper - Projects'!$C$4:$C$1010,0)</f>
        <v>#N/A</v>
      </c>
      <c r="AN1628" s="6" t="b">
        <f t="shared" si="178"/>
        <v>1</v>
      </c>
      <c r="AO1628" s="6" t="str">
        <f t="shared" si="180"/>
        <v>OK</v>
      </c>
      <c r="AQ1628" s="6" t="e">
        <f>MATCH($D1628,'D4 - Provider Council Unsched'!$C$11:$C$234,0)</f>
        <v>#N/A</v>
      </c>
      <c r="AR1628" s="6" t="b">
        <f t="shared" si="179"/>
        <v>1</v>
      </c>
      <c r="AS1628" s="6" t="str">
        <f t="shared" si="177"/>
        <v>OK</v>
      </c>
      <c r="AU1628" s="202"/>
      <c r="AV1628" s="262" t="s">
        <v>2313</v>
      </c>
      <c r="AW1628" s="274">
        <v>41623</v>
      </c>
    </row>
    <row r="1629" spans="1:49" s="13" customFormat="1" ht="112.5" x14ac:dyDescent="0.2">
      <c r="A1629" s="14">
        <v>1605</v>
      </c>
      <c r="B1629" s="8">
        <v>400041737</v>
      </c>
      <c r="C1629" s="8" t="s">
        <v>7291</v>
      </c>
      <c r="D1629" s="4" t="str">
        <f t="shared" si="176"/>
        <v>400041737E</v>
      </c>
      <c r="E1629" s="309" t="str">
        <f>VLOOKUP($B1629,'D7 - NDB Impacted SPRF''s'!$E$6:$O$9929,2,FALSE)</f>
        <v>ICD10- Field Expansion- UHC EI</v>
      </c>
      <c r="F1629" s="8"/>
      <c r="G1629" s="8" t="s">
        <v>4758</v>
      </c>
      <c r="H1629" s="8" t="s">
        <v>4246</v>
      </c>
      <c r="I1629" s="20">
        <v>7.41</v>
      </c>
      <c r="J1629" s="8" t="s">
        <v>4862</v>
      </c>
      <c r="K1629" s="182">
        <v>40950</v>
      </c>
      <c r="L1629" s="8" t="s">
        <v>4156</v>
      </c>
      <c r="M1629" s="8" t="s">
        <v>2814</v>
      </c>
      <c r="N1629" s="38" t="s">
        <v>301</v>
      </c>
      <c r="O1629" s="8"/>
      <c r="P1629" s="4" t="str">
        <f>VLOOKUP($B1629,'D7 - NDB Impacted SPRF''s'!$E$16:$O$9929,9,FALSE)</f>
        <v>Y</v>
      </c>
      <c r="Q1629" s="4" t="str">
        <f>VLOOKUP($B1629,'D7 - NDB Impacted SPRF''s'!$E$16:$O$9929,10,FALSE)</f>
        <v>N</v>
      </c>
      <c r="R1629" s="4" t="str">
        <f>VLOOKUP($B1629,'D7 - NDB Impacted SPRF''s'!$E$16:$O$9929,11,FALSE)</f>
        <v>Y</v>
      </c>
      <c r="S1629" s="8"/>
      <c r="T1629" s="310"/>
      <c r="U1629" s="310"/>
      <c r="V1629" s="4"/>
      <c r="W1629" s="4"/>
      <c r="X1629" s="4"/>
      <c r="Y1629" s="4"/>
      <c r="Z1629" s="4"/>
      <c r="AA1629" s="4"/>
      <c r="AB1629" s="380" t="str">
        <f>VLOOKUP($B1629,'D7 - NDB Impacted SPRF''s'!$E$6:$O$9929,4,FALSE)</f>
        <v>Scheduled</v>
      </c>
      <c r="AC1629" s="380" t="str">
        <f>VLOOKUP($B1629,'D7 - NDB Impacted SPRF''s'!$E$6:$O$9929,3,FALSE)</f>
        <v>UnitedHealthcare Employer &amp; Individual</v>
      </c>
      <c r="AD1629" s="380" t="str">
        <f>VLOOKUP($B1629,'D7 - NDB Impacted SPRF''s'!$E$6:$O$9929,5,FALSE)</f>
        <v>Regulatory / Other</v>
      </c>
      <c r="AE1629" s="380" t="str">
        <f>VLOOKUP($B1629,'D7 - NDB Impacted SPRF''s'!$E$6:$O$9929,7,FALSE)</f>
        <v>Tim Kaja</v>
      </c>
      <c r="AF1629" s="380" t="str">
        <f>VLOOKUP($B1629,'D7 - NDB Impacted SPRF''s'!$E$6:$O$9929,6,FALSE)</f>
        <v>Delvis Schilling</v>
      </c>
      <c r="AG1629" s="282"/>
      <c r="AH1629" s="311" t="e">
        <f>INDEX('D5 - Gatekeeper - Projects'!$A$4:$AF$1010,$AM1629, 17)</f>
        <v>#N/A</v>
      </c>
      <c r="AI1629" s="8"/>
      <c r="AJ1629" s="57"/>
      <c r="AK1629" s="105"/>
      <c r="AM1629" s="6" t="e">
        <f>MATCH(D1629,'D5 - Gatekeeper - Projects'!$C$4:$C$1010,0)</f>
        <v>#N/A</v>
      </c>
      <c r="AN1629" s="6" t="b">
        <f t="shared" si="178"/>
        <v>1</v>
      </c>
      <c r="AO1629" s="6" t="str">
        <f t="shared" si="180"/>
        <v>OK</v>
      </c>
      <c r="AQ1629" s="6" t="e">
        <f>MATCH($D1629,'D4 - Provider Council Unsched'!$C$11:$C$234,0)</f>
        <v>#N/A</v>
      </c>
      <c r="AR1629" s="6" t="b">
        <f t="shared" si="179"/>
        <v>1</v>
      </c>
      <c r="AS1629" s="6" t="str">
        <f t="shared" si="177"/>
        <v>OK</v>
      </c>
      <c r="AU1629" s="202">
        <v>40764</v>
      </c>
      <c r="AV1629" s="262" t="s">
        <v>2299</v>
      </c>
      <c r="AW1629" s="274">
        <v>42537</v>
      </c>
    </row>
    <row r="1630" spans="1:49" s="13" customFormat="1" ht="45" x14ac:dyDescent="0.2">
      <c r="A1630" s="14">
        <v>1606</v>
      </c>
      <c r="B1630" s="8">
        <v>400042330</v>
      </c>
      <c r="C1630" s="8" t="s">
        <v>1447</v>
      </c>
      <c r="D1630" s="4" t="str">
        <f t="shared" si="176"/>
        <v>400042330A</v>
      </c>
      <c r="E1630" s="309" t="str">
        <f>VLOOKUP($B1630,'D7 - NDB Impacted SPRF''s'!$E$6:$O$9929,2,FALSE)</f>
        <v>Provider POS Zip is not being valued correctly</v>
      </c>
      <c r="F1630" s="8"/>
      <c r="G1630" s="8" t="s">
        <v>4758</v>
      </c>
      <c r="H1630" s="8" t="s">
        <v>4246</v>
      </c>
      <c r="I1630" s="20">
        <v>0.4</v>
      </c>
      <c r="J1630" s="8" t="s">
        <v>4862</v>
      </c>
      <c r="K1630" s="182">
        <v>40950</v>
      </c>
      <c r="L1630" s="8" t="s">
        <v>4156</v>
      </c>
      <c r="M1630" s="8" t="s">
        <v>5626</v>
      </c>
      <c r="N1630" s="38" t="s">
        <v>1752</v>
      </c>
      <c r="O1630" s="8"/>
      <c r="P1630" s="4" t="str">
        <f>VLOOKUP($B1630,'D7 - NDB Impacted SPRF''s'!$E$16:$O$9929,9,FALSE)</f>
        <v>Y</v>
      </c>
      <c r="Q1630" s="4" t="str">
        <f>VLOOKUP($B1630,'D7 - NDB Impacted SPRF''s'!$E$16:$O$9929,10,FALSE)</f>
        <v>N</v>
      </c>
      <c r="R1630" s="4" t="str">
        <f>VLOOKUP($B1630,'D7 - NDB Impacted SPRF''s'!$E$16:$O$9929,11,FALSE)</f>
        <v>N</v>
      </c>
      <c r="S1630" s="8"/>
      <c r="T1630" s="310"/>
      <c r="U1630" s="310"/>
      <c r="V1630" s="4"/>
      <c r="W1630" s="4"/>
      <c r="X1630" s="4"/>
      <c r="Y1630" s="4"/>
      <c r="Z1630" s="4"/>
      <c r="AA1630" s="4"/>
      <c r="AB1630" s="380" t="str">
        <f>VLOOKUP($B1630,'D7 - NDB Impacted SPRF''s'!$E$6:$O$9929,4,FALSE)</f>
        <v>Completed</v>
      </c>
      <c r="AC1630" s="380" t="str">
        <f>VLOOKUP($B1630,'D7 - NDB Impacted SPRF''s'!$E$6:$O$9929,3,FALSE)</f>
        <v>UnitedHealthcare Employer &amp; Individual</v>
      </c>
      <c r="AD1630" s="380" t="str">
        <f>VLOOKUP($B1630,'D7 - NDB Impacted SPRF''s'!$E$6:$O$9929,5,FALSE)</f>
        <v>Process Improvement</v>
      </c>
      <c r="AE1630" s="380" t="str">
        <f>VLOOKUP($B1630,'D7 - NDB Impacted SPRF''s'!$E$6:$O$9929,7,FALSE)</f>
        <v>John Fleig</v>
      </c>
      <c r="AF1630" s="380" t="str">
        <f>VLOOKUP($B1630,'D7 - NDB Impacted SPRF''s'!$E$6:$O$9929,6,FALSE)</f>
        <v>William Talamantes</v>
      </c>
      <c r="AG1630" s="282"/>
      <c r="AH1630" s="311" t="e">
        <f>INDEX('D5 - Gatekeeper - Projects'!$A$4:$AF$1010,$AM1630, 17)</f>
        <v>#N/A</v>
      </c>
      <c r="AI1630" s="8"/>
      <c r="AJ1630" s="57"/>
      <c r="AK1630" s="105"/>
      <c r="AM1630" s="6" t="e">
        <f>MATCH(D1630,'D5 - Gatekeeper - Projects'!$C$4:$C$1010,0)</f>
        <v>#N/A</v>
      </c>
      <c r="AN1630" s="6" t="b">
        <f t="shared" si="178"/>
        <v>1</v>
      </c>
      <c r="AO1630" s="6" t="str">
        <f t="shared" si="180"/>
        <v>OK</v>
      </c>
      <c r="AQ1630" s="6" t="e">
        <f>MATCH($D1630,'D4 - Provider Council Unsched'!$C$11:$C$234,0)</f>
        <v>#N/A</v>
      </c>
      <c r="AR1630" s="6" t="b">
        <f t="shared" si="179"/>
        <v>1</v>
      </c>
      <c r="AS1630" s="6" t="str">
        <f t="shared" si="177"/>
        <v>OK</v>
      </c>
      <c r="AU1630" s="202">
        <v>40721</v>
      </c>
      <c r="AV1630" s="262" t="s">
        <v>2314</v>
      </c>
      <c r="AW1630" s="274">
        <v>32312</v>
      </c>
    </row>
    <row r="1631" spans="1:49" s="13" customFormat="1" ht="33.75" x14ac:dyDescent="0.2">
      <c r="A1631" s="14">
        <v>1607</v>
      </c>
      <c r="B1631" s="8">
        <v>400042330</v>
      </c>
      <c r="C1631" s="8" t="s">
        <v>7290</v>
      </c>
      <c r="D1631" s="4" t="str">
        <f t="shared" si="176"/>
        <v>400042330B</v>
      </c>
      <c r="E1631" s="309" t="str">
        <f>VLOOKUP($B1631,'D7 - NDB Impacted SPRF''s'!$E$6:$O$9929,2,FALSE)</f>
        <v>Provider POS Zip is not being valued correctly</v>
      </c>
      <c r="F1631" s="8"/>
      <c r="G1631" s="8" t="s">
        <v>4758</v>
      </c>
      <c r="H1631" s="8" t="s">
        <v>4246</v>
      </c>
      <c r="I1631" s="20">
        <v>0.25</v>
      </c>
      <c r="J1631" s="8" t="s">
        <v>4862</v>
      </c>
      <c r="K1631" s="182">
        <v>40950</v>
      </c>
      <c r="L1631" s="8" t="s">
        <v>4156</v>
      </c>
      <c r="M1631" s="8" t="s">
        <v>6688</v>
      </c>
      <c r="N1631" s="38" t="s">
        <v>4278</v>
      </c>
      <c r="O1631" s="8"/>
      <c r="P1631" s="4" t="str">
        <f>VLOOKUP($B1631,'D7 - NDB Impacted SPRF''s'!$E$16:$O$9929,9,FALSE)</f>
        <v>Y</v>
      </c>
      <c r="Q1631" s="4" t="str">
        <f>VLOOKUP($B1631,'D7 - NDB Impacted SPRF''s'!$E$16:$O$9929,10,FALSE)</f>
        <v>N</v>
      </c>
      <c r="R1631" s="4" t="str">
        <f>VLOOKUP($B1631,'D7 - NDB Impacted SPRF''s'!$E$16:$O$9929,11,FALSE)</f>
        <v>N</v>
      </c>
      <c r="S1631" s="8"/>
      <c r="T1631" s="310"/>
      <c r="U1631" s="310"/>
      <c r="V1631" s="4"/>
      <c r="W1631" s="4"/>
      <c r="X1631" s="4"/>
      <c r="Y1631" s="4"/>
      <c r="Z1631" s="4"/>
      <c r="AA1631" s="4"/>
      <c r="AB1631" s="380" t="str">
        <f>VLOOKUP($B1631,'D7 - NDB Impacted SPRF''s'!$E$6:$O$9929,4,FALSE)</f>
        <v>Completed</v>
      </c>
      <c r="AC1631" s="380" t="str">
        <f>VLOOKUP($B1631,'D7 - NDB Impacted SPRF''s'!$E$6:$O$9929,3,FALSE)</f>
        <v>UnitedHealthcare Employer &amp; Individual</v>
      </c>
      <c r="AD1631" s="380" t="str">
        <f>VLOOKUP($B1631,'D7 - NDB Impacted SPRF''s'!$E$6:$O$9929,5,FALSE)</f>
        <v>Process Improvement</v>
      </c>
      <c r="AE1631" s="380" t="str">
        <f>VLOOKUP($B1631,'D7 - NDB Impacted SPRF''s'!$E$6:$O$9929,7,FALSE)</f>
        <v>John Fleig</v>
      </c>
      <c r="AF1631" s="380" t="str">
        <f>VLOOKUP($B1631,'D7 - NDB Impacted SPRF''s'!$E$6:$O$9929,6,FALSE)</f>
        <v>William Talamantes</v>
      </c>
      <c r="AG1631" s="282"/>
      <c r="AH1631" s="311" t="e">
        <f>INDEX('D5 - Gatekeeper - Projects'!$A$4:$AF$1010,$AM1631, 17)</f>
        <v>#N/A</v>
      </c>
      <c r="AI1631" s="8"/>
      <c r="AJ1631" s="57"/>
      <c r="AK1631" s="105"/>
      <c r="AM1631" s="6" t="e">
        <f>MATCH(D1631,'D5 - Gatekeeper - Projects'!$C$4:$C$1010,0)</f>
        <v>#N/A</v>
      </c>
      <c r="AN1631" s="6" t="b">
        <f t="shared" si="178"/>
        <v>1</v>
      </c>
      <c r="AO1631" s="6" t="str">
        <f t="shared" si="180"/>
        <v>OK</v>
      </c>
      <c r="AQ1631" s="6" t="e">
        <f>MATCH($D1631,'D4 - Provider Council Unsched'!$C$11:$C$234,0)</f>
        <v>#N/A</v>
      </c>
      <c r="AR1631" s="6" t="b">
        <f t="shared" si="179"/>
        <v>1</v>
      </c>
      <c r="AS1631" s="6" t="str">
        <f t="shared" si="177"/>
        <v>OK</v>
      </c>
      <c r="AU1631" s="202">
        <v>40802</v>
      </c>
      <c r="AV1631" s="262" t="s">
        <v>2314</v>
      </c>
      <c r="AW1631" s="274">
        <v>32312</v>
      </c>
    </row>
    <row r="1632" spans="1:49" s="13" customFormat="1" ht="33.75" x14ac:dyDescent="0.2">
      <c r="A1632" s="14">
        <v>1608</v>
      </c>
      <c r="B1632" s="8">
        <v>400042795</v>
      </c>
      <c r="C1632" s="8" t="s">
        <v>7291</v>
      </c>
      <c r="D1632" s="4" t="str">
        <f t="shared" si="176"/>
        <v>400042795E</v>
      </c>
      <c r="E1632" s="309" t="str">
        <f>VLOOKUP($B1632,'D7 - NDB Impacted SPRF''s'!$E$6:$O$9929,2,FALSE)</f>
        <v>PDR - EVC Fee Schedule Migration to NDB</v>
      </c>
      <c r="F1632" s="8"/>
      <c r="G1632" s="8" t="s">
        <v>4758</v>
      </c>
      <c r="H1632" s="8" t="s">
        <v>4246</v>
      </c>
      <c r="I1632" s="20">
        <v>25.81</v>
      </c>
      <c r="J1632" s="8" t="s">
        <v>4862</v>
      </c>
      <c r="K1632" s="182">
        <v>40950</v>
      </c>
      <c r="L1632" s="8" t="s">
        <v>4156</v>
      </c>
      <c r="M1632" s="8" t="s">
        <v>2814</v>
      </c>
      <c r="N1632" s="38" t="s">
        <v>1319</v>
      </c>
      <c r="O1632" s="8"/>
      <c r="P1632" s="4" t="str">
        <f>VLOOKUP($B1632,'D7 - NDB Impacted SPRF''s'!$E$16:$O$9929,9,FALSE)</f>
        <v>N</v>
      </c>
      <c r="Q1632" s="4" t="str">
        <f>VLOOKUP($B1632,'D7 - NDB Impacted SPRF''s'!$E$16:$O$9929,10,FALSE)</f>
        <v>N</v>
      </c>
      <c r="R1632" s="4" t="str">
        <f>VLOOKUP($B1632,'D7 - NDB Impacted SPRF''s'!$E$16:$O$9929,11,FALSE)</f>
        <v>Y</v>
      </c>
      <c r="S1632" s="8"/>
      <c r="T1632" s="310"/>
      <c r="U1632" s="310"/>
      <c r="V1632" s="4"/>
      <c r="W1632" s="4"/>
      <c r="X1632" s="4"/>
      <c r="Y1632" s="4"/>
      <c r="Z1632" s="4"/>
      <c r="AA1632" s="4"/>
      <c r="AB1632" s="380" t="str">
        <f>VLOOKUP($B1632,'D7 - NDB Impacted SPRF''s'!$E$6:$O$9929,4,FALSE)</f>
        <v>Completed</v>
      </c>
      <c r="AC1632" s="380" t="s">
        <v>5324</v>
      </c>
      <c r="AD1632" s="380" t="str">
        <f>VLOOKUP($B1632,'D7 - NDB Impacted SPRF''s'!$E$6:$O$9929,5,FALSE)</f>
        <v>Strategic Initiatives</v>
      </c>
      <c r="AE1632" s="380" t="str">
        <f>VLOOKUP($B1632,'D7 - NDB Impacted SPRF''s'!$E$6:$O$9929,7,FALSE)</f>
        <v>Wichmann</v>
      </c>
      <c r="AF1632" s="380" t="str">
        <f>VLOOKUP($B1632,'D7 - NDB Impacted SPRF''s'!$E$6:$O$9929,6,FALSE)</f>
        <v>Joshua Ely</v>
      </c>
      <c r="AG1632" s="282"/>
      <c r="AH1632" s="311" t="e">
        <f>INDEX('D5 - Gatekeeper - Projects'!$A$4:$AF$1010,$AM1632, 17)</f>
        <v>#N/A</v>
      </c>
      <c r="AI1632" s="8"/>
      <c r="AJ1632" s="57"/>
      <c r="AK1632" s="105"/>
      <c r="AM1632" s="6" t="e">
        <f>MATCH(D1632,'D5 - Gatekeeper - Projects'!$C$4:$C$1010,0)</f>
        <v>#N/A</v>
      </c>
      <c r="AN1632" s="6" t="b">
        <f t="shared" si="178"/>
        <v>1</v>
      </c>
      <c r="AO1632" s="6" t="str">
        <f t="shared" si="180"/>
        <v>OK</v>
      </c>
      <c r="AQ1632" s="6" t="e">
        <f>MATCH($D1632,'D4 - Provider Council Unsched'!$C$11:$C$234,0)</f>
        <v>#N/A</v>
      </c>
      <c r="AR1632" s="6" t="b">
        <f t="shared" si="179"/>
        <v>1</v>
      </c>
      <c r="AS1632" s="6" t="str">
        <f t="shared" si="177"/>
        <v>OK</v>
      </c>
      <c r="AU1632" s="202">
        <v>40777</v>
      </c>
      <c r="AV1632" s="262" t="s">
        <v>2754</v>
      </c>
      <c r="AW1632" s="274">
        <v>4694</v>
      </c>
    </row>
    <row r="1633" spans="1:49" s="13" customFormat="1" ht="56.25" x14ac:dyDescent="0.2">
      <c r="A1633" s="14">
        <v>1609</v>
      </c>
      <c r="B1633" s="8">
        <v>400042795</v>
      </c>
      <c r="C1633" s="8" t="s">
        <v>2207</v>
      </c>
      <c r="D1633" s="4" t="str">
        <f t="shared" si="176"/>
        <v>400042795G</v>
      </c>
      <c r="E1633" s="309" t="str">
        <f>VLOOKUP($B1633,'D7 - NDB Impacted SPRF''s'!$E$6:$O$9929,2,FALSE)</f>
        <v>PDR - EVC Fee Schedule Migration to NDB</v>
      </c>
      <c r="F1633" s="8"/>
      <c r="G1633" s="8" t="s">
        <v>4758</v>
      </c>
      <c r="H1633" s="8" t="s">
        <v>4246</v>
      </c>
      <c r="I1633" s="20">
        <v>1</v>
      </c>
      <c r="J1633" s="8" t="s">
        <v>4862</v>
      </c>
      <c r="K1633" s="182">
        <v>40950</v>
      </c>
      <c r="L1633" s="8" t="s">
        <v>4156</v>
      </c>
      <c r="M1633" s="8" t="s">
        <v>2814</v>
      </c>
      <c r="N1633" s="38" t="s">
        <v>180</v>
      </c>
      <c r="O1633" s="8"/>
      <c r="P1633" s="4" t="str">
        <f>VLOOKUP($B1633,'D7 - NDB Impacted SPRF''s'!$E$16:$O$9929,9,FALSE)</f>
        <v>N</v>
      </c>
      <c r="Q1633" s="4" t="str">
        <f>VLOOKUP($B1633,'D7 - NDB Impacted SPRF''s'!$E$16:$O$9929,10,FALSE)</f>
        <v>N</v>
      </c>
      <c r="R1633" s="4" t="str">
        <f>VLOOKUP($B1633,'D7 - NDB Impacted SPRF''s'!$E$16:$O$9929,11,FALSE)</f>
        <v>Y</v>
      </c>
      <c r="S1633" s="8"/>
      <c r="T1633" s="310"/>
      <c r="U1633" s="310"/>
      <c r="V1633" s="4"/>
      <c r="W1633" s="4"/>
      <c r="X1633" s="4"/>
      <c r="Y1633" s="4"/>
      <c r="Z1633" s="4"/>
      <c r="AA1633" s="4"/>
      <c r="AB1633" s="380" t="str">
        <f>VLOOKUP($B1633,'D7 - NDB Impacted SPRF''s'!$E$6:$O$9929,4,FALSE)</f>
        <v>Completed</v>
      </c>
      <c r="AC1633" s="380" t="s">
        <v>5324</v>
      </c>
      <c r="AD1633" s="380" t="str">
        <f>VLOOKUP($B1633,'D7 - NDB Impacted SPRF''s'!$E$6:$O$9929,5,FALSE)</f>
        <v>Strategic Initiatives</v>
      </c>
      <c r="AE1633" s="380" t="str">
        <f>VLOOKUP($B1633,'D7 - NDB Impacted SPRF''s'!$E$6:$O$9929,7,FALSE)</f>
        <v>Wichmann</v>
      </c>
      <c r="AF1633" s="380" t="str">
        <f>VLOOKUP($B1633,'D7 - NDB Impacted SPRF''s'!$E$6:$O$9929,6,FALSE)</f>
        <v>Joshua Ely</v>
      </c>
      <c r="AG1633" s="282"/>
      <c r="AH1633" s="311" t="e">
        <f>INDEX('D5 - Gatekeeper - Projects'!$A$4:$AF$1010,$AM1633, 17)</f>
        <v>#N/A</v>
      </c>
      <c r="AI1633" s="8"/>
      <c r="AJ1633" s="57"/>
      <c r="AK1633" s="105"/>
      <c r="AM1633" s="6" t="e">
        <f>MATCH(D1633,'D5 - Gatekeeper - Projects'!$C$4:$C$1010,0)</f>
        <v>#N/A</v>
      </c>
      <c r="AN1633" s="6" t="b">
        <f t="shared" si="178"/>
        <v>1</v>
      </c>
      <c r="AO1633" s="6" t="str">
        <f t="shared" si="180"/>
        <v>OK</v>
      </c>
      <c r="AQ1633" s="6" t="e">
        <f>MATCH($D1633,'D4 - Provider Council Unsched'!$C$11:$C$234,0)</f>
        <v>#N/A</v>
      </c>
      <c r="AR1633" s="6" t="b">
        <f t="shared" si="179"/>
        <v>1</v>
      </c>
      <c r="AS1633" s="6" t="str">
        <f t="shared" si="177"/>
        <v>OK</v>
      </c>
      <c r="AU1633" s="202">
        <v>40914</v>
      </c>
      <c r="AV1633" s="262" t="s">
        <v>2754</v>
      </c>
      <c r="AW1633" s="274">
        <v>4694</v>
      </c>
    </row>
    <row r="1634" spans="1:49" s="13" customFormat="1" ht="33.75" x14ac:dyDescent="0.2">
      <c r="A1634" s="14">
        <v>1610</v>
      </c>
      <c r="B1634" s="8">
        <v>400042808</v>
      </c>
      <c r="C1634" s="8" t="s">
        <v>1447</v>
      </c>
      <c r="D1634" s="4" t="str">
        <f t="shared" si="176"/>
        <v>400042808A</v>
      </c>
      <c r="E1634" s="309" t="str">
        <f>VLOOKUP($B1634,'D7 - NDB Impacted SPRF''s'!$E$6:$O$9929,2,FALSE)</f>
        <v>TX migrations to UHConline - Star/CHIP/StarPlus</v>
      </c>
      <c r="F1634" s="8"/>
      <c r="G1634" s="8" t="s">
        <v>4758</v>
      </c>
      <c r="H1634" s="8" t="s">
        <v>4246</v>
      </c>
      <c r="I1634" s="20">
        <v>0.8</v>
      </c>
      <c r="J1634" s="8" t="s">
        <v>4862</v>
      </c>
      <c r="K1634" s="182">
        <v>40950</v>
      </c>
      <c r="L1634" s="8" t="s">
        <v>4156</v>
      </c>
      <c r="M1634" s="8" t="s">
        <v>5626</v>
      </c>
      <c r="N1634" s="38" t="s">
        <v>304</v>
      </c>
      <c r="O1634" s="8"/>
      <c r="P1634" s="4" t="str">
        <f>VLOOKUP($B1634,'D7 - NDB Impacted SPRF''s'!$E$16:$O$9929,9,FALSE)</f>
        <v>N</v>
      </c>
      <c r="Q1634" s="4" t="str">
        <f>VLOOKUP($B1634,'D7 - NDB Impacted SPRF''s'!$E$16:$O$9929,10,FALSE)</f>
        <v>N</v>
      </c>
      <c r="R1634" s="4" t="str">
        <f>VLOOKUP($B1634,'D7 - NDB Impacted SPRF''s'!$E$16:$O$9929,11,FALSE)</f>
        <v>N</v>
      </c>
      <c r="S1634" s="8"/>
      <c r="T1634" s="310"/>
      <c r="U1634" s="310"/>
      <c r="V1634" s="4"/>
      <c r="W1634" s="4"/>
      <c r="X1634" s="4"/>
      <c r="Y1634" s="4"/>
      <c r="Z1634" s="4"/>
      <c r="AA1634" s="4"/>
      <c r="AB1634" s="380" t="str">
        <f>VLOOKUP($B1634,'D7 - NDB Impacted SPRF''s'!$E$6:$O$9929,4,FALSE)</f>
        <v>Completed</v>
      </c>
      <c r="AC1634" s="380" t="s">
        <v>5324</v>
      </c>
      <c r="AD1634" s="380" t="str">
        <f>VLOOKUP($B1634,'D7 - NDB Impacted SPRF''s'!$E$6:$O$9929,5,FALSE)</f>
        <v>Integration Requirements</v>
      </c>
      <c r="AE1634" s="380" t="str">
        <f>VLOOKUP($B1634,'D7 - NDB Impacted SPRF''s'!$E$6:$O$9929,7,FALSE)</f>
        <v>Paul Balthazor</v>
      </c>
      <c r="AF1634" s="380" t="str">
        <f>VLOOKUP($B1634,'D7 - NDB Impacted SPRF''s'!$E$6:$O$9929,6,FALSE)</f>
        <v>Carol Brunetti</v>
      </c>
      <c r="AG1634" s="282"/>
      <c r="AH1634" s="311" t="e">
        <f>INDEX('D5 - Gatekeeper - Projects'!$A$4:$AF$1010,$AM1634, 17)</f>
        <v>#N/A</v>
      </c>
      <c r="AI1634" s="8"/>
      <c r="AJ1634" s="57"/>
      <c r="AK1634" s="105"/>
      <c r="AM1634" s="6" t="e">
        <f>MATCH(D1634,'D5 - Gatekeeper - Projects'!$C$4:$C$1010,0)</f>
        <v>#N/A</v>
      </c>
      <c r="AN1634" s="6" t="b">
        <f t="shared" si="178"/>
        <v>1</v>
      </c>
      <c r="AO1634" s="6" t="str">
        <f t="shared" si="180"/>
        <v>OK</v>
      </c>
      <c r="AQ1634" s="6" t="e">
        <f>MATCH($D1634,'D4 - Provider Council Unsched'!$C$11:$C$234,0)</f>
        <v>#N/A</v>
      </c>
      <c r="AR1634" s="6" t="b">
        <f t="shared" si="179"/>
        <v>1</v>
      </c>
      <c r="AS1634" s="6" t="str">
        <f t="shared" si="177"/>
        <v>OK</v>
      </c>
      <c r="AU1634" s="202">
        <v>40707</v>
      </c>
      <c r="AV1634" s="262" t="s">
        <v>1039</v>
      </c>
      <c r="AW1634" s="274">
        <v>34378</v>
      </c>
    </row>
    <row r="1635" spans="1:49" s="13" customFormat="1" ht="33.75" x14ac:dyDescent="0.2">
      <c r="A1635" s="14">
        <v>1611</v>
      </c>
      <c r="B1635" s="8">
        <v>400042994</v>
      </c>
      <c r="C1635" s="8" t="s">
        <v>1447</v>
      </c>
      <c r="D1635" s="4" t="str">
        <f t="shared" si="176"/>
        <v>400042994A</v>
      </c>
      <c r="E1635" s="309" t="str">
        <f>VLOOKUP($B1635,'D7 - NDB Impacted SPRF''s'!$E$6:$O$9929,2,FALSE)</f>
        <v>Install ESRD Module into Webstrat</v>
      </c>
      <c r="F1635" s="8"/>
      <c r="G1635" s="8" t="s">
        <v>4758</v>
      </c>
      <c r="H1635" s="8" t="s">
        <v>4246</v>
      </c>
      <c r="I1635" s="20">
        <v>0.94</v>
      </c>
      <c r="J1635" s="8" t="s">
        <v>4862</v>
      </c>
      <c r="K1635" s="182">
        <v>40950</v>
      </c>
      <c r="L1635" s="8" t="s">
        <v>4156</v>
      </c>
      <c r="M1635" s="8" t="s">
        <v>6007</v>
      </c>
      <c r="N1635" s="38" t="s">
        <v>3918</v>
      </c>
      <c r="O1635" s="8"/>
      <c r="P1635" s="4" t="str">
        <f>VLOOKUP($B1635,'D7 - NDB Impacted SPRF''s'!$E$16:$O$9929,9,FALSE)</f>
        <v>Y</v>
      </c>
      <c r="Q1635" s="4" t="str">
        <f>VLOOKUP($B1635,'D7 - NDB Impacted SPRF''s'!$E$16:$O$9929,10,FALSE)</f>
        <v>N</v>
      </c>
      <c r="R1635" s="4" t="str">
        <f>VLOOKUP($B1635,'D7 - NDB Impacted SPRF''s'!$E$16:$O$9929,11,FALSE)</f>
        <v>Y</v>
      </c>
      <c r="S1635" s="8"/>
      <c r="T1635" s="310"/>
      <c r="U1635" s="310"/>
      <c r="V1635" s="4"/>
      <c r="W1635" s="4"/>
      <c r="X1635" s="4"/>
      <c r="Y1635" s="4"/>
      <c r="Z1635" s="4"/>
      <c r="AA1635" s="4"/>
      <c r="AB1635" s="380" t="str">
        <f>VLOOKUP($B1635,'D7 - NDB Impacted SPRF''s'!$E$6:$O$9929,4,FALSE)</f>
        <v>Completed</v>
      </c>
      <c r="AC1635" s="380" t="str">
        <f>VLOOKUP($B1635,'D7 - NDB Impacted SPRF''s'!$E$6:$O$9929,3,FALSE)</f>
        <v>UnitedHealthcare Employer &amp; Individual</v>
      </c>
      <c r="AD1635" s="380" t="str">
        <f>VLOOKUP($B1635,'D7 - NDB Impacted SPRF''s'!$E$6:$O$9929,5,FALSE)</f>
        <v>Medical Cost Savings Programs</v>
      </c>
      <c r="AE1635" s="380" t="str">
        <f>VLOOKUP($B1635,'D7 - NDB Impacted SPRF''s'!$E$6:$O$9929,7,FALSE)</f>
        <v>Mike O'Boyle</v>
      </c>
      <c r="AF1635" s="380" t="str">
        <f>VLOOKUP($B1635,'D7 - NDB Impacted SPRF''s'!$E$6:$O$9929,6,FALSE)</f>
        <v>Cathleen Ackerman</v>
      </c>
      <c r="AG1635" s="282"/>
      <c r="AH1635" s="311" t="e">
        <f>INDEX('D5 - Gatekeeper - Projects'!$A$4:$AF$1010,$AM1635, 17)</f>
        <v>#N/A</v>
      </c>
      <c r="AI1635" s="8"/>
      <c r="AJ1635" s="57"/>
      <c r="AK1635" s="105"/>
      <c r="AM1635" s="6" t="e">
        <f>MATCH(D1635,'D5 - Gatekeeper - Projects'!$C$4:$C$1010,0)</f>
        <v>#N/A</v>
      </c>
      <c r="AN1635" s="6" t="b">
        <f t="shared" si="178"/>
        <v>1</v>
      </c>
      <c r="AO1635" s="6" t="str">
        <f t="shared" si="180"/>
        <v>OK</v>
      </c>
      <c r="AQ1635" s="6" t="e">
        <f>MATCH($D1635,'D4 - Provider Council Unsched'!$C$11:$C$234,0)</f>
        <v>#N/A</v>
      </c>
      <c r="AR1635" s="6" t="b">
        <f t="shared" si="179"/>
        <v>1</v>
      </c>
      <c r="AS1635" s="6" t="str">
        <f t="shared" si="177"/>
        <v>OK</v>
      </c>
      <c r="AU1635" s="202">
        <v>40879</v>
      </c>
      <c r="AV1635" s="262" t="s">
        <v>1040</v>
      </c>
      <c r="AW1635" s="274"/>
    </row>
    <row r="1636" spans="1:49" s="13" customFormat="1" ht="33.75" x14ac:dyDescent="0.2">
      <c r="A1636" s="14">
        <v>1612</v>
      </c>
      <c r="B1636" s="8">
        <v>400043329</v>
      </c>
      <c r="C1636" s="8" t="s">
        <v>1447</v>
      </c>
      <c r="D1636" s="4" t="str">
        <f t="shared" si="176"/>
        <v>400043329A</v>
      </c>
      <c r="E1636" s="309" t="str">
        <f>VLOOKUP($B1636,'D7 - NDB Impacted SPRF''s'!$E$6:$O$9929,2,FALSE)</f>
        <v>Genetic Testing Mgmt</v>
      </c>
      <c r="F1636" s="8"/>
      <c r="G1636" s="8" t="s">
        <v>4758</v>
      </c>
      <c r="H1636" s="8" t="s">
        <v>4246</v>
      </c>
      <c r="I1636" s="20">
        <v>0.55000000000000004</v>
      </c>
      <c r="J1636" s="8" t="s">
        <v>4862</v>
      </c>
      <c r="K1636" s="182">
        <v>40950</v>
      </c>
      <c r="L1636" s="8" t="s">
        <v>4156</v>
      </c>
      <c r="M1636" s="8" t="s">
        <v>6688</v>
      </c>
      <c r="N1636" s="38"/>
      <c r="O1636" s="8"/>
      <c r="P1636" s="4" t="str">
        <f>VLOOKUP($B1636,'D7 - NDB Impacted SPRF''s'!$E$16:$O$9929,9,FALSE)</f>
        <v>Y</v>
      </c>
      <c r="Q1636" s="4" t="str">
        <f>VLOOKUP($B1636,'D7 - NDB Impacted SPRF''s'!$E$16:$O$9929,10,FALSE)</f>
        <v>N</v>
      </c>
      <c r="R1636" s="4" t="str">
        <f>VLOOKUP($B1636,'D7 - NDB Impacted SPRF''s'!$E$16:$O$9929,11,FALSE)</f>
        <v>Y</v>
      </c>
      <c r="S1636" s="8"/>
      <c r="T1636" s="310"/>
      <c r="U1636" s="310"/>
      <c r="V1636" s="4"/>
      <c r="W1636" s="4"/>
      <c r="X1636" s="4"/>
      <c r="Y1636" s="4"/>
      <c r="Z1636" s="4"/>
      <c r="AA1636" s="4"/>
      <c r="AB1636" s="380" t="str">
        <f>VLOOKUP($B1636,'D7 - NDB Impacted SPRF''s'!$E$6:$O$9929,4,FALSE)</f>
        <v>Completed</v>
      </c>
      <c r="AC1636" s="380" t="s">
        <v>5324</v>
      </c>
      <c r="AD1636" s="380" t="str">
        <f>VLOOKUP($B1636,'D7 - NDB Impacted SPRF''s'!$E$6:$O$9929,5,FALSE)</f>
        <v>Medical Cost Savings Programs</v>
      </c>
      <c r="AE1636" s="380" t="str">
        <f>VLOOKUP($B1636,'D7 - NDB Impacted SPRF''s'!$E$6:$O$9929,7,FALSE)</f>
        <v>Lee Newcomer</v>
      </c>
      <c r="AF1636" s="380" t="str">
        <f>VLOOKUP($B1636,'D7 - NDB Impacted SPRF''s'!$E$6:$O$9929,6,FALSE)</f>
        <v>Tina Ellis</v>
      </c>
      <c r="AG1636" s="282"/>
      <c r="AH1636" s="311" t="e">
        <f>INDEX('D5 - Gatekeeper - Projects'!$A$4:$AF$1010,$AM1636, 17)</f>
        <v>#N/A</v>
      </c>
      <c r="AI1636" s="8"/>
      <c r="AJ1636" s="57"/>
      <c r="AK1636" s="105"/>
      <c r="AM1636" s="6" t="e">
        <f>MATCH(D1636,'D5 - Gatekeeper - Projects'!$C$4:$C$1010,0)</f>
        <v>#N/A</v>
      </c>
      <c r="AN1636" s="6" t="b">
        <f t="shared" si="178"/>
        <v>1</v>
      </c>
      <c r="AO1636" s="6" t="str">
        <f t="shared" si="180"/>
        <v>OK</v>
      </c>
      <c r="AQ1636" s="6" t="e">
        <f>MATCH($D1636,'D4 - Provider Council Unsched'!$C$11:$C$234,0)</f>
        <v>#N/A</v>
      </c>
      <c r="AR1636" s="6" t="b">
        <f t="shared" si="179"/>
        <v>1</v>
      </c>
      <c r="AS1636" s="6" t="str">
        <f t="shared" si="177"/>
        <v>OK</v>
      </c>
      <c r="AU1636" s="202">
        <v>40781</v>
      </c>
      <c r="AV1636" s="262"/>
      <c r="AW1636" s="274"/>
    </row>
    <row r="1637" spans="1:49" s="13" customFormat="1" ht="33.75" x14ac:dyDescent="0.2">
      <c r="A1637" s="14">
        <v>1613</v>
      </c>
      <c r="B1637" s="8">
        <v>400043359</v>
      </c>
      <c r="C1637" s="8" t="s">
        <v>7292</v>
      </c>
      <c r="D1637" s="4" t="str">
        <f t="shared" si="176"/>
        <v>400043359C</v>
      </c>
      <c r="E1637" s="309" t="str">
        <f>VLOOKUP($B1637,'D7 - NDB Impacted SPRF''s'!$E$6:$O$9929,2,FALSE)</f>
        <v>PM&amp;R: Multiple Therapy Procedure Reduction</v>
      </c>
      <c r="F1637" s="8"/>
      <c r="G1637" s="8" t="s">
        <v>4758</v>
      </c>
      <c r="H1637" s="8" t="s">
        <v>4246</v>
      </c>
      <c r="I1637" s="20">
        <v>4.8899999999999997</v>
      </c>
      <c r="J1637" s="8" t="s">
        <v>4862</v>
      </c>
      <c r="K1637" s="182">
        <v>40950</v>
      </c>
      <c r="L1637" s="8" t="s">
        <v>4156</v>
      </c>
      <c r="M1637" s="8" t="s">
        <v>2814</v>
      </c>
      <c r="N1637" s="38" t="s">
        <v>2603</v>
      </c>
      <c r="O1637" s="8"/>
      <c r="P1637" s="4" t="str">
        <f>VLOOKUP($B1637,'D7 - NDB Impacted SPRF''s'!$E$16:$O$9929,9,FALSE)</f>
        <v>Y</v>
      </c>
      <c r="Q1637" s="4" t="str">
        <f>VLOOKUP($B1637,'D7 - NDB Impacted SPRF''s'!$E$16:$O$9929,10,FALSE)</f>
        <v>N</v>
      </c>
      <c r="R1637" s="4" t="str">
        <f>VLOOKUP($B1637,'D7 - NDB Impacted SPRF''s'!$E$16:$O$9929,11,FALSE)</f>
        <v>Y</v>
      </c>
      <c r="S1637" s="8"/>
      <c r="T1637" s="310"/>
      <c r="U1637" s="310"/>
      <c r="V1637" s="4"/>
      <c r="W1637" s="4"/>
      <c r="X1637" s="4"/>
      <c r="Y1637" s="4"/>
      <c r="Z1637" s="4"/>
      <c r="AA1637" s="4"/>
      <c r="AB1637" s="380" t="str">
        <f>VLOOKUP($B1637,'D7 - NDB Impacted SPRF''s'!$E$6:$O$9929,4,FALSE)</f>
        <v>Completed</v>
      </c>
      <c r="AC1637" s="380" t="str">
        <f>VLOOKUP($B1637,'D7 - NDB Impacted SPRF''s'!$E$6:$O$9929,3,FALSE)</f>
        <v>UnitedHealthcare Employer &amp; Individual</v>
      </c>
      <c r="AD1637" s="380" t="str">
        <f>VLOOKUP($B1637,'D7 - NDB Impacted SPRF''s'!$E$6:$O$9929,5,FALSE)</f>
        <v>Medical Cost Savings Programs</v>
      </c>
      <c r="AE1637" s="380" t="str">
        <f>VLOOKUP($B1637,'D7 - NDB Impacted SPRF''s'!$E$6:$O$9929,7,FALSE)</f>
        <v>Lisa McDonnel</v>
      </c>
      <c r="AF1637" s="380" t="str">
        <f>VLOOKUP($B1637,'D7 - NDB Impacted SPRF''s'!$E$6:$O$9929,6,FALSE)</f>
        <v>DAWN BOLLER</v>
      </c>
      <c r="AG1637" s="282"/>
      <c r="AH1637" s="311" t="e">
        <f>INDEX('D5 - Gatekeeper - Projects'!$A$4:$AF$1010,$AM1637, 17)</f>
        <v>#N/A</v>
      </c>
      <c r="AI1637" s="8"/>
      <c r="AJ1637" s="57"/>
      <c r="AK1637" s="105"/>
      <c r="AM1637" s="6" t="e">
        <f>MATCH(D1637,'D5 - Gatekeeper - Projects'!$C$4:$C$1010,0)</f>
        <v>#N/A</v>
      </c>
      <c r="AN1637" s="6" t="b">
        <f t="shared" si="178"/>
        <v>1</v>
      </c>
      <c r="AO1637" s="6" t="str">
        <f t="shared" si="180"/>
        <v>OK</v>
      </c>
      <c r="AQ1637" s="6" t="e">
        <f>MATCH($D1637,'D4 - Provider Council Unsched'!$C$11:$C$234,0)</f>
        <v>#N/A</v>
      </c>
      <c r="AR1637" s="6" t="b">
        <f t="shared" si="179"/>
        <v>1</v>
      </c>
      <c r="AS1637" s="6" t="str">
        <f t="shared" si="177"/>
        <v>OK</v>
      </c>
      <c r="AU1637" s="202">
        <v>40851</v>
      </c>
      <c r="AV1637" s="262" t="s">
        <v>1041</v>
      </c>
      <c r="AW1637" s="274">
        <v>36192</v>
      </c>
    </row>
    <row r="1638" spans="1:49" s="13" customFormat="1" ht="45" x14ac:dyDescent="0.2">
      <c r="A1638" s="14">
        <v>1614</v>
      </c>
      <c r="B1638" s="8">
        <v>400044267</v>
      </c>
      <c r="C1638" s="8" t="s">
        <v>1447</v>
      </c>
      <c r="D1638" s="4" t="str">
        <f t="shared" si="176"/>
        <v>400044267A</v>
      </c>
      <c r="E1638" s="309" t="str">
        <f>VLOOKUP($B1638,'D7 - NDB Impacted SPRF''s'!$E$6:$O$9929,2,FALSE)</f>
        <v>Medical Necessity - IPCM Contracting Scope</v>
      </c>
      <c r="F1638" s="8"/>
      <c r="G1638" s="8" t="s">
        <v>4758</v>
      </c>
      <c r="H1638" s="8" t="s">
        <v>4246</v>
      </c>
      <c r="I1638" s="20">
        <v>77.44</v>
      </c>
      <c r="J1638" s="8" t="s">
        <v>4862</v>
      </c>
      <c r="K1638" s="182">
        <v>40950</v>
      </c>
      <c r="L1638" s="8" t="s">
        <v>4156</v>
      </c>
      <c r="M1638" s="8" t="s">
        <v>2814</v>
      </c>
      <c r="N1638" s="38" t="s">
        <v>166</v>
      </c>
      <c r="O1638" s="8"/>
      <c r="P1638" s="4" t="str">
        <f>VLOOKUP($B1638,'D7 - NDB Impacted SPRF''s'!$E$16:$O$9929,9,FALSE)</f>
        <v>N</v>
      </c>
      <c r="Q1638" s="4" t="str">
        <f>VLOOKUP($B1638,'D7 - NDB Impacted SPRF''s'!$E$16:$O$9929,10,FALSE)</f>
        <v>N</v>
      </c>
      <c r="R1638" s="4" t="str">
        <f>VLOOKUP($B1638,'D7 - NDB Impacted SPRF''s'!$E$16:$O$9929,11,FALSE)</f>
        <v>N</v>
      </c>
      <c r="S1638" s="8"/>
      <c r="T1638" s="310"/>
      <c r="U1638" s="310"/>
      <c r="V1638" s="4"/>
      <c r="W1638" s="4"/>
      <c r="X1638" s="4"/>
      <c r="Y1638" s="4"/>
      <c r="Z1638" s="4"/>
      <c r="AA1638" s="4"/>
      <c r="AB1638" s="380" t="str">
        <f>VLOOKUP($B1638,'D7 - NDB Impacted SPRF''s'!$E$6:$O$9929,4,FALSE)</f>
        <v>Completed</v>
      </c>
      <c r="AC1638" s="380" t="str">
        <f>VLOOKUP($B1638,'D7 - NDB Impacted SPRF''s'!$E$6:$O$9929,3,FALSE)</f>
        <v>UnitedHealthcare Employer &amp; Individual</v>
      </c>
      <c r="AD1638" s="380" t="str">
        <f>VLOOKUP($B1638,'D7 - NDB Impacted SPRF''s'!$E$6:$O$9929,5,FALSE)</f>
        <v>Medical Cost Savings Programs</v>
      </c>
      <c r="AE1638" s="380" t="str">
        <f>VLOOKUP($B1638,'D7 - NDB Impacted SPRF''s'!$E$6:$O$9929,7,FALSE)</f>
        <v>Sam Ho/Kevin Ruth</v>
      </c>
      <c r="AF1638" s="380" t="str">
        <f>VLOOKUP($B1638,'D7 - NDB Impacted SPRF''s'!$E$6:$O$9929,6,FALSE)</f>
        <v>CANDRA TAYLOR</v>
      </c>
      <c r="AG1638" s="282"/>
      <c r="AH1638" s="311" t="e">
        <f>INDEX('D5 - Gatekeeper - Projects'!$A$4:$AF$1010,$AM1638, 17)</f>
        <v>#N/A</v>
      </c>
      <c r="AI1638" s="8"/>
      <c r="AJ1638" s="57"/>
      <c r="AK1638" s="105"/>
      <c r="AM1638" s="6" t="e">
        <f>MATCH(D1638,'D5 - Gatekeeper - Projects'!$C$4:$C$1010,0)</f>
        <v>#N/A</v>
      </c>
      <c r="AN1638" s="6" t="b">
        <f t="shared" si="178"/>
        <v>1</v>
      </c>
      <c r="AO1638" s="6" t="str">
        <f t="shared" si="180"/>
        <v>OK</v>
      </c>
      <c r="AQ1638" s="6" t="e">
        <f>MATCH($D1638,'D4 - Provider Council Unsched'!$C$11:$C$234,0)</f>
        <v>#N/A</v>
      </c>
      <c r="AR1638" s="6" t="b">
        <f t="shared" si="179"/>
        <v>1</v>
      </c>
      <c r="AS1638" s="6" t="str">
        <f t="shared" si="177"/>
        <v>OK</v>
      </c>
      <c r="AU1638" s="202">
        <v>40735</v>
      </c>
      <c r="AV1638" s="262" t="s">
        <v>1042</v>
      </c>
      <c r="AW1638" s="274">
        <v>39427</v>
      </c>
    </row>
    <row r="1639" spans="1:49" s="13" customFormat="1" ht="33.75" x14ac:dyDescent="0.2">
      <c r="A1639" s="14">
        <v>1615</v>
      </c>
      <c r="B1639" s="8">
        <v>400044267</v>
      </c>
      <c r="C1639" s="8" t="s">
        <v>7290</v>
      </c>
      <c r="D1639" s="4" t="str">
        <f t="shared" si="176"/>
        <v>400044267B</v>
      </c>
      <c r="E1639" s="309" t="str">
        <f>VLOOKUP($B1639,'D7 - NDB Impacted SPRF''s'!$E$6:$O$9929,2,FALSE)</f>
        <v>Medical Necessity - IPCM Contracting Scope</v>
      </c>
      <c r="F1639" s="8"/>
      <c r="G1639" s="8" t="s">
        <v>4758</v>
      </c>
      <c r="H1639" s="8" t="s">
        <v>4246</v>
      </c>
      <c r="I1639" s="20">
        <v>3.4</v>
      </c>
      <c r="J1639" s="8" t="s">
        <v>4862</v>
      </c>
      <c r="K1639" s="182">
        <v>40950</v>
      </c>
      <c r="L1639" s="8" t="s">
        <v>4156</v>
      </c>
      <c r="M1639" s="8" t="s">
        <v>2814</v>
      </c>
      <c r="N1639" s="38" t="s">
        <v>1875</v>
      </c>
      <c r="O1639" s="8"/>
      <c r="P1639" s="4" t="str">
        <f>VLOOKUP($B1639,'D7 - NDB Impacted SPRF''s'!$E$16:$O$9929,9,FALSE)</f>
        <v>N</v>
      </c>
      <c r="Q1639" s="4" t="str">
        <f>VLOOKUP($B1639,'D7 - NDB Impacted SPRF''s'!$E$16:$O$9929,10,FALSE)</f>
        <v>N</v>
      </c>
      <c r="R1639" s="4" t="str">
        <f>VLOOKUP($B1639,'D7 - NDB Impacted SPRF''s'!$E$16:$O$9929,11,FALSE)</f>
        <v>N</v>
      </c>
      <c r="S1639" s="8"/>
      <c r="T1639" s="310"/>
      <c r="U1639" s="310"/>
      <c r="V1639" s="4"/>
      <c r="W1639" s="4"/>
      <c r="X1639" s="4"/>
      <c r="Y1639" s="4"/>
      <c r="Z1639" s="4"/>
      <c r="AA1639" s="4"/>
      <c r="AB1639" s="380" t="str">
        <f>VLOOKUP($B1639,'D7 - NDB Impacted SPRF''s'!$E$6:$O$9929,4,FALSE)</f>
        <v>Completed</v>
      </c>
      <c r="AC1639" s="380" t="str">
        <f>VLOOKUP($B1639,'D7 - NDB Impacted SPRF''s'!$E$6:$O$9929,3,FALSE)</f>
        <v>UnitedHealthcare Employer &amp; Individual</v>
      </c>
      <c r="AD1639" s="380" t="str">
        <f>VLOOKUP($B1639,'D7 - NDB Impacted SPRF''s'!$E$6:$O$9929,5,FALSE)</f>
        <v>Medical Cost Savings Programs</v>
      </c>
      <c r="AE1639" s="380" t="str">
        <f>VLOOKUP($B1639,'D7 - NDB Impacted SPRF''s'!$E$6:$O$9929,7,FALSE)</f>
        <v>Sam Ho/Kevin Ruth</v>
      </c>
      <c r="AF1639" s="380" t="str">
        <f>VLOOKUP($B1639,'D7 - NDB Impacted SPRF''s'!$E$6:$O$9929,6,FALSE)</f>
        <v>CANDRA TAYLOR</v>
      </c>
      <c r="AG1639" s="282"/>
      <c r="AH1639" s="311" t="e">
        <f>INDEX('D5 - Gatekeeper - Projects'!$A$4:$AF$1010,$AM1639, 17)</f>
        <v>#N/A</v>
      </c>
      <c r="AI1639" s="8"/>
      <c r="AJ1639" s="57"/>
      <c r="AK1639" s="105"/>
      <c r="AM1639" s="6" t="e">
        <f>MATCH(D1639,'D5 - Gatekeeper - Projects'!$C$4:$C$1010,0)</f>
        <v>#N/A</v>
      </c>
      <c r="AN1639" s="6" t="b">
        <f t="shared" si="178"/>
        <v>1</v>
      </c>
      <c r="AO1639" s="6" t="str">
        <f t="shared" si="180"/>
        <v>OK</v>
      </c>
      <c r="AQ1639" s="6" t="e">
        <f>MATCH($D1639,'D4 - Provider Council Unsched'!$C$11:$C$234,0)</f>
        <v>#N/A</v>
      </c>
      <c r="AR1639" s="6" t="b">
        <f t="shared" si="179"/>
        <v>1</v>
      </c>
      <c r="AS1639" s="6" t="str">
        <f t="shared" si="177"/>
        <v>OK</v>
      </c>
      <c r="AU1639" s="202">
        <v>40802</v>
      </c>
      <c r="AV1639" s="262" t="s">
        <v>1042</v>
      </c>
      <c r="AW1639" s="274">
        <v>39427</v>
      </c>
    </row>
    <row r="1640" spans="1:49" s="13" customFormat="1" ht="33.75" x14ac:dyDescent="0.2">
      <c r="A1640" s="14">
        <v>1616</v>
      </c>
      <c r="B1640" s="8">
        <v>400044267</v>
      </c>
      <c r="C1640" s="8" t="s">
        <v>7292</v>
      </c>
      <c r="D1640" s="4" t="str">
        <f t="shared" si="176"/>
        <v>400044267C</v>
      </c>
      <c r="E1640" s="309" t="str">
        <f>VLOOKUP($B1640,'D7 - NDB Impacted SPRF''s'!$E$6:$O$9929,2,FALSE)</f>
        <v>Medical Necessity - IPCM Contracting Scope</v>
      </c>
      <c r="F1640" s="8"/>
      <c r="G1640" s="8" t="s">
        <v>4758</v>
      </c>
      <c r="H1640" s="8" t="s">
        <v>4246</v>
      </c>
      <c r="I1640" s="20">
        <v>2.58</v>
      </c>
      <c r="J1640" s="8" t="s">
        <v>4862</v>
      </c>
      <c r="K1640" s="182">
        <v>40950</v>
      </c>
      <c r="L1640" s="8" t="s">
        <v>4156</v>
      </c>
      <c r="M1640" s="8" t="s">
        <v>2814</v>
      </c>
      <c r="N1640" s="38" t="s">
        <v>3067</v>
      </c>
      <c r="O1640" s="8"/>
      <c r="P1640" s="4" t="str">
        <f>VLOOKUP($B1640,'D7 - NDB Impacted SPRF''s'!$E$16:$O$9929,9,FALSE)</f>
        <v>N</v>
      </c>
      <c r="Q1640" s="4" t="str">
        <f>VLOOKUP($B1640,'D7 - NDB Impacted SPRF''s'!$E$16:$O$9929,10,FALSE)</f>
        <v>N</v>
      </c>
      <c r="R1640" s="4" t="str">
        <f>VLOOKUP($B1640,'D7 - NDB Impacted SPRF''s'!$E$16:$O$9929,11,FALSE)</f>
        <v>N</v>
      </c>
      <c r="S1640" s="8"/>
      <c r="T1640" s="310"/>
      <c r="U1640" s="310"/>
      <c r="V1640" s="4"/>
      <c r="W1640" s="4"/>
      <c r="X1640" s="4"/>
      <c r="Y1640" s="4"/>
      <c r="Z1640" s="4"/>
      <c r="AA1640" s="4"/>
      <c r="AB1640" s="380" t="str">
        <f>VLOOKUP($B1640,'D7 - NDB Impacted SPRF''s'!$E$6:$O$9929,4,FALSE)</f>
        <v>Completed</v>
      </c>
      <c r="AC1640" s="380" t="str">
        <f>VLOOKUP($B1640,'D7 - NDB Impacted SPRF''s'!$E$6:$O$9929,3,FALSE)</f>
        <v>UnitedHealthcare Employer &amp; Individual</v>
      </c>
      <c r="AD1640" s="380" t="str">
        <f>VLOOKUP($B1640,'D7 - NDB Impacted SPRF''s'!$E$6:$O$9929,5,FALSE)</f>
        <v>Medical Cost Savings Programs</v>
      </c>
      <c r="AE1640" s="380" t="str">
        <f>VLOOKUP($B1640,'D7 - NDB Impacted SPRF''s'!$E$6:$O$9929,7,FALSE)</f>
        <v>Sam Ho/Kevin Ruth</v>
      </c>
      <c r="AF1640" s="380" t="str">
        <f>VLOOKUP($B1640,'D7 - NDB Impacted SPRF''s'!$E$6:$O$9929,6,FALSE)</f>
        <v>CANDRA TAYLOR</v>
      </c>
      <c r="AG1640" s="282"/>
      <c r="AH1640" s="311" t="e">
        <f>INDEX('D5 - Gatekeeper - Projects'!$A$4:$AF$1010,$AM1640, 17)</f>
        <v>#N/A</v>
      </c>
      <c r="AI1640" s="8"/>
      <c r="AJ1640" s="57"/>
      <c r="AK1640" s="105"/>
      <c r="AM1640" s="6" t="e">
        <f>MATCH(D1640,'D5 - Gatekeeper - Projects'!$C$4:$C$1010,0)</f>
        <v>#N/A</v>
      </c>
      <c r="AN1640" s="6" t="b">
        <f t="shared" si="178"/>
        <v>1</v>
      </c>
      <c r="AO1640" s="6" t="str">
        <f t="shared" si="180"/>
        <v>OK</v>
      </c>
      <c r="AQ1640" s="6" t="e">
        <f>MATCH($D1640,'D4 - Provider Council Unsched'!$C$11:$C$234,0)</f>
        <v>#N/A</v>
      </c>
      <c r="AR1640" s="6" t="b">
        <f t="shared" si="179"/>
        <v>1</v>
      </c>
      <c r="AS1640" s="6" t="str">
        <f t="shared" si="177"/>
        <v>OK</v>
      </c>
      <c r="AU1640" s="202">
        <v>40816</v>
      </c>
      <c r="AV1640" s="262" t="s">
        <v>1042</v>
      </c>
      <c r="AW1640" s="274">
        <v>39427</v>
      </c>
    </row>
    <row r="1641" spans="1:49" s="13" customFormat="1" ht="33.75" x14ac:dyDescent="0.2">
      <c r="A1641" s="14">
        <v>1617</v>
      </c>
      <c r="B1641" s="8">
        <v>400044267</v>
      </c>
      <c r="C1641" s="8" t="s">
        <v>7289</v>
      </c>
      <c r="D1641" s="4" t="str">
        <f t="shared" si="176"/>
        <v>400044267D</v>
      </c>
      <c r="E1641" s="309" t="str">
        <f>VLOOKUP($B1641,'D7 - NDB Impacted SPRF''s'!$E$6:$O$9929,2,FALSE)</f>
        <v>Medical Necessity - IPCM Contracting Scope</v>
      </c>
      <c r="F1641" s="8"/>
      <c r="G1641" s="8" t="s">
        <v>4758</v>
      </c>
      <c r="H1641" s="8" t="s">
        <v>4246</v>
      </c>
      <c r="I1641" s="20">
        <v>9.99</v>
      </c>
      <c r="J1641" s="8" t="s">
        <v>4862</v>
      </c>
      <c r="K1641" s="182">
        <v>40950</v>
      </c>
      <c r="L1641" s="8" t="s">
        <v>4156</v>
      </c>
      <c r="M1641" s="8" t="s">
        <v>2814</v>
      </c>
      <c r="N1641" s="38" t="s">
        <v>3918</v>
      </c>
      <c r="O1641" s="8"/>
      <c r="P1641" s="4" t="str">
        <f>VLOOKUP($B1641,'D7 - NDB Impacted SPRF''s'!$E$16:$O$9929,9,FALSE)</f>
        <v>N</v>
      </c>
      <c r="Q1641" s="4" t="str">
        <f>VLOOKUP($B1641,'D7 - NDB Impacted SPRF''s'!$E$16:$O$9929,10,FALSE)</f>
        <v>N</v>
      </c>
      <c r="R1641" s="4" t="str">
        <f>VLOOKUP($B1641,'D7 - NDB Impacted SPRF''s'!$E$16:$O$9929,11,FALSE)</f>
        <v>N</v>
      </c>
      <c r="S1641" s="8"/>
      <c r="T1641" s="310"/>
      <c r="U1641" s="310"/>
      <c r="V1641" s="4"/>
      <c r="W1641" s="4"/>
      <c r="X1641" s="4"/>
      <c r="Y1641" s="4"/>
      <c r="Z1641" s="4"/>
      <c r="AA1641" s="4"/>
      <c r="AB1641" s="380" t="str">
        <f>VLOOKUP($B1641,'D7 - NDB Impacted SPRF''s'!$E$6:$O$9929,4,FALSE)</f>
        <v>Completed</v>
      </c>
      <c r="AC1641" s="380" t="str">
        <f>VLOOKUP($B1641,'D7 - NDB Impacted SPRF''s'!$E$6:$O$9929,3,FALSE)</f>
        <v>UnitedHealthcare Employer &amp; Individual</v>
      </c>
      <c r="AD1641" s="380" t="str">
        <f>VLOOKUP($B1641,'D7 - NDB Impacted SPRF''s'!$E$6:$O$9929,5,FALSE)</f>
        <v>Medical Cost Savings Programs</v>
      </c>
      <c r="AE1641" s="380" t="str">
        <f>VLOOKUP($B1641,'D7 - NDB Impacted SPRF''s'!$E$6:$O$9929,7,FALSE)</f>
        <v>Sam Ho/Kevin Ruth</v>
      </c>
      <c r="AF1641" s="380" t="str">
        <f>VLOOKUP($B1641,'D7 - NDB Impacted SPRF''s'!$E$6:$O$9929,6,FALSE)</f>
        <v>CANDRA TAYLOR</v>
      </c>
      <c r="AG1641" s="282"/>
      <c r="AH1641" s="311" t="e">
        <f>INDEX('D5 - Gatekeeper - Projects'!$A$4:$AF$1010,$AM1641, 17)</f>
        <v>#N/A</v>
      </c>
      <c r="AI1641" s="8"/>
      <c r="AJ1641" s="57"/>
      <c r="AK1641" s="105"/>
      <c r="AM1641" s="6" t="e">
        <f>MATCH(D1641,'D5 - Gatekeeper - Projects'!$C$4:$C$1010,0)</f>
        <v>#N/A</v>
      </c>
      <c r="AN1641" s="6" t="b">
        <f t="shared" si="178"/>
        <v>1</v>
      </c>
      <c r="AO1641" s="6" t="str">
        <f t="shared" si="180"/>
        <v>OK</v>
      </c>
      <c r="AQ1641" s="6" t="e">
        <f>MATCH($D1641,'D4 - Provider Council Unsched'!$C$11:$C$234,0)</f>
        <v>#N/A</v>
      </c>
      <c r="AR1641" s="6" t="b">
        <f t="shared" si="179"/>
        <v>1</v>
      </c>
      <c r="AS1641" s="6" t="str">
        <f t="shared" si="177"/>
        <v>OK</v>
      </c>
      <c r="AU1641" s="202">
        <v>40816</v>
      </c>
      <c r="AV1641" s="262" t="s">
        <v>1042</v>
      </c>
      <c r="AW1641" s="274">
        <v>39427</v>
      </c>
    </row>
    <row r="1642" spans="1:49" s="13" customFormat="1" ht="33.75" x14ac:dyDescent="0.2">
      <c r="A1642" s="14">
        <v>1618</v>
      </c>
      <c r="B1642" s="8">
        <v>400044267</v>
      </c>
      <c r="C1642" s="8" t="s">
        <v>7291</v>
      </c>
      <c r="D1642" s="4" t="str">
        <f t="shared" si="176"/>
        <v>400044267E</v>
      </c>
      <c r="E1642" s="309" t="str">
        <f>VLOOKUP($B1642,'D7 - NDB Impacted SPRF''s'!$E$6:$O$9929,2,FALSE)</f>
        <v>Medical Necessity - IPCM Contracting Scope</v>
      </c>
      <c r="F1642" s="8"/>
      <c r="G1642" s="8" t="s">
        <v>4758</v>
      </c>
      <c r="H1642" s="8" t="s">
        <v>4246</v>
      </c>
      <c r="I1642" s="20">
        <v>6</v>
      </c>
      <c r="J1642" s="8" t="s">
        <v>4862</v>
      </c>
      <c r="K1642" s="182">
        <v>40950</v>
      </c>
      <c r="L1642" s="8" t="s">
        <v>4156</v>
      </c>
      <c r="M1642" s="8" t="s">
        <v>2814</v>
      </c>
      <c r="N1642" s="38" t="s">
        <v>5490</v>
      </c>
      <c r="O1642" s="8"/>
      <c r="P1642" s="4" t="str">
        <f>VLOOKUP($B1642,'D7 - NDB Impacted SPRF''s'!$E$16:$O$9929,9,FALSE)</f>
        <v>N</v>
      </c>
      <c r="Q1642" s="4" t="str">
        <f>VLOOKUP($B1642,'D7 - NDB Impacted SPRF''s'!$E$16:$O$9929,10,FALSE)</f>
        <v>N</v>
      </c>
      <c r="R1642" s="4" t="str">
        <f>VLOOKUP($B1642,'D7 - NDB Impacted SPRF''s'!$E$16:$O$9929,11,FALSE)</f>
        <v>N</v>
      </c>
      <c r="S1642" s="8"/>
      <c r="T1642" s="310"/>
      <c r="U1642" s="310"/>
      <c r="V1642" s="4"/>
      <c r="W1642" s="4"/>
      <c r="X1642" s="4"/>
      <c r="Y1642" s="4"/>
      <c r="Z1642" s="4"/>
      <c r="AA1642" s="4"/>
      <c r="AB1642" s="380" t="str">
        <f>VLOOKUP($B1642,'D7 - NDB Impacted SPRF''s'!$E$6:$O$9929,4,FALSE)</f>
        <v>Completed</v>
      </c>
      <c r="AC1642" s="380" t="str">
        <f>VLOOKUP($B1642,'D7 - NDB Impacted SPRF''s'!$E$6:$O$9929,3,FALSE)</f>
        <v>UnitedHealthcare Employer &amp; Individual</v>
      </c>
      <c r="AD1642" s="380" t="str">
        <f>VLOOKUP($B1642,'D7 - NDB Impacted SPRF''s'!$E$6:$O$9929,5,FALSE)</f>
        <v>Medical Cost Savings Programs</v>
      </c>
      <c r="AE1642" s="380" t="str">
        <f>VLOOKUP($B1642,'D7 - NDB Impacted SPRF''s'!$E$6:$O$9929,7,FALSE)</f>
        <v>Sam Ho/Kevin Ruth</v>
      </c>
      <c r="AF1642" s="380" t="str">
        <f>VLOOKUP($B1642,'D7 - NDB Impacted SPRF''s'!$E$6:$O$9929,6,FALSE)</f>
        <v>CANDRA TAYLOR</v>
      </c>
      <c r="AG1642" s="282"/>
      <c r="AH1642" s="311" t="e">
        <f>INDEX('D5 - Gatekeeper - Projects'!$A$4:$AF$1010,$AM1642, 17)</f>
        <v>#N/A</v>
      </c>
      <c r="AI1642" s="8"/>
      <c r="AJ1642" s="57"/>
      <c r="AK1642" s="105"/>
      <c r="AM1642" s="6" t="e">
        <f>MATCH(D1642,'D5 - Gatekeeper - Projects'!$C$4:$C$1010,0)</f>
        <v>#N/A</v>
      </c>
      <c r="AN1642" s="6" t="b">
        <f t="shared" si="178"/>
        <v>1</v>
      </c>
      <c r="AO1642" s="6" t="str">
        <f t="shared" si="180"/>
        <v>OK</v>
      </c>
      <c r="AQ1642" s="6" t="e">
        <f>MATCH($D1642,'D4 - Provider Council Unsched'!$C$11:$C$234,0)</f>
        <v>#N/A</v>
      </c>
      <c r="AR1642" s="6" t="b">
        <f t="shared" si="179"/>
        <v>1</v>
      </c>
      <c r="AS1642" s="6" t="str">
        <f t="shared" si="177"/>
        <v>OK</v>
      </c>
      <c r="AU1642" s="202">
        <v>40816</v>
      </c>
      <c r="AV1642" s="262" t="s">
        <v>1042</v>
      </c>
      <c r="AW1642" s="274">
        <v>39427</v>
      </c>
    </row>
    <row r="1643" spans="1:49" s="13" customFormat="1" ht="33.75" x14ac:dyDescent="0.2">
      <c r="A1643" s="14">
        <v>1619</v>
      </c>
      <c r="B1643" s="8">
        <v>400044569</v>
      </c>
      <c r="C1643" s="8" t="s">
        <v>1447</v>
      </c>
      <c r="D1643" s="4" t="str">
        <f t="shared" si="176"/>
        <v>400044569A</v>
      </c>
      <c r="E1643" s="309" t="str">
        <f>VLOOKUP($B1643,'D7 - NDB Impacted SPRF''s'!$E$6:$O$9929,2,FALSE)</f>
        <v>iCES Clearinghouse Feb 2012 Maintenance Release</v>
      </c>
      <c r="F1643" s="8"/>
      <c r="G1643" s="8" t="s">
        <v>4758</v>
      </c>
      <c r="H1643" s="8" t="s">
        <v>4246</v>
      </c>
      <c r="I1643" s="20">
        <v>0.17</v>
      </c>
      <c r="J1643" s="8" t="s">
        <v>4862</v>
      </c>
      <c r="K1643" s="182">
        <v>40950</v>
      </c>
      <c r="L1643" s="8" t="s">
        <v>4156</v>
      </c>
      <c r="M1643" s="8" t="s">
        <v>5626</v>
      </c>
      <c r="N1643" s="38"/>
      <c r="O1643" s="8"/>
      <c r="P1643" s="4" t="str">
        <f>VLOOKUP($B1643,'D7 - NDB Impacted SPRF''s'!$E$16:$O$9929,9,FALSE)</f>
        <v>Y</v>
      </c>
      <c r="Q1643" s="4" t="str">
        <f>VLOOKUP($B1643,'D7 - NDB Impacted SPRF''s'!$E$16:$O$9929,10,FALSE)</f>
        <v>N</v>
      </c>
      <c r="R1643" s="4" t="str">
        <f>VLOOKUP($B1643,'D7 - NDB Impacted SPRF''s'!$E$16:$O$9929,11,FALSE)</f>
        <v>N</v>
      </c>
      <c r="S1643" s="8"/>
      <c r="T1643" s="310"/>
      <c r="U1643" s="310"/>
      <c r="V1643" s="4"/>
      <c r="W1643" s="4"/>
      <c r="X1643" s="4"/>
      <c r="Y1643" s="4"/>
      <c r="Z1643" s="4"/>
      <c r="AA1643" s="4"/>
      <c r="AB1643" s="380" t="str">
        <f>VLOOKUP($B1643,'D7 - NDB Impacted SPRF''s'!$E$6:$O$9929,4,FALSE)</f>
        <v>Completed</v>
      </c>
      <c r="AC1643" s="380" t="str">
        <f>VLOOKUP($B1643,'D7 - NDB Impacted SPRF''s'!$E$6:$O$9929,3,FALSE)</f>
        <v>UnitedHealthcare Employer &amp; Individual</v>
      </c>
      <c r="AD1643" s="380" t="str">
        <f>VLOOKUP($B1643,'D7 - NDB Impacted SPRF''s'!$E$6:$O$9929,5,FALSE)</f>
        <v>Operational Requirements</v>
      </c>
      <c r="AE1643" s="380" t="str">
        <f>VLOOKUP($B1643,'D7 - NDB Impacted SPRF''s'!$E$6:$O$9929,7,FALSE)</f>
        <v>Kathy Learst</v>
      </c>
      <c r="AF1643" s="380" t="str">
        <f>VLOOKUP($B1643,'D7 - NDB Impacted SPRF''s'!$E$6:$O$9929,6,FALSE)</f>
        <v>DAWN BOLLER</v>
      </c>
      <c r="AG1643" s="282"/>
      <c r="AH1643" s="311" t="e">
        <f>INDEX('D5 - Gatekeeper - Projects'!$A$4:$AF$1010,$AM1643, 17)</f>
        <v>#N/A</v>
      </c>
      <c r="AI1643" s="8"/>
      <c r="AJ1643" s="57"/>
      <c r="AK1643" s="105"/>
      <c r="AM1643" s="6" t="e">
        <f>MATCH(D1643,'D5 - Gatekeeper - Projects'!$C$4:$C$1010,0)</f>
        <v>#N/A</v>
      </c>
      <c r="AN1643" s="6" t="b">
        <f t="shared" si="178"/>
        <v>1</v>
      </c>
      <c r="AO1643" s="6" t="str">
        <f t="shared" si="180"/>
        <v>OK</v>
      </c>
      <c r="AQ1643" s="6" t="e">
        <f>MATCH($D1643,'D4 - Provider Council Unsched'!$C$11:$C$234,0)</f>
        <v>#N/A</v>
      </c>
      <c r="AR1643" s="6" t="b">
        <f t="shared" si="179"/>
        <v>1</v>
      </c>
      <c r="AS1643" s="6" t="str">
        <f t="shared" si="177"/>
        <v>OK</v>
      </c>
      <c r="AU1643" s="202">
        <v>40828</v>
      </c>
      <c r="AV1643" s="262" t="s">
        <v>2303</v>
      </c>
      <c r="AW1643" s="274"/>
    </row>
    <row r="1644" spans="1:49" s="13" customFormat="1" ht="22.5" x14ac:dyDescent="0.2">
      <c r="A1644" s="14">
        <v>1620</v>
      </c>
      <c r="B1644" s="8">
        <v>400044584</v>
      </c>
      <c r="C1644" s="8" t="s">
        <v>1447</v>
      </c>
      <c r="D1644" s="4" t="str">
        <f t="shared" si="176"/>
        <v>400044584A</v>
      </c>
      <c r="E1644" s="309" t="str">
        <f>VLOOKUP($B1644,'D7 - NDB Impacted SPRF''s'!$E$6:$O$9929,2,FALSE)</f>
        <v>ICUE Q1 2012</v>
      </c>
      <c r="F1644" s="8"/>
      <c r="G1644" s="8" t="s">
        <v>4758</v>
      </c>
      <c r="H1644" s="8" t="s">
        <v>4246</v>
      </c>
      <c r="I1644" s="20">
        <v>0.7</v>
      </c>
      <c r="J1644" s="8" t="s">
        <v>4862</v>
      </c>
      <c r="K1644" s="182">
        <v>40950</v>
      </c>
      <c r="L1644" s="8" t="s">
        <v>4156</v>
      </c>
      <c r="M1644" s="8" t="s">
        <v>5626</v>
      </c>
      <c r="N1644" s="38" t="s">
        <v>167</v>
      </c>
      <c r="O1644" s="8"/>
      <c r="P1644" s="4" t="str">
        <f>VLOOKUP($B1644,'D7 - NDB Impacted SPRF''s'!$E$16:$O$9929,9,FALSE)</f>
        <v>Y</v>
      </c>
      <c r="Q1644" s="4" t="str">
        <f>VLOOKUP($B1644,'D7 - NDB Impacted SPRF''s'!$E$16:$O$9929,10,FALSE)</f>
        <v>N</v>
      </c>
      <c r="R1644" s="4" t="str">
        <f>VLOOKUP($B1644,'D7 - NDB Impacted SPRF''s'!$E$16:$O$9929,11,FALSE)</f>
        <v>N</v>
      </c>
      <c r="S1644" s="8"/>
      <c r="T1644" s="310"/>
      <c r="U1644" s="310"/>
      <c r="V1644" s="4"/>
      <c r="W1644" s="4"/>
      <c r="X1644" s="4"/>
      <c r="Y1644" s="4"/>
      <c r="Z1644" s="4"/>
      <c r="AA1644" s="4"/>
      <c r="AB1644" s="380" t="str">
        <f>VLOOKUP($B1644,'D7 - NDB Impacted SPRF''s'!$E$6:$O$9929,4,FALSE)</f>
        <v>Completed</v>
      </c>
      <c r="AC1644" s="380" t="str">
        <f>VLOOKUP($B1644,'D7 - NDB Impacted SPRF''s'!$E$6:$O$9929,3,FALSE)</f>
        <v>OptumHealth</v>
      </c>
      <c r="AD1644" s="380" t="str">
        <f>VLOOKUP($B1644,'D7 - NDB Impacted SPRF''s'!$E$6:$O$9929,5,FALSE)</f>
        <v>OptumHealth Care Solutions</v>
      </c>
      <c r="AE1644" s="380" t="str">
        <f>VLOOKUP($B1644,'D7 - NDB Impacted SPRF''s'!$E$6:$O$9929,7,FALSE)</f>
        <v>Ellen Koch</v>
      </c>
      <c r="AF1644" s="380" t="str">
        <f>VLOOKUP($B1644,'D7 - NDB Impacted SPRF''s'!$E$6:$O$9929,6,FALSE)</f>
        <v>Carol Buske</v>
      </c>
      <c r="AG1644" s="282"/>
      <c r="AH1644" s="311" t="e">
        <f>INDEX('D5 - Gatekeeper - Projects'!$A$4:$AF$1010,$AM1644, 17)</f>
        <v>#N/A</v>
      </c>
      <c r="AI1644" s="8"/>
      <c r="AJ1644" s="57"/>
      <c r="AK1644" s="105"/>
      <c r="AM1644" s="6" t="e">
        <f>MATCH(D1644,'D5 - Gatekeeper - Projects'!$C$4:$C$1010,0)</f>
        <v>#N/A</v>
      </c>
      <c r="AN1644" s="6" t="b">
        <f t="shared" si="178"/>
        <v>1</v>
      </c>
      <c r="AO1644" s="6" t="str">
        <f t="shared" si="180"/>
        <v>OK</v>
      </c>
      <c r="AQ1644" s="6" t="e">
        <f>MATCH($D1644,'D4 - Provider Council Unsched'!$C$11:$C$234,0)</f>
        <v>#N/A</v>
      </c>
      <c r="AR1644" s="6" t="b">
        <f t="shared" si="179"/>
        <v>1</v>
      </c>
      <c r="AS1644" s="6" t="str">
        <f t="shared" si="177"/>
        <v>OK</v>
      </c>
      <c r="AU1644" s="202">
        <v>40735</v>
      </c>
      <c r="AV1644" s="262" t="s">
        <v>1044</v>
      </c>
      <c r="AW1644" s="274">
        <v>39247</v>
      </c>
    </row>
    <row r="1645" spans="1:49" s="13" customFormat="1" ht="22.5" x14ac:dyDescent="0.2">
      <c r="A1645" s="14">
        <v>1621</v>
      </c>
      <c r="B1645" s="8">
        <v>400044754</v>
      </c>
      <c r="C1645" s="8" t="s">
        <v>7290</v>
      </c>
      <c r="D1645" s="4" t="str">
        <f t="shared" si="176"/>
        <v>400044754B</v>
      </c>
      <c r="E1645" s="309" t="str">
        <f>VLOOKUP($B1645,'D7 - NDB Impacted SPRF''s'!$E$6:$O$9929,2,FALSE)</f>
        <v>Project Strawberry - Application Solutions</v>
      </c>
      <c r="F1645" s="8"/>
      <c r="G1645" s="8" t="s">
        <v>4758</v>
      </c>
      <c r="H1645" s="8" t="s">
        <v>4246</v>
      </c>
      <c r="I1645" s="20">
        <v>4.55</v>
      </c>
      <c r="J1645" s="8" t="s">
        <v>4862</v>
      </c>
      <c r="K1645" s="182">
        <v>40950</v>
      </c>
      <c r="L1645" s="8" t="s">
        <v>4156</v>
      </c>
      <c r="M1645" s="8" t="s">
        <v>4450</v>
      </c>
      <c r="N1645" s="38" t="s">
        <v>796</v>
      </c>
      <c r="O1645" s="8"/>
      <c r="P1645" s="4" t="str">
        <f>VLOOKUP($B1645,'D7 - NDB Impacted SPRF''s'!$E$16:$O$9929,9,FALSE)</f>
        <v>N</v>
      </c>
      <c r="Q1645" s="4" t="str">
        <f>VLOOKUP($B1645,'D7 - NDB Impacted SPRF''s'!$E$16:$O$9929,10,FALSE)</f>
        <v>N</v>
      </c>
      <c r="R1645" s="4" t="str">
        <f>VLOOKUP($B1645,'D7 - NDB Impacted SPRF''s'!$E$16:$O$9929,11,FALSE)</f>
        <v>N</v>
      </c>
      <c r="S1645" s="8"/>
      <c r="T1645" s="310"/>
      <c r="U1645" s="310"/>
      <c r="V1645" s="4"/>
      <c r="W1645" s="4"/>
      <c r="X1645" s="4"/>
      <c r="Y1645" s="4"/>
      <c r="Z1645" s="4"/>
      <c r="AA1645" s="4"/>
      <c r="AB1645" s="380" t="str">
        <f>VLOOKUP($B1645,'D7 - NDB Impacted SPRF''s'!$E$6:$O$9929,4,FALSE)</f>
        <v>Completed</v>
      </c>
      <c r="AC1645" s="380" t="str">
        <f>VLOOKUP($B1645,'D7 - NDB Impacted SPRF''s'!$E$6:$O$9929,3,FALSE)</f>
        <v>UHG IT - Shared Services</v>
      </c>
      <c r="AD1645" s="380" t="str">
        <f>VLOOKUP($B1645,'D7 - NDB Impacted SPRF''s'!$E$6:$O$9929,5,FALSE)</f>
        <v>Strategic Initiatives</v>
      </c>
      <c r="AE1645" s="380" t="str">
        <f>VLOOKUP($B1645,'D7 - NDB Impacted SPRF''s'!$E$6:$O$9929,7,FALSE)</f>
        <v>Dino Colaluca</v>
      </c>
      <c r="AF1645" s="380" t="str">
        <f>VLOOKUP($B1645,'D7 - NDB Impacted SPRF''s'!$E$6:$O$9929,6,FALSE)</f>
        <v>Bill Schofield</v>
      </c>
      <c r="AG1645" s="282"/>
      <c r="AH1645" s="311" t="e">
        <f>INDEX('D5 - Gatekeeper - Projects'!$A$4:$AF$1010,$AM1645, 17)</f>
        <v>#N/A</v>
      </c>
      <c r="AI1645" s="8"/>
      <c r="AJ1645" s="57"/>
      <c r="AK1645" s="105"/>
      <c r="AM1645" s="6" t="e">
        <f>MATCH(D1645,'D5 - Gatekeeper - Projects'!$C$4:$C$1010,0)</f>
        <v>#N/A</v>
      </c>
      <c r="AN1645" s="6" t="b">
        <f t="shared" si="178"/>
        <v>1</v>
      </c>
      <c r="AO1645" s="6" t="str">
        <f t="shared" si="180"/>
        <v>OK</v>
      </c>
      <c r="AQ1645" s="6" t="e">
        <f>MATCH($D1645,'D4 - Provider Council Unsched'!$C$11:$C$234,0)</f>
        <v>#N/A</v>
      </c>
      <c r="AR1645" s="6" t="b">
        <f t="shared" si="179"/>
        <v>1</v>
      </c>
      <c r="AS1645" s="6" t="str">
        <f t="shared" si="177"/>
        <v>OK</v>
      </c>
      <c r="AU1645" s="202">
        <v>40851</v>
      </c>
      <c r="AV1645" s="262" t="s">
        <v>435</v>
      </c>
      <c r="AW1645" s="274">
        <v>48669</v>
      </c>
    </row>
    <row r="1646" spans="1:49" s="13" customFormat="1" ht="33.75" x14ac:dyDescent="0.2">
      <c r="A1646" s="14">
        <v>1622</v>
      </c>
      <c r="B1646" s="8">
        <v>400044956</v>
      </c>
      <c r="C1646" s="8" t="s">
        <v>1447</v>
      </c>
      <c r="D1646" s="4" t="str">
        <f t="shared" si="176"/>
        <v>400044956A</v>
      </c>
      <c r="E1646" s="309" t="str">
        <f>VLOOKUP($B1646,'D7 - NDB Impacted SPRF''s'!$E$6:$O$9929,2,FALSE)</f>
        <v>PHS Migration to UHCOnline</v>
      </c>
      <c r="F1646" s="8"/>
      <c r="G1646" s="8" t="s">
        <v>4758</v>
      </c>
      <c r="H1646" s="8" t="s">
        <v>4246</v>
      </c>
      <c r="I1646" s="20">
        <v>0.83</v>
      </c>
      <c r="J1646" s="8" t="s">
        <v>4862</v>
      </c>
      <c r="K1646" s="182">
        <v>40950</v>
      </c>
      <c r="L1646" s="8" t="s">
        <v>4156</v>
      </c>
      <c r="M1646" s="8" t="s">
        <v>6688</v>
      </c>
      <c r="N1646" s="38"/>
      <c r="O1646" s="8"/>
      <c r="P1646" s="4" t="str">
        <f>VLOOKUP($B1646,'D7 - NDB Impacted SPRF''s'!$E$16:$O$9929,9,FALSE)</f>
        <v>N</v>
      </c>
      <c r="Q1646" s="4" t="str">
        <f>VLOOKUP($B1646,'D7 - NDB Impacted SPRF''s'!$E$16:$O$9929,10,FALSE)</f>
        <v>N</v>
      </c>
      <c r="R1646" s="4" t="str">
        <f>VLOOKUP($B1646,'D7 - NDB Impacted SPRF''s'!$E$16:$O$9929,11,FALSE)</f>
        <v>N</v>
      </c>
      <c r="S1646" s="8"/>
      <c r="T1646" s="310"/>
      <c r="U1646" s="310"/>
      <c r="V1646" s="4"/>
      <c r="W1646" s="4"/>
      <c r="X1646" s="4"/>
      <c r="Y1646" s="4"/>
      <c r="Z1646" s="4"/>
      <c r="AA1646" s="4"/>
      <c r="AB1646" s="380" t="str">
        <f>VLOOKUP($B1646,'D7 - NDB Impacted SPRF''s'!$E$6:$O$9929,4,FALSE)</f>
        <v>Completed</v>
      </c>
      <c r="AC1646" s="380" t="str">
        <f>VLOOKUP($B1646,'D7 - NDB Impacted SPRF''s'!$E$6:$O$9929,3,FALSE)</f>
        <v>UnitedHealthcare Employer &amp; Individual</v>
      </c>
      <c r="AD1646" s="380" t="str">
        <f>VLOOKUP($B1646,'D7 - NDB Impacted SPRF''s'!$E$6:$O$9929,5,FALSE)</f>
        <v>Process Improvement</v>
      </c>
      <c r="AE1646" s="380" t="str">
        <f>VLOOKUP($B1646,'D7 - NDB Impacted SPRF''s'!$E$6:$O$9929,7,FALSE)</f>
        <v>Chris Kent</v>
      </c>
      <c r="AF1646" s="380" t="str">
        <f>VLOOKUP($B1646,'D7 - NDB Impacted SPRF''s'!$E$6:$O$9929,6,FALSE)</f>
        <v>Jai Narayanan</v>
      </c>
      <c r="AG1646" s="282"/>
      <c r="AH1646" s="311" t="e">
        <f>INDEX('D5 - Gatekeeper - Projects'!$A$4:$AF$1010,$AM1646, 17)</f>
        <v>#N/A</v>
      </c>
      <c r="AI1646" s="8"/>
      <c r="AJ1646" s="57"/>
      <c r="AK1646" s="105"/>
      <c r="AM1646" s="6" t="e">
        <f>MATCH(D1646,'D5 - Gatekeeper - Projects'!$C$4:$C$1010,0)</f>
        <v>#N/A</v>
      </c>
      <c r="AN1646" s="6" t="b">
        <f t="shared" si="178"/>
        <v>1</v>
      </c>
      <c r="AO1646" s="6" t="str">
        <f t="shared" si="180"/>
        <v>OK</v>
      </c>
      <c r="AQ1646" s="6" t="e">
        <f>MATCH($D1646,'D4 - Provider Council Unsched'!$C$11:$C$234,0)</f>
        <v>#N/A</v>
      </c>
      <c r="AR1646" s="6" t="b">
        <f t="shared" si="179"/>
        <v>1</v>
      </c>
      <c r="AS1646" s="6" t="str">
        <f t="shared" si="177"/>
        <v>OK</v>
      </c>
      <c r="AU1646" s="202">
        <v>40781</v>
      </c>
      <c r="AV1646" s="262" t="s">
        <v>2311</v>
      </c>
      <c r="AW1646" s="274">
        <v>42100</v>
      </c>
    </row>
    <row r="1647" spans="1:49" s="13" customFormat="1" ht="67.5" x14ac:dyDescent="0.2">
      <c r="A1647" s="14">
        <v>1623</v>
      </c>
      <c r="B1647" s="8">
        <v>400045320</v>
      </c>
      <c r="C1647" s="8" t="s">
        <v>1447</v>
      </c>
      <c r="D1647" s="4" t="str">
        <f t="shared" si="176"/>
        <v>400045320A</v>
      </c>
      <c r="E1647" s="309" t="str">
        <f>VLOOKUP($B1647,'D7 - NDB Impacted SPRF''s'!$E$6:$O$9929,2,FALSE)</f>
        <v>Transparency 1/1 Release</v>
      </c>
      <c r="F1647" s="8"/>
      <c r="G1647" s="8" t="s">
        <v>4758</v>
      </c>
      <c r="H1647" s="8" t="s">
        <v>4246</v>
      </c>
      <c r="I1647" s="20">
        <v>84.67</v>
      </c>
      <c r="J1647" s="8" t="s">
        <v>4862</v>
      </c>
      <c r="K1647" s="182">
        <v>40950</v>
      </c>
      <c r="L1647" s="8" t="s">
        <v>4156</v>
      </c>
      <c r="M1647" s="8" t="s">
        <v>2814</v>
      </c>
      <c r="N1647" s="38" t="s">
        <v>786</v>
      </c>
      <c r="O1647" s="8"/>
      <c r="P1647" s="4" t="str">
        <f>VLOOKUP($B1647,'D7 - NDB Impacted SPRF''s'!$E$16:$O$9929,9,FALSE)</f>
        <v>Y</v>
      </c>
      <c r="Q1647" s="4" t="str">
        <f>VLOOKUP($B1647,'D7 - NDB Impacted SPRF''s'!$E$16:$O$9929,10,FALSE)</f>
        <v>N</v>
      </c>
      <c r="R1647" s="4" t="str">
        <f>VLOOKUP($B1647,'D7 - NDB Impacted SPRF''s'!$E$16:$O$9929,11,FALSE)</f>
        <v>N</v>
      </c>
      <c r="S1647" s="8"/>
      <c r="T1647" s="310"/>
      <c r="U1647" s="310"/>
      <c r="V1647" s="4"/>
      <c r="W1647" s="4"/>
      <c r="X1647" s="4"/>
      <c r="Y1647" s="4"/>
      <c r="Z1647" s="4"/>
      <c r="AA1647" s="4"/>
      <c r="AB1647" s="380" t="str">
        <f>VLOOKUP($B1647,'D7 - NDB Impacted SPRF''s'!$E$6:$O$9929,4,FALSE)</f>
        <v>Completed</v>
      </c>
      <c r="AC1647" s="380" t="str">
        <f>VLOOKUP($B1647,'D7 - NDB Impacted SPRF''s'!$E$6:$O$9929,3,FALSE)</f>
        <v>UnitedHealthcare Employer &amp; Individual</v>
      </c>
      <c r="AD1647" s="380" t="str">
        <f>VLOOKUP($B1647,'D7 - NDB Impacted SPRF''s'!$E$6:$O$9929,5,FALSE)</f>
        <v>Membership Growth / Revenue Programs</v>
      </c>
      <c r="AE1647" s="380" t="str">
        <f>VLOOKUP($B1647,'D7 - NDB Impacted SPRF''s'!$E$6:$O$9929,7,FALSE)</f>
        <v>Tory Bogatyrenko</v>
      </c>
      <c r="AF1647" s="380" t="str">
        <f>VLOOKUP($B1647,'D7 - NDB Impacted SPRF''s'!$E$6:$O$9929,6,FALSE)</f>
        <v>Joan Roby</v>
      </c>
      <c r="AG1647" s="282"/>
      <c r="AH1647" s="311" t="e">
        <f>INDEX('D5 - Gatekeeper - Projects'!$A$4:$AF$1010,$AM1647, 17)</f>
        <v>#N/A</v>
      </c>
      <c r="AI1647" s="8"/>
      <c r="AJ1647" s="57"/>
      <c r="AK1647" s="105"/>
      <c r="AM1647" s="6" t="e">
        <f>MATCH(D1647,'D5 - Gatekeeper - Projects'!$C$4:$C$1010,0)</f>
        <v>#N/A</v>
      </c>
      <c r="AN1647" s="6" t="b">
        <f t="shared" si="178"/>
        <v>1</v>
      </c>
      <c r="AO1647" s="6" t="str">
        <f t="shared" si="180"/>
        <v>OK</v>
      </c>
      <c r="AQ1647" s="6" t="e">
        <f>MATCH($D1647,'D4 - Provider Council Unsched'!$C$11:$C$234,0)</f>
        <v>#N/A</v>
      </c>
      <c r="AR1647" s="6" t="b">
        <f t="shared" si="179"/>
        <v>1</v>
      </c>
      <c r="AS1647" s="6" t="str">
        <f t="shared" si="177"/>
        <v>OK</v>
      </c>
      <c r="AU1647" s="202">
        <v>40714</v>
      </c>
      <c r="AV1647" s="262" t="s">
        <v>2751</v>
      </c>
      <c r="AW1647" s="274">
        <v>41777</v>
      </c>
    </row>
    <row r="1648" spans="1:49" s="13" customFormat="1" ht="67.5" x14ac:dyDescent="0.2">
      <c r="A1648" s="14">
        <v>1624</v>
      </c>
      <c r="B1648" s="8">
        <v>400045320</v>
      </c>
      <c r="C1648" s="8" t="s">
        <v>8138</v>
      </c>
      <c r="D1648" s="4" t="str">
        <f t="shared" si="176"/>
        <v>400045320UA</v>
      </c>
      <c r="E1648" s="309" t="str">
        <f>VLOOKUP($B1648,'D7 - NDB Impacted SPRF''s'!$E$6:$O$9929,2,FALSE)</f>
        <v>Transparency 1/1 Release</v>
      </c>
      <c r="F1648" s="8"/>
      <c r="G1648" s="8" t="s">
        <v>4758</v>
      </c>
      <c r="H1648" s="8" t="s">
        <v>4246</v>
      </c>
      <c r="I1648" s="20">
        <v>1.97</v>
      </c>
      <c r="J1648" s="8" t="s">
        <v>4862</v>
      </c>
      <c r="K1648" s="182">
        <v>40950</v>
      </c>
      <c r="L1648" s="8" t="s">
        <v>4156</v>
      </c>
      <c r="M1648" s="8" t="s">
        <v>2814</v>
      </c>
      <c r="N1648" s="38" t="s">
        <v>175</v>
      </c>
      <c r="O1648" s="8"/>
      <c r="P1648" s="4" t="str">
        <f>VLOOKUP($B1648,'D7 - NDB Impacted SPRF''s'!$E$16:$O$9929,9,FALSE)</f>
        <v>Y</v>
      </c>
      <c r="Q1648" s="4" t="str">
        <f>VLOOKUP($B1648,'D7 - NDB Impacted SPRF''s'!$E$16:$O$9929,10,FALSE)</f>
        <v>N</v>
      </c>
      <c r="R1648" s="4" t="str">
        <f>VLOOKUP($B1648,'D7 - NDB Impacted SPRF''s'!$E$16:$O$9929,11,FALSE)</f>
        <v>N</v>
      </c>
      <c r="S1648" s="8"/>
      <c r="T1648" s="310"/>
      <c r="U1648" s="310"/>
      <c r="V1648" s="4"/>
      <c r="W1648" s="4"/>
      <c r="X1648" s="4"/>
      <c r="Y1648" s="4"/>
      <c r="Z1648" s="4"/>
      <c r="AA1648" s="4"/>
      <c r="AB1648" s="380" t="str">
        <f>VLOOKUP($B1648,'D7 - NDB Impacted SPRF''s'!$E$6:$O$9929,4,FALSE)</f>
        <v>Completed</v>
      </c>
      <c r="AC1648" s="380" t="str">
        <f>VLOOKUP($B1648,'D7 - NDB Impacted SPRF''s'!$E$6:$O$9929,3,FALSE)</f>
        <v>UnitedHealthcare Employer &amp; Individual</v>
      </c>
      <c r="AD1648" s="380" t="str">
        <f>VLOOKUP($B1648,'D7 - NDB Impacted SPRF''s'!$E$6:$O$9929,5,FALSE)</f>
        <v>Membership Growth / Revenue Programs</v>
      </c>
      <c r="AE1648" s="380" t="str">
        <f>VLOOKUP($B1648,'D7 - NDB Impacted SPRF''s'!$E$6:$O$9929,7,FALSE)</f>
        <v>Tory Bogatyrenko</v>
      </c>
      <c r="AF1648" s="380" t="str">
        <f>VLOOKUP($B1648,'D7 - NDB Impacted SPRF''s'!$E$6:$O$9929,6,FALSE)</f>
        <v>Joan Roby</v>
      </c>
      <c r="AG1648" s="282"/>
      <c r="AH1648" s="311" t="e">
        <f>INDEX('D5 - Gatekeeper - Projects'!$A$4:$AF$1010,$AM1648, 17)</f>
        <v>#N/A</v>
      </c>
      <c r="AI1648" s="8"/>
      <c r="AJ1648" s="57"/>
      <c r="AK1648" s="105"/>
      <c r="AM1648" s="6" t="e">
        <f>MATCH(D1648,'D5 - Gatekeeper - Projects'!$C$4:$C$1010,0)</f>
        <v>#N/A</v>
      </c>
      <c r="AN1648" s="6" t="b">
        <f t="shared" si="178"/>
        <v>1</v>
      </c>
      <c r="AO1648" s="6" t="str">
        <f t="shared" si="180"/>
        <v>OK</v>
      </c>
      <c r="AQ1648" s="6" t="e">
        <f>MATCH($D1648,'D4 - Provider Council Unsched'!$C$11:$C$234,0)</f>
        <v>#N/A</v>
      </c>
      <c r="AR1648" s="6" t="b">
        <f t="shared" si="179"/>
        <v>1</v>
      </c>
      <c r="AS1648" s="6" t="str">
        <f t="shared" si="177"/>
        <v>OK</v>
      </c>
      <c r="AU1648" s="202">
        <v>40879</v>
      </c>
      <c r="AV1648" s="262" t="s">
        <v>2751</v>
      </c>
      <c r="AW1648" s="274">
        <v>41777</v>
      </c>
    </row>
    <row r="1649" spans="1:49" s="13" customFormat="1" ht="33.75" x14ac:dyDescent="0.2">
      <c r="A1649" s="14">
        <v>1625</v>
      </c>
      <c r="B1649" s="8">
        <v>400045434</v>
      </c>
      <c r="C1649" s="8" t="s">
        <v>1447</v>
      </c>
      <c r="D1649" s="4" t="str">
        <f t="shared" si="176"/>
        <v>400045434A</v>
      </c>
      <c r="E1649" s="309" t="str">
        <f>VLOOKUP($B1649,'D7 - NDB Impacted SPRF''s'!$E$6:$O$9929,2,FALSE)</f>
        <v>CSS-B2X 2012A Release</v>
      </c>
      <c r="F1649" s="8"/>
      <c r="G1649" s="8" t="s">
        <v>4758</v>
      </c>
      <c r="H1649" s="8" t="s">
        <v>4246</v>
      </c>
      <c r="I1649" s="20">
        <v>0.67</v>
      </c>
      <c r="J1649" s="8" t="s">
        <v>4862</v>
      </c>
      <c r="K1649" s="182">
        <v>40950</v>
      </c>
      <c r="L1649" s="8" t="s">
        <v>4156</v>
      </c>
      <c r="M1649" s="8" t="s">
        <v>5626</v>
      </c>
      <c r="N1649" s="38" t="s">
        <v>164</v>
      </c>
      <c r="O1649" s="8"/>
      <c r="P1649" s="4" t="str">
        <f>VLOOKUP($B1649,'D7 - NDB Impacted SPRF''s'!$E$16:$O$9929,9,FALSE)</f>
        <v>N</v>
      </c>
      <c r="Q1649" s="4" t="str">
        <f>VLOOKUP($B1649,'D7 - NDB Impacted SPRF''s'!$E$16:$O$9929,10,FALSE)</f>
        <v>N</v>
      </c>
      <c r="R1649" s="4" t="str">
        <f>VLOOKUP($B1649,'D7 - NDB Impacted SPRF''s'!$E$16:$O$9929,11,FALSE)</f>
        <v>N</v>
      </c>
      <c r="S1649" s="8"/>
      <c r="T1649" s="310"/>
      <c r="U1649" s="310"/>
      <c r="V1649" s="4"/>
      <c r="W1649" s="4"/>
      <c r="X1649" s="4"/>
      <c r="Y1649" s="4"/>
      <c r="Z1649" s="4"/>
      <c r="AA1649" s="4"/>
      <c r="AB1649" s="380" t="str">
        <f>VLOOKUP($B1649,'D7 - NDB Impacted SPRF''s'!$E$6:$O$9929,4,FALSE)</f>
        <v>Completed</v>
      </c>
      <c r="AC1649" s="380" t="str">
        <f>VLOOKUP($B1649,'D7 - NDB Impacted SPRF''s'!$E$6:$O$9929,3,FALSE)</f>
        <v>UnitedHealthcare Employer &amp; Individual</v>
      </c>
      <c r="AD1649" s="380" t="str">
        <f>VLOOKUP($B1649,'D7 - NDB Impacted SPRF''s'!$E$6:$O$9929,5,FALSE)</f>
        <v>Medical Cost Savings Programs</v>
      </c>
      <c r="AE1649" s="380" t="str">
        <f>VLOOKUP($B1649,'D7 - NDB Impacted SPRF''s'!$E$6:$O$9929,7,FALSE)</f>
        <v>Cindi Middaugh</v>
      </c>
      <c r="AF1649" s="380" t="str">
        <f>VLOOKUP($B1649,'D7 - NDB Impacted SPRF''s'!$E$6:$O$9929,6,FALSE)</f>
        <v>CHRISTINA MOSHER</v>
      </c>
      <c r="AG1649" s="282"/>
      <c r="AH1649" s="311" t="e">
        <f>INDEX('D5 - Gatekeeper - Projects'!$A$4:$AF$1010,$AM1649, 17)</f>
        <v>#N/A</v>
      </c>
      <c r="AI1649" s="8"/>
      <c r="AJ1649" s="57"/>
      <c r="AK1649" s="105"/>
      <c r="AM1649" s="6" t="e">
        <f>MATCH(D1649,'D5 - Gatekeeper - Projects'!$C$4:$C$1010,0)</f>
        <v>#N/A</v>
      </c>
      <c r="AN1649" s="6" t="b">
        <f t="shared" si="178"/>
        <v>1</v>
      </c>
      <c r="AO1649" s="6" t="str">
        <f t="shared" si="180"/>
        <v>OK</v>
      </c>
      <c r="AQ1649" s="6" t="e">
        <f>MATCH($D1649,'D4 - Provider Council Unsched'!$C$11:$C$234,0)</f>
        <v>#N/A</v>
      </c>
      <c r="AR1649" s="6" t="b">
        <f t="shared" si="179"/>
        <v>1</v>
      </c>
      <c r="AS1649" s="6" t="str">
        <f t="shared" si="177"/>
        <v>OK</v>
      </c>
      <c r="AU1649" s="202">
        <v>40781</v>
      </c>
      <c r="AV1649" s="262" t="s">
        <v>436</v>
      </c>
      <c r="AW1649" s="274">
        <v>42322</v>
      </c>
    </row>
    <row r="1650" spans="1:49" s="13" customFormat="1" ht="33.75" x14ac:dyDescent="0.2">
      <c r="A1650" s="14">
        <v>1626</v>
      </c>
      <c r="B1650" s="8">
        <v>400047172</v>
      </c>
      <c r="C1650" s="8" t="s">
        <v>1447</v>
      </c>
      <c r="D1650" s="4" t="str">
        <f t="shared" si="176"/>
        <v>400047172A</v>
      </c>
      <c r="E1650" s="309" t="str">
        <f>VLOOKUP($B1650,'D7 - NDB Impacted SPRF''s'!$E$6:$O$9929,2,FALSE)</f>
        <v>OnLine Referral Capability for Gatekeeper Products</v>
      </c>
      <c r="F1650" s="8"/>
      <c r="G1650" s="8" t="s">
        <v>4758</v>
      </c>
      <c r="H1650" s="8" t="s">
        <v>4246</v>
      </c>
      <c r="I1650" s="20">
        <v>0.43</v>
      </c>
      <c r="J1650" s="8" t="s">
        <v>4862</v>
      </c>
      <c r="K1650" s="182">
        <v>40950</v>
      </c>
      <c r="L1650" s="8" t="s">
        <v>4156</v>
      </c>
      <c r="M1650" s="8" t="s">
        <v>6688</v>
      </c>
      <c r="N1650" s="38"/>
      <c r="O1650" s="8"/>
      <c r="P1650" s="4" t="str">
        <f>VLOOKUP($B1650,'D7 - NDB Impacted SPRF''s'!$E$16:$O$9929,9,FALSE)</f>
        <v>N</v>
      </c>
      <c r="Q1650" s="4" t="str">
        <f>VLOOKUP($B1650,'D7 - NDB Impacted SPRF''s'!$E$16:$O$9929,10,FALSE)</f>
        <v>N</v>
      </c>
      <c r="R1650" s="4" t="str">
        <f>VLOOKUP($B1650,'D7 - NDB Impacted SPRF''s'!$E$16:$O$9929,11,FALSE)</f>
        <v>N</v>
      </c>
      <c r="S1650" s="8"/>
      <c r="T1650" s="310"/>
      <c r="U1650" s="310"/>
      <c r="V1650" s="4"/>
      <c r="W1650" s="4"/>
      <c r="X1650" s="4"/>
      <c r="Y1650" s="4"/>
      <c r="Z1650" s="4"/>
      <c r="AA1650" s="4"/>
      <c r="AB1650" s="380" t="str">
        <f>VLOOKUP($B1650,'D7 - NDB Impacted SPRF''s'!$E$6:$O$9929,4,FALSE)</f>
        <v>Completed</v>
      </c>
      <c r="AC1650" s="380" t="str">
        <f>VLOOKUP($B1650,'D7 - NDB Impacted SPRF''s'!$E$6:$O$9929,3,FALSE)</f>
        <v>UnitedHealthcare Medicare &amp; Retirement</v>
      </c>
      <c r="AD1650" s="380" t="str">
        <f>VLOOKUP($B1650,'D7 - NDB Impacted SPRF''s'!$E$6:$O$9929,5,FALSE)</f>
        <v>Customer Requirements</v>
      </c>
      <c r="AE1650" s="380" t="str">
        <f>VLOOKUP($B1650,'D7 - NDB Impacted SPRF''s'!$E$6:$O$9929,7,FALSE)</f>
        <v>Michael Donovan</v>
      </c>
      <c r="AF1650" s="380" t="str">
        <f>VLOOKUP($B1650,'D7 - NDB Impacted SPRF''s'!$E$6:$O$9929,6,FALSE)</f>
        <v>Brendan Dolan</v>
      </c>
      <c r="AG1650" s="282"/>
      <c r="AH1650" s="311" t="e">
        <f>INDEX('D5 - Gatekeeper - Projects'!$A$4:$AF$1010,$AM1650, 17)</f>
        <v>#N/A</v>
      </c>
      <c r="AI1650" s="8"/>
      <c r="AJ1650" s="57"/>
      <c r="AK1650" s="105"/>
      <c r="AM1650" s="6" t="e">
        <f>MATCH(D1650,'D5 - Gatekeeper - Projects'!$C$4:$C$1010,0)</f>
        <v>#N/A</v>
      </c>
      <c r="AN1650" s="6" t="b">
        <f t="shared" si="178"/>
        <v>1</v>
      </c>
      <c r="AO1650" s="6" t="str">
        <f t="shared" si="180"/>
        <v>OK</v>
      </c>
      <c r="AQ1650" s="6" t="e">
        <f>MATCH($D1650,'D4 - Provider Council Unsched'!$C$11:$C$234,0)</f>
        <v>#N/A</v>
      </c>
      <c r="AR1650" s="6" t="b">
        <f t="shared" si="179"/>
        <v>1</v>
      </c>
      <c r="AS1650" s="6" t="str">
        <f t="shared" si="177"/>
        <v>OK</v>
      </c>
      <c r="AU1650" s="202"/>
      <c r="AV1650" s="262"/>
      <c r="AW1650" s="274"/>
    </row>
    <row r="1651" spans="1:49" s="13" customFormat="1" ht="101.25" x14ac:dyDescent="0.2">
      <c r="A1651" s="14">
        <v>1627</v>
      </c>
      <c r="B1651" s="8">
        <v>400048089</v>
      </c>
      <c r="C1651" s="8" t="s">
        <v>1447</v>
      </c>
      <c r="D1651" s="4" t="str">
        <f t="shared" si="176"/>
        <v>400048089A</v>
      </c>
      <c r="E1651" s="309" t="str">
        <f>VLOOKUP($B1651,'D7 - NDB Impacted SPRF''s'!$E$6:$O$9929,2,FALSE)</f>
        <v>Common Pricing Solution- Anesthesia Enhancements</v>
      </c>
      <c r="F1651" s="8"/>
      <c r="G1651" s="8" t="s">
        <v>4758</v>
      </c>
      <c r="H1651" s="8" t="s">
        <v>4246</v>
      </c>
      <c r="I1651" s="20">
        <v>22.49</v>
      </c>
      <c r="J1651" s="8" t="s">
        <v>4862</v>
      </c>
      <c r="K1651" s="182">
        <v>40950</v>
      </c>
      <c r="L1651" s="8" t="s">
        <v>4156</v>
      </c>
      <c r="M1651" s="8" t="s">
        <v>2814</v>
      </c>
      <c r="N1651" s="38" t="s">
        <v>790</v>
      </c>
      <c r="O1651" s="8"/>
      <c r="P1651" s="4" t="str">
        <f>VLOOKUP($B1651,'D7 - NDB Impacted SPRF''s'!$E$16:$O$9929,9,FALSE)</f>
        <v>N</v>
      </c>
      <c r="Q1651" s="4" t="str">
        <f>VLOOKUP($B1651,'D7 - NDB Impacted SPRF''s'!$E$16:$O$9929,10,FALSE)</f>
        <v>N</v>
      </c>
      <c r="R1651" s="4" t="str">
        <f>VLOOKUP($B1651,'D7 - NDB Impacted SPRF''s'!$E$16:$O$9929,11,FALSE)</f>
        <v>Y</v>
      </c>
      <c r="S1651" s="8"/>
      <c r="T1651" s="310"/>
      <c r="U1651" s="310"/>
      <c r="V1651" s="4"/>
      <c r="W1651" s="4"/>
      <c r="X1651" s="4"/>
      <c r="Y1651" s="4"/>
      <c r="Z1651" s="4"/>
      <c r="AA1651" s="4"/>
      <c r="AB1651" s="380" t="str">
        <f>VLOOKUP($B1651,'D7 - NDB Impacted SPRF''s'!$E$6:$O$9929,4,FALSE)</f>
        <v>Completed</v>
      </c>
      <c r="AC1651" s="380" t="str">
        <f>VLOOKUP($B1651,'D7 - NDB Impacted SPRF''s'!$E$6:$O$9929,3,FALSE)</f>
        <v>UnitedHealthcare Medicare &amp; Retirement</v>
      </c>
      <c r="AD1651" s="380" t="str">
        <f>VLOOKUP($B1651,'D7 - NDB Impacted SPRF''s'!$E$6:$O$9929,5,FALSE)</f>
        <v>Regulatory / Other</v>
      </c>
      <c r="AE1651" s="380" t="str">
        <f>VLOOKUP($B1651,'D7 - NDB Impacted SPRF''s'!$E$6:$O$9929,7,FALSE)</f>
        <v>Tim Kaja</v>
      </c>
      <c r="AF1651" s="380" t="str">
        <f>VLOOKUP($B1651,'D7 - NDB Impacted SPRF''s'!$E$6:$O$9929,6,FALSE)</f>
        <v>SUSAN HINES</v>
      </c>
      <c r="AG1651" s="282"/>
      <c r="AH1651" s="311" t="e">
        <f>INDEX('D5 - Gatekeeper - Projects'!$A$4:$AF$1010,$AM1651, 17)</f>
        <v>#N/A</v>
      </c>
      <c r="AI1651" s="8"/>
      <c r="AJ1651" s="57"/>
      <c r="AK1651" s="105"/>
      <c r="AM1651" s="6" t="e">
        <f>MATCH(D1651,'D5 - Gatekeeper - Projects'!$C$4:$C$1010,0)</f>
        <v>#N/A</v>
      </c>
      <c r="AN1651" s="6" t="b">
        <f t="shared" si="178"/>
        <v>1</v>
      </c>
      <c r="AO1651" s="6" t="str">
        <f t="shared" si="180"/>
        <v>OK</v>
      </c>
      <c r="AQ1651" s="6" t="e">
        <f>MATCH($D1651,'D4 - Provider Council Unsched'!$C$11:$C$234,0)</f>
        <v>#N/A</v>
      </c>
      <c r="AR1651" s="6" t="b">
        <f t="shared" si="179"/>
        <v>1</v>
      </c>
      <c r="AS1651" s="6" t="str">
        <f t="shared" si="177"/>
        <v>OK</v>
      </c>
      <c r="AU1651" s="202"/>
      <c r="AV1651" s="262" t="s">
        <v>441</v>
      </c>
      <c r="AW1651" s="274">
        <v>50893</v>
      </c>
    </row>
    <row r="1652" spans="1:49" s="13" customFormat="1" ht="33.75" x14ac:dyDescent="0.2">
      <c r="A1652" s="14">
        <v>1628</v>
      </c>
      <c r="B1652" s="8">
        <v>400048115</v>
      </c>
      <c r="C1652" s="8" t="s">
        <v>1447</v>
      </c>
      <c r="D1652" s="4" t="str">
        <f t="shared" si="176"/>
        <v>400048115A</v>
      </c>
      <c r="E1652" s="309" t="str">
        <f>VLOOKUP($B1652,'D7 - NDB Impacted SPRF''s'!$E$6:$O$9929,2,FALSE)</f>
        <v>RSA Solutions Analysis for DME Comp Bidding</v>
      </c>
      <c r="F1652" s="8"/>
      <c r="G1652" s="8" t="s">
        <v>4758</v>
      </c>
      <c r="H1652" s="8" t="s">
        <v>4246</v>
      </c>
      <c r="I1652" s="20">
        <v>0.93</v>
      </c>
      <c r="J1652" s="8" t="s">
        <v>4862</v>
      </c>
      <c r="K1652" s="182">
        <v>40950</v>
      </c>
      <c r="L1652" s="8" t="s">
        <v>4156</v>
      </c>
      <c r="M1652" s="8" t="s">
        <v>6688</v>
      </c>
      <c r="N1652" s="38" t="s">
        <v>2256</v>
      </c>
      <c r="O1652" s="8"/>
      <c r="P1652" s="4" t="str">
        <f>VLOOKUP($B1652,'D7 - NDB Impacted SPRF''s'!$E$16:$O$9929,9,FALSE)</f>
        <v>N</v>
      </c>
      <c r="Q1652" s="4" t="str">
        <f>VLOOKUP($B1652,'D7 - NDB Impacted SPRF''s'!$E$16:$O$9929,10,FALSE)</f>
        <v>N</v>
      </c>
      <c r="R1652" s="4" t="str">
        <f>VLOOKUP($B1652,'D7 - NDB Impacted SPRF''s'!$E$16:$O$9929,11,FALSE)</f>
        <v>Y</v>
      </c>
      <c r="S1652" s="8"/>
      <c r="T1652" s="310"/>
      <c r="U1652" s="310"/>
      <c r="V1652" s="4"/>
      <c r="W1652" s="4"/>
      <c r="X1652" s="4"/>
      <c r="Y1652" s="4"/>
      <c r="Z1652" s="4"/>
      <c r="AA1652" s="4"/>
      <c r="AB1652" s="380" t="str">
        <f>VLOOKUP($B1652,'D7 - NDB Impacted SPRF''s'!$E$6:$O$9929,4,FALSE)</f>
        <v>Completed</v>
      </c>
      <c r="AC1652" s="380" t="str">
        <f>VLOOKUP($B1652,'D7 - NDB Impacted SPRF''s'!$E$6:$O$9929,3,FALSE)</f>
        <v>UnitedHealthcare Medicare &amp; Retirement</v>
      </c>
      <c r="AD1652" s="380" t="str">
        <f>VLOOKUP($B1652,'D7 - NDB Impacted SPRF''s'!$E$6:$O$9929,5,FALSE)</f>
        <v>Regulatory / Other</v>
      </c>
      <c r="AE1652" s="380" t="str">
        <f>VLOOKUP($B1652,'D7 - NDB Impacted SPRF''s'!$E$6:$O$9929,7,FALSE)</f>
        <v>Susan Gamache</v>
      </c>
      <c r="AF1652" s="380" t="str">
        <f>VLOOKUP($B1652,'D7 - NDB Impacted SPRF''s'!$E$6:$O$9929,6,FALSE)</f>
        <v>Brian Schimke</v>
      </c>
      <c r="AG1652" s="282"/>
      <c r="AH1652" s="311" t="e">
        <f>INDEX('D5 - Gatekeeper - Projects'!$A$4:$AF$1010,$AM1652, 17)</f>
        <v>#N/A</v>
      </c>
      <c r="AI1652" s="8"/>
      <c r="AJ1652" s="57"/>
      <c r="AK1652" s="105"/>
      <c r="AM1652" s="6" t="e">
        <f>MATCH(D1652,'D5 - Gatekeeper - Projects'!$C$4:$C$1010,0)</f>
        <v>#N/A</v>
      </c>
      <c r="AN1652" s="6" t="b">
        <f t="shared" si="178"/>
        <v>1</v>
      </c>
      <c r="AO1652" s="6" t="str">
        <f t="shared" si="180"/>
        <v>OK</v>
      </c>
      <c r="AQ1652" s="6" t="e">
        <f>MATCH($D1652,'D4 - Provider Council Unsched'!$C$11:$C$234,0)</f>
        <v>#N/A</v>
      </c>
      <c r="AR1652" s="6" t="b">
        <f t="shared" si="179"/>
        <v>1</v>
      </c>
      <c r="AS1652" s="6" t="str">
        <f t="shared" si="177"/>
        <v>OK</v>
      </c>
      <c r="AU1652" s="202"/>
      <c r="AV1652" s="262"/>
      <c r="AW1652" s="274">
        <v>50639</v>
      </c>
    </row>
    <row r="1653" spans="1:49" s="13" customFormat="1" ht="33.75" x14ac:dyDescent="0.2">
      <c r="A1653" s="14">
        <v>1629</v>
      </c>
      <c r="B1653" s="8">
        <v>400048227</v>
      </c>
      <c r="C1653" s="8" t="s">
        <v>1447</v>
      </c>
      <c r="D1653" s="4" t="str">
        <f t="shared" si="176"/>
        <v>400048227A</v>
      </c>
      <c r="E1653" s="309" t="str">
        <f>VLOOKUP($B1653,'D7 - NDB Impacted SPRF''s'!$E$6:$O$9929,2,FALSE)</f>
        <v>NDB 2012 One Shot Requests</v>
      </c>
      <c r="F1653" s="8"/>
      <c r="G1653" s="8" t="s">
        <v>4758</v>
      </c>
      <c r="H1653" s="8" t="s">
        <v>4246</v>
      </c>
      <c r="I1653" s="20">
        <v>2.5</v>
      </c>
      <c r="J1653" s="8" t="s">
        <v>4862</v>
      </c>
      <c r="K1653" s="182">
        <v>40950</v>
      </c>
      <c r="L1653" s="8" t="s">
        <v>4156</v>
      </c>
      <c r="M1653" s="8" t="s">
        <v>2814</v>
      </c>
      <c r="N1653" s="38" t="s">
        <v>1142</v>
      </c>
      <c r="O1653" s="8"/>
      <c r="P1653" s="4" t="str">
        <f>VLOOKUP($B1653,'D7 - NDB Impacted SPRF''s'!$E$16:$O$9929,9,FALSE)</f>
        <v>N</v>
      </c>
      <c r="Q1653" s="4" t="str">
        <f>VLOOKUP($B1653,'D7 - NDB Impacted SPRF''s'!$E$16:$O$9929,10,FALSE)</f>
        <v>N</v>
      </c>
      <c r="R1653" s="4" t="str">
        <f>VLOOKUP($B1653,'D7 - NDB Impacted SPRF''s'!$E$16:$O$9929,11,FALSE)</f>
        <v>N</v>
      </c>
      <c r="S1653" s="8"/>
      <c r="T1653" s="310"/>
      <c r="U1653" s="310"/>
      <c r="V1653" s="4"/>
      <c r="W1653" s="4"/>
      <c r="X1653" s="4"/>
      <c r="Y1653" s="4"/>
      <c r="Z1653" s="4"/>
      <c r="AA1653" s="4"/>
      <c r="AB1653" s="380" t="str">
        <f>VLOOKUP($B1653,'D7 - NDB Impacted SPRF''s'!$E$6:$O$9929,4,FALSE)</f>
        <v>Completed</v>
      </c>
      <c r="AC1653" s="380" t="str">
        <f>VLOOKUP($B1653,'D7 - NDB Impacted SPRF''s'!$E$6:$O$9929,3,FALSE)</f>
        <v>UnitedHealthcare Employer &amp; Individual</v>
      </c>
      <c r="AD1653" s="380" t="str">
        <f>VLOOKUP($B1653,'D7 - NDB Impacted SPRF''s'!$E$6:$O$9929,5,FALSE)</f>
        <v>Operational Requirements</v>
      </c>
      <c r="AE1653" s="380" t="str">
        <f>VLOOKUP($B1653,'D7 - NDB Impacted SPRF''s'!$E$6:$O$9929,7,FALSE)</f>
        <v>Tim Kaja</v>
      </c>
      <c r="AF1653" s="380" t="str">
        <f>VLOOKUP($B1653,'D7 - NDB Impacted SPRF''s'!$E$6:$O$9929,6,FALSE)</f>
        <v>Robert Wright</v>
      </c>
      <c r="AG1653" s="282"/>
      <c r="AH1653" s="311" t="e">
        <f>INDEX('D5 - Gatekeeper - Projects'!$A$4:$AF$1010,$AM1653, 17)</f>
        <v>#N/A</v>
      </c>
      <c r="AI1653" s="8"/>
      <c r="AJ1653" s="57"/>
      <c r="AK1653" s="105"/>
      <c r="AM1653" s="6" t="e">
        <f>MATCH(D1653,'D5 - Gatekeeper - Projects'!$C$4:$C$1010,0)</f>
        <v>#N/A</v>
      </c>
      <c r="AN1653" s="6" t="b">
        <f t="shared" si="178"/>
        <v>1</v>
      </c>
      <c r="AO1653" s="6" t="str">
        <f t="shared" si="180"/>
        <v>OK</v>
      </c>
      <c r="AQ1653" s="6" t="e">
        <f>MATCH($D1653,'D4 - Provider Council Unsched'!$C$11:$C$234,0)</f>
        <v>#N/A</v>
      </c>
      <c r="AR1653" s="6" t="b">
        <f t="shared" si="179"/>
        <v>1</v>
      </c>
      <c r="AS1653" s="6" t="str">
        <f t="shared" si="177"/>
        <v>OK</v>
      </c>
      <c r="AU1653" s="202"/>
      <c r="AV1653" s="262" t="s">
        <v>442</v>
      </c>
      <c r="AW1653" s="274"/>
    </row>
    <row r="1654" spans="1:49" s="13" customFormat="1" ht="33.75" x14ac:dyDescent="0.2">
      <c r="A1654" s="14">
        <v>1630</v>
      </c>
      <c r="B1654" s="8">
        <v>400048304</v>
      </c>
      <c r="C1654" s="8" t="s">
        <v>8138</v>
      </c>
      <c r="D1654" s="4" t="str">
        <f t="shared" si="176"/>
        <v>400048304UA</v>
      </c>
      <c r="E1654" s="309" t="str">
        <f>VLOOKUP($B1654,'D7 - NDB Impacted SPRF''s'!$E$6:$O$9929,2,FALSE)</f>
        <v xml:space="preserve">WO Expand the USEC FMR USER Report – SAS70 </v>
      </c>
      <c r="F1654" s="8"/>
      <c r="G1654" s="8" t="s">
        <v>4758</v>
      </c>
      <c r="H1654" s="8" t="s">
        <v>4246</v>
      </c>
      <c r="I1654" s="20">
        <v>0.56000000000000005</v>
      </c>
      <c r="J1654" s="8" t="s">
        <v>4862</v>
      </c>
      <c r="K1654" s="182">
        <v>40950</v>
      </c>
      <c r="L1654" s="8" t="s">
        <v>4156</v>
      </c>
      <c r="M1654" s="8" t="s">
        <v>6007</v>
      </c>
      <c r="N1654" s="38"/>
      <c r="O1654" s="8"/>
      <c r="P1654" s="4" t="str">
        <f>VLOOKUP($B1654,'D7 - NDB Impacted SPRF''s'!$E$16:$O$9929,9,FALSE)</f>
        <v>N</v>
      </c>
      <c r="Q1654" s="4" t="str">
        <f>VLOOKUP($B1654,'D7 - NDB Impacted SPRF''s'!$E$16:$O$9929,10,FALSE)</f>
        <v>N</v>
      </c>
      <c r="R1654" s="4" t="str">
        <f>VLOOKUP($B1654,'D7 - NDB Impacted SPRF''s'!$E$16:$O$9929,11,FALSE)</f>
        <v>N</v>
      </c>
      <c r="S1654" s="8"/>
      <c r="T1654" s="310"/>
      <c r="U1654" s="310"/>
      <c r="V1654" s="4"/>
      <c r="W1654" s="4"/>
      <c r="X1654" s="4"/>
      <c r="Y1654" s="4"/>
      <c r="Z1654" s="4"/>
      <c r="AA1654" s="4"/>
      <c r="AB1654" s="380" t="str">
        <f>VLOOKUP($B1654,'D7 - NDB Impacted SPRF''s'!$E$6:$O$9929,4,FALSE)</f>
        <v>Completed</v>
      </c>
      <c r="AC1654" s="380" t="str">
        <f>VLOOKUP($B1654,'D7 - NDB Impacted SPRF''s'!$E$6:$O$9929,3,FALSE)</f>
        <v>UnitedHealthcare Employer &amp; Individual</v>
      </c>
      <c r="AD1654" s="380" t="str">
        <f>VLOOKUP($B1654,'D7 - NDB Impacted SPRF''s'!$E$6:$O$9929,5,FALSE)</f>
        <v>Operational Requirements</v>
      </c>
      <c r="AE1654" s="380" t="str">
        <f>VLOOKUP($B1654,'D7 - NDB Impacted SPRF''s'!$E$6:$O$9929,7,FALSE)</f>
        <v>Rob Warshaw</v>
      </c>
      <c r="AF1654" s="380" t="str">
        <f>VLOOKUP($B1654,'D7 - NDB Impacted SPRF''s'!$E$6:$O$9929,6,FALSE)</f>
        <v>NINA THOMPSON</v>
      </c>
      <c r="AG1654" s="282"/>
      <c r="AH1654" s="311" t="e">
        <f>INDEX('D5 - Gatekeeper - Projects'!$A$4:$AF$1010,$AM1654, 17)</f>
        <v>#N/A</v>
      </c>
      <c r="AI1654" s="8"/>
      <c r="AJ1654" s="57"/>
      <c r="AK1654" s="105"/>
      <c r="AM1654" s="6" t="e">
        <f>MATCH(D1654,'D5 - Gatekeeper - Projects'!$C$4:$C$1010,0)</f>
        <v>#N/A</v>
      </c>
      <c r="AN1654" s="6" t="b">
        <f t="shared" si="178"/>
        <v>1</v>
      </c>
      <c r="AO1654" s="6" t="str">
        <f t="shared" si="180"/>
        <v>OK</v>
      </c>
      <c r="AQ1654" s="6" t="e">
        <f>MATCH($D1654,'D4 - Provider Council Unsched'!$C$11:$C$234,0)</f>
        <v>#N/A</v>
      </c>
      <c r="AR1654" s="6" t="b">
        <f t="shared" si="179"/>
        <v>1</v>
      </c>
      <c r="AS1654" s="6" t="str">
        <f t="shared" si="177"/>
        <v>OK</v>
      </c>
      <c r="AU1654" s="202"/>
      <c r="AV1654" s="262" t="s">
        <v>2303</v>
      </c>
      <c r="AW1654" s="274"/>
    </row>
    <row r="1655" spans="1:49" s="13" customFormat="1" x14ac:dyDescent="0.2">
      <c r="A1655" s="14">
        <v>1631</v>
      </c>
      <c r="B1655" s="8">
        <v>400048978</v>
      </c>
      <c r="C1655" s="8" t="s">
        <v>1447</v>
      </c>
      <c r="D1655" s="4" t="str">
        <f t="shared" si="176"/>
        <v>400048978A</v>
      </c>
      <c r="E1655" s="309" t="str">
        <f>VLOOKUP($B1655,'D7 - NDB Impacted SPRF''s'!$E$6:$O$9929,2,FALSE)</f>
        <v>Sutter Provider Exception</v>
      </c>
      <c r="F1655" s="8"/>
      <c r="G1655" s="8" t="s">
        <v>4758</v>
      </c>
      <c r="H1655" s="8" t="s">
        <v>4246</v>
      </c>
      <c r="I1655" s="20">
        <v>0.2</v>
      </c>
      <c r="J1655" s="8" t="s">
        <v>4862</v>
      </c>
      <c r="K1655" s="182">
        <v>40950</v>
      </c>
      <c r="L1655" s="8" t="s">
        <v>4156</v>
      </c>
      <c r="M1655" s="8" t="s">
        <v>5626</v>
      </c>
      <c r="N1655" s="38"/>
      <c r="O1655" s="8"/>
      <c r="P1655" s="4" t="str">
        <f>VLOOKUP($B1655,'D7 - NDB Impacted SPRF''s'!$E$16:$O$9929,9,FALSE)</f>
        <v>N</v>
      </c>
      <c r="Q1655" s="4" t="str">
        <f>VLOOKUP($B1655,'D7 - NDB Impacted SPRF''s'!$E$16:$O$9929,10,FALSE)</f>
        <v>N</v>
      </c>
      <c r="R1655" s="4" t="str">
        <f>VLOOKUP($B1655,'D7 - NDB Impacted SPRF''s'!$E$16:$O$9929,11,FALSE)</f>
        <v>N</v>
      </c>
      <c r="S1655" s="8"/>
      <c r="T1655" s="310"/>
      <c r="U1655" s="310"/>
      <c r="V1655" s="4"/>
      <c r="W1655" s="4"/>
      <c r="X1655" s="4"/>
      <c r="Y1655" s="4"/>
      <c r="Z1655" s="4"/>
      <c r="AA1655" s="4"/>
      <c r="AB1655" s="380" t="str">
        <f>VLOOKUP($B1655,'D7 - NDB Impacted SPRF''s'!$E$6:$O$9929,4,FALSE)</f>
        <v>Cancelled</v>
      </c>
      <c r="AC1655" s="380" t="str">
        <f>VLOOKUP($B1655,'D7 - NDB Impacted SPRF''s'!$E$6:$O$9929,3,FALSE)</f>
        <v>OptumHealth</v>
      </c>
      <c r="AD1655" s="380" t="str">
        <f>VLOOKUP($B1655,'D7 - NDB Impacted SPRF''s'!$E$6:$O$9929,5,FALSE)</f>
        <v>OptumHealth Care Solutions</v>
      </c>
      <c r="AE1655" s="380" t="str">
        <f>VLOOKUP($B1655,'D7 - NDB Impacted SPRF''s'!$E$6:$O$9929,7,FALSE)</f>
        <v>Imad, Ahmed</v>
      </c>
      <c r="AF1655" s="380" t="str">
        <f>VLOOKUP($B1655,'D7 - NDB Impacted SPRF''s'!$E$6:$O$9929,6,FALSE)</f>
        <v>Kari Mclarty</v>
      </c>
      <c r="AG1655" s="282"/>
      <c r="AH1655" s="311" t="e">
        <f>INDEX('D5 - Gatekeeper - Projects'!$A$4:$AF$1010,$AM1655, 17)</f>
        <v>#N/A</v>
      </c>
      <c r="AI1655" s="8"/>
      <c r="AJ1655" s="57"/>
      <c r="AK1655" s="105"/>
      <c r="AM1655" s="6" t="e">
        <f>MATCH(D1655,'D5 - Gatekeeper - Projects'!$C$4:$C$1010,0)</f>
        <v>#N/A</v>
      </c>
      <c r="AN1655" s="6" t="b">
        <f t="shared" si="178"/>
        <v>1</v>
      </c>
      <c r="AO1655" s="6" t="str">
        <f t="shared" si="180"/>
        <v>OK</v>
      </c>
      <c r="AQ1655" s="6" t="e">
        <f>MATCH($D1655,'D4 - Provider Council Unsched'!$C$11:$C$234,0)</f>
        <v>#N/A</v>
      </c>
      <c r="AR1655" s="6" t="b">
        <f t="shared" si="179"/>
        <v>1</v>
      </c>
      <c r="AS1655" s="6" t="str">
        <f t="shared" si="177"/>
        <v>OK</v>
      </c>
      <c r="AU1655" s="202"/>
      <c r="AV1655" s="262" t="s">
        <v>443</v>
      </c>
      <c r="AW1655" s="274">
        <v>54204</v>
      </c>
    </row>
    <row r="1656" spans="1:49" s="13" customFormat="1" ht="45" x14ac:dyDescent="0.2">
      <c r="A1656" s="14">
        <v>1632</v>
      </c>
      <c r="B1656" s="8">
        <v>400048981</v>
      </c>
      <c r="C1656" s="8" t="s">
        <v>1447</v>
      </c>
      <c r="D1656" s="4" t="str">
        <f t="shared" si="176"/>
        <v>400048981A</v>
      </c>
      <c r="E1656" s="309" t="str">
        <f>VLOOKUP($B1656,'D7 - NDB Impacted SPRF''s'!$E$6:$O$9929,2,FALSE)</f>
        <v>WOQ1 NDB OI - Auto DBA Name Population</v>
      </c>
      <c r="F1656" s="8"/>
      <c r="G1656" s="8" t="s">
        <v>4758</v>
      </c>
      <c r="H1656" s="8" t="s">
        <v>4246</v>
      </c>
      <c r="I1656" s="20">
        <v>4</v>
      </c>
      <c r="J1656" s="8" t="s">
        <v>4862</v>
      </c>
      <c r="K1656" s="182">
        <v>40950</v>
      </c>
      <c r="L1656" s="8" t="s">
        <v>4156</v>
      </c>
      <c r="M1656" s="8" t="s">
        <v>2814</v>
      </c>
      <c r="N1656" s="38" t="s">
        <v>176</v>
      </c>
      <c r="O1656" s="8"/>
      <c r="P1656" s="4" t="str">
        <f>VLOOKUP($B1656,'D7 - NDB Impacted SPRF''s'!$E$16:$O$9929,9,FALSE)</f>
        <v>N</v>
      </c>
      <c r="Q1656" s="4" t="str">
        <f>VLOOKUP($B1656,'D7 - NDB Impacted SPRF''s'!$E$16:$O$9929,10,FALSE)</f>
        <v>N</v>
      </c>
      <c r="R1656" s="4" t="str">
        <f>VLOOKUP($B1656,'D7 - NDB Impacted SPRF''s'!$E$16:$O$9929,11,FALSE)</f>
        <v>N</v>
      </c>
      <c r="S1656" s="8"/>
      <c r="T1656" s="310"/>
      <c r="U1656" s="310"/>
      <c r="V1656" s="4"/>
      <c r="W1656" s="4"/>
      <c r="X1656" s="4"/>
      <c r="Y1656" s="4"/>
      <c r="Z1656" s="4"/>
      <c r="AA1656" s="4"/>
      <c r="AB1656" s="380" t="str">
        <f>VLOOKUP($B1656,'D7 - NDB Impacted SPRF''s'!$E$6:$O$9929,4,FALSE)</f>
        <v>Completed</v>
      </c>
      <c r="AC1656" s="380" t="str">
        <f>VLOOKUP($B1656,'D7 - NDB Impacted SPRF''s'!$E$6:$O$9929,3,FALSE)</f>
        <v>UnitedHealthcare Employer &amp; Individual</v>
      </c>
      <c r="AD1656" s="380" t="str">
        <f>VLOOKUP($B1656,'D7 - NDB Impacted SPRF''s'!$E$6:$O$9929,5,FALSE)</f>
        <v>Operational Requirements</v>
      </c>
      <c r="AE1656" s="380" t="str">
        <f>VLOOKUP($B1656,'D7 - NDB Impacted SPRF''s'!$E$6:$O$9929,7,FALSE)</f>
        <v>Eileen Dock</v>
      </c>
      <c r="AF1656" s="380" t="str">
        <f>VLOOKUP($B1656,'D7 - NDB Impacted SPRF''s'!$E$6:$O$9929,6,FALSE)</f>
        <v>Robert Wright</v>
      </c>
      <c r="AG1656" s="282"/>
      <c r="AH1656" s="311" t="e">
        <f>INDEX('D5 - Gatekeeper - Projects'!$A$4:$AF$1010,$AM1656, 17)</f>
        <v>#N/A</v>
      </c>
      <c r="AI1656" s="8"/>
      <c r="AJ1656" s="57"/>
      <c r="AK1656" s="105"/>
      <c r="AM1656" s="6" t="e">
        <f>MATCH(D1656,'D5 - Gatekeeper - Projects'!$C$4:$C$1010,0)</f>
        <v>#N/A</v>
      </c>
      <c r="AN1656" s="6" t="b">
        <f t="shared" si="178"/>
        <v>1</v>
      </c>
      <c r="AO1656" s="6" t="str">
        <f t="shared" si="180"/>
        <v>OK</v>
      </c>
      <c r="AQ1656" s="6" t="e">
        <f>MATCH($D1656,'D4 - Provider Council Unsched'!$C$11:$C$234,0)</f>
        <v>#N/A</v>
      </c>
      <c r="AR1656" s="6" t="b">
        <f t="shared" si="179"/>
        <v>1</v>
      </c>
      <c r="AS1656" s="6" t="str">
        <f t="shared" si="177"/>
        <v>OK</v>
      </c>
      <c r="AU1656" s="202">
        <v>40907</v>
      </c>
      <c r="AV1656" s="262" t="s">
        <v>444</v>
      </c>
      <c r="AW1656" s="274">
        <v>53900</v>
      </c>
    </row>
    <row r="1657" spans="1:49" s="13" customFormat="1" ht="33.75" x14ac:dyDescent="0.2">
      <c r="A1657" s="14">
        <v>1633</v>
      </c>
      <c r="B1657" s="8">
        <v>400048983</v>
      </c>
      <c r="C1657" s="8" t="s">
        <v>1447</v>
      </c>
      <c r="D1657" s="4" t="str">
        <f t="shared" si="176"/>
        <v>400048983A</v>
      </c>
      <c r="E1657" s="309" t="str">
        <f>VLOOKUP($B1657,'D7 - NDB Impacted SPRF''s'!$E$6:$O$9929,2,FALSE)</f>
        <v>WOQ1 NDB OI NDB FS Space Conservation Reporting</v>
      </c>
      <c r="F1657" s="8"/>
      <c r="G1657" s="8" t="s">
        <v>4758</v>
      </c>
      <c r="H1657" s="8" t="s">
        <v>4246</v>
      </c>
      <c r="I1657" s="20">
        <v>0.74</v>
      </c>
      <c r="J1657" s="8" t="s">
        <v>4862</v>
      </c>
      <c r="K1657" s="182">
        <v>40950</v>
      </c>
      <c r="L1657" s="8" t="s">
        <v>4156</v>
      </c>
      <c r="M1657" s="8" t="s">
        <v>2814</v>
      </c>
      <c r="N1657" s="38" t="s">
        <v>177</v>
      </c>
      <c r="O1657" s="8"/>
      <c r="P1657" s="4" t="str">
        <f>VLOOKUP($B1657,'D7 - NDB Impacted SPRF''s'!$E$16:$O$9929,9,FALSE)</f>
        <v>N</v>
      </c>
      <c r="Q1657" s="4" t="str">
        <f>VLOOKUP($B1657,'D7 - NDB Impacted SPRF''s'!$E$16:$O$9929,10,FALSE)</f>
        <v>N</v>
      </c>
      <c r="R1657" s="4" t="str">
        <f>VLOOKUP($B1657,'D7 - NDB Impacted SPRF''s'!$E$16:$O$9929,11,FALSE)</f>
        <v>N</v>
      </c>
      <c r="S1657" s="8"/>
      <c r="T1657" s="310"/>
      <c r="U1657" s="310"/>
      <c r="V1657" s="4"/>
      <c r="W1657" s="4"/>
      <c r="X1657" s="4"/>
      <c r="Y1657" s="4"/>
      <c r="Z1657" s="4"/>
      <c r="AA1657" s="4"/>
      <c r="AB1657" s="380" t="str">
        <f>VLOOKUP($B1657,'D7 - NDB Impacted SPRF''s'!$E$6:$O$9929,4,FALSE)</f>
        <v>Completed</v>
      </c>
      <c r="AC1657" s="380" t="str">
        <f>VLOOKUP($B1657,'D7 - NDB Impacted SPRF''s'!$E$6:$O$9929,3,FALSE)</f>
        <v>UnitedHealthcare Employer &amp; Individual</v>
      </c>
      <c r="AD1657" s="380" t="str">
        <f>VLOOKUP($B1657,'D7 - NDB Impacted SPRF''s'!$E$6:$O$9929,5,FALSE)</f>
        <v>Operational Requirements</v>
      </c>
      <c r="AE1657" s="380" t="str">
        <f>VLOOKUP($B1657,'D7 - NDB Impacted SPRF''s'!$E$6:$O$9929,7,FALSE)</f>
        <v>Eileen Dock</v>
      </c>
      <c r="AF1657" s="380" t="str">
        <f>VLOOKUP($B1657,'D7 - NDB Impacted SPRF''s'!$E$6:$O$9929,6,FALSE)</f>
        <v>Robert Wright</v>
      </c>
      <c r="AG1657" s="282"/>
      <c r="AH1657" s="311" t="e">
        <f>INDEX('D5 - Gatekeeper - Projects'!$A$4:$AF$1010,$AM1657, 17)</f>
        <v>#N/A</v>
      </c>
      <c r="AI1657" s="8"/>
      <c r="AJ1657" s="57"/>
      <c r="AK1657" s="105"/>
      <c r="AM1657" s="6" t="e">
        <f>MATCH(D1657,'D5 - Gatekeeper - Projects'!$C$4:$C$1010,0)</f>
        <v>#N/A</v>
      </c>
      <c r="AN1657" s="6" t="b">
        <f t="shared" si="178"/>
        <v>1</v>
      </c>
      <c r="AO1657" s="6" t="str">
        <f t="shared" si="180"/>
        <v>OK</v>
      </c>
      <c r="AQ1657" s="6" t="e">
        <f>MATCH($D1657,'D4 - Provider Council Unsched'!$C$11:$C$234,0)</f>
        <v>#N/A</v>
      </c>
      <c r="AR1657" s="6" t="b">
        <f t="shared" si="179"/>
        <v>1</v>
      </c>
      <c r="AS1657" s="6" t="str">
        <f t="shared" si="177"/>
        <v>OK</v>
      </c>
      <c r="AU1657" s="202">
        <v>40907</v>
      </c>
      <c r="AV1657" s="262" t="s">
        <v>444</v>
      </c>
      <c r="AW1657" s="274">
        <v>53906</v>
      </c>
    </row>
    <row r="1658" spans="1:49" s="13" customFormat="1" ht="33.75" x14ac:dyDescent="0.2">
      <c r="A1658" s="14">
        <v>1634</v>
      </c>
      <c r="B1658" s="8">
        <v>400049163</v>
      </c>
      <c r="C1658" s="8" t="s">
        <v>1447</v>
      </c>
      <c r="D1658" s="4" t="str">
        <f t="shared" si="176"/>
        <v>400049163A</v>
      </c>
      <c r="E1658" s="309" t="str">
        <f>VLOOKUP($B1658,'D7 - NDB Impacted SPRF''s'!$E$6:$O$9929,2,FALSE)</f>
        <v xml:space="preserve">WOQ1 NDB OI Retrigger BSAR History </v>
      </c>
      <c r="F1658" s="8"/>
      <c r="G1658" s="8" t="s">
        <v>4758</v>
      </c>
      <c r="H1658" s="8" t="s">
        <v>4246</v>
      </c>
      <c r="I1658" s="20">
        <v>1.9</v>
      </c>
      <c r="J1658" s="8" t="s">
        <v>4862</v>
      </c>
      <c r="K1658" s="182">
        <v>40950</v>
      </c>
      <c r="L1658" s="8" t="s">
        <v>4156</v>
      </c>
      <c r="M1658" s="8" t="s">
        <v>2814</v>
      </c>
      <c r="N1658" s="38" t="s">
        <v>178</v>
      </c>
      <c r="O1658" s="8"/>
      <c r="P1658" s="4" t="str">
        <f>VLOOKUP($B1658,'D7 - NDB Impacted SPRF''s'!$E$16:$O$9929,9,FALSE)</f>
        <v>N</v>
      </c>
      <c r="Q1658" s="4" t="str">
        <f>VLOOKUP($B1658,'D7 - NDB Impacted SPRF''s'!$E$16:$O$9929,10,FALSE)</f>
        <v>N</v>
      </c>
      <c r="R1658" s="4" t="str">
        <f>VLOOKUP($B1658,'D7 - NDB Impacted SPRF''s'!$E$16:$O$9929,11,FALSE)</f>
        <v>N</v>
      </c>
      <c r="S1658" s="8"/>
      <c r="T1658" s="310"/>
      <c r="U1658" s="310"/>
      <c r="V1658" s="4"/>
      <c r="W1658" s="4"/>
      <c r="X1658" s="4"/>
      <c r="Y1658" s="4"/>
      <c r="Z1658" s="4"/>
      <c r="AA1658" s="4"/>
      <c r="AB1658" s="380" t="str">
        <f>VLOOKUP($B1658,'D7 - NDB Impacted SPRF''s'!$E$6:$O$9929,4,FALSE)</f>
        <v>Scheduled</v>
      </c>
      <c r="AC1658" s="380" t="str">
        <f>VLOOKUP($B1658,'D7 - NDB Impacted SPRF''s'!$E$6:$O$9929,3,FALSE)</f>
        <v>UnitedHealthcare Employer &amp; Individual</v>
      </c>
      <c r="AD1658" s="380" t="str">
        <f>VLOOKUP($B1658,'D7 - NDB Impacted SPRF''s'!$E$6:$O$9929,5,FALSE)</f>
        <v>Operational Requirements</v>
      </c>
      <c r="AE1658" s="380" t="str">
        <f>VLOOKUP($B1658,'D7 - NDB Impacted SPRF''s'!$E$6:$O$9929,7,FALSE)</f>
        <v>Eileen Dock</v>
      </c>
      <c r="AF1658" s="380" t="str">
        <f>VLOOKUP($B1658,'D7 - NDB Impacted SPRF''s'!$E$6:$O$9929,6,FALSE)</f>
        <v>Robert Wright</v>
      </c>
      <c r="AG1658" s="282"/>
      <c r="AH1658" s="311" t="e">
        <f>INDEX('D5 - Gatekeeper - Projects'!$A$4:$AF$1010,$AM1658, 17)</f>
        <v>#N/A</v>
      </c>
      <c r="AI1658" s="8"/>
      <c r="AJ1658" s="57"/>
      <c r="AK1658" s="105"/>
      <c r="AM1658" s="6" t="e">
        <f>MATCH(D1658,'D5 - Gatekeeper - Projects'!$C$4:$C$1010,0)</f>
        <v>#N/A</v>
      </c>
      <c r="AN1658" s="6" t="b">
        <f t="shared" si="178"/>
        <v>1</v>
      </c>
      <c r="AO1658" s="6" t="str">
        <f t="shared" si="180"/>
        <v>OK</v>
      </c>
      <c r="AQ1658" s="6" t="e">
        <f>MATCH($D1658,'D4 - Provider Council Unsched'!$C$11:$C$234,0)</f>
        <v>#N/A</v>
      </c>
      <c r="AR1658" s="6" t="b">
        <f t="shared" si="179"/>
        <v>1</v>
      </c>
      <c r="AS1658" s="6" t="str">
        <f t="shared" si="177"/>
        <v>OK</v>
      </c>
      <c r="AU1658" s="202">
        <v>40907</v>
      </c>
      <c r="AV1658" s="262" t="s">
        <v>444</v>
      </c>
      <c r="AW1658" s="274">
        <v>53999</v>
      </c>
    </row>
    <row r="1659" spans="1:49" s="13" customFormat="1" x14ac:dyDescent="0.2">
      <c r="A1659" s="14">
        <v>1635</v>
      </c>
      <c r="B1659" s="14" t="s">
        <v>5402</v>
      </c>
      <c r="C1659" s="8" t="s">
        <v>5197</v>
      </c>
      <c r="D1659" s="4" t="s">
        <v>5401</v>
      </c>
      <c r="E1659" s="339" t="s">
        <v>5403</v>
      </c>
      <c r="F1659" s="8" t="s">
        <v>2114</v>
      </c>
      <c r="G1659" s="8" t="s">
        <v>4758</v>
      </c>
      <c r="H1659" s="8" t="s">
        <v>4246</v>
      </c>
      <c r="I1659" s="20">
        <v>4</v>
      </c>
      <c r="J1659" s="8" t="s">
        <v>4862</v>
      </c>
      <c r="K1659" s="182">
        <v>40950</v>
      </c>
      <c r="L1659" s="8" t="s">
        <v>5743</v>
      </c>
      <c r="M1659" s="8" t="s">
        <v>2814</v>
      </c>
      <c r="N1659" s="38"/>
      <c r="O1659" s="8" t="s">
        <v>3572</v>
      </c>
      <c r="P1659" s="4" t="e">
        <f>VLOOKUP($B1659,'D7 - NDB Impacted SPRF''s'!$E$16:$O$9929,9,FALSE)</f>
        <v>#N/A</v>
      </c>
      <c r="Q1659" s="4" t="e">
        <f>VLOOKUP($B1659,'D7 - NDB Impacted SPRF''s'!$E$16:$O$9929,10,FALSE)</f>
        <v>#N/A</v>
      </c>
      <c r="R1659" s="4" t="e">
        <f>VLOOKUP($B1659,'D7 - NDB Impacted SPRF''s'!$E$16:$O$9929,11,FALSE)</f>
        <v>#N/A</v>
      </c>
      <c r="S1659" s="8"/>
      <c r="T1659" s="310"/>
      <c r="U1659" s="310"/>
      <c r="V1659" s="4"/>
      <c r="W1659" s="4"/>
      <c r="X1659" s="4"/>
      <c r="Y1659" s="4"/>
      <c r="Z1659" s="4"/>
      <c r="AA1659" s="4"/>
      <c r="AB1659" s="383" t="e">
        <f>VLOOKUP($B1659,'D7 - NDB Impacted SPRF''s'!$E$16:$O$9929,4,FALSE)</f>
        <v>#N/A</v>
      </c>
      <c r="AC1659" s="380" t="e">
        <f>VLOOKUP($B1659,'D7 - NDB Impacted SPRF''s'!$E$16:$O$9929,3,FALSE)</f>
        <v>#N/A</v>
      </c>
      <c r="AD1659" s="380" t="e">
        <f>VLOOKUP($B1659,'D7 - NDB Impacted SPRF''s'!$E$16:$O$9929,5,FALSE)</f>
        <v>#N/A</v>
      </c>
      <c r="AE1659" s="380" t="e">
        <f>VLOOKUP($B1659,'D7 - NDB Impacted SPRF''s'!$E$16:$O$9929,7,FALSE)</f>
        <v>#N/A</v>
      </c>
      <c r="AF1659" s="380" t="e">
        <f>VLOOKUP($B1659,'D7 - NDB Impacted SPRF''s'!$E$16:$O$9929,6,FALSE)</f>
        <v>#N/A</v>
      </c>
      <c r="AG1659" s="282"/>
      <c r="AH1659" s="311" t="e">
        <f>INDEX('D5 - Gatekeeper - Projects'!$A$4:$AF$1010,$AM1659, 17)</f>
        <v>#N/A</v>
      </c>
      <c r="AI1659" s="8"/>
      <c r="AJ1659" s="57"/>
      <c r="AK1659" s="105"/>
      <c r="AM1659" s="6" t="e">
        <f>MATCH(D1659,'D5 - Gatekeeper - Projects'!$C$4:$C$1010,0)</f>
        <v>#N/A</v>
      </c>
      <c r="AN1659" s="6" t="b">
        <f t="shared" si="178"/>
        <v>1</v>
      </c>
      <c r="AO1659" s="6" t="str">
        <f t="shared" si="180"/>
        <v>OK</v>
      </c>
      <c r="AQ1659" s="6" t="e">
        <f>MATCH($D1659,'D4 - Provider Council Unsched'!$C$11:$C$234,0)</f>
        <v>#N/A</v>
      </c>
      <c r="AR1659" s="6" t="b">
        <f t="shared" si="179"/>
        <v>1</v>
      </c>
      <c r="AS1659" s="6" t="str">
        <f>IF(AND(H1659="2 - Not Scheduled",AR1659=TRUE),"Add","OK")</f>
        <v>OK</v>
      </c>
      <c r="AU1659" s="202">
        <v>40707</v>
      </c>
      <c r="AV1659" s="262"/>
      <c r="AW1659" s="274"/>
    </row>
    <row r="1660" spans="1:49" s="13" customFormat="1" ht="22.5" x14ac:dyDescent="0.2">
      <c r="A1660" s="14">
        <v>1636</v>
      </c>
      <c r="B1660" s="14" t="s">
        <v>2396</v>
      </c>
      <c r="C1660" s="8" t="s">
        <v>5197</v>
      </c>
      <c r="D1660" s="4" t="s">
        <v>2397</v>
      </c>
      <c r="E1660" s="342" t="s">
        <v>2398</v>
      </c>
      <c r="F1660" s="8" t="s">
        <v>2114</v>
      </c>
      <c r="G1660" s="8" t="s">
        <v>4758</v>
      </c>
      <c r="H1660" s="8" t="s">
        <v>4246</v>
      </c>
      <c r="I1660" s="20">
        <v>0.74</v>
      </c>
      <c r="J1660" s="8" t="s">
        <v>4862</v>
      </c>
      <c r="K1660" s="182">
        <v>40950</v>
      </c>
      <c r="L1660" s="8" t="s">
        <v>5743</v>
      </c>
      <c r="M1660" s="8" t="s">
        <v>4450</v>
      </c>
      <c r="N1660" s="38" t="s">
        <v>3523</v>
      </c>
      <c r="O1660" s="8" t="s">
        <v>3572</v>
      </c>
      <c r="P1660" s="4" t="e">
        <f>VLOOKUP($B1660,'D7 - NDB Impacted SPRF''s'!$E$16:$O$9929,9,FALSE)</f>
        <v>#N/A</v>
      </c>
      <c r="Q1660" s="4" t="e">
        <f>VLOOKUP($B1660,'D7 - NDB Impacted SPRF''s'!$E$16:$O$9929,10,FALSE)</f>
        <v>#N/A</v>
      </c>
      <c r="R1660" s="4" t="e">
        <f>VLOOKUP($B1660,'D7 - NDB Impacted SPRF''s'!$E$16:$O$9929,11,FALSE)</f>
        <v>#N/A</v>
      </c>
      <c r="S1660" s="8"/>
      <c r="T1660" s="310"/>
      <c r="U1660" s="310"/>
      <c r="V1660" s="4"/>
      <c r="W1660" s="4"/>
      <c r="X1660" s="4"/>
      <c r="Y1660" s="4"/>
      <c r="Z1660" s="4"/>
      <c r="AA1660" s="4"/>
      <c r="AB1660" s="383" t="e">
        <f>VLOOKUP($B1660,'D7 - NDB Impacted SPRF''s'!$E$16:$O$9929,4,FALSE)</f>
        <v>#N/A</v>
      </c>
      <c r="AC1660" s="380" t="e">
        <f>VLOOKUP($B1660,'D7 - NDB Impacted SPRF''s'!$E$16:$O$9929,3,FALSE)</f>
        <v>#N/A</v>
      </c>
      <c r="AD1660" s="380" t="e">
        <f>VLOOKUP($B1660,'D7 - NDB Impacted SPRF''s'!$E$16:$O$9929,5,FALSE)</f>
        <v>#N/A</v>
      </c>
      <c r="AE1660" s="380" t="e">
        <f>VLOOKUP($B1660,'D7 - NDB Impacted SPRF''s'!$E$16:$O$9929,7,FALSE)</f>
        <v>#N/A</v>
      </c>
      <c r="AF1660" s="380" t="e">
        <f>VLOOKUP($B1660,'D7 - NDB Impacted SPRF''s'!$E$16:$O$9929,6,FALSE)</f>
        <v>#N/A</v>
      </c>
      <c r="AG1660" s="282"/>
      <c r="AH1660" s="311" t="e">
        <f>INDEX('D5 - Gatekeeper - Projects'!$A$4:$AF$1010,$AM1660, 17)</f>
        <v>#N/A</v>
      </c>
      <c r="AI1660" s="8"/>
      <c r="AJ1660" s="57"/>
      <c r="AK1660" s="105"/>
      <c r="AM1660" s="6" t="e">
        <f>MATCH(D1660,'D5 - Gatekeeper - Projects'!$C$4:$C$1010,0)</f>
        <v>#N/A</v>
      </c>
      <c r="AN1660" s="6" t="b">
        <f t="shared" si="178"/>
        <v>1</v>
      </c>
      <c r="AO1660" s="6" t="str">
        <f t="shared" si="180"/>
        <v>OK</v>
      </c>
      <c r="AQ1660" s="6" t="e">
        <f>MATCH($D1660,'D4 - Provider Council Unsched'!$C$11:$C$234,0)</f>
        <v>#N/A</v>
      </c>
      <c r="AR1660" s="6" t="b">
        <f t="shared" si="179"/>
        <v>1</v>
      </c>
      <c r="AS1660" s="6" t="str">
        <f>IF(AND(H1660="2 - Not Scheduled",AR1660=TRUE),"Add","OK")</f>
        <v>OK</v>
      </c>
      <c r="AU1660" s="202">
        <v>40266</v>
      </c>
      <c r="AV1660" s="262"/>
      <c r="AW1660" s="274"/>
    </row>
    <row r="1661" spans="1:49" s="13" customFormat="1" ht="15" x14ac:dyDescent="0.25">
      <c r="A1661" s="14">
        <v>1637</v>
      </c>
      <c r="B1661" s="14" t="s">
        <v>221</v>
      </c>
      <c r="C1661" s="8" t="s">
        <v>5197</v>
      </c>
      <c r="D1661" s="4" t="s">
        <v>220</v>
      </c>
      <c r="E1661" s="344" t="s">
        <v>222</v>
      </c>
      <c r="F1661" s="8" t="s">
        <v>2114</v>
      </c>
      <c r="G1661" s="8" t="s">
        <v>4758</v>
      </c>
      <c r="H1661" s="8" t="s">
        <v>4246</v>
      </c>
      <c r="I1661" s="20">
        <v>1.9</v>
      </c>
      <c r="J1661" s="8" t="s">
        <v>4862</v>
      </c>
      <c r="K1661" s="182">
        <v>40950</v>
      </c>
      <c r="L1661" s="8" t="s">
        <v>4156</v>
      </c>
      <c r="M1661" s="8" t="s">
        <v>2814</v>
      </c>
      <c r="N1661" s="38"/>
      <c r="O1661" s="8" t="s">
        <v>3572</v>
      </c>
      <c r="P1661" s="4" t="e">
        <f>VLOOKUP($B1661,'D7 - NDB Impacted SPRF''s'!$E$16:$O$9929,9,FALSE)</f>
        <v>#N/A</v>
      </c>
      <c r="Q1661" s="4" t="e">
        <f>VLOOKUP($B1661,'D7 - NDB Impacted SPRF''s'!$E$16:$O$9929,10,FALSE)</f>
        <v>#N/A</v>
      </c>
      <c r="R1661" s="4" t="e">
        <f>VLOOKUP($B1661,'D7 - NDB Impacted SPRF''s'!$E$16:$O$9929,11,FALSE)</f>
        <v>#N/A</v>
      </c>
      <c r="S1661" s="8"/>
      <c r="T1661" s="310"/>
      <c r="U1661" s="310"/>
      <c r="V1661" s="4"/>
      <c r="W1661" s="4"/>
      <c r="X1661" s="4"/>
      <c r="Y1661" s="4"/>
      <c r="Z1661" s="4"/>
      <c r="AA1661" s="4"/>
      <c r="AB1661" s="383" t="e">
        <f>VLOOKUP($B1661,'D7 - NDB Impacted SPRF''s'!$E$16:$O$9929,4,FALSE)</f>
        <v>#N/A</v>
      </c>
      <c r="AC1661" s="380" t="e">
        <f>VLOOKUP($B1661,'D7 - NDB Impacted SPRF''s'!$E$16:$O$9929,3,FALSE)</f>
        <v>#N/A</v>
      </c>
      <c r="AD1661" s="380" t="e">
        <f>VLOOKUP($B1661,'D7 - NDB Impacted SPRF''s'!$E$16:$O$9929,5,FALSE)</f>
        <v>#N/A</v>
      </c>
      <c r="AE1661" s="380" t="e">
        <f>VLOOKUP($B1661,'D7 - NDB Impacted SPRF''s'!$E$16:$O$9929,7,FALSE)</f>
        <v>#N/A</v>
      </c>
      <c r="AF1661" s="380" t="e">
        <f>VLOOKUP($B1661,'D7 - NDB Impacted SPRF''s'!$E$16:$O$9929,6,FALSE)</f>
        <v>#N/A</v>
      </c>
      <c r="AG1661" s="282"/>
      <c r="AH1661" s="311" t="e">
        <f>INDEX('D5 - Gatekeeper - Projects'!$A$4:$AF$1010,$AM1661, 17)</f>
        <v>#N/A</v>
      </c>
      <c r="AI1661" s="8"/>
      <c r="AJ1661" s="57"/>
      <c r="AK1661" s="105"/>
      <c r="AM1661" s="6" t="e">
        <f>MATCH(D1661,'D5 - Gatekeeper - Projects'!$C$4:$C$1010,0)</f>
        <v>#N/A</v>
      </c>
      <c r="AN1661" s="6" t="b">
        <f t="shared" si="178"/>
        <v>1</v>
      </c>
      <c r="AO1661" s="6" t="str">
        <f t="shared" si="180"/>
        <v>OK</v>
      </c>
      <c r="AQ1661" s="6" t="e">
        <f>MATCH($D1661,'D4 - Provider Council Unsched'!$C$11:$C$234,0)</f>
        <v>#N/A</v>
      </c>
      <c r="AR1661" s="6" t="b">
        <f t="shared" si="179"/>
        <v>1</v>
      </c>
      <c r="AS1661" s="6" t="str">
        <f>IF(AND(H1661="2 - Not Scheduled",AR1661=TRUE),"Add","OK")</f>
        <v>OK</v>
      </c>
      <c r="AU1661" s="202" t="s">
        <v>223</v>
      </c>
      <c r="AV1661" s="262"/>
      <c r="AW1661" s="274"/>
    </row>
    <row r="1662" spans="1:49" s="13" customFormat="1" ht="33.75" x14ac:dyDescent="0.2">
      <c r="A1662" s="14">
        <v>1638</v>
      </c>
      <c r="B1662" s="8">
        <v>400046092</v>
      </c>
      <c r="C1662" s="8" t="s">
        <v>1447</v>
      </c>
      <c r="D1662" s="4" t="str">
        <f t="shared" ref="D1662:D1673" si="181">CONCATENATE(B1662,C1662)</f>
        <v>400046092A</v>
      </c>
      <c r="E1662" s="309" t="str">
        <f>VLOOKUP($B1662,'D7 - NDB Impacted SPRF''s'!$E$6:$O$9929,2,FALSE)</f>
        <v>PHC/CHC Health Plans Migration to GPS</v>
      </c>
      <c r="F1662" s="8"/>
      <c r="G1662" s="8" t="s">
        <v>4758</v>
      </c>
      <c r="H1662" s="8" t="s">
        <v>4246</v>
      </c>
      <c r="I1662" s="20">
        <v>0.59</v>
      </c>
      <c r="J1662" s="8" t="s">
        <v>4862</v>
      </c>
      <c r="K1662" s="182">
        <v>40968</v>
      </c>
      <c r="L1662" s="8" t="s">
        <v>4156</v>
      </c>
      <c r="M1662" s="8" t="s">
        <v>6688</v>
      </c>
      <c r="N1662" s="38"/>
      <c r="O1662" s="8"/>
      <c r="P1662" s="4" t="str">
        <f>VLOOKUP($B1662,'D7 - NDB Impacted SPRF''s'!$E$16:$O$9929,9,FALSE)</f>
        <v>N</v>
      </c>
      <c r="Q1662" s="4" t="str">
        <f>VLOOKUP($B1662,'D7 - NDB Impacted SPRF''s'!$E$16:$O$9929,10,FALSE)</f>
        <v>N</v>
      </c>
      <c r="R1662" s="4" t="str">
        <f>VLOOKUP($B1662,'D7 - NDB Impacted SPRF''s'!$E$16:$O$9929,11,FALSE)</f>
        <v>N</v>
      </c>
      <c r="S1662" s="8"/>
      <c r="T1662" s="310"/>
      <c r="U1662" s="310"/>
      <c r="V1662" s="4"/>
      <c r="W1662" s="4"/>
      <c r="X1662" s="4"/>
      <c r="Y1662" s="4"/>
      <c r="Z1662" s="4"/>
      <c r="AA1662" s="4"/>
      <c r="AB1662" s="380" t="str">
        <f>VLOOKUP($B1662,'D7 - NDB Impacted SPRF''s'!$E$6:$O$9929,4,FALSE)</f>
        <v>Completed</v>
      </c>
      <c r="AC1662" s="380" t="str">
        <f>VLOOKUP($B1662,'D7 - NDB Impacted SPRF''s'!$E$6:$O$9929,3,FALSE)</f>
        <v>UnitedHealthcare Medicare &amp; Retirement</v>
      </c>
      <c r="AD1662" s="380" t="str">
        <f>VLOOKUP($B1662,'D7 - NDB Impacted SPRF''s'!$E$6:$O$9929,5,FALSE)</f>
        <v>Integration Requirements</v>
      </c>
      <c r="AE1662" s="380" t="str">
        <f>VLOOKUP($B1662,'D7 - NDB Impacted SPRF''s'!$E$6:$O$9929,7,FALSE)</f>
        <v>Kelly Gilbertson</v>
      </c>
      <c r="AF1662" s="380" t="str">
        <f>VLOOKUP($B1662,'D7 - NDB Impacted SPRF''s'!$E$6:$O$9929,6,FALSE)</f>
        <v>Debi Streb</v>
      </c>
      <c r="AG1662" s="282"/>
      <c r="AH1662" s="311" t="e">
        <f>INDEX('D5 - Gatekeeper - Projects'!$A$4:$AF$1010,$AM1662, 17)</f>
        <v>#N/A</v>
      </c>
      <c r="AI1662" s="8"/>
      <c r="AJ1662" s="57"/>
      <c r="AK1662" s="105"/>
      <c r="AM1662" s="6" t="e">
        <f>MATCH(D1662,'D5 - Gatekeeper - Projects'!$C$4:$C$1010,0)</f>
        <v>#N/A</v>
      </c>
      <c r="AN1662" s="6" t="b">
        <f t="shared" si="178"/>
        <v>1</v>
      </c>
      <c r="AO1662" s="6" t="str">
        <f t="shared" si="180"/>
        <v>OK</v>
      </c>
      <c r="AQ1662" s="6" t="e">
        <f>MATCH($D1662,'D4 - Provider Council Unsched'!$C$11:$C$234,0)</f>
        <v>#N/A</v>
      </c>
      <c r="AR1662" s="6" t="b">
        <f t="shared" si="179"/>
        <v>1</v>
      </c>
      <c r="AS1662" s="6" t="str">
        <f t="shared" ref="AS1662:AS1673" si="182">IF(AND(H1662="2 - Not Scheduled",AR1662=TRUE,C1662="R1"),"Add","OK")</f>
        <v>OK</v>
      </c>
      <c r="AU1662" s="202">
        <v>40816</v>
      </c>
      <c r="AV1662" s="262" t="s">
        <v>438</v>
      </c>
      <c r="AW1662" s="274"/>
    </row>
    <row r="1663" spans="1:49" s="13" customFormat="1" ht="33.75" x14ac:dyDescent="0.2">
      <c r="A1663" s="14">
        <v>1639</v>
      </c>
      <c r="B1663" s="14">
        <v>400037224</v>
      </c>
      <c r="C1663" s="8" t="s">
        <v>3763</v>
      </c>
      <c r="D1663" s="4" t="str">
        <f t="shared" si="181"/>
        <v>400037224R2</v>
      </c>
      <c r="E1663" s="309" t="str">
        <f>VLOOKUP($B1663,'D7 - NDB Impacted SPRF''s'!$E$6:$O$9929,2,FALSE)</f>
        <v xml:space="preserve">Systems of Record - Data Interface 2011 H1 </v>
      </c>
      <c r="F1663" s="8"/>
      <c r="G1663" s="8" t="s">
        <v>4758</v>
      </c>
      <c r="H1663" s="8" t="s">
        <v>4246</v>
      </c>
      <c r="I1663" s="20">
        <v>56.19</v>
      </c>
      <c r="J1663" s="8" t="s">
        <v>4862</v>
      </c>
      <c r="K1663" s="182">
        <v>40978</v>
      </c>
      <c r="L1663" s="8" t="s">
        <v>4156</v>
      </c>
      <c r="M1663" s="8" t="s">
        <v>2814</v>
      </c>
      <c r="N1663" s="38" t="s">
        <v>2719</v>
      </c>
      <c r="O1663" s="8"/>
      <c r="P1663" s="4" t="str">
        <f>VLOOKUP($B1663,'D7 - NDB Impacted SPRF''s'!$E$16:$O$9929,9,FALSE)</f>
        <v>Y</v>
      </c>
      <c r="Q1663" s="4" t="str">
        <f>VLOOKUP($B1663,'D7 - NDB Impacted SPRF''s'!$E$16:$O$9929,10,FALSE)</f>
        <v>N</v>
      </c>
      <c r="R1663" s="4" t="str">
        <f>VLOOKUP($B1663,'D7 - NDB Impacted SPRF''s'!$E$16:$O$9929,11,FALSE)</f>
        <v>N</v>
      </c>
      <c r="S1663" s="8"/>
      <c r="T1663" s="310"/>
      <c r="U1663" s="310"/>
      <c r="V1663" s="4"/>
      <c r="W1663" s="4"/>
      <c r="X1663" s="4"/>
      <c r="Y1663" s="4"/>
      <c r="Z1663" s="4"/>
      <c r="AA1663" s="4"/>
      <c r="AB1663" s="380" t="str">
        <f>VLOOKUP($B1663,'D7 - NDB Impacted SPRF''s'!$E$6:$O$9929,4,FALSE)</f>
        <v>Completed</v>
      </c>
      <c r="AC1663" s="380" t="str">
        <f>VLOOKUP($B1663,'D7 - NDB Impacted SPRF''s'!$E$6:$O$9929,3,FALSE)</f>
        <v>UHG IT - Shared Services</v>
      </c>
      <c r="AD1663" s="380" t="str">
        <f>VLOOKUP($B1663,'D7 - NDB Impacted SPRF''s'!$E$6:$O$9929,5,FALSE)</f>
        <v>Strategic Initiatives</v>
      </c>
      <c r="AE1663" s="380" t="str">
        <f>VLOOKUP($B1663,'D7 - NDB Impacted SPRF''s'!$E$6:$O$9929,7,FALSE)</f>
        <v>David Albright</v>
      </c>
      <c r="AF1663" s="380" t="str">
        <f>VLOOKUP($B1663,'D7 - NDB Impacted SPRF''s'!$E$6:$O$9929,6,FALSE)</f>
        <v>Stacy Blackstad</v>
      </c>
      <c r="AG1663" s="282"/>
      <c r="AH1663" s="311" t="e">
        <f>INDEX('D5 - Gatekeeper - Projects'!$A$4:$AF$1010,$AM1663, 17)</f>
        <v>#N/A</v>
      </c>
      <c r="AI1663" s="8"/>
      <c r="AJ1663" s="57"/>
      <c r="AK1663" s="105"/>
      <c r="AM1663" s="6" t="e">
        <f>MATCH(D1663,'D5 - Gatekeeper - Projects'!$C$4:$C$1010,0)</f>
        <v>#N/A</v>
      </c>
      <c r="AN1663" s="6" t="b">
        <f t="shared" si="178"/>
        <v>1</v>
      </c>
      <c r="AO1663" s="6" t="str">
        <f t="shared" si="180"/>
        <v>OK</v>
      </c>
      <c r="AQ1663" s="6" t="e">
        <f>MATCH($D1663,'D4 - Provider Council Unsched'!$C$11:$C$234,0)</f>
        <v>#N/A</v>
      </c>
      <c r="AR1663" s="6" t="b">
        <f t="shared" si="179"/>
        <v>1</v>
      </c>
      <c r="AS1663" s="6" t="str">
        <f t="shared" si="182"/>
        <v>OK</v>
      </c>
      <c r="AU1663" s="202">
        <v>40616</v>
      </c>
      <c r="AV1663" s="262" t="s">
        <v>2752</v>
      </c>
      <c r="AW1663" s="274"/>
    </row>
    <row r="1664" spans="1:49" s="13" customFormat="1" ht="56.25" x14ac:dyDescent="0.2">
      <c r="A1664" s="14">
        <v>1640</v>
      </c>
      <c r="B1664" s="14">
        <v>400037224</v>
      </c>
      <c r="C1664" s="8" t="s">
        <v>6895</v>
      </c>
      <c r="D1664" s="4" t="str">
        <f t="shared" si="181"/>
        <v>400037224R6</v>
      </c>
      <c r="E1664" s="309" t="str">
        <f>VLOOKUP($B1664,'D7 - NDB Impacted SPRF''s'!$E$6:$O$9929,2,FALSE)</f>
        <v xml:space="preserve">Systems of Record - Data Interface 2011 H1 </v>
      </c>
      <c r="F1664" s="8"/>
      <c r="G1664" s="8" t="s">
        <v>4758</v>
      </c>
      <c r="H1664" s="8" t="s">
        <v>4246</v>
      </c>
      <c r="I1664" s="20">
        <v>3.44</v>
      </c>
      <c r="J1664" s="8" t="s">
        <v>4862</v>
      </c>
      <c r="K1664" s="182">
        <v>40978</v>
      </c>
      <c r="L1664" s="8" t="s">
        <v>4156</v>
      </c>
      <c r="M1664" s="8" t="s">
        <v>2814</v>
      </c>
      <c r="N1664" s="38" t="s">
        <v>306</v>
      </c>
      <c r="O1664" s="8"/>
      <c r="P1664" s="4" t="str">
        <f>VLOOKUP($B1664,'D7 - NDB Impacted SPRF''s'!$E$16:$O$9929,9,FALSE)</f>
        <v>Y</v>
      </c>
      <c r="Q1664" s="4" t="str">
        <f>VLOOKUP($B1664,'D7 - NDB Impacted SPRF''s'!$E$16:$O$9929,10,FALSE)</f>
        <v>N</v>
      </c>
      <c r="R1664" s="4" t="str">
        <f>VLOOKUP($B1664,'D7 - NDB Impacted SPRF''s'!$E$16:$O$9929,11,FALSE)</f>
        <v>N</v>
      </c>
      <c r="S1664" s="8"/>
      <c r="T1664" s="310"/>
      <c r="U1664" s="310"/>
      <c r="V1664" s="4"/>
      <c r="W1664" s="4"/>
      <c r="X1664" s="4"/>
      <c r="Y1664" s="4"/>
      <c r="Z1664" s="4"/>
      <c r="AA1664" s="4"/>
      <c r="AB1664" s="380" t="str">
        <f>VLOOKUP($B1664,'D7 - NDB Impacted SPRF''s'!$E$6:$O$9929,4,FALSE)</f>
        <v>Completed</v>
      </c>
      <c r="AC1664" s="380" t="str">
        <f>VLOOKUP($B1664,'D7 - NDB Impacted SPRF''s'!$E$6:$O$9929,3,FALSE)</f>
        <v>UHG IT - Shared Services</v>
      </c>
      <c r="AD1664" s="380" t="str">
        <f>VLOOKUP($B1664,'D7 - NDB Impacted SPRF''s'!$E$6:$O$9929,5,FALSE)</f>
        <v>Strategic Initiatives</v>
      </c>
      <c r="AE1664" s="380" t="str">
        <f>VLOOKUP($B1664,'D7 - NDB Impacted SPRF''s'!$E$6:$O$9929,7,FALSE)</f>
        <v>David Albright</v>
      </c>
      <c r="AF1664" s="380" t="str">
        <f>VLOOKUP($B1664,'D7 - NDB Impacted SPRF''s'!$E$6:$O$9929,6,FALSE)</f>
        <v>Stacy Blackstad</v>
      </c>
      <c r="AG1664" s="282"/>
      <c r="AH1664" s="311" t="e">
        <f>INDEX('D5 - Gatekeeper - Projects'!$A$4:$AF$1010,$AM1664, 17)</f>
        <v>#N/A</v>
      </c>
      <c r="AI1664" s="8"/>
      <c r="AJ1664" s="57"/>
      <c r="AK1664" s="105"/>
      <c r="AM1664" s="6" t="e">
        <f>MATCH(D1664,'D5 - Gatekeeper - Projects'!$C$4:$C$1010,0)</f>
        <v>#N/A</v>
      </c>
      <c r="AN1664" s="6" t="b">
        <f t="shared" si="178"/>
        <v>1</v>
      </c>
      <c r="AO1664" s="6" t="str">
        <f t="shared" si="180"/>
        <v>OK</v>
      </c>
      <c r="AQ1664" s="6" t="e">
        <f>MATCH($D1664,'D4 - Provider Council Unsched'!$C$11:$C$234,0)</f>
        <v>#N/A</v>
      </c>
      <c r="AR1664" s="6" t="b">
        <f t="shared" si="179"/>
        <v>1</v>
      </c>
      <c r="AS1664" s="6" t="str">
        <f t="shared" si="182"/>
        <v>OK</v>
      </c>
      <c r="AU1664" s="202">
        <v>40861</v>
      </c>
      <c r="AV1664" s="262" t="s">
        <v>2752</v>
      </c>
      <c r="AW1664" s="274"/>
    </row>
    <row r="1665" spans="1:49" s="13" customFormat="1" ht="22.5" x14ac:dyDescent="0.2">
      <c r="A1665" s="14">
        <v>1641</v>
      </c>
      <c r="B1665" s="14">
        <v>400037224</v>
      </c>
      <c r="C1665" s="8" t="s">
        <v>6445</v>
      </c>
      <c r="D1665" s="4" t="str">
        <f t="shared" si="181"/>
        <v>400037224R7</v>
      </c>
      <c r="E1665" s="309" t="str">
        <f>VLOOKUP($B1665,'D7 - NDB Impacted SPRF''s'!$E$6:$O$9929,2,FALSE)</f>
        <v xml:space="preserve">Systems of Record - Data Interface 2011 H1 </v>
      </c>
      <c r="F1665" s="8"/>
      <c r="G1665" s="8" t="s">
        <v>4758</v>
      </c>
      <c r="H1665" s="8" t="s">
        <v>4246</v>
      </c>
      <c r="I1665" s="20">
        <v>2.92</v>
      </c>
      <c r="J1665" s="8" t="s">
        <v>4862</v>
      </c>
      <c r="K1665" s="182">
        <v>40978</v>
      </c>
      <c r="L1665" s="8" t="s">
        <v>4156</v>
      </c>
      <c r="M1665" s="8" t="s">
        <v>2814</v>
      </c>
      <c r="N1665" s="38" t="s">
        <v>4965</v>
      </c>
      <c r="O1665" s="8"/>
      <c r="P1665" s="4" t="str">
        <f>VLOOKUP($B1665,'D7 - NDB Impacted SPRF''s'!$E$16:$O$9929,9,FALSE)</f>
        <v>Y</v>
      </c>
      <c r="Q1665" s="4" t="str">
        <f>VLOOKUP($B1665,'D7 - NDB Impacted SPRF''s'!$E$16:$O$9929,10,FALSE)</f>
        <v>N</v>
      </c>
      <c r="R1665" s="4" t="str">
        <f>VLOOKUP($B1665,'D7 - NDB Impacted SPRF''s'!$E$16:$O$9929,11,FALSE)</f>
        <v>N</v>
      </c>
      <c r="S1665" s="8"/>
      <c r="T1665" s="310"/>
      <c r="U1665" s="310"/>
      <c r="V1665" s="4"/>
      <c r="W1665" s="4"/>
      <c r="X1665" s="4"/>
      <c r="Y1665" s="4"/>
      <c r="Z1665" s="4"/>
      <c r="AA1665" s="4"/>
      <c r="AB1665" s="380" t="str">
        <f>VLOOKUP($B1665,'D7 - NDB Impacted SPRF''s'!$E$6:$O$9929,4,FALSE)</f>
        <v>Completed</v>
      </c>
      <c r="AC1665" s="380" t="str">
        <f>VLOOKUP($B1665,'D7 - NDB Impacted SPRF''s'!$E$6:$O$9929,3,FALSE)</f>
        <v>UHG IT - Shared Services</v>
      </c>
      <c r="AD1665" s="380" t="str">
        <f>VLOOKUP($B1665,'D7 - NDB Impacted SPRF''s'!$E$6:$O$9929,5,FALSE)</f>
        <v>Strategic Initiatives</v>
      </c>
      <c r="AE1665" s="380" t="str">
        <f>VLOOKUP($B1665,'D7 - NDB Impacted SPRF''s'!$E$6:$O$9929,7,FALSE)</f>
        <v>David Albright</v>
      </c>
      <c r="AF1665" s="380" t="str">
        <f>VLOOKUP($B1665,'D7 - NDB Impacted SPRF''s'!$E$6:$O$9929,6,FALSE)</f>
        <v>Stacy Blackstad</v>
      </c>
      <c r="AG1665" s="282"/>
      <c r="AH1665" s="311" t="e">
        <f>INDEX('D5 - Gatekeeper - Projects'!$A$4:$AF$1010,$AM1665, 17)</f>
        <v>#N/A</v>
      </c>
      <c r="AI1665" s="8"/>
      <c r="AJ1665" s="57"/>
      <c r="AK1665" s="105"/>
      <c r="AM1665" s="6" t="e">
        <f>MATCH(D1665,'D5 - Gatekeeper - Projects'!$C$4:$C$1010,0)</f>
        <v>#N/A</v>
      </c>
      <c r="AN1665" s="6" t="b">
        <f t="shared" si="178"/>
        <v>1</v>
      </c>
      <c r="AO1665" s="6" t="str">
        <f t="shared" si="180"/>
        <v>OK</v>
      </c>
      <c r="AQ1665" s="6" t="e">
        <f>MATCH($D1665,'D4 - Provider Council Unsched'!$C$11:$C$234,0)</f>
        <v>#N/A</v>
      </c>
      <c r="AR1665" s="6" t="b">
        <f t="shared" si="179"/>
        <v>1</v>
      </c>
      <c r="AS1665" s="6" t="str">
        <f t="shared" si="182"/>
        <v>OK</v>
      </c>
      <c r="AU1665" s="202" t="s">
        <v>1683</v>
      </c>
      <c r="AV1665" s="262" t="s">
        <v>2752</v>
      </c>
      <c r="AW1665" s="274"/>
    </row>
    <row r="1666" spans="1:49" s="13" customFormat="1" ht="33.75" x14ac:dyDescent="0.2">
      <c r="A1666" s="14">
        <v>1642</v>
      </c>
      <c r="B1666" s="8">
        <v>400042400</v>
      </c>
      <c r="C1666" s="8" t="s">
        <v>1447</v>
      </c>
      <c r="D1666" s="4" t="str">
        <f t="shared" si="181"/>
        <v>400042400A</v>
      </c>
      <c r="E1666" s="309" t="str">
        <f>VLOOKUP($B1666,'D7 - NDB Impacted SPRF''s'!$E$6:$O$9929,2,FALSE)</f>
        <v>Automate online FL provider search &amp; directory</v>
      </c>
      <c r="F1666" s="8"/>
      <c r="G1666" s="8" t="s">
        <v>4758</v>
      </c>
      <c r="H1666" s="8" t="s">
        <v>4246</v>
      </c>
      <c r="I1666" s="20">
        <v>7.64</v>
      </c>
      <c r="J1666" s="8" t="s">
        <v>4862</v>
      </c>
      <c r="K1666" s="182">
        <v>40978</v>
      </c>
      <c r="L1666" s="8" t="s">
        <v>4156</v>
      </c>
      <c r="M1666" s="8" t="s">
        <v>2814</v>
      </c>
      <c r="N1666" s="38"/>
      <c r="O1666" s="8"/>
      <c r="P1666" s="4" t="str">
        <f>VLOOKUP($B1666,'D7 - NDB Impacted SPRF''s'!$E$16:$O$9929,9,FALSE)</f>
        <v>N</v>
      </c>
      <c r="Q1666" s="4" t="str">
        <f>VLOOKUP($B1666,'D7 - NDB Impacted SPRF''s'!$E$16:$O$9929,10,FALSE)</f>
        <v>N</v>
      </c>
      <c r="R1666" s="4" t="str">
        <f>VLOOKUP($B1666,'D7 - NDB Impacted SPRF''s'!$E$16:$O$9929,11,FALSE)</f>
        <v>N</v>
      </c>
      <c r="S1666" s="8"/>
      <c r="T1666" s="310"/>
      <c r="U1666" s="310"/>
      <c r="V1666" s="4"/>
      <c r="W1666" s="4"/>
      <c r="X1666" s="4"/>
      <c r="Y1666" s="4"/>
      <c r="Z1666" s="4"/>
      <c r="AA1666" s="4"/>
      <c r="AB1666" s="380" t="str">
        <f>VLOOKUP($B1666,'D7 - NDB Impacted SPRF''s'!$E$6:$O$9929,4,FALSE)</f>
        <v>Completed</v>
      </c>
      <c r="AC1666" s="380" t="s">
        <v>5324</v>
      </c>
      <c r="AD1666" s="380" t="str">
        <f>VLOOKUP($B1666,'D7 - NDB Impacted SPRF''s'!$E$6:$O$9929,5,FALSE)</f>
        <v>Regulatory / Other</v>
      </c>
      <c r="AE1666" s="380" t="str">
        <f>VLOOKUP($B1666,'D7 - NDB Impacted SPRF''s'!$E$6:$O$9929,7,FALSE)</f>
        <v>Mike Radu</v>
      </c>
      <c r="AF1666" s="380" t="str">
        <f>VLOOKUP($B1666,'D7 - NDB Impacted SPRF''s'!$E$6:$O$9929,6,FALSE)</f>
        <v>Scott Spillman</v>
      </c>
      <c r="AG1666" s="282"/>
      <c r="AH1666" s="311" t="e">
        <f>INDEX('D5 - Gatekeeper - Projects'!$A$4:$AF$1010,$AM1666, 17)</f>
        <v>#N/A</v>
      </c>
      <c r="AI1666" s="8"/>
      <c r="AJ1666" s="57"/>
      <c r="AK1666" s="105"/>
      <c r="AM1666" s="6" t="e">
        <f>MATCH(D1666,'D5 - Gatekeeper - Projects'!$C$4:$C$1010,0)</f>
        <v>#N/A</v>
      </c>
      <c r="AN1666" s="6" t="b">
        <f t="shared" si="178"/>
        <v>1</v>
      </c>
      <c r="AO1666" s="6" t="str">
        <f t="shared" si="180"/>
        <v>OK</v>
      </c>
      <c r="AQ1666" s="6" t="e">
        <f>MATCH($D1666,'D4 - Provider Council Unsched'!$C$11:$C$234,0)</f>
        <v>#N/A</v>
      </c>
      <c r="AR1666" s="6" t="b">
        <f t="shared" si="179"/>
        <v>1</v>
      </c>
      <c r="AS1666" s="6" t="str">
        <f t="shared" si="182"/>
        <v>OK</v>
      </c>
      <c r="AU1666" s="202">
        <v>40725</v>
      </c>
      <c r="AV1666" s="262" t="s">
        <v>1076</v>
      </c>
      <c r="AW1666" s="274">
        <v>34606</v>
      </c>
    </row>
    <row r="1667" spans="1:49" s="13" customFormat="1" ht="45" x14ac:dyDescent="0.2">
      <c r="A1667" s="14">
        <v>1643</v>
      </c>
      <c r="B1667" s="8">
        <v>400042400</v>
      </c>
      <c r="C1667" s="8" t="s">
        <v>7290</v>
      </c>
      <c r="D1667" s="4" t="str">
        <f t="shared" si="181"/>
        <v>400042400B</v>
      </c>
      <c r="E1667" s="309" t="str">
        <f>VLOOKUP($B1667,'D7 - NDB Impacted SPRF''s'!$E$6:$O$9929,2,FALSE)</f>
        <v>Automate online FL provider search &amp; directory</v>
      </c>
      <c r="F1667" s="8"/>
      <c r="G1667" s="8" t="s">
        <v>4758</v>
      </c>
      <c r="H1667" s="8" t="s">
        <v>4246</v>
      </c>
      <c r="I1667" s="20">
        <v>4.58</v>
      </c>
      <c r="J1667" s="8" t="s">
        <v>4862</v>
      </c>
      <c r="K1667" s="182">
        <v>40978</v>
      </c>
      <c r="L1667" s="8" t="s">
        <v>4156</v>
      </c>
      <c r="M1667" s="8" t="s">
        <v>2814</v>
      </c>
      <c r="N1667" s="38" t="s">
        <v>686</v>
      </c>
      <c r="O1667" s="8"/>
      <c r="P1667" s="4" t="str">
        <f>VLOOKUP($B1667,'D7 - NDB Impacted SPRF''s'!$E$16:$O$9929,9,FALSE)</f>
        <v>N</v>
      </c>
      <c r="Q1667" s="4" t="str">
        <f>VLOOKUP($B1667,'D7 - NDB Impacted SPRF''s'!$E$16:$O$9929,10,FALSE)</f>
        <v>N</v>
      </c>
      <c r="R1667" s="4" t="str">
        <f>VLOOKUP($B1667,'D7 - NDB Impacted SPRF''s'!$E$16:$O$9929,11,FALSE)</f>
        <v>N</v>
      </c>
      <c r="S1667" s="8"/>
      <c r="T1667" s="310"/>
      <c r="U1667" s="310"/>
      <c r="V1667" s="4"/>
      <c r="W1667" s="4"/>
      <c r="X1667" s="4"/>
      <c r="Y1667" s="4"/>
      <c r="Z1667" s="4"/>
      <c r="AA1667" s="4"/>
      <c r="AB1667" s="380" t="str">
        <f>VLOOKUP($B1667,'D7 - NDB Impacted SPRF''s'!$E$6:$O$9929,4,FALSE)</f>
        <v>Completed</v>
      </c>
      <c r="AC1667" s="380" t="s">
        <v>5324</v>
      </c>
      <c r="AD1667" s="380" t="str">
        <f>VLOOKUP($B1667,'D7 - NDB Impacted SPRF''s'!$E$6:$O$9929,5,FALSE)</f>
        <v>Regulatory / Other</v>
      </c>
      <c r="AE1667" s="380" t="str">
        <f>VLOOKUP($B1667,'D7 - NDB Impacted SPRF''s'!$E$6:$O$9929,7,FALSE)</f>
        <v>Mike Radu</v>
      </c>
      <c r="AF1667" s="380" t="str">
        <f>VLOOKUP($B1667,'D7 - NDB Impacted SPRF''s'!$E$6:$O$9929,6,FALSE)</f>
        <v>Scott Spillman</v>
      </c>
      <c r="AG1667" s="282"/>
      <c r="AH1667" s="311" t="e">
        <f>INDEX('D5 - Gatekeeper - Projects'!$A$4:$AF$1010,$AM1667, 17)</f>
        <v>#N/A</v>
      </c>
      <c r="AI1667" s="8"/>
      <c r="AJ1667" s="57"/>
      <c r="AK1667" s="105"/>
      <c r="AM1667" s="6" t="e">
        <f>MATCH(D1667,'D5 - Gatekeeper - Projects'!$C$4:$C$1010,0)</f>
        <v>#N/A</v>
      </c>
      <c r="AN1667" s="6" t="b">
        <f t="shared" si="178"/>
        <v>1</v>
      </c>
      <c r="AO1667" s="6" t="str">
        <f t="shared" si="180"/>
        <v>OK</v>
      </c>
      <c r="AQ1667" s="6" t="e">
        <f>MATCH($D1667,'D4 - Provider Council Unsched'!$C$11:$C$234,0)</f>
        <v>#N/A</v>
      </c>
      <c r="AR1667" s="6" t="b">
        <f t="shared" si="179"/>
        <v>1</v>
      </c>
      <c r="AS1667" s="6" t="str">
        <f t="shared" si="182"/>
        <v>OK</v>
      </c>
      <c r="AU1667" s="202">
        <v>40828</v>
      </c>
      <c r="AV1667" s="262" t="s">
        <v>1076</v>
      </c>
      <c r="AW1667" s="274">
        <v>34606</v>
      </c>
    </row>
    <row r="1668" spans="1:49" s="13" customFormat="1" ht="33.75" x14ac:dyDescent="0.2">
      <c r="A1668" s="14">
        <v>1644</v>
      </c>
      <c r="B1668" s="8">
        <v>400044331</v>
      </c>
      <c r="C1668" s="8" t="s">
        <v>1447</v>
      </c>
      <c r="D1668" s="4" t="str">
        <f t="shared" si="181"/>
        <v>400044331A</v>
      </c>
      <c r="E1668" s="309" t="str">
        <f>VLOOKUP($B1668,'D7 - NDB Impacted SPRF''s'!$E$6:$O$9929,2,FALSE)</f>
        <v>M&amp;R NICE-COSMOS Migration RSA Program Definition</v>
      </c>
      <c r="F1668" s="8"/>
      <c r="G1668" s="8" t="s">
        <v>4758</v>
      </c>
      <c r="H1668" s="8" t="s">
        <v>4246</v>
      </c>
      <c r="I1668" s="20">
        <v>1.03</v>
      </c>
      <c r="J1668" s="8" t="s">
        <v>4862</v>
      </c>
      <c r="K1668" s="182">
        <v>40978</v>
      </c>
      <c r="L1668" s="8" t="s">
        <v>4156</v>
      </c>
      <c r="M1668" s="8" t="s">
        <v>6688</v>
      </c>
      <c r="N1668" s="38" t="s">
        <v>874</v>
      </c>
      <c r="O1668" s="8"/>
      <c r="P1668" s="4" t="str">
        <f>VLOOKUP($B1668,'D7 - NDB Impacted SPRF''s'!$E$16:$O$9929,9,FALSE)</f>
        <v>N</v>
      </c>
      <c r="Q1668" s="4" t="str">
        <f>VLOOKUP($B1668,'D7 - NDB Impacted SPRF''s'!$E$16:$O$9929,10,FALSE)</f>
        <v>N</v>
      </c>
      <c r="R1668" s="4" t="str">
        <f>VLOOKUP($B1668,'D7 - NDB Impacted SPRF''s'!$E$16:$O$9929,11,FALSE)</f>
        <v>N</v>
      </c>
      <c r="S1668" s="8"/>
      <c r="T1668" s="310"/>
      <c r="U1668" s="310"/>
      <c r="V1668" s="4"/>
      <c r="W1668" s="4"/>
      <c r="X1668" s="4"/>
      <c r="Y1668" s="4"/>
      <c r="Z1668" s="4"/>
      <c r="AA1668" s="4"/>
      <c r="AB1668" s="380" t="str">
        <f>VLOOKUP($B1668,'D7 - NDB Impacted SPRF''s'!$E$6:$O$9929,4,FALSE)</f>
        <v>Cancelled</v>
      </c>
      <c r="AC1668" s="380" t="str">
        <f>VLOOKUP($B1668,'D7 - NDB Impacted SPRF''s'!$E$6:$O$9929,3,FALSE)</f>
        <v>UnitedHealthcare Medicare &amp; Retirement</v>
      </c>
      <c r="AD1668" s="380" t="str">
        <f>VLOOKUP($B1668,'D7 - NDB Impacted SPRF''s'!$E$6:$O$9929,5,FALSE)</f>
        <v>Integration Requirements</v>
      </c>
      <c r="AE1668" s="380" t="str">
        <f>VLOOKUP($B1668,'D7 - NDB Impacted SPRF''s'!$E$6:$O$9929,7,FALSE)</f>
        <v>Jim Murphy</v>
      </c>
      <c r="AF1668" s="380" t="str">
        <f>VLOOKUP($B1668,'D7 - NDB Impacted SPRF''s'!$E$6:$O$9929,6,FALSE)</f>
        <v>Michael Schwarz</v>
      </c>
      <c r="AG1668" s="282"/>
      <c r="AH1668" s="311" t="e">
        <f>INDEX('D5 - Gatekeeper - Projects'!$A$4:$AF$1010,$AM1668, 17)</f>
        <v>#N/A</v>
      </c>
      <c r="AI1668" s="8"/>
      <c r="AJ1668" s="57"/>
      <c r="AK1668" s="105"/>
      <c r="AM1668" s="6" t="e">
        <f>MATCH(D1668,'D5 - Gatekeeper - Projects'!$C$4:$C$1010,0)</f>
        <v>#N/A</v>
      </c>
      <c r="AN1668" s="6" t="b">
        <f t="shared" si="178"/>
        <v>1</v>
      </c>
      <c r="AO1668" s="6" t="str">
        <f t="shared" si="180"/>
        <v>OK</v>
      </c>
      <c r="AQ1668" s="6" t="e">
        <f>MATCH($D1668,'D4 - Provider Council Unsched'!$C$11:$C$234,0)</f>
        <v>#N/A</v>
      </c>
      <c r="AR1668" s="6" t="b">
        <f t="shared" si="179"/>
        <v>1</v>
      </c>
      <c r="AS1668" s="6" t="str">
        <f t="shared" si="182"/>
        <v>OK</v>
      </c>
      <c r="AU1668" s="202">
        <v>40707</v>
      </c>
      <c r="AV1668" s="262" t="s">
        <v>1078</v>
      </c>
      <c r="AW1668" s="274"/>
    </row>
    <row r="1669" spans="1:49" s="13" customFormat="1" ht="33.75" x14ac:dyDescent="0.2">
      <c r="A1669" s="14">
        <v>1645</v>
      </c>
      <c r="B1669" s="8">
        <v>400045320</v>
      </c>
      <c r="C1669" s="8" t="s">
        <v>7290</v>
      </c>
      <c r="D1669" s="4" t="str">
        <f t="shared" si="181"/>
        <v>400045320B</v>
      </c>
      <c r="E1669" s="309" t="str">
        <f>VLOOKUP($B1669,'D7 - NDB Impacted SPRF''s'!$E$6:$O$9929,2,FALSE)</f>
        <v>Transparency 1/1 Release</v>
      </c>
      <c r="F1669" s="8"/>
      <c r="G1669" s="8" t="s">
        <v>4758</v>
      </c>
      <c r="H1669" s="8" t="s">
        <v>4246</v>
      </c>
      <c r="I1669" s="20">
        <v>5.41</v>
      </c>
      <c r="J1669" s="8" t="s">
        <v>4862</v>
      </c>
      <c r="K1669" s="182">
        <v>40978</v>
      </c>
      <c r="L1669" s="8" t="s">
        <v>4156</v>
      </c>
      <c r="M1669" s="8" t="s">
        <v>2814</v>
      </c>
      <c r="N1669" s="38" t="s">
        <v>6949</v>
      </c>
      <c r="O1669" s="8"/>
      <c r="P1669" s="4" t="str">
        <f>VLOOKUP($B1669,'D7 - NDB Impacted SPRF''s'!$E$16:$O$9929,9,FALSE)</f>
        <v>Y</v>
      </c>
      <c r="Q1669" s="4" t="str">
        <f>VLOOKUP($B1669,'D7 - NDB Impacted SPRF''s'!$E$16:$O$9929,10,FALSE)</f>
        <v>N</v>
      </c>
      <c r="R1669" s="4" t="str">
        <f>VLOOKUP($B1669,'D7 - NDB Impacted SPRF''s'!$E$16:$O$9929,11,FALSE)</f>
        <v>N</v>
      </c>
      <c r="S1669" s="8"/>
      <c r="T1669" s="310"/>
      <c r="U1669" s="310"/>
      <c r="V1669" s="4"/>
      <c r="W1669" s="4"/>
      <c r="X1669" s="4"/>
      <c r="Y1669" s="4"/>
      <c r="Z1669" s="4"/>
      <c r="AA1669" s="4"/>
      <c r="AB1669" s="380" t="str">
        <f>VLOOKUP($B1669,'D7 - NDB Impacted SPRF''s'!$E$6:$O$9929,4,FALSE)</f>
        <v>Completed</v>
      </c>
      <c r="AC1669" s="380" t="str">
        <f>VLOOKUP($B1669,'D7 - NDB Impacted SPRF''s'!$E$6:$O$9929,3,FALSE)</f>
        <v>UnitedHealthcare Employer &amp; Individual</v>
      </c>
      <c r="AD1669" s="380" t="str">
        <f>VLOOKUP($B1669,'D7 - NDB Impacted SPRF''s'!$E$6:$O$9929,5,FALSE)</f>
        <v>Membership Growth / Revenue Programs</v>
      </c>
      <c r="AE1669" s="380" t="str">
        <f>VLOOKUP($B1669,'D7 - NDB Impacted SPRF''s'!$E$6:$O$9929,7,FALSE)</f>
        <v>Tory Bogatyrenko</v>
      </c>
      <c r="AF1669" s="380" t="str">
        <f>VLOOKUP($B1669,'D7 - NDB Impacted SPRF''s'!$E$6:$O$9929,6,FALSE)</f>
        <v>Joan Roby</v>
      </c>
      <c r="AG1669" s="282"/>
      <c r="AH1669" s="311" t="e">
        <f>INDEX('D5 - Gatekeeper - Projects'!$A$4:$AF$1010,$AM1669, 17)</f>
        <v>#N/A</v>
      </c>
      <c r="AI1669" s="8"/>
      <c r="AJ1669" s="57"/>
      <c r="AK1669" s="105"/>
      <c r="AM1669" s="6" t="e">
        <f>MATCH(D1669,'D5 - Gatekeeper - Projects'!$C$4:$C$1010,0)</f>
        <v>#N/A</v>
      </c>
      <c r="AN1669" s="6" t="b">
        <f t="shared" si="178"/>
        <v>1</v>
      </c>
      <c r="AO1669" s="6" t="str">
        <f t="shared" si="180"/>
        <v>OK</v>
      </c>
      <c r="AQ1669" s="6" t="e">
        <f>MATCH($D1669,'D4 - Provider Council Unsched'!$C$11:$C$234,0)</f>
        <v>#N/A</v>
      </c>
      <c r="AR1669" s="6" t="b">
        <f t="shared" si="179"/>
        <v>1</v>
      </c>
      <c r="AS1669" s="6" t="str">
        <f t="shared" si="182"/>
        <v>OK</v>
      </c>
      <c r="AU1669" s="202">
        <v>40816</v>
      </c>
      <c r="AV1669" s="262" t="s">
        <v>2751</v>
      </c>
      <c r="AW1669" s="274"/>
    </row>
    <row r="1670" spans="1:49" s="13" customFormat="1" ht="45" x14ac:dyDescent="0.2">
      <c r="A1670" s="14">
        <v>1646</v>
      </c>
      <c r="B1670" s="8">
        <v>400045320</v>
      </c>
      <c r="C1670" s="8" t="s">
        <v>7289</v>
      </c>
      <c r="D1670" s="4" t="str">
        <f t="shared" si="181"/>
        <v>400045320D</v>
      </c>
      <c r="E1670" s="309" t="str">
        <f>VLOOKUP($B1670,'D7 - NDB Impacted SPRF''s'!$E$6:$O$9929,2,FALSE)</f>
        <v>Transparency 1/1 Release</v>
      </c>
      <c r="F1670" s="8"/>
      <c r="G1670" s="8" t="s">
        <v>4758</v>
      </c>
      <c r="H1670" s="8" t="s">
        <v>4246</v>
      </c>
      <c r="I1670" s="20">
        <v>1.6</v>
      </c>
      <c r="J1670" s="8" t="s">
        <v>4862</v>
      </c>
      <c r="K1670" s="182">
        <v>40978</v>
      </c>
      <c r="L1670" s="8" t="s">
        <v>4156</v>
      </c>
      <c r="M1670" s="8" t="s">
        <v>2814</v>
      </c>
      <c r="N1670" s="38" t="s">
        <v>534</v>
      </c>
      <c r="O1670" s="8"/>
      <c r="P1670" s="4" t="str">
        <f>VLOOKUP($B1670,'D7 - NDB Impacted SPRF''s'!$E$16:$O$9929,9,FALSE)</f>
        <v>Y</v>
      </c>
      <c r="Q1670" s="4" t="str">
        <f>VLOOKUP($B1670,'D7 - NDB Impacted SPRF''s'!$E$16:$O$9929,10,FALSE)</f>
        <v>N</v>
      </c>
      <c r="R1670" s="4" t="str">
        <f>VLOOKUP($B1670,'D7 - NDB Impacted SPRF''s'!$E$16:$O$9929,11,FALSE)</f>
        <v>N</v>
      </c>
      <c r="S1670" s="8"/>
      <c r="T1670" s="310"/>
      <c r="U1670" s="310"/>
      <c r="V1670" s="4"/>
      <c r="W1670" s="4"/>
      <c r="X1670" s="4"/>
      <c r="Y1670" s="4"/>
      <c r="Z1670" s="4"/>
      <c r="AA1670" s="4"/>
      <c r="AB1670" s="380" t="str">
        <f>VLOOKUP($B1670,'D7 - NDB Impacted SPRF''s'!$E$6:$O$9929,4,FALSE)</f>
        <v>Completed</v>
      </c>
      <c r="AC1670" s="380" t="str">
        <f>VLOOKUP($B1670,'D7 - NDB Impacted SPRF''s'!$E$6:$O$9929,3,FALSE)</f>
        <v>UnitedHealthcare Employer &amp; Individual</v>
      </c>
      <c r="AD1670" s="380" t="str">
        <f>VLOOKUP($B1670,'D7 - NDB Impacted SPRF''s'!$E$6:$O$9929,5,FALSE)</f>
        <v>Membership Growth / Revenue Programs</v>
      </c>
      <c r="AE1670" s="380" t="str">
        <f>VLOOKUP($B1670,'D7 - NDB Impacted SPRF''s'!$E$6:$O$9929,7,FALSE)</f>
        <v>Tory Bogatyrenko</v>
      </c>
      <c r="AF1670" s="380" t="str">
        <f>VLOOKUP($B1670,'D7 - NDB Impacted SPRF''s'!$E$6:$O$9929,6,FALSE)</f>
        <v>Joan Roby</v>
      </c>
      <c r="AG1670" s="282"/>
      <c r="AH1670" s="311" t="e">
        <f>INDEX('D5 - Gatekeeper - Projects'!$A$4:$AF$1010,$AM1670, 17)</f>
        <v>#N/A</v>
      </c>
      <c r="AI1670" s="8"/>
      <c r="AJ1670" s="57"/>
      <c r="AK1670" s="105"/>
      <c r="AM1670" s="6" t="e">
        <f>MATCH(D1670,'D5 - Gatekeeper - Projects'!$C$4:$C$1010,0)</f>
        <v>#N/A</v>
      </c>
      <c r="AN1670" s="6" t="b">
        <f t="shared" si="178"/>
        <v>1</v>
      </c>
      <c r="AO1670" s="6" t="str">
        <f t="shared" si="180"/>
        <v>OK</v>
      </c>
      <c r="AQ1670" s="6" t="e">
        <f>MATCH($D1670,'D4 - Provider Council Unsched'!$C$11:$C$234,0)</f>
        <v>#N/A</v>
      </c>
      <c r="AR1670" s="6" t="b">
        <f t="shared" si="179"/>
        <v>1</v>
      </c>
      <c r="AS1670" s="6" t="str">
        <f t="shared" si="182"/>
        <v>OK</v>
      </c>
      <c r="AU1670" s="202">
        <v>40945</v>
      </c>
      <c r="AV1670" s="262" t="s">
        <v>2751</v>
      </c>
      <c r="AW1670" s="274"/>
    </row>
    <row r="1671" spans="1:49" s="13" customFormat="1" ht="33.75" x14ac:dyDescent="0.2">
      <c r="A1671" s="14">
        <v>1647</v>
      </c>
      <c r="B1671" s="8">
        <v>400048789</v>
      </c>
      <c r="C1671" s="8" t="s">
        <v>1447</v>
      </c>
      <c r="D1671" s="4" t="str">
        <f t="shared" si="181"/>
        <v>400048789A</v>
      </c>
      <c r="E1671" s="309" t="str">
        <f>VLOOKUP($B1671,'D7 - NDB Impacted SPRF''s'!$E$6:$O$9929,2,FALSE)</f>
        <v>Establish an instance of NDB in Zulu (A&amp;D)</v>
      </c>
      <c r="F1671" s="8"/>
      <c r="G1671" s="8" t="s">
        <v>4758</v>
      </c>
      <c r="H1671" s="8" t="s">
        <v>4246</v>
      </c>
      <c r="I1671" s="20">
        <v>14.67</v>
      </c>
      <c r="J1671" s="8" t="s">
        <v>4862</v>
      </c>
      <c r="K1671" s="182">
        <v>40978</v>
      </c>
      <c r="L1671" s="8" t="s">
        <v>4156</v>
      </c>
      <c r="M1671" s="8" t="s">
        <v>4450</v>
      </c>
      <c r="N1671" s="38" t="s">
        <v>2757</v>
      </c>
      <c r="O1671" s="8"/>
      <c r="P1671" s="4" t="str">
        <f>VLOOKUP($B1671,'D7 - NDB Impacted SPRF''s'!$E$16:$O$9929,9,FALSE)</f>
        <v>Y</v>
      </c>
      <c r="Q1671" s="4" t="str">
        <f>VLOOKUP($B1671,'D7 - NDB Impacted SPRF''s'!$E$16:$O$9929,10,FALSE)</f>
        <v>N</v>
      </c>
      <c r="R1671" s="4" t="str">
        <f>VLOOKUP($B1671,'D7 - NDB Impacted SPRF''s'!$E$16:$O$9929,11,FALSE)</f>
        <v>Y</v>
      </c>
      <c r="S1671" s="8"/>
      <c r="T1671" s="310"/>
      <c r="U1671" s="310"/>
      <c r="V1671" s="4"/>
      <c r="W1671" s="4"/>
      <c r="X1671" s="4"/>
      <c r="Y1671" s="4"/>
      <c r="Z1671" s="4"/>
      <c r="AA1671" s="4"/>
      <c r="AB1671" s="380" t="str">
        <f>VLOOKUP($B1671,'D7 - NDB Impacted SPRF''s'!$E$6:$O$9929,4,FALSE)</f>
        <v>Completed</v>
      </c>
      <c r="AC1671" s="380" t="str">
        <f>VLOOKUP($B1671,'D7 - NDB Impacted SPRF''s'!$E$6:$O$9929,3,FALSE)</f>
        <v>UHG IT - Shared Services</v>
      </c>
      <c r="AD1671" s="380" t="str">
        <f>VLOOKUP($B1671,'D7 - NDB Impacted SPRF''s'!$E$6:$O$9929,5,FALSE)</f>
        <v>ASG</v>
      </c>
      <c r="AE1671" s="380" t="str">
        <f>VLOOKUP($B1671,'D7 - NDB Impacted SPRF''s'!$E$6:$O$9929,7,FALSE)</f>
        <v>Mark Duhaime</v>
      </c>
      <c r="AF1671" s="380" t="str">
        <f>VLOOKUP($B1671,'D7 - NDB Impacted SPRF''s'!$E$6:$O$9929,6,FALSE)</f>
        <v>PETER ERNEST</v>
      </c>
      <c r="AG1671" s="282"/>
      <c r="AH1671" s="311" t="e">
        <f>INDEX('D5 - Gatekeeper - Projects'!$A$4:$AF$1010,$AM1671, 17)</f>
        <v>#N/A</v>
      </c>
      <c r="AI1671" s="8"/>
      <c r="AJ1671" s="57"/>
      <c r="AK1671" s="105"/>
      <c r="AM1671" s="6" t="e">
        <f>MATCH(D1671,'D5 - Gatekeeper - Projects'!$C$4:$C$1010,0)</f>
        <v>#N/A</v>
      </c>
      <c r="AN1671" s="6" t="b">
        <f t="shared" si="178"/>
        <v>1</v>
      </c>
      <c r="AO1671" s="6" t="str">
        <f t="shared" si="180"/>
        <v>OK</v>
      </c>
      <c r="AQ1671" s="6" t="e">
        <f>MATCH($D1671,'D4 - Provider Council Unsched'!$C$11:$C$234,0)</f>
        <v>#N/A</v>
      </c>
      <c r="AR1671" s="6" t="b">
        <f t="shared" si="179"/>
        <v>1</v>
      </c>
      <c r="AS1671" s="6" t="str">
        <f t="shared" si="182"/>
        <v>OK</v>
      </c>
      <c r="AU1671" s="202">
        <v>40978</v>
      </c>
      <c r="AV1671" s="262" t="s">
        <v>1079</v>
      </c>
      <c r="AW1671" s="274" t="s">
        <v>3572</v>
      </c>
    </row>
    <row r="1672" spans="1:49" s="13" customFormat="1" ht="45" x14ac:dyDescent="0.2">
      <c r="A1672" s="14">
        <v>1648</v>
      </c>
      <c r="B1672" s="8">
        <v>400048984</v>
      </c>
      <c r="C1672" s="8" t="s">
        <v>1447</v>
      </c>
      <c r="D1672" s="4" t="str">
        <f t="shared" si="181"/>
        <v>400048984A</v>
      </c>
      <c r="E1672" s="309" t="str">
        <f>VLOOKUP($B1672,'D7 - NDB Impacted SPRF''s'!$E$6:$O$9929,2,FALSE)</f>
        <v>WOQ1 NDB OI Add Specialty to 'P' Type Search</v>
      </c>
      <c r="F1672" s="8"/>
      <c r="G1672" s="8" t="s">
        <v>4758</v>
      </c>
      <c r="H1672" s="8" t="s">
        <v>4246</v>
      </c>
      <c r="I1672" s="20">
        <v>4</v>
      </c>
      <c r="J1672" s="8" t="s">
        <v>4862</v>
      </c>
      <c r="K1672" s="182">
        <v>40978</v>
      </c>
      <c r="L1672" s="8" t="s">
        <v>4156</v>
      </c>
      <c r="M1672" s="8" t="s">
        <v>2814</v>
      </c>
      <c r="N1672" s="38" t="s">
        <v>179</v>
      </c>
      <c r="O1672" s="8"/>
      <c r="P1672" s="4" t="str">
        <f>VLOOKUP($B1672,'D7 - NDB Impacted SPRF''s'!$E$16:$O$9929,9,FALSE)</f>
        <v>N</v>
      </c>
      <c r="Q1672" s="4" t="str">
        <f>VLOOKUP($B1672,'D7 - NDB Impacted SPRF''s'!$E$16:$O$9929,10,FALSE)</f>
        <v>N</v>
      </c>
      <c r="R1672" s="4" t="str">
        <f>VLOOKUP($B1672,'D7 - NDB Impacted SPRF''s'!$E$16:$O$9929,11,FALSE)</f>
        <v>N</v>
      </c>
      <c r="S1672" s="8"/>
      <c r="T1672" s="310"/>
      <c r="U1672" s="310"/>
      <c r="V1672" s="4"/>
      <c r="W1672" s="4"/>
      <c r="X1672" s="4"/>
      <c r="Y1672" s="4"/>
      <c r="Z1672" s="4"/>
      <c r="AA1672" s="4"/>
      <c r="AB1672" s="380" t="str">
        <f>VLOOKUP($B1672,'D7 - NDB Impacted SPRF''s'!$E$6:$O$9929,4,FALSE)</f>
        <v>Completed</v>
      </c>
      <c r="AC1672" s="380" t="str">
        <f>VLOOKUP($B1672,'D7 - NDB Impacted SPRF''s'!$E$6:$O$9929,3,FALSE)</f>
        <v>UnitedHealthcare Employer &amp; Individual</v>
      </c>
      <c r="AD1672" s="380" t="str">
        <f>VLOOKUP($B1672,'D7 - NDB Impacted SPRF''s'!$E$6:$O$9929,5,FALSE)</f>
        <v>Operational Requirements</v>
      </c>
      <c r="AE1672" s="380" t="str">
        <f>VLOOKUP($B1672,'D7 - NDB Impacted SPRF''s'!$E$6:$O$9929,7,FALSE)</f>
        <v>Eileen Dock</v>
      </c>
      <c r="AF1672" s="380" t="str">
        <f>VLOOKUP($B1672,'D7 - NDB Impacted SPRF''s'!$E$6:$O$9929,6,FALSE)</f>
        <v>Robert Wright</v>
      </c>
      <c r="AG1672" s="282"/>
      <c r="AH1672" s="311" t="e">
        <f>INDEX('D5 - Gatekeeper - Projects'!$A$4:$AF$1010,$AM1672, 17)</f>
        <v>#N/A</v>
      </c>
      <c r="AI1672" s="8"/>
      <c r="AJ1672" s="57"/>
      <c r="AK1672" s="105"/>
      <c r="AM1672" s="6" t="e">
        <f>MATCH(D1672,'D5 - Gatekeeper - Projects'!$C$4:$C$1010,0)</f>
        <v>#N/A</v>
      </c>
      <c r="AN1672" s="6" t="b">
        <f t="shared" si="178"/>
        <v>1</v>
      </c>
      <c r="AO1672" s="6" t="str">
        <f t="shared" si="180"/>
        <v>OK</v>
      </c>
      <c r="AQ1672" s="6" t="e">
        <f>MATCH($D1672,'D4 - Provider Council Unsched'!$C$11:$C$234,0)</f>
        <v>#N/A</v>
      </c>
      <c r="AR1672" s="6" t="b">
        <f t="shared" si="179"/>
        <v>1</v>
      </c>
      <c r="AS1672" s="6" t="str">
        <f t="shared" si="182"/>
        <v>OK</v>
      </c>
      <c r="AU1672" s="202">
        <v>40907</v>
      </c>
      <c r="AV1672" s="262" t="s">
        <v>444</v>
      </c>
      <c r="AW1672" s="274">
        <v>53981</v>
      </c>
    </row>
    <row r="1673" spans="1:49" s="13" customFormat="1" ht="33.75" x14ac:dyDescent="0.2">
      <c r="A1673" s="14">
        <v>1649</v>
      </c>
      <c r="B1673" s="8">
        <v>400048985</v>
      </c>
      <c r="C1673" s="8" t="s">
        <v>1447</v>
      </c>
      <c r="D1673" s="4" t="str">
        <f t="shared" si="181"/>
        <v>400048985A</v>
      </c>
      <c r="E1673" s="309" t="str">
        <f>VLOOKUP($B1673,'D7 - NDB Impacted SPRF''s'!$E$6:$O$9929,2,FALSE)</f>
        <v>WOQ1 NDB OI NDC MAC Pricing</v>
      </c>
      <c r="F1673" s="8"/>
      <c r="G1673" s="8" t="s">
        <v>4758</v>
      </c>
      <c r="H1673" s="8" t="s">
        <v>4246</v>
      </c>
      <c r="I1673" s="20">
        <v>2.5</v>
      </c>
      <c r="J1673" s="8" t="s">
        <v>4862</v>
      </c>
      <c r="K1673" s="182">
        <v>40978</v>
      </c>
      <c r="L1673" s="8" t="s">
        <v>4156</v>
      </c>
      <c r="M1673" s="8" t="s">
        <v>2814</v>
      </c>
      <c r="N1673" s="38" t="s">
        <v>169</v>
      </c>
      <c r="O1673" s="8"/>
      <c r="P1673" s="4" t="str">
        <f>VLOOKUP($B1673,'D7 - NDB Impacted SPRF''s'!$E$16:$O$9929,9,FALSE)</f>
        <v>N</v>
      </c>
      <c r="Q1673" s="4" t="str">
        <f>VLOOKUP($B1673,'D7 - NDB Impacted SPRF''s'!$E$16:$O$9929,10,FALSE)</f>
        <v>N</v>
      </c>
      <c r="R1673" s="4" t="str">
        <f>VLOOKUP($B1673,'D7 - NDB Impacted SPRF''s'!$E$16:$O$9929,11,FALSE)</f>
        <v>N</v>
      </c>
      <c r="S1673" s="8"/>
      <c r="T1673" s="310"/>
      <c r="U1673" s="310"/>
      <c r="V1673" s="4"/>
      <c r="W1673" s="4"/>
      <c r="X1673" s="4"/>
      <c r="Y1673" s="4"/>
      <c r="Z1673" s="4"/>
      <c r="AA1673" s="4"/>
      <c r="AB1673" s="380" t="str">
        <f>VLOOKUP($B1673,'D7 - NDB Impacted SPRF''s'!$E$6:$O$9929,4,FALSE)</f>
        <v>Completed</v>
      </c>
      <c r="AC1673" s="380" t="str">
        <f>VLOOKUP($B1673,'D7 - NDB Impacted SPRF''s'!$E$6:$O$9929,3,FALSE)</f>
        <v>UnitedHealthcare Employer &amp; Individual</v>
      </c>
      <c r="AD1673" s="380" t="str">
        <f>VLOOKUP($B1673,'D7 - NDB Impacted SPRF''s'!$E$6:$O$9929,5,FALSE)</f>
        <v>Operational Requirements</v>
      </c>
      <c r="AE1673" s="380" t="str">
        <f>VLOOKUP($B1673,'D7 - NDB Impacted SPRF''s'!$E$6:$O$9929,7,FALSE)</f>
        <v>Eileen Dock</v>
      </c>
      <c r="AF1673" s="380" t="str">
        <f>VLOOKUP($B1673,'D7 - NDB Impacted SPRF''s'!$E$6:$O$9929,6,FALSE)</f>
        <v>Robert Wright</v>
      </c>
      <c r="AG1673" s="282"/>
      <c r="AH1673" s="311" t="e">
        <f>INDEX('D5 - Gatekeeper - Projects'!$A$4:$AF$1010,$AM1673, 17)</f>
        <v>#N/A</v>
      </c>
      <c r="AI1673" s="8"/>
      <c r="AJ1673" s="57"/>
      <c r="AK1673" s="105"/>
      <c r="AM1673" s="6" t="e">
        <f>MATCH(D1673,'D5 - Gatekeeper - Projects'!$C$4:$C$1010,0)</f>
        <v>#N/A</v>
      </c>
      <c r="AN1673" s="6" t="b">
        <f t="shared" si="178"/>
        <v>1</v>
      </c>
      <c r="AO1673" s="6" t="str">
        <f t="shared" si="180"/>
        <v>OK</v>
      </c>
      <c r="AQ1673" s="6" t="e">
        <f>MATCH($D1673,'D4 - Provider Council Unsched'!$C$11:$C$234,0)</f>
        <v>#N/A</v>
      </c>
      <c r="AR1673" s="6" t="b">
        <f t="shared" si="179"/>
        <v>1</v>
      </c>
      <c r="AS1673" s="6" t="str">
        <f t="shared" si="182"/>
        <v>OK</v>
      </c>
      <c r="AU1673" s="202">
        <v>40907</v>
      </c>
      <c r="AV1673" s="262" t="s">
        <v>444</v>
      </c>
      <c r="AW1673" s="274">
        <v>53986</v>
      </c>
    </row>
    <row r="1674" spans="1:49" s="13" customFormat="1" x14ac:dyDescent="0.2">
      <c r="A1674" s="14">
        <v>1650</v>
      </c>
      <c r="B1674" s="14" t="s">
        <v>3124</v>
      </c>
      <c r="C1674" s="8" t="s">
        <v>5197</v>
      </c>
      <c r="D1674" s="4" t="s">
        <v>3128</v>
      </c>
      <c r="E1674" s="339" t="s">
        <v>6431</v>
      </c>
      <c r="F1674" s="8" t="s">
        <v>2114</v>
      </c>
      <c r="G1674" s="8" t="s">
        <v>4758</v>
      </c>
      <c r="H1674" s="8" t="s">
        <v>4246</v>
      </c>
      <c r="I1674" s="20">
        <v>4</v>
      </c>
      <c r="J1674" s="8" t="s">
        <v>4862</v>
      </c>
      <c r="K1674" s="182">
        <v>40978</v>
      </c>
      <c r="L1674" s="8" t="s">
        <v>5743</v>
      </c>
      <c r="M1674" s="8" t="s">
        <v>2814</v>
      </c>
      <c r="N1674" s="38"/>
      <c r="O1674" s="8" t="s">
        <v>3572</v>
      </c>
      <c r="P1674" s="4" t="e">
        <f>VLOOKUP($B1674,'D7 - NDB Impacted SPRF''s'!$E$16:$O$9929,9,FALSE)</f>
        <v>#N/A</v>
      </c>
      <c r="Q1674" s="4" t="e">
        <f>VLOOKUP($B1674,'D7 - NDB Impacted SPRF''s'!$E$16:$O$9929,10,FALSE)</f>
        <v>#N/A</v>
      </c>
      <c r="R1674" s="4" t="e">
        <f>VLOOKUP($B1674,'D7 - NDB Impacted SPRF''s'!$E$16:$O$9929,11,FALSE)</f>
        <v>#N/A</v>
      </c>
      <c r="S1674" s="8"/>
      <c r="T1674" s="310"/>
      <c r="U1674" s="310"/>
      <c r="V1674" s="4"/>
      <c r="W1674" s="4"/>
      <c r="X1674" s="4"/>
      <c r="Y1674" s="4"/>
      <c r="Z1674" s="4"/>
      <c r="AA1674" s="4"/>
      <c r="AB1674" s="383" t="e">
        <f>VLOOKUP($B1674,'D7 - NDB Impacted SPRF''s'!$E$16:$O$9929,4,FALSE)</f>
        <v>#N/A</v>
      </c>
      <c r="AC1674" s="380" t="e">
        <f>VLOOKUP($B1674,'D7 - NDB Impacted SPRF''s'!$E$16:$O$9929,3,FALSE)</f>
        <v>#N/A</v>
      </c>
      <c r="AD1674" s="380" t="e">
        <f>VLOOKUP($B1674,'D7 - NDB Impacted SPRF''s'!$E$16:$O$9929,5,FALSE)</f>
        <v>#N/A</v>
      </c>
      <c r="AE1674" s="380" t="e">
        <f>VLOOKUP($B1674,'D7 - NDB Impacted SPRF''s'!$E$16:$O$9929,7,FALSE)</f>
        <v>#N/A</v>
      </c>
      <c r="AF1674" s="380" t="e">
        <f>VLOOKUP($B1674,'D7 - NDB Impacted SPRF''s'!$E$16:$O$9929,6,FALSE)</f>
        <v>#N/A</v>
      </c>
      <c r="AG1674" s="282"/>
      <c r="AH1674" s="311" t="e">
        <f>INDEX('D5 - Gatekeeper - Projects'!$A$4:$AF$1010,$AM1674, 17)</f>
        <v>#N/A</v>
      </c>
      <c r="AI1674" s="8"/>
      <c r="AJ1674" s="57"/>
      <c r="AK1674" s="105"/>
      <c r="AM1674" s="6" t="e">
        <f>MATCH(D1674,'D5 - Gatekeeper - Projects'!$C$4:$C$1010,0)</f>
        <v>#N/A</v>
      </c>
      <c r="AN1674" s="6" t="b">
        <f t="shared" si="178"/>
        <v>1</v>
      </c>
      <c r="AO1674" s="6" t="str">
        <f t="shared" si="180"/>
        <v>OK</v>
      </c>
      <c r="AQ1674" s="6" t="e">
        <f>MATCH($D1674,'D4 - Provider Council Unsched'!$C$11:$C$234,0)</f>
        <v>#N/A</v>
      </c>
      <c r="AR1674" s="6" t="b">
        <f t="shared" si="179"/>
        <v>1</v>
      </c>
      <c r="AS1674" s="6" t="str">
        <f>IF(AND(H1674="2 - Not Scheduled",AR1674=TRUE),"Add","OK")</f>
        <v>OK</v>
      </c>
      <c r="AU1674" s="202">
        <v>40737</v>
      </c>
      <c r="AV1674" s="262"/>
      <c r="AW1674" s="274"/>
    </row>
    <row r="1675" spans="1:49" s="13" customFormat="1" x14ac:dyDescent="0.2">
      <c r="A1675" s="14">
        <v>1651</v>
      </c>
      <c r="B1675" s="14" t="s">
        <v>3070</v>
      </c>
      <c r="C1675" s="8" t="s">
        <v>5197</v>
      </c>
      <c r="D1675" s="4" t="s">
        <v>2280</v>
      </c>
      <c r="E1675" s="339" t="s">
        <v>2284</v>
      </c>
      <c r="F1675" s="8" t="s">
        <v>2114</v>
      </c>
      <c r="G1675" s="8" t="s">
        <v>4758</v>
      </c>
      <c r="H1675" s="8" t="s">
        <v>4246</v>
      </c>
      <c r="I1675" s="20">
        <v>2.5</v>
      </c>
      <c r="J1675" s="8" t="s">
        <v>4862</v>
      </c>
      <c r="K1675" s="182">
        <v>40978</v>
      </c>
      <c r="L1675" s="8" t="s">
        <v>5743</v>
      </c>
      <c r="M1675" s="8" t="s">
        <v>2814</v>
      </c>
      <c r="N1675" s="38"/>
      <c r="O1675" s="8" t="s">
        <v>3572</v>
      </c>
      <c r="P1675" s="4" t="e">
        <f>VLOOKUP($B1675,'D7 - NDB Impacted SPRF''s'!$E$16:$O$9929,9,FALSE)</f>
        <v>#N/A</v>
      </c>
      <c r="Q1675" s="4" t="e">
        <f>VLOOKUP($B1675,'D7 - NDB Impacted SPRF''s'!$E$16:$O$9929,10,FALSE)</f>
        <v>#N/A</v>
      </c>
      <c r="R1675" s="4" t="e">
        <f>VLOOKUP($B1675,'D7 - NDB Impacted SPRF''s'!$E$16:$O$9929,11,FALSE)</f>
        <v>#N/A</v>
      </c>
      <c r="S1675" s="8"/>
      <c r="T1675" s="310"/>
      <c r="U1675" s="310"/>
      <c r="V1675" s="4"/>
      <c r="W1675" s="4"/>
      <c r="X1675" s="4"/>
      <c r="Y1675" s="4"/>
      <c r="Z1675" s="4"/>
      <c r="AA1675" s="4"/>
      <c r="AB1675" s="383" t="e">
        <f>VLOOKUP($B1675,'D7 - NDB Impacted SPRF''s'!$E$16:$O$9929,4,FALSE)</f>
        <v>#N/A</v>
      </c>
      <c r="AC1675" s="380" t="e">
        <f>VLOOKUP($B1675,'D7 - NDB Impacted SPRF''s'!$E$16:$O$9929,3,FALSE)</f>
        <v>#N/A</v>
      </c>
      <c r="AD1675" s="380" t="e">
        <f>VLOOKUP($B1675,'D7 - NDB Impacted SPRF''s'!$E$16:$O$9929,5,FALSE)</f>
        <v>#N/A</v>
      </c>
      <c r="AE1675" s="380" t="e">
        <f>VLOOKUP($B1675,'D7 - NDB Impacted SPRF''s'!$E$16:$O$9929,7,FALSE)</f>
        <v>#N/A</v>
      </c>
      <c r="AF1675" s="380" t="e">
        <f>VLOOKUP($B1675,'D7 - NDB Impacted SPRF''s'!$E$16:$O$9929,6,FALSE)</f>
        <v>#N/A</v>
      </c>
      <c r="AG1675" s="282"/>
      <c r="AH1675" s="311" t="e">
        <f>INDEX('D5 - Gatekeeper - Projects'!$A$4:$AF$1010,$AM1675, 17)</f>
        <v>#N/A</v>
      </c>
      <c r="AI1675" s="8"/>
      <c r="AJ1675" s="57"/>
      <c r="AK1675" s="105"/>
      <c r="AM1675" s="6" t="e">
        <f>MATCH(D1675,'D5 - Gatekeeper - Projects'!$C$4:$C$1010,0)</f>
        <v>#N/A</v>
      </c>
      <c r="AN1675" s="6" t="b">
        <f t="shared" si="178"/>
        <v>1</v>
      </c>
      <c r="AO1675" s="6" t="str">
        <f t="shared" si="180"/>
        <v>OK</v>
      </c>
      <c r="AQ1675" s="6" t="e">
        <f>MATCH($D1675,'D4 - Provider Council Unsched'!$C$11:$C$234,0)</f>
        <v>#N/A</v>
      </c>
      <c r="AR1675" s="6" t="b">
        <f t="shared" si="179"/>
        <v>1</v>
      </c>
      <c r="AS1675" s="6" t="str">
        <f>IF(AND(H1675="2 - Not Scheduled",AR1675=TRUE),"Add","OK")</f>
        <v>OK</v>
      </c>
      <c r="AU1675" s="202">
        <v>40651</v>
      </c>
      <c r="AV1675" s="262"/>
      <c r="AW1675" s="274"/>
    </row>
    <row r="1676" spans="1:49" s="13" customFormat="1" ht="33.75" x14ac:dyDescent="0.2">
      <c r="A1676" s="14">
        <v>1652</v>
      </c>
      <c r="B1676" s="8">
        <v>400044578</v>
      </c>
      <c r="C1676" s="8" t="s">
        <v>1447</v>
      </c>
      <c r="D1676" s="4" t="str">
        <f t="shared" ref="D1676:D1711" si="183">CONCATENATE(B1676,C1676)</f>
        <v>400044578A</v>
      </c>
      <c r="E1676" s="309" t="str">
        <f>VLOOKUP($B1676,'D7 - NDB Impacted SPRF''s'!$E$6:$O$9929,2,FALSE)</f>
        <v>UHC Multipayer Provider Portal &amp; EDI</v>
      </c>
      <c r="F1676" s="8"/>
      <c r="G1676" s="8" t="s">
        <v>4758</v>
      </c>
      <c r="H1676" s="8" t="s">
        <v>4246</v>
      </c>
      <c r="I1676" s="20">
        <v>0.67</v>
      </c>
      <c r="J1676" s="8" t="s">
        <v>4862</v>
      </c>
      <c r="K1676" s="182">
        <v>40983</v>
      </c>
      <c r="L1676" s="8" t="s">
        <v>4156</v>
      </c>
      <c r="M1676" s="8" t="s">
        <v>5626</v>
      </c>
      <c r="N1676" s="38" t="s">
        <v>510</v>
      </c>
      <c r="O1676" s="8"/>
      <c r="P1676" s="4" t="str">
        <f>VLOOKUP($B1676,'D7 - NDB Impacted SPRF''s'!$E$16:$O$9929,9,FALSE)</f>
        <v>N</v>
      </c>
      <c r="Q1676" s="4" t="str">
        <f>VLOOKUP($B1676,'D7 - NDB Impacted SPRF''s'!$E$16:$O$9929,10,FALSE)</f>
        <v>N</v>
      </c>
      <c r="R1676" s="4" t="str">
        <f>VLOOKUP($B1676,'D7 - NDB Impacted SPRF''s'!$E$16:$O$9929,11,FALSE)</f>
        <v>N</v>
      </c>
      <c r="S1676" s="8"/>
      <c r="T1676" s="310"/>
      <c r="U1676" s="310"/>
      <c r="V1676" s="4"/>
      <c r="W1676" s="4"/>
      <c r="X1676" s="4"/>
      <c r="Y1676" s="4"/>
      <c r="Z1676" s="4"/>
      <c r="AA1676" s="4"/>
      <c r="AB1676" s="380" t="str">
        <f>VLOOKUP($B1676,'D7 - NDB Impacted SPRF''s'!$E$6:$O$9929,4,FALSE)</f>
        <v>Completed</v>
      </c>
      <c r="AC1676" s="380" t="str">
        <f>VLOOKUP($B1676,'D7 - NDB Impacted SPRF''s'!$E$6:$O$9929,3,FALSE)</f>
        <v>UnitedHealthcare Employer &amp; Individual</v>
      </c>
      <c r="AD1676" s="380" t="str">
        <f>VLOOKUP($B1676,'D7 - NDB Impacted SPRF''s'!$E$6:$O$9929,5,FALSE)</f>
        <v>Process Improvement</v>
      </c>
      <c r="AE1676" s="380" t="str">
        <f>VLOOKUP($B1676,'D7 - NDB Impacted SPRF''s'!$E$6:$O$9929,7,FALSE)</f>
        <v>Chris Kent</v>
      </c>
      <c r="AF1676" s="380" t="str">
        <f>VLOOKUP($B1676,'D7 - NDB Impacted SPRF''s'!$E$6:$O$9929,6,FALSE)</f>
        <v>Delvis Schilling</v>
      </c>
      <c r="AG1676" s="282"/>
      <c r="AH1676" s="311" t="e">
        <f>INDEX('D5 - Gatekeeper - Projects'!$A$4:$AF$1010,$AM1676, 17)</f>
        <v>#N/A</v>
      </c>
      <c r="AI1676" s="8"/>
      <c r="AJ1676" s="57"/>
      <c r="AK1676" s="105"/>
      <c r="AM1676" s="6" t="e">
        <f>MATCH(D1676,'D5 - Gatekeeper - Projects'!$C$4:$C$1010,0)</f>
        <v>#N/A</v>
      </c>
      <c r="AN1676" s="6" t="b">
        <f t="shared" si="178"/>
        <v>1</v>
      </c>
      <c r="AO1676" s="6" t="str">
        <f t="shared" si="180"/>
        <v>OK</v>
      </c>
      <c r="AQ1676" s="6" t="e">
        <f>MATCH($D1676,'D4 - Provider Council Unsched'!$C$11:$C$234,0)</f>
        <v>#N/A</v>
      </c>
      <c r="AR1676" s="6" t="b">
        <f t="shared" si="179"/>
        <v>1</v>
      </c>
      <c r="AS1676" s="6" t="str">
        <f t="shared" ref="AS1676:AS1711" si="184">IF(AND(H1676="2 - Not Scheduled",AR1676=TRUE,C1676="R1"),"Add","OK")</f>
        <v>OK</v>
      </c>
      <c r="AU1676" s="202"/>
      <c r="AV1676" s="262" t="s">
        <v>1043</v>
      </c>
      <c r="AW1676" s="274"/>
    </row>
    <row r="1677" spans="1:49" s="13" customFormat="1" ht="33.75" x14ac:dyDescent="0.2">
      <c r="A1677" s="14">
        <v>1653</v>
      </c>
      <c r="B1677" s="8">
        <v>400055731</v>
      </c>
      <c r="C1677" s="8" t="s">
        <v>1447</v>
      </c>
      <c r="D1677" s="4" t="str">
        <f t="shared" si="183"/>
        <v>400055731A</v>
      </c>
      <c r="E1677" s="309" t="str">
        <f>VLOOKUP($B1677,'D7 - NDB Impacted SPRF''s'!$E$6:$O$9929,2,FALSE)</f>
        <v>UBCS Prototype-Provider Demographic &amp;Credentialing</v>
      </c>
      <c r="F1677" s="8"/>
      <c r="G1677" s="8" t="s">
        <v>4758</v>
      </c>
      <c r="H1677" s="8" t="s">
        <v>4246</v>
      </c>
      <c r="I1677" s="20">
        <v>2</v>
      </c>
      <c r="J1677" s="8" t="s">
        <v>4862</v>
      </c>
      <c r="K1677" s="182">
        <v>40991</v>
      </c>
      <c r="L1677" s="8" t="s">
        <v>4156</v>
      </c>
      <c r="M1677" s="8" t="s">
        <v>6688</v>
      </c>
      <c r="N1677" s="38" t="s">
        <v>832</v>
      </c>
      <c r="O1677" s="8"/>
      <c r="P1677" s="4" t="str">
        <f>VLOOKUP($B1677,'D7 - NDB Impacted SPRF''s'!$E$16:$O$9929,9,FALSE)</f>
        <v>N</v>
      </c>
      <c r="Q1677" s="4" t="str">
        <f>VLOOKUP($B1677,'D7 - NDB Impacted SPRF''s'!$E$16:$O$9929,10,FALSE)</f>
        <v>N</v>
      </c>
      <c r="R1677" s="4" t="str">
        <f>VLOOKUP($B1677,'D7 - NDB Impacted SPRF''s'!$E$16:$O$9929,11,FALSE)</f>
        <v>N</v>
      </c>
      <c r="S1677" s="8"/>
      <c r="T1677" s="310"/>
      <c r="U1677" s="310"/>
      <c r="V1677" s="4"/>
      <c r="W1677" s="4"/>
      <c r="X1677" s="4"/>
      <c r="Y1677" s="4"/>
      <c r="Z1677" s="4"/>
      <c r="AA1677" s="4"/>
      <c r="AB1677" s="380" t="str">
        <f>VLOOKUP($B1677,'D7 - NDB Impacted SPRF''s'!$E$6:$O$9929,4,FALSE)</f>
        <v>Scheduled</v>
      </c>
      <c r="AC1677" s="380" t="str">
        <f>VLOOKUP($B1677,'D7 - NDB Impacted SPRF''s'!$E$6:$O$9929,3,FALSE)</f>
        <v>UnitedHealthcare Employer &amp; Individual</v>
      </c>
      <c r="AD1677" s="380" t="str">
        <f>VLOOKUP($B1677,'D7 - NDB Impacted SPRF''s'!$E$6:$O$9929,5,FALSE)</f>
        <v>Process Improvement</v>
      </c>
      <c r="AE1677" s="380" t="str">
        <f>VLOOKUP($B1677,'D7 - NDB Impacted SPRF''s'!$E$6:$O$9929,7,FALSE)</f>
        <v>Patrick Casey</v>
      </c>
      <c r="AF1677" s="380" t="str">
        <f>VLOOKUP($B1677,'D7 - NDB Impacted SPRF''s'!$E$6:$O$9929,6,FALSE)</f>
        <v>Janice Wallace</v>
      </c>
      <c r="AG1677" s="282"/>
      <c r="AH1677" s="311" t="e">
        <f>INDEX('D5 - Gatekeeper - Projects'!$A$4:$AF$1010,$AM1677, 17)</f>
        <v>#N/A</v>
      </c>
      <c r="AI1677" s="8"/>
      <c r="AJ1677" s="57"/>
      <c r="AK1677" s="105"/>
      <c r="AM1677" s="6" t="e">
        <f>MATCH(D1677,'D5 - Gatekeeper - Projects'!$C$4:$C$1010,0)</f>
        <v>#N/A</v>
      </c>
      <c r="AN1677" s="6" t="b">
        <f t="shared" si="178"/>
        <v>1</v>
      </c>
      <c r="AO1677" s="6" t="str">
        <f t="shared" si="180"/>
        <v>OK</v>
      </c>
      <c r="AQ1677" s="6" t="e">
        <f>MATCH($D1677,'D4 - Provider Council Unsched'!$C$11:$C$234,0)</f>
        <v>#N/A</v>
      </c>
      <c r="AR1677" s="6" t="b">
        <f t="shared" si="179"/>
        <v>1</v>
      </c>
      <c r="AS1677" s="6" t="str">
        <f t="shared" si="184"/>
        <v>OK</v>
      </c>
      <c r="AU1677" s="202">
        <v>41222</v>
      </c>
      <c r="AV1677" s="323" t="s">
        <v>2612</v>
      </c>
      <c r="AW1677" s="274">
        <v>72526</v>
      </c>
    </row>
    <row r="1678" spans="1:49" s="13" customFormat="1" ht="33.75" x14ac:dyDescent="0.2">
      <c r="A1678" s="14">
        <v>1654</v>
      </c>
      <c r="B1678" s="8">
        <v>400048009</v>
      </c>
      <c r="C1678" s="8" t="s">
        <v>1447</v>
      </c>
      <c r="D1678" s="4" t="str">
        <f t="shared" si="183"/>
        <v>400048009A</v>
      </c>
      <c r="E1678" s="309" t="str">
        <f>VLOOKUP($B1678,'D7 - NDB Impacted SPRF''s'!$E$6:$O$9929,2,FALSE)</f>
        <v>Establish instance of CDB in Bravo</v>
      </c>
      <c r="F1678" s="8"/>
      <c r="G1678" s="8" t="s">
        <v>4758</v>
      </c>
      <c r="H1678" s="8" t="s">
        <v>4246</v>
      </c>
      <c r="I1678" s="20">
        <v>7.0000000000000007E-2</v>
      </c>
      <c r="J1678" s="8" t="s">
        <v>4862</v>
      </c>
      <c r="K1678" s="182">
        <v>40998</v>
      </c>
      <c r="L1678" s="8" t="s">
        <v>4156</v>
      </c>
      <c r="M1678" s="8" t="s">
        <v>5626</v>
      </c>
      <c r="N1678" s="38" t="s">
        <v>2224</v>
      </c>
      <c r="O1678" s="8"/>
      <c r="P1678" s="4" t="str">
        <f>VLOOKUP($B1678,'D7 - NDB Impacted SPRF''s'!$E$16:$O$9929,9,FALSE)</f>
        <v>Y</v>
      </c>
      <c r="Q1678" s="4" t="str">
        <f>VLOOKUP($B1678,'D7 - NDB Impacted SPRF''s'!$E$16:$O$9929,10,FALSE)</f>
        <v>N</v>
      </c>
      <c r="R1678" s="4" t="str">
        <f>VLOOKUP($B1678,'D7 - NDB Impacted SPRF''s'!$E$16:$O$9929,11,FALSE)</f>
        <v>N</v>
      </c>
      <c r="S1678" s="8"/>
      <c r="T1678" s="310"/>
      <c r="U1678" s="310"/>
      <c r="V1678" s="4"/>
      <c r="W1678" s="4"/>
      <c r="X1678" s="4"/>
      <c r="Y1678" s="4"/>
      <c r="Z1678" s="4"/>
      <c r="AA1678" s="4"/>
      <c r="AB1678" s="380" t="str">
        <f>VLOOKUP($B1678,'D7 - NDB Impacted SPRF''s'!$E$6:$O$9929,4,FALSE)</f>
        <v>Completed</v>
      </c>
      <c r="AC1678" s="380" t="str">
        <f>VLOOKUP($B1678,'D7 - NDB Impacted SPRF''s'!$E$6:$O$9929,3,FALSE)</f>
        <v>UHG IT - Shared Services</v>
      </c>
      <c r="AD1678" s="380" t="str">
        <f>VLOOKUP($B1678,'D7 - NDB Impacted SPRF''s'!$E$6:$O$9929,5,FALSE)</f>
        <v>ASG</v>
      </c>
      <c r="AE1678" s="380" t="str">
        <f>VLOOKUP($B1678,'D7 - NDB Impacted SPRF''s'!$E$6:$O$9929,7,FALSE)</f>
        <v>Duhaime</v>
      </c>
      <c r="AF1678" s="380" t="str">
        <f>VLOOKUP($B1678,'D7 - NDB Impacted SPRF''s'!$E$6:$O$9929,6,FALSE)</f>
        <v>PETER ERNEST</v>
      </c>
      <c r="AG1678" s="282"/>
      <c r="AH1678" s="311" t="e">
        <f>INDEX('D5 - Gatekeeper - Projects'!$A$4:$AF$1010,$AM1678, 17)</f>
        <v>#N/A</v>
      </c>
      <c r="AI1678" s="8"/>
      <c r="AJ1678" s="57"/>
      <c r="AK1678" s="105"/>
      <c r="AM1678" s="6" t="e">
        <f>MATCH(D1678,'D5 - Gatekeeper - Projects'!$C$4:$C$1010,0)</f>
        <v>#N/A</v>
      </c>
      <c r="AN1678" s="6" t="b">
        <f t="shared" si="178"/>
        <v>1</v>
      </c>
      <c r="AO1678" s="6" t="str">
        <f t="shared" si="180"/>
        <v>OK</v>
      </c>
      <c r="AQ1678" s="6" t="e">
        <f>MATCH($D1678,'D4 - Provider Council Unsched'!$C$11:$C$234,0)</f>
        <v>#N/A</v>
      </c>
      <c r="AR1678" s="6" t="b">
        <f t="shared" si="179"/>
        <v>1</v>
      </c>
      <c r="AS1678" s="6" t="str">
        <f t="shared" si="184"/>
        <v>OK</v>
      </c>
      <c r="AU1678" s="202">
        <v>40963</v>
      </c>
      <c r="AV1678" s="262" t="s">
        <v>1079</v>
      </c>
      <c r="AW1678" s="274"/>
    </row>
    <row r="1679" spans="1:49" s="13" customFormat="1" ht="45" x14ac:dyDescent="0.2">
      <c r="A1679" s="14">
        <v>1655</v>
      </c>
      <c r="B1679" s="8">
        <v>400048009</v>
      </c>
      <c r="C1679" s="8" t="s">
        <v>8138</v>
      </c>
      <c r="D1679" s="4" t="str">
        <f t="shared" si="183"/>
        <v>400048009UA</v>
      </c>
      <c r="E1679" s="309" t="str">
        <f>VLOOKUP($B1679,'D7 - NDB Impacted SPRF''s'!$E$6:$O$9929,2,FALSE)</f>
        <v>Establish instance of CDB in Bravo</v>
      </c>
      <c r="F1679" s="8"/>
      <c r="G1679" s="8" t="s">
        <v>4758</v>
      </c>
      <c r="H1679" s="8" t="s">
        <v>4246</v>
      </c>
      <c r="I1679" s="20">
        <v>4.3600000000000003</v>
      </c>
      <c r="J1679" s="8" t="s">
        <v>4862</v>
      </c>
      <c r="K1679" s="182">
        <v>40998</v>
      </c>
      <c r="L1679" s="8" t="s">
        <v>4156</v>
      </c>
      <c r="M1679" s="8" t="s">
        <v>4450</v>
      </c>
      <c r="N1679" s="38" t="s">
        <v>2225</v>
      </c>
      <c r="O1679" s="8"/>
      <c r="P1679" s="4" t="str">
        <f>VLOOKUP($B1679,'D7 - NDB Impacted SPRF''s'!$E$16:$O$9929,9,FALSE)</f>
        <v>Y</v>
      </c>
      <c r="Q1679" s="4" t="str">
        <f>VLOOKUP($B1679,'D7 - NDB Impacted SPRF''s'!$E$16:$O$9929,10,FALSE)</f>
        <v>N</v>
      </c>
      <c r="R1679" s="4" t="str">
        <f>VLOOKUP($B1679,'D7 - NDB Impacted SPRF''s'!$E$16:$O$9929,11,FALSE)</f>
        <v>N</v>
      </c>
      <c r="S1679" s="8"/>
      <c r="T1679" s="310"/>
      <c r="U1679" s="310"/>
      <c r="V1679" s="4"/>
      <c r="W1679" s="4"/>
      <c r="X1679" s="4"/>
      <c r="Y1679" s="4"/>
      <c r="Z1679" s="4"/>
      <c r="AA1679" s="4"/>
      <c r="AB1679" s="380" t="str">
        <f>VLOOKUP($B1679,'D7 - NDB Impacted SPRF''s'!$E$6:$O$9929,4,FALSE)</f>
        <v>Completed</v>
      </c>
      <c r="AC1679" s="380" t="str">
        <f>VLOOKUP($B1679,'D7 - NDB Impacted SPRF''s'!$E$6:$O$9929,3,FALSE)</f>
        <v>UHG IT - Shared Services</v>
      </c>
      <c r="AD1679" s="380" t="str">
        <f>VLOOKUP($B1679,'D7 - NDB Impacted SPRF''s'!$E$6:$O$9929,5,FALSE)</f>
        <v>ASG</v>
      </c>
      <c r="AE1679" s="380" t="str">
        <f>VLOOKUP($B1679,'D7 - NDB Impacted SPRF''s'!$E$6:$O$9929,7,FALSE)</f>
        <v>Duhaime</v>
      </c>
      <c r="AF1679" s="380" t="str">
        <f>VLOOKUP($B1679,'D7 - NDB Impacted SPRF''s'!$E$6:$O$9929,6,FALSE)</f>
        <v>PETER ERNEST</v>
      </c>
      <c r="AG1679" s="282"/>
      <c r="AH1679" s="311" t="e">
        <f>INDEX('D5 - Gatekeeper - Projects'!$A$4:$AF$1010,$AM1679, 17)</f>
        <v>#N/A</v>
      </c>
      <c r="AI1679" s="8"/>
      <c r="AJ1679" s="57"/>
      <c r="AK1679" s="105"/>
      <c r="AM1679" s="6" t="e">
        <f>MATCH(D1679,'D5 - Gatekeeper - Projects'!$C$4:$C$1010,0)</f>
        <v>#N/A</v>
      </c>
      <c r="AN1679" s="6" t="b">
        <f t="shared" si="178"/>
        <v>1</v>
      </c>
      <c r="AO1679" s="6" t="str">
        <f t="shared" si="180"/>
        <v>OK</v>
      </c>
      <c r="AQ1679" s="6" t="e">
        <f>MATCH($D1679,'D4 - Provider Council Unsched'!$C$11:$C$234,0)</f>
        <v>#N/A</v>
      </c>
      <c r="AR1679" s="6" t="b">
        <f t="shared" si="179"/>
        <v>1</v>
      </c>
      <c r="AS1679" s="6" t="str">
        <f t="shared" si="184"/>
        <v>OK</v>
      </c>
      <c r="AU1679" s="202">
        <v>40939</v>
      </c>
      <c r="AV1679" s="262" t="s">
        <v>1079</v>
      </c>
      <c r="AW1679" s="274"/>
    </row>
    <row r="1680" spans="1:49" s="13" customFormat="1" ht="33.75" x14ac:dyDescent="0.2">
      <c r="A1680" s="14">
        <v>1656</v>
      </c>
      <c r="B1680" s="8">
        <v>411111111</v>
      </c>
      <c r="C1680" s="8" t="s">
        <v>1447</v>
      </c>
      <c r="D1680" s="4" t="str">
        <f t="shared" si="183"/>
        <v>411111111A</v>
      </c>
      <c r="E1680" s="309" t="str">
        <f>VLOOKUP($B1680,'D7 - NDB Impacted SPRF''s'!$E$6:$O$9929,2,FALSE)</f>
        <v>Provider Touchpoint Reduction Pilot</v>
      </c>
      <c r="F1680" s="8"/>
      <c r="G1680" s="8" t="s">
        <v>4758</v>
      </c>
      <c r="H1680" s="8" t="s">
        <v>4246</v>
      </c>
      <c r="I1680" s="20">
        <v>7.16</v>
      </c>
      <c r="J1680" s="8" t="s">
        <v>4862</v>
      </c>
      <c r="K1680" s="182">
        <v>40998</v>
      </c>
      <c r="L1680" s="8" t="s">
        <v>4156</v>
      </c>
      <c r="M1680" s="8" t="s">
        <v>2814</v>
      </c>
      <c r="N1680" s="38" t="s">
        <v>4451</v>
      </c>
      <c r="O1680" s="8"/>
      <c r="P1680" s="4" t="str">
        <f>VLOOKUP($B1680,'D7 - NDB Impacted SPRF''s'!$E$16:$O$9929,9,FALSE)</f>
        <v>N</v>
      </c>
      <c r="Q1680" s="4" t="str">
        <f>VLOOKUP($B1680,'D7 - NDB Impacted SPRF''s'!$E$16:$O$9929,10,FALSE)</f>
        <v>N</v>
      </c>
      <c r="R1680" s="4" t="str">
        <f>VLOOKUP($B1680,'D7 - NDB Impacted SPRF''s'!$E$16:$O$9929,11,FALSE)</f>
        <v>N</v>
      </c>
      <c r="S1680" s="8"/>
      <c r="T1680" s="310"/>
      <c r="U1680" s="310"/>
      <c r="V1680" s="4"/>
      <c r="W1680" s="4"/>
      <c r="X1680" s="4"/>
      <c r="Y1680" s="4"/>
      <c r="Z1680" s="4"/>
      <c r="AA1680" s="4"/>
      <c r="AB1680" s="380" t="str">
        <f>VLOOKUP($B1680,'D7 - NDB Impacted SPRF''s'!$E$6:$O$9929,4,FALSE)</f>
        <v>N/a</v>
      </c>
      <c r="AC1680" s="380" t="str">
        <f>VLOOKUP($B1680,'D7 - NDB Impacted SPRF''s'!$E$6:$O$9929,3,FALSE)</f>
        <v>Direct allocations not through prompt</v>
      </c>
      <c r="AD1680" s="380" t="str">
        <f>VLOOKUP($B1680,'D7 - NDB Impacted SPRF''s'!$E$6:$O$9929,5,FALSE)</f>
        <v>N/A</v>
      </c>
      <c r="AE1680" s="380" t="str">
        <f>VLOOKUP($B1680,'D7 - NDB Impacted SPRF''s'!$E$6:$O$9929,7,FALSE)</f>
        <v>N/A</v>
      </c>
      <c r="AF1680" s="380" t="str">
        <f>VLOOKUP($B1680,'D7 - NDB Impacted SPRF''s'!$E$6:$O$9929,6,FALSE)</f>
        <v>N/A</v>
      </c>
      <c r="AG1680" s="282"/>
      <c r="AH1680" s="311" t="e">
        <f>INDEX('D5 - Gatekeeper - Projects'!$A$4:$AF$1010,$AM1680, 17)</f>
        <v>#N/A</v>
      </c>
      <c r="AI1680" s="8"/>
      <c r="AJ1680" s="57"/>
      <c r="AK1680" s="105"/>
      <c r="AM1680" s="6" t="e">
        <f>MATCH(D1680,'D5 - Gatekeeper - Projects'!$C$4:$C$1010,0)</f>
        <v>#N/A</v>
      </c>
      <c r="AN1680" s="6" t="b">
        <f t="shared" si="178"/>
        <v>1</v>
      </c>
      <c r="AO1680" s="6" t="str">
        <f t="shared" si="180"/>
        <v>OK</v>
      </c>
      <c r="AQ1680" s="6" t="e">
        <f>MATCH($D1680,'D4 - Provider Council Unsched'!$C$11:$C$234,0)</f>
        <v>#N/A</v>
      </c>
      <c r="AR1680" s="6" t="b">
        <f t="shared" si="179"/>
        <v>1</v>
      </c>
      <c r="AS1680" s="6" t="str">
        <f t="shared" si="184"/>
        <v>OK</v>
      </c>
      <c r="AU1680" s="202"/>
      <c r="AV1680" s="262" t="e">
        <v>#N/A</v>
      </c>
      <c r="AW1680" s="274"/>
    </row>
    <row r="1681" spans="1:49" s="13" customFormat="1" ht="45" x14ac:dyDescent="0.2">
      <c r="A1681" s="14">
        <v>1657</v>
      </c>
      <c r="B1681" s="8">
        <v>400048846</v>
      </c>
      <c r="C1681" s="8" t="s">
        <v>1447</v>
      </c>
      <c r="D1681" s="4" t="str">
        <f t="shared" si="183"/>
        <v>400048846A</v>
      </c>
      <c r="E1681" s="309" t="str">
        <f>VLOOKUP($B1681,'D7 - NDB Impacted SPRF''s'!$E$6:$O$9929,2,FALSE)</f>
        <v>NDB SoT - C&amp;S Strategic NDB SoT Enhancements</v>
      </c>
      <c r="F1681" s="8"/>
      <c r="G1681" s="8" t="s">
        <v>4758</v>
      </c>
      <c r="H1681" s="8" t="s">
        <v>4246</v>
      </c>
      <c r="I1681" s="20">
        <v>3</v>
      </c>
      <c r="J1681" s="8" t="s">
        <v>4862</v>
      </c>
      <c r="K1681" s="182">
        <v>40999</v>
      </c>
      <c r="L1681" s="8" t="s">
        <v>4156</v>
      </c>
      <c r="M1681" s="8" t="s">
        <v>6688</v>
      </c>
      <c r="N1681" s="38" t="s">
        <v>1674</v>
      </c>
      <c r="O1681" s="8"/>
      <c r="P1681" s="4" t="str">
        <f>VLOOKUP($B1681,'D7 - NDB Impacted SPRF''s'!$E$16:$O$9929,9,FALSE)</f>
        <v>N</v>
      </c>
      <c r="Q1681" s="4" t="str">
        <f>VLOOKUP($B1681,'D7 - NDB Impacted SPRF''s'!$E$16:$O$9929,10,FALSE)</f>
        <v>N</v>
      </c>
      <c r="R1681" s="4" t="str">
        <f>VLOOKUP($B1681,'D7 - NDB Impacted SPRF''s'!$E$16:$O$9929,11,FALSE)</f>
        <v>N</v>
      </c>
      <c r="S1681" s="8"/>
      <c r="T1681" s="310"/>
      <c r="U1681" s="310"/>
      <c r="V1681" s="4"/>
      <c r="W1681" s="4"/>
      <c r="X1681" s="4"/>
      <c r="Y1681" s="4"/>
      <c r="Z1681" s="4"/>
      <c r="AA1681" s="4"/>
      <c r="AB1681" s="380" t="str">
        <f>VLOOKUP($B1681,'D7 - NDB Impacted SPRF''s'!$E$6:$O$9929,4,FALSE)</f>
        <v>Completed</v>
      </c>
      <c r="AC1681" s="380" t="str">
        <f>VLOOKUP($B1681,'D7 - NDB Impacted SPRF''s'!$E$6:$O$9929,3,FALSE)</f>
        <v>UHG IT - Enterprise Technology Services</v>
      </c>
      <c r="AD1681" s="380" t="str">
        <f>VLOOKUP($B1681,'D7 - NDB Impacted SPRF''s'!$E$6:$O$9929,5,FALSE)</f>
        <v>Strategic Initiatives</v>
      </c>
      <c r="AE1681" s="380" t="str">
        <f>VLOOKUP($B1681,'D7 - NDB Impacted SPRF''s'!$E$6:$O$9929,7,FALSE)</f>
        <v>Kaja, Tim</v>
      </c>
      <c r="AF1681" s="380" t="str">
        <f>VLOOKUP($B1681,'D7 - NDB Impacted SPRF''s'!$E$6:$O$9929,6,FALSE)</f>
        <v>Shelly Heit</v>
      </c>
      <c r="AG1681" s="282"/>
      <c r="AH1681" s="311" t="e">
        <f>INDEX('D5 - Gatekeeper - Projects'!$A$4:$AF$1010,$AM1681, 17)</f>
        <v>#N/A</v>
      </c>
      <c r="AI1681" s="8"/>
      <c r="AJ1681" s="57"/>
      <c r="AK1681" s="105"/>
      <c r="AM1681" s="6" t="e">
        <f>MATCH(D1681,'D5 - Gatekeeper - Projects'!$C$4:$C$1010,0)</f>
        <v>#N/A</v>
      </c>
      <c r="AN1681" s="6" t="b">
        <f t="shared" ref="AN1681:AN1744" si="185">ISERROR(AM1681)</f>
        <v>1</v>
      </c>
      <c r="AO1681" s="6" t="str">
        <f t="shared" si="180"/>
        <v>OK</v>
      </c>
      <c r="AQ1681" s="6" t="e">
        <f>MATCH($D1681,'D4 - Provider Council Unsched'!$C$11:$C$234,0)</f>
        <v>#N/A</v>
      </c>
      <c r="AR1681" s="6" t="b">
        <f t="shared" ref="AR1681:AR1744" si="186">ISERROR(AQ1681)</f>
        <v>1</v>
      </c>
      <c r="AS1681" s="6" t="str">
        <f t="shared" si="184"/>
        <v>OK</v>
      </c>
      <c r="AU1681" s="202">
        <v>40914</v>
      </c>
      <c r="AV1681" s="262" t="s">
        <v>1081</v>
      </c>
      <c r="AW1681" s="274">
        <v>53109</v>
      </c>
    </row>
    <row r="1682" spans="1:49" s="13" customFormat="1" ht="45" x14ac:dyDescent="0.2">
      <c r="A1682" s="14">
        <v>1658</v>
      </c>
      <c r="B1682" s="8">
        <v>400050144</v>
      </c>
      <c r="C1682" s="8" t="s">
        <v>1447</v>
      </c>
      <c r="D1682" s="4" t="str">
        <f t="shared" si="183"/>
        <v>400050144A</v>
      </c>
      <c r="E1682" s="309" t="str">
        <f>VLOOKUP($B1682,'D7 - NDB Impacted SPRF''s'!$E$6:$O$9929,2,FALSE)</f>
        <v>KanCare Medicaid Implementation - AO</v>
      </c>
      <c r="F1682" s="8"/>
      <c r="G1682" s="8" t="s">
        <v>4758</v>
      </c>
      <c r="H1682" s="8" t="s">
        <v>4246</v>
      </c>
      <c r="I1682" s="20">
        <v>0.2</v>
      </c>
      <c r="J1682" s="8" t="s">
        <v>4862</v>
      </c>
      <c r="K1682" s="182">
        <v>41014</v>
      </c>
      <c r="L1682" s="8" t="s">
        <v>4156</v>
      </c>
      <c r="M1682" s="8" t="s">
        <v>6688</v>
      </c>
      <c r="N1682" s="38" t="s">
        <v>782</v>
      </c>
      <c r="O1682" s="8"/>
      <c r="P1682" s="4" t="str">
        <f>VLOOKUP($B1682,'D7 - NDB Impacted SPRF''s'!$E$16:$O$9929,9,FALSE)</f>
        <v>N</v>
      </c>
      <c r="Q1682" s="4" t="str">
        <f>VLOOKUP($B1682,'D7 - NDB Impacted SPRF''s'!$E$16:$O$9929,10,FALSE)</f>
        <v>N</v>
      </c>
      <c r="R1682" s="4" t="str">
        <f>VLOOKUP($B1682,'D7 - NDB Impacted SPRF''s'!$E$16:$O$9929,11,FALSE)</f>
        <v>N</v>
      </c>
      <c r="S1682" s="8"/>
      <c r="T1682" s="310"/>
      <c r="U1682" s="310"/>
      <c r="V1682" s="4"/>
      <c r="W1682" s="4"/>
      <c r="X1682" s="4"/>
      <c r="Y1682" s="4"/>
      <c r="Z1682" s="4"/>
      <c r="AA1682" s="4"/>
      <c r="AB1682" s="380" t="str">
        <f>VLOOKUP($B1682,'D7 - NDB Impacted SPRF''s'!$E$6:$O$9929,4,FALSE)</f>
        <v>Completed</v>
      </c>
      <c r="AC1682" s="380" t="str">
        <f>VLOOKUP($B1682,'D7 - NDB Impacted SPRF''s'!$E$6:$O$9929,3,FALSE)</f>
        <v>UnitedHealthcare Community &amp; State</v>
      </c>
      <c r="AD1682" s="380" t="str">
        <f>VLOOKUP($B1682,'D7 - NDB Impacted SPRF''s'!$E$6:$O$9929,5,FALSE)</f>
        <v>Membership Growth / Revenue Programs</v>
      </c>
      <c r="AE1682" s="380" t="str">
        <f>VLOOKUP($B1682,'D7 - NDB Impacted SPRF''s'!$E$6:$O$9929,7,FALSE)</f>
        <v>Bror Hultgren</v>
      </c>
      <c r="AF1682" s="380" t="str">
        <f>VLOOKUP($B1682,'D7 - NDB Impacted SPRF''s'!$E$6:$O$9929,6,FALSE)</f>
        <v>LAN HOANG</v>
      </c>
      <c r="AG1682" s="282"/>
      <c r="AH1682" s="311" t="e">
        <f>INDEX('D5 - Gatekeeper - Projects'!$A$4:$AF$1010,$AM1682, 17)</f>
        <v>#N/A</v>
      </c>
      <c r="AI1682" s="8"/>
      <c r="AJ1682" s="57"/>
      <c r="AK1682" s="105"/>
      <c r="AM1682" s="6" t="e">
        <f>MATCH(D1682,'D5 - Gatekeeper - Projects'!$C$4:$C$1010,0)</f>
        <v>#N/A</v>
      </c>
      <c r="AN1682" s="6" t="b">
        <f t="shared" si="185"/>
        <v>1</v>
      </c>
      <c r="AO1682" s="6" t="str">
        <f t="shared" ref="AO1682:AO1745" si="187">IF(AND(H1682="1 - Scheduled",AN1682=TRUE),"Add","OK")</f>
        <v>OK</v>
      </c>
      <c r="AQ1682" s="6" t="e">
        <f>MATCH($D1682,'D4 - Provider Council Unsched'!$C$11:$C$234,0)</f>
        <v>#N/A</v>
      </c>
      <c r="AR1682" s="6" t="b">
        <f t="shared" si="186"/>
        <v>1</v>
      </c>
      <c r="AS1682" s="6" t="str">
        <f t="shared" si="184"/>
        <v>OK</v>
      </c>
      <c r="AU1682" s="202">
        <v>40994</v>
      </c>
      <c r="AV1682" s="262" t="s">
        <v>2238</v>
      </c>
      <c r="AW1682" s="274"/>
    </row>
    <row r="1683" spans="1:49" s="13" customFormat="1" ht="67.5" x14ac:dyDescent="0.2">
      <c r="A1683" s="14">
        <v>1659</v>
      </c>
      <c r="B1683" s="8">
        <v>400033825</v>
      </c>
      <c r="C1683" s="8" t="s">
        <v>7290</v>
      </c>
      <c r="D1683" s="4" t="str">
        <f t="shared" si="183"/>
        <v>400033825B</v>
      </c>
      <c r="E1683" s="309" t="str">
        <f>VLOOKUP($B1683,'D7 - NDB Impacted SPRF''s'!$E$6:$O$9929,2,FALSE)</f>
        <v>CDB Online:  Update /Channels Other</v>
      </c>
      <c r="F1683" s="8"/>
      <c r="G1683" s="8" t="s">
        <v>4758</v>
      </c>
      <c r="H1683" s="8" t="s">
        <v>4246</v>
      </c>
      <c r="I1683" s="20">
        <v>0.6</v>
      </c>
      <c r="J1683" s="8" t="s">
        <v>4862</v>
      </c>
      <c r="K1683" s="182">
        <v>41041</v>
      </c>
      <c r="L1683" s="8" t="s">
        <v>4156</v>
      </c>
      <c r="M1683" s="8" t="s">
        <v>5626</v>
      </c>
      <c r="N1683" s="38" t="s">
        <v>513</v>
      </c>
      <c r="O1683" s="8"/>
      <c r="P1683" s="4" t="str">
        <f>VLOOKUP($B1683,'D7 - NDB Impacted SPRF''s'!$E$16:$O$9929,9,FALSE)</f>
        <v>N</v>
      </c>
      <c r="Q1683" s="4" t="str">
        <f>VLOOKUP($B1683,'D7 - NDB Impacted SPRF''s'!$E$16:$O$9929,10,FALSE)</f>
        <v>N</v>
      </c>
      <c r="R1683" s="4" t="str">
        <f>VLOOKUP($B1683,'D7 - NDB Impacted SPRF''s'!$E$16:$O$9929,11,FALSE)</f>
        <v>N</v>
      </c>
      <c r="S1683" s="8"/>
      <c r="T1683" s="310"/>
      <c r="U1683" s="310"/>
      <c r="V1683" s="4"/>
      <c r="W1683" s="4"/>
      <c r="X1683" s="4"/>
      <c r="Y1683" s="4"/>
      <c r="Z1683" s="4"/>
      <c r="AA1683" s="4"/>
      <c r="AB1683" s="380" t="str">
        <f>VLOOKUP($B1683,'D7 - NDB Impacted SPRF''s'!$E$6:$O$9929,4,FALSE)</f>
        <v>Scheduled</v>
      </c>
      <c r="AC1683" s="380" t="str">
        <f>VLOOKUP($B1683,'D7 - NDB Impacted SPRF''s'!$E$6:$O$9929,3,FALSE)</f>
        <v>UHG IT - Shared Services</v>
      </c>
      <c r="AD1683" s="380" t="str">
        <f>VLOOKUP($B1683,'D7 - NDB Impacted SPRF''s'!$E$6:$O$9929,5,FALSE)</f>
        <v>Strategic Initiatives</v>
      </c>
      <c r="AE1683" s="380" t="str">
        <f>VLOOKUP($B1683,'D7 - NDB Impacted SPRF''s'!$E$6:$O$9929,7,FALSE)</f>
        <v>Patrick Casey</v>
      </c>
      <c r="AF1683" s="380" t="str">
        <f>VLOOKUP($B1683,'D7 - NDB Impacted SPRF''s'!$E$6:$O$9929,6,FALSE)</f>
        <v>Sue Meotti</v>
      </c>
      <c r="AG1683" s="282"/>
      <c r="AH1683" s="311" t="e">
        <f>INDEX('D5 - Gatekeeper - Projects'!$A$4:$AF$1010,$AM1683, 17)</f>
        <v>#N/A</v>
      </c>
      <c r="AI1683" s="8"/>
      <c r="AJ1683" s="57"/>
      <c r="AK1683" s="105"/>
      <c r="AM1683" s="6" t="e">
        <f>MATCH(D1683,'D5 - Gatekeeper - Projects'!$C$4:$C$1010,0)</f>
        <v>#N/A</v>
      </c>
      <c r="AN1683" s="6" t="b">
        <f t="shared" si="185"/>
        <v>1</v>
      </c>
      <c r="AO1683" s="6" t="str">
        <f t="shared" si="187"/>
        <v>OK</v>
      </c>
      <c r="AQ1683" s="6" t="e">
        <f>MATCH($D1683,'D4 - Provider Council Unsched'!$C$11:$C$234,0)</f>
        <v>#N/A</v>
      </c>
      <c r="AR1683" s="6" t="b">
        <f t="shared" si="186"/>
        <v>1</v>
      </c>
      <c r="AS1683" s="6" t="str">
        <f t="shared" si="184"/>
        <v>OK</v>
      </c>
      <c r="AU1683" s="202">
        <v>40770</v>
      </c>
      <c r="AV1683" s="262" t="s">
        <v>2309</v>
      </c>
      <c r="AW1683" s="274">
        <v>20510</v>
      </c>
    </row>
    <row r="1684" spans="1:49" s="13" customFormat="1" ht="56.25" x14ac:dyDescent="0.2">
      <c r="A1684" s="14">
        <v>1660</v>
      </c>
      <c r="B1684" s="14">
        <v>400037224</v>
      </c>
      <c r="C1684" s="8" t="s">
        <v>4926</v>
      </c>
      <c r="D1684" s="4" t="str">
        <f t="shared" si="183"/>
        <v>400037224R4</v>
      </c>
      <c r="E1684" s="309" t="str">
        <f>VLOOKUP($B1684,'D7 - NDB Impacted SPRF''s'!$E$6:$O$9929,2,FALSE)</f>
        <v xml:space="preserve">Systems of Record - Data Interface 2011 H1 </v>
      </c>
      <c r="F1684" s="8"/>
      <c r="G1684" s="8" t="s">
        <v>4758</v>
      </c>
      <c r="H1684" s="8" t="s">
        <v>4246</v>
      </c>
      <c r="I1684" s="20">
        <v>12.89</v>
      </c>
      <c r="J1684" s="8" t="s">
        <v>4862</v>
      </c>
      <c r="K1684" s="182">
        <v>41041</v>
      </c>
      <c r="L1684" s="8" t="s">
        <v>4156</v>
      </c>
      <c r="M1684" s="8" t="s">
        <v>2814</v>
      </c>
      <c r="N1684" s="38" t="s">
        <v>307</v>
      </c>
      <c r="O1684" s="8"/>
      <c r="P1684" s="4" t="str">
        <f>VLOOKUP($B1684,'D7 - NDB Impacted SPRF''s'!$E$16:$O$9929,9,FALSE)</f>
        <v>Y</v>
      </c>
      <c r="Q1684" s="4" t="str">
        <f>VLOOKUP($B1684,'D7 - NDB Impacted SPRF''s'!$E$16:$O$9929,10,FALSE)</f>
        <v>N</v>
      </c>
      <c r="R1684" s="4" t="str">
        <f>VLOOKUP($B1684,'D7 - NDB Impacted SPRF''s'!$E$16:$O$9929,11,FALSE)</f>
        <v>N</v>
      </c>
      <c r="S1684" s="8"/>
      <c r="T1684" s="310"/>
      <c r="U1684" s="310"/>
      <c r="V1684" s="4"/>
      <c r="W1684" s="4"/>
      <c r="X1684" s="4"/>
      <c r="Y1684" s="4"/>
      <c r="Z1684" s="4"/>
      <c r="AA1684" s="4"/>
      <c r="AB1684" s="380" t="str">
        <f>VLOOKUP($B1684,'D7 - NDB Impacted SPRF''s'!$E$6:$O$9929,4,FALSE)</f>
        <v>Completed</v>
      </c>
      <c r="AC1684" s="380" t="str">
        <f>VLOOKUP($B1684,'D7 - NDB Impacted SPRF''s'!$E$6:$O$9929,3,FALSE)</f>
        <v>UHG IT - Shared Services</v>
      </c>
      <c r="AD1684" s="380" t="str">
        <f>VLOOKUP($B1684,'D7 - NDB Impacted SPRF''s'!$E$6:$O$9929,5,FALSE)</f>
        <v>Strategic Initiatives</v>
      </c>
      <c r="AE1684" s="380" t="str">
        <f>VLOOKUP($B1684,'D7 - NDB Impacted SPRF''s'!$E$6:$O$9929,7,FALSE)</f>
        <v>David Albright</v>
      </c>
      <c r="AF1684" s="380" t="str">
        <f>VLOOKUP($B1684,'D7 - NDB Impacted SPRF''s'!$E$6:$O$9929,6,FALSE)</f>
        <v>Stacy Blackstad</v>
      </c>
      <c r="AG1684" s="282"/>
      <c r="AH1684" s="311" t="e">
        <f>INDEX('D5 - Gatekeeper - Projects'!$A$4:$AF$1010,$AM1684, 17)</f>
        <v>#N/A</v>
      </c>
      <c r="AI1684" s="8"/>
      <c r="AJ1684" s="57"/>
      <c r="AK1684" s="105"/>
      <c r="AM1684" s="6" t="e">
        <f>MATCH(D1684,'D5 - Gatekeeper - Projects'!$C$4:$C$1010,0)</f>
        <v>#N/A</v>
      </c>
      <c r="AN1684" s="6" t="b">
        <f t="shared" si="185"/>
        <v>1</v>
      </c>
      <c r="AO1684" s="6" t="str">
        <f t="shared" si="187"/>
        <v>OK</v>
      </c>
      <c r="AQ1684" s="6" t="e">
        <f>MATCH($D1684,'D4 - Provider Council Unsched'!$C$11:$C$234,0)</f>
        <v>#N/A</v>
      </c>
      <c r="AR1684" s="6" t="b">
        <f t="shared" si="186"/>
        <v>1</v>
      </c>
      <c r="AS1684" s="6" t="str">
        <f t="shared" si="184"/>
        <v>OK</v>
      </c>
      <c r="AU1684" s="202">
        <v>40851</v>
      </c>
      <c r="AV1684" s="262" t="s">
        <v>2752</v>
      </c>
      <c r="AW1684" s="274">
        <v>51283</v>
      </c>
    </row>
    <row r="1685" spans="1:49" s="13" customFormat="1" ht="22.5" x14ac:dyDescent="0.2">
      <c r="A1685" s="14">
        <v>1661</v>
      </c>
      <c r="B1685" s="14">
        <v>400037224</v>
      </c>
      <c r="C1685" s="8" t="s">
        <v>7912</v>
      </c>
      <c r="D1685" s="4" t="str">
        <f t="shared" si="183"/>
        <v>400037224R8</v>
      </c>
      <c r="E1685" s="309" t="str">
        <f>VLOOKUP($B1685,'D7 - NDB Impacted SPRF''s'!$E$6:$O$9929,2,FALSE)</f>
        <v xml:space="preserve">Systems of Record - Data Interface 2011 H1 </v>
      </c>
      <c r="F1685" s="8"/>
      <c r="G1685" s="8" t="s">
        <v>4758</v>
      </c>
      <c r="H1685" s="8" t="s">
        <v>4246</v>
      </c>
      <c r="I1685" s="20">
        <v>2.81</v>
      </c>
      <c r="J1685" s="8" t="s">
        <v>4862</v>
      </c>
      <c r="K1685" s="182">
        <v>41041</v>
      </c>
      <c r="L1685" s="8" t="s">
        <v>4156</v>
      </c>
      <c r="M1685" s="8" t="s">
        <v>2814</v>
      </c>
      <c r="N1685" s="38" t="s">
        <v>2753</v>
      </c>
      <c r="O1685" s="8"/>
      <c r="P1685" s="4" t="str">
        <f>VLOOKUP($B1685,'D7 - NDB Impacted SPRF''s'!$E$16:$O$9929,9,FALSE)</f>
        <v>Y</v>
      </c>
      <c r="Q1685" s="4" t="str">
        <f>VLOOKUP($B1685,'D7 - NDB Impacted SPRF''s'!$E$16:$O$9929,10,FALSE)</f>
        <v>N</v>
      </c>
      <c r="R1685" s="4" t="str">
        <f>VLOOKUP($B1685,'D7 - NDB Impacted SPRF''s'!$E$16:$O$9929,11,FALSE)</f>
        <v>N</v>
      </c>
      <c r="S1685" s="8"/>
      <c r="T1685" s="310"/>
      <c r="U1685" s="310"/>
      <c r="V1685" s="4"/>
      <c r="W1685" s="4"/>
      <c r="X1685" s="4"/>
      <c r="Y1685" s="4"/>
      <c r="Z1685" s="4"/>
      <c r="AA1685" s="4"/>
      <c r="AB1685" s="380" t="str">
        <f>VLOOKUP($B1685,'D7 - NDB Impacted SPRF''s'!$E$6:$O$9929,4,FALSE)</f>
        <v>Completed</v>
      </c>
      <c r="AC1685" s="380" t="str">
        <f>VLOOKUP($B1685,'D7 - NDB Impacted SPRF''s'!$E$6:$O$9929,3,FALSE)</f>
        <v>UHG IT - Shared Services</v>
      </c>
      <c r="AD1685" s="380" t="str">
        <f>VLOOKUP($B1685,'D7 - NDB Impacted SPRF''s'!$E$6:$O$9929,5,FALSE)</f>
        <v>Strategic Initiatives</v>
      </c>
      <c r="AE1685" s="380" t="str">
        <f>VLOOKUP($B1685,'D7 - NDB Impacted SPRF''s'!$E$6:$O$9929,7,FALSE)</f>
        <v>David Albright</v>
      </c>
      <c r="AF1685" s="380" t="str">
        <f>VLOOKUP($B1685,'D7 - NDB Impacted SPRF''s'!$E$6:$O$9929,6,FALSE)</f>
        <v>Stacy Blackstad</v>
      </c>
      <c r="AG1685" s="282"/>
      <c r="AH1685" s="311" t="e">
        <f>INDEX('D5 - Gatekeeper - Projects'!$A$4:$AF$1010,$AM1685, 17)</f>
        <v>#N/A</v>
      </c>
      <c r="AI1685" s="8"/>
      <c r="AJ1685" s="57"/>
      <c r="AK1685" s="105"/>
      <c r="AM1685" s="6" t="e">
        <f>MATCH(D1685,'D5 - Gatekeeper - Projects'!$C$4:$C$1010,0)</f>
        <v>#N/A</v>
      </c>
      <c r="AN1685" s="6" t="b">
        <f t="shared" si="185"/>
        <v>1</v>
      </c>
      <c r="AO1685" s="6" t="str">
        <f t="shared" si="187"/>
        <v>OK</v>
      </c>
      <c r="AQ1685" s="6" t="e">
        <f>MATCH($D1685,'D4 - Provider Council Unsched'!$C$11:$C$234,0)</f>
        <v>#N/A</v>
      </c>
      <c r="AR1685" s="6" t="b">
        <f t="shared" si="186"/>
        <v>1</v>
      </c>
      <c r="AS1685" s="6" t="str">
        <f t="shared" si="184"/>
        <v>OK</v>
      </c>
      <c r="AU1685" s="202">
        <v>40945</v>
      </c>
      <c r="AV1685" s="262" t="s">
        <v>2752</v>
      </c>
      <c r="AW1685" s="274">
        <v>51283</v>
      </c>
    </row>
    <row r="1686" spans="1:49" s="13" customFormat="1" ht="33.75" x14ac:dyDescent="0.2">
      <c r="A1686" s="14">
        <v>1662</v>
      </c>
      <c r="B1686" s="8">
        <v>400039473</v>
      </c>
      <c r="C1686" s="8" t="s">
        <v>1447</v>
      </c>
      <c r="D1686" s="4" t="str">
        <f t="shared" si="183"/>
        <v>400039473A</v>
      </c>
      <c r="E1686" s="309" t="str">
        <f>VLOOKUP($B1686,'D7 - NDB Impacted SPRF''s'!$E$6:$O$9929,2,FALSE)</f>
        <v>Pay for Performance Contracting A/D</v>
      </c>
      <c r="F1686" s="8"/>
      <c r="G1686" s="8" t="s">
        <v>4758</v>
      </c>
      <c r="H1686" s="8" t="s">
        <v>4246</v>
      </c>
      <c r="I1686" s="20">
        <v>0.17</v>
      </c>
      <c r="J1686" s="8" t="s">
        <v>4862</v>
      </c>
      <c r="K1686" s="182">
        <v>41041</v>
      </c>
      <c r="L1686" s="8" t="s">
        <v>4156</v>
      </c>
      <c r="M1686" s="8" t="s">
        <v>5626</v>
      </c>
      <c r="N1686" s="38" t="s">
        <v>6040</v>
      </c>
      <c r="O1686" s="8"/>
      <c r="P1686" s="4" t="str">
        <f>VLOOKUP($B1686,'D7 - NDB Impacted SPRF''s'!$E$16:$O$9929,9,FALSE)</f>
        <v>N</v>
      </c>
      <c r="Q1686" s="4" t="str">
        <f>VLOOKUP($B1686,'D7 - NDB Impacted SPRF''s'!$E$16:$O$9929,10,FALSE)</f>
        <v>N</v>
      </c>
      <c r="R1686" s="4" t="str">
        <f>VLOOKUP($B1686,'D7 - NDB Impacted SPRF''s'!$E$16:$O$9929,11,FALSE)</f>
        <v>N</v>
      </c>
      <c r="S1686" s="8"/>
      <c r="T1686" s="310"/>
      <c r="U1686" s="310"/>
      <c r="V1686" s="4"/>
      <c r="W1686" s="4"/>
      <c r="X1686" s="4"/>
      <c r="Y1686" s="4"/>
      <c r="Z1686" s="4"/>
      <c r="AA1686" s="4"/>
      <c r="AB1686" s="380" t="str">
        <f>VLOOKUP($B1686,'D7 - NDB Impacted SPRF''s'!$E$6:$O$9929,4,FALSE)</f>
        <v>Completed</v>
      </c>
      <c r="AC1686" s="380" t="str">
        <f>VLOOKUP($B1686,'D7 - NDB Impacted SPRF''s'!$E$6:$O$9929,3,FALSE)</f>
        <v>UnitedHealthcare Employer &amp; Individual</v>
      </c>
      <c r="AD1686" s="380" t="str">
        <f>VLOOKUP($B1686,'D7 - NDB Impacted SPRF''s'!$E$6:$O$9929,5,FALSE)</f>
        <v>Medical Cost Savings Programs</v>
      </c>
      <c r="AE1686" s="380" t="str">
        <f>VLOOKUP($B1686,'D7 - NDB Impacted SPRF''s'!$E$6:$O$9929,7,FALSE)</f>
        <v xml:space="preserve">Lisa McDonnel </v>
      </c>
      <c r="AF1686" s="380" t="str">
        <f>VLOOKUP($B1686,'D7 - NDB Impacted SPRF''s'!$E$6:$O$9929,6,FALSE)</f>
        <v>Barb Stenger</v>
      </c>
      <c r="AG1686" s="282"/>
      <c r="AH1686" s="311" t="e">
        <f>INDEX('D5 - Gatekeeper - Projects'!$A$4:$AF$1010,$AM1686, 17)</f>
        <v>#N/A</v>
      </c>
      <c r="AI1686" s="8"/>
      <c r="AJ1686" s="57"/>
      <c r="AK1686" s="105"/>
      <c r="AM1686" s="6" t="e">
        <f>MATCH(D1686,'D5 - Gatekeeper - Projects'!$C$4:$C$1010,0)</f>
        <v>#N/A</v>
      </c>
      <c r="AN1686" s="6" t="b">
        <f t="shared" si="185"/>
        <v>1</v>
      </c>
      <c r="AO1686" s="6" t="str">
        <f t="shared" si="187"/>
        <v>OK</v>
      </c>
      <c r="AQ1686" s="6" t="e">
        <f>MATCH($D1686,'D4 - Provider Council Unsched'!$C$11:$C$234,0)</f>
        <v>#N/A</v>
      </c>
      <c r="AR1686" s="6" t="b">
        <f t="shared" si="186"/>
        <v>1</v>
      </c>
      <c r="AS1686" s="6" t="str">
        <f t="shared" si="184"/>
        <v>OK</v>
      </c>
      <c r="AU1686" s="202"/>
      <c r="AV1686" s="262" t="s">
        <v>471</v>
      </c>
      <c r="AW1686" s="274">
        <v>23604</v>
      </c>
    </row>
    <row r="1687" spans="1:49" s="13" customFormat="1" ht="45" x14ac:dyDescent="0.2">
      <c r="A1687" s="14">
        <v>1663</v>
      </c>
      <c r="B1687" s="8">
        <v>400039538</v>
      </c>
      <c r="C1687" s="8" t="s">
        <v>1447</v>
      </c>
      <c r="D1687" s="4" t="str">
        <f t="shared" si="183"/>
        <v>400039538A</v>
      </c>
      <c r="E1687" s="309" t="str">
        <f>VLOOKUP($B1687,'D7 - NDB Impacted SPRF''s'!$E$6:$O$9929,2,FALSE)</f>
        <v>UNET ELIG SYS LOGIC FOR CDB Decision Logic Gap ENH</v>
      </c>
      <c r="F1687" s="8"/>
      <c r="G1687" s="8" t="s">
        <v>4758</v>
      </c>
      <c r="H1687" s="8" t="s">
        <v>4246</v>
      </c>
      <c r="I1687" s="20">
        <v>0.43</v>
      </c>
      <c r="J1687" s="8" t="s">
        <v>4862</v>
      </c>
      <c r="K1687" s="182">
        <v>41041</v>
      </c>
      <c r="L1687" s="8" t="s">
        <v>4156</v>
      </c>
      <c r="M1687" s="8" t="s">
        <v>5626</v>
      </c>
      <c r="N1687" s="38" t="s">
        <v>2380</v>
      </c>
      <c r="O1687" s="8"/>
      <c r="P1687" s="4" t="str">
        <f>VLOOKUP($B1687,'D7 - NDB Impacted SPRF''s'!$E$16:$O$9929,9,FALSE)</f>
        <v>Y</v>
      </c>
      <c r="Q1687" s="4" t="str">
        <f>VLOOKUP($B1687,'D7 - NDB Impacted SPRF''s'!$E$16:$O$9929,10,FALSE)</f>
        <v>N</v>
      </c>
      <c r="R1687" s="4" t="str">
        <f>VLOOKUP($B1687,'D7 - NDB Impacted SPRF''s'!$E$16:$O$9929,11,FALSE)</f>
        <v>N</v>
      </c>
      <c r="S1687" s="8"/>
      <c r="T1687" s="310"/>
      <c r="U1687" s="310"/>
      <c r="V1687" s="4"/>
      <c r="W1687" s="4"/>
      <c r="X1687" s="4"/>
      <c r="Y1687" s="4"/>
      <c r="Z1687" s="4"/>
      <c r="AA1687" s="4"/>
      <c r="AB1687" s="380" t="str">
        <f>VLOOKUP($B1687,'D7 - NDB Impacted SPRF''s'!$E$6:$O$9929,4,FALSE)</f>
        <v>Scheduled</v>
      </c>
      <c r="AC1687" s="380" t="str">
        <f>VLOOKUP($B1687,'D7 - NDB Impacted SPRF''s'!$E$6:$O$9929,3,FALSE)</f>
        <v>UnitedHealthcare Employer &amp; Individual</v>
      </c>
      <c r="AD1687" s="380" t="str">
        <f>VLOOKUP($B1687,'D7 - NDB Impacted SPRF''s'!$E$6:$O$9929,5,FALSE)</f>
        <v>Regulatory / Other</v>
      </c>
      <c r="AE1687" s="380" t="str">
        <f>VLOOKUP($B1687,'D7 - NDB Impacted SPRF''s'!$E$6:$O$9929,7,FALSE)</f>
        <v>Garcia, Stevan</v>
      </c>
      <c r="AF1687" s="380" t="str">
        <f>VLOOKUP($B1687,'D7 - NDB Impacted SPRF''s'!$E$6:$O$9929,6,FALSE)</f>
        <v>Sharon Katz</v>
      </c>
      <c r="AG1687" s="282"/>
      <c r="AH1687" s="311" t="e">
        <f>INDEX('D5 - Gatekeeper - Projects'!$A$4:$AF$1010,$AM1687, 17)</f>
        <v>#N/A</v>
      </c>
      <c r="AI1687" s="8"/>
      <c r="AJ1687" s="57"/>
      <c r="AK1687" s="105"/>
      <c r="AM1687" s="6" t="e">
        <f>MATCH(D1687,'D5 - Gatekeeper - Projects'!$C$4:$C$1010,0)</f>
        <v>#N/A</v>
      </c>
      <c r="AN1687" s="6" t="b">
        <f t="shared" si="185"/>
        <v>1</v>
      </c>
      <c r="AO1687" s="6" t="str">
        <f t="shared" si="187"/>
        <v>OK</v>
      </c>
      <c r="AQ1687" s="6" t="e">
        <f>MATCH($D1687,'D4 - Provider Council Unsched'!$C$11:$C$234,0)</f>
        <v>#N/A</v>
      </c>
      <c r="AR1687" s="6" t="b">
        <f t="shared" si="186"/>
        <v>1</v>
      </c>
      <c r="AS1687" s="6" t="str">
        <f t="shared" si="184"/>
        <v>OK</v>
      </c>
      <c r="AU1687" s="202">
        <v>40665</v>
      </c>
      <c r="AV1687" s="262" t="s">
        <v>446</v>
      </c>
      <c r="AW1687" s="274">
        <v>37429</v>
      </c>
    </row>
    <row r="1688" spans="1:49" s="13" customFormat="1" ht="33.75" x14ac:dyDescent="0.2">
      <c r="A1688" s="14">
        <v>1664</v>
      </c>
      <c r="B1688" s="8">
        <v>400040568</v>
      </c>
      <c r="C1688" s="8" t="s">
        <v>1447</v>
      </c>
      <c r="D1688" s="4" t="str">
        <f t="shared" si="183"/>
        <v>400040568A</v>
      </c>
      <c r="E1688" s="309" t="str">
        <f>VLOOKUP($B1688,'D7 - NDB Impacted SPRF''s'!$E$6:$O$9929,2,FALSE)</f>
        <v>Network Product Configuration Redesign</v>
      </c>
      <c r="F1688" s="8"/>
      <c r="G1688" s="8" t="s">
        <v>4758</v>
      </c>
      <c r="H1688" s="8" t="s">
        <v>4246</v>
      </c>
      <c r="I1688" s="20">
        <v>1.56</v>
      </c>
      <c r="J1688" s="8" t="s">
        <v>4862</v>
      </c>
      <c r="K1688" s="182">
        <v>41041</v>
      </c>
      <c r="L1688" s="8" t="s">
        <v>4156</v>
      </c>
      <c r="M1688" s="8" t="s">
        <v>6688</v>
      </c>
      <c r="N1688" s="38"/>
      <c r="O1688" s="8"/>
      <c r="P1688" s="4" t="str">
        <f>VLOOKUP($B1688,'D7 - NDB Impacted SPRF''s'!$E$16:$O$9929,9,FALSE)</f>
        <v>Y</v>
      </c>
      <c r="Q1688" s="4" t="str">
        <f>VLOOKUP($B1688,'D7 - NDB Impacted SPRF''s'!$E$16:$O$9929,10,FALSE)</f>
        <v>N</v>
      </c>
      <c r="R1688" s="4" t="str">
        <f>VLOOKUP($B1688,'D7 - NDB Impacted SPRF''s'!$E$16:$O$9929,11,FALSE)</f>
        <v>Y</v>
      </c>
      <c r="S1688" s="8"/>
      <c r="T1688" s="310"/>
      <c r="U1688" s="310"/>
      <c r="V1688" s="4"/>
      <c r="W1688" s="4"/>
      <c r="X1688" s="4"/>
      <c r="Y1688" s="4"/>
      <c r="Z1688" s="4"/>
      <c r="AA1688" s="4"/>
      <c r="AB1688" s="380" t="str">
        <f>VLOOKUP($B1688,'D7 - NDB Impacted SPRF''s'!$E$6:$O$9929,4,FALSE)</f>
        <v>Completed</v>
      </c>
      <c r="AC1688" s="380" t="str">
        <f>VLOOKUP($B1688,'D7 - NDB Impacted SPRF''s'!$E$6:$O$9929,3,FALSE)</f>
        <v>UnitedHealthcare Employer &amp; Individual</v>
      </c>
      <c r="AD1688" s="380" t="str">
        <f>VLOOKUP($B1688,'D7 - NDB Impacted SPRF''s'!$E$6:$O$9929,5,FALSE)</f>
        <v>Process Improvement</v>
      </c>
      <c r="AE1688" s="380" t="str">
        <f>VLOOKUP($B1688,'D7 - NDB Impacted SPRF''s'!$E$6:$O$9929,7,FALSE)</f>
        <v>Timothy Kaja</v>
      </c>
      <c r="AF1688" s="380" t="str">
        <f>VLOOKUP($B1688,'D7 - NDB Impacted SPRF''s'!$E$6:$O$9929,6,FALSE)</f>
        <v>SHANNON MORROW</v>
      </c>
      <c r="AG1688" s="282"/>
      <c r="AH1688" s="311" t="e">
        <f>INDEX('D5 - Gatekeeper - Projects'!$A$4:$AF$1010,$AM1688, 17)</f>
        <v>#N/A</v>
      </c>
      <c r="AI1688" s="8"/>
      <c r="AJ1688" s="57"/>
      <c r="AK1688" s="105"/>
      <c r="AM1688" s="6" t="e">
        <f>MATCH(D1688,'D5 - Gatekeeper - Projects'!$C$4:$C$1010,0)</f>
        <v>#N/A</v>
      </c>
      <c r="AN1688" s="6" t="b">
        <f t="shared" si="185"/>
        <v>1</v>
      </c>
      <c r="AO1688" s="6" t="str">
        <f t="shared" si="187"/>
        <v>OK</v>
      </c>
      <c r="AQ1688" s="6" t="e">
        <f>MATCH($D1688,'D4 - Provider Council Unsched'!$C$11:$C$234,0)</f>
        <v>#N/A</v>
      </c>
      <c r="AR1688" s="6" t="b">
        <f t="shared" si="186"/>
        <v>1</v>
      </c>
      <c r="AS1688" s="6" t="str">
        <f t="shared" si="184"/>
        <v>OK</v>
      </c>
      <c r="AU1688" s="202"/>
      <c r="AV1688" s="262" t="s">
        <v>2311</v>
      </c>
      <c r="AW1688" s="274">
        <v>32857</v>
      </c>
    </row>
    <row r="1689" spans="1:49" s="13" customFormat="1" ht="33.75" x14ac:dyDescent="0.2">
      <c r="A1689" s="14">
        <v>1665</v>
      </c>
      <c r="B1689" s="8">
        <v>400040568</v>
      </c>
      <c r="C1689" s="8" t="s">
        <v>7290</v>
      </c>
      <c r="D1689" s="4" t="str">
        <f t="shared" si="183"/>
        <v>400040568B</v>
      </c>
      <c r="E1689" s="309" t="str">
        <f>VLOOKUP($B1689,'D7 - NDB Impacted SPRF''s'!$E$6:$O$9929,2,FALSE)</f>
        <v>Network Product Configuration Redesign</v>
      </c>
      <c r="F1689" s="8"/>
      <c r="G1689" s="8" t="s">
        <v>4758</v>
      </c>
      <c r="H1689" s="8" t="s">
        <v>4246</v>
      </c>
      <c r="I1689" s="20">
        <v>0.42</v>
      </c>
      <c r="J1689" s="8" t="s">
        <v>4862</v>
      </c>
      <c r="K1689" s="182">
        <v>41041</v>
      </c>
      <c r="L1689" s="8" t="s">
        <v>4156</v>
      </c>
      <c r="M1689" s="8" t="s">
        <v>6688</v>
      </c>
      <c r="N1689" s="38" t="s">
        <v>1372</v>
      </c>
      <c r="O1689" s="8"/>
      <c r="P1689" s="4" t="str">
        <f>VLOOKUP($B1689,'D7 - NDB Impacted SPRF''s'!$E$16:$O$9929,9,FALSE)</f>
        <v>Y</v>
      </c>
      <c r="Q1689" s="4" t="str">
        <f>VLOOKUP($B1689,'D7 - NDB Impacted SPRF''s'!$E$16:$O$9929,10,FALSE)</f>
        <v>N</v>
      </c>
      <c r="R1689" s="4" t="str">
        <f>VLOOKUP($B1689,'D7 - NDB Impacted SPRF''s'!$E$16:$O$9929,11,FALSE)</f>
        <v>Y</v>
      </c>
      <c r="S1689" s="8"/>
      <c r="T1689" s="310"/>
      <c r="U1689" s="310"/>
      <c r="V1689" s="4"/>
      <c r="W1689" s="4"/>
      <c r="X1689" s="4"/>
      <c r="Y1689" s="4"/>
      <c r="Z1689" s="4"/>
      <c r="AA1689" s="4"/>
      <c r="AB1689" s="380" t="str">
        <f>VLOOKUP($B1689,'D7 - NDB Impacted SPRF''s'!$E$6:$O$9929,4,FALSE)</f>
        <v>Completed</v>
      </c>
      <c r="AC1689" s="380" t="str">
        <f>VLOOKUP($B1689,'D7 - NDB Impacted SPRF''s'!$E$6:$O$9929,3,FALSE)</f>
        <v>UnitedHealthcare Employer &amp; Individual</v>
      </c>
      <c r="AD1689" s="380" t="str">
        <f>VLOOKUP($B1689,'D7 - NDB Impacted SPRF''s'!$E$6:$O$9929,5,FALSE)</f>
        <v>Process Improvement</v>
      </c>
      <c r="AE1689" s="380" t="str">
        <f>VLOOKUP($B1689,'D7 - NDB Impacted SPRF''s'!$E$6:$O$9929,7,FALSE)</f>
        <v>Timothy Kaja</v>
      </c>
      <c r="AF1689" s="380" t="str">
        <f>VLOOKUP($B1689,'D7 - NDB Impacted SPRF''s'!$E$6:$O$9929,6,FALSE)</f>
        <v>SHANNON MORROW</v>
      </c>
      <c r="AG1689" s="282"/>
      <c r="AH1689" s="311" t="e">
        <f>INDEX('D5 - Gatekeeper - Projects'!$A$4:$AF$1010,$AM1689, 17)</f>
        <v>#N/A</v>
      </c>
      <c r="AI1689" s="8"/>
      <c r="AJ1689" s="57"/>
      <c r="AK1689" s="105"/>
      <c r="AM1689" s="6" t="e">
        <f>MATCH(D1689,'D5 - Gatekeeper - Projects'!$C$4:$C$1010,0)</f>
        <v>#N/A</v>
      </c>
      <c r="AN1689" s="6" t="b">
        <f t="shared" si="185"/>
        <v>1</v>
      </c>
      <c r="AO1689" s="6" t="str">
        <f t="shared" si="187"/>
        <v>OK</v>
      </c>
      <c r="AQ1689" s="6" t="e">
        <f>MATCH($D1689,'D4 - Provider Council Unsched'!$C$11:$C$234,0)</f>
        <v>#N/A</v>
      </c>
      <c r="AR1689" s="6" t="b">
        <f t="shared" si="186"/>
        <v>1</v>
      </c>
      <c r="AS1689" s="6" t="str">
        <f t="shared" si="184"/>
        <v>OK</v>
      </c>
      <c r="AU1689" s="202">
        <v>41005</v>
      </c>
      <c r="AV1689" s="262" t="s">
        <v>2311</v>
      </c>
      <c r="AW1689" s="274">
        <v>32857</v>
      </c>
    </row>
    <row r="1690" spans="1:49" s="13" customFormat="1" ht="22.5" x14ac:dyDescent="0.2">
      <c r="A1690" s="14">
        <v>1666</v>
      </c>
      <c r="B1690" s="8">
        <v>400041452</v>
      </c>
      <c r="C1690" s="8" t="s">
        <v>7289</v>
      </c>
      <c r="D1690" s="4" t="str">
        <f t="shared" si="183"/>
        <v>400041452D</v>
      </c>
      <c r="E1690" s="309" t="str">
        <f>VLOOKUP($B1690,'D7 - NDB Impacted SPRF''s'!$E$6:$O$9929,2,FALSE)</f>
        <v>Cont CDB Core Processing: Inc View Cutovers</v>
      </c>
      <c r="F1690" s="8"/>
      <c r="G1690" s="8" t="s">
        <v>4758</v>
      </c>
      <c r="H1690" s="8" t="s">
        <v>4246</v>
      </c>
      <c r="I1690" s="20">
        <v>5.96</v>
      </c>
      <c r="J1690" s="8" t="s">
        <v>4862</v>
      </c>
      <c r="K1690" s="182">
        <v>41041</v>
      </c>
      <c r="L1690" s="8" t="s">
        <v>4156</v>
      </c>
      <c r="M1690" s="8" t="s">
        <v>2814</v>
      </c>
      <c r="N1690" s="38" t="s">
        <v>1875</v>
      </c>
      <c r="O1690" s="8"/>
      <c r="P1690" s="4" t="str">
        <f>VLOOKUP($B1690,'D7 - NDB Impacted SPRF''s'!$E$16:$O$9929,9,FALSE)</f>
        <v>Y</v>
      </c>
      <c r="Q1690" s="4" t="str">
        <f>VLOOKUP($B1690,'D7 - NDB Impacted SPRF''s'!$E$16:$O$9929,10,FALSE)</f>
        <v>N</v>
      </c>
      <c r="R1690" s="4" t="str">
        <f>VLOOKUP($B1690,'D7 - NDB Impacted SPRF''s'!$E$16:$O$9929,11,FALSE)</f>
        <v>N</v>
      </c>
      <c r="S1690" s="8"/>
      <c r="T1690" s="310"/>
      <c r="U1690" s="310"/>
      <c r="V1690" s="4"/>
      <c r="W1690" s="4"/>
      <c r="X1690" s="4"/>
      <c r="Y1690" s="4"/>
      <c r="Z1690" s="4"/>
      <c r="AA1690" s="4"/>
      <c r="AB1690" s="380" t="str">
        <f>VLOOKUP($B1690,'D7 - NDB Impacted SPRF''s'!$E$6:$O$9929,4,FALSE)</f>
        <v>Scheduled</v>
      </c>
      <c r="AC1690" s="380" t="str">
        <f>VLOOKUP($B1690,'D7 - NDB Impacted SPRF''s'!$E$6:$O$9929,3,FALSE)</f>
        <v>UHG IT - Shared Services</v>
      </c>
      <c r="AD1690" s="380" t="str">
        <f>VLOOKUP($B1690,'D7 - NDB Impacted SPRF''s'!$E$6:$O$9929,5,FALSE)</f>
        <v>Strategic Initiatives</v>
      </c>
      <c r="AE1690" s="380" t="str">
        <f>VLOOKUP($B1690,'D7 - NDB Impacted SPRF''s'!$E$6:$O$9929,7,FALSE)</f>
        <v>Patrick Casey</v>
      </c>
      <c r="AF1690" s="380" t="str">
        <f>VLOOKUP($B1690,'D7 - NDB Impacted SPRF''s'!$E$6:$O$9929,6,FALSE)</f>
        <v>DIANE KOWAL</v>
      </c>
      <c r="AG1690" s="282"/>
      <c r="AH1690" s="311" t="e">
        <f>INDEX('D5 - Gatekeeper - Projects'!$A$4:$AF$1010,$AM1690, 17)</f>
        <v>#N/A</v>
      </c>
      <c r="AI1690" s="8"/>
      <c r="AJ1690" s="57"/>
      <c r="AK1690" s="105"/>
      <c r="AM1690" s="6" t="e">
        <f>MATCH(D1690,'D5 - Gatekeeper - Projects'!$C$4:$C$1010,0)</f>
        <v>#N/A</v>
      </c>
      <c r="AN1690" s="6" t="b">
        <f t="shared" si="185"/>
        <v>1</v>
      </c>
      <c r="AO1690" s="6" t="str">
        <f t="shared" si="187"/>
        <v>OK</v>
      </c>
      <c r="AQ1690" s="6" t="e">
        <f>MATCH($D1690,'D4 - Provider Council Unsched'!$C$11:$C$234,0)</f>
        <v>#N/A</v>
      </c>
      <c r="AR1690" s="6" t="b">
        <f t="shared" si="186"/>
        <v>1</v>
      </c>
      <c r="AS1690" s="6" t="str">
        <f t="shared" si="184"/>
        <v>OK</v>
      </c>
      <c r="AU1690" s="202">
        <v>40680</v>
      </c>
      <c r="AV1690" s="262" t="s">
        <v>2309</v>
      </c>
      <c r="AW1690" s="274"/>
    </row>
    <row r="1691" spans="1:49" s="13" customFormat="1" ht="33.75" x14ac:dyDescent="0.2">
      <c r="A1691" s="14">
        <v>1667</v>
      </c>
      <c r="B1691" s="8">
        <v>400042688</v>
      </c>
      <c r="C1691" s="8" t="s">
        <v>7290</v>
      </c>
      <c r="D1691" s="4" t="str">
        <f t="shared" si="183"/>
        <v>400042688B</v>
      </c>
      <c r="E1691" s="309" t="str">
        <f>VLOOKUP($B1691,'D7 - NDB Impacted SPRF''s'!$E$6:$O$9929,2,FALSE)</f>
        <v>EeS Full Family Functionality</v>
      </c>
      <c r="F1691" s="8"/>
      <c r="G1691" s="8" t="s">
        <v>4758</v>
      </c>
      <c r="H1691" s="8" t="s">
        <v>4246</v>
      </c>
      <c r="I1691" s="20">
        <v>0.49</v>
      </c>
      <c r="J1691" s="8" t="s">
        <v>4862</v>
      </c>
      <c r="K1691" s="182">
        <v>41041</v>
      </c>
      <c r="L1691" s="8" t="s">
        <v>4156</v>
      </c>
      <c r="M1691" s="8" t="s">
        <v>5626</v>
      </c>
      <c r="N1691" s="38" t="s">
        <v>2206</v>
      </c>
      <c r="O1691" s="8"/>
      <c r="P1691" s="4" t="str">
        <f>VLOOKUP($B1691,'D7 - NDB Impacted SPRF''s'!$E$16:$O$9929,9,FALSE)</f>
        <v>N</v>
      </c>
      <c r="Q1691" s="4" t="str">
        <f>VLOOKUP($B1691,'D7 - NDB Impacted SPRF''s'!$E$16:$O$9929,10,FALSE)</f>
        <v>N</v>
      </c>
      <c r="R1691" s="4" t="str">
        <f>VLOOKUP($B1691,'D7 - NDB Impacted SPRF''s'!$E$16:$O$9929,11,FALSE)</f>
        <v>N</v>
      </c>
      <c r="S1691" s="8"/>
      <c r="T1691" s="310"/>
      <c r="U1691" s="310"/>
      <c r="V1691" s="4"/>
      <c r="W1691" s="4"/>
      <c r="X1691" s="4"/>
      <c r="Y1691" s="4"/>
      <c r="Z1691" s="4"/>
      <c r="AA1691" s="4"/>
      <c r="AB1691" s="380" t="str">
        <f>VLOOKUP($B1691,'D7 - NDB Impacted SPRF''s'!$E$6:$O$9929,4,FALSE)</f>
        <v>Scheduled</v>
      </c>
      <c r="AC1691" s="380" t="s">
        <v>5324</v>
      </c>
      <c r="AD1691" s="380" t="str">
        <f>VLOOKUP($B1691,'D7 - NDB Impacted SPRF''s'!$E$6:$O$9929,5,FALSE)</f>
        <v>Process Improvement</v>
      </c>
      <c r="AE1691" s="380" t="str">
        <f>VLOOKUP($B1691,'D7 - NDB Impacted SPRF''s'!$E$6:$O$9929,7,FALSE)</f>
        <v>Cathy Ball</v>
      </c>
      <c r="AF1691" s="380" t="str">
        <f>VLOOKUP($B1691,'D7 - NDB Impacted SPRF''s'!$E$6:$O$9929,6,FALSE)</f>
        <v>SARAH HAROLD</v>
      </c>
      <c r="AG1691" s="282"/>
      <c r="AH1691" s="311" t="e">
        <f>INDEX('D5 - Gatekeeper - Projects'!$A$4:$AF$1010,$AM1691, 17)</f>
        <v>#N/A</v>
      </c>
      <c r="AI1691" s="8"/>
      <c r="AJ1691" s="57"/>
      <c r="AK1691" s="105"/>
      <c r="AM1691" s="6" t="e">
        <f>MATCH(D1691,'D5 - Gatekeeper - Projects'!$C$4:$C$1010,0)</f>
        <v>#N/A</v>
      </c>
      <c r="AN1691" s="6" t="b">
        <f t="shared" si="185"/>
        <v>1</v>
      </c>
      <c r="AO1691" s="6" t="str">
        <f t="shared" si="187"/>
        <v>OK</v>
      </c>
      <c r="AQ1691" s="6" t="e">
        <f>MATCH($D1691,'D4 - Provider Council Unsched'!$C$11:$C$234,0)</f>
        <v>#N/A</v>
      </c>
      <c r="AR1691" s="6" t="b">
        <f t="shared" si="186"/>
        <v>1</v>
      </c>
      <c r="AS1691" s="6" t="str">
        <f t="shared" si="184"/>
        <v>OK</v>
      </c>
      <c r="AU1691" s="202">
        <v>40931</v>
      </c>
      <c r="AV1691" s="262" t="s">
        <v>1038</v>
      </c>
      <c r="AW1691" s="274"/>
    </row>
    <row r="1692" spans="1:49" s="13" customFormat="1" ht="33.75" x14ac:dyDescent="0.2">
      <c r="A1692" s="14">
        <v>1668</v>
      </c>
      <c r="B1692" s="8">
        <v>400043123</v>
      </c>
      <c r="C1692" s="8" t="s">
        <v>7290</v>
      </c>
      <c r="D1692" s="4" t="str">
        <f t="shared" si="183"/>
        <v>400043123B</v>
      </c>
      <c r="E1692" s="309" t="str">
        <f>VLOOKUP($B1692,'D7 - NDB Impacted SPRF''s'!$E$6:$O$9929,2,FALSE)</f>
        <v>ER/HBP OON Fee schedule</v>
      </c>
      <c r="F1692" s="8"/>
      <c r="G1692" s="8" t="s">
        <v>4758</v>
      </c>
      <c r="H1692" s="8" t="s">
        <v>4246</v>
      </c>
      <c r="I1692" s="20">
        <v>5.29</v>
      </c>
      <c r="J1692" s="8" t="s">
        <v>4862</v>
      </c>
      <c r="K1692" s="182">
        <v>41041</v>
      </c>
      <c r="L1692" s="8" t="s">
        <v>4156</v>
      </c>
      <c r="M1692" s="8" t="s">
        <v>2814</v>
      </c>
      <c r="N1692" s="38" t="s">
        <v>1143</v>
      </c>
      <c r="O1692" s="8"/>
      <c r="P1692" s="4" t="str">
        <f>VLOOKUP($B1692,'D7 - NDB Impacted SPRF''s'!$E$16:$O$9929,9,FALSE)</f>
        <v>Y</v>
      </c>
      <c r="Q1692" s="4" t="str">
        <f>VLOOKUP($B1692,'D7 - NDB Impacted SPRF''s'!$E$16:$O$9929,10,FALSE)</f>
        <v>N</v>
      </c>
      <c r="R1692" s="4" t="str">
        <f>VLOOKUP($B1692,'D7 - NDB Impacted SPRF''s'!$E$16:$O$9929,11,FALSE)</f>
        <v>N</v>
      </c>
      <c r="S1692" s="8"/>
      <c r="T1692" s="310"/>
      <c r="U1692" s="310"/>
      <c r="V1692" s="4"/>
      <c r="W1692" s="4"/>
      <c r="X1692" s="4"/>
      <c r="Y1692" s="4"/>
      <c r="Z1692" s="4"/>
      <c r="AA1692" s="4"/>
      <c r="AB1692" s="380" t="str">
        <f>VLOOKUP($B1692,'D7 - NDB Impacted SPRF''s'!$E$6:$O$9929,4,FALSE)</f>
        <v>Completed</v>
      </c>
      <c r="AC1692" s="380" t="str">
        <f>VLOOKUP($B1692,'D7 - NDB Impacted SPRF''s'!$E$6:$O$9929,3,FALSE)</f>
        <v>UnitedHealthcare Employer &amp; Individual</v>
      </c>
      <c r="AD1692" s="380" t="str">
        <f>VLOOKUP($B1692,'D7 - NDB Impacted SPRF''s'!$E$6:$O$9929,5,FALSE)</f>
        <v>Medical Cost Savings Programs</v>
      </c>
      <c r="AE1692" s="380" t="str">
        <f>VLOOKUP($B1692,'D7 - NDB Impacted SPRF''s'!$E$6:$O$9929,7,FALSE)</f>
        <v xml:space="preserve">Molly Knorr </v>
      </c>
      <c r="AF1692" s="380" t="str">
        <f>VLOOKUP($B1692,'D7 - NDB Impacted SPRF''s'!$E$6:$O$9929,6,FALSE)</f>
        <v>LARSON CAROLYN</v>
      </c>
      <c r="AG1692" s="282"/>
      <c r="AH1692" s="311" t="e">
        <f>INDEX('D5 - Gatekeeper - Projects'!$A$4:$AF$1010,$AM1692, 17)</f>
        <v>#N/A</v>
      </c>
      <c r="AI1692" s="8"/>
      <c r="AJ1692" s="57"/>
      <c r="AK1692" s="105"/>
      <c r="AM1692" s="6" t="e">
        <f>MATCH(D1692,'D5 - Gatekeeper - Projects'!$C$4:$C$1010,0)</f>
        <v>#N/A</v>
      </c>
      <c r="AN1692" s="6" t="b">
        <f t="shared" si="185"/>
        <v>1</v>
      </c>
      <c r="AO1692" s="6" t="str">
        <f t="shared" si="187"/>
        <v>OK</v>
      </c>
      <c r="AQ1692" s="6" t="e">
        <f>MATCH($D1692,'D4 - Provider Council Unsched'!$C$11:$C$234,0)</f>
        <v>#N/A</v>
      </c>
      <c r="AR1692" s="6" t="b">
        <f t="shared" si="186"/>
        <v>1</v>
      </c>
      <c r="AS1692" s="6" t="str">
        <f t="shared" si="184"/>
        <v>OK</v>
      </c>
      <c r="AU1692" s="202">
        <v>40816</v>
      </c>
      <c r="AV1692" s="262" t="s">
        <v>1083</v>
      </c>
      <c r="AW1692" s="274">
        <v>47133</v>
      </c>
    </row>
    <row r="1693" spans="1:49" s="13" customFormat="1" ht="33.75" x14ac:dyDescent="0.2">
      <c r="A1693" s="14">
        <v>1669</v>
      </c>
      <c r="B1693" s="8">
        <v>400043969</v>
      </c>
      <c r="C1693" s="8" t="s">
        <v>1447</v>
      </c>
      <c r="D1693" s="4" t="str">
        <f t="shared" si="183"/>
        <v>400043969A</v>
      </c>
      <c r="E1693" s="309" t="str">
        <f>VLOOKUP($B1693,'D7 - NDB Impacted SPRF''s'!$E$6:$O$9929,2,FALSE)</f>
        <v>SSN Randomization project - Eligibility sytems</v>
      </c>
      <c r="F1693" s="8"/>
      <c r="G1693" s="8" t="s">
        <v>4758</v>
      </c>
      <c r="H1693" s="8" t="s">
        <v>4246</v>
      </c>
      <c r="I1693" s="20">
        <v>4.92</v>
      </c>
      <c r="J1693" s="8" t="s">
        <v>4862</v>
      </c>
      <c r="K1693" s="182">
        <v>41041</v>
      </c>
      <c r="L1693" s="8" t="s">
        <v>4156</v>
      </c>
      <c r="M1693" s="8" t="s">
        <v>2814</v>
      </c>
      <c r="N1693" s="38" t="s">
        <v>1141</v>
      </c>
      <c r="O1693" s="8"/>
      <c r="P1693" s="4" t="str">
        <f>VLOOKUP($B1693,'D7 - NDB Impacted SPRF''s'!$E$16:$O$9929,9,FALSE)</f>
        <v>Y</v>
      </c>
      <c r="Q1693" s="4" t="str">
        <f>VLOOKUP($B1693,'D7 - NDB Impacted SPRF''s'!$E$16:$O$9929,10,FALSE)</f>
        <v>N</v>
      </c>
      <c r="R1693" s="4" t="str">
        <f>VLOOKUP($B1693,'D7 - NDB Impacted SPRF''s'!$E$16:$O$9929,11,FALSE)</f>
        <v>N</v>
      </c>
      <c r="S1693" s="8"/>
      <c r="T1693" s="310"/>
      <c r="U1693" s="310"/>
      <c r="V1693" s="4"/>
      <c r="W1693" s="4"/>
      <c r="X1693" s="4"/>
      <c r="Y1693" s="4"/>
      <c r="Z1693" s="4"/>
      <c r="AA1693" s="4"/>
      <c r="AB1693" s="380" t="str">
        <f>VLOOKUP($B1693,'D7 - NDB Impacted SPRF''s'!$E$6:$O$9929,4,FALSE)</f>
        <v>Completed</v>
      </c>
      <c r="AC1693" s="380" t="str">
        <f>VLOOKUP($B1693,'D7 - NDB Impacted SPRF''s'!$E$6:$O$9929,3,FALSE)</f>
        <v>UnitedHealthcare Employer &amp; Individual</v>
      </c>
      <c r="AD1693" s="380" t="str">
        <f>VLOOKUP($B1693,'D7 - NDB Impacted SPRF''s'!$E$6:$O$9929,5,FALSE)</f>
        <v>Regulatory / Other</v>
      </c>
      <c r="AE1693" s="380" t="str">
        <f>VLOOKUP($B1693,'D7 - NDB Impacted SPRF''s'!$E$6:$O$9929,7,FALSE)</f>
        <v>Rick Marsh</v>
      </c>
      <c r="AF1693" s="380" t="str">
        <f>VLOOKUP($B1693,'D7 - NDB Impacted SPRF''s'!$E$6:$O$9929,6,FALSE)</f>
        <v>STEVEN OHME</v>
      </c>
      <c r="AG1693" s="282"/>
      <c r="AH1693" s="311" t="e">
        <f>INDEX('D5 - Gatekeeper - Projects'!$A$4:$AF$1010,$AM1693, 17)</f>
        <v>#N/A</v>
      </c>
      <c r="AI1693" s="8"/>
      <c r="AJ1693" s="57"/>
      <c r="AK1693" s="105"/>
      <c r="AM1693" s="6" t="e">
        <f>MATCH(D1693,'D5 - Gatekeeper - Projects'!$C$4:$C$1010,0)</f>
        <v>#N/A</v>
      </c>
      <c r="AN1693" s="6" t="b">
        <f t="shared" si="185"/>
        <v>1</v>
      </c>
      <c r="AO1693" s="6" t="str">
        <f t="shared" si="187"/>
        <v>OK</v>
      </c>
      <c r="AQ1693" s="6" t="e">
        <f>MATCH($D1693,'D4 - Provider Council Unsched'!$C$11:$C$234,0)</f>
        <v>#N/A</v>
      </c>
      <c r="AR1693" s="6" t="b">
        <f t="shared" si="186"/>
        <v>1</v>
      </c>
      <c r="AS1693" s="6" t="str">
        <f t="shared" si="184"/>
        <v>OK</v>
      </c>
      <c r="AU1693" s="202">
        <v>40870</v>
      </c>
      <c r="AV1693" s="262" t="s">
        <v>1084</v>
      </c>
      <c r="AW1693" s="274"/>
    </row>
    <row r="1694" spans="1:49" s="13" customFormat="1" ht="33.75" x14ac:dyDescent="0.2">
      <c r="A1694" s="14">
        <v>1670</v>
      </c>
      <c r="B1694" s="8">
        <v>400044570</v>
      </c>
      <c r="C1694" s="8" t="s">
        <v>1447</v>
      </c>
      <c r="D1694" s="4" t="str">
        <f t="shared" si="183"/>
        <v>400044570A</v>
      </c>
      <c r="E1694" s="309" t="str">
        <f>VLOOKUP($B1694,'D7 - NDB Impacted SPRF''s'!$E$6:$O$9929,2,FALSE)</f>
        <v>iCES Clearinghouse May 2012 Maintenance Release</v>
      </c>
      <c r="F1694" s="8"/>
      <c r="G1694" s="8" t="s">
        <v>4758</v>
      </c>
      <c r="H1694" s="8" t="s">
        <v>4246</v>
      </c>
      <c r="I1694" s="20">
        <v>0.17</v>
      </c>
      <c r="J1694" s="8" t="s">
        <v>4862</v>
      </c>
      <c r="K1694" s="182">
        <v>41041</v>
      </c>
      <c r="L1694" s="8" t="s">
        <v>4156</v>
      </c>
      <c r="M1694" s="8" t="s">
        <v>5626</v>
      </c>
      <c r="N1694" s="38"/>
      <c r="O1694" s="8"/>
      <c r="P1694" s="4" t="str">
        <f>VLOOKUP($B1694,'D7 - NDB Impacted SPRF''s'!$E$16:$O$9929,9,FALSE)</f>
        <v>Y</v>
      </c>
      <c r="Q1694" s="4" t="str">
        <f>VLOOKUP($B1694,'D7 - NDB Impacted SPRF''s'!$E$16:$O$9929,10,FALSE)</f>
        <v>N</v>
      </c>
      <c r="R1694" s="4" t="str">
        <f>VLOOKUP($B1694,'D7 - NDB Impacted SPRF''s'!$E$16:$O$9929,11,FALSE)</f>
        <v>N</v>
      </c>
      <c r="S1694" s="8"/>
      <c r="T1694" s="310"/>
      <c r="U1694" s="310"/>
      <c r="V1694" s="4"/>
      <c r="W1694" s="4"/>
      <c r="X1694" s="4"/>
      <c r="Y1694" s="4"/>
      <c r="Z1694" s="4"/>
      <c r="AA1694" s="4"/>
      <c r="AB1694" s="380" t="str">
        <f>VLOOKUP($B1694,'D7 - NDB Impacted SPRF''s'!$E$6:$O$9929,4,FALSE)</f>
        <v>Completed</v>
      </c>
      <c r="AC1694" s="380" t="str">
        <f>VLOOKUP($B1694,'D7 - NDB Impacted SPRF''s'!$E$6:$O$9929,3,FALSE)</f>
        <v>UnitedHealthcare Employer &amp; Individual</v>
      </c>
      <c r="AD1694" s="380" t="str">
        <f>VLOOKUP($B1694,'D7 - NDB Impacted SPRF''s'!$E$6:$O$9929,5,FALSE)</f>
        <v>Operational Requirements</v>
      </c>
      <c r="AE1694" s="380" t="str">
        <f>VLOOKUP($B1694,'D7 - NDB Impacted SPRF''s'!$E$6:$O$9929,7,FALSE)</f>
        <v>Kathy Learst</v>
      </c>
      <c r="AF1694" s="380" t="str">
        <f>VLOOKUP($B1694,'D7 - NDB Impacted SPRF''s'!$E$6:$O$9929,6,FALSE)</f>
        <v>DAWN BOLLER</v>
      </c>
      <c r="AG1694" s="282"/>
      <c r="AH1694" s="311" t="e">
        <f>INDEX('D5 - Gatekeeper - Projects'!$A$4:$AF$1010,$AM1694, 17)</f>
        <v>#N/A</v>
      </c>
      <c r="AI1694" s="8"/>
      <c r="AJ1694" s="57"/>
      <c r="AK1694" s="105"/>
      <c r="AM1694" s="6" t="e">
        <f>MATCH(D1694,'D5 - Gatekeeper - Projects'!$C$4:$C$1010,0)</f>
        <v>#N/A</v>
      </c>
      <c r="AN1694" s="6" t="b">
        <f t="shared" si="185"/>
        <v>1</v>
      </c>
      <c r="AO1694" s="6" t="str">
        <f t="shared" si="187"/>
        <v>OK</v>
      </c>
      <c r="AQ1694" s="6" t="e">
        <f>MATCH($D1694,'D4 - Provider Council Unsched'!$C$11:$C$234,0)</f>
        <v>#N/A</v>
      </c>
      <c r="AR1694" s="6" t="b">
        <f t="shared" si="186"/>
        <v>1</v>
      </c>
      <c r="AS1694" s="6" t="str">
        <f t="shared" si="184"/>
        <v>OK</v>
      </c>
      <c r="AU1694" s="202"/>
      <c r="AV1694" s="262" t="s">
        <v>2303</v>
      </c>
      <c r="AW1694" s="274">
        <v>48413</v>
      </c>
    </row>
    <row r="1695" spans="1:49" s="13" customFormat="1" ht="22.5" x14ac:dyDescent="0.2">
      <c r="A1695" s="14">
        <v>1671</v>
      </c>
      <c r="B1695" s="8">
        <v>400044585</v>
      </c>
      <c r="C1695" s="8" t="s">
        <v>1447</v>
      </c>
      <c r="D1695" s="4" t="str">
        <f t="shared" si="183"/>
        <v>400044585A</v>
      </c>
      <c r="E1695" s="309" t="str">
        <f>VLOOKUP($B1695,'D7 - NDB Impacted SPRF''s'!$E$6:$O$9929,2,FALSE)</f>
        <v>ICUE Q2 2012</v>
      </c>
      <c r="F1695" s="8"/>
      <c r="G1695" s="8" t="s">
        <v>4758</v>
      </c>
      <c r="H1695" s="8" t="s">
        <v>4246</v>
      </c>
      <c r="I1695" s="20">
        <v>0.41</v>
      </c>
      <c r="J1695" s="8" t="s">
        <v>4862</v>
      </c>
      <c r="K1695" s="182">
        <v>41041</v>
      </c>
      <c r="L1695" s="8" t="s">
        <v>4156</v>
      </c>
      <c r="M1695" s="8" t="s">
        <v>5626</v>
      </c>
      <c r="N1695" s="38" t="s">
        <v>1374</v>
      </c>
      <c r="O1695" s="8"/>
      <c r="P1695" s="4" t="str">
        <f>VLOOKUP($B1695,'D7 - NDB Impacted SPRF''s'!$E$16:$O$9929,9,FALSE)</f>
        <v>Y</v>
      </c>
      <c r="Q1695" s="4" t="str">
        <f>VLOOKUP($B1695,'D7 - NDB Impacted SPRF''s'!$E$16:$O$9929,10,FALSE)</f>
        <v>N</v>
      </c>
      <c r="R1695" s="4" t="str">
        <f>VLOOKUP($B1695,'D7 - NDB Impacted SPRF''s'!$E$16:$O$9929,11,FALSE)</f>
        <v>N</v>
      </c>
      <c r="S1695" s="8"/>
      <c r="T1695" s="310"/>
      <c r="U1695" s="310"/>
      <c r="V1695" s="4"/>
      <c r="W1695" s="4"/>
      <c r="X1695" s="4"/>
      <c r="Y1695" s="4"/>
      <c r="Z1695" s="4"/>
      <c r="AA1695" s="4"/>
      <c r="AB1695" s="380" t="str">
        <f>VLOOKUP($B1695,'D7 - NDB Impacted SPRF''s'!$E$6:$O$9929,4,FALSE)</f>
        <v>Completed</v>
      </c>
      <c r="AC1695" s="380" t="str">
        <f>VLOOKUP($B1695,'D7 - NDB Impacted SPRF''s'!$E$6:$O$9929,3,FALSE)</f>
        <v>OptumHealth</v>
      </c>
      <c r="AD1695" s="380" t="str">
        <f>VLOOKUP($B1695,'D7 - NDB Impacted SPRF''s'!$E$6:$O$9929,5,FALSE)</f>
        <v>OptumHealth Care Solutions</v>
      </c>
      <c r="AE1695" s="380" t="str">
        <f>VLOOKUP($B1695,'D7 - NDB Impacted SPRF''s'!$E$6:$O$9929,7,FALSE)</f>
        <v>Ellen Koch</v>
      </c>
      <c r="AF1695" s="380" t="str">
        <f>VLOOKUP($B1695,'D7 - NDB Impacted SPRF''s'!$E$6:$O$9929,6,FALSE)</f>
        <v>Carol Buske</v>
      </c>
      <c r="AG1695" s="282"/>
      <c r="AH1695" s="311" t="e">
        <f>INDEX('D5 - Gatekeeper - Projects'!$A$4:$AF$1010,$AM1695, 17)</f>
        <v>#N/A</v>
      </c>
      <c r="AI1695" s="8"/>
      <c r="AJ1695" s="57"/>
      <c r="AK1695" s="105"/>
      <c r="AM1695" s="6" t="e">
        <f>MATCH(D1695,'D5 - Gatekeeper - Projects'!$C$4:$C$1010,0)</f>
        <v>#N/A</v>
      </c>
      <c r="AN1695" s="6" t="b">
        <f t="shared" si="185"/>
        <v>1</v>
      </c>
      <c r="AO1695" s="6" t="str">
        <f t="shared" si="187"/>
        <v>OK</v>
      </c>
      <c r="AQ1695" s="6" t="e">
        <f>MATCH($D1695,'D4 - Provider Council Unsched'!$C$11:$C$234,0)</f>
        <v>#N/A</v>
      </c>
      <c r="AR1695" s="6" t="b">
        <f t="shared" si="186"/>
        <v>1</v>
      </c>
      <c r="AS1695" s="6" t="str">
        <f t="shared" si="184"/>
        <v>OK</v>
      </c>
      <c r="AU1695" s="202">
        <v>40816</v>
      </c>
      <c r="AV1695" s="262" t="s">
        <v>1044</v>
      </c>
      <c r="AW1695" s="274">
        <v>45828</v>
      </c>
    </row>
    <row r="1696" spans="1:49" s="13" customFormat="1" ht="67.5" x14ac:dyDescent="0.2">
      <c r="A1696" s="14">
        <v>1672</v>
      </c>
      <c r="B1696" s="8">
        <v>400044674</v>
      </c>
      <c r="C1696" s="8" t="s">
        <v>1447</v>
      </c>
      <c r="D1696" s="4" t="str">
        <f t="shared" si="183"/>
        <v>400044674A</v>
      </c>
      <c r="E1696" s="309" t="str">
        <f>VLOOKUP($B1696,'D7 - NDB Impacted SPRF''s'!$E$6:$O$9929,2,FALSE)</f>
        <v>RSASL - Navigate PCP Patient Roster Report</v>
      </c>
      <c r="F1696" s="8"/>
      <c r="G1696" s="8" t="s">
        <v>4758</v>
      </c>
      <c r="H1696" s="8" t="s">
        <v>4246</v>
      </c>
      <c r="I1696" s="20">
        <v>0.56999999999999995</v>
      </c>
      <c r="J1696" s="8" t="s">
        <v>4862</v>
      </c>
      <c r="K1696" s="182">
        <v>41041</v>
      </c>
      <c r="L1696" s="8" t="s">
        <v>4156</v>
      </c>
      <c r="M1696" s="8" t="s">
        <v>5626</v>
      </c>
      <c r="N1696" s="38" t="s">
        <v>163</v>
      </c>
      <c r="O1696" s="8"/>
      <c r="P1696" s="4" t="str">
        <f>VLOOKUP($B1696,'D7 - NDB Impacted SPRF''s'!$E$16:$O$9929,9,FALSE)</f>
        <v>N</v>
      </c>
      <c r="Q1696" s="4" t="str">
        <f>VLOOKUP($B1696,'D7 - NDB Impacted SPRF''s'!$E$16:$O$9929,10,FALSE)</f>
        <v>N</v>
      </c>
      <c r="R1696" s="4" t="str">
        <f>VLOOKUP($B1696,'D7 - NDB Impacted SPRF''s'!$E$16:$O$9929,11,FALSE)</f>
        <v>N</v>
      </c>
      <c r="S1696" s="8"/>
      <c r="T1696" s="310"/>
      <c r="U1696" s="310"/>
      <c r="V1696" s="4"/>
      <c r="W1696" s="4"/>
      <c r="X1696" s="4"/>
      <c r="Y1696" s="4"/>
      <c r="Z1696" s="4"/>
      <c r="AA1696" s="4"/>
      <c r="AB1696" s="380" t="str">
        <f>VLOOKUP($B1696,'D7 - NDB Impacted SPRF''s'!$E$6:$O$9929,4,FALSE)</f>
        <v>Completed</v>
      </c>
      <c r="AC1696" s="380" t="str">
        <f>VLOOKUP($B1696,'D7 - NDB Impacted SPRF''s'!$E$6:$O$9929,3,FALSE)</f>
        <v>UnitedHealthcare Employer &amp; Individual</v>
      </c>
      <c r="AD1696" s="380" t="str">
        <f>VLOOKUP($B1696,'D7 - NDB Impacted SPRF''s'!$E$6:$O$9929,5,FALSE)</f>
        <v>Membership Growth / Revenue Programs</v>
      </c>
      <c r="AE1696" s="380" t="str">
        <f>VLOOKUP($B1696,'D7 - NDB Impacted SPRF''s'!$E$6:$O$9929,7,FALSE)</f>
        <v>Denise Mount</v>
      </c>
      <c r="AF1696" s="380" t="str">
        <f>VLOOKUP($B1696,'D7 - NDB Impacted SPRF''s'!$E$6:$O$9929,6,FALSE)</f>
        <v>Joan Roby</v>
      </c>
      <c r="AG1696" s="282"/>
      <c r="AH1696" s="311" t="e">
        <f>INDEX('D5 - Gatekeeper - Projects'!$A$4:$AF$1010,$AM1696, 17)</f>
        <v>#N/A</v>
      </c>
      <c r="AI1696" s="8"/>
      <c r="AJ1696" s="57"/>
      <c r="AK1696" s="105"/>
      <c r="AM1696" s="6" t="e">
        <f>MATCH(D1696,'D5 - Gatekeeper - Projects'!$C$4:$C$1010,0)</f>
        <v>#N/A</v>
      </c>
      <c r="AN1696" s="6" t="b">
        <f t="shared" si="185"/>
        <v>1</v>
      </c>
      <c r="AO1696" s="6" t="str">
        <f t="shared" si="187"/>
        <v>OK</v>
      </c>
      <c r="AQ1696" s="6" t="e">
        <f>MATCH($D1696,'D4 - Provider Council Unsched'!$C$11:$C$234,0)</f>
        <v>#N/A</v>
      </c>
      <c r="AR1696" s="6" t="b">
        <f t="shared" si="186"/>
        <v>1</v>
      </c>
      <c r="AS1696" s="6" t="str">
        <f t="shared" si="184"/>
        <v>OK</v>
      </c>
      <c r="AU1696" s="202">
        <v>40816</v>
      </c>
      <c r="AV1696" s="262" t="s">
        <v>1085</v>
      </c>
      <c r="AW1696" s="274">
        <v>41252</v>
      </c>
    </row>
    <row r="1697" spans="1:49" s="13" customFormat="1" ht="33.75" x14ac:dyDescent="0.2">
      <c r="A1697" s="14">
        <v>1673</v>
      </c>
      <c r="B1697" s="8">
        <v>400045320</v>
      </c>
      <c r="C1697" s="8" t="s">
        <v>7292</v>
      </c>
      <c r="D1697" s="4" t="str">
        <f t="shared" si="183"/>
        <v>400045320C</v>
      </c>
      <c r="E1697" s="309" t="str">
        <f>VLOOKUP($B1697,'D7 - NDB Impacted SPRF''s'!$E$6:$O$9929,2,FALSE)</f>
        <v>Transparency 1/1 Release</v>
      </c>
      <c r="F1697" s="8"/>
      <c r="G1697" s="8" t="s">
        <v>4758</v>
      </c>
      <c r="H1697" s="8" t="s">
        <v>4246</v>
      </c>
      <c r="I1697" s="20">
        <v>3.4</v>
      </c>
      <c r="J1697" s="8" t="s">
        <v>4862</v>
      </c>
      <c r="K1697" s="182">
        <v>41041</v>
      </c>
      <c r="L1697" s="8" t="s">
        <v>4156</v>
      </c>
      <c r="M1697" s="8" t="s">
        <v>2814</v>
      </c>
      <c r="N1697" s="38" t="s">
        <v>687</v>
      </c>
      <c r="O1697" s="8"/>
      <c r="P1697" s="4" t="str">
        <f>VLOOKUP($B1697,'D7 - NDB Impacted SPRF''s'!$E$16:$O$9929,9,FALSE)</f>
        <v>Y</v>
      </c>
      <c r="Q1697" s="4" t="str">
        <f>VLOOKUP($B1697,'D7 - NDB Impacted SPRF''s'!$E$16:$O$9929,10,FALSE)</f>
        <v>N</v>
      </c>
      <c r="R1697" s="4" t="str">
        <f>VLOOKUP($B1697,'D7 - NDB Impacted SPRF''s'!$E$16:$O$9929,11,FALSE)</f>
        <v>N</v>
      </c>
      <c r="S1697" s="8"/>
      <c r="T1697" s="310"/>
      <c r="U1697" s="310"/>
      <c r="V1697" s="4"/>
      <c r="W1697" s="4"/>
      <c r="X1697" s="4"/>
      <c r="Y1697" s="4"/>
      <c r="Z1697" s="4"/>
      <c r="AA1697" s="4"/>
      <c r="AB1697" s="380" t="str">
        <f>VLOOKUP($B1697,'D7 - NDB Impacted SPRF''s'!$E$6:$O$9929,4,FALSE)</f>
        <v>Completed</v>
      </c>
      <c r="AC1697" s="380" t="str">
        <f>VLOOKUP($B1697,'D7 - NDB Impacted SPRF''s'!$E$6:$O$9929,3,FALSE)</f>
        <v>UnitedHealthcare Employer &amp; Individual</v>
      </c>
      <c r="AD1697" s="380" t="str">
        <f>VLOOKUP($B1697,'D7 - NDB Impacted SPRF''s'!$E$6:$O$9929,5,FALSE)</f>
        <v>Membership Growth / Revenue Programs</v>
      </c>
      <c r="AE1697" s="380" t="str">
        <f>VLOOKUP($B1697,'D7 - NDB Impacted SPRF''s'!$E$6:$O$9929,7,FALSE)</f>
        <v>Tory Bogatyrenko</v>
      </c>
      <c r="AF1697" s="380" t="str">
        <f>VLOOKUP($B1697,'D7 - NDB Impacted SPRF''s'!$E$6:$O$9929,6,FALSE)</f>
        <v>Joan Roby</v>
      </c>
      <c r="AG1697" s="282"/>
      <c r="AH1697" s="311" t="e">
        <f>INDEX('D5 - Gatekeeper - Projects'!$A$4:$AF$1010,$AM1697, 17)</f>
        <v>#N/A</v>
      </c>
      <c r="AI1697" s="8"/>
      <c r="AJ1697" s="57"/>
      <c r="AK1697" s="105"/>
      <c r="AM1697" s="6" t="e">
        <f>MATCH(D1697,'D5 - Gatekeeper - Projects'!$C$4:$C$1010,0)</f>
        <v>#N/A</v>
      </c>
      <c r="AN1697" s="6" t="b">
        <f t="shared" si="185"/>
        <v>1</v>
      </c>
      <c r="AO1697" s="6" t="str">
        <f t="shared" si="187"/>
        <v>OK</v>
      </c>
      <c r="AQ1697" s="6" t="e">
        <f>MATCH($D1697,'D4 - Provider Council Unsched'!$C$11:$C$234,0)</f>
        <v>#N/A</v>
      </c>
      <c r="AR1697" s="6" t="b">
        <f t="shared" si="186"/>
        <v>1</v>
      </c>
      <c r="AS1697" s="6" t="str">
        <f t="shared" si="184"/>
        <v>OK</v>
      </c>
      <c r="AU1697" s="202">
        <v>40931</v>
      </c>
      <c r="AV1697" s="262" t="s">
        <v>2751</v>
      </c>
      <c r="AW1697" s="274">
        <v>56345</v>
      </c>
    </row>
    <row r="1698" spans="1:49" s="13" customFormat="1" ht="78.75" x14ac:dyDescent="0.2">
      <c r="A1698" s="14">
        <v>1674</v>
      </c>
      <c r="B1698" s="8">
        <v>400046103</v>
      </c>
      <c r="C1698" s="8" t="s">
        <v>1447</v>
      </c>
      <c r="D1698" s="4" t="str">
        <f t="shared" si="183"/>
        <v>400046103A</v>
      </c>
      <c r="E1698" s="309" t="str">
        <f>VLOOKUP($B1698,'D7 - NDB Impacted SPRF''s'!$E$6:$O$9929,2,FALSE)</f>
        <v>WA Implementation</v>
      </c>
      <c r="F1698" s="8"/>
      <c r="G1698" s="8" t="s">
        <v>4758</v>
      </c>
      <c r="H1698" s="8" t="s">
        <v>4246</v>
      </c>
      <c r="I1698" s="20">
        <v>5.2</v>
      </c>
      <c r="J1698" s="8" t="s">
        <v>4862</v>
      </c>
      <c r="K1698" s="182">
        <v>41041</v>
      </c>
      <c r="L1698" s="8" t="s">
        <v>4156</v>
      </c>
      <c r="M1698" s="8" t="s">
        <v>2814</v>
      </c>
      <c r="N1698" s="38" t="s">
        <v>1732</v>
      </c>
      <c r="O1698" s="8"/>
      <c r="P1698" s="4" t="str">
        <f>VLOOKUP($B1698,'D7 - NDB Impacted SPRF''s'!$E$16:$O$9929,9,FALSE)</f>
        <v>N</v>
      </c>
      <c r="Q1698" s="4" t="str">
        <f>VLOOKUP($B1698,'D7 - NDB Impacted SPRF''s'!$E$16:$O$9929,10,FALSE)</f>
        <v>N</v>
      </c>
      <c r="R1698" s="4" t="str">
        <f>VLOOKUP($B1698,'D7 - NDB Impacted SPRF''s'!$E$16:$O$9929,11,FALSE)</f>
        <v>Y</v>
      </c>
      <c r="S1698" s="8"/>
      <c r="T1698" s="310"/>
      <c r="U1698" s="310"/>
      <c r="V1698" s="4"/>
      <c r="W1698" s="4"/>
      <c r="X1698" s="4"/>
      <c r="Y1698" s="4"/>
      <c r="Z1698" s="4"/>
      <c r="AA1698" s="4"/>
      <c r="AB1698" s="380" t="str">
        <f>VLOOKUP($B1698,'D7 - NDB Impacted SPRF''s'!$E$6:$O$9929,4,FALSE)</f>
        <v>Scheduled</v>
      </c>
      <c r="AC1698" s="380" t="str">
        <f>VLOOKUP($B1698,'D7 - NDB Impacted SPRF''s'!$E$6:$O$9929,3,FALSE)</f>
        <v>UnitedHealthcare Community &amp; State</v>
      </c>
      <c r="AD1698" s="380" t="str">
        <f>VLOOKUP($B1698,'D7 - NDB Impacted SPRF''s'!$E$6:$O$9929,5,FALSE)</f>
        <v>Membership Growth / Revenue Programs</v>
      </c>
      <c r="AE1698" s="380" t="str">
        <f>VLOOKUP($B1698,'D7 - NDB Impacted SPRF''s'!$E$6:$O$9929,7,FALSE)</f>
        <v>Bill Hagan</v>
      </c>
      <c r="AF1698" s="380" t="str">
        <f>VLOOKUP($B1698,'D7 - NDB Impacted SPRF''s'!$E$6:$O$9929,6,FALSE)</f>
        <v>KELLY LEONARD</v>
      </c>
      <c r="AG1698" s="282"/>
      <c r="AH1698" s="311" t="e">
        <f>INDEX('D5 - Gatekeeper - Projects'!$A$4:$AF$1010,$AM1698, 17)</f>
        <v>#N/A</v>
      </c>
      <c r="AI1698" s="8"/>
      <c r="AJ1698" s="57"/>
      <c r="AK1698" s="105"/>
      <c r="AM1698" s="6" t="e">
        <f>MATCH(D1698,'D5 - Gatekeeper - Projects'!$C$4:$C$1010,0)</f>
        <v>#N/A</v>
      </c>
      <c r="AN1698" s="6" t="b">
        <f t="shared" si="185"/>
        <v>1</v>
      </c>
      <c r="AO1698" s="6" t="str">
        <f t="shared" si="187"/>
        <v>OK</v>
      </c>
      <c r="AQ1698" s="6" t="e">
        <f>MATCH($D1698,'D4 - Provider Council Unsched'!$C$11:$C$234,0)</f>
        <v>#N/A</v>
      </c>
      <c r="AR1698" s="6" t="b">
        <f t="shared" si="186"/>
        <v>1</v>
      </c>
      <c r="AS1698" s="6" t="str">
        <f t="shared" si="184"/>
        <v>OK</v>
      </c>
      <c r="AU1698" s="202"/>
      <c r="AV1698" s="262" t="s">
        <v>1087</v>
      </c>
      <c r="AW1698" s="274"/>
    </row>
    <row r="1699" spans="1:49" s="13" customFormat="1" ht="33.75" x14ac:dyDescent="0.2">
      <c r="A1699" s="14">
        <v>1675</v>
      </c>
      <c r="B1699" s="8">
        <v>400046205</v>
      </c>
      <c r="C1699" s="8" t="s">
        <v>7290</v>
      </c>
      <c r="D1699" s="4" t="str">
        <f t="shared" si="183"/>
        <v>400046205B</v>
      </c>
      <c r="E1699" s="309" t="str">
        <f>VLOOKUP($B1699,'D7 - NDB Impacted SPRF''s'!$E$6:$O$9929,2,FALSE)</f>
        <v>Lab Benefit Management</v>
      </c>
      <c r="F1699" s="8"/>
      <c r="G1699" s="8" t="s">
        <v>4758</v>
      </c>
      <c r="H1699" s="8" t="s">
        <v>4246</v>
      </c>
      <c r="I1699" s="20">
        <v>0.1</v>
      </c>
      <c r="J1699" s="8" t="s">
        <v>4862</v>
      </c>
      <c r="K1699" s="182">
        <v>41041</v>
      </c>
      <c r="L1699" s="8" t="s">
        <v>4156</v>
      </c>
      <c r="M1699" s="8" t="s">
        <v>6688</v>
      </c>
      <c r="N1699" s="38" t="s">
        <v>205</v>
      </c>
      <c r="O1699" s="8"/>
      <c r="P1699" s="4" t="str">
        <f>VLOOKUP($B1699,'D7 - NDB Impacted SPRF''s'!$E$16:$O$9929,9,FALSE)</f>
        <v>Y</v>
      </c>
      <c r="Q1699" s="4" t="str">
        <f>VLOOKUP($B1699,'D7 - NDB Impacted SPRF''s'!$E$16:$O$9929,10,FALSE)</f>
        <v>N</v>
      </c>
      <c r="R1699" s="4" t="str">
        <f>VLOOKUP($B1699,'D7 - NDB Impacted SPRF''s'!$E$16:$O$9929,11,FALSE)</f>
        <v>Y</v>
      </c>
      <c r="S1699" s="8"/>
      <c r="T1699" s="310"/>
      <c r="U1699" s="310"/>
      <c r="V1699" s="4"/>
      <c r="W1699" s="4"/>
      <c r="X1699" s="4"/>
      <c r="Y1699" s="4"/>
      <c r="Z1699" s="4"/>
      <c r="AA1699" s="4"/>
      <c r="AB1699" s="380" t="str">
        <f>VLOOKUP($B1699,'D7 - NDB Impacted SPRF''s'!$E$6:$O$9929,4,FALSE)</f>
        <v>Completed</v>
      </c>
      <c r="AC1699" s="380" t="str">
        <f>VLOOKUP($B1699,'D7 - NDB Impacted SPRF''s'!$E$6:$O$9929,3,FALSE)</f>
        <v>UnitedHealthcare Employer &amp; Individual</v>
      </c>
      <c r="AD1699" s="380" t="str">
        <f>VLOOKUP($B1699,'D7 - NDB Impacted SPRF''s'!$E$6:$O$9929,5,FALSE)</f>
        <v>Medical Cost Savings Programs</v>
      </c>
      <c r="AE1699" s="380" t="str">
        <f>VLOOKUP($B1699,'D7 - NDB Impacted SPRF''s'!$E$6:$O$9929,7,FALSE)</f>
        <v>Mark T. Allen, Linda Stewart</v>
      </c>
      <c r="AF1699" s="380" t="str">
        <f>VLOOKUP($B1699,'D7 - NDB Impacted SPRF''s'!$E$6:$O$9929,6,FALSE)</f>
        <v>Melanie Lidster</v>
      </c>
      <c r="AG1699" s="282"/>
      <c r="AH1699" s="311" t="e">
        <f>INDEX('D5 - Gatekeeper - Projects'!$A$4:$AF$1010,$AM1699, 17)</f>
        <v>#N/A</v>
      </c>
      <c r="AI1699" s="8"/>
      <c r="AJ1699" s="57"/>
      <c r="AK1699" s="105"/>
      <c r="AM1699" s="6" t="e">
        <f>MATCH(D1699,'D5 - Gatekeeper - Projects'!$C$4:$C$1010,0)</f>
        <v>#N/A</v>
      </c>
      <c r="AN1699" s="6" t="b">
        <f t="shared" si="185"/>
        <v>1</v>
      </c>
      <c r="AO1699" s="6" t="str">
        <f t="shared" si="187"/>
        <v>OK</v>
      </c>
      <c r="AQ1699" s="6" t="e">
        <f>MATCH($D1699,'D4 - Provider Council Unsched'!$C$11:$C$234,0)</f>
        <v>#N/A</v>
      </c>
      <c r="AR1699" s="6" t="b">
        <f t="shared" si="186"/>
        <v>1</v>
      </c>
      <c r="AS1699" s="6" t="str">
        <f t="shared" si="184"/>
        <v>OK</v>
      </c>
      <c r="AU1699" s="202">
        <v>41005</v>
      </c>
      <c r="AV1699" s="262" t="s">
        <v>439</v>
      </c>
      <c r="AW1699" s="274">
        <v>45320</v>
      </c>
    </row>
    <row r="1700" spans="1:49" s="13" customFormat="1" ht="33.75" x14ac:dyDescent="0.2">
      <c r="A1700" s="14">
        <v>1676</v>
      </c>
      <c r="B1700" s="8">
        <v>400046957</v>
      </c>
      <c r="C1700" s="8" t="s">
        <v>1447</v>
      </c>
      <c r="D1700" s="4" t="str">
        <f t="shared" si="183"/>
        <v>400046957A</v>
      </c>
      <c r="E1700" s="309" t="str">
        <f>VLOOKUP($B1700,'D7 - NDB Impacted SPRF''s'!$E$6:$O$9929,2,FALSE)</f>
        <v>Clinical Adoption - PHS to ICUE AO</v>
      </c>
      <c r="F1700" s="8"/>
      <c r="G1700" s="8" t="s">
        <v>4758</v>
      </c>
      <c r="H1700" s="8" t="s">
        <v>4246</v>
      </c>
      <c r="I1700" s="20">
        <v>0.7</v>
      </c>
      <c r="J1700" s="8" t="s">
        <v>4862</v>
      </c>
      <c r="K1700" s="182">
        <v>41041</v>
      </c>
      <c r="L1700" s="8" t="s">
        <v>4156</v>
      </c>
      <c r="M1700" s="8" t="s">
        <v>6688</v>
      </c>
      <c r="N1700" s="38"/>
      <c r="O1700" s="8"/>
      <c r="P1700" s="4" t="str">
        <f>VLOOKUP($B1700,'D7 - NDB Impacted SPRF''s'!$E$16:$O$9929,9,FALSE)</f>
        <v>N</v>
      </c>
      <c r="Q1700" s="4" t="str">
        <f>VLOOKUP($B1700,'D7 - NDB Impacted SPRF''s'!$E$16:$O$9929,10,FALSE)</f>
        <v>N</v>
      </c>
      <c r="R1700" s="4" t="str">
        <f>VLOOKUP($B1700,'D7 - NDB Impacted SPRF''s'!$E$16:$O$9929,11,FALSE)</f>
        <v>N</v>
      </c>
      <c r="S1700" s="8"/>
      <c r="T1700" s="310"/>
      <c r="U1700" s="310"/>
      <c r="V1700" s="4"/>
      <c r="W1700" s="4"/>
      <c r="X1700" s="4"/>
      <c r="Y1700" s="4"/>
      <c r="Z1700" s="4"/>
      <c r="AA1700" s="4"/>
      <c r="AB1700" s="380" t="str">
        <f>VLOOKUP($B1700,'D7 - NDB Impacted SPRF''s'!$E$6:$O$9929,4,FALSE)</f>
        <v>Completed</v>
      </c>
      <c r="AC1700" s="380" t="str">
        <f>VLOOKUP($B1700,'D7 - NDB Impacted SPRF''s'!$E$6:$O$9929,3,FALSE)</f>
        <v>UnitedHealthcare Employer &amp; Individual</v>
      </c>
      <c r="AD1700" s="380" t="str">
        <f>VLOOKUP($B1700,'D7 - NDB Impacted SPRF''s'!$E$6:$O$9929,5,FALSE)</f>
        <v>Medical Cost Savings Programs</v>
      </c>
      <c r="AE1700" s="380" t="str">
        <f>VLOOKUP($B1700,'D7 - NDB Impacted SPRF''s'!$E$6:$O$9929,7,FALSE)</f>
        <v>Sheila Nelson</v>
      </c>
      <c r="AF1700" s="380" t="str">
        <f>VLOOKUP($B1700,'D7 - NDB Impacted SPRF''s'!$E$6:$O$9929,6,FALSE)</f>
        <v>Steve Gudvangen</v>
      </c>
      <c r="AG1700" s="282"/>
      <c r="AH1700" s="311" t="e">
        <f>INDEX('D5 - Gatekeeper - Projects'!$A$4:$AF$1010,$AM1700, 17)</f>
        <v>#N/A</v>
      </c>
      <c r="AI1700" s="8"/>
      <c r="AJ1700" s="57"/>
      <c r="AK1700" s="105"/>
      <c r="AM1700" s="6" t="e">
        <f>MATCH(D1700,'D5 - Gatekeeper - Projects'!$C$4:$C$1010,0)</f>
        <v>#N/A</v>
      </c>
      <c r="AN1700" s="6" t="b">
        <f t="shared" si="185"/>
        <v>1</v>
      </c>
      <c r="AO1700" s="6" t="str">
        <f t="shared" si="187"/>
        <v>OK</v>
      </c>
      <c r="AQ1700" s="6" t="e">
        <f>MATCH($D1700,'D4 - Provider Council Unsched'!$C$11:$C$234,0)</f>
        <v>#N/A</v>
      </c>
      <c r="AR1700" s="6" t="b">
        <f t="shared" si="186"/>
        <v>1</v>
      </c>
      <c r="AS1700" s="6" t="str">
        <f t="shared" si="184"/>
        <v>OK</v>
      </c>
      <c r="AU1700" s="202">
        <v>40931</v>
      </c>
      <c r="AV1700" s="262" t="s">
        <v>1080</v>
      </c>
      <c r="AW1700" s="274">
        <v>50331</v>
      </c>
    </row>
    <row r="1701" spans="1:49" s="13" customFormat="1" ht="33.75" x14ac:dyDescent="0.2">
      <c r="A1701" s="14">
        <v>1677</v>
      </c>
      <c r="B1701" s="8">
        <v>400047345</v>
      </c>
      <c r="C1701" s="8" t="s">
        <v>1447</v>
      </c>
      <c r="D1701" s="4" t="str">
        <f t="shared" si="183"/>
        <v>400047345A</v>
      </c>
      <c r="E1701" s="309" t="str">
        <f>VLOOKUP($B1701,'D7 - NDB Impacted SPRF''s'!$E$6:$O$9929,2,FALSE)</f>
        <v>2012 PRIME Product Rate Releases</v>
      </c>
      <c r="F1701" s="8"/>
      <c r="G1701" s="8" t="s">
        <v>4758</v>
      </c>
      <c r="H1701" s="8" t="s">
        <v>4246</v>
      </c>
      <c r="I1701" s="20">
        <v>0.33</v>
      </c>
      <c r="J1701" s="8" t="s">
        <v>4862</v>
      </c>
      <c r="K1701" s="182">
        <v>41041</v>
      </c>
      <c r="L1701" s="8" t="s">
        <v>4156</v>
      </c>
      <c r="M1701" s="8" t="s">
        <v>5626</v>
      </c>
      <c r="N1701" s="38"/>
      <c r="O1701" s="8"/>
      <c r="P1701" s="4" t="str">
        <f>VLOOKUP($B1701,'D7 - NDB Impacted SPRF''s'!$E$16:$O$9929,9,FALSE)</f>
        <v>N</v>
      </c>
      <c r="Q1701" s="4" t="str">
        <f>VLOOKUP($B1701,'D7 - NDB Impacted SPRF''s'!$E$16:$O$9929,10,FALSE)</f>
        <v>N</v>
      </c>
      <c r="R1701" s="4" t="str">
        <f>VLOOKUP($B1701,'D7 - NDB Impacted SPRF''s'!$E$16:$O$9929,11,FALSE)</f>
        <v>N</v>
      </c>
      <c r="S1701" s="8"/>
      <c r="T1701" s="310"/>
      <c r="U1701" s="310"/>
      <c r="V1701" s="4"/>
      <c r="W1701" s="4"/>
      <c r="X1701" s="4"/>
      <c r="Y1701" s="4"/>
      <c r="Z1701" s="4"/>
      <c r="AA1701" s="4"/>
      <c r="AB1701" s="380" t="str">
        <f>VLOOKUP($B1701,'D7 - NDB Impacted SPRF''s'!$E$6:$O$9929,4,FALSE)</f>
        <v>Scheduled</v>
      </c>
      <c r="AC1701" s="380" t="str">
        <f>VLOOKUP($B1701,'D7 - NDB Impacted SPRF''s'!$E$6:$O$9929,3,FALSE)</f>
        <v>UnitedHealthcare Employer &amp; Individual</v>
      </c>
      <c r="AD1701" s="380" t="str">
        <f>VLOOKUP($B1701,'D7 - NDB Impacted SPRF''s'!$E$6:$O$9929,5,FALSE)</f>
        <v>Operational Requirements</v>
      </c>
      <c r="AE1701" s="380" t="str">
        <f>VLOOKUP($B1701,'D7 - NDB Impacted SPRF''s'!$E$6:$O$9929,7,FALSE)</f>
        <v>Joe Chalastra</v>
      </c>
      <c r="AF1701" s="380" t="str">
        <f>VLOOKUP($B1701,'D7 - NDB Impacted SPRF''s'!$E$6:$O$9929,6,FALSE)</f>
        <v>JEAN CLARK</v>
      </c>
      <c r="AG1701" s="282"/>
      <c r="AH1701" s="311" t="e">
        <f>INDEX('D5 - Gatekeeper - Projects'!$A$4:$AF$1010,$AM1701, 17)</f>
        <v>#N/A</v>
      </c>
      <c r="AI1701" s="8"/>
      <c r="AJ1701" s="57"/>
      <c r="AK1701" s="105"/>
      <c r="AM1701" s="6" t="e">
        <f>MATCH(D1701,'D5 - Gatekeeper - Projects'!$C$4:$C$1010,0)</f>
        <v>#N/A</v>
      </c>
      <c r="AN1701" s="6" t="b">
        <f t="shared" si="185"/>
        <v>1</v>
      </c>
      <c r="AO1701" s="6" t="str">
        <f t="shared" si="187"/>
        <v>OK</v>
      </c>
      <c r="AQ1701" s="6" t="e">
        <f>MATCH($D1701,'D4 - Provider Council Unsched'!$C$11:$C$234,0)</f>
        <v>#N/A</v>
      </c>
      <c r="AR1701" s="6" t="b">
        <f t="shared" si="186"/>
        <v>1</v>
      </c>
      <c r="AS1701" s="6" t="str">
        <f t="shared" si="184"/>
        <v>OK</v>
      </c>
      <c r="AU1701" s="202">
        <v>40931</v>
      </c>
      <c r="AV1701" s="262" t="s">
        <v>1092</v>
      </c>
      <c r="AW1701" s="274">
        <v>51654</v>
      </c>
    </row>
    <row r="1702" spans="1:49" s="13" customFormat="1" ht="33.75" x14ac:dyDescent="0.2">
      <c r="A1702" s="14">
        <v>1678</v>
      </c>
      <c r="B1702" s="8">
        <v>400047560</v>
      </c>
      <c r="C1702" s="8" t="s">
        <v>1447</v>
      </c>
      <c r="D1702" s="4" t="str">
        <f t="shared" si="183"/>
        <v>400047560A</v>
      </c>
      <c r="E1702" s="309" t="str">
        <f>VLOOKUP($B1702,'D7 - NDB Impacted SPRF''s'!$E$6:$O$9929,2,FALSE)</f>
        <v>ED – IDT Decommission – Middle Tier Migration</v>
      </c>
      <c r="F1702" s="8"/>
      <c r="G1702" s="8" t="s">
        <v>4758</v>
      </c>
      <c r="H1702" s="8" t="s">
        <v>4246</v>
      </c>
      <c r="I1702" s="20">
        <v>0.28000000000000003</v>
      </c>
      <c r="J1702" s="8" t="s">
        <v>4862</v>
      </c>
      <c r="K1702" s="182">
        <v>41041</v>
      </c>
      <c r="L1702" s="8" t="s">
        <v>4156</v>
      </c>
      <c r="M1702" s="8" t="s">
        <v>5626</v>
      </c>
      <c r="N1702" s="38" t="s">
        <v>262</v>
      </c>
      <c r="O1702" s="8"/>
      <c r="P1702" s="4" t="str">
        <f>VLOOKUP($B1702,'D7 - NDB Impacted SPRF''s'!$E$16:$O$9929,9,FALSE)</f>
        <v>Y</v>
      </c>
      <c r="Q1702" s="4" t="str">
        <f>VLOOKUP($B1702,'D7 - NDB Impacted SPRF''s'!$E$16:$O$9929,10,FALSE)</f>
        <v>N</v>
      </c>
      <c r="R1702" s="4" t="str">
        <f>VLOOKUP($B1702,'D7 - NDB Impacted SPRF''s'!$E$16:$O$9929,11,FALSE)</f>
        <v>N</v>
      </c>
      <c r="S1702" s="8"/>
      <c r="T1702" s="310"/>
      <c r="U1702" s="310"/>
      <c r="V1702" s="4"/>
      <c r="W1702" s="4"/>
      <c r="X1702" s="4"/>
      <c r="Y1702" s="4"/>
      <c r="Z1702" s="4"/>
      <c r="AA1702" s="4"/>
      <c r="AB1702" s="380" t="str">
        <f>VLOOKUP($B1702,'D7 - NDB Impacted SPRF''s'!$E$6:$O$9929,4,FALSE)</f>
        <v>Completed</v>
      </c>
      <c r="AC1702" s="380" t="str">
        <f>VLOOKUP($B1702,'D7 - NDB Impacted SPRF''s'!$E$6:$O$9929,3,FALSE)</f>
        <v>UHG IT - Shared Services</v>
      </c>
      <c r="AD1702" s="380" t="str">
        <f>VLOOKUP($B1702,'D7 - NDB Impacted SPRF''s'!$E$6:$O$9929,5,FALSE)</f>
        <v>Strategic Initiatives</v>
      </c>
      <c r="AE1702" s="380" t="str">
        <f>VLOOKUP($B1702,'D7 - NDB Impacted SPRF''s'!$E$6:$O$9929,7,FALSE)</f>
        <v>Kevin Cogle</v>
      </c>
      <c r="AF1702" s="380" t="str">
        <f>VLOOKUP($B1702,'D7 - NDB Impacted SPRF''s'!$E$6:$O$9929,6,FALSE)</f>
        <v>PATRICK TIMA</v>
      </c>
      <c r="AG1702" s="282"/>
      <c r="AH1702" s="311" t="e">
        <f>INDEX('D5 - Gatekeeper - Projects'!$A$4:$AF$1010,$AM1702, 17)</f>
        <v>#N/A</v>
      </c>
      <c r="AI1702" s="8"/>
      <c r="AJ1702" s="57"/>
      <c r="AK1702" s="105"/>
      <c r="AM1702" s="6" t="e">
        <f>MATCH(D1702,'D5 - Gatekeeper - Projects'!$C$4:$C$1010,0)</f>
        <v>#N/A</v>
      </c>
      <c r="AN1702" s="6" t="b">
        <f t="shared" si="185"/>
        <v>1</v>
      </c>
      <c r="AO1702" s="6" t="str">
        <f t="shared" si="187"/>
        <v>OK</v>
      </c>
      <c r="AQ1702" s="6" t="e">
        <f>MATCH($D1702,'D4 - Provider Council Unsched'!$C$11:$C$234,0)</f>
        <v>#N/A</v>
      </c>
      <c r="AR1702" s="6" t="b">
        <f t="shared" si="186"/>
        <v>1</v>
      </c>
      <c r="AS1702" s="6" t="str">
        <f t="shared" si="184"/>
        <v>OK</v>
      </c>
      <c r="AU1702" s="202">
        <v>40945</v>
      </c>
      <c r="AV1702" s="262" t="s">
        <v>1088</v>
      </c>
      <c r="AW1702" s="274">
        <v>49425</v>
      </c>
    </row>
    <row r="1703" spans="1:49" s="13" customFormat="1" ht="33.75" x14ac:dyDescent="0.2">
      <c r="A1703" s="14">
        <v>1679</v>
      </c>
      <c r="B1703" s="8">
        <v>400047648</v>
      </c>
      <c r="C1703" s="8" t="s">
        <v>1447</v>
      </c>
      <c r="D1703" s="4" t="str">
        <f t="shared" si="183"/>
        <v>400047648A</v>
      </c>
      <c r="E1703" s="309" t="str">
        <f>VLOOKUP($B1703,'D7 - NDB Impacted SPRF''s'!$E$6:$O$9929,2,FALSE)</f>
        <v>HI Quest Expansion</v>
      </c>
      <c r="F1703" s="8"/>
      <c r="G1703" s="8" t="s">
        <v>4758</v>
      </c>
      <c r="H1703" s="8" t="s">
        <v>4246</v>
      </c>
      <c r="I1703" s="20">
        <v>2.0099999999999998</v>
      </c>
      <c r="J1703" s="8" t="s">
        <v>4862</v>
      </c>
      <c r="K1703" s="182">
        <v>41041</v>
      </c>
      <c r="L1703" s="8" t="s">
        <v>4156</v>
      </c>
      <c r="M1703" s="8" t="s">
        <v>3598</v>
      </c>
      <c r="N1703" s="38"/>
      <c r="O1703" s="8"/>
      <c r="P1703" s="4" t="str">
        <f>VLOOKUP($B1703,'D7 - NDB Impacted SPRF''s'!$E$16:$O$9929,9,FALSE)</f>
        <v>N</v>
      </c>
      <c r="Q1703" s="4" t="str">
        <f>VLOOKUP($B1703,'D7 - NDB Impacted SPRF''s'!$E$16:$O$9929,10,FALSE)</f>
        <v>N</v>
      </c>
      <c r="R1703" s="4" t="str">
        <f>VLOOKUP($B1703,'D7 - NDB Impacted SPRF''s'!$E$16:$O$9929,11,FALSE)</f>
        <v>N</v>
      </c>
      <c r="S1703" s="8"/>
      <c r="T1703" s="310"/>
      <c r="U1703" s="310"/>
      <c r="V1703" s="4"/>
      <c r="W1703" s="4"/>
      <c r="X1703" s="4"/>
      <c r="Y1703" s="4"/>
      <c r="Z1703" s="4"/>
      <c r="AA1703" s="4"/>
      <c r="AB1703" s="380" t="str">
        <f>VLOOKUP($B1703,'D7 - NDB Impacted SPRF''s'!$E$6:$O$9929,4,FALSE)</f>
        <v>Completed</v>
      </c>
      <c r="AC1703" s="380" t="str">
        <f>VLOOKUP($B1703,'D7 - NDB Impacted SPRF''s'!$E$6:$O$9929,3,FALSE)</f>
        <v>UnitedHealthcare Community &amp; State</v>
      </c>
      <c r="AD1703" s="380" t="str">
        <f>VLOOKUP($B1703,'D7 - NDB Impacted SPRF''s'!$E$6:$O$9929,5,FALSE)</f>
        <v>Membership Growth / Revenue Programs</v>
      </c>
      <c r="AE1703" s="380" t="str">
        <f>VLOOKUP($B1703,'D7 - NDB Impacted SPRF''s'!$E$6:$O$9929,7,FALSE)</f>
        <v>Bill Guptail</v>
      </c>
      <c r="AF1703" s="380" t="str">
        <f>VLOOKUP($B1703,'D7 - NDB Impacted SPRF''s'!$E$6:$O$9929,6,FALSE)</f>
        <v>LAN HOANG</v>
      </c>
      <c r="AG1703" s="282"/>
      <c r="AH1703" s="311" t="e">
        <f>INDEX('D5 - Gatekeeper - Projects'!$A$4:$AF$1010,$AM1703, 17)</f>
        <v>#N/A</v>
      </c>
      <c r="AI1703" s="8"/>
      <c r="AJ1703" s="57"/>
      <c r="AK1703" s="105"/>
      <c r="AM1703" s="6" t="e">
        <f>MATCH(D1703,'D5 - Gatekeeper - Projects'!$C$4:$C$1010,0)</f>
        <v>#N/A</v>
      </c>
      <c r="AN1703" s="6" t="b">
        <f t="shared" si="185"/>
        <v>1</v>
      </c>
      <c r="AO1703" s="6" t="str">
        <f t="shared" si="187"/>
        <v>OK</v>
      </c>
      <c r="AQ1703" s="6" t="e">
        <f>MATCH($D1703,'D4 - Provider Council Unsched'!$C$11:$C$234,0)</f>
        <v>#N/A</v>
      </c>
      <c r="AR1703" s="6" t="b">
        <f t="shared" si="186"/>
        <v>1</v>
      </c>
      <c r="AS1703" s="6" t="str">
        <f t="shared" si="184"/>
        <v>OK</v>
      </c>
      <c r="AU1703" s="202">
        <v>40945</v>
      </c>
      <c r="AV1703" s="262" t="s">
        <v>433</v>
      </c>
      <c r="AW1703" s="274">
        <v>49758</v>
      </c>
    </row>
    <row r="1704" spans="1:49" s="13" customFormat="1" ht="33.75" x14ac:dyDescent="0.2">
      <c r="A1704" s="14">
        <v>1680</v>
      </c>
      <c r="B1704" s="8">
        <v>400048227</v>
      </c>
      <c r="C1704" s="8" t="s">
        <v>7290</v>
      </c>
      <c r="D1704" s="4" t="str">
        <f t="shared" si="183"/>
        <v>400048227B</v>
      </c>
      <c r="E1704" s="309" t="str">
        <f>VLOOKUP($B1704,'D7 - NDB Impacted SPRF''s'!$E$6:$O$9929,2,FALSE)</f>
        <v>NDB 2012 One Shot Requests</v>
      </c>
      <c r="F1704" s="8"/>
      <c r="G1704" s="8" t="s">
        <v>4758</v>
      </c>
      <c r="H1704" s="8" t="s">
        <v>4246</v>
      </c>
      <c r="I1704" s="20">
        <v>2.5</v>
      </c>
      <c r="J1704" s="8" t="s">
        <v>4862</v>
      </c>
      <c r="K1704" s="182">
        <v>41041</v>
      </c>
      <c r="L1704" s="8" t="s">
        <v>4156</v>
      </c>
      <c r="M1704" s="8" t="s">
        <v>2814</v>
      </c>
      <c r="N1704" s="38" t="s">
        <v>940</v>
      </c>
      <c r="O1704" s="8"/>
      <c r="P1704" s="4" t="str">
        <f>VLOOKUP($B1704,'D7 - NDB Impacted SPRF''s'!$E$16:$O$9929,9,FALSE)</f>
        <v>N</v>
      </c>
      <c r="Q1704" s="4" t="str">
        <f>VLOOKUP($B1704,'D7 - NDB Impacted SPRF''s'!$E$16:$O$9929,10,FALSE)</f>
        <v>N</v>
      </c>
      <c r="R1704" s="4" t="str">
        <f>VLOOKUP($B1704,'D7 - NDB Impacted SPRF''s'!$E$16:$O$9929,11,FALSE)</f>
        <v>N</v>
      </c>
      <c r="S1704" s="8"/>
      <c r="T1704" s="310"/>
      <c r="U1704" s="310"/>
      <c r="V1704" s="4"/>
      <c r="W1704" s="4"/>
      <c r="X1704" s="4"/>
      <c r="Y1704" s="4"/>
      <c r="Z1704" s="4"/>
      <c r="AA1704" s="4"/>
      <c r="AB1704" s="380" t="str">
        <f>VLOOKUP($B1704,'D7 - NDB Impacted SPRF''s'!$E$6:$O$9929,4,FALSE)</f>
        <v>Completed</v>
      </c>
      <c r="AC1704" s="380" t="str">
        <f>VLOOKUP($B1704,'D7 - NDB Impacted SPRF''s'!$E$6:$O$9929,3,FALSE)</f>
        <v>UnitedHealthcare Employer &amp; Individual</v>
      </c>
      <c r="AD1704" s="380" t="str">
        <f>VLOOKUP($B1704,'D7 - NDB Impacted SPRF''s'!$E$6:$O$9929,5,FALSE)</f>
        <v>Operational Requirements</v>
      </c>
      <c r="AE1704" s="380" t="str">
        <f>VLOOKUP($B1704,'D7 - NDB Impacted SPRF''s'!$E$6:$O$9929,7,FALSE)</f>
        <v>Tim Kaja</v>
      </c>
      <c r="AF1704" s="380" t="str">
        <f>VLOOKUP($B1704,'D7 - NDB Impacted SPRF''s'!$E$6:$O$9929,6,FALSE)</f>
        <v>Robert Wright</v>
      </c>
      <c r="AG1704" s="282"/>
      <c r="AH1704" s="311" t="e">
        <f>INDEX('D5 - Gatekeeper - Projects'!$A$4:$AF$1010,$AM1704, 17)</f>
        <v>#N/A</v>
      </c>
      <c r="AI1704" s="8"/>
      <c r="AJ1704" s="57"/>
      <c r="AK1704" s="105"/>
      <c r="AM1704" s="6" t="e">
        <f>MATCH(D1704,'D5 - Gatekeeper - Projects'!$C$4:$C$1010,0)</f>
        <v>#N/A</v>
      </c>
      <c r="AN1704" s="6" t="b">
        <f t="shared" si="185"/>
        <v>1</v>
      </c>
      <c r="AO1704" s="6" t="str">
        <f t="shared" si="187"/>
        <v>OK</v>
      </c>
      <c r="AQ1704" s="6" t="e">
        <f>MATCH($D1704,'D4 - Provider Council Unsched'!$C$11:$C$234,0)</f>
        <v>#N/A</v>
      </c>
      <c r="AR1704" s="6" t="b">
        <f t="shared" si="186"/>
        <v>1</v>
      </c>
      <c r="AS1704" s="6" t="str">
        <f t="shared" si="184"/>
        <v>OK</v>
      </c>
      <c r="AU1704" s="202"/>
      <c r="AV1704" s="262" t="s">
        <v>442</v>
      </c>
      <c r="AW1704" s="274" t="s">
        <v>3572</v>
      </c>
    </row>
    <row r="1705" spans="1:49" s="13" customFormat="1" ht="45" x14ac:dyDescent="0.2">
      <c r="A1705" s="14">
        <v>1681</v>
      </c>
      <c r="B1705" s="8">
        <v>400048667</v>
      </c>
      <c r="C1705" s="8" t="s">
        <v>1447</v>
      </c>
      <c r="D1705" s="4" t="str">
        <f t="shared" si="183"/>
        <v>400048667A</v>
      </c>
      <c r="E1705" s="309" t="str">
        <f>VLOOKUP($B1705,'D7 - NDB Impacted SPRF''s'!$E$6:$O$9929,2,FALSE)</f>
        <v>End to End Claims Processing Analysis</v>
      </c>
      <c r="F1705" s="8"/>
      <c r="G1705" s="8" t="s">
        <v>4758</v>
      </c>
      <c r="H1705" s="8" t="s">
        <v>4246</v>
      </c>
      <c r="I1705" s="20">
        <v>0.52</v>
      </c>
      <c r="J1705" s="8" t="s">
        <v>4862</v>
      </c>
      <c r="K1705" s="182">
        <v>41041</v>
      </c>
      <c r="L1705" s="8" t="s">
        <v>4156</v>
      </c>
      <c r="M1705" s="8" t="s">
        <v>6688</v>
      </c>
      <c r="N1705" s="38"/>
      <c r="O1705" s="8"/>
      <c r="P1705" s="4" t="str">
        <f>VLOOKUP($B1705,'D7 - NDB Impacted SPRF''s'!$E$16:$O$9929,9,FALSE)</f>
        <v>N</v>
      </c>
      <c r="Q1705" s="4" t="str">
        <f>VLOOKUP($B1705,'D7 - NDB Impacted SPRF''s'!$E$16:$O$9929,10,FALSE)</f>
        <v>N</v>
      </c>
      <c r="R1705" s="4" t="str">
        <f>VLOOKUP($B1705,'D7 - NDB Impacted SPRF''s'!$E$16:$O$9929,11,FALSE)</f>
        <v>N</v>
      </c>
      <c r="S1705" s="8"/>
      <c r="T1705" s="310"/>
      <c r="U1705" s="310"/>
      <c r="V1705" s="4"/>
      <c r="W1705" s="4"/>
      <c r="X1705" s="4"/>
      <c r="Y1705" s="4"/>
      <c r="Z1705" s="4"/>
      <c r="AA1705" s="4"/>
      <c r="AB1705" s="380" t="str">
        <f>VLOOKUP($B1705,'D7 - NDB Impacted SPRF''s'!$E$6:$O$9929,4,FALSE)</f>
        <v>Completed</v>
      </c>
      <c r="AC1705" s="380" t="str">
        <f>VLOOKUP($B1705,'D7 - NDB Impacted SPRF''s'!$E$6:$O$9929,3,FALSE)</f>
        <v>UHG IT - Enterprise Technology Services</v>
      </c>
      <c r="AD1705" s="380" t="str">
        <f>VLOOKUP($B1705,'D7 - NDB Impacted SPRF''s'!$E$6:$O$9929,5,FALSE)</f>
        <v>Strategic Initiatives</v>
      </c>
      <c r="AE1705" s="380" t="str">
        <f>VLOOKUP($B1705,'D7 - NDB Impacted SPRF''s'!$E$6:$O$9929,7,FALSE)</f>
        <v>John Doddy</v>
      </c>
      <c r="AF1705" s="380" t="str">
        <f>VLOOKUP($B1705,'D7 - NDB Impacted SPRF''s'!$E$6:$O$9929,6,FALSE)</f>
        <v>CAROL BERCAW</v>
      </c>
      <c r="AG1705" s="282"/>
      <c r="AH1705" s="311" t="e">
        <f>INDEX('D5 - Gatekeeper - Projects'!$A$4:$AF$1010,$AM1705, 17)</f>
        <v>#N/A</v>
      </c>
      <c r="AI1705" s="8"/>
      <c r="AJ1705" s="57"/>
      <c r="AK1705" s="105"/>
      <c r="AM1705" s="6" t="e">
        <f>MATCH(D1705,'D5 - Gatekeeper - Projects'!$C$4:$C$1010,0)</f>
        <v>#N/A</v>
      </c>
      <c r="AN1705" s="6" t="b">
        <f t="shared" si="185"/>
        <v>1</v>
      </c>
      <c r="AO1705" s="6" t="str">
        <f t="shared" si="187"/>
        <v>OK</v>
      </c>
      <c r="AQ1705" s="6" t="e">
        <f>MATCH($D1705,'D4 - Provider Council Unsched'!$C$11:$C$234,0)</f>
        <v>#N/A</v>
      </c>
      <c r="AR1705" s="6" t="b">
        <f t="shared" si="186"/>
        <v>1</v>
      </c>
      <c r="AS1705" s="6" t="str">
        <f t="shared" si="184"/>
        <v>OK</v>
      </c>
      <c r="AU1705" s="202">
        <v>41005</v>
      </c>
      <c r="AV1705" s="262" t="s">
        <v>1134</v>
      </c>
      <c r="AW1705" s="274">
        <v>54565</v>
      </c>
    </row>
    <row r="1706" spans="1:49" s="13" customFormat="1" ht="45" x14ac:dyDescent="0.2">
      <c r="A1706" s="14">
        <v>1682</v>
      </c>
      <c r="B1706" s="8">
        <v>400048809</v>
      </c>
      <c r="C1706" s="8" t="s">
        <v>1447</v>
      </c>
      <c r="D1706" s="4" t="str">
        <f t="shared" si="183"/>
        <v>400048809A</v>
      </c>
      <c r="E1706" s="309" t="str">
        <f>VLOOKUP($B1706,'D7 - NDB Impacted SPRF''s'!$E$6:$O$9929,2,FALSE)</f>
        <v>Cosmos Data Request - IFM</v>
      </c>
      <c r="F1706" s="8"/>
      <c r="G1706" s="8" t="s">
        <v>4758</v>
      </c>
      <c r="H1706" s="8" t="s">
        <v>4246</v>
      </c>
      <c r="I1706" s="20">
        <v>0.02</v>
      </c>
      <c r="J1706" s="8" t="s">
        <v>4862</v>
      </c>
      <c r="K1706" s="182">
        <v>41041</v>
      </c>
      <c r="L1706" s="8" t="s">
        <v>4156</v>
      </c>
      <c r="M1706" s="8" t="s">
        <v>6688</v>
      </c>
      <c r="N1706" s="38" t="s">
        <v>2381</v>
      </c>
      <c r="O1706" s="8"/>
      <c r="P1706" s="4" t="str">
        <f>VLOOKUP($B1706,'D7 - NDB Impacted SPRF''s'!$E$16:$O$9929,9,FALSE)</f>
        <v>N</v>
      </c>
      <c r="Q1706" s="4" t="str">
        <f>VLOOKUP($B1706,'D7 - NDB Impacted SPRF''s'!$E$16:$O$9929,10,FALSE)</f>
        <v>N</v>
      </c>
      <c r="R1706" s="4" t="str">
        <f>VLOOKUP($B1706,'D7 - NDB Impacted SPRF''s'!$E$16:$O$9929,11,FALSE)</f>
        <v>N</v>
      </c>
      <c r="S1706" s="8"/>
      <c r="T1706" s="310"/>
      <c r="U1706" s="310"/>
      <c r="V1706" s="4"/>
      <c r="W1706" s="4"/>
      <c r="X1706" s="4"/>
      <c r="Y1706" s="4"/>
      <c r="Z1706" s="4"/>
      <c r="AA1706" s="4"/>
      <c r="AB1706" s="380" t="str">
        <f>VLOOKUP($B1706,'D7 - NDB Impacted SPRF''s'!$E$6:$O$9929,4,FALSE)</f>
        <v>Completed</v>
      </c>
      <c r="AC1706" s="380" t="str">
        <f>VLOOKUP($B1706,'D7 - NDB Impacted SPRF''s'!$E$6:$O$9929,3,FALSE)</f>
        <v>OptumHealth</v>
      </c>
      <c r="AD1706" s="380" t="str">
        <f>VLOOKUP($B1706,'D7 - NDB Impacted SPRF''s'!$E$6:$O$9929,5,FALSE)</f>
        <v>Behavioral Solutions</v>
      </c>
      <c r="AE1706" s="380" t="str">
        <f>VLOOKUP($B1706,'D7 - NDB Impacted SPRF''s'!$E$6:$O$9929,7,FALSE)</f>
        <v>Lloyd Dyer</v>
      </c>
      <c r="AF1706" s="380" t="str">
        <f>VLOOKUP($B1706,'D7 - NDB Impacted SPRF''s'!$E$6:$O$9929,6,FALSE)</f>
        <v>Amanda Johnson</v>
      </c>
      <c r="AG1706" s="282"/>
      <c r="AH1706" s="311" t="e">
        <f>INDEX('D5 - Gatekeeper - Projects'!$A$4:$AF$1010,$AM1706, 17)</f>
        <v>#N/A</v>
      </c>
      <c r="AI1706" s="8"/>
      <c r="AJ1706" s="57"/>
      <c r="AK1706" s="105"/>
      <c r="AM1706" s="6" t="e">
        <f>MATCH(D1706,'D5 - Gatekeeper - Projects'!$C$4:$C$1010,0)</f>
        <v>#N/A</v>
      </c>
      <c r="AN1706" s="6" t="b">
        <f t="shared" si="185"/>
        <v>1</v>
      </c>
      <c r="AO1706" s="6" t="str">
        <f t="shared" si="187"/>
        <v>OK</v>
      </c>
      <c r="AQ1706" s="6" t="e">
        <f>MATCH($D1706,'D4 - Provider Council Unsched'!$C$11:$C$234,0)</f>
        <v>#N/A</v>
      </c>
      <c r="AR1706" s="6" t="b">
        <f t="shared" si="186"/>
        <v>1</v>
      </c>
      <c r="AS1706" s="6" t="str">
        <f t="shared" si="184"/>
        <v>OK</v>
      </c>
      <c r="AU1706" s="202">
        <v>40994</v>
      </c>
      <c r="AV1706" s="262" t="s">
        <v>2234</v>
      </c>
      <c r="AW1706" s="274">
        <v>55600</v>
      </c>
    </row>
    <row r="1707" spans="1:49" s="13" customFormat="1" ht="45" x14ac:dyDescent="0.2">
      <c r="A1707" s="14">
        <v>1683</v>
      </c>
      <c r="B1707" s="8">
        <v>400048848</v>
      </c>
      <c r="C1707" s="8" t="s">
        <v>1447</v>
      </c>
      <c r="D1707" s="4" t="str">
        <f t="shared" si="183"/>
        <v>400048848A</v>
      </c>
      <c r="E1707" s="309" t="str">
        <f>VLOOKUP($B1707,'D7 - NDB Impacted SPRF''s'!$E$6:$O$9929,2,FALSE)</f>
        <v>NDB SoT - NDB Directory SoT &amp; Enhancements</v>
      </c>
      <c r="F1707" s="8"/>
      <c r="G1707" s="8" t="s">
        <v>4758</v>
      </c>
      <c r="H1707" s="8" t="s">
        <v>4246</v>
      </c>
      <c r="I1707" s="20">
        <v>1.5</v>
      </c>
      <c r="J1707" s="8" t="s">
        <v>4862</v>
      </c>
      <c r="K1707" s="182">
        <v>41041</v>
      </c>
      <c r="L1707" s="8" t="s">
        <v>4156</v>
      </c>
      <c r="M1707" s="8" t="s">
        <v>6688</v>
      </c>
      <c r="N1707" s="38" t="s">
        <v>784</v>
      </c>
      <c r="O1707" s="8"/>
      <c r="P1707" s="4" t="str">
        <f>VLOOKUP($B1707,'D7 - NDB Impacted SPRF''s'!$E$16:$O$9929,9,FALSE)</f>
        <v>N</v>
      </c>
      <c r="Q1707" s="4" t="str">
        <f>VLOOKUP($B1707,'D7 - NDB Impacted SPRF''s'!$E$16:$O$9929,10,FALSE)</f>
        <v>N</v>
      </c>
      <c r="R1707" s="4" t="str">
        <f>VLOOKUP($B1707,'D7 - NDB Impacted SPRF''s'!$E$16:$O$9929,11,FALSE)</f>
        <v>N</v>
      </c>
      <c r="S1707" s="8"/>
      <c r="T1707" s="310"/>
      <c r="U1707" s="310"/>
      <c r="V1707" s="4"/>
      <c r="W1707" s="4"/>
      <c r="X1707" s="4"/>
      <c r="Y1707" s="4"/>
      <c r="Z1707" s="4"/>
      <c r="AA1707" s="4"/>
      <c r="AB1707" s="380" t="str">
        <f>VLOOKUP($B1707,'D7 - NDB Impacted SPRF''s'!$E$6:$O$9929,4,FALSE)</f>
        <v>Cancelled</v>
      </c>
      <c r="AC1707" s="380" t="str">
        <f>VLOOKUP($B1707,'D7 - NDB Impacted SPRF''s'!$E$6:$O$9929,3,FALSE)</f>
        <v>UHG IT - Enterprise Technology Services</v>
      </c>
      <c r="AD1707" s="380" t="str">
        <f>VLOOKUP($B1707,'D7 - NDB Impacted SPRF''s'!$E$6:$O$9929,5,FALSE)</f>
        <v>Strategic Initiatives</v>
      </c>
      <c r="AE1707" s="380" t="str">
        <f>VLOOKUP($B1707,'D7 - NDB Impacted SPRF''s'!$E$6:$O$9929,7,FALSE)</f>
        <v>Kaja, Tim</v>
      </c>
      <c r="AF1707" s="380" t="str">
        <f>VLOOKUP($B1707,'D7 - NDB Impacted SPRF''s'!$E$6:$O$9929,6,FALSE)</f>
        <v>Shelly Heit</v>
      </c>
      <c r="AG1707" s="282"/>
      <c r="AH1707" s="311" t="e">
        <f>INDEX('D5 - Gatekeeper - Projects'!$A$4:$AF$1010,$AM1707, 17)</f>
        <v>#N/A</v>
      </c>
      <c r="AI1707" s="8"/>
      <c r="AJ1707" s="57"/>
      <c r="AK1707" s="105"/>
      <c r="AM1707" s="6" t="e">
        <f>MATCH(D1707,'D5 - Gatekeeper - Projects'!$C$4:$C$1010,0)</f>
        <v>#N/A</v>
      </c>
      <c r="AN1707" s="6" t="b">
        <f t="shared" si="185"/>
        <v>1</v>
      </c>
      <c r="AO1707" s="6" t="str">
        <f t="shared" si="187"/>
        <v>OK</v>
      </c>
      <c r="AQ1707" s="6" t="e">
        <f>MATCH($D1707,'D4 - Provider Council Unsched'!$C$11:$C$234,0)</f>
        <v>#N/A</v>
      </c>
      <c r="AR1707" s="6" t="b">
        <f t="shared" si="186"/>
        <v>1</v>
      </c>
      <c r="AS1707" s="6" t="str">
        <f t="shared" si="184"/>
        <v>OK</v>
      </c>
      <c r="AU1707" s="202">
        <v>40914</v>
      </c>
      <c r="AV1707" s="262" t="s">
        <v>1081</v>
      </c>
      <c r="AW1707" s="274"/>
    </row>
    <row r="1708" spans="1:49" s="13" customFormat="1" ht="45" x14ac:dyDescent="0.2">
      <c r="A1708" s="14">
        <v>1684</v>
      </c>
      <c r="B1708" s="8">
        <v>400048848</v>
      </c>
      <c r="C1708" s="8" t="s">
        <v>7290</v>
      </c>
      <c r="D1708" s="4" t="str">
        <f t="shared" si="183"/>
        <v>400048848B</v>
      </c>
      <c r="E1708" s="309" t="str">
        <f>VLOOKUP($B1708,'D7 - NDB Impacted SPRF''s'!$E$6:$O$9929,2,FALSE)</f>
        <v>NDB SoT - NDB Directory SoT &amp; Enhancements</v>
      </c>
      <c r="F1708" s="8"/>
      <c r="G1708" s="8" t="s">
        <v>4758</v>
      </c>
      <c r="H1708" s="8" t="s">
        <v>4246</v>
      </c>
      <c r="I1708" s="20">
        <v>1.5</v>
      </c>
      <c r="J1708" s="8" t="s">
        <v>4862</v>
      </c>
      <c r="K1708" s="182">
        <v>41041</v>
      </c>
      <c r="L1708" s="8" t="s">
        <v>4156</v>
      </c>
      <c r="M1708" s="8" t="s">
        <v>6688</v>
      </c>
      <c r="N1708" s="38" t="s">
        <v>1373</v>
      </c>
      <c r="O1708" s="8"/>
      <c r="P1708" s="4" t="str">
        <f>VLOOKUP($B1708,'D7 - NDB Impacted SPRF''s'!$E$16:$O$9929,9,FALSE)</f>
        <v>N</v>
      </c>
      <c r="Q1708" s="4" t="str">
        <f>VLOOKUP($B1708,'D7 - NDB Impacted SPRF''s'!$E$16:$O$9929,10,FALSE)</f>
        <v>N</v>
      </c>
      <c r="R1708" s="4" t="str">
        <f>VLOOKUP($B1708,'D7 - NDB Impacted SPRF''s'!$E$16:$O$9929,11,FALSE)</f>
        <v>N</v>
      </c>
      <c r="S1708" s="8"/>
      <c r="T1708" s="310"/>
      <c r="U1708" s="310"/>
      <c r="V1708" s="4"/>
      <c r="W1708" s="4"/>
      <c r="X1708" s="4"/>
      <c r="Y1708" s="4"/>
      <c r="Z1708" s="4"/>
      <c r="AA1708" s="4"/>
      <c r="AB1708" s="380" t="str">
        <f>VLOOKUP($B1708,'D7 - NDB Impacted SPRF''s'!$E$6:$O$9929,4,FALSE)</f>
        <v>Cancelled</v>
      </c>
      <c r="AC1708" s="380" t="str">
        <f>VLOOKUP($B1708,'D7 - NDB Impacted SPRF''s'!$E$6:$O$9929,3,FALSE)</f>
        <v>UHG IT - Enterprise Technology Services</v>
      </c>
      <c r="AD1708" s="380" t="str">
        <f>VLOOKUP($B1708,'D7 - NDB Impacted SPRF''s'!$E$6:$O$9929,5,FALSE)</f>
        <v>Strategic Initiatives</v>
      </c>
      <c r="AE1708" s="380" t="str">
        <f>VLOOKUP($B1708,'D7 - NDB Impacted SPRF''s'!$E$6:$O$9929,7,FALSE)</f>
        <v>Kaja, Tim</v>
      </c>
      <c r="AF1708" s="380" t="str">
        <f>VLOOKUP($B1708,'D7 - NDB Impacted SPRF''s'!$E$6:$O$9929,6,FALSE)</f>
        <v>Shelly Heit</v>
      </c>
      <c r="AG1708" s="282"/>
      <c r="AH1708" s="311" t="e">
        <f>INDEX('D5 - Gatekeeper - Projects'!$A$4:$AF$1010,$AM1708, 17)</f>
        <v>#N/A</v>
      </c>
      <c r="AI1708" s="8"/>
      <c r="AJ1708" s="57"/>
      <c r="AK1708" s="105"/>
      <c r="AM1708" s="6" t="e">
        <f>MATCH(D1708,'D5 - Gatekeeper - Projects'!$C$4:$C$1010,0)</f>
        <v>#N/A</v>
      </c>
      <c r="AN1708" s="6" t="b">
        <f t="shared" si="185"/>
        <v>1</v>
      </c>
      <c r="AO1708" s="6" t="str">
        <f t="shared" si="187"/>
        <v>OK</v>
      </c>
      <c r="AQ1708" s="6" t="e">
        <f>MATCH($D1708,'D4 - Provider Council Unsched'!$C$11:$C$234,0)</f>
        <v>#N/A</v>
      </c>
      <c r="AR1708" s="6" t="b">
        <f t="shared" si="186"/>
        <v>1</v>
      </c>
      <c r="AS1708" s="6" t="str">
        <f t="shared" si="184"/>
        <v>OK</v>
      </c>
      <c r="AU1708" s="202">
        <v>41005</v>
      </c>
      <c r="AV1708" s="262" t="s">
        <v>1081</v>
      </c>
      <c r="AW1708" s="274">
        <v>53111</v>
      </c>
    </row>
    <row r="1709" spans="1:49" s="13" customFormat="1" ht="33.75" x14ac:dyDescent="0.2">
      <c r="A1709" s="14">
        <v>1685</v>
      </c>
      <c r="B1709" s="8">
        <v>400049041</v>
      </c>
      <c r="C1709" s="8" t="s">
        <v>1447</v>
      </c>
      <c r="D1709" s="4" t="str">
        <f t="shared" si="183"/>
        <v>400049041A</v>
      </c>
      <c r="E1709" s="309" t="str">
        <f>VLOOKUP($B1709,'D7 - NDB Impacted SPRF''s'!$E$6:$O$9929,2,FALSE)</f>
        <v>WOQ2 NDB OI 00191 MM Batch Automation</v>
      </c>
      <c r="F1709" s="8"/>
      <c r="G1709" s="8" t="s">
        <v>4758</v>
      </c>
      <c r="H1709" s="8" t="s">
        <v>4246</v>
      </c>
      <c r="I1709" s="20">
        <v>2.2400000000000002</v>
      </c>
      <c r="J1709" s="8" t="s">
        <v>4862</v>
      </c>
      <c r="K1709" s="182">
        <v>41041</v>
      </c>
      <c r="L1709" s="8" t="s">
        <v>4156</v>
      </c>
      <c r="M1709" s="8" t="s">
        <v>6007</v>
      </c>
      <c r="N1709" s="38"/>
      <c r="O1709" s="8"/>
      <c r="P1709" s="4" t="str">
        <f>VLOOKUP($B1709,'D7 - NDB Impacted SPRF''s'!$E$16:$O$9929,9,FALSE)</f>
        <v>N</v>
      </c>
      <c r="Q1709" s="4" t="str">
        <f>VLOOKUP($B1709,'D7 - NDB Impacted SPRF''s'!$E$16:$O$9929,10,FALSE)</f>
        <v>N</v>
      </c>
      <c r="R1709" s="4" t="str">
        <f>VLOOKUP($B1709,'D7 - NDB Impacted SPRF''s'!$E$16:$O$9929,11,FALSE)</f>
        <v>N</v>
      </c>
      <c r="S1709" s="8"/>
      <c r="T1709" s="310"/>
      <c r="U1709" s="310"/>
      <c r="V1709" s="4"/>
      <c r="W1709" s="4"/>
      <c r="X1709" s="4"/>
      <c r="Y1709" s="4"/>
      <c r="Z1709" s="4"/>
      <c r="AA1709" s="4"/>
      <c r="AB1709" s="380" t="str">
        <f>VLOOKUP($B1709,'D7 - NDB Impacted SPRF''s'!$E$6:$O$9929,4,FALSE)</f>
        <v>Completed</v>
      </c>
      <c r="AC1709" s="380" t="str">
        <f>VLOOKUP($B1709,'D7 - NDB Impacted SPRF''s'!$E$6:$O$9929,3,FALSE)</f>
        <v>UnitedHealthcare Employer &amp; Individual</v>
      </c>
      <c r="AD1709" s="380" t="str">
        <f>VLOOKUP($B1709,'D7 - NDB Impacted SPRF''s'!$E$6:$O$9929,5,FALSE)</f>
        <v>Operational Requirements</v>
      </c>
      <c r="AE1709" s="380" t="str">
        <f>VLOOKUP($B1709,'D7 - NDB Impacted SPRF''s'!$E$6:$O$9929,7,FALSE)</f>
        <v>Eileen Dock</v>
      </c>
      <c r="AF1709" s="380" t="str">
        <f>VLOOKUP($B1709,'D7 - NDB Impacted SPRF''s'!$E$6:$O$9929,6,FALSE)</f>
        <v>Robert Wright</v>
      </c>
      <c r="AG1709" s="282"/>
      <c r="AH1709" s="311" t="e">
        <f>INDEX('D5 - Gatekeeper - Projects'!$A$4:$AF$1010,$AM1709, 17)</f>
        <v>#N/A</v>
      </c>
      <c r="AI1709" s="8"/>
      <c r="AJ1709" s="57"/>
      <c r="AK1709" s="105"/>
      <c r="AM1709" s="6" t="e">
        <f>MATCH(D1709,'D5 - Gatekeeper - Projects'!$C$4:$C$1010,0)</f>
        <v>#N/A</v>
      </c>
      <c r="AN1709" s="6" t="b">
        <f t="shared" si="185"/>
        <v>1</v>
      </c>
      <c r="AO1709" s="6" t="str">
        <f t="shared" si="187"/>
        <v>OK</v>
      </c>
      <c r="AQ1709" s="6" t="e">
        <f>MATCH($D1709,'D4 - Provider Council Unsched'!$C$11:$C$234,0)</f>
        <v>#N/A</v>
      </c>
      <c r="AR1709" s="6" t="b">
        <f t="shared" si="186"/>
        <v>1</v>
      </c>
      <c r="AS1709" s="6" t="str">
        <f t="shared" si="184"/>
        <v>OK</v>
      </c>
      <c r="AU1709" s="202">
        <v>40931</v>
      </c>
      <c r="AV1709" s="262" t="s">
        <v>444</v>
      </c>
      <c r="AW1709" s="274"/>
    </row>
    <row r="1710" spans="1:49" s="13" customFormat="1" ht="33.75" x14ac:dyDescent="0.2">
      <c r="A1710" s="14">
        <v>1686</v>
      </c>
      <c r="B1710" s="8">
        <v>400049240</v>
      </c>
      <c r="C1710" s="8" t="s">
        <v>1447</v>
      </c>
      <c r="D1710" s="4" t="str">
        <f t="shared" si="183"/>
        <v>400049240A</v>
      </c>
      <c r="E1710" s="309" t="str">
        <f>VLOOKUP($B1710,'D7 - NDB Impacted SPRF''s'!$E$6:$O$9929,2,FALSE)</f>
        <v>WOQ2 NDB OI 00275 Weekly Data Extract New Tins</v>
      </c>
      <c r="F1710" s="8"/>
      <c r="G1710" s="8" t="s">
        <v>4758</v>
      </c>
      <c r="H1710" s="8" t="s">
        <v>4246</v>
      </c>
      <c r="I1710" s="20">
        <v>3.29</v>
      </c>
      <c r="J1710" s="8" t="s">
        <v>4862</v>
      </c>
      <c r="K1710" s="182">
        <v>41041</v>
      </c>
      <c r="L1710" s="8" t="s">
        <v>4156</v>
      </c>
      <c r="M1710" s="8" t="s">
        <v>6007</v>
      </c>
      <c r="N1710" s="38"/>
      <c r="O1710" s="8"/>
      <c r="P1710" s="4" t="str">
        <f>VLOOKUP($B1710,'D7 - NDB Impacted SPRF''s'!$E$16:$O$9929,9,FALSE)</f>
        <v>N</v>
      </c>
      <c r="Q1710" s="4" t="str">
        <f>VLOOKUP($B1710,'D7 - NDB Impacted SPRF''s'!$E$16:$O$9929,10,FALSE)</f>
        <v>N</v>
      </c>
      <c r="R1710" s="4" t="str">
        <f>VLOOKUP($B1710,'D7 - NDB Impacted SPRF''s'!$E$16:$O$9929,11,FALSE)</f>
        <v>N</v>
      </c>
      <c r="S1710" s="8"/>
      <c r="T1710" s="310"/>
      <c r="U1710" s="310"/>
      <c r="V1710" s="4"/>
      <c r="W1710" s="4"/>
      <c r="X1710" s="4"/>
      <c r="Y1710" s="4"/>
      <c r="Z1710" s="4"/>
      <c r="AA1710" s="4"/>
      <c r="AB1710" s="380" t="str">
        <f>VLOOKUP($B1710,'D7 - NDB Impacted SPRF''s'!$E$6:$O$9929,4,FALSE)</f>
        <v>Completed</v>
      </c>
      <c r="AC1710" s="380" t="str">
        <f>VLOOKUP($B1710,'D7 - NDB Impacted SPRF''s'!$E$6:$O$9929,3,FALSE)</f>
        <v>UnitedHealthcare Employer &amp; Individual</v>
      </c>
      <c r="AD1710" s="380" t="str">
        <f>VLOOKUP($B1710,'D7 - NDB Impacted SPRF''s'!$E$6:$O$9929,5,FALSE)</f>
        <v>Operational Requirements</v>
      </c>
      <c r="AE1710" s="380" t="str">
        <f>VLOOKUP($B1710,'D7 - NDB Impacted SPRF''s'!$E$6:$O$9929,7,FALSE)</f>
        <v>Eileen Dock</v>
      </c>
      <c r="AF1710" s="380" t="str">
        <f>VLOOKUP($B1710,'D7 - NDB Impacted SPRF''s'!$E$6:$O$9929,6,FALSE)</f>
        <v>Robert Wright</v>
      </c>
      <c r="AG1710" s="282"/>
      <c r="AH1710" s="311" t="e">
        <f>INDEX('D5 - Gatekeeper - Projects'!$A$4:$AF$1010,$AM1710, 17)</f>
        <v>#N/A</v>
      </c>
      <c r="AI1710" s="8"/>
      <c r="AJ1710" s="57"/>
      <c r="AK1710" s="105"/>
      <c r="AM1710" s="6" t="e">
        <f>MATCH(D1710,'D5 - Gatekeeper - Projects'!$C$4:$C$1010,0)</f>
        <v>#N/A</v>
      </c>
      <c r="AN1710" s="6" t="b">
        <f t="shared" si="185"/>
        <v>1</v>
      </c>
      <c r="AO1710" s="6" t="str">
        <f t="shared" si="187"/>
        <v>OK</v>
      </c>
      <c r="AQ1710" s="6" t="e">
        <f>MATCH($D1710,'D4 - Provider Council Unsched'!$C$11:$C$234,0)</f>
        <v>#N/A</v>
      </c>
      <c r="AR1710" s="6" t="b">
        <f t="shared" si="186"/>
        <v>1</v>
      </c>
      <c r="AS1710" s="6" t="str">
        <f t="shared" si="184"/>
        <v>OK</v>
      </c>
      <c r="AU1710" s="202">
        <v>40931</v>
      </c>
      <c r="AV1710" s="262" t="s">
        <v>444</v>
      </c>
      <c r="AW1710" s="274">
        <v>56360</v>
      </c>
    </row>
    <row r="1711" spans="1:49" s="13" customFormat="1" ht="45" x14ac:dyDescent="0.2">
      <c r="A1711" s="14">
        <v>1687</v>
      </c>
      <c r="B1711" s="8">
        <v>400050946</v>
      </c>
      <c r="C1711" s="8" t="s">
        <v>1447</v>
      </c>
      <c r="D1711" s="4" t="str">
        <f t="shared" si="183"/>
        <v>400050946A</v>
      </c>
      <c r="E1711" s="309" t="str">
        <f>VLOOKUP($B1711,'D7 - NDB Impacted SPRF''s'!$E$6:$O$9929,2,FALSE)</f>
        <v>Provider Touchpoint - Claims Reconsideration</v>
      </c>
      <c r="F1711" s="8"/>
      <c r="G1711" s="8" t="s">
        <v>4758</v>
      </c>
      <c r="H1711" s="8" t="s">
        <v>4246</v>
      </c>
      <c r="I1711" s="20">
        <v>0.2</v>
      </c>
      <c r="J1711" s="8" t="s">
        <v>4862</v>
      </c>
      <c r="K1711" s="182">
        <v>41041</v>
      </c>
      <c r="L1711" s="8" t="s">
        <v>4156</v>
      </c>
      <c r="M1711" s="8" t="s">
        <v>5626</v>
      </c>
      <c r="N1711" s="38" t="s">
        <v>896</v>
      </c>
      <c r="O1711" s="8"/>
      <c r="P1711" s="4" t="str">
        <f>VLOOKUP($B1711,'D7 - NDB Impacted SPRF''s'!$E$16:$O$9929,9,FALSE)</f>
        <v>N</v>
      </c>
      <c r="Q1711" s="4" t="str">
        <f>VLOOKUP($B1711,'D7 - NDB Impacted SPRF''s'!$E$16:$O$9929,10,FALSE)</f>
        <v>N</v>
      </c>
      <c r="R1711" s="4" t="str">
        <f>VLOOKUP($B1711,'D7 - NDB Impacted SPRF''s'!$E$16:$O$9929,11,FALSE)</f>
        <v>N</v>
      </c>
      <c r="S1711" s="8"/>
      <c r="T1711" s="310"/>
      <c r="U1711" s="310"/>
      <c r="V1711" s="4"/>
      <c r="W1711" s="4"/>
      <c r="X1711" s="4"/>
      <c r="Y1711" s="4"/>
      <c r="Z1711" s="4"/>
      <c r="AA1711" s="4"/>
      <c r="AB1711" s="380" t="str">
        <f>VLOOKUP($B1711,'D7 - NDB Impacted SPRF''s'!$E$6:$O$9929,4,FALSE)</f>
        <v>Completed</v>
      </c>
      <c r="AC1711" s="380" t="str">
        <f>VLOOKUP($B1711,'D7 - NDB Impacted SPRF''s'!$E$6:$O$9929,3,FALSE)</f>
        <v>UHG IT - Shared Services</v>
      </c>
      <c r="AD1711" s="380" t="str">
        <f>VLOOKUP($B1711,'D7 - NDB Impacted SPRF''s'!$E$6:$O$9929,5,FALSE)</f>
        <v>Strategic Initiatives</v>
      </c>
      <c r="AE1711" s="380" t="str">
        <f>VLOOKUP($B1711,'D7 - NDB Impacted SPRF''s'!$E$6:$O$9929,7,FALSE)</f>
        <v>Dino Colaluca</v>
      </c>
      <c r="AF1711" s="380" t="str">
        <f>VLOOKUP($B1711,'D7 - NDB Impacted SPRF''s'!$E$6:$O$9929,6,FALSE)</f>
        <v>John Hodgson</v>
      </c>
      <c r="AG1711" s="282"/>
      <c r="AH1711" s="311" t="e">
        <f>INDEX('D5 - Gatekeeper - Projects'!$A$4:$AF$1010,$AM1711, 17)</f>
        <v>#N/A</v>
      </c>
      <c r="AI1711" s="8"/>
      <c r="AJ1711" s="57"/>
      <c r="AK1711" s="105"/>
      <c r="AM1711" s="6" t="e">
        <f>MATCH(D1711,'D5 - Gatekeeper - Projects'!$C$4:$C$1010,0)</f>
        <v>#N/A</v>
      </c>
      <c r="AN1711" s="6" t="b">
        <f t="shared" si="185"/>
        <v>1</v>
      </c>
      <c r="AO1711" s="6" t="str">
        <f t="shared" si="187"/>
        <v>OK</v>
      </c>
      <c r="AQ1711" s="6" t="e">
        <f>MATCH($D1711,'D4 - Provider Council Unsched'!$C$11:$C$234,0)</f>
        <v>#N/A</v>
      </c>
      <c r="AR1711" s="6" t="b">
        <f t="shared" si="186"/>
        <v>1</v>
      </c>
      <c r="AS1711" s="6" t="str">
        <f t="shared" si="184"/>
        <v>OK</v>
      </c>
      <c r="AU1711" s="202">
        <v>41015</v>
      </c>
      <c r="AV1711" s="262" t="s">
        <v>435</v>
      </c>
      <c r="AW1711" s="274">
        <v>58632</v>
      </c>
    </row>
    <row r="1712" spans="1:49" s="13" customFormat="1" ht="15" x14ac:dyDescent="0.25">
      <c r="A1712" s="14">
        <v>1688</v>
      </c>
      <c r="B1712" s="14" t="s">
        <v>6950</v>
      </c>
      <c r="C1712" s="8" t="s">
        <v>5197</v>
      </c>
      <c r="D1712" s="4" t="s">
        <v>6951</v>
      </c>
      <c r="E1712" s="345" t="s">
        <v>8123</v>
      </c>
      <c r="F1712" s="8"/>
      <c r="G1712" s="8" t="s">
        <v>4758</v>
      </c>
      <c r="H1712" s="8" t="s">
        <v>4246</v>
      </c>
      <c r="I1712" s="20">
        <v>3.6</v>
      </c>
      <c r="J1712" s="8" t="s">
        <v>4862</v>
      </c>
      <c r="K1712" s="182">
        <v>41041</v>
      </c>
      <c r="L1712" s="8" t="s">
        <v>4156</v>
      </c>
      <c r="M1712" s="8" t="s">
        <v>2814</v>
      </c>
      <c r="N1712" s="38"/>
      <c r="O1712" s="8"/>
      <c r="P1712" s="4" t="e">
        <f>VLOOKUP($B1712,'D7 - NDB Impacted SPRF''s'!$E$16:$O$9929,9,FALSE)</f>
        <v>#N/A</v>
      </c>
      <c r="Q1712" s="4" t="e">
        <f>VLOOKUP($B1712,'D7 - NDB Impacted SPRF''s'!$E$16:$O$9929,10,FALSE)</f>
        <v>#N/A</v>
      </c>
      <c r="R1712" s="4" t="e">
        <f>VLOOKUP($B1712,'D7 - NDB Impacted SPRF''s'!$E$16:$O$9929,11,FALSE)</f>
        <v>#N/A</v>
      </c>
      <c r="S1712" s="8"/>
      <c r="T1712" s="310"/>
      <c r="U1712" s="310"/>
      <c r="V1712" s="4"/>
      <c r="W1712" s="4"/>
      <c r="X1712" s="4"/>
      <c r="Y1712" s="4"/>
      <c r="Z1712" s="4"/>
      <c r="AA1712" s="4"/>
      <c r="AB1712" s="383" t="e">
        <f>VLOOKUP($B1712,'D7 - NDB Impacted SPRF''s'!$E$16:$O$9929,4,FALSE)</f>
        <v>#N/A</v>
      </c>
      <c r="AC1712" s="380" t="e">
        <f>VLOOKUP($B1712,'D7 - NDB Impacted SPRF''s'!$E$16:$O$9929,3,FALSE)</f>
        <v>#N/A</v>
      </c>
      <c r="AD1712" s="380" t="e">
        <f>VLOOKUP($B1712,'D7 - NDB Impacted SPRF''s'!$E$16:$O$9929,5,FALSE)</f>
        <v>#N/A</v>
      </c>
      <c r="AE1712" s="380" t="e">
        <f>VLOOKUP($B1712,'D7 - NDB Impacted SPRF''s'!$E$16:$O$9929,7,FALSE)</f>
        <v>#N/A</v>
      </c>
      <c r="AF1712" s="380" t="e">
        <f>VLOOKUP($B1712,'D7 - NDB Impacted SPRF''s'!$E$16:$O$9929,6,FALSE)</f>
        <v>#N/A</v>
      </c>
      <c r="AG1712" s="282"/>
      <c r="AH1712" s="311" t="e">
        <f>INDEX('D5 - Gatekeeper - Projects'!$A$4:$AF$1010,$AM1712, 17)</f>
        <v>#N/A</v>
      </c>
      <c r="AI1712" s="8"/>
      <c r="AJ1712" s="57"/>
      <c r="AK1712" s="105"/>
      <c r="AM1712" s="6" t="e">
        <f>MATCH(D1712,'D5 - Gatekeeper - Projects'!$C$4:$C$1010,0)</f>
        <v>#N/A</v>
      </c>
      <c r="AN1712" s="6" t="b">
        <f t="shared" si="185"/>
        <v>1</v>
      </c>
      <c r="AO1712" s="6" t="str">
        <f t="shared" si="187"/>
        <v>OK</v>
      </c>
      <c r="AQ1712" s="6" t="e">
        <f>MATCH($D1712,'D4 - Provider Council Unsched'!$C$11:$C$234,0)</f>
        <v>#N/A</v>
      </c>
      <c r="AR1712" s="6" t="b">
        <f t="shared" si="186"/>
        <v>1</v>
      </c>
      <c r="AS1712" s="6" t="str">
        <f>IF(AND(H1712="2 - Not Scheduled",AR1712=TRUE),"Add","OK")</f>
        <v>OK</v>
      </c>
      <c r="AU1712" s="202">
        <v>40816</v>
      </c>
      <c r="AV1712" s="262" t="e">
        <v>#N/A</v>
      </c>
      <c r="AW1712" s="274"/>
    </row>
    <row r="1713" spans="1:49" s="13" customFormat="1" ht="33.75" x14ac:dyDescent="0.2">
      <c r="A1713" s="14">
        <v>1689</v>
      </c>
      <c r="B1713" s="8">
        <v>400045359</v>
      </c>
      <c r="C1713" s="8" t="s">
        <v>7290</v>
      </c>
      <c r="D1713" s="4" t="str">
        <f t="shared" ref="D1713:D1776" si="188">CONCATENATE(B1713,C1713)</f>
        <v>400045359B</v>
      </c>
      <c r="E1713" s="309" t="str">
        <f>VLOOKUP($B1713,'D7 - NDB Impacted SPRF''s'!$E$6:$O$9929,2,FALSE)</f>
        <v xml:space="preserve">PDR - Cosmos to PDR Pilot Facility Pricing </v>
      </c>
      <c r="F1713" s="8"/>
      <c r="G1713" s="8" t="s">
        <v>4758</v>
      </c>
      <c r="H1713" s="8" t="s">
        <v>4246</v>
      </c>
      <c r="I1713" s="20">
        <v>1.39</v>
      </c>
      <c r="J1713" s="8" t="s">
        <v>4862</v>
      </c>
      <c r="K1713" s="182">
        <v>41060</v>
      </c>
      <c r="L1713" s="8" t="s">
        <v>4156</v>
      </c>
      <c r="M1713" s="8" t="s">
        <v>6007</v>
      </c>
      <c r="N1713" s="38" t="s">
        <v>2332</v>
      </c>
      <c r="O1713" s="8"/>
      <c r="P1713" s="4" t="str">
        <f>VLOOKUP($B1713,'D7 - NDB Impacted SPRF''s'!$E$16:$O$9929,9,FALSE)</f>
        <v>N</v>
      </c>
      <c r="Q1713" s="4" t="str">
        <f>VLOOKUP($B1713,'D7 - NDB Impacted SPRF''s'!$E$16:$O$9929,10,FALSE)</f>
        <v>N</v>
      </c>
      <c r="R1713" s="4" t="str">
        <f>VLOOKUP($B1713,'D7 - NDB Impacted SPRF''s'!$E$16:$O$9929,11,FALSE)</f>
        <v>Y</v>
      </c>
      <c r="S1713" s="8"/>
      <c r="T1713" s="310"/>
      <c r="U1713" s="310"/>
      <c r="V1713" s="4"/>
      <c r="W1713" s="4"/>
      <c r="X1713" s="4"/>
      <c r="Y1713" s="4"/>
      <c r="Z1713" s="4"/>
      <c r="AA1713" s="4"/>
      <c r="AB1713" s="380" t="str">
        <f>VLOOKUP($B1713,'D7 - NDB Impacted SPRF''s'!$E$6:$O$9929,4,FALSE)</f>
        <v>Completed</v>
      </c>
      <c r="AC1713" s="380" t="str">
        <f>VLOOKUP($B1713,'D7 - NDB Impacted SPRF''s'!$E$6:$O$9929,3,FALSE)</f>
        <v>UnitedHealthcare Medicare &amp; Retirement</v>
      </c>
      <c r="AD1713" s="380" t="str">
        <f>VLOOKUP($B1713,'D7 - NDB Impacted SPRF''s'!$E$6:$O$9929,5,FALSE)</f>
        <v>Regulatory / Other</v>
      </c>
      <c r="AE1713" s="380" t="str">
        <f>VLOOKUP($B1713,'D7 - NDB Impacted SPRF''s'!$E$6:$O$9929,7,FALSE)</f>
        <v>Dave Wichmann</v>
      </c>
      <c r="AF1713" s="380" t="str">
        <f>VLOOKUP($B1713,'D7 - NDB Impacted SPRF''s'!$E$6:$O$9929,6,FALSE)</f>
        <v>Julie Severson</v>
      </c>
      <c r="AG1713" s="282"/>
      <c r="AH1713" s="311" t="e">
        <f>INDEX('D5 - Gatekeeper - Projects'!$A$4:$AF$1010,$AM1713, 17)</f>
        <v>#N/A</v>
      </c>
      <c r="AI1713" s="8"/>
      <c r="AJ1713" s="57"/>
      <c r="AK1713" s="105"/>
      <c r="AM1713" s="6" t="e">
        <f>MATCH(D1713,'D5 - Gatekeeper - Projects'!$C$4:$C$1010,0)</f>
        <v>#N/A</v>
      </c>
      <c r="AN1713" s="6" t="b">
        <f t="shared" si="185"/>
        <v>1</v>
      </c>
      <c r="AO1713" s="6" t="str">
        <f t="shared" si="187"/>
        <v>OK</v>
      </c>
      <c r="AQ1713" s="6" t="e">
        <f>MATCH($D1713,'D4 - Provider Council Unsched'!$C$11:$C$234,0)</f>
        <v>#N/A</v>
      </c>
      <c r="AR1713" s="6" t="b">
        <f t="shared" si="186"/>
        <v>1</v>
      </c>
      <c r="AS1713" s="6" t="str">
        <f t="shared" ref="AS1713:AS1744" si="189">IF(AND(H1713="2 - Not Scheduled",AR1713=TRUE,C1713="R1"),"Add","OK")</f>
        <v>OK</v>
      </c>
      <c r="AU1713" s="202">
        <v>41018</v>
      </c>
      <c r="AV1713" s="262" t="s">
        <v>1133</v>
      </c>
      <c r="AW1713" s="274">
        <v>55507</v>
      </c>
    </row>
    <row r="1714" spans="1:49" s="13" customFormat="1" ht="67.5" x14ac:dyDescent="0.2">
      <c r="A1714" s="14">
        <v>1690</v>
      </c>
      <c r="B1714" s="14">
        <v>400032790</v>
      </c>
      <c r="C1714" s="8" t="s">
        <v>5614</v>
      </c>
      <c r="D1714" s="4" t="str">
        <f t="shared" si="188"/>
        <v>400032790R5</v>
      </c>
      <c r="E1714" s="309" t="str">
        <f>VLOOKUP($B1714,'D7 - NDB Impacted SPRF''s'!$E$6:$O$9929,2,FALSE)</f>
        <v>Ovations Provider Pick Improvements</v>
      </c>
      <c r="F1714" s="8"/>
      <c r="G1714" s="8" t="s">
        <v>4758</v>
      </c>
      <c r="H1714" s="8" t="s">
        <v>4246</v>
      </c>
      <c r="I1714" s="20">
        <v>22.82</v>
      </c>
      <c r="J1714" s="8" t="s">
        <v>4862</v>
      </c>
      <c r="K1714" s="182">
        <v>41083</v>
      </c>
      <c r="L1714" s="8" t="s">
        <v>4156</v>
      </c>
      <c r="M1714" s="8" t="s">
        <v>2814</v>
      </c>
      <c r="N1714" s="38" t="s">
        <v>685</v>
      </c>
      <c r="O1714" s="8"/>
      <c r="P1714" s="4" t="str">
        <f>VLOOKUP($B1714,'D7 - NDB Impacted SPRF''s'!$E$16:$O$9929,9,FALSE)</f>
        <v>N</v>
      </c>
      <c r="Q1714" s="4" t="str">
        <f>VLOOKUP($B1714,'D7 - NDB Impacted SPRF''s'!$E$16:$O$9929,10,FALSE)</f>
        <v>N</v>
      </c>
      <c r="R1714" s="4" t="str">
        <f>VLOOKUP($B1714,'D7 - NDB Impacted SPRF''s'!$E$16:$O$9929,11,FALSE)</f>
        <v>N</v>
      </c>
      <c r="S1714" s="8"/>
      <c r="T1714" s="310"/>
      <c r="U1714" s="310"/>
      <c r="V1714" s="4"/>
      <c r="W1714" s="4"/>
      <c r="X1714" s="4"/>
      <c r="Y1714" s="4"/>
      <c r="Z1714" s="4"/>
      <c r="AA1714" s="4"/>
      <c r="AB1714" s="380" t="str">
        <f>VLOOKUP($B1714,'D7 - NDB Impacted SPRF''s'!$E$6:$O$9929,4,FALSE)</f>
        <v>Completed</v>
      </c>
      <c r="AC1714" s="380" t="str">
        <f>VLOOKUP($B1714,'D7 - NDB Impacted SPRF''s'!$E$6:$O$9929,3,FALSE)</f>
        <v>UnitedHealthcare Medicare &amp; Retirement</v>
      </c>
      <c r="AD1714" s="380" t="str">
        <f>VLOOKUP($B1714,'D7 - NDB Impacted SPRF''s'!$E$6:$O$9929,5,FALSE)</f>
        <v>Process Improvement</v>
      </c>
      <c r="AE1714" s="380" t="str">
        <f>VLOOKUP($B1714,'D7 - NDB Impacted SPRF''s'!$E$6:$O$9929,7,FALSE)</f>
        <v>Kelly Gilberston</v>
      </c>
      <c r="AF1714" s="380" t="str">
        <f>VLOOKUP($B1714,'D7 - NDB Impacted SPRF''s'!$E$6:$O$9929,6,FALSE)</f>
        <v>Brian Schimke</v>
      </c>
      <c r="AG1714" s="282"/>
      <c r="AH1714" s="311" t="e">
        <f>INDEX('D5 - Gatekeeper - Projects'!$A$4:$AF$1010,$AM1714, 17)</f>
        <v>#N/A</v>
      </c>
      <c r="AI1714" s="8"/>
      <c r="AJ1714" s="57"/>
      <c r="AK1714" s="105"/>
      <c r="AM1714" s="6" t="e">
        <f>MATCH(D1714,'D5 - Gatekeeper - Projects'!$C$4:$C$1010,0)</f>
        <v>#N/A</v>
      </c>
      <c r="AN1714" s="6" t="b">
        <f t="shared" si="185"/>
        <v>1</v>
      </c>
      <c r="AO1714" s="6" t="str">
        <f t="shared" si="187"/>
        <v>OK</v>
      </c>
      <c r="AQ1714" s="6" t="e">
        <f>MATCH($D1714,'D4 - Provider Council Unsched'!$C$11:$C$234,0)</f>
        <v>#N/A</v>
      </c>
      <c r="AR1714" s="6" t="b">
        <f t="shared" si="186"/>
        <v>1</v>
      </c>
      <c r="AS1714" s="6" t="str">
        <f t="shared" si="189"/>
        <v>OK</v>
      </c>
      <c r="AU1714" s="202">
        <v>40816</v>
      </c>
      <c r="AV1714" s="262" t="s">
        <v>445</v>
      </c>
      <c r="AW1714" s="274">
        <v>46511</v>
      </c>
    </row>
    <row r="1715" spans="1:49" s="13" customFormat="1" ht="33.75" x14ac:dyDescent="0.2">
      <c r="A1715" s="14">
        <v>1691</v>
      </c>
      <c r="B1715" s="8">
        <v>400041737</v>
      </c>
      <c r="C1715" s="8" t="s">
        <v>2330</v>
      </c>
      <c r="D1715" s="4" t="str">
        <f t="shared" si="188"/>
        <v>400041737H</v>
      </c>
      <c r="E1715" s="309" t="str">
        <f>VLOOKUP($B1715,'D7 - NDB Impacted SPRF''s'!$E$6:$O$9929,2,FALSE)</f>
        <v>ICD10- Field Expansion- UHC EI</v>
      </c>
      <c r="F1715" s="8"/>
      <c r="G1715" s="8" t="s">
        <v>4758</v>
      </c>
      <c r="H1715" s="8" t="s">
        <v>4246</v>
      </c>
      <c r="I1715" s="20">
        <v>0.61</v>
      </c>
      <c r="J1715" s="8" t="s">
        <v>4862</v>
      </c>
      <c r="K1715" s="182">
        <v>41083</v>
      </c>
      <c r="L1715" s="8" t="s">
        <v>4156</v>
      </c>
      <c r="M1715" s="8" t="s">
        <v>5626</v>
      </c>
      <c r="N1715" s="38" t="s">
        <v>265</v>
      </c>
      <c r="O1715" s="8"/>
      <c r="P1715" s="4" t="str">
        <f>VLOOKUP($B1715,'D7 - NDB Impacted SPRF''s'!$E$16:$O$9929,9,FALSE)</f>
        <v>Y</v>
      </c>
      <c r="Q1715" s="4" t="str">
        <f>VLOOKUP($B1715,'D7 - NDB Impacted SPRF''s'!$E$16:$O$9929,10,FALSE)</f>
        <v>N</v>
      </c>
      <c r="R1715" s="4" t="str">
        <f>VLOOKUP($B1715,'D7 - NDB Impacted SPRF''s'!$E$16:$O$9929,11,FALSE)</f>
        <v>Y</v>
      </c>
      <c r="S1715" s="8"/>
      <c r="T1715" s="310"/>
      <c r="U1715" s="310"/>
      <c r="V1715" s="4"/>
      <c r="W1715" s="4"/>
      <c r="X1715" s="4"/>
      <c r="Y1715" s="4"/>
      <c r="Z1715" s="4"/>
      <c r="AA1715" s="4"/>
      <c r="AB1715" s="380" t="str">
        <f>VLOOKUP($B1715,'D7 - NDB Impacted SPRF''s'!$E$6:$O$9929,4,FALSE)</f>
        <v>Scheduled</v>
      </c>
      <c r="AC1715" s="380" t="str">
        <f>VLOOKUP($B1715,'D7 - NDB Impacted SPRF''s'!$E$6:$O$9929,3,FALSE)</f>
        <v>UnitedHealthcare Employer &amp; Individual</v>
      </c>
      <c r="AD1715" s="380" t="str">
        <f>VLOOKUP($B1715,'D7 - NDB Impacted SPRF''s'!$E$6:$O$9929,5,FALSE)</f>
        <v>Regulatory / Other</v>
      </c>
      <c r="AE1715" s="380" t="str">
        <f>VLOOKUP($B1715,'D7 - NDB Impacted SPRF''s'!$E$6:$O$9929,7,FALSE)</f>
        <v>Tim Kaja</v>
      </c>
      <c r="AF1715" s="380" t="str">
        <f>VLOOKUP($B1715,'D7 - NDB Impacted SPRF''s'!$E$6:$O$9929,6,FALSE)</f>
        <v>Delvis Schilling</v>
      </c>
      <c r="AG1715" s="282"/>
      <c r="AH1715" s="311" t="e">
        <f>INDEX('D5 - Gatekeeper - Projects'!$A$4:$AF$1010,$AM1715, 17)</f>
        <v>#N/A</v>
      </c>
      <c r="AI1715" s="8"/>
      <c r="AJ1715" s="57"/>
      <c r="AK1715" s="105"/>
      <c r="AM1715" s="6" t="e">
        <f>MATCH(D1715,'D5 - Gatekeeper - Projects'!$C$4:$C$1010,0)</f>
        <v>#N/A</v>
      </c>
      <c r="AN1715" s="6" t="b">
        <f t="shared" si="185"/>
        <v>1</v>
      </c>
      <c r="AO1715" s="6" t="str">
        <f t="shared" si="187"/>
        <v>OK</v>
      </c>
      <c r="AQ1715" s="6" t="e">
        <f>MATCH($D1715,'D4 - Provider Council Unsched'!$C$11:$C$234,0)</f>
        <v>#N/A</v>
      </c>
      <c r="AR1715" s="6" t="b">
        <f t="shared" si="186"/>
        <v>1</v>
      </c>
      <c r="AS1715" s="6" t="str">
        <f t="shared" si="189"/>
        <v>OK</v>
      </c>
      <c r="AU1715" s="202">
        <v>41018</v>
      </c>
      <c r="AV1715" s="262" t="s">
        <v>2299</v>
      </c>
      <c r="AW1715" s="274">
        <v>57823</v>
      </c>
    </row>
    <row r="1716" spans="1:49" s="13" customFormat="1" ht="33.75" x14ac:dyDescent="0.2">
      <c r="A1716" s="14">
        <v>1692</v>
      </c>
      <c r="B1716" s="8">
        <v>400042122</v>
      </c>
      <c r="C1716" s="8" t="s">
        <v>1447</v>
      </c>
      <c r="D1716" s="4" t="str">
        <f t="shared" si="188"/>
        <v>400042122A</v>
      </c>
      <c r="E1716" s="309" t="str">
        <f>VLOOKUP($B1716,'D7 - NDB Impacted SPRF''s'!$E$6:$O$9929,2,FALSE)</f>
        <v>5010 EDI Reporting</v>
      </c>
      <c r="F1716" s="8"/>
      <c r="G1716" s="8" t="s">
        <v>4758</v>
      </c>
      <c r="H1716" s="8" t="s">
        <v>4246</v>
      </c>
      <c r="I1716" s="20">
        <v>4.01</v>
      </c>
      <c r="J1716" s="8" t="s">
        <v>4862</v>
      </c>
      <c r="K1716" s="182">
        <v>41083</v>
      </c>
      <c r="L1716" s="8" t="s">
        <v>4156</v>
      </c>
      <c r="M1716" s="8" t="s">
        <v>2814</v>
      </c>
      <c r="N1716" s="38" t="s">
        <v>1875</v>
      </c>
      <c r="O1716" s="8"/>
      <c r="P1716" s="4" t="str">
        <f>VLOOKUP($B1716,'D7 - NDB Impacted SPRF''s'!$E$16:$O$9929,9,FALSE)</f>
        <v>N</v>
      </c>
      <c r="Q1716" s="4" t="str">
        <f>VLOOKUP($B1716,'D7 - NDB Impacted SPRF''s'!$E$16:$O$9929,10,FALSE)</f>
        <v>N</v>
      </c>
      <c r="R1716" s="4" t="str">
        <f>VLOOKUP($B1716,'D7 - NDB Impacted SPRF''s'!$E$16:$O$9929,11,FALSE)</f>
        <v>N</v>
      </c>
      <c r="S1716" s="8"/>
      <c r="T1716" s="310"/>
      <c r="U1716" s="310"/>
      <c r="V1716" s="4"/>
      <c r="W1716" s="4"/>
      <c r="X1716" s="4"/>
      <c r="Y1716" s="4"/>
      <c r="Z1716" s="4"/>
      <c r="AA1716" s="4"/>
      <c r="AB1716" s="380" t="str">
        <f>VLOOKUP($B1716,'D7 - NDB Impacted SPRF''s'!$E$6:$O$9929,4,FALSE)</f>
        <v>Completed</v>
      </c>
      <c r="AC1716" s="380" t="str">
        <f>VLOOKUP($B1716,'D7 - NDB Impacted SPRF''s'!$E$6:$O$9929,3,FALSE)</f>
        <v>UnitedHealthcare Employer &amp; Individual</v>
      </c>
      <c r="AD1716" s="380" t="str">
        <f>VLOOKUP($B1716,'D7 - NDB Impacted SPRF''s'!$E$6:$O$9929,5,FALSE)</f>
        <v>HIPAA 5010</v>
      </c>
      <c r="AE1716" s="380" t="str">
        <f>VLOOKUP($B1716,'D7 - NDB Impacted SPRF''s'!$E$6:$O$9929,7,FALSE)</f>
        <v>Chris Kent</v>
      </c>
      <c r="AF1716" s="380" t="str">
        <f>VLOOKUP($B1716,'D7 - NDB Impacted SPRF''s'!$E$6:$O$9929,6,FALSE)</f>
        <v>Jensen Michelle</v>
      </c>
      <c r="AG1716" s="282"/>
      <c r="AH1716" s="311" t="e">
        <f>INDEX('D5 - Gatekeeper - Projects'!$A$4:$AF$1010,$AM1716, 17)</f>
        <v>#N/A</v>
      </c>
      <c r="AI1716" s="8"/>
      <c r="AJ1716" s="57"/>
      <c r="AK1716" s="105"/>
      <c r="AM1716" s="6" t="e">
        <f>MATCH(D1716,'D5 - Gatekeeper - Projects'!$C$4:$C$1010,0)</f>
        <v>#N/A</v>
      </c>
      <c r="AN1716" s="6" t="b">
        <f t="shared" si="185"/>
        <v>1</v>
      </c>
      <c r="AO1716" s="6" t="str">
        <f t="shared" si="187"/>
        <v>OK</v>
      </c>
      <c r="AQ1716" s="6" t="e">
        <f>MATCH($D1716,'D4 - Provider Council Unsched'!$C$11:$C$234,0)</f>
        <v>#N/A</v>
      </c>
      <c r="AR1716" s="6" t="b">
        <f t="shared" si="186"/>
        <v>1</v>
      </c>
      <c r="AS1716" s="6" t="str">
        <f t="shared" si="189"/>
        <v>OK</v>
      </c>
      <c r="AU1716" s="202"/>
      <c r="AV1716" s="262" t="s">
        <v>1082</v>
      </c>
      <c r="AW1716" s="274">
        <v>34070</v>
      </c>
    </row>
    <row r="1717" spans="1:49" s="13" customFormat="1" ht="33.75" x14ac:dyDescent="0.2">
      <c r="A1717" s="14">
        <v>1693</v>
      </c>
      <c r="B1717" s="8">
        <v>400046410</v>
      </c>
      <c r="C1717" s="8" t="s">
        <v>7290</v>
      </c>
      <c r="D1717" s="4" t="str">
        <f t="shared" si="188"/>
        <v>400046410B</v>
      </c>
      <c r="E1717" s="309" t="str">
        <f>VLOOKUP($B1717,'D7 - NDB Impacted SPRF''s'!$E$6:$O$9929,2,FALSE)</f>
        <v>ED - ISET-ELGS Integration</v>
      </c>
      <c r="F1717" s="8"/>
      <c r="G1717" s="8" t="s">
        <v>4758</v>
      </c>
      <c r="H1717" s="8" t="s">
        <v>4246</v>
      </c>
      <c r="I1717" s="20">
        <v>0.41</v>
      </c>
      <c r="J1717" s="8" t="s">
        <v>4862</v>
      </c>
      <c r="K1717" s="182">
        <v>41083</v>
      </c>
      <c r="L1717" s="8" t="s">
        <v>4156</v>
      </c>
      <c r="M1717" s="8" t="s">
        <v>6688</v>
      </c>
      <c r="N1717" s="38" t="s">
        <v>201</v>
      </c>
      <c r="O1717" s="8"/>
      <c r="P1717" s="4" t="str">
        <f>VLOOKUP($B1717,'D7 - NDB Impacted SPRF''s'!$E$16:$O$9929,9,FALSE)</f>
        <v>Y</v>
      </c>
      <c r="Q1717" s="4" t="str">
        <f>VLOOKUP($B1717,'D7 - NDB Impacted SPRF''s'!$E$16:$O$9929,10,FALSE)</f>
        <v>N</v>
      </c>
      <c r="R1717" s="4" t="str">
        <f>VLOOKUP($B1717,'D7 - NDB Impacted SPRF''s'!$E$16:$O$9929,11,FALSE)</f>
        <v>N</v>
      </c>
      <c r="S1717" s="8"/>
      <c r="T1717" s="310"/>
      <c r="U1717" s="310"/>
      <c r="V1717" s="4"/>
      <c r="W1717" s="4"/>
      <c r="X1717" s="4"/>
      <c r="Y1717" s="4"/>
      <c r="Z1717" s="4"/>
      <c r="AA1717" s="4"/>
      <c r="AB1717" s="380" t="str">
        <f>VLOOKUP($B1717,'D7 - NDB Impacted SPRF''s'!$E$6:$O$9929,4,FALSE)</f>
        <v>Scheduled</v>
      </c>
      <c r="AC1717" s="380" t="str">
        <f>VLOOKUP($B1717,'D7 - NDB Impacted SPRF''s'!$E$6:$O$9929,3,FALSE)</f>
        <v>UHG IT - Shared Services</v>
      </c>
      <c r="AD1717" s="380" t="str">
        <f>VLOOKUP($B1717,'D7 - NDB Impacted SPRF''s'!$E$6:$O$9929,5,FALSE)</f>
        <v>Strategic Initiatives</v>
      </c>
      <c r="AE1717" s="380" t="str">
        <f>VLOOKUP($B1717,'D7 - NDB Impacted SPRF''s'!$E$6:$O$9929,7,FALSE)</f>
        <v>Kevin Cogle</v>
      </c>
      <c r="AF1717" s="380" t="str">
        <f>VLOOKUP($B1717,'D7 - NDB Impacted SPRF''s'!$E$6:$O$9929,6,FALSE)</f>
        <v>Cory Mehan</v>
      </c>
      <c r="AG1717" s="282"/>
      <c r="AH1717" s="311" t="e">
        <f>INDEX('D5 - Gatekeeper - Projects'!$A$4:$AF$1010,$AM1717, 17)</f>
        <v>#N/A</v>
      </c>
      <c r="AI1717" s="8"/>
      <c r="AJ1717" s="57"/>
      <c r="AK1717" s="105"/>
      <c r="AM1717" s="6" t="e">
        <f>MATCH(D1717,'D5 - Gatekeeper - Projects'!$C$4:$C$1010,0)</f>
        <v>#N/A</v>
      </c>
      <c r="AN1717" s="6" t="b">
        <f t="shared" si="185"/>
        <v>1</v>
      </c>
      <c r="AO1717" s="6" t="str">
        <f t="shared" si="187"/>
        <v>OK</v>
      </c>
      <c r="AQ1717" s="6" t="e">
        <f>MATCH($D1717,'D4 - Provider Council Unsched'!$C$11:$C$234,0)</f>
        <v>#N/A</v>
      </c>
      <c r="AR1717" s="6" t="b">
        <f t="shared" si="186"/>
        <v>1</v>
      </c>
      <c r="AS1717" s="6" t="str">
        <f t="shared" si="189"/>
        <v>OK</v>
      </c>
      <c r="AU1717" s="202">
        <v>40963</v>
      </c>
      <c r="AV1717" s="262" t="s">
        <v>1088</v>
      </c>
      <c r="AW1717" s="274">
        <v>47119</v>
      </c>
    </row>
    <row r="1718" spans="1:49" s="13" customFormat="1" ht="101.25" x14ac:dyDescent="0.2">
      <c r="A1718" s="14">
        <v>1694</v>
      </c>
      <c r="B1718" s="8">
        <v>400046682</v>
      </c>
      <c r="C1718" s="8" t="s">
        <v>1447</v>
      </c>
      <c r="D1718" s="4" t="str">
        <f t="shared" si="188"/>
        <v>400046682A</v>
      </c>
      <c r="E1718" s="309" t="str">
        <f>VLOOKUP($B1718,'D7 - NDB Impacted SPRF''s'!$E$6:$O$9929,2,FALSE)</f>
        <v>UMR Cost Transparency</v>
      </c>
      <c r="F1718" s="8"/>
      <c r="G1718" s="8" t="s">
        <v>4758</v>
      </c>
      <c r="H1718" s="8" t="s">
        <v>4246</v>
      </c>
      <c r="I1718" s="20">
        <v>0.24</v>
      </c>
      <c r="J1718" s="8" t="s">
        <v>4862</v>
      </c>
      <c r="K1718" s="182">
        <v>41083</v>
      </c>
      <c r="L1718" s="8" t="s">
        <v>4156</v>
      </c>
      <c r="M1718" s="8" t="s">
        <v>6688</v>
      </c>
      <c r="N1718" s="38" t="s">
        <v>428</v>
      </c>
      <c r="O1718" s="8"/>
      <c r="P1718" s="4" t="str">
        <f>VLOOKUP($B1718,'D7 - NDB Impacted SPRF''s'!$E$16:$O$9929,9,FALSE)</f>
        <v>N</v>
      </c>
      <c r="Q1718" s="4" t="str">
        <f>VLOOKUP($B1718,'D7 - NDB Impacted SPRF''s'!$E$16:$O$9929,10,FALSE)</f>
        <v>N</v>
      </c>
      <c r="R1718" s="4" t="str">
        <f>VLOOKUP($B1718,'D7 - NDB Impacted SPRF''s'!$E$16:$O$9929,11,FALSE)</f>
        <v>N</v>
      </c>
      <c r="S1718" s="8"/>
      <c r="T1718" s="310"/>
      <c r="U1718" s="310"/>
      <c r="V1718" s="4"/>
      <c r="W1718" s="4"/>
      <c r="X1718" s="4"/>
      <c r="Y1718" s="4"/>
      <c r="Z1718" s="4"/>
      <c r="AA1718" s="4"/>
      <c r="AB1718" s="380" t="str">
        <f>VLOOKUP($B1718,'D7 - NDB Impacted SPRF''s'!$E$6:$O$9929,4,FALSE)</f>
        <v>Completed</v>
      </c>
      <c r="AC1718" s="380" t="str">
        <f>VLOOKUP($B1718,'D7 - NDB Impacted SPRF''s'!$E$6:$O$9929,3,FALSE)</f>
        <v>UnitedHealthcare Employer &amp; Individual</v>
      </c>
      <c r="AD1718" s="380" t="str">
        <f>VLOOKUP($B1718,'D7 - NDB Impacted SPRF''s'!$E$6:$O$9929,5,FALSE)</f>
        <v>Membership Growth / Revenue Programs</v>
      </c>
      <c r="AE1718" s="380" t="str">
        <f>VLOOKUP($B1718,'D7 - NDB Impacted SPRF''s'!$E$6:$O$9929,7,FALSE)</f>
        <v>Stephanie Elliot</v>
      </c>
      <c r="AF1718" s="380" t="str">
        <f>VLOOKUP($B1718,'D7 - NDB Impacted SPRF''s'!$E$6:$O$9929,6,FALSE)</f>
        <v>Julie Bainter</v>
      </c>
      <c r="AG1718" s="282"/>
      <c r="AH1718" s="311" t="e">
        <f>INDEX('D5 - Gatekeeper - Projects'!$A$4:$AF$1010,$AM1718, 17)</f>
        <v>#N/A</v>
      </c>
      <c r="AI1718" s="8"/>
      <c r="AJ1718" s="57"/>
      <c r="AK1718" s="105"/>
      <c r="AM1718" s="6" t="e">
        <f>MATCH(D1718,'D5 - Gatekeeper - Projects'!$C$4:$C$1010,0)</f>
        <v>#N/A</v>
      </c>
      <c r="AN1718" s="6" t="b">
        <f t="shared" si="185"/>
        <v>1</v>
      </c>
      <c r="AO1718" s="6" t="str">
        <f t="shared" si="187"/>
        <v>OK</v>
      </c>
      <c r="AQ1718" s="6" t="e">
        <f>MATCH($D1718,'D4 - Provider Council Unsched'!$C$11:$C$234,0)</f>
        <v>#N/A</v>
      </c>
      <c r="AR1718" s="6" t="b">
        <f t="shared" si="186"/>
        <v>1</v>
      </c>
      <c r="AS1718" s="6" t="str">
        <f t="shared" si="189"/>
        <v>OK</v>
      </c>
      <c r="AU1718" s="202">
        <v>41029</v>
      </c>
      <c r="AV1718" s="262" t="s">
        <v>489</v>
      </c>
      <c r="AW1718" s="274"/>
    </row>
    <row r="1719" spans="1:49" s="13" customFormat="1" ht="33.75" x14ac:dyDescent="0.2">
      <c r="A1719" s="14">
        <v>1695</v>
      </c>
      <c r="B1719" s="8">
        <v>400047477</v>
      </c>
      <c r="C1719" s="8" t="s">
        <v>1447</v>
      </c>
      <c r="D1719" s="4" t="str">
        <f t="shared" si="188"/>
        <v>400047477A</v>
      </c>
      <c r="E1719" s="309" t="str">
        <f>VLOOKUP($B1719,'D7 - NDB Impacted SPRF''s'!$E$6:$O$9929,2,FALSE)</f>
        <v xml:space="preserve">ICD10 E &amp; I Compliance Release </v>
      </c>
      <c r="F1719" s="8"/>
      <c r="G1719" s="8" t="s">
        <v>4758</v>
      </c>
      <c r="H1719" s="8" t="s">
        <v>4246</v>
      </c>
      <c r="I1719" s="20">
        <v>10.44</v>
      </c>
      <c r="J1719" s="8" t="s">
        <v>4862</v>
      </c>
      <c r="K1719" s="182">
        <v>41083</v>
      </c>
      <c r="L1719" s="8" t="s">
        <v>4156</v>
      </c>
      <c r="M1719" s="8" t="s">
        <v>2814</v>
      </c>
      <c r="N1719" s="38"/>
      <c r="O1719" s="8"/>
      <c r="P1719" s="4" t="str">
        <f>VLOOKUP($B1719,'D7 - NDB Impacted SPRF''s'!$E$16:$O$9929,9,FALSE)</f>
        <v>Y</v>
      </c>
      <c r="Q1719" s="4" t="str">
        <f>VLOOKUP($B1719,'D7 - NDB Impacted SPRF''s'!$E$16:$O$9929,10,FALSE)</f>
        <v>N</v>
      </c>
      <c r="R1719" s="4" t="str">
        <f>VLOOKUP($B1719,'D7 - NDB Impacted SPRF''s'!$E$16:$O$9929,11,FALSE)</f>
        <v>Y</v>
      </c>
      <c r="S1719" s="8"/>
      <c r="T1719" s="310"/>
      <c r="U1719" s="310"/>
      <c r="V1719" s="4"/>
      <c r="W1719" s="4"/>
      <c r="X1719" s="4"/>
      <c r="Y1719" s="4"/>
      <c r="Z1719" s="4"/>
      <c r="AA1719" s="4"/>
      <c r="AB1719" s="380" t="str">
        <f>VLOOKUP($B1719,'D7 - NDB Impacted SPRF''s'!$E$6:$O$9929,4,FALSE)</f>
        <v>Scheduled</v>
      </c>
      <c r="AC1719" s="380" t="str">
        <f>VLOOKUP($B1719,'D7 - NDB Impacted SPRF''s'!$E$6:$O$9929,3,FALSE)</f>
        <v>UnitedHealthcare Employer &amp; Individual</v>
      </c>
      <c r="AD1719" s="380" t="str">
        <f>VLOOKUP($B1719,'D7 - NDB Impacted SPRF''s'!$E$6:$O$9929,5,FALSE)</f>
        <v>Regulatory / Other</v>
      </c>
      <c r="AE1719" s="380" t="str">
        <f>VLOOKUP($B1719,'D7 - NDB Impacted SPRF''s'!$E$6:$O$9929,7,FALSE)</f>
        <v>Tim Kaja</v>
      </c>
      <c r="AF1719" s="380" t="str">
        <f>VLOOKUP($B1719,'D7 - NDB Impacted SPRF''s'!$E$6:$O$9929,6,FALSE)</f>
        <v>Delvis Schilling</v>
      </c>
      <c r="AG1719" s="282"/>
      <c r="AH1719" s="311" t="e">
        <f>INDEX('D5 - Gatekeeper - Projects'!$A$4:$AF$1010,$AM1719, 17)</f>
        <v>#N/A</v>
      </c>
      <c r="AI1719" s="8"/>
      <c r="AJ1719" s="57"/>
      <c r="AK1719" s="105"/>
      <c r="AM1719" s="6" t="e">
        <f>MATCH(D1719,'D5 - Gatekeeper - Projects'!$C$4:$C$1010,0)</f>
        <v>#N/A</v>
      </c>
      <c r="AN1719" s="6" t="b">
        <f t="shared" si="185"/>
        <v>1</v>
      </c>
      <c r="AO1719" s="6" t="str">
        <f t="shared" si="187"/>
        <v>OK</v>
      </c>
      <c r="AQ1719" s="6" t="e">
        <f>MATCH($D1719,'D4 - Provider Council Unsched'!$C$11:$C$234,0)</f>
        <v>#N/A</v>
      </c>
      <c r="AR1719" s="6" t="b">
        <f t="shared" si="186"/>
        <v>1</v>
      </c>
      <c r="AS1719" s="6" t="str">
        <f t="shared" si="189"/>
        <v>OK</v>
      </c>
      <c r="AU1719" s="202">
        <v>40892</v>
      </c>
      <c r="AV1719" s="262" t="s">
        <v>2299</v>
      </c>
      <c r="AW1719" s="274">
        <v>48774</v>
      </c>
    </row>
    <row r="1720" spans="1:49" s="13" customFormat="1" ht="33.75" x14ac:dyDescent="0.2">
      <c r="A1720" s="14">
        <v>1696</v>
      </c>
      <c r="B1720" s="8">
        <v>400047648</v>
      </c>
      <c r="C1720" s="8" t="s">
        <v>7290</v>
      </c>
      <c r="D1720" s="4" t="str">
        <f t="shared" si="188"/>
        <v>400047648B</v>
      </c>
      <c r="E1720" s="309" t="str">
        <f>VLOOKUP($B1720,'D7 - NDB Impacted SPRF''s'!$E$6:$O$9929,2,FALSE)</f>
        <v>HI Quest Expansion</v>
      </c>
      <c r="F1720" s="8"/>
      <c r="G1720" s="8" t="s">
        <v>4758</v>
      </c>
      <c r="H1720" s="8" t="s">
        <v>4246</v>
      </c>
      <c r="I1720" s="20">
        <v>3.11</v>
      </c>
      <c r="J1720" s="8" t="s">
        <v>4862</v>
      </c>
      <c r="K1720" s="182">
        <v>41083</v>
      </c>
      <c r="L1720" s="8" t="s">
        <v>4156</v>
      </c>
      <c r="M1720" s="8" t="s">
        <v>2814</v>
      </c>
      <c r="N1720" s="38" t="s">
        <v>2256</v>
      </c>
      <c r="O1720" s="8"/>
      <c r="P1720" s="4" t="str">
        <f>VLOOKUP($B1720,'D7 - NDB Impacted SPRF''s'!$E$16:$O$9929,9,FALSE)</f>
        <v>N</v>
      </c>
      <c r="Q1720" s="4" t="str">
        <f>VLOOKUP($B1720,'D7 - NDB Impacted SPRF''s'!$E$16:$O$9929,10,FALSE)</f>
        <v>N</v>
      </c>
      <c r="R1720" s="4" t="str">
        <f>VLOOKUP($B1720,'D7 - NDB Impacted SPRF''s'!$E$16:$O$9929,11,FALSE)</f>
        <v>N</v>
      </c>
      <c r="S1720" s="8"/>
      <c r="T1720" s="310"/>
      <c r="U1720" s="310"/>
      <c r="V1720" s="4"/>
      <c r="W1720" s="4"/>
      <c r="X1720" s="4"/>
      <c r="Y1720" s="4"/>
      <c r="Z1720" s="4"/>
      <c r="AA1720" s="4"/>
      <c r="AB1720" s="380" t="str">
        <f>VLOOKUP($B1720,'D7 - NDB Impacted SPRF''s'!$E$6:$O$9929,4,FALSE)</f>
        <v>Completed</v>
      </c>
      <c r="AC1720" s="380" t="str">
        <f>VLOOKUP($B1720,'D7 - NDB Impacted SPRF''s'!$E$6:$O$9929,3,FALSE)</f>
        <v>UnitedHealthcare Community &amp; State</v>
      </c>
      <c r="AD1720" s="380" t="str">
        <f>VLOOKUP($B1720,'D7 - NDB Impacted SPRF''s'!$E$6:$O$9929,5,FALSE)</f>
        <v>Membership Growth / Revenue Programs</v>
      </c>
      <c r="AE1720" s="380" t="str">
        <f>VLOOKUP($B1720,'D7 - NDB Impacted SPRF''s'!$E$6:$O$9929,7,FALSE)</f>
        <v>Bill Guptail</v>
      </c>
      <c r="AF1720" s="380" t="str">
        <f>VLOOKUP($B1720,'D7 - NDB Impacted SPRF''s'!$E$6:$O$9929,6,FALSE)</f>
        <v>LAN HOANG</v>
      </c>
      <c r="AG1720" s="282"/>
      <c r="AH1720" s="311" t="e">
        <f>INDEX('D5 - Gatekeeper - Projects'!$A$4:$AF$1010,$AM1720, 17)</f>
        <v>#N/A</v>
      </c>
      <c r="AI1720" s="8"/>
      <c r="AJ1720" s="57"/>
      <c r="AK1720" s="105"/>
      <c r="AM1720" s="6" t="e">
        <f>MATCH(D1720,'D5 - Gatekeeper - Projects'!$C$4:$C$1010,0)</f>
        <v>#N/A</v>
      </c>
      <c r="AN1720" s="6" t="b">
        <f t="shared" si="185"/>
        <v>1</v>
      </c>
      <c r="AO1720" s="6" t="str">
        <f t="shared" si="187"/>
        <v>OK</v>
      </c>
      <c r="AQ1720" s="6" t="e">
        <f>MATCH($D1720,'D4 - Provider Council Unsched'!$C$11:$C$234,0)</f>
        <v>#N/A</v>
      </c>
      <c r="AR1720" s="6" t="b">
        <f t="shared" si="186"/>
        <v>1</v>
      </c>
      <c r="AS1720" s="6" t="str">
        <f t="shared" si="189"/>
        <v>OK</v>
      </c>
      <c r="AU1720" s="202">
        <v>40956</v>
      </c>
      <c r="AV1720" s="262" t="s">
        <v>433</v>
      </c>
      <c r="AW1720" s="274">
        <v>49758</v>
      </c>
    </row>
    <row r="1721" spans="1:49" s="13" customFormat="1" ht="45" x14ac:dyDescent="0.2">
      <c r="A1721" s="14">
        <v>1697</v>
      </c>
      <c r="B1721" s="8">
        <v>400047776</v>
      </c>
      <c r="C1721" s="8" t="s">
        <v>1447</v>
      </c>
      <c r="D1721" s="4" t="str">
        <f t="shared" si="188"/>
        <v>400047776A</v>
      </c>
      <c r="E1721" s="309" t="str">
        <f>VLOOKUP($B1721,'D7 - NDB Impacted SPRF''s'!$E$6:$O$9929,2,FALSE)</f>
        <v>NDB Cosmos Demo SoT - Facility Panels</v>
      </c>
      <c r="F1721" s="8"/>
      <c r="G1721" s="8" t="s">
        <v>4758</v>
      </c>
      <c r="H1721" s="8" t="s">
        <v>4246</v>
      </c>
      <c r="I1721" s="20">
        <v>15</v>
      </c>
      <c r="J1721" s="8" t="s">
        <v>4862</v>
      </c>
      <c r="K1721" s="182">
        <v>41083</v>
      </c>
      <c r="L1721" s="8" t="s">
        <v>4156</v>
      </c>
      <c r="M1721" s="8" t="s">
        <v>2814</v>
      </c>
      <c r="N1721" s="38" t="s">
        <v>2755</v>
      </c>
      <c r="O1721" s="8"/>
      <c r="P1721" s="4" t="str">
        <f>VLOOKUP($B1721,'D7 - NDB Impacted SPRF''s'!$E$16:$O$9929,9,FALSE)</f>
        <v>N</v>
      </c>
      <c r="Q1721" s="4" t="str">
        <f>VLOOKUP($B1721,'D7 - NDB Impacted SPRF''s'!$E$16:$O$9929,10,FALSE)</f>
        <v>N</v>
      </c>
      <c r="R1721" s="4" t="str">
        <f>VLOOKUP($B1721,'D7 - NDB Impacted SPRF''s'!$E$16:$O$9929,11,FALSE)</f>
        <v>Y</v>
      </c>
      <c r="S1721" s="8"/>
      <c r="T1721" s="310"/>
      <c r="U1721" s="310"/>
      <c r="V1721" s="4"/>
      <c r="W1721" s="4"/>
      <c r="X1721" s="4"/>
      <c r="Y1721" s="4"/>
      <c r="Z1721" s="4"/>
      <c r="AA1721" s="4"/>
      <c r="AB1721" s="380" t="str">
        <f>VLOOKUP($B1721,'D7 - NDB Impacted SPRF''s'!$E$6:$O$9929,4,FALSE)</f>
        <v>Completed</v>
      </c>
      <c r="AC1721" s="380" t="str">
        <f>VLOOKUP($B1721,'D7 - NDB Impacted SPRF''s'!$E$6:$O$9929,3,FALSE)</f>
        <v>UHG IT - Enterprise Technology Services</v>
      </c>
      <c r="AD1721" s="380" t="str">
        <f>VLOOKUP($B1721,'D7 - NDB Impacted SPRF''s'!$E$6:$O$9929,5,FALSE)</f>
        <v>Strategic Initiatives</v>
      </c>
      <c r="AE1721" s="380" t="str">
        <f>VLOOKUP($B1721,'D7 - NDB Impacted SPRF''s'!$E$6:$O$9929,7,FALSE)</f>
        <v>Kaja,</v>
      </c>
      <c r="AF1721" s="380" t="str">
        <f>VLOOKUP($B1721,'D7 - NDB Impacted SPRF''s'!$E$6:$O$9929,6,FALSE)</f>
        <v>SUSAN HINES</v>
      </c>
      <c r="AG1721" s="282"/>
      <c r="AH1721" s="311" t="e">
        <f>INDEX('D5 - Gatekeeper - Projects'!$A$4:$AF$1010,$AM1721, 17)</f>
        <v>#N/A</v>
      </c>
      <c r="AI1721" s="8"/>
      <c r="AJ1721" s="57"/>
      <c r="AK1721" s="105"/>
      <c r="AM1721" s="6" t="e">
        <f>MATCH(D1721,'D5 - Gatekeeper - Projects'!$C$4:$C$1010,0)</f>
        <v>#N/A</v>
      </c>
      <c r="AN1721" s="6" t="b">
        <f t="shared" si="185"/>
        <v>1</v>
      </c>
      <c r="AO1721" s="6" t="str">
        <f t="shared" si="187"/>
        <v>OK</v>
      </c>
      <c r="AQ1721" s="6" t="e">
        <f>MATCH($D1721,'D4 - Provider Council Unsched'!$C$11:$C$234,0)</f>
        <v>#N/A</v>
      </c>
      <c r="AR1721" s="6" t="b">
        <f t="shared" si="186"/>
        <v>1</v>
      </c>
      <c r="AS1721" s="6" t="str">
        <f t="shared" si="189"/>
        <v>OK</v>
      </c>
      <c r="AU1721" s="202"/>
      <c r="AV1721" s="262" t="s">
        <v>2754</v>
      </c>
      <c r="AW1721" s="274">
        <v>58201</v>
      </c>
    </row>
    <row r="1722" spans="1:49" s="13" customFormat="1" ht="33.75" x14ac:dyDescent="0.2">
      <c r="A1722" s="14">
        <v>1698</v>
      </c>
      <c r="B1722" s="8">
        <v>400048226</v>
      </c>
      <c r="C1722" s="8" t="s">
        <v>1447</v>
      </c>
      <c r="D1722" s="4" t="str">
        <f t="shared" si="188"/>
        <v>400048226A</v>
      </c>
      <c r="E1722" s="309" t="str">
        <f>VLOOKUP($B1722,'D7 - NDB Impacted SPRF''s'!$E$6:$O$9929,2,FALSE)</f>
        <v>HCR Preventative Care Additional Services</v>
      </c>
      <c r="F1722" s="8"/>
      <c r="G1722" s="8" t="s">
        <v>4758</v>
      </c>
      <c r="H1722" s="8" t="s">
        <v>4246</v>
      </c>
      <c r="I1722" s="20">
        <v>26.75</v>
      </c>
      <c r="J1722" s="8" t="s">
        <v>4862</v>
      </c>
      <c r="K1722" s="182">
        <v>41083</v>
      </c>
      <c r="L1722" s="8" t="s">
        <v>4156</v>
      </c>
      <c r="M1722" s="8" t="s">
        <v>2814</v>
      </c>
      <c r="N1722" s="38"/>
      <c r="O1722" s="8"/>
      <c r="P1722" s="4" t="str">
        <f>VLOOKUP($B1722,'D7 - NDB Impacted SPRF''s'!$E$16:$O$9929,9,FALSE)</f>
        <v>Y</v>
      </c>
      <c r="Q1722" s="4" t="str">
        <f>VLOOKUP($B1722,'D7 - NDB Impacted SPRF''s'!$E$16:$O$9929,10,FALSE)</f>
        <v>N</v>
      </c>
      <c r="R1722" s="4" t="str">
        <f>VLOOKUP($B1722,'D7 - NDB Impacted SPRF''s'!$E$16:$O$9929,11,FALSE)</f>
        <v>N</v>
      </c>
      <c r="S1722" s="8"/>
      <c r="T1722" s="310"/>
      <c r="U1722" s="310"/>
      <c r="V1722" s="4"/>
      <c r="W1722" s="4"/>
      <c r="X1722" s="4"/>
      <c r="Y1722" s="4"/>
      <c r="Z1722" s="4"/>
      <c r="AA1722" s="4"/>
      <c r="AB1722" s="380" t="str">
        <f>VLOOKUP($B1722,'D7 - NDB Impacted SPRF''s'!$E$6:$O$9929,4,FALSE)</f>
        <v>Scheduled</v>
      </c>
      <c r="AC1722" s="380" t="str">
        <f>VLOOKUP($B1722,'D7 - NDB Impacted SPRF''s'!$E$6:$O$9929,3,FALSE)</f>
        <v>UnitedHealthcare Employer &amp; Individual</v>
      </c>
      <c r="AD1722" s="380" t="str">
        <f>VLOOKUP($B1722,'D7 - NDB Impacted SPRF''s'!$E$6:$O$9929,5,FALSE)</f>
        <v>Regulatory / Other</v>
      </c>
      <c r="AE1722" s="380" t="str">
        <f>VLOOKUP($B1722,'D7 - NDB Impacted SPRF''s'!$E$6:$O$9929,7,FALSE)</f>
        <v>Regis O'Neill</v>
      </c>
      <c r="AF1722" s="380" t="str">
        <f>VLOOKUP($B1722,'D7 - NDB Impacted SPRF''s'!$E$6:$O$9929,6,FALSE)</f>
        <v>Susan Smith</v>
      </c>
      <c r="AG1722" s="282"/>
      <c r="AH1722" s="311" t="e">
        <f>INDEX('D5 - Gatekeeper - Projects'!$A$4:$AF$1010,$AM1722, 17)</f>
        <v>#N/A</v>
      </c>
      <c r="AI1722" s="8"/>
      <c r="AJ1722" s="57"/>
      <c r="AK1722" s="105"/>
      <c r="AM1722" s="6" t="e">
        <f>MATCH(D1722,'D5 - Gatekeeper - Projects'!$C$4:$C$1010,0)</f>
        <v>#N/A</v>
      </c>
      <c r="AN1722" s="6" t="b">
        <f t="shared" si="185"/>
        <v>1</v>
      </c>
      <c r="AO1722" s="6" t="str">
        <f t="shared" si="187"/>
        <v>OK</v>
      </c>
      <c r="AQ1722" s="6" t="e">
        <f>MATCH($D1722,'D4 - Provider Council Unsched'!$C$11:$C$234,0)</f>
        <v>#N/A</v>
      </c>
      <c r="AR1722" s="6" t="b">
        <f t="shared" si="186"/>
        <v>1</v>
      </c>
      <c r="AS1722" s="6" t="str">
        <f t="shared" si="189"/>
        <v>OK</v>
      </c>
      <c r="AU1722" s="202"/>
      <c r="AV1722" s="262" t="s">
        <v>933</v>
      </c>
      <c r="AW1722" s="274">
        <v>57559</v>
      </c>
    </row>
    <row r="1723" spans="1:49" s="13" customFormat="1" ht="45" x14ac:dyDescent="0.2">
      <c r="A1723" s="14">
        <v>1699</v>
      </c>
      <c r="B1723" s="8">
        <v>400048263</v>
      </c>
      <c r="C1723" s="8" t="s">
        <v>1447</v>
      </c>
      <c r="D1723" s="4" t="str">
        <f t="shared" si="188"/>
        <v>400048263A</v>
      </c>
      <c r="E1723" s="309" t="str">
        <f>VLOOKUP($B1723,'D7 - NDB Impacted SPRF''s'!$E$6:$O$9929,2,FALSE)</f>
        <v>Medical Records RSA</v>
      </c>
      <c r="F1723" s="8"/>
      <c r="G1723" s="8" t="s">
        <v>4758</v>
      </c>
      <c r="H1723" s="8" t="s">
        <v>4246</v>
      </c>
      <c r="I1723" s="20">
        <v>0.3</v>
      </c>
      <c r="J1723" s="8" t="s">
        <v>4862</v>
      </c>
      <c r="K1723" s="182">
        <v>41083</v>
      </c>
      <c r="L1723" s="8" t="s">
        <v>4156</v>
      </c>
      <c r="M1723" s="8" t="s">
        <v>6688</v>
      </c>
      <c r="N1723" s="38"/>
      <c r="O1723" s="8"/>
      <c r="P1723" s="4" t="str">
        <f>VLOOKUP($B1723,'D7 - NDB Impacted SPRF''s'!$E$16:$O$9929,9,FALSE)</f>
        <v>Y</v>
      </c>
      <c r="Q1723" s="4" t="str">
        <f>VLOOKUP($B1723,'D7 - NDB Impacted SPRF''s'!$E$16:$O$9929,10,FALSE)</f>
        <v>N</v>
      </c>
      <c r="R1723" s="4" t="str">
        <f>VLOOKUP($B1723,'D7 - NDB Impacted SPRF''s'!$E$16:$O$9929,11,FALSE)</f>
        <v>N</v>
      </c>
      <c r="S1723" s="8"/>
      <c r="T1723" s="310"/>
      <c r="U1723" s="310"/>
      <c r="V1723" s="4"/>
      <c r="W1723" s="4"/>
      <c r="X1723" s="4"/>
      <c r="Y1723" s="4"/>
      <c r="Z1723" s="4"/>
      <c r="AA1723" s="4"/>
      <c r="AB1723" s="380" t="str">
        <f>VLOOKUP($B1723,'D7 - NDB Impacted SPRF''s'!$E$6:$O$9929,4,FALSE)</f>
        <v>Completed</v>
      </c>
      <c r="AC1723" s="380" t="str">
        <f>VLOOKUP($B1723,'D7 - NDB Impacted SPRF''s'!$E$6:$O$9929,3,FALSE)</f>
        <v>UHG IT - Enterprise Technology Services</v>
      </c>
      <c r="AD1723" s="380" t="str">
        <f>VLOOKUP($B1723,'D7 - NDB Impacted SPRF''s'!$E$6:$O$9929,5,FALSE)</f>
        <v>Strategic Initiatives</v>
      </c>
      <c r="AE1723" s="380" t="str">
        <f>VLOOKUP($B1723,'D7 - NDB Impacted SPRF''s'!$E$6:$O$9929,7,FALSE)</f>
        <v>Tim Kaja</v>
      </c>
      <c r="AF1723" s="380" t="str">
        <f>VLOOKUP($B1723,'D7 - NDB Impacted SPRF''s'!$E$6:$O$9929,6,FALSE)</f>
        <v>JEFFREY HUXLEY</v>
      </c>
      <c r="AG1723" s="282"/>
      <c r="AH1723" s="311" t="e">
        <f>INDEX('D5 - Gatekeeper - Projects'!$A$4:$AF$1010,$AM1723, 17)</f>
        <v>#N/A</v>
      </c>
      <c r="AI1723" s="8"/>
      <c r="AJ1723" s="57"/>
      <c r="AK1723" s="105"/>
      <c r="AM1723" s="6" t="e">
        <f>MATCH(D1723,'D5 - Gatekeeper - Projects'!$C$4:$C$1010,0)</f>
        <v>#N/A</v>
      </c>
      <c r="AN1723" s="6" t="b">
        <f t="shared" si="185"/>
        <v>1</v>
      </c>
      <c r="AO1723" s="6" t="str">
        <f t="shared" si="187"/>
        <v>OK</v>
      </c>
      <c r="AQ1723" s="6" t="e">
        <f>MATCH($D1723,'D4 - Provider Council Unsched'!$C$11:$C$234,0)</f>
        <v>#N/A</v>
      </c>
      <c r="AR1723" s="6" t="b">
        <f t="shared" si="186"/>
        <v>1</v>
      </c>
      <c r="AS1723" s="6" t="str">
        <f t="shared" si="189"/>
        <v>OK</v>
      </c>
      <c r="AU1723" s="202">
        <v>41015</v>
      </c>
      <c r="AV1723" s="262" t="s">
        <v>1129</v>
      </c>
      <c r="AW1723" s="274">
        <v>51775</v>
      </c>
    </row>
    <row r="1724" spans="1:49" s="13" customFormat="1" ht="22.5" x14ac:dyDescent="0.2">
      <c r="A1724" s="14">
        <v>1700</v>
      </c>
      <c r="B1724" s="8">
        <v>400048835</v>
      </c>
      <c r="C1724" s="8" t="s">
        <v>1447</v>
      </c>
      <c r="D1724" s="4" t="str">
        <f t="shared" si="188"/>
        <v>400048835A</v>
      </c>
      <c r="E1724" s="309" t="str">
        <f>VLOOKUP($B1724,'D7 - NDB Impacted SPRF''s'!$E$6:$O$9929,2,FALSE)</f>
        <v>Medica Group Number Availability</v>
      </c>
      <c r="F1724" s="8"/>
      <c r="G1724" s="8" t="s">
        <v>4758</v>
      </c>
      <c r="H1724" s="8" t="s">
        <v>4246</v>
      </c>
      <c r="I1724" s="20">
        <v>0.57999999999999996</v>
      </c>
      <c r="J1724" s="8" t="s">
        <v>4862</v>
      </c>
      <c r="K1724" s="182">
        <v>41083</v>
      </c>
      <c r="L1724" s="8" t="s">
        <v>4156</v>
      </c>
      <c r="M1724" s="8" t="s">
        <v>6688</v>
      </c>
      <c r="N1724" s="38" t="s">
        <v>109</v>
      </c>
      <c r="O1724" s="8"/>
      <c r="P1724" s="4" t="e">
        <f>VLOOKUP($B1724,'D7 - NDB Impacted SPRF''s'!$E$16:$O$9929,9,FALSE)</f>
        <v>#N/A</v>
      </c>
      <c r="Q1724" s="4" t="e">
        <f>VLOOKUP($B1724,'D7 - NDB Impacted SPRF''s'!$E$16:$O$9929,10,FALSE)</f>
        <v>#N/A</v>
      </c>
      <c r="R1724" s="4" t="e">
        <f>VLOOKUP($B1724,'D7 - NDB Impacted SPRF''s'!$E$16:$O$9929,11,FALSE)</f>
        <v>#N/A</v>
      </c>
      <c r="S1724" s="8"/>
      <c r="T1724" s="310"/>
      <c r="U1724" s="310"/>
      <c r="V1724" s="4"/>
      <c r="W1724" s="4"/>
      <c r="X1724" s="4"/>
      <c r="Y1724" s="4"/>
      <c r="Z1724" s="4"/>
      <c r="AA1724" s="4"/>
      <c r="AB1724" s="380" t="str">
        <f>VLOOKUP($B1724,'D7 - NDB Impacted SPRF''s'!$E$6:$O$9929,4,FALSE)</f>
        <v>Completed</v>
      </c>
      <c r="AC1724" s="380" t="str">
        <f>VLOOKUP($B1724,'D7 - NDB Impacted SPRF''s'!$E$6:$O$9929,3,FALSE)</f>
        <v>UHG IT - Shared Services</v>
      </c>
      <c r="AD1724" s="380" t="str">
        <f>VLOOKUP($B1724,'D7 - NDB Impacted SPRF''s'!$E$6:$O$9929,5,FALSE)</f>
        <v>Medica Funded</v>
      </c>
      <c r="AE1724" s="380" t="str">
        <f>VLOOKUP($B1724,'D7 - NDB Impacted SPRF''s'!$E$6:$O$9929,7,FALSE)</f>
        <v>Mimi Taylor</v>
      </c>
      <c r="AF1724" s="380" t="str">
        <f>VLOOKUP($B1724,'D7 - NDB Impacted SPRF''s'!$E$6:$O$9929,6,FALSE)</f>
        <v>Linda Dooley</v>
      </c>
      <c r="AG1724" s="282"/>
      <c r="AH1724" s="311" t="e">
        <f>INDEX('D5 - Gatekeeper - Projects'!$A$4:$AF$1010,$AM1724, 17)</f>
        <v>#N/A</v>
      </c>
      <c r="AI1724" s="8"/>
      <c r="AJ1724" s="57"/>
      <c r="AK1724" s="105"/>
      <c r="AM1724" s="6" t="e">
        <f>MATCH(D1724,'D5 - Gatekeeper - Projects'!$C$4:$C$1010,0)</f>
        <v>#N/A</v>
      </c>
      <c r="AN1724" s="6" t="b">
        <f t="shared" si="185"/>
        <v>1</v>
      </c>
      <c r="AO1724" s="6" t="str">
        <f t="shared" si="187"/>
        <v>OK</v>
      </c>
      <c r="AQ1724" s="6" t="e">
        <f>MATCH($D1724,'D4 - Provider Council Unsched'!$C$11:$C$234,0)</f>
        <v>#N/A</v>
      </c>
      <c r="AR1724" s="6" t="b">
        <f t="shared" si="186"/>
        <v>1</v>
      </c>
      <c r="AS1724" s="6" t="str">
        <f t="shared" si="189"/>
        <v>OK</v>
      </c>
      <c r="AU1724" s="202">
        <v>41018</v>
      </c>
      <c r="AV1724" s="262" t="s">
        <v>2303</v>
      </c>
      <c r="AW1724" s="274">
        <v>53488</v>
      </c>
    </row>
    <row r="1725" spans="1:49" s="13" customFormat="1" ht="33.75" x14ac:dyDescent="0.2">
      <c r="A1725" s="14">
        <v>1701</v>
      </c>
      <c r="B1725" s="8">
        <v>400049237</v>
      </c>
      <c r="C1725" s="8" t="s">
        <v>1447</v>
      </c>
      <c r="D1725" s="4" t="str">
        <f t="shared" si="188"/>
        <v>400049237A</v>
      </c>
      <c r="E1725" s="309" t="str">
        <f>VLOOKUP($B1725,'D7 - NDB Impacted SPRF''s'!$E$6:$O$9929,2,FALSE)</f>
        <v>Q2 NDB OI 00290 Involuntary Sanction</v>
      </c>
      <c r="F1725" s="8"/>
      <c r="G1725" s="8" t="s">
        <v>4758</v>
      </c>
      <c r="H1725" s="8" t="s">
        <v>4246</v>
      </c>
      <c r="I1725" s="20">
        <v>9.0299999999999994</v>
      </c>
      <c r="J1725" s="8" t="s">
        <v>4862</v>
      </c>
      <c r="K1725" s="182">
        <v>41083</v>
      </c>
      <c r="L1725" s="8" t="s">
        <v>4156</v>
      </c>
      <c r="M1725" s="8" t="s">
        <v>2814</v>
      </c>
      <c r="N1725" s="38"/>
      <c r="O1725" s="8"/>
      <c r="P1725" s="4" t="str">
        <f>VLOOKUP($B1725,'D7 - NDB Impacted SPRF''s'!$E$16:$O$9929,9,FALSE)</f>
        <v>N</v>
      </c>
      <c r="Q1725" s="4" t="str">
        <f>VLOOKUP($B1725,'D7 - NDB Impacted SPRF''s'!$E$16:$O$9929,10,FALSE)</f>
        <v>N</v>
      </c>
      <c r="R1725" s="4" t="str">
        <f>VLOOKUP($B1725,'D7 - NDB Impacted SPRF''s'!$E$16:$O$9929,11,FALSE)</f>
        <v>N</v>
      </c>
      <c r="S1725" s="8"/>
      <c r="T1725" s="310"/>
      <c r="U1725" s="310"/>
      <c r="V1725" s="4"/>
      <c r="W1725" s="4"/>
      <c r="X1725" s="4"/>
      <c r="Y1725" s="4"/>
      <c r="Z1725" s="4"/>
      <c r="AA1725" s="4"/>
      <c r="AB1725" s="380" t="str">
        <f>VLOOKUP($B1725,'D7 - NDB Impacted SPRF''s'!$E$6:$O$9929,4,FALSE)</f>
        <v>Completed</v>
      </c>
      <c r="AC1725" s="380" t="str">
        <f>VLOOKUP($B1725,'D7 - NDB Impacted SPRF''s'!$E$6:$O$9929,3,FALSE)</f>
        <v>UnitedHealthcare Employer &amp; Individual</v>
      </c>
      <c r="AD1725" s="380" t="str">
        <f>VLOOKUP($B1725,'D7 - NDB Impacted SPRF''s'!$E$6:$O$9929,5,FALSE)</f>
        <v>Operational Requirements</v>
      </c>
      <c r="AE1725" s="380" t="str">
        <f>VLOOKUP($B1725,'D7 - NDB Impacted SPRF''s'!$E$6:$O$9929,7,FALSE)</f>
        <v>Eileen Dock</v>
      </c>
      <c r="AF1725" s="380" t="str">
        <f>VLOOKUP($B1725,'D7 - NDB Impacted SPRF''s'!$E$6:$O$9929,6,FALSE)</f>
        <v>Robert Wright</v>
      </c>
      <c r="AG1725" s="282"/>
      <c r="AH1725" s="311" t="e">
        <f>INDEX('D5 - Gatekeeper - Projects'!$A$4:$AF$1010,$AM1725, 17)</f>
        <v>#N/A</v>
      </c>
      <c r="AI1725" s="8"/>
      <c r="AJ1725" s="57"/>
      <c r="AK1725" s="105"/>
      <c r="AM1725" s="6" t="e">
        <f>MATCH(D1725,'D5 - Gatekeeper - Projects'!$C$4:$C$1010,0)</f>
        <v>#N/A</v>
      </c>
      <c r="AN1725" s="6" t="b">
        <f t="shared" si="185"/>
        <v>1</v>
      </c>
      <c r="AO1725" s="6" t="str">
        <f t="shared" si="187"/>
        <v>OK</v>
      </c>
      <c r="AQ1725" s="6" t="e">
        <f>MATCH($D1725,'D4 - Provider Council Unsched'!$C$11:$C$234,0)</f>
        <v>#N/A</v>
      </c>
      <c r="AR1725" s="6" t="b">
        <f t="shared" si="186"/>
        <v>1</v>
      </c>
      <c r="AS1725" s="6" t="str">
        <f t="shared" si="189"/>
        <v>OK</v>
      </c>
      <c r="AU1725" s="202"/>
      <c r="AV1725" s="262" t="s">
        <v>444</v>
      </c>
      <c r="AW1725" s="274">
        <v>55892</v>
      </c>
    </row>
    <row r="1726" spans="1:49" s="13" customFormat="1" ht="33.75" x14ac:dyDescent="0.2">
      <c r="A1726" s="14">
        <v>1702</v>
      </c>
      <c r="B1726" s="8">
        <v>400049238</v>
      </c>
      <c r="C1726" s="8" t="s">
        <v>1447</v>
      </c>
      <c r="D1726" s="4" t="str">
        <f t="shared" si="188"/>
        <v>400049238A</v>
      </c>
      <c r="E1726" s="309" t="str">
        <f>VLOOKUP($B1726,'D7 - NDB Impacted SPRF''s'!$E$6:$O$9929,2,FALSE)</f>
        <v>Q2 NDB OI 00296 C&amp;S Group BSAR Term</v>
      </c>
      <c r="F1726" s="8"/>
      <c r="G1726" s="8" t="s">
        <v>4758</v>
      </c>
      <c r="H1726" s="8" t="s">
        <v>4246</v>
      </c>
      <c r="I1726" s="20">
        <v>7.93</v>
      </c>
      <c r="J1726" s="8" t="s">
        <v>4862</v>
      </c>
      <c r="K1726" s="182">
        <v>41083</v>
      </c>
      <c r="L1726" s="8" t="s">
        <v>4156</v>
      </c>
      <c r="M1726" s="8" t="s">
        <v>2814</v>
      </c>
      <c r="N1726" s="38" t="s">
        <v>1358</v>
      </c>
      <c r="O1726" s="8"/>
      <c r="P1726" s="4" t="str">
        <f>VLOOKUP($B1726,'D7 - NDB Impacted SPRF''s'!$E$16:$O$9929,9,FALSE)</f>
        <v>N</v>
      </c>
      <c r="Q1726" s="4" t="str">
        <f>VLOOKUP($B1726,'D7 - NDB Impacted SPRF''s'!$E$16:$O$9929,10,FALSE)</f>
        <v>N</v>
      </c>
      <c r="R1726" s="4" t="str">
        <f>VLOOKUP($B1726,'D7 - NDB Impacted SPRF''s'!$E$16:$O$9929,11,FALSE)</f>
        <v>N</v>
      </c>
      <c r="S1726" s="8"/>
      <c r="T1726" s="310"/>
      <c r="U1726" s="310"/>
      <c r="V1726" s="4"/>
      <c r="W1726" s="4"/>
      <c r="X1726" s="4"/>
      <c r="Y1726" s="4"/>
      <c r="Z1726" s="4"/>
      <c r="AA1726" s="4"/>
      <c r="AB1726" s="380" t="str">
        <f>VLOOKUP($B1726,'D7 - NDB Impacted SPRF''s'!$E$6:$O$9929,4,FALSE)</f>
        <v>Scheduled</v>
      </c>
      <c r="AC1726" s="380" t="str">
        <f>VLOOKUP($B1726,'D7 - NDB Impacted SPRF''s'!$E$6:$O$9929,3,FALSE)</f>
        <v>UnitedHealthcare Employer &amp; Individual</v>
      </c>
      <c r="AD1726" s="380" t="str">
        <f>VLOOKUP($B1726,'D7 - NDB Impacted SPRF''s'!$E$6:$O$9929,5,FALSE)</f>
        <v>Operational Requirements</v>
      </c>
      <c r="AE1726" s="380" t="str">
        <f>VLOOKUP($B1726,'D7 - NDB Impacted SPRF''s'!$E$6:$O$9929,7,FALSE)</f>
        <v>Eileen Dock</v>
      </c>
      <c r="AF1726" s="380" t="str">
        <f>VLOOKUP($B1726,'D7 - NDB Impacted SPRF''s'!$E$6:$O$9929,6,FALSE)</f>
        <v>Robert Wright</v>
      </c>
      <c r="AG1726" s="282"/>
      <c r="AH1726" s="311" t="e">
        <f>INDEX('D5 - Gatekeeper - Projects'!$A$4:$AF$1010,$AM1726, 17)</f>
        <v>#N/A</v>
      </c>
      <c r="AI1726" s="8"/>
      <c r="AJ1726" s="57"/>
      <c r="AK1726" s="105"/>
      <c r="AM1726" s="6" t="e">
        <f>MATCH(D1726,'D5 - Gatekeeper - Projects'!$C$4:$C$1010,0)</f>
        <v>#N/A</v>
      </c>
      <c r="AN1726" s="6" t="b">
        <f t="shared" si="185"/>
        <v>1</v>
      </c>
      <c r="AO1726" s="6" t="str">
        <f t="shared" si="187"/>
        <v>OK</v>
      </c>
      <c r="AQ1726" s="6" t="e">
        <f>MATCH($D1726,'D4 - Provider Council Unsched'!$C$11:$C$234,0)</f>
        <v>#N/A</v>
      </c>
      <c r="AR1726" s="6" t="b">
        <f t="shared" si="186"/>
        <v>1</v>
      </c>
      <c r="AS1726" s="6" t="str">
        <f t="shared" si="189"/>
        <v>OK</v>
      </c>
      <c r="AU1726" s="202"/>
      <c r="AV1726" s="262" t="s">
        <v>444</v>
      </c>
      <c r="AW1726" s="274">
        <v>55894</v>
      </c>
    </row>
    <row r="1727" spans="1:49" s="13" customFormat="1" ht="33.75" x14ac:dyDescent="0.2">
      <c r="A1727" s="14">
        <v>1703</v>
      </c>
      <c r="B1727" s="8">
        <v>400049241</v>
      </c>
      <c r="C1727" s="8" t="s">
        <v>1447</v>
      </c>
      <c r="D1727" s="4" t="str">
        <f t="shared" si="188"/>
        <v>400049241A</v>
      </c>
      <c r="E1727" s="309" t="str">
        <f>VLOOKUP($B1727,'D7 - NDB Impacted SPRF''s'!$E$6:$O$9929,2,FALSE)</f>
        <v>WOQ2 NDB OI 00278 Expanded Search by PTI MPIN</v>
      </c>
      <c r="F1727" s="8"/>
      <c r="G1727" s="8" t="s">
        <v>4758</v>
      </c>
      <c r="H1727" s="8" t="s">
        <v>4246</v>
      </c>
      <c r="I1727" s="20">
        <v>3.89</v>
      </c>
      <c r="J1727" s="8" t="s">
        <v>4862</v>
      </c>
      <c r="K1727" s="182">
        <v>41083</v>
      </c>
      <c r="L1727" s="8" t="s">
        <v>4156</v>
      </c>
      <c r="M1727" s="8" t="s">
        <v>6007</v>
      </c>
      <c r="N1727" s="38"/>
      <c r="O1727" s="8"/>
      <c r="P1727" s="4" t="str">
        <f>VLOOKUP($B1727,'D7 - NDB Impacted SPRF''s'!$E$16:$O$9929,9,FALSE)</f>
        <v>N</v>
      </c>
      <c r="Q1727" s="4" t="str">
        <f>VLOOKUP($B1727,'D7 - NDB Impacted SPRF''s'!$E$16:$O$9929,10,FALSE)</f>
        <v>N</v>
      </c>
      <c r="R1727" s="4" t="str">
        <f>VLOOKUP($B1727,'D7 - NDB Impacted SPRF''s'!$E$16:$O$9929,11,FALSE)</f>
        <v>N</v>
      </c>
      <c r="S1727" s="8"/>
      <c r="T1727" s="310"/>
      <c r="U1727" s="310"/>
      <c r="V1727" s="4"/>
      <c r="W1727" s="4"/>
      <c r="X1727" s="4"/>
      <c r="Y1727" s="4"/>
      <c r="Z1727" s="4"/>
      <c r="AA1727" s="4"/>
      <c r="AB1727" s="380" t="str">
        <f>VLOOKUP($B1727,'D7 - NDB Impacted SPRF''s'!$E$6:$O$9929,4,FALSE)</f>
        <v>Completed</v>
      </c>
      <c r="AC1727" s="380" t="str">
        <f>VLOOKUP($B1727,'D7 - NDB Impacted SPRF''s'!$E$6:$O$9929,3,FALSE)</f>
        <v>UnitedHealthcare Employer &amp; Individual</v>
      </c>
      <c r="AD1727" s="380" t="str">
        <f>VLOOKUP($B1727,'D7 - NDB Impacted SPRF''s'!$E$6:$O$9929,5,FALSE)</f>
        <v>Operational Requirements</v>
      </c>
      <c r="AE1727" s="380" t="str">
        <f>VLOOKUP($B1727,'D7 - NDB Impacted SPRF''s'!$E$6:$O$9929,7,FALSE)</f>
        <v>Eileen Dock</v>
      </c>
      <c r="AF1727" s="380" t="str">
        <f>VLOOKUP($B1727,'D7 - NDB Impacted SPRF''s'!$E$6:$O$9929,6,FALSE)</f>
        <v>Robert Wright</v>
      </c>
      <c r="AG1727" s="282"/>
      <c r="AH1727" s="311" t="e">
        <f>INDEX('D5 - Gatekeeper - Projects'!$A$4:$AF$1010,$AM1727, 17)</f>
        <v>#N/A</v>
      </c>
      <c r="AI1727" s="8"/>
      <c r="AJ1727" s="57"/>
      <c r="AK1727" s="105"/>
      <c r="AM1727" s="6" t="e">
        <f>MATCH(D1727,'D5 - Gatekeeper - Projects'!$C$4:$C$1010,0)</f>
        <v>#N/A</v>
      </c>
      <c r="AN1727" s="6" t="b">
        <f t="shared" si="185"/>
        <v>1</v>
      </c>
      <c r="AO1727" s="6" t="str">
        <f t="shared" si="187"/>
        <v>OK</v>
      </c>
      <c r="AQ1727" s="6" t="e">
        <f>MATCH($D1727,'D4 - Provider Council Unsched'!$C$11:$C$234,0)</f>
        <v>#N/A</v>
      </c>
      <c r="AR1727" s="6" t="b">
        <f t="shared" si="186"/>
        <v>1</v>
      </c>
      <c r="AS1727" s="6" t="str">
        <f t="shared" si="189"/>
        <v>OK</v>
      </c>
      <c r="AU1727" s="202"/>
      <c r="AV1727" s="262" t="s">
        <v>444</v>
      </c>
      <c r="AW1727" s="274">
        <v>55898</v>
      </c>
    </row>
    <row r="1728" spans="1:49" s="13" customFormat="1" ht="33.75" x14ac:dyDescent="0.2">
      <c r="A1728" s="14">
        <v>1704</v>
      </c>
      <c r="B1728" s="8">
        <v>400051451</v>
      </c>
      <c r="C1728" s="8" t="s">
        <v>1447</v>
      </c>
      <c r="D1728" s="4" t="str">
        <f t="shared" si="188"/>
        <v>400051451A</v>
      </c>
      <c r="E1728" s="309" t="str">
        <f>VLOOKUP($B1728,'D7 - NDB Impacted SPRF''s'!$E$6:$O$9929,2,FALSE)</f>
        <v xml:space="preserve">Facets to Facets Migration OH - A/O </v>
      </c>
      <c r="F1728" s="8"/>
      <c r="G1728" s="8" t="s">
        <v>4758</v>
      </c>
      <c r="H1728" s="8" t="s">
        <v>4246</v>
      </c>
      <c r="I1728" s="20">
        <v>0.7</v>
      </c>
      <c r="J1728" s="8" t="s">
        <v>4862</v>
      </c>
      <c r="K1728" s="182">
        <v>41083</v>
      </c>
      <c r="L1728" s="8" t="s">
        <v>4156</v>
      </c>
      <c r="M1728" s="8" t="s">
        <v>6688</v>
      </c>
      <c r="N1728" s="38" t="s">
        <v>5491</v>
      </c>
      <c r="O1728" s="8"/>
      <c r="P1728" s="4" t="str">
        <f>VLOOKUP($B1728,'D7 - NDB Impacted SPRF''s'!$E$16:$O$9929,9,FALSE)</f>
        <v>N</v>
      </c>
      <c r="Q1728" s="4" t="str">
        <f>VLOOKUP($B1728,'D7 - NDB Impacted SPRF''s'!$E$16:$O$9929,10,FALSE)</f>
        <v>N</v>
      </c>
      <c r="R1728" s="4" t="str">
        <f>VLOOKUP($B1728,'D7 - NDB Impacted SPRF''s'!$E$16:$O$9929,11,FALSE)</f>
        <v>Y</v>
      </c>
      <c r="S1728" s="8"/>
      <c r="T1728" s="310"/>
      <c r="U1728" s="310"/>
      <c r="V1728" s="4"/>
      <c r="W1728" s="4"/>
      <c r="X1728" s="4"/>
      <c r="Y1728" s="4"/>
      <c r="Z1728" s="4"/>
      <c r="AA1728" s="4"/>
      <c r="AB1728" s="380" t="str">
        <f>VLOOKUP($B1728,'D7 - NDB Impacted SPRF''s'!$E$6:$O$9929,4,FALSE)</f>
        <v>Completed</v>
      </c>
      <c r="AC1728" s="380" t="str">
        <f>VLOOKUP($B1728,'D7 - NDB Impacted SPRF''s'!$E$6:$O$9929,3,FALSE)</f>
        <v>UnitedHealthcare Community &amp; State</v>
      </c>
      <c r="AD1728" s="380" t="str">
        <f>VLOOKUP($B1728,'D7 - NDB Impacted SPRF''s'!$E$6:$O$9929,5,FALSE)</f>
        <v>Integration Requirements</v>
      </c>
      <c r="AE1728" s="380" t="str">
        <f>VLOOKUP($B1728,'D7 - NDB Impacted SPRF''s'!$E$6:$O$9929,7,FALSE)</f>
        <v>Chris Schrer</v>
      </c>
      <c r="AF1728" s="380" t="str">
        <f>VLOOKUP($B1728,'D7 - NDB Impacted SPRF''s'!$E$6:$O$9929,6,FALSE)</f>
        <v>Mahesh Siddanati</v>
      </c>
      <c r="AG1728" s="282"/>
      <c r="AH1728" s="311" t="e">
        <f>INDEX('D5 - Gatekeeper - Projects'!$A$4:$AF$1010,$AM1728, 17)</f>
        <v>#N/A</v>
      </c>
      <c r="AI1728" s="8"/>
      <c r="AJ1728" s="57"/>
      <c r="AK1728" s="105"/>
      <c r="AM1728" s="6" t="e">
        <f>MATCH(D1728,'D5 - Gatekeeper - Projects'!$C$4:$C$1010,0)</f>
        <v>#N/A</v>
      </c>
      <c r="AN1728" s="6" t="b">
        <f t="shared" si="185"/>
        <v>1</v>
      </c>
      <c r="AO1728" s="6" t="str">
        <f t="shared" si="187"/>
        <v>OK</v>
      </c>
      <c r="AQ1728" s="6" t="e">
        <f>MATCH($D1728,'D4 - Provider Council Unsched'!$C$11:$C$234,0)</f>
        <v>#N/A</v>
      </c>
      <c r="AR1728" s="6" t="b">
        <f t="shared" si="186"/>
        <v>1</v>
      </c>
      <c r="AS1728" s="6" t="str">
        <f t="shared" si="189"/>
        <v>OK</v>
      </c>
      <c r="AU1728" s="202">
        <v>41054</v>
      </c>
      <c r="AV1728" s="346" t="s">
        <v>3207</v>
      </c>
      <c r="AW1728" s="274"/>
    </row>
    <row r="1729" spans="1:49" s="13" customFormat="1" ht="56.25" x14ac:dyDescent="0.2">
      <c r="A1729" s="14">
        <v>1705</v>
      </c>
      <c r="B1729" s="8">
        <v>400051518</v>
      </c>
      <c r="C1729" s="8" t="s">
        <v>1447</v>
      </c>
      <c r="D1729" s="4" t="str">
        <f t="shared" si="188"/>
        <v>400051518A</v>
      </c>
      <c r="E1729" s="309" t="str">
        <f>VLOOKUP($B1729,'D7 - NDB Impacted SPRF''s'!$E$6:$O$9929,2,FALSE)</f>
        <v>ERS Customer On-boarding Analysis</v>
      </c>
      <c r="F1729" s="8"/>
      <c r="G1729" s="8" t="s">
        <v>4758</v>
      </c>
      <c r="H1729" s="8" t="s">
        <v>4246</v>
      </c>
      <c r="I1729" s="20">
        <v>0.35</v>
      </c>
      <c r="J1729" s="8" t="s">
        <v>4862</v>
      </c>
      <c r="K1729" s="182">
        <v>41083</v>
      </c>
      <c r="L1729" s="8" t="s">
        <v>4156</v>
      </c>
      <c r="M1729" s="8" t="s">
        <v>6688</v>
      </c>
      <c r="N1729" s="38" t="s">
        <v>1728</v>
      </c>
      <c r="O1729" s="8"/>
      <c r="P1729" s="4" t="str">
        <f>VLOOKUP($B1729,'D7 - NDB Impacted SPRF''s'!$E$16:$O$9929,9,FALSE)</f>
        <v>Y</v>
      </c>
      <c r="Q1729" s="4" t="str">
        <f>VLOOKUP($B1729,'D7 - NDB Impacted SPRF''s'!$E$16:$O$9929,10,FALSE)</f>
        <v>N</v>
      </c>
      <c r="R1729" s="4" t="str">
        <f>VLOOKUP($B1729,'D7 - NDB Impacted SPRF''s'!$E$16:$O$9929,11,FALSE)</f>
        <v>N</v>
      </c>
      <c r="S1729" s="8"/>
      <c r="T1729" s="310"/>
      <c r="U1729" s="310"/>
      <c r="V1729" s="4"/>
      <c r="W1729" s="4"/>
      <c r="X1729" s="4"/>
      <c r="Y1729" s="4"/>
      <c r="Z1729" s="4"/>
      <c r="AA1729" s="4"/>
      <c r="AB1729" s="380" t="str">
        <f>VLOOKUP($B1729,'D7 - NDB Impacted SPRF''s'!$E$6:$O$9929,4,FALSE)</f>
        <v>Completed</v>
      </c>
      <c r="AC1729" s="380" t="str">
        <f>VLOOKUP($B1729,'D7 - NDB Impacted SPRF''s'!$E$6:$O$9929,3,FALSE)</f>
        <v>UnitedHealthcare Employer &amp; Individual</v>
      </c>
      <c r="AD1729" s="380" t="str">
        <f>VLOOKUP($B1729,'D7 - NDB Impacted SPRF''s'!$E$6:$O$9929,5,FALSE)</f>
        <v>Customer Requirements</v>
      </c>
      <c r="AE1729" s="380" t="str">
        <f>VLOOKUP($B1729,'D7 - NDB Impacted SPRF''s'!$E$6:$O$9929,7,FALSE)</f>
        <v>Laurie Wasserstein</v>
      </c>
      <c r="AF1729" s="380" t="str">
        <f>VLOOKUP($B1729,'D7 - NDB Impacted SPRF''s'!$E$6:$O$9929,6,FALSE)</f>
        <v>ANNA LALLY</v>
      </c>
      <c r="AG1729" s="282"/>
      <c r="AH1729" s="311" t="e">
        <f>INDEX('D5 - Gatekeeper - Projects'!$A$4:$AF$1010,$AM1729, 17)</f>
        <v>#N/A</v>
      </c>
      <c r="AI1729" s="8"/>
      <c r="AJ1729" s="57"/>
      <c r="AK1729" s="105"/>
      <c r="AM1729" s="6" t="e">
        <f>MATCH(D1729,'D5 - Gatekeeper - Projects'!$C$4:$C$1010,0)</f>
        <v>#N/A</v>
      </c>
      <c r="AN1729" s="6" t="b">
        <f t="shared" si="185"/>
        <v>1</v>
      </c>
      <c r="AO1729" s="6" t="str">
        <f t="shared" si="187"/>
        <v>OK</v>
      </c>
      <c r="AQ1729" s="6" t="e">
        <f>MATCH($D1729,'D4 - Provider Council Unsched'!$C$11:$C$234,0)</f>
        <v>#N/A</v>
      </c>
      <c r="AR1729" s="6" t="b">
        <f t="shared" si="186"/>
        <v>1</v>
      </c>
      <c r="AS1729" s="6" t="str">
        <f t="shared" si="189"/>
        <v>OK</v>
      </c>
      <c r="AU1729" s="202">
        <v>41047</v>
      </c>
      <c r="AV1729" s="346" t="s">
        <v>2157</v>
      </c>
      <c r="AW1729" s="274"/>
    </row>
    <row r="1730" spans="1:49" s="13" customFormat="1" ht="33.75" x14ac:dyDescent="0.2">
      <c r="A1730" s="14">
        <v>1706</v>
      </c>
      <c r="B1730" s="8">
        <v>400051687</v>
      </c>
      <c r="C1730" s="8" t="s">
        <v>1447</v>
      </c>
      <c r="D1730" s="4" t="str">
        <f t="shared" si="188"/>
        <v>400051687A</v>
      </c>
      <c r="E1730" s="309" t="str">
        <f>VLOOKUP($B1730,'D7 - NDB Impacted SPRF''s'!$E$6:$O$9929,2,FALSE)</f>
        <v>London Medical repricing for non-net AT&amp;T claims</v>
      </c>
      <c r="F1730" s="8"/>
      <c r="G1730" s="8" t="s">
        <v>4758</v>
      </c>
      <c r="H1730" s="8" t="s">
        <v>4246</v>
      </c>
      <c r="I1730" s="20">
        <v>0.12</v>
      </c>
      <c r="J1730" s="8" t="s">
        <v>4862</v>
      </c>
      <c r="K1730" s="182">
        <v>41083</v>
      </c>
      <c r="L1730" s="8" t="s">
        <v>4156</v>
      </c>
      <c r="M1730" s="8" t="s">
        <v>6688</v>
      </c>
      <c r="N1730" s="38" t="s">
        <v>1727</v>
      </c>
      <c r="O1730" s="8"/>
      <c r="P1730" s="4" t="str">
        <f>VLOOKUP($B1730,'D7 - NDB Impacted SPRF''s'!$E$16:$O$9929,9,FALSE)</f>
        <v>Y</v>
      </c>
      <c r="Q1730" s="4" t="str">
        <f>VLOOKUP($B1730,'D7 - NDB Impacted SPRF''s'!$E$16:$O$9929,10,FALSE)</f>
        <v>N</v>
      </c>
      <c r="R1730" s="4" t="str">
        <f>VLOOKUP($B1730,'D7 - NDB Impacted SPRF''s'!$E$16:$O$9929,11,FALSE)</f>
        <v>Y</v>
      </c>
      <c r="S1730" s="8"/>
      <c r="T1730" s="310"/>
      <c r="U1730" s="310"/>
      <c r="V1730" s="4"/>
      <c r="W1730" s="4"/>
      <c r="X1730" s="4"/>
      <c r="Y1730" s="4"/>
      <c r="Z1730" s="4"/>
      <c r="AA1730" s="4"/>
      <c r="AB1730" s="380" t="str">
        <f>VLOOKUP($B1730,'D7 - NDB Impacted SPRF''s'!$E$6:$O$9929,4,FALSE)</f>
        <v>Completed</v>
      </c>
      <c r="AC1730" s="380" t="str">
        <f>VLOOKUP($B1730,'D7 - NDB Impacted SPRF''s'!$E$6:$O$9929,3,FALSE)</f>
        <v>UnitedHealthcare Employer &amp; Individual</v>
      </c>
      <c r="AD1730" s="380" t="str">
        <f>VLOOKUP($B1730,'D7 - NDB Impacted SPRF''s'!$E$6:$O$9929,5,FALSE)</f>
        <v>Customer Requirements</v>
      </c>
      <c r="AE1730" s="380" t="str">
        <f>VLOOKUP($B1730,'D7 - NDB Impacted SPRF''s'!$E$6:$O$9929,7,FALSE)</f>
        <v>John Cravero</v>
      </c>
      <c r="AF1730" s="380" t="str">
        <f>VLOOKUP($B1730,'D7 - NDB Impacted SPRF''s'!$E$6:$O$9929,6,FALSE)</f>
        <v>DOREEN DESPIERRE</v>
      </c>
      <c r="AG1730" s="282"/>
      <c r="AH1730" s="311" t="e">
        <f>INDEX('D5 - Gatekeeper - Projects'!$A$4:$AF$1010,$AM1730, 17)</f>
        <v>#N/A</v>
      </c>
      <c r="AI1730" s="8"/>
      <c r="AJ1730" s="57"/>
      <c r="AK1730" s="105"/>
      <c r="AM1730" s="6" t="e">
        <f>MATCH(D1730,'D5 - Gatekeeper - Projects'!$C$4:$C$1010,0)</f>
        <v>#N/A</v>
      </c>
      <c r="AN1730" s="6" t="b">
        <f t="shared" si="185"/>
        <v>1</v>
      </c>
      <c r="AO1730" s="6" t="str">
        <f t="shared" si="187"/>
        <v>OK</v>
      </c>
      <c r="AQ1730" s="6" t="e">
        <f>MATCH($D1730,'D4 - Provider Council Unsched'!$C$11:$C$234,0)</f>
        <v>#N/A</v>
      </c>
      <c r="AR1730" s="6" t="b">
        <f t="shared" si="186"/>
        <v>1</v>
      </c>
      <c r="AS1730" s="6" t="str">
        <f t="shared" si="189"/>
        <v>OK</v>
      </c>
      <c r="AU1730" s="202">
        <v>41054</v>
      </c>
      <c r="AV1730" s="346" t="s">
        <v>1356</v>
      </c>
      <c r="AW1730" s="274">
        <v>60469</v>
      </c>
    </row>
    <row r="1731" spans="1:49" s="13" customFormat="1" ht="45" x14ac:dyDescent="0.2">
      <c r="A1731" s="14">
        <v>1707</v>
      </c>
      <c r="B1731" s="14">
        <v>400047682</v>
      </c>
      <c r="C1731" s="8" t="s">
        <v>1447</v>
      </c>
      <c r="D1731" s="4" t="str">
        <f t="shared" si="188"/>
        <v>400047682A</v>
      </c>
      <c r="E1731" s="309" t="str">
        <f>VLOOKUP($B1731,'D7 - NDB Impacted SPRF''s'!$E$6:$O$9929,2,FALSE)</f>
        <v>EPDL KTLO 2012</v>
      </c>
      <c r="F1731" s="8"/>
      <c r="G1731" s="8" t="s">
        <v>4758</v>
      </c>
      <c r="H1731" s="8" t="s">
        <v>4246</v>
      </c>
      <c r="I1731" s="20">
        <v>59.77</v>
      </c>
      <c r="J1731" s="8" t="s">
        <v>4862</v>
      </c>
      <c r="K1731" s="182">
        <v>41090</v>
      </c>
      <c r="L1731" s="8" t="s">
        <v>4156</v>
      </c>
      <c r="M1731" s="8" t="s">
        <v>2814</v>
      </c>
      <c r="N1731" s="38"/>
      <c r="O1731" s="8"/>
      <c r="P1731" s="4" t="str">
        <f>VLOOKUP($B1731,'D7 - NDB Impacted SPRF''s'!$E$16:$O$9929,9,FALSE)</f>
        <v>N</v>
      </c>
      <c r="Q1731" s="4" t="str">
        <f>VLOOKUP($B1731,'D7 - NDB Impacted SPRF''s'!$E$16:$O$9929,10,FALSE)</f>
        <v>N</v>
      </c>
      <c r="R1731" s="4" t="str">
        <f>VLOOKUP($B1731,'D7 - NDB Impacted SPRF''s'!$E$16:$O$9929,11,FALSE)</f>
        <v>N</v>
      </c>
      <c r="S1731" s="8"/>
      <c r="T1731" s="310"/>
      <c r="U1731" s="310"/>
      <c r="V1731" s="4"/>
      <c r="W1731" s="4"/>
      <c r="X1731" s="4"/>
      <c r="Y1731" s="4"/>
      <c r="Z1731" s="4"/>
      <c r="AA1731" s="4"/>
      <c r="AB1731" s="380" t="str">
        <f>VLOOKUP($B1731,'D7 - NDB Impacted SPRF''s'!$E$6:$O$9929,4,FALSE)</f>
        <v>Completed</v>
      </c>
      <c r="AC1731" s="380" t="str">
        <f>VLOOKUP($B1731,'D7 - NDB Impacted SPRF''s'!$E$6:$O$9929,3,FALSE)</f>
        <v>UHG IT - Enterprise Technology Services</v>
      </c>
      <c r="AD1731" s="380" t="str">
        <f>VLOOKUP($B1731,'D7 - NDB Impacted SPRF''s'!$E$6:$O$9929,5,FALSE)</f>
        <v>Strategic Initiatives</v>
      </c>
      <c r="AE1731" s="380" t="str">
        <f>VLOOKUP($B1731,'D7 - NDB Impacted SPRF''s'!$E$6:$O$9929,7,FALSE)</f>
        <v>Dave Wichman</v>
      </c>
      <c r="AF1731" s="380" t="str">
        <f>VLOOKUP($B1731,'D7 - NDB Impacted SPRF''s'!$E$6:$O$9929,6,FALSE)</f>
        <v>SHELBY GRAHAM</v>
      </c>
      <c r="AG1731" s="282"/>
      <c r="AH1731" s="311" t="e">
        <f>INDEX('D5 - Gatekeeper - Projects'!$A$4:$AF$1010,$AM1731, 17)</f>
        <v>#N/A</v>
      </c>
      <c r="AI1731" s="8"/>
      <c r="AJ1731" s="57"/>
      <c r="AK1731" s="105"/>
      <c r="AM1731" s="6" t="e">
        <f>MATCH(D1731,'D5 - Gatekeeper - Projects'!$C$4:$C$1010,0)</f>
        <v>#N/A</v>
      </c>
      <c r="AN1731" s="6" t="b">
        <f t="shared" si="185"/>
        <v>1</v>
      </c>
      <c r="AO1731" s="6" t="str">
        <f t="shared" si="187"/>
        <v>OK</v>
      </c>
      <c r="AQ1731" s="6" t="e">
        <f>MATCH($D1731,'D4 - Provider Council Unsched'!$C$11:$C$234,0)</f>
        <v>#N/A</v>
      </c>
      <c r="AR1731" s="6" t="b">
        <f t="shared" si="186"/>
        <v>1</v>
      </c>
      <c r="AS1731" s="6" t="str">
        <f t="shared" si="189"/>
        <v>OK</v>
      </c>
      <c r="AU1731" s="202">
        <v>40851</v>
      </c>
      <c r="AV1731" s="262" t="s">
        <v>2754</v>
      </c>
      <c r="AW1731" s="274">
        <v>49705</v>
      </c>
    </row>
    <row r="1732" spans="1:49" s="13" customFormat="1" ht="33.75" x14ac:dyDescent="0.2">
      <c r="A1732" s="14">
        <v>1708</v>
      </c>
      <c r="B1732" s="8">
        <v>400049235</v>
      </c>
      <c r="C1732" s="8" t="s">
        <v>1447</v>
      </c>
      <c r="D1732" s="4" t="str">
        <f t="shared" si="188"/>
        <v>400049235A</v>
      </c>
      <c r="E1732" s="309" t="str">
        <f>VLOOKUP($B1732,'D7 - NDB Impacted SPRF''s'!$E$6:$O$9929,2,FALSE)</f>
        <v>Q2 NDB OI 00260 Navigate Adr Seq for EPDL</v>
      </c>
      <c r="F1732" s="8"/>
      <c r="G1732" s="8" t="s">
        <v>4758</v>
      </c>
      <c r="H1732" s="8" t="s">
        <v>4246</v>
      </c>
      <c r="I1732" s="20">
        <v>9.16</v>
      </c>
      <c r="J1732" s="8" t="s">
        <v>4862</v>
      </c>
      <c r="K1732" s="182">
        <v>41090</v>
      </c>
      <c r="L1732" s="8" t="s">
        <v>4156</v>
      </c>
      <c r="M1732" s="8" t="s">
        <v>2814</v>
      </c>
      <c r="N1732" s="38"/>
      <c r="O1732" s="8"/>
      <c r="P1732" s="4" t="str">
        <f>VLOOKUP($B1732,'D7 - NDB Impacted SPRF''s'!$E$16:$O$9929,9,FALSE)</f>
        <v>N</v>
      </c>
      <c r="Q1732" s="4" t="str">
        <f>VLOOKUP($B1732,'D7 - NDB Impacted SPRF''s'!$E$16:$O$9929,10,FALSE)</f>
        <v>N</v>
      </c>
      <c r="R1732" s="4" t="str">
        <f>VLOOKUP($B1732,'D7 - NDB Impacted SPRF''s'!$E$16:$O$9929,11,FALSE)</f>
        <v>N</v>
      </c>
      <c r="S1732" s="8"/>
      <c r="T1732" s="310"/>
      <c r="U1732" s="310"/>
      <c r="V1732" s="4"/>
      <c r="W1732" s="4"/>
      <c r="X1732" s="4"/>
      <c r="Y1732" s="4"/>
      <c r="Z1732" s="4"/>
      <c r="AA1732" s="4"/>
      <c r="AB1732" s="380" t="str">
        <f>VLOOKUP($B1732,'D7 - NDB Impacted SPRF''s'!$E$6:$O$9929,4,FALSE)</f>
        <v>Scheduled</v>
      </c>
      <c r="AC1732" s="380" t="str">
        <f>VLOOKUP($B1732,'D7 - NDB Impacted SPRF''s'!$E$6:$O$9929,3,FALSE)</f>
        <v>UnitedHealthcare Employer &amp; Individual</v>
      </c>
      <c r="AD1732" s="380" t="str">
        <f>VLOOKUP($B1732,'D7 - NDB Impacted SPRF''s'!$E$6:$O$9929,5,FALSE)</f>
        <v>Operational Requirements</v>
      </c>
      <c r="AE1732" s="380" t="str">
        <f>VLOOKUP($B1732,'D7 - NDB Impacted SPRF''s'!$E$6:$O$9929,7,FALSE)</f>
        <v>Eileen Dock</v>
      </c>
      <c r="AF1732" s="380" t="str">
        <f>VLOOKUP($B1732,'D7 - NDB Impacted SPRF''s'!$E$6:$O$9929,6,FALSE)</f>
        <v>Robert Wright</v>
      </c>
      <c r="AG1732" s="282"/>
      <c r="AH1732" s="311" t="e">
        <f>INDEX('D5 - Gatekeeper - Projects'!$A$4:$AF$1010,$AM1732, 17)</f>
        <v>#N/A</v>
      </c>
      <c r="AI1732" s="8"/>
      <c r="AJ1732" s="57"/>
      <c r="AK1732" s="105"/>
      <c r="AM1732" s="6" t="e">
        <f>MATCH(D1732,'D5 - Gatekeeper - Projects'!$C$4:$C$1010,0)</f>
        <v>#N/A</v>
      </c>
      <c r="AN1732" s="6" t="b">
        <f t="shared" si="185"/>
        <v>1</v>
      </c>
      <c r="AO1732" s="6" t="str">
        <f t="shared" si="187"/>
        <v>OK</v>
      </c>
      <c r="AQ1732" s="6" t="e">
        <f>MATCH($D1732,'D4 - Provider Council Unsched'!$C$11:$C$234,0)</f>
        <v>#N/A</v>
      </c>
      <c r="AR1732" s="6" t="b">
        <f t="shared" si="186"/>
        <v>1</v>
      </c>
      <c r="AS1732" s="6" t="str">
        <f t="shared" si="189"/>
        <v>OK</v>
      </c>
      <c r="AU1732" s="202"/>
      <c r="AV1732" s="262" t="s">
        <v>444</v>
      </c>
      <c r="AW1732" s="274">
        <v>55890</v>
      </c>
    </row>
    <row r="1733" spans="1:49" s="13" customFormat="1" ht="33.75" x14ac:dyDescent="0.2">
      <c r="A1733" s="14">
        <v>1709</v>
      </c>
      <c r="B1733" s="8">
        <v>400049435</v>
      </c>
      <c r="C1733" s="8" t="s">
        <v>1447</v>
      </c>
      <c r="D1733" s="4" t="str">
        <f t="shared" si="188"/>
        <v>400049435A</v>
      </c>
      <c r="E1733" s="309" t="str">
        <f>VLOOKUP($B1733,'D7 - NDB Impacted SPRF''s'!$E$6:$O$9929,2,FALSE)</f>
        <v xml:space="preserve">WOQ2 NDB OI 00293 Multiple PCP Terms </v>
      </c>
      <c r="F1733" s="8"/>
      <c r="G1733" s="8" t="s">
        <v>4758</v>
      </c>
      <c r="H1733" s="8" t="s">
        <v>4246</v>
      </c>
      <c r="I1733" s="20">
        <v>8.83</v>
      </c>
      <c r="J1733" s="8" t="s">
        <v>4862</v>
      </c>
      <c r="K1733" s="182">
        <v>41090</v>
      </c>
      <c r="L1733" s="8" t="s">
        <v>4156</v>
      </c>
      <c r="M1733" s="8" t="s">
        <v>6007</v>
      </c>
      <c r="N1733" s="38" t="s">
        <v>230</v>
      </c>
      <c r="O1733" s="8"/>
      <c r="P1733" s="4" t="str">
        <f>VLOOKUP($B1733,'D7 - NDB Impacted SPRF''s'!$E$16:$O$9929,9,FALSE)</f>
        <v>N</v>
      </c>
      <c r="Q1733" s="4" t="str">
        <f>VLOOKUP($B1733,'D7 - NDB Impacted SPRF''s'!$E$16:$O$9929,10,FALSE)</f>
        <v>N</v>
      </c>
      <c r="R1733" s="4" t="str">
        <f>VLOOKUP($B1733,'D7 - NDB Impacted SPRF''s'!$E$16:$O$9929,11,FALSE)</f>
        <v>N</v>
      </c>
      <c r="S1733" s="8"/>
      <c r="T1733" s="310"/>
      <c r="U1733" s="310"/>
      <c r="V1733" s="4"/>
      <c r="W1733" s="4"/>
      <c r="X1733" s="4"/>
      <c r="Y1733" s="4"/>
      <c r="Z1733" s="4"/>
      <c r="AA1733" s="4"/>
      <c r="AB1733" s="380" t="str">
        <f>VLOOKUP($B1733,'D7 - NDB Impacted SPRF''s'!$E$6:$O$9929,4,FALSE)</f>
        <v>Scheduled</v>
      </c>
      <c r="AC1733" s="380" t="str">
        <f>VLOOKUP($B1733,'D7 - NDB Impacted SPRF''s'!$E$6:$O$9929,3,FALSE)</f>
        <v>UnitedHealthcare Employer &amp; Individual</v>
      </c>
      <c r="AD1733" s="380" t="str">
        <f>VLOOKUP($B1733,'D7 - NDB Impacted SPRF''s'!$E$6:$O$9929,5,FALSE)</f>
        <v>Operational Requirements</v>
      </c>
      <c r="AE1733" s="380" t="str">
        <f>VLOOKUP($B1733,'D7 - NDB Impacted SPRF''s'!$E$6:$O$9929,7,FALSE)</f>
        <v>Eileen Dock</v>
      </c>
      <c r="AF1733" s="380" t="str">
        <f>VLOOKUP($B1733,'D7 - NDB Impacted SPRF''s'!$E$6:$O$9929,6,FALSE)</f>
        <v>Robert Wright</v>
      </c>
      <c r="AG1733" s="282"/>
      <c r="AH1733" s="311" t="e">
        <f>INDEX('D5 - Gatekeeper - Projects'!$A$4:$AF$1010,$AM1733, 17)</f>
        <v>#N/A</v>
      </c>
      <c r="AI1733" s="8"/>
      <c r="AJ1733" s="57"/>
      <c r="AK1733" s="105"/>
      <c r="AM1733" s="6" t="e">
        <f>MATCH(D1733,'D5 - Gatekeeper - Projects'!$C$4:$C$1010,0)</f>
        <v>#N/A</v>
      </c>
      <c r="AN1733" s="6" t="b">
        <f t="shared" si="185"/>
        <v>1</v>
      </c>
      <c r="AO1733" s="6" t="str">
        <f t="shared" si="187"/>
        <v>OK</v>
      </c>
      <c r="AQ1733" s="6" t="e">
        <f>MATCH($D1733,'D4 - Provider Council Unsched'!$C$11:$C$234,0)</f>
        <v>#N/A</v>
      </c>
      <c r="AR1733" s="6" t="b">
        <f t="shared" si="186"/>
        <v>1</v>
      </c>
      <c r="AS1733" s="6" t="str">
        <f t="shared" si="189"/>
        <v>OK</v>
      </c>
      <c r="AU1733" s="202"/>
      <c r="AV1733" s="262" t="s">
        <v>444</v>
      </c>
      <c r="AW1733" s="274">
        <v>55900</v>
      </c>
    </row>
    <row r="1734" spans="1:49" s="13" customFormat="1" ht="33.75" x14ac:dyDescent="0.2">
      <c r="A1734" s="14">
        <v>1710</v>
      </c>
      <c r="B1734" s="8">
        <v>400049436</v>
      </c>
      <c r="C1734" s="8" t="s">
        <v>1447</v>
      </c>
      <c r="D1734" s="4" t="str">
        <f t="shared" si="188"/>
        <v>400049436A</v>
      </c>
      <c r="E1734" s="309" t="str">
        <f>VLOOKUP($B1734,'D7 - NDB Impacted SPRF''s'!$E$6:$O$9929,2,FALSE)</f>
        <v>WOQ2 NDB OI 00288 Multi Specialty Terms </v>
      </c>
      <c r="F1734" s="8"/>
      <c r="G1734" s="8" t="s">
        <v>4758</v>
      </c>
      <c r="H1734" s="8" t="s">
        <v>4246</v>
      </c>
      <c r="I1734" s="20">
        <v>9.1199999999999992</v>
      </c>
      <c r="J1734" s="8" t="s">
        <v>4862</v>
      </c>
      <c r="K1734" s="182">
        <v>41090</v>
      </c>
      <c r="L1734" s="8" t="s">
        <v>4156</v>
      </c>
      <c r="M1734" s="8" t="s">
        <v>6007</v>
      </c>
      <c r="N1734" s="38" t="s">
        <v>229</v>
      </c>
      <c r="O1734" s="8"/>
      <c r="P1734" s="4" t="str">
        <f>VLOOKUP($B1734,'D7 - NDB Impacted SPRF''s'!$E$16:$O$9929,9,FALSE)</f>
        <v>N</v>
      </c>
      <c r="Q1734" s="4" t="str">
        <f>VLOOKUP($B1734,'D7 - NDB Impacted SPRF''s'!$E$16:$O$9929,10,FALSE)</f>
        <v>N</v>
      </c>
      <c r="R1734" s="4" t="str">
        <f>VLOOKUP($B1734,'D7 - NDB Impacted SPRF''s'!$E$16:$O$9929,11,FALSE)</f>
        <v>N</v>
      </c>
      <c r="S1734" s="8"/>
      <c r="T1734" s="310"/>
      <c r="U1734" s="310"/>
      <c r="V1734" s="4"/>
      <c r="W1734" s="4"/>
      <c r="X1734" s="4"/>
      <c r="Y1734" s="4"/>
      <c r="Z1734" s="4"/>
      <c r="AA1734" s="4"/>
      <c r="AB1734" s="380" t="str">
        <f>VLOOKUP($B1734,'D7 - NDB Impacted SPRF''s'!$E$6:$O$9929,4,FALSE)</f>
        <v>Scheduled</v>
      </c>
      <c r="AC1734" s="380" t="str">
        <f>VLOOKUP($B1734,'D7 - NDB Impacted SPRF''s'!$E$6:$O$9929,3,FALSE)</f>
        <v>UnitedHealthcare Employer &amp; Individual</v>
      </c>
      <c r="AD1734" s="380" t="str">
        <f>VLOOKUP($B1734,'D7 - NDB Impacted SPRF''s'!$E$6:$O$9929,5,FALSE)</f>
        <v>Operational Requirements</v>
      </c>
      <c r="AE1734" s="380" t="str">
        <f>VLOOKUP($B1734,'D7 - NDB Impacted SPRF''s'!$E$6:$O$9929,7,FALSE)</f>
        <v>Eileen Dock</v>
      </c>
      <c r="AF1734" s="380" t="str">
        <f>VLOOKUP($B1734,'D7 - NDB Impacted SPRF''s'!$E$6:$O$9929,6,FALSE)</f>
        <v>Robert Wright</v>
      </c>
      <c r="AG1734" s="282"/>
      <c r="AH1734" s="311" t="e">
        <f>INDEX('D5 - Gatekeeper - Projects'!$A$4:$AF$1010,$AM1734, 17)</f>
        <v>#N/A</v>
      </c>
      <c r="AI1734" s="8"/>
      <c r="AJ1734" s="57"/>
      <c r="AK1734" s="105"/>
      <c r="AM1734" s="6" t="e">
        <f>MATCH(D1734,'D5 - Gatekeeper - Projects'!$C$4:$C$1010,0)</f>
        <v>#N/A</v>
      </c>
      <c r="AN1734" s="6" t="b">
        <f t="shared" si="185"/>
        <v>1</v>
      </c>
      <c r="AO1734" s="6" t="str">
        <f t="shared" si="187"/>
        <v>OK</v>
      </c>
      <c r="AQ1734" s="6" t="e">
        <f>MATCH($D1734,'D4 - Provider Council Unsched'!$C$11:$C$234,0)</f>
        <v>#N/A</v>
      </c>
      <c r="AR1734" s="6" t="b">
        <f t="shared" si="186"/>
        <v>1</v>
      </c>
      <c r="AS1734" s="6" t="str">
        <f t="shared" si="189"/>
        <v>OK</v>
      </c>
      <c r="AU1734" s="202"/>
      <c r="AV1734" s="262" t="s">
        <v>444</v>
      </c>
      <c r="AW1734" s="274">
        <v>55901</v>
      </c>
    </row>
    <row r="1735" spans="1:49" s="13" customFormat="1" ht="22.5" x14ac:dyDescent="0.2">
      <c r="A1735" s="14">
        <v>1711</v>
      </c>
      <c r="B1735" s="8">
        <v>400041452</v>
      </c>
      <c r="C1735" s="8" t="s">
        <v>7292</v>
      </c>
      <c r="D1735" s="4" t="str">
        <f t="shared" si="188"/>
        <v>400041452C</v>
      </c>
      <c r="E1735" s="309" t="str">
        <f>VLOOKUP($B1735,'D7 - NDB Impacted SPRF''s'!$E$6:$O$9929,2,FALSE)</f>
        <v>Cont CDB Core Processing: Inc View Cutovers</v>
      </c>
      <c r="F1735" s="8"/>
      <c r="G1735" s="8" t="s">
        <v>4758</v>
      </c>
      <c r="H1735" s="8" t="s">
        <v>4246</v>
      </c>
      <c r="I1735" s="20">
        <v>1.1499999999999999</v>
      </c>
      <c r="J1735" s="8" t="s">
        <v>4862</v>
      </c>
      <c r="K1735" s="182">
        <v>41108</v>
      </c>
      <c r="L1735" s="8" t="s">
        <v>4156</v>
      </c>
      <c r="M1735" s="8" t="s">
        <v>5626</v>
      </c>
      <c r="N1735" s="38"/>
      <c r="O1735" s="8"/>
      <c r="P1735" s="4" t="str">
        <f>VLOOKUP($B1735,'D7 - NDB Impacted SPRF''s'!$E$16:$O$9929,9,FALSE)</f>
        <v>Y</v>
      </c>
      <c r="Q1735" s="4" t="str">
        <f>VLOOKUP($B1735,'D7 - NDB Impacted SPRF''s'!$E$16:$O$9929,10,FALSE)</f>
        <v>N</v>
      </c>
      <c r="R1735" s="4" t="str">
        <f>VLOOKUP($B1735,'D7 - NDB Impacted SPRF''s'!$E$16:$O$9929,11,FALSE)</f>
        <v>N</v>
      </c>
      <c r="S1735" s="8"/>
      <c r="T1735" s="310"/>
      <c r="U1735" s="310"/>
      <c r="V1735" s="4"/>
      <c r="W1735" s="4"/>
      <c r="X1735" s="4"/>
      <c r="Y1735" s="4"/>
      <c r="Z1735" s="4"/>
      <c r="AA1735" s="4"/>
      <c r="AB1735" s="380" t="str">
        <f>VLOOKUP($B1735,'D7 - NDB Impacted SPRF''s'!$E$6:$O$9929,4,FALSE)</f>
        <v>Scheduled</v>
      </c>
      <c r="AC1735" s="380" t="str">
        <f>VLOOKUP($B1735,'D7 - NDB Impacted SPRF''s'!$E$6:$O$9929,3,FALSE)</f>
        <v>UHG IT - Shared Services</v>
      </c>
      <c r="AD1735" s="380" t="str">
        <f>VLOOKUP($B1735,'D7 - NDB Impacted SPRF''s'!$E$6:$O$9929,5,FALSE)</f>
        <v>Strategic Initiatives</v>
      </c>
      <c r="AE1735" s="380" t="str">
        <f>VLOOKUP($B1735,'D7 - NDB Impacted SPRF''s'!$E$6:$O$9929,7,FALSE)</f>
        <v>Patrick Casey</v>
      </c>
      <c r="AF1735" s="380" t="str">
        <f>VLOOKUP($B1735,'D7 - NDB Impacted SPRF''s'!$E$6:$O$9929,6,FALSE)</f>
        <v>DIANE KOWAL</v>
      </c>
      <c r="AG1735" s="282"/>
      <c r="AH1735" s="311" t="e">
        <f>INDEX('D5 - Gatekeeper - Projects'!$A$4:$AF$1010,$AM1735, 17)</f>
        <v>#N/A</v>
      </c>
      <c r="AI1735" s="8"/>
      <c r="AJ1735" s="57"/>
      <c r="AK1735" s="105"/>
      <c r="AM1735" s="6" t="e">
        <f>MATCH(D1735,'D5 - Gatekeeper - Projects'!$C$4:$C$1010,0)</f>
        <v>#N/A</v>
      </c>
      <c r="AN1735" s="6" t="b">
        <f t="shared" si="185"/>
        <v>1</v>
      </c>
      <c r="AO1735" s="6" t="str">
        <f t="shared" si="187"/>
        <v>OK</v>
      </c>
      <c r="AQ1735" s="6" t="e">
        <f>MATCH($D1735,'D4 - Provider Council Unsched'!$C$11:$C$234,0)</f>
        <v>#N/A</v>
      </c>
      <c r="AR1735" s="6" t="b">
        <f t="shared" si="186"/>
        <v>1</v>
      </c>
      <c r="AS1735" s="6" t="str">
        <f t="shared" si="189"/>
        <v>OK</v>
      </c>
      <c r="AU1735" s="202">
        <v>40637</v>
      </c>
      <c r="AV1735" s="262" t="s">
        <v>2309</v>
      </c>
      <c r="AW1735" s="274">
        <v>33872</v>
      </c>
    </row>
    <row r="1736" spans="1:49" s="13" customFormat="1" ht="146.25" x14ac:dyDescent="0.2">
      <c r="A1736" s="14">
        <v>1712</v>
      </c>
      <c r="B1736" s="8">
        <v>400046667</v>
      </c>
      <c r="C1736" s="8" t="s">
        <v>1447</v>
      </c>
      <c r="D1736" s="4" t="str">
        <f t="shared" si="188"/>
        <v>400046667A</v>
      </c>
      <c r="E1736" s="309" t="str">
        <f>VLOOKUP($B1736,'D7 - NDB Impacted SPRF''s'!$E$6:$O$9929,2,FALSE)</f>
        <v>Nebraska CSP Facets Migration</v>
      </c>
      <c r="F1736" s="8"/>
      <c r="G1736" s="8" t="s">
        <v>4758</v>
      </c>
      <c r="H1736" s="8" t="s">
        <v>4246</v>
      </c>
      <c r="I1736" s="20">
        <v>1.64</v>
      </c>
      <c r="J1736" s="8" t="s">
        <v>4862</v>
      </c>
      <c r="K1736" s="182">
        <v>41123</v>
      </c>
      <c r="L1736" s="8" t="s">
        <v>4156</v>
      </c>
      <c r="M1736" s="8" t="s">
        <v>3598</v>
      </c>
      <c r="N1736" s="38" t="s">
        <v>431</v>
      </c>
      <c r="O1736" s="8"/>
      <c r="P1736" s="4" t="str">
        <f>VLOOKUP($B1736,'D7 - NDB Impacted SPRF''s'!$E$16:$O$9929,9,FALSE)</f>
        <v>N</v>
      </c>
      <c r="Q1736" s="4" t="str">
        <f>VLOOKUP($B1736,'D7 - NDB Impacted SPRF''s'!$E$16:$O$9929,10,FALSE)</f>
        <v>N</v>
      </c>
      <c r="R1736" s="4" t="str">
        <f>VLOOKUP($B1736,'D7 - NDB Impacted SPRF''s'!$E$16:$O$9929,11,FALSE)</f>
        <v>Y</v>
      </c>
      <c r="S1736" s="8"/>
      <c r="T1736" s="310"/>
      <c r="U1736" s="310"/>
      <c r="V1736" s="4"/>
      <c r="W1736" s="4"/>
      <c r="X1736" s="4"/>
      <c r="Y1736" s="4"/>
      <c r="Z1736" s="4"/>
      <c r="AA1736" s="4"/>
      <c r="AB1736" s="380" t="str">
        <f>VLOOKUP($B1736,'D7 - NDB Impacted SPRF''s'!$E$6:$O$9929,4,FALSE)</f>
        <v>Completed</v>
      </c>
      <c r="AC1736" s="380" t="str">
        <f>VLOOKUP($B1736,'D7 - NDB Impacted SPRF''s'!$E$6:$O$9929,3,FALSE)</f>
        <v>UnitedHealthcare Community &amp; State</v>
      </c>
      <c r="AD1736" s="380" t="str">
        <f>VLOOKUP($B1736,'D7 - NDB Impacted SPRF''s'!$E$6:$O$9929,5,FALSE)</f>
        <v>Integration Requirements</v>
      </c>
      <c r="AE1736" s="380" t="str">
        <f>VLOOKUP($B1736,'D7 - NDB Impacted SPRF''s'!$E$6:$O$9929,7,FALSE)</f>
        <v>Chris Scherer</v>
      </c>
      <c r="AF1736" s="380" t="str">
        <f>VLOOKUP($B1736,'D7 - NDB Impacted SPRF''s'!$E$6:$O$9929,6,FALSE)</f>
        <v>Jackie Stadterman</v>
      </c>
      <c r="AG1736" s="282"/>
      <c r="AH1736" s="311" t="e">
        <f>INDEX('D5 - Gatekeeper - Projects'!$A$4:$AF$1010,$AM1736, 17)</f>
        <v>#N/A</v>
      </c>
      <c r="AI1736" s="8"/>
      <c r="AJ1736" s="57"/>
      <c r="AK1736" s="105"/>
      <c r="AM1736" s="6" t="e">
        <f>MATCH(D1736,'D5 - Gatekeeper - Projects'!$C$4:$C$1010,0)</f>
        <v>#N/A</v>
      </c>
      <c r="AN1736" s="6" t="b">
        <f t="shared" si="185"/>
        <v>1</v>
      </c>
      <c r="AO1736" s="6" t="str">
        <f t="shared" si="187"/>
        <v>OK</v>
      </c>
      <c r="AQ1736" s="6" t="e">
        <f>MATCH($D1736,'D4 - Provider Council Unsched'!$C$11:$C$234,0)</f>
        <v>#N/A</v>
      </c>
      <c r="AR1736" s="6" t="b">
        <f t="shared" si="186"/>
        <v>1</v>
      </c>
      <c r="AS1736" s="6" t="str">
        <f t="shared" si="189"/>
        <v>OK</v>
      </c>
      <c r="AU1736" s="202"/>
      <c r="AV1736" s="262" t="s">
        <v>1090</v>
      </c>
      <c r="AW1736" s="274">
        <v>46553</v>
      </c>
    </row>
    <row r="1737" spans="1:49" s="13" customFormat="1" ht="180" x14ac:dyDescent="0.2">
      <c r="A1737" s="14">
        <v>1713</v>
      </c>
      <c r="B1737" s="8">
        <v>400046667</v>
      </c>
      <c r="C1737" s="8" t="s">
        <v>7290</v>
      </c>
      <c r="D1737" s="4" t="str">
        <f t="shared" si="188"/>
        <v>400046667B</v>
      </c>
      <c r="E1737" s="309" t="str">
        <f>VLOOKUP($B1737,'D7 - NDB Impacted SPRF''s'!$E$6:$O$9929,2,FALSE)</f>
        <v>Nebraska CSP Facets Migration</v>
      </c>
      <c r="F1737" s="8"/>
      <c r="G1737" s="8" t="s">
        <v>4758</v>
      </c>
      <c r="H1737" s="8" t="s">
        <v>4246</v>
      </c>
      <c r="I1737" s="20">
        <v>1.1100000000000001</v>
      </c>
      <c r="J1737" s="8" t="s">
        <v>4862</v>
      </c>
      <c r="K1737" s="182">
        <v>41123</v>
      </c>
      <c r="L1737" s="8" t="s">
        <v>4156</v>
      </c>
      <c r="M1737" s="8" t="s">
        <v>3598</v>
      </c>
      <c r="N1737" s="38" t="s">
        <v>2315</v>
      </c>
      <c r="O1737" s="8"/>
      <c r="P1737" s="4" t="str">
        <f>VLOOKUP($B1737,'D7 - NDB Impacted SPRF''s'!$E$16:$O$9929,9,FALSE)</f>
        <v>N</v>
      </c>
      <c r="Q1737" s="4" t="str">
        <f>VLOOKUP($B1737,'D7 - NDB Impacted SPRF''s'!$E$16:$O$9929,10,FALSE)</f>
        <v>N</v>
      </c>
      <c r="R1737" s="4" t="str">
        <f>VLOOKUP($B1737,'D7 - NDB Impacted SPRF''s'!$E$16:$O$9929,11,FALSE)</f>
        <v>Y</v>
      </c>
      <c r="S1737" s="8"/>
      <c r="T1737" s="310"/>
      <c r="U1737" s="310"/>
      <c r="V1737" s="4"/>
      <c r="W1737" s="4"/>
      <c r="X1737" s="4"/>
      <c r="Y1737" s="4"/>
      <c r="Z1737" s="4"/>
      <c r="AA1737" s="4"/>
      <c r="AB1737" s="380" t="str">
        <f>VLOOKUP($B1737,'D7 - NDB Impacted SPRF''s'!$E$6:$O$9929,4,FALSE)</f>
        <v>Completed</v>
      </c>
      <c r="AC1737" s="380" t="str">
        <f>VLOOKUP($B1737,'D7 - NDB Impacted SPRF''s'!$E$6:$O$9929,3,FALSE)</f>
        <v>UnitedHealthcare Community &amp; State</v>
      </c>
      <c r="AD1737" s="380" t="str">
        <f>VLOOKUP($B1737,'D7 - NDB Impacted SPRF''s'!$E$6:$O$9929,5,FALSE)</f>
        <v>Integration Requirements</v>
      </c>
      <c r="AE1737" s="380" t="str">
        <f>VLOOKUP($B1737,'D7 - NDB Impacted SPRF''s'!$E$6:$O$9929,7,FALSE)</f>
        <v>Chris Scherer</v>
      </c>
      <c r="AF1737" s="380" t="str">
        <f>VLOOKUP($B1737,'D7 - NDB Impacted SPRF''s'!$E$6:$O$9929,6,FALSE)</f>
        <v>Jackie Stadterman</v>
      </c>
      <c r="AG1737" s="282"/>
      <c r="AH1737" s="311" t="e">
        <f>INDEX('D5 - Gatekeeper - Projects'!$A$4:$AF$1010,$AM1737, 17)</f>
        <v>#N/A</v>
      </c>
      <c r="AI1737" s="8"/>
      <c r="AJ1737" s="57"/>
      <c r="AK1737" s="105"/>
      <c r="AM1737" s="6" t="e">
        <f>MATCH(D1737,'D5 - Gatekeeper - Projects'!$C$4:$C$1010,0)</f>
        <v>#N/A</v>
      </c>
      <c r="AN1737" s="6" t="b">
        <f t="shared" si="185"/>
        <v>1</v>
      </c>
      <c r="AO1737" s="6" t="str">
        <f t="shared" si="187"/>
        <v>OK</v>
      </c>
      <c r="AQ1737" s="6" t="e">
        <f>MATCH($D1737,'D4 - Provider Council Unsched'!$C$11:$C$234,0)</f>
        <v>#N/A</v>
      </c>
      <c r="AR1737" s="6" t="b">
        <f t="shared" si="186"/>
        <v>1</v>
      </c>
      <c r="AS1737" s="6" t="str">
        <f t="shared" si="189"/>
        <v>OK</v>
      </c>
      <c r="AU1737" s="202">
        <v>41075</v>
      </c>
      <c r="AV1737" s="262" t="s">
        <v>1090</v>
      </c>
      <c r="AW1737" s="274">
        <v>46553</v>
      </c>
    </row>
    <row r="1738" spans="1:49" s="13" customFormat="1" ht="33.75" x14ac:dyDescent="0.2">
      <c r="A1738" s="14">
        <v>1714</v>
      </c>
      <c r="B1738" s="8">
        <v>400032631</v>
      </c>
      <c r="C1738" s="8" t="s">
        <v>1447</v>
      </c>
      <c r="D1738" s="4" t="str">
        <f t="shared" si="188"/>
        <v>400032631A</v>
      </c>
      <c r="E1738" s="309" t="str">
        <f>VLOOKUP($B1738,'D7 - NDB Impacted SPRF''s'!$E$6:$O$9929,2,FALSE)</f>
        <v>RV FACETS Composite APC Logic Break/Fix</v>
      </c>
      <c r="F1738" s="8"/>
      <c r="G1738" s="8" t="s">
        <v>4758</v>
      </c>
      <c r="H1738" s="8" t="s">
        <v>4246</v>
      </c>
      <c r="I1738" s="20">
        <v>7.0000000000000007E-2</v>
      </c>
      <c r="J1738" s="8" t="s">
        <v>4862</v>
      </c>
      <c r="K1738" s="182">
        <v>41132</v>
      </c>
      <c r="L1738" s="8" t="s">
        <v>4156</v>
      </c>
      <c r="M1738" s="8" t="s">
        <v>5626</v>
      </c>
      <c r="N1738" s="38" t="s">
        <v>2379</v>
      </c>
      <c r="O1738" s="8"/>
      <c r="P1738" s="4" t="str">
        <f>VLOOKUP($B1738,'D7 - NDB Impacted SPRF''s'!$E$16:$O$9929,9,FALSE)</f>
        <v>N</v>
      </c>
      <c r="Q1738" s="4" t="str">
        <f>VLOOKUP($B1738,'D7 - NDB Impacted SPRF''s'!$E$16:$O$9929,10,FALSE)</f>
        <v>N</v>
      </c>
      <c r="R1738" s="4" t="str">
        <f>VLOOKUP($B1738,'D7 - NDB Impacted SPRF''s'!$E$16:$O$9929,11,FALSE)</f>
        <v>Y</v>
      </c>
      <c r="S1738" s="8"/>
      <c r="T1738" s="310"/>
      <c r="U1738" s="310"/>
      <c r="V1738" s="4"/>
      <c r="W1738" s="4"/>
      <c r="X1738" s="4"/>
      <c r="Y1738" s="4"/>
      <c r="Z1738" s="4"/>
      <c r="AA1738" s="4"/>
      <c r="AB1738" s="380" t="str">
        <f>VLOOKUP($B1738,'D7 - NDB Impacted SPRF''s'!$E$6:$O$9929,4,FALSE)</f>
        <v>Cancelled</v>
      </c>
      <c r="AC1738" s="380" t="str">
        <f>VLOOKUP($B1738,'D7 - NDB Impacted SPRF''s'!$E$6:$O$9929,3,FALSE)</f>
        <v>UnitedHealthcare Community &amp; State</v>
      </c>
      <c r="AD1738" s="380" t="str">
        <f>VLOOKUP($B1738,'D7 - NDB Impacted SPRF''s'!$E$6:$O$9929,5,FALSE)</f>
        <v>Regulatory / Other</v>
      </c>
      <c r="AE1738" s="380" t="str">
        <f>VLOOKUP($B1738,'D7 - NDB Impacted SPRF''s'!$E$6:$O$9929,7,FALSE)</f>
        <v>Heidi Kemmer</v>
      </c>
      <c r="AF1738" s="380" t="str">
        <f>VLOOKUP($B1738,'D7 - NDB Impacted SPRF''s'!$E$6:$O$9929,6,FALSE)</f>
        <v>Mary Vanspeybroeck</v>
      </c>
      <c r="AG1738" s="282"/>
      <c r="AH1738" s="311" t="e">
        <f>INDEX('D5 - Gatekeeper - Projects'!$A$4:$AF$1010,$AM1738, 17)</f>
        <v>#N/A</v>
      </c>
      <c r="AI1738" s="8"/>
      <c r="AJ1738" s="57"/>
      <c r="AK1738" s="105"/>
      <c r="AM1738" s="6" t="e">
        <f>MATCH(D1738,'D5 - Gatekeeper - Projects'!$C$4:$C$1010,0)</f>
        <v>#N/A</v>
      </c>
      <c r="AN1738" s="6" t="b">
        <f t="shared" si="185"/>
        <v>1</v>
      </c>
      <c r="AO1738" s="6" t="str">
        <f t="shared" si="187"/>
        <v>OK</v>
      </c>
      <c r="AQ1738" s="6" t="e">
        <f>MATCH($D1738,'D4 - Provider Council Unsched'!$C$11:$C$234,0)</f>
        <v>#N/A</v>
      </c>
      <c r="AR1738" s="6" t="b">
        <f t="shared" si="186"/>
        <v>1</v>
      </c>
      <c r="AS1738" s="6" t="str">
        <f t="shared" si="189"/>
        <v>OK</v>
      </c>
      <c r="AU1738" s="202">
        <v>41047</v>
      </c>
      <c r="AV1738" s="262" t="s">
        <v>470</v>
      </c>
      <c r="AW1738" s="274" t="s">
        <v>3572</v>
      </c>
    </row>
    <row r="1739" spans="1:49" s="13" customFormat="1" ht="213.75" x14ac:dyDescent="0.2">
      <c r="A1739" s="14">
        <v>1715</v>
      </c>
      <c r="B1739" s="8">
        <v>400040360</v>
      </c>
      <c r="C1739" s="8" t="s">
        <v>1447</v>
      </c>
      <c r="D1739" s="4" t="str">
        <f t="shared" si="188"/>
        <v>400040360A</v>
      </c>
      <c r="E1739" s="309" t="str">
        <f>VLOOKUP($B1739,'D7 - NDB Impacted SPRF''s'!$E$6:$O$9929,2,FALSE)</f>
        <v>Medical Necessity ICM</v>
      </c>
      <c r="F1739" s="8"/>
      <c r="G1739" s="8" t="s">
        <v>4758</v>
      </c>
      <c r="H1739" s="8" t="s">
        <v>4246</v>
      </c>
      <c r="I1739" s="20">
        <v>85.51</v>
      </c>
      <c r="J1739" s="8" t="s">
        <v>4862</v>
      </c>
      <c r="K1739" s="182">
        <v>41132</v>
      </c>
      <c r="L1739" s="8" t="s">
        <v>4156</v>
      </c>
      <c r="M1739" s="8" t="s">
        <v>2814</v>
      </c>
      <c r="N1739" s="38" t="s">
        <v>942</v>
      </c>
      <c r="O1739" s="8"/>
      <c r="P1739" s="4" t="str">
        <f>VLOOKUP($B1739,'D7 - NDB Impacted SPRF''s'!$E$16:$O$9929,9,FALSE)</f>
        <v>Y</v>
      </c>
      <c r="Q1739" s="4" t="str">
        <f>VLOOKUP($B1739,'D7 - NDB Impacted SPRF''s'!$E$16:$O$9929,10,FALSE)</f>
        <v>N</v>
      </c>
      <c r="R1739" s="4" t="str">
        <f>VLOOKUP($B1739,'D7 - NDB Impacted SPRF''s'!$E$16:$O$9929,11,FALSE)</f>
        <v>Y</v>
      </c>
      <c r="S1739" s="8"/>
      <c r="T1739" s="310"/>
      <c r="U1739" s="310"/>
      <c r="V1739" s="4"/>
      <c r="W1739" s="4"/>
      <c r="X1739" s="4"/>
      <c r="Y1739" s="4"/>
      <c r="Z1739" s="4"/>
      <c r="AA1739" s="4"/>
      <c r="AB1739" s="380" t="str">
        <f>VLOOKUP($B1739,'D7 - NDB Impacted SPRF''s'!$E$6:$O$9929,4,FALSE)</f>
        <v>Scheduled</v>
      </c>
      <c r="AC1739" s="380" t="str">
        <f>VLOOKUP($B1739,'D7 - NDB Impacted SPRF''s'!$E$6:$O$9929,3,FALSE)</f>
        <v>UnitedHealthcare Employer &amp; Individual</v>
      </c>
      <c r="AD1739" s="380" t="str">
        <f>VLOOKUP($B1739,'D7 - NDB Impacted SPRF''s'!$E$6:$O$9929,5,FALSE)</f>
        <v>Medical Cost Savings Programs</v>
      </c>
      <c r="AE1739" s="380" t="str">
        <f>VLOOKUP($B1739,'D7 - NDB Impacted SPRF''s'!$E$6:$O$9929,7,FALSE)</f>
        <v>Dr. Sam Ho / Kevin Ruth</v>
      </c>
      <c r="AF1739" s="380" t="str">
        <f>VLOOKUP($B1739,'D7 - NDB Impacted SPRF''s'!$E$6:$O$9929,6,FALSE)</f>
        <v>ROSS OGDEN</v>
      </c>
      <c r="AG1739" s="282"/>
      <c r="AH1739" s="311" t="e">
        <f>INDEX('D5 - Gatekeeper - Projects'!$A$4:$AF$1010,$AM1739, 17)</f>
        <v>#N/A</v>
      </c>
      <c r="AI1739" s="8"/>
      <c r="AJ1739" s="57"/>
      <c r="AK1739" s="105"/>
      <c r="AM1739" s="6" t="e">
        <f>MATCH(D1739,'D5 - Gatekeeper - Projects'!$C$4:$C$1010,0)</f>
        <v>#N/A</v>
      </c>
      <c r="AN1739" s="6" t="b">
        <f t="shared" si="185"/>
        <v>1</v>
      </c>
      <c r="AO1739" s="6" t="str">
        <f t="shared" si="187"/>
        <v>OK</v>
      </c>
      <c r="AQ1739" s="6" t="e">
        <f>MATCH($D1739,'D4 - Provider Council Unsched'!$C$11:$C$234,0)</f>
        <v>#N/A</v>
      </c>
      <c r="AR1739" s="6" t="b">
        <f t="shared" si="186"/>
        <v>1</v>
      </c>
      <c r="AS1739" s="6" t="str">
        <f t="shared" si="189"/>
        <v>OK</v>
      </c>
      <c r="AU1739" s="202">
        <v>40826</v>
      </c>
      <c r="AV1739" s="262" t="s">
        <v>1042</v>
      </c>
      <c r="AW1739" s="274">
        <v>45852</v>
      </c>
    </row>
    <row r="1740" spans="1:49" s="13" customFormat="1" ht="45" x14ac:dyDescent="0.2">
      <c r="A1740" s="14">
        <v>1716</v>
      </c>
      <c r="B1740" s="8">
        <v>400043996</v>
      </c>
      <c r="C1740" s="8" t="s">
        <v>1447</v>
      </c>
      <c r="D1740" s="4" t="str">
        <f t="shared" si="188"/>
        <v>400043996A</v>
      </c>
      <c r="E1740" s="309" t="str">
        <f>VLOOKUP($B1740,'D7 - NDB Impacted SPRF''s'!$E$6:$O$9929,2,FALSE)</f>
        <v>UHOne Provider Portal User Authentication</v>
      </c>
      <c r="F1740" s="8"/>
      <c r="G1740" s="8" t="s">
        <v>4758</v>
      </c>
      <c r="H1740" s="8" t="s">
        <v>4246</v>
      </c>
      <c r="I1740" s="20">
        <v>0.28000000000000003</v>
      </c>
      <c r="J1740" s="8" t="s">
        <v>4862</v>
      </c>
      <c r="K1740" s="182">
        <v>41132</v>
      </c>
      <c r="L1740" s="8" t="s">
        <v>4156</v>
      </c>
      <c r="M1740" s="8" t="s">
        <v>5626</v>
      </c>
      <c r="N1740" s="38" t="s">
        <v>962</v>
      </c>
      <c r="O1740" s="8"/>
      <c r="P1740" s="4" t="str">
        <f>VLOOKUP($B1740,'D7 - NDB Impacted SPRF''s'!$E$16:$O$9929,9,FALSE)</f>
        <v>N</v>
      </c>
      <c r="Q1740" s="4" t="str">
        <f>VLOOKUP($B1740,'D7 - NDB Impacted SPRF''s'!$E$16:$O$9929,10,FALSE)</f>
        <v>N</v>
      </c>
      <c r="R1740" s="4" t="str">
        <f>VLOOKUP($B1740,'D7 - NDB Impacted SPRF''s'!$E$16:$O$9929,11,FALSE)</f>
        <v>N</v>
      </c>
      <c r="S1740" s="8"/>
      <c r="T1740" s="310"/>
      <c r="U1740" s="310"/>
      <c r="V1740" s="4"/>
      <c r="W1740" s="4"/>
      <c r="X1740" s="4"/>
      <c r="Y1740" s="4"/>
      <c r="Z1740" s="4"/>
      <c r="AA1740" s="4"/>
      <c r="AB1740" s="380" t="str">
        <f>VLOOKUP($B1740,'D7 - NDB Impacted SPRF''s'!$E$6:$O$9929,4,FALSE)</f>
        <v>Completed</v>
      </c>
      <c r="AC1740" s="380" t="str">
        <f>VLOOKUP($B1740,'D7 - NDB Impacted SPRF''s'!$E$6:$O$9929,3,FALSE)</f>
        <v>UnitedHealthcare Employer &amp; Individual</v>
      </c>
      <c r="AD1740" s="380" t="str">
        <f>VLOOKUP($B1740,'D7 - NDB Impacted SPRF''s'!$E$6:$O$9929,5,FALSE)</f>
        <v>Operational Requirements</v>
      </c>
      <c r="AE1740" s="380" t="str">
        <f>VLOOKUP($B1740,'D7 - NDB Impacted SPRF''s'!$E$6:$O$9929,7,FALSE)</f>
        <v>Liz Greenamoyer</v>
      </c>
      <c r="AF1740" s="380" t="str">
        <f>VLOOKUP($B1740,'D7 - NDB Impacted SPRF''s'!$E$6:$O$9929,6,FALSE)</f>
        <v>Richard Oliveira</v>
      </c>
      <c r="AG1740" s="282"/>
      <c r="AH1740" s="311" t="e">
        <f>INDEX('D5 - Gatekeeper - Projects'!$A$4:$AF$1010,$AM1740, 17)</f>
        <v>#N/A</v>
      </c>
      <c r="AI1740" s="8"/>
      <c r="AJ1740" s="57"/>
      <c r="AK1740" s="105"/>
      <c r="AM1740" s="6" t="e">
        <f>MATCH(D1740,'D5 - Gatekeeper - Projects'!$C$4:$C$1010,0)</f>
        <v>#N/A</v>
      </c>
      <c r="AN1740" s="6" t="b">
        <f t="shared" si="185"/>
        <v>1</v>
      </c>
      <c r="AO1740" s="6" t="str">
        <f t="shared" si="187"/>
        <v>OK</v>
      </c>
      <c r="AQ1740" s="6" t="e">
        <f>MATCH($D1740,'D4 - Provider Council Unsched'!$C$11:$C$234,0)</f>
        <v>#N/A</v>
      </c>
      <c r="AR1740" s="6" t="b">
        <f t="shared" si="186"/>
        <v>1</v>
      </c>
      <c r="AS1740" s="6" t="str">
        <f t="shared" si="189"/>
        <v>OK</v>
      </c>
      <c r="AU1740" s="202">
        <v>41015</v>
      </c>
      <c r="AV1740" s="262" t="s">
        <v>2303</v>
      </c>
      <c r="AW1740" s="274">
        <v>37892</v>
      </c>
    </row>
    <row r="1741" spans="1:49" s="13" customFormat="1" ht="45" x14ac:dyDescent="0.2">
      <c r="A1741" s="14">
        <v>1717</v>
      </c>
      <c r="B1741" s="8">
        <v>400045746</v>
      </c>
      <c r="C1741" s="8" t="s">
        <v>7290</v>
      </c>
      <c r="D1741" s="4" t="str">
        <f t="shared" si="188"/>
        <v>400045746B</v>
      </c>
      <c r="E1741" s="309" t="str">
        <f>VLOOKUP($B1741,'D7 - NDB Impacted SPRF''s'!$E$6:$O$9929,2,FALSE)</f>
        <v xml:space="preserve">HPHC Platform Based Joint Venture </v>
      </c>
      <c r="F1741" s="8"/>
      <c r="G1741" s="8" t="s">
        <v>4758</v>
      </c>
      <c r="H1741" s="8" t="s">
        <v>4246</v>
      </c>
      <c r="I1741" s="20">
        <v>12.27</v>
      </c>
      <c r="J1741" s="8" t="s">
        <v>4862</v>
      </c>
      <c r="K1741" s="182">
        <v>41132</v>
      </c>
      <c r="L1741" s="8" t="s">
        <v>4156</v>
      </c>
      <c r="M1741" s="8" t="s">
        <v>2814</v>
      </c>
      <c r="N1741" s="38" t="s">
        <v>901</v>
      </c>
      <c r="O1741" s="8"/>
      <c r="P1741" s="4" t="str">
        <f>VLOOKUP($B1741,'D7 - NDB Impacted SPRF''s'!$E$16:$O$9929,9,FALSE)</f>
        <v>N</v>
      </c>
      <c r="Q1741" s="4" t="str">
        <f>VLOOKUP($B1741,'D7 - NDB Impacted SPRF''s'!$E$16:$O$9929,10,FALSE)</f>
        <v>N</v>
      </c>
      <c r="R1741" s="4" t="str">
        <f>VLOOKUP($B1741,'D7 - NDB Impacted SPRF''s'!$E$16:$O$9929,11,FALSE)</f>
        <v>Y</v>
      </c>
      <c r="S1741" s="8"/>
      <c r="T1741" s="310"/>
      <c r="U1741" s="310"/>
      <c r="V1741" s="4"/>
      <c r="W1741" s="4"/>
      <c r="X1741" s="4"/>
      <c r="Y1741" s="4"/>
      <c r="Z1741" s="4"/>
      <c r="AA1741" s="4"/>
      <c r="AB1741" s="380" t="str">
        <f>VLOOKUP($B1741,'D7 - NDB Impacted SPRF''s'!$E$6:$O$9929,4,FALSE)</f>
        <v>Scheduled</v>
      </c>
      <c r="AC1741" s="380" t="str">
        <f>VLOOKUP($B1741,'D7 - NDB Impacted SPRF''s'!$E$6:$O$9929,3,FALSE)</f>
        <v>UnitedHealthcare Employer &amp; Individual</v>
      </c>
      <c r="AD1741" s="380" t="str">
        <f>VLOOKUP($B1741,'D7 - NDB Impacted SPRF''s'!$E$6:$O$9929,5,FALSE)</f>
        <v>Membership Growth / Revenue Programs</v>
      </c>
      <c r="AE1741" s="380" t="str">
        <f>VLOOKUP($B1741,'D7 - NDB Impacted SPRF''s'!$E$6:$O$9929,7,FALSE)</f>
        <v>Pam Stegora-Axberg</v>
      </c>
      <c r="AF1741" s="380" t="str">
        <f>VLOOKUP($B1741,'D7 - NDB Impacted SPRF''s'!$E$6:$O$9929,6,FALSE)</f>
        <v>Ryan Anderson</v>
      </c>
      <c r="AG1741" s="282"/>
      <c r="AH1741" s="311" t="e">
        <f>INDEX('D5 - Gatekeeper - Projects'!$A$4:$AF$1010,$AM1741, 17)</f>
        <v>#N/A</v>
      </c>
      <c r="AI1741" s="8"/>
      <c r="AJ1741" s="57"/>
      <c r="AK1741" s="105"/>
      <c r="AM1741" s="6" t="e">
        <f>MATCH(D1741,'D5 - Gatekeeper - Projects'!$C$4:$C$1010,0)</f>
        <v>#N/A</v>
      </c>
      <c r="AN1741" s="6" t="b">
        <f t="shared" si="185"/>
        <v>1</v>
      </c>
      <c r="AO1741" s="6" t="str">
        <f t="shared" si="187"/>
        <v>OK</v>
      </c>
      <c r="AQ1741" s="6" t="e">
        <f>MATCH($D1741,'D4 - Provider Council Unsched'!$C$11:$C$234,0)</f>
        <v>#N/A</v>
      </c>
      <c r="AR1741" s="6" t="b">
        <f t="shared" si="186"/>
        <v>1</v>
      </c>
      <c r="AS1741" s="6" t="str">
        <f t="shared" si="189"/>
        <v>OK</v>
      </c>
      <c r="AU1741" s="202">
        <v>40870</v>
      </c>
      <c r="AV1741" s="262" t="s">
        <v>930</v>
      </c>
      <c r="AW1741" s="274">
        <v>43010</v>
      </c>
    </row>
    <row r="1742" spans="1:49" s="13" customFormat="1" ht="33.75" x14ac:dyDescent="0.2">
      <c r="A1742" s="14">
        <v>1718</v>
      </c>
      <c r="B1742" s="8">
        <v>400045917</v>
      </c>
      <c r="C1742" s="8" t="s">
        <v>1447</v>
      </c>
      <c r="D1742" s="4" t="str">
        <f t="shared" si="188"/>
        <v>400045917A</v>
      </c>
      <c r="E1742" s="309" t="str">
        <f>VLOOKUP($B1742,'D7 - NDB Impacted SPRF''s'!$E$6:$O$9929,2,FALSE)</f>
        <v>ICD10 TF E&amp;I Technical Foundation Case Install</v>
      </c>
      <c r="F1742" s="8"/>
      <c r="G1742" s="8" t="s">
        <v>4758</v>
      </c>
      <c r="H1742" s="8" t="s">
        <v>4246</v>
      </c>
      <c r="I1742" s="20">
        <v>0.33</v>
      </c>
      <c r="J1742" s="8" t="s">
        <v>4862</v>
      </c>
      <c r="K1742" s="182">
        <v>41132</v>
      </c>
      <c r="L1742" s="8" t="s">
        <v>4156</v>
      </c>
      <c r="M1742" s="8" t="s">
        <v>5626</v>
      </c>
      <c r="N1742" s="38" t="s">
        <v>1368</v>
      </c>
      <c r="O1742" s="8"/>
      <c r="P1742" s="4" t="str">
        <f>VLOOKUP($B1742,'D7 - NDB Impacted SPRF''s'!$E$16:$O$9929,9,FALSE)</f>
        <v>Y</v>
      </c>
      <c r="Q1742" s="4" t="str">
        <f>VLOOKUP($B1742,'D7 - NDB Impacted SPRF''s'!$E$16:$O$9929,10,FALSE)</f>
        <v>N</v>
      </c>
      <c r="R1742" s="4" t="str">
        <f>VLOOKUP($B1742,'D7 - NDB Impacted SPRF''s'!$E$16:$O$9929,11,FALSE)</f>
        <v>N</v>
      </c>
      <c r="S1742" s="8"/>
      <c r="T1742" s="310"/>
      <c r="U1742" s="310"/>
      <c r="V1742" s="4"/>
      <c r="W1742" s="4"/>
      <c r="X1742" s="4"/>
      <c r="Y1742" s="4"/>
      <c r="Z1742" s="4"/>
      <c r="AA1742" s="4"/>
      <c r="AB1742" s="380" t="str">
        <f>VLOOKUP($B1742,'D7 - NDB Impacted SPRF''s'!$E$6:$O$9929,4,FALSE)</f>
        <v>Completed</v>
      </c>
      <c r="AC1742" s="380" t="str">
        <f>VLOOKUP($B1742,'D7 - NDB Impacted SPRF''s'!$E$6:$O$9929,3,FALSE)</f>
        <v>UnitedHealthcare Employer &amp; Individual</v>
      </c>
      <c r="AD1742" s="380" t="str">
        <f>VLOOKUP($B1742,'D7 - NDB Impacted SPRF''s'!$E$6:$O$9929,5,FALSE)</f>
        <v>Regulatory / Other</v>
      </c>
      <c r="AE1742" s="380" t="str">
        <f>VLOOKUP($B1742,'D7 - NDB Impacted SPRF''s'!$E$6:$O$9929,7,FALSE)</f>
        <v>Tim Kaja</v>
      </c>
      <c r="AF1742" s="380" t="str">
        <f>VLOOKUP($B1742,'D7 - NDB Impacted SPRF''s'!$E$6:$O$9929,6,FALSE)</f>
        <v>BARBARA COAKLEY</v>
      </c>
      <c r="AG1742" s="282"/>
      <c r="AH1742" s="311" t="e">
        <f>INDEX('D5 - Gatekeeper - Projects'!$A$4:$AF$1010,$AM1742, 17)</f>
        <v>#N/A</v>
      </c>
      <c r="AI1742" s="8"/>
      <c r="AJ1742" s="57"/>
      <c r="AK1742" s="105"/>
      <c r="AM1742" s="6" t="e">
        <f>MATCH(D1742,'D5 - Gatekeeper - Projects'!$C$4:$C$1010,0)</f>
        <v>#N/A</v>
      </c>
      <c r="AN1742" s="6" t="b">
        <f t="shared" si="185"/>
        <v>1</v>
      </c>
      <c r="AO1742" s="6" t="str">
        <f t="shared" si="187"/>
        <v>OK</v>
      </c>
      <c r="AQ1742" s="6" t="e">
        <f>MATCH($D1742,'D4 - Provider Council Unsched'!$C$11:$C$234,0)</f>
        <v>#N/A</v>
      </c>
      <c r="AR1742" s="6" t="b">
        <f t="shared" si="186"/>
        <v>1</v>
      </c>
      <c r="AS1742" s="6" t="str">
        <f t="shared" si="189"/>
        <v>OK</v>
      </c>
      <c r="AU1742" s="202">
        <v>41258</v>
      </c>
      <c r="AV1742" s="262" t="s">
        <v>2299</v>
      </c>
      <c r="AW1742" s="274">
        <v>45249</v>
      </c>
    </row>
    <row r="1743" spans="1:49" s="13" customFormat="1" ht="45" x14ac:dyDescent="0.2">
      <c r="A1743" s="14">
        <v>1719</v>
      </c>
      <c r="B1743" s="8">
        <v>400046032</v>
      </c>
      <c r="C1743" s="8" t="s">
        <v>1447</v>
      </c>
      <c r="D1743" s="4" t="str">
        <f t="shared" si="188"/>
        <v>400046032A</v>
      </c>
      <c r="E1743" s="309" t="str">
        <f>VLOOKUP($B1743,'D7 - NDB Impacted SPRF''s'!$E$6:$O$9929,2,FALSE)</f>
        <v>HCR - Health Benefit Exchange RSA - AO</v>
      </c>
      <c r="F1743" s="8"/>
      <c r="G1743" s="8" t="s">
        <v>4758</v>
      </c>
      <c r="H1743" s="8" t="s">
        <v>4246</v>
      </c>
      <c r="I1743" s="20">
        <v>0.41</v>
      </c>
      <c r="J1743" s="8" t="s">
        <v>4862</v>
      </c>
      <c r="K1743" s="182">
        <v>41132</v>
      </c>
      <c r="L1743" s="8" t="s">
        <v>4156</v>
      </c>
      <c r="M1743" s="8" t="s">
        <v>6688</v>
      </c>
      <c r="N1743" s="38" t="s">
        <v>270</v>
      </c>
      <c r="O1743" s="8"/>
      <c r="P1743" s="4" t="str">
        <f>VLOOKUP($B1743,'D7 - NDB Impacted SPRF''s'!$E$16:$O$9929,9,FALSE)</f>
        <v>Y</v>
      </c>
      <c r="Q1743" s="4" t="str">
        <f>VLOOKUP($B1743,'D7 - NDB Impacted SPRF''s'!$E$16:$O$9929,10,FALSE)</f>
        <v>N</v>
      </c>
      <c r="R1743" s="4" t="str">
        <f>VLOOKUP($B1743,'D7 - NDB Impacted SPRF''s'!$E$16:$O$9929,11,FALSE)</f>
        <v>N</v>
      </c>
      <c r="S1743" s="8"/>
      <c r="T1743" s="310"/>
      <c r="U1743" s="310"/>
      <c r="V1743" s="4"/>
      <c r="W1743" s="4"/>
      <c r="X1743" s="4"/>
      <c r="Y1743" s="4"/>
      <c r="Z1743" s="4"/>
      <c r="AA1743" s="4"/>
      <c r="AB1743" s="380" t="str">
        <f>VLOOKUP($B1743,'D7 - NDB Impacted SPRF''s'!$E$6:$O$9929,4,FALSE)</f>
        <v>Completed</v>
      </c>
      <c r="AC1743" s="380" t="str">
        <f>VLOOKUP($B1743,'D7 - NDB Impacted SPRF''s'!$E$6:$O$9929,3,FALSE)</f>
        <v>UnitedHealthcare Employer &amp; Individual</v>
      </c>
      <c r="AD1743" s="380" t="str">
        <f>VLOOKUP($B1743,'D7 - NDB Impacted SPRF''s'!$E$6:$O$9929,5,FALSE)</f>
        <v>Regulatory / Other</v>
      </c>
      <c r="AE1743" s="380" t="str">
        <f>VLOOKUP($B1743,'D7 - NDB Impacted SPRF''s'!$E$6:$O$9929,7,FALSE)</f>
        <v>Elizabeth Canis</v>
      </c>
      <c r="AF1743" s="380" t="str">
        <f>VLOOKUP($B1743,'D7 - NDB Impacted SPRF''s'!$E$6:$O$9929,6,FALSE)</f>
        <v>PAULA ENGSTROM</v>
      </c>
      <c r="AG1743" s="282"/>
      <c r="AH1743" s="311" t="e">
        <f>INDEX('D5 - Gatekeeper - Projects'!$A$4:$AF$1010,$AM1743, 17)</f>
        <v>#N/A</v>
      </c>
      <c r="AI1743" s="8"/>
      <c r="AJ1743" s="57"/>
      <c r="AK1743" s="105"/>
      <c r="AM1743" s="6" t="e">
        <f>MATCH(D1743,'D5 - Gatekeeper - Projects'!$C$4:$C$1010,0)</f>
        <v>#N/A</v>
      </c>
      <c r="AN1743" s="6" t="b">
        <f t="shared" si="185"/>
        <v>1</v>
      </c>
      <c r="AO1743" s="6" t="str">
        <f t="shared" si="187"/>
        <v>OK</v>
      </c>
      <c r="AQ1743" s="6" t="e">
        <f>MATCH($D1743,'D4 - Provider Council Unsched'!$C$11:$C$234,0)</f>
        <v>#N/A</v>
      </c>
      <c r="AR1743" s="6" t="b">
        <f t="shared" si="186"/>
        <v>1</v>
      </c>
      <c r="AS1743" s="6" t="str">
        <f t="shared" si="189"/>
        <v>OK</v>
      </c>
      <c r="AU1743" s="202">
        <v>40816</v>
      </c>
      <c r="AV1743" s="262" t="s">
        <v>1086</v>
      </c>
      <c r="AW1743" s="274">
        <v>45718</v>
      </c>
    </row>
    <row r="1744" spans="1:49" s="13" customFormat="1" ht="45" x14ac:dyDescent="0.2">
      <c r="A1744" s="14">
        <v>1720</v>
      </c>
      <c r="B1744" s="8">
        <v>400046520</v>
      </c>
      <c r="C1744" s="8" t="s">
        <v>1447</v>
      </c>
      <c r="D1744" s="4" t="str">
        <f t="shared" si="188"/>
        <v>400046520A</v>
      </c>
      <c r="E1744" s="309" t="str">
        <f>VLOOKUP($B1744,'D7 - NDB Impacted SPRF''s'!$E$6:$O$9929,2,FALSE)</f>
        <v>NDB HIPAA Application Logging</v>
      </c>
      <c r="F1744" s="8"/>
      <c r="G1744" s="8" t="s">
        <v>4758</v>
      </c>
      <c r="H1744" s="8" t="s">
        <v>4246</v>
      </c>
      <c r="I1744" s="20">
        <v>1.38</v>
      </c>
      <c r="J1744" s="8" t="s">
        <v>4862</v>
      </c>
      <c r="K1744" s="182">
        <v>41132</v>
      </c>
      <c r="L1744" s="8" t="s">
        <v>4156</v>
      </c>
      <c r="M1744" s="8" t="s">
        <v>6688</v>
      </c>
      <c r="N1744" s="38" t="s">
        <v>3546</v>
      </c>
      <c r="O1744" s="8"/>
      <c r="P1744" s="4" t="str">
        <f>VLOOKUP($B1744,'D7 - NDB Impacted SPRF''s'!$E$16:$O$9929,9,FALSE)</f>
        <v>N</v>
      </c>
      <c r="Q1744" s="4" t="str">
        <f>VLOOKUP($B1744,'D7 - NDB Impacted SPRF''s'!$E$16:$O$9929,10,FALSE)</f>
        <v>N</v>
      </c>
      <c r="R1744" s="4" t="str">
        <f>VLOOKUP($B1744,'D7 - NDB Impacted SPRF''s'!$E$16:$O$9929,11,FALSE)</f>
        <v>N</v>
      </c>
      <c r="S1744" s="8"/>
      <c r="T1744" s="310"/>
      <c r="U1744" s="310"/>
      <c r="V1744" s="4"/>
      <c r="W1744" s="4"/>
      <c r="X1744" s="4"/>
      <c r="Y1744" s="4"/>
      <c r="Z1744" s="4"/>
      <c r="AA1744" s="4"/>
      <c r="AB1744" s="380" t="str">
        <f>VLOOKUP($B1744,'D7 - NDB Impacted SPRF''s'!$E$6:$O$9929,4,FALSE)</f>
        <v>Completed</v>
      </c>
      <c r="AC1744" s="380" t="str">
        <f>VLOOKUP($B1744,'D7 - NDB Impacted SPRF''s'!$E$6:$O$9929,3,FALSE)</f>
        <v>UHG IT - Enterprise Technology Services</v>
      </c>
      <c r="AD1744" s="380" t="str">
        <f>VLOOKUP($B1744,'D7 - NDB Impacted SPRF''s'!$E$6:$O$9929,5,FALSE)</f>
        <v>IRM</v>
      </c>
      <c r="AE1744" s="380" t="str">
        <f>VLOOKUP($B1744,'D7 - NDB Impacted SPRF''s'!$E$6:$O$9929,7,FALSE)</f>
        <v>Robert Booker</v>
      </c>
      <c r="AF1744" s="380" t="str">
        <f>VLOOKUP($B1744,'D7 - NDB Impacted SPRF''s'!$E$6:$O$9929,6,FALSE)</f>
        <v>Michael Miller</v>
      </c>
      <c r="AG1744" s="282"/>
      <c r="AH1744" s="311" t="e">
        <f>INDEX('D5 - Gatekeeper - Projects'!$A$4:$AF$1010,$AM1744, 17)</f>
        <v>#N/A</v>
      </c>
      <c r="AI1744" s="8"/>
      <c r="AJ1744" s="57"/>
      <c r="AK1744" s="105"/>
      <c r="AM1744" s="6" t="e">
        <f>MATCH(D1744,'D5 - Gatekeeper - Projects'!$C$4:$C$1010,0)</f>
        <v>#N/A</v>
      </c>
      <c r="AN1744" s="6" t="b">
        <f t="shared" si="185"/>
        <v>1</v>
      </c>
      <c r="AO1744" s="6" t="str">
        <f t="shared" si="187"/>
        <v>OK</v>
      </c>
      <c r="AQ1744" s="6" t="e">
        <f>MATCH($D1744,'D4 - Provider Council Unsched'!$C$11:$C$234,0)</f>
        <v>#N/A</v>
      </c>
      <c r="AR1744" s="6" t="b">
        <f t="shared" si="186"/>
        <v>1</v>
      </c>
      <c r="AS1744" s="6" t="str">
        <f t="shared" si="189"/>
        <v>OK</v>
      </c>
      <c r="AU1744" s="202">
        <v>40865</v>
      </c>
      <c r="AV1744" s="262" t="s">
        <v>440</v>
      </c>
      <c r="AW1744" s="274">
        <v>46315</v>
      </c>
    </row>
    <row r="1745" spans="1:49" s="13" customFormat="1" ht="45" x14ac:dyDescent="0.2">
      <c r="A1745" s="14">
        <v>1721</v>
      </c>
      <c r="B1745" s="8">
        <v>400046520</v>
      </c>
      <c r="C1745" s="8" t="s">
        <v>3793</v>
      </c>
      <c r="D1745" s="4" t="str">
        <f t="shared" si="188"/>
        <v>400046520U</v>
      </c>
      <c r="E1745" s="309" t="str">
        <f>VLOOKUP($B1745,'D7 - NDB Impacted SPRF''s'!$E$6:$O$9929,2,FALSE)</f>
        <v>NDB HIPAA Application Logging</v>
      </c>
      <c r="F1745" s="8"/>
      <c r="G1745" s="8" t="s">
        <v>4758</v>
      </c>
      <c r="H1745" s="8" t="s">
        <v>4246</v>
      </c>
      <c r="I1745" s="20">
        <v>1.38</v>
      </c>
      <c r="J1745" s="8" t="s">
        <v>4862</v>
      </c>
      <c r="K1745" s="182">
        <v>41132</v>
      </c>
      <c r="L1745" s="8" t="s">
        <v>4156</v>
      </c>
      <c r="M1745" s="8" t="s">
        <v>6688</v>
      </c>
      <c r="N1745" s="38"/>
      <c r="O1745" s="8"/>
      <c r="P1745" s="4" t="str">
        <f>VLOOKUP($B1745,'D7 - NDB Impacted SPRF''s'!$E$16:$O$9929,9,FALSE)</f>
        <v>N</v>
      </c>
      <c r="Q1745" s="4" t="str">
        <f>VLOOKUP($B1745,'D7 - NDB Impacted SPRF''s'!$E$16:$O$9929,10,FALSE)</f>
        <v>N</v>
      </c>
      <c r="R1745" s="4" t="str">
        <f>VLOOKUP($B1745,'D7 - NDB Impacted SPRF''s'!$E$16:$O$9929,11,FALSE)</f>
        <v>N</v>
      </c>
      <c r="S1745" s="8"/>
      <c r="T1745" s="310"/>
      <c r="U1745" s="310"/>
      <c r="V1745" s="4"/>
      <c r="W1745" s="4"/>
      <c r="X1745" s="4"/>
      <c r="Y1745" s="4"/>
      <c r="Z1745" s="4"/>
      <c r="AA1745" s="4"/>
      <c r="AB1745" s="380" t="str">
        <f>VLOOKUP($B1745,'D7 - NDB Impacted SPRF''s'!$E$6:$O$9929,4,FALSE)</f>
        <v>Completed</v>
      </c>
      <c r="AC1745" s="380" t="str">
        <f>VLOOKUP($B1745,'D7 - NDB Impacted SPRF''s'!$E$6:$O$9929,3,FALSE)</f>
        <v>UHG IT - Enterprise Technology Services</v>
      </c>
      <c r="AD1745" s="380" t="str">
        <f>VLOOKUP($B1745,'D7 - NDB Impacted SPRF''s'!$E$6:$O$9929,5,FALSE)</f>
        <v>IRM</v>
      </c>
      <c r="AE1745" s="380" t="str">
        <f>VLOOKUP($B1745,'D7 - NDB Impacted SPRF''s'!$E$6:$O$9929,7,FALSE)</f>
        <v>Robert Booker</v>
      </c>
      <c r="AF1745" s="380" t="str">
        <f>VLOOKUP($B1745,'D7 - NDB Impacted SPRF''s'!$E$6:$O$9929,6,FALSE)</f>
        <v>Michael Miller</v>
      </c>
      <c r="AG1745" s="282"/>
      <c r="AH1745" s="311" t="e">
        <f>INDEX('D5 - Gatekeeper - Projects'!$A$4:$AF$1010,$AM1745, 17)</f>
        <v>#N/A</v>
      </c>
      <c r="AI1745" s="8"/>
      <c r="AJ1745" s="57"/>
      <c r="AK1745" s="105"/>
      <c r="AM1745" s="6" t="e">
        <f>MATCH(D1745,'D5 - Gatekeeper - Projects'!$C$4:$C$1010,0)</f>
        <v>#N/A</v>
      </c>
      <c r="AN1745" s="6" t="b">
        <f t="shared" ref="AN1745:AN1808" si="190">ISERROR(AM1745)</f>
        <v>1</v>
      </c>
      <c r="AO1745" s="6" t="str">
        <f t="shared" si="187"/>
        <v>OK</v>
      </c>
      <c r="AQ1745" s="6" t="e">
        <f>MATCH($D1745,'D4 - Provider Council Unsched'!$C$11:$C$234,0)</f>
        <v>#N/A</v>
      </c>
      <c r="AR1745" s="6" t="b">
        <f t="shared" ref="AR1745:AR1808" si="191">ISERROR(AQ1745)</f>
        <v>1</v>
      </c>
      <c r="AS1745" s="6" t="str">
        <f t="shared" ref="AS1745:AS1776" si="192">IF(AND(H1745="2 - Not Scheduled",AR1745=TRUE,C1745="R1"),"Add","OK")</f>
        <v>OK</v>
      </c>
      <c r="AU1745" s="202">
        <v>40865</v>
      </c>
      <c r="AV1745" s="262" t="s">
        <v>440</v>
      </c>
      <c r="AW1745" s="274">
        <v>46315</v>
      </c>
    </row>
    <row r="1746" spans="1:49" s="13" customFormat="1" ht="33.75" x14ac:dyDescent="0.2">
      <c r="A1746" s="14">
        <v>1722</v>
      </c>
      <c r="B1746" s="8">
        <v>400047206</v>
      </c>
      <c r="C1746" s="8" t="s">
        <v>1447</v>
      </c>
      <c r="D1746" s="4" t="str">
        <f t="shared" si="188"/>
        <v>400047206A</v>
      </c>
      <c r="E1746" s="309" t="str">
        <f>VLOOKUP($B1746,'D7 - NDB Impacted SPRF''s'!$E$6:$O$9929,2,FALSE)</f>
        <v>HCR Preventive Care - Women's Health</v>
      </c>
      <c r="F1746" s="8"/>
      <c r="G1746" s="8" t="s">
        <v>4758</v>
      </c>
      <c r="H1746" s="8" t="s">
        <v>4246</v>
      </c>
      <c r="I1746" s="20">
        <v>6.83</v>
      </c>
      <c r="J1746" s="8" t="s">
        <v>4862</v>
      </c>
      <c r="K1746" s="182">
        <v>41132</v>
      </c>
      <c r="L1746" s="8" t="s">
        <v>4156</v>
      </c>
      <c r="M1746" s="8" t="s">
        <v>2814</v>
      </c>
      <c r="N1746" s="38"/>
      <c r="O1746" s="8"/>
      <c r="P1746" s="4" t="str">
        <f>VLOOKUP($B1746,'D7 - NDB Impacted SPRF''s'!$E$16:$O$9929,9,FALSE)</f>
        <v>Y</v>
      </c>
      <c r="Q1746" s="4" t="str">
        <f>VLOOKUP($B1746,'D7 - NDB Impacted SPRF''s'!$E$16:$O$9929,10,FALSE)</f>
        <v>N</v>
      </c>
      <c r="R1746" s="4" t="str">
        <f>VLOOKUP($B1746,'D7 - NDB Impacted SPRF''s'!$E$16:$O$9929,11,FALSE)</f>
        <v>N</v>
      </c>
      <c r="S1746" s="8"/>
      <c r="T1746" s="310"/>
      <c r="U1746" s="310"/>
      <c r="V1746" s="4"/>
      <c r="W1746" s="4"/>
      <c r="X1746" s="4"/>
      <c r="Y1746" s="4"/>
      <c r="Z1746" s="4"/>
      <c r="AA1746" s="4"/>
      <c r="AB1746" s="380" t="str">
        <f>VLOOKUP($B1746,'D7 - NDB Impacted SPRF''s'!$E$6:$O$9929,4,FALSE)</f>
        <v>Completed</v>
      </c>
      <c r="AC1746" s="380" t="str">
        <f>VLOOKUP($B1746,'D7 - NDB Impacted SPRF''s'!$E$6:$O$9929,3,FALSE)</f>
        <v>UnitedHealthcare Employer &amp; Individual</v>
      </c>
      <c r="AD1746" s="380" t="str">
        <f>VLOOKUP($B1746,'D7 - NDB Impacted SPRF''s'!$E$6:$O$9929,5,FALSE)</f>
        <v>Regulatory / Other</v>
      </c>
      <c r="AE1746" s="380" t="str">
        <f>VLOOKUP($B1746,'D7 - NDB Impacted SPRF''s'!$E$6:$O$9929,7,FALSE)</f>
        <v>Dr. Sandy Cohen</v>
      </c>
      <c r="AF1746" s="380" t="str">
        <f>VLOOKUP($B1746,'D7 - NDB Impacted SPRF''s'!$E$6:$O$9929,6,FALSE)</f>
        <v>JAIME LILJEGREN</v>
      </c>
      <c r="AG1746" s="282"/>
      <c r="AH1746" s="311" t="e">
        <f>INDEX('D5 - Gatekeeper - Projects'!$A$4:$AF$1010,$AM1746, 17)</f>
        <v>#N/A</v>
      </c>
      <c r="AI1746" s="8"/>
      <c r="AJ1746" s="57"/>
      <c r="AK1746" s="105"/>
      <c r="AM1746" s="6" t="e">
        <f>MATCH(D1746,'D5 - Gatekeeper - Projects'!$C$4:$C$1010,0)</f>
        <v>#N/A</v>
      </c>
      <c r="AN1746" s="6" t="b">
        <f t="shared" si="190"/>
        <v>1</v>
      </c>
      <c r="AO1746" s="6" t="str">
        <f t="shared" ref="AO1746:AO1809" si="193">IF(AND(H1746="1 - Scheduled",AN1746=TRUE),"Add","OK")</f>
        <v>OK</v>
      </c>
      <c r="AQ1746" s="6" t="e">
        <f>MATCH($D1746,'D4 - Provider Council Unsched'!$C$11:$C$234,0)</f>
        <v>#N/A</v>
      </c>
      <c r="AR1746" s="6" t="b">
        <f t="shared" si="191"/>
        <v>1</v>
      </c>
      <c r="AS1746" s="6" t="str">
        <f t="shared" si="192"/>
        <v>OK</v>
      </c>
      <c r="AU1746" s="202">
        <v>41015</v>
      </c>
      <c r="AV1746" s="262" t="s">
        <v>931</v>
      </c>
      <c r="AW1746" s="274">
        <v>48083</v>
      </c>
    </row>
    <row r="1747" spans="1:49" s="13" customFormat="1" ht="67.5" x14ac:dyDescent="0.2">
      <c r="A1747" s="14">
        <v>1723</v>
      </c>
      <c r="B1747" s="8">
        <v>400047560</v>
      </c>
      <c r="C1747" s="8" t="s">
        <v>7290</v>
      </c>
      <c r="D1747" s="4" t="str">
        <f t="shared" si="188"/>
        <v>400047560B</v>
      </c>
      <c r="E1747" s="309" t="str">
        <f>VLOOKUP($B1747,'D7 - NDB Impacted SPRF''s'!$E$6:$O$9929,2,FALSE)</f>
        <v>ED – IDT Decommission – Middle Tier Migration</v>
      </c>
      <c r="F1747" s="8"/>
      <c r="G1747" s="8" t="s">
        <v>4758</v>
      </c>
      <c r="H1747" s="8" t="s">
        <v>4246</v>
      </c>
      <c r="I1747" s="20">
        <v>0.28999999999999998</v>
      </c>
      <c r="J1747" s="8" t="s">
        <v>4862</v>
      </c>
      <c r="K1747" s="182">
        <v>41132</v>
      </c>
      <c r="L1747" s="8" t="s">
        <v>4156</v>
      </c>
      <c r="M1747" s="8" t="s">
        <v>5626</v>
      </c>
      <c r="N1747" s="38" t="s">
        <v>239</v>
      </c>
      <c r="O1747" s="8"/>
      <c r="P1747" s="4" t="str">
        <f>VLOOKUP($B1747,'D7 - NDB Impacted SPRF''s'!$E$16:$O$9929,9,FALSE)</f>
        <v>Y</v>
      </c>
      <c r="Q1747" s="4" t="str">
        <f>VLOOKUP($B1747,'D7 - NDB Impacted SPRF''s'!$E$16:$O$9929,10,FALSE)</f>
        <v>N</v>
      </c>
      <c r="R1747" s="4" t="str">
        <f>VLOOKUP($B1747,'D7 - NDB Impacted SPRF''s'!$E$16:$O$9929,11,FALSE)</f>
        <v>N</v>
      </c>
      <c r="S1747" s="8"/>
      <c r="T1747" s="310"/>
      <c r="U1747" s="310"/>
      <c r="V1747" s="4"/>
      <c r="W1747" s="4"/>
      <c r="X1747" s="4"/>
      <c r="Y1747" s="4"/>
      <c r="Z1747" s="4"/>
      <c r="AA1747" s="4"/>
      <c r="AB1747" s="380" t="str">
        <f>VLOOKUP($B1747,'D7 - NDB Impacted SPRF''s'!$E$6:$O$9929,4,FALSE)</f>
        <v>Completed</v>
      </c>
      <c r="AC1747" s="380" t="str">
        <f>VLOOKUP($B1747,'D7 - NDB Impacted SPRF''s'!$E$6:$O$9929,3,FALSE)</f>
        <v>UHG IT - Shared Services</v>
      </c>
      <c r="AD1747" s="380" t="str">
        <f>VLOOKUP($B1747,'D7 - NDB Impacted SPRF''s'!$E$6:$O$9929,5,FALSE)</f>
        <v>Strategic Initiatives</v>
      </c>
      <c r="AE1747" s="380" t="str">
        <f>VLOOKUP($B1747,'D7 - NDB Impacted SPRF''s'!$E$6:$O$9929,7,FALSE)</f>
        <v>Kevin Cogle</v>
      </c>
      <c r="AF1747" s="380" t="str">
        <f>VLOOKUP($B1747,'D7 - NDB Impacted SPRF''s'!$E$6:$O$9929,6,FALSE)</f>
        <v>PATRICK TIMA</v>
      </c>
      <c r="AG1747" s="282"/>
      <c r="AH1747" s="311" t="e">
        <f>INDEX('D5 - Gatekeeper - Projects'!$A$4:$AF$1010,$AM1747, 17)</f>
        <v>#N/A</v>
      </c>
      <c r="AI1747" s="8"/>
      <c r="AJ1747" s="57"/>
      <c r="AK1747" s="105"/>
      <c r="AM1747" s="6" t="e">
        <f>MATCH(D1747,'D5 - Gatekeeper - Projects'!$C$4:$C$1010,0)</f>
        <v>#N/A</v>
      </c>
      <c r="AN1747" s="6" t="b">
        <f t="shared" si="190"/>
        <v>1</v>
      </c>
      <c r="AO1747" s="6" t="str">
        <f t="shared" si="193"/>
        <v>OK</v>
      </c>
      <c r="AQ1747" s="6" t="e">
        <f>MATCH($D1747,'D4 - Provider Council Unsched'!$C$11:$C$234,0)</f>
        <v>#N/A</v>
      </c>
      <c r="AR1747" s="6" t="b">
        <f t="shared" si="191"/>
        <v>1</v>
      </c>
      <c r="AS1747" s="6" t="str">
        <f t="shared" si="192"/>
        <v>OK</v>
      </c>
      <c r="AU1747" s="202">
        <v>40987</v>
      </c>
      <c r="AV1747" s="262" t="s">
        <v>1088</v>
      </c>
      <c r="AW1747" s="274">
        <v>56029</v>
      </c>
    </row>
    <row r="1748" spans="1:49" s="13" customFormat="1" ht="101.25" x14ac:dyDescent="0.2">
      <c r="A1748" s="14">
        <v>1724</v>
      </c>
      <c r="B1748" s="8">
        <v>400047776</v>
      </c>
      <c r="C1748" s="8" t="s">
        <v>7290</v>
      </c>
      <c r="D1748" s="4" t="str">
        <f t="shared" si="188"/>
        <v>400047776B</v>
      </c>
      <c r="E1748" s="309" t="str">
        <f>VLOOKUP($B1748,'D7 - NDB Impacted SPRF''s'!$E$6:$O$9929,2,FALSE)</f>
        <v>NDB Cosmos Demo SoT - Facility Panels</v>
      </c>
      <c r="F1748" s="8"/>
      <c r="G1748" s="8" t="s">
        <v>4758</v>
      </c>
      <c r="H1748" s="8" t="s">
        <v>4246</v>
      </c>
      <c r="I1748" s="20">
        <v>71.900000000000006</v>
      </c>
      <c r="J1748" s="8" t="s">
        <v>4862</v>
      </c>
      <c r="K1748" s="182">
        <v>41132</v>
      </c>
      <c r="L1748" s="8" t="s">
        <v>4156</v>
      </c>
      <c r="M1748" s="8" t="s">
        <v>2814</v>
      </c>
      <c r="N1748" s="38" t="s">
        <v>233</v>
      </c>
      <c r="O1748" s="8"/>
      <c r="P1748" s="4" t="str">
        <f>VLOOKUP($B1748,'D7 - NDB Impacted SPRF''s'!$E$16:$O$9929,9,FALSE)</f>
        <v>N</v>
      </c>
      <c r="Q1748" s="4" t="str">
        <f>VLOOKUP($B1748,'D7 - NDB Impacted SPRF''s'!$E$16:$O$9929,10,FALSE)</f>
        <v>N</v>
      </c>
      <c r="R1748" s="4" t="str">
        <f>VLOOKUP($B1748,'D7 - NDB Impacted SPRF''s'!$E$16:$O$9929,11,FALSE)</f>
        <v>Y</v>
      </c>
      <c r="S1748" s="8"/>
      <c r="T1748" s="310"/>
      <c r="U1748" s="310"/>
      <c r="V1748" s="4"/>
      <c r="W1748" s="4"/>
      <c r="X1748" s="4"/>
      <c r="Y1748" s="4"/>
      <c r="Z1748" s="4"/>
      <c r="AA1748" s="4"/>
      <c r="AB1748" s="380" t="str">
        <f>VLOOKUP($B1748,'D7 - NDB Impacted SPRF''s'!$E$6:$O$9929,4,FALSE)</f>
        <v>Completed</v>
      </c>
      <c r="AC1748" s="380" t="str">
        <f>VLOOKUP($B1748,'D7 - NDB Impacted SPRF''s'!$E$6:$O$9929,3,FALSE)</f>
        <v>UHG IT - Enterprise Technology Services</v>
      </c>
      <c r="AD1748" s="380" t="str">
        <f>VLOOKUP($B1748,'D7 - NDB Impacted SPRF''s'!$E$6:$O$9929,5,FALSE)</f>
        <v>Strategic Initiatives</v>
      </c>
      <c r="AE1748" s="380" t="str">
        <f>VLOOKUP($B1748,'D7 - NDB Impacted SPRF''s'!$E$6:$O$9929,7,FALSE)</f>
        <v>Kaja,</v>
      </c>
      <c r="AF1748" s="380" t="str">
        <f>VLOOKUP($B1748,'D7 - NDB Impacted SPRF''s'!$E$6:$O$9929,6,FALSE)</f>
        <v>SUSAN HINES</v>
      </c>
      <c r="AG1748" s="282"/>
      <c r="AH1748" s="311" t="e">
        <f>INDEX('D5 - Gatekeeper - Projects'!$A$4:$AF$1010,$AM1748, 17)</f>
        <v>#N/A</v>
      </c>
      <c r="AI1748" s="8"/>
      <c r="AJ1748" s="57"/>
      <c r="AK1748" s="105"/>
      <c r="AM1748" s="6" t="e">
        <f>MATCH(D1748,'D5 - Gatekeeper - Projects'!$C$4:$C$1010,0)</f>
        <v>#N/A</v>
      </c>
      <c r="AN1748" s="6" t="b">
        <f t="shared" si="190"/>
        <v>1</v>
      </c>
      <c r="AO1748" s="6" t="str">
        <f t="shared" si="193"/>
        <v>OK</v>
      </c>
      <c r="AQ1748" s="6" t="e">
        <f>MATCH($D1748,'D4 - Provider Council Unsched'!$C$11:$C$234,0)</f>
        <v>#N/A</v>
      </c>
      <c r="AR1748" s="6" t="b">
        <f t="shared" si="191"/>
        <v>1</v>
      </c>
      <c r="AS1748" s="6" t="str">
        <f t="shared" si="192"/>
        <v>OK</v>
      </c>
      <c r="AU1748" s="202"/>
      <c r="AV1748" s="262" t="s">
        <v>2754</v>
      </c>
      <c r="AW1748" s="274">
        <v>49701</v>
      </c>
    </row>
    <row r="1749" spans="1:49" s="13" customFormat="1" ht="157.5" x14ac:dyDescent="0.2">
      <c r="A1749" s="14">
        <v>1725</v>
      </c>
      <c r="B1749" s="8">
        <v>400048088</v>
      </c>
      <c r="C1749" s="8" t="s">
        <v>1447</v>
      </c>
      <c r="D1749" s="4" t="str">
        <f t="shared" si="188"/>
        <v>400048088A</v>
      </c>
      <c r="E1749" s="309" t="str">
        <f>VLOOKUP($B1749,'D7 - NDB Impacted SPRF''s'!$E$6:$O$9929,2,FALSE)</f>
        <v>Health Care Cost Estimator R2</v>
      </c>
      <c r="F1749" s="8"/>
      <c r="G1749" s="8" t="s">
        <v>4758</v>
      </c>
      <c r="H1749" s="8" t="s">
        <v>4246</v>
      </c>
      <c r="I1749" s="20">
        <v>60.7</v>
      </c>
      <c r="J1749" s="8" t="s">
        <v>4862</v>
      </c>
      <c r="K1749" s="182">
        <v>41132</v>
      </c>
      <c r="L1749" s="8" t="s">
        <v>4156</v>
      </c>
      <c r="M1749" s="8" t="s">
        <v>2814</v>
      </c>
      <c r="N1749" s="38" t="s">
        <v>903</v>
      </c>
      <c r="O1749" s="8"/>
      <c r="P1749" s="4" t="str">
        <f>VLOOKUP($B1749,'D7 - NDB Impacted SPRF''s'!$E$16:$O$9929,9,FALSE)</f>
        <v>Y</v>
      </c>
      <c r="Q1749" s="4" t="str">
        <f>VLOOKUP($B1749,'D7 - NDB Impacted SPRF''s'!$E$16:$O$9929,10,FALSE)</f>
        <v>N</v>
      </c>
      <c r="R1749" s="4" t="str">
        <f>VLOOKUP($B1749,'D7 - NDB Impacted SPRF''s'!$E$16:$O$9929,11,FALSE)</f>
        <v>Y</v>
      </c>
      <c r="S1749" s="8"/>
      <c r="T1749" s="310"/>
      <c r="U1749" s="310"/>
      <c r="V1749" s="4"/>
      <c r="W1749" s="4"/>
      <c r="X1749" s="4"/>
      <c r="Y1749" s="4"/>
      <c r="Z1749" s="4"/>
      <c r="AA1749" s="4"/>
      <c r="AB1749" s="380" t="str">
        <f>VLOOKUP($B1749,'D7 - NDB Impacted SPRF''s'!$E$6:$O$9929,4,FALSE)</f>
        <v>Completed</v>
      </c>
      <c r="AC1749" s="380" t="str">
        <f>VLOOKUP($B1749,'D7 - NDB Impacted SPRF''s'!$E$6:$O$9929,3,FALSE)</f>
        <v>UnitedHealthcare Employer &amp; Individual</v>
      </c>
      <c r="AD1749" s="380" t="str">
        <f>VLOOKUP($B1749,'D7 - NDB Impacted SPRF''s'!$E$6:$O$9929,5,FALSE)</f>
        <v>Membership Growth / Revenue Programs</v>
      </c>
      <c r="AE1749" s="380" t="str">
        <f>VLOOKUP($B1749,'D7 - NDB Impacted SPRF''s'!$E$6:$O$9929,7,FALSE)</f>
        <v>Victoria Bogatyrenko</v>
      </c>
      <c r="AF1749" s="380" t="str">
        <f>VLOOKUP($B1749,'D7 - NDB Impacted SPRF''s'!$E$6:$O$9929,6,FALSE)</f>
        <v>Kari Mclarty</v>
      </c>
      <c r="AG1749" s="282"/>
      <c r="AH1749" s="311" t="e">
        <f>INDEX('D5 - Gatekeeper - Projects'!$A$4:$AF$1010,$AM1749, 17)</f>
        <v>#N/A</v>
      </c>
      <c r="AI1749" s="8"/>
      <c r="AJ1749" s="57"/>
      <c r="AK1749" s="105"/>
      <c r="AM1749" s="6" t="e">
        <f>MATCH(D1749,'D5 - Gatekeeper - Projects'!$C$4:$C$1010,0)</f>
        <v>#N/A</v>
      </c>
      <c r="AN1749" s="6" t="b">
        <f t="shared" si="190"/>
        <v>1</v>
      </c>
      <c r="AO1749" s="6" t="str">
        <f t="shared" si="193"/>
        <v>OK</v>
      </c>
      <c r="AQ1749" s="6" t="e">
        <f>MATCH($D1749,'D4 - Provider Council Unsched'!$C$11:$C$234,0)</f>
        <v>#N/A</v>
      </c>
      <c r="AR1749" s="6" t="b">
        <f t="shared" si="191"/>
        <v>1</v>
      </c>
      <c r="AS1749" s="6" t="str">
        <f t="shared" si="192"/>
        <v>OK</v>
      </c>
      <c r="AU1749" s="202"/>
      <c r="AV1749" s="262" t="s">
        <v>932</v>
      </c>
      <c r="AW1749" s="274">
        <v>52605</v>
      </c>
    </row>
    <row r="1750" spans="1:49" s="13" customFormat="1" ht="33.75" x14ac:dyDescent="0.2">
      <c r="A1750" s="14">
        <v>1726</v>
      </c>
      <c r="B1750" s="8">
        <v>400048226</v>
      </c>
      <c r="C1750" s="8" t="s">
        <v>7290</v>
      </c>
      <c r="D1750" s="4" t="str">
        <f t="shared" si="188"/>
        <v>400048226B</v>
      </c>
      <c r="E1750" s="309" t="str">
        <f>VLOOKUP($B1750,'D7 - NDB Impacted SPRF''s'!$E$6:$O$9929,2,FALSE)</f>
        <v>HCR Preventative Care Additional Services</v>
      </c>
      <c r="F1750" s="8"/>
      <c r="G1750" s="8" t="s">
        <v>4758</v>
      </c>
      <c r="H1750" s="8" t="s">
        <v>4246</v>
      </c>
      <c r="I1750" s="20">
        <v>4.37</v>
      </c>
      <c r="J1750" s="8" t="s">
        <v>4862</v>
      </c>
      <c r="K1750" s="182">
        <v>41132</v>
      </c>
      <c r="L1750" s="8" t="s">
        <v>4156</v>
      </c>
      <c r="M1750" s="8" t="s">
        <v>2814</v>
      </c>
      <c r="N1750" s="38"/>
      <c r="O1750" s="8"/>
      <c r="P1750" s="4" t="str">
        <f>VLOOKUP($B1750,'D7 - NDB Impacted SPRF''s'!$E$16:$O$9929,9,FALSE)</f>
        <v>Y</v>
      </c>
      <c r="Q1750" s="4" t="str">
        <f>VLOOKUP($B1750,'D7 - NDB Impacted SPRF''s'!$E$16:$O$9929,10,FALSE)</f>
        <v>N</v>
      </c>
      <c r="R1750" s="4" t="str">
        <f>VLOOKUP($B1750,'D7 - NDB Impacted SPRF''s'!$E$16:$O$9929,11,FALSE)</f>
        <v>N</v>
      </c>
      <c r="S1750" s="8"/>
      <c r="T1750" s="310"/>
      <c r="U1750" s="310"/>
      <c r="V1750" s="4"/>
      <c r="W1750" s="4"/>
      <c r="X1750" s="4"/>
      <c r="Y1750" s="4"/>
      <c r="Z1750" s="4"/>
      <c r="AA1750" s="4"/>
      <c r="AB1750" s="380" t="str">
        <f>VLOOKUP($B1750,'D7 - NDB Impacted SPRF''s'!$E$6:$O$9929,4,FALSE)</f>
        <v>Scheduled</v>
      </c>
      <c r="AC1750" s="380" t="str">
        <f>VLOOKUP($B1750,'D7 - NDB Impacted SPRF''s'!$E$6:$O$9929,3,FALSE)</f>
        <v>UnitedHealthcare Employer &amp; Individual</v>
      </c>
      <c r="AD1750" s="380" t="str">
        <f>VLOOKUP($B1750,'D7 - NDB Impacted SPRF''s'!$E$6:$O$9929,5,FALSE)</f>
        <v>Regulatory / Other</v>
      </c>
      <c r="AE1750" s="380" t="str">
        <f>VLOOKUP($B1750,'D7 - NDB Impacted SPRF''s'!$E$6:$O$9929,7,FALSE)</f>
        <v>Regis O'Neill</v>
      </c>
      <c r="AF1750" s="380" t="str">
        <f>VLOOKUP($B1750,'D7 - NDB Impacted SPRF''s'!$E$6:$O$9929,6,FALSE)</f>
        <v>Susan Smith</v>
      </c>
      <c r="AG1750" s="282"/>
      <c r="AH1750" s="311" t="e">
        <f>INDEX('D5 - Gatekeeper - Projects'!$A$4:$AF$1010,$AM1750, 17)</f>
        <v>#N/A</v>
      </c>
      <c r="AI1750" s="8"/>
      <c r="AJ1750" s="57"/>
      <c r="AK1750" s="105"/>
      <c r="AM1750" s="6" t="e">
        <f>MATCH(D1750,'D5 - Gatekeeper - Projects'!$C$4:$C$1010,0)</f>
        <v>#N/A</v>
      </c>
      <c r="AN1750" s="6" t="b">
        <f t="shared" si="190"/>
        <v>1</v>
      </c>
      <c r="AO1750" s="6" t="str">
        <f t="shared" si="193"/>
        <v>OK</v>
      </c>
      <c r="AQ1750" s="6" t="e">
        <f>MATCH($D1750,'D4 - Provider Council Unsched'!$C$11:$C$234,0)</f>
        <v>#N/A</v>
      </c>
      <c r="AR1750" s="6" t="b">
        <f t="shared" si="191"/>
        <v>1</v>
      </c>
      <c r="AS1750" s="6" t="str">
        <f t="shared" si="192"/>
        <v>OK</v>
      </c>
      <c r="AU1750" s="202">
        <v>41005</v>
      </c>
      <c r="AV1750" s="262" t="s">
        <v>933</v>
      </c>
      <c r="AW1750" s="274">
        <v>54793</v>
      </c>
    </row>
    <row r="1751" spans="1:49" s="13" customFormat="1" ht="33.75" x14ac:dyDescent="0.2">
      <c r="A1751" s="14">
        <v>1727</v>
      </c>
      <c r="B1751" s="8">
        <v>400048227</v>
      </c>
      <c r="C1751" s="8" t="s">
        <v>7292</v>
      </c>
      <c r="D1751" s="4" t="str">
        <f t="shared" si="188"/>
        <v>400048227C</v>
      </c>
      <c r="E1751" s="309" t="str">
        <f>VLOOKUP($B1751,'D7 - NDB Impacted SPRF''s'!$E$6:$O$9929,2,FALSE)</f>
        <v>NDB 2012 One Shot Requests</v>
      </c>
      <c r="F1751" s="8"/>
      <c r="G1751" s="8" t="s">
        <v>4758</v>
      </c>
      <c r="H1751" s="8" t="s">
        <v>4246</v>
      </c>
      <c r="I1751" s="20">
        <v>2.5</v>
      </c>
      <c r="J1751" s="8" t="s">
        <v>4862</v>
      </c>
      <c r="K1751" s="182">
        <v>41132</v>
      </c>
      <c r="L1751" s="8" t="s">
        <v>4156</v>
      </c>
      <c r="M1751" s="8" t="s">
        <v>2814</v>
      </c>
      <c r="N1751" s="38" t="s">
        <v>940</v>
      </c>
      <c r="O1751" s="8"/>
      <c r="P1751" s="4" t="str">
        <f>VLOOKUP($B1751,'D7 - NDB Impacted SPRF''s'!$E$16:$O$9929,9,FALSE)</f>
        <v>N</v>
      </c>
      <c r="Q1751" s="4" t="str">
        <f>VLOOKUP($B1751,'D7 - NDB Impacted SPRF''s'!$E$16:$O$9929,10,FALSE)</f>
        <v>N</v>
      </c>
      <c r="R1751" s="4" t="str">
        <f>VLOOKUP($B1751,'D7 - NDB Impacted SPRF''s'!$E$16:$O$9929,11,FALSE)</f>
        <v>N</v>
      </c>
      <c r="S1751" s="8"/>
      <c r="T1751" s="310"/>
      <c r="U1751" s="310"/>
      <c r="V1751" s="4"/>
      <c r="W1751" s="4"/>
      <c r="X1751" s="4"/>
      <c r="Y1751" s="4"/>
      <c r="Z1751" s="4"/>
      <c r="AA1751" s="4"/>
      <c r="AB1751" s="380" t="str">
        <f>VLOOKUP($B1751,'D7 - NDB Impacted SPRF''s'!$E$6:$O$9929,4,FALSE)</f>
        <v>Completed</v>
      </c>
      <c r="AC1751" s="380" t="str">
        <f>VLOOKUP($B1751,'D7 - NDB Impacted SPRF''s'!$E$6:$O$9929,3,FALSE)</f>
        <v>UnitedHealthcare Employer &amp; Individual</v>
      </c>
      <c r="AD1751" s="380" t="str">
        <f>VLOOKUP($B1751,'D7 - NDB Impacted SPRF''s'!$E$6:$O$9929,5,FALSE)</f>
        <v>Operational Requirements</v>
      </c>
      <c r="AE1751" s="380" t="str">
        <f>VLOOKUP($B1751,'D7 - NDB Impacted SPRF''s'!$E$6:$O$9929,7,FALSE)</f>
        <v>Tim Kaja</v>
      </c>
      <c r="AF1751" s="380" t="str">
        <f>VLOOKUP($B1751,'D7 - NDB Impacted SPRF''s'!$E$6:$O$9929,6,FALSE)</f>
        <v>Robert Wright</v>
      </c>
      <c r="AG1751" s="282"/>
      <c r="AH1751" s="311" t="e">
        <f>INDEX('D5 - Gatekeeper - Projects'!$A$4:$AF$1010,$AM1751, 17)</f>
        <v>#N/A</v>
      </c>
      <c r="AI1751" s="8"/>
      <c r="AJ1751" s="57"/>
      <c r="AK1751" s="105"/>
      <c r="AM1751" s="6" t="e">
        <f>MATCH(D1751,'D5 - Gatekeeper - Projects'!$C$4:$C$1010,0)</f>
        <v>#N/A</v>
      </c>
      <c r="AN1751" s="6" t="b">
        <f t="shared" si="190"/>
        <v>1</v>
      </c>
      <c r="AO1751" s="6" t="str">
        <f t="shared" si="193"/>
        <v>OK</v>
      </c>
      <c r="AQ1751" s="6" t="e">
        <f>MATCH($D1751,'D4 - Provider Council Unsched'!$C$11:$C$234,0)</f>
        <v>#N/A</v>
      </c>
      <c r="AR1751" s="6" t="b">
        <f t="shared" si="191"/>
        <v>1</v>
      </c>
      <c r="AS1751" s="6" t="str">
        <f t="shared" si="192"/>
        <v>OK</v>
      </c>
      <c r="AU1751" s="202"/>
      <c r="AV1751" s="262" t="s">
        <v>442</v>
      </c>
      <c r="AW1751" s="274">
        <v>53378</v>
      </c>
    </row>
    <row r="1752" spans="1:49" s="13" customFormat="1" ht="45" x14ac:dyDescent="0.2">
      <c r="A1752" s="14">
        <v>1728</v>
      </c>
      <c r="B1752" s="8">
        <v>400048660</v>
      </c>
      <c r="C1752" s="8" t="s">
        <v>1447</v>
      </c>
      <c r="D1752" s="4" t="str">
        <f t="shared" si="188"/>
        <v>400048660A</v>
      </c>
      <c r="E1752" s="309" t="str">
        <f>VLOOKUP($B1752,'D7 - NDB Impacted SPRF''s'!$E$6:$O$9929,2,FALSE)</f>
        <v>CPS-COSMOS to NDB Fee Sched Pricing</v>
      </c>
      <c r="F1752" s="8"/>
      <c r="G1752" s="8" t="s">
        <v>4758</v>
      </c>
      <c r="H1752" s="8" t="s">
        <v>4246</v>
      </c>
      <c r="I1752" s="20">
        <v>33.76</v>
      </c>
      <c r="J1752" s="8" t="s">
        <v>4862</v>
      </c>
      <c r="K1752" s="182">
        <v>41132</v>
      </c>
      <c r="L1752" s="8" t="s">
        <v>4156</v>
      </c>
      <c r="M1752" s="8" t="s">
        <v>2814</v>
      </c>
      <c r="N1752" s="38" t="s">
        <v>231</v>
      </c>
      <c r="O1752" s="8"/>
      <c r="P1752" s="4" t="str">
        <f>VLOOKUP($B1752,'D7 - NDB Impacted SPRF''s'!$E$16:$O$9929,9,FALSE)</f>
        <v>Y</v>
      </c>
      <c r="Q1752" s="4" t="str">
        <f>VLOOKUP($B1752,'D7 - NDB Impacted SPRF''s'!$E$16:$O$9929,10,FALSE)</f>
        <v>N</v>
      </c>
      <c r="R1752" s="4" t="str">
        <f>VLOOKUP($B1752,'D7 - NDB Impacted SPRF''s'!$E$16:$O$9929,11,FALSE)</f>
        <v>Y</v>
      </c>
      <c r="S1752" s="8"/>
      <c r="T1752" s="310"/>
      <c r="U1752" s="310"/>
      <c r="V1752" s="4"/>
      <c r="W1752" s="4"/>
      <c r="X1752" s="4"/>
      <c r="Y1752" s="4"/>
      <c r="Z1752" s="4"/>
      <c r="AA1752" s="4"/>
      <c r="AB1752" s="380" t="str">
        <f>VLOOKUP($B1752,'D7 - NDB Impacted SPRF''s'!$E$6:$O$9929,4,FALSE)</f>
        <v>Completed</v>
      </c>
      <c r="AC1752" s="380" t="str">
        <f>VLOOKUP($B1752,'D7 - NDB Impacted SPRF''s'!$E$6:$O$9929,3,FALSE)</f>
        <v>UnitedHealthcare Medicare &amp; Retirement</v>
      </c>
      <c r="AD1752" s="380" t="str">
        <f>VLOOKUP($B1752,'D7 - NDB Impacted SPRF''s'!$E$6:$O$9929,5,FALSE)</f>
        <v>Regulatory / Other</v>
      </c>
      <c r="AE1752" s="380" t="str">
        <f>VLOOKUP($B1752,'D7 - NDB Impacted SPRF''s'!$E$6:$O$9929,7,FALSE)</f>
        <v>Tim Kaja</v>
      </c>
      <c r="AF1752" s="380" t="str">
        <f>VLOOKUP($B1752,'D7 - NDB Impacted SPRF''s'!$E$6:$O$9929,6,FALSE)</f>
        <v>SUSAN HINES</v>
      </c>
      <c r="AG1752" s="282"/>
      <c r="AH1752" s="311" t="e">
        <f>INDEX('D5 - Gatekeeper - Projects'!$A$4:$AF$1010,$AM1752, 17)</f>
        <v>#N/A</v>
      </c>
      <c r="AI1752" s="8"/>
      <c r="AJ1752" s="57"/>
      <c r="AK1752" s="105"/>
      <c r="AM1752" s="6" t="e">
        <f>MATCH(D1752,'D5 - Gatekeeper - Projects'!$C$4:$C$1010,0)</f>
        <v>#N/A</v>
      </c>
      <c r="AN1752" s="6" t="b">
        <f t="shared" si="190"/>
        <v>1</v>
      </c>
      <c r="AO1752" s="6" t="str">
        <f t="shared" si="193"/>
        <v>OK</v>
      </c>
      <c r="AQ1752" s="6" t="e">
        <f>MATCH($D1752,'D4 - Provider Council Unsched'!$C$11:$C$234,0)</f>
        <v>#N/A</v>
      </c>
      <c r="AR1752" s="6" t="b">
        <f t="shared" si="191"/>
        <v>1</v>
      </c>
      <c r="AS1752" s="6" t="str">
        <f t="shared" si="192"/>
        <v>OK</v>
      </c>
      <c r="AU1752" s="202"/>
      <c r="AV1752" s="262" t="s">
        <v>1133</v>
      </c>
      <c r="AW1752" s="274">
        <v>54621</v>
      </c>
    </row>
    <row r="1753" spans="1:49" s="13" customFormat="1" ht="33.75" x14ac:dyDescent="0.2">
      <c r="A1753" s="14">
        <v>1729</v>
      </c>
      <c r="B1753" s="8">
        <v>400049890</v>
      </c>
      <c r="C1753" s="8" t="s">
        <v>1447</v>
      </c>
      <c r="D1753" s="4" t="str">
        <f t="shared" si="188"/>
        <v>400049890A</v>
      </c>
      <c r="E1753" s="309" t="str">
        <f>VLOOKUP($B1753,'D7 - NDB Impacted SPRF''s'!$E$6:$O$9929,2,FALSE)</f>
        <v>Medica COPIS Future Data Enhancements</v>
      </c>
      <c r="F1753" s="8"/>
      <c r="G1753" s="8" t="s">
        <v>4758</v>
      </c>
      <c r="H1753" s="8" t="s">
        <v>4246</v>
      </c>
      <c r="I1753" s="20">
        <v>0.47</v>
      </c>
      <c r="J1753" s="8" t="s">
        <v>4862</v>
      </c>
      <c r="K1753" s="182">
        <v>41132</v>
      </c>
      <c r="L1753" s="8" t="s">
        <v>4156</v>
      </c>
      <c r="M1753" s="8" t="s">
        <v>5626</v>
      </c>
      <c r="N1753" s="38"/>
      <c r="O1753" s="8"/>
      <c r="P1753" s="4" t="str">
        <f>VLOOKUP($B1753,'D7 - NDB Impacted SPRF''s'!$E$16:$O$9929,9,FALSE)</f>
        <v>N</v>
      </c>
      <c r="Q1753" s="4" t="str">
        <f>VLOOKUP($B1753,'D7 - NDB Impacted SPRF''s'!$E$16:$O$9929,10,FALSE)</f>
        <v>N</v>
      </c>
      <c r="R1753" s="4" t="str">
        <f>VLOOKUP($B1753,'D7 - NDB Impacted SPRF''s'!$E$16:$O$9929,11,FALSE)</f>
        <v>N</v>
      </c>
      <c r="S1753" s="8"/>
      <c r="T1753" s="310"/>
      <c r="U1753" s="310"/>
      <c r="V1753" s="4"/>
      <c r="W1753" s="4"/>
      <c r="X1753" s="4"/>
      <c r="Y1753" s="4"/>
      <c r="Z1753" s="4"/>
      <c r="AA1753" s="4"/>
      <c r="AB1753" s="380" t="str">
        <f>VLOOKUP($B1753,'D7 - NDB Impacted SPRF''s'!$E$6:$O$9929,4,FALSE)</f>
        <v>Cancelled</v>
      </c>
      <c r="AC1753" s="380" t="str">
        <f>VLOOKUP($B1753,'D7 - NDB Impacted SPRF''s'!$E$6:$O$9929,3,FALSE)</f>
        <v>UnitedHealthcare Employer &amp; Individual</v>
      </c>
      <c r="AD1753" s="380" t="str">
        <f>VLOOKUP($B1753,'D7 - NDB Impacted SPRF''s'!$E$6:$O$9929,5,FALSE)</f>
        <v>Customer Requirements</v>
      </c>
      <c r="AE1753" s="380" t="str">
        <f>VLOOKUP($B1753,'D7 - NDB Impacted SPRF''s'!$E$6:$O$9929,7,FALSE)</f>
        <v>Ryan Anderson</v>
      </c>
      <c r="AF1753" s="380" t="str">
        <f>VLOOKUP($B1753,'D7 - NDB Impacted SPRF''s'!$E$6:$O$9929,6,FALSE)</f>
        <v>Linda Dooley</v>
      </c>
      <c r="AG1753" s="282"/>
      <c r="AH1753" s="311" t="e">
        <f>INDEX('D5 - Gatekeeper - Projects'!$A$4:$AF$1010,$AM1753, 17)</f>
        <v>#N/A</v>
      </c>
      <c r="AI1753" s="8"/>
      <c r="AJ1753" s="57"/>
      <c r="AK1753" s="105"/>
      <c r="AM1753" s="6" t="e">
        <f>MATCH(D1753,'D5 - Gatekeeper - Projects'!$C$4:$C$1010,0)</f>
        <v>#N/A</v>
      </c>
      <c r="AN1753" s="6" t="b">
        <f t="shared" si="190"/>
        <v>1</v>
      </c>
      <c r="AO1753" s="6" t="str">
        <f t="shared" si="193"/>
        <v>OK</v>
      </c>
      <c r="AQ1753" s="6" t="e">
        <f>MATCH($D1753,'D4 - Provider Council Unsched'!$C$11:$C$234,0)</f>
        <v>#N/A</v>
      </c>
      <c r="AR1753" s="6" t="b">
        <f t="shared" si="191"/>
        <v>1</v>
      </c>
      <c r="AS1753" s="6" t="str">
        <f t="shared" si="192"/>
        <v>OK</v>
      </c>
      <c r="AU1753" s="202">
        <v>41018</v>
      </c>
      <c r="AV1753" s="262" t="s">
        <v>2236</v>
      </c>
      <c r="AW1753" s="274">
        <v>56017</v>
      </c>
    </row>
    <row r="1754" spans="1:49" s="13" customFormat="1" ht="33.75" x14ac:dyDescent="0.2">
      <c r="A1754" s="14">
        <v>1730</v>
      </c>
      <c r="B1754" s="8">
        <v>400049953</v>
      </c>
      <c r="C1754" s="8" t="s">
        <v>1447</v>
      </c>
      <c r="D1754" s="4" t="str">
        <f t="shared" si="188"/>
        <v>400049953A</v>
      </c>
      <c r="E1754" s="309" t="str">
        <f>VLOOKUP($B1754,'D7 - NDB Impacted SPRF''s'!$E$6:$O$9929,2,FALSE)</f>
        <v>NC Heritage River Valley Expansion</v>
      </c>
      <c r="F1754" s="8"/>
      <c r="G1754" s="8" t="s">
        <v>4758</v>
      </c>
      <c r="H1754" s="8" t="s">
        <v>4246</v>
      </c>
      <c r="I1754" s="20">
        <v>0.54</v>
      </c>
      <c r="J1754" s="8" t="s">
        <v>4862</v>
      </c>
      <c r="K1754" s="182">
        <v>41132</v>
      </c>
      <c r="L1754" s="8" t="s">
        <v>4156</v>
      </c>
      <c r="M1754" s="8" t="s">
        <v>5626</v>
      </c>
      <c r="N1754" s="38" t="s">
        <v>293</v>
      </c>
      <c r="O1754" s="8"/>
      <c r="P1754" s="4" t="str">
        <f>VLOOKUP($B1754,'D7 - NDB Impacted SPRF''s'!$E$16:$O$9929,9,FALSE)</f>
        <v>N</v>
      </c>
      <c r="Q1754" s="4" t="str">
        <f>VLOOKUP($B1754,'D7 - NDB Impacted SPRF''s'!$E$16:$O$9929,10,FALSE)</f>
        <v>N</v>
      </c>
      <c r="R1754" s="4" t="str">
        <f>VLOOKUP($B1754,'D7 - NDB Impacted SPRF''s'!$E$16:$O$9929,11,FALSE)</f>
        <v>N</v>
      </c>
      <c r="S1754" s="8"/>
      <c r="T1754" s="310"/>
      <c r="U1754" s="310"/>
      <c r="V1754" s="4"/>
      <c r="W1754" s="4"/>
      <c r="X1754" s="4"/>
      <c r="Y1754" s="4"/>
      <c r="Z1754" s="4"/>
      <c r="AA1754" s="4"/>
      <c r="AB1754" s="380" t="str">
        <f>VLOOKUP($B1754,'D7 - NDB Impacted SPRF''s'!$E$6:$O$9929,4,FALSE)</f>
        <v>Completed</v>
      </c>
      <c r="AC1754" s="380" t="str">
        <f>VLOOKUP($B1754,'D7 - NDB Impacted SPRF''s'!$E$6:$O$9929,3,FALSE)</f>
        <v>UnitedHealthcare Employer &amp; Individual</v>
      </c>
      <c r="AD1754" s="380" t="str">
        <f>VLOOKUP($B1754,'D7 - NDB Impacted SPRF''s'!$E$6:$O$9929,5,FALSE)</f>
        <v>Membership Growth / Revenue Programs</v>
      </c>
      <c r="AE1754" s="380" t="str">
        <f>VLOOKUP($B1754,'D7 - NDB Impacted SPRF''s'!$E$6:$O$9929,7,FALSE)</f>
        <v>Garland Scott</v>
      </c>
      <c r="AF1754" s="380" t="str">
        <f>VLOOKUP($B1754,'D7 - NDB Impacted SPRF''s'!$E$6:$O$9929,6,FALSE)</f>
        <v>LISA MARENGO</v>
      </c>
      <c r="AG1754" s="282"/>
      <c r="AH1754" s="311" t="e">
        <f>INDEX('D5 - Gatekeeper - Projects'!$A$4:$AF$1010,$AM1754, 17)</f>
        <v>#N/A</v>
      </c>
      <c r="AI1754" s="8"/>
      <c r="AJ1754" s="57"/>
      <c r="AK1754" s="105"/>
      <c r="AM1754" s="6" t="e">
        <f>MATCH(D1754,'D5 - Gatekeeper - Projects'!$C$4:$C$1010,0)</f>
        <v>#N/A</v>
      </c>
      <c r="AN1754" s="6" t="b">
        <f t="shared" si="190"/>
        <v>1</v>
      </c>
      <c r="AO1754" s="6" t="str">
        <f t="shared" si="193"/>
        <v>OK</v>
      </c>
      <c r="AQ1754" s="6" t="e">
        <f>MATCH($D1754,'D4 - Provider Council Unsched'!$C$11:$C$234,0)</f>
        <v>#N/A</v>
      </c>
      <c r="AR1754" s="6" t="b">
        <f t="shared" si="191"/>
        <v>1</v>
      </c>
      <c r="AS1754" s="6" t="str">
        <f t="shared" si="192"/>
        <v>OK</v>
      </c>
      <c r="AU1754" s="202">
        <v>41033</v>
      </c>
      <c r="AV1754" s="262" t="s">
        <v>934</v>
      </c>
      <c r="AW1754" s="274">
        <v>57931</v>
      </c>
    </row>
    <row r="1755" spans="1:49" s="13" customFormat="1" ht="33.75" x14ac:dyDescent="0.2">
      <c r="A1755" s="14">
        <v>1731</v>
      </c>
      <c r="B1755" s="8">
        <v>400050157</v>
      </c>
      <c r="C1755" s="8" t="s">
        <v>1447</v>
      </c>
      <c r="D1755" s="4" t="str">
        <f t="shared" si="188"/>
        <v>400050157A</v>
      </c>
      <c r="E1755" s="309" t="str">
        <f>VLOOKUP($B1755,'D7 - NDB Impacted SPRF''s'!$E$6:$O$9929,2,FALSE)</f>
        <v>Provider Issues related to NDB, Portal &amp; ICUE</v>
      </c>
      <c r="F1755" s="8"/>
      <c r="G1755" s="8" t="s">
        <v>4758</v>
      </c>
      <c r="H1755" s="8" t="s">
        <v>4246</v>
      </c>
      <c r="I1755" s="20">
        <v>0.61</v>
      </c>
      <c r="J1755" s="8" t="s">
        <v>4862</v>
      </c>
      <c r="K1755" s="182">
        <v>41132</v>
      </c>
      <c r="L1755" s="8" t="s">
        <v>4156</v>
      </c>
      <c r="M1755" s="8" t="s">
        <v>6688</v>
      </c>
      <c r="N1755" s="38" t="s">
        <v>129</v>
      </c>
      <c r="O1755" s="8"/>
      <c r="P1755" s="4" t="str">
        <f>VLOOKUP($B1755,'D7 - NDB Impacted SPRF''s'!$E$16:$O$9929,9,FALSE)</f>
        <v>N</v>
      </c>
      <c r="Q1755" s="4" t="str">
        <f>VLOOKUP($B1755,'D7 - NDB Impacted SPRF''s'!$E$16:$O$9929,10,FALSE)</f>
        <v>N</v>
      </c>
      <c r="R1755" s="4" t="str">
        <f>VLOOKUP($B1755,'D7 - NDB Impacted SPRF''s'!$E$16:$O$9929,11,FALSE)</f>
        <v>N</v>
      </c>
      <c r="S1755" s="8"/>
      <c r="T1755" s="310"/>
      <c r="U1755" s="310"/>
      <c r="V1755" s="4"/>
      <c r="W1755" s="4"/>
      <c r="X1755" s="4"/>
      <c r="Y1755" s="4"/>
      <c r="Z1755" s="4"/>
      <c r="AA1755" s="4"/>
      <c r="AB1755" s="380" t="str">
        <f>VLOOKUP($B1755,'D7 - NDB Impacted SPRF''s'!$E$6:$O$9929,4,FALSE)</f>
        <v>Completed</v>
      </c>
      <c r="AC1755" s="380" t="str">
        <f>VLOOKUP($B1755,'D7 - NDB Impacted SPRF''s'!$E$6:$O$9929,3,FALSE)</f>
        <v>UnitedHealthcare Employer &amp; Individual</v>
      </c>
      <c r="AD1755" s="380" t="str">
        <f>VLOOKUP($B1755,'D7 - NDB Impacted SPRF''s'!$E$6:$O$9929,5,FALSE)</f>
        <v>Medical Cost Savings Programs</v>
      </c>
      <c r="AE1755" s="380" t="str">
        <f>VLOOKUP($B1755,'D7 - NDB Impacted SPRF''s'!$E$6:$O$9929,7,FALSE)</f>
        <v>Nelson, Sheila M</v>
      </c>
      <c r="AF1755" s="380" t="str">
        <f>VLOOKUP($B1755,'D7 - NDB Impacted SPRF''s'!$E$6:$O$9929,6,FALSE)</f>
        <v>Manoj Viswanathan</v>
      </c>
      <c r="AG1755" s="282"/>
      <c r="AH1755" s="311" t="e">
        <f>INDEX('D5 - Gatekeeper - Projects'!$A$4:$AF$1010,$AM1755, 17)</f>
        <v>#N/A</v>
      </c>
      <c r="AI1755" s="8"/>
      <c r="AJ1755" s="57"/>
      <c r="AK1755" s="105"/>
      <c r="AM1755" s="6" t="e">
        <f>MATCH(D1755,'D5 - Gatekeeper - Projects'!$C$4:$C$1010,0)</f>
        <v>#N/A</v>
      </c>
      <c r="AN1755" s="6" t="b">
        <f t="shared" si="190"/>
        <v>1</v>
      </c>
      <c r="AO1755" s="6" t="str">
        <f t="shared" si="193"/>
        <v>OK</v>
      </c>
      <c r="AQ1755" s="6" t="e">
        <f>MATCH($D1755,'D4 - Provider Council Unsched'!$C$11:$C$234,0)</f>
        <v>#N/A</v>
      </c>
      <c r="AR1755" s="6" t="b">
        <f t="shared" si="191"/>
        <v>1</v>
      </c>
      <c r="AS1755" s="6" t="str">
        <f t="shared" si="192"/>
        <v>OK</v>
      </c>
      <c r="AU1755" s="202">
        <v>41015</v>
      </c>
      <c r="AV1755" s="262" t="s">
        <v>1080</v>
      </c>
      <c r="AW1755" s="274">
        <v>57722</v>
      </c>
    </row>
    <row r="1756" spans="1:49" s="13" customFormat="1" ht="33.75" x14ac:dyDescent="0.2">
      <c r="A1756" s="14">
        <v>1732</v>
      </c>
      <c r="B1756" s="8">
        <v>400050564</v>
      </c>
      <c r="C1756" s="8" t="s">
        <v>1447</v>
      </c>
      <c r="D1756" s="4" t="str">
        <f t="shared" si="188"/>
        <v>400050564A</v>
      </c>
      <c r="E1756" s="309" t="str">
        <f>VLOOKUP($B1756,'D7 - NDB Impacted SPRF''s'!$E$6:$O$9929,2,FALSE)</f>
        <v>RSASL-Navigate Referral Summary &amp; Detail Report</v>
      </c>
      <c r="F1756" s="8"/>
      <c r="G1756" s="8" t="s">
        <v>4758</v>
      </c>
      <c r="H1756" s="8" t="s">
        <v>4246</v>
      </c>
      <c r="I1756" s="20">
        <v>2.88</v>
      </c>
      <c r="J1756" s="8" t="s">
        <v>4862</v>
      </c>
      <c r="K1756" s="182">
        <v>41132</v>
      </c>
      <c r="L1756" s="8" t="s">
        <v>4156</v>
      </c>
      <c r="M1756" s="8" t="s">
        <v>2814</v>
      </c>
      <c r="N1756" s="38" t="s">
        <v>941</v>
      </c>
      <c r="O1756" s="8"/>
      <c r="P1756" s="4" t="str">
        <f>VLOOKUP($B1756,'D7 - NDB Impacted SPRF''s'!$E$16:$O$9929,9,FALSE)</f>
        <v>Y</v>
      </c>
      <c r="Q1756" s="4" t="str">
        <f>VLOOKUP($B1756,'D7 - NDB Impacted SPRF''s'!$E$16:$O$9929,10,FALSE)</f>
        <v>N</v>
      </c>
      <c r="R1756" s="4" t="str">
        <f>VLOOKUP($B1756,'D7 - NDB Impacted SPRF''s'!$E$16:$O$9929,11,FALSE)</f>
        <v>N</v>
      </c>
      <c r="S1756" s="8"/>
      <c r="T1756" s="310"/>
      <c r="U1756" s="310"/>
      <c r="V1756" s="4"/>
      <c r="W1756" s="4"/>
      <c r="X1756" s="4"/>
      <c r="Y1756" s="4"/>
      <c r="Z1756" s="4"/>
      <c r="AA1756" s="4"/>
      <c r="AB1756" s="380" t="str">
        <f>VLOOKUP($B1756,'D7 - NDB Impacted SPRF''s'!$E$6:$O$9929,4,FALSE)</f>
        <v>Completed</v>
      </c>
      <c r="AC1756" s="380" t="str">
        <f>VLOOKUP($B1756,'D7 - NDB Impacted SPRF''s'!$E$6:$O$9929,3,FALSE)</f>
        <v>UnitedHealthcare Employer &amp; Individual</v>
      </c>
      <c r="AD1756" s="380" t="str">
        <f>VLOOKUP($B1756,'D7 - NDB Impacted SPRF''s'!$E$6:$O$9929,5,FALSE)</f>
        <v>Membership Growth / Revenue Programs</v>
      </c>
      <c r="AE1756" s="380" t="str">
        <f>VLOOKUP($B1756,'D7 - NDB Impacted SPRF''s'!$E$6:$O$9929,7,FALSE)</f>
        <v>Denise Mount</v>
      </c>
      <c r="AF1756" s="380" t="str">
        <f>VLOOKUP($B1756,'D7 - NDB Impacted SPRF''s'!$E$6:$O$9929,6,FALSE)</f>
        <v>Cynthia Kollars</v>
      </c>
      <c r="AG1756" s="282"/>
      <c r="AH1756" s="311" t="e">
        <f>INDEX('D5 - Gatekeeper - Projects'!$A$4:$AF$1010,$AM1756, 17)</f>
        <v>#N/A</v>
      </c>
      <c r="AI1756" s="8"/>
      <c r="AJ1756" s="57"/>
      <c r="AK1756" s="105"/>
      <c r="AM1756" s="6" t="e">
        <f>MATCH(D1756,'D5 - Gatekeeper - Projects'!$C$4:$C$1010,0)</f>
        <v>#N/A</v>
      </c>
      <c r="AN1756" s="6" t="b">
        <f t="shared" si="190"/>
        <v>1</v>
      </c>
      <c r="AO1756" s="6" t="str">
        <f t="shared" si="193"/>
        <v>OK</v>
      </c>
      <c r="AQ1756" s="6" t="e">
        <f>MATCH($D1756,'D4 - Provider Council Unsched'!$C$11:$C$234,0)</f>
        <v>#N/A</v>
      </c>
      <c r="AR1756" s="6" t="b">
        <f t="shared" si="191"/>
        <v>1</v>
      </c>
      <c r="AS1756" s="6" t="str">
        <f t="shared" si="192"/>
        <v>OK</v>
      </c>
      <c r="AU1756" s="202">
        <v>41015</v>
      </c>
      <c r="AV1756" s="262" t="s">
        <v>1085</v>
      </c>
      <c r="AW1756" s="274">
        <v>58272</v>
      </c>
    </row>
    <row r="1757" spans="1:49" s="13" customFormat="1" ht="112.5" x14ac:dyDescent="0.2">
      <c r="A1757" s="14">
        <v>1733</v>
      </c>
      <c r="B1757" s="14">
        <v>400050954</v>
      </c>
      <c r="C1757" s="8" t="s">
        <v>1447</v>
      </c>
      <c r="D1757" s="4" t="str">
        <f t="shared" si="188"/>
        <v>400050954A</v>
      </c>
      <c r="E1757" s="309" t="str">
        <f>VLOOKUP($B1757,'D7 - NDB Impacted SPRF''s'!$E$6:$O$9929,2,FALSE)</f>
        <v>NDB CD- Market Type ID Tactical Solution</v>
      </c>
      <c r="F1757" s="8"/>
      <c r="G1757" s="8" t="s">
        <v>4758</v>
      </c>
      <c r="H1757" s="8" t="s">
        <v>4246</v>
      </c>
      <c r="I1757" s="20">
        <v>30.01</v>
      </c>
      <c r="J1757" s="8" t="s">
        <v>4862</v>
      </c>
      <c r="K1757" s="182">
        <v>41132</v>
      </c>
      <c r="L1757" s="8" t="s">
        <v>4156</v>
      </c>
      <c r="M1757" s="8" t="s">
        <v>2814</v>
      </c>
      <c r="N1757" s="38" t="s">
        <v>904</v>
      </c>
      <c r="O1757" s="8"/>
      <c r="P1757" s="4" t="str">
        <f>VLOOKUP($B1757,'D7 - NDB Impacted SPRF''s'!$E$16:$O$9929,9,FALSE)</f>
        <v>N</v>
      </c>
      <c r="Q1757" s="4" t="str">
        <f>VLOOKUP($B1757,'D7 - NDB Impacted SPRF''s'!$E$16:$O$9929,10,FALSE)</f>
        <v>N</v>
      </c>
      <c r="R1757" s="4" t="str">
        <f>VLOOKUP($B1757,'D7 - NDB Impacted SPRF''s'!$E$16:$O$9929,11,FALSE)</f>
        <v>Y</v>
      </c>
      <c r="S1757" s="8"/>
      <c r="T1757" s="310"/>
      <c r="U1757" s="310"/>
      <c r="V1757" s="4"/>
      <c r="W1757" s="4"/>
      <c r="X1757" s="4"/>
      <c r="Y1757" s="4"/>
      <c r="Z1757" s="4"/>
      <c r="AA1757" s="4"/>
      <c r="AB1757" s="380" t="str">
        <f>VLOOKUP($B1757,'D7 - NDB Impacted SPRF''s'!$E$6:$O$9929,4,FALSE)</f>
        <v>Completed</v>
      </c>
      <c r="AC1757" s="380" t="str">
        <f>VLOOKUP($B1757,'D7 - NDB Impacted SPRF''s'!$E$6:$O$9929,3,FALSE)</f>
        <v>UHG IT - Enterprise Technology Services</v>
      </c>
      <c r="AD1757" s="380" t="str">
        <f>VLOOKUP($B1757,'D7 - NDB Impacted SPRF''s'!$E$6:$O$9929,5,FALSE)</f>
        <v>Strategic Initiatives</v>
      </c>
      <c r="AE1757" s="380" t="str">
        <f>VLOOKUP($B1757,'D7 - NDB Impacted SPRF''s'!$E$6:$O$9929,7,FALSE)</f>
        <v>Tim Kaja</v>
      </c>
      <c r="AF1757" s="380" t="str">
        <f>VLOOKUP($B1757,'D7 - NDB Impacted SPRF''s'!$E$6:$O$9929,6,FALSE)</f>
        <v>SUSAN HINES</v>
      </c>
      <c r="AG1757" s="282"/>
      <c r="AH1757" s="311" t="e">
        <f>INDEX('D5 - Gatekeeper - Projects'!$A$4:$AF$1010,$AM1757, 17)</f>
        <v>#N/A</v>
      </c>
      <c r="AI1757" s="8"/>
      <c r="AJ1757" s="57"/>
      <c r="AK1757" s="105"/>
      <c r="AM1757" s="6" t="e">
        <f>MATCH(D1757,'D5 - Gatekeeper - Projects'!$C$4:$C$1010,0)</f>
        <v>#N/A</v>
      </c>
      <c r="AN1757" s="6" t="b">
        <f t="shared" si="190"/>
        <v>1</v>
      </c>
      <c r="AO1757" s="6" t="str">
        <f t="shared" si="193"/>
        <v>OK</v>
      </c>
      <c r="AQ1757" s="6" t="e">
        <f>MATCH($D1757,'D4 - Provider Council Unsched'!$C$11:$C$234,0)</f>
        <v>#N/A</v>
      </c>
      <c r="AR1757" s="6" t="b">
        <f t="shared" si="191"/>
        <v>1</v>
      </c>
      <c r="AS1757" s="6" t="str">
        <f t="shared" si="192"/>
        <v>OK</v>
      </c>
      <c r="AU1757" s="202">
        <v>40994</v>
      </c>
      <c r="AV1757" s="262" t="s">
        <v>2754</v>
      </c>
      <c r="AW1757" s="274">
        <v>63183</v>
      </c>
    </row>
    <row r="1758" spans="1:49" s="13" customFormat="1" ht="33.75" x14ac:dyDescent="0.2">
      <c r="A1758" s="14">
        <v>1734</v>
      </c>
      <c r="B1758" s="8">
        <v>400051104</v>
      </c>
      <c r="C1758" s="8" t="s">
        <v>1447</v>
      </c>
      <c r="D1758" s="4" t="str">
        <f t="shared" si="188"/>
        <v>400051104A</v>
      </c>
      <c r="E1758" s="309" t="str">
        <f>VLOOKUP($B1758,'D7 - NDB Impacted SPRF''s'!$E$6:$O$9929,2,FALSE)</f>
        <v xml:space="preserve">WOQ2 01 Navigate Provider Contract One Shots </v>
      </c>
      <c r="F1758" s="8"/>
      <c r="G1758" s="8" t="s">
        <v>4758</v>
      </c>
      <c r="H1758" s="8" t="s">
        <v>4246</v>
      </c>
      <c r="I1758" s="20">
        <v>6.65</v>
      </c>
      <c r="J1758" s="8" t="s">
        <v>4862</v>
      </c>
      <c r="K1758" s="182">
        <v>41132</v>
      </c>
      <c r="L1758" s="8" t="s">
        <v>4156</v>
      </c>
      <c r="M1758" s="8" t="s">
        <v>2814</v>
      </c>
      <c r="N1758" s="38" t="s">
        <v>131</v>
      </c>
      <c r="O1758" s="8"/>
      <c r="P1758" s="4" t="str">
        <f>VLOOKUP($B1758,'D7 - NDB Impacted SPRF''s'!$E$16:$O$9929,9,FALSE)</f>
        <v>N</v>
      </c>
      <c r="Q1758" s="4" t="str">
        <f>VLOOKUP($B1758,'D7 - NDB Impacted SPRF''s'!$E$16:$O$9929,10,FALSE)</f>
        <v>N</v>
      </c>
      <c r="R1758" s="4" t="str">
        <f>VLOOKUP($B1758,'D7 - NDB Impacted SPRF''s'!$E$16:$O$9929,11,FALSE)</f>
        <v>N</v>
      </c>
      <c r="S1758" s="8"/>
      <c r="T1758" s="310"/>
      <c r="U1758" s="310"/>
      <c r="V1758" s="4"/>
      <c r="W1758" s="4"/>
      <c r="X1758" s="4"/>
      <c r="Y1758" s="4"/>
      <c r="Z1758" s="4"/>
      <c r="AA1758" s="4"/>
      <c r="AB1758" s="380" t="str">
        <f>VLOOKUP($B1758,'D7 - NDB Impacted SPRF''s'!$E$6:$O$9929,4,FALSE)</f>
        <v>Completed</v>
      </c>
      <c r="AC1758" s="380" t="str">
        <f>VLOOKUP($B1758,'D7 - NDB Impacted SPRF''s'!$E$6:$O$9929,3,FALSE)</f>
        <v>UnitedHealthcare Employer &amp; Individual</v>
      </c>
      <c r="AD1758" s="380" t="str">
        <f>VLOOKUP($B1758,'D7 - NDB Impacted SPRF''s'!$E$6:$O$9929,5,FALSE)</f>
        <v>Membership Growth / Revenue Programs</v>
      </c>
      <c r="AE1758" s="380" t="str">
        <f>VLOOKUP($B1758,'D7 - NDB Impacted SPRF''s'!$E$6:$O$9929,7,FALSE)</f>
        <v>Joanne Sigstad</v>
      </c>
      <c r="AF1758" s="380" t="str">
        <f>VLOOKUP($B1758,'D7 - NDB Impacted SPRF''s'!$E$6:$O$9929,6,FALSE)</f>
        <v>Cynthia Kollars</v>
      </c>
      <c r="AG1758" s="282"/>
      <c r="AH1758" s="311" t="e">
        <f>INDEX('D5 - Gatekeeper - Projects'!$A$4:$AF$1010,$AM1758, 17)</f>
        <v>#N/A</v>
      </c>
      <c r="AI1758" s="8"/>
      <c r="AJ1758" s="57"/>
      <c r="AK1758" s="105"/>
      <c r="AM1758" s="6" t="e">
        <f>MATCH(D1758,'D5 - Gatekeeper - Projects'!$C$4:$C$1010,0)</f>
        <v>#N/A</v>
      </c>
      <c r="AN1758" s="6" t="b">
        <f t="shared" si="190"/>
        <v>1</v>
      </c>
      <c r="AO1758" s="6" t="str">
        <f t="shared" si="193"/>
        <v>OK</v>
      </c>
      <c r="AQ1758" s="6" t="e">
        <f>MATCH($D1758,'D4 - Provider Council Unsched'!$C$11:$C$234,0)</f>
        <v>#N/A</v>
      </c>
      <c r="AR1758" s="6" t="b">
        <f t="shared" si="191"/>
        <v>1</v>
      </c>
      <c r="AS1758" s="6" t="str">
        <f t="shared" si="192"/>
        <v>OK</v>
      </c>
      <c r="AU1758" s="202"/>
      <c r="AV1758" s="262" t="s">
        <v>1085</v>
      </c>
      <c r="AW1758" s="274" t="s">
        <v>3572</v>
      </c>
    </row>
    <row r="1759" spans="1:49" s="13" customFormat="1" ht="56.25" x14ac:dyDescent="0.2">
      <c r="A1759" s="14">
        <v>1735</v>
      </c>
      <c r="B1759" s="8">
        <v>400051695</v>
      </c>
      <c r="C1759" s="8" t="s">
        <v>1447</v>
      </c>
      <c r="D1759" s="4" t="str">
        <f t="shared" si="188"/>
        <v>400051695A</v>
      </c>
      <c r="E1759" s="309" t="str">
        <f>VLOOKUP($B1759,'D7 - NDB Impacted SPRF''s'!$E$6:$O$9929,2,FALSE)</f>
        <v>TRICARE West Region Program Level RSA</v>
      </c>
      <c r="F1759" s="8"/>
      <c r="G1759" s="8" t="s">
        <v>4758</v>
      </c>
      <c r="H1759" s="8" t="s">
        <v>4246</v>
      </c>
      <c r="I1759" s="20">
        <v>4.92</v>
      </c>
      <c r="J1759" s="8" t="s">
        <v>4862</v>
      </c>
      <c r="K1759" s="182">
        <v>41132</v>
      </c>
      <c r="L1759" s="8" t="s">
        <v>4156</v>
      </c>
      <c r="M1759" s="8" t="s">
        <v>6688</v>
      </c>
      <c r="N1759" s="38" t="s">
        <v>2322</v>
      </c>
      <c r="O1759" s="8"/>
      <c r="P1759" s="4" t="str">
        <f>VLOOKUP($B1759,'D7 - NDB Impacted SPRF''s'!$E$16:$O$9929,9,FALSE)</f>
        <v>N</v>
      </c>
      <c r="Q1759" s="4" t="str">
        <f>VLOOKUP($B1759,'D7 - NDB Impacted SPRF''s'!$E$16:$O$9929,10,FALSE)</f>
        <v>N</v>
      </c>
      <c r="R1759" s="4" t="str">
        <f>VLOOKUP($B1759,'D7 - NDB Impacted SPRF''s'!$E$16:$O$9929,11,FALSE)</f>
        <v>Y</v>
      </c>
      <c r="S1759" s="8"/>
      <c r="T1759" s="310"/>
      <c r="U1759" s="310"/>
      <c r="V1759" s="4"/>
      <c r="W1759" s="4"/>
      <c r="X1759" s="4"/>
      <c r="Y1759" s="4"/>
      <c r="Z1759" s="4"/>
      <c r="AA1759" s="4"/>
      <c r="AB1759" s="380" t="str">
        <f>VLOOKUP($B1759,'D7 - NDB Impacted SPRF''s'!$E$6:$O$9929,4,FALSE)</f>
        <v>Completed</v>
      </c>
      <c r="AC1759" s="380" t="str">
        <f>VLOOKUP($B1759,'D7 - NDB Impacted SPRF''s'!$E$6:$O$9929,3,FALSE)</f>
        <v>UnitedHealthcare Military &amp; Veterans</v>
      </c>
      <c r="AD1759" s="380" t="str">
        <f>VLOOKUP($B1759,'D7 - NDB Impacted SPRF''s'!$E$6:$O$9929,5,FALSE)</f>
        <v>Integration Requirements</v>
      </c>
      <c r="AE1759" s="380" t="str">
        <f>VLOOKUP($B1759,'D7 - NDB Impacted SPRF''s'!$E$6:$O$9929,7,FALSE)</f>
        <v>Mike Schwarz</v>
      </c>
      <c r="AF1759" s="380" t="str">
        <f>VLOOKUP($B1759,'D7 - NDB Impacted SPRF''s'!$E$6:$O$9929,6,FALSE)</f>
        <v>Michael Schwarz</v>
      </c>
      <c r="AG1759" s="282"/>
      <c r="AH1759" s="311" t="e">
        <f>INDEX('D5 - Gatekeeper - Projects'!$A$4:$AF$1010,$AM1759, 17)</f>
        <v>#N/A</v>
      </c>
      <c r="AI1759" s="8"/>
      <c r="AJ1759" s="57"/>
      <c r="AK1759" s="105"/>
      <c r="AM1759" s="6" t="e">
        <f>MATCH(D1759,'D5 - Gatekeeper - Projects'!$C$4:$C$1010,0)</f>
        <v>#N/A</v>
      </c>
      <c r="AN1759" s="6" t="b">
        <f t="shared" si="190"/>
        <v>1</v>
      </c>
      <c r="AO1759" s="6" t="str">
        <f t="shared" si="193"/>
        <v>OK</v>
      </c>
      <c r="AQ1759" s="6" t="e">
        <f>MATCH($D1759,'D4 - Provider Council Unsched'!$C$11:$C$234,0)</f>
        <v>#N/A</v>
      </c>
      <c r="AR1759" s="6" t="b">
        <f t="shared" si="191"/>
        <v>1</v>
      </c>
      <c r="AS1759" s="6" t="str">
        <f t="shared" si="192"/>
        <v>OK</v>
      </c>
      <c r="AU1759" s="202"/>
      <c r="AV1759" s="262" t="s">
        <v>3204</v>
      </c>
      <c r="AW1759" s="274">
        <v>60254</v>
      </c>
    </row>
    <row r="1760" spans="1:49" s="13" customFormat="1" ht="45" x14ac:dyDescent="0.2">
      <c r="A1760" s="14">
        <v>1736</v>
      </c>
      <c r="B1760" s="14">
        <v>400052233</v>
      </c>
      <c r="C1760" s="8" t="s">
        <v>8138</v>
      </c>
      <c r="D1760" s="4" t="str">
        <f t="shared" si="188"/>
        <v>400052233UA</v>
      </c>
      <c r="E1760" s="309" t="str">
        <f>VLOOKUP($B1760,'D7 - NDB Impacted SPRF''s'!$E$6:$O$9929,2,FALSE)</f>
        <v>TX ERS - WorkStream1: Data Segmentation and Securi</v>
      </c>
      <c r="F1760" s="8"/>
      <c r="G1760" s="8" t="s">
        <v>4758</v>
      </c>
      <c r="H1760" s="8" t="s">
        <v>4246</v>
      </c>
      <c r="I1760" s="20">
        <v>1.71</v>
      </c>
      <c r="J1760" s="8" t="s">
        <v>4862</v>
      </c>
      <c r="K1760" s="182">
        <v>41132</v>
      </c>
      <c r="L1760" s="8" t="s">
        <v>4156</v>
      </c>
      <c r="M1760" s="8" t="s">
        <v>2814</v>
      </c>
      <c r="N1760" s="38" t="s">
        <v>1863</v>
      </c>
      <c r="O1760" s="8"/>
      <c r="P1760" s="4" t="e">
        <f>VLOOKUP($B1760,'D7 - NDB Impacted SPRF''s'!$E$16:$O$9929,9,FALSE)</f>
        <v>#N/A</v>
      </c>
      <c r="Q1760" s="4" t="e">
        <f>VLOOKUP($B1760,'D7 - NDB Impacted SPRF''s'!$E$16:$O$9929,10,FALSE)</f>
        <v>#N/A</v>
      </c>
      <c r="R1760" s="4" t="e">
        <f>VLOOKUP($B1760,'D7 - NDB Impacted SPRF''s'!$E$16:$O$9929,11,FALSE)</f>
        <v>#N/A</v>
      </c>
      <c r="S1760" s="8"/>
      <c r="T1760" s="310"/>
      <c r="U1760" s="310"/>
      <c r="V1760" s="4"/>
      <c r="W1760" s="4"/>
      <c r="X1760" s="4"/>
      <c r="Y1760" s="4"/>
      <c r="Z1760" s="4"/>
      <c r="AA1760" s="4"/>
      <c r="AB1760" s="380" t="str">
        <f>VLOOKUP($B1760,'D7 - NDB Impacted SPRF''s'!$E$6:$O$9929,4,FALSE)</f>
        <v>Completed</v>
      </c>
      <c r="AC1760" s="380" t="str">
        <f>VLOOKUP($B1760,'D7 - NDB Impacted SPRF''s'!$E$6:$O$9929,3,FALSE)</f>
        <v>UnitedHealthcare Employer &amp; Individual</v>
      </c>
      <c r="AD1760" s="380" t="str">
        <f>VLOOKUP($B1760,'D7 - NDB Impacted SPRF''s'!$E$6:$O$9929,5,FALSE)</f>
        <v>Customer Requirements</v>
      </c>
      <c r="AE1760" s="380" t="str">
        <f>VLOOKUP($B1760,'D7 - NDB Impacted SPRF''s'!$E$6:$O$9929,7,FALSE)</f>
        <v>Matt Stout</v>
      </c>
      <c r="AF1760" s="380" t="str">
        <f>VLOOKUP($B1760,'D7 - NDB Impacted SPRF''s'!$E$6:$O$9929,6,FALSE)</f>
        <v>Matt Stout</v>
      </c>
      <c r="AG1760" s="282"/>
      <c r="AH1760" s="311" t="e">
        <f>INDEX('D5 - Gatekeeper - Projects'!$A$4:$AF$1010,$AM1760, 17)</f>
        <v>#N/A</v>
      </c>
      <c r="AI1760" s="8"/>
      <c r="AJ1760" s="57"/>
      <c r="AK1760" s="105"/>
      <c r="AM1760" s="6" t="e">
        <f>MATCH(D1760,'D5 - Gatekeeper - Projects'!$C$4:$C$1010,0)</f>
        <v>#N/A</v>
      </c>
      <c r="AN1760" s="6" t="b">
        <f t="shared" si="190"/>
        <v>1</v>
      </c>
      <c r="AO1760" s="6" t="str">
        <f t="shared" si="193"/>
        <v>OK</v>
      </c>
      <c r="AQ1760" s="6" t="e">
        <f>MATCH($D1760,'D4 - Provider Council Unsched'!$C$11:$C$234,0)</f>
        <v>#N/A</v>
      </c>
      <c r="AR1760" s="6" t="b">
        <f t="shared" si="191"/>
        <v>1</v>
      </c>
      <c r="AS1760" s="6" t="str">
        <f t="shared" si="192"/>
        <v>OK</v>
      </c>
      <c r="AU1760" s="202">
        <v>41092</v>
      </c>
      <c r="AV1760" s="262" t="s">
        <v>1700</v>
      </c>
      <c r="AW1760" s="274" t="s">
        <v>3572</v>
      </c>
    </row>
    <row r="1761" spans="1:49" s="13" customFormat="1" ht="56.25" x14ac:dyDescent="0.2">
      <c r="A1761" s="14">
        <v>1737</v>
      </c>
      <c r="B1761" s="8">
        <v>400052244</v>
      </c>
      <c r="C1761" s="8" t="s">
        <v>1447</v>
      </c>
      <c r="D1761" s="4" t="str">
        <f t="shared" si="188"/>
        <v>400052244A</v>
      </c>
      <c r="E1761" s="309" t="str">
        <f>VLOOKUP($B1761,'D7 - NDB Impacted SPRF''s'!$E$6:$O$9929,2,FALSE)</f>
        <v>TX ERS - WorkStream2: Core Processing</v>
      </c>
      <c r="F1761" s="8"/>
      <c r="G1761" s="8" t="s">
        <v>4758</v>
      </c>
      <c r="H1761" s="8" t="s">
        <v>4246</v>
      </c>
      <c r="I1761" s="20">
        <v>4.84</v>
      </c>
      <c r="J1761" s="8" t="s">
        <v>4862</v>
      </c>
      <c r="K1761" s="182">
        <v>41132</v>
      </c>
      <c r="L1761" s="8" t="s">
        <v>4156</v>
      </c>
      <c r="M1761" s="8" t="s">
        <v>2814</v>
      </c>
      <c r="N1761" s="38" t="s">
        <v>924</v>
      </c>
      <c r="O1761" s="8"/>
      <c r="P1761" s="4" t="str">
        <f>VLOOKUP($B1761,'D7 - NDB Impacted SPRF''s'!$E$16:$O$9929,9,FALSE)</f>
        <v>Y</v>
      </c>
      <c r="Q1761" s="4" t="str">
        <f>VLOOKUP($B1761,'D7 - NDB Impacted SPRF''s'!$E$16:$O$9929,10,FALSE)</f>
        <v>N</v>
      </c>
      <c r="R1761" s="4" t="str">
        <f>VLOOKUP($B1761,'D7 - NDB Impacted SPRF''s'!$E$16:$O$9929,11,FALSE)</f>
        <v>N</v>
      </c>
      <c r="S1761" s="8"/>
      <c r="T1761" s="310"/>
      <c r="U1761" s="310"/>
      <c r="V1761" s="4"/>
      <c r="W1761" s="4"/>
      <c r="X1761" s="4"/>
      <c r="Y1761" s="4"/>
      <c r="Z1761" s="4"/>
      <c r="AA1761" s="4"/>
      <c r="AB1761" s="380" t="str">
        <f>VLOOKUP($B1761,'D7 - NDB Impacted SPRF''s'!$E$6:$O$9929,4,FALSE)</f>
        <v>Completed</v>
      </c>
      <c r="AC1761" s="380" t="str">
        <f>VLOOKUP($B1761,'D7 - NDB Impacted SPRF''s'!$E$6:$O$9929,3,FALSE)</f>
        <v>UnitedHealthcare Employer &amp; Individual</v>
      </c>
      <c r="AD1761" s="380" t="str">
        <f>VLOOKUP($B1761,'D7 - NDB Impacted SPRF''s'!$E$6:$O$9929,5,FALSE)</f>
        <v>Customer Requirements</v>
      </c>
      <c r="AE1761" s="380" t="str">
        <f>VLOOKUP($B1761,'D7 - NDB Impacted SPRF''s'!$E$6:$O$9929,7,FALSE)</f>
        <v>Laurie Wasserstein</v>
      </c>
      <c r="AF1761" s="380" t="str">
        <f>VLOOKUP($B1761,'D7 - NDB Impacted SPRF''s'!$E$6:$O$9929,6,FALSE)</f>
        <v>Matt Stout</v>
      </c>
      <c r="AG1761" s="282"/>
      <c r="AH1761" s="311" t="e">
        <f>INDEX('D5 - Gatekeeper - Projects'!$A$4:$AF$1010,$AM1761, 17)</f>
        <v>#N/A</v>
      </c>
      <c r="AI1761" s="8"/>
      <c r="AJ1761" s="57"/>
      <c r="AK1761" s="105"/>
      <c r="AM1761" s="6" t="e">
        <f>MATCH(D1761,'D5 - Gatekeeper - Projects'!$C$4:$C$1010,0)</f>
        <v>#N/A</v>
      </c>
      <c r="AN1761" s="6" t="b">
        <f t="shared" si="190"/>
        <v>1</v>
      </c>
      <c r="AO1761" s="6" t="str">
        <f t="shared" si="193"/>
        <v>OK</v>
      </c>
      <c r="AQ1761" s="6" t="e">
        <f>MATCH($D1761,'D4 - Provider Council Unsched'!$C$11:$C$234,0)</f>
        <v>#N/A</v>
      </c>
      <c r="AR1761" s="6" t="b">
        <f t="shared" si="191"/>
        <v>1</v>
      </c>
      <c r="AS1761" s="6" t="str">
        <f t="shared" si="192"/>
        <v>OK</v>
      </c>
      <c r="AU1761" s="202">
        <v>41054</v>
      </c>
      <c r="AV1761" s="262" t="s">
        <v>1700</v>
      </c>
      <c r="AW1761" s="274">
        <v>62160</v>
      </c>
    </row>
    <row r="1762" spans="1:49" s="13" customFormat="1" ht="33.75" x14ac:dyDescent="0.2">
      <c r="A1762" s="14">
        <v>1738</v>
      </c>
      <c r="B1762" s="8">
        <v>400052259</v>
      </c>
      <c r="C1762" s="8" t="s">
        <v>1447</v>
      </c>
      <c r="D1762" s="4" t="str">
        <f t="shared" si="188"/>
        <v>400052259A</v>
      </c>
      <c r="E1762" s="309" t="str">
        <f>VLOOKUP($B1762,'D7 - NDB Impacted SPRF''s'!$E$6:$O$9929,2,FALSE)</f>
        <v>TX ERS - WorkStream3:  Portals, Constituent Servic</v>
      </c>
      <c r="F1762" s="8"/>
      <c r="G1762" s="8" t="s">
        <v>4758</v>
      </c>
      <c r="H1762" s="8" t="s">
        <v>4246</v>
      </c>
      <c r="I1762" s="20">
        <v>4.5599999999999996</v>
      </c>
      <c r="J1762" s="8" t="s">
        <v>4862</v>
      </c>
      <c r="K1762" s="182">
        <v>41132</v>
      </c>
      <c r="L1762" s="8" t="s">
        <v>4156</v>
      </c>
      <c r="M1762" s="8" t="s">
        <v>2814</v>
      </c>
      <c r="N1762" s="38" t="s">
        <v>200</v>
      </c>
      <c r="O1762" s="8"/>
      <c r="P1762" s="4" t="str">
        <f>VLOOKUP($B1762,'D7 - NDB Impacted SPRF''s'!$E$16:$O$9929,9,FALSE)</f>
        <v>Y</v>
      </c>
      <c r="Q1762" s="4" t="str">
        <f>VLOOKUP($B1762,'D7 - NDB Impacted SPRF''s'!$E$16:$O$9929,10,FALSE)</f>
        <v>N</v>
      </c>
      <c r="R1762" s="4" t="str">
        <f>VLOOKUP($B1762,'D7 - NDB Impacted SPRF''s'!$E$16:$O$9929,11,FALSE)</f>
        <v>N</v>
      </c>
      <c r="S1762" s="8"/>
      <c r="T1762" s="310"/>
      <c r="U1762" s="310"/>
      <c r="V1762" s="4"/>
      <c r="W1762" s="4"/>
      <c r="X1762" s="4"/>
      <c r="Y1762" s="4"/>
      <c r="Z1762" s="4"/>
      <c r="AA1762" s="4"/>
      <c r="AB1762" s="380" t="str">
        <f>VLOOKUP($B1762,'D7 - NDB Impacted SPRF''s'!$E$6:$O$9929,4,FALSE)</f>
        <v>Completed</v>
      </c>
      <c r="AC1762" s="380" t="str">
        <f>VLOOKUP($B1762,'D7 - NDB Impacted SPRF''s'!$E$6:$O$9929,3,FALSE)</f>
        <v>UnitedHealthcare Employer &amp; Individual</v>
      </c>
      <c r="AD1762" s="380" t="str">
        <f>VLOOKUP($B1762,'D7 - NDB Impacted SPRF''s'!$E$6:$O$9929,5,FALSE)</f>
        <v>Customer Requirements</v>
      </c>
      <c r="AE1762" s="380" t="str">
        <f>VLOOKUP($B1762,'D7 - NDB Impacted SPRF''s'!$E$6:$O$9929,7,FALSE)</f>
        <v>Laurie Wasserstein</v>
      </c>
      <c r="AF1762" s="380" t="str">
        <f>VLOOKUP($B1762,'D7 - NDB Impacted SPRF''s'!$E$6:$O$9929,6,FALSE)</f>
        <v>Matt Stout</v>
      </c>
      <c r="AG1762" s="282"/>
      <c r="AH1762" s="311" t="e">
        <f>INDEX('D5 - Gatekeeper - Projects'!$A$4:$AF$1010,$AM1762, 17)</f>
        <v>#N/A</v>
      </c>
      <c r="AI1762" s="8"/>
      <c r="AJ1762" s="57"/>
      <c r="AK1762" s="105"/>
      <c r="AM1762" s="6" t="e">
        <f>MATCH(D1762,'D5 - Gatekeeper - Projects'!$C$4:$C$1010,0)</f>
        <v>#N/A</v>
      </c>
      <c r="AN1762" s="6" t="b">
        <f t="shared" si="190"/>
        <v>1</v>
      </c>
      <c r="AO1762" s="6" t="str">
        <f t="shared" si="193"/>
        <v>OK</v>
      </c>
      <c r="AQ1762" s="6" t="e">
        <f>MATCH($D1762,'D4 - Provider Council Unsched'!$C$11:$C$234,0)</f>
        <v>#N/A</v>
      </c>
      <c r="AR1762" s="6" t="b">
        <f t="shared" si="191"/>
        <v>1</v>
      </c>
      <c r="AS1762" s="6" t="str">
        <f t="shared" si="192"/>
        <v>OK</v>
      </c>
      <c r="AU1762" s="202">
        <v>41054</v>
      </c>
      <c r="AV1762" s="262" t="s">
        <v>1700</v>
      </c>
      <c r="AW1762" s="274">
        <v>62159</v>
      </c>
    </row>
    <row r="1763" spans="1:49" s="13" customFormat="1" ht="56.25" x14ac:dyDescent="0.2">
      <c r="A1763" s="14">
        <v>1739</v>
      </c>
      <c r="B1763" s="8">
        <v>400051856</v>
      </c>
      <c r="C1763" s="8" t="s">
        <v>1447</v>
      </c>
      <c r="D1763" s="4" t="str">
        <f t="shared" si="188"/>
        <v>400051856A</v>
      </c>
      <c r="E1763" s="309" t="str">
        <f>VLOOKUP($B1763,'D7 - NDB Impacted SPRF''s'!$E$6:$O$9929,2,FALSE)</f>
        <v>RSASL-Navigate E2E Testing/Integrated UAT</v>
      </c>
      <c r="F1763" s="8"/>
      <c r="G1763" s="8" t="s">
        <v>4758</v>
      </c>
      <c r="H1763" s="8" t="s">
        <v>4246</v>
      </c>
      <c r="I1763" s="20">
        <v>1.22</v>
      </c>
      <c r="J1763" s="8" t="s">
        <v>4862</v>
      </c>
      <c r="K1763" s="182">
        <v>41134</v>
      </c>
      <c r="L1763" s="8" t="s">
        <v>4156</v>
      </c>
      <c r="M1763" s="8" t="s">
        <v>5626</v>
      </c>
      <c r="N1763" s="38" t="s">
        <v>288</v>
      </c>
      <c r="O1763" s="8"/>
      <c r="P1763" s="4" t="str">
        <f>VLOOKUP($B1763,'D7 - NDB Impacted SPRF''s'!$E$16:$O$9929,9,FALSE)</f>
        <v>Y</v>
      </c>
      <c r="Q1763" s="4" t="str">
        <f>VLOOKUP($B1763,'D7 - NDB Impacted SPRF''s'!$E$16:$O$9929,10,FALSE)</f>
        <v>N</v>
      </c>
      <c r="R1763" s="4" t="str">
        <f>VLOOKUP($B1763,'D7 - NDB Impacted SPRF''s'!$E$16:$O$9929,11,FALSE)</f>
        <v>N</v>
      </c>
      <c r="S1763" s="8"/>
      <c r="T1763" s="310"/>
      <c r="U1763" s="310"/>
      <c r="V1763" s="4"/>
      <c r="W1763" s="4"/>
      <c r="X1763" s="4"/>
      <c r="Y1763" s="4"/>
      <c r="Z1763" s="4"/>
      <c r="AA1763" s="4"/>
      <c r="AB1763" s="380" t="str">
        <f>VLOOKUP($B1763,'D7 - NDB Impacted SPRF''s'!$E$6:$O$9929,4,FALSE)</f>
        <v>Completed</v>
      </c>
      <c r="AC1763" s="380" t="str">
        <f>VLOOKUP($B1763,'D7 - NDB Impacted SPRF''s'!$E$6:$O$9929,3,FALSE)</f>
        <v>UnitedHealthcare Employer &amp; Individual</v>
      </c>
      <c r="AD1763" s="380" t="str">
        <f>VLOOKUP($B1763,'D7 - NDB Impacted SPRF''s'!$E$6:$O$9929,5,FALSE)</f>
        <v>Membership Growth / Revenue Programs</v>
      </c>
      <c r="AE1763" s="380" t="str">
        <f>VLOOKUP($B1763,'D7 - NDB Impacted SPRF''s'!$E$6:$O$9929,7,FALSE)</f>
        <v>Yasmine Winkler</v>
      </c>
      <c r="AF1763" s="380" t="str">
        <f>VLOOKUP($B1763,'D7 - NDB Impacted SPRF''s'!$E$6:$O$9929,6,FALSE)</f>
        <v>Cynthia Kollars</v>
      </c>
      <c r="AG1763" s="282"/>
      <c r="AH1763" s="311" t="e">
        <f>INDEX('D5 - Gatekeeper - Projects'!$A$4:$AF$1010,$AM1763, 17)</f>
        <v>#N/A</v>
      </c>
      <c r="AI1763" s="8"/>
      <c r="AJ1763" s="57"/>
      <c r="AK1763" s="105"/>
      <c r="AM1763" s="6" t="e">
        <f>MATCH(D1763,'D5 - Gatekeeper - Projects'!$C$4:$C$1010,0)</f>
        <v>#N/A</v>
      </c>
      <c r="AN1763" s="6" t="b">
        <f t="shared" si="190"/>
        <v>1</v>
      </c>
      <c r="AO1763" s="6" t="str">
        <f t="shared" si="193"/>
        <v>OK</v>
      </c>
      <c r="AQ1763" s="6" t="e">
        <f>MATCH($D1763,'D4 - Provider Council Unsched'!$C$11:$C$234,0)</f>
        <v>#N/A</v>
      </c>
      <c r="AR1763" s="6" t="b">
        <f t="shared" si="191"/>
        <v>1</v>
      </c>
      <c r="AS1763" s="6" t="str">
        <f t="shared" si="192"/>
        <v>OK</v>
      </c>
      <c r="AU1763" s="202">
        <v>41082</v>
      </c>
      <c r="AV1763" s="262" t="s">
        <v>1085</v>
      </c>
      <c r="AW1763" s="274">
        <v>61159</v>
      </c>
    </row>
    <row r="1764" spans="1:49" s="13" customFormat="1" ht="33.75" x14ac:dyDescent="0.2">
      <c r="A1764" s="14">
        <v>1740</v>
      </c>
      <c r="B1764" s="8">
        <v>400040360</v>
      </c>
      <c r="C1764" s="8" t="s">
        <v>7290</v>
      </c>
      <c r="D1764" s="4" t="str">
        <f t="shared" si="188"/>
        <v>400040360B</v>
      </c>
      <c r="E1764" s="309" t="str">
        <f>VLOOKUP($B1764,'D7 - NDB Impacted SPRF''s'!$E$6:$O$9929,2,FALSE)</f>
        <v>Medical Necessity ICM</v>
      </c>
      <c r="F1764" s="8"/>
      <c r="G1764" s="8" t="s">
        <v>4758</v>
      </c>
      <c r="H1764" s="8" t="s">
        <v>4246</v>
      </c>
      <c r="I1764" s="20">
        <v>3.18</v>
      </c>
      <c r="J1764" s="8" t="s">
        <v>4862</v>
      </c>
      <c r="K1764" s="182">
        <v>41174</v>
      </c>
      <c r="L1764" s="8" t="s">
        <v>4156</v>
      </c>
      <c r="M1764" s="8" t="s">
        <v>2814</v>
      </c>
      <c r="N1764" s="38" t="s">
        <v>6884</v>
      </c>
      <c r="O1764" s="8"/>
      <c r="P1764" s="4" t="str">
        <f>VLOOKUP($B1764,'D7 - NDB Impacted SPRF''s'!$E$16:$O$9929,9,FALSE)</f>
        <v>Y</v>
      </c>
      <c r="Q1764" s="4" t="str">
        <f>VLOOKUP($B1764,'D7 - NDB Impacted SPRF''s'!$E$16:$O$9929,10,FALSE)</f>
        <v>N</v>
      </c>
      <c r="R1764" s="4" t="str">
        <f>VLOOKUP($B1764,'D7 - NDB Impacted SPRF''s'!$E$16:$O$9929,11,FALSE)</f>
        <v>Y</v>
      </c>
      <c r="S1764" s="8"/>
      <c r="T1764" s="310"/>
      <c r="U1764" s="310"/>
      <c r="V1764" s="4"/>
      <c r="W1764" s="4"/>
      <c r="X1764" s="4"/>
      <c r="Y1764" s="4"/>
      <c r="Z1764" s="4"/>
      <c r="AA1764" s="4"/>
      <c r="AB1764" s="380" t="str">
        <f>VLOOKUP($B1764,'D7 - NDB Impacted SPRF''s'!$E$6:$O$9929,4,FALSE)</f>
        <v>Scheduled</v>
      </c>
      <c r="AC1764" s="380" t="str">
        <f>VLOOKUP($B1764,'D7 - NDB Impacted SPRF''s'!$E$6:$O$9929,3,FALSE)</f>
        <v>UnitedHealthcare Employer &amp; Individual</v>
      </c>
      <c r="AD1764" s="380" t="str">
        <f>VLOOKUP($B1764,'D7 - NDB Impacted SPRF''s'!$E$6:$O$9929,5,FALSE)</f>
        <v>Medical Cost Savings Programs</v>
      </c>
      <c r="AE1764" s="380" t="str">
        <f>VLOOKUP($B1764,'D7 - NDB Impacted SPRF''s'!$E$6:$O$9929,7,FALSE)</f>
        <v>Dr. Sam Ho / Kevin Ruth</v>
      </c>
      <c r="AF1764" s="380" t="str">
        <f>VLOOKUP($B1764,'D7 - NDB Impacted SPRF''s'!$E$6:$O$9929,6,FALSE)</f>
        <v>ROSS OGDEN</v>
      </c>
      <c r="AG1764" s="282"/>
      <c r="AH1764" s="311" t="e">
        <f>INDEX('D5 - Gatekeeper - Projects'!$A$4:$AF$1010,$AM1764, 17)</f>
        <v>#N/A</v>
      </c>
      <c r="AI1764" s="8"/>
      <c r="AJ1764" s="57"/>
      <c r="AK1764" s="105"/>
      <c r="AM1764" s="6" t="e">
        <f>MATCH(D1764,'D5 - Gatekeeper - Projects'!$C$4:$C$1010,0)</f>
        <v>#N/A</v>
      </c>
      <c r="AN1764" s="6" t="b">
        <f t="shared" si="190"/>
        <v>1</v>
      </c>
      <c r="AO1764" s="6" t="str">
        <f t="shared" si="193"/>
        <v>OK</v>
      </c>
      <c r="AQ1764" s="6" t="e">
        <f>MATCH($D1764,'D4 - Provider Council Unsched'!$C$11:$C$234,0)</f>
        <v>#N/A</v>
      </c>
      <c r="AR1764" s="6" t="b">
        <f t="shared" si="191"/>
        <v>1</v>
      </c>
      <c r="AS1764" s="6" t="str">
        <f t="shared" si="192"/>
        <v>OK</v>
      </c>
      <c r="AU1764" s="202">
        <v>41029</v>
      </c>
      <c r="AV1764" s="262" t="s">
        <v>1042</v>
      </c>
      <c r="AW1764" s="274">
        <v>61637</v>
      </c>
    </row>
    <row r="1765" spans="1:49" s="13" customFormat="1" ht="45" x14ac:dyDescent="0.2">
      <c r="A1765" s="14">
        <v>1741</v>
      </c>
      <c r="B1765" s="8">
        <v>400040360</v>
      </c>
      <c r="C1765" s="8" t="s">
        <v>7289</v>
      </c>
      <c r="D1765" s="4" t="str">
        <f t="shared" si="188"/>
        <v>400040360D</v>
      </c>
      <c r="E1765" s="309" t="str">
        <f>VLOOKUP($B1765,'D7 - NDB Impacted SPRF''s'!$E$6:$O$9929,2,FALSE)</f>
        <v>Medical Necessity ICM</v>
      </c>
      <c r="F1765" s="8"/>
      <c r="G1765" s="8" t="s">
        <v>4758</v>
      </c>
      <c r="H1765" s="8" t="s">
        <v>4246</v>
      </c>
      <c r="I1765" s="20">
        <v>6</v>
      </c>
      <c r="J1765" s="8" t="s">
        <v>4862</v>
      </c>
      <c r="K1765" s="182">
        <v>41174</v>
      </c>
      <c r="L1765" s="8" t="s">
        <v>4156</v>
      </c>
      <c r="M1765" s="8" t="s">
        <v>2814</v>
      </c>
      <c r="N1765" s="38" t="s">
        <v>3508</v>
      </c>
      <c r="O1765" s="8"/>
      <c r="P1765" s="4" t="str">
        <f>VLOOKUP($B1765,'D7 - NDB Impacted SPRF''s'!$E$16:$O$9929,9,FALSE)</f>
        <v>Y</v>
      </c>
      <c r="Q1765" s="4" t="str">
        <f>VLOOKUP($B1765,'D7 - NDB Impacted SPRF''s'!$E$16:$O$9929,10,FALSE)</f>
        <v>N</v>
      </c>
      <c r="R1765" s="4" t="str">
        <f>VLOOKUP($B1765,'D7 - NDB Impacted SPRF''s'!$E$16:$O$9929,11,FALSE)</f>
        <v>Y</v>
      </c>
      <c r="S1765" s="8"/>
      <c r="T1765" s="310"/>
      <c r="U1765" s="310"/>
      <c r="V1765" s="4"/>
      <c r="W1765" s="4"/>
      <c r="X1765" s="4"/>
      <c r="Y1765" s="4"/>
      <c r="Z1765" s="4"/>
      <c r="AA1765" s="4"/>
      <c r="AB1765" s="380" t="str">
        <f>VLOOKUP($B1765,'D7 - NDB Impacted SPRF''s'!$E$6:$O$9929,4,FALSE)</f>
        <v>Scheduled</v>
      </c>
      <c r="AC1765" s="380" t="str">
        <f>VLOOKUP($B1765,'D7 - NDB Impacted SPRF''s'!$E$6:$O$9929,3,FALSE)</f>
        <v>UnitedHealthcare Employer &amp; Individual</v>
      </c>
      <c r="AD1765" s="380" t="str">
        <f>VLOOKUP($B1765,'D7 - NDB Impacted SPRF''s'!$E$6:$O$9929,5,FALSE)</f>
        <v>Medical Cost Savings Programs</v>
      </c>
      <c r="AE1765" s="380" t="str">
        <f>VLOOKUP($B1765,'D7 - NDB Impacted SPRF''s'!$E$6:$O$9929,7,FALSE)</f>
        <v>Dr. Sam Ho / Kevin Ruth</v>
      </c>
      <c r="AF1765" s="380" t="str">
        <f>VLOOKUP($B1765,'D7 - NDB Impacted SPRF''s'!$E$6:$O$9929,6,FALSE)</f>
        <v>ROSS OGDEN</v>
      </c>
      <c r="AG1765" s="282"/>
      <c r="AH1765" s="311" t="e">
        <f>INDEX('D5 - Gatekeeper - Projects'!$A$4:$AF$1010,$AM1765, 17)</f>
        <v>#N/A</v>
      </c>
      <c r="AI1765" s="8"/>
      <c r="AJ1765" s="57"/>
      <c r="AK1765" s="105"/>
      <c r="AM1765" s="6" t="e">
        <f>MATCH(D1765,'D5 - Gatekeeper - Projects'!$C$4:$C$1010,0)</f>
        <v>#N/A</v>
      </c>
      <c r="AN1765" s="6" t="b">
        <f t="shared" si="190"/>
        <v>1</v>
      </c>
      <c r="AO1765" s="6" t="str">
        <f t="shared" si="193"/>
        <v>OK</v>
      </c>
      <c r="AQ1765" s="6" t="e">
        <f>MATCH($D1765,'D4 - Provider Council Unsched'!$C$11:$C$234,0)</f>
        <v>#N/A</v>
      </c>
      <c r="AR1765" s="6" t="b">
        <f t="shared" si="191"/>
        <v>1</v>
      </c>
      <c r="AS1765" s="6" t="str">
        <f t="shared" si="192"/>
        <v>OK</v>
      </c>
      <c r="AU1765" s="202">
        <v>40826</v>
      </c>
      <c r="AV1765" s="262" t="s">
        <v>1042</v>
      </c>
      <c r="AW1765" s="274">
        <v>61637</v>
      </c>
    </row>
    <row r="1766" spans="1:49" s="13" customFormat="1" ht="45" x14ac:dyDescent="0.2">
      <c r="A1766" s="14">
        <v>1742</v>
      </c>
      <c r="B1766" s="8">
        <v>400042688</v>
      </c>
      <c r="C1766" s="8" t="s">
        <v>1447</v>
      </c>
      <c r="D1766" s="4" t="str">
        <f t="shared" si="188"/>
        <v>400042688A</v>
      </c>
      <c r="E1766" s="309" t="str">
        <f>VLOOKUP($B1766,'D7 - NDB Impacted SPRF''s'!$E$6:$O$9929,2,FALSE)</f>
        <v>EeS Full Family Functionality</v>
      </c>
      <c r="F1766" s="8"/>
      <c r="G1766" s="8" t="s">
        <v>7980</v>
      </c>
      <c r="H1766" s="8" t="s">
        <v>4246</v>
      </c>
      <c r="I1766" s="20">
        <v>0.8</v>
      </c>
      <c r="J1766" s="8" t="s">
        <v>4862</v>
      </c>
      <c r="K1766" s="182">
        <v>41174</v>
      </c>
      <c r="L1766" s="8" t="s">
        <v>4156</v>
      </c>
      <c r="M1766" s="8" t="s">
        <v>5626</v>
      </c>
      <c r="N1766" s="38" t="s">
        <v>204</v>
      </c>
      <c r="O1766" s="8"/>
      <c r="P1766" s="4" t="str">
        <f>VLOOKUP($B1766,'D7 - NDB Impacted SPRF''s'!$E$16:$O$9929,9,FALSE)</f>
        <v>N</v>
      </c>
      <c r="Q1766" s="4" t="str">
        <f>VLOOKUP($B1766,'D7 - NDB Impacted SPRF''s'!$E$16:$O$9929,10,FALSE)</f>
        <v>N</v>
      </c>
      <c r="R1766" s="4" t="str">
        <f>VLOOKUP($B1766,'D7 - NDB Impacted SPRF''s'!$E$16:$O$9929,11,FALSE)</f>
        <v>N</v>
      </c>
      <c r="S1766" s="8"/>
      <c r="T1766" s="310"/>
      <c r="U1766" s="310"/>
      <c r="V1766" s="4"/>
      <c r="W1766" s="4"/>
      <c r="X1766" s="4"/>
      <c r="Y1766" s="4"/>
      <c r="Z1766" s="4"/>
      <c r="AA1766" s="4"/>
      <c r="AB1766" s="380" t="str">
        <f>VLOOKUP($B1766,'D7 - NDB Impacted SPRF''s'!$E$6:$O$9929,4,FALSE)</f>
        <v>Scheduled</v>
      </c>
      <c r="AC1766" s="380" t="s">
        <v>5324</v>
      </c>
      <c r="AD1766" s="380" t="str">
        <f>VLOOKUP($B1766,'D7 - NDB Impacted SPRF''s'!$E$6:$O$9929,5,FALSE)</f>
        <v>Process Improvement</v>
      </c>
      <c r="AE1766" s="380" t="str">
        <f>VLOOKUP($B1766,'D7 - NDB Impacted SPRF''s'!$E$6:$O$9929,7,FALSE)</f>
        <v>Cathy Ball</v>
      </c>
      <c r="AF1766" s="380" t="str">
        <f>VLOOKUP($B1766,'D7 - NDB Impacted SPRF''s'!$E$6:$O$9929,6,FALSE)</f>
        <v>SARAH HAROLD</v>
      </c>
      <c r="AG1766" s="282"/>
      <c r="AH1766" s="311" t="e">
        <f>INDEX('D5 - Gatekeeper - Projects'!$A$4:$AF$1010,$AM1766, 17)</f>
        <v>#N/A</v>
      </c>
      <c r="AI1766" s="8"/>
      <c r="AJ1766" s="57"/>
      <c r="AK1766" s="105"/>
      <c r="AM1766" s="6" t="e">
        <f>MATCH(D1766,'D5 - Gatekeeper - Projects'!$C$4:$C$1010,0)</f>
        <v>#N/A</v>
      </c>
      <c r="AN1766" s="6" t="b">
        <f t="shared" si="190"/>
        <v>1</v>
      </c>
      <c r="AO1766" s="6" t="str">
        <f t="shared" si="193"/>
        <v>OK</v>
      </c>
      <c r="AQ1766" s="6" t="e">
        <f>MATCH($D1766,'D4 - Provider Council Unsched'!$C$11:$C$234,0)</f>
        <v>#N/A</v>
      </c>
      <c r="AR1766" s="6" t="b">
        <f t="shared" si="191"/>
        <v>1</v>
      </c>
      <c r="AS1766" s="6" t="str">
        <f t="shared" si="192"/>
        <v>OK</v>
      </c>
      <c r="AU1766" s="202">
        <v>40655</v>
      </c>
      <c r="AV1766" s="262" t="s">
        <v>1038</v>
      </c>
      <c r="AW1766" s="274">
        <v>34174</v>
      </c>
    </row>
    <row r="1767" spans="1:49" s="13" customFormat="1" ht="22.5" x14ac:dyDescent="0.2">
      <c r="A1767" s="14">
        <v>1743</v>
      </c>
      <c r="B1767" s="8">
        <v>400044152</v>
      </c>
      <c r="C1767" s="8" t="s">
        <v>8138</v>
      </c>
      <c r="D1767" s="4" t="str">
        <f t="shared" si="188"/>
        <v>400044152UA</v>
      </c>
      <c r="E1767" s="309" t="str">
        <f>VLOOKUP($B1767,'D7 - NDB Impacted SPRF''s'!$E$6:$O$9929,2,FALSE)</f>
        <v>9.1 Upgrade (HRMS 9.1 Upgrade) Imp.</v>
      </c>
      <c r="F1767" s="8"/>
      <c r="G1767" s="8" t="s">
        <v>4758</v>
      </c>
      <c r="H1767" s="8" t="s">
        <v>4246</v>
      </c>
      <c r="I1767" s="20">
        <v>0.69</v>
      </c>
      <c r="J1767" s="8" t="s">
        <v>4862</v>
      </c>
      <c r="K1767" s="182">
        <v>41174</v>
      </c>
      <c r="L1767" s="8" t="s">
        <v>4156</v>
      </c>
      <c r="M1767" s="8" t="s">
        <v>5626</v>
      </c>
      <c r="N1767" s="38" t="s">
        <v>3067</v>
      </c>
      <c r="O1767" s="8"/>
      <c r="P1767" s="4" t="str">
        <f>VLOOKUP($B1767,'D7 - NDB Impacted SPRF''s'!$E$16:$O$9929,9,FALSE)</f>
        <v>Y</v>
      </c>
      <c r="Q1767" s="4" t="str">
        <f>VLOOKUP($B1767,'D7 - NDB Impacted SPRF''s'!$E$16:$O$9929,10,FALSE)</f>
        <v>N</v>
      </c>
      <c r="R1767" s="4" t="str">
        <f>VLOOKUP($B1767,'D7 - NDB Impacted SPRF''s'!$E$16:$O$9929,11,FALSE)</f>
        <v>N</v>
      </c>
      <c r="S1767" s="8"/>
      <c r="T1767" s="310"/>
      <c r="U1767" s="310"/>
      <c r="V1767" s="4"/>
      <c r="W1767" s="4"/>
      <c r="X1767" s="4"/>
      <c r="Y1767" s="4"/>
      <c r="Z1767" s="4"/>
      <c r="AA1767" s="4"/>
      <c r="AB1767" s="380" t="str">
        <f>VLOOKUP($B1767,'D7 - NDB Impacted SPRF''s'!$E$6:$O$9929,4,FALSE)</f>
        <v>Completed</v>
      </c>
      <c r="AC1767" s="380" t="str">
        <f>VLOOKUP($B1767,'D7 - NDB Impacted SPRF''s'!$E$6:$O$9929,3,FALSE)</f>
        <v>UHG Corporate</v>
      </c>
      <c r="AD1767" s="380" t="str">
        <f>VLOOKUP($B1767,'D7 - NDB Impacted SPRF''s'!$E$6:$O$9929,5,FALSE)</f>
        <v>Corporate</v>
      </c>
      <c r="AE1767" s="380" t="str">
        <f>VLOOKUP($B1767,'D7 - NDB Impacted SPRF''s'!$E$6:$O$9929,7,FALSE)</f>
        <v>Christine Anderson</v>
      </c>
      <c r="AF1767" s="380" t="str">
        <f>VLOOKUP($B1767,'D7 - NDB Impacted SPRF''s'!$E$6:$O$9929,6,FALSE)</f>
        <v>Andrew Robertson</v>
      </c>
      <c r="AG1767" s="282"/>
      <c r="AH1767" s="311" t="e">
        <f>INDEX('D5 - Gatekeeper - Projects'!$A$4:$AF$1010,$AM1767, 17)</f>
        <v>#N/A</v>
      </c>
      <c r="AI1767" s="8"/>
      <c r="AJ1767" s="57"/>
      <c r="AK1767" s="105"/>
      <c r="AM1767" s="6" t="e">
        <f>MATCH(D1767,'D5 - Gatekeeper - Projects'!$C$4:$C$1010,0)</f>
        <v>#N/A</v>
      </c>
      <c r="AN1767" s="6" t="b">
        <f t="shared" si="190"/>
        <v>1</v>
      </c>
      <c r="AO1767" s="6" t="str">
        <f t="shared" si="193"/>
        <v>OK</v>
      </c>
      <c r="AQ1767" s="6" t="e">
        <f>MATCH($D1767,'D4 - Provider Council Unsched'!$C$11:$C$234,0)</f>
        <v>#N/A</v>
      </c>
      <c r="AR1767" s="6" t="b">
        <f t="shared" si="191"/>
        <v>1</v>
      </c>
      <c r="AS1767" s="6" t="str">
        <f t="shared" si="192"/>
        <v>OK</v>
      </c>
      <c r="AU1767" s="202">
        <v>40987</v>
      </c>
      <c r="AV1767" s="262" t="s">
        <v>1289</v>
      </c>
      <c r="AW1767" s="274">
        <v>56598</v>
      </c>
    </row>
    <row r="1768" spans="1:49" s="13" customFormat="1" ht="135" x14ac:dyDescent="0.2">
      <c r="A1768" s="14">
        <v>1744</v>
      </c>
      <c r="B1768" s="8">
        <v>400044781</v>
      </c>
      <c r="C1768" s="8" t="s">
        <v>1447</v>
      </c>
      <c r="D1768" s="4" t="str">
        <f t="shared" si="188"/>
        <v>400044781A</v>
      </c>
      <c r="E1768" s="309" t="str">
        <f>VLOOKUP($B1768,'D7 - NDB Impacted SPRF''s'!$E$6:$O$9929,2,FALSE)</f>
        <v>TBS Provider Data Quality - Bridge NDB Gaps</v>
      </c>
      <c r="F1768" s="8"/>
      <c r="G1768" s="8" t="s">
        <v>4758</v>
      </c>
      <c r="H1768" s="8" t="s">
        <v>4246</v>
      </c>
      <c r="I1768" s="20">
        <v>57</v>
      </c>
      <c r="J1768" s="8" t="s">
        <v>4862</v>
      </c>
      <c r="K1768" s="182">
        <v>41174</v>
      </c>
      <c r="L1768" s="8" t="s">
        <v>4156</v>
      </c>
      <c r="M1768" s="8" t="s">
        <v>2814</v>
      </c>
      <c r="N1768" s="38" t="s">
        <v>5494</v>
      </c>
      <c r="O1768" s="8"/>
      <c r="P1768" s="4" t="str">
        <f>VLOOKUP($B1768,'D7 - NDB Impacted SPRF''s'!$E$16:$O$9929,9,FALSE)</f>
        <v>N</v>
      </c>
      <c r="Q1768" s="4" t="str">
        <f>VLOOKUP($B1768,'D7 - NDB Impacted SPRF''s'!$E$16:$O$9929,10,FALSE)</f>
        <v>N</v>
      </c>
      <c r="R1768" s="4" t="str">
        <f>VLOOKUP($B1768,'D7 - NDB Impacted SPRF''s'!$E$16:$O$9929,11,FALSE)</f>
        <v>N</v>
      </c>
      <c r="S1768" s="8"/>
      <c r="T1768" s="310"/>
      <c r="U1768" s="310"/>
      <c r="V1768" s="4"/>
      <c r="W1768" s="4"/>
      <c r="X1768" s="4"/>
      <c r="Y1768" s="4"/>
      <c r="Z1768" s="4"/>
      <c r="AA1768" s="4"/>
      <c r="AB1768" s="380" t="str">
        <f>VLOOKUP($B1768,'D7 - NDB Impacted SPRF''s'!$E$6:$O$9929,4,FALSE)</f>
        <v>Completed</v>
      </c>
      <c r="AC1768" s="380" t="str">
        <f>VLOOKUP($B1768,'D7 - NDB Impacted SPRF''s'!$E$6:$O$9929,3,FALSE)</f>
        <v>OptumHealth</v>
      </c>
      <c r="AD1768" s="380" t="str">
        <f>VLOOKUP($B1768,'D7 - NDB Impacted SPRF''s'!$E$6:$O$9929,5,FALSE)</f>
        <v>Behavioral Solutions</v>
      </c>
      <c r="AE1768" s="380" t="str">
        <f>VLOOKUP($B1768,'D7 - NDB Impacted SPRF''s'!$E$6:$O$9929,7,FALSE)</f>
        <v>Deb Adler</v>
      </c>
      <c r="AF1768" s="380" t="str">
        <f>VLOOKUP($B1768,'D7 - NDB Impacted SPRF''s'!$E$6:$O$9929,6,FALSE)</f>
        <v>Stephanie Logan</v>
      </c>
      <c r="AG1768" s="282"/>
      <c r="AH1768" s="311" t="e">
        <f>INDEX('D5 - Gatekeeper - Projects'!$A$4:$AF$1010,$AM1768, 17)</f>
        <v>#N/A</v>
      </c>
      <c r="AI1768" s="8"/>
      <c r="AJ1768" s="57"/>
      <c r="AK1768" s="105"/>
      <c r="AM1768" s="6" t="e">
        <f>MATCH(D1768,'D5 - Gatekeeper - Projects'!$C$4:$C$1010,0)</f>
        <v>#N/A</v>
      </c>
      <c r="AN1768" s="6" t="b">
        <f t="shared" si="190"/>
        <v>1</v>
      </c>
      <c r="AO1768" s="6" t="str">
        <f t="shared" si="193"/>
        <v>OK</v>
      </c>
      <c r="AQ1768" s="6" t="e">
        <f>MATCH($D1768,'D4 - Provider Council Unsched'!$C$11:$C$234,0)</f>
        <v>#N/A</v>
      </c>
      <c r="AR1768" s="6" t="b">
        <f t="shared" si="191"/>
        <v>1</v>
      </c>
      <c r="AS1768" s="6" t="str">
        <f t="shared" si="192"/>
        <v>OK</v>
      </c>
      <c r="AU1768" s="202">
        <v>40892</v>
      </c>
      <c r="AV1768" s="262" t="s">
        <v>2300</v>
      </c>
      <c r="AW1768" s="274">
        <v>44537</v>
      </c>
    </row>
    <row r="1769" spans="1:49" s="13" customFormat="1" ht="45" x14ac:dyDescent="0.2">
      <c r="A1769" s="14">
        <v>1745</v>
      </c>
      <c r="B1769" s="14">
        <v>400047682</v>
      </c>
      <c r="C1769" s="8" t="s">
        <v>7290</v>
      </c>
      <c r="D1769" s="4" t="str">
        <f t="shared" si="188"/>
        <v>400047682B</v>
      </c>
      <c r="E1769" s="309" t="str">
        <f>VLOOKUP($B1769,'D7 - NDB Impacted SPRF''s'!$E$6:$O$9929,2,FALSE)</f>
        <v>EPDL KTLO 2012</v>
      </c>
      <c r="F1769" s="8"/>
      <c r="G1769" s="8" t="s">
        <v>4758</v>
      </c>
      <c r="H1769" s="8" t="s">
        <v>4246</v>
      </c>
      <c r="I1769" s="20">
        <v>6.36</v>
      </c>
      <c r="J1769" s="8" t="s">
        <v>4862</v>
      </c>
      <c r="K1769" s="182">
        <v>41174</v>
      </c>
      <c r="L1769" s="8" t="s">
        <v>4156</v>
      </c>
      <c r="M1769" s="8" t="s">
        <v>2814</v>
      </c>
      <c r="N1769" s="38"/>
      <c r="O1769" s="8"/>
      <c r="P1769" s="4" t="str">
        <f>VLOOKUP($B1769,'D7 - NDB Impacted SPRF''s'!$E$16:$O$9929,9,FALSE)</f>
        <v>N</v>
      </c>
      <c r="Q1769" s="4" t="str">
        <f>VLOOKUP($B1769,'D7 - NDB Impacted SPRF''s'!$E$16:$O$9929,10,FALSE)</f>
        <v>N</v>
      </c>
      <c r="R1769" s="4" t="str">
        <f>VLOOKUP($B1769,'D7 - NDB Impacted SPRF''s'!$E$16:$O$9929,11,FALSE)</f>
        <v>N</v>
      </c>
      <c r="S1769" s="8"/>
      <c r="T1769" s="310"/>
      <c r="U1769" s="310"/>
      <c r="V1769" s="4"/>
      <c r="W1769" s="4"/>
      <c r="X1769" s="4"/>
      <c r="Y1769" s="4"/>
      <c r="Z1769" s="4"/>
      <c r="AA1769" s="4"/>
      <c r="AB1769" s="380" t="str">
        <f>VLOOKUP($B1769,'D7 - NDB Impacted SPRF''s'!$E$6:$O$9929,4,FALSE)</f>
        <v>Completed</v>
      </c>
      <c r="AC1769" s="380" t="str">
        <f>VLOOKUP($B1769,'D7 - NDB Impacted SPRF''s'!$E$6:$O$9929,3,FALSE)</f>
        <v>UHG IT - Enterprise Technology Services</v>
      </c>
      <c r="AD1769" s="380" t="str">
        <f>VLOOKUP($B1769,'D7 - NDB Impacted SPRF''s'!$E$6:$O$9929,5,FALSE)</f>
        <v>Strategic Initiatives</v>
      </c>
      <c r="AE1769" s="380" t="str">
        <f>VLOOKUP($B1769,'D7 - NDB Impacted SPRF''s'!$E$6:$O$9929,7,FALSE)</f>
        <v>Dave Wichman</v>
      </c>
      <c r="AF1769" s="380" t="str">
        <f>VLOOKUP($B1769,'D7 - NDB Impacted SPRF''s'!$E$6:$O$9929,6,FALSE)</f>
        <v>SHELBY GRAHAM</v>
      </c>
      <c r="AG1769" s="282"/>
      <c r="AH1769" s="311" t="e">
        <f>INDEX('D5 - Gatekeeper - Projects'!$A$4:$AF$1010,$AM1769, 17)</f>
        <v>#N/A</v>
      </c>
      <c r="AI1769" s="8"/>
      <c r="AJ1769" s="57"/>
      <c r="AK1769" s="105"/>
      <c r="AM1769" s="6" t="e">
        <f>MATCH(D1769,'D5 - Gatekeeper - Projects'!$C$4:$C$1010,0)</f>
        <v>#N/A</v>
      </c>
      <c r="AN1769" s="6" t="b">
        <f t="shared" si="190"/>
        <v>1</v>
      </c>
      <c r="AO1769" s="6" t="str">
        <f t="shared" si="193"/>
        <v>OK</v>
      </c>
      <c r="AQ1769" s="6" t="e">
        <f>MATCH($D1769,'D4 - Provider Council Unsched'!$C$11:$C$234,0)</f>
        <v>#N/A</v>
      </c>
      <c r="AR1769" s="6" t="b">
        <f t="shared" si="191"/>
        <v>1</v>
      </c>
      <c r="AS1769" s="6" t="str">
        <f t="shared" si="192"/>
        <v>OK</v>
      </c>
      <c r="AU1769" s="202">
        <v>41015</v>
      </c>
      <c r="AV1769" s="262" t="s">
        <v>2754</v>
      </c>
      <c r="AW1769" s="274">
        <v>62246</v>
      </c>
    </row>
    <row r="1770" spans="1:49" s="13" customFormat="1" ht="45" x14ac:dyDescent="0.2">
      <c r="A1770" s="14">
        <v>1746</v>
      </c>
      <c r="B1770" s="8">
        <v>400047776</v>
      </c>
      <c r="C1770" s="8" t="s">
        <v>7289</v>
      </c>
      <c r="D1770" s="4" t="str">
        <f t="shared" si="188"/>
        <v>400047776D</v>
      </c>
      <c r="E1770" s="309" t="str">
        <f>VLOOKUP($B1770,'D7 - NDB Impacted SPRF''s'!$E$6:$O$9929,2,FALSE)</f>
        <v>NDB Cosmos Demo SoT - Facility Panels</v>
      </c>
      <c r="F1770" s="8"/>
      <c r="G1770" s="8" t="s">
        <v>4758</v>
      </c>
      <c r="H1770" s="8" t="s">
        <v>4246</v>
      </c>
      <c r="I1770" s="20">
        <v>10.39</v>
      </c>
      <c r="J1770" s="8" t="s">
        <v>4862</v>
      </c>
      <c r="K1770" s="182">
        <v>41174</v>
      </c>
      <c r="L1770" s="8" t="s">
        <v>4156</v>
      </c>
      <c r="M1770" s="8" t="s">
        <v>2814</v>
      </c>
      <c r="N1770" s="38" t="s">
        <v>776</v>
      </c>
      <c r="O1770" s="8"/>
      <c r="P1770" s="4" t="str">
        <f>VLOOKUP($B1770,'D7 - NDB Impacted SPRF''s'!$E$16:$O$9929,9,FALSE)</f>
        <v>N</v>
      </c>
      <c r="Q1770" s="4" t="str">
        <f>VLOOKUP($B1770,'D7 - NDB Impacted SPRF''s'!$E$16:$O$9929,10,FALSE)</f>
        <v>N</v>
      </c>
      <c r="R1770" s="4" t="str">
        <f>VLOOKUP($B1770,'D7 - NDB Impacted SPRF''s'!$E$16:$O$9929,11,FALSE)</f>
        <v>Y</v>
      </c>
      <c r="S1770" s="8"/>
      <c r="T1770" s="310"/>
      <c r="U1770" s="310"/>
      <c r="V1770" s="4"/>
      <c r="W1770" s="4"/>
      <c r="X1770" s="4"/>
      <c r="Y1770" s="4"/>
      <c r="Z1770" s="4"/>
      <c r="AA1770" s="4"/>
      <c r="AB1770" s="380" t="str">
        <f>VLOOKUP($B1770,'D7 - NDB Impacted SPRF''s'!$E$6:$O$9929,4,FALSE)</f>
        <v>Completed</v>
      </c>
      <c r="AC1770" s="380" t="str">
        <f>VLOOKUP($B1770,'D7 - NDB Impacted SPRF''s'!$E$6:$O$9929,3,FALSE)</f>
        <v>UHG IT - Enterprise Technology Services</v>
      </c>
      <c r="AD1770" s="380" t="str">
        <f>VLOOKUP($B1770,'D7 - NDB Impacted SPRF''s'!$E$6:$O$9929,5,FALSE)</f>
        <v>Strategic Initiatives</v>
      </c>
      <c r="AE1770" s="380" t="str">
        <f>VLOOKUP($B1770,'D7 - NDB Impacted SPRF''s'!$E$6:$O$9929,7,FALSE)</f>
        <v>Kaja,</v>
      </c>
      <c r="AF1770" s="380" t="str">
        <f>VLOOKUP($B1770,'D7 - NDB Impacted SPRF''s'!$E$6:$O$9929,6,FALSE)</f>
        <v>SUSAN HINES</v>
      </c>
      <c r="AG1770" s="282"/>
      <c r="AH1770" s="311" t="e">
        <f>INDEX('D5 - Gatekeeper - Projects'!$A$4:$AF$1010,$AM1770, 17)</f>
        <v>#N/A</v>
      </c>
      <c r="AI1770" s="8"/>
      <c r="AJ1770" s="57"/>
      <c r="AK1770" s="105"/>
      <c r="AM1770" s="6" t="e">
        <f>MATCH(D1770,'D5 - Gatekeeper - Projects'!$C$4:$C$1010,0)</f>
        <v>#N/A</v>
      </c>
      <c r="AN1770" s="6" t="b">
        <f t="shared" si="190"/>
        <v>1</v>
      </c>
      <c r="AO1770" s="6" t="str">
        <f t="shared" si="193"/>
        <v>OK</v>
      </c>
      <c r="AQ1770" s="6" t="e">
        <f>MATCH($D1770,'D4 - Provider Council Unsched'!$C$11:$C$234,0)</f>
        <v>#N/A</v>
      </c>
      <c r="AR1770" s="6" t="b">
        <f t="shared" si="191"/>
        <v>1</v>
      </c>
      <c r="AS1770" s="6" t="str">
        <f t="shared" si="192"/>
        <v>OK</v>
      </c>
      <c r="AU1770" s="202">
        <v>41018</v>
      </c>
      <c r="AV1770" s="262" t="s">
        <v>2754</v>
      </c>
      <c r="AW1770" s="274">
        <v>63362</v>
      </c>
    </row>
    <row r="1771" spans="1:49" s="13" customFormat="1" ht="33.75" x14ac:dyDescent="0.2">
      <c r="A1771" s="14">
        <v>1747</v>
      </c>
      <c r="B1771" s="8">
        <v>400049240</v>
      </c>
      <c r="C1771" s="8" t="s">
        <v>7290</v>
      </c>
      <c r="D1771" s="4" t="str">
        <f t="shared" si="188"/>
        <v>400049240B</v>
      </c>
      <c r="E1771" s="309" t="str">
        <f>VLOOKUP($B1771,'D7 - NDB Impacted SPRF''s'!$E$6:$O$9929,2,FALSE)</f>
        <v>WOQ2 NDB OI 00275 Weekly Data Extract New Tins</v>
      </c>
      <c r="F1771" s="8"/>
      <c r="G1771" s="8" t="s">
        <v>4758</v>
      </c>
      <c r="H1771" s="8" t="s">
        <v>4246</v>
      </c>
      <c r="I1771" s="20">
        <v>0.8</v>
      </c>
      <c r="J1771" s="8" t="s">
        <v>4862</v>
      </c>
      <c r="K1771" s="182">
        <v>41174</v>
      </c>
      <c r="L1771" s="8" t="s">
        <v>4156</v>
      </c>
      <c r="M1771" s="8" t="s">
        <v>6007</v>
      </c>
      <c r="N1771" s="38" t="s">
        <v>2256</v>
      </c>
      <c r="O1771" s="8"/>
      <c r="P1771" s="4" t="str">
        <f>VLOOKUP($B1771,'D7 - NDB Impacted SPRF''s'!$E$16:$O$9929,9,FALSE)</f>
        <v>N</v>
      </c>
      <c r="Q1771" s="4" t="str">
        <f>VLOOKUP($B1771,'D7 - NDB Impacted SPRF''s'!$E$16:$O$9929,10,FALSE)</f>
        <v>N</v>
      </c>
      <c r="R1771" s="4" t="str">
        <f>VLOOKUP($B1771,'D7 - NDB Impacted SPRF''s'!$E$16:$O$9929,11,FALSE)</f>
        <v>N</v>
      </c>
      <c r="S1771" s="8"/>
      <c r="T1771" s="310"/>
      <c r="U1771" s="310"/>
      <c r="V1771" s="4"/>
      <c r="W1771" s="4"/>
      <c r="X1771" s="4"/>
      <c r="Y1771" s="4"/>
      <c r="Z1771" s="4"/>
      <c r="AA1771" s="4"/>
      <c r="AB1771" s="380" t="str">
        <f>VLOOKUP($B1771,'D7 - NDB Impacted SPRF''s'!$E$6:$O$9929,4,FALSE)</f>
        <v>Completed</v>
      </c>
      <c r="AC1771" s="380" t="str">
        <f>VLOOKUP($B1771,'D7 - NDB Impacted SPRF''s'!$E$6:$O$9929,3,FALSE)</f>
        <v>UnitedHealthcare Employer &amp; Individual</v>
      </c>
      <c r="AD1771" s="380" t="str">
        <f>VLOOKUP($B1771,'D7 - NDB Impacted SPRF''s'!$E$6:$O$9929,5,FALSE)</f>
        <v>Operational Requirements</v>
      </c>
      <c r="AE1771" s="380" t="str">
        <f>VLOOKUP($B1771,'D7 - NDB Impacted SPRF''s'!$E$6:$O$9929,7,FALSE)</f>
        <v>Eileen Dock</v>
      </c>
      <c r="AF1771" s="380" t="str">
        <f>VLOOKUP($B1771,'D7 - NDB Impacted SPRF''s'!$E$6:$O$9929,6,FALSE)</f>
        <v>Robert Wright</v>
      </c>
      <c r="AG1771" s="282"/>
      <c r="AH1771" s="311" t="e">
        <f>INDEX('D5 - Gatekeeper - Projects'!$A$4:$AF$1010,$AM1771, 17)</f>
        <v>#N/A</v>
      </c>
      <c r="AI1771" s="8"/>
      <c r="AJ1771" s="57"/>
      <c r="AK1771" s="105"/>
      <c r="AM1771" s="6" t="e">
        <f>MATCH(D1771,'D5 - Gatekeeper - Projects'!$C$4:$C$1010,0)</f>
        <v>#N/A</v>
      </c>
      <c r="AN1771" s="6" t="b">
        <f t="shared" si="190"/>
        <v>1</v>
      </c>
      <c r="AO1771" s="6" t="str">
        <f t="shared" si="193"/>
        <v>OK</v>
      </c>
      <c r="AQ1771" s="6" t="e">
        <f>MATCH($D1771,'D4 - Provider Council Unsched'!$C$11:$C$234,0)</f>
        <v>#N/A</v>
      </c>
      <c r="AR1771" s="6" t="b">
        <f t="shared" si="191"/>
        <v>1</v>
      </c>
      <c r="AS1771" s="6" t="str">
        <f t="shared" si="192"/>
        <v>OK</v>
      </c>
      <c r="AU1771" s="202">
        <v>41131</v>
      </c>
      <c r="AV1771" s="262" t="s">
        <v>444</v>
      </c>
      <c r="AW1771" s="274">
        <v>56360</v>
      </c>
    </row>
    <row r="1772" spans="1:49" s="13" customFormat="1" ht="33.75" x14ac:dyDescent="0.2">
      <c r="A1772" s="14">
        <v>1748</v>
      </c>
      <c r="B1772" s="8">
        <v>400049625</v>
      </c>
      <c r="C1772" s="8" t="s">
        <v>1447</v>
      </c>
      <c r="D1772" s="4" t="str">
        <f t="shared" si="188"/>
        <v>400049625A</v>
      </c>
      <c r="E1772" s="309" t="str">
        <f>VLOOKUP($B1772,'D7 - NDB Impacted SPRF''s'!$E$6:$O$9929,2,FALSE)</f>
        <v>B2C UHC E&amp;I ICD10 Compliance Changes</v>
      </c>
      <c r="F1772" s="8"/>
      <c r="G1772" s="8" t="s">
        <v>4758</v>
      </c>
      <c r="H1772" s="8" t="s">
        <v>4246</v>
      </c>
      <c r="I1772" s="20">
        <v>7.0000000000000007E-2</v>
      </c>
      <c r="J1772" s="8" t="s">
        <v>4862</v>
      </c>
      <c r="K1772" s="182">
        <v>41174</v>
      </c>
      <c r="L1772" s="8" t="s">
        <v>4156</v>
      </c>
      <c r="M1772" s="8" t="s">
        <v>5626</v>
      </c>
      <c r="N1772" s="38"/>
      <c r="O1772" s="8"/>
      <c r="P1772" s="4" t="str">
        <f>VLOOKUP($B1772,'D7 - NDB Impacted SPRF''s'!$E$16:$O$9929,9,FALSE)</f>
        <v>Y</v>
      </c>
      <c r="Q1772" s="4" t="str">
        <f>VLOOKUP($B1772,'D7 - NDB Impacted SPRF''s'!$E$16:$O$9929,10,FALSE)</f>
        <v>N</v>
      </c>
      <c r="R1772" s="4" t="str">
        <f>VLOOKUP($B1772,'D7 - NDB Impacted SPRF''s'!$E$16:$O$9929,11,FALSE)</f>
        <v>Y</v>
      </c>
      <c r="S1772" s="8"/>
      <c r="T1772" s="310"/>
      <c r="U1772" s="310"/>
      <c r="V1772" s="4"/>
      <c r="W1772" s="4"/>
      <c r="X1772" s="4"/>
      <c r="Y1772" s="4"/>
      <c r="Z1772" s="4"/>
      <c r="AA1772" s="4"/>
      <c r="AB1772" s="380" t="str">
        <f>VLOOKUP($B1772,'D7 - NDB Impacted SPRF''s'!$E$6:$O$9929,4,FALSE)</f>
        <v>Completed</v>
      </c>
      <c r="AC1772" s="380" t="str">
        <f>VLOOKUP($B1772,'D7 - NDB Impacted SPRF''s'!$E$6:$O$9929,3,FALSE)</f>
        <v>UnitedHealthcare Employer &amp; Individual</v>
      </c>
      <c r="AD1772" s="380" t="str">
        <f>VLOOKUP($B1772,'D7 - NDB Impacted SPRF''s'!$E$6:$O$9929,5,FALSE)</f>
        <v>Regulatory / Other</v>
      </c>
      <c r="AE1772" s="380" t="str">
        <f>VLOOKUP($B1772,'D7 - NDB Impacted SPRF''s'!$E$6:$O$9929,7,FALSE)</f>
        <v>Tim Kaja</v>
      </c>
      <c r="AF1772" s="380" t="str">
        <f>VLOOKUP($B1772,'D7 - NDB Impacted SPRF''s'!$E$6:$O$9929,6,FALSE)</f>
        <v>Delvis Schilling</v>
      </c>
      <c r="AG1772" s="282"/>
      <c r="AH1772" s="311" t="e">
        <f>INDEX('D5 - Gatekeeper - Projects'!$A$4:$AF$1010,$AM1772, 17)</f>
        <v>#N/A</v>
      </c>
      <c r="AI1772" s="8"/>
      <c r="AJ1772" s="57"/>
      <c r="AK1772" s="105"/>
      <c r="AM1772" s="6" t="e">
        <f>MATCH(D1772,'D5 - Gatekeeper - Projects'!$C$4:$C$1010,0)</f>
        <v>#N/A</v>
      </c>
      <c r="AN1772" s="6" t="b">
        <f t="shared" si="190"/>
        <v>1</v>
      </c>
      <c r="AO1772" s="6" t="str">
        <f t="shared" si="193"/>
        <v>OK</v>
      </c>
      <c r="AQ1772" s="6" t="e">
        <f>MATCH($D1772,'D4 - Provider Council Unsched'!$C$11:$C$234,0)</f>
        <v>#N/A</v>
      </c>
      <c r="AR1772" s="6" t="b">
        <f t="shared" si="191"/>
        <v>1</v>
      </c>
      <c r="AS1772" s="6" t="str">
        <f t="shared" si="192"/>
        <v>OK</v>
      </c>
      <c r="AU1772" s="202">
        <v>40994</v>
      </c>
      <c r="AV1772" s="262" t="s">
        <v>2299</v>
      </c>
      <c r="AW1772" s="274">
        <v>55242</v>
      </c>
    </row>
    <row r="1773" spans="1:49" s="13" customFormat="1" ht="22.5" x14ac:dyDescent="0.2">
      <c r="A1773" s="14">
        <v>1749</v>
      </c>
      <c r="B1773" s="8">
        <v>400050630</v>
      </c>
      <c r="C1773" s="8" t="s">
        <v>7290</v>
      </c>
      <c r="D1773" s="4" t="str">
        <f t="shared" si="188"/>
        <v>400050630B</v>
      </c>
      <c r="E1773" s="309" t="str">
        <f>VLOOKUP($B1773,'D7 - NDB Impacted SPRF''s'!$E$6:$O$9929,2,FALSE)</f>
        <v>NDB SoT - C&amp;S Strategic NDB SoT Enhancements A/D</v>
      </c>
      <c r="F1773" s="8"/>
      <c r="G1773" s="8" t="s">
        <v>4758</v>
      </c>
      <c r="H1773" s="8" t="s">
        <v>4246</v>
      </c>
      <c r="I1773" s="20">
        <v>6</v>
      </c>
      <c r="J1773" s="8" t="s">
        <v>4862</v>
      </c>
      <c r="K1773" s="182">
        <v>41174</v>
      </c>
      <c r="L1773" s="8" t="s">
        <v>4156</v>
      </c>
      <c r="M1773" s="8" t="s">
        <v>4450</v>
      </c>
      <c r="N1773" s="38"/>
      <c r="O1773" s="8"/>
      <c r="P1773" s="4" t="str">
        <f>VLOOKUP($B1773,'D7 - NDB Impacted SPRF''s'!$E$16:$O$9929,9,FALSE)</f>
        <v>N</v>
      </c>
      <c r="Q1773" s="4" t="str">
        <f>VLOOKUP($B1773,'D7 - NDB Impacted SPRF''s'!$E$16:$O$9929,10,FALSE)</f>
        <v>N</v>
      </c>
      <c r="R1773" s="4" t="str">
        <f>VLOOKUP($B1773,'D7 - NDB Impacted SPRF''s'!$E$16:$O$9929,11,FALSE)</f>
        <v>N</v>
      </c>
      <c r="S1773" s="8"/>
      <c r="T1773" s="310"/>
      <c r="U1773" s="310"/>
      <c r="V1773" s="4"/>
      <c r="W1773" s="4"/>
      <c r="X1773" s="4"/>
      <c r="Y1773" s="4"/>
      <c r="Z1773" s="4"/>
      <c r="AA1773" s="4"/>
      <c r="AB1773" s="380" t="str">
        <f>VLOOKUP($B1773,'D7 - NDB Impacted SPRF''s'!$E$6:$O$9929,4,FALSE)</f>
        <v>Scheduled</v>
      </c>
      <c r="AC1773" s="380" t="str">
        <f>VLOOKUP($B1773,'D7 - NDB Impacted SPRF''s'!$E$6:$O$9929,3,FALSE)</f>
        <v>UHG IT - Shared Services</v>
      </c>
      <c r="AD1773" s="380" t="str">
        <f>VLOOKUP($B1773,'D7 - NDB Impacted SPRF''s'!$E$6:$O$9929,5,FALSE)</f>
        <v>Strategic Initiatives</v>
      </c>
      <c r="AE1773" s="380" t="str">
        <f>VLOOKUP($B1773,'D7 - NDB Impacted SPRF''s'!$E$6:$O$9929,7,FALSE)</f>
        <v>Kaja, Tim</v>
      </c>
      <c r="AF1773" s="380" t="str">
        <f>VLOOKUP($B1773,'D7 - NDB Impacted SPRF''s'!$E$6:$O$9929,6,FALSE)</f>
        <v>Shelly Heit</v>
      </c>
      <c r="AG1773" s="282"/>
      <c r="AH1773" s="311" t="e">
        <f>INDEX('D5 - Gatekeeper - Projects'!$A$4:$AF$1010,$AM1773, 17)</f>
        <v>#N/A</v>
      </c>
      <c r="AI1773" s="8"/>
      <c r="AJ1773" s="57"/>
      <c r="AK1773" s="105"/>
      <c r="AM1773" s="6" t="e">
        <f>MATCH(D1773,'D5 - Gatekeeper - Projects'!$C$4:$C$1010,0)</f>
        <v>#N/A</v>
      </c>
      <c r="AN1773" s="6" t="b">
        <f t="shared" si="190"/>
        <v>1</v>
      </c>
      <c r="AO1773" s="6" t="str">
        <f t="shared" si="193"/>
        <v>OK</v>
      </c>
      <c r="AQ1773" s="6" t="e">
        <f>MATCH($D1773,'D4 - Provider Council Unsched'!$C$11:$C$234,0)</f>
        <v>#N/A</v>
      </c>
      <c r="AR1773" s="6" t="b">
        <f t="shared" si="191"/>
        <v>1</v>
      </c>
      <c r="AS1773" s="6" t="str">
        <f t="shared" si="192"/>
        <v>OK</v>
      </c>
      <c r="AU1773" s="202">
        <v>41005</v>
      </c>
      <c r="AV1773" s="262" t="s">
        <v>1081</v>
      </c>
      <c r="AW1773" s="274">
        <v>59907</v>
      </c>
    </row>
    <row r="1774" spans="1:49" s="13" customFormat="1" ht="45" x14ac:dyDescent="0.2">
      <c r="A1774" s="14">
        <v>1750</v>
      </c>
      <c r="B1774" s="14">
        <v>400050954</v>
      </c>
      <c r="C1774" s="8" t="s">
        <v>7290</v>
      </c>
      <c r="D1774" s="4" t="str">
        <f t="shared" si="188"/>
        <v>400050954B</v>
      </c>
      <c r="E1774" s="309" t="str">
        <f>VLOOKUP($B1774,'D7 - NDB Impacted SPRF''s'!$E$6:$O$9929,2,FALSE)</f>
        <v>NDB CD- Market Type ID Tactical Solution</v>
      </c>
      <c r="F1774" s="8"/>
      <c r="G1774" s="8" t="s">
        <v>4758</v>
      </c>
      <c r="H1774" s="8" t="s">
        <v>4246</v>
      </c>
      <c r="I1774" s="20">
        <v>7.33</v>
      </c>
      <c r="J1774" s="8" t="s">
        <v>4862</v>
      </c>
      <c r="K1774" s="182">
        <v>41174</v>
      </c>
      <c r="L1774" s="8" t="s">
        <v>4156</v>
      </c>
      <c r="M1774" s="8" t="s">
        <v>2814</v>
      </c>
      <c r="N1774" s="38" t="s">
        <v>1408</v>
      </c>
      <c r="O1774" s="8"/>
      <c r="P1774" s="4" t="str">
        <f>VLOOKUP($B1774,'D7 - NDB Impacted SPRF''s'!$E$16:$O$9929,9,FALSE)</f>
        <v>N</v>
      </c>
      <c r="Q1774" s="4" t="str">
        <f>VLOOKUP($B1774,'D7 - NDB Impacted SPRF''s'!$E$16:$O$9929,10,FALSE)</f>
        <v>N</v>
      </c>
      <c r="R1774" s="4" t="str">
        <f>VLOOKUP($B1774,'D7 - NDB Impacted SPRF''s'!$E$16:$O$9929,11,FALSE)</f>
        <v>Y</v>
      </c>
      <c r="S1774" s="8"/>
      <c r="T1774" s="310"/>
      <c r="U1774" s="310"/>
      <c r="V1774" s="4"/>
      <c r="W1774" s="4"/>
      <c r="X1774" s="4"/>
      <c r="Y1774" s="4"/>
      <c r="Z1774" s="4"/>
      <c r="AA1774" s="4"/>
      <c r="AB1774" s="380" t="str">
        <f>VLOOKUP($B1774,'D7 - NDB Impacted SPRF''s'!$E$6:$O$9929,4,FALSE)</f>
        <v>Completed</v>
      </c>
      <c r="AC1774" s="380" t="str">
        <f>VLOOKUP($B1774,'D7 - NDB Impacted SPRF''s'!$E$6:$O$9929,3,FALSE)</f>
        <v>UHG IT - Enterprise Technology Services</v>
      </c>
      <c r="AD1774" s="380" t="str">
        <f>VLOOKUP($B1774,'D7 - NDB Impacted SPRF''s'!$E$6:$O$9929,5,FALSE)</f>
        <v>Strategic Initiatives</v>
      </c>
      <c r="AE1774" s="380" t="str">
        <f>VLOOKUP($B1774,'D7 - NDB Impacted SPRF''s'!$E$6:$O$9929,7,FALSE)</f>
        <v>Tim Kaja</v>
      </c>
      <c r="AF1774" s="380" t="str">
        <f>VLOOKUP($B1774,'D7 - NDB Impacted SPRF''s'!$E$6:$O$9929,6,FALSE)</f>
        <v>SUSAN HINES</v>
      </c>
      <c r="AG1774" s="282"/>
      <c r="AH1774" s="311" t="e">
        <f>INDEX('D5 - Gatekeeper - Projects'!$A$4:$AF$1010,$AM1774, 17)</f>
        <v>#N/A</v>
      </c>
      <c r="AI1774" s="8"/>
      <c r="AJ1774" s="57"/>
      <c r="AK1774" s="105"/>
      <c r="AM1774" s="6" t="e">
        <f>MATCH(D1774,'D5 - Gatekeeper - Projects'!$C$4:$C$1010,0)</f>
        <v>#N/A</v>
      </c>
      <c r="AN1774" s="6" t="b">
        <f t="shared" si="190"/>
        <v>1</v>
      </c>
      <c r="AO1774" s="6" t="str">
        <f t="shared" si="193"/>
        <v>OK</v>
      </c>
      <c r="AQ1774" s="6" t="e">
        <f>MATCH($D1774,'D4 - Provider Council Unsched'!$C$11:$C$234,0)</f>
        <v>#N/A</v>
      </c>
      <c r="AR1774" s="6" t="b">
        <f t="shared" si="191"/>
        <v>1</v>
      </c>
      <c r="AS1774" s="6" t="str">
        <f t="shared" si="192"/>
        <v>OK</v>
      </c>
      <c r="AU1774" s="202">
        <v>41018</v>
      </c>
      <c r="AV1774" s="262" t="s">
        <v>2754</v>
      </c>
      <c r="AW1774" s="274">
        <v>63183</v>
      </c>
    </row>
    <row r="1775" spans="1:49" s="13" customFormat="1" ht="56.25" x14ac:dyDescent="0.2">
      <c r="A1775" s="14">
        <v>1751</v>
      </c>
      <c r="B1775" s="8">
        <v>400052476</v>
      </c>
      <c r="C1775" s="8" t="s">
        <v>1447</v>
      </c>
      <c r="D1775" s="4" t="str">
        <f t="shared" si="188"/>
        <v>400052476A</v>
      </c>
      <c r="E1775" s="309" t="str">
        <f>VLOOKUP($B1775,'D7 - NDB Impacted SPRF''s'!$E$6:$O$9929,2,FALSE)</f>
        <v>Provider Touch Point Data Sources Analysis</v>
      </c>
      <c r="F1775" s="8"/>
      <c r="G1775" s="8" t="s">
        <v>4758</v>
      </c>
      <c r="H1775" s="8" t="s">
        <v>4246</v>
      </c>
      <c r="I1775" s="20">
        <v>0.14000000000000001</v>
      </c>
      <c r="J1775" s="8" t="s">
        <v>4862</v>
      </c>
      <c r="K1775" s="182">
        <v>41174</v>
      </c>
      <c r="L1775" s="8" t="s">
        <v>4156</v>
      </c>
      <c r="M1775" s="8" t="s">
        <v>5626</v>
      </c>
      <c r="N1775" s="365" t="s">
        <v>699</v>
      </c>
      <c r="O1775" s="8"/>
      <c r="P1775" s="4" t="str">
        <f>VLOOKUP($B1775,'D7 - NDB Impacted SPRF''s'!$E$16:$O$9929,9,FALSE)</f>
        <v>N</v>
      </c>
      <c r="Q1775" s="4" t="str">
        <f>VLOOKUP($B1775,'D7 - NDB Impacted SPRF''s'!$E$16:$O$9929,10,FALSE)</f>
        <v>N</v>
      </c>
      <c r="R1775" s="4" t="str">
        <f>VLOOKUP($B1775,'D7 - NDB Impacted SPRF''s'!$E$16:$O$9929,11,FALSE)</f>
        <v>N</v>
      </c>
      <c r="S1775" s="8"/>
      <c r="T1775" s="310"/>
      <c r="U1775" s="310"/>
      <c r="V1775" s="4"/>
      <c r="W1775" s="4"/>
      <c r="X1775" s="4"/>
      <c r="Y1775" s="4"/>
      <c r="Z1775" s="4"/>
      <c r="AA1775" s="4"/>
      <c r="AB1775" s="380" t="str">
        <f>VLOOKUP($B1775,'D7 - NDB Impacted SPRF''s'!$E$6:$O$9929,4,FALSE)</f>
        <v>Completed</v>
      </c>
      <c r="AC1775" s="380" t="str">
        <f>VLOOKUP($B1775,'D7 - NDB Impacted SPRF''s'!$E$6:$O$9929,3,FALSE)</f>
        <v>UnitedHealthcare Employer &amp; Individual</v>
      </c>
      <c r="AD1775" s="380" t="str">
        <f>VLOOKUP($B1775,'D7 - NDB Impacted SPRF''s'!$E$6:$O$9929,5,FALSE)</f>
        <v>Process Improvement</v>
      </c>
      <c r="AE1775" s="380" t="str">
        <f>VLOOKUP($B1775,'D7 - NDB Impacted SPRF''s'!$E$6:$O$9929,7,FALSE)</f>
        <v>Tim Kaja</v>
      </c>
      <c r="AF1775" s="380" t="str">
        <f>VLOOKUP($B1775,'D7 - NDB Impacted SPRF''s'!$E$6:$O$9929,6,FALSE)</f>
        <v>Bryan Morgenthaler</v>
      </c>
      <c r="AG1775" s="282"/>
      <c r="AH1775" s="311" t="e">
        <f>INDEX('D5 - Gatekeeper - Projects'!$A$4:$AF$1010,$AM1775, 17)</f>
        <v>#N/A</v>
      </c>
      <c r="AI1775" s="8"/>
      <c r="AJ1775" s="57"/>
      <c r="AK1775" s="105"/>
      <c r="AM1775" s="6" t="e">
        <f>MATCH(D1775,'D5 - Gatekeeper - Projects'!$C$4:$C$1010,0)</f>
        <v>#N/A</v>
      </c>
      <c r="AN1775" s="6" t="b">
        <f t="shared" si="190"/>
        <v>1</v>
      </c>
      <c r="AO1775" s="6" t="str">
        <f t="shared" si="193"/>
        <v>OK</v>
      </c>
      <c r="AQ1775" s="6" t="e">
        <f>MATCH($D1775,'D4 - Provider Council Unsched'!$C$11:$C$234,0)</f>
        <v>#N/A</v>
      </c>
      <c r="AR1775" s="6" t="b">
        <f t="shared" si="191"/>
        <v>1</v>
      </c>
      <c r="AS1775" s="6" t="str">
        <f t="shared" si="192"/>
        <v>OK</v>
      </c>
      <c r="AU1775" s="202"/>
      <c r="AV1775" s="262" t="s">
        <v>2311</v>
      </c>
      <c r="AW1775" s="274">
        <v>62841</v>
      </c>
    </row>
    <row r="1776" spans="1:49" s="13" customFormat="1" ht="45" x14ac:dyDescent="0.2">
      <c r="A1776" s="14">
        <v>1752</v>
      </c>
      <c r="B1776" s="8">
        <v>400053105</v>
      </c>
      <c r="C1776" s="8" t="s">
        <v>1447</v>
      </c>
      <c r="D1776" s="4" t="str">
        <f t="shared" si="188"/>
        <v>400053105A</v>
      </c>
      <c r="E1776" s="309" t="str">
        <f>VLOOKUP($B1776,'D7 - NDB Impacted SPRF''s'!$E$6:$O$9929,2,FALSE)</f>
        <v xml:space="preserve">UMR myHCE integration </v>
      </c>
      <c r="F1776" s="8"/>
      <c r="G1776" s="8" t="s">
        <v>4758</v>
      </c>
      <c r="H1776" s="8" t="s">
        <v>4246</v>
      </c>
      <c r="I1776" s="20">
        <v>4.18</v>
      </c>
      <c r="J1776" s="8" t="s">
        <v>4862</v>
      </c>
      <c r="K1776" s="182">
        <v>41174</v>
      </c>
      <c r="L1776" s="8" t="s">
        <v>4156</v>
      </c>
      <c r="M1776" s="8" t="s">
        <v>2814</v>
      </c>
      <c r="N1776" s="38" t="s">
        <v>413</v>
      </c>
      <c r="O1776" s="8"/>
      <c r="P1776" s="4" t="str">
        <f>VLOOKUP($B1776,'D7 - NDB Impacted SPRF''s'!$E$16:$O$9929,9,FALSE)</f>
        <v>N</v>
      </c>
      <c r="Q1776" s="4" t="str">
        <f>VLOOKUP($B1776,'D7 - NDB Impacted SPRF''s'!$E$16:$O$9929,10,FALSE)</f>
        <v>N</v>
      </c>
      <c r="R1776" s="4" t="str">
        <f>VLOOKUP($B1776,'D7 - NDB Impacted SPRF''s'!$E$16:$O$9929,11,FALSE)</f>
        <v>N</v>
      </c>
      <c r="S1776" s="8"/>
      <c r="T1776" s="310"/>
      <c r="U1776" s="310"/>
      <c r="V1776" s="4"/>
      <c r="W1776" s="4"/>
      <c r="X1776" s="4"/>
      <c r="Y1776" s="4"/>
      <c r="Z1776" s="4"/>
      <c r="AA1776" s="4"/>
      <c r="AB1776" s="380" t="str">
        <f>VLOOKUP($B1776,'D7 - NDB Impacted SPRF''s'!$E$6:$O$9929,4,FALSE)</f>
        <v>In Strategy Council</v>
      </c>
      <c r="AC1776" s="380" t="str">
        <f>VLOOKUP($B1776,'D7 - NDB Impacted SPRF''s'!$E$6:$O$9929,3,FALSE)</f>
        <v>UnitedHealthcare Employer &amp; Individual</v>
      </c>
      <c r="AD1776" s="380" t="str">
        <f>VLOOKUP($B1776,'D7 - NDB Impacted SPRF''s'!$E$6:$O$9929,5,FALSE)</f>
        <v>Membership Growth / Revenue Programs</v>
      </c>
      <c r="AE1776" s="380" t="str">
        <f>VLOOKUP($B1776,'D7 - NDB Impacted SPRF''s'!$E$6:$O$9929,7,FALSE)</f>
        <v>Stephanie Elliot</v>
      </c>
      <c r="AF1776" s="380" t="str">
        <f>VLOOKUP($B1776,'D7 - NDB Impacted SPRF''s'!$E$6:$O$9929,6,FALSE)</f>
        <v>Kari Mclarty</v>
      </c>
      <c r="AG1776" s="282"/>
      <c r="AH1776" s="311" t="e">
        <f>INDEX('D5 - Gatekeeper - Projects'!$A$4:$AF$1010,$AM1776, 17)</f>
        <v>#N/A</v>
      </c>
      <c r="AI1776" s="8"/>
      <c r="AJ1776" s="57"/>
      <c r="AK1776" s="105"/>
      <c r="AM1776" s="6" t="e">
        <f>MATCH(D1776,'D5 - Gatekeeper - Projects'!$C$4:$C$1010,0)</f>
        <v>#N/A</v>
      </c>
      <c r="AN1776" s="6" t="b">
        <f t="shared" si="190"/>
        <v>1</v>
      </c>
      <c r="AO1776" s="6" t="str">
        <f t="shared" si="193"/>
        <v>OK</v>
      </c>
      <c r="AQ1776" s="6" t="e">
        <f>MATCH($D1776,'D4 - Provider Council Unsched'!$C$11:$C$234,0)</f>
        <v>#N/A</v>
      </c>
      <c r="AR1776" s="6" t="b">
        <f t="shared" si="191"/>
        <v>1</v>
      </c>
      <c r="AS1776" s="6" t="str">
        <f t="shared" si="192"/>
        <v>OK</v>
      </c>
      <c r="AU1776" s="202">
        <v>41145</v>
      </c>
      <c r="AV1776" s="262" t="s">
        <v>49</v>
      </c>
      <c r="AW1776" s="274">
        <v>64667</v>
      </c>
    </row>
    <row r="1777" spans="1:49" s="13" customFormat="1" ht="78.75" x14ac:dyDescent="0.2">
      <c r="A1777" s="14">
        <v>1753</v>
      </c>
      <c r="B1777" s="14">
        <v>400049798</v>
      </c>
      <c r="C1777" s="8" t="s">
        <v>1447</v>
      </c>
      <c r="D1777" s="4" t="str">
        <f t="shared" ref="D1777:D1840" si="194">CONCATENATE(B1777,C1777)</f>
        <v>400049798A</v>
      </c>
      <c r="E1777" s="309" t="str">
        <f>VLOOKUP($B1777,'D7 - NDB Impacted SPRF''s'!$E$6:$O$9929,2,FALSE)</f>
        <v>Kansas Medicaid - KanCare Implementation</v>
      </c>
      <c r="F1777" s="8"/>
      <c r="G1777" s="8" t="s">
        <v>4758</v>
      </c>
      <c r="H1777" s="8" t="s">
        <v>4246</v>
      </c>
      <c r="I1777" s="20">
        <v>5.1100000000000003</v>
      </c>
      <c r="J1777" s="8" t="s">
        <v>4862</v>
      </c>
      <c r="K1777" s="182">
        <v>41206</v>
      </c>
      <c r="L1777" s="8" t="s">
        <v>4156</v>
      </c>
      <c r="M1777" s="8" t="s">
        <v>2814</v>
      </c>
      <c r="N1777" s="38" t="s">
        <v>1676</v>
      </c>
      <c r="O1777" s="8"/>
      <c r="P1777" s="4" t="str">
        <f>VLOOKUP($B1777,'D7 - NDB Impacted SPRF''s'!$E$16:$O$9929,9,FALSE)</f>
        <v>N</v>
      </c>
      <c r="Q1777" s="4" t="str">
        <f>VLOOKUP($B1777,'D7 - NDB Impacted SPRF''s'!$E$16:$O$9929,10,FALSE)</f>
        <v>N</v>
      </c>
      <c r="R1777" s="4" t="str">
        <f>VLOOKUP($B1777,'D7 - NDB Impacted SPRF''s'!$E$16:$O$9929,11,FALSE)</f>
        <v>Y</v>
      </c>
      <c r="S1777" s="8"/>
      <c r="T1777" s="310"/>
      <c r="U1777" s="310"/>
      <c r="V1777" s="4"/>
      <c r="W1777" s="4"/>
      <c r="X1777" s="4"/>
      <c r="Y1777" s="4"/>
      <c r="Z1777" s="4"/>
      <c r="AA1777" s="4"/>
      <c r="AB1777" s="380" t="str">
        <f>VLOOKUP($B1777,'D7 - NDB Impacted SPRF''s'!$E$6:$O$9929,4,FALSE)</f>
        <v>Scheduled</v>
      </c>
      <c r="AC1777" s="380" t="str">
        <f>VLOOKUP($B1777,'D7 - NDB Impacted SPRF''s'!$E$6:$O$9929,3,FALSE)</f>
        <v>UnitedHealthcare Community &amp; State</v>
      </c>
      <c r="AD1777" s="380" t="str">
        <f>VLOOKUP($B1777,'D7 - NDB Impacted SPRF''s'!$E$6:$O$9929,5,FALSE)</f>
        <v>Membership Growth / Revenue Programs</v>
      </c>
      <c r="AE1777" s="380" t="str">
        <f>VLOOKUP($B1777,'D7 - NDB Impacted SPRF''s'!$E$6:$O$9929,7,FALSE)</f>
        <v>Bror Hultgren</v>
      </c>
      <c r="AF1777" s="380" t="str">
        <f>VLOOKUP($B1777,'D7 - NDB Impacted SPRF''s'!$E$6:$O$9929,6,FALSE)</f>
        <v>LAN HOANG</v>
      </c>
      <c r="AG1777" s="282"/>
      <c r="AH1777" s="311" t="e">
        <f>INDEX('D5 - Gatekeeper - Projects'!$A$4:$AF$1010,$AM1777, 17)</f>
        <v>#N/A</v>
      </c>
      <c r="AI1777" s="8"/>
      <c r="AJ1777" s="57"/>
      <c r="AK1777" s="105"/>
      <c r="AM1777" s="6" t="e">
        <f>MATCH(D1777,'D5 - Gatekeeper - Projects'!$C$4:$C$1010,0)</f>
        <v>#N/A</v>
      </c>
      <c r="AN1777" s="6" t="b">
        <f t="shared" si="190"/>
        <v>1</v>
      </c>
      <c r="AO1777" s="6" t="str">
        <f t="shared" si="193"/>
        <v>OK</v>
      </c>
      <c r="AQ1777" s="6" t="e">
        <f>MATCH($D1777,'D4 - Provider Council Unsched'!$C$11:$C$234,0)</f>
        <v>#N/A</v>
      </c>
      <c r="AR1777" s="6" t="b">
        <f t="shared" si="191"/>
        <v>1</v>
      </c>
      <c r="AS1777" s="6" t="str">
        <f t="shared" ref="AS1777:AS1808" si="195">IF(AND(H1777="2 - Not Scheduled",AR1777=TRUE,C1777="R1"),"Add","OK")</f>
        <v>OK</v>
      </c>
      <c r="AU1777" s="202">
        <v>41092</v>
      </c>
      <c r="AV1777" s="262" t="s">
        <v>2238</v>
      </c>
      <c r="AW1777" s="274">
        <v>55689</v>
      </c>
    </row>
    <row r="1778" spans="1:49" s="13" customFormat="1" ht="33.75" x14ac:dyDescent="0.2">
      <c r="A1778" s="14">
        <v>1754</v>
      </c>
      <c r="B1778" s="8">
        <v>400040360</v>
      </c>
      <c r="C1778" s="8" t="s">
        <v>7292</v>
      </c>
      <c r="D1778" s="4" t="str">
        <f t="shared" si="194"/>
        <v>400040360C</v>
      </c>
      <c r="E1778" s="309" t="str">
        <f>VLOOKUP($B1778,'D7 - NDB Impacted SPRF''s'!$E$6:$O$9929,2,FALSE)</f>
        <v>Medical Necessity ICM</v>
      </c>
      <c r="F1778" s="8"/>
      <c r="G1778" s="8" t="s">
        <v>4758</v>
      </c>
      <c r="H1778" s="8" t="s">
        <v>4246</v>
      </c>
      <c r="I1778" s="20">
        <v>0.82</v>
      </c>
      <c r="J1778" s="8" t="s">
        <v>4862</v>
      </c>
      <c r="K1778" s="182">
        <v>41223</v>
      </c>
      <c r="L1778" s="8" t="s">
        <v>4156</v>
      </c>
      <c r="M1778" s="8" t="s">
        <v>5626</v>
      </c>
      <c r="N1778" s="38" t="s">
        <v>4536</v>
      </c>
      <c r="O1778" s="8"/>
      <c r="P1778" s="4" t="str">
        <f>VLOOKUP($B1778,'D7 - NDB Impacted SPRF''s'!$E$16:$O$9929,9,FALSE)</f>
        <v>Y</v>
      </c>
      <c r="Q1778" s="4" t="str">
        <f>VLOOKUP($B1778,'D7 - NDB Impacted SPRF''s'!$E$16:$O$9929,10,FALSE)</f>
        <v>N</v>
      </c>
      <c r="R1778" s="4" t="str">
        <f>VLOOKUP($B1778,'D7 - NDB Impacted SPRF''s'!$E$16:$O$9929,11,FALSE)</f>
        <v>Y</v>
      </c>
      <c r="S1778" s="8"/>
      <c r="T1778" s="310"/>
      <c r="U1778" s="310"/>
      <c r="V1778" s="4"/>
      <c r="W1778" s="4"/>
      <c r="X1778" s="4"/>
      <c r="Y1778" s="4"/>
      <c r="Z1778" s="4"/>
      <c r="AA1778" s="4"/>
      <c r="AB1778" s="380" t="str">
        <f>VLOOKUP($B1778,'D7 - NDB Impacted SPRF''s'!$E$6:$O$9929,4,FALSE)</f>
        <v>Scheduled</v>
      </c>
      <c r="AC1778" s="380" t="str">
        <f>VLOOKUP($B1778,'D7 - NDB Impacted SPRF''s'!$E$6:$O$9929,3,FALSE)</f>
        <v>UnitedHealthcare Employer &amp; Individual</v>
      </c>
      <c r="AD1778" s="380" t="str">
        <f>VLOOKUP($B1778,'D7 - NDB Impacted SPRF''s'!$E$6:$O$9929,5,FALSE)</f>
        <v>Medical Cost Savings Programs</v>
      </c>
      <c r="AE1778" s="380" t="str">
        <f>VLOOKUP($B1778,'D7 - NDB Impacted SPRF''s'!$E$6:$O$9929,7,FALSE)</f>
        <v>Dr. Sam Ho / Kevin Ruth</v>
      </c>
      <c r="AF1778" s="380" t="str">
        <f>VLOOKUP($B1778,'D7 - NDB Impacted SPRF''s'!$E$6:$O$9929,6,FALSE)</f>
        <v>ROSS OGDEN</v>
      </c>
      <c r="AG1778" s="282"/>
      <c r="AH1778" s="311" t="e">
        <f>INDEX('D5 - Gatekeeper - Projects'!$A$4:$AF$1010,$AM1778, 17)</f>
        <v>#N/A</v>
      </c>
      <c r="AI1778" s="8"/>
      <c r="AJ1778" s="57"/>
      <c r="AK1778" s="105"/>
      <c r="AM1778" s="6" t="e">
        <f>MATCH(D1778,'D5 - Gatekeeper - Projects'!$C$4:$C$1010,0)</f>
        <v>#N/A</v>
      </c>
      <c r="AN1778" s="6" t="b">
        <f t="shared" si="190"/>
        <v>1</v>
      </c>
      <c r="AO1778" s="6" t="str">
        <f t="shared" si="193"/>
        <v>OK</v>
      </c>
      <c r="AQ1778" s="6" t="e">
        <f>MATCH($D1778,'D4 - Provider Council Unsched'!$C$11:$C$234,0)</f>
        <v>#N/A</v>
      </c>
      <c r="AR1778" s="6" t="b">
        <f t="shared" si="191"/>
        <v>1</v>
      </c>
      <c r="AS1778" s="6" t="str">
        <f t="shared" si="195"/>
        <v>OK</v>
      </c>
      <c r="AU1778" s="202">
        <v>41054</v>
      </c>
      <c r="AV1778" s="262" t="s">
        <v>1042</v>
      </c>
      <c r="AW1778" s="274">
        <v>57328</v>
      </c>
    </row>
    <row r="1779" spans="1:49" s="13" customFormat="1" ht="33.75" x14ac:dyDescent="0.2">
      <c r="A1779" s="14">
        <v>1755</v>
      </c>
      <c r="B1779" s="8">
        <v>400040360</v>
      </c>
      <c r="C1779" s="8" t="s">
        <v>2331</v>
      </c>
      <c r="D1779" s="4" t="str">
        <f t="shared" si="194"/>
        <v>400040360I</v>
      </c>
      <c r="E1779" s="309" t="str">
        <f>VLOOKUP($B1779,'D7 - NDB Impacted SPRF''s'!$E$6:$O$9929,2,FALSE)</f>
        <v>Medical Necessity ICM</v>
      </c>
      <c r="F1779" s="8"/>
      <c r="G1779" s="8" t="s">
        <v>4758</v>
      </c>
      <c r="H1779" s="8" t="s">
        <v>4246</v>
      </c>
      <c r="I1779" s="20">
        <v>0</v>
      </c>
      <c r="J1779" s="8" t="s">
        <v>4862</v>
      </c>
      <c r="K1779" s="182">
        <v>41223</v>
      </c>
      <c r="L1779" s="8" t="s">
        <v>4156</v>
      </c>
      <c r="M1779" s="8" t="s">
        <v>2814</v>
      </c>
      <c r="N1779" s="38" t="s">
        <v>3506</v>
      </c>
      <c r="O1779" s="8"/>
      <c r="P1779" s="4" t="str">
        <f>VLOOKUP($B1779,'D7 - NDB Impacted SPRF''s'!$E$16:$O$9929,9,FALSE)</f>
        <v>Y</v>
      </c>
      <c r="Q1779" s="4" t="str">
        <f>VLOOKUP($B1779,'D7 - NDB Impacted SPRF''s'!$E$16:$O$9929,10,FALSE)</f>
        <v>N</v>
      </c>
      <c r="R1779" s="4" t="str">
        <f>VLOOKUP($B1779,'D7 - NDB Impacted SPRF''s'!$E$16:$O$9929,11,FALSE)</f>
        <v>Y</v>
      </c>
      <c r="S1779" s="8"/>
      <c r="T1779" s="310"/>
      <c r="U1779" s="310"/>
      <c r="V1779" s="4"/>
      <c r="W1779" s="4"/>
      <c r="X1779" s="4"/>
      <c r="Y1779" s="4"/>
      <c r="Z1779" s="4"/>
      <c r="AA1779" s="4"/>
      <c r="AB1779" s="380" t="str">
        <f>VLOOKUP($B1779,'D7 - NDB Impacted SPRF''s'!$E$6:$O$9929,4,FALSE)</f>
        <v>Scheduled</v>
      </c>
      <c r="AC1779" s="380" t="str">
        <f>VLOOKUP($B1779,'D7 - NDB Impacted SPRF''s'!$E$6:$O$9929,3,FALSE)</f>
        <v>UnitedHealthcare Employer &amp; Individual</v>
      </c>
      <c r="AD1779" s="380" t="str">
        <f>VLOOKUP($B1779,'D7 - NDB Impacted SPRF''s'!$E$6:$O$9929,5,FALSE)</f>
        <v>Medical Cost Savings Programs</v>
      </c>
      <c r="AE1779" s="380" t="str">
        <f>VLOOKUP($B1779,'D7 - NDB Impacted SPRF''s'!$E$6:$O$9929,7,FALSE)</f>
        <v>Dr. Sam Ho / Kevin Ruth</v>
      </c>
      <c r="AF1779" s="380" t="str">
        <f>VLOOKUP($B1779,'D7 - NDB Impacted SPRF''s'!$E$6:$O$9929,6,FALSE)</f>
        <v>ROSS OGDEN</v>
      </c>
      <c r="AG1779" s="282"/>
      <c r="AH1779" s="311" t="e">
        <f>INDEX('D5 - Gatekeeper - Projects'!$A$4:$AF$1010,$AM1779, 17)</f>
        <v>#N/A</v>
      </c>
      <c r="AI1779" s="8"/>
      <c r="AJ1779" s="57"/>
      <c r="AK1779" s="105"/>
      <c r="AM1779" s="6" t="e">
        <f>MATCH(D1779,'D5 - Gatekeeper - Projects'!$C$4:$C$1010,0)</f>
        <v>#N/A</v>
      </c>
      <c r="AN1779" s="6" t="b">
        <f t="shared" si="190"/>
        <v>1</v>
      </c>
      <c r="AO1779" s="6" t="str">
        <f t="shared" si="193"/>
        <v>OK</v>
      </c>
      <c r="AQ1779" s="6" t="e">
        <f>MATCH($D1779,'D4 - Provider Council Unsched'!$C$11:$C$234,0)</f>
        <v>#N/A</v>
      </c>
      <c r="AR1779" s="6" t="b">
        <f t="shared" si="191"/>
        <v>1</v>
      </c>
      <c r="AS1779" s="6" t="str">
        <f t="shared" si="195"/>
        <v>OK</v>
      </c>
      <c r="AU1779" s="202">
        <v>41193</v>
      </c>
      <c r="AV1779" s="262" t="s">
        <v>1042</v>
      </c>
      <c r="AW1779" s="274">
        <v>57328</v>
      </c>
    </row>
    <row r="1780" spans="1:49" s="13" customFormat="1" ht="56.25" x14ac:dyDescent="0.2">
      <c r="A1780" s="14">
        <v>1756</v>
      </c>
      <c r="B1780" s="8">
        <v>400041984</v>
      </c>
      <c r="C1780" s="8" t="s">
        <v>7290</v>
      </c>
      <c r="D1780" s="4" t="str">
        <f t="shared" si="194"/>
        <v>400041984B</v>
      </c>
      <c r="E1780" s="309" t="str">
        <f>VLOOKUP($B1780,'D7 - NDB Impacted SPRF''s'!$E$6:$O$9929,2,FALSE)</f>
        <v>ICD10 Program Definition UHC EI</v>
      </c>
      <c r="F1780" s="8"/>
      <c r="G1780" s="8" t="s">
        <v>4758</v>
      </c>
      <c r="H1780" s="28" t="s">
        <v>4246</v>
      </c>
      <c r="I1780" s="20">
        <v>2.35</v>
      </c>
      <c r="J1780" s="8" t="s">
        <v>4862</v>
      </c>
      <c r="K1780" s="182">
        <v>41223</v>
      </c>
      <c r="L1780" s="8" t="s">
        <v>4156</v>
      </c>
      <c r="M1780" s="8" t="s">
        <v>6688</v>
      </c>
      <c r="N1780" s="38" t="s">
        <v>60</v>
      </c>
      <c r="O1780" s="8"/>
      <c r="P1780" s="4" t="str">
        <f>VLOOKUP($B1780,'D7 - NDB Impacted SPRF''s'!$E$16:$O$9929,9,FALSE)</f>
        <v>Y</v>
      </c>
      <c r="Q1780" s="4" t="str">
        <f>VLOOKUP($B1780,'D7 - NDB Impacted SPRF''s'!$E$16:$O$9929,10,FALSE)</f>
        <v>N</v>
      </c>
      <c r="R1780" s="4" t="str">
        <f>VLOOKUP($B1780,'D7 - NDB Impacted SPRF''s'!$E$16:$O$9929,11,FALSE)</f>
        <v>Y</v>
      </c>
      <c r="S1780" s="8"/>
      <c r="T1780" s="310"/>
      <c r="U1780" s="310"/>
      <c r="V1780" s="4"/>
      <c r="W1780" s="4"/>
      <c r="X1780" s="4"/>
      <c r="Y1780" s="4"/>
      <c r="Z1780" s="4"/>
      <c r="AA1780" s="4"/>
      <c r="AB1780" s="380" t="str">
        <f>VLOOKUP($B1780,'D7 - NDB Impacted SPRF''s'!$E$6:$O$9929,4,FALSE)</f>
        <v>Scheduled</v>
      </c>
      <c r="AC1780" s="380" t="str">
        <f>VLOOKUP($B1780,'D7 - NDB Impacted SPRF''s'!$E$6:$O$9929,3,FALSE)</f>
        <v>UnitedHealthcare Employer &amp; Individual</v>
      </c>
      <c r="AD1780" s="380" t="str">
        <f>VLOOKUP($B1780,'D7 - NDB Impacted SPRF''s'!$E$6:$O$9929,5,FALSE)</f>
        <v>Regulatory / Other</v>
      </c>
      <c r="AE1780" s="380" t="str">
        <f>VLOOKUP($B1780,'D7 - NDB Impacted SPRF''s'!$E$6:$O$9929,7,FALSE)</f>
        <v>Tim Kaja</v>
      </c>
      <c r="AF1780" s="380" t="str">
        <f>VLOOKUP($B1780,'D7 - NDB Impacted SPRF''s'!$E$6:$O$9929,6,FALSE)</f>
        <v>SUSAN HINES</v>
      </c>
      <c r="AG1780" s="282"/>
      <c r="AH1780" s="311" t="e">
        <f>INDEX('D5 - Gatekeeper - Projects'!$A$4:$AF$1010,$AM1780, 17)</f>
        <v>#N/A</v>
      </c>
      <c r="AI1780" s="8"/>
      <c r="AJ1780" s="57"/>
      <c r="AK1780" s="105"/>
      <c r="AM1780" s="6" t="e">
        <f>MATCH(D1780,'D5 - Gatekeeper - Projects'!$C$4:$C$1010,0)</f>
        <v>#N/A</v>
      </c>
      <c r="AN1780" s="6" t="b">
        <f t="shared" si="190"/>
        <v>1</v>
      </c>
      <c r="AO1780" s="6" t="str">
        <f t="shared" si="193"/>
        <v>OK</v>
      </c>
      <c r="AQ1780" s="6" t="e">
        <f>MATCH($D1780,'D4 - Provider Council Unsched'!$C$11:$C$234,0)</f>
        <v>#N/A</v>
      </c>
      <c r="AR1780" s="6" t="b">
        <f t="shared" si="191"/>
        <v>1</v>
      </c>
      <c r="AS1780" s="6" t="str">
        <f t="shared" si="195"/>
        <v>OK</v>
      </c>
      <c r="AU1780" s="202">
        <v>41173</v>
      </c>
      <c r="AV1780" s="262" t="s">
        <v>2299</v>
      </c>
      <c r="AW1780" s="274">
        <v>57785</v>
      </c>
    </row>
    <row r="1781" spans="1:49" s="13" customFormat="1" ht="33.75" x14ac:dyDescent="0.2">
      <c r="A1781" s="14">
        <v>1757</v>
      </c>
      <c r="B1781" s="8">
        <v>400044571</v>
      </c>
      <c r="C1781" s="8" t="s">
        <v>1447</v>
      </c>
      <c r="D1781" s="4" t="str">
        <f t="shared" si="194"/>
        <v>400044571A</v>
      </c>
      <c r="E1781" s="309" t="str">
        <f>VLOOKUP($B1781,'D7 - NDB Impacted SPRF''s'!$E$6:$O$9929,2,FALSE)</f>
        <v>iCES Clearinghouse Aug 2012 Maintenance Release</v>
      </c>
      <c r="F1781" s="8"/>
      <c r="G1781" s="8" t="s">
        <v>4758</v>
      </c>
      <c r="H1781" s="8" t="s">
        <v>4246</v>
      </c>
      <c r="I1781" s="20">
        <v>0.17</v>
      </c>
      <c r="J1781" s="8" t="s">
        <v>4862</v>
      </c>
      <c r="K1781" s="182">
        <v>41223</v>
      </c>
      <c r="L1781" s="8" t="s">
        <v>4156</v>
      </c>
      <c r="M1781" s="8" t="s">
        <v>5626</v>
      </c>
      <c r="N1781" s="38" t="s">
        <v>1845</v>
      </c>
      <c r="O1781" s="8"/>
      <c r="P1781" s="4" t="str">
        <f>VLOOKUP($B1781,'D7 - NDB Impacted SPRF''s'!$E$16:$O$9929,9,FALSE)</f>
        <v>Y</v>
      </c>
      <c r="Q1781" s="4" t="str">
        <f>VLOOKUP($B1781,'D7 - NDB Impacted SPRF''s'!$E$16:$O$9929,10,FALSE)</f>
        <v>N</v>
      </c>
      <c r="R1781" s="4" t="str">
        <f>VLOOKUP($B1781,'D7 - NDB Impacted SPRF''s'!$E$16:$O$9929,11,FALSE)</f>
        <v>N</v>
      </c>
      <c r="S1781" s="8"/>
      <c r="T1781" s="310"/>
      <c r="U1781" s="310"/>
      <c r="V1781" s="4"/>
      <c r="W1781" s="4"/>
      <c r="X1781" s="4"/>
      <c r="Y1781" s="4"/>
      <c r="Z1781" s="4"/>
      <c r="AA1781" s="4"/>
      <c r="AB1781" s="380" t="str">
        <f>VLOOKUP($B1781,'D7 - NDB Impacted SPRF''s'!$E$6:$O$9929,4,FALSE)</f>
        <v>Completed</v>
      </c>
      <c r="AC1781" s="380" t="str">
        <f>VLOOKUP($B1781,'D7 - NDB Impacted SPRF''s'!$E$6:$O$9929,3,FALSE)</f>
        <v>UnitedHealthcare Employer &amp; Individual</v>
      </c>
      <c r="AD1781" s="380" t="str">
        <f>VLOOKUP($B1781,'D7 - NDB Impacted SPRF''s'!$E$6:$O$9929,5,FALSE)</f>
        <v>Operational Requirements</v>
      </c>
      <c r="AE1781" s="380" t="str">
        <f>VLOOKUP($B1781,'D7 - NDB Impacted SPRF''s'!$E$6:$O$9929,7,FALSE)</f>
        <v>Kathy Learst</v>
      </c>
      <c r="AF1781" s="380" t="str">
        <f>VLOOKUP($B1781,'D7 - NDB Impacted SPRF''s'!$E$6:$O$9929,6,FALSE)</f>
        <v>DAWN BOLLER</v>
      </c>
      <c r="AG1781" s="282"/>
      <c r="AH1781" s="311" t="e">
        <f>INDEX('D5 - Gatekeeper - Projects'!$A$4:$AF$1010,$AM1781, 17)</f>
        <v>#N/A</v>
      </c>
      <c r="AI1781" s="8"/>
      <c r="AJ1781" s="57"/>
      <c r="AK1781" s="105"/>
      <c r="AM1781" s="6" t="e">
        <f>MATCH(D1781,'D5 - Gatekeeper - Projects'!$C$4:$C$1010,0)</f>
        <v>#N/A</v>
      </c>
      <c r="AN1781" s="6" t="b">
        <f t="shared" si="190"/>
        <v>1</v>
      </c>
      <c r="AO1781" s="6" t="str">
        <f t="shared" si="193"/>
        <v>OK</v>
      </c>
      <c r="AQ1781" s="6" t="e">
        <f>MATCH($D1781,'D4 - Provider Council Unsched'!$C$11:$C$234,0)</f>
        <v>#N/A</v>
      </c>
      <c r="AR1781" s="6" t="b">
        <f t="shared" si="191"/>
        <v>1</v>
      </c>
      <c r="AS1781" s="6" t="str">
        <f t="shared" si="195"/>
        <v>OK</v>
      </c>
      <c r="AU1781" s="202"/>
      <c r="AV1781" s="262" t="s">
        <v>2303</v>
      </c>
      <c r="AW1781" s="274">
        <v>48414</v>
      </c>
    </row>
    <row r="1782" spans="1:49" s="13" customFormat="1" ht="33.75" x14ac:dyDescent="0.2">
      <c r="A1782" s="14">
        <v>1758</v>
      </c>
      <c r="B1782" s="8">
        <v>400044572</v>
      </c>
      <c r="C1782" s="8" t="s">
        <v>1447</v>
      </c>
      <c r="D1782" s="4" t="str">
        <f t="shared" si="194"/>
        <v>400044572A</v>
      </c>
      <c r="E1782" s="309" t="str">
        <f>VLOOKUP($B1782,'D7 - NDB Impacted SPRF''s'!$E$6:$O$9929,2,FALSE)</f>
        <v>iCES Clearinghouse Nov 2012 Maintenance Release</v>
      </c>
      <c r="F1782" s="8"/>
      <c r="G1782" s="8" t="s">
        <v>4758</v>
      </c>
      <c r="H1782" s="8" t="s">
        <v>4246</v>
      </c>
      <c r="I1782" s="20">
        <v>0.17</v>
      </c>
      <c r="J1782" s="8" t="s">
        <v>4862</v>
      </c>
      <c r="K1782" s="182">
        <v>41223</v>
      </c>
      <c r="L1782" s="8" t="s">
        <v>4156</v>
      </c>
      <c r="M1782" s="8" t="s">
        <v>5626</v>
      </c>
      <c r="N1782" s="38"/>
      <c r="O1782" s="8"/>
      <c r="P1782" s="4" t="str">
        <f>VLOOKUP($B1782,'D7 - NDB Impacted SPRF''s'!$E$16:$O$9929,9,FALSE)</f>
        <v>Y</v>
      </c>
      <c r="Q1782" s="4" t="str">
        <f>VLOOKUP($B1782,'D7 - NDB Impacted SPRF''s'!$E$16:$O$9929,10,FALSE)</f>
        <v>N</v>
      </c>
      <c r="R1782" s="4" t="str">
        <f>VLOOKUP($B1782,'D7 - NDB Impacted SPRF''s'!$E$16:$O$9929,11,FALSE)</f>
        <v>N</v>
      </c>
      <c r="S1782" s="8"/>
      <c r="T1782" s="310"/>
      <c r="U1782" s="310"/>
      <c r="V1782" s="4"/>
      <c r="W1782" s="4"/>
      <c r="X1782" s="4"/>
      <c r="Y1782" s="4"/>
      <c r="Z1782" s="4"/>
      <c r="AA1782" s="4"/>
      <c r="AB1782" s="380" t="str">
        <f>VLOOKUP($B1782,'D7 - NDB Impacted SPRF''s'!$E$6:$O$9929,4,FALSE)</f>
        <v>Completed</v>
      </c>
      <c r="AC1782" s="380" t="str">
        <f>VLOOKUP($B1782,'D7 - NDB Impacted SPRF''s'!$E$6:$O$9929,3,FALSE)</f>
        <v>UnitedHealthcare Employer &amp; Individual</v>
      </c>
      <c r="AD1782" s="380" t="str">
        <f>VLOOKUP($B1782,'D7 - NDB Impacted SPRF''s'!$E$6:$O$9929,5,FALSE)</f>
        <v>Operational Requirements</v>
      </c>
      <c r="AE1782" s="380" t="str">
        <f>VLOOKUP($B1782,'D7 - NDB Impacted SPRF''s'!$E$6:$O$9929,7,FALSE)</f>
        <v>Kathy Learst</v>
      </c>
      <c r="AF1782" s="380" t="str">
        <f>VLOOKUP($B1782,'D7 - NDB Impacted SPRF''s'!$E$6:$O$9929,6,FALSE)</f>
        <v>DAWN BOLLER</v>
      </c>
      <c r="AG1782" s="282"/>
      <c r="AH1782" s="311" t="e">
        <f>INDEX('D5 - Gatekeeper - Projects'!$A$4:$AF$1010,$AM1782, 17)</f>
        <v>#N/A</v>
      </c>
      <c r="AI1782" s="8"/>
      <c r="AJ1782" s="57"/>
      <c r="AK1782" s="105"/>
      <c r="AM1782" s="6" t="e">
        <f>MATCH(D1782,'D5 - Gatekeeper - Projects'!$C$4:$C$1010,0)</f>
        <v>#N/A</v>
      </c>
      <c r="AN1782" s="6" t="b">
        <f t="shared" si="190"/>
        <v>1</v>
      </c>
      <c r="AO1782" s="6" t="str">
        <f t="shared" si="193"/>
        <v>OK</v>
      </c>
      <c r="AQ1782" s="6" t="e">
        <f>MATCH($D1782,'D4 - Provider Council Unsched'!$C$11:$C$234,0)</f>
        <v>#N/A</v>
      </c>
      <c r="AR1782" s="6" t="b">
        <f t="shared" si="191"/>
        <v>1</v>
      </c>
      <c r="AS1782" s="6" t="str">
        <f t="shared" si="195"/>
        <v>OK</v>
      </c>
      <c r="AU1782" s="202"/>
      <c r="AV1782" s="262" t="s">
        <v>2303</v>
      </c>
      <c r="AW1782" s="274">
        <v>48416</v>
      </c>
    </row>
    <row r="1783" spans="1:49" s="13" customFormat="1" ht="33.75" x14ac:dyDescent="0.2">
      <c r="A1783" s="14">
        <v>1759</v>
      </c>
      <c r="B1783" s="8">
        <v>400046416</v>
      </c>
      <c r="C1783" s="8" t="s">
        <v>1447</v>
      </c>
      <c r="D1783" s="4" t="str">
        <f t="shared" si="194"/>
        <v>400046416A</v>
      </c>
      <c r="E1783" s="309" t="str">
        <f>VLOOKUP($B1783,'D7 - NDB Impacted SPRF''s'!$E$6:$O$9929,2,FALSE)</f>
        <v>CSS-B2X 2012D Release</v>
      </c>
      <c r="F1783" s="8"/>
      <c r="G1783" s="8" t="s">
        <v>4758</v>
      </c>
      <c r="H1783" s="8" t="s">
        <v>4246</v>
      </c>
      <c r="I1783" s="20">
        <v>0.47</v>
      </c>
      <c r="J1783" s="8" t="s">
        <v>4862</v>
      </c>
      <c r="K1783" s="182">
        <v>41223</v>
      </c>
      <c r="L1783" s="8" t="s">
        <v>4156</v>
      </c>
      <c r="M1783" s="8" t="s">
        <v>5626</v>
      </c>
      <c r="N1783" s="38"/>
      <c r="O1783" s="8"/>
      <c r="P1783" s="4" t="str">
        <f>VLOOKUP($B1783,'D7 - NDB Impacted SPRF''s'!$E$16:$O$9929,9,FALSE)</f>
        <v>N</v>
      </c>
      <c r="Q1783" s="4" t="str">
        <f>VLOOKUP($B1783,'D7 - NDB Impacted SPRF''s'!$E$16:$O$9929,10,FALSE)</f>
        <v>N</v>
      </c>
      <c r="R1783" s="4" t="str">
        <f>VLOOKUP($B1783,'D7 - NDB Impacted SPRF''s'!$E$16:$O$9929,11,FALSE)</f>
        <v>N</v>
      </c>
      <c r="S1783" s="8"/>
      <c r="T1783" s="310"/>
      <c r="U1783" s="310"/>
      <c r="V1783" s="4"/>
      <c r="W1783" s="4"/>
      <c r="X1783" s="4"/>
      <c r="Y1783" s="4"/>
      <c r="Z1783" s="4"/>
      <c r="AA1783" s="4"/>
      <c r="AB1783" s="380" t="str">
        <f>VLOOKUP($B1783,'D7 - NDB Impacted SPRF''s'!$E$6:$O$9929,4,FALSE)</f>
        <v>Completed</v>
      </c>
      <c r="AC1783" s="380" t="str">
        <f>VLOOKUP($B1783,'D7 - NDB Impacted SPRF''s'!$E$6:$O$9929,3,FALSE)</f>
        <v>UnitedHealthcare Employer &amp; Individual</v>
      </c>
      <c r="AD1783" s="380" t="str">
        <f>VLOOKUP($B1783,'D7 - NDB Impacted SPRF''s'!$E$6:$O$9929,5,FALSE)</f>
        <v>Medical Cost Savings Programs</v>
      </c>
      <c r="AE1783" s="380" t="str">
        <f>VLOOKUP($B1783,'D7 - NDB Impacted SPRF''s'!$E$6:$O$9929,7,FALSE)</f>
        <v>Cynthia Middaugh</v>
      </c>
      <c r="AF1783" s="380" t="str">
        <f>VLOOKUP($B1783,'D7 - NDB Impacted SPRF''s'!$E$6:$O$9929,6,FALSE)</f>
        <v>CHRISTINA MOSHER</v>
      </c>
      <c r="AG1783" s="282"/>
      <c r="AH1783" s="311" t="e">
        <f>INDEX('D5 - Gatekeeper - Projects'!$A$4:$AF$1010,$AM1783, 17)</f>
        <v>#N/A</v>
      </c>
      <c r="AI1783" s="8"/>
      <c r="AJ1783" s="57"/>
      <c r="AK1783" s="105"/>
      <c r="AM1783" s="6" t="e">
        <f>MATCH(D1783,'D5 - Gatekeeper - Projects'!$C$4:$C$1010,0)</f>
        <v>#N/A</v>
      </c>
      <c r="AN1783" s="6" t="b">
        <f t="shared" si="190"/>
        <v>1</v>
      </c>
      <c r="AO1783" s="6" t="str">
        <f t="shared" si="193"/>
        <v>OK</v>
      </c>
      <c r="AQ1783" s="6" t="e">
        <f>MATCH($D1783,'D4 - Provider Council Unsched'!$C$11:$C$234,0)</f>
        <v>#N/A</v>
      </c>
      <c r="AR1783" s="6" t="b">
        <f t="shared" si="191"/>
        <v>1</v>
      </c>
      <c r="AS1783" s="6" t="str">
        <f t="shared" si="195"/>
        <v>OK</v>
      </c>
      <c r="AU1783" s="202">
        <v>41047</v>
      </c>
      <c r="AV1783" s="262" t="s">
        <v>2232</v>
      </c>
      <c r="AW1783" s="274">
        <v>57446</v>
      </c>
    </row>
    <row r="1784" spans="1:49" s="13" customFormat="1" ht="48.75" customHeight="1" x14ac:dyDescent="0.2">
      <c r="A1784" s="14">
        <v>1760</v>
      </c>
      <c r="B1784" s="14">
        <v>400046441</v>
      </c>
      <c r="C1784" s="8" t="s">
        <v>1447</v>
      </c>
      <c r="D1784" s="4" t="str">
        <f t="shared" si="194"/>
        <v>400046441A</v>
      </c>
      <c r="E1784" s="309" t="str">
        <f>VLOOKUP($B1784,'D7 - NDB Impacted SPRF''s'!$E$6:$O$9929,2,FALSE)</f>
        <v>ProjectFS - Q2 Enterprise SPRF 3 - Constituent Ser</v>
      </c>
      <c r="F1784" s="8"/>
      <c r="G1784" s="8" t="s">
        <v>4758</v>
      </c>
      <c r="H1784" s="8" t="s">
        <v>4246</v>
      </c>
      <c r="I1784" s="20">
        <v>0.14000000000000001</v>
      </c>
      <c r="J1784" s="8" t="s">
        <v>4862</v>
      </c>
      <c r="K1784" s="182">
        <v>41223</v>
      </c>
      <c r="L1784" s="8" t="s">
        <v>4156</v>
      </c>
      <c r="M1784" s="8" t="s">
        <v>5626</v>
      </c>
      <c r="N1784" s="38" t="s">
        <v>2748</v>
      </c>
      <c r="O1784" s="8"/>
      <c r="P1784" s="4" t="str">
        <f>VLOOKUP($B1784,'D7 - NDB Impacted SPRF''s'!$E$16:$O$9929,9,FALSE)</f>
        <v>Y</v>
      </c>
      <c r="Q1784" s="4" t="str">
        <f>VLOOKUP($B1784,'D7 - NDB Impacted SPRF''s'!$E$16:$O$9929,10,FALSE)</f>
        <v>N</v>
      </c>
      <c r="R1784" s="4" t="str">
        <f>VLOOKUP($B1784,'D7 - NDB Impacted SPRF''s'!$E$16:$O$9929,11,FALSE)</f>
        <v>N</v>
      </c>
      <c r="S1784" s="8"/>
      <c r="T1784" s="310"/>
      <c r="U1784" s="310"/>
      <c r="V1784" s="4"/>
      <c r="W1784" s="4"/>
      <c r="X1784" s="4"/>
      <c r="Y1784" s="4"/>
      <c r="Z1784" s="4"/>
      <c r="AA1784" s="4"/>
      <c r="AB1784" s="380" t="str">
        <f>VLOOKUP($B1784,'D7 - NDB Impacted SPRF''s'!$E$6:$O$9929,4,FALSE)</f>
        <v>Scheduled</v>
      </c>
      <c r="AC1784" s="380" t="str">
        <f>VLOOKUP($B1784,'D7 - NDB Impacted SPRF''s'!$E$6:$O$9929,3,FALSE)</f>
        <v>OptumRx</v>
      </c>
      <c r="AD1784" s="380" t="str">
        <f>VLOOKUP($B1784,'D7 - NDB Impacted SPRF''s'!$E$6:$O$9929,5,FALSE)</f>
        <v>Prescription Solutions</v>
      </c>
      <c r="AE1784" s="380" t="str">
        <f>VLOOKUP($B1784,'D7 - NDB Impacted SPRF''s'!$E$6:$O$9929,7,FALSE)</f>
        <v>Sue Edberg</v>
      </c>
      <c r="AF1784" s="380" t="str">
        <f>VLOOKUP($B1784,'D7 - NDB Impacted SPRF''s'!$E$6:$O$9929,6,FALSE)</f>
        <v>Lisa Preece</v>
      </c>
      <c r="AG1784" s="282"/>
      <c r="AH1784" s="311" t="e">
        <f>INDEX('D5 - Gatekeeper - Projects'!$A$4:$AF$1010,$AM1784, 17)</f>
        <v>#N/A</v>
      </c>
      <c r="AI1784" s="8"/>
      <c r="AJ1784" s="57"/>
      <c r="AK1784" s="105"/>
      <c r="AM1784" s="6" t="e">
        <f>MATCH(D1784,'D5 - Gatekeeper - Projects'!$C$4:$C$1010,0)</f>
        <v>#N/A</v>
      </c>
      <c r="AN1784" s="6" t="b">
        <f t="shared" si="190"/>
        <v>1</v>
      </c>
      <c r="AO1784" s="6" t="str">
        <f t="shared" si="193"/>
        <v>OK</v>
      </c>
      <c r="AQ1784" s="6" t="e">
        <f>MATCH($D1784,'D4 - Provider Council Unsched'!$C$11:$C$234,0)</f>
        <v>#N/A</v>
      </c>
      <c r="AR1784" s="6" t="b">
        <f t="shared" si="191"/>
        <v>1</v>
      </c>
      <c r="AS1784" s="6" t="str">
        <f t="shared" si="195"/>
        <v>OK</v>
      </c>
      <c r="AU1784" s="202">
        <v>41124</v>
      </c>
      <c r="AV1784" s="262" t="s">
        <v>922</v>
      </c>
      <c r="AW1784" s="274">
        <v>45925</v>
      </c>
    </row>
    <row r="1785" spans="1:49" s="13" customFormat="1" ht="33.75" x14ac:dyDescent="0.2">
      <c r="A1785" s="14">
        <v>1761</v>
      </c>
      <c r="B1785" s="8">
        <v>400047345</v>
      </c>
      <c r="C1785" s="8" t="s">
        <v>7292</v>
      </c>
      <c r="D1785" s="4" t="str">
        <f t="shared" si="194"/>
        <v>400047345C</v>
      </c>
      <c r="E1785" s="309" t="str">
        <f>VLOOKUP($B1785,'D7 - NDB Impacted SPRF''s'!$E$6:$O$9929,2,FALSE)</f>
        <v>2012 PRIME Product Rate Releases</v>
      </c>
      <c r="F1785" s="8"/>
      <c r="G1785" s="8" t="s">
        <v>4758</v>
      </c>
      <c r="H1785" s="8" t="s">
        <v>4246</v>
      </c>
      <c r="I1785" s="20">
        <v>0.33</v>
      </c>
      <c r="J1785" s="8" t="s">
        <v>4862</v>
      </c>
      <c r="K1785" s="182">
        <v>41223</v>
      </c>
      <c r="L1785" s="8" t="s">
        <v>4156</v>
      </c>
      <c r="M1785" s="8" t="s">
        <v>5626</v>
      </c>
      <c r="N1785" s="38"/>
      <c r="O1785" s="8"/>
      <c r="P1785" s="4" t="str">
        <f>VLOOKUP($B1785,'D7 - NDB Impacted SPRF''s'!$E$16:$O$9929,9,FALSE)</f>
        <v>N</v>
      </c>
      <c r="Q1785" s="4" t="str">
        <f>VLOOKUP($B1785,'D7 - NDB Impacted SPRF''s'!$E$16:$O$9929,10,FALSE)</f>
        <v>N</v>
      </c>
      <c r="R1785" s="4" t="str">
        <f>VLOOKUP($B1785,'D7 - NDB Impacted SPRF''s'!$E$16:$O$9929,11,FALSE)</f>
        <v>N</v>
      </c>
      <c r="S1785" s="8"/>
      <c r="T1785" s="310"/>
      <c r="U1785" s="310"/>
      <c r="V1785" s="4"/>
      <c r="W1785" s="4"/>
      <c r="X1785" s="4"/>
      <c r="Y1785" s="4"/>
      <c r="Z1785" s="4"/>
      <c r="AA1785" s="4"/>
      <c r="AB1785" s="380" t="str">
        <f>VLOOKUP($B1785,'D7 - NDB Impacted SPRF''s'!$E$6:$O$9929,4,FALSE)</f>
        <v>Scheduled</v>
      </c>
      <c r="AC1785" s="380" t="str">
        <f>VLOOKUP($B1785,'D7 - NDB Impacted SPRF''s'!$E$6:$O$9929,3,FALSE)</f>
        <v>UnitedHealthcare Employer &amp; Individual</v>
      </c>
      <c r="AD1785" s="380" t="str">
        <f>VLOOKUP($B1785,'D7 - NDB Impacted SPRF''s'!$E$6:$O$9929,5,FALSE)</f>
        <v>Operational Requirements</v>
      </c>
      <c r="AE1785" s="380" t="str">
        <f>VLOOKUP($B1785,'D7 - NDB Impacted SPRF''s'!$E$6:$O$9929,7,FALSE)</f>
        <v>Joe Chalastra</v>
      </c>
      <c r="AF1785" s="380" t="str">
        <f>VLOOKUP($B1785,'D7 - NDB Impacted SPRF''s'!$E$6:$O$9929,6,FALSE)</f>
        <v>JEAN CLARK</v>
      </c>
      <c r="AG1785" s="282"/>
      <c r="AH1785" s="311" t="e">
        <f>INDEX('D5 - Gatekeeper - Projects'!$A$4:$AF$1010,$AM1785, 17)</f>
        <v>#N/A</v>
      </c>
      <c r="AI1785" s="8"/>
      <c r="AJ1785" s="57"/>
      <c r="AK1785" s="105"/>
      <c r="AM1785" s="6" t="e">
        <f>MATCH(D1785,'D5 - Gatekeeper - Projects'!$C$4:$C$1010,0)</f>
        <v>#N/A</v>
      </c>
      <c r="AN1785" s="6" t="b">
        <f t="shared" si="190"/>
        <v>1</v>
      </c>
      <c r="AO1785" s="6" t="str">
        <f t="shared" si="193"/>
        <v>OK</v>
      </c>
      <c r="AQ1785" s="6" t="e">
        <f>MATCH($D1785,'D4 - Provider Council Unsched'!$C$11:$C$234,0)</f>
        <v>#N/A</v>
      </c>
      <c r="AR1785" s="6" t="b">
        <f t="shared" si="191"/>
        <v>1</v>
      </c>
      <c r="AS1785" s="6" t="str">
        <f t="shared" si="195"/>
        <v>OK</v>
      </c>
      <c r="AU1785" s="202">
        <v>40931</v>
      </c>
      <c r="AV1785" s="262" t="s">
        <v>1092</v>
      </c>
      <c r="AW1785" s="274">
        <v>51659</v>
      </c>
    </row>
    <row r="1786" spans="1:49" s="13" customFormat="1" ht="45" x14ac:dyDescent="0.2">
      <c r="A1786" s="14">
        <v>1762</v>
      </c>
      <c r="B1786" s="8">
        <v>400047534</v>
      </c>
      <c r="C1786" s="8" t="s">
        <v>1447</v>
      </c>
      <c r="D1786" s="4" t="str">
        <f t="shared" si="194"/>
        <v>400047534A</v>
      </c>
      <c r="E1786" s="309" t="str">
        <f>VLOOKUP($B1786,'D7 - NDB Impacted SPRF''s'!$E$6:$O$9929,2,FALSE)</f>
        <v xml:space="preserve">Facility Claim Editor </v>
      </c>
      <c r="F1786" s="8"/>
      <c r="G1786" s="8" t="s">
        <v>4758</v>
      </c>
      <c r="H1786" s="8" t="s">
        <v>4246</v>
      </c>
      <c r="I1786" s="20" t="s">
        <v>414</v>
      </c>
      <c r="J1786" s="8" t="s">
        <v>4862</v>
      </c>
      <c r="K1786" s="182">
        <v>41223</v>
      </c>
      <c r="L1786" s="8" t="s">
        <v>4156</v>
      </c>
      <c r="M1786" s="8" t="s">
        <v>5626</v>
      </c>
      <c r="N1786" s="38" t="s">
        <v>35</v>
      </c>
      <c r="O1786" s="8"/>
      <c r="P1786" s="4" t="str">
        <f>VLOOKUP($B1786,'D7 - NDB Impacted SPRF''s'!$E$16:$O$9929,9,FALSE)</f>
        <v>Y</v>
      </c>
      <c r="Q1786" s="4" t="str">
        <f>VLOOKUP($B1786,'D7 - NDB Impacted SPRF''s'!$E$16:$O$9929,10,FALSE)</f>
        <v>N</v>
      </c>
      <c r="R1786" s="4" t="str">
        <f>VLOOKUP($B1786,'D7 - NDB Impacted SPRF''s'!$E$16:$O$9929,11,FALSE)</f>
        <v>N</v>
      </c>
      <c r="S1786" s="8"/>
      <c r="T1786" s="310"/>
      <c r="U1786" s="310"/>
      <c r="V1786" s="4"/>
      <c r="W1786" s="4"/>
      <c r="X1786" s="4"/>
      <c r="Y1786" s="4"/>
      <c r="Z1786" s="4"/>
      <c r="AA1786" s="4"/>
      <c r="AB1786" s="380" t="str">
        <f>VLOOKUP($B1786,'D7 - NDB Impacted SPRF''s'!$E$6:$O$9929,4,FALSE)</f>
        <v>Scheduled</v>
      </c>
      <c r="AC1786" s="380" t="str">
        <f>VLOOKUP($B1786,'D7 - NDB Impacted SPRF''s'!$E$6:$O$9929,3,FALSE)</f>
        <v>UnitedHealthcare Employer &amp; Individual</v>
      </c>
      <c r="AD1786" s="380" t="str">
        <f>VLOOKUP($B1786,'D7 - NDB Impacted SPRF''s'!$E$6:$O$9929,5,FALSE)</f>
        <v>Medical Cost Savings Programs</v>
      </c>
      <c r="AE1786" s="380" t="str">
        <f>VLOOKUP($B1786,'D7 - NDB Impacted SPRF''s'!$E$6:$O$9929,7,FALSE)</f>
        <v xml:space="preserve">Lee Newcomer </v>
      </c>
      <c r="AF1786" s="380" t="str">
        <f>VLOOKUP($B1786,'D7 - NDB Impacted SPRF''s'!$E$6:$O$9929,6,FALSE)</f>
        <v>CAROL WINTER</v>
      </c>
      <c r="AG1786" s="282"/>
      <c r="AH1786" s="311" t="e">
        <f>INDEX('D5 - Gatekeeper - Projects'!$A$4:$AF$1010,$AM1786, 17)</f>
        <v>#N/A</v>
      </c>
      <c r="AI1786" s="8"/>
      <c r="AJ1786" s="57"/>
      <c r="AK1786" s="105"/>
      <c r="AM1786" s="6" t="e">
        <f>MATCH(D1786,'D5 - Gatekeeper - Projects'!$C$4:$C$1010,0)</f>
        <v>#N/A</v>
      </c>
      <c r="AN1786" s="6" t="b">
        <f t="shared" si="190"/>
        <v>1</v>
      </c>
      <c r="AO1786" s="6" t="str">
        <f t="shared" si="193"/>
        <v>OK</v>
      </c>
      <c r="AQ1786" s="6" t="e">
        <f>MATCH($D1786,'D4 - Provider Council Unsched'!$C$11:$C$234,0)</f>
        <v>#N/A</v>
      </c>
      <c r="AR1786" s="6" t="b">
        <f t="shared" si="191"/>
        <v>1</v>
      </c>
      <c r="AS1786" s="6" t="str">
        <f t="shared" si="195"/>
        <v>OK</v>
      </c>
      <c r="AU1786" s="202">
        <v>41173</v>
      </c>
      <c r="AV1786" s="323" t="s">
        <v>2285</v>
      </c>
      <c r="AW1786" s="274"/>
    </row>
    <row r="1787" spans="1:49" s="13" customFormat="1" ht="33.75" x14ac:dyDescent="0.2">
      <c r="A1787" s="14">
        <v>1763</v>
      </c>
      <c r="B1787" s="8">
        <v>400048108</v>
      </c>
      <c r="C1787" s="8" t="s">
        <v>7290</v>
      </c>
      <c r="D1787" s="4" t="str">
        <f t="shared" si="194"/>
        <v>400048108B</v>
      </c>
      <c r="E1787" s="309" t="str">
        <f>VLOOKUP($B1787,'D7 - NDB Impacted SPRF''s'!$E$6:$O$9929,2,FALSE)</f>
        <v>TX RFP Innovation Implementation</v>
      </c>
      <c r="F1787" s="8"/>
      <c r="G1787" s="8" t="s">
        <v>4758</v>
      </c>
      <c r="H1787" s="8" t="s">
        <v>4246</v>
      </c>
      <c r="I1787" s="20">
        <v>0.55000000000000004</v>
      </c>
      <c r="J1787" s="8" t="s">
        <v>4862</v>
      </c>
      <c r="K1787" s="182">
        <v>41223</v>
      </c>
      <c r="L1787" s="8" t="s">
        <v>4156</v>
      </c>
      <c r="M1787" s="8" t="s">
        <v>5626</v>
      </c>
      <c r="N1787" s="38" t="s">
        <v>928</v>
      </c>
      <c r="O1787" s="8"/>
      <c r="P1787" s="4" t="str">
        <f>VLOOKUP($B1787,'D7 - NDB Impacted SPRF''s'!$E$16:$O$9929,9,FALSE)</f>
        <v>N</v>
      </c>
      <c r="Q1787" s="4" t="str">
        <f>VLOOKUP($B1787,'D7 - NDB Impacted SPRF''s'!$E$16:$O$9929,10,FALSE)</f>
        <v>N</v>
      </c>
      <c r="R1787" s="4" t="str">
        <f>VLOOKUP($B1787,'D7 - NDB Impacted SPRF''s'!$E$16:$O$9929,11,FALSE)</f>
        <v>Y</v>
      </c>
      <c r="S1787" s="8"/>
      <c r="T1787" s="310"/>
      <c r="U1787" s="310"/>
      <c r="V1787" s="4"/>
      <c r="W1787" s="4"/>
      <c r="X1787" s="4"/>
      <c r="Y1787" s="4"/>
      <c r="Z1787" s="4"/>
      <c r="AA1787" s="4"/>
      <c r="AB1787" s="380" t="str">
        <f>VLOOKUP($B1787,'D7 - NDB Impacted SPRF''s'!$E$6:$O$9929,4,FALSE)</f>
        <v>Completed</v>
      </c>
      <c r="AC1787" s="380" t="str">
        <f>VLOOKUP($B1787,'D7 - NDB Impacted SPRF''s'!$E$6:$O$9929,3,FALSE)</f>
        <v>UnitedHealthcare Community &amp; State</v>
      </c>
      <c r="AD1787" s="380" t="str">
        <f>VLOOKUP($B1787,'D7 - NDB Impacted SPRF''s'!$E$6:$O$9929,5,FALSE)</f>
        <v>Membership Growth / Revenue Programs</v>
      </c>
      <c r="AE1787" s="380" t="str">
        <f>VLOOKUP($B1787,'D7 - NDB Impacted SPRF''s'!$E$6:$O$9929,7,FALSE)</f>
        <v>Kara Rios</v>
      </c>
      <c r="AF1787" s="380" t="str">
        <f>VLOOKUP($B1787,'D7 - NDB Impacted SPRF''s'!$E$6:$O$9929,6,FALSE)</f>
        <v>KELLY LEONARD</v>
      </c>
      <c r="AG1787" s="282"/>
      <c r="AH1787" s="311" t="e">
        <f>INDEX('D5 - Gatekeeper - Projects'!$A$4:$AF$1010,$AM1787, 17)</f>
        <v>#N/A</v>
      </c>
      <c r="AI1787" s="8"/>
      <c r="AJ1787" s="57"/>
      <c r="AK1787" s="105"/>
      <c r="AM1787" s="6" t="e">
        <f>MATCH(D1787,'D5 - Gatekeeper - Projects'!$C$4:$C$1010,0)</f>
        <v>#N/A</v>
      </c>
      <c r="AN1787" s="6" t="b">
        <f t="shared" si="190"/>
        <v>1</v>
      </c>
      <c r="AO1787" s="6" t="str">
        <f t="shared" si="193"/>
        <v>OK</v>
      </c>
      <c r="AQ1787" s="6" t="e">
        <f>MATCH($D1787,'D4 - Provider Council Unsched'!$C$11:$C$234,0)</f>
        <v>#N/A</v>
      </c>
      <c r="AR1787" s="6" t="b">
        <f t="shared" si="191"/>
        <v>1</v>
      </c>
      <c r="AS1787" s="6" t="str">
        <f t="shared" si="195"/>
        <v>OK</v>
      </c>
      <c r="AU1787" s="202">
        <v>41131</v>
      </c>
      <c r="AV1787" s="262" t="s">
        <v>2307</v>
      </c>
      <c r="AW1787" s="274">
        <v>51090</v>
      </c>
    </row>
    <row r="1788" spans="1:49" s="13" customFormat="1" ht="157.5" x14ac:dyDescent="0.2">
      <c r="A1788" s="14">
        <v>1764</v>
      </c>
      <c r="B1788" s="8">
        <v>400048140</v>
      </c>
      <c r="C1788" s="8" t="s">
        <v>1447</v>
      </c>
      <c r="D1788" s="4" t="str">
        <f t="shared" si="194"/>
        <v>400048140A</v>
      </c>
      <c r="E1788" s="309" t="str">
        <f>VLOOKUP($B1788,'D7 - NDB Impacted SPRF''s'!$E$6:$O$9929,2,FALSE)</f>
        <v>ICD-10 E&amp; I Code Loading</v>
      </c>
      <c r="F1788" s="8"/>
      <c r="G1788" s="8" t="s">
        <v>4758</v>
      </c>
      <c r="H1788" s="8" t="s">
        <v>4246</v>
      </c>
      <c r="I1788" s="20">
        <v>27.99</v>
      </c>
      <c r="J1788" s="8" t="s">
        <v>4862</v>
      </c>
      <c r="K1788" s="182">
        <v>41223</v>
      </c>
      <c r="L1788" s="8" t="s">
        <v>4156</v>
      </c>
      <c r="M1788" s="8" t="s">
        <v>2814</v>
      </c>
      <c r="N1788" s="38" t="s">
        <v>291</v>
      </c>
      <c r="O1788" s="8"/>
      <c r="P1788" s="4" t="str">
        <f>VLOOKUP($B1788,'D7 - NDB Impacted SPRF''s'!$E$16:$O$9929,9,FALSE)</f>
        <v>Y</v>
      </c>
      <c r="Q1788" s="4" t="str">
        <f>VLOOKUP($B1788,'D7 - NDB Impacted SPRF''s'!$E$16:$O$9929,10,FALSE)</f>
        <v>N</v>
      </c>
      <c r="R1788" s="4" t="str">
        <f>VLOOKUP($B1788,'D7 - NDB Impacted SPRF''s'!$E$16:$O$9929,11,FALSE)</f>
        <v>Y</v>
      </c>
      <c r="S1788" s="8"/>
      <c r="T1788" s="310"/>
      <c r="U1788" s="310"/>
      <c r="V1788" s="4"/>
      <c r="W1788" s="4"/>
      <c r="X1788" s="4"/>
      <c r="Y1788" s="4"/>
      <c r="Z1788" s="4"/>
      <c r="AA1788" s="4"/>
      <c r="AB1788" s="380" t="str">
        <f>VLOOKUP($B1788,'D7 - NDB Impacted SPRF''s'!$E$6:$O$9929,4,FALSE)</f>
        <v>Scheduled</v>
      </c>
      <c r="AC1788" s="380" t="str">
        <f>VLOOKUP($B1788,'D7 - NDB Impacted SPRF''s'!$E$6:$O$9929,3,FALSE)</f>
        <v>UnitedHealthcare Employer &amp; Individual</v>
      </c>
      <c r="AD1788" s="380" t="str">
        <f>VLOOKUP($B1788,'D7 - NDB Impacted SPRF''s'!$E$6:$O$9929,5,FALSE)</f>
        <v>Regulatory / Other</v>
      </c>
      <c r="AE1788" s="380" t="str">
        <f>VLOOKUP($B1788,'D7 - NDB Impacted SPRF''s'!$E$6:$O$9929,7,FALSE)</f>
        <v>Tim Kaja</v>
      </c>
      <c r="AF1788" s="380" t="str">
        <f>VLOOKUP($B1788,'D7 - NDB Impacted SPRF''s'!$E$6:$O$9929,6,FALSE)</f>
        <v>Delvis Schilling</v>
      </c>
      <c r="AG1788" s="282"/>
      <c r="AH1788" s="311" t="e">
        <f>INDEX('D5 - Gatekeeper - Projects'!$A$4:$AF$1010,$AM1788, 17)</f>
        <v>#N/A</v>
      </c>
      <c r="AI1788" s="8"/>
      <c r="AJ1788" s="57"/>
      <c r="AK1788" s="105"/>
      <c r="AM1788" s="6" t="e">
        <f>MATCH(D1788,'D5 - Gatekeeper - Projects'!$C$4:$C$1010,0)</f>
        <v>#N/A</v>
      </c>
      <c r="AN1788" s="6" t="b">
        <f t="shared" si="190"/>
        <v>1</v>
      </c>
      <c r="AO1788" s="6" t="str">
        <f t="shared" si="193"/>
        <v>OK</v>
      </c>
      <c r="AQ1788" s="6" t="e">
        <f>MATCH($D1788,'D4 - Provider Council Unsched'!$C$11:$C$234,0)</f>
        <v>#N/A</v>
      </c>
      <c r="AR1788" s="6" t="b">
        <f t="shared" si="191"/>
        <v>1</v>
      </c>
      <c r="AS1788" s="6" t="str">
        <f t="shared" si="195"/>
        <v>OK</v>
      </c>
      <c r="AU1788" s="202">
        <v>41047</v>
      </c>
      <c r="AV1788" s="262" t="s">
        <v>2299</v>
      </c>
      <c r="AW1788" s="274">
        <v>55241</v>
      </c>
    </row>
    <row r="1789" spans="1:49" s="13" customFormat="1" ht="33.75" x14ac:dyDescent="0.2">
      <c r="A1789" s="14">
        <v>1765</v>
      </c>
      <c r="B1789" s="8">
        <v>400048227</v>
      </c>
      <c r="C1789" s="8" t="s">
        <v>7289</v>
      </c>
      <c r="D1789" s="4" t="str">
        <f t="shared" si="194"/>
        <v>400048227D</v>
      </c>
      <c r="E1789" s="309" t="str">
        <f>VLOOKUP($B1789,'D7 - NDB Impacted SPRF''s'!$E$6:$O$9929,2,FALSE)</f>
        <v>NDB 2012 One Shot Requests</v>
      </c>
      <c r="F1789" s="8"/>
      <c r="G1789" s="8" t="s">
        <v>4758</v>
      </c>
      <c r="H1789" s="8" t="s">
        <v>4246</v>
      </c>
      <c r="I1789" s="20">
        <v>2.5</v>
      </c>
      <c r="J1789" s="8" t="s">
        <v>4862</v>
      </c>
      <c r="K1789" s="182">
        <v>41223</v>
      </c>
      <c r="L1789" s="8" t="s">
        <v>4156</v>
      </c>
      <c r="M1789" s="8" t="s">
        <v>2814</v>
      </c>
      <c r="N1789" s="38" t="s">
        <v>940</v>
      </c>
      <c r="O1789" s="8"/>
      <c r="P1789" s="4" t="str">
        <f>VLOOKUP($B1789,'D7 - NDB Impacted SPRF''s'!$E$16:$O$9929,9,FALSE)</f>
        <v>N</v>
      </c>
      <c r="Q1789" s="4" t="str">
        <f>VLOOKUP($B1789,'D7 - NDB Impacted SPRF''s'!$E$16:$O$9929,10,FALSE)</f>
        <v>N</v>
      </c>
      <c r="R1789" s="4" t="str">
        <f>VLOOKUP($B1789,'D7 - NDB Impacted SPRF''s'!$E$16:$O$9929,11,FALSE)</f>
        <v>N</v>
      </c>
      <c r="S1789" s="8"/>
      <c r="T1789" s="310"/>
      <c r="U1789" s="310"/>
      <c r="V1789" s="4"/>
      <c r="W1789" s="4"/>
      <c r="X1789" s="4"/>
      <c r="Y1789" s="4"/>
      <c r="Z1789" s="4"/>
      <c r="AA1789" s="4"/>
      <c r="AB1789" s="380" t="str">
        <f>VLOOKUP($B1789,'D7 - NDB Impacted SPRF''s'!$E$6:$O$9929,4,FALSE)</f>
        <v>Completed</v>
      </c>
      <c r="AC1789" s="380" t="str">
        <f>VLOOKUP($B1789,'D7 - NDB Impacted SPRF''s'!$E$6:$O$9929,3,FALSE)</f>
        <v>UnitedHealthcare Employer &amp; Individual</v>
      </c>
      <c r="AD1789" s="380" t="str">
        <f>VLOOKUP($B1789,'D7 - NDB Impacted SPRF''s'!$E$6:$O$9929,5,FALSE)</f>
        <v>Operational Requirements</v>
      </c>
      <c r="AE1789" s="380" t="str">
        <f>VLOOKUP($B1789,'D7 - NDB Impacted SPRF''s'!$E$6:$O$9929,7,FALSE)</f>
        <v>Tim Kaja</v>
      </c>
      <c r="AF1789" s="380" t="str">
        <f>VLOOKUP($B1789,'D7 - NDB Impacted SPRF''s'!$E$6:$O$9929,6,FALSE)</f>
        <v>Robert Wright</v>
      </c>
      <c r="AG1789" s="282"/>
      <c r="AH1789" s="311" t="e">
        <f>INDEX('D5 - Gatekeeper - Projects'!$A$4:$AF$1010,$AM1789, 17)</f>
        <v>#N/A</v>
      </c>
      <c r="AI1789" s="8"/>
      <c r="AJ1789" s="57"/>
      <c r="AK1789" s="105"/>
      <c r="AM1789" s="6" t="e">
        <f>MATCH(D1789,'D5 - Gatekeeper - Projects'!$C$4:$C$1010,0)</f>
        <v>#N/A</v>
      </c>
      <c r="AN1789" s="6" t="b">
        <f t="shared" si="190"/>
        <v>1</v>
      </c>
      <c r="AO1789" s="6" t="str">
        <f t="shared" si="193"/>
        <v>OK</v>
      </c>
      <c r="AQ1789" s="6" t="e">
        <f>MATCH($D1789,'D4 - Provider Council Unsched'!$C$11:$C$234,0)</f>
        <v>#N/A</v>
      </c>
      <c r="AR1789" s="6" t="b">
        <f t="shared" si="191"/>
        <v>1</v>
      </c>
      <c r="AS1789" s="6" t="str">
        <f t="shared" si="195"/>
        <v>OK</v>
      </c>
      <c r="AU1789" s="202"/>
      <c r="AV1789" s="262" t="s">
        <v>442</v>
      </c>
      <c r="AW1789" s="274">
        <v>53378</v>
      </c>
    </row>
    <row r="1790" spans="1:49" s="13" customFormat="1" ht="45" x14ac:dyDescent="0.2">
      <c r="A1790" s="14">
        <v>1766</v>
      </c>
      <c r="B1790" s="8">
        <v>400048660</v>
      </c>
      <c r="C1790" s="8" t="s">
        <v>7290</v>
      </c>
      <c r="D1790" s="4" t="str">
        <f t="shared" si="194"/>
        <v>400048660B</v>
      </c>
      <c r="E1790" s="309" t="str">
        <f>VLOOKUP($B1790,'D7 - NDB Impacted SPRF''s'!$E$6:$O$9929,2,FALSE)</f>
        <v>CPS-COSMOS to NDB Fee Sched Pricing</v>
      </c>
      <c r="F1790" s="8"/>
      <c r="G1790" s="8" t="s">
        <v>4758</v>
      </c>
      <c r="H1790" s="8" t="s">
        <v>4246</v>
      </c>
      <c r="I1790" s="20">
        <v>1</v>
      </c>
      <c r="J1790" s="8" t="s">
        <v>4862</v>
      </c>
      <c r="K1790" s="182">
        <v>41223</v>
      </c>
      <c r="L1790" s="8" t="s">
        <v>4156</v>
      </c>
      <c r="M1790" s="8" t="s">
        <v>3598</v>
      </c>
      <c r="N1790" s="365" t="s">
        <v>899</v>
      </c>
      <c r="O1790" s="8"/>
      <c r="P1790" s="4" t="str">
        <f>VLOOKUP($B1790,'D7 - NDB Impacted SPRF''s'!$E$16:$O$9929,9,FALSE)</f>
        <v>Y</v>
      </c>
      <c r="Q1790" s="4" t="str">
        <f>VLOOKUP($B1790,'D7 - NDB Impacted SPRF''s'!$E$16:$O$9929,10,FALSE)</f>
        <v>N</v>
      </c>
      <c r="R1790" s="4" t="str">
        <f>VLOOKUP($B1790,'D7 - NDB Impacted SPRF''s'!$E$16:$O$9929,11,FALSE)</f>
        <v>Y</v>
      </c>
      <c r="S1790" s="8"/>
      <c r="T1790" s="310"/>
      <c r="U1790" s="310"/>
      <c r="V1790" s="4"/>
      <c r="W1790" s="4"/>
      <c r="X1790" s="4"/>
      <c r="Y1790" s="4"/>
      <c r="Z1790" s="4"/>
      <c r="AA1790" s="4"/>
      <c r="AB1790" s="380" t="str">
        <f>VLOOKUP($B1790,'D7 - NDB Impacted SPRF''s'!$E$6:$O$9929,4,FALSE)</f>
        <v>Completed</v>
      </c>
      <c r="AC1790" s="380" t="str">
        <f>VLOOKUP($B1790,'D7 - NDB Impacted SPRF''s'!$E$6:$O$9929,3,FALSE)</f>
        <v>UnitedHealthcare Medicare &amp; Retirement</v>
      </c>
      <c r="AD1790" s="380" t="str">
        <f>VLOOKUP($B1790,'D7 - NDB Impacted SPRF''s'!$E$6:$O$9929,5,FALSE)</f>
        <v>Regulatory / Other</v>
      </c>
      <c r="AE1790" s="380" t="str">
        <f>VLOOKUP($B1790,'D7 - NDB Impacted SPRF''s'!$E$6:$O$9929,7,FALSE)</f>
        <v>Tim Kaja</v>
      </c>
      <c r="AF1790" s="380" t="str">
        <f>VLOOKUP($B1790,'D7 - NDB Impacted SPRF''s'!$E$6:$O$9929,6,FALSE)</f>
        <v>SUSAN HINES</v>
      </c>
      <c r="AG1790" s="282"/>
      <c r="AH1790" s="311" t="e">
        <f>INDEX('D5 - Gatekeeper - Projects'!$A$4:$AF$1010,$AM1790, 17)</f>
        <v>#N/A</v>
      </c>
      <c r="AI1790" s="8"/>
      <c r="AJ1790" s="57"/>
      <c r="AK1790" s="105"/>
      <c r="AM1790" s="6" t="e">
        <f>MATCH(D1790,'D5 - Gatekeeper - Projects'!$C$4:$C$1010,0)</f>
        <v>#N/A</v>
      </c>
      <c r="AN1790" s="6" t="b">
        <f t="shared" si="190"/>
        <v>1</v>
      </c>
      <c r="AO1790" s="6" t="str">
        <f t="shared" si="193"/>
        <v>OK</v>
      </c>
      <c r="AQ1790" s="6" t="e">
        <f>MATCH($D1790,'D4 - Provider Council Unsched'!$C$11:$C$234,0)</f>
        <v>#N/A</v>
      </c>
      <c r="AR1790" s="6" t="b">
        <f t="shared" si="191"/>
        <v>1</v>
      </c>
      <c r="AS1790" s="6" t="str">
        <f t="shared" si="195"/>
        <v>OK</v>
      </c>
      <c r="AU1790" s="202">
        <v>41029</v>
      </c>
      <c r="AV1790" s="262" t="s">
        <v>1133</v>
      </c>
      <c r="AW1790" s="274">
        <v>60674</v>
      </c>
    </row>
    <row r="1791" spans="1:49" s="13" customFormat="1" ht="33.75" x14ac:dyDescent="0.2">
      <c r="A1791" s="14">
        <v>1767</v>
      </c>
      <c r="B1791" s="8">
        <v>400049341</v>
      </c>
      <c r="C1791" s="8" t="s">
        <v>1447</v>
      </c>
      <c r="D1791" s="4" t="str">
        <f t="shared" si="194"/>
        <v>400049341A</v>
      </c>
      <c r="E1791" s="309" t="str">
        <f>VLOOKUP($B1791,'D7 - NDB Impacted SPRF''s'!$E$6:$O$9929,2,FALSE)</f>
        <v>CPS/NCD Program Analysis</v>
      </c>
      <c r="F1791" s="8"/>
      <c r="G1791" s="8" t="s">
        <v>4758</v>
      </c>
      <c r="H1791" s="8" t="s">
        <v>4246</v>
      </c>
      <c r="I1791" s="20">
        <v>2.1800000000000002</v>
      </c>
      <c r="J1791" s="8" t="s">
        <v>4862</v>
      </c>
      <c r="K1791" s="182">
        <v>41223</v>
      </c>
      <c r="L1791" s="8" t="s">
        <v>4156</v>
      </c>
      <c r="M1791" s="8" t="s">
        <v>6688</v>
      </c>
      <c r="N1791" s="38" t="s">
        <v>1725</v>
      </c>
      <c r="O1791" s="8"/>
      <c r="P1791" s="4" t="str">
        <f>VLOOKUP($B1791,'D7 - NDB Impacted SPRF''s'!$E$16:$O$9929,9,FALSE)</f>
        <v>Y</v>
      </c>
      <c r="Q1791" s="4" t="str">
        <f>VLOOKUP($B1791,'D7 - NDB Impacted SPRF''s'!$E$16:$O$9929,10,FALSE)</f>
        <v>N</v>
      </c>
      <c r="R1791" s="4" t="str">
        <f>VLOOKUP($B1791,'D7 - NDB Impacted SPRF''s'!$E$16:$O$9929,11,FALSE)</f>
        <v>Y</v>
      </c>
      <c r="S1791" s="8"/>
      <c r="T1791" s="310"/>
      <c r="U1791" s="310"/>
      <c r="V1791" s="4"/>
      <c r="W1791" s="4"/>
      <c r="X1791" s="4"/>
      <c r="Y1791" s="4"/>
      <c r="Z1791" s="4"/>
      <c r="AA1791" s="4"/>
      <c r="AB1791" s="380" t="str">
        <f>VLOOKUP($B1791,'D7 - NDB Impacted SPRF''s'!$E$6:$O$9929,4,FALSE)</f>
        <v>Completed</v>
      </c>
      <c r="AC1791" s="380" t="str">
        <f>VLOOKUP($B1791,'D7 - NDB Impacted SPRF''s'!$E$6:$O$9929,3,FALSE)</f>
        <v>UnitedHealthcare Medicare &amp; Retirement</v>
      </c>
      <c r="AD1791" s="380" t="str">
        <f>VLOOKUP($B1791,'D7 - NDB Impacted SPRF''s'!$E$6:$O$9929,5,FALSE)</f>
        <v>Regulatory / Other</v>
      </c>
      <c r="AE1791" s="380" t="str">
        <f>VLOOKUP($B1791,'D7 - NDB Impacted SPRF''s'!$E$6:$O$9929,7,FALSE)</f>
        <v>Tim Kaja</v>
      </c>
      <c r="AF1791" s="380" t="str">
        <f>VLOOKUP($B1791,'D7 - NDB Impacted SPRF''s'!$E$6:$O$9929,6,FALSE)</f>
        <v>SUSAN HINES</v>
      </c>
      <c r="AG1791" s="282"/>
      <c r="AH1791" s="311" t="e">
        <f>INDEX('D5 - Gatekeeper - Projects'!$A$4:$AF$1010,$AM1791, 17)</f>
        <v>#N/A</v>
      </c>
      <c r="AI1791" s="8"/>
      <c r="AJ1791" s="57"/>
      <c r="AK1791" s="105"/>
      <c r="AM1791" s="6" t="e">
        <f>MATCH(D1791,'D5 - Gatekeeper - Projects'!$C$4:$C$1010,0)</f>
        <v>#N/A</v>
      </c>
      <c r="AN1791" s="6" t="b">
        <f t="shared" si="190"/>
        <v>1</v>
      </c>
      <c r="AO1791" s="6" t="str">
        <f t="shared" si="193"/>
        <v>OK</v>
      </c>
      <c r="AQ1791" s="6" t="e">
        <f>MATCH($D1791,'D4 - Provider Council Unsched'!$C$11:$C$234,0)</f>
        <v>#N/A</v>
      </c>
      <c r="AR1791" s="6" t="b">
        <f t="shared" si="191"/>
        <v>1</v>
      </c>
      <c r="AS1791" s="6" t="str">
        <f t="shared" si="195"/>
        <v>OK</v>
      </c>
      <c r="AU1791" s="202">
        <v>41103</v>
      </c>
      <c r="AV1791" s="262" t="s">
        <v>1133</v>
      </c>
      <c r="AW1791" s="274">
        <v>54623</v>
      </c>
    </row>
    <row r="1792" spans="1:49" s="13" customFormat="1" ht="180" x14ac:dyDescent="0.2">
      <c r="A1792" s="14">
        <v>1768</v>
      </c>
      <c r="B1792" s="8">
        <v>400050155</v>
      </c>
      <c r="C1792" s="8" t="s">
        <v>1447</v>
      </c>
      <c r="D1792" s="4" t="str">
        <f t="shared" si="194"/>
        <v>400050155A</v>
      </c>
      <c r="E1792" s="309" t="str">
        <f>VLOOKUP($B1792,'D7 - NDB Impacted SPRF''s'!$E$6:$O$9929,2,FALSE)</f>
        <v>Health Care Cost Estimator  Release 2.2</v>
      </c>
      <c r="F1792" s="8"/>
      <c r="G1792" s="8" t="s">
        <v>4758</v>
      </c>
      <c r="H1792" s="8" t="s">
        <v>4246</v>
      </c>
      <c r="I1792" s="20">
        <v>123</v>
      </c>
      <c r="J1792" s="8" t="s">
        <v>4862</v>
      </c>
      <c r="K1792" s="182">
        <v>41223</v>
      </c>
      <c r="L1792" s="8" t="s">
        <v>4156</v>
      </c>
      <c r="M1792" s="8" t="s">
        <v>2814</v>
      </c>
      <c r="N1792" s="38" t="s">
        <v>3513</v>
      </c>
      <c r="O1792" s="8"/>
      <c r="P1792" s="4" t="str">
        <f>VLOOKUP($B1792,'D7 - NDB Impacted SPRF''s'!$E$16:$O$9929,9,FALSE)</f>
        <v>Y</v>
      </c>
      <c r="Q1792" s="4" t="str">
        <f>VLOOKUP($B1792,'D7 - NDB Impacted SPRF''s'!$E$16:$O$9929,10,FALSE)</f>
        <v>N</v>
      </c>
      <c r="R1792" s="4" t="str">
        <f>VLOOKUP($B1792,'D7 - NDB Impacted SPRF''s'!$E$16:$O$9929,11,FALSE)</f>
        <v>N</v>
      </c>
      <c r="S1792" s="8"/>
      <c r="T1792" s="310"/>
      <c r="U1792" s="310"/>
      <c r="V1792" s="4"/>
      <c r="W1792" s="4"/>
      <c r="X1792" s="4"/>
      <c r="Y1792" s="4"/>
      <c r="Z1792" s="4"/>
      <c r="AA1792" s="4"/>
      <c r="AB1792" s="380" t="str">
        <f>VLOOKUP($B1792,'D7 - NDB Impacted SPRF''s'!$E$6:$O$9929,4,FALSE)</f>
        <v>Scheduled</v>
      </c>
      <c r="AC1792" s="380" t="str">
        <f>VLOOKUP($B1792,'D7 - NDB Impacted SPRF''s'!$E$6:$O$9929,3,FALSE)</f>
        <v>UnitedHealthcare Employer &amp; Individual</v>
      </c>
      <c r="AD1792" s="380" t="str">
        <f>VLOOKUP($B1792,'D7 - NDB Impacted SPRF''s'!$E$6:$O$9929,5,FALSE)</f>
        <v>Membership Growth / Revenue Programs</v>
      </c>
      <c r="AE1792" s="380" t="str">
        <f>VLOOKUP($B1792,'D7 - NDB Impacted SPRF''s'!$E$6:$O$9929,7,FALSE)</f>
        <v>Victoria Bogatyrenko</v>
      </c>
      <c r="AF1792" s="380" t="str">
        <f>VLOOKUP($B1792,'D7 - NDB Impacted SPRF''s'!$E$6:$O$9929,6,FALSE)</f>
        <v>Kari Mclarty</v>
      </c>
      <c r="AG1792" s="282"/>
      <c r="AH1792" s="311" t="e">
        <f>INDEX('D5 - Gatekeeper - Projects'!$A$4:$AF$1010,$AM1792, 17)</f>
        <v>#N/A</v>
      </c>
      <c r="AI1792" s="8"/>
      <c r="AJ1792" s="57"/>
      <c r="AK1792" s="105"/>
      <c r="AM1792" s="6" t="e">
        <f>MATCH(D1792,'D5 - Gatekeeper - Projects'!$C$4:$C$1010,0)</f>
        <v>#N/A</v>
      </c>
      <c r="AN1792" s="6" t="b">
        <f t="shared" si="190"/>
        <v>1</v>
      </c>
      <c r="AO1792" s="6" t="str">
        <f t="shared" si="193"/>
        <v>OK</v>
      </c>
      <c r="AQ1792" s="6" t="e">
        <f>MATCH($D1792,'D4 - Provider Council Unsched'!$C$11:$C$234,0)</f>
        <v>#N/A</v>
      </c>
      <c r="AR1792" s="6" t="b">
        <f t="shared" si="191"/>
        <v>1</v>
      </c>
      <c r="AS1792" s="6" t="str">
        <f t="shared" si="195"/>
        <v>OK</v>
      </c>
      <c r="AU1792" s="202">
        <v>40963</v>
      </c>
      <c r="AV1792" s="262" t="s">
        <v>932</v>
      </c>
      <c r="AW1792" s="274">
        <v>56214</v>
      </c>
    </row>
    <row r="1793" spans="1:49" s="13" customFormat="1" ht="33.75" x14ac:dyDescent="0.2">
      <c r="A1793" s="14">
        <v>1769</v>
      </c>
      <c r="B1793" s="8">
        <v>400050155</v>
      </c>
      <c r="C1793" s="8" t="s">
        <v>8138</v>
      </c>
      <c r="D1793" s="4" t="str">
        <f t="shared" si="194"/>
        <v>400050155UA</v>
      </c>
      <c r="E1793" s="309" t="str">
        <f>VLOOKUP($B1793,'D7 - NDB Impacted SPRF''s'!$E$6:$O$9929,2,FALSE)</f>
        <v>Health Care Cost Estimator  Release 2.2</v>
      </c>
      <c r="F1793" s="8"/>
      <c r="G1793" s="8" t="s">
        <v>4758</v>
      </c>
      <c r="H1793" s="8" t="s">
        <v>4246</v>
      </c>
      <c r="I1793" s="20">
        <v>1.43</v>
      </c>
      <c r="J1793" s="8" t="s">
        <v>4862</v>
      </c>
      <c r="K1793" s="182">
        <v>41223</v>
      </c>
      <c r="L1793" s="8" t="s">
        <v>4156</v>
      </c>
      <c r="M1793" s="8" t="s">
        <v>2814</v>
      </c>
      <c r="N1793" s="38"/>
      <c r="O1793" s="8"/>
      <c r="P1793" s="4" t="str">
        <f>VLOOKUP($B1793,'D7 - NDB Impacted SPRF''s'!$E$16:$O$9929,9,FALSE)</f>
        <v>Y</v>
      </c>
      <c r="Q1793" s="4" t="str">
        <f>VLOOKUP($B1793,'D7 - NDB Impacted SPRF''s'!$E$16:$O$9929,10,FALSE)</f>
        <v>N</v>
      </c>
      <c r="R1793" s="4" t="str">
        <f>VLOOKUP($B1793,'D7 - NDB Impacted SPRF''s'!$E$16:$O$9929,11,FALSE)</f>
        <v>N</v>
      </c>
      <c r="S1793" s="8"/>
      <c r="T1793" s="310"/>
      <c r="U1793" s="310"/>
      <c r="V1793" s="4"/>
      <c r="W1793" s="4"/>
      <c r="X1793" s="4"/>
      <c r="Y1793" s="4"/>
      <c r="Z1793" s="4"/>
      <c r="AA1793" s="4"/>
      <c r="AB1793" s="380" t="str">
        <f>VLOOKUP($B1793,'D7 - NDB Impacted SPRF''s'!$E$6:$O$9929,4,FALSE)</f>
        <v>Scheduled</v>
      </c>
      <c r="AC1793" s="380" t="str">
        <f>VLOOKUP($B1793,'D7 - NDB Impacted SPRF''s'!$E$6:$O$9929,3,FALSE)</f>
        <v>UnitedHealthcare Employer &amp; Individual</v>
      </c>
      <c r="AD1793" s="380" t="str">
        <f>VLOOKUP($B1793,'D7 - NDB Impacted SPRF''s'!$E$6:$O$9929,5,FALSE)</f>
        <v>Membership Growth / Revenue Programs</v>
      </c>
      <c r="AE1793" s="380" t="str">
        <f>VLOOKUP($B1793,'D7 - NDB Impacted SPRF''s'!$E$6:$O$9929,7,FALSE)</f>
        <v>Victoria Bogatyrenko</v>
      </c>
      <c r="AF1793" s="380" t="str">
        <f>VLOOKUP($B1793,'D7 - NDB Impacted SPRF''s'!$E$6:$O$9929,6,FALSE)</f>
        <v>Kari Mclarty</v>
      </c>
      <c r="AG1793" s="282"/>
      <c r="AH1793" s="311" t="e">
        <f>INDEX('D5 - Gatekeeper - Projects'!$A$4:$AF$1010,$AM1793, 17)</f>
        <v>#N/A</v>
      </c>
      <c r="AI1793" s="8"/>
      <c r="AJ1793" s="57"/>
      <c r="AK1793" s="105"/>
      <c r="AM1793" s="6" t="e">
        <f>MATCH(D1793,'D5 - Gatekeeper - Projects'!$C$4:$C$1010,0)</f>
        <v>#N/A</v>
      </c>
      <c r="AN1793" s="6" t="b">
        <f t="shared" si="190"/>
        <v>1</v>
      </c>
      <c r="AO1793" s="6" t="str">
        <f t="shared" si="193"/>
        <v>OK</v>
      </c>
      <c r="AQ1793" s="6" t="e">
        <f>MATCH($D1793,'D4 - Provider Council Unsched'!$C$11:$C$234,0)</f>
        <v>#N/A</v>
      </c>
      <c r="AR1793" s="6" t="b">
        <f t="shared" si="191"/>
        <v>1</v>
      </c>
      <c r="AS1793" s="6" t="str">
        <f t="shared" si="195"/>
        <v>OK</v>
      </c>
      <c r="AU1793" s="202">
        <v>41131</v>
      </c>
      <c r="AV1793" s="262" t="s">
        <v>932</v>
      </c>
      <c r="AW1793" s="274">
        <v>56214</v>
      </c>
    </row>
    <row r="1794" spans="1:49" s="13" customFormat="1" ht="33.75" x14ac:dyDescent="0.2">
      <c r="A1794" s="14">
        <v>1770</v>
      </c>
      <c r="B1794" s="8">
        <v>400050457</v>
      </c>
      <c r="C1794" s="8" t="s">
        <v>1447</v>
      </c>
      <c r="D1794" s="4" t="str">
        <f t="shared" si="194"/>
        <v>400050457A</v>
      </c>
      <c r="E1794" s="309" t="str">
        <f>VLOOKUP($B1794,'D7 - NDB Impacted SPRF''s'!$E$6:$O$9929,2,FALSE)</f>
        <v xml:space="preserve">Quality Operating System Solution Delivery </v>
      </c>
      <c r="F1794" s="8"/>
      <c r="G1794" s="8" t="s">
        <v>4758</v>
      </c>
      <c r="H1794" s="8" t="s">
        <v>4246</v>
      </c>
      <c r="I1794" s="20">
        <v>0.11</v>
      </c>
      <c r="J1794" s="8" t="s">
        <v>4862</v>
      </c>
      <c r="K1794" s="182">
        <v>41223</v>
      </c>
      <c r="L1794" s="8" t="s">
        <v>4156</v>
      </c>
      <c r="M1794" s="8" t="s">
        <v>5626</v>
      </c>
      <c r="N1794" s="38" t="s">
        <v>3501</v>
      </c>
      <c r="O1794" s="8"/>
      <c r="P1794" s="4" t="str">
        <f>VLOOKUP($B1794,'D7 - NDB Impacted SPRF''s'!$E$16:$O$9929,9,FALSE)</f>
        <v>Y</v>
      </c>
      <c r="Q1794" s="4" t="str">
        <f>VLOOKUP($B1794,'D7 - NDB Impacted SPRF''s'!$E$16:$O$9929,10,FALSE)</f>
        <v>N</v>
      </c>
      <c r="R1794" s="4" t="str">
        <f>VLOOKUP($B1794,'D7 - NDB Impacted SPRF''s'!$E$16:$O$9929,11,FALSE)</f>
        <v>N</v>
      </c>
      <c r="S1794" s="8"/>
      <c r="T1794" s="310"/>
      <c r="U1794" s="310"/>
      <c r="V1794" s="4"/>
      <c r="W1794" s="4"/>
      <c r="X1794" s="4"/>
      <c r="Y1794" s="4"/>
      <c r="Z1794" s="4"/>
      <c r="AA1794" s="4"/>
      <c r="AB1794" s="380" t="str">
        <f>VLOOKUP($B1794,'D7 - NDB Impacted SPRF''s'!$E$6:$O$9929,4,FALSE)</f>
        <v>Completed</v>
      </c>
      <c r="AC1794" s="380" t="str">
        <f>VLOOKUP($B1794,'D7 - NDB Impacted SPRF''s'!$E$6:$O$9929,3,FALSE)</f>
        <v>UHG IT - Shared Services</v>
      </c>
      <c r="AD1794" s="380" t="str">
        <f>VLOOKUP($B1794,'D7 - NDB Impacted SPRF''s'!$E$6:$O$9929,5,FALSE)</f>
        <v>ASG</v>
      </c>
      <c r="AE1794" s="380" t="str">
        <f>VLOOKUP($B1794,'D7 - NDB Impacted SPRF''s'!$E$6:$O$9929,7,FALSE)</f>
        <v>Mark Duhaime</v>
      </c>
      <c r="AF1794" s="380" t="str">
        <f>VLOOKUP($B1794,'D7 - NDB Impacted SPRF''s'!$E$6:$O$9929,6,FALSE)</f>
        <v>PETER ERNEST</v>
      </c>
      <c r="AG1794" s="282"/>
      <c r="AH1794" s="311" t="e">
        <f>INDEX('D5 - Gatekeeper - Projects'!$A$4:$AF$1010,$AM1794, 17)</f>
        <v>#N/A</v>
      </c>
      <c r="AI1794" s="8"/>
      <c r="AJ1794" s="57"/>
      <c r="AK1794" s="105"/>
      <c r="AM1794" s="6" t="e">
        <f>MATCH(D1794,'D5 - Gatekeeper - Projects'!$C$4:$C$1010,0)</f>
        <v>#N/A</v>
      </c>
      <c r="AN1794" s="6" t="b">
        <f t="shared" si="190"/>
        <v>1</v>
      </c>
      <c r="AO1794" s="6" t="str">
        <f t="shared" si="193"/>
        <v>OK</v>
      </c>
      <c r="AQ1794" s="6" t="e">
        <f>MATCH($D1794,'D4 - Provider Council Unsched'!$C$11:$C$234,0)</f>
        <v>#N/A</v>
      </c>
      <c r="AR1794" s="6" t="b">
        <f t="shared" si="191"/>
        <v>1</v>
      </c>
      <c r="AS1794" s="6" t="str">
        <f t="shared" si="195"/>
        <v>OK</v>
      </c>
      <c r="AU1794" s="202">
        <v>41082</v>
      </c>
      <c r="AV1794" s="262" t="s">
        <v>3462</v>
      </c>
      <c r="AW1794" s="274">
        <v>57281</v>
      </c>
    </row>
    <row r="1795" spans="1:49" s="13" customFormat="1" ht="22.5" x14ac:dyDescent="0.2">
      <c r="A1795" s="14">
        <v>1771</v>
      </c>
      <c r="B1795" s="8">
        <v>400050630</v>
      </c>
      <c r="C1795" s="8" t="s">
        <v>7289</v>
      </c>
      <c r="D1795" s="4" t="str">
        <f t="shared" si="194"/>
        <v>400050630D</v>
      </c>
      <c r="E1795" s="309" t="str">
        <f>VLOOKUP($B1795,'D7 - NDB Impacted SPRF''s'!$E$6:$O$9929,2,FALSE)</f>
        <v>NDB SoT - C&amp;S Strategic NDB SoT Enhancements A/D</v>
      </c>
      <c r="F1795" s="8"/>
      <c r="G1795" s="8" t="s">
        <v>4758</v>
      </c>
      <c r="H1795" s="8" t="s">
        <v>4246</v>
      </c>
      <c r="I1795" s="20" t="s">
        <v>4027</v>
      </c>
      <c r="J1795" s="8" t="s">
        <v>4862</v>
      </c>
      <c r="K1795" s="182">
        <v>41223</v>
      </c>
      <c r="L1795" s="8" t="s">
        <v>4156</v>
      </c>
      <c r="M1795" s="8" t="s">
        <v>6007</v>
      </c>
      <c r="N1795" s="38" t="s">
        <v>3509</v>
      </c>
      <c r="O1795" s="8"/>
      <c r="P1795" s="4" t="str">
        <f>VLOOKUP($B1795,'D7 - NDB Impacted SPRF''s'!$E$16:$O$9929,9,FALSE)</f>
        <v>N</v>
      </c>
      <c r="Q1795" s="4" t="str">
        <f>VLOOKUP($B1795,'D7 - NDB Impacted SPRF''s'!$E$16:$O$9929,10,FALSE)</f>
        <v>N</v>
      </c>
      <c r="R1795" s="4" t="str">
        <f>VLOOKUP($B1795,'D7 - NDB Impacted SPRF''s'!$E$16:$O$9929,11,FALSE)</f>
        <v>N</v>
      </c>
      <c r="S1795" s="8"/>
      <c r="T1795" s="310"/>
      <c r="U1795" s="310"/>
      <c r="V1795" s="4"/>
      <c r="W1795" s="4"/>
      <c r="X1795" s="4"/>
      <c r="Y1795" s="4"/>
      <c r="Z1795" s="4"/>
      <c r="AA1795" s="4"/>
      <c r="AB1795" s="380" t="str">
        <f>VLOOKUP($B1795,'D7 - NDB Impacted SPRF''s'!$E$6:$O$9929,4,FALSE)</f>
        <v>Scheduled</v>
      </c>
      <c r="AC1795" s="380" t="str">
        <f>VLOOKUP($B1795,'D7 - NDB Impacted SPRF''s'!$E$6:$O$9929,3,FALSE)</f>
        <v>UHG IT - Shared Services</v>
      </c>
      <c r="AD1795" s="380" t="str">
        <f>VLOOKUP($B1795,'D7 - NDB Impacted SPRF''s'!$E$6:$O$9929,5,FALSE)</f>
        <v>Strategic Initiatives</v>
      </c>
      <c r="AE1795" s="380" t="str">
        <f>VLOOKUP($B1795,'D7 - NDB Impacted SPRF''s'!$E$6:$O$9929,7,FALSE)</f>
        <v>Kaja, Tim</v>
      </c>
      <c r="AF1795" s="380" t="str">
        <f>VLOOKUP($B1795,'D7 - NDB Impacted SPRF''s'!$E$6:$O$9929,6,FALSE)</f>
        <v>Shelly Heit</v>
      </c>
      <c r="AG1795" s="282"/>
      <c r="AH1795" s="311" t="e">
        <f>INDEX('D5 - Gatekeeper - Projects'!$A$4:$AF$1010,$AM1795, 17)</f>
        <v>#N/A</v>
      </c>
      <c r="AI1795" s="8"/>
      <c r="AJ1795" s="57"/>
      <c r="AK1795" s="105"/>
      <c r="AM1795" s="6" t="e">
        <f>MATCH(D1795,'D5 - Gatekeeper - Projects'!$C$4:$C$1010,0)</f>
        <v>#N/A</v>
      </c>
      <c r="AN1795" s="6" t="b">
        <f t="shared" si="190"/>
        <v>1</v>
      </c>
      <c r="AO1795" s="6" t="str">
        <f t="shared" si="193"/>
        <v>OK</v>
      </c>
      <c r="AQ1795" s="6" t="e">
        <f>MATCH($D1795,'D4 - Provider Council Unsched'!$C$11:$C$234,0)</f>
        <v>#N/A</v>
      </c>
      <c r="AR1795" s="6" t="b">
        <f t="shared" si="191"/>
        <v>1</v>
      </c>
      <c r="AS1795" s="6" t="str">
        <f t="shared" si="195"/>
        <v>OK</v>
      </c>
      <c r="AU1795" s="202">
        <v>41193</v>
      </c>
      <c r="AV1795" s="262" t="s">
        <v>1081</v>
      </c>
      <c r="AW1795" s="274">
        <v>57883</v>
      </c>
    </row>
    <row r="1796" spans="1:49" s="13" customFormat="1" ht="33.75" x14ac:dyDescent="0.2">
      <c r="A1796" s="14">
        <v>1772</v>
      </c>
      <c r="B1796" s="8">
        <v>400050744</v>
      </c>
      <c r="C1796" s="8" t="s">
        <v>7290</v>
      </c>
      <c r="D1796" s="4" t="str">
        <f t="shared" si="194"/>
        <v>400050744B</v>
      </c>
      <c r="E1796" s="309" t="str">
        <f>VLOOKUP($B1796,'D7 - NDB Impacted SPRF''s'!$E$6:$O$9929,2,FALSE)</f>
        <v>ICD-10 E&amp;I Commercial End to End Testing</v>
      </c>
      <c r="F1796" s="8"/>
      <c r="G1796" s="8" t="s">
        <v>4758</v>
      </c>
      <c r="H1796" s="8" t="s">
        <v>4246</v>
      </c>
      <c r="I1796" s="20">
        <v>0.28000000000000003</v>
      </c>
      <c r="J1796" s="8" t="s">
        <v>4862</v>
      </c>
      <c r="K1796" s="182">
        <v>41223</v>
      </c>
      <c r="L1796" s="8" t="s">
        <v>4156</v>
      </c>
      <c r="M1796" s="8" t="s">
        <v>5626</v>
      </c>
      <c r="N1796" s="38" t="s">
        <v>289</v>
      </c>
      <c r="O1796" s="8"/>
      <c r="P1796" s="4" t="str">
        <f>VLOOKUP($B1796,'D7 - NDB Impacted SPRF''s'!$E$16:$O$9929,9,FALSE)</f>
        <v>Y</v>
      </c>
      <c r="Q1796" s="4" t="str">
        <f>VLOOKUP($B1796,'D7 - NDB Impacted SPRF''s'!$E$16:$O$9929,10,FALSE)</f>
        <v>N</v>
      </c>
      <c r="R1796" s="4" t="str">
        <f>VLOOKUP($B1796,'D7 - NDB Impacted SPRF''s'!$E$16:$O$9929,11,FALSE)</f>
        <v>Y</v>
      </c>
      <c r="S1796" s="8"/>
      <c r="T1796" s="310"/>
      <c r="U1796" s="310"/>
      <c r="V1796" s="4"/>
      <c r="W1796" s="4"/>
      <c r="X1796" s="4"/>
      <c r="Y1796" s="4"/>
      <c r="Z1796" s="4"/>
      <c r="AA1796" s="4"/>
      <c r="AB1796" s="380" t="str">
        <f>VLOOKUP($B1796,'D7 - NDB Impacted SPRF''s'!$E$6:$O$9929,4,FALSE)</f>
        <v>Scheduled</v>
      </c>
      <c r="AC1796" s="380" t="str">
        <f>VLOOKUP($B1796,'D7 - NDB Impacted SPRF''s'!$E$6:$O$9929,3,FALSE)</f>
        <v>UnitedHealthcare Employer &amp; Individual</v>
      </c>
      <c r="AD1796" s="380" t="str">
        <f>VLOOKUP($B1796,'D7 - NDB Impacted SPRF''s'!$E$6:$O$9929,5,FALSE)</f>
        <v>Regulatory / Other</v>
      </c>
      <c r="AE1796" s="380" t="str">
        <f>VLOOKUP($B1796,'D7 - NDB Impacted SPRF''s'!$E$6:$O$9929,7,FALSE)</f>
        <v>Tim Kaja</v>
      </c>
      <c r="AF1796" s="380" t="str">
        <f>VLOOKUP($B1796,'D7 - NDB Impacted SPRF''s'!$E$6:$O$9929,6,FALSE)</f>
        <v>William Porri</v>
      </c>
      <c r="AG1796" s="282"/>
      <c r="AH1796" s="311" t="e">
        <f>INDEX('D5 - Gatekeeper - Projects'!$A$4:$AF$1010,$AM1796, 17)</f>
        <v>#N/A</v>
      </c>
      <c r="AI1796" s="8"/>
      <c r="AJ1796" s="57"/>
      <c r="AK1796" s="105"/>
      <c r="AM1796" s="6" t="e">
        <f>MATCH(D1796,'D5 - Gatekeeper - Projects'!$C$4:$C$1010,0)</f>
        <v>#N/A</v>
      </c>
      <c r="AN1796" s="6" t="b">
        <f t="shared" si="190"/>
        <v>1</v>
      </c>
      <c r="AO1796" s="6" t="str">
        <f t="shared" si="193"/>
        <v>OK</v>
      </c>
      <c r="AQ1796" s="6" t="e">
        <f>MATCH($D1796,'D4 - Provider Council Unsched'!$C$11:$C$234,0)</f>
        <v>#N/A</v>
      </c>
      <c r="AR1796" s="6" t="b">
        <f t="shared" si="191"/>
        <v>1</v>
      </c>
      <c r="AS1796" s="6" t="str">
        <f t="shared" si="195"/>
        <v>OK</v>
      </c>
      <c r="AU1796" s="202">
        <v>41131</v>
      </c>
      <c r="AV1796" s="262" t="s">
        <v>2299</v>
      </c>
      <c r="AW1796" s="274">
        <v>69221</v>
      </c>
    </row>
    <row r="1797" spans="1:49" s="13" customFormat="1" ht="33.75" x14ac:dyDescent="0.2">
      <c r="A1797" s="14">
        <v>1773</v>
      </c>
      <c r="B1797" s="8">
        <v>400050909</v>
      </c>
      <c r="C1797" s="8" t="s">
        <v>1447</v>
      </c>
      <c r="D1797" s="4" t="str">
        <f t="shared" si="194"/>
        <v>400050909A</v>
      </c>
      <c r="E1797" s="309" t="str">
        <f>VLOOKUP($B1797,'D7 - NDB Impacted SPRF''s'!$E$6:$O$9929,2,FALSE)</f>
        <v>CSS-B2X 2012D Release (Addl Info Pop-up &amp; C&amp;S EDI)</v>
      </c>
      <c r="F1797" s="8"/>
      <c r="G1797" s="8" t="s">
        <v>4758</v>
      </c>
      <c r="H1797" s="8" t="s">
        <v>4246</v>
      </c>
      <c r="I1797" s="20">
        <v>0.47</v>
      </c>
      <c r="J1797" s="8" t="s">
        <v>4862</v>
      </c>
      <c r="K1797" s="182">
        <v>41223</v>
      </c>
      <c r="L1797" s="8" t="s">
        <v>4156</v>
      </c>
      <c r="M1797" s="8" t="s">
        <v>5626</v>
      </c>
      <c r="N1797" s="38"/>
      <c r="O1797" s="8"/>
      <c r="P1797" s="4" t="str">
        <f>VLOOKUP($B1797,'D7 - NDB Impacted SPRF''s'!$E$16:$O$9929,9,FALSE)</f>
        <v>N</v>
      </c>
      <c r="Q1797" s="4" t="str">
        <f>VLOOKUP($B1797,'D7 - NDB Impacted SPRF''s'!$E$16:$O$9929,10,FALSE)</f>
        <v>N</v>
      </c>
      <c r="R1797" s="4" t="str">
        <f>VLOOKUP($B1797,'D7 - NDB Impacted SPRF''s'!$E$16:$O$9929,11,FALSE)</f>
        <v>N</v>
      </c>
      <c r="S1797" s="8"/>
      <c r="T1797" s="310"/>
      <c r="U1797" s="310"/>
      <c r="V1797" s="4"/>
      <c r="W1797" s="4"/>
      <c r="X1797" s="4"/>
      <c r="Y1797" s="4"/>
      <c r="Z1797" s="4"/>
      <c r="AA1797" s="4"/>
      <c r="AB1797" s="380" t="str">
        <f>VLOOKUP($B1797,'D7 - NDB Impacted SPRF''s'!$E$6:$O$9929,4,FALSE)</f>
        <v>Completed</v>
      </c>
      <c r="AC1797" s="380" t="str">
        <f>VLOOKUP($B1797,'D7 - NDB Impacted SPRF''s'!$E$6:$O$9929,3,FALSE)</f>
        <v>UnitedHealthcare Employer &amp; Individual</v>
      </c>
      <c r="AD1797" s="380" t="str">
        <f>VLOOKUP($B1797,'D7 - NDB Impacted SPRF''s'!$E$6:$O$9929,5,FALSE)</f>
        <v>Medical Cost Savings Programs</v>
      </c>
      <c r="AE1797" s="380" t="str">
        <f>VLOOKUP($B1797,'D7 - NDB Impacted SPRF''s'!$E$6:$O$9929,7,FALSE)</f>
        <v>Cynthia Middaugh</v>
      </c>
      <c r="AF1797" s="380" t="str">
        <f>VLOOKUP($B1797,'D7 - NDB Impacted SPRF''s'!$E$6:$O$9929,6,FALSE)</f>
        <v>CHRISTINA MOSHER</v>
      </c>
      <c r="AG1797" s="282"/>
      <c r="AH1797" s="311" t="e">
        <f>INDEX('D5 - Gatekeeper - Projects'!$A$4:$AF$1010,$AM1797, 17)</f>
        <v>#N/A</v>
      </c>
      <c r="AI1797" s="8"/>
      <c r="AJ1797" s="57"/>
      <c r="AK1797" s="105"/>
      <c r="AM1797" s="6" t="e">
        <f>MATCH(D1797,'D5 - Gatekeeper - Projects'!$C$4:$C$1010,0)</f>
        <v>#N/A</v>
      </c>
      <c r="AN1797" s="6" t="b">
        <f t="shared" si="190"/>
        <v>1</v>
      </c>
      <c r="AO1797" s="6" t="str">
        <f t="shared" si="193"/>
        <v>OK</v>
      </c>
      <c r="AQ1797" s="6" t="e">
        <f>MATCH($D1797,'D4 - Provider Council Unsched'!$C$11:$C$234,0)</f>
        <v>#N/A</v>
      </c>
      <c r="AR1797" s="6" t="b">
        <f t="shared" si="191"/>
        <v>1</v>
      </c>
      <c r="AS1797" s="6" t="str">
        <f t="shared" si="195"/>
        <v>OK</v>
      </c>
      <c r="AU1797" s="202">
        <v>41047</v>
      </c>
      <c r="AV1797" s="262" t="s">
        <v>2242</v>
      </c>
      <c r="AW1797" s="274">
        <v>58968</v>
      </c>
    </row>
    <row r="1798" spans="1:49" s="13" customFormat="1" ht="45" x14ac:dyDescent="0.2">
      <c r="A1798" s="14">
        <v>1774</v>
      </c>
      <c r="B1798" s="14">
        <v>400050954</v>
      </c>
      <c r="C1798" s="8" t="s">
        <v>7292</v>
      </c>
      <c r="D1798" s="4" t="str">
        <f t="shared" si="194"/>
        <v>400050954C</v>
      </c>
      <c r="E1798" s="309" t="str">
        <f>VLOOKUP($B1798,'D7 - NDB Impacted SPRF''s'!$E$6:$O$9929,2,FALSE)</f>
        <v>NDB CD- Market Type ID Tactical Solution</v>
      </c>
      <c r="F1798" s="8"/>
      <c r="G1798" s="8" t="s">
        <v>4758</v>
      </c>
      <c r="H1798" s="8" t="s">
        <v>4246</v>
      </c>
      <c r="I1798" s="20">
        <v>1.56</v>
      </c>
      <c r="J1798" s="8" t="s">
        <v>4862</v>
      </c>
      <c r="K1798" s="182">
        <v>41223</v>
      </c>
      <c r="L1798" s="8" t="s">
        <v>4156</v>
      </c>
      <c r="M1798" s="8" t="s">
        <v>5626</v>
      </c>
      <c r="N1798" s="38" t="s">
        <v>6040</v>
      </c>
      <c r="O1798" s="8"/>
      <c r="P1798" s="4" t="str">
        <f>VLOOKUP($B1798,'D7 - NDB Impacted SPRF''s'!$E$16:$O$9929,9,FALSE)</f>
        <v>N</v>
      </c>
      <c r="Q1798" s="4" t="str">
        <f>VLOOKUP($B1798,'D7 - NDB Impacted SPRF''s'!$E$16:$O$9929,10,FALSE)</f>
        <v>N</v>
      </c>
      <c r="R1798" s="4" t="str">
        <f>VLOOKUP($B1798,'D7 - NDB Impacted SPRF''s'!$E$16:$O$9929,11,FALSE)</f>
        <v>Y</v>
      </c>
      <c r="S1798" s="8"/>
      <c r="T1798" s="310"/>
      <c r="U1798" s="310"/>
      <c r="V1798" s="4"/>
      <c r="W1798" s="4"/>
      <c r="X1798" s="4"/>
      <c r="Y1798" s="4"/>
      <c r="Z1798" s="4"/>
      <c r="AA1798" s="4"/>
      <c r="AB1798" s="380" t="str">
        <f>VLOOKUP($B1798,'D7 - NDB Impacted SPRF''s'!$E$6:$O$9929,4,FALSE)</f>
        <v>Completed</v>
      </c>
      <c r="AC1798" s="380" t="str">
        <f>VLOOKUP($B1798,'D7 - NDB Impacted SPRF''s'!$E$6:$O$9929,3,FALSE)</f>
        <v>UHG IT - Enterprise Technology Services</v>
      </c>
      <c r="AD1798" s="380" t="str">
        <f>VLOOKUP($B1798,'D7 - NDB Impacted SPRF''s'!$E$6:$O$9929,5,FALSE)</f>
        <v>Strategic Initiatives</v>
      </c>
      <c r="AE1798" s="380" t="str">
        <f>VLOOKUP($B1798,'D7 - NDB Impacted SPRF''s'!$E$6:$O$9929,7,FALSE)</f>
        <v>Tim Kaja</v>
      </c>
      <c r="AF1798" s="380" t="str">
        <f>VLOOKUP($B1798,'D7 - NDB Impacted SPRF''s'!$E$6:$O$9929,6,FALSE)</f>
        <v>SUSAN HINES</v>
      </c>
      <c r="AG1798" s="282"/>
      <c r="AH1798" s="311" t="e">
        <f>INDEX('D5 - Gatekeeper - Projects'!$A$4:$AF$1010,$AM1798, 17)</f>
        <v>#N/A</v>
      </c>
      <c r="AI1798" s="8"/>
      <c r="AJ1798" s="57"/>
      <c r="AK1798" s="105"/>
      <c r="AM1798" s="6" t="e">
        <f>MATCH(D1798,'D5 - Gatekeeper - Projects'!$C$4:$C$1010,0)</f>
        <v>#N/A</v>
      </c>
      <c r="AN1798" s="6" t="b">
        <f t="shared" si="190"/>
        <v>1</v>
      </c>
      <c r="AO1798" s="6" t="str">
        <f t="shared" si="193"/>
        <v>OK</v>
      </c>
      <c r="AQ1798" s="6" t="e">
        <f>MATCH($D1798,'D4 - Provider Council Unsched'!$C$11:$C$234,0)</f>
        <v>#N/A</v>
      </c>
      <c r="AR1798" s="6" t="b">
        <f t="shared" si="191"/>
        <v>1</v>
      </c>
      <c r="AS1798" s="6" t="str">
        <f t="shared" si="195"/>
        <v>OK</v>
      </c>
      <c r="AU1798" s="202">
        <v>41068</v>
      </c>
      <c r="AV1798" s="262" t="s">
        <v>2754</v>
      </c>
      <c r="AW1798" s="274">
        <v>61205</v>
      </c>
    </row>
    <row r="1799" spans="1:49" s="13" customFormat="1" ht="45" x14ac:dyDescent="0.2">
      <c r="A1799" s="14">
        <v>1775</v>
      </c>
      <c r="B1799" s="14">
        <v>400050954</v>
      </c>
      <c r="C1799" s="8" t="s">
        <v>7289</v>
      </c>
      <c r="D1799" s="4" t="str">
        <f t="shared" si="194"/>
        <v>400050954D</v>
      </c>
      <c r="E1799" s="309" t="str">
        <f>VLOOKUP($B1799,'D7 - NDB Impacted SPRF''s'!$E$6:$O$9929,2,FALSE)</f>
        <v>NDB CD- Market Type ID Tactical Solution</v>
      </c>
      <c r="F1799" s="8"/>
      <c r="G1799" s="8" t="s">
        <v>4758</v>
      </c>
      <c r="H1799" s="8" t="s">
        <v>4246</v>
      </c>
      <c r="I1799" s="20">
        <v>0</v>
      </c>
      <c r="J1799" s="8" t="s">
        <v>4862</v>
      </c>
      <c r="K1799" s="182">
        <v>41223</v>
      </c>
      <c r="L1799" s="8" t="s">
        <v>4156</v>
      </c>
      <c r="M1799" s="8" t="s">
        <v>2814</v>
      </c>
      <c r="N1799" s="38" t="s">
        <v>3507</v>
      </c>
      <c r="O1799" s="8"/>
      <c r="P1799" s="4" t="str">
        <f>VLOOKUP($B1799,'D7 - NDB Impacted SPRF''s'!$E$16:$O$9929,9,FALSE)</f>
        <v>N</v>
      </c>
      <c r="Q1799" s="4" t="str">
        <f>VLOOKUP($B1799,'D7 - NDB Impacted SPRF''s'!$E$16:$O$9929,10,FALSE)</f>
        <v>N</v>
      </c>
      <c r="R1799" s="4" t="str">
        <f>VLOOKUP($B1799,'D7 - NDB Impacted SPRF''s'!$E$16:$O$9929,11,FALSE)</f>
        <v>Y</v>
      </c>
      <c r="S1799" s="8"/>
      <c r="T1799" s="310"/>
      <c r="U1799" s="310"/>
      <c r="V1799" s="4"/>
      <c r="W1799" s="4"/>
      <c r="X1799" s="4"/>
      <c r="Y1799" s="4"/>
      <c r="Z1799" s="4"/>
      <c r="AA1799" s="4"/>
      <c r="AB1799" s="380" t="str">
        <f>VLOOKUP($B1799,'D7 - NDB Impacted SPRF''s'!$E$6:$O$9929,4,FALSE)</f>
        <v>Completed</v>
      </c>
      <c r="AC1799" s="380" t="str">
        <f>VLOOKUP($B1799,'D7 - NDB Impacted SPRF''s'!$E$6:$O$9929,3,FALSE)</f>
        <v>UHG IT - Enterprise Technology Services</v>
      </c>
      <c r="AD1799" s="380" t="str">
        <f>VLOOKUP($B1799,'D7 - NDB Impacted SPRF''s'!$E$6:$O$9929,5,FALSE)</f>
        <v>Strategic Initiatives</v>
      </c>
      <c r="AE1799" s="380" t="str">
        <f>VLOOKUP($B1799,'D7 - NDB Impacted SPRF''s'!$E$6:$O$9929,7,FALSE)</f>
        <v>Tim Kaja</v>
      </c>
      <c r="AF1799" s="380" t="str">
        <f>VLOOKUP($B1799,'D7 - NDB Impacted SPRF''s'!$E$6:$O$9929,6,FALSE)</f>
        <v>SUSAN HINES</v>
      </c>
      <c r="AG1799" s="282"/>
      <c r="AH1799" s="311" t="e">
        <f>INDEX('D5 - Gatekeeper - Projects'!$A$4:$AF$1010,$AM1799, 17)</f>
        <v>#N/A</v>
      </c>
      <c r="AI1799" s="8"/>
      <c r="AJ1799" s="57"/>
      <c r="AK1799" s="105"/>
      <c r="AM1799" s="6" t="e">
        <f>MATCH(D1799,'D5 - Gatekeeper - Projects'!$C$4:$C$1010,0)</f>
        <v>#N/A</v>
      </c>
      <c r="AN1799" s="6" t="b">
        <f t="shared" si="190"/>
        <v>1</v>
      </c>
      <c r="AO1799" s="6" t="str">
        <f t="shared" si="193"/>
        <v>OK</v>
      </c>
      <c r="AQ1799" s="6" t="e">
        <f>MATCH($D1799,'D4 - Provider Council Unsched'!$C$11:$C$234,0)</f>
        <v>#N/A</v>
      </c>
      <c r="AR1799" s="6" t="b">
        <f t="shared" si="191"/>
        <v>1</v>
      </c>
      <c r="AS1799" s="6" t="str">
        <f t="shared" si="195"/>
        <v>OK</v>
      </c>
      <c r="AU1799" s="202">
        <v>41193</v>
      </c>
      <c r="AV1799" s="262" t="s">
        <v>2754</v>
      </c>
      <c r="AW1799" s="274">
        <v>61205</v>
      </c>
    </row>
    <row r="1800" spans="1:49" s="13" customFormat="1" ht="45" x14ac:dyDescent="0.2">
      <c r="A1800" s="14">
        <v>1776</v>
      </c>
      <c r="B1800" s="8">
        <v>400051694</v>
      </c>
      <c r="C1800" s="8" t="s">
        <v>1447</v>
      </c>
      <c r="D1800" s="4" t="str">
        <f t="shared" si="194"/>
        <v>400051694A</v>
      </c>
      <c r="E1800" s="309" t="str">
        <f>VLOOKUP($B1800,'D7 - NDB Impacted SPRF''s'!$E$6:$O$9929,2,FALSE)</f>
        <v>Walmart-Medica 1URL/1 Portal-myuhc URL</v>
      </c>
      <c r="F1800" s="8"/>
      <c r="G1800" s="8" t="s">
        <v>4758</v>
      </c>
      <c r="H1800" s="8" t="s">
        <v>4246</v>
      </c>
      <c r="I1800" s="20">
        <v>1.02</v>
      </c>
      <c r="J1800" s="8" t="s">
        <v>4862</v>
      </c>
      <c r="K1800" s="182">
        <v>41223</v>
      </c>
      <c r="L1800" s="8" t="s">
        <v>4156</v>
      </c>
      <c r="M1800" s="8" t="s">
        <v>5626</v>
      </c>
      <c r="N1800" s="38" t="s">
        <v>878</v>
      </c>
      <c r="O1800" s="8"/>
      <c r="P1800" s="4" t="str">
        <f>VLOOKUP($B1800,'D7 - NDB Impacted SPRF''s'!$E$16:$O$9929,9,FALSE)</f>
        <v>Y</v>
      </c>
      <c r="Q1800" s="4" t="str">
        <f>VLOOKUP($B1800,'D7 - NDB Impacted SPRF''s'!$E$16:$O$9929,10,FALSE)</f>
        <v>N</v>
      </c>
      <c r="R1800" s="4" t="str">
        <f>VLOOKUP($B1800,'D7 - NDB Impacted SPRF''s'!$E$16:$O$9929,11,FALSE)</f>
        <v>N</v>
      </c>
      <c r="S1800" s="8"/>
      <c r="T1800" s="310"/>
      <c r="U1800" s="310"/>
      <c r="V1800" s="4"/>
      <c r="W1800" s="4"/>
      <c r="X1800" s="4"/>
      <c r="Y1800" s="4"/>
      <c r="Z1800" s="4"/>
      <c r="AA1800" s="4"/>
      <c r="AB1800" s="380" t="str">
        <f>VLOOKUP($B1800,'D7 - NDB Impacted SPRF''s'!$E$6:$O$9929,4,FALSE)</f>
        <v>Completed</v>
      </c>
      <c r="AC1800" s="380" t="str">
        <f>VLOOKUP($B1800,'D7 - NDB Impacted SPRF''s'!$E$6:$O$9929,3,FALSE)</f>
        <v>UnitedHealthcare Employer &amp; Individual</v>
      </c>
      <c r="AD1800" s="380" t="str">
        <f>VLOOKUP($B1800,'D7 - NDB Impacted SPRF''s'!$E$6:$O$9929,5,FALSE)</f>
        <v>Customer Requirements</v>
      </c>
      <c r="AE1800" s="380" t="str">
        <f>VLOOKUP($B1800,'D7 - NDB Impacted SPRF''s'!$E$6:$O$9929,7,FALSE)</f>
        <v>John Cravero</v>
      </c>
      <c r="AF1800" s="380" t="str">
        <f>VLOOKUP($B1800,'D7 - NDB Impacted SPRF''s'!$E$6:$O$9929,6,FALSE)</f>
        <v>DAWN ROMERO</v>
      </c>
      <c r="AG1800" s="282"/>
      <c r="AH1800" s="311" t="e">
        <f>INDEX('D5 - Gatekeeper - Projects'!$A$4:$AF$1010,$AM1800, 17)</f>
        <v>#N/A</v>
      </c>
      <c r="AI1800" s="8"/>
      <c r="AJ1800" s="57"/>
      <c r="AK1800" s="105"/>
      <c r="AM1800" s="6" t="e">
        <f>MATCH(D1800,'D5 - Gatekeeper - Projects'!$C$4:$C$1010,0)</f>
        <v>#N/A</v>
      </c>
      <c r="AN1800" s="6" t="b">
        <f t="shared" si="190"/>
        <v>1</v>
      </c>
      <c r="AO1800" s="6" t="str">
        <f t="shared" si="193"/>
        <v>OK</v>
      </c>
      <c r="AQ1800" s="6" t="e">
        <f>MATCH($D1800,'D4 - Provider Council Unsched'!$C$11:$C$234,0)</f>
        <v>#N/A</v>
      </c>
      <c r="AR1800" s="6" t="b">
        <f t="shared" si="191"/>
        <v>1</v>
      </c>
      <c r="AS1800" s="6" t="str">
        <f t="shared" si="195"/>
        <v>OK</v>
      </c>
      <c r="AU1800" s="202">
        <v>41145</v>
      </c>
      <c r="AV1800" s="262" t="s">
        <v>3511</v>
      </c>
      <c r="AW1800" s="274">
        <v>60267</v>
      </c>
    </row>
    <row r="1801" spans="1:49" s="13" customFormat="1" ht="67.5" x14ac:dyDescent="0.2">
      <c r="A1801" s="14">
        <v>1777</v>
      </c>
      <c r="B1801" s="8">
        <v>400052496</v>
      </c>
      <c r="C1801" s="8" t="s">
        <v>1447</v>
      </c>
      <c r="D1801" s="4" t="str">
        <f t="shared" si="194"/>
        <v>400052496A</v>
      </c>
      <c r="E1801" s="309" t="str">
        <f>VLOOKUP($B1801,'D7 - NDB Impacted SPRF''s'!$E$6:$O$9929,2,FALSE)</f>
        <v>UHC Clinical Edit &amp; Pricing Solution-URV Heritage</v>
      </c>
      <c r="F1801" s="8"/>
      <c r="G1801" s="8" t="s">
        <v>4758</v>
      </c>
      <c r="H1801" s="8" t="s">
        <v>4246</v>
      </c>
      <c r="I1801" s="20">
        <v>0.27</v>
      </c>
      <c r="J1801" s="8" t="s">
        <v>4862</v>
      </c>
      <c r="K1801" s="182">
        <v>41223</v>
      </c>
      <c r="L1801" s="8" t="s">
        <v>4156</v>
      </c>
      <c r="M1801" s="8" t="s">
        <v>6688</v>
      </c>
      <c r="N1801" s="38" t="s">
        <v>225</v>
      </c>
      <c r="O1801" s="8"/>
      <c r="P1801" s="4" t="str">
        <f>VLOOKUP($B1801,'D7 - NDB Impacted SPRF''s'!$E$16:$O$9929,9,FALSE)</f>
        <v>N</v>
      </c>
      <c r="Q1801" s="4" t="str">
        <f>VLOOKUP($B1801,'D7 - NDB Impacted SPRF''s'!$E$16:$O$9929,10,FALSE)</f>
        <v>N</v>
      </c>
      <c r="R1801" s="4" t="str">
        <f>VLOOKUP($B1801,'D7 - NDB Impacted SPRF''s'!$E$16:$O$9929,11,FALSE)</f>
        <v>Y</v>
      </c>
      <c r="S1801" s="8"/>
      <c r="T1801" s="310"/>
      <c r="U1801" s="310"/>
      <c r="V1801" s="4"/>
      <c r="W1801" s="4"/>
      <c r="X1801" s="4"/>
      <c r="Y1801" s="4"/>
      <c r="Z1801" s="4"/>
      <c r="AA1801" s="4"/>
      <c r="AB1801" s="380" t="str">
        <f>VLOOKUP($B1801,'D7 - NDB Impacted SPRF''s'!$E$6:$O$9929,4,FALSE)</f>
        <v>Completed</v>
      </c>
      <c r="AC1801" s="380" t="str">
        <f>VLOOKUP($B1801,'D7 - NDB Impacted SPRF''s'!$E$6:$O$9929,3,FALSE)</f>
        <v>UnitedHealthcare Employer &amp; Individual</v>
      </c>
      <c r="AD1801" s="380" t="str">
        <f>VLOOKUP($B1801,'D7 - NDB Impacted SPRF''s'!$E$6:$O$9929,5,FALSE)</f>
        <v>Regulatory / Other</v>
      </c>
      <c r="AE1801" s="380" t="str">
        <f>VLOOKUP($B1801,'D7 - NDB Impacted SPRF''s'!$E$6:$O$9929,7,FALSE)</f>
        <v>Molly Knorr &amp; Kathy Learst</v>
      </c>
      <c r="AF1801" s="380" t="str">
        <f>VLOOKUP($B1801,'D7 - NDB Impacted SPRF''s'!$E$6:$O$9929,6,FALSE)</f>
        <v>Nancy Spaulding</v>
      </c>
      <c r="AG1801" s="282"/>
      <c r="AH1801" s="311" t="e">
        <f>INDEX('D5 - Gatekeeper - Projects'!$A$4:$AF$1010,$AM1801, 17)</f>
        <v>#N/A</v>
      </c>
      <c r="AI1801" s="8"/>
      <c r="AJ1801" s="57"/>
      <c r="AK1801" s="105"/>
      <c r="AM1801" s="6" t="e">
        <f>MATCH(D1801,'D5 - Gatekeeper - Projects'!$C$4:$C$1010,0)</f>
        <v>#N/A</v>
      </c>
      <c r="AN1801" s="6" t="b">
        <f t="shared" si="190"/>
        <v>1</v>
      </c>
      <c r="AO1801" s="6" t="str">
        <f t="shared" si="193"/>
        <v>OK</v>
      </c>
      <c r="AQ1801" s="6" t="e">
        <f>MATCH($D1801,'D4 - Provider Council Unsched'!$C$11:$C$234,0)</f>
        <v>#N/A</v>
      </c>
      <c r="AR1801" s="6" t="b">
        <f t="shared" si="191"/>
        <v>1</v>
      </c>
      <c r="AS1801" s="6" t="str">
        <f t="shared" si="195"/>
        <v>OK</v>
      </c>
      <c r="AU1801" s="202">
        <v>41103</v>
      </c>
      <c r="AV1801" s="262" t="s">
        <v>476</v>
      </c>
      <c r="AW1801" s="274">
        <v>62818</v>
      </c>
    </row>
    <row r="1802" spans="1:49" s="13" customFormat="1" ht="33.75" x14ac:dyDescent="0.2">
      <c r="A1802" s="14">
        <v>1778</v>
      </c>
      <c r="B1802" s="8">
        <v>400052851</v>
      </c>
      <c r="C1802" s="8" t="s">
        <v>1447</v>
      </c>
      <c r="D1802" s="4" t="str">
        <f t="shared" si="194"/>
        <v>400052851A</v>
      </c>
      <c r="E1802" s="309" t="str">
        <f>VLOOKUP($B1802,'D7 - NDB Impacted SPRF''s'!$E$6:$O$9929,2,FALSE)</f>
        <v>Provider Issues - B2X and ICUE Changes - Q4 2012</v>
      </c>
      <c r="F1802" s="8"/>
      <c r="G1802" s="8" t="s">
        <v>4758</v>
      </c>
      <c r="H1802" s="8" t="s">
        <v>4246</v>
      </c>
      <c r="I1802" s="20">
        <v>7.0000000000000007E-2</v>
      </c>
      <c r="J1802" s="8" t="s">
        <v>4862</v>
      </c>
      <c r="K1802" s="182">
        <v>41223</v>
      </c>
      <c r="L1802" s="8" t="s">
        <v>4156</v>
      </c>
      <c r="M1802" s="8" t="s">
        <v>5626</v>
      </c>
      <c r="N1802" s="38"/>
      <c r="O1802" s="8"/>
      <c r="P1802" s="4" t="str">
        <f>VLOOKUP($B1802,'D7 - NDB Impacted SPRF''s'!$E$16:$O$9929,9,FALSE)</f>
        <v>N</v>
      </c>
      <c r="Q1802" s="4" t="str">
        <f>VLOOKUP($B1802,'D7 - NDB Impacted SPRF''s'!$E$16:$O$9929,10,FALSE)</f>
        <v>N</v>
      </c>
      <c r="R1802" s="4" t="str">
        <f>VLOOKUP($B1802,'D7 - NDB Impacted SPRF''s'!$E$16:$O$9929,11,FALSE)</f>
        <v>N</v>
      </c>
      <c r="S1802" s="8"/>
      <c r="T1802" s="310"/>
      <c r="U1802" s="310"/>
      <c r="V1802" s="4"/>
      <c r="W1802" s="4"/>
      <c r="X1802" s="4"/>
      <c r="Y1802" s="4"/>
      <c r="Z1802" s="4"/>
      <c r="AA1802" s="4"/>
      <c r="AB1802" s="380" t="str">
        <f>VLOOKUP($B1802,'D7 - NDB Impacted SPRF''s'!$E$6:$O$9929,4,FALSE)</f>
        <v>Completed</v>
      </c>
      <c r="AC1802" s="380" t="str">
        <f>VLOOKUP($B1802,'D7 - NDB Impacted SPRF''s'!$E$6:$O$9929,3,FALSE)</f>
        <v>UnitedHealthcare Employer &amp; Individual</v>
      </c>
      <c r="AD1802" s="380" t="str">
        <f>VLOOKUP($B1802,'D7 - NDB Impacted SPRF''s'!$E$6:$O$9929,5,FALSE)</f>
        <v>Medical Cost Savings Programs</v>
      </c>
      <c r="AE1802" s="380" t="str">
        <f>VLOOKUP($B1802,'D7 - NDB Impacted SPRF''s'!$E$6:$O$9929,7,FALSE)</f>
        <v>Nelson, Sheila M</v>
      </c>
      <c r="AF1802" s="380" t="str">
        <f>VLOOKUP($B1802,'D7 - NDB Impacted SPRF''s'!$E$6:$O$9929,6,FALSE)</f>
        <v>Manoj Viswanathan</v>
      </c>
      <c r="AG1802" s="282"/>
      <c r="AH1802" s="311" t="e">
        <f>INDEX('D5 - Gatekeeper - Projects'!$A$4:$AF$1010,$AM1802, 17)</f>
        <v>#N/A</v>
      </c>
      <c r="AI1802" s="8"/>
      <c r="AJ1802" s="57"/>
      <c r="AK1802" s="105"/>
      <c r="AM1802" s="6" t="e">
        <f>MATCH(D1802,'D5 - Gatekeeper - Projects'!$C$4:$C$1010,0)</f>
        <v>#N/A</v>
      </c>
      <c r="AN1802" s="6" t="b">
        <f t="shared" si="190"/>
        <v>1</v>
      </c>
      <c r="AO1802" s="6" t="str">
        <f t="shared" si="193"/>
        <v>OK</v>
      </c>
      <c r="AQ1802" s="6" t="e">
        <f>MATCH($D1802,'D4 - Provider Council Unsched'!$C$11:$C$234,0)</f>
        <v>#N/A</v>
      </c>
      <c r="AR1802" s="6" t="b">
        <f t="shared" si="191"/>
        <v>1</v>
      </c>
      <c r="AS1802" s="6" t="str">
        <f t="shared" si="195"/>
        <v>OK</v>
      </c>
      <c r="AU1802" s="202">
        <v>41110</v>
      </c>
      <c r="AV1802" s="262" t="s">
        <v>1080</v>
      </c>
      <c r="AW1802" s="274">
        <v>63840</v>
      </c>
    </row>
    <row r="1803" spans="1:49" s="13" customFormat="1" ht="33.75" x14ac:dyDescent="0.2">
      <c r="A1803" s="14">
        <v>1779</v>
      </c>
      <c r="B1803" s="8">
        <v>400052852</v>
      </c>
      <c r="C1803" s="8" t="s">
        <v>1447</v>
      </c>
      <c r="D1803" s="4" t="str">
        <f t="shared" si="194"/>
        <v>400052852A</v>
      </c>
      <c r="E1803" s="309" t="str">
        <f>VLOOKUP($B1803,'D7 - NDB Impacted SPRF''s'!$E$6:$O$9929,2,FALSE)</f>
        <v>Provider Issues - ICUE Changes - Q4 2012</v>
      </c>
      <c r="F1803" s="8"/>
      <c r="G1803" s="8" t="s">
        <v>4758</v>
      </c>
      <c r="H1803" s="8" t="s">
        <v>4246</v>
      </c>
      <c r="I1803" s="20">
        <v>7.0000000000000007E-2</v>
      </c>
      <c r="J1803" s="8" t="s">
        <v>4862</v>
      </c>
      <c r="K1803" s="182">
        <v>41223</v>
      </c>
      <c r="L1803" s="8" t="s">
        <v>4156</v>
      </c>
      <c r="M1803" s="8" t="s">
        <v>5626</v>
      </c>
      <c r="N1803" s="38"/>
      <c r="O1803" s="8"/>
      <c r="P1803" s="4" t="str">
        <f>VLOOKUP($B1803,'D7 - NDB Impacted SPRF''s'!$E$16:$O$9929,9,FALSE)</f>
        <v>N</v>
      </c>
      <c r="Q1803" s="4" t="str">
        <f>VLOOKUP($B1803,'D7 - NDB Impacted SPRF''s'!$E$16:$O$9929,10,FALSE)</f>
        <v>N</v>
      </c>
      <c r="R1803" s="4" t="str">
        <f>VLOOKUP($B1803,'D7 - NDB Impacted SPRF''s'!$E$16:$O$9929,11,FALSE)</f>
        <v>N</v>
      </c>
      <c r="S1803" s="8"/>
      <c r="T1803" s="310"/>
      <c r="U1803" s="310"/>
      <c r="V1803" s="4"/>
      <c r="W1803" s="4"/>
      <c r="X1803" s="4"/>
      <c r="Y1803" s="4"/>
      <c r="Z1803" s="4"/>
      <c r="AA1803" s="4"/>
      <c r="AB1803" s="380" t="str">
        <f>VLOOKUP($B1803,'D7 - NDB Impacted SPRF''s'!$E$6:$O$9929,4,FALSE)</f>
        <v>Completed</v>
      </c>
      <c r="AC1803" s="380" t="str">
        <f>VLOOKUP($B1803,'D7 - NDB Impacted SPRF''s'!$E$6:$O$9929,3,FALSE)</f>
        <v>UnitedHealthcare Employer &amp; Individual</v>
      </c>
      <c r="AD1803" s="380" t="str">
        <f>VLOOKUP($B1803,'D7 - NDB Impacted SPRF''s'!$E$6:$O$9929,5,FALSE)</f>
        <v>Medical Cost Savings Programs</v>
      </c>
      <c r="AE1803" s="380" t="str">
        <f>VLOOKUP($B1803,'D7 - NDB Impacted SPRF''s'!$E$6:$O$9929,7,FALSE)</f>
        <v>Nelson, Sheila M</v>
      </c>
      <c r="AF1803" s="380" t="str">
        <f>VLOOKUP($B1803,'D7 - NDB Impacted SPRF''s'!$E$6:$O$9929,6,FALSE)</f>
        <v>Manoj Viswanathan</v>
      </c>
      <c r="AG1803" s="282"/>
      <c r="AH1803" s="311" t="e">
        <f>INDEX('D5 - Gatekeeper - Projects'!$A$4:$AF$1010,$AM1803, 17)</f>
        <v>#N/A</v>
      </c>
      <c r="AI1803" s="8"/>
      <c r="AJ1803" s="57"/>
      <c r="AK1803" s="105"/>
      <c r="AM1803" s="6" t="e">
        <f>MATCH(D1803,'D5 - Gatekeeper - Projects'!$C$4:$C$1010,0)</f>
        <v>#N/A</v>
      </c>
      <c r="AN1803" s="6" t="b">
        <f t="shared" si="190"/>
        <v>1</v>
      </c>
      <c r="AO1803" s="6" t="str">
        <f t="shared" si="193"/>
        <v>OK</v>
      </c>
      <c r="AQ1803" s="6" t="e">
        <f>MATCH($D1803,'D4 - Provider Council Unsched'!$C$11:$C$234,0)</f>
        <v>#N/A</v>
      </c>
      <c r="AR1803" s="6" t="b">
        <f t="shared" si="191"/>
        <v>1</v>
      </c>
      <c r="AS1803" s="6" t="str">
        <f t="shared" si="195"/>
        <v>OK</v>
      </c>
      <c r="AU1803" s="202">
        <v>41103</v>
      </c>
      <c r="AV1803" s="262" t="s">
        <v>1080</v>
      </c>
      <c r="AW1803" s="274">
        <v>63842</v>
      </c>
    </row>
    <row r="1804" spans="1:49" s="13" customFormat="1" ht="123.75" x14ac:dyDescent="0.2">
      <c r="A1804" s="14">
        <v>1780</v>
      </c>
      <c r="B1804" s="8">
        <v>400053723</v>
      </c>
      <c r="C1804" s="8" t="s">
        <v>1447</v>
      </c>
      <c r="D1804" s="4" t="str">
        <f t="shared" si="194"/>
        <v>400053723A</v>
      </c>
      <c r="E1804" s="309" t="str">
        <f>VLOOKUP($B1804,'D7 - NDB Impacted SPRF''s'!$E$6:$O$9929,2,FALSE)</f>
        <v>TRICARE West Implementation FD: Provider/Network</v>
      </c>
      <c r="F1804" s="8"/>
      <c r="G1804" s="8" t="s">
        <v>4758</v>
      </c>
      <c r="H1804" s="8" t="s">
        <v>4246</v>
      </c>
      <c r="I1804" s="20">
        <v>110.9</v>
      </c>
      <c r="J1804" s="8" t="s">
        <v>4862</v>
      </c>
      <c r="K1804" s="182">
        <v>41223</v>
      </c>
      <c r="L1804" s="8" t="s">
        <v>4156</v>
      </c>
      <c r="M1804" s="8" t="s">
        <v>2814</v>
      </c>
      <c r="N1804" s="38" t="s">
        <v>3504</v>
      </c>
      <c r="O1804" s="8"/>
      <c r="P1804" s="4" t="str">
        <f>VLOOKUP($B1804,'D7 - NDB Impacted SPRF''s'!$E$16:$O$9929,9,FALSE)</f>
        <v>N</v>
      </c>
      <c r="Q1804" s="4" t="str">
        <f>VLOOKUP($B1804,'D7 - NDB Impacted SPRF''s'!$E$16:$O$9929,10,FALSE)</f>
        <v>N</v>
      </c>
      <c r="R1804" s="4" t="str">
        <f>VLOOKUP($B1804,'D7 - NDB Impacted SPRF''s'!$E$16:$O$9929,11,FALSE)</f>
        <v>Y</v>
      </c>
      <c r="S1804" s="8"/>
      <c r="T1804" s="310"/>
      <c r="U1804" s="310"/>
      <c r="V1804" s="4"/>
      <c r="W1804" s="4"/>
      <c r="X1804" s="4"/>
      <c r="Y1804" s="4"/>
      <c r="Z1804" s="4"/>
      <c r="AA1804" s="4"/>
      <c r="AB1804" s="380" t="str">
        <f>VLOOKUP($B1804,'D7 - NDB Impacted SPRF''s'!$E$6:$O$9929,4,FALSE)</f>
        <v>Scheduled</v>
      </c>
      <c r="AC1804" s="380" t="str">
        <f>VLOOKUP($B1804,'D7 - NDB Impacted SPRF''s'!$E$6:$O$9929,3,FALSE)</f>
        <v>UnitedHealthcare Military &amp; Veterans</v>
      </c>
      <c r="AD1804" s="380" t="str">
        <f>VLOOKUP($B1804,'D7 - NDB Impacted SPRF''s'!$E$6:$O$9929,5,FALSE)</f>
        <v>Integration Requirements</v>
      </c>
      <c r="AE1804" s="380" t="str">
        <f>VLOOKUP($B1804,'D7 - NDB Impacted SPRF''s'!$E$6:$O$9929,7,FALSE)</f>
        <v>Mike Schwarz</v>
      </c>
      <c r="AF1804" s="380" t="str">
        <f>VLOOKUP($B1804,'D7 - NDB Impacted SPRF''s'!$E$6:$O$9929,6,FALSE)</f>
        <v>Michael Schwarz</v>
      </c>
      <c r="AG1804" s="282"/>
      <c r="AH1804" s="311" t="e">
        <f>INDEX('D5 - Gatekeeper - Projects'!$A$4:$AF$1010,$AM1804, 17)</f>
        <v>#N/A</v>
      </c>
      <c r="AI1804" s="8"/>
      <c r="AJ1804" s="57"/>
      <c r="AK1804" s="105"/>
      <c r="AM1804" s="6" t="e">
        <f>MATCH(D1804,'D5 - Gatekeeper - Projects'!$C$4:$C$1010,0)</f>
        <v>#N/A</v>
      </c>
      <c r="AN1804" s="6" t="b">
        <f t="shared" si="190"/>
        <v>1</v>
      </c>
      <c r="AO1804" s="6" t="str">
        <f t="shared" si="193"/>
        <v>OK</v>
      </c>
      <c r="AQ1804" s="6" t="e">
        <f>MATCH($D1804,'D4 - Provider Council Unsched'!$C$11:$C$234,0)</f>
        <v>#N/A</v>
      </c>
      <c r="AR1804" s="6" t="b">
        <f t="shared" si="191"/>
        <v>1</v>
      </c>
      <c r="AS1804" s="6" t="str">
        <f t="shared" si="195"/>
        <v>OK</v>
      </c>
      <c r="AU1804" s="202">
        <v>41124</v>
      </c>
      <c r="AV1804" s="262" t="s">
        <v>3204</v>
      </c>
      <c r="AW1804" s="274">
        <v>66801</v>
      </c>
    </row>
    <row r="1805" spans="1:49" s="13" customFormat="1" ht="45" x14ac:dyDescent="0.2">
      <c r="A1805" s="14">
        <v>1781</v>
      </c>
      <c r="B1805" s="8">
        <v>400053723</v>
      </c>
      <c r="C1805" s="8" t="s">
        <v>8138</v>
      </c>
      <c r="D1805" s="4" t="str">
        <f t="shared" si="194"/>
        <v>400053723UA</v>
      </c>
      <c r="E1805" s="309" t="str">
        <f>VLOOKUP($B1805,'D7 - NDB Impacted SPRF''s'!$E$6:$O$9929,2,FALSE)</f>
        <v>TRICARE West Implementation FD: Provider/Network</v>
      </c>
      <c r="F1805" s="8"/>
      <c r="G1805" s="8" t="s">
        <v>4758</v>
      </c>
      <c r="H1805" s="8" t="s">
        <v>4246</v>
      </c>
      <c r="I1805" s="20">
        <v>2.85</v>
      </c>
      <c r="J1805" s="8" t="s">
        <v>4862</v>
      </c>
      <c r="K1805" s="182">
        <v>41223</v>
      </c>
      <c r="L1805" s="8" t="s">
        <v>4156</v>
      </c>
      <c r="M1805" s="8" t="s">
        <v>2814</v>
      </c>
      <c r="N1805" s="38" t="s">
        <v>197</v>
      </c>
      <c r="O1805" s="8"/>
      <c r="P1805" s="4" t="str">
        <f>VLOOKUP($B1805,'D7 - NDB Impacted SPRF''s'!$E$16:$O$9929,9,FALSE)</f>
        <v>N</v>
      </c>
      <c r="Q1805" s="4" t="str">
        <f>VLOOKUP($B1805,'D7 - NDB Impacted SPRF''s'!$E$16:$O$9929,10,FALSE)</f>
        <v>N</v>
      </c>
      <c r="R1805" s="4" t="str">
        <f>VLOOKUP($B1805,'D7 - NDB Impacted SPRF''s'!$E$16:$O$9929,11,FALSE)</f>
        <v>Y</v>
      </c>
      <c r="S1805" s="8"/>
      <c r="T1805" s="310"/>
      <c r="U1805" s="310"/>
      <c r="V1805" s="4"/>
      <c r="W1805" s="4"/>
      <c r="X1805" s="4"/>
      <c r="Y1805" s="4"/>
      <c r="Z1805" s="4"/>
      <c r="AA1805" s="4"/>
      <c r="AB1805" s="380" t="str">
        <f>VLOOKUP($B1805,'D7 - NDB Impacted SPRF''s'!$E$6:$O$9929,4,FALSE)</f>
        <v>Scheduled</v>
      </c>
      <c r="AC1805" s="380" t="str">
        <f>VLOOKUP($B1805,'D7 - NDB Impacted SPRF''s'!$E$6:$O$9929,3,FALSE)</f>
        <v>UnitedHealthcare Military &amp; Veterans</v>
      </c>
      <c r="AD1805" s="380" t="str">
        <f>VLOOKUP($B1805,'D7 - NDB Impacted SPRF''s'!$E$6:$O$9929,5,FALSE)</f>
        <v>Integration Requirements</v>
      </c>
      <c r="AE1805" s="380" t="str">
        <f>VLOOKUP($B1805,'D7 - NDB Impacted SPRF''s'!$E$6:$O$9929,7,FALSE)</f>
        <v>Mike Schwarz</v>
      </c>
      <c r="AF1805" s="380" t="str">
        <f>VLOOKUP($B1805,'D7 - NDB Impacted SPRF''s'!$E$6:$O$9929,6,FALSE)</f>
        <v>Michael Schwarz</v>
      </c>
      <c r="AG1805" s="282"/>
      <c r="AH1805" s="311" t="e">
        <f>INDEX('D5 - Gatekeeper - Projects'!$A$4:$AF$1010,$AM1805, 17)</f>
        <v>#N/A</v>
      </c>
      <c r="AI1805" s="8"/>
      <c r="AJ1805" s="57"/>
      <c r="AK1805" s="105"/>
      <c r="AM1805" s="6" t="e">
        <f>MATCH(D1805,'D5 - Gatekeeper - Projects'!$C$4:$C$1010,0)</f>
        <v>#N/A</v>
      </c>
      <c r="AN1805" s="6" t="b">
        <f t="shared" si="190"/>
        <v>1</v>
      </c>
      <c r="AO1805" s="6" t="str">
        <f t="shared" si="193"/>
        <v>OK</v>
      </c>
      <c r="AQ1805" s="6" t="e">
        <f>MATCH($D1805,'D4 - Provider Council Unsched'!$C$11:$C$234,0)</f>
        <v>#N/A</v>
      </c>
      <c r="AR1805" s="6" t="b">
        <f t="shared" si="191"/>
        <v>1</v>
      </c>
      <c r="AS1805" s="6" t="str">
        <f t="shared" si="195"/>
        <v>OK</v>
      </c>
      <c r="AU1805" s="202">
        <v>41124</v>
      </c>
      <c r="AV1805" s="262" t="s">
        <v>3204</v>
      </c>
      <c r="AW1805" s="274">
        <v>65329</v>
      </c>
    </row>
    <row r="1806" spans="1:49" s="13" customFormat="1" ht="33.75" x14ac:dyDescent="0.2">
      <c r="A1806" s="14">
        <v>1782</v>
      </c>
      <c r="B1806" s="8">
        <v>400053878</v>
      </c>
      <c r="C1806" s="8" t="s">
        <v>1447</v>
      </c>
      <c r="D1806" s="4" t="str">
        <f t="shared" si="194"/>
        <v>400053878A</v>
      </c>
      <c r="E1806" s="309" t="str">
        <f>VLOOKUP($B1806,'D7 - NDB Impacted SPRF''s'!$E$6:$O$9929,2,FALSE)</f>
        <v>RV FACETS Standard APC to ppoONE</v>
      </c>
      <c r="F1806" s="8"/>
      <c r="G1806" s="8" t="s">
        <v>4758</v>
      </c>
      <c r="H1806" s="8" t="s">
        <v>4246</v>
      </c>
      <c r="I1806" s="20">
        <v>0.14000000000000001</v>
      </c>
      <c r="J1806" s="8" t="s">
        <v>4862</v>
      </c>
      <c r="K1806" s="182">
        <v>41223</v>
      </c>
      <c r="L1806" s="8" t="s">
        <v>4156</v>
      </c>
      <c r="M1806" s="8" t="s">
        <v>5626</v>
      </c>
      <c r="N1806" s="38" t="s">
        <v>834</v>
      </c>
      <c r="O1806" s="8"/>
      <c r="P1806" s="4" t="str">
        <f>VLOOKUP($B1806,'D7 - NDB Impacted SPRF''s'!$E$16:$O$9929,9,FALSE)</f>
        <v>N</v>
      </c>
      <c r="Q1806" s="4" t="str">
        <f>VLOOKUP($B1806,'D7 - NDB Impacted SPRF''s'!$E$16:$O$9929,10,FALSE)</f>
        <v>N</v>
      </c>
      <c r="R1806" s="4" t="str">
        <f>VLOOKUP($B1806,'D7 - NDB Impacted SPRF''s'!$E$16:$O$9929,11,FALSE)</f>
        <v>Y</v>
      </c>
      <c r="S1806" s="8"/>
      <c r="T1806" s="310"/>
      <c r="U1806" s="310"/>
      <c r="V1806" s="4"/>
      <c r="W1806" s="4"/>
      <c r="X1806" s="4"/>
      <c r="Y1806" s="4"/>
      <c r="Z1806" s="4"/>
      <c r="AA1806" s="4"/>
      <c r="AB1806" s="380" t="str">
        <f>VLOOKUP($B1806,'D7 - NDB Impacted SPRF''s'!$E$6:$O$9929,4,FALSE)</f>
        <v>Scheduled</v>
      </c>
      <c r="AC1806" s="380" t="str">
        <f>VLOOKUP($B1806,'D7 - NDB Impacted SPRF''s'!$E$6:$O$9929,3,FALSE)</f>
        <v>UnitedHealthcare Community &amp; State</v>
      </c>
      <c r="AD1806" s="380" t="str">
        <f>VLOOKUP($B1806,'D7 - NDB Impacted SPRF''s'!$E$6:$O$9929,5,FALSE)</f>
        <v>Regulatory / Other</v>
      </c>
      <c r="AE1806" s="380" t="str">
        <f>VLOOKUP($B1806,'D7 - NDB Impacted SPRF''s'!$E$6:$O$9929,7,FALSE)</f>
        <v>Heidi Kemmer</v>
      </c>
      <c r="AF1806" s="380" t="str">
        <f>VLOOKUP($B1806,'D7 - NDB Impacted SPRF''s'!$E$6:$O$9929,6,FALSE)</f>
        <v>Mark Ferris</v>
      </c>
      <c r="AG1806" s="282"/>
      <c r="AH1806" s="311" t="e">
        <f>INDEX('D5 - Gatekeeper - Projects'!$A$4:$AF$1010,$AM1806, 17)</f>
        <v>#N/A</v>
      </c>
      <c r="AI1806" s="8"/>
      <c r="AJ1806" s="57"/>
      <c r="AK1806" s="105"/>
      <c r="AM1806" s="6" t="e">
        <f>MATCH(D1806,'D5 - Gatekeeper - Projects'!$C$4:$C$1010,0)</f>
        <v>#N/A</v>
      </c>
      <c r="AN1806" s="6" t="b">
        <f t="shared" si="190"/>
        <v>1</v>
      </c>
      <c r="AO1806" s="6" t="str">
        <f t="shared" si="193"/>
        <v>OK</v>
      </c>
      <c r="AQ1806" s="6" t="e">
        <f>MATCH($D1806,'D4 - Provider Council Unsched'!$C$11:$C$234,0)</f>
        <v>#N/A</v>
      </c>
      <c r="AR1806" s="6" t="b">
        <f t="shared" si="191"/>
        <v>1</v>
      </c>
      <c r="AS1806" s="6" t="str">
        <f t="shared" si="195"/>
        <v>OK</v>
      </c>
      <c r="AU1806" s="202">
        <v>41162</v>
      </c>
      <c r="AV1806" s="262" t="s">
        <v>3512</v>
      </c>
      <c r="AW1806" s="274">
        <v>66492</v>
      </c>
    </row>
    <row r="1807" spans="1:49" s="13" customFormat="1" ht="45" x14ac:dyDescent="0.2">
      <c r="A1807" s="14">
        <v>1783</v>
      </c>
      <c r="B1807" s="8">
        <v>400054333</v>
      </c>
      <c r="C1807" s="8" t="s">
        <v>8138</v>
      </c>
      <c r="D1807" s="4" t="str">
        <f t="shared" si="194"/>
        <v>400054333UA</v>
      </c>
      <c r="E1807" s="309" t="str">
        <f>VLOOKUP($B1807,'D7 - NDB Impacted SPRF''s'!$E$6:$O$9929,2,FALSE)</f>
        <v>NDB Role Based Security Access</v>
      </c>
      <c r="F1807" s="8"/>
      <c r="G1807" s="8" t="s">
        <v>4758</v>
      </c>
      <c r="H1807" s="8" t="s">
        <v>4246</v>
      </c>
      <c r="I1807" s="20">
        <v>17.079999999999998</v>
      </c>
      <c r="J1807" s="8" t="s">
        <v>4862</v>
      </c>
      <c r="K1807" s="182">
        <v>41223</v>
      </c>
      <c r="L1807" s="8" t="s">
        <v>4156</v>
      </c>
      <c r="M1807" s="8" t="s">
        <v>2814</v>
      </c>
      <c r="N1807" s="38" t="s">
        <v>2617</v>
      </c>
      <c r="O1807" s="8"/>
      <c r="P1807" s="4" t="str">
        <f>VLOOKUP($B1807,'D7 - NDB Impacted SPRF''s'!$E$16:$O$9929,9,FALSE)</f>
        <v>N</v>
      </c>
      <c r="Q1807" s="4" t="str">
        <f>VLOOKUP($B1807,'D7 - NDB Impacted SPRF''s'!$E$16:$O$9929,10,FALSE)</f>
        <v>N</v>
      </c>
      <c r="R1807" s="4" t="str">
        <f>VLOOKUP($B1807,'D7 - NDB Impacted SPRF''s'!$E$16:$O$9929,11,FALSE)</f>
        <v>N</v>
      </c>
      <c r="S1807" s="8"/>
      <c r="T1807" s="310"/>
      <c r="U1807" s="310"/>
      <c r="V1807" s="4"/>
      <c r="W1807" s="4"/>
      <c r="X1807" s="4"/>
      <c r="Y1807" s="4"/>
      <c r="Z1807" s="4"/>
      <c r="AA1807" s="4"/>
      <c r="AB1807" s="380" t="str">
        <f>VLOOKUP($B1807,'D7 - NDB Impacted SPRF''s'!$E$6:$O$9929,4,FALSE)</f>
        <v>Completed</v>
      </c>
      <c r="AC1807" s="380" t="str">
        <f>VLOOKUP($B1807,'D7 - NDB Impacted SPRF''s'!$E$6:$O$9929,3,FALSE)</f>
        <v>UnitedHealthcare Employer &amp; Individual</v>
      </c>
      <c r="AD1807" s="380" t="str">
        <f>VLOOKUP($B1807,'D7 - NDB Impacted SPRF''s'!$E$6:$O$9929,5,FALSE)</f>
        <v>Regulatory / Other</v>
      </c>
      <c r="AE1807" s="380" t="str">
        <f>VLOOKUP($B1807,'D7 - NDB Impacted SPRF''s'!$E$6:$O$9929,7,FALSE)</f>
        <v>Eileen Dock</v>
      </c>
      <c r="AF1807" s="380" t="str">
        <f>VLOOKUP($B1807,'D7 - NDB Impacted SPRF''s'!$E$6:$O$9929,6,FALSE)</f>
        <v>Mark Caporale</v>
      </c>
      <c r="AG1807" s="282"/>
      <c r="AH1807" s="311" t="e">
        <f>INDEX('D5 - Gatekeeper - Projects'!$A$4:$AF$1010,$AM1807, 17)</f>
        <v>#N/A</v>
      </c>
      <c r="AI1807" s="8"/>
      <c r="AJ1807" s="57"/>
      <c r="AK1807" s="105"/>
      <c r="AM1807" s="6" t="e">
        <f>MATCH(D1807,'D5 - Gatekeeper - Projects'!$C$4:$C$1010,0)</f>
        <v>#N/A</v>
      </c>
      <c r="AN1807" s="6" t="b">
        <f t="shared" si="190"/>
        <v>1</v>
      </c>
      <c r="AO1807" s="6" t="str">
        <f t="shared" si="193"/>
        <v>OK</v>
      </c>
      <c r="AQ1807" s="6" t="e">
        <f>MATCH($D1807,'D4 - Provider Council Unsched'!$C$11:$C$234,0)</f>
        <v>#N/A</v>
      </c>
      <c r="AR1807" s="6" t="b">
        <f t="shared" si="191"/>
        <v>1</v>
      </c>
      <c r="AS1807" s="6" t="str">
        <f t="shared" si="195"/>
        <v>OK</v>
      </c>
      <c r="AU1807" s="202">
        <v>41145</v>
      </c>
      <c r="AV1807" s="262" t="s">
        <v>476</v>
      </c>
      <c r="AW1807" s="274">
        <v>68766</v>
      </c>
    </row>
    <row r="1808" spans="1:49" s="13" customFormat="1" ht="78.75" x14ac:dyDescent="0.2">
      <c r="A1808" s="14">
        <v>1784</v>
      </c>
      <c r="B1808" s="8">
        <v>400048416</v>
      </c>
      <c r="C1808" s="8" t="s">
        <v>1447</v>
      </c>
      <c r="D1808" s="4" t="str">
        <f t="shared" si="194"/>
        <v>400048416A</v>
      </c>
      <c r="E1808" s="309" t="str">
        <f>VLOOKUP($B1808,'D7 - NDB Impacted SPRF''s'!$E$6:$O$9929,2,FALSE)</f>
        <v>OnLine Referral Capability for Gatekeeper Products</v>
      </c>
      <c r="F1808" s="8"/>
      <c r="G1808" s="8" t="s">
        <v>4758</v>
      </c>
      <c r="H1808" s="8" t="s">
        <v>4246</v>
      </c>
      <c r="I1808" s="20">
        <v>6.72</v>
      </c>
      <c r="J1808" s="8" t="s">
        <v>4862</v>
      </c>
      <c r="K1808" s="182">
        <v>41251</v>
      </c>
      <c r="L1808" s="8" t="s">
        <v>4156</v>
      </c>
      <c r="M1808" s="8" t="s">
        <v>2814</v>
      </c>
      <c r="N1808" s="38" t="s">
        <v>8161</v>
      </c>
      <c r="O1808" s="8"/>
      <c r="P1808" s="4" t="str">
        <f>VLOOKUP($B1808,'D7 - NDB Impacted SPRF''s'!$E$16:$O$9929,9,FALSE)</f>
        <v>Y</v>
      </c>
      <c r="Q1808" s="4" t="str">
        <f>VLOOKUP($B1808,'D7 - NDB Impacted SPRF''s'!$E$16:$O$9929,10,FALSE)</f>
        <v>N</v>
      </c>
      <c r="R1808" s="4" t="str">
        <f>VLOOKUP($B1808,'D7 - NDB Impacted SPRF''s'!$E$16:$O$9929,11,FALSE)</f>
        <v>N</v>
      </c>
      <c r="S1808" s="8"/>
      <c r="T1808" s="310"/>
      <c r="U1808" s="310"/>
      <c r="V1808" s="4"/>
      <c r="W1808" s="4"/>
      <c r="X1808" s="4"/>
      <c r="Y1808" s="4"/>
      <c r="Z1808" s="4"/>
      <c r="AA1808" s="4"/>
      <c r="AB1808" s="380" t="str">
        <f>VLOOKUP($B1808,'D7 - NDB Impacted SPRF''s'!$E$6:$O$9929,4,FALSE)</f>
        <v>Scheduled</v>
      </c>
      <c r="AC1808" s="380" t="str">
        <f>VLOOKUP($B1808,'D7 - NDB Impacted SPRF''s'!$E$6:$O$9929,3,FALSE)</f>
        <v>UnitedHealthcare Medicare &amp; Retirement</v>
      </c>
      <c r="AD1808" s="380" t="str">
        <f>VLOOKUP($B1808,'D7 - NDB Impacted SPRF''s'!$E$6:$O$9929,5,FALSE)</f>
        <v>Customer Requirements</v>
      </c>
      <c r="AE1808" s="380" t="str">
        <f>VLOOKUP($B1808,'D7 - NDB Impacted SPRF''s'!$E$6:$O$9929,7,FALSE)</f>
        <v>Michael Donovan</v>
      </c>
      <c r="AF1808" s="380" t="str">
        <f>VLOOKUP($B1808,'D7 - NDB Impacted SPRF''s'!$E$6:$O$9929,6,FALSE)</f>
        <v>Brendan Dolan</v>
      </c>
      <c r="AG1808" s="282"/>
      <c r="AH1808" s="311" t="e">
        <f>INDEX('D5 - Gatekeeper - Projects'!$A$4:$AF$1010,$AM1808, 17)</f>
        <v>#N/A</v>
      </c>
      <c r="AI1808" s="8"/>
      <c r="AJ1808" s="57"/>
      <c r="AK1808" s="105"/>
      <c r="AM1808" s="6" t="e">
        <f>MATCH(D1808,'D5 - Gatekeeper - Projects'!$C$4:$C$1010,0)</f>
        <v>#N/A</v>
      </c>
      <c r="AN1808" s="6" t="b">
        <f t="shared" si="190"/>
        <v>1</v>
      </c>
      <c r="AO1808" s="6" t="str">
        <f t="shared" si="193"/>
        <v>OK</v>
      </c>
      <c r="AQ1808" s="6" t="e">
        <f>MATCH($D1808,'D4 - Provider Council Unsched'!$C$11:$C$234,0)</f>
        <v>#N/A</v>
      </c>
      <c r="AR1808" s="6" t="b">
        <f t="shared" si="191"/>
        <v>1</v>
      </c>
      <c r="AS1808" s="6" t="str">
        <f t="shared" si="195"/>
        <v>OK</v>
      </c>
      <c r="AU1808" s="202"/>
      <c r="AV1808" s="262" t="s">
        <v>1131</v>
      </c>
      <c r="AW1808" s="274">
        <v>53803</v>
      </c>
    </row>
    <row r="1809" spans="1:49" s="13" customFormat="1" ht="45" x14ac:dyDescent="0.2">
      <c r="A1809" s="14">
        <v>1785</v>
      </c>
      <c r="B1809" s="8">
        <v>400050155</v>
      </c>
      <c r="C1809" s="8" t="s">
        <v>7292</v>
      </c>
      <c r="D1809" s="4" t="str">
        <f t="shared" si="194"/>
        <v>400050155C</v>
      </c>
      <c r="E1809" s="309" t="str">
        <f>VLOOKUP($B1809,'D7 - NDB Impacted SPRF''s'!$E$6:$O$9929,2,FALSE)</f>
        <v>Health Care Cost Estimator  Release 2.2</v>
      </c>
      <c r="F1809" s="8"/>
      <c r="G1809" s="8" t="s">
        <v>4758</v>
      </c>
      <c r="H1809" s="8" t="s">
        <v>4246</v>
      </c>
      <c r="I1809" s="20" t="s">
        <v>4027</v>
      </c>
      <c r="J1809" s="8" t="s">
        <v>4862</v>
      </c>
      <c r="K1809" s="182">
        <v>41251</v>
      </c>
      <c r="L1809" s="8" t="s">
        <v>4156</v>
      </c>
      <c r="M1809" s="8" t="s">
        <v>2814</v>
      </c>
      <c r="N1809" s="364" t="s">
        <v>3514</v>
      </c>
      <c r="O1809" s="8"/>
      <c r="P1809" s="4" t="str">
        <f>VLOOKUP($B1809,'D7 - NDB Impacted SPRF''s'!$E$16:$O$9929,9,FALSE)</f>
        <v>Y</v>
      </c>
      <c r="Q1809" s="4" t="str">
        <f>VLOOKUP($B1809,'D7 - NDB Impacted SPRF''s'!$E$16:$O$9929,10,FALSE)</f>
        <v>N</v>
      </c>
      <c r="R1809" s="4" t="str">
        <f>VLOOKUP($B1809,'D7 - NDB Impacted SPRF''s'!$E$16:$O$9929,11,FALSE)</f>
        <v>N</v>
      </c>
      <c r="S1809" s="8"/>
      <c r="T1809" s="310"/>
      <c r="U1809" s="310"/>
      <c r="V1809" s="4"/>
      <c r="W1809" s="4"/>
      <c r="X1809" s="4"/>
      <c r="Y1809" s="4"/>
      <c r="Z1809" s="4"/>
      <c r="AA1809" s="4"/>
      <c r="AB1809" s="380" t="str">
        <f>VLOOKUP($B1809,'D7 - NDB Impacted SPRF''s'!$E$6:$O$9929,4,FALSE)</f>
        <v>Scheduled</v>
      </c>
      <c r="AC1809" s="380" t="str">
        <f>VLOOKUP($B1809,'D7 - NDB Impacted SPRF''s'!$E$6:$O$9929,3,FALSE)</f>
        <v>UnitedHealthcare Employer &amp; Individual</v>
      </c>
      <c r="AD1809" s="380" t="str">
        <f>VLOOKUP($B1809,'D7 - NDB Impacted SPRF''s'!$E$6:$O$9929,5,FALSE)</f>
        <v>Membership Growth / Revenue Programs</v>
      </c>
      <c r="AE1809" s="380" t="str">
        <f>VLOOKUP($B1809,'D7 - NDB Impacted SPRF''s'!$E$6:$O$9929,7,FALSE)</f>
        <v>Victoria Bogatyrenko</v>
      </c>
      <c r="AF1809" s="380" t="str">
        <f>VLOOKUP($B1809,'D7 - NDB Impacted SPRF''s'!$E$6:$O$9929,6,FALSE)</f>
        <v>Kari Mclarty</v>
      </c>
      <c r="AG1809" s="282"/>
      <c r="AH1809" s="311" t="e">
        <f>INDEX('D5 - Gatekeeper - Projects'!$A$4:$AF$1010,$AM1809, 17)</f>
        <v>#N/A</v>
      </c>
      <c r="AI1809" s="8"/>
      <c r="AJ1809" s="57"/>
      <c r="AK1809" s="105"/>
      <c r="AM1809" s="6" t="e">
        <f>MATCH(D1809,'D5 - Gatekeeper - Projects'!$C$4:$C$1010,0)</f>
        <v>#N/A</v>
      </c>
      <c r="AN1809" s="6" t="b">
        <f t="shared" ref="AN1809:AN1872" si="196">ISERROR(AM1809)</f>
        <v>1</v>
      </c>
      <c r="AO1809" s="6" t="str">
        <f t="shared" si="193"/>
        <v>OK</v>
      </c>
      <c r="AQ1809" s="6" t="e">
        <f>MATCH($D1809,'D4 - Provider Council Unsched'!$C$11:$C$234,0)</f>
        <v>#N/A</v>
      </c>
      <c r="AR1809" s="6" t="b">
        <f t="shared" ref="AR1809:AR1872" si="197">ISERROR(AQ1809)</f>
        <v>1</v>
      </c>
      <c r="AS1809" s="6" t="str">
        <f t="shared" ref="AS1809:AS1840" si="198">IF(AND(H1809="2 - Not Scheduled",AR1809=TRUE,C1809="R1"),"Add","OK")</f>
        <v>OK</v>
      </c>
      <c r="AU1809" s="202">
        <v>41193</v>
      </c>
      <c r="AV1809" s="262" t="s">
        <v>932</v>
      </c>
      <c r="AW1809" s="274">
        <v>56214</v>
      </c>
    </row>
    <row r="1810" spans="1:49" s="13" customFormat="1" ht="112.5" x14ac:dyDescent="0.2">
      <c r="A1810" s="14">
        <v>1786</v>
      </c>
      <c r="B1810" s="8">
        <v>400050630</v>
      </c>
      <c r="C1810" s="8" t="s">
        <v>1447</v>
      </c>
      <c r="D1810" s="4" t="str">
        <f t="shared" si="194"/>
        <v>400050630A</v>
      </c>
      <c r="E1810" s="309" t="str">
        <f>VLOOKUP($B1810,'D7 - NDB Impacted SPRF''s'!$E$6:$O$9929,2,FALSE)</f>
        <v>NDB SoT - C&amp;S Strategic NDB SoT Enhancements A/D</v>
      </c>
      <c r="F1810" s="8"/>
      <c r="G1810" s="8" t="s">
        <v>4758</v>
      </c>
      <c r="H1810" s="8" t="s">
        <v>4246</v>
      </c>
      <c r="I1810" s="20">
        <v>146.19999999999999</v>
      </c>
      <c r="J1810" s="8" t="s">
        <v>4862</v>
      </c>
      <c r="K1810" s="182">
        <v>41251</v>
      </c>
      <c r="L1810" s="8" t="s">
        <v>4156</v>
      </c>
      <c r="M1810" s="8" t="s">
        <v>2814</v>
      </c>
      <c r="N1810" s="38" t="s">
        <v>327</v>
      </c>
      <c r="O1810" s="8"/>
      <c r="P1810" s="4" t="str">
        <f>VLOOKUP($B1810,'D7 - NDB Impacted SPRF''s'!$E$16:$O$9929,9,FALSE)</f>
        <v>N</v>
      </c>
      <c r="Q1810" s="4" t="str">
        <f>VLOOKUP($B1810,'D7 - NDB Impacted SPRF''s'!$E$16:$O$9929,10,FALSE)</f>
        <v>N</v>
      </c>
      <c r="R1810" s="4" t="str">
        <f>VLOOKUP($B1810,'D7 - NDB Impacted SPRF''s'!$E$16:$O$9929,11,FALSE)</f>
        <v>N</v>
      </c>
      <c r="S1810" s="8"/>
      <c r="T1810" s="310"/>
      <c r="U1810" s="310"/>
      <c r="V1810" s="4"/>
      <c r="W1810" s="4"/>
      <c r="X1810" s="4"/>
      <c r="Y1810" s="4"/>
      <c r="Z1810" s="4"/>
      <c r="AA1810" s="4"/>
      <c r="AB1810" s="380" t="str">
        <f>VLOOKUP($B1810,'D7 - NDB Impacted SPRF''s'!$E$6:$O$9929,4,FALSE)</f>
        <v>Scheduled</v>
      </c>
      <c r="AC1810" s="380" t="str">
        <f>VLOOKUP($B1810,'D7 - NDB Impacted SPRF''s'!$E$6:$O$9929,3,FALSE)</f>
        <v>UHG IT - Shared Services</v>
      </c>
      <c r="AD1810" s="380" t="str">
        <f>VLOOKUP($B1810,'D7 - NDB Impacted SPRF''s'!$E$6:$O$9929,5,FALSE)</f>
        <v>Strategic Initiatives</v>
      </c>
      <c r="AE1810" s="380" t="str">
        <f>VLOOKUP($B1810,'D7 - NDB Impacted SPRF''s'!$E$6:$O$9929,7,FALSE)</f>
        <v>Kaja, Tim</v>
      </c>
      <c r="AF1810" s="380" t="str">
        <f>VLOOKUP($B1810,'D7 - NDB Impacted SPRF''s'!$E$6:$O$9929,6,FALSE)</f>
        <v>Shelly Heit</v>
      </c>
      <c r="AG1810" s="282"/>
      <c r="AH1810" s="311" t="e">
        <f>INDEX('D5 - Gatekeeper - Projects'!$A$4:$AF$1010,$AM1810, 17)</f>
        <v>#N/A</v>
      </c>
      <c r="AI1810" s="8"/>
      <c r="AJ1810" s="57"/>
      <c r="AK1810" s="105"/>
      <c r="AM1810" s="6" t="e">
        <f>MATCH(D1810,'D5 - Gatekeeper - Projects'!$C$4:$C$1010,0)</f>
        <v>#N/A</v>
      </c>
      <c r="AN1810" s="6" t="b">
        <f t="shared" si="196"/>
        <v>1</v>
      </c>
      <c r="AO1810" s="6" t="str">
        <f t="shared" ref="AO1810:AO1873" si="199">IF(AND(H1810="1 - Scheduled",AN1810=TRUE),"Add","OK")</f>
        <v>OK</v>
      </c>
      <c r="AQ1810" s="6" t="e">
        <f>MATCH($D1810,'D4 - Provider Council Unsched'!$C$11:$C$234,0)</f>
        <v>#N/A</v>
      </c>
      <c r="AR1810" s="6" t="b">
        <f t="shared" si="197"/>
        <v>1</v>
      </c>
      <c r="AS1810" s="6" t="str">
        <f t="shared" si="198"/>
        <v>OK</v>
      </c>
      <c r="AU1810" s="202">
        <v>40987</v>
      </c>
      <c r="AV1810" s="262" t="s">
        <v>1081</v>
      </c>
      <c r="AW1810" s="274">
        <v>57883</v>
      </c>
    </row>
    <row r="1811" spans="1:49" s="13" customFormat="1" ht="56.25" x14ac:dyDescent="0.2">
      <c r="A1811" s="14">
        <v>1787</v>
      </c>
      <c r="B1811" s="8">
        <v>400053723</v>
      </c>
      <c r="C1811" s="8" t="s">
        <v>7292</v>
      </c>
      <c r="D1811" s="4" t="str">
        <f t="shared" si="194"/>
        <v>400053723C</v>
      </c>
      <c r="E1811" s="309" t="str">
        <f>VLOOKUP($B1811,'D7 - NDB Impacted SPRF''s'!$E$6:$O$9929,2,FALSE)</f>
        <v>TRICARE West Implementation FD: Provider/Network</v>
      </c>
      <c r="F1811" s="8"/>
      <c r="G1811" s="8" t="s">
        <v>4758</v>
      </c>
      <c r="H1811" s="8" t="s">
        <v>4246</v>
      </c>
      <c r="I1811" s="20">
        <v>15.33</v>
      </c>
      <c r="J1811" s="8" t="s">
        <v>4862</v>
      </c>
      <c r="K1811" s="182">
        <v>41251</v>
      </c>
      <c r="L1811" s="8" t="s">
        <v>4156</v>
      </c>
      <c r="M1811" s="8" t="s">
        <v>2814</v>
      </c>
      <c r="N1811" s="38" t="s">
        <v>3505</v>
      </c>
      <c r="O1811" s="8"/>
      <c r="P1811" s="4" t="str">
        <f>VLOOKUP($B1811,'D7 - NDB Impacted SPRF''s'!$E$16:$O$9929,9,FALSE)</f>
        <v>N</v>
      </c>
      <c r="Q1811" s="4" t="str">
        <f>VLOOKUP($B1811,'D7 - NDB Impacted SPRF''s'!$E$16:$O$9929,10,FALSE)</f>
        <v>N</v>
      </c>
      <c r="R1811" s="4" t="str">
        <f>VLOOKUP($B1811,'D7 - NDB Impacted SPRF''s'!$E$16:$O$9929,11,FALSE)</f>
        <v>Y</v>
      </c>
      <c r="S1811" s="8"/>
      <c r="T1811" s="310"/>
      <c r="U1811" s="310"/>
      <c r="V1811" s="4"/>
      <c r="W1811" s="4"/>
      <c r="X1811" s="4"/>
      <c r="Y1811" s="4"/>
      <c r="Z1811" s="4"/>
      <c r="AA1811" s="4"/>
      <c r="AB1811" s="380" t="str">
        <f>VLOOKUP($B1811,'D7 - NDB Impacted SPRF''s'!$E$6:$O$9929,4,FALSE)</f>
        <v>Scheduled</v>
      </c>
      <c r="AC1811" s="380" t="str">
        <f>VLOOKUP($B1811,'D7 - NDB Impacted SPRF''s'!$E$6:$O$9929,3,FALSE)</f>
        <v>UnitedHealthcare Military &amp; Veterans</v>
      </c>
      <c r="AD1811" s="380" t="str">
        <f>VLOOKUP($B1811,'D7 - NDB Impacted SPRF''s'!$E$6:$O$9929,5,FALSE)</f>
        <v>Integration Requirements</v>
      </c>
      <c r="AE1811" s="380" t="str">
        <f>VLOOKUP($B1811,'D7 - NDB Impacted SPRF''s'!$E$6:$O$9929,7,FALSE)</f>
        <v>Mike Schwarz</v>
      </c>
      <c r="AF1811" s="380" t="str">
        <f>VLOOKUP($B1811,'D7 - NDB Impacted SPRF''s'!$E$6:$O$9929,6,FALSE)</f>
        <v>Michael Schwarz</v>
      </c>
      <c r="AG1811" s="282"/>
      <c r="AH1811" s="311" t="e">
        <f>INDEX('D5 - Gatekeeper - Projects'!$A$4:$AF$1010,$AM1811, 17)</f>
        <v>#N/A</v>
      </c>
      <c r="AI1811" s="8"/>
      <c r="AJ1811" s="57"/>
      <c r="AK1811" s="105"/>
      <c r="AM1811" s="6" t="e">
        <f>MATCH(D1811,'D5 - Gatekeeper - Projects'!$C$4:$C$1010,0)</f>
        <v>#N/A</v>
      </c>
      <c r="AN1811" s="6" t="b">
        <f t="shared" si="196"/>
        <v>1</v>
      </c>
      <c r="AO1811" s="6" t="str">
        <f t="shared" si="199"/>
        <v>OK</v>
      </c>
      <c r="AQ1811" s="6" t="e">
        <f>MATCH($D1811,'D4 - Provider Council Unsched'!$C$11:$C$234,0)</f>
        <v>#N/A</v>
      </c>
      <c r="AR1811" s="6" t="b">
        <f t="shared" si="197"/>
        <v>1</v>
      </c>
      <c r="AS1811" s="6" t="str">
        <f t="shared" si="198"/>
        <v>OK</v>
      </c>
      <c r="AU1811" s="202">
        <v>41162</v>
      </c>
      <c r="AV1811" s="262" t="s">
        <v>3204</v>
      </c>
      <c r="AW1811" s="274">
        <v>66801</v>
      </c>
    </row>
    <row r="1812" spans="1:49" s="13" customFormat="1" ht="22.5" x14ac:dyDescent="0.2">
      <c r="A1812" s="14">
        <v>1788</v>
      </c>
      <c r="B1812" s="14">
        <v>400055564</v>
      </c>
      <c r="C1812" s="8" t="s">
        <v>1447</v>
      </c>
      <c r="D1812" s="4" t="str">
        <f t="shared" si="194"/>
        <v>400055564A</v>
      </c>
      <c r="E1812" s="309" t="str">
        <f>VLOOKUP($B1812,'D7 - NDB Impacted SPRF''s'!$E$6:$O$9929,2,FALSE)</f>
        <v>2013 CPT Code Changes</v>
      </c>
      <c r="F1812" s="8"/>
      <c r="G1812" s="8" t="s">
        <v>4758</v>
      </c>
      <c r="H1812" s="8" t="s">
        <v>4246</v>
      </c>
      <c r="I1812" s="20">
        <v>0.71</v>
      </c>
      <c r="J1812" s="8" t="s">
        <v>4862</v>
      </c>
      <c r="K1812" s="182">
        <v>41251</v>
      </c>
      <c r="L1812" s="8" t="s">
        <v>4156</v>
      </c>
      <c r="M1812" s="8" t="s">
        <v>5626</v>
      </c>
      <c r="N1812" s="38" t="s">
        <v>841</v>
      </c>
      <c r="O1812" s="8"/>
      <c r="P1812" s="4" t="str">
        <f>VLOOKUP($B1812,'D7 - NDB Impacted SPRF''s'!$E$16:$O$9929,9,FALSE)</f>
        <v>Y</v>
      </c>
      <c r="Q1812" s="4" t="str">
        <f>VLOOKUP($B1812,'D7 - NDB Impacted SPRF''s'!$E$16:$O$9929,10,FALSE)</f>
        <v>N</v>
      </c>
      <c r="R1812" s="4" t="str">
        <f>VLOOKUP($B1812,'D7 - NDB Impacted SPRF''s'!$E$16:$O$9929,11,FALSE)</f>
        <v>Y</v>
      </c>
      <c r="S1812" s="8"/>
      <c r="T1812" s="310"/>
      <c r="U1812" s="310"/>
      <c r="V1812" s="4"/>
      <c r="W1812" s="4"/>
      <c r="X1812" s="4"/>
      <c r="Y1812" s="4"/>
      <c r="Z1812" s="4"/>
      <c r="AA1812" s="4"/>
      <c r="AB1812" s="380" t="str">
        <f>VLOOKUP($B1812,'D7 - NDB Impacted SPRF''s'!$E$6:$O$9929,4,FALSE)</f>
        <v>Scheduled</v>
      </c>
      <c r="AC1812" s="380" t="str">
        <f>VLOOKUP($B1812,'D7 - NDB Impacted SPRF''s'!$E$6:$O$9929,3,FALSE)</f>
        <v>OptumHealth</v>
      </c>
      <c r="AD1812" s="380" t="str">
        <f>VLOOKUP($B1812,'D7 - NDB Impacted SPRF''s'!$E$6:$O$9929,5,FALSE)</f>
        <v>Behavioral Solutions</v>
      </c>
      <c r="AE1812" s="380" t="str">
        <f>VLOOKUP($B1812,'D7 - NDB Impacted SPRF''s'!$E$6:$O$9929,7,FALSE)</f>
        <v>Adler, Deb</v>
      </c>
      <c r="AF1812" s="380" t="str">
        <f>VLOOKUP($B1812,'D7 - NDB Impacted SPRF''s'!$E$6:$O$9929,6,FALSE)</f>
        <v>Shanna Loewen</v>
      </c>
      <c r="AG1812" s="282"/>
      <c r="AH1812" s="311" t="e">
        <f>INDEX('D5 - Gatekeeper - Projects'!$A$4:$AF$1010,$AM1812, 17)</f>
        <v>#N/A</v>
      </c>
      <c r="AI1812" s="8"/>
      <c r="AJ1812" s="57"/>
      <c r="AK1812" s="105"/>
      <c r="AM1812" s="6" t="e">
        <f>MATCH(D1812,'D5 - Gatekeeper - Projects'!$C$4:$C$1010,0)</f>
        <v>#N/A</v>
      </c>
      <c r="AN1812" s="6" t="b">
        <f t="shared" si="196"/>
        <v>1</v>
      </c>
      <c r="AO1812" s="6" t="str">
        <f t="shared" si="199"/>
        <v>OK</v>
      </c>
      <c r="AQ1812" s="6" t="e">
        <f>MATCH($D1812,'D4 - Provider Council Unsched'!$C$11:$C$234,0)</f>
        <v>#N/A</v>
      </c>
      <c r="AR1812" s="6" t="b">
        <f t="shared" si="197"/>
        <v>1</v>
      </c>
      <c r="AS1812" s="6" t="str">
        <f t="shared" si="198"/>
        <v>OK</v>
      </c>
      <c r="AU1812" s="202"/>
      <c r="AV1812" s="262"/>
      <c r="AW1812" s="274">
        <v>71772</v>
      </c>
    </row>
    <row r="1813" spans="1:49" s="13" customFormat="1" ht="90" x14ac:dyDescent="0.2">
      <c r="A1813" s="14">
        <v>1789</v>
      </c>
      <c r="B1813" s="14">
        <v>400054944</v>
      </c>
      <c r="C1813" s="8" t="s">
        <v>1447</v>
      </c>
      <c r="D1813" s="4" t="str">
        <f t="shared" si="194"/>
        <v>400054944A</v>
      </c>
      <c r="E1813" s="309" t="str">
        <f>VLOOKUP($B1813,'D7 - NDB Impacted SPRF''s'!$E$6:$O$9929,2,FALSE)</f>
        <v xml:space="preserve">Kansas BH Claims Processing on CSP &amp; Careone </v>
      </c>
      <c r="F1813" s="8"/>
      <c r="G1813" s="8" t="s">
        <v>4758</v>
      </c>
      <c r="H1813" s="8" t="s">
        <v>4246</v>
      </c>
      <c r="I1813" s="20">
        <v>0.46</v>
      </c>
      <c r="J1813" s="8" t="s">
        <v>4862</v>
      </c>
      <c r="K1813" s="182">
        <v>41255</v>
      </c>
      <c r="L1813" s="8" t="s">
        <v>4156</v>
      </c>
      <c r="M1813" s="8" t="s">
        <v>2814</v>
      </c>
      <c r="N1813" s="38" t="s">
        <v>837</v>
      </c>
      <c r="O1813" s="8"/>
      <c r="P1813" s="4" t="str">
        <f>VLOOKUP($B1813,'D7 - NDB Impacted SPRF''s'!$E$16:$O$9929,9,FALSE)</f>
        <v>N</v>
      </c>
      <c r="Q1813" s="4" t="str">
        <f>VLOOKUP($B1813,'D7 - NDB Impacted SPRF''s'!$E$16:$O$9929,10,FALSE)</f>
        <v>N</v>
      </c>
      <c r="R1813" s="4" t="str">
        <f>VLOOKUP($B1813,'D7 - NDB Impacted SPRF''s'!$E$16:$O$9929,11,FALSE)</f>
        <v>N</v>
      </c>
      <c r="S1813" s="8"/>
      <c r="T1813" s="310"/>
      <c r="U1813" s="310"/>
      <c r="V1813" s="4"/>
      <c r="W1813" s="4"/>
      <c r="X1813" s="4"/>
      <c r="Y1813" s="4"/>
      <c r="Z1813" s="4"/>
      <c r="AA1813" s="4"/>
      <c r="AB1813" s="380" t="str">
        <f>VLOOKUP($B1813,'D7 - NDB Impacted SPRF''s'!$E$6:$O$9929,4,FALSE)</f>
        <v>Scheduled</v>
      </c>
      <c r="AC1813" s="380" t="str">
        <f>VLOOKUP($B1813,'D7 - NDB Impacted SPRF''s'!$E$6:$O$9929,3,FALSE)</f>
        <v>UnitedHealthcare Community &amp; State</v>
      </c>
      <c r="AD1813" s="380" t="str">
        <f>VLOOKUP($B1813,'D7 - NDB Impacted SPRF''s'!$E$6:$O$9929,5,FALSE)</f>
        <v>Membership Growth / Revenue Programs</v>
      </c>
      <c r="AE1813" s="380" t="str">
        <f>VLOOKUP($B1813,'D7 - NDB Impacted SPRF''s'!$E$6:$O$9929,7,FALSE)</f>
        <v xml:space="preserve">Bror Hultgren </v>
      </c>
      <c r="AF1813" s="380" t="str">
        <f>VLOOKUP($B1813,'D7 - NDB Impacted SPRF''s'!$E$6:$O$9929,6,FALSE)</f>
        <v>Sudheer Ponnala</v>
      </c>
      <c r="AG1813" s="282"/>
      <c r="AH1813" s="311" t="e">
        <f>INDEX('D5 - Gatekeeper - Projects'!$A$4:$AF$1010,$AM1813, 17)</f>
        <v>#N/A</v>
      </c>
      <c r="AI1813" s="8"/>
      <c r="AJ1813" s="57"/>
      <c r="AK1813" s="105"/>
      <c r="AM1813" s="6" t="e">
        <f>MATCH(D1813,'D5 - Gatekeeper - Projects'!$C$4:$C$1010,0)</f>
        <v>#N/A</v>
      </c>
      <c r="AN1813" s="6" t="b">
        <f t="shared" si="196"/>
        <v>1</v>
      </c>
      <c r="AO1813" s="6" t="str">
        <f t="shared" si="199"/>
        <v>OK</v>
      </c>
      <c r="AQ1813" s="6" t="e">
        <f>MATCH($D1813,'D4 - Provider Council Unsched'!$C$11:$C$234,0)</f>
        <v>#N/A</v>
      </c>
      <c r="AR1813" s="6" t="b">
        <f t="shared" si="197"/>
        <v>1</v>
      </c>
      <c r="AS1813" s="6" t="str">
        <f t="shared" si="198"/>
        <v>OK</v>
      </c>
      <c r="AU1813" s="202">
        <v>41173</v>
      </c>
      <c r="AV1813" s="262" t="s">
        <v>34</v>
      </c>
      <c r="AW1813" s="274">
        <v>69688</v>
      </c>
    </row>
    <row r="1814" spans="1:49" s="13" customFormat="1" ht="33.75" x14ac:dyDescent="0.2">
      <c r="A1814" s="14">
        <v>1790</v>
      </c>
      <c r="B1814" s="14">
        <v>400054944</v>
      </c>
      <c r="C1814" s="8" t="s">
        <v>7292</v>
      </c>
      <c r="D1814" s="4" t="str">
        <f t="shared" si="194"/>
        <v>400054944C</v>
      </c>
      <c r="E1814" s="309" t="str">
        <f>VLOOKUP($B1814,'D7 - NDB Impacted SPRF''s'!$E$6:$O$9929,2,FALSE)</f>
        <v xml:space="preserve">Kansas BH Claims Processing on CSP &amp; Careone </v>
      </c>
      <c r="F1814" s="8"/>
      <c r="G1814" s="8" t="s">
        <v>4758</v>
      </c>
      <c r="H1814" s="8" t="s">
        <v>4246</v>
      </c>
      <c r="I1814" s="20">
        <v>0.95</v>
      </c>
      <c r="J1814" s="8" t="s">
        <v>4862</v>
      </c>
      <c r="K1814" s="182">
        <v>41255</v>
      </c>
      <c r="L1814" s="8" t="s">
        <v>4156</v>
      </c>
      <c r="M1814" s="8" t="s">
        <v>2814</v>
      </c>
      <c r="N1814" s="38" t="s">
        <v>6041</v>
      </c>
      <c r="O1814" s="8"/>
      <c r="P1814" s="4" t="str">
        <f>VLOOKUP($B1814,'D7 - NDB Impacted SPRF''s'!$E$16:$O$9929,9,FALSE)</f>
        <v>N</v>
      </c>
      <c r="Q1814" s="4" t="str">
        <f>VLOOKUP($B1814,'D7 - NDB Impacted SPRF''s'!$E$16:$O$9929,10,FALSE)</f>
        <v>N</v>
      </c>
      <c r="R1814" s="4" t="str">
        <f>VLOOKUP($B1814,'D7 - NDB Impacted SPRF''s'!$E$16:$O$9929,11,FALSE)</f>
        <v>N</v>
      </c>
      <c r="S1814" s="8"/>
      <c r="T1814" s="310"/>
      <c r="U1814" s="310"/>
      <c r="V1814" s="4"/>
      <c r="W1814" s="4"/>
      <c r="X1814" s="4"/>
      <c r="Y1814" s="4"/>
      <c r="Z1814" s="4"/>
      <c r="AA1814" s="4"/>
      <c r="AB1814" s="380" t="str">
        <f>VLOOKUP($B1814,'D7 - NDB Impacted SPRF''s'!$E$6:$O$9929,4,FALSE)</f>
        <v>Scheduled</v>
      </c>
      <c r="AC1814" s="380" t="str">
        <f>VLOOKUP($B1814,'D7 - NDB Impacted SPRF''s'!$E$6:$O$9929,3,FALSE)</f>
        <v>UnitedHealthcare Community &amp; State</v>
      </c>
      <c r="AD1814" s="380" t="str">
        <f>VLOOKUP($B1814,'D7 - NDB Impacted SPRF''s'!$E$6:$O$9929,5,FALSE)</f>
        <v>Membership Growth / Revenue Programs</v>
      </c>
      <c r="AE1814" s="380" t="str">
        <f>VLOOKUP($B1814,'D7 - NDB Impacted SPRF''s'!$E$6:$O$9929,7,FALSE)</f>
        <v xml:space="preserve">Bror Hultgren </v>
      </c>
      <c r="AF1814" s="380" t="str">
        <f>VLOOKUP($B1814,'D7 - NDB Impacted SPRF''s'!$E$6:$O$9929,6,FALSE)</f>
        <v>Sudheer Ponnala</v>
      </c>
      <c r="AG1814" s="282"/>
      <c r="AH1814" s="311" t="e">
        <f>INDEX('D5 - Gatekeeper - Projects'!$A$4:$AF$1010,$AM1814, 17)</f>
        <v>#N/A</v>
      </c>
      <c r="AI1814" s="8"/>
      <c r="AJ1814" s="57"/>
      <c r="AK1814" s="105"/>
      <c r="AM1814" s="6" t="e">
        <f>MATCH(D1814,'D5 - Gatekeeper - Projects'!$C$4:$C$1010,0)</f>
        <v>#N/A</v>
      </c>
      <c r="AN1814" s="6" t="b">
        <f t="shared" si="196"/>
        <v>1</v>
      </c>
      <c r="AO1814" s="6" t="str">
        <f t="shared" si="199"/>
        <v>OK</v>
      </c>
      <c r="AQ1814" s="6" t="e">
        <f>MATCH($D1814,'D4 - Provider Council Unsched'!$C$11:$C$234,0)</f>
        <v>#N/A</v>
      </c>
      <c r="AR1814" s="6" t="b">
        <f t="shared" si="197"/>
        <v>1</v>
      </c>
      <c r="AS1814" s="6" t="str">
        <f t="shared" si="198"/>
        <v>OK</v>
      </c>
      <c r="AU1814" s="202">
        <v>41243</v>
      </c>
      <c r="AV1814" s="262" t="s">
        <v>34</v>
      </c>
      <c r="AW1814" s="274">
        <v>69688</v>
      </c>
    </row>
    <row r="1815" spans="1:49" s="13" customFormat="1" ht="33.75" x14ac:dyDescent="0.2">
      <c r="A1815" s="14">
        <v>1791</v>
      </c>
      <c r="B1815" s="14">
        <v>400052233</v>
      </c>
      <c r="C1815" s="8" t="s">
        <v>1447</v>
      </c>
      <c r="D1815" s="4" t="str">
        <f t="shared" si="194"/>
        <v>400052233A</v>
      </c>
      <c r="E1815" s="309" t="str">
        <f>VLOOKUP($B1815,'D7 - NDB Impacted SPRF''s'!$E$6:$O$9929,2,FALSE)</f>
        <v>TX ERS - WorkStream1: Data Segmentation and Securi</v>
      </c>
      <c r="F1815" s="8"/>
      <c r="G1815" s="8" t="s">
        <v>4758</v>
      </c>
      <c r="H1815" s="8" t="s">
        <v>4246</v>
      </c>
      <c r="I1815" s="20">
        <v>0.45</v>
      </c>
      <c r="J1815" s="8" t="s">
        <v>4862</v>
      </c>
      <c r="K1815" s="182">
        <v>41274</v>
      </c>
      <c r="L1815" s="8" t="s">
        <v>4156</v>
      </c>
      <c r="M1815" s="8" t="s">
        <v>5626</v>
      </c>
      <c r="N1815" s="38"/>
      <c r="O1815" s="8"/>
      <c r="P1815" s="4" t="e">
        <f>VLOOKUP($B1815,'D7 - NDB Impacted SPRF''s'!$E$16:$O$9929,9,FALSE)</f>
        <v>#N/A</v>
      </c>
      <c r="Q1815" s="4" t="e">
        <f>VLOOKUP($B1815,'D7 - NDB Impacted SPRF''s'!$E$16:$O$9929,10,FALSE)</f>
        <v>#N/A</v>
      </c>
      <c r="R1815" s="4" t="e">
        <f>VLOOKUP($B1815,'D7 - NDB Impacted SPRF''s'!$E$16:$O$9929,11,FALSE)</f>
        <v>#N/A</v>
      </c>
      <c r="S1815" s="8"/>
      <c r="T1815" s="310"/>
      <c r="U1815" s="310"/>
      <c r="V1815" s="4"/>
      <c r="W1815" s="4"/>
      <c r="X1815" s="4"/>
      <c r="Y1815" s="4"/>
      <c r="Z1815" s="4"/>
      <c r="AA1815" s="4"/>
      <c r="AB1815" s="380" t="str">
        <f>VLOOKUP($B1815,'D7 - NDB Impacted SPRF''s'!$E$6:$O$9929,4,FALSE)</f>
        <v>Completed</v>
      </c>
      <c r="AC1815" s="380" t="str">
        <f>VLOOKUP($B1815,'D7 - NDB Impacted SPRF''s'!$E$6:$O$9929,3,FALSE)</f>
        <v>UnitedHealthcare Employer &amp; Individual</v>
      </c>
      <c r="AD1815" s="380" t="str">
        <f>VLOOKUP($B1815,'D7 - NDB Impacted SPRF''s'!$E$6:$O$9929,5,FALSE)</f>
        <v>Customer Requirements</v>
      </c>
      <c r="AE1815" s="380" t="str">
        <f>VLOOKUP($B1815,'D7 - NDB Impacted SPRF''s'!$E$6:$O$9929,7,FALSE)</f>
        <v>Matt Stout</v>
      </c>
      <c r="AF1815" s="380" t="str">
        <f>VLOOKUP($B1815,'D7 - NDB Impacted SPRF''s'!$E$6:$O$9929,6,FALSE)</f>
        <v>Matt Stout</v>
      </c>
      <c r="AG1815" s="282"/>
      <c r="AH1815" s="311" t="e">
        <f>INDEX('D5 - Gatekeeper - Projects'!$A$4:$AF$1010,$AM1815, 17)</f>
        <v>#N/A</v>
      </c>
      <c r="AI1815" s="8"/>
      <c r="AJ1815" s="57"/>
      <c r="AK1815" s="105"/>
      <c r="AM1815" s="6" t="e">
        <f>MATCH(D1815,'D5 - Gatekeeper - Projects'!$C$4:$C$1010,0)</f>
        <v>#N/A</v>
      </c>
      <c r="AN1815" s="6" t="b">
        <f t="shared" si="196"/>
        <v>1</v>
      </c>
      <c r="AO1815" s="6" t="str">
        <f t="shared" si="199"/>
        <v>OK</v>
      </c>
      <c r="AQ1815" s="6" t="e">
        <f>MATCH($D1815,'D4 - Provider Council Unsched'!$C$11:$C$234,0)</f>
        <v>#N/A</v>
      </c>
      <c r="AR1815" s="6" t="b">
        <f t="shared" si="197"/>
        <v>1</v>
      </c>
      <c r="AS1815" s="6" t="str">
        <f t="shared" si="198"/>
        <v>OK</v>
      </c>
      <c r="AU1815" s="202">
        <v>41249</v>
      </c>
      <c r="AV1815" s="262" t="s">
        <v>1700</v>
      </c>
      <c r="AW1815" s="274" t="s">
        <v>3572</v>
      </c>
    </row>
    <row r="1816" spans="1:49" s="13" customFormat="1" ht="33.75" x14ac:dyDescent="0.2">
      <c r="A1816" s="14">
        <v>1792</v>
      </c>
      <c r="B1816" s="8">
        <v>400054266</v>
      </c>
      <c r="C1816" s="8" t="s">
        <v>1447</v>
      </c>
      <c r="D1816" s="4" t="str">
        <f t="shared" si="194"/>
        <v>400054266A</v>
      </c>
      <c r="E1816" s="309" t="str">
        <f>VLOOKUP($B1816,'D7 - NDB Impacted SPRF''s'!$E$6:$O$9929,2,FALSE)</f>
        <v>Administrative Simplification General A/O: UHC</v>
      </c>
      <c r="F1816" s="8"/>
      <c r="G1816" s="8" t="s">
        <v>4758</v>
      </c>
      <c r="H1816" s="8" t="s">
        <v>4246</v>
      </c>
      <c r="I1816" s="20">
        <v>1.37</v>
      </c>
      <c r="J1816" s="8" t="s">
        <v>4862</v>
      </c>
      <c r="K1816" s="182">
        <v>41274</v>
      </c>
      <c r="L1816" s="8" t="s">
        <v>4156</v>
      </c>
      <c r="M1816" s="8" t="s">
        <v>6688</v>
      </c>
      <c r="N1816" s="38" t="s">
        <v>1308</v>
      </c>
      <c r="O1816" s="8"/>
      <c r="P1816" s="4" t="str">
        <f>VLOOKUP($B1816,'D7 - NDB Impacted SPRF''s'!$E$16:$O$9929,9,FALSE)</f>
        <v>Y</v>
      </c>
      <c r="Q1816" s="4" t="str">
        <f>VLOOKUP($B1816,'D7 - NDB Impacted SPRF''s'!$E$16:$O$9929,10,FALSE)</f>
        <v>N</v>
      </c>
      <c r="R1816" s="4" t="str">
        <f>VLOOKUP($B1816,'D7 - NDB Impacted SPRF''s'!$E$16:$O$9929,11,FALSE)</f>
        <v>Y</v>
      </c>
      <c r="S1816" s="8"/>
      <c r="T1816" s="310"/>
      <c r="U1816" s="310"/>
      <c r="V1816" s="4"/>
      <c r="W1816" s="4"/>
      <c r="X1816" s="4"/>
      <c r="Y1816" s="4"/>
      <c r="Z1816" s="4"/>
      <c r="AA1816" s="4"/>
      <c r="AB1816" s="380" t="str">
        <f>VLOOKUP($B1816,'D7 - NDB Impacted SPRF''s'!$E$6:$O$9929,4,FALSE)</f>
        <v>Scheduled</v>
      </c>
      <c r="AC1816" s="380" t="str">
        <f>VLOOKUP($B1816,'D7 - NDB Impacted SPRF''s'!$E$6:$O$9929,3,FALSE)</f>
        <v>UnitedHealthcare Employer &amp; Individual</v>
      </c>
      <c r="AD1816" s="380" t="str">
        <f>VLOOKUP($B1816,'D7 - NDB Impacted SPRF''s'!$E$6:$O$9929,5,FALSE)</f>
        <v>Regulatory / Other</v>
      </c>
      <c r="AE1816" s="380" t="str">
        <f>VLOOKUP($B1816,'D7 - NDB Impacted SPRF''s'!$E$6:$O$9929,7,FALSE)</f>
        <v>Ross Lippincott</v>
      </c>
      <c r="AF1816" s="380" t="str">
        <f>VLOOKUP($B1816,'D7 - NDB Impacted SPRF''s'!$E$6:$O$9929,6,FALSE)</f>
        <v>Erin Kroll</v>
      </c>
      <c r="AG1816" s="282"/>
      <c r="AH1816" s="311" t="e">
        <f>INDEX('D5 - Gatekeeper - Projects'!$A$4:$AF$1010,$AM1816, 17)</f>
        <v>#N/A</v>
      </c>
      <c r="AI1816" s="8"/>
      <c r="AJ1816" s="57"/>
      <c r="AK1816" s="105"/>
      <c r="AM1816" s="6" t="e">
        <f>MATCH(D1816,'D5 - Gatekeeper - Projects'!$C$4:$C$1010,0)</f>
        <v>#N/A</v>
      </c>
      <c r="AN1816" s="6" t="b">
        <f t="shared" si="196"/>
        <v>1</v>
      </c>
      <c r="AO1816" s="6" t="str">
        <f t="shared" si="199"/>
        <v>OK</v>
      </c>
      <c r="AQ1816" s="6" t="e">
        <f>MATCH($D1816,'D4 - Provider Council Unsched'!$C$11:$C$234,0)</f>
        <v>#N/A</v>
      </c>
      <c r="AR1816" s="6" t="b">
        <f t="shared" si="197"/>
        <v>1</v>
      </c>
      <c r="AS1816" s="6" t="str">
        <f t="shared" si="198"/>
        <v>OK</v>
      </c>
      <c r="AU1816" s="202">
        <v>41193</v>
      </c>
      <c r="AV1816" s="323" t="s">
        <v>2615</v>
      </c>
      <c r="AW1816" s="274">
        <v>68755</v>
      </c>
    </row>
    <row r="1817" spans="1:49" s="13" customFormat="1" ht="33.75" x14ac:dyDescent="0.2">
      <c r="A1817" s="14">
        <v>1793</v>
      </c>
      <c r="B1817" s="8">
        <v>400055435</v>
      </c>
      <c r="C1817" s="8" t="s">
        <v>1447</v>
      </c>
      <c r="D1817" s="4" t="str">
        <f t="shared" si="194"/>
        <v>400055435A</v>
      </c>
      <c r="E1817" s="309" t="str">
        <f>VLOOKUP($B1817,'D7 - NDB Impacted SPRF''s'!$E$6:$O$9929,2,FALSE)</f>
        <v>WOQ4_02 Navigate Provider Contract One Shots</v>
      </c>
      <c r="F1817" s="8"/>
      <c r="G1817" s="8" t="s">
        <v>4758</v>
      </c>
      <c r="H1817" s="8" t="s">
        <v>4246</v>
      </c>
      <c r="I1817" s="20">
        <v>3.35</v>
      </c>
      <c r="J1817" s="8" t="s">
        <v>4862</v>
      </c>
      <c r="K1817" s="182">
        <v>41274</v>
      </c>
      <c r="L1817" s="8" t="s">
        <v>4156</v>
      </c>
      <c r="M1817" s="8" t="s">
        <v>6007</v>
      </c>
      <c r="N1817" s="38" t="s">
        <v>237</v>
      </c>
      <c r="O1817" s="8"/>
      <c r="P1817" s="4" t="str">
        <f>VLOOKUP($B1817,'D7 - NDB Impacted SPRF''s'!$E$16:$O$9929,9,FALSE)</f>
        <v>N</v>
      </c>
      <c r="Q1817" s="4" t="str">
        <f>VLOOKUP($B1817,'D7 - NDB Impacted SPRF''s'!$E$16:$O$9929,10,FALSE)</f>
        <v>N</v>
      </c>
      <c r="R1817" s="4" t="str">
        <f>VLOOKUP($B1817,'D7 - NDB Impacted SPRF''s'!$E$16:$O$9929,11,FALSE)</f>
        <v>N</v>
      </c>
      <c r="S1817" s="8"/>
      <c r="T1817" s="310"/>
      <c r="U1817" s="310"/>
      <c r="V1817" s="4"/>
      <c r="W1817" s="4"/>
      <c r="X1817" s="4"/>
      <c r="Y1817" s="4"/>
      <c r="Z1817" s="4"/>
      <c r="AA1817" s="4"/>
      <c r="AB1817" s="380" t="str">
        <f>VLOOKUP($B1817,'D7 - NDB Impacted SPRF''s'!$E$6:$O$9929,4,FALSE)</f>
        <v>Completed</v>
      </c>
      <c r="AC1817" s="380" t="str">
        <f>VLOOKUP($B1817,'D7 - NDB Impacted SPRF''s'!$E$6:$O$9929,3,FALSE)</f>
        <v>UnitedHealthcare Employer &amp; Individual</v>
      </c>
      <c r="AD1817" s="380" t="str">
        <f>VLOOKUP($B1817,'D7 - NDB Impacted SPRF''s'!$E$6:$O$9929,5,FALSE)</f>
        <v>Membership Growth / Revenue Programs</v>
      </c>
      <c r="AE1817" s="380" t="str">
        <f>VLOOKUP($B1817,'D7 - NDB Impacted SPRF''s'!$E$6:$O$9929,7,FALSE)</f>
        <v>Joanne Sigstad</v>
      </c>
      <c r="AF1817" s="380" t="str">
        <f>VLOOKUP($B1817,'D7 - NDB Impacted SPRF''s'!$E$6:$O$9929,6,FALSE)</f>
        <v>Cynthia Kollars</v>
      </c>
      <c r="AG1817" s="282"/>
      <c r="AH1817" s="311" t="e">
        <f>INDEX('D5 - Gatekeeper - Projects'!$A$4:$AF$1010,$AM1817, 17)</f>
        <v>#N/A</v>
      </c>
      <c r="AI1817" s="8"/>
      <c r="AJ1817" s="57"/>
      <c r="AK1817" s="105"/>
      <c r="AM1817" s="6" t="e">
        <f>MATCH(D1817,'D5 - Gatekeeper - Projects'!$C$4:$C$1010,0)</f>
        <v>#N/A</v>
      </c>
      <c r="AN1817" s="6" t="b">
        <f t="shared" si="196"/>
        <v>1</v>
      </c>
      <c r="AO1817" s="6" t="str">
        <f t="shared" si="199"/>
        <v>OK</v>
      </c>
      <c r="AQ1817" s="6" t="e">
        <f>MATCH($D1817,'D4 - Provider Council Unsched'!$C$11:$C$234,0)</f>
        <v>#N/A</v>
      </c>
      <c r="AR1817" s="6" t="b">
        <f t="shared" si="197"/>
        <v>1</v>
      </c>
      <c r="AS1817" s="6" t="str">
        <f t="shared" si="198"/>
        <v>OK</v>
      </c>
      <c r="AU1817" s="202">
        <v>41199</v>
      </c>
      <c r="AV1817" s="323" t="s">
        <v>1085</v>
      </c>
      <c r="AW1817" s="274" t="s">
        <v>3572</v>
      </c>
    </row>
    <row r="1818" spans="1:49" s="13" customFormat="1" ht="11.25" customHeight="1" x14ac:dyDescent="0.2">
      <c r="A1818" s="14">
        <v>1794</v>
      </c>
      <c r="B1818" s="8">
        <v>400056165</v>
      </c>
      <c r="C1818" s="8" t="s">
        <v>1447</v>
      </c>
      <c r="D1818" s="4" t="str">
        <f t="shared" si="194"/>
        <v>400056165A</v>
      </c>
      <c r="E1818" s="309" t="str">
        <f>VLOOKUP($B1818,'D7 - NDB Impacted SPRF''s'!$E$6:$O$9929,2,FALSE)</f>
        <v>PLM CDB 2013</v>
      </c>
      <c r="F1818" s="8"/>
      <c r="G1818" s="8" t="s">
        <v>4758</v>
      </c>
      <c r="H1818" s="8" t="s">
        <v>4246</v>
      </c>
      <c r="I1818" s="20">
        <v>7.0000000000000007E-2</v>
      </c>
      <c r="J1818" s="8" t="s">
        <v>4862</v>
      </c>
      <c r="K1818" s="182">
        <v>41292</v>
      </c>
      <c r="L1818" s="8" t="s">
        <v>4156</v>
      </c>
      <c r="M1818" s="8" t="s">
        <v>5626</v>
      </c>
      <c r="N1818" s="38" t="s">
        <v>9457</v>
      </c>
      <c r="O1818" s="8"/>
      <c r="P1818" s="4" t="str">
        <f>VLOOKUP($B1818,'D7 - NDB Impacted SPRF''s'!$E$16:$O$9929,9,FALSE)</f>
        <v>N</v>
      </c>
      <c r="Q1818" s="4" t="str">
        <f>VLOOKUP($B1818,'D7 - NDB Impacted SPRF''s'!$E$16:$O$9929,10,FALSE)</f>
        <v>N</v>
      </c>
      <c r="R1818" s="4" t="str">
        <f>VLOOKUP($B1818,'D7 - NDB Impacted SPRF''s'!$E$16:$O$9929,11,FALSE)</f>
        <v>N</v>
      </c>
      <c r="S1818" s="8"/>
      <c r="T1818" s="310"/>
      <c r="U1818" s="310"/>
      <c r="V1818" s="4"/>
      <c r="W1818" s="4"/>
      <c r="X1818" s="4"/>
      <c r="Y1818" s="4"/>
      <c r="Z1818" s="4"/>
      <c r="AA1818" s="4"/>
      <c r="AB1818" s="380" t="str">
        <f>VLOOKUP($B1818,'D7 - NDB Impacted SPRF''s'!$E$6:$O$9929,4,FALSE)</f>
        <v>Completed</v>
      </c>
      <c r="AC1818" s="380" t="str">
        <f>VLOOKUP($B1818,'D7 - NDB Impacted SPRF''s'!$E$6:$O$9929,3,FALSE)</f>
        <v>UnitedHealthcare Employer &amp; Individual</v>
      </c>
      <c r="AD1818" s="380" t="str">
        <f>VLOOKUP($B1818,'D7 - NDB Impacted SPRF''s'!$E$6:$O$9929,5,FALSE)</f>
        <v>Infrastructure Requirements</v>
      </c>
      <c r="AE1818" s="380" t="str">
        <f>VLOOKUP($B1818,'D7 - NDB Impacted SPRF''s'!$E$6:$O$9929,7,FALSE)</f>
        <v>Dominic Buonocore</v>
      </c>
      <c r="AF1818" s="380" t="str">
        <f>VLOOKUP($B1818,'D7 - NDB Impacted SPRF''s'!$E$6:$O$9929,6,FALSE)</f>
        <v>Tim Olson</v>
      </c>
      <c r="AG1818" s="282"/>
      <c r="AH1818" s="311" t="e">
        <f>INDEX('D5 - Gatekeeper - Projects'!$A$4:$AF$1010,$AM1818, 17)</f>
        <v>#N/A</v>
      </c>
      <c r="AI1818" s="8"/>
      <c r="AJ1818" s="57"/>
      <c r="AK1818" s="105"/>
      <c r="AM1818" s="6" t="e">
        <f>MATCH(D1818,'D5 - Gatekeeper - Projects'!$C$4:$C$1010,0)</f>
        <v>#N/A</v>
      </c>
      <c r="AN1818" s="6" t="b">
        <f t="shared" si="196"/>
        <v>1</v>
      </c>
      <c r="AO1818" s="6" t="str">
        <f t="shared" si="199"/>
        <v>OK</v>
      </c>
      <c r="AQ1818" s="6" t="e">
        <f>MATCH($D1818,'D4 - Provider Council Unsched'!$C$11:$C$234,0)</f>
        <v>#N/A</v>
      </c>
      <c r="AR1818" s="6" t="b">
        <f t="shared" si="197"/>
        <v>1</v>
      </c>
      <c r="AS1818" s="6" t="str">
        <f t="shared" si="198"/>
        <v>OK</v>
      </c>
      <c r="AU1818" s="202">
        <v>41278</v>
      </c>
      <c r="AV1818" s="424" t="s">
        <v>736</v>
      </c>
      <c r="AW1818" s="274"/>
    </row>
    <row r="1819" spans="1:49" s="13" customFormat="1" ht="56.25" x14ac:dyDescent="0.2">
      <c r="A1819" s="14">
        <v>1795</v>
      </c>
      <c r="B1819" s="14">
        <v>400052619</v>
      </c>
      <c r="C1819" s="8" t="s">
        <v>1447</v>
      </c>
      <c r="D1819" s="4" t="str">
        <f t="shared" si="194"/>
        <v>400052619A</v>
      </c>
      <c r="E1819" s="309" t="str">
        <f>VLOOKUP($B1819,'D7 - NDB Impacted SPRF''s'!$E$6:$O$9929,2,FALSE)</f>
        <v>Ohio Migration</v>
      </c>
      <c r="F1819" s="8"/>
      <c r="G1819" s="8" t="s">
        <v>4758</v>
      </c>
      <c r="H1819" s="8" t="s">
        <v>4246</v>
      </c>
      <c r="I1819" s="20">
        <v>19.420000000000002</v>
      </c>
      <c r="J1819" s="8" t="s">
        <v>4862</v>
      </c>
      <c r="K1819" s="182">
        <v>41297</v>
      </c>
      <c r="L1819" s="8" t="s">
        <v>4156</v>
      </c>
      <c r="M1819" s="8" t="s">
        <v>2814</v>
      </c>
      <c r="N1819" s="38" t="s">
        <v>7679</v>
      </c>
      <c r="O1819" s="8"/>
      <c r="P1819" s="4" t="str">
        <f>VLOOKUP($B1819,'D7 - NDB Impacted SPRF''s'!$E$16:$O$9929,9,FALSE)</f>
        <v>N</v>
      </c>
      <c r="Q1819" s="4" t="str">
        <f>VLOOKUP($B1819,'D7 - NDB Impacted SPRF''s'!$E$16:$O$9929,10,FALSE)</f>
        <v>N</v>
      </c>
      <c r="R1819" s="4" t="str">
        <f>VLOOKUP($B1819,'D7 - NDB Impacted SPRF''s'!$E$16:$O$9929,11,FALSE)</f>
        <v>Y</v>
      </c>
      <c r="S1819" s="8"/>
      <c r="T1819" s="310"/>
      <c r="U1819" s="310"/>
      <c r="V1819" s="4"/>
      <c r="W1819" s="4"/>
      <c r="X1819" s="4"/>
      <c r="Y1819" s="4"/>
      <c r="Z1819" s="4"/>
      <c r="AA1819" s="4"/>
      <c r="AB1819" s="380" t="str">
        <f>VLOOKUP($B1819,'D7 - NDB Impacted SPRF''s'!$E$6:$O$9929,4,FALSE)</f>
        <v>Scheduled</v>
      </c>
      <c r="AC1819" s="380" t="str">
        <f>VLOOKUP($B1819,'D7 - NDB Impacted SPRF''s'!$E$6:$O$9929,3,FALSE)</f>
        <v>UnitedHealthcare Community &amp; State</v>
      </c>
      <c r="AD1819" s="380" t="str">
        <f>VLOOKUP($B1819,'D7 - NDB Impacted SPRF''s'!$E$6:$O$9929,5,FALSE)</f>
        <v>Integration Requirements</v>
      </c>
      <c r="AE1819" s="380" t="str">
        <f>VLOOKUP($B1819,'D7 - NDB Impacted SPRF''s'!$E$6:$O$9929,7,FALSE)</f>
        <v>Tracy Davidson</v>
      </c>
      <c r="AF1819" s="380" t="str">
        <f>VLOOKUP($B1819,'D7 - NDB Impacted SPRF''s'!$E$6:$O$9929,6,FALSE)</f>
        <v>Robert Bena</v>
      </c>
      <c r="AG1819" s="282"/>
      <c r="AH1819" s="311" t="e">
        <f>INDEX('D5 - Gatekeeper - Projects'!$A$4:$AF$1010,$AM1819, 17)</f>
        <v>#N/A</v>
      </c>
      <c r="AI1819" s="8"/>
      <c r="AJ1819" s="57"/>
      <c r="AK1819" s="105"/>
      <c r="AM1819" s="6" t="e">
        <f>MATCH(D1819,'D5 - Gatekeeper - Projects'!$C$4:$C$1010,0)</f>
        <v>#N/A</v>
      </c>
      <c r="AN1819" s="6" t="b">
        <f t="shared" si="196"/>
        <v>1</v>
      </c>
      <c r="AO1819" s="6" t="str">
        <f t="shared" si="199"/>
        <v>OK</v>
      </c>
      <c r="AQ1819" s="6" t="e">
        <f>MATCH($D1819,'D4 - Provider Council Unsched'!$C$11:$C$234,0)</f>
        <v>#N/A</v>
      </c>
      <c r="AR1819" s="6" t="b">
        <f t="shared" si="197"/>
        <v>1</v>
      </c>
      <c r="AS1819" s="6" t="str">
        <f t="shared" si="198"/>
        <v>OK</v>
      </c>
      <c r="AU1819" s="202">
        <v>41124</v>
      </c>
      <c r="AV1819" s="262" t="s">
        <v>915</v>
      </c>
      <c r="AW1819" s="274">
        <v>62980</v>
      </c>
    </row>
    <row r="1820" spans="1:49" s="13" customFormat="1" ht="22.5" x14ac:dyDescent="0.2">
      <c r="A1820" s="14">
        <v>1796</v>
      </c>
      <c r="B1820" s="8">
        <v>400050630</v>
      </c>
      <c r="C1820" s="8" t="s">
        <v>7291</v>
      </c>
      <c r="D1820" s="4" t="str">
        <f t="shared" si="194"/>
        <v>400050630E</v>
      </c>
      <c r="E1820" s="309" t="str">
        <f>VLOOKUP($B1820,'D7 - NDB Impacted SPRF''s'!$E$6:$O$9929,2,FALSE)</f>
        <v>NDB SoT - C&amp;S Strategic NDB SoT Enhancements A/D</v>
      </c>
      <c r="F1820" s="8"/>
      <c r="G1820" s="8" t="s">
        <v>4758</v>
      </c>
      <c r="H1820" s="8" t="s">
        <v>4246</v>
      </c>
      <c r="I1820" s="20">
        <v>10</v>
      </c>
      <c r="J1820" s="8" t="s">
        <v>4862</v>
      </c>
      <c r="K1820" s="182">
        <v>41300</v>
      </c>
      <c r="L1820" s="8" t="s">
        <v>4156</v>
      </c>
      <c r="M1820" s="8" t="s">
        <v>2814</v>
      </c>
      <c r="N1820" s="38" t="s">
        <v>328</v>
      </c>
      <c r="O1820" s="8"/>
      <c r="P1820" s="4" t="str">
        <f>VLOOKUP($B1820,'D7 - NDB Impacted SPRF''s'!$E$16:$O$9929,9,FALSE)</f>
        <v>N</v>
      </c>
      <c r="Q1820" s="4" t="str">
        <f>VLOOKUP($B1820,'D7 - NDB Impacted SPRF''s'!$E$16:$O$9929,10,FALSE)</f>
        <v>N</v>
      </c>
      <c r="R1820" s="4" t="str">
        <f>VLOOKUP($B1820,'D7 - NDB Impacted SPRF''s'!$E$16:$O$9929,11,FALSE)</f>
        <v>N</v>
      </c>
      <c r="S1820" s="8"/>
      <c r="T1820" s="310"/>
      <c r="U1820" s="310"/>
      <c r="V1820" s="4"/>
      <c r="W1820" s="4"/>
      <c r="X1820" s="4"/>
      <c r="Y1820" s="4"/>
      <c r="Z1820" s="4"/>
      <c r="AA1820" s="4"/>
      <c r="AB1820" s="380" t="str">
        <f>VLOOKUP($B1820,'D7 - NDB Impacted SPRF''s'!$E$6:$O$9929,4,FALSE)</f>
        <v>Scheduled</v>
      </c>
      <c r="AC1820" s="380" t="str">
        <f>VLOOKUP($B1820,'D7 - NDB Impacted SPRF''s'!$E$6:$O$9929,3,FALSE)</f>
        <v>UHG IT - Shared Services</v>
      </c>
      <c r="AD1820" s="380" t="str">
        <f>VLOOKUP($B1820,'D7 - NDB Impacted SPRF''s'!$E$6:$O$9929,5,FALSE)</f>
        <v>Strategic Initiatives</v>
      </c>
      <c r="AE1820" s="380" t="str">
        <f>VLOOKUP($B1820,'D7 - NDB Impacted SPRF''s'!$E$6:$O$9929,7,FALSE)</f>
        <v>Kaja, Tim</v>
      </c>
      <c r="AF1820" s="380" t="str">
        <f>VLOOKUP($B1820,'D7 - NDB Impacted SPRF''s'!$E$6:$O$9929,6,FALSE)</f>
        <v>Shelly Heit</v>
      </c>
      <c r="AG1820" s="282"/>
      <c r="AH1820" s="311" t="e">
        <f>INDEX('D5 - Gatekeeper - Projects'!$A$4:$AF$1010,$AM1820, 17)</f>
        <v>#N/A</v>
      </c>
      <c r="AI1820" s="8"/>
      <c r="AJ1820" s="57"/>
      <c r="AK1820" s="105"/>
      <c r="AM1820" s="6" t="e">
        <f>MATCH(D1820,'D5 - Gatekeeper - Projects'!$C$4:$C$1010,0)</f>
        <v>#N/A</v>
      </c>
      <c r="AN1820" s="6" t="b">
        <f t="shared" si="196"/>
        <v>1</v>
      </c>
      <c r="AO1820" s="6" t="str">
        <f t="shared" si="199"/>
        <v>OK</v>
      </c>
      <c r="AQ1820" s="6" t="e">
        <f>MATCH($D1820,'D4 - Provider Council Unsched'!$C$11:$C$234,0)</f>
        <v>#N/A</v>
      </c>
      <c r="AR1820" s="6" t="b">
        <f t="shared" si="197"/>
        <v>1</v>
      </c>
      <c r="AS1820" s="6" t="str">
        <f t="shared" si="198"/>
        <v>OK</v>
      </c>
      <c r="AU1820" s="202">
        <v>41249</v>
      </c>
      <c r="AV1820" s="262" t="s">
        <v>1081</v>
      </c>
      <c r="AW1820" s="274">
        <v>57883</v>
      </c>
    </row>
    <row r="1821" spans="1:49" s="13" customFormat="1" ht="33.75" x14ac:dyDescent="0.2">
      <c r="A1821" s="14">
        <v>1797</v>
      </c>
      <c r="B1821" s="8">
        <v>400053442</v>
      </c>
      <c r="C1821" s="8" t="s">
        <v>1447</v>
      </c>
      <c r="D1821" s="4" t="str">
        <f t="shared" si="194"/>
        <v>400053442A</v>
      </c>
      <c r="E1821" s="309" t="str">
        <f>VLOOKUP($B1821,'D7 - NDB Impacted SPRF''s'!$E$6:$O$9929,2,FALSE)</f>
        <v>NHP/Facets System Enhancements &amp; OOA Wrap</v>
      </c>
      <c r="F1821" s="8"/>
      <c r="G1821" s="8" t="s">
        <v>4758</v>
      </c>
      <c r="H1821" s="8" t="s">
        <v>4246</v>
      </c>
      <c r="I1821" s="20">
        <v>0.28000000000000003</v>
      </c>
      <c r="J1821" s="8" t="s">
        <v>4862</v>
      </c>
      <c r="K1821" s="182">
        <v>41305</v>
      </c>
      <c r="L1821" s="8" t="s">
        <v>4156</v>
      </c>
      <c r="M1821" s="8" t="s">
        <v>6688</v>
      </c>
      <c r="N1821" s="38"/>
      <c r="O1821" s="8"/>
      <c r="P1821" s="4" t="str">
        <f>VLOOKUP($B1821,'D7 - NDB Impacted SPRF''s'!$E$16:$O$9929,9,FALSE)</f>
        <v>N</v>
      </c>
      <c r="Q1821" s="4" t="str">
        <f>VLOOKUP($B1821,'D7 - NDB Impacted SPRF''s'!$E$16:$O$9929,10,FALSE)</f>
        <v>N</v>
      </c>
      <c r="R1821" s="4" t="str">
        <f>VLOOKUP($B1821,'D7 - NDB Impacted SPRF''s'!$E$16:$O$9929,11,FALSE)</f>
        <v>Y</v>
      </c>
      <c r="S1821" s="8"/>
      <c r="T1821" s="310"/>
      <c r="U1821" s="310"/>
      <c r="V1821" s="4"/>
      <c r="W1821" s="4"/>
      <c r="X1821" s="4"/>
      <c r="Y1821" s="4"/>
      <c r="Z1821" s="4"/>
      <c r="AA1821" s="4"/>
      <c r="AB1821" s="380" t="str">
        <f>VLOOKUP($B1821,'D7 - NDB Impacted SPRF''s'!$E$6:$O$9929,4,FALSE)</f>
        <v>Completed</v>
      </c>
      <c r="AC1821" s="380" t="str">
        <f>VLOOKUP($B1821,'D7 - NDB Impacted SPRF''s'!$E$6:$O$9929,3,FALSE)</f>
        <v>UnitedHealthcare Employer &amp; Individual</v>
      </c>
      <c r="AD1821" s="380" t="str">
        <f>VLOOKUP($B1821,'D7 - NDB Impacted SPRF''s'!$E$6:$O$9929,5,FALSE)</f>
        <v>Membership Growth / Revenue Programs</v>
      </c>
      <c r="AE1821" s="380" t="str">
        <f>VLOOKUP($B1821,'D7 - NDB Impacted SPRF''s'!$E$6:$O$9929,7,FALSE)</f>
        <v>Ray Coto</v>
      </c>
      <c r="AF1821" s="380" t="str">
        <f>VLOOKUP($B1821,'D7 - NDB Impacted SPRF''s'!$E$6:$O$9929,6,FALSE)</f>
        <v>Tamara Falish</v>
      </c>
      <c r="AG1821" s="282"/>
      <c r="AH1821" s="311" t="e">
        <f>INDEX('D5 - Gatekeeper - Projects'!$A$4:$AF$1010,$AM1821, 17)</f>
        <v>#N/A</v>
      </c>
      <c r="AI1821" s="8"/>
      <c r="AJ1821" s="57"/>
      <c r="AK1821" s="105"/>
      <c r="AM1821" s="6" t="e">
        <f>MATCH(D1821,'D5 - Gatekeeper - Projects'!$C$4:$C$1010,0)</f>
        <v>#N/A</v>
      </c>
      <c r="AN1821" s="6" t="b">
        <f t="shared" si="196"/>
        <v>1</v>
      </c>
      <c r="AO1821" s="6" t="str">
        <f t="shared" si="199"/>
        <v>OK</v>
      </c>
      <c r="AQ1821" s="6" t="e">
        <f>MATCH($D1821,'D4 - Provider Council Unsched'!$C$11:$C$234,0)</f>
        <v>#N/A</v>
      </c>
      <c r="AR1821" s="6" t="b">
        <f t="shared" si="197"/>
        <v>1</v>
      </c>
      <c r="AS1821" s="6" t="str">
        <f t="shared" si="198"/>
        <v>OK</v>
      </c>
      <c r="AU1821" s="202">
        <v>41232</v>
      </c>
      <c r="AV1821" s="323" t="s">
        <v>192</v>
      </c>
      <c r="AW1821" s="274">
        <v>69825</v>
      </c>
    </row>
    <row r="1822" spans="1:49" s="13" customFormat="1" ht="11.25" customHeight="1" x14ac:dyDescent="0.2">
      <c r="A1822" s="14">
        <v>1798</v>
      </c>
      <c r="B1822" s="8">
        <v>400041065</v>
      </c>
      <c r="C1822" s="8" t="s">
        <v>1447</v>
      </c>
      <c r="D1822" s="4" t="str">
        <f t="shared" si="194"/>
        <v>400041065A</v>
      </c>
      <c r="E1822" s="309" t="str">
        <f>VLOOKUP($B1822,'D7 - NDB Impacted SPRF''s'!$E$6:$O$9929,2,FALSE)</f>
        <v>HIPAA 278 Transaction Set</v>
      </c>
      <c r="F1822" s="8"/>
      <c r="G1822" s="8" t="s">
        <v>4758</v>
      </c>
      <c r="H1822" s="8" t="s">
        <v>4246</v>
      </c>
      <c r="I1822" s="20">
        <v>0.15</v>
      </c>
      <c r="J1822" s="8" t="s">
        <v>4862</v>
      </c>
      <c r="K1822" s="182">
        <v>41321</v>
      </c>
      <c r="L1822" s="8" t="s">
        <v>4156</v>
      </c>
      <c r="M1822" s="8" t="s">
        <v>5626</v>
      </c>
      <c r="N1822" s="38" t="s">
        <v>9457</v>
      </c>
      <c r="O1822" s="8"/>
      <c r="P1822" s="4" t="str">
        <f>VLOOKUP($B1822,'D7 - NDB Impacted SPRF''s'!$E$16:$O$9929,9,FALSE)</f>
        <v>N</v>
      </c>
      <c r="Q1822" s="4" t="str">
        <f>VLOOKUP($B1822,'D7 - NDB Impacted SPRF''s'!$E$16:$O$9929,10,FALSE)</f>
        <v>N</v>
      </c>
      <c r="R1822" s="4" t="str">
        <f>VLOOKUP($B1822,'D7 - NDB Impacted SPRF''s'!$E$16:$O$9929,11,FALSE)</f>
        <v>N</v>
      </c>
      <c r="S1822" s="8"/>
      <c r="T1822" s="310"/>
      <c r="U1822" s="310"/>
      <c r="V1822" s="4"/>
      <c r="W1822" s="4"/>
      <c r="X1822" s="4"/>
      <c r="Y1822" s="4"/>
      <c r="Z1822" s="4"/>
      <c r="AA1822" s="4"/>
      <c r="AB1822" s="380" t="str">
        <f>VLOOKUP($B1822,'D7 - NDB Impacted SPRF''s'!$E$6:$O$9929,4,FALSE)</f>
        <v>Completed</v>
      </c>
      <c r="AC1822" s="380" t="str">
        <f>VLOOKUP($B1822,'D7 - NDB Impacted SPRF''s'!$E$6:$O$9929,3,FALSE)</f>
        <v>UnitedHealthcare Community &amp; State</v>
      </c>
      <c r="AD1822" s="380" t="str">
        <f>VLOOKUP($B1822,'D7 - NDB Impacted SPRF''s'!$E$6:$O$9929,5,FALSE)</f>
        <v>Membership Growth / Revenue Programs</v>
      </c>
      <c r="AE1822" s="380" t="str">
        <f>VLOOKUP($B1822,'D7 - NDB Impacted SPRF''s'!$E$6:$O$9929,7,FALSE)</f>
        <v>Rodney Armstead</v>
      </c>
      <c r="AF1822" s="380" t="str">
        <f>VLOOKUP($B1822,'D7 - NDB Impacted SPRF''s'!$E$6:$O$9929,6,FALSE)</f>
        <v>Carol Brunetti</v>
      </c>
      <c r="AG1822" s="282"/>
      <c r="AH1822" s="311" t="e">
        <f>INDEX('D5 - Gatekeeper - Projects'!$A$4:$AF$1010,$AM1822, 17)</f>
        <v>#N/A</v>
      </c>
      <c r="AI1822" s="8"/>
      <c r="AJ1822" s="57"/>
      <c r="AK1822" s="105"/>
      <c r="AM1822" s="6" t="e">
        <f>MATCH(D1822,'D5 - Gatekeeper - Projects'!$C$4:$C$1010,0)</f>
        <v>#N/A</v>
      </c>
      <c r="AN1822" s="6" t="b">
        <f t="shared" si="196"/>
        <v>1</v>
      </c>
      <c r="AO1822" s="6" t="str">
        <f t="shared" si="199"/>
        <v>OK</v>
      </c>
      <c r="AQ1822" s="6" t="e">
        <f>MATCH($D1822,'D4 - Provider Council Unsched'!$C$11:$C$234,0)</f>
        <v>#N/A</v>
      </c>
      <c r="AR1822" s="6" t="b">
        <f t="shared" si="197"/>
        <v>1</v>
      </c>
      <c r="AS1822" s="6" t="str">
        <f t="shared" si="198"/>
        <v>OK</v>
      </c>
      <c r="AU1822" s="202">
        <v>41284</v>
      </c>
      <c r="AV1822" s="423" t="s">
        <v>34</v>
      </c>
      <c r="AW1822" s="274"/>
    </row>
    <row r="1823" spans="1:49" s="13" customFormat="1" ht="22.5" x14ac:dyDescent="0.2">
      <c r="A1823" s="14">
        <v>1799</v>
      </c>
      <c r="B1823" s="8">
        <v>400041433</v>
      </c>
      <c r="C1823" s="8" t="s">
        <v>7290</v>
      </c>
      <c r="D1823" s="4" t="str">
        <f t="shared" si="194"/>
        <v>400041433B</v>
      </c>
      <c r="E1823" s="309" t="str">
        <f>VLOOKUP($B1823,'D7 - NDB Impacted SPRF''s'!$E$6:$O$9929,2,FALSE)</f>
        <v>CDB Online: Develop Update Services</v>
      </c>
      <c r="F1823" s="8"/>
      <c r="G1823" s="8" t="s">
        <v>4758</v>
      </c>
      <c r="H1823" s="8" t="s">
        <v>4246</v>
      </c>
      <c r="I1823" s="20">
        <v>0.68</v>
      </c>
      <c r="J1823" s="8" t="s">
        <v>4862</v>
      </c>
      <c r="K1823" s="182">
        <v>41321</v>
      </c>
      <c r="L1823" s="8" t="s">
        <v>4156</v>
      </c>
      <c r="M1823" s="8" t="s">
        <v>5626</v>
      </c>
      <c r="N1823" s="38" t="s">
        <v>9459</v>
      </c>
      <c r="O1823" s="8"/>
      <c r="P1823" s="4" t="str">
        <f>VLOOKUP($B1823,'D7 - NDB Impacted SPRF''s'!$E$16:$O$9929,9,FALSE)</f>
        <v>N</v>
      </c>
      <c r="Q1823" s="4" t="str">
        <f>VLOOKUP($B1823,'D7 - NDB Impacted SPRF''s'!$E$16:$O$9929,10,FALSE)</f>
        <v>N</v>
      </c>
      <c r="R1823" s="4" t="str">
        <f>VLOOKUP($B1823,'D7 - NDB Impacted SPRF''s'!$E$16:$O$9929,11,FALSE)</f>
        <v>N</v>
      </c>
      <c r="S1823" s="8"/>
      <c r="T1823" s="310"/>
      <c r="U1823" s="310"/>
      <c r="V1823" s="4"/>
      <c r="W1823" s="4"/>
      <c r="X1823" s="4"/>
      <c r="Y1823" s="4"/>
      <c r="Z1823" s="4"/>
      <c r="AA1823" s="4"/>
      <c r="AB1823" s="380" t="str">
        <f>VLOOKUP($B1823,'D7 - NDB Impacted SPRF''s'!$E$6:$O$9929,4,FALSE)</f>
        <v>Completed</v>
      </c>
      <c r="AC1823" s="380" t="str">
        <f>VLOOKUP($B1823,'D7 - NDB Impacted SPRF''s'!$E$6:$O$9929,3,FALSE)</f>
        <v>UHG IT - Shared Services</v>
      </c>
      <c r="AD1823" s="380" t="str">
        <f>VLOOKUP($B1823,'D7 - NDB Impacted SPRF''s'!$E$6:$O$9929,5,FALSE)</f>
        <v>Strategic Initiatives</v>
      </c>
      <c r="AE1823" s="380" t="str">
        <f>VLOOKUP($B1823,'D7 - NDB Impacted SPRF''s'!$E$6:$O$9929,7,FALSE)</f>
        <v>Patrick Casey</v>
      </c>
      <c r="AF1823" s="380" t="str">
        <f>VLOOKUP($B1823,'D7 - NDB Impacted SPRF''s'!$E$6:$O$9929,6,FALSE)</f>
        <v>DIANE KOWAL</v>
      </c>
      <c r="AG1823" s="282"/>
      <c r="AH1823" s="311" t="e">
        <f>INDEX('D5 - Gatekeeper - Projects'!$A$4:$AF$1010,$AM1823, 17)</f>
        <v>#N/A</v>
      </c>
      <c r="AI1823" s="8"/>
      <c r="AJ1823" s="57"/>
      <c r="AK1823" s="105"/>
      <c r="AM1823" s="6" t="e">
        <f>MATCH(D1823,'D5 - Gatekeeper - Projects'!$C$4:$C$1010,0)</f>
        <v>#N/A</v>
      </c>
      <c r="AN1823" s="6" t="b">
        <f t="shared" si="196"/>
        <v>1</v>
      </c>
      <c r="AO1823" s="6" t="str">
        <f t="shared" si="199"/>
        <v>OK</v>
      </c>
      <c r="AQ1823" s="6" t="e">
        <f>MATCH($D1823,'D4 - Provider Council Unsched'!$C$11:$C$234,0)</f>
        <v>#N/A</v>
      </c>
      <c r="AR1823" s="6" t="b">
        <f t="shared" si="197"/>
        <v>1</v>
      </c>
      <c r="AS1823" s="6" t="str">
        <f t="shared" si="198"/>
        <v>OK</v>
      </c>
      <c r="AU1823" s="202">
        <v>41179</v>
      </c>
      <c r="AV1823" s="262" t="s">
        <v>2309</v>
      </c>
      <c r="AW1823" s="274" t="s">
        <v>3572</v>
      </c>
    </row>
    <row r="1824" spans="1:49" s="13" customFormat="1" ht="33.75" x14ac:dyDescent="0.2">
      <c r="A1824" s="14">
        <v>1800</v>
      </c>
      <c r="B1824" s="8">
        <v>400041737</v>
      </c>
      <c r="C1824" s="8" t="s">
        <v>3464</v>
      </c>
      <c r="D1824" s="4" t="str">
        <f t="shared" si="194"/>
        <v>400041737J</v>
      </c>
      <c r="E1824" s="309" t="str">
        <f>VLOOKUP($B1824,'D7 - NDB Impacted SPRF''s'!$E$6:$O$9929,2,FALSE)</f>
        <v>ICD10- Field Expansion- UHC EI</v>
      </c>
      <c r="F1824" s="8"/>
      <c r="G1824" s="8" t="s">
        <v>4758</v>
      </c>
      <c r="H1824" s="8" t="s">
        <v>4246</v>
      </c>
      <c r="I1824" s="20">
        <v>46.4</v>
      </c>
      <c r="J1824" s="8" t="s">
        <v>4862</v>
      </c>
      <c r="K1824" s="182">
        <v>41321</v>
      </c>
      <c r="L1824" s="8" t="s">
        <v>4156</v>
      </c>
      <c r="M1824" s="8" t="s">
        <v>2814</v>
      </c>
      <c r="N1824" s="38" t="s">
        <v>258</v>
      </c>
      <c r="O1824" s="8"/>
      <c r="P1824" s="4" t="str">
        <f>VLOOKUP($B1824,'D7 - NDB Impacted SPRF''s'!$E$16:$O$9929,9,FALSE)</f>
        <v>Y</v>
      </c>
      <c r="Q1824" s="4" t="str">
        <f>VLOOKUP($B1824,'D7 - NDB Impacted SPRF''s'!$E$16:$O$9929,10,FALSE)</f>
        <v>N</v>
      </c>
      <c r="R1824" s="4" t="str">
        <f>VLOOKUP($B1824,'D7 - NDB Impacted SPRF''s'!$E$16:$O$9929,11,FALSE)</f>
        <v>Y</v>
      </c>
      <c r="S1824" s="8"/>
      <c r="T1824" s="310"/>
      <c r="U1824" s="310"/>
      <c r="V1824" s="4"/>
      <c r="W1824" s="4"/>
      <c r="X1824" s="4"/>
      <c r="Y1824" s="4"/>
      <c r="Z1824" s="4"/>
      <c r="AA1824" s="4"/>
      <c r="AB1824" s="380" t="str">
        <f>VLOOKUP($B1824,'D7 - NDB Impacted SPRF''s'!$E$6:$O$9929,4,FALSE)</f>
        <v>Scheduled</v>
      </c>
      <c r="AC1824" s="380" t="str">
        <f>VLOOKUP($B1824,'D7 - NDB Impacted SPRF''s'!$E$6:$O$9929,3,FALSE)</f>
        <v>UnitedHealthcare Employer &amp; Individual</v>
      </c>
      <c r="AD1824" s="380" t="str">
        <f>VLOOKUP($B1824,'D7 - NDB Impacted SPRF''s'!$E$6:$O$9929,5,FALSE)</f>
        <v>Regulatory / Other</v>
      </c>
      <c r="AE1824" s="380" t="str">
        <f>VLOOKUP($B1824,'D7 - NDB Impacted SPRF''s'!$E$6:$O$9929,7,FALSE)</f>
        <v>Tim Kaja</v>
      </c>
      <c r="AF1824" s="380" t="str">
        <f>VLOOKUP($B1824,'D7 - NDB Impacted SPRF''s'!$E$6:$O$9929,6,FALSE)</f>
        <v>Delvis Schilling</v>
      </c>
      <c r="AG1824" s="282"/>
      <c r="AH1824" s="311" t="e">
        <f>INDEX('D5 - Gatekeeper - Projects'!$A$4:$AF$1010,$AM1824, 17)</f>
        <v>#N/A</v>
      </c>
      <c r="AI1824" s="8"/>
      <c r="AJ1824" s="57"/>
      <c r="AK1824" s="105"/>
      <c r="AM1824" s="6" t="e">
        <f>MATCH(D1824,'D5 - Gatekeeper - Projects'!$C$4:$C$1010,0)</f>
        <v>#N/A</v>
      </c>
      <c r="AN1824" s="6" t="b">
        <f t="shared" si="196"/>
        <v>1</v>
      </c>
      <c r="AO1824" s="6" t="str">
        <f t="shared" si="199"/>
        <v>OK</v>
      </c>
      <c r="AQ1824" s="6" t="e">
        <f>MATCH($D1824,'D4 - Provider Council Unsched'!$C$11:$C$234,0)</f>
        <v>#N/A</v>
      </c>
      <c r="AR1824" s="6" t="b">
        <f t="shared" si="197"/>
        <v>1</v>
      </c>
      <c r="AS1824" s="6" t="str">
        <f t="shared" si="198"/>
        <v>OK</v>
      </c>
      <c r="AU1824" s="202">
        <v>41068</v>
      </c>
      <c r="AV1824" s="262" t="s">
        <v>2299</v>
      </c>
      <c r="AW1824" s="274">
        <v>63408</v>
      </c>
    </row>
    <row r="1825" spans="1:49" s="13" customFormat="1" ht="56.25" x14ac:dyDescent="0.2">
      <c r="A1825" s="14">
        <v>1801</v>
      </c>
      <c r="B1825" s="8">
        <v>400041984</v>
      </c>
      <c r="C1825" s="8" t="s">
        <v>1447</v>
      </c>
      <c r="D1825" s="4" t="str">
        <f t="shared" si="194"/>
        <v>400041984A</v>
      </c>
      <c r="E1825" s="309" t="str">
        <f>VLOOKUP($B1825,'D7 - NDB Impacted SPRF''s'!$E$6:$O$9929,2,FALSE)</f>
        <v>ICD10 Program Definition UHC EI</v>
      </c>
      <c r="F1825" s="8"/>
      <c r="G1825" s="8" t="s">
        <v>4758</v>
      </c>
      <c r="H1825" s="28" t="s">
        <v>4246</v>
      </c>
      <c r="I1825" s="20">
        <v>3.71</v>
      </c>
      <c r="J1825" s="8" t="s">
        <v>4862</v>
      </c>
      <c r="K1825" s="182">
        <v>41321</v>
      </c>
      <c r="L1825" s="8" t="s">
        <v>4156</v>
      </c>
      <c r="M1825" s="8" t="s">
        <v>6688</v>
      </c>
      <c r="N1825" s="38" t="s">
        <v>3095</v>
      </c>
      <c r="O1825" s="8"/>
      <c r="P1825" s="4" t="str">
        <f>VLOOKUP($B1825,'D7 - NDB Impacted SPRF''s'!$E$16:$O$9929,9,FALSE)</f>
        <v>Y</v>
      </c>
      <c r="Q1825" s="4" t="str">
        <f>VLOOKUP($B1825,'D7 - NDB Impacted SPRF''s'!$E$16:$O$9929,10,FALSE)</f>
        <v>N</v>
      </c>
      <c r="R1825" s="4" t="str">
        <f>VLOOKUP($B1825,'D7 - NDB Impacted SPRF''s'!$E$16:$O$9929,11,FALSE)</f>
        <v>Y</v>
      </c>
      <c r="S1825" s="8"/>
      <c r="T1825" s="310"/>
      <c r="U1825" s="310"/>
      <c r="V1825" s="4"/>
      <c r="W1825" s="4"/>
      <c r="X1825" s="4"/>
      <c r="Y1825" s="4"/>
      <c r="Z1825" s="4"/>
      <c r="AA1825" s="4"/>
      <c r="AB1825" s="380" t="str">
        <f>VLOOKUP($B1825,'D7 - NDB Impacted SPRF''s'!$E$6:$O$9929,4,FALSE)</f>
        <v>Scheduled</v>
      </c>
      <c r="AC1825" s="380" t="str">
        <f>VLOOKUP($B1825,'D7 - NDB Impacted SPRF''s'!$E$6:$O$9929,3,FALSE)</f>
        <v>UnitedHealthcare Employer &amp; Individual</v>
      </c>
      <c r="AD1825" s="380" t="str">
        <f>VLOOKUP($B1825,'D7 - NDB Impacted SPRF''s'!$E$6:$O$9929,5,FALSE)</f>
        <v>Regulatory / Other</v>
      </c>
      <c r="AE1825" s="380" t="str">
        <f>VLOOKUP($B1825,'D7 - NDB Impacted SPRF''s'!$E$6:$O$9929,7,FALSE)</f>
        <v>Tim Kaja</v>
      </c>
      <c r="AF1825" s="380" t="str">
        <f>VLOOKUP($B1825,'D7 - NDB Impacted SPRF''s'!$E$6:$O$9929,6,FALSE)</f>
        <v>SUSAN HINES</v>
      </c>
      <c r="AG1825" s="282"/>
      <c r="AH1825" s="311" t="e">
        <f>INDEX('D5 - Gatekeeper - Projects'!$A$4:$AF$1010,$AM1825, 17)</f>
        <v>#N/A</v>
      </c>
      <c r="AI1825" s="8"/>
      <c r="AJ1825" s="57"/>
      <c r="AK1825" s="105"/>
      <c r="AM1825" s="6" t="e">
        <f>MATCH(D1825,'D5 - Gatekeeper - Projects'!$C$4:$C$1010,0)</f>
        <v>#N/A</v>
      </c>
      <c r="AN1825" s="6" t="b">
        <f t="shared" si="196"/>
        <v>1</v>
      </c>
      <c r="AO1825" s="6" t="str">
        <f t="shared" si="199"/>
        <v>OK</v>
      </c>
      <c r="AQ1825" s="6" t="e">
        <f>MATCH($D1825,'D4 - Provider Council Unsched'!$C$11:$C$234,0)</f>
        <v>#N/A</v>
      </c>
      <c r="AR1825" s="6" t="b">
        <f t="shared" si="197"/>
        <v>1</v>
      </c>
      <c r="AS1825" s="6" t="str">
        <f t="shared" si="198"/>
        <v>OK</v>
      </c>
      <c r="AU1825" s="202">
        <v>40592</v>
      </c>
      <c r="AV1825" s="262" t="s">
        <v>2299</v>
      </c>
      <c r="AW1825" s="274">
        <v>57785</v>
      </c>
    </row>
    <row r="1826" spans="1:49" s="13" customFormat="1" ht="33.75" x14ac:dyDescent="0.2">
      <c r="A1826" s="14">
        <v>1802</v>
      </c>
      <c r="B1826" s="8">
        <v>400041984</v>
      </c>
      <c r="C1826" s="8" t="s">
        <v>7292</v>
      </c>
      <c r="D1826" s="4" t="str">
        <f t="shared" si="194"/>
        <v>400041984C</v>
      </c>
      <c r="E1826" s="309" t="str">
        <f>VLOOKUP($B1826,'D7 - NDB Impacted SPRF''s'!$E$6:$O$9929,2,FALSE)</f>
        <v>ICD10 Program Definition UHC EI</v>
      </c>
      <c r="F1826" s="8"/>
      <c r="G1826" s="8" t="s">
        <v>4758</v>
      </c>
      <c r="H1826" s="28" t="s">
        <v>4246</v>
      </c>
      <c r="I1826" s="20">
        <v>1.4</v>
      </c>
      <c r="J1826" s="8" t="s">
        <v>4862</v>
      </c>
      <c r="K1826" s="182">
        <v>41321</v>
      </c>
      <c r="L1826" s="8" t="s">
        <v>4156</v>
      </c>
      <c r="M1826" s="8" t="s">
        <v>6688</v>
      </c>
      <c r="N1826" s="38" t="s">
        <v>8031</v>
      </c>
      <c r="O1826" s="8"/>
      <c r="P1826" s="4" t="str">
        <f>VLOOKUP($B1826,'D7 - NDB Impacted SPRF''s'!$E$16:$O$9929,9,FALSE)</f>
        <v>Y</v>
      </c>
      <c r="Q1826" s="4" t="str">
        <f>VLOOKUP($B1826,'D7 - NDB Impacted SPRF''s'!$E$16:$O$9929,10,FALSE)</f>
        <v>N</v>
      </c>
      <c r="R1826" s="4" t="str">
        <f>VLOOKUP($B1826,'D7 - NDB Impacted SPRF''s'!$E$16:$O$9929,11,FALSE)</f>
        <v>Y</v>
      </c>
      <c r="S1826" s="8"/>
      <c r="T1826" s="310"/>
      <c r="U1826" s="310"/>
      <c r="V1826" s="4"/>
      <c r="W1826" s="4"/>
      <c r="X1826" s="4"/>
      <c r="Y1826" s="4"/>
      <c r="Z1826" s="4"/>
      <c r="AA1826" s="4"/>
      <c r="AB1826" s="380" t="str">
        <f>VLOOKUP($B1826,'D7 - NDB Impacted SPRF''s'!$E$6:$O$9929,4,FALSE)</f>
        <v>Scheduled</v>
      </c>
      <c r="AC1826" s="380" t="str">
        <f>VLOOKUP($B1826,'D7 - NDB Impacted SPRF''s'!$E$6:$O$9929,3,FALSE)</f>
        <v>UnitedHealthcare Employer &amp; Individual</v>
      </c>
      <c r="AD1826" s="380" t="str">
        <f>VLOOKUP($B1826,'D7 - NDB Impacted SPRF''s'!$E$6:$O$9929,5,FALSE)</f>
        <v>Regulatory / Other</v>
      </c>
      <c r="AE1826" s="380" t="str">
        <f>VLOOKUP($B1826,'D7 - NDB Impacted SPRF''s'!$E$6:$O$9929,7,FALSE)</f>
        <v>Tim Kaja</v>
      </c>
      <c r="AF1826" s="380" t="str">
        <f>VLOOKUP($B1826,'D7 - NDB Impacted SPRF''s'!$E$6:$O$9929,6,FALSE)</f>
        <v>SUSAN HINES</v>
      </c>
      <c r="AG1826" s="282"/>
      <c r="AH1826" s="311" t="e">
        <f>INDEX('D5 - Gatekeeper - Projects'!$A$4:$AF$1010,$AM1826, 17)</f>
        <v>#N/A</v>
      </c>
      <c r="AI1826" s="8"/>
      <c r="AJ1826" s="57"/>
      <c r="AK1826" s="105"/>
      <c r="AM1826" s="6" t="e">
        <f>MATCH(D1826,'D5 - Gatekeeper - Projects'!$C$4:$C$1010,0)</f>
        <v>#N/A</v>
      </c>
      <c r="AN1826" s="6" t="b">
        <f t="shared" si="196"/>
        <v>1</v>
      </c>
      <c r="AO1826" s="6" t="str">
        <f t="shared" si="199"/>
        <v>OK</v>
      </c>
      <c r="AQ1826" s="6" t="e">
        <f>MATCH($D1826,'D4 - Provider Council Unsched'!$C$11:$C$234,0)</f>
        <v>#N/A</v>
      </c>
      <c r="AR1826" s="6" t="b">
        <f t="shared" si="197"/>
        <v>1</v>
      </c>
      <c r="AS1826" s="6" t="str">
        <f t="shared" si="198"/>
        <v>OK</v>
      </c>
      <c r="AU1826" s="202">
        <v>41232</v>
      </c>
      <c r="AV1826" s="262" t="s">
        <v>2299</v>
      </c>
      <c r="AW1826" s="274">
        <v>57785</v>
      </c>
    </row>
    <row r="1827" spans="1:49" s="13" customFormat="1" ht="78.75" x14ac:dyDescent="0.2">
      <c r="A1827" s="14">
        <v>1803</v>
      </c>
      <c r="B1827" s="8">
        <v>400046131</v>
      </c>
      <c r="C1827" s="8" t="s">
        <v>1447</v>
      </c>
      <c r="D1827" s="4" t="str">
        <f t="shared" si="194"/>
        <v>400046131A</v>
      </c>
      <c r="E1827" s="309" t="str">
        <f>VLOOKUP($B1827,'D7 - NDB Impacted SPRF''s'!$E$6:$O$9929,2,FALSE)</f>
        <v>DME – Competitive Bidding Process</v>
      </c>
      <c r="F1827" s="8"/>
      <c r="G1827" s="8" t="s">
        <v>4758</v>
      </c>
      <c r="H1827" s="8" t="s">
        <v>4246</v>
      </c>
      <c r="I1827" s="20">
        <v>57.08</v>
      </c>
      <c r="J1827" s="8" t="s">
        <v>4862</v>
      </c>
      <c r="K1827" s="182">
        <v>41321</v>
      </c>
      <c r="L1827" s="8" t="s">
        <v>4156</v>
      </c>
      <c r="M1827" s="8" t="s">
        <v>2814</v>
      </c>
      <c r="N1827" s="38" t="s">
        <v>6589</v>
      </c>
      <c r="O1827" s="8"/>
      <c r="P1827" s="4" t="str">
        <f>VLOOKUP($B1827,'D7 - NDB Impacted SPRF''s'!$E$16:$O$9929,9,FALSE)</f>
        <v>Y</v>
      </c>
      <c r="Q1827" s="4" t="str">
        <f>VLOOKUP($B1827,'D7 - NDB Impacted SPRF''s'!$E$16:$O$9929,10,FALSE)</f>
        <v>N</v>
      </c>
      <c r="R1827" s="4" t="str">
        <f>VLOOKUP($B1827,'D7 - NDB Impacted SPRF''s'!$E$16:$O$9929,11,FALSE)</f>
        <v>N</v>
      </c>
      <c r="S1827" s="8"/>
      <c r="T1827" s="310"/>
      <c r="U1827" s="310"/>
      <c r="V1827" s="4"/>
      <c r="W1827" s="4"/>
      <c r="X1827" s="4"/>
      <c r="Y1827" s="4"/>
      <c r="Z1827" s="4"/>
      <c r="AA1827" s="4"/>
      <c r="AB1827" s="380" t="str">
        <f>VLOOKUP($B1827,'D7 - NDB Impacted SPRF''s'!$E$6:$O$9929,4,FALSE)</f>
        <v>Scheduled</v>
      </c>
      <c r="AC1827" s="380" t="str">
        <f>VLOOKUP($B1827,'D7 - NDB Impacted SPRF''s'!$E$6:$O$9929,3,FALSE)</f>
        <v>UnitedHealthcare Medicare &amp; Retirement</v>
      </c>
      <c r="AD1827" s="380" t="str">
        <f>VLOOKUP($B1827,'D7 - NDB Impacted SPRF''s'!$E$6:$O$9929,5,FALSE)</f>
        <v>Medical Cost Savings Programs</v>
      </c>
      <c r="AE1827" s="380" t="str">
        <f>VLOOKUP($B1827,'D7 - NDB Impacted SPRF''s'!$E$6:$O$9929,7,FALSE)</f>
        <v>Susan Gamache</v>
      </c>
      <c r="AF1827" s="380" t="str">
        <f>VLOOKUP($B1827,'D7 - NDB Impacted SPRF''s'!$E$6:$O$9929,6,FALSE)</f>
        <v>Brian Schimke</v>
      </c>
      <c r="AG1827" s="282"/>
      <c r="AH1827" s="311" t="e">
        <f>INDEX('D5 - Gatekeeper - Projects'!$A$4:$AF$1010,$AM1827, 17)</f>
        <v>#N/A</v>
      </c>
      <c r="AI1827" s="8"/>
      <c r="AJ1827" s="57"/>
      <c r="AK1827" s="105"/>
      <c r="AM1827" s="6" t="e">
        <f>MATCH(D1827,'D5 - Gatekeeper - Projects'!$C$4:$C$1010,0)</f>
        <v>#N/A</v>
      </c>
      <c r="AN1827" s="6" t="b">
        <f t="shared" si="196"/>
        <v>1</v>
      </c>
      <c r="AO1827" s="6" t="str">
        <f t="shared" si="199"/>
        <v>OK</v>
      </c>
      <c r="AQ1827" s="6" t="e">
        <f>MATCH($D1827,'D4 - Provider Council Unsched'!$C$11:$C$234,0)</f>
        <v>#N/A</v>
      </c>
      <c r="AR1827" s="6" t="b">
        <f t="shared" si="197"/>
        <v>1</v>
      </c>
      <c r="AS1827" s="6" t="str">
        <f t="shared" si="198"/>
        <v>OK</v>
      </c>
      <c r="AU1827" s="202">
        <v>41047</v>
      </c>
      <c r="AV1827" s="262" t="s">
        <v>935</v>
      </c>
      <c r="AW1827" s="274">
        <v>45684</v>
      </c>
    </row>
    <row r="1828" spans="1:49" s="13" customFormat="1" ht="33.75" x14ac:dyDescent="0.2">
      <c r="A1828" s="14">
        <v>1804</v>
      </c>
      <c r="B1828" s="8">
        <v>400046134</v>
      </c>
      <c r="C1828" s="8" t="s">
        <v>7290</v>
      </c>
      <c r="D1828" s="4" t="str">
        <f t="shared" si="194"/>
        <v>400046134B</v>
      </c>
      <c r="E1828" s="309" t="str">
        <f>VLOOKUP($B1828,'D7 - NDB Impacted SPRF''s'!$E$6:$O$9929,2,FALSE)</f>
        <v>Ambulance Claims with Fractional Mileage</v>
      </c>
      <c r="F1828" s="8"/>
      <c r="G1828" s="8" t="s">
        <v>4758</v>
      </c>
      <c r="H1828" s="8" t="s">
        <v>4246</v>
      </c>
      <c r="I1828" s="20">
        <v>0.62</v>
      </c>
      <c r="J1828" s="8" t="s">
        <v>4862</v>
      </c>
      <c r="K1828" s="182">
        <v>41321</v>
      </c>
      <c r="L1828" s="8" t="s">
        <v>4156</v>
      </c>
      <c r="M1828" s="8" t="s">
        <v>6688</v>
      </c>
      <c r="N1828" s="38" t="s">
        <v>368</v>
      </c>
      <c r="O1828" s="8"/>
      <c r="P1828" s="4" t="str">
        <f>VLOOKUP($B1828,'D7 - NDB Impacted SPRF''s'!$E$16:$O$9929,9,FALSE)</f>
        <v>N</v>
      </c>
      <c r="Q1828" s="4" t="str">
        <f>VLOOKUP($B1828,'D7 - NDB Impacted SPRF''s'!$E$16:$O$9929,10,FALSE)</f>
        <v>N</v>
      </c>
      <c r="R1828" s="4" t="str">
        <f>VLOOKUP($B1828,'D7 - NDB Impacted SPRF''s'!$E$16:$O$9929,11,FALSE)</f>
        <v>Y</v>
      </c>
      <c r="S1828" s="8"/>
      <c r="T1828" s="310"/>
      <c r="U1828" s="310"/>
      <c r="V1828" s="4"/>
      <c r="W1828" s="4"/>
      <c r="X1828" s="4"/>
      <c r="Y1828" s="4"/>
      <c r="Z1828" s="4"/>
      <c r="AA1828" s="4"/>
      <c r="AB1828" s="380" t="str">
        <f>VLOOKUP($B1828,'D7 - NDB Impacted SPRF''s'!$E$6:$O$9929,4,FALSE)</f>
        <v>Scheduled</v>
      </c>
      <c r="AC1828" s="380" t="str">
        <f>VLOOKUP($B1828,'D7 - NDB Impacted SPRF''s'!$E$6:$O$9929,3,FALSE)</f>
        <v>UnitedHealthcare Medicare &amp; Retirement</v>
      </c>
      <c r="AD1828" s="380" t="str">
        <f>VLOOKUP($B1828,'D7 - NDB Impacted SPRF''s'!$E$6:$O$9929,5,FALSE)</f>
        <v>Medical Cost Savings Programs</v>
      </c>
      <c r="AE1828" s="380" t="str">
        <f>VLOOKUP($B1828,'D7 - NDB Impacted SPRF''s'!$E$6:$O$9929,7,FALSE)</f>
        <v xml:space="preserve">Susan Gamache </v>
      </c>
      <c r="AF1828" s="380" t="str">
        <f>VLOOKUP($B1828,'D7 - NDB Impacted SPRF''s'!$E$6:$O$9929,6,FALSE)</f>
        <v>Brian Schimke</v>
      </c>
      <c r="AG1828" s="282"/>
      <c r="AH1828" s="311" t="e">
        <f>INDEX('D5 - Gatekeeper - Projects'!$A$4:$AF$1010,$AM1828, 17)</f>
        <v>#N/A</v>
      </c>
      <c r="AI1828" s="8"/>
      <c r="AJ1828" s="57"/>
      <c r="AK1828" s="105"/>
      <c r="AM1828" s="6" t="e">
        <f>MATCH(D1828,'D5 - Gatekeeper - Projects'!$C$4:$C$1010,0)</f>
        <v>#N/A</v>
      </c>
      <c r="AN1828" s="6" t="b">
        <f t="shared" si="196"/>
        <v>1</v>
      </c>
      <c r="AO1828" s="6" t="str">
        <f t="shared" si="199"/>
        <v>OK</v>
      </c>
      <c r="AQ1828" s="6" t="e">
        <f>MATCH($D1828,'D4 - Provider Council Unsched'!$C$11:$C$234,0)</f>
        <v>#N/A</v>
      </c>
      <c r="AR1828" s="6" t="b">
        <f t="shared" si="197"/>
        <v>1</v>
      </c>
      <c r="AS1828" s="6" t="str">
        <f t="shared" si="198"/>
        <v>OK</v>
      </c>
      <c r="AU1828" s="202">
        <v>41608</v>
      </c>
      <c r="AV1828" s="262" t="s">
        <v>939</v>
      </c>
      <c r="AW1828" s="274"/>
    </row>
    <row r="1829" spans="1:49" s="13" customFormat="1" ht="11.25" customHeight="1" x14ac:dyDescent="0.2">
      <c r="A1829" s="14">
        <v>1805</v>
      </c>
      <c r="B1829" s="8">
        <v>400046410</v>
      </c>
      <c r="C1829" s="8" t="s">
        <v>1447</v>
      </c>
      <c r="D1829" s="4" t="str">
        <f t="shared" si="194"/>
        <v>400046410A</v>
      </c>
      <c r="E1829" s="309" t="str">
        <f>VLOOKUP($B1829,'D7 - NDB Impacted SPRF''s'!$E$6:$O$9929,2,FALSE)</f>
        <v>ED - ISET-ELGS Integration</v>
      </c>
      <c r="F1829" s="8"/>
      <c r="G1829" s="8" t="s">
        <v>4758</v>
      </c>
      <c r="H1829" s="8" t="s">
        <v>4246</v>
      </c>
      <c r="I1829" s="20">
        <v>0.83</v>
      </c>
      <c r="J1829" s="8" t="s">
        <v>4862</v>
      </c>
      <c r="K1829" s="182">
        <v>41321</v>
      </c>
      <c r="L1829" s="8" t="s">
        <v>4156</v>
      </c>
      <c r="M1829" s="8" t="s">
        <v>5626</v>
      </c>
      <c r="N1829" s="38" t="s">
        <v>56</v>
      </c>
      <c r="O1829" s="8"/>
      <c r="P1829" s="4" t="str">
        <f>VLOOKUP($B1829,'D7 - NDB Impacted SPRF''s'!$E$16:$O$9929,9,FALSE)</f>
        <v>Y</v>
      </c>
      <c r="Q1829" s="4" t="str">
        <f>VLOOKUP($B1829,'D7 - NDB Impacted SPRF''s'!$E$16:$O$9929,10,FALSE)</f>
        <v>N</v>
      </c>
      <c r="R1829" s="4" t="str">
        <f>VLOOKUP($B1829,'D7 - NDB Impacted SPRF''s'!$E$16:$O$9929,11,FALSE)</f>
        <v>N</v>
      </c>
      <c r="S1829" s="8"/>
      <c r="T1829" s="310"/>
      <c r="U1829" s="310"/>
      <c r="V1829" s="4"/>
      <c r="W1829" s="4"/>
      <c r="X1829" s="4"/>
      <c r="Y1829" s="4"/>
      <c r="Z1829" s="4"/>
      <c r="AA1829" s="4"/>
      <c r="AB1829" s="380" t="str">
        <f>VLOOKUP($B1829,'D7 - NDB Impacted SPRF''s'!$E$6:$O$9929,4,FALSE)</f>
        <v>Scheduled</v>
      </c>
      <c r="AC1829" s="380" t="str">
        <f>VLOOKUP($B1829,'D7 - NDB Impacted SPRF''s'!$E$6:$O$9929,3,FALSE)</f>
        <v>UHG IT - Shared Services</v>
      </c>
      <c r="AD1829" s="380" t="str">
        <f>VLOOKUP($B1829,'D7 - NDB Impacted SPRF''s'!$E$6:$O$9929,5,FALSE)</f>
        <v>Strategic Initiatives</v>
      </c>
      <c r="AE1829" s="380" t="str">
        <f>VLOOKUP($B1829,'D7 - NDB Impacted SPRF''s'!$E$6:$O$9929,7,FALSE)</f>
        <v>Kevin Cogle</v>
      </c>
      <c r="AF1829" s="380" t="str">
        <f>VLOOKUP($B1829,'D7 - NDB Impacted SPRF''s'!$E$6:$O$9929,6,FALSE)</f>
        <v>Cory Mehan</v>
      </c>
      <c r="AG1829" s="282"/>
      <c r="AH1829" s="311" t="e">
        <f>INDEX('D5 - Gatekeeper - Projects'!$A$4:$AF$1010,$AM1829, 17)</f>
        <v>#N/A</v>
      </c>
      <c r="AI1829" s="8"/>
      <c r="AJ1829" s="57"/>
      <c r="AK1829" s="105"/>
      <c r="AM1829" s="6" t="e">
        <f>MATCH(D1829,'D5 - Gatekeeper - Projects'!$C$4:$C$1010,0)</f>
        <v>#N/A</v>
      </c>
      <c r="AN1829" s="6" t="b">
        <f t="shared" si="196"/>
        <v>1</v>
      </c>
      <c r="AO1829" s="6" t="str">
        <f t="shared" si="199"/>
        <v>OK</v>
      </c>
      <c r="AQ1829" s="6" t="e">
        <f>MATCH($D1829,'D4 - Provider Council Unsched'!$C$11:$C$234,0)</f>
        <v>#N/A</v>
      </c>
      <c r="AR1829" s="6" t="b">
        <f t="shared" si="197"/>
        <v>1</v>
      </c>
      <c r="AS1829" s="6" t="str">
        <f t="shared" si="198"/>
        <v>OK</v>
      </c>
      <c r="AU1829" s="202"/>
      <c r="AV1829" s="262" t="s">
        <v>1088</v>
      </c>
      <c r="AW1829" s="274">
        <v>47119</v>
      </c>
    </row>
    <row r="1830" spans="1:49" s="13" customFormat="1" ht="33.75" x14ac:dyDescent="0.2">
      <c r="A1830" s="14">
        <v>1806</v>
      </c>
      <c r="B1830" s="8">
        <v>400046410</v>
      </c>
      <c r="C1830" s="8" t="s">
        <v>7292</v>
      </c>
      <c r="D1830" s="4" t="str">
        <f t="shared" si="194"/>
        <v>400046410C</v>
      </c>
      <c r="E1830" s="309" t="str">
        <f>VLOOKUP($B1830,'D7 - NDB Impacted SPRF''s'!$E$6:$O$9929,2,FALSE)</f>
        <v>ED - ISET-ELGS Integration</v>
      </c>
      <c r="F1830" s="8"/>
      <c r="G1830" s="8" t="s">
        <v>4758</v>
      </c>
      <c r="H1830" s="8" t="s">
        <v>4246</v>
      </c>
      <c r="I1830" s="20">
        <v>2.93</v>
      </c>
      <c r="J1830" s="8" t="s">
        <v>4862</v>
      </c>
      <c r="K1830" s="182">
        <v>41321</v>
      </c>
      <c r="L1830" s="8" t="s">
        <v>4156</v>
      </c>
      <c r="M1830" s="8" t="s">
        <v>2814</v>
      </c>
      <c r="N1830" s="38" t="s">
        <v>833</v>
      </c>
      <c r="O1830" s="8"/>
      <c r="P1830" s="4" t="str">
        <f>VLOOKUP($B1830,'D7 - NDB Impacted SPRF''s'!$E$16:$O$9929,9,FALSE)</f>
        <v>Y</v>
      </c>
      <c r="Q1830" s="4" t="str">
        <f>VLOOKUP($B1830,'D7 - NDB Impacted SPRF''s'!$E$16:$O$9929,10,FALSE)</f>
        <v>N</v>
      </c>
      <c r="R1830" s="4" t="str">
        <f>VLOOKUP($B1830,'D7 - NDB Impacted SPRF''s'!$E$16:$O$9929,11,FALSE)</f>
        <v>N</v>
      </c>
      <c r="S1830" s="8"/>
      <c r="T1830" s="310"/>
      <c r="U1830" s="310"/>
      <c r="V1830" s="4"/>
      <c r="W1830" s="4"/>
      <c r="X1830" s="4"/>
      <c r="Y1830" s="4"/>
      <c r="Z1830" s="4"/>
      <c r="AA1830" s="4"/>
      <c r="AB1830" s="380" t="str">
        <f>VLOOKUP($B1830,'D7 - NDB Impacted SPRF''s'!$E$6:$O$9929,4,FALSE)</f>
        <v>Scheduled</v>
      </c>
      <c r="AC1830" s="380" t="str">
        <f>VLOOKUP($B1830,'D7 - NDB Impacted SPRF''s'!$E$6:$O$9929,3,FALSE)</f>
        <v>UHG IT - Shared Services</v>
      </c>
      <c r="AD1830" s="380" t="str">
        <f>VLOOKUP($B1830,'D7 - NDB Impacted SPRF''s'!$E$6:$O$9929,5,FALSE)</f>
        <v>Strategic Initiatives</v>
      </c>
      <c r="AE1830" s="380" t="str">
        <f>VLOOKUP($B1830,'D7 - NDB Impacted SPRF''s'!$E$6:$O$9929,7,FALSE)</f>
        <v>Kevin Cogle</v>
      </c>
      <c r="AF1830" s="380" t="str">
        <f>VLOOKUP($B1830,'D7 - NDB Impacted SPRF''s'!$E$6:$O$9929,6,FALSE)</f>
        <v>Cory Mehan</v>
      </c>
      <c r="AG1830" s="282"/>
      <c r="AH1830" s="311" t="e">
        <f>INDEX('D5 - Gatekeeper - Projects'!$A$4:$AF$1010,$AM1830, 17)</f>
        <v>#N/A</v>
      </c>
      <c r="AI1830" s="8"/>
      <c r="AJ1830" s="57"/>
      <c r="AK1830" s="105"/>
      <c r="AM1830" s="6" t="e">
        <f>MATCH(D1830,'D5 - Gatekeeper - Projects'!$C$4:$C$1010,0)</f>
        <v>#N/A</v>
      </c>
      <c r="AN1830" s="6" t="b">
        <f t="shared" si="196"/>
        <v>1</v>
      </c>
      <c r="AO1830" s="6" t="str">
        <f t="shared" si="199"/>
        <v>OK</v>
      </c>
      <c r="AQ1830" s="6" t="e">
        <f>MATCH($D1830,'D4 - Provider Council Unsched'!$C$11:$C$234,0)</f>
        <v>#N/A</v>
      </c>
      <c r="AR1830" s="6" t="b">
        <f t="shared" si="197"/>
        <v>1</v>
      </c>
      <c r="AS1830" s="6" t="str">
        <f t="shared" si="198"/>
        <v>OK</v>
      </c>
      <c r="AU1830" s="202">
        <v>41131</v>
      </c>
      <c r="AV1830" s="262" t="s">
        <v>1088</v>
      </c>
      <c r="AW1830" s="274">
        <v>47119</v>
      </c>
    </row>
    <row r="1831" spans="1:49" s="13" customFormat="1" ht="90" x14ac:dyDescent="0.2">
      <c r="A1831" s="14">
        <v>1807</v>
      </c>
      <c r="B1831" s="8">
        <v>400047477</v>
      </c>
      <c r="C1831" s="8" t="s">
        <v>7292</v>
      </c>
      <c r="D1831" s="4" t="str">
        <f t="shared" si="194"/>
        <v>400047477C</v>
      </c>
      <c r="E1831" s="309" t="str">
        <f>VLOOKUP($B1831,'D7 - NDB Impacted SPRF''s'!$E$6:$O$9929,2,FALSE)</f>
        <v xml:space="preserve">ICD10 E &amp; I Compliance Release </v>
      </c>
      <c r="F1831" s="8"/>
      <c r="G1831" s="8" t="s">
        <v>4758</v>
      </c>
      <c r="H1831" s="8" t="s">
        <v>4246</v>
      </c>
      <c r="I1831" s="20">
        <v>2.2799999999999998</v>
      </c>
      <c r="J1831" s="8" t="s">
        <v>4862</v>
      </c>
      <c r="K1831" s="182">
        <v>41321</v>
      </c>
      <c r="L1831" s="8" t="s">
        <v>4156</v>
      </c>
      <c r="M1831" s="8" t="s">
        <v>2814</v>
      </c>
      <c r="N1831" s="38" t="s">
        <v>324</v>
      </c>
      <c r="O1831" s="8"/>
      <c r="P1831" s="4" t="str">
        <f>VLOOKUP($B1831,'D7 - NDB Impacted SPRF''s'!$E$16:$O$9929,9,FALSE)</f>
        <v>Y</v>
      </c>
      <c r="Q1831" s="4" t="str">
        <f>VLOOKUP($B1831,'D7 - NDB Impacted SPRF''s'!$E$16:$O$9929,10,FALSE)</f>
        <v>N</v>
      </c>
      <c r="R1831" s="4" t="str">
        <f>VLOOKUP($B1831,'D7 - NDB Impacted SPRF''s'!$E$16:$O$9929,11,FALSE)</f>
        <v>Y</v>
      </c>
      <c r="S1831" s="8"/>
      <c r="T1831" s="310"/>
      <c r="U1831" s="310"/>
      <c r="V1831" s="4"/>
      <c r="W1831" s="4"/>
      <c r="X1831" s="4"/>
      <c r="Y1831" s="4"/>
      <c r="Z1831" s="4"/>
      <c r="AA1831" s="4"/>
      <c r="AB1831" s="380" t="str">
        <f>VLOOKUP($B1831,'D7 - NDB Impacted SPRF''s'!$E$6:$O$9929,4,FALSE)</f>
        <v>Scheduled</v>
      </c>
      <c r="AC1831" s="380" t="str">
        <f>VLOOKUP($B1831,'D7 - NDB Impacted SPRF''s'!$E$6:$O$9929,3,FALSE)</f>
        <v>UnitedHealthcare Employer &amp; Individual</v>
      </c>
      <c r="AD1831" s="380" t="str">
        <f>VLOOKUP($B1831,'D7 - NDB Impacted SPRF''s'!$E$6:$O$9929,5,FALSE)</f>
        <v>Regulatory / Other</v>
      </c>
      <c r="AE1831" s="380" t="str">
        <f>VLOOKUP($B1831,'D7 - NDB Impacted SPRF''s'!$E$6:$O$9929,7,FALSE)</f>
        <v>Tim Kaja</v>
      </c>
      <c r="AF1831" s="380" t="str">
        <f>VLOOKUP($B1831,'D7 - NDB Impacted SPRF''s'!$E$6:$O$9929,6,FALSE)</f>
        <v>Delvis Schilling</v>
      </c>
      <c r="AG1831" s="282"/>
      <c r="AH1831" s="311" t="e">
        <f>INDEX('D5 - Gatekeeper - Projects'!$A$4:$AF$1010,$AM1831, 17)</f>
        <v>#N/A</v>
      </c>
      <c r="AI1831" s="8"/>
      <c r="AJ1831" s="57"/>
      <c r="AK1831" s="105"/>
      <c r="AM1831" s="6" t="e">
        <f>MATCH(D1831,'D5 - Gatekeeper - Projects'!$C$4:$C$1010,0)</f>
        <v>#N/A</v>
      </c>
      <c r="AN1831" s="6" t="b">
        <f t="shared" si="196"/>
        <v>1</v>
      </c>
      <c r="AO1831" s="6" t="str">
        <f t="shared" si="199"/>
        <v>OK</v>
      </c>
      <c r="AQ1831" s="6" t="e">
        <f>MATCH($D1831,'D4 - Provider Council Unsched'!$C$11:$C$234,0)</f>
        <v>#N/A</v>
      </c>
      <c r="AR1831" s="6" t="b">
        <f t="shared" si="197"/>
        <v>1</v>
      </c>
      <c r="AS1831" s="6" t="str">
        <f t="shared" si="198"/>
        <v>OK</v>
      </c>
      <c r="AU1831" s="202">
        <v>41033</v>
      </c>
      <c r="AV1831" s="262" t="s">
        <v>2299</v>
      </c>
      <c r="AW1831" s="274">
        <v>58699</v>
      </c>
    </row>
    <row r="1832" spans="1:49" s="13" customFormat="1" ht="33.75" x14ac:dyDescent="0.2">
      <c r="A1832" s="14">
        <v>1808</v>
      </c>
      <c r="B1832" s="8">
        <v>400049913</v>
      </c>
      <c r="C1832" s="8" t="s">
        <v>8138</v>
      </c>
      <c r="D1832" s="4" t="str">
        <f t="shared" si="194"/>
        <v>400049913UA</v>
      </c>
      <c r="E1832" s="309" t="str">
        <f>VLOOKUP($B1832,'D7 - NDB Impacted SPRF''s'!$E$6:$O$9929,2,FALSE)</f>
        <v>NDB EPDE/EPDL 2012</v>
      </c>
      <c r="F1832" s="8"/>
      <c r="G1832" s="8" t="s">
        <v>4758</v>
      </c>
      <c r="H1832" s="8" t="s">
        <v>4246</v>
      </c>
      <c r="I1832" s="20">
        <v>0.95</v>
      </c>
      <c r="J1832" s="8" t="s">
        <v>4862</v>
      </c>
      <c r="K1832" s="182">
        <v>41321</v>
      </c>
      <c r="L1832" s="8" t="s">
        <v>4156</v>
      </c>
      <c r="M1832" s="8" t="s">
        <v>2814</v>
      </c>
      <c r="N1832" s="38"/>
      <c r="O1832" s="8"/>
      <c r="P1832" s="4" t="str">
        <f>VLOOKUP($B1832,'D7 - NDB Impacted SPRF''s'!$E$16:$O$9929,9,FALSE)</f>
        <v>N</v>
      </c>
      <c r="Q1832" s="4" t="str">
        <f>VLOOKUP($B1832,'D7 - NDB Impacted SPRF''s'!$E$16:$O$9929,10,FALSE)</f>
        <v>N</v>
      </c>
      <c r="R1832" s="4" t="str">
        <f>VLOOKUP($B1832,'D7 - NDB Impacted SPRF''s'!$E$16:$O$9929,11,FALSE)</f>
        <v>N</v>
      </c>
      <c r="S1832" s="8"/>
      <c r="T1832" s="310"/>
      <c r="U1832" s="310"/>
      <c r="V1832" s="4"/>
      <c r="W1832" s="4"/>
      <c r="X1832" s="4"/>
      <c r="Y1832" s="4"/>
      <c r="Z1832" s="4"/>
      <c r="AA1832" s="4"/>
      <c r="AB1832" s="380" t="str">
        <f>VLOOKUP($B1832,'D7 - NDB Impacted SPRF''s'!$E$6:$O$9929,4,FALSE)</f>
        <v>Scheduled</v>
      </c>
      <c r="AC1832" s="380" t="str">
        <f>VLOOKUP($B1832,'D7 - NDB Impacted SPRF''s'!$E$6:$O$9929,3,FALSE)</f>
        <v>UnitedHealthcare Employer &amp; Individual</v>
      </c>
      <c r="AD1832" s="380" t="str">
        <f>VLOOKUP($B1832,'D7 - NDB Impacted SPRF''s'!$E$6:$O$9929,5,FALSE)</f>
        <v>Operational Requirements</v>
      </c>
      <c r="AE1832" s="380" t="str">
        <f>VLOOKUP($B1832,'D7 - NDB Impacted SPRF''s'!$E$6:$O$9929,7,FALSE)</f>
        <v>Eileen Dock</v>
      </c>
      <c r="AF1832" s="380" t="str">
        <f>VLOOKUP($B1832,'D7 - NDB Impacted SPRF''s'!$E$6:$O$9929,6,FALSE)</f>
        <v>Robert Wright</v>
      </c>
      <c r="AG1832" s="282"/>
      <c r="AH1832" s="311" t="e">
        <f>INDEX('D5 - Gatekeeper - Projects'!$A$4:$AF$1010,$AM1832, 17)</f>
        <v>#N/A</v>
      </c>
      <c r="AI1832" s="8"/>
      <c r="AJ1832" s="57"/>
      <c r="AK1832" s="105"/>
      <c r="AM1832" s="6" t="e">
        <f>MATCH(D1832,'D5 - Gatekeeper - Projects'!$C$4:$C$1010,0)</f>
        <v>#N/A</v>
      </c>
      <c r="AN1832" s="6" t="b">
        <f t="shared" si="196"/>
        <v>1</v>
      </c>
      <c r="AO1832" s="6" t="str">
        <f t="shared" si="199"/>
        <v>OK</v>
      </c>
      <c r="AQ1832" s="6" t="e">
        <f>MATCH($D1832,'D4 - Provider Council Unsched'!$C$11:$C$234,0)</f>
        <v>#N/A</v>
      </c>
      <c r="AR1832" s="6" t="b">
        <f t="shared" si="197"/>
        <v>1</v>
      </c>
      <c r="AS1832" s="6" t="str">
        <f t="shared" si="198"/>
        <v>OK</v>
      </c>
      <c r="AU1832" s="202">
        <v>41298</v>
      </c>
      <c r="AV1832" s="262" t="s">
        <v>442</v>
      </c>
      <c r="AW1832" s="274">
        <v>56200</v>
      </c>
    </row>
    <row r="1833" spans="1:49" s="13" customFormat="1" ht="67.5" x14ac:dyDescent="0.2">
      <c r="A1833" s="14">
        <v>1809</v>
      </c>
      <c r="B1833" s="8">
        <v>400051193</v>
      </c>
      <c r="C1833" s="8" t="s">
        <v>1447</v>
      </c>
      <c r="D1833" s="4" t="str">
        <f t="shared" si="194"/>
        <v>400051193A</v>
      </c>
      <c r="E1833" s="309" t="str">
        <f>VLOOKUP($B1833,'D7 - NDB Impacted SPRF''s'!$E$6:$O$9929,2,FALSE)</f>
        <v>AO to identify Veterans Admin. Providers and preve</v>
      </c>
      <c r="F1833" s="8"/>
      <c r="G1833" s="8" t="s">
        <v>4758</v>
      </c>
      <c r="H1833" s="8" t="s">
        <v>4246</v>
      </c>
      <c r="I1833" s="20">
        <v>0.4</v>
      </c>
      <c r="J1833" s="8" t="s">
        <v>4862</v>
      </c>
      <c r="K1833" s="182">
        <v>41321</v>
      </c>
      <c r="L1833" s="8" t="s">
        <v>4156</v>
      </c>
      <c r="M1833" s="8" t="s">
        <v>6688</v>
      </c>
      <c r="N1833" s="38" t="s">
        <v>448</v>
      </c>
      <c r="O1833" s="8"/>
      <c r="P1833" s="4" t="str">
        <f>VLOOKUP($B1833,'D7 - NDB Impacted SPRF''s'!$E$16:$O$9929,9,FALSE)</f>
        <v>Y</v>
      </c>
      <c r="Q1833" s="4" t="str">
        <f>VLOOKUP($B1833,'D7 - NDB Impacted SPRF''s'!$E$16:$O$9929,10,FALSE)</f>
        <v>N</v>
      </c>
      <c r="R1833" s="4" t="str">
        <f>VLOOKUP($B1833,'D7 - NDB Impacted SPRF''s'!$E$16:$O$9929,11,FALSE)</f>
        <v>N</v>
      </c>
      <c r="S1833" s="8"/>
      <c r="T1833" s="310"/>
      <c r="U1833" s="310"/>
      <c r="V1833" s="4"/>
      <c r="W1833" s="4"/>
      <c r="X1833" s="4"/>
      <c r="Y1833" s="4"/>
      <c r="Z1833" s="4"/>
      <c r="AA1833" s="4"/>
      <c r="AB1833" s="380" t="str">
        <f>VLOOKUP($B1833,'D7 - NDB Impacted SPRF''s'!$E$6:$O$9929,4,FALSE)</f>
        <v>Completed</v>
      </c>
      <c r="AC1833" s="380" t="str">
        <f>VLOOKUP($B1833,'D7 - NDB Impacted SPRF''s'!$E$6:$O$9929,3,FALSE)</f>
        <v>UnitedHealthcare Employer &amp; Individual</v>
      </c>
      <c r="AD1833" s="380" t="str">
        <f>VLOOKUP($B1833,'D7 - NDB Impacted SPRF''s'!$E$6:$O$9929,5,FALSE)</f>
        <v>Regulatory / Other</v>
      </c>
      <c r="AE1833" s="380" t="str">
        <f>VLOOKUP($B1833,'D7 - NDB Impacted SPRF''s'!$E$6:$O$9929,7,FALSE)</f>
        <v>Lila Brand</v>
      </c>
      <c r="AF1833" s="380" t="str">
        <f>VLOOKUP($B1833,'D7 - NDB Impacted SPRF''s'!$E$6:$O$9929,6,FALSE)</f>
        <v>Carrie Reno</v>
      </c>
      <c r="AG1833" s="282"/>
      <c r="AH1833" s="311" t="e">
        <f>INDEX('D5 - Gatekeeper - Projects'!$A$4:$AF$1010,$AM1833, 17)</f>
        <v>#N/A</v>
      </c>
      <c r="AI1833" s="8"/>
      <c r="AJ1833" s="57"/>
      <c r="AK1833" s="105"/>
      <c r="AM1833" s="6" t="e">
        <f>MATCH(D1833,'D5 - Gatekeeper - Projects'!$C$4:$C$1010,0)</f>
        <v>#N/A</v>
      </c>
      <c r="AN1833" s="6" t="b">
        <f t="shared" si="196"/>
        <v>1</v>
      </c>
      <c r="AO1833" s="6" t="str">
        <f t="shared" si="199"/>
        <v>OK</v>
      </c>
      <c r="AQ1833" s="6" t="e">
        <f>MATCH($D1833,'D4 - Provider Council Unsched'!$C$11:$C$234,0)</f>
        <v>#N/A</v>
      </c>
      <c r="AR1833" s="6" t="b">
        <f t="shared" si="197"/>
        <v>1</v>
      </c>
      <c r="AS1833" s="6" t="str">
        <f t="shared" si="198"/>
        <v>OK</v>
      </c>
      <c r="AU1833" s="202">
        <v>41054</v>
      </c>
      <c r="AV1833" s="262" t="s">
        <v>476</v>
      </c>
      <c r="AW1833" s="274" t="s">
        <v>3572</v>
      </c>
    </row>
    <row r="1834" spans="1:49" s="13" customFormat="1" ht="33.75" x14ac:dyDescent="0.2">
      <c r="A1834" s="14">
        <v>1810</v>
      </c>
      <c r="B1834" s="8">
        <v>400051300</v>
      </c>
      <c r="C1834" s="8" t="s">
        <v>1447</v>
      </c>
      <c r="D1834" s="4" t="str">
        <f t="shared" si="194"/>
        <v>400051300A</v>
      </c>
      <c r="E1834" s="309" t="str">
        <f>VLOOKUP($B1834,'D7 - NDB Impacted SPRF''s'!$E$6:$O$9929,2,FALSE)</f>
        <v>UNO Replacement A/D</v>
      </c>
      <c r="F1834" s="8"/>
      <c r="G1834" s="8" t="s">
        <v>4758</v>
      </c>
      <c r="H1834" s="8" t="s">
        <v>4246</v>
      </c>
      <c r="I1834" s="20">
        <v>4.96</v>
      </c>
      <c r="J1834" s="8" t="s">
        <v>4862</v>
      </c>
      <c r="K1834" s="182">
        <v>41321</v>
      </c>
      <c r="L1834" s="8" t="s">
        <v>4156</v>
      </c>
      <c r="M1834" s="8" t="s">
        <v>2814</v>
      </c>
      <c r="N1834" s="38" t="s">
        <v>8160</v>
      </c>
      <c r="O1834" s="8"/>
      <c r="P1834" s="4" t="str">
        <f>VLOOKUP($B1834,'D7 - NDB Impacted SPRF''s'!$E$16:$O$9929,9,FALSE)</f>
        <v>N</v>
      </c>
      <c r="Q1834" s="4" t="str">
        <f>VLOOKUP($B1834,'D7 - NDB Impacted SPRF''s'!$E$16:$O$9929,10,FALSE)</f>
        <v>N</v>
      </c>
      <c r="R1834" s="4" t="str">
        <f>VLOOKUP($B1834,'D7 - NDB Impacted SPRF''s'!$E$16:$O$9929,11,FALSE)</f>
        <v>N</v>
      </c>
      <c r="S1834" s="8"/>
      <c r="T1834" s="310"/>
      <c r="U1834" s="310"/>
      <c r="V1834" s="4"/>
      <c r="W1834" s="4"/>
      <c r="X1834" s="4"/>
      <c r="Y1834" s="4"/>
      <c r="Z1834" s="4"/>
      <c r="AA1834" s="4"/>
      <c r="AB1834" s="380" t="str">
        <f>VLOOKUP($B1834,'D7 - NDB Impacted SPRF''s'!$E$6:$O$9929,4,FALSE)</f>
        <v>Scheduled</v>
      </c>
      <c r="AC1834" s="380" t="str">
        <f>VLOOKUP($B1834,'D7 - NDB Impacted SPRF''s'!$E$6:$O$9929,3,FALSE)</f>
        <v>UnitedHealthcare Employer &amp; Individual</v>
      </c>
      <c r="AD1834" s="380" t="str">
        <f>VLOOKUP($B1834,'D7 - NDB Impacted SPRF''s'!$E$6:$O$9929,5,FALSE)</f>
        <v>Infrastructure Requirements</v>
      </c>
      <c r="AE1834" s="380" t="str">
        <f>VLOOKUP($B1834,'D7 - NDB Impacted SPRF''s'!$E$6:$O$9929,7,FALSE)</f>
        <v>Vicki Stewart</v>
      </c>
      <c r="AF1834" s="380" t="str">
        <f>VLOOKUP($B1834,'D7 - NDB Impacted SPRF''s'!$E$6:$O$9929,6,FALSE)</f>
        <v>Robert Wright</v>
      </c>
      <c r="AG1834" s="282"/>
      <c r="AH1834" s="311" t="e">
        <f>INDEX('D5 - Gatekeeper - Projects'!$A$4:$AF$1010,$AM1834, 17)</f>
        <v>#N/A</v>
      </c>
      <c r="AI1834" s="8"/>
      <c r="AJ1834" s="57"/>
      <c r="AK1834" s="105"/>
      <c r="AM1834" s="6" t="e">
        <f>MATCH(D1834,'D5 - Gatekeeper - Projects'!$C$4:$C$1010,0)</f>
        <v>#N/A</v>
      </c>
      <c r="AN1834" s="6" t="b">
        <f t="shared" si="196"/>
        <v>1</v>
      </c>
      <c r="AO1834" s="6" t="str">
        <f t="shared" si="199"/>
        <v>OK</v>
      </c>
      <c r="AQ1834" s="6" t="e">
        <f>MATCH($D1834,'D4 - Provider Council Unsched'!$C$11:$C$234,0)</f>
        <v>#N/A</v>
      </c>
      <c r="AR1834" s="6" t="b">
        <f t="shared" si="197"/>
        <v>1</v>
      </c>
      <c r="AS1834" s="6" t="str">
        <f t="shared" si="198"/>
        <v>OK</v>
      </c>
      <c r="AU1834" s="202">
        <v>41082</v>
      </c>
      <c r="AV1834" s="262" t="s">
        <v>937</v>
      </c>
      <c r="AW1834" s="274">
        <v>59929</v>
      </c>
    </row>
    <row r="1835" spans="1:49" s="13" customFormat="1" ht="33.75" x14ac:dyDescent="0.2">
      <c r="A1835" s="14">
        <v>1811</v>
      </c>
      <c r="B1835" s="8">
        <v>400051373</v>
      </c>
      <c r="C1835" s="8" t="s">
        <v>1447</v>
      </c>
      <c r="D1835" s="4" t="str">
        <f t="shared" si="194"/>
        <v>400051373A</v>
      </c>
      <c r="E1835" s="309" t="str">
        <f>VLOOKUP($B1835,'D7 - NDB Impacted SPRF''s'!$E$6:$O$9929,2,FALSE)</f>
        <v>CSS-B2X 2013A Release (PHS Migration)</v>
      </c>
      <c r="F1835" s="8"/>
      <c r="G1835" s="8" t="s">
        <v>4758</v>
      </c>
      <c r="H1835" s="8" t="s">
        <v>4246</v>
      </c>
      <c r="I1835" s="20">
        <v>0.49</v>
      </c>
      <c r="J1835" s="8" t="s">
        <v>4862</v>
      </c>
      <c r="K1835" s="182">
        <v>41321</v>
      </c>
      <c r="L1835" s="8" t="s">
        <v>4156</v>
      </c>
      <c r="M1835" s="8" t="s">
        <v>5626</v>
      </c>
      <c r="N1835" s="38" t="s">
        <v>956</v>
      </c>
      <c r="O1835" s="8"/>
      <c r="P1835" s="4" t="str">
        <f>VLOOKUP($B1835,'D7 - NDB Impacted SPRF''s'!$E$16:$O$9929,9,FALSE)</f>
        <v>N</v>
      </c>
      <c r="Q1835" s="4" t="str">
        <f>VLOOKUP($B1835,'D7 - NDB Impacted SPRF''s'!$E$16:$O$9929,10,FALSE)</f>
        <v>N</v>
      </c>
      <c r="R1835" s="4" t="str">
        <f>VLOOKUP($B1835,'D7 - NDB Impacted SPRF''s'!$E$16:$O$9929,11,FALSE)</f>
        <v>N</v>
      </c>
      <c r="S1835" s="8"/>
      <c r="T1835" s="310"/>
      <c r="U1835" s="310"/>
      <c r="V1835" s="4"/>
      <c r="W1835" s="4"/>
      <c r="X1835" s="4"/>
      <c r="Y1835" s="4"/>
      <c r="Z1835" s="4"/>
      <c r="AA1835" s="4"/>
      <c r="AB1835" s="380" t="str">
        <f>VLOOKUP($B1835,'D7 - NDB Impacted SPRF''s'!$E$6:$O$9929,4,FALSE)</f>
        <v>Completed</v>
      </c>
      <c r="AC1835" s="380" t="str">
        <f>VLOOKUP($B1835,'D7 - NDB Impacted SPRF''s'!$E$6:$O$9929,3,FALSE)</f>
        <v>UnitedHealthcare Employer &amp; Individual</v>
      </c>
      <c r="AD1835" s="380" t="str">
        <f>VLOOKUP($B1835,'D7 - NDB Impacted SPRF''s'!$E$6:$O$9929,5,FALSE)</f>
        <v>Medical Cost Savings Programs</v>
      </c>
      <c r="AE1835" s="380" t="str">
        <f>VLOOKUP($B1835,'D7 - NDB Impacted SPRF''s'!$E$6:$O$9929,7,FALSE)</f>
        <v>Cynthia Middaugh</v>
      </c>
      <c r="AF1835" s="380" t="str">
        <f>VLOOKUP($B1835,'D7 - NDB Impacted SPRF''s'!$E$6:$O$9929,6,FALSE)</f>
        <v>CHRISTINA MOSHER</v>
      </c>
      <c r="AG1835" s="282"/>
      <c r="AH1835" s="311" t="e">
        <f>INDEX('D5 - Gatekeeper - Projects'!$A$4:$AF$1010,$AM1835, 17)</f>
        <v>#N/A</v>
      </c>
      <c r="AI1835" s="8"/>
      <c r="AJ1835" s="57"/>
      <c r="AK1835" s="105"/>
      <c r="AM1835" s="6" t="e">
        <f>MATCH(D1835,'D5 - Gatekeeper - Projects'!$C$4:$C$1010,0)</f>
        <v>#N/A</v>
      </c>
      <c r="AN1835" s="6" t="b">
        <f t="shared" si="196"/>
        <v>1</v>
      </c>
      <c r="AO1835" s="6" t="str">
        <f t="shared" si="199"/>
        <v>OK</v>
      </c>
      <c r="AQ1835" s="6" t="e">
        <f>MATCH($D1835,'D4 - Provider Council Unsched'!$C$11:$C$234,0)</f>
        <v>#N/A</v>
      </c>
      <c r="AR1835" s="6" t="b">
        <f t="shared" si="197"/>
        <v>1</v>
      </c>
      <c r="AS1835" s="6" t="str">
        <f t="shared" si="198"/>
        <v>OK</v>
      </c>
      <c r="AU1835" s="202">
        <v>41145</v>
      </c>
      <c r="AV1835" s="262" t="s">
        <v>2232</v>
      </c>
      <c r="AW1835" s="274">
        <v>60463</v>
      </c>
    </row>
    <row r="1836" spans="1:49" s="13" customFormat="1" x14ac:dyDescent="0.2">
      <c r="A1836" s="14">
        <v>1812</v>
      </c>
      <c r="B1836" s="8">
        <v>400053251</v>
      </c>
      <c r="C1836" s="8" t="s">
        <v>1447</v>
      </c>
      <c r="D1836" s="4" t="str">
        <f t="shared" si="194"/>
        <v>400053251A</v>
      </c>
      <c r="E1836" s="309" t="str">
        <f>VLOOKUP($B1836,'D7 - NDB Impacted SPRF''s'!$E$6:$O$9929,2,FALSE)</f>
        <v xml:space="preserve">Transparency: 2012 OHBS Members CS-UHC Consumer </v>
      </c>
      <c r="F1836" s="8"/>
      <c r="G1836" s="8" t="s">
        <v>4758</v>
      </c>
      <c r="H1836" s="8" t="s">
        <v>4246</v>
      </c>
      <c r="I1836" s="20">
        <v>1.42</v>
      </c>
      <c r="J1836" s="8" t="s">
        <v>4862</v>
      </c>
      <c r="K1836" s="182">
        <v>41321</v>
      </c>
      <c r="L1836" s="8" t="s">
        <v>4156</v>
      </c>
      <c r="M1836" s="8" t="s">
        <v>6688</v>
      </c>
      <c r="N1836" s="38"/>
      <c r="O1836" s="8"/>
      <c r="P1836" s="4" t="str">
        <f>VLOOKUP($B1836,'D7 - NDB Impacted SPRF''s'!$E$16:$O$9929,9,FALSE)</f>
        <v>N</v>
      </c>
      <c r="Q1836" s="4" t="str">
        <f>VLOOKUP($B1836,'D7 - NDB Impacted SPRF''s'!$E$16:$O$9929,10,FALSE)</f>
        <v>N</v>
      </c>
      <c r="R1836" s="4" t="str">
        <f>VLOOKUP($B1836,'D7 - NDB Impacted SPRF''s'!$E$16:$O$9929,11,FALSE)</f>
        <v>N</v>
      </c>
      <c r="S1836" s="8"/>
      <c r="T1836" s="310"/>
      <c r="U1836" s="310"/>
      <c r="V1836" s="4"/>
      <c r="W1836" s="4"/>
      <c r="X1836" s="4"/>
      <c r="Y1836" s="4"/>
      <c r="Z1836" s="4"/>
      <c r="AA1836" s="4"/>
      <c r="AB1836" s="380" t="str">
        <f>VLOOKUP($B1836,'D7 - NDB Impacted SPRF''s'!$E$6:$O$9929,4,FALSE)</f>
        <v>Completed</v>
      </c>
      <c r="AC1836" s="380" t="str">
        <f>VLOOKUP($B1836,'D7 - NDB Impacted SPRF''s'!$E$6:$O$9929,3,FALSE)</f>
        <v>OptumHealth</v>
      </c>
      <c r="AD1836" s="380" t="str">
        <f>VLOOKUP($B1836,'D7 - NDB Impacted SPRF''s'!$E$6:$O$9929,5,FALSE)</f>
        <v>Behavioral Solutions</v>
      </c>
      <c r="AE1836" s="380" t="str">
        <f>VLOOKUP($B1836,'D7 - NDB Impacted SPRF''s'!$E$6:$O$9929,7,FALSE)</f>
        <v xml:space="preserve">Jann Dodd and Deb Adler </v>
      </c>
      <c r="AF1836" s="380" t="str">
        <f>VLOOKUP($B1836,'D7 - NDB Impacted SPRF''s'!$E$6:$O$9929,6,FALSE)</f>
        <v>Debra Dee</v>
      </c>
      <c r="AG1836" s="282"/>
      <c r="AH1836" s="311" t="e">
        <f>INDEX('D5 - Gatekeeper - Projects'!$A$4:$AF$1010,$AM1836, 17)</f>
        <v>#N/A</v>
      </c>
      <c r="AI1836" s="8"/>
      <c r="AJ1836" s="57"/>
      <c r="AK1836" s="105"/>
      <c r="AM1836" s="6" t="e">
        <f>MATCH(D1836,'D5 - Gatekeeper - Projects'!$C$4:$C$1010,0)</f>
        <v>#N/A</v>
      </c>
      <c r="AN1836" s="6" t="b">
        <f t="shared" si="196"/>
        <v>1</v>
      </c>
      <c r="AO1836" s="6" t="str">
        <f t="shared" si="199"/>
        <v>OK</v>
      </c>
      <c r="AQ1836" s="6" t="e">
        <f>MATCH($D1836,'D4 - Provider Council Unsched'!$C$11:$C$234,0)</f>
        <v>#N/A</v>
      </c>
      <c r="AR1836" s="6" t="b">
        <f t="shared" si="197"/>
        <v>1</v>
      </c>
      <c r="AS1836" s="6" t="str">
        <f t="shared" si="198"/>
        <v>OK</v>
      </c>
      <c r="AU1836" s="202">
        <v>41199</v>
      </c>
      <c r="AV1836" s="262" t="s">
        <v>462</v>
      </c>
      <c r="AW1836" s="274">
        <v>63912</v>
      </c>
    </row>
    <row r="1837" spans="1:49" s="13" customFormat="1" ht="213.75" x14ac:dyDescent="0.2">
      <c r="A1837" s="14">
        <v>1813</v>
      </c>
      <c r="B1837" s="8">
        <v>400053723</v>
      </c>
      <c r="C1837" s="8" t="s">
        <v>7290</v>
      </c>
      <c r="D1837" s="4" t="str">
        <f t="shared" si="194"/>
        <v>400053723B</v>
      </c>
      <c r="E1837" s="309" t="str">
        <f>VLOOKUP($B1837,'D7 - NDB Impacted SPRF''s'!$E$6:$O$9929,2,FALSE)</f>
        <v>TRICARE West Implementation FD: Provider/Network</v>
      </c>
      <c r="F1837" s="8"/>
      <c r="G1837" s="8" t="s">
        <v>4758</v>
      </c>
      <c r="H1837" s="8" t="s">
        <v>4246</v>
      </c>
      <c r="I1837" s="20">
        <v>58.56</v>
      </c>
      <c r="J1837" s="8" t="s">
        <v>4862</v>
      </c>
      <c r="K1837" s="182">
        <v>41321</v>
      </c>
      <c r="L1837" s="8" t="s">
        <v>4156</v>
      </c>
      <c r="M1837" s="8" t="s">
        <v>2814</v>
      </c>
      <c r="N1837" s="38" t="s">
        <v>855</v>
      </c>
      <c r="O1837" s="8"/>
      <c r="P1837" s="4" t="str">
        <f>VLOOKUP($B1837,'D7 - NDB Impacted SPRF''s'!$E$16:$O$9929,9,FALSE)</f>
        <v>N</v>
      </c>
      <c r="Q1837" s="4" t="str">
        <f>VLOOKUP($B1837,'D7 - NDB Impacted SPRF''s'!$E$16:$O$9929,10,FALSE)</f>
        <v>N</v>
      </c>
      <c r="R1837" s="4" t="str">
        <f>VLOOKUP($B1837,'D7 - NDB Impacted SPRF''s'!$E$16:$O$9929,11,FALSE)</f>
        <v>Y</v>
      </c>
      <c r="S1837" s="8"/>
      <c r="T1837" s="310"/>
      <c r="U1837" s="310"/>
      <c r="V1837" s="4"/>
      <c r="W1837" s="4"/>
      <c r="X1837" s="4"/>
      <c r="Y1837" s="4"/>
      <c r="Z1837" s="4"/>
      <c r="AA1837" s="4"/>
      <c r="AB1837" s="380" t="str">
        <f>VLOOKUP($B1837,'D7 - NDB Impacted SPRF''s'!$E$6:$O$9929,4,FALSE)</f>
        <v>Scheduled</v>
      </c>
      <c r="AC1837" s="380" t="str">
        <f>VLOOKUP($B1837,'D7 - NDB Impacted SPRF''s'!$E$6:$O$9929,3,FALSE)</f>
        <v>UnitedHealthcare Military &amp; Veterans</v>
      </c>
      <c r="AD1837" s="380" t="str">
        <f>VLOOKUP($B1837,'D7 - NDB Impacted SPRF''s'!$E$6:$O$9929,5,FALSE)</f>
        <v>Integration Requirements</v>
      </c>
      <c r="AE1837" s="380" t="str">
        <f>VLOOKUP($B1837,'D7 - NDB Impacted SPRF''s'!$E$6:$O$9929,7,FALSE)</f>
        <v>Mike Schwarz</v>
      </c>
      <c r="AF1837" s="380" t="str">
        <f>VLOOKUP($B1837,'D7 - NDB Impacted SPRF''s'!$E$6:$O$9929,6,FALSE)</f>
        <v>Michael Schwarz</v>
      </c>
      <c r="AG1837" s="282"/>
      <c r="AH1837" s="311" t="e">
        <f>INDEX('D5 - Gatekeeper - Projects'!$A$4:$AF$1010,$AM1837, 17)</f>
        <v>#N/A</v>
      </c>
      <c r="AI1837" s="8"/>
      <c r="AJ1837" s="57"/>
      <c r="AK1837" s="105"/>
      <c r="AM1837" s="6" t="e">
        <f>MATCH(D1837,'D5 - Gatekeeper - Projects'!$C$4:$C$1010,0)</f>
        <v>#N/A</v>
      </c>
      <c r="AN1837" s="6" t="b">
        <f t="shared" si="196"/>
        <v>1</v>
      </c>
      <c r="AO1837" s="6" t="str">
        <f t="shared" si="199"/>
        <v>OK</v>
      </c>
      <c r="AQ1837" s="6" t="e">
        <f>MATCH($D1837,'D4 - Provider Council Unsched'!$C$11:$C$234,0)</f>
        <v>#N/A</v>
      </c>
      <c r="AR1837" s="6" t="b">
        <f t="shared" si="197"/>
        <v>1</v>
      </c>
      <c r="AS1837" s="6" t="str">
        <f t="shared" si="198"/>
        <v>OK</v>
      </c>
      <c r="AU1837" s="202">
        <v>41124</v>
      </c>
      <c r="AV1837" s="262" t="s">
        <v>3204</v>
      </c>
      <c r="AW1837" s="274">
        <v>66807</v>
      </c>
    </row>
    <row r="1838" spans="1:49" s="13" customFormat="1" ht="33.75" x14ac:dyDescent="0.2">
      <c r="A1838" s="14">
        <v>1814</v>
      </c>
      <c r="B1838" s="8">
        <v>400053723</v>
      </c>
      <c r="C1838" s="8" t="s">
        <v>1188</v>
      </c>
      <c r="D1838" s="4" t="str">
        <f t="shared" si="194"/>
        <v>400053723UB</v>
      </c>
      <c r="E1838" s="309" t="str">
        <f>VLOOKUP($B1838,'D7 - NDB Impacted SPRF''s'!$E$6:$O$9929,2,FALSE)</f>
        <v>TRICARE West Implementation FD: Provider/Network</v>
      </c>
      <c r="F1838" s="8"/>
      <c r="G1838" s="8" t="s">
        <v>4758</v>
      </c>
      <c r="H1838" s="8" t="s">
        <v>4246</v>
      </c>
      <c r="I1838" s="20">
        <v>0</v>
      </c>
      <c r="J1838" s="8" t="s">
        <v>4862</v>
      </c>
      <c r="K1838" s="182">
        <v>41321</v>
      </c>
      <c r="L1838" s="8" t="s">
        <v>4156</v>
      </c>
      <c r="M1838" s="8" t="s">
        <v>2814</v>
      </c>
      <c r="N1838" s="38" t="s">
        <v>8036</v>
      </c>
      <c r="O1838" s="8"/>
      <c r="P1838" s="4" t="str">
        <f>VLOOKUP($B1838,'D7 - NDB Impacted SPRF''s'!$E$16:$O$9929,9,FALSE)</f>
        <v>N</v>
      </c>
      <c r="Q1838" s="4" t="str">
        <f>VLOOKUP($B1838,'D7 - NDB Impacted SPRF''s'!$E$16:$O$9929,10,FALSE)</f>
        <v>N</v>
      </c>
      <c r="R1838" s="4" t="str">
        <f>VLOOKUP($B1838,'D7 - NDB Impacted SPRF''s'!$E$16:$O$9929,11,FALSE)</f>
        <v>Y</v>
      </c>
      <c r="S1838" s="8"/>
      <c r="T1838" s="310"/>
      <c r="U1838" s="310"/>
      <c r="V1838" s="4"/>
      <c r="W1838" s="4"/>
      <c r="X1838" s="4"/>
      <c r="Y1838" s="4"/>
      <c r="Z1838" s="4"/>
      <c r="AA1838" s="4"/>
      <c r="AB1838" s="380" t="str">
        <f>VLOOKUP($B1838,'D7 - NDB Impacted SPRF''s'!$E$6:$O$9929,4,FALSE)</f>
        <v>Scheduled</v>
      </c>
      <c r="AC1838" s="380" t="str">
        <f>VLOOKUP($B1838,'D7 - NDB Impacted SPRF''s'!$E$6:$O$9929,3,FALSE)</f>
        <v>UnitedHealthcare Military &amp; Veterans</v>
      </c>
      <c r="AD1838" s="380" t="str">
        <f>VLOOKUP($B1838,'D7 - NDB Impacted SPRF''s'!$E$6:$O$9929,5,FALSE)</f>
        <v>Integration Requirements</v>
      </c>
      <c r="AE1838" s="380" t="str">
        <f>VLOOKUP($B1838,'D7 - NDB Impacted SPRF''s'!$E$6:$O$9929,7,FALSE)</f>
        <v>Mike Schwarz</v>
      </c>
      <c r="AF1838" s="380" t="str">
        <f>VLOOKUP($B1838,'D7 - NDB Impacted SPRF''s'!$E$6:$O$9929,6,FALSE)</f>
        <v>Michael Schwarz</v>
      </c>
      <c r="AG1838" s="282"/>
      <c r="AH1838" s="311" t="e">
        <f>INDEX('D5 - Gatekeeper - Projects'!$A$4:$AF$1010,$AM1838, 17)</f>
        <v>#N/A</v>
      </c>
      <c r="AI1838" s="8"/>
      <c r="AJ1838" s="57"/>
      <c r="AK1838" s="105"/>
      <c r="AM1838" s="6" t="e">
        <f>MATCH(D1838,'D5 - Gatekeeper - Projects'!$C$4:$C$1010,0)</f>
        <v>#N/A</v>
      </c>
      <c r="AN1838" s="6" t="b">
        <f t="shared" si="196"/>
        <v>1</v>
      </c>
      <c r="AO1838" s="6" t="str">
        <f t="shared" si="199"/>
        <v>OK</v>
      </c>
      <c r="AQ1838" s="6" t="e">
        <f>MATCH($D1838,'D4 - Provider Council Unsched'!$C$11:$C$234,0)</f>
        <v>#N/A</v>
      </c>
      <c r="AR1838" s="6" t="b">
        <f t="shared" si="197"/>
        <v>1</v>
      </c>
      <c r="AS1838" s="6" t="str">
        <f t="shared" si="198"/>
        <v>OK</v>
      </c>
      <c r="AU1838" s="202">
        <v>41292</v>
      </c>
      <c r="AV1838" s="262" t="s">
        <v>3204</v>
      </c>
      <c r="AW1838" s="274">
        <v>66801</v>
      </c>
    </row>
    <row r="1839" spans="1:49" s="13" customFormat="1" ht="33.75" x14ac:dyDescent="0.2">
      <c r="A1839" s="14">
        <v>1815</v>
      </c>
      <c r="B1839" s="8">
        <v>400053899</v>
      </c>
      <c r="C1839" s="8" t="s">
        <v>1447</v>
      </c>
      <c r="D1839" s="4" t="str">
        <f t="shared" si="194"/>
        <v>400053899A</v>
      </c>
      <c r="E1839" s="309" t="str">
        <f>VLOOKUP($B1839,'D7 - NDB Impacted SPRF''s'!$E$6:$O$9929,2,FALSE)</f>
        <v>iCES Clearinghouse Feb 2013 Maintenance Release</v>
      </c>
      <c r="F1839" s="8"/>
      <c r="G1839" s="8" t="s">
        <v>4758</v>
      </c>
      <c r="H1839" s="8" t="s">
        <v>4246</v>
      </c>
      <c r="I1839" s="20">
        <v>0.17</v>
      </c>
      <c r="J1839" s="8" t="s">
        <v>4862</v>
      </c>
      <c r="K1839" s="182">
        <v>41321</v>
      </c>
      <c r="L1839" s="8" t="s">
        <v>4156</v>
      </c>
      <c r="M1839" s="8" t="s">
        <v>5626</v>
      </c>
      <c r="N1839" s="38" t="s">
        <v>8025</v>
      </c>
      <c r="O1839" s="8"/>
      <c r="P1839" s="4" t="str">
        <f>VLOOKUP($B1839,'D7 - NDB Impacted SPRF''s'!$E$16:$O$9929,9,FALSE)</f>
        <v>Y</v>
      </c>
      <c r="Q1839" s="4" t="str">
        <f>VLOOKUP($B1839,'D7 - NDB Impacted SPRF''s'!$E$16:$O$9929,10,FALSE)</f>
        <v>N</v>
      </c>
      <c r="R1839" s="4" t="str">
        <f>VLOOKUP($B1839,'D7 - NDB Impacted SPRF''s'!$E$16:$O$9929,11,FALSE)</f>
        <v>N</v>
      </c>
      <c r="S1839" s="8"/>
      <c r="T1839" s="310"/>
      <c r="U1839" s="310"/>
      <c r="V1839" s="4"/>
      <c r="W1839" s="4"/>
      <c r="X1839" s="4"/>
      <c r="Y1839" s="4"/>
      <c r="Z1839" s="4"/>
      <c r="AA1839" s="4"/>
      <c r="AB1839" s="380" t="str">
        <f>VLOOKUP($B1839,'D7 - NDB Impacted SPRF''s'!$E$6:$O$9929,4,FALSE)</f>
        <v>Scheduled</v>
      </c>
      <c r="AC1839" s="380" t="str">
        <f>VLOOKUP($B1839,'D7 - NDB Impacted SPRF''s'!$E$6:$O$9929,3,FALSE)</f>
        <v>UnitedHealthcare Employer &amp; Individual</v>
      </c>
      <c r="AD1839" s="380" t="str">
        <f>VLOOKUP($B1839,'D7 - NDB Impacted SPRF''s'!$E$6:$O$9929,5,FALSE)</f>
        <v>Operational Requirements</v>
      </c>
      <c r="AE1839" s="380" t="str">
        <f>VLOOKUP($B1839,'D7 - NDB Impacted SPRF''s'!$E$6:$O$9929,7,FALSE)</f>
        <v>Kathy Learst</v>
      </c>
      <c r="AF1839" s="380" t="str">
        <f>VLOOKUP($B1839,'D7 - NDB Impacted SPRF''s'!$E$6:$O$9929,6,FALSE)</f>
        <v>DAWN BOLLER</v>
      </c>
      <c r="AG1839" s="282"/>
      <c r="AH1839" s="311" t="e">
        <f>INDEX('D5 - Gatekeeper - Projects'!$A$4:$AF$1010,$AM1839, 17)</f>
        <v>#N/A</v>
      </c>
      <c r="AI1839" s="8"/>
      <c r="AJ1839" s="57"/>
      <c r="AK1839" s="105"/>
      <c r="AM1839" s="6" t="e">
        <f>MATCH(D1839,'D5 - Gatekeeper - Projects'!$C$4:$C$1010,0)</f>
        <v>#N/A</v>
      </c>
      <c r="AN1839" s="6" t="b">
        <f t="shared" si="196"/>
        <v>1</v>
      </c>
      <c r="AO1839" s="6" t="str">
        <f t="shared" si="199"/>
        <v>OK</v>
      </c>
      <c r="AQ1839" s="6" t="e">
        <f>MATCH($D1839,'D4 - Provider Council Unsched'!$C$11:$C$234,0)</f>
        <v>#N/A</v>
      </c>
      <c r="AR1839" s="6" t="b">
        <f t="shared" si="197"/>
        <v>1</v>
      </c>
      <c r="AS1839" s="6" t="str">
        <f t="shared" si="198"/>
        <v>OK</v>
      </c>
      <c r="AU1839" s="202">
        <v>41278</v>
      </c>
      <c r="AV1839" s="323" t="s">
        <v>2303</v>
      </c>
      <c r="AW1839" s="274"/>
    </row>
    <row r="1840" spans="1:49" s="13" customFormat="1" ht="33.75" x14ac:dyDescent="0.2">
      <c r="A1840" s="14">
        <v>1816</v>
      </c>
      <c r="B1840" s="8">
        <v>400054445</v>
      </c>
      <c r="C1840" s="8" t="s">
        <v>1447</v>
      </c>
      <c r="D1840" s="4" t="str">
        <f t="shared" si="194"/>
        <v>400054445A</v>
      </c>
      <c r="E1840" s="309" t="str">
        <f>VLOOKUP($B1840,'D7 - NDB Impacted SPRF''s'!$E$6:$O$9929,2,FALSE)</f>
        <v>Medical Necessity IPCM Phase 2</v>
      </c>
      <c r="F1840" s="8"/>
      <c r="G1840" s="8" t="s">
        <v>4758</v>
      </c>
      <c r="H1840" s="8" t="s">
        <v>4246</v>
      </c>
      <c r="I1840" s="20">
        <v>3.33</v>
      </c>
      <c r="J1840" s="8" t="s">
        <v>4862</v>
      </c>
      <c r="K1840" s="182">
        <v>41321</v>
      </c>
      <c r="L1840" s="8" t="s">
        <v>4156</v>
      </c>
      <c r="M1840" s="8" t="s">
        <v>2814</v>
      </c>
      <c r="N1840" s="38" t="s">
        <v>7174</v>
      </c>
      <c r="O1840" s="8"/>
      <c r="P1840" s="4" t="str">
        <f>VLOOKUP($B1840,'D7 - NDB Impacted SPRF''s'!$E$16:$O$9929,9,FALSE)</f>
        <v>Y</v>
      </c>
      <c r="Q1840" s="4" t="str">
        <f>VLOOKUP($B1840,'D7 - NDB Impacted SPRF''s'!$E$16:$O$9929,10,FALSE)</f>
        <v>N</v>
      </c>
      <c r="R1840" s="4" t="str">
        <f>VLOOKUP($B1840,'D7 - NDB Impacted SPRF''s'!$E$16:$O$9929,11,FALSE)</f>
        <v>Y</v>
      </c>
      <c r="S1840" s="8"/>
      <c r="T1840" s="310"/>
      <c r="U1840" s="310"/>
      <c r="V1840" s="4"/>
      <c r="W1840" s="4"/>
      <c r="X1840" s="4"/>
      <c r="Y1840" s="4"/>
      <c r="Z1840" s="4"/>
      <c r="AA1840" s="4"/>
      <c r="AB1840" s="380" t="str">
        <f>VLOOKUP($B1840,'D7 - NDB Impacted SPRF''s'!$E$6:$O$9929,4,FALSE)</f>
        <v>Scheduled</v>
      </c>
      <c r="AC1840" s="380" t="str">
        <f>VLOOKUP($B1840,'D7 - NDB Impacted SPRF''s'!$E$6:$O$9929,3,FALSE)</f>
        <v>UnitedHealthcare Employer &amp; Individual</v>
      </c>
      <c r="AD1840" s="380" t="str">
        <f>VLOOKUP($B1840,'D7 - NDB Impacted SPRF''s'!$E$6:$O$9929,5,FALSE)</f>
        <v>Medical Cost Savings Programs</v>
      </c>
      <c r="AE1840" s="380" t="str">
        <f>VLOOKUP($B1840,'D7 - NDB Impacted SPRF''s'!$E$6:$O$9929,7,FALSE)</f>
        <v>Sam Ho/Kevin Ruth</v>
      </c>
      <c r="AF1840" s="380" t="str">
        <f>VLOOKUP($B1840,'D7 - NDB Impacted SPRF''s'!$E$6:$O$9929,6,FALSE)</f>
        <v>CANDRA TAYLOR</v>
      </c>
      <c r="AG1840" s="282"/>
      <c r="AH1840" s="311" t="e">
        <f>INDEX('D5 - Gatekeeper - Projects'!$A$4:$AF$1010,$AM1840, 17)</f>
        <v>#N/A</v>
      </c>
      <c r="AI1840" s="8"/>
      <c r="AJ1840" s="57"/>
      <c r="AK1840" s="105"/>
      <c r="AM1840" s="6" t="e">
        <f>MATCH(D1840,'D5 - Gatekeeper - Projects'!$C$4:$C$1010,0)</f>
        <v>#N/A</v>
      </c>
      <c r="AN1840" s="6" t="b">
        <f t="shared" si="196"/>
        <v>1</v>
      </c>
      <c r="AO1840" s="6" t="str">
        <f t="shared" si="199"/>
        <v>OK</v>
      </c>
      <c r="AQ1840" s="6" t="e">
        <f>MATCH($D1840,'D4 - Provider Council Unsched'!$C$11:$C$234,0)</f>
        <v>#N/A</v>
      </c>
      <c r="AR1840" s="6" t="b">
        <f t="shared" si="197"/>
        <v>1</v>
      </c>
      <c r="AS1840" s="6" t="str">
        <f t="shared" si="198"/>
        <v>OK</v>
      </c>
      <c r="AU1840" s="202">
        <v>41199</v>
      </c>
      <c r="AV1840" s="323" t="s">
        <v>1042</v>
      </c>
      <c r="AW1840" s="274">
        <v>68142</v>
      </c>
    </row>
    <row r="1841" spans="1:49" s="13" customFormat="1" ht="45" x14ac:dyDescent="0.2">
      <c r="A1841" s="14">
        <v>1817</v>
      </c>
      <c r="B1841" s="8">
        <v>400054992</v>
      </c>
      <c r="C1841" s="8" t="s">
        <v>1447</v>
      </c>
      <c r="D1841" s="4" t="str">
        <f t="shared" ref="D1841:D1904" si="200">CONCATENATE(B1841,C1841)</f>
        <v>400054992A</v>
      </c>
      <c r="E1841" s="309" t="str">
        <f>VLOOKUP($B1841,'D7 - NDB Impacted SPRF''s'!$E$6:$O$9929,2,FALSE)</f>
        <v>RSA_ Navigate 2nd Network</v>
      </c>
      <c r="F1841" s="8"/>
      <c r="G1841" s="8" t="s">
        <v>4758</v>
      </c>
      <c r="H1841" s="8" t="s">
        <v>4246</v>
      </c>
      <c r="I1841" s="20">
        <v>0.82</v>
      </c>
      <c r="J1841" s="8" t="s">
        <v>4862</v>
      </c>
      <c r="K1841" s="182">
        <v>41321</v>
      </c>
      <c r="L1841" s="8" t="s">
        <v>4156</v>
      </c>
      <c r="M1841" s="8" t="s">
        <v>6688</v>
      </c>
      <c r="N1841" s="38" t="s">
        <v>7173</v>
      </c>
      <c r="O1841" s="8"/>
      <c r="P1841" s="4" t="str">
        <f>VLOOKUP($B1841,'D7 - NDB Impacted SPRF''s'!$E$16:$O$9929,9,FALSE)</f>
        <v>Y</v>
      </c>
      <c r="Q1841" s="4" t="str">
        <f>VLOOKUP($B1841,'D7 - NDB Impacted SPRF''s'!$E$16:$O$9929,10,FALSE)</f>
        <v>N</v>
      </c>
      <c r="R1841" s="4" t="str">
        <f>VLOOKUP($B1841,'D7 - NDB Impacted SPRF''s'!$E$16:$O$9929,11,FALSE)</f>
        <v>N</v>
      </c>
      <c r="S1841" s="8"/>
      <c r="T1841" s="310"/>
      <c r="U1841" s="310"/>
      <c r="V1841" s="4"/>
      <c r="W1841" s="4"/>
      <c r="X1841" s="4"/>
      <c r="Y1841" s="4"/>
      <c r="Z1841" s="4"/>
      <c r="AA1841" s="4"/>
      <c r="AB1841" s="380" t="str">
        <f>VLOOKUP($B1841,'D7 - NDB Impacted SPRF''s'!$E$6:$O$9929,4,FALSE)</f>
        <v>Completed</v>
      </c>
      <c r="AC1841" s="380" t="str">
        <f>VLOOKUP($B1841,'D7 - NDB Impacted SPRF''s'!$E$6:$O$9929,3,FALSE)</f>
        <v>UnitedHealthcare Employer &amp; Individual</v>
      </c>
      <c r="AD1841" s="380" t="str">
        <f>VLOOKUP($B1841,'D7 - NDB Impacted SPRF''s'!$E$6:$O$9929,5,FALSE)</f>
        <v>Membership Growth / Revenue Programs</v>
      </c>
      <c r="AE1841" s="380" t="str">
        <f>VLOOKUP($B1841,'D7 - NDB Impacted SPRF''s'!$E$6:$O$9929,7,FALSE)</f>
        <v>Denise Mount</v>
      </c>
      <c r="AF1841" s="380" t="str">
        <f>VLOOKUP($B1841,'D7 - NDB Impacted SPRF''s'!$E$6:$O$9929,6,FALSE)</f>
        <v>Cynthia Kollars</v>
      </c>
      <c r="AG1841" s="282"/>
      <c r="AH1841" s="311" t="e">
        <f>INDEX('D5 - Gatekeeper - Projects'!$A$4:$AF$1010,$AM1841, 17)</f>
        <v>#N/A</v>
      </c>
      <c r="AI1841" s="8"/>
      <c r="AJ1841" s="57"/>
      <c r="AK1841" s="105"/>
      <c r="AM1841" s="6" t="e">
        <f>MATCH(D1841,'D5 - Gatekeeper - Projects'!$C$4:$C$1010,0)</f>
        <v>#N/A</v>
      </c>
      <c r="AN1841" s="6" t="b">
        <f t="shared" si="196"/>
        <v>1</v>
      </c>
      <c r="AO1841" s="6" t="str">
        <f t="shared" si="199"/>
        <v>OK</v>
      </c>
      <c r="AQ1841" s="6" t="e">
        <f>MATCH($D1841,'D4 - Provider Council Unsched'!$C$11:$C$234,0)</f>
        <v>#N/A</v>
      </c>
      <c r="AR1841" s="6" t="b">
        <f t="shared" si="197"/>
        <v>1</v>
      </c>
      <c r="AS1841" s="6" t="str">
        <f t="shared" ref="AS1841:AS1867" si="201">IF(AND(H1841="2 - Not Scheduled",AR1841=TRUE,C1841="R1"),"Add","OK")</f>
        <v>OK</v>
      </c>
      <c r="AU1841" s="202">
        <v>41199</v>
      </c>
      <c r="AV1841" s="323" t="s">
        <v>1130</v>
      </c>
      <c r="AW1841" s="274" t="s">
        <v>3572</v>
      </c>
    </row>
    <row r="1842" spans="1:49" s="13" customFormat="1" ht="123.75" x14ac:dyDescent="0.2">
      <c r="A1842" s="14">
        <v>1818</v>
      </c>
      <c r="B1842" s="8">
        <v>400055347</v>
      </c>
      <c r="C1842" s="8" t="s">
        <v>1447</v>
      </c>
      <c r="D1842" s="4" t="str">
        <f t="shared" si="200"/>
        <v>400055347A</v>
      </c>
      <c r="E1842" s="309" t="str">
        <f>VLOOKUP($B1842,'D7 - NDB Impacted SPRF''s'!$E$6:$O$9929,2,FALSE)</f>
        <v>TouchPoint Provider Managed Security</v>
      </c>
      <c r="F1842" s="8"/>
      <c r="G1842" s="8" t="s">
        <v>4758</v>
      </c>
      <c r="H1842" s="8" t="s">
        <v>4246</v>
      </c>
      <c r="I1842" s="20">
        <v>0.4</v>
      </c>
      <c r="J1842" s="8" t="s">
        <v>4862</v>
      </c>
      <c r="K1842" s="182">
        <v>41321</v>
      </c>
      <c r="L1842" s="8" t="s">
        <v>4156</v>
      </c>
      <c r="M1842" s="8" t="s">
        <v>5626</v>
      </c>
      <c r="N1842" s="38" t="s">
        <v>7172</v>
      </c>
      <c r="O1842" s="8"/>
      <c r="P1842" s="4" t="str">
        <f>VLOOKUP($B1842,'D7 - NDB Impacted SPRF''s'!$E$16:$O$9929,9,FALSE)</f>
        <v>N</v>
      </c>
      <c r="Q1842" s="4" t="str">
        <f>VLOOKUP($B1842,'D7 - NDB Impacted SPRF''s'!$E$16:$O$9929,10,FALSE)</f>
        <v>N</v>
      </c>
      <c r="R1842" s="4" t="str">
        <f>VLOOKUP($B1842,'D7 - NDB Impacted SPRF''s'!$E$16:$O$9929,11,FALSE)</f>
        <v>N</v>
      </c>
      <c r="S1842" s="8"/>
      <c r="T1842" s="310"/>
      <c r="U1842" s="310"/>
      <c r="V1842" s="4"/>
      <c r="W1842" s="4"/>
      <c r="X1842" s="4"/>
      <c r="Y1842" s="4"/>
      <c r="Z1842" s="4"/>
      <c r="AA1842" s="4"/>
      <c r="AB1842" s="380" t="str">
        <f>VLOOKUP($B1842,'D7 - NDB Impacted SPRF''s'!$E$6:$O$9929,4,FALSE)</f>
        <v>Scheduled</v>
      </c>
      <c r="AC1842" s="380" t="str">
        <f>VLOOKUP($B1842,'D7 - NDB Impacted SPRF''s'!$E$6:$O$9929,3,FALSE)</f>
        <v>UHG IT - Shared Services</v>
      </c>
      <c r="AD1842" s="380" t="str">
        <f>VLOOKUP($B1842,'D7 - NDB Impacted SPRF''s'!$E$6:$O$9929,5,FALSE)</f>
        <v>Strategic Initiatives</v>
      </c>
      <c r="AE1842" s="380" t="str">
        <f>VLOOKUP($B1842,'D7 - NDB Impacted SPRF''s'!$E$6:$O$9929,7,FALSE)</f>
        <v>Tim Kaja</v>
      </c>
      <c r="AF1842" s="380" t="str">
        <f>VLOOKUP($B1842,'D7 - NDB Impacted SPRF''s'!$E$6:$O$9929,6,FALSE)</f>
        <v>FITZPATRICK ELIZABETH</v>
      </c>
      <c r="AG1842" s="282"/>
      <c r="AH1842" s="311" t="e">
        <f>INDEX('D5 - Gatekeeper - Projects'!$A$4:$AF$1010,$AM1842, 17)</f>
        <v>#N/A</v>
      </c>
      <c r="AI1842" s="8"/>
      <c r="AJ1842" s="57"/>
      <c r="AK1842" s="105"/>
      <c r="AM1842" s="6" t="e">
        <f>MATCH(D1842,'D5 - Gatekeeper - Projects'!$C$4:$C$1010,0)</f>
        <v>#N/A</v>
      </c>
      <c r="AN1842" s="6" t="b">
        <f t="shared" si="196"/>
        <v>1</v>
      </c>
      <c r="AO1842" s="6" t="str">
        <f t="shared" si="199"/>
        <v>OK</v>
      </c>
      <c r="AQ1842" s="6" t="e">
        <f>MATCH($D1842,'D4 - Provider Council Unsched'!$C$11:$C$234,0)</f>
        <v>#N/A</v>
      </c>
      <c r="AR1842" s="6" t="b">
        <f t="shared" si="197"/>
        <v>1</v>
      </c>
      <c r="AS1842" s="6" t="str">
        <f t="shared" si="201"/>
        <v>OK</v>
      </c>
      <c r="AU1842" s="202">
        <v>41243</v>
      </c>
      <c r="AV1842" s="323" t="s">
        <v>435</v>
      </c>
      <c r="AW1842" s="274"/>
    </row>
    <row r="1843" spans="1:49" s="13" customFormat="1" ht="24.75" customHeight="1" x14ac:dyDescent="0.2">
      <c r="A1843" s="14">
        <v>1819</v>
      </c>
      <c r="B1843" s="8">
        <v>400055462</v>
      </c>
      <c r="C1843" s="8" t="s">
        <v>1447</v>
      </c>
      <c r="D1843" s="4" t="str">
        <f t="shared" si="200"/>
        <v>400055462A</v>
      </c>
      <c r="E1843" s="309" t="str">
        <f>VLOOKUP($B1843,'D7 - NDB Impacted SPRF''s'!$E$6:$O$9929,2,FALSE)</f>
        <v>GA Dept of Comm Hlth - Remote Access to Their Data</v>
      </c>
      <c r="F1843" s="8"/>
      <c r="G1843" s="8" t="s">
        <v>4758</v>
      </c>
      <c r="H1843" s="8" t="s">
        <v>4246</v>
      </c>
      <c r="I1843" s="20">
        <v>0.57999999999999996</v>
      </c>
      <c r="J1843" s="8" t="s">
        <v>4862</v>
      </c>
      <c r="K1843" s="182">
        <v>41321</v>
      </c>
      <c r="L1843" s="8" t="s">
        <v>4156</v>
      </c>
      <c r="M1843" s="8" t="s">
        <v>6688</v>
      </c>
      <c r="N1843" s="38" t="s">
        <v>6587</v>
      </c>
      <c r="O1843" s="8"/>
      <c r="P1843" s="4" t="str">
        <f>VLOOKUP($B1843,'D7 - NDB Impacted SPRF''s'!$E$16:$O$9929,9,FALSE)</f>
        <v>Y</v>
      </c>
      <c r="Q1843" s="4" t="str">
        <f>VLOOKUP($B1843,'D7 - NDB Impacted SPRF''s'!$E$16:$O$9929,10,FALSE)</f>
        <v>N</v>
      </c>
      <c r="R1843" s="4" t="str">
        <f>VLOOKUP($B1843,'D7 - NDB Impacted SPRF''s'!$E$16:$O$9929,11,FALSE)</f>
        <v>N</v>
      </c>
      <c r="S1843" s="8"/>
      <c r="T1843" s="310"/>
      <c r="U1843" s="310"/>
      <c r="V1843" s="4"/>
      <c r="W1843" s="4"/>
      <c r="X1843" s="4"/>
      <c r="Y1843" s="4"/>
      <c r="Z1843" s="4"/>
      <c r="AA1843" s="4"/>
      <c r="AB1843" s="380" t="str">
        <f>VLOOKUP($B1843,'D7 - NDB Impacted SPRF''s'!$E$6:$O$9929,4,FALSE)</f>
        <v>Completed</v>
      </c>
      <c r="AC1843" s="380" t="str">
        <f>VLOOKUP($B1843,'D7 - NDB Impacted SPRF''s'!$E$6:$O$9929,3,FALSE)</f>
        <v>UnitedHealthcare Employer &amp; Individual</v>
      </c>
      <c r="AD1843" s="380" t="str">
        <f>VLOOKUP($B1843,'D7 - NDB Impacted SPRF''s'!$E$6:$O$9929,5,FALSE)</f>
        <v>Customer Requirements</v>
      </c>
      <c r="AE1843" s="380" t="str">
        <f>VLOOKUP($B1843,'D7 - NDB Impacted SPRF''s'!$E$6:$O$9929,7,FALSE)</f>
        <v>Laurie Wasserstein</v>
      </c>
      <c r="AF1843" s="380" t="str">
        <f>VLOOKUP($B1843,'D7 - NDB Impacted SPRF''s'!$E$6:$O$9929,6,FALSE)</f>
        <v>Kristina Friberg</v>
      </c>
      <c r="AG1843" s="282"/>
      <c r="AH1843" s="311" t="e">
        <f>INDEX('D5 - Gatekeeper - Projects'!$A$4:$AF$1010,$AM1843, 17)</f>
        <v>#N/A</v>
      </c>
      <c r="AI1843" s="8"/>
      <c r="AJ1843" s="57"/>
      <c r="AK1843" s="105"/>
      <c r="AM1843" s="6" t="e">
        <f>MATCH(D1843,'D5 - Gatekeeper - Projects'!$C$4:$C$1010,0)</f>
        <v>#N/A</v>
      </c>
      <c r="AN1843" s="6" t="b">
        <f t="shared" si="196"/>
        <v>1</v>
      </c>
      <c r="AO1843" s="6" t="str">
        <f t="shared" si="199"/>
        <v>OK</v>
      </c>
      <c r="AQ1843" s="6" t="e">
        <f>MATCH($D1843,'D4 - Provider Council Unsched'!$C$11:$C$234,0)</f>
        <v>#N/A</v>
      </c>
      <c r="AR1843" s="6" t="b">
        <f t="shared" si="197"/>
        <v>1</v>
      </c>
      <c r="AS1843" s="6" t="str">
        <f t="shared" si="201"/>
        <v>OK</v>
      </c>
      <c r="AU1843" s="202">
        <v>41256</v>
      </c>
      <c r="AV1843" s="323" t="s">
        <v>2157</v>
      </c>
      <c r="AW1843" s="274"/>
    </row>
    <row r="1844" spans="1:49" s="13" customFormat="1" ht="33.75" x14ac:dyDescent="0.2">
      <c r="A1844" s="14">
        <v>1820</v>
      </c>
      <c r="B1844" s="8">
        <v>400056470</v>
      </c>
      <c r="C1844" s="8" t="s">
        <v>1447</v>
      </c>
      <c r="D1844" s="4" t="str">
        <f t="shared" si="200"/>
        <v>400056470A</v>
      </c>
      <c r="E1844" s="309" t="str">
        <f>VLOOKUP($B1844,'D7 - NDB Impacted SPRF''s'!$E$6:$O$9929,2,FALSE)</f>
        <v>AZ Acute Care/CRS - IT Demo Only</v>
      </c>
      <c r="F1844" s="8"/>
      <c r="G1844" s="8" t="s">
        <v>4758</v>
      </c>
      <c r="H1844" s="8" t="s">
        <v>4246</v>
      </c>
      <c r="I1844" s="20">
        <v>0.41</v>
      </c>
      <c r="J1844" s="8" t="s">
        <v>4862</v>
      </c>
      <c r="K1844" s="182">
        <v>41321</v>
      </c>
      <c r="L1844" s="8" t="s">
        <v>4156</v>
      </c>
      <c r="M1844" s="8" t="s">
        <v>5626</v>
      </c>
      <c r="N1844" s="38"/>
      <c r="O1844" s="8"/>
      <c r="P1844" s="4" t="str">
        <f>VLOOKUP($B1844,'D7 - NDB Impacted SPRF''s'!$E$16:$O$9929,9,FALSE)</f>
        <v>N</v>
      </c>
      <c r="Q1844" s="4" t="str">
        <f>VLOOKUP($B1844,'D7 - NDB Impacted SPRF''s'!$E$16:$O$9929,10,FALSE)</f>
        <v>N</v>
      </c>
      <c r="R1844" s="4" t="str">
        <f>VLOOKUP($B1844,'D7 - NDB Impacted SPRF''s'!$E$16:$O$9929,11,FALSE)</f>
        <v>N</v>
      </c>
      <c r="S1844" s="8"/>
      <c r="T1844" s="310"/>
      <c r="U1844" s="310"/>
      <c r="V1844" s="4"/>
      <c r="W1844" s="4"/>
      <c r="X1844" s="4"/>
      <c r="Y1844" s="4"/>
      <c r="Z1844" s="4"/>
      <c r="AA1844" s="4"/>
      <c r="AB1844" s="380" t="str">
        <f>VLOOKUP($B1844,'D7 - NDB Impacted SPRF''s'!$E$6:$O$9929,4,FALSE)</f>
        <v>Scheduled</v>
      </c>
      <c r="AC1844" s="380" t="str">
        <f>VLOOKUP($B1844,'D7 - NDB Impacted SPRF''s'!$E$6:$O$9929,3,FALSE)</f>
        <v>UnitedHealthcare Community &amp; State</v>
      </c>
      <c r="AD1844" s="380" t="str">
        <f>VLOOKUP($B1844,'D7 - NDB Impacted SPRF''s'!$E$6:$O$9929,5,FALSE)</f>
        <v>Growth and Innovation</v>
      </c>
      <c r="AE1844" s="380" t="str">
        <f>VLOOKUP($B1844,'D7 - NDB Impacted SPRF''s'!$E$6:$O$9929,7,FALSE)</f>
        <v>Kent Monical</v>
      </c>
      <c r="AF1844" s="380" t="str">
        <f>VLOOKUP($B1844,'D7 - NDB Impacted SPRF''s'!$E$6:$O$9929,6,FALSE)</f>
        <v>Amy Robare</v>
      </c>
      <c r="AG1844" s="282"/>
      <c r="AH1844" s="311" t="e">
        <f>INDEX('D5 - Gatekeeper - Projects'!$A$4:$AF$1010,$AM1844, 17)</f>
        <v>#N/A</v>
      </c>
      <c r="AI1844" s="8"/>
      <c r="AJ1844" s="57"/>
      <c r="AK1844" s="105"/>
      <c r="AM1844" s="6" t="e">
        <f>MATCH(D1844,'D5 - Gatekeeper - Projects'!$C$4:$C$1010,0)</f>
        <v>#N/A</v>
      </c>
      <c r="AN1844" s="6" t="b">
        <f t="shared" si="196"/>
        <v>1</v>
      </c>
      <c r="AO1844" s="6" t="str">
        <f t="shared" si="199"/>
        <v>OK</v>
      </c>
      <c r="AQ1844" s="6" t="e">
        <f>MATCH($D1844,'D4 - Provider Council Unsched'!$C$11:$C$234,0)</f>
        <v>#N/A</v>
      </c>
      <c r="AR1844" s="6" t="b">
        <f t="shared" si="197"/>
        <v>1</v>
      </c>
      <c r="AS1844" s="6" t="str">
        <f t="shared" si="201"/>
        <v>OK</v>
      </c>
      <c r="AU1844" s="202">
        <v>41284</v>
      </c>
      <c r="AV1844" s="329" t="s">
        <v>3206</v>
      </c>
      <c r="AW1844" s="274"/>
    </row>
    <row r="1845" spans="1:49" s="13" customFormat="1" ht="33.75" x14ac:dyDescent="0.2">
      <c r="A1845" s="14">
        <v>1821</v>
      </c>
      <c r="B1845" s="8">
        <v>400049913</v>
      </c>
      <c r="C1845" s="8" t="s">
        <v>1447</v>
      </c>
      <c r="D1845" s="4" t="str">
        <f t="shared" si="200"/>
        <v>400049913A</v>
      </c>
      <c r="E1845" s="309" t="str">
        <f>VLOOKUP($B1845,'D7 - NDB Impacted SPRF''s'!$E$6:$O$9929,2,FALSE)</f>
        <v>NDB EPDE/EPDL 2012</v>
      </c>
      <c r="F1845" s="8"/>
      <c r="G1845" s="8" t="s">
        <v>4758</v>
      </c>
      <c r="H1845" s="8" t="s">
        <v>4246</v>
      </c>
      <c r="I1845" s="20">
        <v>10.89</v>
      </c>
      <c r="J1845" s="8" t="s">
        <v>4862</v>
      </c>
      <c r="K1845" s="182">
        <v>41335</v>
      </c>
      <c r="L1845" s="8" t="s">
        <v>4156</v>
      </c>
      <c r="M1845" s="8" t="s">
        <v>2814</v>
      </c>
      <c r="N1845" s="38"/>
      <c r="O1845" s="8"/>
      <c r="P1845" s="4" t="str">
        <f>VLOOKUP($B1845,'D7 - NDB Impacted SPRF''s'!$E$16:$O$9929,9,FALSE)</f>
        <v>N</v>
      </c>
      <c r="Q1845" s="4" t="str">
        <f>VLOOKUP($B1845,'D7 - NDB Impacted SPRF''s'!$E$16:$O$9929,10,FALSE)</f>
        <v>N</v>
      </c>
      <c r="R1845" s="4" t="str">
        <f>VLOOKUP($B1845,'D7 - NDB Impacted SPRF''s'!$E$16:$O$9929,11,FALSE)</f>
        <v>N</v>
      </c>
      <c r="S1845" s="8"/>
      <c r="T1845" s="310"/>
      <c r="U1845" s="310"/>
      <c r="V1845" s="4"/>
      <c r="W1845" s="4"/>
      <c r="X1845" s="4"/>
      <c r="Y1845" s="4"/>
      <c r="Z1845" s="4"/>
      <c r="AA1845" s="4"/>
      <c r="AB1845" s="380" t="str">
        <f>VLOOKUP($B1845,'D7 - NDB Impacted SPRF''s'!$E$6:$O$9929,4,FALSE)</f>
        <v>Scheduled</v>
      </c>
      <c r="AC1845" s="380" t="str">
        <f>VLOOKUP($B1845,'D7 - NDB Impacted SPRF''s'!$E$6:$O$9929,3,FALSE)</f>
        <v>UnitedHealthcare Employer &amp; Individual</v>
      </c>
      <c r="AD1845" s="380" t="str">
        <f>VLOOKUP($B1845,'D7 - NDB Impacted SPRF''s'!$E$6:$O$9929,5,FALSE)</f>
        <v>Operational Requirements</v>
      </c>
      <c r="AE1845" s="380" t="str">
        <f>VLOOKUP($B1845,'D7 - NDB Impacted SPRF''s'!$E$6:$O$9929,7,FALSE)</f>
        <v>Eileen Dock</v>
      </c>
      <c r="AF1845" s="380" t="str">
        <f>VLOOKUP($B1845,'D7 - NDB Impacted SPRF''s'!$E$6:$O$9929,6,FALSE)</f>
        <v>Robert Wright</v>
      </c>
      <c r="AG1845" s="282"/>
      <c r="AH1845" s="311" t="e">
        <f>INDEX('D5 - Gatekeeper - Projects'!$A$4:$AF$1010,$AM1845, 17)</f>
        <v>#N/A</v>
      </c>
      <c r="AI1845" s="8"/>
      <c r="AJ1845" s="57"/>
      <c r="AK1845" s="105"/>
      <c r="AM1845" s="6" t="e">
        <f>MATCH(D1845,'D5 - Gatekeeper - Projects'!$C$4:$C$1010,0)</f>
        <v>#N/A</v>
      </c>
      <c r="AN1845" s="6" t="b">
        <f t="shared" si="196"/>
        <v>1</v>
      </c>
      <c r="AO1845" s="6" t="str">
        <f t="shared" si="199"/>
        <v>OK</v>
      </c>
      <c r="AQ1845" s="6" t="e">
        <f>MATCH($D1845,'D4 - Provider Council Unsched'!$C$11:$C$234,0)</f>
        <v>#N/A</v>
      </c>
      <c r="AR1845" s="6" t="b">
        <f t="shared" si="197"/>
        <v>1</v>
      </c>
      <c r="AS1845" s="6" t="str">
        <f t="shared" si="201"/>
        <v>OK</v>
      </c>
      <c r="AU1845" s="202">
        <v>41047</v>
      </c>
      <c r="AV1845" s="262" t="s">
        <v>442</v>
      </c>
      <c r="AW1845" s="274">
        <v>56200</v>
      </c>
    </row>
    <row r="1846" spans="1:49" s="13" customFormat="1" ht="45" x14ac:dyDescent="0.2">
      <c r="A1846" s="14">
        <v>1822</v>
      </c>
      <c r="B1846" s="8">
        <v>400050155</v>
      </c>
      <c r="C1846" s="8" t="s">
        <v>7291</v>
      </c>
      <c r="D1846" s="4" t="str">
        <f t="shared" si="200"/>
        <v>400050155E</v>
      </c>
      <c r="E1846" s="309" t="str">
        <f>VLOOKUP($B1846,'D7 - NDB Impacted SPRF''s'!$E$6:$O$9929,2,FALSE)</f>
        <v>Health Care Cost Estimator  Release 2.2</v>
      </c>
      <c r="F1846" s="8"/>
      <c r="G1846" s="8" t="s">
        <v>4758</v>
      </c>
      <c r="H1846" s="8" t="s">
        <v>4246</v>
      </c>
      <c r="I1846" s="20">
        <v>4.18</v>
      </c>
      <c r="J1846" s="8" t="s">
        <v>4862</v>
      </c>
      <c r="K1846" s="182">
        <v>41335</v>
      </c>
      <c r="L1846" s="8" t="s">
        <v>4156</v>
      </c>
      <c r="M1846" s="8" t="s">
        <v>2814</v>
      </c>
      <c r="N1846" s="364" t="s">
        <v>9200</v>
      </c>
      <c r="O1846" s="8"/>
      <c r="P1846" s="4" t="str">
        <f>VLOOKUP($B1846,'D7 - NDB Impacted SPRF''s'!$E$16:$O$9929,9,FALSE)</f>
        <v>Y</v>
      </c>
      <c r="Q1846" s="4" t="str">
        <f>VLOOKUP($B1846,'D7 - NDB Impacted SPRF''s'!$E$16:$O$9929,10,FALSE)</f>
        <v>N</v>
      </c>
      <c r="R1846" s="4" t="str">
        <f>VLOOKUP($B1846,'D7 - NDB Impacted SPRF''s'!$E$16:$O$9929,11,FALSE)</f>
        <v>N</v>
      </c>
      <c r="S1846" s="8"/>
      <c r="T1846" s="310"/>
      <c r="U1846" s="310"/>
      <c r="V1846" s="4"/>
      <c r="W1846" s="4"/>
      <c r="X1846" s="4"/>
      <c r="Y1846" s="4"/>
      <c r="Z1846" s="4"/>
      <c r="AA1846" s="4"/>
      <c r="AB1846" s="380" t="str">
        <f>VLOOKUP($B1846,'D7 - NDB Impacted SPRF''s'!$E$6:$O$9929,4,FALSE)</f>
        <v>Scheduled</v>
      </c>
      <c r="AC1846" s="380" t="str">
        <f>VLOOKUP($B1846,'D7 - NDB Impacted SPRF''s'!$E$6:$O$9929,3,FALSE)</f>
        <v>UnitedHealthcare Employer &amp; Individual</v>
      </c>
      <c r="AD1846" s="380" t="str">
        <f>VLOOKUP($B1846,'D7 - NDB Impacted SPRF''s'!$E$6:$O$9929,5,FALSE)</f>
        <v>Membership Growth / Revenue Programs</v>
      </c>
      <c r="AE1846" s="380" t="str">
        <f>VLOOKUP($B1846,'D7 - NDB Impacted SPRF''s'!$E$6:$O$9929,7,FALSE)</f>
        <v>Victoria Bogatyrenko</v>
      </c>
      <c r="AF1846" s="380" t="str">
        <f>VLOOKUP($B1846,'D7 - NDB Impacted SPRF''s'!$E$6:$O$9929,6,FALSE)</f>
        <v>Kari Mclarty</v>
      </c>
      <c r="AG1846" s="282"/>
      <c r="AH1846" s="311" t="e">
        <f>INDEX('D5 - Gatekeeper - Projects'!$A$4:$AF$1010,$AM1846, 17)</f>
        <v>#N/A</v>
      </c>
      <c r="AI1846" s="8"/>
      <c r="AJ1846" s="57"/>
      <c r="AK1846" s="105"/>
      <c r="AM1846" s="6" t="e">
        <f>MATCH(D1846,'D5 - Gatekeeper - Projects'!$C$4:$C$1010,0)</f>
        <v>#N/A</v>
      </c>
      <c r="AN1846" s="6" t="b">
        <f t="shared" si="196"/>
        <v>1</v>
      </c>
      <c r="AO1846" s="6" t="str">
        <f t="shared" si="199"/>
        <v>OK</v>
      </c>
      <c r="AQ1846" s="6" t="e">
        <f>MATCH($D1846,'D4 - Provider Council Unsched'!$C$11:$C$234,0)</f>
        <v>#N/A</v>
      </c>
      <c r="AR1846" s="6" t="b">
        <f t="shared" si="197"/>
        <v>1</v>
      </c>
      <c r="AS1846" s="6" t="str">
        <f t="shared" si="201"/>
        <v>OK</v>
      </c>
      <c r="AU1846" s="202">
        <v>41276</v>
      </c>
      <c r="AV1846" s="262" t="s">
        <v>932</v>
      </c>
      <c r="AW1846" s="274">
        <v>56214</v>
      </c>
    </row>
    <row r="1847" spans="1:49" s="13" customFormat="1" ht="146.25" x14ac:dyDescent="0.2">
      <c r="A1847" s="14">
        <v>1823</v>
      </c>
      <c r="B1847" s="8">
        <v>400053723</v>
      </c>
      <c r="C1847" s="8" t="s">
        <v>7291</v>
      </c>
      <c r="D1847" s="4" t="str">
        <f t="shared" si="200"/>
        <v>400053723E</v>
      </c>
      <c r="E1847" s="309" t="str">
        <f>VLOOKUP($B1847,'D7 - NDB Impacted SPRF''s'!$E$6:$O$9929,2,FALSE)</f>
        <v>TRICARE West Implementation FD: Provider/Network</v>
      </c>
      <c r="F1847" s="8"/>
      <c r="G1847" s="8" t="s">
        <v>4758</v>
      </c>
      <c r="H1847" s="8" t="s">
        <v>4246</v>
      </c>
      <c r="I1847" s="20">
        <v>91.66</v>
      </c>
      <c r="J1847" s="8" t="s">
        <v>4862</v>
      </c>
      <c r="K1847" s="182">
        <v>41335</v>
      </c>
      <c r="L1847" s="8" t="s">
        <v>4156</v>
      </c>
      <c r="M1847" s="8" t="s">
        <v>2814</v>
      </c>
      <c r="N1847" s="38" t="s">
        <v>9599</v>
      </c>
      <c r="O1847" s="8"/>
      <c r="P1847" s="4" t="str">
        <f>VLOOKUP($B1847,'D7 - NDB Impacted SPRF''s'!$E$16:$O$9929,9,FALSE)</f>
        <v>N</v>
      </c>
      <c r="Q1847" s="4" t="str">
        <f>VLOOKUP($B1847,'D7 - NDB Impacted SPRF''s'!$E$16:$O$9929,10,FALSE)</f>
        <v>N</v>
      </c>
      <c r="R1847" s="4" t="str">
        <f>VLOOKUP($B1847,'D7 - NDB Impacted SPRF''s'!$E$16:$O$9929,11,FALSE)</f>
        <v>Y</v>
      </c>
      <c r="S1847" s="8"/>
      <c r="T1847" s="310"/>
      <c r="U1847" s="310"/>
      <c r="V1847" s="4"/>
      <c r="W1847" s="4"/>
      <c r="X1847" s="4"/>
      <c r="Y1847" s="4"/>
      <c r="Z1847" s="4"/>
      <c r="AA1847" s="4"/>
      <c r="AB1847" s="380" t="str">
        <f>VLOOKUP($B1847,'D7 - NDB Impacted SPRF''s'!$E$6:$O$9929,4,FALSE)</f>
        <v>Scheduled</v>
      </c>
      <c r="AC1847" s="380" t="str">
        <f>VLOOKUP($B1847,'D7 - NDB Impacted SPRF''s'!$E$6:$O$9929,3,FALSE)</f>
        <v>UnitedHealthcare Military &amp; Veterans</v>
      </c>
      <c r="AD1847" s="380" t="str">
        <f>VLOOKUP($B1847,'D7 - NDB Impacted SPRF''s'!$E$6:$O$9929,5,FALSE)</f>
        <v>Integration Requirements</v>
      </c>
      <c r="AE1847" s="380" t="str">
        <f>VLOOKUP($B1847,'D7 - NDB Impacted SPRF''s'!$E$6:$O$9929,7,FALSE)</f>
        <v>Mike Schwarz</v>
      </c>
      <c r="AF1847" s="380" t="str">
        <f>VLOOKUP($B1847,'D7 - NDB Impacted SPRF''s'!$E$6:$O$9929,6,FALSE)</f>
        <v>Michael Schwarz</v>
      </c>
      <c r="AG1847" s="282"/>
      <c r="AH1847" s="311" t="e">
        <f>INDEX('D5 - Gatekeeper - Projects'!$A$4:$AF$1010,$AM1847, 17)</f>
        <v>#N/A</v>
      </c>
      <c r="AI1847" s="8"/>
      <c r="AJ1847" s="57"/>
      <c r="AK1847" s="105"/>
      <c r="AM1847" s="6" t="e">
        <f>MATCH(D1847,'D5 - Gatekeeper - Projects'!$C$4:$C$1010,0)</f>
        <v>#N/A</v>
      </c>
      <c r="AN1847" s="6" t="b">
        <f t="shared" si="196"/>
        <v>1</v>
      </c>
      <c r="AO1847" s="6" t="str">
        <f t="shared" si="199"/>
        <v>OK</v>
      </c>
      <c r="AQ1847" s="6" t="e">
        <f>MATCH($D1847,'D4 - Provider Council Unsched'!$C$11:$C$234,0)</f>
        <v>#N/A</v>
      </c>
      <c r="AR1847" s="6" t="b">
        <f t="shared" si="197"/>
        <v>1</v>
      </c>
      <c r="AS1847" s="6" t="str">
        <f t="shared" si="201"/>
        <v>OK</v>
      </c>
      <c r="AU1847" s="202">
        <v>41162</v>
      </c>
      <c r="AV1847" s="262" t="s">
        <v>3204</v>
      </c>
      <c r="AW1847" s="274">
        <v>66807</v>
      </c>
    </row>
    <row r="1848" spans="1:49" s="13" customFormat="1" ht="33.75" x14ac:dyDescent="0.2">
      <c r="A1848" s="14">
        <v>1824</v>
      </c>
      <c r="B1848" s="8">
        <v>400053723</v>
      </c>
      <c r="C1848" s="8" t="s">
        <v>2207</v>
      </c>
      <c r="D1848" s="4" t="str">
        <f t="shared" si="200"/>
        <v>400053723G</v>
      </c>
      <c r="E1848" s="309" t="str">
        <f>VLOOKUP($B1848,'D7 - NDB Impacted SPRF''s'!$E$6:$O$9929,2,FALSE)</f>
        <v>TRICARE West Implementation FD: Provider/Network</v>
      </c>
      <c r="F1848" s="8"/>
      <c r="G1848" s="8" t="s">
        <v>4758</v>
      </c>
      <c r="H1848" s="8" t="s">
        <v>4246</v>
      </c>
      <c r="I1848" s="20">
        <v>0</v>
      </c>
      <c r="J1848" s="8" t="s">
        <v>4862</v>
      </c>
      <c r="K1848" s="182">
        <v>41335</v>
      </c>
      <c r="L1848" s="8" t="s">
        <v>4156</v>
      </c>
      <c r="M1848" s="8" t="s">
        <v>2814</v>
      </c>
      <c r="N1848" s="38" t="s">
        <v>7677</v>
      </c>
      <c r="O1848" s="8"/>
      <c r="P1848" s="4" t="str">
        <f>VLOOKUP($B1848,'D7 - NDB Impacted SPRF''s'!$E$16:$O$9929,9,FALSE)</f>
        <v>N</v>
      </c>
      <c r="Q1848" s="4" t="str">
        <f>VLOOKUP($B1848,'D7 - NDB Impacted SPRF''s'!$E$16:$O$9929,10,FALSE)</f>
        <v>N</v>
      </c>
      <c r="R1848" s="4" t="str">
        <f>VLOOKUP($B1848,'D7 - NDB Impacted SPRF''s'!$E$16:$O$9929,11,FALSE)</f>
        <v>Y</v>
      </c>
      <c r="S1848" s="8"/>
      <c r="T1848" s="310"/>
      <c r="U1848" s="310"/>
      <c r="V1848" s="4"/>
      <c r="W1848" s="4"/>
      <c r="X1848" s="4"/>
      <c r="Y1848" s="4"/>
      <c r="Z1848" s="4"/>
      <c r="AA1848" s="4"/>
      <c r="AB1848" s="380" t="str">
        <f>VLOOKUP($B1848,'D7 - NDB Impacted SPRF''s'!$E$6:$O$9929,4,FALSE)</f>
        <v>Scheduled</v>
      </c>
      <c r="AC1848" s="380" t="str">
        <f>VLOOKUP($B1848,'D7 - NDB Impacted SPRF''s'!$E$6:$O$9929,3,FALSE)</f>
        <v>UnitedHealthcare Military &amp; Veterans</v>
      </c>
      <c r="AD1848" s="380" t="str">
        <f>VLOOKUP($B1848,'D7 - NDB Impacted SPRF''s'!$E$6:$O$9929,5,FALSE)</f>
        <v>Integration Requirements</v>
      </c>
      <c r="AE1848" s="380" t="str">
        <f>VLOOKUP($B1848,'D7 - NDB Impacted SPRF''s'!$E$6:$O$9929,7,FALSE)</f>
        <v>Mike Schwarz</v>
      </c>
      <c r="AF1848" s="380" t="str">
        <f>VLOOKUP($B1848,'D7 - NDB Impacted SPRF''s'!$E$6:$O$9929,6,FALSE)</f>
        <v>Michael Schwarz</v>
      </c>
      <c r="AG1848" s="282"/>
      <c r="AH1848" s="311" t="e">
        <f>INDEX('D5 - Gatekeeper - Projects'!$A$4:$AF$1010,$AM1848, 17)</f>
        <v>#N/A</v>
      </c>
      <c r="AI1848" s="8"/>
      <c r="AJ1848" s="57"/>
      <c r="AK1848" s="105"/>
      <c r="AM1848" s="6" t="e">
        <f>MATCH(D1848,'D5 - Gatekeeper - Projects'!$C$4:$C$1010,0)</f>
        <v>#N/A</v>
      </c>
      <c r="AN1848" s="6" t="b">
        <f t="shared" si="196"/>
        <v>1</v>
      </c>
      <c r="AO1848" s="6" t="str">
        <f t="shared" si="199"/>
        <v>OK</v>
      </c>
      <c r="AQ1848" s="6" t="e">
        <f>MATCH($D1848,'D4 - Provider Council Unsched'!$C$11:$C$234,0)</f>
        <v>#N/A</v>
      </c>
      <c r="AR1848" s="6" t="b">
        <f t="shared" si="197"/>
        <v>1</v>
      </c>
      <c r="AS1848" s="6" t="str">
        <f t="shared" si="201"/>
        <v>OK</v>
      </c>
      <c r="AU1848" s="202">
        <v>41306</v>
      </c>
      <c r="AV1848" s="262" t="s">
        <v>3204</v>
      </c>
      <c r="AW1848" s="274">
        <v>66807</v>
      </c>
    </row>
    <row r="1849" spans="1:49" s="13" customFormat="1" ht="33.75" x14ac:dyDescent="0.2">
      <c r="A1849" s="14">
        <v>1825</v>
      </c>
      <c r="B1849" s="8">
        <v>400047476</v>
      </c>
      <c r="C1849" s="8" t="s">
        <v>1447</v>
      </c>
      <c r="D1849" s="4" t="str">
        <f t="shared" si="200"/>
        <v>400047476A</v>
      </c>
      <c r="E1849" s="309" t="str">
        <f>VLOOKUP($B1849,'D7 - NDB Impacted SPRF''s'!$E$6:$O$9929,2,FALSE)</f>
        <v xml:space="preserve">OHBS Reciprocity </v>
      </c>
      <c r="F1849" s="8"/>
      <c r="G1849" s="8" t="s">
        <v>4758</v>
      </c>
      <c r="H1849" s="8" t="s">
        <v>4246</v>
      </c>
      <c r="I1849" s="20">
        <v>1.08</v>
      </c>
      <c r="J1849" s="8" t="s">
        <v>4862</v>
      </c>
      <c r="K1849" s="182">
        <v>41356</v>
      </c>
      <c r="L1849" s="8" t="s">
        <v>4156</v>
      </c>
      <c r="M1849" s="8" t="s">
        <v>6688</v>
      </c>
      <c r="N1849" s="38" t="s">
        <v>269</v>
      </c>
      <c r="O1849" s="8"/>
      <c r="P1849" s="4" t="str">
        <f>VLOOKUP($B1849,'D7 - NDB Impacted SPRF''s'!$E$16:$O$9929,9,FALSE)</f>
        <v>Y</v>
      </c>
      <c r="Q1849" s="4" t="str">
        <f>VLOOKUP($B1849,'D7 - NDB Impacted SPRF''s'!$E$16:$O$9929,10,FALSE)</f>
        <v>N</v>
      </c>
      <c r="R1849" s="4" t="str">
        <f>VLOOKUP($B1849,'D7 - NDB Impacted SPRF''s'!$E$16:$O$9929,11,FALSE)</f>
        <v>N</v>
      </c>
      <c r="S1849" s="8"/>
      <c r="T1849" s="310"/>
      <c r="U1849" s="310"/>
      <c r="V1849" s="4"/>
      <c r="W1849" s="4"/>
      <c r="X1849" s="4"/>
      <c r="Y1849" s="4"/>
      <c r="Z1849" s="4"/>
      <c r="AA1849" s="4"/>
      <c r="AB1849" s="380" t="str">
        <f>VLOOKUP($B1849,'D7 - NDB Impacted SPRF''s'!$E$6:$O$9929,4,FALSE)</f>
        <v>Completed</v>
      </c>
      <c r="AC1849" s="380" t="str">
        <f>VLOOKUP($B1849,'D7 - NDB Impacted SPRF''s'!$E$6:$O$9929,3,FALSE)</f>
        <v>OptumHealth</v>
      </c>
      <c r="AD1849" s="380" t="str">
        <f>VLOOKUP($B1849,'D7 - NDB Impacted SPRF''s'!$E$6:$O$9929,5,FALSE)</f>
        <v>Behavioral Solutions</v>
      </c>
      <c r="AE1849" s="380" t="str">
        <f>VLOOKUP($B1849,'D7 - NDB Impacted SPRF''s'!$E$6:$O$9929,7,FALSE)</f>
        <v>Robert Preston</v>
      </c>
      <c r="AF1849" s="380" t="str">
        <f>VLOOKUP($B1849,'D7 - NDB Impacted SPRF''s'!$E$6:$O$9929,6,FALSE)</f>
        <v>Rebecca Embry</v>
      </c>
      <c r="AG1849" s="282"/>
      <c r="AH1849" s="311" t="e">
        <f>INDEX('D5 - Gatekeeper - Projects'!$A$4:$AF$1010,$AM1849, 17)</f>
        <v>#N/A</v>
      </c>
      <c r="AI1849" s="8"/>
      <c r="AJ1849" s="57"/>
      <c r="AK1849" s="105"/>
      <c r="AM1849" s="6" t="e">
        <f>MATCH(D1849,'D5 - Gatekeeper - Projects'!$C$4:$C$1010,0)</f>
        <v>#N/A</v>
      </c>
      <c r="AN1849" s="6" t="b">
        <f t="shared" si="196"/>
        <v>1</v>
      </c>
      <c r="AO1849" s="6" t="str">
        <f t="shared" si="199"/>
        <v>OK</v>
      </c>
      <c r="AQ1849" s="6" t="e">
        <f>MATCH($D1849,'D4 - Provider Council Unsched'!$C$11:$C$234,0)</f>
        <v>#N/A</v>
      </c>
      <c r="AR1849" s="6" t="b">
        <f t="shared" si="197"/>
        <v>1</v>
      </c>
      <c r="AS1849" s="6" t="str">
        <f t="shared" si="201"/>
        <v>OK</v>
      </c>
      <c r="AU1849" s="202">
        <v>41054</v>
      </c>
      <c r="AV1849" s="262" t="s">
        <v>8957</v>
      </c>
      <c r="AW1849" s="274" t="s">
        <v>65</v>
      </c>
    </row>
    <row r="1850" spans="1:49" s="13" customFormat="1" x14ac:dyDescent="0.2">
      <c r="A1850" s="14">
        <v>1826</v>
      </c>
      <c r="B1850" s="8">
        <v>400050549</v>
      </c>
      <c r="C1850" s="8" t="s">
        <v>1447</v>
      </c>
      <c r="D1850" s="4" t="str">
        <f t="shared" si="200"/>
        <v>400050549A</v>
      </c>
      <c r="E1850" s="309" t="str">
        <f>VLOOKUP($B1850,'D7 - NDB Impacted SPRF''s'!$E$6:$O$9929,2,FALSE)</f>
        <v>Cornerstone Infrastructure Set-up</v>
      </c>
      <c r="F1850" s="8"/>
      <c r="G1850" s="8" t="s">
        <v>4758</v>
      </c>
      <c r="H1850" s="8" t="s">
        <v>4246</v>
      </c>
      <c r="I1850" s="20">
        <v>0.68</v>
      </c>
      <c r="J1850" s="8" t="s">
        <v>4862</v>
      </c>
      <c r="K1850" s="182">
        <v>41356</v>
      </c>
      <c r="L1850" s="8" t="s">
        <v>4156</v>
      </c>
      <c r="M1850" s="8" t="s">
        <v>6688</v>
      </c>
      <c r="N1850" s="38" t="s">
        <v>6516</v>
      </c>
      <c r="O1850" s="8"/>
      <c r="P1850" s="4" t="str">
        <f>VLOOKUP($B1850,'D7 - NDB Impacted SPRF''s'!$E$16:$O$9929,9,FALSE)</f>
        <v>N</v>
      </c>
      <c r="Q1850" s="4" t="str">
        <f>VLOOKUP($B1850,'D7 - NDB Impacted SPRF''s'!$E$16:$O$9929,10,FALSE)</f>
        <v>N</v>
      </c>
      <c r="R1850" s="4" t="str">
        <f>VLOOKUP($B1850,'D7 - NDB Impacted SPRF''s'!$E$16:$O$9929,11,FALSE)</f>
        <v>N</v>
      </c>
      <c r="S1850" s="8"/>
      <c r="T1850" s="310"/>
      <c r="U1850" s="310"/>
      <c r="V1850" s="4"/>
      <c r="W1850" s="4"/>
      <c r="X1850" s="4"/>
      <c r="Y1850" s="4"/>
      <c r="Z1850" s="4"/>
      <c r="AA1850" s="4"/>
      <c r="AB1850" s="380" t="str">
        <f>VLOOKUP($B1850,'D7 - NDB Impacted SPRF''s'!$E$6:$O$9929,4,FALSE)</f>
        <v>Scheduled</v>
      </c>
      <c r="AC1850" s="380" t="str">
        <f>VLOOKUP($B1850,'D7 - NDB Impacted SPRF''s'!$E$6:$O$9929,3,FALSE)</f>
        <v>OptumInsight</v>
      </c>
      <c r="AD1850" s="380" t="str">
        <f>VLOOKUP($B1850,'D7 - NDB Impacted SPRF''s'!$E$6:$O$9929,5,FALSE)</f>
        <v>OptumInsight</v>
      </c>
      <c r="AE1850" s="380" t="str">
        <f>VLOOKUP($B1850,'D7 - NDB Impacted SPRF''s'!$E$6:$O$9929,7,FALSE)</f>
        <v>Susan Bellile</v>
      </c>
      <c r="AF1850" s="380" t="str">
        <f>VLOOKUP($B1850,'D7 - NDB Impacted SPRF''s'!$E$6:$O$9929,6,FALSE)</f>
        <v>Alejandro Corral</v>
      </c>
      <c r="AG1850" s="282"/>
      <c r="AH1850" s="311" t="e">
        <f>INDEX('D5 - Gatekeeper - Projects'!$A$4:$AF$1010,$AM1850, 17)</f>
        <v>#N/A</v>
      </c>
      <c r="AI1850" s="8"/>
      <c r="AJ1850" s="57"/>
      <c r="AK1850" s="105"/>
      <c r="AM1850" s="6" t="e">
        <f>MATCH(D1850,'D5 - Gatekeeper - Projects'!$C$4:$C$1010,0)</f>
        <v>#N/A</v>
      </c>
      <c r="AN1850" s="6" t="b">
        <f t="shared" si="196"/>
        <v>1</v>
      </c>
      <c r="AO1850" s="6" t="str">
        <f t="shared" si="199"/>
        <v>OK</v>
      </c>
      <c r="AQ1850" s="6" t="e">
        <f>MATCH($D1850,'D4 - Provider Council Unsched'!$C$11:$C$234,0)</f>
        <v>#N/A</v>
      </c>
      <c r="AR1850" s="6" t="b">
        <f t="shared" si="197"/>
        <v>1</v>
      </c>
      <c r="AS1850" s="6" t="str">
        <f t="shared" si="201"/>
        <v>OK</v>
      </c>
      <c r="AU1850" s="202">
        <v>41222</v>
      </c>
      <c r="AV1850" s="262" t="s">
        <v>3209</v>
      </c>
      <c r="AW1850" s="274">
        <v>63415</v>
      </c>
    </row>
    <row r="1851" spans="1:49" s="13" customFormat="1" ht="123.75" x14ac:dyDescent="0.2">
      <c r="A1851" s="14">
        <v>1827</v>
      </c>
      <c r="B1851" s="8">
        <v>400053467</v>
      </c>
      <c r="C1851" s="8" t="s">
        <v>1447</v>
      </c>
      <c r="D1851" s="4" t="str">
        <f t="shared" si="200"/>
        <v>400053467A</v>
      </c>
      <c r="E1851" s="309" t="str">
        <f>VLOOKUP($B1851,'D7 - NDB Impacted SPRF''s'!$E$6:$O$9929,2,FALSE)</f>
        <v>Analysis Only Project for Improved C&amp;S Provider Pi</v>
      </c>
      <c r="F1851" s="8"/>
      <c r="G1851" s="8" t="s">
        <v>4758</v>
      </c>
      <c r="H1851" s="8" t="s">
        <v>4246</v>
      </c>
      <c r="I1851" s="20">
        <v>1</v>
      </c>
      <c r="J1851" s="8" t="s">
        <v>4862</v>
      </c>
      <c r="K1851" s="182">
        <v>41356</v>
      </c>
      <c r="L1851" s="8" t="s">
        <v>4156</v>
      </c>
      <c r="M1851" s="8" t="s">
        <v>6688</v>
      </c>
      <c r="N1851" s="38" t="s">
        <v>8026</v>
      </c>
      <c r="O1851" s="8"/>
      <c r="P1851" s="4" t="str">
        <f>VLOOKUP($B1851,'D7 - NDB Impacted SPRF''s'!$E$16:$O$9929,9,FALSE)</f>
        <v>N</v>
      </c>
      <c r="Q1851" s="4" t="str">
        <f>VLOOKUP($B1851,'D7 - NDB Impacted SPRF''s'!$E$16:$O$9929,10,FALSE)</f>
        <v>N</v>
      </c>
      <c r="R1851" s="4" t="str">
        <f>VLOOKUP($B1851,'D7 - NDB Impacted SPRF''s'!$E$16:$O$9929,11,FALSE)</f>
        <v>N</v>
      </c>
      <c r="S1851" s="8"/>
      <c r="T1851" s="310"/>
      <c r="U1851" s="310"/>
      <c r="V1851" s="4"/>
      <c r="W1851" s="4"/>
      <c r="X1851" s="4"/>
      <c r="Y1851" s="4"/>
      <c r="Z1851" s="4"/>
      <c r="AA1851" s="4"/>
      <c r="AB1851" s="380" t="str">
        <f>VLOOKUP($B1851,'D7 - NDB Impacted SPRF''s'!$E$6:$O$9929,4,FALSE)</f>
        <v>Scheduled</v>
      </c>
      <c r="AC1851" s="380" t="str">
        <f>VLOOKUP($B1851,'D7 - NDB Impacted SPRF''s'!$E$6:$O$9929,3,FALSE)</f>
        <v>UnitedHealthcare Community &amp; State</v>
      </c>
      <c r="AD1851" s="380" t="str">
        <f>VLOOKUP($B1851,'D7 - NDB Impacted SPRF''s'!$E$6:$O$9929,5,FALSE)</f>
        <v>Operational Requirements</v>
      </c>
      <c r="AE1851" s="380" t="str">
        <f>VLOOKUP($B1851,'D7 - NDB Impacted SPRF''s'!$E$6:$O$9929,7,FALSE)</f>
        <v>Eileen Dock</v>
      </c>
      <c r="AF1851" s="380" t="str">
        <f>VLOOKUP($B1851,'D7 - NDB Impacted SPRF''s'!$E$6:$O$9929,6,FALSE)</f>
        <v>Michael Shaw</v>
      </c>
      <c r="AG1851" s="282"/>
      <c r="AH1851" s="311" t="e">
        <f>INDEX('D5 - Gatekeeper - Projects'!$A$4:$AF$1010,$AM1851, 17)</f>
        <v>#N/A</v>
      </c>
      <c r="AI1851" s="8"/>
      <c r="AJ1851" s="57"/>
      <c r="AK1851" s="105"/>
      <c r="AM1851" s="6" t="e">
        <f>MATCH(D1851,'D5 - Gatekeeper - Projects'!$C$4:$C$1010,0)</f>
        <v>#N/A</v>
      </c>
      <c r="AN1851" s="6" t="b">
        <f t="shared" si="196"/>
        <v>1</v>
      </c>
      <c r="AO1851" s="6" t="str">
        <f t="shared" si="199"/>
        <v>OK</v>
      </c>
      <c r="AQ1851" s="6" t="e">
        <f>MATCH($D1851,'D4 - Provider Council Unsched'!$C$11:$C$234,0)</f>
        <v>#N/A</v>
      </c>
      <c r="AR1851" s="6" t="b">
        <f t="shared" si="197"/>
        <v>1</v>
      </c>
      <c r="AS1851" s="6" t="str">
        <f t="shared" si="201"/>
        <v>OK</v>
      </c>
      <c r="AU1851" s="202">
        <v>41306</v>
      </c>
      <c r="AV1851" s="323" t="s">
        <v>1132</v>
      </c>
      <c r="AW1851" s="274"/>
    </row>
    <row r="1852" spans="1:49" s="13" customFormat="1" ht="33.75" x14ac:dyDescent="0.2">
      <c r="A1852" s="14">
        <v>1828</v>
      </c>
      <c r="B1852" s="8">
        <v>400055271</v>
      </c>
      <c r="C1852" s="8" t="s">
        <v>1447</v>
      </c>
      <c r="D1852" s="4" t="str">
        <f t="shared" si="200"/>
        <v>400055271A</v>
      </c>
      <c r="E1852" s="309" t="str">
        <f>VLOOKUP($B1852,'D7 - NDB Impacted SPRF''s'!$E$6:$O$9929,2,FALSE)</f>
        <v>myHCE M&amp;R Implementation</v>
      </c>
      <c r="F1852" s="8"/>
      <c r="G1852" s="8" t="s">
        <v>4758</v>
      </c>
      <c r="H1852" s="8" t="s">
        <v>4246</v>
      </c>
      <c r="I1852" s="20">
        <v>0.9</v>
      </c>
      <c r="J1852" s="8" t="s">
        <v>4862</v>
      </c>
      <c r="K1852" s="182">
        <v>41356</v>
      </c>
      <c r="L1852" s="8" t="s">
        <v>4156</v>
      </c>
      <c r="M1852" s="8" t="s">
        <v>6688</v>
      </c>
      <c r="N1852" s="38" t="s">
        <v>7</v>
      </c>
      <c r="O1852" s="8"/>
      <c r="P1852" s="4" t="str">
        <f>VLOOKUP($B1852,'D7 - NDB Impacted SPRF''s'!$E$16:$O$9929,9,FALSE)</f>
        <v>N</v>
      </c>
      <c r="Q1852" s="4" t="str">
        <f>VLOOKUP($B1852,'D7 - NDB Impacted SPRF''s'!$E$16:$O$9929,10,FALSE)</f>
        <v>N</v>
      </c>
      <c r="R1852" s="4" t="str">
        <f>VLOOKUP($B1852,'D7 - NDB Impacted SPRF''s'!$E$16:$O$9929,11,FALSE)</f>
        <v>N</v>
      </c>
      <c r="S1852" s="8"/>
      <c r="T1852" s="310"/>
      <c r="U1852" s="310"/>
      <c r="V1852" s="4"/>
      <c r="W1852" s="4"/>
      <c r="X1852" s="4"/>
      <c r="Y1852" s="4"/>
      <c r="Z1852" s="4"/>
      <c r="AA1852" s="4"/>
      <c r="AB1852" s="380" t="str">
        <f>VLOOKUP($B1852,'D7 - NDB Impacted SPRF''s'!$E$6:$O$9929,4,FALSE)</f>
        <v>Completed</v>
      </c>
      <c r="AC1852" s="380" t="str">
        <f>VLOOKUP($B1852,'D7 - NDB Impacted SPRF''s'!$E$6:$O$9929,3,FALSE)</f>
        <v>UnitedHealthcare Medicare &amp; Retirement</v>
      </c>
      <c r="AD1852" s="380" t="str">
        <f>VLOOKUP($B1852,'D7 - NDB Impacted SPRF''s'!$E$6:$O$9929,5,FALSE)</f>
        <v>Growth &amp; Innovation</v>
      </c>
      <c r="AE1852" s="380" t="str">
        <f>VLOOKUP($B1852,'D7 - NDB Impacted SPRF''s'!$E$6:$O$9929,7,FALSE)</f>
        <v>Peter Demaris</v>
      </c>
      <c r="AF1852" s="380" t="str">
        <f>VLOOKUP($B1852,'D7 - NDB Impacted SPRF''s'!$E$6:$O$9929,6,FALSE)</f>
        <v>Kari Mclarty</v>
      </c>
      <c r="AG1852" s="282"/>
      <c r="AH1852" s="311" t="e">
        <f>INDEX('D5 - Gatekeeper - Projects'!$A$4:$AF$1010,$AM1852, 17)</f>
        <v>#N/A</v>
      </c>
      <c r="AI1852" s="8"/>
      <c r="AJ1852" s="57"/>
      <c r="AK1852" s="105"/>
      <c r="AM1852" s="6" t="e">
        <f>MATCH(D1852,'D5 - Gatekeeper - Projects'!$C$4:$C$1010,0)</f>
        <v>#N/A</v>
      </c>
      <c r="AN1852" s="6" t="b">
        <f t="shared" si="196"/>
        <v>1</v>
      </c>
      <c r="AO1852" s="6" t="str">
        <f t="shared" si="199"/>
        <v>OK</v>
      </c>
      <c r="AQ1852" s="6" t="e">
        <f>MATCH($D1852,'D4 - Provider Council Unsched'!$C$11:$C$234,0)</f>
        <v>#N/A</v>
      </c>
      <c r="AR1852" s="6" t="b">
        <f t="shared" si="197"/>
        <v>1</v>
      </c>
      <c r="AS1852" s="6" t="str">
        <f t="shared" si="201"/>
        <v>OK</v>
      </c>
      <c r="AU1852" s="202">
        <v>41298</v>
      </c>
      <c r="AV1852" s="327" t="s">
        <v>7187</v>
      </c>
      <c r="AW1852" s="274"/>
    </row>
    <row r="1853" spans="1:49" s="13" customFormat="1" ht="45" x14ac:dyDescent="0.2">
      <c r="A1853" s="14">
        <v>1829</v>
      </c>
      <c r="B1853" s="8">
        <v>400055505</v>
      </c>
      <c r="C1853" s="8" t="s">
        <v>1447</v>
      </c>
      <c r="D1853" s="4" t="str">
        <f t="shared" si="200"/>
        <v>400055505A</v>
      </c>
      <c r="E1853" s="309" t="str">
        <f>VLOOKUP($B1853,'D7 - NDB Impacted SPRF''s'!$E$6:$O$9929,2,FALSE)</f>
        <v>PCP Tiering - Open Access products</v>
      </c>
      <c r="F1853" s="8"/>
      <c r="G1853" s="8" t="s">
        <v>4758</v>
      </c>
      <c r="H1853" s="8" t="s">
        <v>4246</v>
      </c>
      <c r="I1853" s="20">
        <v>0.67</v>
      </c>
      <c r="J1853" s="8" t="s">
        <v>4862</v>
      </c>
      <c r="K1853" s="182">
        <v>41356</v>
      </c>
      <c r="L1853" s="8" t="s">
        <v>4156</v>
      </c>
      <c r="M1853" s="8" t="s">
        <v>6688</v>
      </c>
      <c r="N1853" s="38" t="s">
        <v>9519</v>
      </c>
      <c r="O1853" s="8"/>
      <c r="P1853" s="4" t="str">
        <f>VLOOKUP($B1853,'D7 - NDB Impacted SPRF''s'!$E$16:$O$9929,9,FALSE)</f>
        <v>Y</v>
      </c>
      <c r="Q1853" s="4" t="str">
        <f>VLOOKUP($B1853,'D7 - NDB Impacted SPRF''s'!$E$16:$O$9929,10,FALSE)</f>
        <v>N</v>
      </c>
      <c r="R1853" s="4" t="str">
        <f>VLOOKUP($B1853,'D7 - NDB Impacted SPRF''s'!$E$16:$O$9929,11,FALSE)</f>
        <v>N</v>
      </c>
      <c r="S1853" s="8"/>
      <c r="T1853" s="310"/>
      <c r="U1853" s="310"/>
      <c r="V1853" s="4"/>
      <c r="W1853" s="4"/>
      <c r="X1853" s="4"/>
      <c r="Y1853" s="4"/>
      <c r="Z1853" s="4"/>
      <c r="AA1853" s="4"/>
      <c r="AB1853" s="380" t="str">
        <f>VLOOKUP($B1853,'D7 - NDB Impacted SPRF''s'!$E$6:$O$9929,4,FALSE)</f>
        <v>Scheduled</v>
      </c>
      <c r="AC1853" s="380" t="str">
        <f>VLOOKUP($B1853,'D7 - NDB Impacted SPRF''s'!$E$6:$O$9929,3,FALSE)</f>
        <v>UnitedHealthcare Employer &amp; Individual</v>
      </c>
      <c r="AD1853" s="380" t="str">
        <f>VLOOKUP($B1853,'D7 - NDB Impacted SPRF''s'!$E$6:$O$9929,5,FALSE)</f>
        <v>Medical Cost Savings Programs</v>
      </c>
      <c r="AE1853" s="380" t="str">
        <f>VLOOKUP($B1853,'D7 - NDB Impacted SPRF''s'!$E$6:$O$9929,7,FALSE)</f>
        <v>Denise Mount</v>
      </c>
      <c r="AF1853" s="380" t="str">
        <f>VLOOKUP($B1853,'D7 - NDB Impacted SPRF''s'!$E$6:$O$9929,6,FALSE)</f>
        <v>Anthony Kattukaran</v>
      </c>
      <c r="AG1853" s="282"/>
      <c r="AH1853" s="311" t="e">
        <f>INDEX('D5 - Gatekeeper - Projects'!$A$4:$AF$1010,$AM1853, 17)</f>
        <v>#N/A</v>
      </c>
      <c r="AI1853" s="8"/>
      <c r="AJ1853" s="57"/>
      <c r="AK1853" s="105"/>
      <c r="AM1853" s="6" t="e">
        <f>MATCH(D1853,'D5 - Gatekeeper - Projects'!$C$4:$C$1010,0)</f>
        <v>#N/A</v>
      </c>
      <c r="AN1853" s="6" t="b">
        <f t="shared" si="196"/>
        <v>1</v>
      </c>
      <c r="AO1853" s="6" t="str">
        <f t="shared" si="199"/>
        <v>OK</v>
      </c>
      <c r="AQ1853" s="6" t="e">
        <f>MATCH($D1853,'D4 - Provider Council Unsched'!$C$11:$C$234,0)</f>
        <v>#N/A</v>
      </c>
      <c r="AR1853" s="6" t="b">
        <f t="shared" si="197"/>
        <v>1</v>
      </c>
      <c r="AS1853" s="6" t="str">
        <f t="shared" si="201"/>
        <v>OK</v>
      </c>
      <c r="AU1853" s="202">
        <v>41298</v>
      </c>
      <c r="AV1853" s="322" t="s">
        <v>1130</v>
      </c>
      <c r="AW1853" s="274"/>
    </row>
    <row r="1854" spans="1:49" s="13" customFormat="1" ht="123.75" x14ac:dyDescent="0.2">
      <c r="A1854" s="14">
        <v>1830</v>
      </c>
      <c r="B1854" s="8">
        <v>400055534</v>
      </c>
      <c r="C1854" s="8" t="s">
        <v>1447</v>
      </c>
      <c r="D1854" s="4" t="str">
        <f t="shared" si="200"/>
        <v>400055534A</v>
      </c>
      <c r="E1854" s="309" t="str">
        <f>VLOOKUP($B1854,'D7 - NDB Impacted SPRF''s'!$E$6:$O$9929,2,FALSE)</f>
        <v>Medica Exchange Analysis</v>
      </c>
      <c r="F1854" s="8"/>
      <c r="G1854" s="8" t="s">
        <v>4758</v>
      </c>
      <c r="H1854" s="8" t="s">
        <v>4246</v>
      </c>
      <c r="I1854" s="20">
        <v>1.3</v>
      </c>
      <c r="J1854" s="8" t="s">
        <v>4862</v>
      </c>
      <c r="K1854" s="182">
        <v>41356</v>
      </c>
      <c r="L1854" s="8" t="s">
        <v>4156</v>
      </c>
      <c r="M1854" s="8" t="s">
        <v>6688</v>
      </c>
      <c r="N1854" s="38" t="s">
        <v>9046</v>
      </c>
      <c r="O1854" s="8"/>
      <c r="P1854" s="4" t="str">
        <f>VLOOKUP($B1854,'D7 - NDB Impacted SPRF''s'!$E$16:$O$9929,9,FALSE)</f>
        <v>Y</v>
      </c>
      <c r="Q1854" s="4" t="str">
        <f>VLOOKUP($B1854,'D7 - NDB Impacted SPRF''s'!$E$16:$O$9929,10,FALSE)</f>
        <v>N</v>
      </c>
      <c r="R1854" s="4" t="str">
        <f>VLOOKUP($B1854,'D7 - NDB Impacted SPRF''s'!$E$16:$O$9929,11,FALSE)</f>
        <v>N</v>
      </c>
      <c r="S1854" s="8"/>
      <c r="T1854" s="310"/>
      <c r="U1854" s="310"/>
      <c r="V1854" s="4"/>
      <c r="W1854" s="4"/>
      <c r="X1854" s="4"/>
      <c r="Y1854" s="4"/>
      <c r="Z1854" s="4"/>
      <c r="AA1854" s="4"/>
      <c r="AB1854" s="380" t="str">
        <f>VLOOKUP($B1854,'D7 - NDB Impacted SPRF''s'!$E$6:$O$9929,4,FALSE)</f>
        <v>Completed</v>
      </c>
      <c r="AC1854" s="380" t="str">
        <f>VLOOKUP($B1854,'D7 - NDB Impacted SPRF''s'!$E$6:$O$9929,3,FALSE)</f>
        <v>UHG IT - Shared Services</v>
      </c>
      <c r="AD1854" s="380" t="str">
        <f>VLOOKUP($B1854,'D7 - NDB Impacted SPRF''s'!$E$6:$O$9929,5,FALSE)</f>
        <v>Medica Funded</v>
      </c>
      <c r="AE1854" s="380" t="str">
        <f>VLOOKUP($B1854,'D7 - NDB Impacted SPRF''s'!$E$6:$O$9929,7,FALSE)</f>
        <v>Pam Stegora-Axberg</v>
      </c>
      <c r="AF1854" s="380" t="str">
        <f>VLOOKUP($B1854,'D7 - NDB Impacted SPRF''s'!$E$6:$O$9929,6,FALSE)</f>
        <v>Linda Dooley</v>
      </c>
      <c r="AG1854" s="282"/>
      <c r="AH1854" s="311" t="e">
        <f>INDEX('D5 - Gatekeeper - Projects'!$A$4:$AF$1010,$AM1854, 17)</f>
        <v>#N/A</v>
      </c>
      <c r="AI1854" s="8"/>
      <c r="AJ1854" s="57"/>
      <c r="AK1854" s="105"/>
      <c r="AM1854" s="6" t="e">
        <f>MATCH(D1854,'D5 - Gatekeeper - Projects'!$C$4:$C$1010,0)</f>
        <v>#N/A</v>
      </c>
      <c r="AN1854" s="6" t="b">
        <f t="shared" si="196"/>
        <v>1</v>
      </c>
      <c r="AO1854" s="6" t="str">
        <f t="shared" si="199"/>
        <v>OK</v>
      </c>
      <c r="AQ1854" s="6" t="e">
        <f>MATCH($D1854,'D4 - Provider Council Unsched'!$C$11:$C$234,0)</f>
        <v>#N/A</v>
      </c>
      <c r="AR1854" s="6" t="b">
        <f t="shared" si="197"/>
        <v>1</v>
      </c>
      <c r="AS1854" s="6" t="str">
        <f t="shared" si="201"/>
        <v>OK</v>
      </c>
      <c r="AU1854" s="202">
        <v>41306</v>
      </c>
      <c r="AV1854" s="323" t="s">
        <v>2236</v>
      </c>
      <c r="AW1854" s="274"/>
    </row>
    <row r="1855" spans="1:49" s="13" customFormat="1" ht="11.25" customHeight="1" x14ac:dyDescent="0.2">
      <c r="A1855" s="14">
        <v>1831</v>
      </c>
      <c r="B1855" s="8">
        <v>400055677</v>
      </c>
      <c r="C1855" s="8" t="s">
        <v>1447</v>
      </c>
      <c r="D1855" s="4" t="str">
        <f t="shared" si="200"/>
        <v>400055677A</v>
      </c>
      <c r="E1855" s="309" t="str">
        <f>VLOOKUP($B1855,'D7 - NDB Impacted SPRF''s'!$E$6:$O$9929,2,FALSE)</f>
        <v>NDB Provider Pick Enh/Cosmos Pick Shutdown (NCD)</v>
      </c>
      <c r="F1855" s="8"/>
      <c r="G1855" s="8" t="s">
        <v>4758</v>
      </c>
      <c r="H1855" s="8" t="s">
        <v>4246</v>
      </c>
      <c r="I1855" s="20">
        <v>2</v>
      </c>
      <c r="J1855" s="8" t="s">
        <v>4862</v>
      </c>
      <c r="K1855" s="182">
        <v>41356</v>
      </c>
      <c r="L1855" s="8" t="s">
        <v>4156</v>
      </c>
      <c r="M1855" s="8" t="s">
        <v>6688</v>
      </c>
      <c r="N1855" s="38"/>
      <c r="O1855" s="8"/>
      <c r="P1855" s="4" t="str">
        <f>VLOOKUP($B1855,'D7 - NDB Impacted SPRF''s'!$E$16:$O$9929,9,FALSE)</f>
        <v>N</v>
      </c>
      <c r="Q1855" s="4" t="str">
        <f>VLOOKUP($B1855,'D7 - NDB Impacted SPRF''s'!$E$16:$O$9929,10,FALSE)</f>
        <v>N</v>
      </c>
      <c r="R1855" s="4" t="str">
        <f>VLOOKUP($B1855,'D7 - NDB Impacted SPRF''s'!$E$16:$O$9929,11,FALSE)</f>
        <v>N</v>
      </c>
      <c r="S1855" s="8"/>
      <c r="T1855" s="310"/>
      <c r="U1855" s="310"/>
      <c r="V1855" s="4"/>
      <c r="W1855" s="4"/>
      <c r="X1855" s="4"/>
      <c r="Y1855" s="4"/>
      <c r="Z1855" s="4"/>
      <c r="AA1855" s="4"/>
      <c r="AB1855" s="380" t="str">
        <f>VLOOKUP($B1855,'D7 - NDB Impacted SPRF''s'!$E$6:$O$9929,4,FALSE)</f>
        <v>Scheduled</v>
      </c>
      <c r="AC1855" s="380" t="str">
        <f>VLOOKUP($B1855,'D7 - NDB Impacted SPRF''s'!$E$6:$O$9929,3,FALSE)</f>
        <v>UHG IT - Shared Services</v>
      </c>
      <c r="AD1855" s="380" t="str">
        <f>VLOOKUP($B1855,'D7 - NDB Impacted SPRF''s'!$E$6:$O$9929,5,FALSE)</f>
        <v>Strategic Initiatives</v>
      </c>
      <c r="AE1855" s="380" t="str">
        <f>VLOOKUP($B1855,'D7 - NDB Impacted SPRF''s'!$E$6:$O$9929,7,FALSE)</f>
        <v>Eileen Dock</v>
      </c>
      <c r="AF1855" s="380" t="str">
        <f>VLOOKUP($B1855,'D7 - NDB Impacted SPRF''s'!$E$6:$O$9929,6,FALSE)</f>
        <v>Michele Mougey</v>
      </c>
      <c r="AG1855" s="282"/>
      <c r="AH1855" s="311" t="e">
        <f>INDEX('D5 - Gatekeeper - Projects'!$A$4:$AF$1010,$AM1855, 17)</f>
        <v>#N/A</v>
      </c>
      <c r="AI1855" s="8"/>
      <c r="AJ1855" s="57"/>
      <c r="AK1855" s="105"/>
      <c r="AM1855" s="6" t="e">
        <f>MATCH(D1855,'D5 - Gatekeeper - Projects'!$C$4:$C$1010,0)</f>
        <v>#N/A</v>
      </c>
      <c r="AN1855" s="6" t="b">
        <f t="shared" si="196"/>
        <v>1</v>
      </c>
      <c r="AO1855" s="6" t="str">
        <f t="shared" si="199"/>
        <v>OK</v>
      </c>
      <c r="AQ1855" s="6" t="e">
        <f>MATCH($D1855,'D4 - Provider Council Unsched'!$C$11:$C$234,0)</f>
        <v>#N/A</v>
      </c>
      <c r="AR1855" s="6" t="b">
        <f t="shared" si="197"/>
        <v>1</v>
      </c>
      <c r="AS1855" s="6" t="str">
        <f t="shared" si="201"/>
        <v>OK</v>
      </c>
      <c r="AU1855" s="202">
        <v>41271</v>
      </c>
      <c r="AV1855" s="329" t="s">
        <v>2754</v>
      </c>
      <c r="AW1855" s="274"/>
    </row>
    <row r="1856" spans="1:49" s="13" customFormat="1" ht="45" x14ac:dyDescent="0.2">
      <c r="A1856" s="14">
        <v>1832</v>
      </c>
      <c r="B1856" s="8">
        <v>400055731</v>
      </c>
      <c r="C1856" s="8" t="s">
        <v>7290</v>
      </c>
      <c r="D1856" s="4" t="str">
        <f t="shared" si="200"/>
        <v>400055731B</v>
      </c>
      <c r="E1856" s="309" t="str">
        <f>VLOOKUP($B1856,'D7 - NDB Impacted SPRF''s'!$E$6:$O$9929,2,FALSE)</f>
        <v>UBCS Prototype-Provider Demographic &amp;Credentialing</v>
      </c>
      <c r="F1856" s="8"/>
      <c r="G1856" s="8" t="s">
        <v>4758</v>
      </c>
      <c r="H1856" s="8" t="s">
        <v>4246</v>
      </c>
      <c r="I1856" s="20">
        <v>1.33</v>
      </c>
      <c r="J1856" s="8" t="s">
        <v>4862</v>
      </c>
      <c r="K1856" s="182">
        <v>41356</v>
      </c>
      <c r="L1856" s="8" t="s">
        <v>4156</v>
      </c>
      <c r="M1856" s="8" t="s">
        <v>6688</v>
      </c>
      <c r="N1856" s="38" t="s">
        <v>7216</v>
      </c>
      <c r="O1856" s="8"/>
      <c r="P1856" s="4" t="str">
        <f>VLOOKUP($B1856,'D7 - NDB Impacted SPRF''s'!$E$16:$O$9929,9,FALSE)</f>
        <v>N</v>
      </c>
      <c r="Q1856" s="4" t="str">
        <f>VLOOKUP($B1856,'D7 - NDB Impacted SPRF''s'!$E$16:$O$9929,10,FALSE)</f>
        <v>N</v>
      </c>
      <c r="R1856" s="4" t="str">
        <f>VLOOKUP($B1856,'D7 - NDB Impacted SPRF''s'!$E$16:$O$9929,11,FALSE)</f>
        <v>N</v>
      </c>
      <c r="S1856" s="8"/>
      <c r="T1856" s="310"/>
      <c r="U1856" s="310"/>
      <c r="V1856" s="4"/>
      <c r="W1856" s="4"/>
      <c r="X1856" s="4"/>
      <c r="Y1856" s="4"/>
      <c r="Z1856" s="4"/>
      <c r="AA1856" s="4"/>
      <c r="AB1856" s="380" t="str">
        <f>VLOOKUP($B1856,'D7 - NDB Impacted SPRF''s'!$E$6:$O$9929,4,FALSE)</f>
        <v>Scheduled</v>
      </c>
      <c r="AC1856" s="380" t="str">
        <f>VLOOKUP($B1856,'D7 - NDB Impacted SPRF''s'!$E$6:$O$9929,3,FALSE)</f>
        <v>UnitedHealthcare Employer &amp; Individual</v>
      </c>
      <c r="AD1856" s="380" t="str">
        <f>VLOOKUP($B1856,'D7 - NDB Impacted SPRF''s'!$E$6:$O$9929,5,FALSE)</f>
        <v>Process Improvement</v>
      </c>
      <c r="AE1856" s="380" t="str">
        <f>VLOOKUP($B1856,'D7 - NDB Impacted SPRF''s'!$E$6:$O$9929,7,FALSE)</f>
        <v>Patrick Casey</v>
      </c>
      <c r="AF1856" s="380" t="str">
        <f>VLOOKUP($B1856,'D7 - NDB Impacted SPRF''s'!$E$6:$O$9929,6,FALSE)</f>
        <v>Janice Wallace</v>
      </c>
      <c r="AG1856" s="282"/>
      <c r="AH1856" s="311" t="e">
        <f>INDEX('D5 - Gatekeeper - Projects'!$A$4:$AF$1010,$AM1856, 17)</f>
        <v>#N/A</v>
      </c>
      <c r="AI1856" s="8"/>
      <c r="AJ1856" s="57"/>
      <c r="AK1856" s="105"/>
      <c r="AM1856" s="6" t="e">
        <f>MATCH(D1856,'D5 - Gatekeeper - Projects'!$C$4:$C$1010,0)</f>
        <v>#N/A</v>
      </c>
      <c r="AN1856" s="6" t="b">
        <f t="shared" si="196"/>
        <v>1</v>
      </c>
      <c r="AO1856" s="6" t="str">
        <f t="shared" si="199"/>
        <v>OK</v>
      </c>
      <c r="AQ1856" s="6" t="e">
        <f>MATCH($D1856,'D4 - Provider Council Unsched'!$C$11:$C$234,0)</f>
        <v>#N/A</v>
      </c>
      <c r="AR1856" s="6" t="b">
        <f t="shared" si="197"/>
        <v>1</v>
      </c>
      <c r="AS1856" s="6" t="str">
        <f t="shared" si="201"/>
        <v>OK</v>
      </c>
      <c r="AU1856" s="202">
        <v>41284</v>
      </c>
      <c r="AV1856" s="323" t="s">
        <v>2612</v>
      </c>
      <c r="AW1856" s="274">
        <v>72526</v>
      </c>
    </row>
    <row r="1857" spans="1:49" s="13" customFormat="1" ht="11.25" customHeight="1" x14ac:dyDescent="0.2">
      <c r="A1857" s="14">
        <v>1833</v>
      </c>
      <c r="B1857" s="8">
        <v>400055735</v>
      </c>
      <c r="C1857" s="8" t="s">
        <v>1447</v>
      </c>
      <c r="D1857" s="4" t="str">
        <f t="shared" si="200"/>
        <v>400055735A</v>
      </c>
      <c r="E1857" s="309" t="str">
        <f>VLOOKUP($B1857,'D7 - NDB Impacted SPRF''s'!$E$6:$O$9929,2,FALSE)</f>
        <v>UBCS Prototype-Provider Network Design and Config</v>
      </c>
      <c r="F1857" s="8"/>
      <c r="G1857" s="8" t="s">
        <v>4758</v>
      </c>
      <c r="H1857" s="8" t="s">
        <v>4246</v>
      </c>
      <c r="I1857" s="20">
        <v>2</v>
      </c>
      <c r="J1857" s="8" t="s">
        <v>4862</v>
      </c>
      <c r="K1857" s="182">
        <v>41356</v>
      </c>
      <c r="L1857" s="8" t="s">
        <v>4156</v>
      </c>
      <c r="M1857" s="8" t="s">
        <v>6688</v>
      </c>
      <c r="N1857" s="38" t="s">
        <v>832</v>
      </c>
      <c r="O1857" s="8"/>
      <c r="P1857" s="4" t="str">
        <f>VLOOKUP($B1857,'D7 - NDB Impacted SPRF''s'!$E$16:$O$9929,9,FALSE)</f>
        <v>N</v>
      </c>
      <c r="Q1857" s="4" t="str">
        <f>VLOOKUP($B1857,'D7 - NDB Impacted SPRF''s'!$E$16:$O$9929,10,FALSE)</f>
        <v>N</v>
      </c>
      <c r="R1857" s="4" t="str">
        <f>VLOOKUP($B1857,'D7 - NDB Impacted SPRF''s'!$E$16:$O$9929,11,FALSE)</f>
        <v>N</v>
      </c>
      <c r="S1857" s="8"/>
      <c r="T1857" s="310"/>
      <c r="U1857" s="310"/>
      <c r="V1857" s="4"/>
      <c r="W1857" s="4"/>
      <c r="X1857" s="4"/>
      <c r="Y1857" s="4"/>
      <c r="Z1857" s="4"/>
      <c r="AA1857" s="4"/>
      <c r="AB1857" s="380" t="str">
        <f>VLOOKUP($B1857,'D7 - NDB Impacted SPRF''s'!$E$6:$O$9929,4,FALSE)</f>
        <v>Completed</v>
      </c>
      <c r="AC1857" s="380" t="str">
        <f>VLOOKUP($B1857,'D7 - NDB Impacted SPRF''s'!$E$6:$O$9929,3,FALSE)</f>
        <v>UnitedHealthcare Employer &amp; Individual</v>
      </c>
      <c r="AD1857" s="380" t="str">
        <f>VLOOKUP($B1857,'D7 - NDB Impacted SPRF''s'!$E$6:$O$9929,5,FALSE)</f>
        <v>Process Improvement</v>
      </c>
      <c r="AE1857" s="380" t="str">
        <f>VLOOKUP($B1857,'D7 - NDB Impacted SPRF''s'!$E$6:$O$9929,7,FALSE)</f>
        <v>Patrick Casey</v>
      </c>
      <c r="AF1857" s="380" t="str">
        <f>VLOOKUP($B1857,'D7 - NDB Impacted SPRF''s'!$E$6:$O$9929,6,FALSE)</f>
        <v>Janice Wallace</v>
      </c>
      <c r="AG1857" s="282"/>
      <c r="AH1857" s="311" t="e">
        <f>INDEX('D5 - Gatekeeper - Projects'!$A$4:$AF$1010,$AM1857, 17)</f>
        <v>#N/A</v>
      </c>
      <c r="AI1857" s="8"/>
      <c r="AJ1857" s="57"/>
      <c r="AK1857" s="105"/>
      <c r="AM1857" s="6" t="e">
        <f>MATCH(D1857,'D5 - Gatekeeper - Projects'!$C$4:$C$1010,0)</f>
        <v>#N/A</v>
      </c>
      <c r="AN1857" s="6" t="b">
        <f t="shared" si="196"/>
        <v>1</v>
      </c>
      <c r="AO1857" s="6" t="str">
        <f t="shared" si="199"/>
        <v>OK</v>
      </c>
      <c r="AQ1857" s="6" t="e">
        <f>MATCH($D1857,'D4 - Provider Council Unsched'!$C$11:$C$234,0)</f>
        <v>#N/A</v>
      </c>
      <c r="AR1857" s="6" t="b">
        <f t="shared" si="197"/>
        <v>1</v>
      </c>
      <c r="AS1857" s="6" t="str">
        <f t="shared" si="201"/>
        <v>OK</v>
      </c>
      <c r="AU1857" s="202">
        <v>41222</v>
      </c>
      <c r="AV1857" s="323" t="s">
        <v>2612</v>
      </c>
      <c r="AW1857" s="274">
        <v>72527</v>
      </c>
    </row>
    <row r="1858" spans="1:49" s="13" customFormat="1" ht="11.25" customHeight="1" x14ac:dyDescent="0.2">
      <c r="A1858" s="14">
        <v>1834</v>
      </c>
      <c r="B1858" s="8">
        <v>400055735</v>
      </c>
      <c r="C1858" s="8" t="s">
        <v>7290</v>
      </c>
      <c r="D1858" s="4" t="str">
        <f t="shared" si="200"/>
        <v>400055735B</v>
      </c>
      <c r="E1858" s="309" t="str">
        <f>VLOOKUP($B1858,'D7 - NDB Impacted SPRF''s'!$E$6:$O$9929,2,FALSE)</f>
        <v>UBCS Prototype-Provider Network Design and Config</v>
      </c>
      <c r="F1858" s="8"/>
      <c r="G1858" s="8" t="s">
        <v>4758</v>
      </c>
      <c r="H1858" s="8" t="s">
        <v>4246</v>
      </c>
      <c r="I1858" s="20">
        <v>1.33</v>
      </c>
      <c r="J1858" s="8" t="s">
        <v>4862</v>
      </c>
      <c r="K1858" s="182">
        <v>41356</v>
      </c>
      <c r="L1858" s="8" t="s">
        <v>4156</v>
      </c>
      <c r="M1858" s="8" t="s">
        <v>6688</v>
      </c>
      <c r="N1858" s="38" t="s">
        <v>7216</v>
      </c>
      <c r="O1858" s="8"/>
      <c r="P1858" s="4" t="str">
        <f>VLOOKUP($B1858,'D7 - NDB Impacted SPRF''s'!$E$16:$O$9929,9,FALSE)</f>
        <v>N</v>
      </c>
      <c r="Q1858" s="4" t="str">
        <f>VLOOKUP($B1858,'D7 - NDB Impacted SPRF''s'!$E$16:$O$9929,10,FALSE)</f>
        <v>N</v>
      </c>
      <c r="R1858" s="4" t="str">
        <f>VLOOKUP($B1858,'D7 - NDB Impacted SPRF''s'!$E$16:$O$9929,11,FALSE)</f>
        <v>N</v>
      </c>
      <c r="S1858" s="8"/>
      <c r="T1858" s="310"/>
      <c r="U1858" s="310"/>
      <c r="V1858" s="4"/>
      <c r="W1858" s="4"/>
      <c r="X1858" s="4"/>
      <c r="Y1858" s="4"/>
      <c r="Z1858" s="4"/>
      <c r="AA1858" s="4"/>
      <c r="AB1858" s="380" t="str">
        <f>VLOOKUP($B1858,'D7 - NDB Impacted SPRF''s'!$E$6:$O$9929,4,FALSE)</f>
        <v>Completed</v>
      </c>
      <c r="AC1858" s="380" t="str">
        <f>VLOOKUP($B1858,'D7 - NDB Impacted SPRF''s'!$E$6:$O$9929,3,FALSE)</f>
        <v>UnitedHealthcare Employer &amp; Individual</v>
      </c>
      <c r="AD1858" s="380" t="str">
        <f>VLOOKUP($B1858,'D7 - NDB Impacted SPRF''s'!$E$6:$O$9929,5,FALSE)</f>
        <v>Process Improvement</v>
      </c>
      <c r="AE1858" s="380" t="str">
        <f>VLOOKUP($B1858,'D7 - NDB Impacted SPRF''s'!$E$6:$O$9929,7,FALSE)</f>
        <v>Patrick Casey</v>
      </c>
      <c r="AF1858" s="380" t="str">
        <f>VLOOKUP($B1858,'D7 - NDB Impacted SPRF''s'!$E$6:$O$9929,6,FALSE)</f>
        <v>Janice Wallace</v>
      </c>
      <c r="AG1858" s="282"/>
      <c r="AH1858" s="311" t="e">
        <f>INDEX('D5 - Gatekeeper - Projects'!$A$4:$AF$1010,$AM1858, 17)</f>
        <v>#N/A</v>
      </c>
      <c r="AI1858" s="8"/>
      <c r="AJ1858" s="57"/>
      <c r="AK1858" s="105"/>
      <c r="AM1858" s="6" t="e">
        <f>MATCH(D1858,'D5 - Gatekeeper - Projects'!$C$4:$C$1010,0)</f>
        <v>#N/A</v>
      </c>
      <c r="AN1858" s="6" t="b">
        <f t="shared" si="196"/>
        <v>1</v>
      </c>
      <c r="AO1858" s="6" t="str">
        <f t="shared" si="199"/>
        <v>OK</v>
      </c>
      <c r="AQ1858" s="6" t="e">
        <f>MATCH($D1858,'D4 - Provider Council Unsched'!$C$11:$C$234,0)</f>
        <v>#N/A</v>
      </c>
      <c r="AR1858" s="6" t="b">
        <f t="shared" si="197"/>
        <v>1</v>
      </c>
      <c r="AS1858" s="6" t="str">
        <f t="shared" si="201"/>
        <v>OK</v>
      </c>
      <c r="AU1858" s="202">
        <v>41284</v>
      </c>
      <c r="AV1858" s="323" t="s">
        <v>2612</v>
      </c>
      <c r="AW1858" s="274">
        <v>72527</v>
      </c>
    </row>
    <row r="1859" spans="1:49" s="13" customFormat="1" ht="33.75" x14ac:dyDescent="0.2">
      <c r="A1859" s="14">
        <v>1835</v>
      </c>
      <c r="B1859" s="8">
        <v>400055736</v>
      </c>
      <c r="C1859" s="8" t="s">
        <v>1447</v>
      </c>
      <c r="D1859" s="4" t="str">
        <f t="shared" si="200"/>
        <v>400055736A</v>
      </c>
      <c r="E1859" s="309" t="str">
        <f>VLOOKUP($B1859,'D7 - NDB Impacted SPRF''s'!$E$6:$O$9929,2,FALSE)</f>
        <v>UBCS Prototype-Provider Contract Engine AO</v>
      </c>
      <c r="F1859" s="8"/>
      <c r="G1859" s="8" t="s">
        <v>4758</v>
      </c>
      <c r="H1859" s="8" t="s">
        <v>4246</v>
      </c>
      <c r="I1859" s="20">
        <v>2</v>
      </c>
      <c r="J1859" s="8" t="s">
        <v>4862</v>
      </c>
      <c r="K1859" s="182">
        <v>41356</v>
      </c>
      <c r="L1859" s="8" t="s">
        <v>4156</v>
      </c>
      <c r="M1859" s="8" t="s">
        <v>6688</v>
      </c>
      <c r="N1859" s="38" t="s">
        <v>832</v>
      </c>
      <c r="O1859" s="8"/>
      <c r="P1859" s="4" t="str">
        <f>VLOOKUP($B1859,'D7 - NDB Impacted SPRF''s'!$E$16:$O$9929,9,FALSE)</f>
        <v>N</v>
      </c>
      <c r="Q1859" s="4" t="str">
        <f>VLOOKUP($B1859,'D7 - NDB Impacted SPRF''s'!$E$16:$O$9929,10,FALSE)</f>
        <v>N</v>
      </c>
      <c r="R1859" s="4" t="str">
        <f>VLOOKUP($B1859,'D7 - NDB Impacted SPRF''s'!$E$16:$O$9929,11,FALSE)</f>
        <v>N</v>
      </c>
      <c r="S1859" s="8"/>
      <c r="T1859" s="310"/>
      <c r="U1859" s="310"/>
      <c r="V1859" s="4"/>
      <c r="W1859" s="4"/>
      <c r="X1859" s="4"/>
      <c r="Y1859" s="4"/>
      <c r="Z1859" s="4"/>
      <c r="AA1859" s="4"/>
      <c r="AB1859" s="380" t="str">
        <f>VLOOKUP($B1859,'D7 - NDB Impacted SPRF''s'!$E$6:$O$9929,4,FALSE)</f>
        <v>Completed</v>
      </c>
      <c r="AC1859" s="380" t="str">
        <f>VLOOKUP($B1859,'D7 - NDB Impacted SPRF''s'!$E$6:$O$9929,3,FALSE)</f>
        <v>UnitedHealthcare Employer &amp; Individual</v>
      </c>
      <c r="AD1859" s="380" t="str">
        <f>VLOOKUP($B1859,'D7 - NDB Impacted SPRF''s'!$E$6:$O$9929,5,FALSE)</f>
        <v>Process Improvement</v>
      </c>
      <c r="AE1859" s="380" t="str">
        <f>VLOOKUP($B1859,'D7 - NDB Impacted SPRF''s'!$E$6:$O$9929,7,FALSE)</f>
        <v>Patrick Casey</v>
      </c>
      <c r="AF1859" s="380" t="str">
        <f>VLOOKUP($B1859,'D7 - NDB Impacted SPRF''s'!$E$6:$O$9929,6,FALSE)</f>
        <v>Janice Wallace</v>
      </c>
      <c r="AG1859" s="282"/>
      <c r="AH1859" s="311" t="e">
        <f>INDEX('D5 - Gatekeeper - Projects'!$A$4:$AF$1010,$AM1859, 17)</f>
        <v>#N/A</v>
      </c>
      <c r="AI1859" s="8"/>
      <c r="AJ1859" s="57"/>
      <c r="AK1859" s="105"/>
      <c r="AM1859" s="6" t="e">
        <f>MATCH(D1859,'D5 - Gatekeeper - Projects'!$C$4:$C$1010,0)</f>
        <v>#N/A</v>
      </c>
      <c r="AN1859" s="6" t="b">
        <f t="shared" si="196"/>
        <v>1</v>
      </c>
      <c r="AO1859" s="6" t="str">
        <f t="shared" si="199"/>
        <v>OK</v>
      </c>
      <c r="AQ1859" s="6" t="e">
        <f>MATCH($D1859,'D4 - Provider Council Unsched'!$C$11:$C$234,0)</f>
        <v>#N/A</v>
      </c>
      <c r="AR1859" s="6" t="b">
        <f t="shared" si="197"/>
        <v>1</v>
      </c>
      <c r="AS1859" s="6" t="str">
        <f t="shared" si="201"/>
        <v>OK</v>
      </c>
      <c r="AU1859" s="202">
        <v>41222</v>
      </c>
      <c r="AV1859" s="323" t="s">
        <v>2612</v>
      </c>
      <c r="AW1859" s="274">
        <v>72528</v>
      </c>
    </row>
    <row r="1860" spans="1:49" s="13" customFormat="1" ht="45" x14ac:dyDescent="0.2">
      <c r="A1860" s="14">
        <v>1836</v>
      </c>
      <c r="B1860" s="8">
        <v>400055736</v>
      </c>
      <c r="C1860" s="8" t="s">
        <v>7290</v>
      </c>
      <c r="D1860" s="4" t="str">
        <f t="shared" si="200"/>
        <v>400055736B</v>
      </c>
      <c r="E1860" s="309" t="str">
        <f>VLOOKUP($B1860,'D7 - NDB Impacted SPRF''s'!$E$6:$O$9929,2,FALSE)</f>
        <v>UBCS Prototype-Provider Contract Engine AO</v>
      </c>
      <c r="F1860" s="8"/>
      <c r="G1860" s="8" t="s">
        <v>4758</v>
      </c>
      <c r="H1860" s="8" t="s">
        <v>4246</v>
      </c>
      <c r="I1860" s="20">
        <v>1.33</v>
      </c>
      <c r="J1860" s="8" t="s">
        <v>4862</v>
      </c>
      <c r="K1860" s="182">
        <v>41356</v>
      </c>
      <c r="L1860" s="8" t="s">
        <v>4156</v>
      </c>
      <c r="M1860" s="8" t="s">
        <v>6688</v>
      </c>
      <c r="N1860" s="38" t="s">
        <v>7216</v>
      </c>
      <c r="O1860" s="8"/>
      <c r="P1860" s="4" t="str">
        <f>VLOOKUP($B1860,'D7 - NDB Impacted SPRF''s'!$E$16:$O$9929,9,FALSE)</f>
        <v>N</v>
      </c>
      <c r="Q1860" s="4" t="str">
        <f>VLOOKUP($B1860,'D7 - NDB Impacted SPRF''s'!$E$16:$O$9929,10,FALSE)</f>
        <v>N</v>
      </c>
      <c r="R1860" s="4" t="str">
        <f>VLOOKUP($B1860,'D7 - NDB Impacted SPRF''s'!$E$16:$O$9929,11,FALSE)</f>
        <v>N</v>
      </c>
      <c r="S1860" s="8"/>
      <c r="T1860" s="310"/>
      <c r="U1860" s="310"/>
      <c r="V1860" s="4"/>
      <c r="W1860" s="4"/>
      <c r="X1860" s="4"/>
      <c r="Y1860" s="4"/>
      <c r="Z1860" s="4"/>
      <c r="AA1860" s="4"/>
      <c r="AB1860" s="380" t="str">
        <f>VLOOKUP($B1860,'D7 - NDB Impacted SPRF''s'!$E$6:$O$9929,4,FALSE)</f>
        <v>Completed</v>
      </c>
      <c r="AC1860" s="380" t="str">
        <f>VLOOKUP($B1860,'D7 - NDB Impacted SPRF''s'!$E$6:$O$9929,3,FALSE)</f>
        <v>UnitedHealthcare Employer &amp; Individual</v>
      </c>
      <c r="AD1860" s="380" t="str">
        <f>VLOOKUP($B1860,'D7 - NDB Impacted SPRF''s'!$E$6:$O$9929,5,FALSE)</f>
        <v>Process Improvement</v>
      </c>
      <c r="AE1860" s="380" t="str">
        <f>VLOOKUP($B1860,'D7 - NDB Impacted SPRF''s'!$E$6:$O$9929,7,FALSE)</f>
        <v>Patrick Casey</v>
      </c>
      <c r="AF1860" s="380" t="str">
        <f>VLOOKUP($B1860,'D7 - NDB Impacted SPRF''s'!$E$6:$O$9929,6,FALSE)</f>
        <v>Janice Wallace</v>
      </c>
      <c r="AG1860" s="282"/>
      <c r="AH1860" s="311" t="e">
        <f>INDEX('D5 - Gatekeeper - Projects'!$A$4:$AF$1010,$AM1860, 17)</f>
        <v>#N/A</v>
      </c>
      <c r="AI1860" s="8"/>
      <c r="AJ1860" s="57"/>
      <c r="AK1860" s="105"/>
      <c r="AM1860" s="6" t="e">
        <f>MATCH(D1860,'D5 - Gatekeeper - Projects'!$C$4:$C$1010,0)</f>
        <v>#N/A</v>
      </c>
      <c r="AN1860" s="6" t="b">
        <f t="shared" si="196"/>
        <v>1</v>
      </c>
      <c r="AO1860" s="6" t="str">
        <f t="shared" si="199"/>
        <v>OK</v>
      </c>
      <c r="AQ1860" s="6" t="e">
        <f>MATCH($D1860,'D4 - Provider Council Unsched'!$C$11:$C$234,0)</f>
        <v>#N/A</v>
      </c>
      <c r="AR1860" s="6" t="b">
        <f t="shared" si="197"/>
        <v>1</v>
      </c>
      <c r="AS1860" s="6" t="str">
        <f t="shared" si="201"/>
        <v>OK</v>
      </c>
      <c r="AU1860" s="202">
        <v>41284</v>
      </c>
      <c r="AV1860" s="323" t="s">
        <v>2612</v>
      </c>
      <c r="AW1860" s="274">
        <v>72528</v>
      </c>
    </row>
    <row r="1861" spans="1:49" s="13" customFormat="1" ht="11.25" customHeight="1" x14ac:dyDescent="0.2">
      <c r="A1861" s="14">
        <v>1837</v>
      </c>
      <c r="B1861" s="8">
        <v>400056615</v>
      </c>
      <c r="C1861" s="8" t="s">
        <v>1447</v>
      </c>
      <c r="D1861" s="4" t="str">
        <f t="shared" si="200"/>
        <v>400056615A</v>
      </c>
      <c r="E1861" s="309" t="str">
        <f>VLOOKUP($B1861,'D7 - NDB Impacted SPRF''s'!$E$6:$O$9929,2,FALSE)</f>
        <v>Negative Payee Phase III COSMOS</v>
      </c>
      <c r="F1861" s="8"/>
      <c r="G1861" s="8" t="s">
        <v>4758</v>
      </c>
      <c r="H1861" s="8" t="s">
        <v>4246</v>
      </c>
      <c r="I1861" s="20">
        <v>0.55000000000000004</v>
      </c>
      <c r="J1861" s="8" t="s">
        <v>4862</v>
      </c>
      <c r="K1861" s="182">
        <v>41356</v>
      </c>
      <c r="L1861" s="8" t="s">
        <v>4156</v>
      </c>
      <c r="M1861" s="8" t="s">
        <v>6688</v>
      </c>
      <c r="N1861" s="38"/>
      <c r="O1861" s="8"/>
      <c r="P1861" s="4" t="str">
        <f>VLOOKUP($B1861,'D7 - NDB Impacted SPRF''s'!$E$16:$O$9929,9,FALSE)</f>
        <v>N</v>
      </c>
      <c r="Q1861" s="4" t="str">
        <f>VLOOKUP($B1861,'D7 - NDB Impacted SPRF''s'!$E$16:$O$9929,10,FALSE)</f>
        <v>N</v>
      </c>
      <c r="R1861" s="4" t="str">
        <f>VLOOKUP($B1861,'D7 - NDB Impacted SPRF''s'!$E$16:$O$9929,11,FALSE)</f>
        <v>N</v>
      </c>
      <c r="S1861" s="8"/>
      <c r="T1861" s="310"/>
      <c r="U1861" s="310"/>
      <c r="V1861" s="4"/>
      <c r="W1861" s="4"/>
      <c r="X1861" s="4"/>
      <c r="Y1861" s="4"/>
      <c r="Z1861" s="4"/>
      <c r="AA1861" s="4"/>
      <c r="AB1861" s="380" t="str">
        <f>VLOOKUP($B1861,'D7 - NDB Impacted SPRF''s'!$E$6:$O$9929,4,FALSE)</f>
        <v>Completed</v>
      </c>
      <c r="AC1861" s="380" t="str">
        <f>VLOOKUP($B1861,'D7 - NDB Impacted SPRF''s'!$E$6:$O$9929,3,FALSE)</f>
        <v>UnitedHealthcare Medicare &amp; Retirement</v>
      </c>
      <c r="AD1861" s="380" t="str">
        <f>VLOOKUP($B1861,'D7 - NDB Impacted SPRF''s'!$E$6:$O$9929,5,FALSE)</f>
        <v>Medical Cost Savings Programs</v>
      </c>
      <c r="AE1861" s="380" t="str">
        <f>VLOOKUP($B1861,'D7 - NDB Impacted SPRF''s'!$E$6:$O$9929,7,FALSE)</f>
        <v>Mark Johnson</v>
      </c>
      <c r="AF1861" s="380" t="str">
        <f>VLOOKUP($B1861,'D7 - NDB Impacted SPRF''s'!$E$6:$O$9929,6,FALSE)</f>
        <v>Nick Schuchardt</v>
      </c>
      <c r="AG1861" s="282"/>
      <c r="AH1861" s="311" t="e">
        <f>INDEX('D5 - Gatekeeper - Projects'!$A$4:$AF$1010,$AM1861, 17)</f>
        <v>#N/A</v>
      </c>
      <c r="AI1861" s="8"/>
      <c r="AJ1861" s="57"/>
      <c r="AK1861" s="105"/>
      <c r="AM1861" s="6" t="e">
        <f>MATCH(D1861,'D5 - Gatekeeper - Projects'!$C$4:$C$1010,0)</f>
        <v>#N/A</v>
      </c>
      <c r="AN1861" s="6" t="b">
        <f t="shared" si="196"/>
        <v>1</v>
      </c>
      <c r="AO1861" s="6" t="str">
        <f t="shared" si="199"/>
        <v>OK</v>
      </c>
      <c r="AQ1861" s="6" t="e">
        <f>MATCH($D1861,'D4 - Provider Council Unsched'!$C$11:$C$234,0)</f>
        <v>#N/A</v>
      </c>
      <c r="AR1861" s="6" t="b">
        <f t="shared" si="197"/>
        <v>1</v>
      </c>
      <c r="AS1861" s="6" t="str">
        <f t="shared" si="201"/>
        <v>OK</v>
      </c>
      <c r="AU1861" s="202">
        <v>41284</v>
      </c>
      <c r="AV1861" s="333" t="s">
        <v>7904</v>
      </c>
      <c r="AW1861" s="274"/>
    </row>
    <row r="1862" spans="1:49" s="13" customFormat="1" ht="33.75" x14ac:dyDescent="0.2">
      <c r="A1862" s="14">
        <v>1838</v>
      </c>
      <c r="B1862" s="14">
        <v>400057078</v>
      </c>
      <c r="C1862" s="8" t="s">
        <v>1447</v>
      </c>
      <c r="D1862" s="4" t="str">
        <f t="shared" si="200"/>
        <v>400057078A</v>
      </c>
      <c r="E1862" s="309" t="str">
        <f>VLOOKUP($B1862,'D7 - NDB Impacted SPRF''s'!$E$6:$O$9929,2,FALSE)</f>
        <v>EOB Transformation</v>
      </c>
      <c r="F1862" s="8"/>
      <c r="G1862" s="8" t="s">
        <v>4758</v>
      </c>
      <c r="H1862" s="8" t="s">
        <v>4246</v>
      </c>
      <c r="I1862" s="20">
        <v>1.01</v>
      </c>
      <c r="J1862" s="8" t="s">
        <v>4862</v>
      </c>
      <c r="K1862" s="182">
        <v>41356</v>
      </c>
      <c r="L1862" s="8" t="s">
        <v>4156</v>
      </c>
      <c r="M1862" s="8" t="s">
        <v>6688</v>
      </c>
      <c r="N1862" s="38" t="s">
        <v>9049</v>
      </c>
      <c r="O1862" s="8"/>
      <c r="P1862" s="4" t="str">
        <f>VLOOKUP($B1862,'D7 - NDB Impacted SPRF''s'!$E$16:$O$9929,9,FALSE)</f>
        <v>N</v>
      </c>
      <c r="Q1862" s="4" t="str">
        <f>VLOOKUP($B1862,'D7 - NDB Impacted SPRF''s'!$E$16:$O$9929,10,FALSE)</f>
        <v>N</v>
      </c>
      <c r="R1862" s="4" t="str">
        <f>VLOOKUP($B1862,'D7 - NDB Impacted SPRF''s'!$E$16:$O$9929,11,FALSE)</f>
        <v>N</v>
      </c>
      <c r="S1862" s="8"/>
      <c r="T1862" s="310"/>
      <c r="U1862" s="310"/>
      <c r="V1862" s="4"/>
      <c r="W1862" s="4"/>
      <c r="X1862" s="4"/>
      <c r="Y1862" s="4"/>
      <c r="Z1862" s="4"/>
      <c r="AA1862" s="4"/>
      <c r="AB1862" s="380" t="str">
        <f>VLOOKUP($B1862,'D7 - NDB Impacted SPRF''s'!$E$6:$O$9929,4,FALSE)</f>
        <v>Completed</v>
      </c>
      <c r="AC1862" s="380" t="str">
        <f>VLOOKUP($B1862,'D7 - NDB Impacted SPRF''s'!$E$6:$O$9929,3,FALSE)</f>
        <v>UnitedHealthcare Medicare &amp; Retirement</v>
      </c>
      <c r="AD1862" s="380" t="str">
        <f>VLOOKUP($B1862,'D7 - NDB Impacted SPRF''s'!$E$6:$O$9929,5,FALSE)</f>
        <v>Operational Requirements</v>
      </c>
      <c r="AE1862" s="380" t="str">
        <f>VLOOKUP($B1862,'D7 - NDB Impacted SPRF''s'!$E$6:$O$9929,7,FALSE)</f>
        <v>Heather Selseth</v>
      </c>
      <c r="AF1862" s="380" t="str">
        <f>VLOOKUP($B1862,'D7 - NDB Impacted SPRF''s'!$E$6:$O$9929,6,FALSE)</f>
        <v>Jessica Ayers</v>
      </c>
      <c r="AG1862" s="282"/>
      <c r="AH1862" s="311" t="e">
        <f>INDEX('D5 - Gatekeeper - Projects'!$A$4:$AF$1010,$AM1862, 17)</f>
        <v>#N/A</v>
      </c>
      <c r="AI1862" s="8"/>
      <c r="AJ1862" s="57"/>
      <c r="AK1862" s="105"/>
      <c r="AM1862" s="6" t="e">
        <f>MATCH(D1862,'D5 - Gatekeeper - Projects'!$C$4:$C$1010,0)</f>
        <v>#N/A</v>
      </c>
      <c r="AN1862" s="6" t="b">
        <f t="shared" si="196"/>
        <v>1</v>
      </c>
      <c r="AO1862" s="6" t="str">
        <f t="shared" si="199"/>
        <v>OK</v>
      </c>
      <c r="AQ1862" s="6" t="e">
        <f>MATCH($D1862,'D4 - Provider Council Unsched'!$C$11:$C$234,0)</f>
        <v>#N/A</v>
      </c>
      <c r="AR1862" s="6" t="b">
        <f t="shared" si="197"/>
        <v>1</v>
      </c>
      <c r="AS1862" s="6" t="str">
        <f t="shared" si="201"/>
        <v>OK</v>
      </c>
      <c r="AU1862" s="202"/>
      <c r="AV1862" s="262"/>
      <c r="AW1862" s="274"/>
    </row>
    <row r="1863" spans="1:49" s="13" customFormat="1" ht="33.75" x14ac:dyDescent="0.2">
      <c r="A1863" s="14">
        <v>1839</v>
      </c>
      <c r="B1863" s="8">
        <v>400057081</v>
      </c>
      <c r="C1863" s="8" t="s">
        <v>1447</v>
      </c>
      <c r="D1863" s="4" t="str">
        <f t="shared" si="200"/>
        <v>400057081A</v>
      </c>
      <c r="E1863" s="309" t="str">
        <f>VLOOKUP($B1863,'D7 - NDB Impacted SPRF''s'!$E$6:$O$9929,2,FALSE)</f>
        <v>myHCE Group Search</v>
      </c>
      <c r="F1863" s="8"/>
      <c r="G1863" s="8" t="s">
        <v>4758</v>
      </c>
      <c r="H1863" s="8" t="s">
        <v>4246</v>
      </c>
      <c r="I1863" s="20">
        <v>0.77</v>
      </c>
      <c r="J1863" s="8" t="s">
        <v>4862</v>
      </c>
      <c r="K1863" s="182">
        <v>41356</v>
      </c>
      <c r="L1863" s="8" t="s">
        <v>4156</v>
      </c>
      <c r="M1863" s="8" t="s">
        <v>6688</v>
      </c>
      <c r="N1863" s="38" t="s">
        <v>7</v>
      </c>
      <c r="O1863" s="8"/>
      <c r="P1863" s="4" t="str">
        <f>VLOOKUP($B1863,'D7 - NDB Impacted SPRF''s'!$E$16:$O$9929,9,FALSE)</f>
        <v>N</v>
      </c>
      <c r="Q1863" s="4" t="str">
        <f>VLOOKUP($B1863,'D7 - NDB Impacted SPRF''s'!$E$16:$O$9929,10,FALSE)</f>
        <v>N</v>
      </c>
      <c r="R1863" s="4" t="str">
        <f>VLOOKUP($B1863,'D7 - NDB Impacted SPRF''s'!$E$16:$O$9929,11,FALSE)</f>
        <v>N</v>
      </c>
      <c r="S1863" s="8"/>
      <c r="T1863" s="310"/>
      <c r="U1863" s="310"/>
      <c r="V1863" s="4"/>
      <c r="W1863" s="4"/>
      <c r="X1863" s="4"/>
      <c r="Y1863" s="4"/>
      <c r="Z1863" s="4"/>
      <c r="AA1863" s="4"/>
      <c r="AB1863" s="380" t="str">
        <f>VLOOKUP($B1863,'D7 - NDB Impacted SPRF''s'!$E$6:$O$9929,4,FALSE)</f>
        <v>In Estimating</v>
      </c>
      <c r="AC1863" s="380" t="str">
        <f>VLOOKUP($B1863,'D7 - NDB Impacted SPRF''s'!$E$6:$O$9929,3,FALSE)</f>
        <v>UnitedHealthcare Employer &amp; Individual</v>
      </c>
      <c r="AD1863" s="380" t="str">
        <f>VLOOKUP($B1863,'D7 - NDB Impacted SPRF''s'!$E$6:$O$9929,5,FALSE)</f>
        <v>Membership Growth / Revenue Programs</v>
      </c>
      <c r="AE1863" s="380" t="str">
        <f>VLOOKUP($B1863,'D7 - NDB Impacted SPRF''s'!$E$6:$O$9929,7,FALSE)</f>
        <v>Victoria Bogatyrenko</v>
      </c>
      <c r="AF1863" s="380" t="str">
        <f>VLOOKUP($B1863,'D7 - NDB Impacted SPRF''s'!$E$6:$O$9929,6,FALSE)</f>
        <v>Kari Mclarty</v>
      </c>
      <c r="AG1863" s="282"/>
      <c r="AH1863" s="311" t="e">
        <f>INDEX('D5 - Gatekeeper - Projects'!$A$4:$AF$1010,$AM1863, 17)</f>
        <v>#N/A</v>
      </c>
      <c r="AI1863" s="8"/>
      <c r="AJ1863" s="57"/>
      <c r="AK1863" s="105"/>
      <c r="AM1863" s="6" t="e">
        <f>MATCH(D1863,'D5 - Gatekeeper - Projects'!$C$4:$C$1010,0)</f>
        <v>#N/A</v>
      </c>
      <c r="AN1863" s="6" t="b">
        <f t="shared" si="196"/>
        <v>1</v>
      </c>
      <c r="AO1863" s="6" t="str">
        <f t="shared" si="199"/>
        <v>OK</v>
      </c>
      <c r="AQ1863" s="6" t="e">
        <f>MATCH($D1863,'D4 - Provider Council Unsched'!$C$11:$C$234,0)</f>
        <v>#N/A</v>
      </c>
      <c r="AR1863" s="6" t="b">
        <f t="shared" si="197"/>
        <v>1</v>
      </c>
      <c r="AS1863" s="6" t="str">
        <f t="shared" si="201"/>
        <v>OK</v>
      </c>
      <c r="AU1863" s="202">
        <v>41298</v>
      </c>
      <c r="AV1863" s="322" t="s">
        <v>1139</v>
      </c>
      <c r="AW1863" s="274"/>
    </row>
    <row r="1864" spans="1:49" s="13" customFormat="1" ht="11.25" customHeight="1" x14ac:dyDescent="0.2">
      <c r="A1864" s="14">
        <v>1840</v>
      </c>
      <c r="B1864" s="14">
        <v>400057864</v>
      </c>
      <c r="C1864" s="8" t="s">
        <v>1447</v>
      </c>
      <c r="D1864" s="4" t="str">
        <f t="shared" si="200"/>
        <v>400057864A</v>
      </c>
      <c r="E1864" s="309" t="str">
        <f>VLOOKUP($B1864,'D7 - NDB Impacted SPRF''s'!$E$6:$O$9929,2,FALSE)</f>
        <v>Villages &amp; Preferred Care Partners Bus. Migration</v>
      </c>
      <c r="F1864" s="8"/>
      <c r="G1864" s="8" t="s">
        <v>4758</v>
      </c>
      <c r="H1864" s="8" t="s">
        <v>4246</v>
      </c>
      <c r="I1864" s="20">
        <v>1.03</v>
      </c>
      <c r="J1864" s="8" t="s">
        <v>4862</v>
      </c>
      <c r="K1864" s="182">
        <v>41356</v>
      </c>
      <c r="L1864" s="8" t="s">
        <v>4156</v>
      </c>
      <c r="M1864" s="8" t="s">
        <v>6688</v>
      </c>
      <c r="N1864" s="38"/>
      <c r="O1864" s="8"/>
      <c r="P1864" s="4" t="str">
        <f>VLOOKUP($B1864,'D7 - NDB Impacted SPRF''s'!$E$16:$O$9929,9,FALSE)</f>
        <v>N</v>
      </c>
      <c r="Q1864" s="4" t="str">
        <f>VLOOKUP($B1864,'D7 - NDB Impacted SPRF''s'!$E$16:$O$9929,10,FALSE)</f>
        <v>N</v>
      </c>
      <c r="R1864" s="4" t="str">
        <f>VLOOKUP($B1864,'D7 - NDB Impacted SPRF''s'!$E$16:$O$9929,11,FALSE)</f>
        <v>N</v>
      </c>
      <c r="S1864" s="8"/>
      <c r="T1864" s="310"/>
      <c r="U1864" s="310"/>
      <c r="V1864" s="4"/>
      <c r="W1864" s="4"/>
      <c r="X1864" s="4"/>
      <c r="Y1864" s="4"/>
      <c r="Z1864" s="4"/>
      <c r="AA1864" s="4"/>
      <c r="AB1864" s="380" t="str">
        <f>VLOOKUP($B1864,'D7 - NDB Impacted SPRF''s'!$E$6:$O$9929,4,FALSE)</f>
        <v>Completed</v>
      </c>
      <c r="AC1864" s="380" t="str">
        <f>VLOOKUP($B1864,'D7 - NDB Impacted SPRF''s'!$E$6:$O$9929,3,FALSE)</f>
        <v>UnitedHealthcare Medicare &amp; Retirement</v>
      </c>
      <c r="AD1864" s="380" t="str">
        <f>VLOOKUP($B1864,'D7 - NDB Impacted SPRF''s'!$E$6:$O$9929,5,FALSE)</f>
        <v>Membership Growth / Revenue Programs</v>
      </c>
      <c r="AE1864" s="380" t="str">
        <f>VLOOKUP($B1864,'D7 - NDB Impacted SPRF''s'!$E$6:$O$9929,7,FALSE)</f>
        <v>Heather Selseth/Margarita Ferrari</v>
      </c>
      <c r="AF1864" s="380" t="str">
        <f>VLOOKUP($B1864,'D7 - NDB Impacted SPRF''s'!$E$6:$O$9929,6,FALSE)</f>
        <v>Jessica Ayers</v>
      </c>
      <c r="AG1864" s="282"/>
      <c r="AH1864" s="311" t="e">
        <f>INDEX('D5 - Gatekeeper - Projects'!$A$4:$AF$1010,$AM1864, 17)</f>
        <v>#N/A</v>
      </c>
      <c r="AI1864" s="8"/>
      <c r="AJ1864" s="57"/>
      <c r="AK1864" s="105"/>
      <c r="AM1864" s="6" t="e">
        <f>MATCH(D1864,'D5 - Gatekeeper - Projects'!$C$4:$C$1010,0)</f>
        <v>#N/A</v>
      </c>
      <c r="AN1864" s="6" t="b">
        <f t="shared" si="196"/>
        <v>1</v>
      </c>
      <c r="AO1864" s="6" t="str">
        <f t="shared" si="199"/>
        <v>OK</v>
      </c>
      <c r="AQ1864" s="6" t="e">
        <f>MATCH($D1864,'D4 - Provider Council Unsched'!$C$11:$C$234,0)</f>
        <v>#N/A</v>
      </c>
      <c r="AR1864" s="6" t="b">
        <f t="shared" si="197"/>
        <v>1</v>
      </c>
      <c r="AS1864" s="6" t="str">
        <f t="shared" si="201"/>
        <v>OK</v>
      </c>
      <c r="AU1864" s="202">
        <v>41326</v>
      </c>
      <c r="AV1864" s="262" t="s">
        <v>8238</v>
      </c>
      <c r="AW1864" s="274"/>
    </row>
    <row r="1865" spans="1:49" s="13" customFormat="1" ht="22.5" x14ac:dyDescent="0.2">
      <c r="A1865" s="14">
        <v>1841</v>
      </c>
      <c r="B1865" s="8">
        <v>400055211</v>
      </c>
      <c r="C1865" s="8" t="s">
        <v>1447</v>
      </c>
      <c r="D1865" s="4" t="str">
        <f t="shared" si="200"/>
        <v>400055211A</v>
      </c>
      <c r="E1865" s="309" t="str">
        <f>VLOOKUP($B1865,'D7 - NDB Impacted SPRF''s'!$E$6:$O$9929,2,FALSE)</f>
        <v>Optum Integrated Service Platform (OISP)</v>
      </c>
      <c r="F1865" s="8"/>
      <c r="G1865" s="8" t="s">
        <v>4758</v>
      </c>
      <c r="H1865" s="8" t="s">
        <v>4246</v>
      </c>
      <c r="I1865" s="20">
        <v>0.23</v>
      </c>
      <c r="J1865" s="8" t="s">
        <v>4862</v>
      </c>
      <c r="K1865" s="182">
        <v>41412</v>
      </c>
      <c r="L1865" s="8" t="s">
        <v>4156</v>
      </c>
      <c r="M1865" s="8" t="s">
        <v>6688</v>
      </c>
      <c r="N1865" s="38" t="s">
        <v>9199</v>
      </c>
      <c r="O1865" s="8"/>
      <c r="P1865" s="4" t="str">
        <f>VLOOKUP($B1865,'D7 - NDB Impacted SPRF''s'!$E$16:$O$9929,9,FALSE)</f>
        <v>N</v>
      </c>
      <c r="Q1865" s="4" t="str">
        <f>VLOOKUP($B1865,'D7 - NDB Impacted SPRF''s'!$E$16:$O$9929,10,FALSE)</f>
        <v>N</v>
      </c>
      <c r="R1865" s="4" t="str">
        <f>VLOOKUP($B1865,'D7 - NDB Impacted SPRF''s'!$E$16:$O$9929,11,FALSE)</f>
        <v>N</v>
      </c>
      <c r="S1865" s="8"/>
      <c r="T1865" s="310"/>
      <c r="U1865" s="310"/>
      <c r="V1865" s="4"/>
      <c r="W1865" s="4"/>
      <c r="X1865" s="4"/>
      <c r="Y1865" s="4"/>
      <c r="Z1865" s="4"/>
      <c r="AA1865" s="4"/>
      <c r="AB1865" s="380" t="str">
        <f>VLOOKUP($B1865,'D7 - NDB Impacted SPRF''s'!$E$6:$O$9929,4,FALSE)</f>
        <v>Completed</v>
      </c>
      <c r="AC1865" s="380" t="str">
        <f>VLOOKUP($B1865,'D7 - NDB Impacted SPRF''s'!$E$6:$O$9929,3,FALSE)</f>
        <v>Optum</v>
      </c>
      <c r="AD1865" s="380" t="str">
        <f>VLOOKUP($B1865,'D7 - NDB Impacted SPRF''s'!$E$6:$O$9929,5,FALSE)</f>
        <v>Optum</v>
      </c>
      <c r="AE1865" s="380" t="str">
        <f>VLOOKUP($B1865,'D7 - NDB Impacted SPRF''s'!$E$6:$O$9929,7,FALSE)</f>
        <v>John Prince</v>
      </c>
      <c r="AF1865" s="380" t="str">
        <f>VLOOKUP($B1865,'D7 - NDB Impacted SPRF''s'!$E$6:$O$9929,6,FALSE)</f>
        <v>Shannon Goyette</v>
      </c>
      <c r="AG1865" s="282"/>
      <c r="AH1865" s="311" t="e">
        <f>INDEX('D5 - Gatekeeper - Projects'!$A$4:$AF$1010,$AM1865, 17)</f>
        <v>#N/A</v>
      </c>
      <c r="AI1865" s="8"/>
      <c r="AJ1865" s="57"/>
      <c r="AK1865" s="105"/>
      <c r="AM1865" s="6" t="e">
        <f>MATCH(D1865,'D5 - Gatekeeper - Projects'!$C$4:$C$1010,0)</f>
        <v>#N/A</v>
      </c>
      <c r="AN1865" s="6" t="b">
        <f t="shared" si="196"/>
        <v>1</v>
      </c>
      <c r="AO1865" s="6" t="str">
        <f t="shared" si="199"/>
        <v>OK</v>
      </c>
      <c r="AQ1865" s="6" t="e">
        <f>MATCH($D1865,'D4 - Provider Council Unsched'!$C$11:$C$234,0)</f>
        <v>#N/A</v>
      </c>
      <c r="AR1865" s="6" t="b">
        <f t="shared" si="197"/>
        <v>1</v>
      </c>
      <c r="AS1865" s="6" t="str">
        <f t="shared" si="201"/>
        <v>OK</v>
      </c>
      <c r="AU1865" s="202">
        <v>41412</v>
      </c>
      <c r="AV1865" s="329" t="s">
        <v>9114</v>
      </c>
      <c r="AW1865" s="274"/>
    </row>
    <row r="1866" spans="1:49" s="13" customFormat="1" ht="146.25" x14ac:dyDescent="0.2">
      <c r="A1866" s="14">
        <v>1842</v>
      </c>
      <c r="B1866" s="8">
        <v>400053105</v>
      </c>
      <c r="C1866" s="8" t="s">
        <v>7290</v>
      </c>
      <c r="D1866" s="4" t="str">
        <f t="shared" si="200"/>
        <v>400053105B</v>
      </c>
      <c r="E1866" s="309" t="str">
        <f>VLOOKUP($B1866,'D7 - NDB Impacted SPRF''s'!$E$6:$O$9929,2,FALSE)</f>
        <v xml:space="preserve">UMR myHCE integration </v>
      </c>
      <c r="F1866" s="8"/>
      <c r="G1866" s="8" t="s">
        <v>4758</v>
      </c>
      <c r="H1866" s="8" t="s">
        <v>4246</v>
      </c>
      <c r="I1866" s="20">
        <v>50.72</v>
      </c>
      <c r="J1866" s="8" t="s">
        <v>4862</v>
      </c>
      <c r="K1866" s="182">
        <v>41447</v>
      </c>
      <c r="L1866" s="8" t="s">
        <v>4156</v>
      </c>
      <c r="M1866" s="8" t="s">
        <v>2814</v>
      </c>
      <c r="N1866" s="38" t="s">
        <v>9023</v>
      </c>
      <c r="O1866" s="8"/>
      <c r="P1866" s="4" t="str">
        <f>VLOOKUP($B1866,'D7 - NDB Impacted SPRF''s'!$E$16:$O$9929,9,FALSE)</f>
        <v>N</v>
      </c>
      <c r="Q1866" s="4" t="str">
        <f>VLOOKUP($B1866,'D7 - NDB Impacted SPRF''s'!$E$16:$O$9929,10,FALSE)</f>
        <v>N</v>
      </c>
      <c r="R1866" s="4" t="str">
        <f>VLOOKUP($B1866,'D7 - NDB Impacted SPRF''s'!$E$16:$O$9929,11,FALSE)</f>
        <v>N</v>
      </c>
      <c r="S1866" s="8"/>
      <c r="T1866" s="310"/>
      <c r="U1866" s="310"/>
      <c r="V1866" s="4"/>
      <c r="W1866" s="4"/>
      <c r="X1866" s="4"/>
      <c r="Y1866" s="4"/>
      <c r="Z1866" s="4"/>
      <c r="AA1866" s="4"/>
      <c r="AB1866" s="380" t="str">
        <f>VLOOKUP($B1866,'D7 - NDB Impacted SPRF''s'!$E$6:$O$9929,4,FALSE)</f>
        <v>In Strategy Council</v>
      </c>
      <c r="AC1866" s="380" t="str">
        <f>VLOOKUP($B1866,'D7 - NDB Impacted SPRF''s'!$E$6:$O$9929,3,FALSE)</f>
        <v>UnitedHealthcare Employer &amp; Individual</v>
      </c>
      <c r="AD1866" s="380" t="str">
        <f>VLOOKUP($B1866,'D7 - NDB Impacted SPRF''s'!$E$6:$O$9929,5,FALSE)</f>
        <v>Membership Growth / Revenue Programs</v>
      </c>
      <c r="AE1866" s="380" t="str">
        <f>VLOOKUP($B1866,'D7 - NDB Impacted SPRF''s'!$E$6:$O$9929,7,FALSE)</f>
        <v>Stephanie Elliot</v>
      </c>
      <c r="AF1866" s="380" t="str">
        <f>VLOOKUP($B1866,'D7 - NDB Impacted SPRF''s'!$E$6:$O$9929,6,FALSE)</f>
        <v>Kari Mclarty</v>
      </c>
      <c r="AG1866" s="282"/>
      <c r="AH1866" s="311" t="e">
        <f>INDEX('D5 - Gatekeeper - Projects'!$A$4:$AF$1010,$AM1866, 17)</f>
        <v>#N/A</v>
      </c>
      <c r="AI1866" s="8"/>
      <c r="AJ1866" s="57"/>
      <c r="AK1866" s="105"/>
      <c r="AM1866" s="6" t="e">
        <f>MATCH(D1866,'D5 - Gatekeeper - Projects'!$C$4:$C$1010,0)</f>
        <v>#N/A</v>
      </c>
      <c r="AN1866" s="6" t="b">
        <f t="shared" si="196"/>
        <v>1</v>
      </c>
      <c r="AO1866" s="6" t="str">
        <f t="shared" si="199"/>
        <v>OK</v>
      </c>
      <c r="AQ1866" s="6" t="e">
        <f>MATCH($D1866,'D4 - Provider Council Unsched'!$C$11:$C$234,0)</f>
        <v>#N/A</v>
      </c>
      <c r="AR1866" s="6" t="b">
        <f t="shared" si="197"/>
        <v>1</v>
      </c>
      <c r="AS1866" s="6" t="str">
        <f t="shared" si="201"/>
        <v>OK</v>
      </c>
      <c r="AU1866" s="202">
        <v>41173</v>
      </c>
      <c r="AV1866" s="262" t="s">
        <v>49</v>
      </c>
      <c r="AW1866" s="274">
        <v>64667</v>
      </c>
    </row>
    <row r="1867" spans="1:49" s="13" customFormat="1" ht="45" x14ac:dyDescent="0.2">
      <c r="A1867" s="14">
        <v>1843</v>
      </c>
      <c r="B1867" s="8">
        <v>400053105</v>
      </c>
      <c r="C1867" s="8" t="s">
        <v>8138</v>
      </c>
      <c r="D1867" s="4" t="str">
        <f t="shared" si="200"/>
        <v>400053105UA</v>
      </c>
      <c r="E1867" s="309" t="str">
        <f>VLOOKUP($B1867,'D7 - NDB Impacted SPRF''s'!$E$6:$O$9929,2,FALSE)</f>
        <v xml:space="preserve">UMR myHCE integration </v>
      </c>
      <c r="F1867" s="8"/>
      <c r="G1867" s="8" t="s">
        <v>4758</v>
      </c>
      <c r="H1867" s="8" t="s">
        <v>4246</v>
      </c>
      <c r="I1867" s="20">
        <v>1.43</v>
      </c>
      <c r="J1867" s="8" t="s">
        <v>4862</v>
      </c>
      <c r="K1867" s="182">
        <v>41447</v>
      </c>
      <c r="L1867" s="8" t="s">
        <v>4156</v>
      </c>
      <c r="M1867" s="8" t="s">
        <v>2814</v>
      </c>
      <c r="N1867" s="38" t="s">
        <v>9030</v>
      </c>
      <c r="O1867" s="8"/>
      <c r="P1867" s="4" t="str">
        <f>VLOOKUP($B1867,'D7 - NDB Impacted SPRF''s'!$E$16:$O$9929,9,FALSE)</f>
        <v>N</v>
      </c>
      <c r="Q1867" s="4" t="str">
        <f>VLOOKUP($B1867,'D7 - NDB Impacted SPRF''s'!$E$16:$O$9929,10,FALSE)</f>
        <v>N</v>
      </c>
      <c r="R1867" s="4" t="str">
        <f>VLOOKUP($B1867,'D7 - NDB Impacted SPRF''s'!$E$16:$O$9929,11,FALSE)</f>
        <v>N</v>
      </c>
      <c r="S1867" s="8"/>
      <c r="T1867" s="310"/>
      <c r="U1867" s="310"/>
      <c r="V1867" s="4"/>
      <c r="W1867" s="4"/>
      <c r="X1867" s="4"/>
      <c r="Y1867" s="4"/>
      <c r="Z1867" s="4"/>
      <c r="AA1867" s="4"/>
      <c r="AB1867" s="380" t="str">
        <f>VLOOKUP($B1867,'D7 - NDB Impacted SPRF''s'!$E$6:$O$9929,4,FALSE)</f>
        <v>In Strategy Council</v>
      </c>
      <c r="AC1867" s="380" t="str">
        <f>VLOOKUP($B1867,'D7 - NDB Impacted SPRF''s'!$E$6:$O$9929,3,FALSE)</f>
        <v>UnitedHealthcare Employer &amp; Individual</v>
      </c>
      <c r="AD1867" s="380" t="str">
        <f>VLOOKUP($B1867,'D7 - NDB Impacted SPRF''s'!$E$6:$O$9929,5,FALSE)</f>
        <v>Membership Growth / Revenue Programs</v>
      </c>
      <c r="AE1867" s="380" t="str">
        <f>VLOOKUP($B1867,'D7 - NDB Impacted SPRF''s'!$E$6:$O$9929,7,FALSE)</f>
        <v>Stephanie Elliot</v>
      </c>
      <c r="AF1867" s="380" t="str">
        <f>VLOOKUP($B1867,'D7 - NDB Impacted SPRF''s'!$E$6:$O$9929,6,FALSE)</f>
        <v>Kari Mclarty</v>
      </c>
      <c r="AG1867" s="282"/>
      <c r="AH1867" s="311" t="e">
        <f>INDEX('D5 - Gatekeeper - Projects'!$A$4:$AF$1010,$AM1867, 17)</f>
        <v>#N/A</v>
      </c>
      <c r="AI1867" s="8"/>
      <c r="AJ1867" s="57"/>
      <c r="AK1867" s="105"/>
      <c r="AM1867" s="6" t="e">
        <f>MATCH(D1867,'D5 - Gatekeeper - Projects'!$C$4:$C$1010,0)</f>
        <v>#N/A</v>
      </c>
      <c r="AN1867" s="6" t="b">
        <f t="shared" si="196"/>
        <v>1</v>
      </c>
      <c r="AO1867" s="6" t="str">
        <f t="shared" si="199"/>
        <v>OK</v>
      </c>
      <c r="AQ1867" s="6" t="e">
        <f>MATCH($D1867,'D4 - Provider Council Unsched'!$C$11:$C$234,0)</f>
        <v>#N/A</v>
      </c>
      <c r="AR1867" s="6" t="b">
        <f t="shared" si="197"/>
        <v>1</v>
      </c>
      <c r="AS1867" s="6" t="str">
        <f t="shared" si="201"/>
        <v>OK</v>
      </c>
      <c r="AU1867" s="202">
        <v>41278</v>
      </c>
      <c r="AV1867" s="262" t="s">
        <v>49</v>
      </c>
      <c r="AW1867" s="274">
        <v>64667</v>
      </c>
    </row>
    <row r="1868" spans="1:49" s="13" customFormat="1" ht="33.75" x14ac:dyDescent="0.2">
      <c r="A1868" s="14">
        <v>1844</v>
      </c>
      <c r="B1868" s="14">
        <v>400003580</v>
      </c>
      <c r="C1868" s="8" t="s">
        <v>5197</v>
      </c>
      <c r="D1868" s="4" t="str">
        <f t="shared" si="200"/>
        <v>400003580R1</v>
      </c>
      <c r="E1868" s="309" t="str">
        <f>VLOOKUP($B1868,'D7 - NDB Impacted SPRF''s'!$E$6:$O$9929,2,FALSE)</f>
        <v>Claims Repricing Engine Phase 1</v>
      </c>
      <c r="F1868" s="8" t="s">
        <v>4304</v>
      </c>
      <c r="G1868" s="8" t="s">
        <v>4758</v>
      </c>
      <c r="H1868" s="8" t="s">
        <v>4246</v>
      </c>
      <c r="I1868" s="20">
        <v>18</v>
      </c>
      <c r="J1868" s="8" t="s">
        <v>4862</v>
      </c>
      <c r="K1868" s="182" t="s">
        <v>4027</v>
      </c>
      <c r="L1868" s="8" t="s">
        <v>4964</v>
      </c>
      <c r="M1868" s="8" t="s">
        <v>2814</v>
      </c>
      <c r="N1868" s="367"/>
      <c r="O1868" s="8"/>
      <c r="P1868" s="4" t="str">
        <f>VLOOKUP($B1868,'D7 - NDB Impacted SPRF''s'!$E$16:$O$9929,9,FALSE)</f>
        <v>Y</v>
      </c>
      <c r="Q1868" s="4" t="str">
        <f>VLOOKUP($B1868,'D7 - NDB Impacted SPRF''s'!$E$16:$O$9929,10,FALSE)</f>
        <v>N</v>
      </c>
      <c r="R1868" s="4" t="str">
        <f>VLOOKUP($B1868,'D7 - NDB Impacted SPRF''s'!$E$16:$O$9929,11,FALSE)</f>
        <v>N</v>
      </c>
      <c r="S1868" s="8"/>
      <c r="T1868" s="310"/>
      <c r="U1868" s="310"/>
      <c r="V1868" s="4"/>
      <c r="W1868" s="4"/>
      <c r="X1868" s="4"/>
      <c r="Y1868" s="4"/>
      <c r="Z1868" s="4"/>
      <c r="AA1868" s="4"/>
      <c r="AB1868" s="380" t="str">
        <f>VLOOKUP($B1868,'D7 - NDB Impacted SPRF''s'!$E$16:$O$9929,4,FALSE)</f>
        <v>Completed</v>
      </c>
      <c r="AC1868" s="380" t="str">
        <f>VLOOKUP($B1868,'D7 - NDB Impacted SPRF''s'!$E$16:$O$9929,3,FALSE)</f>
        <v>UnitedHealthcare Employer &amp; Individual</v>
      </c>
      <c r="AD1868" s="380" t="str">
        <f>VLOOKUP($B1868,'D7 - NDB Impacted SPRF''s'!$E$16:$O$9929,5,FALSE)</f>
        <v>Key Initiatives Group</v>
      </c>
      <c r="AE1868" s="380" t="str">
        <f>VLOOKUP($B1868,'D7 - NDB Impacted SPRF''s'!$E$16:$O$9929,7,FALSE)</f>
        <v>Mike Mikan, Dirk McMahon</v>
      </c>
      <c r="AF1868" s="380" t="str">
        <f>VLOOKUP($B1868,'D7 - NDB Impacted SPRF''s'!$E$16:$O$9929,6,FALSE)</f>
        <v>SUSAN HAMES</v>
      </c>
      <c r="AG1868" s="282"/>
      <c r="AH1868" s="311" t="e">
        <f>INDEX('D5 - Gatekeeper - Projects'!$A$4:$AF$1010,$AM1868, 17)</f>
        <v>#N/A</v>
      </c>
      <c r="AI1868" s="8"/>
      <c r="AJ1868" s="57"/>
      <c r="AK1868" s="105"/>
      <c r="AM1868" s="6" t="e">
        <f>MATCH(D1868,'D5 - Gatekeeper - Projects'!$C$4:$C$1010,0)</f>
        <v>#N/A</v>
      </c>
      <c r="AN1868" s="6" t="b">
        <f t="shared" si="196"/>
        <v>1</v>
      </c>
      <c r="AO1868" s="6" t="str">
        <f t="shared" si="199"/>
        <v>OK</v>
      </c>
      <c r="AQ1868" s="6" t="e">
        <f>MATCH($D1868,'D4 - Provider Council Unsched'!$C$11:$C$234,0)</f>
        <v>#N/A</v>
      </c>
      <c r="AR1868" s="6" t="b">
        <f t="shared" si="197"/>
        <v>1</v>
      </c>
      <c r="AS1868" s="6" t="str">
        <f t="shared" ref="AS1868:AS1899" si="202">IF(AND(H1868="2 - Not Scheduled",AR1868=TRUE),"Add","OK")</f>
        <v>OK</v>
      </c>
      <c r="AU1868" s="202"/>
      <c r="AV1868" s="262"/>
      <c r="AW1868" s="274"/>
    </row>
    <row r="1869" spans="1:49" s="13" customFormat="1" ht="22.5" x14ac:dyDescent="0.2">
      <c r="A1869" s="14">
        <v>1845</v>
      </c>
      <c r="B1869" s="14">
        <v>400003666</v>
      </c>
      <c r="C1869" s="8" t="s">
        <v>5197</v>
      </c>
      <c r="D1869" s="4" t="str">
        <f t="shared" si="200"/>
        <v>400003666R1</v>
      </c>
      <c r="E1869" s="309" t="str">
        <f>VLOOKUP($B1869,'D7 - NDB Impacted SPRF''s'!$E$6:$O$9929,2,FALSE)</f>
        <v>Multi Surg Wizard needs Provider Specialty</v>
      </c>
      <c r="F1869" s="8"/>
      <c r="G1869" s="8" t="s">
        <v>4758</v>
      </c>
      <c r="H1869" s="8" t="s">
        <v>4246</v>
      </c>
      <c r="I1869" s="20">
        <v>2.38</v>
      </c>
      <c r="J1869" s="8" t="s">
        <v>4862</v>
      </c>
      <c r="K1869" s="182" t="s">
        <v>4027</v>
      </c>
      <c r="L1869" s="8" t="s">
        <v>4964</v>
      </c>
      <c r="M1869" s="8" t="s">
        <v>2814</v>
      </c>
      <c r="N1869" s="367"/>
      <c r="O1869" s="8"/>
      <c r="P1869" s="4" t="str">
        <f>VLOOKUP($B1869,'D7 - NDB Impacted SPRF''s'!$E$16:$O$9929,9,FALSE)</f>
        <v>Y</v>
      </c>
      <c r="Q1869" s="4" t="str">
        <f>VLOOKUP($B1869,'D7 - NDB Impacted SPRF''s'!$E$16:$O$9929,10,FALSE)</f>
        <v>N</v>
      </c>
      <c r="R1869" s="4" t="str">
        <f>VLOOKUP($B1869,'D7 - NDB Impacted SPRF''s'!$E$16:$O$9929,11,FALSE)</f>
        <v>N</v>
      </c>
      <c r="S1869" s="8"/>
      <c r="T1869" s="310"/>
      <c r="U1869" s="310"/>
      <c r="V1869" s="4"/>
      <c r="W1869" s="4"/>
      <c r="X1869" s="4"/>
      <c r="Y1869" s="4"/>
      <c r="Z1869" s="4"/>
      <c r="AA1869" s="4"/>
      <c r="AB1869" s="380" t="str">
        <f>VLOOKUP($B1869,'D7 - NDB Impacted SPRF''s'!$E$16:$O$9929,4,FALSE)</f>
        <v>Completed</v>
      </c>
      <c r="AC1869" s="380" t="str">
        <f>VLOOKUP($B1869,'D7 - NDB Impacted SPRF''s'!$E$16:$O$9929,3,FALSE)</f>
        <v>Uniprise</v>
      </c>
      <c r="AD1869" s="380" t="str">
        <f>VLOOKUP($B1869,'D7 - NDB Impacted SPRF''s'!$E$16:$O$9929,5,FALSE)</f>
        <v>Uniprise Operations - Capital Projects</v>
      </c>
      <c r="AE1869" s="380" t="str">
        <f>VLOOKUP($B1869,'D7 - NDB Impacted SPRF''s'!$E$16:$O$9929,7,FALSE)</f>
        <v>Tom O'Brien</v>
      </c>
      <c r="AF1869" s="380" t="str">
        <f>VLOOKUP($B1869,'D7 - NDB Impacted SPRF''s'!$E$16:$O$9929,6,FALSE)</f>
        <v>Dale Biros</v>
      </c>
      <c r="AG1869" s="282"/>
      <c r="AH1869" s="311" t="e">
        <f>INDEX('D5 - Gatekeeper - Projects'!$A$4:$AF$1010,$AM1869, 17)</f>
        <v>#N/A</v>
      </c>
      <c r="AI1869" s="8"/>
      <c r="AJ1869" s="57"/>
      <c r="AK1869" s="105"/>
      <c r="AM1869" s="6" t="e">
        <f>MATCH(D1869,'D5 - Gatekeeper - Projects'!$C$4:$C$1010,0)</f>
        <v>#N/A</v>
      </c>
      <c r="AN1869" s="6" t="b">
        <f t="shared" si="196"/>
        <v>1</v>
      </c>
      <c r="AO1869" s="6" t="str">
        <f t="shared" si="199"/>
        <v>OK</v>
      </c>
      <c r="AQ1869" s="6" t="e">
        <f>MATCH($D1869,'D4 - Provider Council Unsched'!$C$11:$C$234,0)</f>
        <v>#N/A</v>
      </c>
      <c r="AR1869" s="6" t="b">
        <f t="shared" si="197"/>
        <v>1</v>
      </c>
      <c r="AS1869" s="6" t="str">
        <f t="shared" si="202"/>
        <v>OK</v>
      </c>
      <c r="AU1869" s="202"/>
      <c r="AV1869" s="262"/>
      <c r="AW1869" s="274"/>
    </row>
    <row r="1870" spans="1:49" s="13" customFormat="1" ht="22.5" x14ac:dyDescent="0.2">
      <c r="A1870" s="14">
        <v>1846</v>
      </c>
      <c r="B1870" s="14">
        <v>400006567</v>
      </c>
      <c r="C1870" s="8" t="s">
        <v>5197</v>
      </c>
      <c r="D1870" s="4" t="str">
        <f t="shared" si="200"/>
        <v>400006567R1</v>
      </c>
      <c r="E1870" s="309" t="str">
        <f>VLOOKUP($B1870,'D7 - NDB Impacted SPRF''s'!$E$6:$O$9929,2,FALSE)</f>
        <v>Uniprise Test Director Consolidation</v>
      </c>
      <c r="F1870" s="8" t="s">
        <v>8133</v>
      </c>
      <c r="G1870" s="8" t="s">
        <v>4758</v>
      </c>
      <c r="H1870" s="8" t="s">
        <v>4246</v>
      </c>
      <c r="I1870" s="20">
        <v>2.67</v>
      </c>
      <c r="J1870" s="8" t="s">
        <v>4862</v>
      </c>
      <c r="K1870" s="182" t="s">
        <v>4027</v>
      </c>
      <c r="L1870" s="8" t="s">
        <v>4964</v>
      </c>
      <c r="M1870" s="8" t="s">
        <v>2814</v>
      </c>
      <c r="N1870" s="367"/>
      <c r="O1870" s="8"/>
      <c r="P1870" s="4" t="str">
        <f>VLOOKUP($B1870,'D7 - NDB Impacted SPRF''s'!$E$16:$O$9929,9,FALSE)</f>
        <v>Y</v>
      </c>
      <c r="Q1870" s="4" t="str">
        <f>VLOOKUP($B1870,'D7 - NDB Impacted SPRF''s'!$E$16:$O$9929,10,FALSE)</f>
        <v>N</v>
      </c>
      <c r="R1870" s="4" t="str">
        <f>VLOOKUP($B1870,'D7 - NDB Impacted SPRF''s'!$E$16:$O$9929,11,FALSE)</f>
        <v>N</v>
      </c>
      <c r="S1870" s="8"/>
      <c r="T1870" s="310"/>
      <c r="U1870" s="310"/>
      <c r="V1870" s="4"/>
      <c r="W1870" s="4"/>
      <c r="X1870" s="4"/>
      <c r="Y1870" s="4"/>
      <c r="Z1870" s="4"/>
      <c r="AA1870" s="4"/>
      <c r="AB1870" s="380" t="str">
        <f>VLOOKUP($B1870,'D7 - NDB Impacted SPRF''s'!$E$16:$O$9929,4,FALSE)</f>
        <v>Completed</v>
      </c>
      <c r="AC1870" s="380" t="str">
        <f>VLOOKUP($B1870,'D7 - NDB Impacted SPRF''s'!$E$16:$O$9929,3,FALSE)</f>
        <v>Uniprise</v>
      </c>
      <c r="AD1870" s="380" t="str">
        <f>VLOOKUP($B1870,'D7 - NDB Impacted SPRF''s'!$E$16:$O$9929,5,FALSE)</f>
        <v>Uniprise Technologies - DDC</v>
      </c>
      <c r="AE1870" s="380" t="str">
        <f>VLOOKUP($B1870,'D7 - NDB Impacted SPRF''s'!$E$16:$O$9929,7,FALSE)</f>
        <v>Kelly Clark</v>
      </c>
      <c r="AF1870" s="380" t="str">
        <f>VLOOKUP($B1870,'D7 - NDB Impacted SPRF''s'!$E$16:$O$9929,6,FALSE)</f>
        <v>OKSANA SOKOLOVSKY</v>
      </c>
      <c r="AG1870" s="282"/>
      <c r="AH1870" s="311" t="e">
        <f>INDEX('D5 - Gatekeeper - Projects'!$A$4:$AF$1010,$AM1870, 17)</f>
        <v>#N/A</v>
      </c>
      <c r="AI1870" s="8"/>
      <c r="AJ1870" s="57"/>
      <c r="AK1870" s="105"/>
      <c r="AM1870" s="6" t="e">
        <f>MATCH(D1870,'D5 - Gatekeeper - Projects'!$C$4:$C$1010,0)</f>
        <v>#N/A</v>
      </c>
      <c r="AN1870" s="6" t="b">
        <f t="shared" si="196"/>
        <v>1</v>
      </c>
      <c r="AO1870" s="6" t="str">
        <f t="shared" si="199"/>
        <v>OK</v>
      </c>
      <c r="AQ1870" s="6" t="e">
        <f>MATCH($D1870,'D4 - Provider Council Unsched'!$C$11:$C$234,0)</f>
        <v>#N/A</v>
      </c>
      <c r="AR1870" s="6" t="b">
        <f t="shared" si="197"/>
        <v>1</v>
      </c>
      <c r="AS1870" s="6" t="str">
        <f t="shared" si="202"/>
        <v>OK</v>
      </c>
      <c r="AU1870" s="202"/>
      <c r="AV1870" s="262"/>
      <c r="AW1870" s="274"/>
    </row>
    <row r="1871" spans="1:49" s="13" customFormat="1" ht="22.5" x14ac:dyDescent="0.2">
      <c r="A1871" s="14">
        <v>1847</v>
      </c>
      <c r="B1871" s="14">
        <v>400006895</v>
      </c>
      <c r="C1871" s="8" t="s">
        <v>5197</v>
      </c>
      <c r="D1871" s="4" t="str">
        <f t="shared" si="200"/>
        <v>400006895R1</v>
      </c>
      <c r="E1871" s="309" t="str">
        <f>VLOOKUP($B1871,'D7 - NDB Impacted SPRF''s'!$E$6:$O$9929,2,FALSE)</f>
        <v>HPHC2-HPHC BPO - Analysis</v>
      </c>
      <c r="F1871" s="8" t="s">
        <v>5196</v>
      </c>
      <c r="G1871" s="8" t="s">
        <v>4758</v>
      </c>
      <c r="H1871" s="8" t="s">
        <v>4246</v>
      </c>
      <c r="I1871" s="20">
        <v>7.0000000000000007E-2</v>
      </c>
      <c r="J1871" s="8" t="s">
        <v>7113</v>
      </c>
      <c r="K1871" s="182" t="s">
        <v>4027</v>
      </c>
      <c r="L1871" s="8" t="s">
        <v>4964</v>
      </c>
      <c r="M1871" s="8" t="s">
        <v>2814</v>
      </c>
      <c r="N1871" s="367"/>
      <c r="O1871" s="8"/>
      <c r="P1871" s="4" t="str">
        <f>VLOOKUP($B1871,'D7 - NDB Impacted SPRF''s'!$E$16:$O$9929,9,FALSE)</f>
        <v>Y</v>
      </c>
      <c r="Q1871" s="4" t="str">
        <f>VLOOKUP($B1871,'D7 - NDB Impacted SPRF''s'!$E$16:$O$9929,10,FALSE)</f>
        <v>N</v>
      </c>
      <c r="R1871" s="4" t="str">
        <f>VLOOKUP($B1871,'D7 - NDB Impacted SPRF''s'!$E$16:$O$9929,11,FALSE)</f>
        <v>N</v>
      </c>
      <c r="S1871" s="8"/>
      <c r="T1871" s="310"/>
      <c r="U1871" s="310"/>
      <c r="V1871" s="4"/>
      <c r="W1871" s="4"/>
      <c r="X1871" s="4"/>
      <c r="Y1871" s="4"/>
      <c r="Z1871" s="4"/>
      <c r="AA1871" s="4"/>
      <c r="AB1871" s="380" t="str">
        <f>VLOOKUP($B1871,'D7 - NDB Impacted SPRF''s'!$E$16:$O$9929,4,FALSE)</f>
        <v>Completed</v>
      </c>
      <c r="AC1871" s="380" t="str">
        <f>VLOOKUP($B1871,'D7 - NDB Impacted SPRF''s'!$E$16:$O$9929,3,FALSE)</f>
        <v>Alliance</v>
      </c>
      <c r="AD1871" s="380" t="str">
        <f>VLOOKUP($B1871,'D7 - NDB Impacted SPRF''s'!$E$16:$O$9929,5,FALSE)</f>
        <v>Harvard Pilgrim Service Alliance</v>
      </c>
      <c r="AE1871" s="380" t="str">
        <f>VLOOKUP($B1871,'D7 - NDB Impacted SPRF''s'!$E$16:$O$9929,7,FALSE)</f>
        <v>Diane Schofield</v>
      </c>
      <c r="AF1871" s="380" t="str">
        <f>VLOOKUP($B1871,'D7 - NDB Impacted SPRF''s'!$E$16:$O$9929,6,FALSE)</f>
        <v>Tara Lund</v>
      </c>
      <c r="AG1871" s="282"/>
      <c r="AH1871" s="311" t="e">
        <f>INDEX('D5 - Gatekeeper - Projects'!$A$4:$AF$1010,$AM1871, 17)</f>
        <v>#N/A</v>
      </c>
      <c r="AI1871" s="8"/>
      <c r="AJ1871" s="57"/>
      <c r="AK1871" s="105"/>
      <c r="AM1871" s="6" t="e">
        <f>MATCH(D1871,'D5 - Gatekeeper - Projects'!$C$4:$C$1010,0)</f>
        <v>#N/A</v>
      </c>
      <c r="AN1871" s="6" t="b">
        <f t="shared" si="196"/>
        <v>1</v>
      </c>
      <c r="AO1871" s="6" t="str">
        <f t="shared" si="199"/>
        <v>OK</v>
      </c>
      <c r="AQ1871" s="6" t="e">
        <f>MATCH($D1871,'D4 - Provider Council Unsched'!$C$11:$C$234,0)</f>
        <v>#N/A</v>
      </c>
      <c r="AR1871" s="6" t="b">
        <f t="shared" si="197"/>
        <v>1</v>
      </c>
      <c r="AS1871" s="6" t="str">
        <f t="shared" si="202"/>
        <v>OK</v>
      </c>
      <c r="AU1871" s="202"/>
      <c r="AV1871" s="262"/>
      <c r="AW1871" s="274"/>
    </row>
    <row r="1872" spans="1:49" s="13" customFormat="1" x14ac:dyDescent="0.2">
      <c r="A1872" s="14">
        <v>1848</v>
      </c>
      <c r="B1872" s="14">
        <v>400006947</v>
      </c>
      <c r="C1872" s="8" t="s">
        <v>5197</v>
      </c>
      <c r="D1872" s="4" t="str">
        <f t="shared" si="200"/>
        <v>400006947R1</v>
      </c>
      <c r="E1872" s="309" t="str">
        <f>VLOOKUP($B1872,'D7 - NDB Impacted SPRF''s'!$E$6:$O$9929,2,FALSE)</f>
        <v>Medica - Passport IDT Enhancements</v>
      </c>
      <c r="F1872" s="8" t="s">
        <v>3884</v>
      </c>
      <c r="G1872" s="8" t="s">
        <v>4758</v>
      </c>
      <c r="H1872" s="8" t="s">
        <v>4246</v>
      </c>
      <c r="I1872" s="20" t="e">
        <v>#N/A</v>
      </c>
      <c r="J1872" s="8" t="e">
        <v>#N/A</v>
      </c>
      <c r="K1872" s="182" t="s">
        <v>4027</v>
      </c>
      <c r="L1872" s="8" t="s">
        <v>4964</v>
      </c>
      <c r="M1872" s="8" t="s">
        <v>2814</v>
      </c>
      <c r="N1872" s="367"/>
      <c r="O1872" s="8"/>
      <c r="P1872" s="4" t="str">
        <f>VLOOKUP($B1872,'D7 - NDB Impacted SPRF''s'!$E$16:$O$9929,9,FALSE)</f>
        <v>N</v>
      </c>
      <c r="Q1872" s="4" t="str">
        <f>VLOOKUP($B1872,'D7 - NDB Impacted SPRF''s'!$E$16:$O$9929,10,FALSE)</f>
        <v>N</v>
      </c>
      <c r="R1872" s="4" t="str">
        <f>VLOOKUP($B1872,'D7 - NDB Impacted SPRF''s'!$E$16:$O$9929,11,FALSE)</f>
        <v>N</v>
      </c>
      <c r="S1872" s="8"/>
      <c r="T1872" s="310"/>
      <c r="U1872" s="310"/>
      <c r="V1872" s="4"/>
      <c r="W1872" s="4"/>
      <c r="X1872" s="4"/>
      <c r="Y1872" s="4"/>
      <c r="Z1872" s="4"/>
      <c r="AA1872" s="4"/>
      <c r="AB1872" s="380" t="str">
        <f>VLOOKUP($B1872,'D7 - NDB Impacted SPRF''s'!$E$16:$O$9929,4,FALSE)</f>
        <v>Completed</v>
      </c>
      <c r="AC1872" s="380" t="str">
        <f>VLOOKUP($B1872,'D7 - NDB Impacted SPRF''s'!$E$16:$O$9929,3,FALSE)</f>
        <v>Uniprise</v>
      </c>
      <c r="AD1872" s="380" t="str">
        <f>VLOOKUP($B1872,'D7 - NDB Impacted SPRF''s'!$E$16:$O$9929,5,FALSE)</f>
        <v>UOS - DDC</v>
      </c>
      <c r="AE1872" s="380" t="str">
        <f>VLOOKUP($B1872,'D7 - NDB Impacted SPRF''s'!$E$16:$O$9929,7,FALSE)</f>
        <v>Joanne Houck</v>
      </c>
      <c r="AF1872" s="380" t="str">
        <f>VLOOKUP($B1872,'D7 - NDB Impacted SPRF''s'!$E$16:$O$9929,6,FALSE)</f>
        <v>Cathy Hanson</v>
      </c>
      <c r="AG1872" s="282"/>
      <c r="AH1872" s="311" t="e">
        <f>INDEX('D5 - Gatekeeper - Projects'!$A$4:$AF$1010,$AM1872, 17)</f>
        <v>#N/A</v>
      </c>
      <c r="AI1872" s="8"/>
      <c r="AJ1872" s="57"/>
      <c r="AK1872" s="105"/>
      <c r="AM1872" s="6" t="e">
        <f>MATCH(D1872,'D5 - Gatekeeper - Projects'!$C$4:$C$1010,0)</f>
        <v>#N/A</v>
      </c>
      <c r="AN1872" s="6" t="b">
        <f t="shared" si="196"/>
        <v>1</v>
      </c>
      <c r="AO1872" s="6" t="str">
        <f t="shared" si="199"/>
        <v>OK</v>
      </c>
      <c r="AQ1872" s="6" t="e">
        <f>MATCH($D1872,'D4 - Provider Council Unsched'!$C$11:$C$234,0)</f>
        <v>#N/A</v>
      </c>
      <c r="AR1872" s="6" t="b">
        <f t="shared" si="197"/>
        <v>1</v>
      </c>
      <c r="AS1872" s="6" t="str">
        <f t="shared" si="202"/>
        <v>OK</v>
      </c>
      <c r="AU1872" s="202"/>
      <c r="AV1872" s="262"/>
      <c r="AW1872" s="274"/>
    </row>
    <row r="1873" spans="1:49" s="13" customFormat="1" x14ac:dyDescent="0.2">
      <c r="A1873" s="14">
        <v>1849</v>
      </c>
      <c r="B1873" s="14">
        <v>400007826</v>
      </c>
      <c r="C1873" s="8" t="s">
        <v>5197</v>
      </c>
      <c r="D1873" s="4" t="str">
        <f t="shared" si="200"/>
        <v>400007826R1</v>
      </c>
      <c r="E1873" s="309" t="str">
        <f>VLOOKUP($B1873,'D7 - NDB Impacted SPRF''s'!$E$6:$O$9929,2,FALSE)</f>
        <v>UHG .NET Development Strategy</v>
      </c>
      <c r="F1873" s="8" t="s">
        <v>8133</v>
      </c>
      <c r="G1873" s="8" t="s">
        <v>4758</v>
      </c>
      <c r="H1873" s="8" t="s">
        <v>4246</v>
      </c>
      <c r="I1873" s="20">
        <v>0.13</v>
      </c>
      <c r="J1873" s="8" t="s">
        <v>7113</v>
      </c>
      <c r="K1873" s="182" t="s">
        <v>4027</v>
      </c>
      <c r="L1873" s="8" t="s">
        <v>4964</v>
      </c>
      <c r="M1873" s="8" t="s">
        <v>2814</v>
      </c>
      <c r="N1873" s="367"/>
      <c r="O1873" s="8"/>
      <c r="P1873" s="4" t="str">
        <f>VLOOKUP($B1873,'D7 - NDB Impacted SPRF''s'!$E$16:$O$9929,9,FALSE)</f>
        <v>N</v>
      </c>
      <c r="Q1873" s="4" t="str">
        <f>VLOOKUP($B1873,'D7 - NDB Impacted SPRF''s'!$E$16:$O$9929,10,FALSE)</f>
        <v>N</v>
      </c>
      <c r="R1873" s="4" t="str">
        <f>VLOOKUP($B1873,'D7 - NDB Impacted SPRF''s'!$E$16:$O$9929,11,FALSE)</f>
        <v>N</v>
      </c>
      <c r="S1873" s="8"/>
      <c r="T1873" s="310"/>
      <c r="U1873" s="310"/>
      <c r="V1873" s="4"/>
      <c r="W1873" s="4"/>
      <c r="X1873" s="4"/>
      <c r="Y1873" s="4"/>
      <c r="Z1873" s="4"/>
      <c r="AA1873" s="4"/>
      <c r="AB1873" s="380" t="str">
        <f>VLOOKUP($B1873,'D7 - NDB Impacted SPRF''s'!$E$16:$O$9929,4,FALSE)</f>
        <v>Completed</v>
      </c>
      <c r="AC1873" s="380" t="str">
        <f>VLOOKUP($B1873,'D7 - NDB Impacted SPRF''s'!$E$16:$O$9929,3,FALSE)</f>
        <v>Uniprise</v>
      </c>
      <c r="AD1873" s="380" t="str">
        <f>VLOOKUP($B1873,'D7 - NDB Impacted SPRF''s'!$E$16:$O$9929,5,FALSE)</f>
        <v>Uniprise Technologies - DDC</v>
      </c>
      <c r="AE1873" s="380" t="str">
        <f>VLOOKUP($B1873,'D7 - NDB Impacted SPRF''s'!$E$16:$O$9929,7,FALSE)</f>
        <v>Rod Jardine</v>
      </c>
      <c r="AF1873" s="380" t="str">
        <f>VLOOKUP($B1873,'D7 - NDB Impacted SPRF''s'!$E$16:$O$9929,6,FALSE)</f>
        <v>TASHA LEDDY</v>
      </c>
      <c r="AG1873" s="282"/>
      <c r="AH1873" s="311" t="e">
        <f>INDEX('D5 - Gatekeeper - Projects'!$A$4:$AF$1010,$AM1873, 17)</f>
        <v>#N/A</v>
      </c>
      <c r="AI1873" s="8"/>
      <c r="AJ1873" s="57"/>
      <c r="AK1873" s="105"/>
      <c r="AM1873" s="6" t="e">
        <f>MATCH(D1873,'D5 - Gatekeeper - Projects'!$C$4:$C$1010,0)</f>
        <v>#N/A</v>
      </c>
      <c r="AN1873" s="6" t="b">
        <f t="shared" ref="AN1873:AN1936" si="203">ISERROR(AM1873)</f>
        <v>1</v>
      </c>
      <c r="AO1873" s="6" t="str">
        <f t="shared" si="199"/>
        <v>OK</v>
      </c>
      <c r="AQ1873" s="6" t="e">
        <f>MATCH($D1873,'D4 - Provider Council Unsched'!$C$11:$C$234,0)</f>
        <v>#N/A</v>
      </c>
      <c r="AR1873" s="6" t="b">
        <f t="shared" ref="AR1873:AR1936" si="204">ISERROR(AQ1873)</f>
        <v>1</v>
      </c>
      <c r="AS1873" s="6" t="str">
        <f t="shared" si="202"/>
        <v>OK</v>
      </c>
      <c r="AU1873" s="202"/>
      <c r="AV1873" s="262"/>
      <c r="AW1873" s="274"/>
    </row>
    <row r="1874" spans="1:49" s="13" customFormat="1" x14ac:dyDescent="0.2">
      <c r="A1874" s="14">
        <v>1850</v>
      </c>
      <c r="B1874" s="14">
        <v>400008376</v>
      </c>
      <c r="C1874" s="8" t="s">
        <v>5197</v>
      </c>
      <c r="D1874" s="4" t="str">
        <f t="shared" si="200"/>
        <v>400008376R1</v>
      </c>
      <c r="E1874" s="309" t="str">
        <f>VLOOKUP($B1874,'D7 - NDB Impacted SPRF''s'!$E$6:$O$9929,2,FALSE)</f>
        <v>Medica - NDB data file</v>
      </c>
      <c r="F1874" s="8" t="s">
        <v>3884</v>
      </c>
      <c r="G1874" s="8" t="s">
        <v>4758</v>
      </c>
      <c r="H1874" s="8" t="s">
        <v>4246</v>
      </c>
      <c r="I1874" s="20">
        <v>0.05</v>
      </c>
      <c r="J1874" s="8" t="s">
        <v>4862</v>
      </c>
      <c r="K1874" s="182" t="s">
        <v>4027</v>
      </c>
      <c r="L1874" s="8" t="s">
        <v>4964</v>
      </c>
      <c r="M1874" s="8" t="s">
        <v>2814</v>
      </c>
      <c r="N1874" s="367"/>
      <c r="O1874" s="8"/>
      <c r="P1874" s="4" t="str">
        <f>VLOOKUP($B1874,'D7 - NDB Impacted SPRF''s'!$E$16:$O$9929,9,FALSE)</f>
        <v>N</v>
      </c>
      <c r="Q1874" s="4" t="str">
        <f>VLOOKUP($B1874,'D7 - NDB Impacted SPRF''s'!$E$16:$O$9929,10,FALSE)</f>
        <v>N</v>
      </c>
      <c r="R1874" s="4" t="str">
        <f>VLOOKUP($B1874,'D7 - NDB Impacted SPRF''s'!$E$16:$O$9929,11,FALSE)</f>
        <v>N</v>
      </c>
      <c r="S1874" s="8"/>
      <c r="T1874" s="310"/>
      <c r="U1874" s="310"/>
      <c r="V1874" s="4"/>
      <c r="W1874" s="4"/>
      <c r="X1874" s="4"/>
      <c r="Y1874" s="4"/>
      <c r="Z1874" s="4"/>
      <c r="AA1874" s="4"/>
      <c r="AB1874" s="380" t="str">
        <f>VLOOKUP($B1874,'D7 - NDB Impacted SPRF''s'!$E$16:$O$9929,4,FALSE)</f>
        <v>Completed</v>
      </c>
      <c r="AC1874" s="380" t="str">
        <f>VLOOKUP($B1874,'D7 - NDB Impacted SPRF''s'!$E$16:$O$9929,3,FALSE)</f>
        <v>Uniprise</v>
      </c>
      <c r="AD1874" s="380" t="str">
        <f>VLOOKUP($B1874,'D7 - NDB Impacted SPRF''s'!$E$16:$O$9929,5,FALSE)</f>
        <v>UOS - DDC</v>
      </c>
      <c r="AE1874" s="380" t="str">
        <f>VLOOKUP($B1874,'D7 - NDB Impacted SPRF''s'!$E$16:$O$9929,7,FALSE)</f>
        <v>Joanne Houck</v>
      </c>
      <c r="AF1874" s="380" t="str">
        <f>VLOOKUP($B1874,'D7 - NDB Impacted SPRF''s'!$E$16:$O$9929,6,FALSE)</f>
        <v>KURT SHERA</v>
      </c>
      <c r="AG1874" s="282"/>
      <c r="AH1874" s="311" t="e">
        <f>INDEX('D5 - Gatekeeper - Projects'!$A$4:$AF$1010,$AM1874, 17)</f>
        <v>#N/A</v>
      </c>
      <c r="AI1874" s="8"/>
      <c r="AJ1874" s="57"/>
      <c r="AK1874" s="105"/>
      <c r="AM1874" s="6" t="e">
        <f>MATCH(D1874,'D5 - Gatekeeper - Projects'!$C$4:$C$1010,0)</f>
        <v>#N/A</v>
      </c>
      <c r="AN1874" s="6" t="b">
        <f t="shared" si="203"/>
        <v>1</v>
      </c>
      <c r="AO1874" s="6" t="str">
        <f t="shared" ref="AO1874:AO1937" si="205">IF(AND(H1874="1 - Scheduled",AN1874=TRUE),"Add","OK")</f>
        <v>OK</v>
      </c>
      <c r="AQ1874" s="6" t="e">
        <f>MATCH($D1874,'D4 - Provider Council Unsched'!$C$11:$C$234,0)</f>
        <v>#N/A</v>
      </c>
      <c r="AR1874" s="6" t="b">
        <f t="shared" si="204"/>
        <v>1</v>
      </c>
      <c r="AS1874" s="6" t="str">
        <f t="shared" si="202"/>
        <v>OK</v>
      </c>
      <c r="AU1874" s="202"/>
      <c r="AV1874" s="262"/>
      <c r="AW1874" s="274"/>
    </row>
    <row r="1875" spans="1:49" s="13" customFormat="1" ht="22.5" x14ac:dyDescent="0.2">
      <c r="A1875" s="14">
        <v>1851</v>
      </c>
      <c r="B1875" s="14">
        <v>400009205</v>
      </c>
      <c r="C1875" s="8" t="s">
        <v>5197</v>
      </c>
      <c r="D1875" s="4" t="str">
        <f t="shared" si="200"/>
        <v>400009205R1</v>
      </c>
      <c r="E1875" s="309" t="str">
        <f>VLOOKUP($B1875,'D7 - NDB Impacted SPRF''s'!$E$6:$O$9929,2,FALSE)</f>
        <v>Personal Health Record One-Click Summary/Lab Data</v>
      </c>
      <c r="F1875" s="8"/>
      <c r="G1875" s="8" t="s">
        <v>4758</v>
      </c>
      <c r="H1875" s="8" t="s">
        <v>4246</v>
      </c>
      <c r="I1875" s="20">
        <v>1.6</v>
      </c>
      <c r="J1875" s="8" t="s">
        <v>7113</v>
      </c>
      <c r="K1875" s="182" t="s">
        <v>4027</v>
      </c>
      <c r="L1875" s="8" t="s">
        <v>4964</v>
      </c>
      <c r="M1875" s="8" t="s">
        <v>2814</v>
      </c>
      <c r="N1875" s="367"/>
      <c r="O1875" s="8"/>
      <c r="P1875" s="4" t="str">
        <f>VLOOKUP($B1875,'D7 - NDB Impacted SPRF''s'!$E$16:$O$9929,9,FALSE)</f>
        <v>N</v>
      </c>
      <c r="Q1875" s="4" t="str">
        <f>VLOOKUP($B1875,'D7 - NDB Impacted SPRF''s'!$E$16:$O$9929,10,FALSE)</f>
        <v>N</v>
      </c>
      <c r="R1875" s="4" t="str">
        <f>VLOOKUP($B1875,'D7 - NDB Impacted SPRF''s'!$E$16:$O$9929,11,FALSE)</f>
        <v>N</v>
      </c>
      <c r="S1875" s="8"/>
      <c r="T1875" s="310"/>
      <c r="U1875" s="310"/>
      <c r="V1875" s="4"/>
      <c r="W1875" s="4"/>
      <c r="X1875" s="4"/>
      <c r="Y1875" s="4"/>
      <c r="Z1875" s="4"/>
      <c r="AA1875" s="4"/>
      <c r="AB1875" s="380" t="str">
        <f>VLOOKUP($B1875,'D7 - NDB Impacted SPRF''s'!$E$16:$O$9929,4,FALSE)</f>
        <v>Completed</v>
      </c>
      <c r="AC1875" s="380" t="str">
        <f>VLOOKUP($B1875,'D7 - NDB Impacted SPRF''s'!$E$16:$O$9929,3,FALSE)</f>
        <v>UHG Corporate</v>
      </c>
      <c r="AD1875" s="380" t="str">
        <f>VLOOKUP($B1875,'D7 - NDB Impacted SPRF''s'!$E$16:$O$9929,5,FALSE)</f>
        <v>Corporate - Personal Health Record</v>
      </c>
      <c r="AE1875" s="380" t="str">
        <f>VLOOKUP($B1875,'D7 - NDB Impacted SPRF''s'!$E$16:$O$9929,7,FALSE)</f>
        <v>Steve Auerbach</v>
      </c>
      <c r="AF1875" s="380" t="str">
        <f>VLOOKUP($B1875,'D7 - NDB Impacted SPRF''s'!$E$16:$O$9929,6,FALSE)</f>
        <v>AMELIA HINRICHS</v>
      </c>
      <c r="AG1875" s="282"/>
      <c r="AH1875" s="311" t="e">
        <f>INDEX('D5 - Gatekeeper - Projects'!$A$4:$AF$1010,$AM1875, 17)</f>
        <v>#N/A</v>
      </c>
      <c r="AI1875" s="8"/>
      <c r="AJ1875" s="57"/>
      <c r="AK1875" s="105"/>
      <c r="AM1875" s="6" t="e">
        <f>MATCH(D1875,'D5 - Gatekeeper - Projects'!$C$4:$C$1010,0)</f>
        <v>#N/A</v>
      </c>
      <c r="AN1875" s="6" t="b">
        <f t="shared" si="203"/>
        <v>1</v>
      </c>
      <c r="AO1875" s="6" t="str">
        <f t="shared" si="205"/>
        <v>OK</v>
      </c>
      <c r="AQ1875" s="6" t="e">
        <f>MATCH($D1875,'D4 - Provider Council Unsched'!$C$11:$C$234,0)</f>
        <v>#N/A</v>
      </c>
      <c r="AR1875" s="6" t="b">
        <f t="shared" si="204"/>
        <v>1</v>
      </c>
      <c r="AS1875" s="6" t="str">
        <f t="shared" si="202"/>
        <v>OK</v>
      </c>
      <c r="AU1875" s="202"/>
      <c r="AV1875" s="262"/>
      <c r="AW1875" s="274"/>
    </row>
    <row r="1876" spans="1:49" s="13" customFormat="1" ht="22.5" x14ac:dyDescent="0.2">
      <c r="A1876" s="14">
        <v>1852</v>
      </c>
      <c r="B1876" s="14">
        <v>112151316</v>
      </c>
      <c r="C1876" s="8" t="s">
        <v>6291</v>
      </c>
      <c r="D1876" s="4" t="str">
        <f t="shared" si="200"/>
        <v>112151316CC03</v>
      </c>
      <c r="E1876" s="309" t="str">
        <f>VLOOKUP($B1876,'D7 - NDB Impacted SPRF''s'!$E$6:$O$9929,2,FALSE)</f>
        <v>HCPC Codes</v>
      </c>
      <c r="F1876" s="8"/>
      <c r="G1876" s="8" t="s">
        <v>4758</v>
      </c>
      <c r="H1876" s="8" t="s">
        <v>4246</v>
      </c>
      <c r="I1876" s="20"/>
      <c r="J1876" s="8"/>
      <c r="K1876" s="182"/>
      <c r="L1876" s="8" t="s">
        <v>4964</v>
      </c>
      <c r="M1876" s="8" t="s">
        <v>2814</v>
      </c>
      <c r="N1876" s="367"/>
      <c r="O1876" s="8"/>
      <c r="P1876" s="4" t="str">
        <f>VLOOKUP($B1876,'D7 - NDB Impacted SPRF''s'!$E$16:$O$9929,9,FALSE)</f>
        <v>Y</v>
      </c>
      <c r="Q1876" s="4" t="str">
        <f>VLOOKUP($B1876,'D7 - NDB Impacted SPRF''s'!$E$16:$O$9929,10,FALSE)</f>
        <v>N</v>
      </c>
      <c r="R1876" s="4" t="str">
        <f>VLOOKUP($B1876,'D7 - NDB Impacted SPRF''s'!$E$16:$O$9929,11,FALSE)</f>
        <v>N</v>
      </c>
      <c r="S1876" s="8"/>
      <c r="T1876" s="310"/>
      <c r="U1876" s="310"/>
      <c r="V1876" s="4"/>
      <c r="W1876" s="4"/>
      <c r="X1876" s="4"/>
      <c r="Y1876" s="4"/>
      <c r="Z1876" s="4"/>
      <c r="AA1876" s="4"/>
      <c r="AB1876" s="380" t="str">
        <f>VLOOKUP($B1876,'D7 - NDB Impacted SPRF''s'!$E$16:$O$9929,4,FALSE)</f>
        <v>Completed</v>
      </c>
      <c r="AC1876" s="380" t="str">
        <f>VLOOKUP($B1876,'D7 - NDB Impacted SPRF''s'!$E$16:$O$9929,3,FALSE)</f>
        <v>Uniprise</v>
      </c>
      <c r="AD1876" s="380" t="str">
        <f>VLOOKUP($B1876,'D7 - NDB Impacted SPRF''s'!$E$16:$O$9929,5,FALSE)</f>
        <v>Uniprise Operations - Capital Projects</v>
      </c>
      <c r="AE1876" s="380" t="str">
        <f>VLOOKUP($B1876,'D7 - NDB Impacted SPRF''s'!$E$16:$O$9929,7,FALSE)</f>
        <v>Donna McCart</v>
      </c>
      <c r="AF1876" s="380" t="str">
        <f>VLOOKUP($B1876,'D7 - NDB Impacted SPRF''s'!$E$16:$O$9929,6,FALSE)</f>
        <v>Janet Wright</v>
      </c>
      <c r="AG1876" s="282"/>
      <c r="AH1876" s="311" t="e">
        <f>INDEX('D5 - Gatekeeper - Projects'!$A$4:$AF$1010,$AM1876, 17)</f>
        <v>#N/A</v>
      </c>
      <c r="AI1876" s="8"/>
      <c r="AJ1876" s="57"/>
      <c r="AK1876" s="105"/>
      <c r="AM1876" s="6" t="e">
        <f>MATCH(D1876,'D5 - Gatekeeper - Projects'!$C$4:$C$1010,0)</f>
        <v>#N/A</v>
      </c>
      <c r="AN1876" s="6" t="b">
        <f t="shared" si="203"/>
        <v>1</v>
      </c>
      <c r="AO1876" s="6" t="str">
        <f t="shared" si="205"/>
        <v>OK</v>
      </c>
      <c r="AQ1876" s="6" t="e">
        <f>MATCH($D1876,'D4 - Provider Council Unsched'!$C$11:$C$234,0)</f>
        <v>#N/A</v>
      </c>
      <c r="AR1876" s="6" t="b">
        <f t="shared" si="204"/>
        <v>1</v>
      </c>
      <c r="AS1876" s="6" t="str">
        <f t="shared" si="202"/>
        <v>OK</v>
      </c>
      <c r="AU1876" s="202"/>
      <c r="AV1876" s="262"/>
      <c r="AW1876" s="275"/>
    </row>
    <row r="1877" spans="1:49" s="13" customFormat="1" ht="33.75" x14ac:dyDescent="0.2">
      <c r="A1877" s="14">
        <v>1853</v>
      </c>
      <c r="B1877" s="14">
        <v>301211340</v>
      </c>
      <c r="C1877" s="8" t="s">
        <v>5197</v>
      </c>
      <c r="D1877" s="4" t="str">
        <f t="shared" si="200"/>
        <v>301211340R1</v>
      </c>
      <c r="E1877" s="309" t="str">
        <f>VLOOKUP($B1877,'D7 - NDB Impacted SPRF''s'!$E$6:$O$9929,2,FALSE)</f>
        <v>3-Tier Benefit Plans</v>
      </c>
      <c r="F1877" s="8"/>
      <c r="G1877" s="8" t="s">
        <v>4758</v>
      </c>
      <c r="H1877" s="8" t="s">
        <v>4246</v>
      </c>
      <c r="I1877" s="20"/>
      <c r="J1877" s="8"/>
      <c r="K1877" s="182"/>
      <c r="L1877" s="8" t="s">
        <v>4964</v>
      </c>
      <c r="M1877" s="8" t="s">
        <v>2814</v>
      </c>
      <c r="N1877" s="367"/>
      <c r="O1877" s="8"/>
      <c r="P1877" s="4" t="str">
        <f>VLOOKUP($B1877,'D7 - NDB Impacted SPRF''s'!$E$16:$O$9929,9,FALSE)</f>
        <v>Y</v>
      </c>
      <c r="Q1877" s="4" t="str">
        <f>VLOOKUP($B1877,'D7 - NDB Impacted SPRF''s'!$E$16:$O$9929,10,FALSE)</f>
        <v>N</v>
      </c>
      <c r="R1877" s="4" t="str">
        <f>VLOOKUP($B1877,'D7 - NDB Impacted SPRF''s'!$E$16:$O$9929,11,FALSE)</f>
        <v>N</v>
      </c>
      <c r="S1877" s="8"/>
      <c r="T1877" s="310"/>
      <c r="U1877" s="310"/>
      <c r="V1877" s="4"/>
      <c r="W1877" s="4"/>
      <c r="X1877" s="4"/>
      <c r="Y1877" s="4"/>
      <c r="Z1877" s="4"/>
      <c r="AA1877" s="4"/>
      <c r="AB1877" s="380" t="str">
        <f>VLOOKUP($B1877,'D7 - NDB Impacted SPRF''s'!$E$16:$O$9929,4,FALSE)</f>
        <v>Completed</v>
      </c>
      <c r="AC1877" s="380" t="str">
        <f>VLOOKUP($B1877,'D7 - NDB Impacted SPRF''s'!$E$16:$O$9929,3,FALSE)</f>
        <v>UnitedHealthcare Employer &amp; Individual</v>
      </c>
      <c r="AD1877" s="380" t="str">
        <f>VLOOKUP($B1877,'D7 - NDB Impacted SPRF''s'!$E$16:$O$9929,5,FALSE)</f>
        <v>Operations Group</v>
      </c>
      <c r="AE1877" s="380" t="str">
        <f>VLOOKUP($B1877,'D7 - NDB Impacted SPRF''s'!$E$16:$O$9929,7,FALSE)</f>
        <v>John Cravero</v>
      </c>
      <c r="AF1877" s="380" t="str">
        <f>VLOOKUP($B1877,'D7 - NDB Impacted SPRF''s'!$E$16:$O$9929,6,FALSE)</f>
        <v>Jana James</v>
      </c>
      <c r="AG1877" s="282"/>
      <c r="AH1877" s="311" t="e">
        <f>INDEX('D5 - Gatekeeper - Projects'!$A$4:$AF$1010,$AM1877, 17)</f>
        <v>#N/A</v>
      </c>
      <c r="AI1877" s="8"/>
      <c r="AJ1877" s="57"/>
      <c r="AK1877" s="105"/>
      <c r="AM1877" s="6" t="e">
        <f>MATCH(D1877,'D5 - Gatekeeper - Projects'!$C$4:$C$1010,0)</f>
        <v>#N/A</v>
      </c>
      <c r="AN1877" s="6" t="b">
        <f t="shared" si="203"/>
        <v>1</v>
      </c>
      <c r="AO1877" s="6" t="str">
        <f t="shared" si="205"/>
        <v>OK</v>
      </c>
      <c r="AQ1877" s="6" t="e">
        <f>MATCH($D1877,'D4 - Provider Council Unsched'!$C$11:$C$234,0)</f>
        <v>#N/A</v>
      </c>
      <c r="AR1877" s="6" t="b">
        <f t="shared" si="204"/>
        <v>1</v>
      </c>
      <c r="AS1877" s="6" t="str">
        <f t="shared" si="202"/>
        <v>OK</v>
      </c>
      <c r="AU1877" s="202"/>
      <c r="AV1877" s="262"/>
      <c r="AW1877" s="274"/>
    </row>
    <row r="1878" spans="1:49" s="13" customFormat="1" ht="33.75" x14ac:dyDescent="0.2">
      <c r="A1878" s="14">
        <v>1854</v>
      </c>
      <c r="B1878" s="14">
        <v>400000364</v>
      </c>
      <c r="C1878" s="8" t="s">
        <v>5197</v>
      </c>
      <c r="D1878" s="4" t="str">
        <f t="shared" si="200"/>
        <v>400000364R1</v>
      </c>
      <c r="E1878" s="309" t="str">
        <f>VLOOKUP($B1878,'D7 - NDB Impacted SPRF''s'!$E$6:$O$9929,2,FALSE)</f>
        <v>OTS Enhancement-Provider Mgmt&amp;Compliance &amp;Contract</v>
      </c>
      <c r="F1878" s="8" t="s">
        <v>5096</v>
      </c>
      <c r="G1878" s="8" t="s">
        <v>4758</v>
      </c>
      <c r="H1878" s="8" t="s">
        <v>4246</v>
      </c>
      <c r="I1878" s="20"/>
      <c r="J1878" s="8"/>
      <c r="K1878" s="182"/>
      <c r="L1878" s="8" t="s">
        <v>4964</v>
      </c>
      <c r="M1878" s="8" t="s">
        <v>2814</v>
      </c>
      <c r="N1878" s="367"/>
      <c r="O1878" s="8"/>
      <c r="P1878" s="4" t="str">
        <f>VLOOKUP($B1878,'D7 - NDB Impacted SPRF''s'!$E$16:$O$9929,9,FALSE)</f>
        <v>Y</v>
      </c>
      <c r="Q1878" s="4" t="str">
        <f>VLOOKUP($B1878,'D7 - NDB Impacted SPRF''s'!$E$16:$O$9929,10,FALSE)</f>
        <v>N</v>
      </c>
      <c r="R1878" s="4" t="str">
        <f>VLOOKUP($B1878,'D7 - NDB Impacted SPRF''s'!$E$16:$O$9929,11,FALSE)</f>
        <v>N</v>
      </c>
      <c r="S1878" s="8"/>
      <c r="T1878" s="310"/>
      <c r="U1878" s="310"/>
      <c r="V1878" s="4"/>
      <c r="W1878" s="4"/>
      <c r="X1878" s="4"/>
      <c r="Y1878" s="4"/>
      <c r="Z1878" s="4"/>
      <c r="AA1878" s="4"/>
      <c r="AB1878" s="380" t="str">
        <f>VLOOKUP($B1878,'D7 - NDB Impacted SPRF''s'!$E$16:$O$9929,4,FALSE)</f>
        <v>Completed</v>
      </c>
      <c r="AC1878" s="380" t="str">
        <f>VLOOKUP($B1878,'D7 - NDB Impacted SPRF''s'!$E$16:$O$9929,3,FALSE)</f>
        <v>UnitedHealthcare Employer &amp; Individual</v>
      </c>
      <c r="AD1878" s="380" t="str">
        <f>VLOOKUP($B1878,'D7 - NDB Impacted SPRF''s'!$E$16:$O$9929,5,FALSE)</f>
        <v>Key Initiatives Group</v>
      </c>
      <c r="AE1878" s="380" t="str">
        <f>VLOOKUP($B1878,'D7 - NDB Impacted SPRF''s'!$E$16:$O$9929,7,FALSE)</f>
        <v>Tim Kaja</v>
      </c>
      <c r="AF1878" s="380" t="str">
        <f>VLOOKUP($B1878,'D7 - NDB Impacted SPRF''s'!$E$16:$O$9929,6,FALSE)</f>
        <v>SHIRLEY REYNOLDS</v>
      </c>
      <c r="AG1878" s="282"/>
      <c r="AH1878" s="311" t="e">
        <f>INDEX('D5 - Gatekeeper - Projects'!$A$4:$AF$1010,$AM1878, 17)</f>
        <v>#N/A</v>
      </c>
      <c r="AI1878" s="8"/>
      <c r="AJ1878" s="57"/>
      <c r="AK1878" s="105"/>
      <c r="AM1878" s="6" t="e">
        <f>MATCH(D1878,'D5 - Gatekeeper - Projects'!$C$4:$C$1010,0)</f>
        <v>#N/A</v>
      </c>
      <c r="AN1878" s="6" t="b">
        <f t="shared" si="203"/>
        <v>1</v>
      </c>
      <c r="AO1878" s="6" t="str">
        <f t="shared" si="205"/>
        <v>OK</v>
      </c>
      <c r="AQ1878" s="6" t="e">
        <f>MATCH($D1878,'D4 - Provider Council Unsched'!$C$11:$C$234,0)</f>
        <v>#N/A</v>
      </c>
      <c r="AR1878" s="6" t="b">
        <f t="shared" si="204"/>
        <v>1</v>
      </c>
      <c r="AS1878" s="6" t="str">
        <f t="shared" si="202"/>
        <v>OK</v>
      </c>
      <c r="AU1878" s="202"/>
      <c r="AV1878" s="262"/>
      <c r="AW1878" s="274"/>
    </row>
    <row r="1879" spans="1:49" s="13" customFormat="1" ht="22.5" x14ac:dyDescent="0.2">
      <c r="A1879" s="14">
        <v>1855</v>
      </c>
      <c r="B1879" s="14">
        <v>400000375</v>
      </c>
      <c r="C1879" s="8" t="s">
        <v>5197</v>
      </c>
      <c r="D1879" s="4" t="str">
        <f t="shared" si="200"/>
        <v>400000375R1</v>
      </c>
      <c r="E1879" s="309" t="str">
        <f>VLOOKUP($B1879,'D7 - NDB Impacted SPRF''s'!$E$6:$O$9929,2,FALSE)</f>
        <v>SIP_IDT JAD Host 2</v>
      </c>
      <c r="F1879" s="8"/>
      <c r="G1879" s="8" t="s">
        <v>4758</v>
      </c>
      <c r="H1879" s="8" t="s">
        <v>4246</v>
      </c>
      <c r="I1879" s="20"/>
      <c r="J1879" s="8"/>
      <c r="K1879" s="182"/>
      <c r="L1879" s="8" t="s">
        <v>4964</v>
      </c>
      <c r="M1879" s="8" t="s">
        <v>2814</v>
      </c>
      <c r="N1879" s="367"/>
      <c r="O1879" s="8"/>
      <c r="P1879" s="4" t="str">
        <f>VLOOKUP($B1879,'D7 - NDB Impacted SPRF''s'!$E$16:$O$9929,9,FALSE)</f>
        <v>N</v>
      </c>
      <c r="Q1879" s="4" t="str">
        <f>VLOOKUP($B1879,'D7 - NDB Impacted SPRF''s'!$E$16:$O$9929,10,FALSE)</f>
        <v>N</v>
      </c>
      <c r="R1879" s="4" t="str">
        <f>VLOOKUP($B1879,'D7 - NDB Impacted SPRF''s'!$E$16:$O$9929,11,FALSE)</f>
        <v>N</v>
      </c>
      <c r="S1879" s="8"/>
      <c r="T1879" s="310"/>
      <c r="U1879" s="310"/>
      <c r="V1879" s="4"/>
      <c r="W1879" s="4"/>
      <c r="X1879" s="4"/>
      <c r="Y1879" s="4"/>
      <c r="Z1879" s="4"/>
      <c r="AA1879" s="4"/>
      <c r="AB1879" s="380" t="str">
        <f>VLOOKUP($B1879,'D7 - NDB Impacted SPRF''s'!$E$16:$O$9929,4,FALSE)</f>
        <v>Completed</v>
      </c>
      <c r="AC1879" s="380" t="str">
        <f>VLOOKUP($B1879,'D7 - NDB Impacted SPRF''s'!$E$16:$O$9929,3,FALSE)</f>
        <v>Uniprise</v>
      </c>
      <c r="AD1879" s="380" t="str">
        <f>VLOOKUP($B1879,'D7 - NDB Impacted SPRF''s'!$E$16:$O$9929,5,FALSE)</f>
        <v>Uniprise Operations - Capital Projects</v>
      </c>
      <c r="AE1879" s="380" t="str">
        <f>VLOOKUP($B1879,'D7 - NDB Impacted SPRF''s'!$E$16:$O$9929,7,FALSE)</f>
        <v>John Reinke</v>
      </c>
      <c r="AF1879" s="380" t="str">
        <f>VLOOKUP($B1879,'D7 - NDB Impacted SPRF''s'!$E$16:$O$9929,6,FALSE)</f>
        <v>Brian McCarthy</v>
      </c>
      <c r="AG1879" s="282"/>
      <c r="AH1879" s="311" t="e">
        <f>INDEX('D5 - Gatekeeper - Projects'!$A$4:$AF$1010,$AM1879, 17)</f>
        <v>#N/A</v>
      </c>
      <c r="AI1879" s="8"/>
      <c r="AJ1879" s="57"/>
      <c r="AK1879" s="105"/>
      <c r="AM1879" s="6" t="e">
        <f>MATCH(D1879,'D5 - Gatekeeper - Projects'!$C$4:$C$1010,0)</f>
        <v>#N/A</v>
      </c>
      <c r="AN1879" s="6" t="b">
        <f t="shared" si="203"/>
        <v>1</v>
      </c>
      <c r="AO1879" s="6" t="str">
        <f t="shared" si="205"/>
        <v>OK</v>
      </c>
      <c r="AQ1879" s="6" t="e">
        <f>MATCH($D1879,'D4 - Provider Council Unsched'!$C$11:$C$234,0)</f>
        <v>#N/A</v>
      </c>
      <c r="AR1879" s="6" t="b">
        <f t="shared" si="204"/>
        <v>1</v>
      </c>
      <c r="AS1879" s="6" t="str">
        <f t="shared" si="202"/>
        <v>OK</v>
      </c>
      <c r="AU1879" s="202"/>
      <c r="AV1879" s="262"/>
      <c r="AW1879" s="274"/>
    </row>
    <row r="1880" spans="1:49" s="13" customFormat="1" ht="22.5" x14ac:dyDescent="0.2">
      <c r="A1880" s="14">
        <v>1856</v>
      </c>
      <c r="B1880" s="14">
        <v>400000463</v>
      </c>
      <c r="C1880" s="8" t="s">
        <v>5197</v>
      </c>
      <c r="D1880" s="4" t="str">
        <f t="shared" si="200"/>
        <v>400000463R1</v>
      </c>
      <c r="E1880" s="309" t="str">
        <f>VLOOKUP($B1880,'D7 - NDB Impacted SPRF''s'!$E$6:$O$9929,2,FALSE)</f>
        <v>COMET Desktop.Net Rewrite</v>
      </c>
      <c r="F1880" s="8" t="s">
        <v>5096</v>
      </c>
      <c r="G1880" s="8" t="s">
        <v>4758</v>
      </c>
      <c r="H1880" s="8" t="s">
        <v>4246</v>
      </c>
      <c r="I1880" s="20"/>
      <c r="J1880" s="8"/>
      <c r="K1880" s="182"/>
      <c r="L1880" s="8" t="s">
        <v>4964</v>
      </c>
      <c r="M1880" s="8" t="s">
        <v>2814</v>
      </c>
      <c r="N1880" s="367"/>
      <c r="O1880" s="8"/>
      <c r="P1880" s="4" t="str">
        <f>VLOOKUP($B1880,'D7 - NDB Impacted SPRF''s'!$E$16:$O$9929,9,FALSE)</f>
        <v>Y</v>
      </c>
      <c r="Q1880" s="4" t="str">
        <f>VLOOKUP($B1880,'D7 - NDB Impacted SPRF''s'!$E$16:$O$9929,10,FALSE)</f>
        <v>N</v>
      </c>
      <c r="R1880" s="4" t="str">
        <f>VLOOKUP($B1880,'D7 - NDB Impacted SPRF''s'!$E$16:$O$9929,11,FALSE)</f>
        <v>N</v>
      </c>
      <c r="S1880" s="8"/>
      <c r="T1880" s="310"/>
      <c r="U1880" s="310"/>
      <c r="V1880" s="4"/>
      <c r="W1880" s="4"/>
      <c r="X1880" s="4"/>
      <c r="Y1880" s="4"/>
      <c r="Z1880" s="4"/>
      <c r="AA1880" s="4"/>
      <c r="AB1880" s="380" t="str">
        <f>VLOOKUP($B1880,'D7 - NDB Impacted SPRF''s'!$E$16:$O$9929,4,FALSE)</f>
        <v>Completed</v>
      </c>
      <c r="AC1880" s="380" t="str">
        <f>VLOOKUP($B1880,'D7 - NDB Impacted SPRF''s'!$E$16:$O$9929,3,FALSE)</f>
        <v>Uniprise</v>
      </c>
      <c r="AD1880" s="380" t="str">
        <f>VLOOKUP($B1880,'D7 - NDB Impacted SPRF''s'!$E$16:$O$9929,5,FALSE)</f>
        <v>Uniprise Operations - Capital Projects</v>
      </c>
      <c r="AE1880" s="380" t="str">
        <f>VLOOKUP($B1880,'D7 - NDB Impacted SPRF''s'!$E$16:$O$9929,7,FALSE)</f>
        <v>John Reinke</v>
      </c>
      <c r="AF1880" s="380" t="str">
        <f>VLOOKUP($B1880,'D7 - NDB Impacted SPRF''s'!$E$16:$O$9929,6,FALSE)</f>
        <v>Peter McHenry</v>
      </c>
      <c r="AG1880" s="282"/>
      <c r="AH1880" s="311" t="e">
        <f>INDEX('D5 - Gatekeeper - Projects'!$A$4:$AF$1010,$AM1880, 17)</f>
        <v>#N/A</v>
      </c>
      <c r="AI1880" s="8"/>
      <c r="AJ1880" s="57"/>
      <c r="AK1880" s="105"/>
      <c r="AM1880" s="6" t="e">
        <f>MATCH(D1880,'D5 - Gatekeeper - Projects'!$C$4:$C$1010,0)</f>
        <v>#N/A</v>
      </c>
      <c r="AN1880" s="6" t="b">
        <f t="shared" si="203"/>
        <v>1</v>
      </c>
      <c r="AO1880" s="6" t="str">
        <f t="shared" si="205"/>
        <v>OK</v>
      </c>
      <c r="AQ1880" s="6" t="e">
        <f>MATCH($D1880,'D4 - Provider Council Unsched'!$C$11:$C$234,0)</f>
        <v>#N/A</v>
      </c>
      <c r="AR1880" s="6" t="b">
        <f t="shared" si="204"/>
        <v>1</v>
      </c>
      <c r="AS1880" s="6" t="str">
        <f t="shared" si="202"/>
        <v>OK</v>
      </c>
      <c r="AU1880" s="202"/>
      <c r="AV1880" s="262"/>
      <c r="AW1880" s="274"/>
    </row>
    <row r="1881" spans="1:49" s="13" customFormat="1" ht="33.75" x14ac:dyDescent="0.2">
      <c r="A1881" s="14">
        <v>1857</v>
      </c>
      <c r="B1881" s="14">
        <v>400000759</v>
      </c>
      <c r="C1881" s="8" t="s">
        <v>4965</v>
      </c>
      <c r="D1881" s="4" t="str">
        <f t="shared" si="200"/>
        <v>400000759CC13</v>
      </c>
      <c r="E1881" s="309" t="str">
        <f>VLOOKUP($B1881,'D7 - NDB Impacted SPRF''s'!$E$6:$O$9929,2,FALSE)</f>
        <v>Allow UHC to pay the enrollee for OON providers</v>
      </c>
      <c r="F1881" s="8" t="s">
        <v>1933</v>
      </c>
      <c r="G1881" s="8" t="s">
        <v>4758</v>
      </c>
      <c r="H1881" s="8" t="s">
        <v>4246</v>
      </c>
      <c r="I1881" s="20">
        <v>0.88</v>
      </c>
      <c r="J1881" s="8" t="s">
        <v>7113</v>
      </c>
      <c r="K1881" s="182"/>
      <c r="L1881" s="8" t="s">
        <v>4156</v>
      </c>
      <c r="M1881" s="8" t="s">
        <v>2814</v>
      </c>
      <c r="N1881" s="367" t="s">
        <v>4732</v>
      </c>
      <c r="O1881" s="8"/>
      <c r="P1881" s="4" t="str">
        <f>VLOOKUP($B1881,'D7 - NDB Impacted SPRF''s'!$E$16:$O$9929,9,FALSE)</f>
        <v>Y</v>
      </c>
      <c r="Q1881" s="4" t="str">
        <f>VLOOKUP($B1881,'D7 - NDB Impacted SPRF''s'!$E$16:$O$9929,10,FALSE)</f>
        <v>N</v>
      </c>
      <c r="R1881" s="4" t="str">
        <f>VLOOKUP($B1881,'D7 - NDB Impacted SPRF''s'!$E$16:$O$9929,11,FALSE)</f>
        <v>N</v>
      </c>
      <c r="S1881" s="8"/>
      <c r="T1881" s="310"/>
      <c r="U1881" s="310"/>
      <c r="V1881" s="4"/>
      <c r="W1881" s="4"/>
      <c r="X1881" s="4"/>
      <c r="Y1881" s="4"/>
      <c r="Z1881" s="4"/>
      <c r="AA1881" s="4"/>
      <c r="AB1881" s="380" t="str">
        <f>VLOOKUP($B1881,'D7 - NDB Impacted SPRF''s'!$E$16:$O$9929,4,FALSE)</f>
        <v>Completed</v>
      </c>
      <c r="AC1881" s="380" t="str">
        <f>VLOOKUP($B1881,'D7 - NDB Impacted SPRF''s'!$E$16:$O$9929,3,FALSE)</f>
        <v>UnitedHealthcare Employer &amp; Individual</v>
      </c>
      <c r="AD1881" s="380" t="str">
        <f>VLOOKUP($B1881,'D7 - NDB Impacted SPRF''s'!$E$16:$O$9929,5,FALSE)</f>
        <v>Key Initiatives Group</v>
      </c>
      <c r="AE1881" s="380" t="str">
        <f>VLOOKUP($B1881,'D7 - NDB Impacted SPRF''s'!$E$16:$O$9929,7,FALSE)</f>
        <v>Ed Novinski</v>
      </c>
      <c r="AF1881" s="380" t="str">
        <f>VLOOKUP($B1881,'D7 - NDB Impacted SPRF''s'!$E$16:$O$9929,6,FALSE)</f>
        <v>SHIRLEY REYNOLDS</v>
      </c>
      <c r="AG1881" s="282" t="s">
        <v>7755</v>
      </c>
      <c r="AH1881" s="311" t="e">
        <f>INDEX('D5 - Gatekeeper - Projects'!$A$4:$AF$1010,$AM1881, 17)</f>
        <v>#N/A</v>
      </c>
      <c r="AI1881" s="8"/>
      <c r="AJ1881" s="57"/>
      <c r="AK1881" s="105"/>
      <c r="AM1881" s="6" t="e">
        <f>MATCH(D1881,'D5 - Gatekeeper - Projects'!$C$4:$C$1010,0)</f>
        <v>#N/A</v>
      </c>
      <c r="AN1881" s="6" t="b">
        <f t="shared" si="203"/>
        <v>1</v>
      </c>
      <c r="AO1881" s="6" t="str">
        <f t="shared" si="205"/>
        <v>OK</v>
      </c>
      <c r="AQ1881" s="6" t="e">
        <f>MATCH($D1881,'D4 - Provider Council Unsched'!$C$11:$C$234,0)</f>
        <v>#N/A</v>
      </c>
      <c r="AR1881" s="6" t="b">
        <f t="shared" si="204"/>
        <v>1</v>
      </c>
      <c r="AS1881" s="6" t="str">
        <f t="shared" si="202"/>
        <v>OK</v>
      </c>
      <c r="AU1881" s="202"/>
      <c r="AV1881" s="262"/>
      <c r="AW1881" s="274"/>
    </row>
    <row r="1882" spans="1:49" s="13" customFormat="1" ht="33.75" x14ac:dyDescent="0.2">
      <c r="A1882" s="14">
        <v>1858</v>
      </c>
      <c r="B1882" s="14">
        <v>400000759</v>
      </c>
      <c r="C1882" s="8" t="s">
        <v>5976</v>
      </c>
      <c r="D1882" s="4" t="str">
        <f t="shared" si="200"/>
        <v>400000759CC14</v>
      </c>
      <c r="E1882" s="309" t="str">
        <f>VLOOKUP($B1882,'D7 - NDB Impacted SPRF''s'!$E$6:$O$9929,2,FALSE)</f>
        <v>Allow UHC to pay the enrollee for OON providers</v>
      </c>
      <c r="F1882" s="8" t="s">
        <v>1933</v>
      </c>
      <c r="G1882" s="8" t="s">
        <v>4758</v>
      </c>
      <c r="H1882" s="8" t="s">
        <v>4246</v>
      </c>
      <c r="I1882" s="20">
        <v>0.88</v>
      </c>
      <c r="J1882" s="8" t="s">
        <v>7113</v>
      </c>
      <c r="K1882" s="182"/>
      <c r="L1882" s="8" t="s">
        <v>4156</v>
      </c>
      <c r="M1882" s="8" t="s">
        <v>2814</v>
      </c>
      <c r="N1882" s="367" t="s">
        <v>4732</v>
      </c>
      <c r="O1882" s="8"/>
      <c r="P1882" s="4" t="str">
        <f>VLOOKUP($B1882,'D7 - NDB Impacted SPRF''s'!$E$16:$O$9929,9,FALSE)</f>
        <v>Y</v>
      </c>
      <c r="Q1882" s="4" t="str">
        <f>VLOOKUP($B1882,'D7 - NDB Impacted SPRF''s'!$E$16:$O$9929,10,FALSE)</f>
        <v>N</v>
      </c>
      <c r="R1882" s="4" t="str">
        <f>VLOOKUP($B1882,'D7 - NDB Impacted SPRF''s'!$E$16:$O$9929,11,FALSE)</f>
        <v>N</v>
      </c>
      <c r="S1882" s="8"/>
      <c r="T1882" s="310"/>
      <c r="U1882" s="310"/>
      <c r="V1882" s="4"/>
      <c r="W1882" s="4"/>
      <c r="X1882" s="4"/>
      <c r="Y1882" s="4"/>
      <c r="Z1882" s="4"/>
      <c r="AA1882" s="4"/>
      <c r="AB1882" s="380" t="str">
        <f>VLOOKUP($B1882,'D7 - NDB Impacted SPRF''s'!$E$16:$O$9929,4,FALSE)</f>
        <v>Completed</v>
      </c>
      <c r="AC1882" s="380" t="str">
        <f>VLOOKUP($B1882,'D7 - NDB Impacted SPRF''s'!$E$16:$O$9929,3,FALSE)</f>
        <v>UnitedHealthcare Employer &amp; Individual</v>
      </c>
      <c r="AD1882" s="380" t="str">
        <f>VLOOKUP($B1882,'D7 - NDB Impacted SPRF''s'!$E$16:$O$9929,5,FALSE)</f>
        <v>Key Initiatives Group</v>
      </c>
      <c r="AE1882" s="380" t="str">
        <f>VLOOKUP($B1882,'D7 - NDB Impacted SPRF''s'!$E$16:$O$9929,7,FALSE)</f>
        <v>Ed Novinski</v>
      </c>
      <c r="AF1882" s="380" t="str">
        <f>VLOOKUP($B1882,'D7 - NDB Impacted SPRF''s'!$E$16:$O$9929,6,FALSE)</f>
        <v>SHIRLEY REYNOLDS</v>
      </c>
      <c r="AG1882" s="282" t="s">
        <v>7755</v>
      </c>
      <c r="AH1882" s="311" t="e">
        <f>INDEX('D5 - Gatekeeper - Projects'!$A$4:$AF$1010,$AM1882, 17)</f>
        <v>#N/A</v>
      </c>
      <c r="AI1882" s="8"/>
      <c r="AJ1882" s="57"/>
      <c r="AK1882" s="105"/>
      <c r="AM1882" s="6" t="e">
        <f>MATCH(D1882,'D5 - Gatekeeper - Projects'!$C$4:$C$1010,0)</f>
        <v>#N/A</v>
      </c>
      <c r="AN1882" s="6" t="b">
        <f t="shared" si="203"/>
        <v>1</v>
      </c>
      <c r="AO1882" s="6" t="str">
        <f t="shared" si="205"/>
        <v>OK</v>
      </c>
      <c r="AQ1882" s="6" t="e">
        <f>MATCH($D1882,'D4 - Provider Council Unsched'!$C$11:$C$234,0)</f>
        <v>#N/A</v>
      </c>
      <c r="AR1882" s="6" t="b">
        <f t="shared" si="204"/>
        <v>1</v>
      </c>
      <c r="AS1882" s="6" t="str">
        <f t="shared" si="202"/>
        <v>OK</v>
      </c>
      <c r="AU1882" s="202"/>
      <c r="AV1882" s="262"/>
      <c r="AW1882" s="274"/>
    </row>
    <row r="1883" spans="1:49" s="13" customFormat="1" ht="33.75" x14ac:dyDescent="0.2">
      <c r="A1883" s="14">
        <v>1859</v>
      </c>
      <c r="B1883" s="14">
        <v>400000759</v>
      </c>
      <c r="C1883" s="8" t="s">
        <v>7134</v>
      </c>
      <c r="D1883" s="4" t="str">
        <f t="shared" si="200"/>
        <v>400000759CC18</v>
      </c>
      <c r="E1883" s="309" t="str">
        <f>VLOOKUP($B1883,'D7 - NDB Impacted SPRF''s'!$E$6:$O$9929,2,FALSE)</f>
        <v>Allow UHC to pay the enrollee for OON providers</v>
      </c>
      <c r="F1883" s="8" t="s">
        <v>1933</v>
      </c>
      <c r="G1883" s="8" t="s">
        <v>4758</v>
      </c>
      <c r="H1883" s="8" t="s">
        <v>4246</v>
      </c>
      <c r="I1883" s="20">
        <v>0.27</v>
      </c>
      <c r="J1883" s="8" t="s">
        <v>7113</v>
      </c>
      <c r="K1883" s="182"/>
      <c r="L1883" s="8" t="s">
        <v>4156</v>
      </c>
      <c r="M1883" s="8" t="s">
        <v>2814</v>
      </c>
      <c r="N1883" s="367" t="s">
        <v>4732</v>
      </c>
      <c r="O1883" s="8"/>
      <c r="P1883" s="4" t="str">
        <f>VLOOKUP($B1883,'D7 - NDB Impacted SPRF''s'!$E$16:$O$9929,9,FALSE)</f>
        <v>Y</v>
      </c>
      <c r="Q1883" s="4" t="str">
        <f>VLOOKUP($B1883,'D7 - NDB Impacted SPRF''s'!$E$16:$O$9929,10,FALSE)</f>
        <v>N</v>
      </c>
      <c r="R1883" s="4" t="str">
        <f>VLOOKUP($B1883,'D7 - NDB Impacted SPRF''s'!$E$16:$O$9929,11,FALSE)</f>
        <v>N</v>
      </c>
      <c r="S1883" s="8"/>
      <c r="T1883" s="310"/>
      <c r="U1883" s="310"/>
      <c r="V1883" s="4"/>
      <c r="W1883" s="4"/>
      <c r="X1883" s="4"/>
      <c r="Y1883" s="4"/>
      <c r="Z1883" s="4"/>
      <c r="AA1883" s="4"/>
      <c r="AB1883" s="380" t="str">
        <f>VLOOKUP($B1883,'D7 - NDB Impacted SPRF''s'!$E$16:$O$9929,4,FALSE)</f>
        <v>Completed</v>
      </c>
      <c r="AC1883" s="380" t="str">
        <f>VLOOKUP($B1883,'D7 - NDB Impacted SPRF''s'!$E$16:$O$9929,3,FALSE)</f>
        <v>UnitedHealthcare Employer &amp; Individual</v>
      </c>
      <c r="AD1883" s="380" t="str">
        <f>VLOOKUP($B1883,'D7 - NDB Impacted SPRF''s'!$E$16:$O$9929,5,FALSE)</f>
        <v>Key Initiatives Group</v>
      </c>
      <c r="AE1883" s="380" t="str">
        <f>VLOOKUP($B1883,'D7 - NDB Impacted SPRF''s'!$E$16:$O$9929,7,FALSE)</f>
        <v>Ed Novinski</v>
      </c>
      <c r="AF1883" s="380" t="str">
        <f>VLOOKUP($B1883,'D7 - NDB Impacted SPRF''s'!$E$16:$O$9929,6,FALSE)</f>
        <v>SHIRLEY REYNOLDS</v>
      </c>
      <c r="AG1883" s="282" t="s">
        <v>7755</v>
      </c>
      <c r="AH1883" s="311" t="e">
        <f>INDEX('D5 - Gatekeeper - Projects'!$A$4:$AF$1010,$AM1883, 17)</f>
        <v>#N/A</v>
      </c>
      <c r="AI1883" s="8"/>
      <c r="AJ1883" s="57"/>
      <c r="AK1883" s="105"/>
      <c r="AM1883" s="6" t="e">
        <f>MATCH(D1883,'D5 - Gatekeeper - Projects'!$C$4:$C$1010,0)</f>
        <v>#N/A</v>
      </c>
      <c r="AN1883" s="6" t="b">
        <f t="shared" si="203"/>
        <v>1</v>
      </c>
      <c r="AO1883" s="6" t="str">
        <f t="shared" si="205"/>
        <v>OK</v>
      </c>
      <c r="AQ1883" s="6" t="e">
        <f>MATCH($D1883,'D4 - Provider Council Unsched'!$C$11:$C$234,0)</f>
        <v>#N/A</v>
      </c>
      <c r="AR1883" s="6" t="b">
        <f t="shared" si="204"/>
        <v>1</v>
      </c>
      <c r="AS1883" s="6" t="str">
        <f t="shared" si="202"/>
        <v>OK</v>
      </c>
      <c r="AU1883" s="202"/>
      <c r="AV1883" s="262"/>
      <c r="AW1883" s="274"/>
    </row>
    <row r="1884" spans="1:49" s="13" customFormat="1" x14ac:dyDescent="0.2">
      <c r="A1884" s="14">
        <v>1860</v>
      </c>
      <c r="B1884" s="14">
        <v>400000786</v>
      </c>
      <c r="C1884" s="8" t="s">
        <v>6725</v>
      </c>
      <c r="D1884" s="4" t="str">
        <f t="shared" si="200"/>
        <v>400000786CC01</v>
      </c>
      <c r="E1884" s="309" t="str">
        <f>VLOOKUP($B1884,'D7 - NDB Impacted SPRF''s'!$E$6:$O$9929,2,FALSE)</f>
        <v>EPS Short Term Enhancements</v>
      </c>
      <c r="F1884" s="8"/>
      <c r="G1884" s="8" t="s">
        <v>4758</v>
      </c>
      <c r="H1884" s="8" t="s">
        <v>4246</v>
      </c>
      <c r="I1884" s="20"/>
      <c r="J1884" s="8"/>
      <c r="K1884" s="182"/>
      <c r="L1884" s="8" t="s">
        <v>4964</v>
      </c>
      <c r="M1884" s="8" t="s">
        <v>2814</v>
      </c>
      <c r="N1884" s="367"/>
      <c r="O1884" s="8"/>
      <c r="P1884" s="4" t="str">
        <f>VLOOKUP($B1884,'D7 - NDB Impacted SPRF''s'!$E$16:$O$9929,9,FALSE)</f>
        <v>Y</v>
      </c>
      <c r="Q1884" s="4" t="str">
        <f>VLOOKUP($B1884,'D7 - NDB Impacted SPRF''s'!$E$16:$O$9929,10,FALSE)</f>
        <v>N</v>
      </c>
      <c r="R1884" s="4" t="str">
        <f>VLOOKUP($B1884,'D7 - NDB Impacted SPRF''s'!$E$16:$O$9929,11,FALSE)</f>
        <v>N</v>
      </c>
      <c r="S1884" s="8"/>
      <c r="T1884" s="310"/>
      <c r="U1884" s="310"/>
      <c r="V1884" s="4"/>
      <c r="W1884" s="4"/>
      <c r="X1884" s="4"/>
      <c r="Y1884" s="4"/>
      <c r="Z1884" s="4"/>
      <c r="AA1884" s="4"/>
      <c r="AB1884" s="380" t="str">
        <f>VLOOKUP($B1884,'D7 - NDB Impacted SPRF''s'!$E$16:$O$9929,4,FALSE)</f>
        <v>Completed</v>
      </c>
      <c r="AC1884" s="380" t="str">
        <f>VLOOKUP($B1884,'D7 - NDB Impacted SPRF''s'!$E$16:$O$9929,3,FALSE)</f>
        <v>Uniprise</v>
      </c>
      <c r="AD1884" s="380" t="str">
        <f>VLOOKUP($B1884,'D7 - NDB Impacted SPRF''s'!$E$16:$O$9929,5,FALSE)</f>
        <v>Exante</v>
      </c>
      <c r="AE1884" s="380" t="str">
        <f>VLOOKUP($B1884,'D7 - NDB Impacted SPRF''s'!$E$16:$O$9929,7,FALSE)</f>
        <v>Nick Santoro</v>
      </c>
      <c r="AF1884" s="380" t="str">
        <f>VLOOKUP($B1884,'D7 - NDB Impacted SPRF''s'!$E$16:$O$9929,6,FALSE)</f>
        <v>Jennifer Daigle</v>
      </c>
      <c r="AG1884" s="282"/>
      <c r="AH1884" s="311" t="e">
        <f>INDEX('D5 - Gatekeeper - Projects'!$A$4:$AF$1010,$AM1884, 17)</f>
        <v>#N/A</v>
      </c>
      <c r="AI1884" s="8"/>
      <c r="AJ1884" s="57"/>
      <c r="AK1884" s="105"/>
      <c r="AM1884" s="6" t="e">
        <f>MATCH(D1884,'D5 - Gatekeeper - Projects'!$C$4:$C$1010,0)</f>
        <v>#N/A</v>
      </c>
      <c r="AN1884" s="6" t="b">
        <f t="shared" si="203"/>
        <v>1</v>
      </c>
      <c r="AO1884" s="6" t="str">
        <f t="shared" si="205"/>
        <v>OK</v>
      </c>
      <c r="AQ1884" s="6" t="e">
        <f>MATCH($D1884,'D4 - Provider Council Unsched'!$C$11:$C$234,0)</f>
        <v>#N/A</v>
      </c>
      <c r="AR1884" s="6" t="b">
        <f t="shared" si="204"/>
        <v>1</v>
      </c>
      <c r="AS1884" s="6" t="str">
        <f t="shared" si="202"/>
        <v>OK</v>
      </c>
      <c r="AU1884" s="202"/>
      <c r="AV1884" s="262"/>
      <c r="AW1884" s="274"/>
    </row>
    <row r="1885" spans="1:49" s="13" customFormat="1" ht="33.75" x14ac:dyDescent="0.2">
      <c r="A1885" s="14">
        <v>1861</v>
      </c>
      <c r="B1885" s="14">
        <v>400000912</v>
      </c>
      <c r="C1885" s="8" t="s">
        <v>5197</v>
      </c>
      <c r="D1885" s="4" t="str">
        <f t="shared" si="200"/>
        <v>400000912R1</v>
      </c>
      <c r="E1885" s="309" t="str">
        <f>VLOOKUP($B1885,'D7 - NDB Impacted SPRF''s'!$E$6:$O$9929,2,FALSE)</f>
        <v>APM Portal/Systems Solution</v>
      </c>
      <c r="F1885" s="8" t="s">
        <v>1067</v>
      </c>
      <c r="G1885" s="8" t="s">
        <v>4758</v>
      </c>
      <c r="H1885" s="8" t="s">
        <v>4246</v>
      </c>
      <c r="I1885" s="20"/>
      <c r="J1885" s="8"/>
      <c r="K1885" s="182"/>
      <c r="L1885" s="8" t="s">
        <v>4964</v>
      </c>
      <c r="M1885" s="8" t="s">
        <v>2814</v>
      </c>
      <c r="N1885" s="367"/>
      <c r="O1885" s="8"/>
      <c r="P1885" s="4" t="str">
        <f>VLOOKUP($B1885,'D7 - NDB Impacted SPRF''s'!$E$16:$O$9929,9,FALSE)</f>
        <v>Y</v>
      </c>
      <c r="Q1885" s="4" t="str">
        <f>VLOOKUP($B1885,'D7 - NDB Impacted SPRF''s'!$E$16:$O$9929,10,FALSE)</f>
        <v>N</v>
      </c>
      <c r="R1885" s="4" t="str">
        <f>VLOOKUP($B1885,'D7 - NDB Impacted SPRF''s'!$E$16:$O$9929,11,FALSE)</f>
        <v>N</v>
      </c>
      <c r="S1885" s="8"/>
      <c r="T1885" s="310"/>
      <c r="U1885" s="310"/>
      <c r="V1885" s="4"/>
      <c r="W1885" s="4"/>
      <c r="X1885" s="4"/>
      <c r="Y1885" s="4"/>
      <c r="Z1885" s="4"/>
      <c r="AA1885" s="4"/>
      <c r="AB1885" s="380" t="str">
        <f>VLOOKUP($B1885,'D7 - NDB Impacted SPRF''s'!$E$16:$O$9929,4,FALSE)</f>
        <v>Completed</v>
      </c>
      <c r="AC1885" s="380" t="str">
        <f>VLOOKUP($B1885,'D7 - NDB Impacted SPRF''s'!$E$16:$O$9929,3,FALSE)</f>
        <v>UnitedHealthcare Employer &amp; Individual</v>
      </c>
      <c r="AD1885" s="380" t="str">
        <f>VLOOKUP($B1885,'D7 - NDB Impacted SPRF''s'!$E$16:$O$9929,5,FALSE)</f>
        <v>United Health Networks</v>
      </c>
      <c r="AE1885" s="380" t="str">
        <f>VLOOKUP($B1885,'D7 - NDB Impacted SPRF''s'!$E$16:$O$9929,7,FALSE)</f>
        <v>James Bogdan</v>
      </c>
      <c r="AF1885" s="380" t="str">
        <f>VLOOKUP($B1885,'D7 - NDB Impacted SPRF''s'!$E$16:$O$9929,6,FALSE)</f>
        <v>Tracy Hall</v>
      </c>
      <c r="AG1885" s="282"/>
      <c r="AH1885" s="311" t="e">
        <f>INDEX('D5 - Gatekeeper - Projects'!$A$4:$AF$1010,$AM1885, 17)</f>
        <v>#N/A</v>
      </c>
      <c r="AI1885" s="8"/>
      <c r="AJ1885" s="57"/>
      <c r="AK1885" s="105"/>
      <c r="AM1885" s="6" t="e">
        <f>MATCH(D1885,'D5 - Gatekeeper - Projects'!$C$4:$C$1010,0)</f>
        <v>#N/A</v>
      </c>
      <c r="AN1885" s="6" t="b">
        <f t="shared" si="203"/>
        <v>1</v>
      </c>
      <c r="AO1885" s="6" t="str">
        <f t="shared" si="205"/>
        <v>OK</v>
      </c>
      <c r="AQ1885" s="6" t="e">
        <f>MATCH($D1885,'D4 - Provider Council Unsched'!$C$11:$C$234,0)</f>
        <v>#N/A</v>
      </c>
      <c r="AR1885" s="6" t="b">
        <f t="shared" si="204"/>
        <v>1</v>
      </c>
      <c r="AS1885" s="6" t="str">
        <f t="shared" si="202"/>
        <v>OK</v>
      </c>
      <c r="AU1885" s="202"/>
      <c r="AV1885" s="262"/>
      <c r="AW1885" s="274"/>
    </row>
    <row r="1886" spans="1:49" s="13" customFormat="1" ht="22.5" x14ac:dyDescent="0.2">
      <c r="A1886" s="14">
        <v>1862</v>
      </c>
      <c r="B1886" s="14">
        <v>400001699</v>
      </c>
      <c r="C1886" s="8" t="s">
        <v>5197</v>
      </c>
      <c r="D1886" s="4" t="str">
        <f t="shared" si="200"/>
        <v>400001699R1</v>
      </c>
      <c r="E1886" s="309" t="str">
        <f>VLOOKUP($B1886,'D7 - NDB Impacted SPRF''s'!$E$6:$O$9929,2,FALSE)</f>
        <v>Building Permit - UBH facets implementation</v>
      </c>
      <c r="F1886" s="8" t="s">
        <v>3764</v>
      </c>
      <c r="G1886" s="8" t="s">
        <v>4758</v>
      </c>
      <c r="H1886" s="8" t="s">
        <v>4246</v>
      </c>
      <c r="I1886" s="20"/>
      <c r="J1886" s="8"/>
      <c r="K1886" s="182"/>
      <c r="L1886" s="8" t="s">
        <v>4964</v>
      </c>
      <c r="M1886" s="8" t="s">
        <v>2814</v>
      </c>
      <c r="N1886" s="367"/>
      <c r="O1886" s="8"/>
      <c r="P1886" s="4" t="str">
        <f>VLOOKUP($B1886,'D7 - NDB Impacted SPRF''s'!$E$16:$O$9929,9,FALSE)</f>
        <v>Y</v>
      </c>
      <c r="Q1886" s="4" t="str">
        <f>VLOOKUP($B1886,'D7 - NDB Impacted SPRF''s'!$E$16:$O$9929,10,FALSE)</f>
        <v>N</v>
      </c>
      <c r="R1886" s="4" t="str">
        <f>VLOOKUP($B1886,'D7 - NDB Impacted SPRF''s'!$E$16:$O$9929,11,FALSE)</f>
        <v>N</v>
      </c>
      <c r="S1886" s="8"/>
      <c r="T1886" s="310"/>
      <c r="U1886" s="310"/>
      <c r="V1886" s="4"/>
      <c r="W1886" s="4"/>
      <c r="X1886" s="4"/>
      <c r="Y1886" s="4"/>
      <c r="Z1886" s="4"/>
      <c r="AA1886" s="4"/>
      <c r="AB1886" s="380" t="str">
        <f>VLOOKUP($B1886,'D7 - NDB Impacted SPRF''s'!$E$16:$O$9929,4,FALSE)</f>
        <v>Completed</v>
      </c>
      <c r="AC1886" s="380" t="str">
        <f>VLOOKUP($B1886,'D7 - NDB Impacted SPRF''s'!$E$16:$O$9929,3,FALSE)</f>
        <v>OptumHealth</v>
      </c>
      <c r="AD1886" s="380" t="str">
        <f>VLOOKUP($B1886,'D7 - NDB Impacted SPRF''s'!$E$16:$O$9929,5,FALSE)</f>
        <v>SCS</v>
      </c>
      <c r="AE1886" s="380" t="str">
        <f>VLOOKUP($B1886,'D7 - NDB Impacted SPRF''s'!$E$16:$O$9929,7,FALSE)</f>
        <v>Christopher Ross</v>
      </c>
      <c r="AF1886" s="380" t="str">
        <f>VLOOKUP($B1886,'D7 - NDB Impacted SPRF''s'!$E$16:$O$9929,6,FALSE)</f>
        <v>Avis Braschayko</v>
      </c>
      <c r="AG1886" s="282"/>
      <c r="AH1886" s="311" t="e">
        <f>INDEX('D5 - Gatekeeper - Projects'!$A$4:$AF$1010,$AM1886, 17)</f>
        <v>#N/A</v>
      </c>
      <c r="AI1886" s="8"/>
      <c r="AJ1886" s="57"/>
      <c r="AK1886" s="105"/>
      <c r="AM1886" s="6" t="e">
        <f>MATCH(D1886,'D5 - Gatekeeper - Projects'!$C$4:$C$1010,0)</f>
        <v>#N/A</v>
      </c>
      <c r="AN1886" s="6" t="b">
        <f t="shared" si="203"/>
        <v>1</v>
      </c>
      <c r="AO1886" s="6" t="str">
        <f t="shared" si="205"/>
        <v>OK</v>
      </c>
      <c r="AQ1886" s="6" t="e">
        <f>MATCH($D1886,'D4 - Provider Council Unsched'!$C$11:$C$234,0)</f>
        <v>#N/A</v>
      </c>
      <c r="AR1886" s="6" t="b">
        <f t="shared" si="204"/>
        <v>1</v>
      </c>
      <c r="AS1886" s="6" t="str">
        <f t="shared" si="202"/>
        <v>OK</v>
      </c>
      <c r="AU1886" s="202"/>
      <c r="AV1886" s="262"/>
      <c r="AW1886" s="274"/>
    </row>
    <row r="1887" spans="1:49" s="13" customFormat="1" ht="22.5" x14ac:dyDescent="0.2">
      <c r="A1887" s="14">
        <v>1863</v>
      </c>
      <c r="B1887" s="14">
        <v>400001982</v>
      </c>
      <c r="C1887" s="8" t="s">
        <v>6726</v>
      </c>
      <c r="D1887" s="4" t="str">
        <f t="shared" si="200"/>
        <v>400001982CC06</v>
      </c>
      <c r="E1887" s="309" t="str">
        <f>VLOOKUP($B1887,'D7 - NDB Impacted SPRF''s'!$E$6:$O$9929,2,FALSE)</f>
        <v>CPR2 - Phase II</v>
      </c>
      <c r="F1887" s="8" t="s">
        <v>4631</v>
      </c>
      <c r="G1887" s="8" t="s">
        <v>4758</v>
      </c>
      <c r="H1887" s="8" t="s">
        <v>4246</v>
      </c>
      <c r="I1887" s="20"/>
      <c r="J1887" s="8"/>
      <c r="K1887" s="182"/>
      <c r="L1887" s="8" t="s">
        <v>6164</v>
      </c>
      <c r="M1887" s="8" t="s">
        <v>2814</v>
      </c>
      <c r="N1887" s="367"/>
      <c r="O1887" s="8"/>
      <c r="P1887" s="4" t="str">
        <f>VLOOKUP($B1887,'D7 - NDB Impacted SPRF''s'!$E$16:$O$9929,9,FALSE)</f>
        <v>Y</v>
      </c>
      <c r="Q1887" s="4" t="str">
        <f>VLOOKUP($B1887,'D7 - NDB Impacted SPRF''s'!$E$16:$O$9929,10,FALSE)</f>
        <v>N</v>
      </c>
      <c r="R1887" s="4" t="str">
        <f>VLOOKUP($B1887,'D7 - NDB Impacted SPRF''s'!$E$16:$O$9929,11,FALSE)</f>
        <v>N</v>
      </c>
      <c r="S1887" s="8"/>
      <c r="T1887" s="310"/>
      <c r="U1887" s="310"/>
      <c r="V1887" s="4"/>
      <c r="W1887" s="4"/>
      <c r="X1887" s="4"/>
      <c r="Y1887" s="4"/>
      <c r="Z1887" s="4"/>
      <c r="AA1887" s="4"/>
      <c r="AB1887" s="380" t="str">
        <f>VLOOKUP($B1887,'D7 - NDB Impacted SPRF''s'!$E$16:$O$9929,4,FALSE)</f>
        <v>Completed</v>
      </c>
      <c r="AC1887" s="380" t="str">
        <f>VLOOKUP($B1887,'D7 - NDB Impacted SPRF''s'!$E$16:$O$9929,3,FALSE)</f>
        <v>Uniprise</v>
      </c>
      <c r="AD1887" s="380" t="str">
        <f>VLOOKUP($B1887,'D7 - NDB Impacted SPRF''s'!$E$16:$O$9929,5,FALSE)</f>
        <v>Uniprise Technologies - Capital Projects</v>
      </c>
      <c r="AE1887" s="380" t="str">
        <f>VLOOKUP($B1887,'D7 - NDB Impacted SPRF''s'!$E$16:$O$9929,7,FALSE)</f>
        <v>John Donkersloot</v>
      </c>
      <c r="AF1887" s="380" t="str">
        <f>VLOOKUP($B1887,'D7 - NDB Impacted SPRF''s'!$E$16:$O$9929,6,FALSE)</f>
        <v>Joe Moran</v>
      </c>
      <c r="AG1887" s="282"/>
      <c r="AH1887" s="311" t="e">
        <f>INDEX('D5 - Gatekeeper - Projects'!$A$4:$AF$1010,$AM1887, 17)</f>
        <v>#N/A</v>
      </c>
      <c r="AI1887" s="8"/>
      <c r="AJ1887" s="57"/>
      <c r="AK1887" s="105"/>
      <c r="AM1887" s="6" t="e">
        <f>MATCH(D1887,'D5 - Gatekeeper - Projects'!$C$4:$C$1010,0)</f>
        <v>#N/A</v>
      </c>
      <c r="AN1887" s="6" t="b">
        <f t="shared" si="203"/>
        <v>1</v>
      </c>
      <c r="AO1887" s="6" t="str">
        <f t="shared" si="205"/>
        <v>OK</v>
      </c>
      <c r="AQ1887" s="6" t="e">
        <f>MATCH($D1887,'D4 - Provider Council Unsched'!$C$11:$C$234,0)</f>
        <v>#N/A</v>
      </c>
      <c r="AR1887" s="6" t="b">
        <f t="shared" si="204"/>
        <v>1</v>
      </c>
      <c r="AS1887" s="6" t="str">
        <f t="shared" si="202"/>
        <v>OK</v>
      </c>
      <c r="AU1887" s="202"/>
      <c r="AV1887" s="262"/>
      <c r="AW1887" s="274"/>
    </row>
    <row r="1888" spans="1:49" s="13" customFormat="1" ht="22.5" x14ac:dyDescent="0.2">
      <c r="A1888" s="14">
        <v>1864</v>
      </c>
      <c r="B1888" s="14">
        <v>400001982</v>
      </c>
      <c r="C1888" s="8" t="s">
        <v>6724</v>
      </c>
      <c r="D1888" s="4" t="str">
        <f t="shared" si="200"/>
        <v>400001982CC07</v>
      </c>
      <c r="E1888" s="309" t="str">
        <f>VLOOKUP($B1888,'D7 - NDB Impacted SPRF''s'!$E$6:$O$9929,2,FALSE)</f>
        <v>CPR2 - Phase II</v>
      </c>
      <c r="F1888" s="8" t="s">
        <v>4631</v>
      </c>
      <c r="G1888" s="8" t="s">
        <v>4758</v>
      </c>
      <c r="H1888" s="8" t="s">
        <v>4246</v>
      </c>
      <c r="I1888" s="20">
        <v>43.34</v>
      </c>
      <c r="J1888" s="8" t="s">
        <v>7113</v>
      </c>
      <c r="K1888" s="182"/>
      <c r="L1888" s="8" t="s">
        <v>4156</v>
      </c>
      <c r="M1888" s="8" t="s">
        <v>2814</v>
      </c>
      <c r="N1888" s="367" t="s">
        <v>4383</v>
      </c>
      <c r="O1888" s="8"/>
      <c r="P1888" s="4" t="str">
        <f>VLOOKUP($B1888,'D7 - NDB Impacted SPRF''s'!$E$16:$O$9929,9,FALSE)</f>
        <v>Y</v>
      </c>
      <c r="Q1888" s="4" t="str">
        <f>VLOOKUP($B1888,'D7 - NDB Impacted SPRF''s'!$E$16:$O$9929,10,FALSE)</f>
        <v>N</v>
      </c>
      <c r="R1888" s="4" t="str">
        <f>VLOOKUP($B1888,'D7 - NDB Impacted SPRF''s'!$E$16:$O$9929,11,FALSE)</f>
        <v>N</v>
      </c>
      <c r="S1888" s="8"/>
      <c r="T1888" s="310"/>
      <c r="U1888" s="310"/>
      <c r="V1888" s="4"/>
      <c r="W1888" s="4"/>
      <c r="X1888" s="4"/>
      <c r="Y1888" s="4"/>
      <c r="Z1888" s="4"/>
      <c r="AA1888" s="4"/>
      <c r="AB1888" s="380" t="str">
        <f>VLOOKUP($B1888,'D7 - NDB Impacted SPRF''s'!$E$16:$O$9929,4,FALSE)</f>
        <v>Completed</v>
      </c>
      <c r="AC1888" s="380" t="str">
        <f>VLOOKUP($B1888,'D7 - NDB Impacted SPRF''s'!$E$16:$O$9929,3,FALSE)</f>
        <v>Uniprise</v>
      </c>
      <c r="AD1888" s="380" t="str">
        <f>VLOOKUP($B1888,'D7 - NDB Impacted SPRF''s'!$E$16:$O$9929,5,FALSE)</f>
        <v>Uniprise Technologies - Capital Projects</v>
      </c>
      <c r="AE1888" s="380" t="str">
        <f>VLOOKUP($B1888,'D7 - NDB Impacted SPRF''s'!$E$16:$O$9929,7,FALSE)</f>
        <v>John Donkersloot</v>
      </c>
      <c r="AF1888" s="380" t="str">
        <f>VLOOKUP($B1888,'D7 - NDB Impacted SPRF''s'!$E$16:$O$9929,6,FALSE)</f>
        <v>Joe Moran</v>
      </c>
      <c r="AG1888" s="282"/>
      <c r="AH1888" s="311" t="e">
        <f>INDEX('D5 - Gatekeeper - Projects'!$A$4:$AF$1010,$AM1888, 17)</f>
        <v>#N/A</v>
      </c>
      <c r="AI1888" s="8"/>
      <c r="AJ1888" s="57"/>
      <c r="AK1888" s="105"/>
      <c r="AM1888" s="6" t="e">
        <f>MATCH(D1888,'D5 - Gatekeeper - Projects'!$C$4:$C$1010,0)</f>
        <v>#N/A</v>
      </c>
      <c r="AN1888" s="6" t="b">
        <f t="shared" si="203"/>
        <v>1</v>
      </c>
      <c r="AO1888" s="6" t="str">
        <f t="shared" si="205"/>
        <v>OK</v>
      </c>
      <c r="AQ1888" s="6" t="e">
        <f>MATCH($D1888,'D4 - Provider Council Unsched'!$C$11:$C$234,0)</f>
        <v>#N/A</v>
      </c>
      <c r="AR1888" s="6" t="b">
        <f t="shared" si="204"/>
        <v>1</v>
      </c>
      <c r="AS1888" s="6" t="str">
        <f t="shared" si="202"/>
        <v>OK</v>
      </c>
      <c r="AU1888" s="202"/>
      <c r="AV1888" s="262"/>
      <c r="AW1888" s="274"/>
    </row>
    <row r="1889" spans="1:49" s="13" customFormat="1" ht="22.5" x14ac:dyDescent="0.2">
      <c r="A1889" s="14">
        <v>1865</v>
      </c>
      <c r="B1889" s="14">
        <v>400001982</v>
      </c>
      <c r="C1889" s="8" t="s">
        <v>8120</v>
      </c>
      <c r="D1889" s="4" t="str">
        <f t="shared" si="200"/>
        <v>400001982CC08</v>
      </c>
      <c r="E1889" s="309" t="str">
        <f>VLOOKUP($B1889,'D7 - NDB Impacted SPRF''s'!$E$6:$O$9929,2,FALSE)</f>
        <v>CPR2 - Phase II</v>
      </c>
      <c r="F1889" s="8" t="s">
        <v>4631</v>
      </c>
      <c r="G1889" s="8" t="s">
        <v>4758</v>
      </c>
      <c r="H1889" s="8" t="s">
        <v>4246</v>
      </c>
      <c r="I1889" s="20">
        <v>31.94</v>
      </c>
      <c r="J1889" s="8" t="s">
        <v>7113</v>
      </c>
      <c r="K1889" s="182"/>
      <c r="L1889" s="8" t="s">
        <v>4156</v>
      </c>
      <c r="M1889" s="8" t="s">
        <v>2814</v>
      </c>
      <c r="N1889" s="367" t="s">
        <v>4383</v>
      </c>
      <c r="O1889" s="8"/>
      <c r="P1889" s="4" t="str">
        <f>VLOOKUP($B1889,'D7 - NDB Impacted SPRF''s'!$E$16:$O$9929,9,FALSE)</f>
        <v>Y</v>
      </c>
      <c r="Q1889" s="4" t="str">
        <f>VLOOKUP($B1889,'D7 - NDB Impacted SPRF''s'!$E$16:$O$9929,10,FALSE)</f>
        <v>N</v>
      </c>
      <c r="R1889" s="4" t="str">
        <f>VLOOKUP($B1889,'D7 - NDB Impacted SPRF''s'!$E$16:$O$9929,11,FALSE)</f>
        <v>N</v>
      </c>
      <c r="S1889" s="8"/>
      <c r="T1889" s="310"/>
      <c r="U1889" s="310"/>
      <c r="V1889" s="4"/>
      <c r="W1889" s="4"/>
      <c r="X1889" s="4"/>
      <c r="Y1889" s="4"/>
      <c r="Z1889" s="4"/>
      <c r="AA1889" s="4"/>
      <c r="AB1889" s="380" t="str">
        <f>VLOOKUP($B1889,'D7 - NDB Impacted SPRF''s'!$E$16:$O$9929,4,FALSE)</f>
        <v>Completed</v>
      </c>
      <c r="AC1889" s="380" t="str">
        <f>VLOOKUP($B1889,'D7 - NDB Impacted SPRF''s'!$E$16:$O$9929,3,FALSE)</f>
        <v>Uniprise</v>
      </c>
      <c r="AD1889" s="380" t="str">
        <f>VLOOKUP($B1889,'D7 - NDB Impacted SPRF''s'!$E$16:$O$9929,5,FALSE)</f>
        <v>Uniprise Technologies - Capital Projects</v>
      </c>
      <c r="AE1889" s="380" t="str">
        <f>VLOOKUP($B1889,'D7 - NDB Impacted SPRF''s'!$E$16:$O$9929,7,FALSE)</f>
        <v>John Donkersloot</v>
      </c>
      <c r="AF1889" s="380" t="str">
        <f>VLOOKUP($B1889,'D7 - NDB Impacted SPRF''s'!$E$16:$O$9929,6,FALSE)</f>
        <v>Joe Moran</v>
      </c>
      <c r="AG1889" s="282"/>
      <c r="AH1889" s="311" t="e">
        <f>INDEX('D5 - Gatekeeper - Projects'!$A$4:$AF$1010,$AM1889, 17)</f>
        <v>#N/A</v>
      </c>
      <c r="AI1889" s="8"/>
      <c r="AJ1889" s="57"/>
      <c r="AK1889" s="105"/>
      <c r="AM1889" s="6" t="e">
        <f>MATCH(D1889,'D5 - Gatekeeper - Projects'!$C$4:$C$1010,0)</f>
        <v>#N/A</v>
      </c>
      <c r="AN1889" s="6" t="b">
        <f t="shared" si="203"/>
        <v>1</v>
      </c>
      <c r="AO1889" s="6" t="str">
        <f t="shared" si="205"/>
        <v>OK</v>
      </c>
      <c r="AQ1889" s="6" t="e">
        <f>MATCH($D1889,'D4 - Provider Council Unsched'!$C$11:$C$234,0)</f>
        <v>#N/A</v>
      </c>
      <c r="AR1889" s="6" t="b">
        <f t="shared" si="204"/>
        <v>1</v>
      </c>
      <c r="AS1889" s="6" t="str">
        <f t="shared" si="202"/>
        <v>OK</v>
      </c>
      <c r="AU1889" s="202"/>
      <c r="AV1889" s="262"/>
      <c r="AW1889" s="274"/>
    </row>
    <row r="1890" spans="1:49" s="13" customFormat="1" ht="33.75" x14ac:dyDescent="0.2">
      <c r="A1890" s="14">
        <v>1866</v>
      </c>
      <c r="B1890" s="14">
        <v>400002008</v>
      </c>
      <c r="C1890" s="8" t="s">
        <v>5197</v>
      </c>
      <c r="D1890" s="4" t="str">
        <f t="shared" si="200"/>
        <v>400002008R1</v>
      </c>
      <c r="E1890" s="309" t="str">
        <f>VLOOKUP($B1890,'D7 - NDB Impacted SPRF''s'!$E$6:$O$9929,2,FALSE)</f>
        <v>KA Custom Website Funding for 2004</v>
      </c>
      <c r="F1890" s="8"/>
      <c r="G1890" s="8" t="s">
        <v>4758</v>
      </c>
      <c r="H1890" s="8" t="s">
        <v>4246</v>
      </c>
      <c r="I1890" s="20"/>
      <c r="J1890" s="8"/>
      <c r="K1890" s="182"/>
      <c r="L1890" s="8" t="s">
        <v>4156</v>
      </c>
      <c r="M1890" s="8" t="s">
        <v>2814</v>
      </c>
      <c r="N1890" s="368" t="s">
        <v>5446</v>
      </c>
      <c r="O1890" s="8"/>
      <c r="P1890" s="4" t="str">
        <f>VLOOKUP($B1890,'D7 - NDB Impacted SPRF''s'!$E$16:$O$9929,9,FALSE)</f>
        <v>N</v>
      </c>
      <c r="Q1890" s="4" t="str">
        <f>VLOOKUP($B1890,'D7 - NDB Impacted SPRF''s'!$E$16:$O$9929,10,FALSE)</f>
        <v>N</v>
      </c>
      <c r="R1890" s="4" t="str">
        <f>VLOOKUP($B1890,'D7 - NDB Impacted SPRF''s'!$E$16:$O$9929,11,FALSE)</f>
        <v>N</v>
      </c>
      <c r="S1890" s="8"/>
      <c r="T1890" s="310"/>
      <c r="U1890" s="310"/>
      <c r="V1890" s="4"/>
      <c r="W1890" s="4"/>
      <c r="X1890" s="4"/>
      <c r="Y1890" s="4"/>
      <c r="Z1890" s="4"/>
      <c r="AA1890" s="4"/>
      <c r="AB1890" s="380" t="str">
        <f>VLOOKUP($B1890,'D7 - NDB Impacted SPRF''s'!$E$16:$O$9929,4,FALSE)</f>
        <v>Completed</v>
      </c>
      <c r="AC1890" s="380" t="str">
        <f>VLOOKUP($B1890,'D7 - NDB Impacted SPRF''s'!$E$16:$O$9929,3,FALSE)</f>
        <v>UnitedHealthcare Employer &amp; Individual</v>
      </c>
      <c r="AD1890" s="380" t="str">
        <f>VLOOKUP($B1890,'D7 - NDB Impacted SPRF''s'!$E$16:$O$9929,5,FALSE)</f>
        <v>Operations Group</v>
      </c>
      <c r="AE1890" s="380" t="str">
        <f>VLOOKUP($B1890,'D7 - NDB Impacted SPRF''s'!$E$16:$O$9929,7,FALSE)</f>
        <v>John Cravero</v>
      </c>
      <c r="AF1890" s="380" t="str">
        <f>VLOOKUP($B1890,'D7 - NDB Impacted SPRF''s'!$E$16:$O$9929,6,FALSE)</f>
        <v>Amy Clatterbuck</v>
      </c>
      <c r="AG1890" s="282"/>
      <c r="AH1890" s="311" t="e">
        <f>INDEX('D5 - Gatekeeper - Projects'!$A$4:$AF$1010,$AM1890, 17)</f>
        <v>#N/A</v>
      </c>
      <c r="AI1890" s="8"/>
      <c r="AJ1890" s="57"/>
      <c r="AK1890" s="105"/>
      <c r="AM1890" s="6" t="e">
        <f>MATCH(D1890,'D5 - Gatekeeper - Projects'!$C$4:$C$1010,0)</f>
        <v>#N/A</v>
      </c>
      <c r="AN1890" s="6" t="b">
        <f t="shared" si="203"/>
        <v>1</v>
      </c>
      <c r="AO1890" s="6" t="str">
        <f t="shared" si="205"/>
        <v>OK</v>
      </c>
      <c r="AQ1890" s="6" t="e">
        <f>MATCH($D1890,'D4 - Provider Council Unsched'!$C$11:$C$234,0)</f>
        <v>#N/A</v>
      </c>
      <c r="AR1890" s="6" t="b">
        <f t="shared" si="204"/>
        <v>1</v>
      </c>
      <c r="AS1890" s="6" t="str">
        <f t="shared" si="202"/>
        <v>OK</v>
      </c>
      <c r="AU1890" s="202"/>
      <c r="AV1890" s="262"/>
      <c r="AW1890" s="274"/>
    </row>
    <row r="1891" spans="1:49" s="13" customFormat="1" x14ac:dyDescent="0.2">
      <c r="A1891" s="14">
        <v>1867</v>
      </c>
      <c r="B1891" s="14">
        <v>400002073</v>
      </c>
      <c r="C1891" s="8" t="s">
        <v>5197</v>
      </c>
      <c r="D1891" s="4" t="str">
        <f t="shared" si="200"/>
        <v>400002073R1</v>
      </c>
      <c r="E1891" s="309" t="str">
        <f>VLOOKUP($B1891,'D7 - NDB Impacted SPRF''s'!$E$6:$O$9929,2,FALSE)</f>
        <v>Notifications - Updates and Case Notes</v>
      </c>
      <c r="F1891" s="8"/>
      <c r="G1891" s="8" t="s">
        <v>4758</v>
      </c>
      <c r="H1891" s="8" t="s">
        <v>4246</v>
      </c>
      <c r="I1891" s="20"/>
      <c r="J1891" s="8"/>
      <c r="K1891" s="182"/>
      <c r="L1891" s="8" t="s">
        <v>4964</v>
      </c>
      <c r="M1891" s="8" t="s">
        <v>2814</v>
      </c>
      <c r="N1891" s="367"/>
      <c r="O1891" s="8"/>
      <c r="P1891" s="4" t="str">
        <f>VLOOKUP($B1891,'D7 - NDB Impacted SPRF''s'!$E$16:$O$9929,9,FALSE)</f>
        <v>Y</v>
      </c>
      <c r="Q1891" s="4" t="str">
        <f>VLOOKUP($B1891,'D7 - NDB Impacted SPRF''s'!$E$16:$O$9929,10,FALSE)</f>
        <v>N</v>
      </c>
      <c r="R1891" s="4" t="str">
        <f>VLOOKUP($B1891,'D7 - NDB Impacted SPRF''s'!$E$16:$O$9929,11,FALSE)</f>
        <v>N</v>
      </c>
      <c r="S1891" s="8"/>
      <c r="T1891" s="310"/>
      <c r="U1891" s="310"/>
      <c r="V1891" s="4"/>
      <c r="W1891" s="4"/>
      <c r="X1891" s="4"/>
      <c r="Y1891" s="4"/>
      <c r="Z1891" s="4"/>
      <c r="AA1891" s="4"/>
      <c r="AB1891" s="380" t="str">
        <f>VLOOKUP($B1891,'D7 - NDB Impacted SPRF''s'!$E$16:$O$9929,4,FALSE)</f>
        <v>Completed</v>
      </c>
      <c r="AC1891" s="380" t="str">
        <f>VLOOKUP($B1891,'D7 - NDB Impacted SPRF''s'!$E$16:$O$9929,3,FALSE)</f>
        <v>OptumHealth</v>
      </c>
      <c r="AD1891" s="380" t="str">
        <f>VLOOKUP($B1891,'D7 - NDB Impacted SPRF''s'!$E$16:$O$9929,5,FALSE)</f>
        <v>SCS</v>
      </c>
      <c r="AE1891" s="380" t="str">
        <f>VLOOKUP($B1891,'D7 - NDB Impacted SPRF''s'!$E$16:$O$9929,7,FALSE)</f>
        <v>Larry Schear</v>
      </c>
      <c r="AF1891" s="380" t="str">
        <f>VLOOKUP($B1891,'D7 - NDB Impacted SPRF''s'!$E$16:$O$9929,6,FALSE)</f>
        <v>Leslie Pitchford</v>
      </c>
      <c r="AG1891" s="282"/>
      <c r="AH1891" s="311" t="e">
        <f>INDEX('D5 - Gatekeeper - Projects'!$A$4:$AF$1010,$AM1891, 17)</f>
        <v>#N/A</v>
      </c>
      <c r="AI1891" s="8"/>
      <c r="AJ1891" s="57"/>
      <c r="AK1891" s="105"/>
      <c r="AM1891" s="6" t="e">
        <f>MATCH(D1891,'D5 - Gatekeeper - Projects'!$C$4:$C$1010,0)</f>
        <v>#N/A</v>
      </c>
      <c r="AN1891" s="6" t="b">
        <f t="shared" si="203"/>
        <v>1</v>
      </c>
      <c r="AO1891" s="6" t="str">
        <f t="shared" si="205"/>
        <v>OK</v>
      </c>
      <c r="AQ1891" s="6" t="e">
        <f>MATCH($D1891,'D4 - Provider Council Unsched'!$C$11:$C$234,0)</f>
        <v>#N/A</v>
      </c>
      <c r="AR1891" s="6" t="b">
        <f t="shared" si="204"/>
        <v>1</v>
      </c>
      <c r="AS1891" s="6" t="str">
        <f t="shared" si="202"/>
        <v>OK</v>
      </c>
      <c r="AU1891" s="202"/>
      <c r="AV1891" s="262"/>
      <c r="AW1891" s="274"/>
    </row>
    <row r="1892" spans="1:49" s="13" customFormat="1" x14ac:dyDescent="0.2">
      <c r="A1892" s="14">
        <v>1868</v>
      </c>
      <c r="B1892" s="14">
        <v>400002577</v>
      </c>
      <c r="C1892" s="8" t="s">
        <v>6291</v>
      </c>
      <c r="D1892" s="4" t="str">
        <f t="shared" si="200"/>
        <v>400002577CC03</v>
      </c>
      <c r="E1892" s="309" t="str">
        <f>VLOOKUP($B1892,'D7 - NDB Impacted SPRF''s'!$E$6:$O$9929,2,FALSE)</f>
        <v>VETS implementation</v>
      </c>
      <c r="F1892" s="8"/>
      <c r="G1892" s="8" t="s">
        <v>4758</v>
      </c>
      <c r="H1892" s="8" t="s">
        <v>4246</v>
      </c>
      <c r="I1892" s="20"/>
      <c r="J1892" s="8"/>
      <c r="K1892" s="182"/>
      <c r="L1892" s="8" t="s">
        <v>4964</v>
      </c>
      <c r="M1892" s="8" t="s">
        <v>2814</v>
      </c>
      <c r="N1892" s="367"/>
      <c r="O1892" s="8"/>
      <c r="P1892" s="4" t="str">
        <f>VLOOKUP($B1892,'D7 - NDB Impacted SPRF''s'!$E$16:$O$9929,9,FALSE)</f>
        <v>Y</v>
      </c>
      <c r="Q1892" s="4" t="str">
        <f>VLOOKUP($B1892,'D7 - NDB Impacted SPRF''s'!$E$16:$O$9929,10,FALSE)</f>
        <v>N</v>
      </c>
      <c r="R1892" s="4" t="str">
        <f>VLOOKUP($B1892,'D7 - NDB Impacted SPRF''s'!$E$16:$O$9929,11,FALSE)</f>
        <v>N</v>
      </c>
      <c r="S1892" s="8"/>
      <c r="T1892" s="310"/>
      <c r="U1892" s="310"/>
      <c r="V1892" s="4"/>
      <c r="W1892" s="4"/>
      <c r="X1892" s="4"/>
      <c r="Y1892" s="4"/>
      <c r="Z1892" s="4"/>
      <c r="AA1892" s="4"/>
      <c r="AB1892" s="380" t="str">
        <f>VLOOKUP($B1892,'D7 - NDB Impacted SPRF''s'!$E$16:$O$9929,4,FALSE)</f>
        <v>Completed</v>
      </c>
      <c r="AC1892" s="380" t="str">
        <f>VLOOKUP($B1892,'D7 - NDB Impacted SPRF''s'!$E$16:$O$9929,3,FALSE)</f>
        <v>OptumHealth</v>
      </c>
      <c r="AD1892" s="380" t="str">
        <f>VLOOKUP($B1892,'D7 - NDB Impacted SPRF''s'!$E$16:$O$9929,5,FALSE)</f>
        <v>Optum</v>
      </c>
      <c r="AE1892" s="380" t="str">
        <f>VLOOKUP($B1892,'D7 - NDB Impacted SPRF''s'!$E$16:$O$9929,7,FALSE)</f>
        <v>Kevin McCloughan</v>
      </c>
      <c r="AF1892" s="380" t="str">
        <f>VLOOKUP($B1892,'D7 - NDB Impacted SPRF''s'!$E$16:$O$9929,6,FALSE)</f>
        <v>JULIE FOSTER</v>
      </c>
      <c r="AG1892" s="282"/>
      <c r="AH1892" s="311" t="e">
        <f>INDEX('D5 - Gatekeeper - Projects'!$A$4:$AF$1010,$AM1892, 17)</f>
        <v>#N/A</v>
      </c>
      <c r="AI1892" s="8"/>
      <c r="AJ1892" s="57"/>
      <c r="AK1892" s="105"/>
      <c r="AM1892" s="6" t="e">
        <f>MATCH(D1892,'D5 - Gatekeeper - Projects'!$C$4:$C$1010,0)</f>
        <v>#N/A</v>
      </c>
      <c r="AN1892" s="6" t="b">
        <f t="shared" si="203"/>
        <v>1</v>
      </c>
      <c r="AO1892" s="6" t="str">
        <f t="shared" si="205"/>
        <v>OK</v>
      </c>
      <c r="AQ1892" s="6" t="e">
        <f>MATCH($D1892,'D4 - Provider Council Unsched'!$C$11:$C$234,0)</f>
        <v>#N/A</v>
      </c>
      <c r="AR1892" s="6" t="b">
        <f t="shared" si="204"/>
        <v>1</v>
      </c>
      <c r="AS1892" s="6" t="str">
        <f t="shared" si="202"/>
        <v>OK</v>
      </c>
      <c r="AU1892" s="202"/>
      <c r="AV1892" s="262"/>
      <c r="AW1892" s="274"/>
    </row>
    <row r="1893" spans="1:49" s="2" customFormat="1" ht="33.75" x14ac:dyDescent="0.2">
      <c r="A1893" s="14">
        <v>1869</v>
      </c>
      <c r="B1893" s="14">
        <v>400002656</v>
      </c>
      <c r="C1893" s="8" t="s">
        <v>3812</v>
      </c>
      <c r="D1893" s="4" t="str">
        <f t="shared" si="200"/>
        <v>400002656CC05</v>
      </c>
      <c r="E1893" s="309" t="str">
        <f>VLOOKUP($B1893,'D7 - NDB Impacted SPRF''s'!$E$6:$O$9929,2,FALSE)</f>
        <v>Pay to Individual (PTI) Project</v>
      </c>
      <c r="F1893" s="8" t="s">
        <v>1934</v>
      </c>
      <c r="G1893" s="8" t="s">
        <v>4758</v>
      </c>
      <c r="H1893" s="8" t="s">
        <v>4246</v>
      </c>
      <c r="I1893" s="20">
        <v>3</v>
      </c>
      <c r="J1893" s="8" t="s">
        <v>7113</v>
      </c>
      <c r="K1893" s="182"/>
      <c r="L1893" s="8" t="s">
        <v>4156</v>
      </c>
      <c r="M1893" s="8" t="s">
        <v>2814</v>
      </c>
      <c r="N1893" s="368" t="s">
        <v>5446</v>
      </c>
      <c r="O1893" s="8"/>
      <c r="P1893" s="4" t="str">
        <f>VLOOKUP($B1893,'D7 - NDB Impacted SPRF''s'!$E$16:$O$9929,9,FALSE)</f>
        <v>Y</v>
      </c>
      <c r="Q1893" s="4" t="str">
        <f>VLOOKUP($B1893,'D7 - NDB Impacted SPRF''s'!$E$16:$O$9929,10,FALSE)</f>
        <v>N</v>
      </c>
      <c r="R1893" s="4" t="str">
        <f>VLOOKUP($B1893,'D7 - NDB Impacted SPRF''s'!$E$16:$O$9929,11,FALSE)</f>
        <v>N</v>
      </c>
      <c r="S1893" s="8"/>
      <c r="T1893" s="310"/>
      <c r="U1893" s="310"/>
      <c r="V1893" s="4"/>
      <c r="W1893" s="4"/>
      <c r="X1893" s="4"/>
      <c r="Y1893" s="4"/>
      <c r="Z1893" s="4"/>
      <c r="AA1893" s="4"/>
      <c r="AB1893" s="380" t="str">
        <f>VLOOKUP($B1893,'D7 - NDB Impacted SPRF''s'!$E$16:$O$9929,4,FALSE)</f>
        <v>Completed</v>
      </c>
      <c r="AC1893" s="380" t="str">
        <f>VLOOKUP($B1893,'D7 - NDB Impacted SPRF''s'!$E$16:$O$9929,3,FALSE)</f>
        <v>UnitedHealthcare Employer &amp; Individual</v>
      </c>
      <c r="AD1893" s="380" t="str">
        <f>VLOOKUP($B1893,'D7 - NDB Impacted SPRF''s'!$E$16:$O$9929,5,FALSE)</f>
        <v>Operations Group</v>
      </c>
      <c r="AE1893" s="380" t="str">
        <f>VLOOKUP($B1893,'D7 - NDB Impacted SPRF''s'!$E$16:$O$9929,7,FALSE)</f>
        <v>Peter Bompane</v>
      </c>
      <c r="AF1893" s="380" t="str">
        <f>VLOOKUP($B1893,'D7 - NDB Impacted SPRF''s'!$E$16:$O$9929,6,FALSE)</f>
        <v>Eileen Dock</v>
      </c>
      <c r="AG1893" s="282" t="s">
        <v>6682</v>
      </c>
      <c r="AH1893" s="311" t="e">
        <f>INDEX('D5 - Gatekeeper - Projects'!$A$4:$AF$1010,$AM1893, 17)</f>
        <v>#N/A</v>
      </c>
      <c r="AI1893" s="8"/>
      <c r="AJ1893" s="57"/>
      <c r="AK1893" s="105"/>
      <c r="AL1893" s="13"/>
      <c r="AM1893" s="6" t="e">
        <f>MATCH(D1893,'D5 - Gatekeeper - Projects'!$C$4:$C$1010,0)</f>
        <v>#N/A</v>
      </c>
      <c r="AN1893" s="6" t="b">
        <f t="shared" si="203"/>
        <v>1</v>
      </c>
      <c r="AO1893" s="6" t="str">
        <f t="shared" si="205"/>
        <v>OK</v>
      </c>
      <c r="AP1893" s="13"/>
      <c r="AQ1893" s="6" t="e">
        <f>MATCH($D1893,'D4 - Provider Council Unsched'!$C$11:$C$234,0)</f>
        <v>#N/A</v>
      </c>
      <c r="AR1893" s="6" t="b">
        <f t="shared" si="204"/>
        <v>1</v>
      </c>
      <c r="AS1893" s="6" t="str">
        <f t="shared" si="202"/>
        <v>OK</v>
      </c>
      <c r="AT1893" s="13"/>
      <c r="AU1893" s="202"/>
      <c r="AV1893" s="262"/>
      <c r="AW1893" s="274"/>
    </row>
    <row r="1894" spans="1:49" s="13" customFormat="1" ht="33.75" x14ac:dyDescent="0.2">
      <c r="A1894" s="14">
        <v>1870</v>
      </c>
      <c r="B1894" s="14">
        <v>400002656</v>
      </c>
      <c r="C1894" s="8" t="s">
        <v>6726</v>
      </c>
      <c r="D1894" s="4" t="str">
        <f t="shared" si="200"/>
        <v>400002656CC06</v>
      </c>
      <c r="E1894" s="309" t="str">
        <f>VLOOKUP($B1894,'D7 - NDB Impacted SPRF''s'!$E$6:$O$9929,2,FALSE)</f>
        <v>Pay to Individual (PTI) Project</v>
      </c>
      <c r="F1894" s="8" t="s">
        <v>1934</v>
      </c>
      <c r="G1894" s="8" t="s">
        <v>4758</v>
      </c>
      <c r="H1894" s="8" t="s">
        <v>4246</v>
      </c>
      <c r="I1894" s="20">
        <v>2.65</v>
      </c>
      <c r="J1894" s="8" t="s">
        <v>7113</v>
      </c>
      <c r="K1894" s="182"/>
      <c r="L1894" s="8" t="s">
        <v>4156</v>
      </c>
      <c r="M1894" s="8" t="s">
        <v>2814</v>
      </c>
      <c r="N1894" s="368" t="s">
        <v>5446</v>
      </c>
      <c r="O1894" s="8"/>
      <c r="P1894" s="4" t="str">
        <f>VLOOKUP($B1894,'D7 - NDB Impacted SPRF''s'!$E$16:$O$9929,9,FALSE)</f>
        <v>Y</v>
      </c>
      <c r="Q1894" s="4" t="str">
        <f>VLOOKUP($B1894,'D7 - NDB Impacted SPRF''s'!$E$16:$O$9929,10,FALSE)</f>
        <v>N</v>
      </c>
      <c r="R1894" s="4" t="str">
        <f>VLOOKUP($B1894,'D7 - NDB Impacted SPRF''s'!$E$16:$O$9929,11,FALSE)</f>
        <v>N</v>
      </c>
      <c r="S1894" s="8"/>
      <c r="T1894" s="310"/>
      <c r="U1894" s="310"/>
      <c r="V1894" s="4"/>
      <c r="W1894" s="4"/>
      <c r="X1894" s="4"/>
      <c r="Y1894" s="4"/>
      <c r="Z1894" s="4"/>
      <c r="AA1894" s="4"/>
      <c r="AB1894" s="380" t="str">
        <f>VLOOKUP($B1894,'D7 - NDB Impacted SPRF''s'!$E$16:$O$9929,4,FALSE)</f>
        <v>Completed</v>
      </c>
      <c r="AC1894" s="380" t="str">
        <f>VLOOKUP($B1894,'D7 - NDB Impacted SPRF''s'!$E$16:$O$9929,3,FALSE)</f>
        <v>UnitedHealthcare Employer &amp; Individual</v>
      </c>
      <c r="AD1894" s="380" t="str">
        <f>VLOOKUP($B1894,'D7 - NDB Impacted SPRF''s'!$E$16:$O$9929,5,FALSE)</f>
        <v>Operations Group</v>
      </c>
      <c r="AE1894" s="380" t="str">
        <f>VLOOKUP($B1894,'D7 - NDB Impacted SPRF''s'!$E$16:$O$9929,7,FALSE)</f>
        <v>Peter Bompane</v>
      </c>
      <c r="AF1894" s="380" t="str">
        <f>VLOOKUP($B1894,'D7 - NDB Impacted SPRF''s'!$E$16:$O$9929,6,FALSE)</f>
        <v>Eileen Dock</v>
      </c>
      <c r="AG1894" s="282" t="s">
        <v>6682</v>
      </c>
      <c r="AH1894" s="311" t="e">
        <f>INDEX('D5 - Gatekeeper - Projects'!$A$4:$AF$1010,$AM1894, 17)</f>
        <v>#N/A</v>
      </c>
      <c r="AI1894" s="8"/>
      <c r="AJ1894" s="57"/>
      <c r="AK1894" s="105"/>
      <c r="AM1894" s="6" t="e">
        <f>MATCH(D1894,'D5 - Gatekeeper - Projects'!$C$4:$C$1010,0)</f>
        <v>#N/A</v>
      </c>
      <c r="AN1894" s="6" t="b">
        <f t="shared" si="203"/>
        <v>1</v>
      </c>
      <c r="AO1894" s="6" t="str">
        <f t="shared" si="205"/>
        <v>OK</v>
      </c>
      <c r="AQ1894" s="6" t="e">
        <f>MATCH($D1894,'D4 - Provider Council Unsched'!$C$11:$C$234,0)</f>
        <v>#N/A</v>
      </c>
      <c r="AR1894" s="6" t="b">
        <f t="shared" si="204"/>
        <v>1</v>
      </c>
      <c r="AS1894" s="6" t="str">
        <f t="shared" si="202"/>
        <v>OK</v>
      </c>
      <c r="AU1894" s="202"/>
      <c r="AV1894" s="262"/>
      <c r="AW1894" s="274"/>
    </row>
    <row r="1895" spans="1:49" s="13" customFormat="1" ht="33.75" x14ac:dyDescent="0.2">
      <c r="A1895" s="14">
        <v>1871</v>
      </c>
      <c r="B1895" s="14">
        <v>400002656</v>
      </c>
      <c r="C1895" s="8" t="s">
        <v>6724</v>
      </c>
      <c r="D1895" s="4" t="str">
        <f t="shared" si="200"/>
        <v>400002656CC07</v>
      </c>
      <c r="E1895" s="309" t="str">
        <f>VLOOKUP($B1895,'D7 - NDB Impacted SPRF''s'!$E$6:$O$9929,2,FALSE)</f>
        <v>Pay to Individual (PTI) Project</v>
      </c>
      <c r="F1895" s="8" t="s">
        <v>1934</v>
      </c>
      <c r="G1895" s="8" t="s">
        <v>4758</v>
      </c>
      <c r="H1895" s="8" t="s">
        <v>4246</v>
      </c>
      <c r="I1895" s="20">
        <v>2.65</v>
      </c>
      <c r="J1895" s="8" t="s">
        <v>7113</v>
      </c>
      <c r="K1895" s="182"/>
      <c r="L1895" s="8" t="s">
        <v>4156</v>
      </c>
      <c r="M1895" s="8" t="s">
        <v>2814</v>
      </c>
      <c r="N1895" s="368" t="s">
        <v>5446</v>
      </c>
      <c r="O1895" s="8"/>
      <c r="P1895" s="4" t="str">
        <f>VLOOKUP($B1895,'D7 - NDB Impacted SPRF''s'!$E$16:$O$9929,9,FALSE)</f>
        <v>Y</v>
      </c>
      <c r="Q1895" s="4" t="str">
        <f>VLOOKUP($B1895,'D7 - NDB Impacted SPRF''s'!$E$16:$O$9929,10,FALSE)</f>
        <v>N</v>
      </c>
      <c r="R1895" s="4" t="str">
        <f>VLOOKUP($B1895,'D7 - NDB Impacted SPRF''s'!$E$16:$O$9929,11,FALSE)</f>
        <v>N</v>
      </c>
      <c r="S1895" s="8"/>
      <c r="T1895" s="310"/>
      <c r="U1895" s="310"/>
      <c r="V1895" s="4"/>
      <c r="W1895" s="4"/>
      <c r="X1895" s="4"/>
      <c r="Y1895" s="4"/>
      <c r="Z1895" s="4"/>
      <c r="AA1895" s="4"/>
      <c r="AB1895" s="380" t="str">
        <f>VLOOKUP($B1895,'D7 - NDB Impacted SPRF''s'!$E$16:$O$9929,4,FALSE)</f>
        <v>Completed</v>
      </c>
      <c r="AC1895" s="380" t="str">
        <f>VLOOKUP($B1895,'D7 - NDB Impacted SPRF''s'!$E$16:$O$9929,3,FALSE)</f>
        <v>UnitedHealthcare Employer &amp; Individual</v>
      </c>
      <c r="AD1895" s="380" t="str">
        <f>VLOOKUP($B1895,'D7 - NDB Impacted SPRF''s'!$E$16:$O$9929,5,FALSE)</f>
        <v>Operations Group</v>
      </c>
      <c r="AE1895" s="380" t="str">
        <f>VLOOKUP($B1895,'D7 - NDB Impacted SPRF''s'!$E$16:$O$9929,7,FALSE)</f>
        <v>Peter Bompane</v>
      </c>
      <c r="AF1895" s="380" t="str">
        <f>VLOOKUP($B1895,'D7 - NDB Impacted SPRF''s'!$E$16:$O$9929,6,FALSE)</f>
        <v>Eileen Dock</v>
      </c>
      <c r="AG1895" s="282" t="s">
        <v>6682</v>
      </c>
      <c r="AH1895" s="311" t="e">
        <f>INDEX('D5 - Gatekeeper - Projects'!$A$4:$AF$1010,$AM1895, 17)</f>
        <v>#N/A</v>
      </c>
      <c r="AI1895" s="8"/>
      <c r="AJ1895" s="57"/>
      <c r="AK1895" s="105"/>
      <c r="AM1895" s="6" t="e">
        <f>MATCH(D1895,'D5 - Gatekeeper - Projects'!$C$4:$C$1010,0)</f>
        <v>#N/A</v>
      </c>
      <c r="AN1895" s="6" t="b">
        <f t="shared" si="203"/>
        <v>1</v>
      </c>
      <c r="AO1895" s="6" t="str">
        <f t="shared" si="205"/>
        <v>OK</v>
      </c>
      <c r="AQ1895" s="6" t="e">
        <f>MATCH($D1895,'D4 - Provider Council Unsched'!$C$11:$C$234,0)</f>
        <v>#N/A</v>
      </c>
      <c r="AR1895" s="6" t="b">
        <f t="shared" si="204"/>
        <v>1</v>
      </c>
      <c r="AS1895" s="6" t="str">
        <f t="shared" si="202"/>
        <v>OK</v>
      </c>
      <c r="AU1895" s="202"/>
      <c r="AV1895" s="262"/>
      <c r="AW1895" s="274"/>
    </row>
    <row r="1896" spans="1:49" s="13" customFormat="1" ht="33.75" x14ac:dyDescent="0.2">
      <c r="A1896" s="14">
        <v>1872</v>
      </c>
      <c r="B1896" s="14">
        <v>400002656</v>
      </c>
      <c r="C1896" s="8" t="s">
        <v>5227</v>
      </c>
      <c r="D1896" s="4" t="str">
        <f t="shared" si="200"/>
        <v>400002656CC10</v>
      </c>
      <c r="E1896" s="309" t="str">
        <f>VLOOKUP($B1896,'D7 - NDB Impacted SPRF''s'!$E$6:$O$9929,2,FALSE)</f>
        <v>Pay to Individual (PTI) Project</v>
      </c>
      <c r="F1896" s="8" t="s">
        <v>1934</v>
      </c>
      <c r="G1896" s="8" t="s">
        <v>4758</v>
      </c>
      <c r="H1896" s="8" t="s">
        <v>4246</v>
      </c>
      <c r="I1896" s="20">
        <v>0.8</v>
      </c>
      <c r="J1896" s="8" t="s">
        <v>7113</v>
      </c>
      <c r="K1896" s="182"/>
      <c r="L1896" s="8" t="s">
        <v>4156</v>
      </c>
      <c r="M1896" s="8" t="s">
        <v>2814</v>
      </c>
      <c r="N1896" s="368" t="s">
        <v>5446</v>
      </c>
      <c r="O1896" s="8"/>
      <c r="P1896" s="4" t="str">
        <f>VLOOKUP($B1896,'D7 - NDB Impacted SPRF''s'!$E$16:$O$9929,9,FALSE)</f>
        <v>Y</v>
      </c>
      <c r="Q1896" s="4" t="str">
        <f>VLOOKUP($B1896,'D7 - NDB Impacted SPRF''s'!$E$16:$O$9929,10,FALSE)</f>
        <v>N</v>
      </c>
      <c r="R1896" s="4" t="str">
        <f>VLOOKUP($B1896,'D7 - NDB Impacted SPRF''s'!$E$16:$O$9929,11,FALSE)</f>
        <v>N</v>
      </c>
      <c r="S1896" s="8"/>
      <c r="T1896" s="310"/>
      <c r="U1896" s="310"/>
      <c r="V1896" s="4"/>
      <c r="W1896" s="4"/>
      <c r="X1896" s="4"/>
      <c r="Y1896" s="4"/>
      <c r="Z1896" s="4"/>
      <c r="AA1896" s="4"/>
      <c r="AB1896" s="380" t="str">
        <f>VLOOKUP($B1896,'D7 - NDB Impacted SPRF''s'!$E$16:$O$9929,4,FALSE)</f>
        <v>Completed</v>
      </c>
      <c r="AC1896" s="380" t="str">
        <f>VLOOKUP($B1896,'D7 - NDB Impacted SPRF''s'!$E$16:$O$9929,3,FALSE)</f>
        <v>UnitedHealthcare Employer &amp; Individual</v>
      </c>
      <c r="AD1896" s="380" t="str">
        <f>VLOOKUP($B1896,'D7 - NDB Impacted SPRF''s'!$E$16:$O$9929,5,FALSE)</f>
        <v>Operations Group</v>
      </c>
      <c r="AE1896" s="380" t="str">
        <f>VLOOKUP($B1896,'D7 - NDB Impacted SPRF''s'!$E$16:$O$9929,7,FALSE)</f>
        <v>Peter Bompane</v>
      </c>
      <c r="AF1896" s="380" t="str">
        <f>VLOOKUP($B1896,'D7 - NDB Impacted SPRF''s'!$E$16:$O$9929,6,FALSE)</f>
        <v>Eileen Dock</v>
      </c>
      <c r="AG1896" s="282" t="s">
        <v>6682</v>
      </c>
      <c r="AH1896" s="311" t="e">
        <f>INDEX('D5 - Gatekeeper - Projects'!$A$4:$AF$1010,$AM1896, 17)</f>
        <v>#N/A</v>
      </c>
      <c r="AI1896" s="8"/>
      <c r="AJ1896" s="57"/>
      <c r="AK1896" s="105"/>
      <c r="AM1896" s="6" t="e">
        <f>MATCH(D1896,'D5 - Gatekeeper - Projects'!$C$4:$C$1010,0)</f>
        <v>#N/A</v>
      </c>
      <c r="AN1896" s="6" t="b">
        <f t="shared" si="203"/>
        <v>1</v>
      </c>
      <c r="AO1896" s="6" t="str">
        <f t="shared" si="205"/>
        <v>OK</v>
      </c>
      <c r="AQ1896" s="6" t="e">
        <f>MATCH($D1896,'D4 - Provider Council Unsched'!$C$11:$C$234,0)</f>
        <v>#N/A</v>
      </c>
      <c r="AR1896" s="6" t="b">
        <f t="shared" si="204"/>
        <v>1</v>
      </c>
      <c r="AS1896" s="6" t="str">
        <f t="shared" si="202"/>
        <v>OK</v>
      </c>
      <c r="AU1896" s="202"/>
      <c r="AV1896" s="262"/>
      <c r="AW1896" s="274"/>
    </row>
    <row r="1897" spans="1:49" s="13" customFormat="1" ht="33.75" x14ac:dyDescent="0.2">
      <c r="A1897" s="14">
        <v>1873</v>
      </c>
      <c r="B1897" s="14">
        <v>400002656</v>
      </c>
      <c r="C1897" s="8" t="s">
        <v>2449</v>
      </c>
      <c r="D1897" s="4" t="str">
        <f t="shared" si="200"/>
        <v>400002656R3</v>
      </c>
      <c r="E1897" s="309" t="str">
        <f>VLOOKUP($B1897,'D7 - NDB Impacted SPRF''s'!$E$6:$O$9929,2,FALSE)</f>
        <v>Pay to Individual (PTI) Project</v>
      </c>
      <c r="F1897" s="8" t="s">
        <v>1934</v>
      </c>
      <c r="G1897" s="8" t="s">
        <v>4758</v>
      </c>
      <c r="H1897" s="8" t="s">
        <v>4246</v>
      </c>
      <c r="I1897" s="20">
        <v>4</v>
      </c>
      <c r="J1897" s="8" t="s">
        <v>7113</v>
      </c>
      <c r="K1897" s="182"/>
      <c r="L1897" s="8" t="s">
        <v>4156</v>
      </c>
      <c r="M1897" s="8" t="s">
        <v>2814</v>
      </c>
      <c r="N1897" s="368" t="s">
        <v>5446</v>
      </c>
      <c r="O1897" s="8"/>
      <c r="P1897" s="4" t="str">
        <f>VLOOKUP($B1897,'D7 - NDB Impacted SPRF''s'!$E$16:$O$9929,9,FALSE)</f>
        <v>Y</v>
      </c>
      <c r="Q1897" s="4" t="str">
        <f>VLOOKUP($B1897,'D7 - NDB Impacted SPRF''s'!$E$16:$O$9929,10,FALSE)</f>
        <v>N</v>
      </c>
      <c r="R1897" s="4" t="str">
        <f>VLOOKUP($B1897,'D7 - NDB Impacted SPRF''s'!$E$16:$O$9929,11,FALSE)</f>
        <v>N</v>
      </c>
      <c r="S1897" s="8"/>
      <c r="T1897" s="310"/>
      <c r="U1897" s="310"/>
      <c r="V1897" s="4"/>
      <c r="W1897" s="4"/>
      <c r="X1897" s="4"/>
      <c r="Y1897" s="4"/>
      <c r="Z1897" s="4"/>
      <c r="AA1897" s="4"/>
      <c r="AB1897" s="380" t="str">
        <f>VLOOKUP($B1897,'D7 - NDB Impacted SPRF''s'!$E$16:$O$9929,4,FALSE)</f>
        <v>Completed</v>
      </c>
      <c r="AC1897" s="380" t="str">
        <f>VLOOKUP($B1897,'D7 - NDB Impacted SPRF''s'!$E$16:$O$9929,3,FALSE)</f>
        <v>UnitedHealthcare Employer &amp; Individual</v>
      </c>
      <c r="AD1897" s="380" t="str">
        <f>VLOOKUP($B1897,'D7 - NDB Impacted SPRF''s'!$E$16:$O$9929,5,FALSE)</f>
        <v>Operations Group</v>
      </c>
      <c r="AE1897" s="380" t="str">
        <f>VLOOKUP($B1897,'D7 - NDB Impacted SPRF''s'!$E$16:$O$9929,7,FALSE)</f>
        <v>Peter Bompane</v>
      </c>
      <c r="AF1897" s="380" t="str">
        <f>VLOOKUP($B1897,'D7 - NDB Impacted SPRF''s'!$E$16:$O$9929,6,FALSE)</f>
        <v>Eileen Dock</v>
      </c>
      <c r="AG1897" s="282" t="s">
        <v>6682</v>
      </c>
      <c r="AH1897" s="311" t="e">
        <f>INDEX('D5 - Gatekeeper - Projects'!$A$4:$AF$1010,$AM1897, 17)</f>
        <v>#N/A</v>
      </c>
      <c r="AI1897" s="8"/>
      <c r="AJ1897" s="57"/>
      <c r="AK1897" s="105"/>
      <c r="AM1897" s="6" t="e">
        <f>MATCH(D1897,'D5 - Gatekeeper - Projects'!$C$4:$C$1010,0)</f>
        <v>#N/A</v>
      </c>
      <c r="AN1897" s="6" t="b">
        <f t="shared" si="203"/>
        <v>1</v>
      </c>
      <c r="AO1897" s="6" t="str">
        <f t="shared" si="205"/>
        <v>OK</v>
      </c>
      <c r="AQ1897" s="6" t="e">
        <f>MATCH($D1897,'D4 - Provider Council Unsched'!$C$11:$C$234,0)</f>
        <v>#N/A</v>
      </c>
      <c r="AR1897" s="6" t="b">
        <f t="shared" si="204"/>
        <v>1</v>
      </c>
      <c r="AS1897" s="6" t="str">
        <f t="shared" si="202"/>
        <v>OK</v>
      </c>
      <c r="AU1897" s="202"/>
      <c r="AV1897" s="262"/>
      <c r="AW1897" s="274"/>
    </row>
    <row r="1898" spans="1:49" s="13" customFormat="1" ht="33.75" x14ac:dyDescent="0.2">
      <c r="A1898" s="14">
        <v>1874</v>
      </c>
      <c r="B1898" s="14">
        <v>400002827</v>
      </c>
      <c r="C1898" s="8" t="s">
        <v>5197</v>
      </c>
      <c r="D1898" s="4" t="str">
        <f t="shared" si="200"/>
        <v>400002827R1</v>
      </c>
      <c r="E1898" s="309" t="str">
        <f>VLOOKUP($B1898,'D7 - NDB Impacted SPRF''s'!$E$6:$O$9929,2,FALSE)</f>
        <v>Medica Unlink/Relink UHCIDs</v>
      </c>
      <c r="F1898" s="8"/>
      <c r="G1898" s="8" t="s">
        <v>4758</v>
      </c>
      <c r="H1898" s="8" t="s">
        <v>4246</v>
      </c>
      <c r="I1898" s="20"/>
      <c r="J1898" s="8"/>
      <c r="K1898" s="182"/>
      <c r="L1898" s="8" t="s">
        <v>4964</v>
      </c>
      <c r="M1898" s="8" t="s">
        <v>2814</v>
      </c>
      <c r="N1898" s="367"/>
      <c r="O1898" s="8"/>
      <c r="P1898" s="4" t="str">
        <f>VLOOKUP($B1898,'D7 - NDB Impacted SPRF''s'!$E$16:$O$9929,9,FALSE)</f>
        <v>N</v>
      </c>
      <c r="Q1898" s="4" t="str">
        <f>VLOOKUP($B1898,'D7 - NDB Impacted SPRF''s'!$E$16:$O$9929,10,FALSE)</f>
        <v>N</v>
      </c>
      <c r="R1898" s="4" t="str">
        <f>VLOOKUP($B1898,'D7 - NDB Impacted SPRF''s'!$E$16:$O$9929,11,FALSE)</f>
        <v>N</v>
      </c>
      <c r="S1898" s="8"/>
      <c r="T1898" s="310"/>
      <c r="U1898" s="310"/>
      <c r="V1898" s="4"/>
      <c r="W1898" s="4"/>
      <c r="X1898" s="4"/>
      <c r="Y1898" s="4"/>
      <c r="Z1898" s="4"/>
      <c r="AA1898" s="4"/>
      <c r="AB1898" s="380" t="str">
        <f>VLOOKUP($B1898,'D7 - NDB Impacted SPRF''s'!$E$16:$O$9929,4,FALSE)</f>
        <v>Completed</v>
      </c>
      <c r="AC1898" s="380" t="str">
        <f>VLOOKUP($B1898,'D7 - NDB Impacted SPRF''s'!$E$16:$O$9929,3,FALSE)</f>
        <v>UnitedHealthcare Employer &amp; Individual</v>
      </c>
      <c r="AD1898" s="380" t="str">
        <f>VLOOKUP($B1898,'D7 - NDB Impacted SPRF''s'!$E$16:$O$9929,5,FALSE)</f>
        <v>Operations Group</v>
      </c>
      <c r="AE1898" s="380" t="str">
        <f>VLOOKUP($B1898,'D7 - NDB Impacted SPRF''s'!$E$16:$O$9929,7,FALSE)</f>
        <v>Peter Bompane</v>
      </c>
      <c r="AF1898" s="380" t="str">
        <f>VLOOKUP($B1898,'D7 - NDB Impacted SPRF''s'!$E$16:$O$9929,6,FALSE)</f>
        <v>Barbara Dickson</v>
      </c>
      <c r="AG1898" s="282"/>
      <c r="AH1898" s="311" t="e">
        <f>INDEX('D5 - Gatekeeper - Projects'!$A$4:$AF$1010,$AM1898, 17)</f>
        <v>#N/A</v>
      </c>
      <c r="AI1898" s="8"/>
      <c r="AJ1898" s="57"/>
      <c r="AK1898" s="105"/>
      <c r="AM1898" s="6" t="e">
        <f>MATCH(D1898,'D5 - Gatekeeper - Projects'!$C$4:$C$1010,0)</f>
        <v>#N/A</v>
      </c>
      <c r="AN1898" s="6" t="b">
        <f t="shared" si="203"/>
        <v>1</v>
      </c>
      <c r="AO1898" s="6" t="str">
        <f t="shared" si="205"/>
        <v>OK</v>
      </c>
      <c r="AQ1898" s="6" t="e">
        <f>MATCH($D1898,'D4 - Provider Council Unsched'!$C$11:$C$234,0)</f>
        <v>#N/A</v>
      </c>
      <c r="AR1898" s="6" t="b">
        <f t="shared" si="204"/>
        <v>1</v>
      </c>
      <c r="AS1898" s="6" t="str">
        <f t="shared" si="202"/>
        <v>OK</v>
      </c>
      <c r="AU1898" s="202"/>
      <c r="AV1898" s="262"/>
      <c r="AW1898" s="274"/>
    </row>
    <row r="1899" spans="1:49" s="13" customFormat="1" ht="22.5" x14ac:dyDescent="0.2">
      <c r="A1899" s="14">
        <v>1875</v>
      </c>
      <c r="B1899" s="14">
        <v>400002955</v>
      </c>
      <c r="C1899" s="8" t="s">
        <v>5197</v>
      </c>
      <c r="D1899" s="4" t="str">
        <f t="shared" si="200"/>
        <v>400002955R1</v>
      </c>
      <c r="E1899" s="309" t="str">
        <f>VLOOKUP($B1899,'D7 - NDB Impacted SPRF''s'!$E$6:$O$9929,2,FALSE)</f>
        <v>PIT - NS19 Provider Tin Not Found</v>
      </c>
      <c r="F1899" s="8"/>
      <c r="G1899" s="8" t="s">
        <v>4758</v>
      </c>
      <c r="H1899" s="8" t="s">
        <v>4246</v>
      </c>
      <c r="I1899" s="20"/>
      <c r="J1899" s="8"/>
      <c r="K1899" s="182"/>
      <c r="L1899" s="8" t="s">
        <v>4964</v>
      </c>
      <c r="M1899" s="8" t="s">
        <v>2814</v>
      </c>
      <c r="N1899" s="367"/>
      <c r="O1899" s="8"/>
      <c r="P1899" s="4" t="str">
        <f>VLOOKUP($B1899,'D7 - NDB Impacted SPRF''s'!$E$16:$O$9929,9,FALSE)</f>
        <v>Y</v>
      </c>
      <c r="Q1899" s="4" t="str">
        <f>VLOOKUP($B1899,'D7 - NDB Impacted SPRF''s'!$E$16:$O$9929,10,FALSE)</f>
        <v>N</v>
      </c>
      <c r="R1899" s="4" t="str">
        <f>VLOOKUP($B1899,'D7 - NDB Impacted SPRF''s'!$E$16:$O$9929,11,FALSE)</f>
        <v>N</v>
      </c>
      <c r="S1899" s="8"/>
      <c r="T1899" s="310"/>
      <c r="U1899" s="310"/>
      <c r="V1899" s="4"/>
      <c r="W1899" s="4"/>
      <c r="X1899" s="4"/>
      <c r="Y1899" s="4"/>
      <c r="Z1899" s="4"/>
      <c r="AA1899" s="4"/>
      <c r="AB1899" s="380" t="str">
        <f>VLOOKUP($B1899,'D7 - NDB Impacted SPRF''s'!$E$16:$O$9929,4,FALSE)</f>
        <v>Completed</v>
      </c>
      <c r="AC1899" s="380" t="str">
        <f>VLOOKUP($B1899,'D7 - NDB Impacted SPRF''s'!$E$16:$O$9929,3,FALSE)</f>
        <v>Uniprise</v>
      </c>
      <c r="AD1899" s="380" t="str">
        <f>VLOOKUP($B1899,'D7 - NDB Impacted SPRF''s'!$E$16:$O$9929,5,FALSE)</f>
        <v>Uniprise Operations - Capital Projects</v>
      </c>
      <c r="AE1899" s="380" t="str">
        <f>VLOOKUP($B1899,'D7 - NDB Impacted SPRF''s'!$E$16:$O$9929,7,FALSE)</f>
        <v>Tom O'Brien</v>
      </c>
      <c r="AF1899" s="380" t="str">
        <f>VLOOKUP($B1899,'D7 - NDB Impacted SPRF''s'!$E$16:$O$9929,6,FALSE)</f>
        <v>Mary Leszuk</v>
      </c>
      <c r="AG1899" s="282"/>
      <c r="AH1899" s="311" t="e">
        <f>INDEX('D5 - Gatekeeper - Projects'!$A$4:$AF$1010,$AM1899, 17)</f>
        <v>#N/A</v>
      </c>
      <c r="AI1899" s="8"/>
      <c r="AJ1899" s="57"/>
      <c r="AK1899" s="105"/>
      <c r="AM1899" s="6" t="e">
        <f>MATCH(D1899,'D5 - Gatekeeper - Projects'!$C$4:$C$1010,0)</f>
        <v>#N/A</v>
      </c>
      <c r="AN1899" s="6" t="b">
        <f t="shared" si="203"/>
        <v>1</v>
      </c>
      <c r="AO1899" s="6" t="str">
        <f t="shared" si="205"/>
        <v>OK</v>
      </c>
      <c r="AQ1899" s="6" t="e">
        <f>MATCH($D1899,'D4 - Provider Council Unsched'!$C$11:$C$234,0)</f>
        <v>#N/A</v>
      </c>
      <c r="AR1899" s="6" t="b">
        <f t="shared" si="204"/>
        <v>1</v>
      </c>
      <c r="AS1899" s="6" t="str">
        <f t="shared" si="202"/>
        <v>OK</v>
      </c>
      <c r="AU1899" s="202"/>
      <c r="AV1899" s="262"/>
      <c r="AW1899" s="274"/>
    </row>
    <row r="1900" spans="1:49" s="13" customFormat="1" ht="33.75" x14ac:dyDescent="0.2">
      <c r="A1900" s="14">
        <v>1876</v>
      </c>
      <c r="B1900" s="14">
        <v>400003226</v>
      </c>
      <c r="C1900" s="8" t="s">
        <v>7133</v>
      </c>
      <c r="D1900" s="4" t="str">
        <f t="shared" si="200"/>
        <v>400003226CC04</v>
      </c>
      <c r="E1900" s="309" t="str">
        <f>VLOOKUP($B1900,'D7 - NDB Impacted SPRF''s'!$E$6:$O$9929,2,FALSE)</f>
        <v>Centers of Excellence Generation 1 (2004)</v>
      </c>
      <c r="F1900" s="8" t="s">
        <v>7242</v>
      </c>
      <c r="G1900" s="8" t="s">
        <v>4758</v>
      </c>
      <c r="H1900" s="8" t="s">
        <v>4246</v>
      </c>
      <c r="I1900" s="20"/>
      <c r="J1900" s="8"/>
      <c r="K1900" s="182"/>
      <c r="L1900" s="8" t="s">
        <v>4964</v>
      </c>
      <c r="M1900" s="8" t="s">
        <v>2814</v>
      </c>
      <c r="N1900" s="367"/>
      <c r="O1900" s="8"/>
      <c r="P1900" s="4" t="str">
        <f>VLOOKUP($B1900,'D7 - NDB Impacted SPRF''s'!$E$16:$O$9929,9,FALSE)</f>
        <v>Y</v>
      </c>
      <c r="Q1900" s="4" t="str">
        <f>VLOOKUP($B1900,'D7 - NDB Impacted SPRF''s'!$E$16:$O$9929,10,FALSE)</f>
        <v>N</v>
      </c>
      <c r="R1900" s="4" t="str">
        <f>VLOOKUP($B1900,'D7 - NDB Impacted SPRF''s'!$E$16:$O$9929,11,FALSE)</f>
        <v>N</v>
      </c>
      <c r="S1900" s="8"/>
      <c r="T1900" s="310"/>
      <c r="U1900" s="310"/>
      <c r="V1900" s="4"/>
      <c r="W1900" s="4"/>
      <c r="X1900" s="4"/>
      <c r="Y1900" s="4"/>
      <c r="Z1900" s="4"/>
      <c r="AA1900" s="4"/>
      <c r="AB1900" s="380" t="str">
        <f>VLOOKUP($B1900,'D7 - NDB Impacted SPRF''s'!$E$16:$O$9929,4,FALSE)</f>
        <v>Completed</v>
      </c>
      <c r="AC1900" s="380" t="str">
        <f>VLOOKUP($B1900,'D7 - NDB Impacted SPRF''s'!$E$16:$O$9929,3,FALSE)</f>
        <v>UnitedHealthcare Employer &amp; Individual</v>
      </c>
      <c r="AD1900" s="380" t="str">
        <f>VLOOKUP($B1900,'D7 - NDB Impacted SPRF''s'!$E$16:$O$9929,5,FALSE)</f>
        <v>Key Initiatives Group</v>
      </c>
      <c r="AE1900" s="380" t="str">
        <f>VLOOKUP($B1900,'D7 - NDB Impacted SPRF''s'!$E$16:$O$9929,7,FALSE)</f>
        <v>Dr. Lewis Sandy</v>
      </c>
      <c r="AF1900" s="380" t="str">
        <f>VLOOKUP($B1900,'D7 - NDB Impacted SPRF''s'!$E$16:$O$9929,6,FALSE)</f>
        <v>TAMMY CASEY</v>
      </c>
      <c r="AG1900" s="282"/>
      <c r="AH1900" s="311" t="e">
        <f>INDEX('D5 - Gatekeeper - Projects'!$A$4:$AF$1010,$AM1900, 17)</f>
        <v>#N/A</v>
      </c>
      <c r="AI1900" s="8"/>
      <c r="AJ1900" s="57"/>
      <c r="AK1900" s="105"/>
      <c r="AM1900" s="6" t="e">
        <f>MATCH(D1900,'D5 - Gatekeeper - Projects'!$C$4:$C$1010,0)</f>
        <v>#N/A</v>
      </c>
      <c r="AN1900" s="6" t="b">
        <f t="shared" si="203"/>
        <v>1</v>
      </c>
      <c r="AO1900" s="6" t="str">
        <f t="shared" si="205"/>
        <v>OK</v>
      </c>
      <c r="AQ1900" s="6" t="e">
        <f>MATCH($D1900,'D4 - Provider Council Unsched'!$C$11:$C$234,0)</f>
        <v>#N/A</v>
      </c>
      <c r="AR1900" s="6" t="b">
        <f t="shared" si="204"/>
        <v>1</v>
      </c>
      <c r="AS1900" s="6" t="str">
        <f t="shared" ref="AS1900:AS1925" si="206">IF(AND(H1900="2 - Not Scheduled",AR1900=TRUE),"Add","OK")</f>
        <v>OK</v>
      </c>
      <c r="AU1900" s="202"/>
      <c r="AV1900" s="262"/>
      <c r="AW1900" s="274"/>
    </row>
    <row r="1901" spans="1:49" s="13" customFormat="1" ht="33.75" x14ac:dyDescent="0.2">
      <c r="A1901" s="14">
        <v>1877</v>
      </c>
      <c r="B1901" s="14">
        <v>400003226</v>
      </c>
      <c r="C1901" s="8" t="s">
        <v>6723</v>
      </c>
      <c r="D1901" s="4" t="str">
        <f t="shared" si="200"/>
        <v>400003226CC09</v>
      </c>
      <c r="E1901" s="309" t="str">
        <f>VLOOKUP($B1901,'D7 - NDB Impacted SPRF''s'!$E$6:$O$9929,2,FALSE)</f>
        <v>Centers of Excellence Generation 1 (2004)</v>
      </c>
      <c r="F1901" s="8" t="s">
        <v>7242</v>
      </c>
      <c r="G1901" s="8" t="s">
        <v>4758</v>
      </c>
      <c r="H1901" s="8" t="s">
        <v>4246</v>
      </c>
      <c r="I1901" s="20"/>
      <c r="J1901" s="8"/>
      <c r="K1901" s="182"/>
      <c r="L1901" s="8" t="s">
        <v>4964</v>
      </c>
      <c r="M1901" s="8" t="s">
        <v>2814</v>
      </c>
      <c r="N1901" s="367"/>
      <c r="O1901" s="8"/>
      <c r="P1901" s="4" t="str">
        <f>VLOOKUP($B1901,'D7 - NDB Impacted SPRF''s'!$E$16:$O$9929,9,FALSE)</f>
        <v>Y</v>
      </c>
      <c r="Q1901" s="4" t="str">
        <f>VLOOKUP($B1901,'D7 - NDB Impacted SPRF''s'!$E$16:$O$9929,10,FALSE)</f>
        <v>N</v>
      </c>
      <c r="R1901" s="4" t="str">
        <f>VLOOKUP($B1901,'D7 - NDB Impacted SPRF''s'!$E$16:$O$9929,11,FALSE)</f>
        <v>N</v>
      </c>
      <c r="S1901" s="8"/>
      <c r="T1901" s="310"/>
      <c r="U1901" s="310"/>
      <c r="V1901" s="4"/>
      <c r="W1901" s="4"/>
      <c r="X1901" s="4"/>
      <c r="Y1901" s="4"/>
      <c r="Z1901" s="4"/>
      <c r="AA1901" s="4"/>
      <c r="AB1901" s="380" t="str">
        <f>VLOOKUP($B1901,'D7 - NDB Impacted SPRF''s'!$E$16:$O$9929,4,FALSE)</f>
        <v>Completed</v>
      </c>
      <c r="AC1901" s="380" t="str">
        <f>VLOOKUP($B1901,'D7 - NDB Impacted SPRF''s'!$E$16:$O$9929,3,FALSE)</f>
        <v>UnitedHealthcare Employer &amp; Individual</v>
      </c>
      <c r="AD1901" s="380" t="str">
        <f>VLOOKUP($B1901,'D7 - NDB Impacted SPRF''s'!$E$16:$O$9929,5,FALSE)</f>
        <v>Key Initiatives Group</v>
      </c>
      <c r="AE1901" s="380" t="str">
        <f>VLOOKUP($B1901,'D7 - NDB Impacted SPRF''s'!$E$16:$O$9929,7,FALSE)</f>
        <v>Dr. Lewis Sandy</v>
      </c>
      <c r="AF1901" s="380" t="str">
        <f>VLOOKUP($B1901,'D7 - NDB Impacted SPRF''s'!$E$16:$O$9929,6,FALSE)</f>
        <v>TAMMY CASEY</v>
      </c>
      <c r="AG1901" s="282"/>
      <c r="AH1901" s="311" t="e">
        <f>INDEX('D5 - Gatekeeper - Projects'!$A$4:$AF$1010,$AM1901, 17)</f>
        <v>#N/A</v>
      </c>
      <c r="AI1901" s="8"/>
      <c r="AJ1901" s="57"/>
      <c r="AK1901" s="105"/>
      <c r="AM1901" s="6" t="e">
        <f>MATCH(D1901,'D5 - Gatekeeper - Projects'!$C$4:$C$1010,0)</f>
        <v>#N/A</v>
      </c>
      <c r="AN1901" s="6" t="b">
        <f t="shared" si="203"/>
        <v>1</v>
      </c>
      <c r="AO1901" s="6" t="str">
        <f t="shared" si="205"/>
        <v>OK</v>
      </c>
      <c r="AQ1901" s="6" t="e">
        <f>MATCH($D1901,'D4 - Provider Council Unsched'!$C$11:$C$234,0)</f>
        <v>#N/A</v>
      </c>
      <c r="AR1901" s="6" t="b">
        <f t="shared" si="204"/>
        <v>1</v>
      </c>
      <c r="AS1901" s="6" t="str">
        <f t="shared" si="206"/>
        <v>OK</v>
      </c>
      <c r="AU1901" s="202"/>
      <c r="AV1901" s="262"/>
      <c r="AW1901" s="274"/>
    </row>
    <row r="1902" spans="1:49" s="13" customFormat="1" ht="33.75" x14ac:dyDescent="0.2">
      <c r="A1902" s="14">
        <v>1878</v>
      </c>
      <c r="B1902" s="14">
        <v>400003373</v>
      </c>
      <c r="C1902" s="8" t="s">
        <v>5197</v>
      </c>
      <c r="D1902" s="4" t="str">
        <f t="shared" si="200"/>
        <v>400003373R1</v>
      </c>
      <c r="E1902" s="309" t="str">
        <f>VLOOKUP($B1902,'D7 - NDB Impacted SPRF''s'!$E$6:$O$9929,2,FALSE)</f>
        <v>United eServices Development - Release 7</v>
      </c>
      <c r="F1902" s="8" t="s">
        <v>6807</v>
      </c>
      <c r="G1902" s="8" t="s">
        <v>4758</v>
      </c>
      <c r="H1902" s="8" t="s">
        <v>4246</v>
      </c>
      <c r="I1902" s="20"/>
      <c r="J1902" s="8"/>
      <c r="K1902" s="182"/>
      <c r="L1902" s="8" t="s">
        <v>4964</v>
      </c>
      <c r="M1902" s="8" t="s">
        <v>2814</v>
      </c>
      <c r="N1902" s="367"/>
      <c r="O1902" s="8"/>
      <c r="P1902" s="4" t="str">
        <f>VLOOKUP($B1902,'D7 - NDB Impacted SPRF''s'!$E$16:$O$9929,9,FALSE)</f>
        <v>N</v>
      </c>
      <c r="Q1902" s="4" t="str">
        <f>VLOOKUP($B1902,'D7 - NDB Impacted SPRF''s'!$E$16:$O$9929,10,FALSE)</f>
        <v>N</v>
      </c>
      <c r="R1902" s="4" t="str">
        <f>VLOOKUP($B1902,'D7 - NDB Impacted SPRF''s'!$E$16:$O$9929,11,FALSE)</f>
        <v>N</v>
      </c>
      <c r="S1902" s="8"/>
      <c r="T1902" s="310"/>
      <c r="U1902" s="310"/>
      <c r="V1902" s="4"/>
      <c r="W1902" s="4"/>
      <c r="X1902" s="4"/>
      <c r="Y1902" s="4"/>
      <c r="Z1902" s="4"/>
      <c r="AA1902" s="4"/>
      <c r="AB1902" s="380" t="str">
        <f>VLOOKUP($B1902,'D7 - NDB Impacted SPRF''s'!$E$16:$O$9929,4,FALSE)</f>
        <v>Completed</v>
      </c>
      <c r="AC1902" s="380" t="str">
        <f>VLOOKUP($B1902,'D7 - NDB Impacted SPRF''s'!$E$16:$O$9929,3,FALSE)</f>
        <v>UnitedHealthcare Employer &amp; Individual</v>
      </c>
      <c r="AD1902" s="380" t="str">
        <f>VLOOKUP($B1902,'D7 - NDB Impacted SPRF''s'!$E$16:$O$9929,5,FALSE)</f>
        <v>Operations Group</v>
      </c>
      <c r="AE1902" s="380" t="str">
        <f>VLOOKUP($B1902,'D7 - NDB Impacted SPRF''s'!$E$16:$O$9929,7,FALSE)</f>
        <v>Steve Auerbach</v>
      </c>
      <c r="AF1902" s="380" t="str">
        <f>VLOOKUP($B1902,'D7 - NDB Impacted SPRF''s'!$E$16:$O$9929,6,FALSE)</f>
        <v>Cathy Ball</v>
      </c>
      <c r="AG1902" s="282"/>
      <c r="AH1902" s="311" t="e">
        <f>INDEX('D5 - Gatekeeper - Projects'!$A$4:$AF$1010,$AM1902, 17)</f>
        <v>#N/A</v>
      </c>
      <c r="AI1902" s="8"/>
      <c r="AJ1902" s="57"/>
      <c r="AK1902" s="105"/>
      <c r="AM1902" s="6" t="e">
        <f>MATCH(D1902,'D5 - Gatekeeper - Projects'!$C$4:$C$1010,0)</f>
        <v>#N/A</v>
      </c>
      <c r="AN1902" s="6" t="b">
        <f t="shared" si="203"/>
        <v>1</v>
      </c>
      <c r="AO1902" s="6" t="str">
        <f t="shared" si="205"/>
        <v>OK</v>
      </c>
      <c r="AQ1902" s="6" t="e">
        <f>MATCH($D1902,'D4 - Provider Council Unsched'!$C$11:$C$234,0)</f>
        <v>#N/A</v>
      </c>
      <c r="AR1902" s="6" t="b">
        <f t="shared" si="204"/>
        <v>1</v>
      </c>
      <c r="AS1902" s="6" t="str">
        <f t="shared" si="206"/>
        <v>OK</v>
      </c>
      <c r="AU1902" s="202"/>
      <c r="AV1902" s="262"/>
      <c r="AW1902" s="274"/>
    </row>
    <row r="1903" spans="1:49" s="13" customFormat="1" ht="33.75" x14ac:dyDescent="0.2">
      <c r="A1903" s="14">
        <v>1879</v>
      </c>
      <c r="B1903" s="14">
        <v>400003631</v>
      </c>
      <c r="C1903" s="8" t="s">
        <v>5197</v>
      </c>
      <c r="D1903" s="4" t="str">
        <f t="shared" si="200"/>
        <v>400003631R1</v>
      </c>
      <c r="E1903" s="309" t="str">
        <f>VLOOKUP($B1903,'D7 - NDB Impacted SPRF''s'!$E$6:$O$9929,2,FALSE)</f>
        <v>Non-ProTech/ProTech Prof Srvc Global Facility POS</v>
      </c>
      <c r="F1903" s="8"/>
      <c r="G1903" s="8" t="s">
        <v>4758</v>
      </c>
      <c r="H1903" s="8" t="s">
        <v>4246</v>
      </c>
      <c r="I1903" s="20"/>
      <c r="J1903" s="8"/>
      <c r="K1903" s="182"/>
      <c r="L1903" s="8" t="s">
        <v>6164</v>
      </c>
      <c r="M1903" s="8" t="s">
        <v>2814</v>
      </c>
      <c r="N1903" s="367"/>
      <c r="O1903" s="8"/>
      <c r="P1903" s="4" t="str">
        <f>VLOOKUP($B1903,'D7 - NDB Impacted SPRF''s'!$E$16:$O$9929,9,FALSE)</f>
        <v>Y</v>
      </c>
      <c r="Q1903" s="4" t="str">
        <f>VLOOKUP($B1903,'D7 - NDB Impacted SPRF''s'!$E$16:$O$9929,10,FALSE)</f>
        <v>N</v>
      </c>
      <c r="R1903" s="4" t="str">
        <f>VLOOKUP($B1903,'D7 - NDB Impacted SPRF''s'!$E$16:$O$9929,11,FALSE)</f>
        <v>N</v>
      </c>
      <c r="S1903" s="8"/>
      <c r="T1903" s="310"/>
      <c r="U1903" s="310"/>
      <c r="V1903" s="4"/>
      <c r="W1903" s="4"/>
      <c r="X1903" s="4"/>
      <c r="Y1903" s="4"/>
      <c r="Z1903" s="4"/>
      <c r="AA1903" s="4"/>
      <c r="AB1903" s="380" t="str">
        <f>VLOOKUP($B1903,'D7 - NDB Impacted SPRF''s'!$E$16:$O$9929,4,FALSE)</f>
        <v>Completed</v>
      </c>
      <c r="AC1903" s="380" t="str">
        <f>VLOOKUP($B1903,'D7 - NDB Impacted SPRF''s'!$E$16:$O$9929,3,FALSE)</f>
        <v>UnitedHealthcare Employer &amp; Individual</v>
      </c>
      <c r="AD1903" s="380" t="str">
        <f>VLOOKUP($B1903,'D7 - NDB Impacted SPRF''s'!$E$16:$O$9929,5,FALSE)</f>
        <v>Operations Group</v>
      </c>
      <c r="AE1903" s="380" t="str">
        <f>VLOOKUP($B1903,'D7 - NDB Impacted SPRF''s'!$E$16:$O$9929,7,FALSE)</f>
        <v>Shannon Nelson</v>
      </c>
      <c r="AF1903" s="380" t="str">
        <f>VLOOKUP($B1903,'D7 - NDB Impacted SPRF''s'!$E$16:$O$9929,6,FALSE)</f>
        <v>Janet Wright</v>
      </c>
      <c r="AG1903" s="282"/>
      <c r="AH1903" s="311" t="e">
        <f>INDEX('D5 - Gatekeeper - Projects'!$A$4:$AF$1010,$AM1903, 17)</f>
        <v>#N/A</v>
      </c>
      <c r="AI1903" s="8"/>
      <c r="AJ1903" s="57"/>
      <c r="AK1903" s="105"/>
      <c r="AM1903" s="6" t="e">
        <f>MATCH(D1903,'D5 - Gatekeeper - Projects'!$C$4:$C$1010,0)</f>
        <v>#N/A</v>
      </c>
      <c r="AN1903" s="6" t="b">
        <f t="shared" si="203"/>
        <v>1</v>
      </c>
      <c r="AO1903" s="6" t="str">
        <f t="shared" si="205"/>
        <v>OK</v>
      </c>
      <c r="AQ1903" s="6" t="e">
        <f>MATCH($D1903,'D4 - Provider Council Unsched'!$C$11:$C$234,0)</f>
        <v>#N/A</v>
      </c>
      <c r="AR1903" s="6" t="b">
        <f t="shared" si="204"/>
        <v>1</v>
      </c>
      <c r="AS1903" s="6" t="str">
        <f t="shared" si="206"/>
        <v>OK</v>
      </c>
      <c r="AU1903" s="202"/>
      <c r="AV1903" s="262"/>
      <c r="AW1903" s="274"/>
    </row>
    <row r="1904" spans="1:49" s="13" customFormat="1" ht="22.5" x14ac:dyDescent="0.2">
      <c r="A1904" s="14">
        <v>1880</v>
      </c>
      <c r="B1904" s="14">
        <v>400003666</v>
      </c>
      <c r="C1904" s="8" t="s">
        <v>6725</v>
      </c>
      <c r="D1904" s="4" t="str">
        <f t="shared" si="200"/>
        <v>400003666CC01</v>
      </c>
      <c r="E1904" s="309" t="str">
        <f>VLOOKUP($B1904,'D7 - NDB Impacted SPRF''s'!$E$6:$O$9929,2,FALSE)</f>
        <v>Multi Surg Wizard needs Provider Specialty</v>
      </c>
      <c r="F1904" s="8"/>
      <c r="G1904" s="8" t="s">
        <v>4758</v>
      </c>
      <c r="H1904" s="8" t="s">
        <v>4246</v>
      </c>
      <c r="I1904" s="20"/>
      <c r="J1904" s="8"/>
      <c r="K1904" s="182"/>
      <c r="L1904" s="8" t="s">
        <v>6164</v>
      </c>
      <c r="M1904" s="8" t="s">
        <v>2814</v>
      </c>
      <c r="N1904" s="367"/>
      <c r="O1904" s="8"/>
      <c r="P1904" s="4" t="str">
        <f>VLOOKUP($B1904,'D7 - NDB Impacted SPRF''s'!$E$16:$O$9929,9,FALSE)</f>
        <v>Y</v>
      </c>
      <c r="Q1904" s="4" t="str">
        <f>VLOOKUP($B1904,'D7 - NDB Impacted SPRF''s'!$E$16:$O$9929,10,FALSE)</f>
        <v>N</v>
      </c>
      <c r="R1904" s="4" t="str">
        <f>VLOOKUP($B1904,'D7 - NDB Impacted SPRF''s'!$E$16:$O$9929,11,FALSE)</f>
        <v>N</v>
      </c>
      <c r="S1904" s="8"/>
      <c r="T1904" s="310"/>
      <c r="U1904" s="310"/>
      <c r="V1904" s="4"/>
      <c r="W1904" s="4"/>
      <c r="X1904" s="4"/>
      <c r="Y1904" s="4"/>
      <c r="Z1904" s="4"/>
      <c r="AA1904" s="4"/>
      <c r="AB1904" s="380" t="str">
        <f>VLOOKUP($B1904,'D7 - NDB Impacted SPRF''s'!$E$16:$O$9929,4,FALSE)</f>
        <v>Completed</v>
      </c>
      <c r="AC1904" s="380" t="str">
        <f>VLOOKUP($B1904,'D7 - NDB Impacted SPRF''s'!$E$16:$O$9929,3,FALSE)</f>
        <v>Uniprise</v>
      </c>
      <c r="AD1904" s="380" t="str">
        <f>VLOOKUP($B1904,'D7 - NDB Impacted SPRF''s'!$E$16:$O$9929,5,FALSE)</f>
        <v>Uniprise Operations - Capital Projects</v>
      </c>
      <c r="AE1904" s="380" t="str">
        <f>VLOOKUP($B1904,'D7 - NDB Impacted SPRF''s'!$E$16:$O$9929,7,FALSE)</f>
        <v>Tom O'Brien</v>
      </c>
      <c r="AF1904" s="380" t="str">
        <f>VLOOKUP($B1904,'D7 - NDB Impacted SPRF''s'!$E$16:$O$9929,6,FALSE)</f>
        <v>Dale Biros</v>
      </c>
      <c r="AG1904" s="282"/>
      <c r="AH1904" s="311" t="e">
        <f>INDEX('D5 - Gatekeeper - Projects'!$A$4:$AF$1010,$AM1904, 17)</f>
        <v>#N/A</v>
      </c>
      <c r="AI1904" s="8"/>
      <c r="AJ1904" s="57"/>
      <c r="AK1904" s="105"/>
      <c r="AM1904" s="6" t="e">
        <f>MATCH(D1904,'D5 - Gatekeeper - Projects'!$C$4:$C$1010,0)</f>
        <v>#N/A</v>
      </c>
      <c r="AN1904" s="6" t="b">
        <f t="shared" si="203"/>
        <v>1</v>
      </c>
      <c r="AO1904" s="6" t="str">
        <f t="shared" si="205"/>
        <v>OK</v>
      </c>
      <c r="AQ1904" s="6" t="e">
        <f>MATCH($D1904,'D4 - Provider Council Unsched'!$C$11:$C$234,0)</f>
        <v>#N/A</v>
      </c>
      <c r="AR1904" s="6" t="b">
        <f t="shared" si="204"/>
        <v>1</v>
      </c>
      <c r="AS1904" s="6" t="str">
        <f t="shared" si="206"/>
        <v>OK</v>
      </c>
      <c r="AU1904" s="202"/>
      <c r="AV1904" s="262"/>
      <c r="AW1904" s="274"/>
    </row>
    <row r="1905" spans="1:49" s="13" customFormat="1" ht="45" x14ac:dyDescent="0.2">
      <c r="A1905" s="14">
        <v>1881</v>
      </c>
      <c r="B1905" s="14">
        <v>400003710</v>
      </c>
      <c r="C1905" s="8" t="s">
        <v>5197</v>
      </c>
      <c r="D1905" s="4" t="str">
        <f t="shared" ref="D1905:D1968" si="207">CONCATENATE(B1905,C1905)</f>
        <v>400003710R1</v>
      </c>
      <c r="E1905" s="309" t="str">
        <f>VLOOKUP($B1905,'D7 - NDB Impacted SPRF''s'!$E$6:$O$9929,2,FALSE)</f>
        <v>PIT (no) 2004 AA Dedicated Resources</v>
      </c>
      <c r="F1905" s="8" t="s">
        <v>2114</v>
      </c>
      <c r="G1905" s="8" t="s">
        <v>4758</v>
      </c>
      <c r="H1905" s="8" t="s">
        <v>4246</v>
      </c>
      <c r="I1905" s="20">
        <v>3.25</v>
      </c>
      <c r="J1905" s="8" t="s">
        <v>7113</v>
      </c>
      <c r="K1905" s="182"/>
      <c r="L1905" s="8" t="s">
        <v>4156</v>
      </c>
      <c r="M1905" s="8" t="s">
        <v>2814</v>
      </c>
      <c r="N1905" s="367" t="s">
        <v>5673</v>
      </c>
      <c r="O1905" s="8"/>
      <c r="P1905" s="4" t="str">
        <f>VLOOKUP($B1905,'D7 - NDB Impacted SPRF''s'!$E$16:$O$9929,9,FALSE)</f>
        <v>Y</v>
      </c>
      <c r="Q1905" s="4" t="str">
        <f>VLOOKUP($B1905,'D7 - NDB Impacted SPRF''s'!$E$16:$O$9929,10,FALSE)</f>
        <v>N</v>
      </c>
      <c r="R1905" s="4" t="str">
        <f>VLOOKUP($B1905,'D7 - NDB Impacted SPRF''s'!$E$16:$O$9929,11,FALSE)</f>
        <v>N</v>
      </c>
      <c r="S1905" s="8"/>
      <c r="T1905" s="310"/>
      <c r="U1905" s="310"/>
      <c r="V1905" s="4"/>
      <c r="W1905" s="4"/>
      <c r="X1905" s="4"/>
      <c r="Y1905" s="4"/>
      <c r="Z1905" s="4"/>
      <c r="AA1905" s="4"/>
      <c r="AB1905" s="380" t="str">
        <f>VLOOKUP($B1905,'D7 - NDB Impacted SPRF''s'!$E$16:$O$9929,4,FALSE)</f>
        <v>Completed</v>
      </c>
      <c r="AC1905" s="380" t="str">
        <f>VLOOKUP($B1905,'D7 - NDB Impacted SPRF''s'!$E$16:$O$9929,3,FALSE)</f>
        <v>Uniprise</v>
      </c>
      <c r="AD1905" s="380" t="str">
        <f>VLOOKUP($B1905,'D7 - NDB Impacted SPRF''s'!$E$16:$O$9929,5,FALSE)</f>
        <v>Uniprise Operations - Capital Projects</v>
      </c>
      <c r="AE1905" s="380" t="str">
        <f>VLOOKUP($B1905,'D7 - NDB Impacted SPRF''s'!$E$16:$O$9929,7,FALSE)</f>
        <v>Thomas O'Brien</v>
      </c>
      <c r="AF1905" s="380" t="str">
        <f>VLOOKUP($B1905,'D7 - NDB Impacted SPRF''s'!$E$16:$O$9929,6,FALSE)</f>
        <v>Mary Leszuk</v>
      </c>
      <c r="AG1905" s="282" t="s">
        <v>7755</v>
      </c>
      <c r="AH1905" s="311" t="e">
        <f>INDEX('D5 - Gatekeeper - Projects'!$A$4:$AF$1010,$AM1905, 17)</f>
        <v>#N/A</v>
      </c>
      <c r="AI1905" s="8"/>
      <c r="AJ1905" s="57"/>
      <c r="AK1905" s="105"/>
      <c r="AM1905" s="6" t="e">
        <f>MATCH(D1905,'D5 - Gatekeeper - Projects'!$C$4:$C$1010,0)</f>
        <v>#N/A</v>
      </c>
      <c r="AN1905" s="6" t="b">
        <f t="shared" si="203"/>
        <v>1</v>
      </c>
      <c r="AO1905" s="6" t="str">
        <f t="shared" si="205"/>
        <v>OK</v>
      </c>
      <c r="AQ1905" s="6" t="e">
        <f>MATCH($D1905,'D4 - Provider Council Unsched'!$C$11:$C$234,0)</f>
        <v>#N/A</v>
      </c>
      <c r="AR1905" s="6" t="b">
        <f t="shared" si="204"/>
        <v>1</v>
      </c>
      <c r="AS1905" s="6" t="str">
        <f t="shared" si="206"/>
        <v>OK</v>
      </c>
      <c r="AU1905" s="202"/>
      <c r="AV1905" s="262"/>
      <c r="AW1905" s="274"/>
    </row>
    <row r="1906" spans="1:49" s="13" customFormat="1" ht="33.75" x14ac:dyDescent="0.2">
      <c r="A1906" s="14">
        <v>1882</v>
      </c>
      <c r="B1906" s="14">
        <v>400003717</v>
      </c>
      <c r="C1906" s="8" t="s">
        <v>5197</v>
      </c>
      <c r="D1906" s="4" t="str">
        <f t="shared" si="207"/>
        <v>400003717R1</v>
      </c>
      <c r="E1906" s="309" t="str">
        <f>VLOOKUP($B1906,'D7 - NDB Impacted SPRF''s'!$E$6:$O$9929,2,FALSE)</f>
        <v>United eServices Development - Release 8</v>
      </c>
      <c r="F1906" s="8" t="s">
        <v>6807</v>
      </c>
      <c r="G1906" s="8" t="s">
        <v>4758</v>
      </c>
      <c r="H1906" s="8" t="s">
        <v>4246</v>
      </c>
      <c r="I1906" s="20"/>
      <c r="J1906" s="8"/>
      <c r="K1906" s="182"/>
      <c r="L1906" s="8" t="s">
        <v>6164</v>
      </c>
      <c r="M1906" s="8" t="s">
        <v>2814</v>
      </c>
      <c r="N1906" s="367"/>
      <c r="O1906" s="8"/>
      <c r="P1906" s="4" t="str">
        <f>VLOOKUP($B1906,'D7 - NDB Impacted SPRF''s'!$E$16:$O$9929,9,FALSE)</f>
        <v>N</v>
      </c>
      <c r="Q1906" s="4" t="str">
        <f>VLOOKUP($B1906,'D7 - NDB Impacted SPRF''s'!$E$16:$O$9929,10,FALSE)</f>
        <v>N</v>
      </c>
      <c r="R1906" s="4" t="str">
        <f>VLOOKUP($B1906,'D7 - NDB Impacted SPRF''s'!$E$16:$O$9929,11,FALSE)</f>
        <v>N</v>
      </c>
      <c r="S1906" s="8"/>
      <c r="T1906" s="310"/>
      <c r="U1906" s="310"/>
      <c r="V1906" s="4"/>
      <c r="W1906" s="4"/>
      <c r="X1906" s="4"/>
      <c r="Y1906" s="4"/>
      <c r="Z1906" s="4"/>
      <c r="AA1906" s="4"/>
      <c r="AB1906" s="380" t="str">
        <f>VLOOKUP($B1906,'D7 - NDB Impacted SPRF''s'!$E$16:$O$9929,4,FALSE)</f>
        <v>Completed</v>
      </c>
      <c r="AC1906" s="380" t="str">
        <f>VLOOKUP($B1906,'D7 - NDB Impacted SPRF''s'!$E$16:$O$9929,3,FALSE)</f>
        <v>UnitedHealthcare Employer &amp; Individual</v>
      </c>
      <c r="AD1906" s="380" t="str">
        <f>VLOOKUP($B1906,'D7 - NDB Impacted SPRF''s'!$E$16:$O$9929,5,FALSE)</f>
        <v>Operations Group</v>
      </c>
      <c r="AE1906" s="380" t="str">
        <f>VLOOKUP($B1906,'D7 - NDB Impacted SPRF''s'!$E$16:$O$9929,7,FALSE)</f>
        <v>Steven Auerbach</v>
      </c>
      <c r="AF1906" s="380" t="str">
        <f>VLOOKUP($B1906,'D7 - NDB Impacted SPRF''s'!$E$16:$O$9929,6,FALSE)</f>
        <v>Cathy Ball</v>
      </c>
      <c r="AG1906" s="282"/>
      <c r="AH1906" s="311" t="e">
        <f>INDEX('D5 - Gatekeeper - Projects'!$A$4:$AF$1010,$AM1906, 17)</f>
        <v>#N/A</v>
      </c>
      <c r="AI1906" s="8"/>
      <c r="AJ1906" s="57"/>
      <c r="AK1906" s="105"/>
      <c r="AM1906" s="6" t="e">
        <f>MATCH(D1906,'D5 - Gatekeeper - Projects'!$C$4:$C$1010,0)</f>
        <v>#N/A</v>
      </c>
      <c r="AN1906" s="6" t="b">
        <f t="shared" si="203"/>
        <v>1</v>
      </c>
      <c r="AO1906" s="6" t="str">
        <f t="shared" si="205"/>
        <v>OK</v>
      </c>
      <c r="AQ1906" s="6" t="e">
        <f>MATCH($D1906,'D4 - Provider Council Unsched'!$C$11:$C$234,0)</f>
        <v>#N/A</v>
      </c>
      <c r="AR1906" s="6" t="b">
        <f t="shared" si="204"/>
        <v>1</v>
      </c>
      <c r="AS1906" s="6" t="str">
        <f t="shared" si="206"/>
        <v>OK</v>
      </c>
      <c r="AU1906" s="202"/>
      <c r="AV1906" s="262"/>
      <c r="AW1906" s="274"/>
    </row>
    <row r="1907" spans="1:49" s="13" customFormat="1" ht="22.5" x14ac:dyDescent="0.2">
      <c r="A1907" s="14">
        <v>1883</v>
      </c>
      <c r="B1907" s="14">
        <v>400004029</v>
      </c>
      <c r="C1907" s="8" t="s">
        <v>3740</v>
      </c>
      <c r="D1907" s="4" t="str">
        <f t="shared" si="207"/>
        <v>400004029CC11</v>
      </c>
      <c r="E1907" s="309" t="str">
        <f>VLOOKUP($B1907,'D7 - NDB Impacted SPRF''s'!$E$6:$O$9929,2,FALSE)</f>
        <v>UP Generic Conv Tools - Prime Case/Eligibility</v>
      </c>
      <c r="F1907" s="8" t="s">
        <v>5196</v>
      </c>
      <c r="G1907" s="8" t="s">
        <v>4758</v>
      </c>
      <c r="H1907" s="8" t="s">
        <v>4246</v>
      </c>
      <c r="I1907" s="20">
        <v>0.17</v>
      </c>
      <c r="J1907" s="8" t="s">
        <v>7113</v>
      </c>
      <c r="K1907" s="182"/>
      <c r="L1907" s="8" t="s">
        <v>4156</v>
      </c>
      <c r="M1907" s="8" t="s">
        <v>2814</v>
      </c>
      <c r="N1907" s="367" t="s">
        <v>2828</v>
      </c>
      <c r="O1907" s="8"/>
      <c r="P1907" s="4" t="str">
        <f>VLOOKUP($B1907,'D7 - NDB Impacted SPRF''s'!$E$16:$O$9929,9,FALSE)</f>
        <v>Y</v>
      </c>
      <c r="Q1907" s="4" t="str">
        <f>VLOOKUP($B1907,'D7 - NDB Impacted SPRF''s'!$E$16:$O$9929,10,FALSE)</f>
        <v>N</v>
      </c>
      <c r="R1907" s="4" t="str">
        <f>VLOOKUP($B1907,'D7 - NDB Impacted SPRF''s'!$E$16:$O$9929,11,FALSE)</f>
        <v>N</v>
      </c>
      <c r="S1907" s="8"/>
      <c r="T1907" s="310"/>
      <c r="U1907" s="310"/>
      <c r="V1907" s="4"/>
      <c r="W1907" s="4"/>
      <c r="X1907" s="4"/>
      <c r="Y1907" s="4"/>
      <c r="Z1907" s="4"/>
      <c r="AA1907" s="4"/>
      <c r="AB1907" s="380" t="str">
        <f>VLOOKUP($B1907,'D7 - NDB Impacted SPRF''s'!$E$16:$O$9929,4,FALSE)</f>
        <v>Completed</v>
      </c>
      <c r="AC1907" s="380" t="str">
        <f>VLOOKUP($B1907,'D7 - NDB Impacted SPRF''s'!$E$16:$O$9929,3,FALSE)</f>
        <v>Alliance</v>
      </c>
      <c r="AD1907" s="380" t="str">
        <f>VLOOKUP($B1907,'D7 - NDB Impacted SPRF''s'!$E$16:$O$9929,5,FALSE)</f>
        <v>Platform Conversion Tools</v>
      </c>
      <c r="AE1907" s="380" t="str">
        <f>VLOOKUP($B1907,'D7 - NDB Impacted SPRF''s'!$E$16:$O$9929,7,FALSE)</f>
        <v>Diane Schofield</v>
      </c>
      <c r="AF1907" s="380" t="str">
        <f>VLOOKUP($B1907,'D7 - NDB Impacted SPRF''s'!$E$16:$O$9929,6,FALSE)</f>
        <v>Craig Johnson</v>
      </c>
      <c r="AG1907" s="282" t="s">
        <v>7755</v>
      </c>
      <c r="AH1907" s="311" t="e">
        <f>INDEX('D5 - Gatekeeper - Projects'!$A$4:$AF$1010,$AM1907, 17)</f>
        <v>#N/A</v>
      </c>
      <c r="AI1907" s="8"/>
      <c r="AJ1907" s="57"/>
      <c r="AK1907" s="105"/>
      <c r="AM1907" s="6" t="e">
        <f>MATCH(D1907,'D5 - Gatekeeper - Projects'!$C$4:$C$1010,0)</f>
        <v>#N/A</v>
      </c>
      <c r="AN1907" s="6" t="b">
        <f t="shared" si="203"/>
        <v>1</v>
      </c>
      <c r="AO1907" s="6" t="str">
        <f t="shared" si="205"/>
        <v>OK</v>
      </c>
      <c r="AQ1907" s="6" t="e">
        <f>MATCH($D1907,'D4 - Provider Council Unsched'!$C$11:$C$234,0)</f>
        <v>#N/A</v>
      </c>
      <c r="AR1907" s="6" t="b">
        <f t="shared" si="204"/>
        <v>1</v>
      </c>
      <c r="AS1907" s="6" t="str">
        <f t="shared" si="206"/>
        <v>OK</v>
      </c>
      <c r="AU1907" s="202"/>
      <c r="AV1907" s="262"/>
      <c r="AW1907" s="274"/>
    </row>
    <row r="1908" spans="1:49" s="13" customFormat="1" ht="90" x14ac:dyDescent="0.2">
      <c r="A1908" s="14">
        <v>1884</v>
      </c>
      <c r="B1908" s="14">
        <v>400004494</v>
      </c>
      <c r="C1908" s="8" t="s">
        <v>6725</v>
      </c>
      <c r="D1908" s="4" t="str">
        <f t="shared" si="207"/>
        <v>400004494CC01</v>
      </c>
      <c r="E1908" s="309" t="str">
        <f>VLOOKUP($B1908,'D7 - NDB Impacted SPRF''s'!$E$6:$O$9929,2,FALSE)</f>
        <v>Centers of Excellence Gen 2 Analysis and Develop</v>
      </c>
      <c r="F1908" s="8" t="s">
        <v>7242</v>
      </c>
      <c r="G1908" s="8" t="s">
        <v>4758</v>
      </c>
      <c r="H1908" s="8" t="s">
        <v>4246</v>
      </c>
      <c r="I1908" s="20">
        <v>8.5</v>
      </c>
      <c r="J1908" s="8" t="s">
        <v>7113</v>
      </c>
      <c r="K1908" s="182"/>
      <c r="L1908" s="8" t="s">
        <v>4156</v>
      </c>
      <c r="M1908" s="8" t="s">
        <v>2814</v>
      </c>
      <c r="N1908" s="367" t="s">
        <v>6346</v>
      </c>
      <c r="O1908" s="8"/>
      <c r="P1908" s="4" t="str">
        <f>VLOOKUP($B1908,'D7 - NDB Impacted SPRF''s'!$E$16:$O$9929,9,FALSE)</f>
        <v>Y</v>
      </c>
      <c r="Q1908" s="4" t="str">
        <f>VLOOKUP($B1908,'D7 - NDB Impacted SPRF''s'!$E$16:$O$9929,10,FALSE)</f>
        <v>N</v>
      </c>
      <c r="R1908" s="4" t="str">
        <f>VLOOKUP($B1908,'D7 - NDB Impacted SPRF''s'!$E$16:$O$9929,11,FALSE)</f>
        <v>N</v>
      </c>
      <c r="S1908" s="8"/>
      <c r="T1908" s="310"/>
      <c r="U1908" s="310"/>
      <c r="V1908" s="4"/>
      <c r="W1908" s="4"/>
      <c r="X1908" s="4"/>
      <c r="Y1908" s="4"/>
      <c r="Z1908" s="4"/>
      <c r="AA1908" s="4"/>
      <c r="AB1908" s="380" t="str">
        <f>VLOOKUP($B1908,'D7 - NDB Impacted SPRF''s'!$E$16:$O$9929,4,FALSE)</f>
        <v>Completed</v>
      </c>
      <c r="AC1908" s="380" t="str">
        <f>VLOOKUP($B1908,'D7 - NDB Impacted SPRF''s'!$E$16:$O$9929,3,FALSE)</f>
        <v>Uniprise</v>
      </c>
      <c r="AD1908" s="380" t="str">
        <f>VLOOKUP($B1908,'D7 - NDB Impacted SPRF''s'!$E$16:$O$9929,5,FALSE)</f>
        <v>USS - Capital Projects</v>
      </c>
      <c r="AE1908" s="380" t="str">
        <f>VLOOKUP($B1908,'D7 - NDB Impacted SPRF''s'!$E$16:$O$9929,7,FALSE)</f>
        <v>Lewis Sandy</v>
      </c>
      <c r="AF1908" s="380" t="str">
        <f>VLOOKUP($B1908,'D7 - NDB Impacted SPRF''s'!$E$16:$O$9929,6,FALSE)</f>
        <v>ROBSON DAVID</v>
      </c>
      <c r="AG1908" s="282" t="s">
        <v>6602</v>
      </c>
      <c r="AH1908" s="311" t="e">
        <f>INDEX('D5 - Gatekeeper - Projects'!$A$4:$AF$1010,$AM1908, 17)</f>
        <v>#N/A</v>
      </c>
      <c r="AI1908" s="8"/>
      <c r="AJ1908" s="57"/>
      <c r="AK1908" s="105"/>
      <c r="AM1908" s="6" t="e">
        <f>MATCH(D1908,'D5 - Gatekeeper - Projects'!$C$4:$C$1010,0)</f>
        <v>#N/A</v>
      </c>
      <c r="AN1908" s="6" t="b">
        <f t="shared" si="203"/>
        <v>1</v>
      </c>
      <c r="AO1908" s="6" t="str">
        <f t="shared" si="205"/>
        <v>OK</v>
      </c>
      <c r="AQ1908" s="6" t="e">
        <f>MATCH($D1908,'D4 - Provider Council Unsched'!$C$11:$C$234,0)</f>
        <v>#N/A</v>
      </c>
      <c r="AR1908" s="6" t="b">
        <f t="shared" si="204"/>
        <v>1</v>
      </c>
      <c r="AS1908" s="6" t="str">
        <f t="shared" si="206"/>
        <v>OK</v>
      </c>
      <c r="AU1908" s="202"/>
      <c r="AV1908" s="262"/>
      <c r="AW1908" s="274"/>
    </row>
    <row r="1909" spans="1:49" s="13" customFormat="1" ht="78.75" x14ac:dyDescent="0.2">
      <c r="A1909" s="14">
        <v>1885</v>
      </c>
      <c r="B1909" s="14">
        <v>400004494</v>
      </c>
      <c r="C1909" s="8" t="s">
        <v>6726</v>
      </c>
      <c r="D1909" s="4" t="str">
        <f t="shared" si="207"/>
        <v>400004494CC06</v>
      </c>
      <c r="E1909" s="309" t="str">
        <f>VLOOKUP($B1909,'D7 - NDB Impacted SPRF''s'!$E$6:$O$9929,2,FALSE)</f>
        <v>Centers of Excellence Gen 2 Analysis and Develop</v>
      </c>
      <c r="F1909" s="8" t="s">
        <v>7242</v>
      </c>
      <c r="G1909" s="8" t="s">
        <v>4758</v>
      </c>
      <c r="H1909" s="8" t="s">
        <v>4246</v>
      </c>
      <c r="I1909" s="20">
        <v>0.54</v>
      </c>
      <c r="J1909" s="8" t="s">
        <v>7113</v>
      </c>
      <c r="K1909" s="182"/>
      <c r="L1909" s="8" t="s">
        <v>4156</v>
      </c>
      <c r="M1909" s="8" t="s">
        <v>2814</v>
      </c>
      <c r="N1909" s="367" t="s">
        <v>4486</v>
      </c>
      <c r="O1909" s="8"/>
      <c r="P1909" s="4" t="str">
        <f>VLOOKUP($B1909,'D7 - NDB Impacted SPRF''s'!$E$16:$O$9929,9,FALSE)</f>
        <v>Y</v>
      </c>
      <c r="Q1909" s="4" t="str">
        <f>VLOOKUP($B1909,'D7 - NDB Impacted SPRF''s'!$E$16:$O$9929,10,FALSE)</f>
        <v>N</v>
      </c>
      <c r="R1909" s="4" t="str">
        <f>VLOOKUP($B1909,'D7 - NDB Impacted SPRF''s'!$E$16:$O$9929,11,FALSE)</f>
        <v>N</v>
      </c>
      <c r="S1909" s="8"/>
      <c r="T1909" s="310"/>
      <c r="U1909" s="310"/>
      <c r="V1909" s="4"/>
      <c r="W1909" s="4"/>
      <c r="X1909" s="4"/>
      <c r="Y1909" s="4"/>
      <c r="Z1909" s="4"/>
      <c r="AA1909" s="4"/>
      <c r="AB1909" s="380" t="str">
        <f>VLOOKUP($B1909,'D7 - NDB Impacted SPRF''s'!$E$16:$O$9929,4,FALSE)</f>
        <v>Completed</v>
      </c>
      <c r="AC1909" s="380" t="str">
        <f>VLOOKUP($B1909,'D7 - NDB Impacted SPRF''s'!$E$16:$O$9929,3,FALSE)</f>
        <v>Uniprise</v>
      </c>
      <c r="AD1909" s="380" t="str">
        <f>VLOOKUP($B1909,'D7 - NDB Impacted SPRF''s'!$E$16:$O$9929,5,FALSE)</f>
        <v>USS - Capital Projects</v>
      </c>
      <c r="AE1909" s="380" t="str">
        <f>VLOOKUP($B1909,'D7 - NDB Impacted SPRF''s'!$E$16:$O$9929,7,FALSE)</f>
        <v>Lewis Sandy</v>
      </c>
      <c r="AF1909" s="380" t="str">
        <f>VLOOKUP($B1909,'D7 - NDB Impacted SPRF''s'!$E$16:$O$9929,6,FALSE)</f>
        <v>ROBSON DAVID</v>
      </c>
      <c r="AG1909" s="282" t="s">
        <v>6602</v>
      </c>
      <c r="AH1909" s="311" t="e">
        <f>INDEX('D5 - Gatekeeper - Projects'!$A$4:$AF$1010,$AM1909, 17)</f>
        <v>#N/A</v>
      </c>
      <c r="AI1909" s="8"/>
      <c r="AJ1909" s="57"/>
      <c r="AK1909" s="105"/>
      <c r="AM1909" s="6" t="e">
        <f>MATCH(D1909,'D5 - Gatekeeper - Projects'!$C$4:$C$1010,0)</f>
        <v>#N/A</v>
      </c>
      <c r="AN1909" s="6" t="b">
        <f t="shared" si="203"/>
        <v>1</v>
      </c>
      <c r="AO1909" s="6" t="str">
        <f t="shared" si="205"/>
        <v>OK</v>
      </c>
      <c r="AQ1909" s="6" t="e">
        <f>MATCH($D1909,'D4 - Provider Council Unsched'!$C$11:$C$234,0)</f>
        <v>#N/A</v>
      </c>
      <c r="AR1909" s="6" t="b">
        <f t="shared" si="204"/>
        <v>1</v>
      </c>
      <c r="AS1909" s="6" t="str">
        <f t="shared" si="206"/>
        <v>OK</v>
      </c>
      <c r="AU1909" s="202"/>
      <c r="AV1909" s="262"/>
      <c r="AW1909" s="274"/>
    </row>
    <row r="1910" spans="1:49" s="13" customFormat="1" ht="78.75" x14ac:dyDescent="0.2">
      <c r="A1910" s="14">
        <v>1886</v>
      </c>
      <c r="B1910" s="14">
        <v>400004494</v>
      </c>
      <c r="C1910" s="8" t="s">
        <v>8120</v>
      </c>
      <c r="D1910" s="4" t="str">
        <f t="shared" si="207"/>
        <v>400004494CC08</v>
      </c>
      <c r="E1910" s="309" t="str">
        <f>VLOOKUP($B1910,'D7 - NDB Impacted SPRF''s'!$E$6:$O$9929,2,FALSE)</f>
        <v>Centers of Excellence Gen 2 Analysis and Develop</v>
      </c>
      <c r="F1910" s="8" t="s">
        <v>7242</v>
      </c>
      <c r="G1910" s="8" t="s">
        <v>4758</v>
      </c>
      <c r="H1910" s="8" t="s">
        <v>4246</v>
      </c>
      <c r="I1910" s="20"/>
      <c r="J1910" s="8" t="s">
        <v>7113</v>
      </c>
      <c r="K1910" s="182"/>
      <c r="L1910" s="8" t="s">
        <v>4156</v>
      </c>
      <c r="M1910" s="8" t="s">
        <v>2814</v>
      </c>
      <c r="N1910" s="367" t="s">
        <v>8098</v>
      </c>
      <c r="O1910" s="8"/>
      <c r="P1910" s="4" t="str">
        <f>VLOOKUP($B1910,'D7 - NDB Impacted SPRF''s'!$E$16:$O$9929,9,FALSE)</f>
        <v>Y</v>
      </c>
      <c r="Q1910" s="4" t="str">
        <f>VLOOKUP($B1910,'D7 - NDB Impacted SPRF''s'!$E$16:$O$9929,10,FALSE)</f>
        <v>N</v>
      </c>
      <c r="R1910" s="4" t="str">
        <f>VLOOKUP($B1910,'D7 - NDB Impacted SPRF''s'!$E$16:$O$9929,11,FALSE)</f>
        <v>N</v>
      </c>
      <c r="S1910" s="8"/>
      <c r="T1910" s="310"/>
      <c r="U1910" s="310"/>
      <c r="V1910" s="4"/>
      <c r="W1910" s="4"/>
      <c r="X1910" s="4"/>
      <c r="Y1910" s="4"/>
      <c r="Z1910" s="4"/>
      <c r="AA1910" s="4"/>
      <c r="AB1910" s="380" t="str">
        <f>VLOOKUP($B1910,'D7 - NDB Impacted SPRF''s'!$E$16:$O$9929,4,FALSE)</f>
        <v>Completed</v>
      </c>
      <c r="AC1910" s="380" t="str">
        <f>VLOOKUP($B1910,'D7 - NDB Impacted SPRF''s'!$E$16:$O$9929,3,FALSE)</f>
        <v>Uniprise</v>
      </c>
      <c r="AD1910" s="380" t="str">
        <f>VLOOKUP($B1910,'D7 - NDB Impacted SPRF''s'!$E$16:$O$9929,5,FALSE)</f>
        <v>USS - Capital Projects</v>
      </c>
      <c r="AE1910" s="380" t="str">
        <f>VLOOKUP($B1910,'D7 - NDB Impacted SPRF''s'!$E$16:$O$9929,7,FALSE)</f>
        <v>Lewis Sandy</v>
      </c>
      <c r="AF1910" s="380" t="str">
        <f>VLOOKUP($B1910,'D7 - NDB Impacted SPRF''s'!$E$16:$O$9929,6,FALSE)</f>
        <v>ROBSON DAVID</v>
      </c>
      <c r="AG1910" s="282" t="s">
        <v>6602</v>
      </c>
      <c r="AH1910" s="311" t="e">
        <f>INDEX('D5 - Gatekeeper - Projects'!$A$4:$AF$1010,$AM1910, 17)</f>
        <v>#N/A</v>
      </c>
      <c r="AI1910" s="8"/>
      <c r="AJ1910" s="57"/>
      <c r="AK1910" s="105"/>
      <c r="AM1910" s="6" t="e">
        <f>MATCH(D1910,'D5 - Gatekeeper - Projects'!$C$4:$C$1010,0)</f>
        <v>#N/A</v>
      </c>
      <c r="AN1910" s="6" t="b">
        <f t="shared" si="203"/>
        <v>1</v>
      </c>
      <c r="AO1910" s="6" t="str">
        <f t="shared" si="205"/>
        <v>OK</v>
      </c>
      <c r="AQ1910" s="6" t="e">
        <f>MATCH($D1910,'D4 - Provider Council Unsched'!$C$11:$C$234,0)</f>
        <v>#N/A</v>
      </c>
      <c r="AR1910" s="6" t="b">
        <f t="shared" si="204"/>
        <v>1</v>
      </c>
      <c r="AS1910" s="6" t="str">
        <f t="shared" si="206"/>
        <v>OK</v>
      </c>
      <c r="AU1910" s="202"/>
      <c r="AV1910" s="262"/>
      <c r="AW1910" s="274"/>
    </row>
    <row r="1911" spans="1:49" s="13" customFormat="1" ht="78.75" x14ac:dyDescent="0.2">
      <c r="A1911" s="14">
        <v>1887</v>
      </c>
      <c r="B1911" s="14">
        <v>400004494</v>
      </c>
      <c r="C1911" s="8" t="s">
        <v>6723</v>
      </c>
      <c r="D1911" s="4" t="str">
        <f t="shared" si="207"/>
        <v>400004494CC09</v>
      </c>
      <c r="E1911" s="309" t="str">
        <f>VLOOKUP($B1911,'D7 - NDB Impacted SPRF''s'!$E$6:$O$9929,2,FALSE)</f>
        <v>Centers of Excellence Gen 2 Analysis and Develop</v>
      </c>
      <c r="F1911" s="8" t="s">
        <v>7242</v>
      </c>
      <c r="G1911" s="8" t="s">
        <v>4758</v>
      </c>
      <c r="H1911" s="8" t="s">
        <v>4246</v>
      </c>
      <c r="I1911" s="20">
        <v>0.27</v>
      </c>
      <c r="J1911" s="8" t="s">
        <v>4862</v>
      </c>
      <c r="K1911" s="182"/>
      <c r="L1911" s="8" t="s">
        <v>4156</v>
      </c>
      <c r="M1911" s="8" t="s">
        <v>2814</v>
      </c>
      <c r="N1911" s="367" t="s">
        <v>2586</v>
      </c>
      <c r="O1911" s="8"/>
      <c r="P1911" s="4" t="str">
        <f>VLOOKUP($B1911,'D7 - NDB Impacted SPRF''s'!$E$16:$O$9929,9,FALSE)</f>
        <v>Y</v>
      </c>
      <c r="Q1911" s="4" t="str">
        <f>VLOOKUP($B1911,'D7 - NDB Impacted SPRF''s'!$E$16:$O$9929,10,FALSE)</f>
        <v>N</v>
      </c>
      <c r="R1911" s="4" t="str">
        <f>VLOOKUP($B1911,'D7 - NDB Impacted SPRF''s'!$E$16:$O$9929,11,FALSE)</f>
        <v>N</v>
      </c>
      <c r="S1911" s="8"/>
      <c r="T1911" s="310"/>
      <c r="U1911" s="310"/>
      <c r="V1911" s="4"/>
      <c r="W1911" s="4"/>
      <c r="X1911" s="4"/>
      <c r="Y1911" s="4"/>
      <c r="Z1911" s="4"/>
      <c r="AA1911" s="4"/>
      <c r="AB1911" s="380" t="str">
        <f>VLOOKUP($B1911,'D7 - NDB Impacted SPRF''s'!$E$16:$O$9929,4,FALSE)</f>
        <v>Completed</v>
      </c>
      <c r="AC1911" s="380" t="str">
        <f>VLOOKUP($B1911,'D7 - NDB Impacted SPRF''s'!$E$16:$O$9929,3,FALSE)</f>
        <v>Uniprise</v>
      </c>
      <c r="AD1911" s="380" t="str">
        <f>VLOOKUP($B1911,'D7 - NDB Impacted SPRF''s'!$E$16:$O$9929,5,FALSE)</f>
        <v>USS - Capital Projects</v>
      </c>
      <c r="AE1911" s="380" t="str">
        <f>VLOOKUP($B1911,'D7 - NDB Impacted SPRF''s'!$E$16:$O$9929,7,FALSE)</f>
        <v>Lewis Sandy</v>
      </c>
      <c r="AF1911" s="380" t="str">
        <f>VLOOKUP($B1911,'D7 - NDB Impacted SPRF''s'!$E$16:$O$9929,6,FALSE)</f>
        <v>ROBSON DAVID</v>
      </c>
      <c r="AG1911" s="282" t="s">
        <v>6602</v>
      </c>
      <c r="AH1911" s="311" t="e">
        <f>INDEX('D5 - Gatekeeper - Projects'!$A$4:$AF$1010,$AM1911, 17)</f>
        <v>#N/A</v>
      </c>
      <c r="AI1911" s="8"/>
      <c r="AJ1911" s="57"/>
      <c r="AK1911" s="105"/>
      <c r="AM1911" s="6" t="e">
        <f>MATCH(D1911,'D5 - Gatekeeper - Projects'!$C$4:$C$1010,0)</f>
        <v>#N/A</v>
      </c>
      <c r="AN1911" s="6" t="b">
        <f t="shared" si="203"/>
        <v>1</v>
      </c>
      <c r="AO1911" s="6" t="str">
        <f t="shared" si="205"/>
        <v>OK</v>
      </c>
      <c r="AQ1911" s="6" t="e">
        <f>MATCH($D1911,'D4 - Provider Council Unsched'!$C$11:$C$234,0)</f>
        <v>#N/A</v>
      </c>
      <c r="AR1911" s="6" t="b">
        <f t="shared" si="204"/>
        <v>1</v>
      </c>
      <c r="AS1911" s="6" t="str">
        <f t="shared" si="206"/>
        <v>OK</v>
      </c>
      <c r="AU1911" s="202"/>
      <c r="AV1911" s="262"/>
      <c r="AW1911" s="274"/>
    </row>
    <row r="1912" spans="1:49" s="13" customFormat="1" ht="78.75" x14ac:dyDescent="0.2">
      <c r="A1912" s="14">
        <v>1888</v>
      </c>
      <c r="B1912" s="14">
        <v>400004494</v>
      </c>
      <c r="C1912" s="8" t="s">
        <v>3740</v>
      </c>
      <c r="D1912" s="4" t="str">
        <f t="shared" si="207"/>
        <v>400004494CC11</v>
      </c>
      <c r="E1912" s="309" t="str">
        <f>VLOOKUP($B1912,'D7 - NDB Impacted SPRF''s'!$E$6:$O$9929,2,FALSE)</f>
        <v>Centers of Excellence Gen 2 Analysis and Develop</v>
      </c>
      <c r="F1912" s="8" t="s">
        <v>7242</v>
      </c>
      <c r="G1912" s="8" t="s">
        <v>4758</v>
      </c>
      <c r="H1912" s="8" t="s">
        <v>4246</v>
      </c>
      <c r="I1912" s="20">
        <v>0.53</v>
      </c>
      <c r="J1912" s="8" t="s">
        <v>7113</v>
      </c>
      <c r="K1912" s="182"/>
      <c r="L1912" s="8" t="s">
        <v>4156</v>
      </c>
      <c r="M1912" s="8" t="s">
        <v>2814</v>
      </c>
      <c r="N1912" s="367" t="s">
        <v>5102</v>
      </c>
      <c r="O1912" s="8"/>
      <c r="P1912" s="4" t="str">
        <f>VLOOKUP($B1912,'D7 - NDB Impacted SPRF''s'!$E$16:$O$9929,9,FALSE)</f>
        <v>Y</v>
      </c>
      <c r="Q1912" s="4" t="str">
        <f>VLOOKUP($B1912,'D7 - NDB Impacted SPRF''s'!$E$16:$O$9929,10,FALSE)</f>
        <v>N</v>
      </c>
      <c r="R1912" s="4" t="str">
        <f>VLOOKUP($B1912,'D7 - NDB Impacted SPRF''s'!$E$16:$O$9929,11,FALSE)</f>
        <v>N</v>
      </c>
      <c r="S1912" s="8"/>
      <c r="T1912" s="310"/>
      <c r="U1912" s="310"/>
      <c r="V1912" s="4"/>
      <c r="W1912" s="4"/>
      <c r="X1912" s="4"/>
      <c r="Y1912" s="4"/>
      <c r="Z1912" s="4"/>
      <c r="AA1912" s="4"/>
      <c r="AB1912" s="380" t="str">
        <f>VLOOKUP($B1912,'D7 - NDB Impacted SPRF''s'!$E$16:$O$9929,4,FALSE)</f>
        <v>Completed</v>
      </c>
      <c r="AC1912" s="380" t="str">
        <f>VLOOKUP($B1912,'D7 - NDB Impacted SPRF''s'!$E$16:$O$9929,3,FALSE)</f>
        <v>Uniprise</v>
      </c>
      <c r="AD1912" s="380" t="str">
        <f>VLOOKUP($B1912,'D7 - NDB Impacted SPRF''s'!$E$16:$O$9929,5,FALSE)</f>
        <v>USS - Capital Projects</v>
      </c>
      <c r="AE1912" s="380" t="str">
        <f>VLOOKUP($B1912,'D7 - NDB Impacted SPRF''s'!$E$16:$O$9929,7,FALSE)</f>
        <v>Lewis Sandy</v>
      </c>
      <c r="AF1912" s="380" t="str">
        <f>VLOOKUP($B1912,'D7 - NDB Impacted SPRF''s'!$E$16:$O$9929,6,FALSE)</f>
        <v>ROBSON DAVID</v>
      </c>
      <c r="AG1912" s="282" t="s">
        <v>6602</v>
      </c>
      <c r="AH1912" s="311" t="e">
        <f>INDEX('D5 - Gatekeeper - Projects'!$A$4:$AF$1010,$AM1912, 17)</f>
        <v>#N/A</v>
      </c>
      <c r="AI1912" s="8"/>
      <c r="AJ1912" s="57"/>
      <c r="AK1912" s="105"/>
      <c r="AM1912" s="6" t="e">
        <f>MATCH(D1912,'D5 - Gatekeeper - Projects'!$C$4:$C$1010,0)</f>
        <v>#N/A</v>
      </c>
      <c r="AN1912" s="6" t="b">
        <f t="shared" si="203"/>
        <v>1</v>
      </c>
      <c r="AO1912" s="6" t="str">
        <f t="shared" si="205"/>
        <v>OK</v>
      </c>
      <c r="AQ1912" s="6" t="e">
        <f>MATCH($D1912,'D4 - Provider Council Unsched'!$C$11:$C$234,0)</f>
        <v>#N/A</v>
      </c>
      <c r="AR1912" s="6" t="b">
        <f t="shared" si="204"/>
        <v>1</v>
      </c>
      <c r="AS1912" s="6" t="str">
        <f t="shared" si="206"/>
        <v>OK</v>
      </c>
      <c r="AU1912" s="202"/>
      <c r="AV1912" s="262"/>
      <c r="AW1912" s="274"/>
    </row>
    <row r="1913" spans="1:49" s="13" customFormat="1" x14ac:dyDescent="0.2">
      <c r="A1913" s="14">
        <v>1889</v>
      </c>
      <c r="B1913" s="14">
        <v>400004717</v>
      </c>
      <c r="C1913" s="8" t="s">
        <v>5197</v>
      </c>
      <c r="D1913" s="4" t="str">
        <f t="shared" si="207"/>
        <v>400004717R1</v>
      </c>
      <c r="E1913" s="309" t="str">
        <f>VLOOKUP($B1913,'D7 - NDB Impacted SPRF''s'!$E$6:$O$9929,2,FALSE)</f>
        <v>Medica - UHC Network Reciprocity</v>
      </c>
      <c r="F1913" s="8" t="s">
        <v>3884</v>
      </c>
      <c r="G1913" s="8" t="s">
        <v>4758</v>
      </c>
      <c r="H1913" s="8" t="s">
        <v>4246</v>
      </c>
      <c r="I1913" s="20">
        <v>1</v>
      </c>
      <c r="J1913" s="8" t="s">
        <v>7113</v>
      </c>
      <c r="K1913" s="182"/>
      <c r="L1913" s="8" t="s">
        <v>4156</v>
      </c>
      <c r="M1913" s="8" t="s">
        <v>2814</v>
      </c>
      <c r="N1913" s="368" t="s">
        <v>5446</v>
      </c>
      <c r="O1913" s="8"/>
      <c r="P1913" s="4" t="str">
        <f>VLOOKUP($B1913,'D7 - NDB Impacted SPRF''s'!$E$16:$O$9929,9,FALSE)</f>
        <v>N</v>
      </c>
      <c r="Q1913" s="4" t="str">
        <f>VLOOKUP($B1913,'D7 - NDB Impacted SPRF''s'!$E$16:$O$9929,10,FALSE)</f>
        <v>N</v>
      </c>
      <c r="R1913" s="4" t="str">
        <f>VLOOKUP($B1913,'D7 - NDB Impacted SPRF''s'!$E$16:$O$9929,11,FALSE)</f>
        <v>N</v>
      </c>
      <c r="S1913" s="8"/>
      <c r="T1913" s="310"/>
      <c r="U1913" s="310"/>
      <c r="V1913" s="4"/>
      <c r="W1913" s="4"/>
      <c r="X1913" s="4"/>
      <c r="Y1913" s="4"/>
      <c r="Z1913" s="4"/>
      <c r="AA1913" s="4"/>
      <c r="AB1913" s="380" t="str">
        <f>VLOOKUP($B1913,'D7 - NDB Impacted SPRF''s'!$E$16:$O$9929,4,FALSE)</f>
        <v>Completed</v>
      </c>
      <c r="AC1913" s="380" t="str">
        <f>VLOOKUP($B1913,'D7 - NDB Impacted SPRF''s'!$E$16:$O$9929,3,FALSE)</f>
        <v>Uniprise</v>
      </c>
      <c r="AD1913" s="380" t="str">
        <f>VLOOKUP($B1913,'D7 - NDB Impacted SPRF''s'!$E$16:$O$9929,5,FALSE)</f>
        <v>UOS - DDC</v>
      </c>
      <c r="AE1913" s="380" t="str">
        <f>VLOOKUP($B1913,'D7 - NDB Impacted SPRF''s'!$E$16:$O$9929,7,FALSE)</f>
        <v>Joanne Houck</v>
      </c>
      <c r="AF1913" s="380" t="str">
        <f>VLOOKUP($B1913,'D7 - NDB Impacted SPRF''s'!$E$16:$O$9929,6,FALSE)</f>
        <v>KURT SHERA</v>
      </c>
      <c r="AG1913" s="282" t="s">
        <v>7755</v>
      </c>
      <c r="AH1913" s="311" t="e">
        <f>INDEX('D5 - Gatekeeper - Projects'!$A$4:$AF$1010,$AM1913, 17)</f>
        <v>#N/A</v>
      </c>
      <c r="AI1913" s="8"/>
      <c r="AJ1913" s="57"/>
      <c r="AK1913" s="105"/>
      <c r="AM1913" s="6" t="e">
        <f>MATCH(D1913,'D5 - Gatekeeper - Projects'!$C$4:$C$1010,0)</f>
        <v>#N/A</v>
      </c>
      <c r="AN1913" s="6" t="b">
        <f t="shared" si="203"/>
        <v>1</v>
      </c>
      <c r="AO1913" s="6" t="str">
        <f t="shared" si="205"/>
        <v>OK</v>
      </c>
      <c r="AQ1913" s="6" t="e">
        <f>MATCH($D1913,'D4 - Provider Council Unsched'!$C$11:$C$234,0)</f>
        <v>#N/A</v>
      </c>
      <c r="AR1913" s="6" t="b">
        <f t="shared" si="204"/>
        <v>1</v>
      </c>
      <c r="AS1913" s="6" t="str">
        <f t="shared" si="206"/>
        <v>OK</v>
      </c>
      <c r="AU1913" s="202"/>
      <c r="AV1913" s="262"/>
      <c r="AW1913" s="274"/>
    </row>
    <row r="1914" spans="1:49" s="13" customFormat="1" x14ac:dyDescent="0.2">
      <c r="A1914" s="14">
        <v>1890</v>
      </c>
      <c r="B1914" s="14">
        <v>400005315</v>
      </c>
      <c r="C1914" s="8" t="s">
        <v>5197</v>
      </c>
      <c r="D1914" s="4" t="str">
        <f t="shared" si="207"/>
        <v>400005315R1</v>
      </c>
      <c r="E1914" s="309" t="str">
        <f>VLOOKUP($B1914,'D7 - NDB Impacted SPRF''s'!$E$6:$O$9929,2,FALSE)</f>
        <v>PIT - 2005 Standard Code Sets Quarterly Updates</v>
      </c>
      <c r="F1914" s="8"/>
      <c r="G1914" s="8" t="s">
        <v>4758</v>
      </c>
      <c r="H1914" s="8" t="s">
        <v>4246</v>
      </c>
      <c r="I1914" s="20"/>
      <c r="J1914" s="8"/>
      <c r="K1914" s="182"/>
      <c r="L1914" s="8" t="s">
        <v>4964</v>
      </c>
      <c r="M1914" s="8" t="s">
        <v>2814</v>
      </c>
      <c r="N1914" s="367"/>
      <c r="O1914" s="8"/>
      <c r="P1914" s="4" t="str">
        <f>VLOOKUP($B1914,'D7 - NDB Impacted SPRF''s'!$E$16:$O$9929,9,FALSE)</f>
        <v>Y</v>
      </c>
      <c r="Q1914" s="4" t="str">
        <f>VLOOKUP($B1914,'D7 - NDB Impacted SPRF''s'!$E$16:$O$9929,10,FALSE)</f>
        <v>N</v>
      </c>
      <c r="R1914" s="4" t="str">
        <f>VLOOKUP($B1914,'D7 - NDB Impacted SPRF''s'!$E$16:$O$9929,11,FALSE)</f>
        <v>N</v>
      </c>
      <c r="S1914" s="8"/>
      <c r="T1914" s="310"/>
      <c r="U1914" s="310"/>
      <c r="V1914" s="4"/>
      <c r="W1914" s="4"/>
      <c r="X1914" s="4"/>
      <c r="Y1914" s="4"/>
      <c r="Z1914" s="4"/>
      <c r="AA1914" s="4"/>
      <c r="AB1914" s="380" t="str">
        <f>VLOOKUP($B1914,'D7 - NDB Impacted SPRF''s'!$E$16:$O$9929,4,FALSE)</f>
        <v>Completed</v>
      </c>
      <c r="AC1914" s="380" t="str">
        <f>VLOOKUP($B1914,'D7 - NDB Impacted SPRF''s'!$E$16:$O$9929,3,FALSE)</f>
        <v>Uniprise</v>
      </c>
      <c r="AD1914" s="380" t="str">
        <f>VLOOKUP($B1914,'D7 - NDB Impacted SPRF''s'!$E$16:$O$9929,5,FALSE)</f>
        <v>Uniprise Operations - DDC</v>
      </c>
      <c r="AE1914" s="380" t="str">
        <f>VLOOKUP($B1914,'D7 - NDB Impacted SPRF''s'!$E$16:$O$9929,7,FALSE)</f>
        <v>David Astar</v>
      </c>
      <c r="AF1914" s="380" t="str">
        <f>VLOOKUP($B1914,'D7 - NDB Impacted SPRF''s'!$E$16:$O$9929,6,FALSE)</f>
        <v>Belinda Jackson</v>
      </c>
      <c r="AG1914" s="282"/>
      <c r="AH1914" s="311" t="e">
        <f>INDEX('D5 - Gatekeeper - Projects'!$A$4:$AF$1010,$AM1914, 17)</f>
        <v>#N/A</v>
      </c>
      <c r="AI1914" s="8"/>
      <c r="AJ1914" s="57"/>
      <c r="AK1914" s="105"/>
      <c r="AM1914" s="6" t="e">
        <f>MATCH(D1914,'D5 - Gatekeeper - Projects'!$C$4:$C$1010,0)</f>
        <v>#N/A</v>
      </c>
      <c r="AN1914" s="6" t="b">
        <f t="shared" si="203"/>
        <v>1</v>
      </c>
      <c r="AO1914" s="6" t="str">
        <f t="shared" si="205"/>
        <v>OK</v>
      </c>
      <c r="AQ1914" s="6" t="e">
        <f>MATCH($D1914,'D4 - Provider Council Unsched'!$C$11:$C$234,0)</f>
        <v>#N/A</v>
      </c>
      <c r="AR1914" s="6" t="b">
        <f t="shared" si="204"/>
        <v>1</v>
      </c>
      <c r="AS1914" s="6" t="str">
        <f t="shared" si="206"/>
        <v>OK</v>
      </c>
      <c r="AU1914" s="202"/>
      <c r="AV1914" s="262"/>
      <c r="AW1914" s="274"/>
    </row>
    <row r="1915" spans="1:49" s="13" customFormat="1" ht="33.75" x14ac:dyDescent="0.2">
      <c r="A1915" s="14">
        <v>1891</v>
      </c>
      <c r="B1915" s="14">
        <v>400005373</v>
      </c>
      <c r="C1915" s="8" t="s">
        <v>5197</v>
      </c>
      <c r="D1915" s="4" t="str">
        <f t="shared" si="207"/>
        <v>400005373R1</v>
      </c>
      <c r="E1915" s="309" t="str">
        <f>VLOOKUP($B1915,'D7 - NDB Impacted SPRF''s'!$E$6:$O$9929,2,FALSE)</f>
        <v>Network Service Area Generation Project</v>
      </c>
      <c r="F1915" s="8" t="s">
        <v>2114</v>
      </c>
      <c r="G1915" s="8" t="s">
        <v>4758</v>
      </c>
      <c r="H1915" s="8" t="s">
        <v>4246</v>
      </c>
      <c r="I1915" s="20">
        <v>2.27</v>
      </c>
      <c r="J1915" s="8" t="s">
        <v>7113</v>
      </c>
      <c r="K1915" s="182"/>
      <c r="L1915" s="8" t="s">
        <v>4156</v>
      </c>
      <c r="M1915" s="8" t="s">
        <v>2814</v>
      </c>
      <c r="N1915" s="367" t="s">
        <v>7631</v>
      </c>
      <c r="O1915" s="8"/>
      <c r="P1915" s="4" t="str">
        <f>VLOOKUP($B1915,'D7 - NDB Impacted SPRF''s'!$E$16:$O$9929,9,FALSE)</f>
        <v>N</v>
      </c>
      <c r="Q1915" s="4" t="str">
        <f>VLOOKUP($B1915,'D7 - NDB Impacted SPRF''s'!$E$16:$O$9929,10,FALSE)</f>
        <v>N</v>
      </c>
      <c r="R1915" s="4" t="str">
        <f>VLOOKUP($B1915,'D7 - NDB Impacted SPRF''s'!$E$16:$O$9929,11,FALSE)</f>
        <v>N</v>
      </c>
      <c r="S1915" s="8"/>
      <c r="T1915" s="310"/>
      <c r="U1915" s="310"/>
      <c r="V1915" s="4"/>
      <c r="W1915" s="4"/>
      <c r="X1915" s="4"/>
      <c r="Y1915" s="4"/>
      <c r="Z1915" s="4"/>
      <c r="AA1915" s="4"/>
      <c r="AB1915" s="380" t="str">
        <f>VLOOKUP($B1915,'D7 - NDB Impacted SPRF''s'!$E$16:$O$9929,4,FALSE)</f>
        <v>Completed</v>
      </c>
      <c r="AC1915" s="380" t="str">
        <f>VLOOKUP($B1915,'D7 - NDB Impacted SPRF''s'!$E$16:$O$9929,3,FALSE)</f>
        <v>UnitedHealthcare Employer &amp; Individual</v>
      </c>
      <c r="AD1915" s="380" t="str">
        <f>VLOOKUP($B1915,'D7 - NDB Impacted SPRF''s'!$E$16:$O$9929,5,FALSE)</f>
        <v>Operations Group</v>
      </c>
      <c r="AE1915" s="380" t="str">
        <f>VLOOKUP($B1915,'D7 - NDB Impacted SPRF''s'!$E$16:$O$9929,7,FALSE)</f>
        <v>Robert O Brooks</v>
      </c>
      <c r="AF1915" s="380" t="str">
        <f>VLOOKUP($B1915,'D7 - NDB Impacted SPRF''s'!$E$16:$O$9929,6,FALSE)</f>
        <v>ROBERT LEE</v>
      </c>
      <c r="AG1915" s="282" t="s">
        <v>6682</v>
      </c>
      <c r="AH1915" s="311" t="e">
        <f>INDEX('D5 - Gatekeeper - Projects'!$A$4:$AF$1010,$AM1915, 17)</f>
        <v>#N/A</v>
      </c>
      <c r="AI1915" s="8"/>
      <c r="AJ1915" s="57"/>
      <c r="AK1915" s="105"/>
      <c r="AM1915" s="6" t="e">
        <f>MATCH(D1915,'D5 - Gatekeeper - Projects'!$C$4:$C$1010,0)</f>
        <v>#N/A</v>
      </c>
      <c r="AN1915" s="6" t="b">
        <f t="shared" si="203"/>
        <v>1</v>
      </c>
      <c r="AO1915" s="6" t="str">
        <f t="shared" si="205"/>
        <v>OK</v>
      </c>
      <c r="AQ1915" s="6" t="e">
        <f>MATCH($D1915,'D4 - Provider Council Unsched'!$C$11:$C$234,0)</f>
        <v>#N/A</v>
      </c>
      <c r="AR1915" s="6" t="b">
        <f t="shared" si="204"/>
        <v>1</v>
      </c>
      <c r="AS1915" s="6" t="str">
        <f t="shared" si="206"/>
        <v>OK</v>
      </c>
      <c r="AU1915" s="202"/>
      <c r="AV1915" s="262"/>
      <c r="AW1915" s="274"/>
    </row>
    <row r="1916" spans="1:49" s="13" customFormat="1" ht="33.75" x14ac:dyDescent="0.2">
      <c r="A1916" s="14">
        <v>1892</v>
      </c>
      <c r="B1916" s="14">
        <v>400005861</v>
      </c>
      <c r="C1916" s="8" t="s">
        <v>5197</v>
      </c>
      <c r="D1916" s="4" t="str">
        <f t="shared" si="207"/>
        <v>400005861R1</v>
      </c>
      <c r="E1916" s="309" t="str">
        <f>VLOOKUP($B1916,'D7 - NDB Impacted SPRF''s'!$E$6:$O$9929,2,FALSE)</f>
        <v>create test claim region for pend 52 queue claims</v>
      </c>
      <c r="F1916" s="8" t="s">
        <v>6632</v>
      </c>
      <c r="G1916" s="8" t="s">
        <v>4758</v>
      </c>
      <c r="H1916" s="8" t="s">
        <v>4246</v>
      </c>
      <c r="I1916" s="20"/>
      <c r="J1916" s="8"/>
      <c r="K1916" s="182"/>
      <c r="L1916" s="8" t="s">
        <v>6164</v>
      </c>
      <c r="M1916" s="8" t="s">
        <v>2814</v>
      </c>
      <c r="N1916" s="367"/>
      <c r="O1916" s="8"/>
      <c r="P1916" s="4" t="str">
        <f>VLOOKUP($B1916,'D7 - NDB Impacted SPRF''s'!$E$16:$O$9929,9,FALSE)</f>
        <v>Y</v>
      </c>
      <c r="Q1916" s="4" t="str">
        <f>VLOOKUP($B1916,'D7 - NDB Impacted SPRF''s'!$E$16:$O$9929,10,FALSE)</f>
        <v>N</v>
      </c>
      <c r="R1916" s="4" t="str">
        <f>VLOOKUP($B1916,'D7 - NDB Impacted SPRF''s'!$E$16:$O$9929,11,FALSE)</f>
        <v>N</v>
      </c>
      <c r="S1916" s="8"/>
      <c r="T1916" s="310"/>
      <c r="U1916" s="310"/>
      <c r="V1916" s="4"/>
      <c r="W1916" s="4"/>
      <c r="X1916" s="4"/>
      <c r="Y1916" s="4"/>
      <c r="Z1916" s="4"/>
      <c r="AA1916" s="4"/>
      <c r="AB1916" s="380" t="str">
        <f>VLOOKUP($B1916,'D7 - NDB Impacted SPRF''s'!$E$16:$O$9929,4,FALSE)</f>
        <v>Completed</v>
      </c>
      <c r="AC1916" s="380" t="str">
        <f>VLOOKUP($B1916,'D7 - NDB Impacted SPRF''s'!$E$16:$O$9929,3,FALSE)</f>
        <v>UnitedHealthcare Employer &amp; Individual</v>
      </c>
      <c r="AD1916" s="380" t="str">
        <f>VLOOKUP($B1916,'D7 - NDB Impacted SPRF''s'!$E$16:$O$9929,5,FALSE)</f>
        <v>Operations Group</v>
      </c>
      <c r="AE1916" s="380" t="str">
        <f>VLOOKUP($B1916,'D7 - NDB Impacted SPRF''s'!$E$16:$O$9929,7,FALSE)</f>
        <v>peter bompane</v>
      </c>
      <c r="AF1916" s="380" t="str">
        <f>VLOOKUP($B1916,'D7 - NDB Impacted SPRF''s'!$E$16:$O$9929,6,FALSE)</f>
        <v>Patrick Schwartz</v>
      </c>
      <c r="AG1916" s="282"/>
      <c r="AH1916" s="311" t="e">
        <f>INDEX('D5 - Gatekeeper - Projects'!$A$4:$AF$1010,$AM1916, 17)</f>
        <v>#N/A</v>
      </c>
      <c r="AI1916" s="8"/>
      <c r="AJ1916" s="57"/>
      <c r="AK1916" s="105"/>
      <c r="AM1916" s="6" t="e">
        <f>MATCH(D1916,'D5 - Gatekeeper - Projects'!$C$4:$C$1010,0)</f>
        <v>#N/A</v>
      </c>
      <c r="AN1916" s="6" t="b">
        <f t="shared" si="203"/>
        <v>1</v>
      </c>
      <c r="AO1916" s="6" t="str">
        <f t="shared" si="205"/>
        <v>OK</v>
      </c>
      <c r="AQ1916" s="6" t="e">
        <f>MATCH($D1916,'D4 - Provider Council Unsched'!$C$11:$C$234,0)</f>
        <v>#N/A</v>
      </c>
      <c r="AR1916" s="6" t="b">
        <f t="shared" si="204"/>
        <v>1</v>
      </c>
      <c r="AS1916" s="6" t="str">
        <f t="shared" si="206"/>
        <v>OK</v>
      </c>
      <c r="AU1916" s="202"/>
      <c r="AV1916" s="262"/>
      <c r="AW1916" s="274"/>
    </row>
    <row r="1917" spans="1:49" s="13" customFormat="1" ht="22.5" x14ac:dyDescent="0.2">
      <c r="A1917" s="14">
        <v>1893</v>
      </c>
      <c r="B1917" s="14">
        <v>400005987</v>
      </c>
      <c r="C1917" s="8" t="s">
        <v>4495</v>
      </c>
      <c r="D1917" s="4" t="str">
        <f t="shared" si="207"/>
        <v>400005987CC36</v>
      </c>
      <c r="E1917" s="309" t="str">
        <f>VLOOKUP($B1917,'D7 - NDB Impacted SPRF''s'!$E$6:$O$9929,2,FALSE)</f>
        <v>Passport V2 Carry Over</v>
      </c>
      <c r="F1917" s="8" t="s">
        <v>2450</v>
      </c>
      <c r="G1917" s="8" t="s">
        <v>4758</v>
      </c>
      <c r="H1917" s="8" t="s">
        <v>4246</v>
      </c>
      <c r="I1917" s="20"/>
      <c r="J1917" s="8"/>
      <c r="K1917" s="182"/>
      <c r="L1917" s="8" t="s">
        <v>4964</v>
      </c>
      <c r="M1917" s="8" t="s">
        <v>2814</v>
      </c>
      <c r="N1917" s="367"/>
      <c r="O1917" s="8"/>
      <c r="P1917" s="4" t="str">
        <f>VLOOKUP($B1917,'D7 - NDB Impacted SPRF''s'!$E$16:$O$9929,9,FALSE)</f>
        <v>N</v>
      </c>
      <c r="Q1917" s="4" t="str">
        <f>VLOOKUP($B1917,'D7 - NDB Impacted SPRF''s'!$E$16:$O$9929,10,FALSE)</f>
        <v>N</v>
      </c>
      <c r="R1917" s="4" t="str">
        <f>VLOOKUP($B1917,'D7 - NDB Impacted SPRF''s'!$E$16:$O$9929,11,FALSE)</f>
        <v>N</v>
      </c>
      <c r="S1917" s="8"/>
      <c r="T1917" s="310"/>
      <c r="U1917" s="310"/>
      <c r="V1917" s="4"/>
      <c r="W1917" s="4"/>
      <c r="X1917" s="4"/>
      <c r="Y1917" s="4"/>
      <c r="Z1917" s="4"/>
      <c r="AA1917" s="4"/>
      <c r="AB1917" s="380" t="str">
        <f>VLOOKUP($B1917,'D7 - NDB Impacted SPRF''s'!$E$16:$O$9929,4,FALSE)</f>
        <v>Completed</v>
      </c>
      <c r="AC1917" s="380" t="str">
        <f>VLOOKUP($B1917,'D7 - NDB Impacted SPRF''s'!$E$16:$O$9929,3,FALSE)</f>
        <v>Uniprise</v>
      </c>
      <c r="AD1917" s="380" t="str">
        <f>VLOOKUP($B1917,'D7 - NDB Impacted SPRF''s'!$E$16:$O$9929,5,FALSE)</f>
        <v>UOS - Capital Projects</v>
      </c>
      <c r="AE1917" s="380" t="str">
        <f>VLOOKUP($B1917,'D7 - NDB Impacted SPRF''s'!$E$16:$O$9929,7,FALSE)</f>
        <v>Joanne Houck</v>
      </c>
      <c r="AF1917" s="380" t="str">
        <f>VLOOKUP($B1917,'D7 - NDB Impacted SPRF''s'!$E$16:$O$9929,6,FALSE)</f>
        <v>Susan Thompson</v>
      </c>
      <c r="AG1917" s="282"/>
      <c r="AH1917" s="311" t="e">
        <f>INDEX('D5 - Gatekeeper - Projects'!$A$4:$AF$1010,$AM1917, 17)</f>
        <v>#N/A</v>
      </c>
      <c r="AI1917" s="8"/>
      <c r="AJ1917" s="57"/>
      <c r="AK1917" s="105"/>
      <c r="AM1917" s="6" t="e">
        <f>MATCH(D1917,'D5 - Gatekeeper - Projects'!$C$4:$C$1010,0)</f>
        <v>#N/A</v>
      </c>
      <c r="AN1917" s="6" t="b">
        <f t="shared" si="203"/>
        <v>1</v>
      </c>
      <c r="AO1917" s="6" t="str">
        <f t="shared" si="205"/>
        <v>OK</v>
      </c>
      <c r="AQ1917" s="6" t="e">
        <f>MATCH($D1917,'D4 - Provider Council Unsched'!$C$11:$C$234,0)</f>
        <v>#N/A</v>
      </c>
      <c r="AR1917" s="6" t="b">
        <f t="shared" si="204"/>
        <v>1</v>
      </c>
      <c r="AS1917" s="6" t="str">
        <f t="shared" si="206"/>
        <v>OK</v>
      </c>
      <c r="AU1917" s="202"/>
      <c r="AV1917" s="262"/>
      <c r="AW1917" s="274"/>
    </row>
    <row r="1918" spans="1:49" s="13" customFormat="1" ht="22.5" x14ac:dyDescent="0.2">
      <c r="A1918" s="14">
        <v>1894</v>
      </c>
      <c r="B1918" s="14">
        <v>400005987</v>
      </c>
      <c r="C1918" s="8" t="s">
        <v>4496</v>
      </c>
      <c r="D1918" s="4" t="str">
        <f t="shared" si="207"/>
        <v>400005987CC37</v>
      </c>
      <c r="E1918" s="309" t="str">
        <f>VLOOKUP($B1918,'D7 - NDB Impacted SPRF''s'!$E$6:$O$9929,2,FALSE)</f>
        <v>Passport V2 Carry Over</v>
      </c>
      <c r="F1918" s="8" t="s">
        <v>2450</v>
      </c>
      <c r="G1918" s="8" t="s">
        <v>4758</v>
      </c>
      <c r="H1918" s="8" t="s">
        <v>4246</v>
      </c>
      <c r="I1918" s="20"/>
      <c r="J1918" s="8"/>
      <c r="K1918" s="182"/>
      <c r="L1918" s="8" t="s">
        <v>4964</v>
      </c>
      <c r="M1918" s="8" t="s">
        <v>2814</v>
      </c>
      <c r="N1918" s="367"/>
      <c r="O1918" s="8"/>
      <c r="P1918" s="4" t="str">
        <f>VLOOKUP($B1918,'D7 - NDB Impacted SPRF''s'!$E$16:$O$9929,9,FALSE)</f>
        <v>N</v>
      </c>
      <c r="Q1918" s="4" t="str">
        <f>VLOOKUP($B1918,'D7 - NDB Impacted SPRF''s'!$E$16:$O$9929,10,FALSE)</f>
        <v>N</v>
      </c>
      <c r="R1918" s="4" t="str">
        <f>VLOOKUP($B1918,'D7 - NDB Impacted SPRF''s'!$E$16:$O$9929,11,FALSE)</f>
        <v>N</v>
      </c>
      <c r="S1918" s="8"/>
      <c r="T1918" s="310"/>
      <c r="U1918" s="310"/>
      <c r="V1918" s="4"/>
      <c r="W1918" s="4"/>
      <c r="X1918" s="4"/>
      <c r="Y1918" s="4"/>
      <c r="Z1918" s="4"/>
      <c r="AA1918" s="4"/>
      <c r="AB1918" s="380" t="str">
        <f>VLOOKUP($B1918,'D7 - NDB Impacted SPRF''s'!$E$16:$O$9929,4,FALSE)</f>
        <v>Completed</v>
      </c>
      <c r="AC1918" s="380" t="str">
        <f>VLOOKUP($B1918,'D7 - NDB Impacted SPRF''s'!$E$16:$O$9929,3,FALSE)</f>
        <v>Uniprise</v>
      </c>
      <c r="AD1918" s="380" t="str">
        <f>VLOOKUP($B1918,'D7 - NDB Impacted SPRF''s'!$E$16:$O$9929,5,FALSE)</f>
        <v>UOS - Capital Projects</v>
      </c>
      <c r="AE1918" s="380" t="str">
        <f>VLOOKUP($B1918,'D7 - NDB Impacted SPRF''s'!$E$16:$O$9929,7,FALSE)</f>
        <v>Joanne Houck</v>
      </c>
      <c r="AF1918" s="380" t="str">
        <f>VLOOKUP($B1918,'D7 - NDB Impacted SPRF''s'!$E$16:$O$9929,6,FALSE)</f>
        <v>Susan Thompson</v>
      </c>
      <c r="AG1918" s="282"/>
      <c r="AH1918" s="311" t="e">
        <f>INDEX('D5 - Gatekeeper - Projects'!$A$4:$AF$1010,$AM1918, 17)</f>
        <v>#N/A</v>
      </c>
      <c r="AI1918" s="8"/>
      <c r="AJ1918" s="57"/>
      <c r="AK1918" s="105"/>
      <c r="AM1918" s="6" t="e">
        <f>MATCH(D1918,'D5 - Gatekeeper - Projects'!$C$4:$C$1010,0)</f>
        <v>#N/A</v>
      </c>
      <c r="AN1918" s="6" t="b">
        <f t="shared" si="203"/>
        <v>1</v>
      </c>
      <c r="AO1918" s="6" t="str">
        <f t="shared" si="205"/>
        <v>OK</v>
      </c>
      <c r="AQ1918" s="6" t="e">
        <f>MATCH($D1918,'D4 - Provider Council Unsched'!$C$11:$C$234,0)</f>
        <v>#N/A</v>
      </c>
      <c r="AR1918" s="6" t="b">
        <f t="shared" si="204"/>
        <v>1</v>
      </c>
      <c r="AS1918" s="6" t="str">
        <f t="shared" si="206"/>
        <v>OK</v>
      </c>
      <c r="AU1918" s="202"/>
      <c r="AV1918" s="262"/>
      <c r="AW1918" s="274"/>
    </row>
    <row r="1919" spans="1:49" s="13" customFormat="1" ht="22.5" x14ac:dyDescent="0.2">
      <c r="A1919" s="14">
        <v>1895</v>
      </c>
      <c r="B1919" s="14">
        <v>400006083</v>
      </c>
      <c r="C1919" s="8" t="s">
        <v>5197</v>
      </c>
      <c r="D1919" s="4" t="str">
        <f t="shared" si="207"/>
        <v>400006083R1</v>
      </c>
      <c r="E1919" s="309" t="str">
        <f>VLOOKUP($B1919,'D7 - NDB Impacted SPRF''s'!$E$6:$O$9929,2,FALSE)</f>
        <v>EPS- Consolidated 835 Rebuild</v>
      </c>
      <c r="F1919" s="8"/>
      <c r="G1919" s="8" t="s">
        <v>4758</v>
      </c>
      <c r="H1919" s="8" t="s">
        <v>4246</v>
      </c>
      <c r="I1919" s="20"/>
      <c r="J1919" s="8"/>
      <c r="K1919" s="182"/>
      <c r="L1919" s="8" t="s">
        <v>4964</v>
      </c>
      <c r="M1919" s="8" t="s">
        <v>2814</v>
      </c>
      <c r="N1919" s="367"/>
      <c r="O1919" s="8"/>
      <c r="P1919" s="4" t="str">
        <f>VLOOKUP($B1919,'D7 - NDB Impacted SPRF''s'!$E$16:$O$9929,9,FALSE)</f>
        <v>Y</v>
      </c>
      <c r="Q1919" s="4" t="str">
        <f>VLOOKUP($B1919,'D7 - NDB Impacted SPRF''s'!$E$16:$O$9929,10,FALSE)</f>
        <v>N</v>
      </c>
      <c r="R1919" s="4" t="str">
        <f>VLOOKUP($B1919,'D7 - NDB Impacted SPRF''s'!$E$16:$O$9929,11,FALSE)</f>
        <v>N</v>
      </c>
      <c r="S1919" s="8"/>
      <c r="T1919" s="310"/>
      <c r="U1919" s="310"/>
      <c r="V1919" s="4"/>
      <c r="W1919" s="4"/>
      <c r="X1919" s="4"/>
      <c r="Y1919" s="4"/>
      <c r="Z1919" s="4"/>
      <c r="AA1919" s="4"/>
      <c r="AB1919" s="380" t="str">
        <f>VLOOKUP($B1919,'D7 - NDB Impacted SPRF''s'!$E$16:$O$9929,4,FALSE)</f>
        <v>Completed</v>
      </c>
      <c r="AC1919" s="380" t="str">
        <f>VLOOKUP($B1919,'D7 - NDB Impacted SPRF''s'!$E$16:$O$9929,3,FALSE)</f>
        <v>Uniprise</v>
      </c>
      <c r="AD1919" s="380" t="str">
        <f>VLOOKUP($B1919,'D7 - NDB Impacted SPRF''s'!$E$16:$O$9929,5,FALSE)</f>
        <v>Exante</v>
      </c>
      <c r="AE1919" s="380" t="str">
        <f>VLOOKUP($B1919,'D7 - NDB Impacted SPRF''s'!$E$16:$O$9929,7,FALSE)</f>
        <v>Ragui Selwanes</v>
      </c>
      <c r="AF1919" s="380" t="str">
        <f>VLOOKUP($B1919,'D7 - NDB Impacted SPRF''s'!$E$16:$O$9929,6,FALSE)</f>
        <v>STACIE NABEDRICK</v>
      </c>
      <c r="AG1919" s="282"/>
      <c r="AH1919" s="311" t="e">
        <f>INDEX('D5 - Gatekeeper - Projects'!$A$4:$AF$1010,$AM1919, 17)</f>
        <v>#N/A</v>
      </c>
      <c r="AI1919" s="8"/>
      <c r="AJ1919" s="57"/>
      <c r="AK1919" s="105"/>
      <c r="AM1919" s="6" t="e">
        <f>MATCH(D1919,'D5 - Gatekeeper - Projects'!$C$4:$C$1010,0)</f>
        <v>#N/A</v>
      </c>
      <c r="AN1919" s="6" t="b">
        <f t="shared" si="203"/>
        <v>1</v>
      </c>
      <c r="AO1919" s="6" t="str">
        <f t="shared" si="205"/>
        <v>OK</v>
      </c>
      <c r="AQ1919" s="6" t="e">
        <f>MATCH($D1919,'D4 - Provider Council Unsched'!$C$11:$C$234,0)</f>
        <v>#N/A</v>
      </c>
      <c r="AR1919" s="6" t="b">
        <f t="shared" si="204"/>
        <v>1</v>
      </c>
      <c r="AS1919" s="6" t="str">
        <f t="shared" si="206"/>
        <v>OK</v>
      </c>
      <c r="AU1919" s="202"/>
      <c r="AV1919" s="262"/>
      <c r="AW1919" s="274"/>
    </row>
    <row r="1920" spans="1:49" s="13" customFormat="1" ht="22.5" x14ac:dyDescent="0.2">
      <c r="A1920" s="14">
        <v>1896</v>
      </c>
      <c r="B1920" s="14">
        <v>400006516</v>
      </c>
      <c r="C1920" s="8" t="s">
        <v>5197</v>
      </c>
      <c r="D1920" s="4" t="str">
        <f t="shared" si="207"/>
        <v>400006516R1</v>
      </c>
      <c r="E1920" s="309" t="str">
        <f>VLOOKUP($B1920,'D7 - NDB Impacted SPRF''s'!$E$6:$O$9929,2,FALSE)</f>
        <v>Optum Care Management - VETSS 2.0</v>
      </c>
      <c r="F1920" s="8"/>
      <c r="G1920" s="8" t="s">
        <v>4758</v>
      </c>
      <c r="H1920" s="8" t="s">
        <v>4246</v>
      </c>
      <c r="I1920" s="20"/>
      <c r="J1920" s="8"/>
      <c r="K1920" s="182"/>
      <c r="L1920" s="8" t="s">
        <v>4964</v>
      </c>
      <c r="M1920" s="8" t="s">
        <v>2814</v>
      </c>
      <c r="N1920" s="367"/>
      <c r="O1920" s="8"/>
      <c r="P1920" s="4" t="str">
        <f>VLOOKUP($B1920,'D7 - NDB Impacted SPRF''s'!$E$16:$O$9929,9,FALSE)</f>
        <v>N</v>
      </c>
      <c r="Q1920" s="4" t="str">
        <f>VLOOKUP($B1920,'D7 - NDB Impacted SPRF''s'!$E$16:$O$9929,10,FALSE)</f>
        <v>N</v>
      </c>
      <c r="R1920" s="4" t="str">
        <f>VLOOKUP($B1920,'D7 - NDB Impacted SPRF''s'!$E$16:$O$9929,11,FALSE)</f>
        <v>N</v>
      </c>
      <c r="S1920" s="8"/>
      <c r="T1920" s="310"/>
      <c r="U1920" s="310"/>
      <c r="V1920" s="4"/>
      <c r="W1920" s="4"/>
      <c r="X1920" s="4"/>
      <c r="Y1920" s="4"/>
      <c r="Z1920" s="4"/>
      <c r="AA1920" s="4"/>
      <c r="AB1920" s="380" t="str">
        <f>VLOOKUP($B1920,'D7 - NDB Impacted SPRF''s'!$E$16:$O$9929,4,FALSE)</f>
        <v>Completed</v>
      </c>
      <c r="AC1920" s="380" t="str">
        <f>VLOOKUP($B1920,'D7 - NDB Impacted SPRF''s'!$E$16:$O$9929,3,FALSE)</f>
        <v>OptumHealth</v>
      </c>
      <c r="AD1920" s="380" t="str">
        <f>VLOOKUP($B1920,'D7 - NDB Impacted SPRF''s'!$E$16:$O$9929,5,FALSE)</f>
        <v>Optum</v>
      </c>
      <c r="AE1920" s="380" t="str">
        <f>VLOOKUP($B1920,'D7 - NDB Impacted SPRF''s'!$E$16:$O$9929,7,FALSE)</f>
        <v>Scott Ireland &amp; Robert Kendrick</v>
      </c>
      <c r="AF1920" s="380" t="str">
        <f>VLOOKUP($B1920,'D7 - NDB Impacted SPRF''s'!$E$16:$O$9929,6,FALSE)</f>
        <v>KENNETH KULUS</v>
      </c>
      <c r="AG1920" s="282"/>
      <c r="AH1920" s="311" t="e">
        <f>INDEX('D5 - Gatekeeper - Projects'!$A$4:$AF$1010,$AM1920, 17)</f>
        <v>#N/A</v>
      </c>
      <c r="AI1920" s="8"/>
      <c r="AJ1920" s="57"/>
      <c r="AK1920" s="105"/>
      <c r="AM1920" s="6" t="e">
        <f>MATCH(D1920,'D5 - Gatekeeper - Projects'!$C$4:$C$1010,0)</f>
        <v>#N/A</v>
      </c>
      <c r="AN1920" s="6" t="b">
        <f t="shared" si="203"/>
        <v>1</v>
      </c>
      <c r="AO1920" s="6" t="str">
        <f t="shared" si="205"/>
        <v>OK</v>
      </c>
      <c r="AQ1920" s="6" t="e">
        <f>MATCH($D1920,'D4 - Provider Council Unsched'!$C$11:$C$234,0)</f>
        <v>#N/A</v>
      </c>
      <c r="AR1920" s="6" t="b">
        <f t="shared" si="204"/>
        <v>1</v>
      </c>
      <c r="AS1920" s="6" t="str">
        <f t="shared" si="206"/>
        <v>OK</v>
      </c>
      <c r="AU1920" s="202"/>
      <c r="AV1920" s="262"/>
      <c r="AW1920" s="274"/>
    </row>
    <row r="1921" spans="1:49" s="13" customFormat="1" ht="22.5" x14ac:dyDescent="0.2">
      <c r="A1921" s="14">
        <v>1897</v>
      </c>
      <c r="B1921" s="14">
        <v>400006567</v>
      </c>
      <c r="C1921" s="8" t="s">
        <v>3793</v>
      </c>
      <c r="D1921" s="4" t="str">
        <f t="shared" si="207"/>
        <v>400006567U</v>
      </c>
      <c r="E1921" s="309" t="str">
        <f>VLOOKUP($B1921,'D7 - NDB Impacted SPRF''s'!$E$6:$O$9929,2,FALSE)</f>
        <v>Uniprise Test Director Consolidation</v>
      </c>
      <c r="F1921" s="8" t="s">
        <v>8133</v>
      </c>
      <c r="G1921" s="8" t="s">
        <v>4758</v>
      </c>
      <c r="H1921" s="8" t="s">
        <v>4246</v>
      </c>
      <c r="I1921" s="20"/>
      <c r="J1921" s="8"/>
      <c r="K1921" s="182"/>
      <c r="L1921" s="8" t="s">
        <v>4964</v>
      </c>
      <c r="M1921" s="8" t="s">
        <v>2814</v>
      </c>
      <c r="N1921" s="367"/>
      <c r="O1921" s="8"/>
      <c r="P1921" s="4" t="str">
        <f>VLOOKUP($B1921,'D7 - NDB Impacted SPRF''s'!$E$16:$O$9929,9,FALSE)</f>
        <v>Y</v>
      </c>
      <c r="Q1921" s="4" t="str">
        <f>VLOOKUP($B1921,'D7 - NDB Impacted SPRF''s'!$E$16:$O$9929,10,FALSE)</f>
        <v>N</v>
      </c>
      <c r="R1921" s="4" t="str">
        <f>VLOOKUP($B1921,'D7 - NDB Impacted SPRF''s'!$E$16:$O$9929,11,FALSE)</f>
        <v>N</v>
      </c>
      <c r="S1921" s="8"/>
      <c r="T1921" s="310"/>
      <c r="U1921" s="310"/>
      <c r="V1921" s="4"/>
      <c r="W1921" s="4"/>
      <c r="X1921" s="4"/>
      <c r="Y1921" s="4"/>
      <c r="Z1921" s="4"/>
      <c r="AA1921" s="4"/>
      <c r="AB1921" s="380" t="str">
        <f>VLOOKUP($B1921,'D7 - NDB Impacted SPRF''s'!$E$16:$O$9929,4,FALSE)</f>
        <v>Completed</v>
      </c>
      <c r="AC1921" s="380" t="str">
        <f>VLOOKUP($B1921,'D7 - NDB Impacted SPRF''s'!$E$16:$O$9929,3,FALSE)</f>
        <v>Uniprise</v>
      </c>
      <c r="AD1921" s="380" t="str">
        <f>VLOOKUP($B1921,'D7 - NDB Impacted SPRF''s'!$E$16:$O$9929,5,FALSE)</f>
        <v>Uniprise Technologies - DDC</v>
      </c>
      <c r="AE1921" s="380" t="str">
        <f>VLOOKUP($B1921,'D7 - NDB Impacted SPRF''s'!$E$16:$O$9929,7,FALSE)</f>
        <v>Kelly Clark</v>
      </c>
      <c r="AF1921" s="380" t="str">
        <f>VLOOKUP($B1921,'D7 - NDB Impacted SPRF''s'!$E$16:$O$9929,6,FALSE)</f>
        <v>OKSANA SOKOLOVSKY</v>
      </c>
      <c r="AG1921" s="282"/>
      <c r="AH1921" s="311" t="e">
        <f>INDEX('D5 - Gatekeeper - Projects'!$A$4:$AF$1010,$AM1921, 17)</f>
        <v>#N/A</v>
      </c>
      <c r="AI1921" s="8"/>
      <c r="AJ1921" s="57"/>
      <c r="AK1921" s="105"/>
      <c r="AM1921" s="6" t="e">
        <f>MATCH(D1921,'D5 - Gatekeeper - Projects'!$C$4:$C$1010,0)</f>
        <v>#N/A</v>
      </c>
      <c r="AN1921" s="6" t="b">
        <f t="shared" si="203"/>
        <v>1</v>
      </c>
      <c r="AO1921" s="6" t="str">
        <f t="shared" si="205"/>
        <v>OK</v>
      </c>
      <c r="AQ1921" s="6" t="e">
        <f>MATCH($D1921,'D4 - Provider Council Unsched'!$C$11:$C$234,0)</f>
        <v>#N/A</v>
      </c>
      <c r="AR1921" s="6" t="b">
        <f t="shared" si="204"/>
        <v>1</v>
      </c>
      <c r="AS1921" s="6" t="str">
        <f t="shared" si="206"/>
        <v>OK</v>
      </c>
      <c r="AU1921" s="202"/>
      <c r="AV1921" s="262"/>
      <c r="AW1921" s="274"/>
    </row>
    <row r="1922" spans="1:49" s="13" customFormat="1" x14ac:dyDescent="0.2">
      <c r="A1922" s="14">
        <v>1898</v>
      </c>
      <c r="B1922" s="14">
        <v>400006630</v>
      </c>
      <c r="C1922" s="8" t="s">
        <v>5197</v>
      </c>
      <c r="D1922" s="4" t="str">
        <f t="shared" si="207"/>
        <v>400006630R1</v>
      </c>
      <c r="E1922" s="309" t="str">
        <f>VLOOKUP($B1922,'D7 - NDB Impacted SPRF''s'!$E$6:$O$9929,2,FALSE)</f>
        <v>Definity Integration - Consumer Experience Rel 1</v>
      </c>
      <c r="F1922" s="8" t="s">
        <v>3876</v>
      </c>
      <c r="G1922" s="8" t="s">
        <v>4758</v>
      </c>
      <c r="H1922" s="8" t="s">
        <v>4246</v>
      </c>
      <c r="I1922" s="20"/>
      <c r="J1922" s="8"/>
      <c r="K1922" s="182"/>
      <c r="L1922" s="8" t="s">
        <v>4964</v>
      </c>
      <c r="M1922" s="8" t="s">
        <v>2814</v>
      </c>
      <c r="N1922" s="367"/>
      <c r="O1922" s="8"/>
      <c r="P1922" s="4" t="str">
        <f>VLOOKUP($B1922,'D7 - NDB Impacted SPRF''s'!$E$16:$O$9929,9,FALSE)</f>
        <v>Y</v>
      </c>
      <c r="Q1922" s="4" t="str">
        <f>VLOOKUP($B1922,'D7 - NDB Impacted SPRF''s'!$E$16:$O$9929,10,FALSE)</f>
        <v>N</v>
      </c>
      <c r="R1922" s="4" t="str">
        <f>VLOOKUP($B1922,'D7 - NDB Impacted SPRF''s'!$E$16:$O$9929,11,FALSE)</f>
        <v>N</v>
      </c>
      <c r="S1922" s="8"/>
      <c r="T1922" s="310"/>
      <c r="U1922" s="310"/>
      <c r="V1922" s="4"/>
      <c r="W1922" s="4"/>
      <c r="X1922" s="4"/>
      <c r="Y1922" s="4"/>
      <c r="Z1922" s="4"/>
      <c r="AA1922" s="4"/>
      <c r="AB1922" s="380" t="str">
        <f>VLOOKUP($B1922,'D7 - NDB Impacted SPRF''s'!$E$16:$O$9929,4,FALSE)</f>
        <v>Completed</v>
      </c>
      <c r="AC1922" s="380" t="str">
        <f>VLOOKUP($B1922,'D7 - NDB Impacted SPRF''s'!$E$16:$O$9929,3,FALSE)</f>
        <v>Uniprise</v>
      </c>
      <c r="AD1922" s="380" t="str">
        <f>VLOOKUP($B1922,'D7 - NDB Impacted SPRF''s'!$E$16:$O$9929,5,FALSE)</f>
        <v>Definity - Capital Projects</v>
      </c>
      <c r="AE1922" s="380" t="str">
        <f>VLOOKUP($B1922,'D7 - NDB Impacted SPRF''s'!$E$16:$O$9929,7,FALSE)</f>
        <v>Michael Tarino</v>
      </c>
      <c r="AF1922" s="380" t="str">
        <f>VLOOKUP($B1922,'D7 - NDB Impacted SPRF''s'!$E$16:$O$9929,6,FALSE)</f>
        <v>Scott Freberg</v>
      </c>
      <c r="AG1922" s="282"/>
      <c r="AH1922" s="311" t="e">
        <f>INDEX('D5 - Gatekeeper - Projects'!$A$4:$AF$1010,$AM1922, 17)</f>
        <v>#N/A</v>
      </c>
      <c r="AI1922" s="8"/>
      <c r="AJ1922" s="57"/>
      <c r="AK1922" s="105"/>
      <c r="AM1922" s="6" t="e">
        <f>MATCH(D1922,'D5 - Gatekeeper - Projects'!$C$4:$C$1010,0)</f>
        <v>#N/A</v>
      </c>
      <c r="AN1922" s="6" t="b">
        <f t="shared" si="203"/>
        <v>1</v>
      </c>
      <c r="AO1922" s="6" t="str">
        <f t="shared" si="205"/>
        <v>OK</v>
      </c>
      <c r="AQ1922" s="6" t="e">
        <f>MATCH($D1922,'D4 - Provider Council Unsched'!$C$11:$C$234,0)</f>
        <v>#N/A</v>
      </c>
      <c r="AR1922" s="6" t="b">
        <f t="shared" si="204"/>
        <v>1</v>
      </c>
      <c r="AS1922" s="6" t="str">
        <f t="shared" si="206"/>
        <v>OK</v>
      </c>
      <c r="AU1922" s="202"/>
      <c r="AV1922" s="262"/>
      <c r="AW1922" s="274"/>
    </row>
    <row r="1923" spans="1:49" s="13" customFormat="1" ht="22.5" x14ac:dyDescent="0.2">
      <c r="A1923" s="14">
        <v>1899</v>
      </c>
      <c r="B1923" s="14">
        <v>400007656</v>
      </c>
      <c r="C1923" s="8" t="s">
        <v>3793</v>
      </c>
      <c r="D1923" s="4" t="str">
        <f t="shared" si="207"/>
        <v>400007656U</v>
      </c>
      <c r="E1923" s="309" t="str">
        <f>VLOOKUP($B1923,'D7 - NDB Impacted SPRF''s'!$E$6:$O$9929,2,FALSE)</f>
        <v>CDB Phase 1 - Data Capture Enhancements</v>
      </c>
      <c r="F1923" s="8" t="s">
        <v>7243</v>
      </c>
      <c r="G1923" s="8" t="s">
        <v>4758</v>
      </c>
      <c r="H1923" s="8" t="s">
        <v>4246</v>
      </c>
      <c r="I1923" s="20"/>
      <c r="J1923" s="8"/>
      <c r="K1923" s="182"/>
      <c r="L1923" s="8" t="s">
        <v>6164</v>
      </c>
      <c r="M1923" s="8" t="s">
        <v>2814</v>
      </c>
      <c r="N1923" s="367"/>
      <c r="O1923" s="8"/>
      <c r="P1923" s="4" t="str">
        <f>VLOOKUP($B1923,'D7 - NDB Impacted SPRF''s'!$E$16:$O$9929,9,FALSE)</f>
        <v>N</v>
      </c>
      <c r="Q1923" s="4" t="str">
        <f>VLOOKUP($B1923,'D7 - NDB Impacted SPRF''s'!$E$16:$O$9929,10,FALSE)</f>
        <v>N</v>
      </c>
      <c r="R1923" s="4" t="str">
        <f>VLOOKUP($B1923,'D7 - NDB Impacted SPRF''s'!$E$16:$O$9929,11,FALSE)</f>
        <v>N</v>
      </c>
      <c r="S1923" s="8"/>
      <c r="T1923" s="310"/>
      <c r="U1923" s="310"/>
      <c r="V1923" s="4"/>
      <c r="W1923" s="4"/>
      <c r="X1923" s="4"/>
      <c r="Y1923" s="4"/>
      <c r="Z1923" s="4"/>
      <c r="AA1923" s="4"/>
      <c r="AB1923" s="380" t="str">
        <f>VLOOKUP($B1923,'D7 - NDB Impacted SPRF''s'!$E$16:$O$9929,4,FALSE)</f>
        <v>Completed</v>
      </c>
      <c r="AC1923" s="380" t="str">
        <f>VLOOKUP($B1923,'D7 - NDB Impacted SPRF''s'!$E$16:$O$9929,3,FALSE)</f>
        <v>Uniprise</v>
      </c>
      <c r="AD1923" s="380" t="str">
        <f>VLOOKUP($B1923,'D7 - NDB Impacted SPRF''s'!$E$16:$O$9929,5,FALSE)</f>
        <v>Group Services - Capital Projects</v>
      </c>
      <c r="AE1923" s="380" t="str">
        <f>VLOOKUP($B1923,'D7 - NDB Impacted SPRF''s'!$E$16:$O$9929,7,FALSE)</f>
        <v>Steven Auerbach</v>
      </c>
      <c r="AF1923" s="380" t="str">
        <f>VLOOKUP($B1923,'D7 - NDB Impacted SPRF''s'!$E$16:$O$9929,6,FALSE)</f>
        <v>Patrick Casey</v>
      </c>
      <c r="AG1923" s="282"/>
      <c r="AH1923" s="311" t="e">
        <f>INDEX('D5 - Gatekeeper - Projects'!$A$4:$AF$1010,$AM1923, 17)</f>
        <v>#N/A</v>
      </c>
      <c r="AI1923" s="8"/>
      <c r="AJ1923" s="57"/>
      <c r="AK1923" s="105"/>
      <c r="AM1923" s="6" t="e">
        <f>MATCH(D1923,'D5 - Gatekeeper - Projects'!$C$4:$C$1010,0)</f>
        <v>#N/A</v>
      </c>
      <c r="AN1923" s="6" t="b">
        <f t="shared" si="203"/>
        <v>1</v>
      </c>
      <c r="AO1923" s="6" t="str">
        <f t="shared" si="205"/>
        <v>OK</v>
      </c>
      <c r="AQ1923" s="6" t="e">
        <f>MATCH($D1923,'D4 - Provider Council Unsched'!$C$11:$C$234,0)</f>
        <v>#N/A</v>
      </c>
      <c r="AR1923" s="6" t="b">
        <f t="shared" si="204"/>
        <v>1</v>
      </c>
      <c r="AS1923" s="6" t="str">
        <f t="shared" si="206"/>
        <v>OK</v>
      </c>
      <c r="AU1923" s="202"/>
      <c r="AV1923" s="262"/>
      <c r="AW1923" s="274"/>
    </row>
    <row r="1924" spans="1:49" s="13" customFormat="1" ht="22.5" x14ac:dyDescent="0.2">
      <c r="A1924" s="14">
        <v>1900</v>
      </c>
      <c r="B1924" s="14">
        <v>400007755</v>
      </c>
      <c r="C1924" s="8" t="s">
        <v>1992</v>
      </c>
      <c r="D1924" s="4" t="str">
        <f t="shared" si="207"/>
        <v>400007755U1</v>
      </c>
      <c r="E1924" s="309" t="str">
        <f>VLOOKUP($B1924,'D7 - NDB Impacted SPRF''s'!$E$6:$O$9929,2,FALSE)</f>
        <v>CDB Phase 1 - DB &amp; Services</v>
      </c>
      <c r="F1924" s="8" t="s">
        <v>7243</v>
      </c>
      <c r="G1924" s="8" t="s">
        <v>4758</v>
      </c>
      <c r="H1924" s="8" t="s">
        <v>4246</v>
      </c>
      <c r="I1924" s="20">
        <v>5</v>
      </c>
      <c r="J1924" s="8" t="s">
        <v>4862</v>
      </c>
      <c r="K1924" s="182"/>
      <c r="L1924" s="8" t="s">
        <v>4156</v>
      </c>
      <c r="M1924" s="8" t="s">
        <v>2814</v>
      </c>
      <c r="N1924" s="371" t="s">
        <v>3708</v>
      </c>
      <c r="O1924" s="8"/>
      <c r="P1924" s="4" t="str">
        <f>VLOOKUP($B1924,'D7 - NDB Impacted SPRF''s'!$E$16:$O$9929,9,FALSE)</f>
        <v>Y</v>
      </c>
      <c r="Q1924" s="4" t="str">
        <f>VLOOKUP($B1924,'D7 - NDB Impacted SPRF''s'!$E$16:$O$9929,10,FALSE)</f>
        <v>N</v>
      </c>
      <c r="R1924" s="4" t="str">
        <f>VLOOKUP($B1924,'D7 - NDB Impacted SPRF''s'!$E$16:$O$9929,11,FALSE)</f>
        <v>N</v>
      </c>
      <c r="S1924" s="8"/>
      <c r="T1924" s="310"/>
      <c r="U1924" s="310"/>
      <c r="V1924" s="4"/>
      <c r="W1924" s="4"/>
      <c r="X1924" s="4"/>
      <c r="Y1924" s="4"/>
      <c r="Z1924" s="4"/>
      <c r="AA1924" s="4"/>
      <c r="AB1924" s="380" t="str">
        <f>VLOOKUP($B1924,'D7 - NDB Impacted SPRF''s'!$E$16:$O$9929,4,FALSE)</f>
        <v>Completed</v>
      </c>
      <c r="AC1924" s="380" t="str">
        <f>VLOOKUP($B1924,'D7 - NDB Impacted SPRF''s'!$E$16:$O$9929,3,FALSE)</f>
        <v>Uniprise</v>
      </c>
      <c r="AD1924" s="380" t="str">
        <f>VLOOKUP($B1924,'D7 - NDB Impacted SPRF''s'!$E$16:$O$9929,5,FALSE)</f>
        <v>Group Services - Capital Projects</v>
      </c>
      <c r="AE1924" s="380" t="str">
        <f>VLOOKUP($B1924,'D7 - NDB Impacted SPRF''s'!$E$16:$O$9929,7,FALSE)</f>
        <v>Steven Auerbach</v>
      </c>
      <c r="AF1924" s="380" t="str">
        <f>VLOOKUP($B1924,'D7 - NDB Impacted SPRF''s'!$E$16:$O$9929,6,FALSE)</f>
        <v>Tonya Maurer</v>
      </c>
      <c r="AG1924" s="282"/>
      <c r="AH1924" s="311" t="e">
        <f>INDEX('D5 - Gatekeeper - Projects'!$A$4:$AF$1010,$AM1924, 17)</f>
        <v>#N/A</v>
      </c>
      <c r="AI1924" s="8"/>
      <c r="AJ1924" s="57"/>
      <c r="AK1924" s="105"/>
      <c r="AM1924" s="6" t="e">
        <f>MATCH(D1924,'D5 - Gatekeeper - Projects'!$C$4:$C$1010,0)</f>
        <v>#N/A</v>
      </c>
      <c r="AN1924" s="6" t="b">
        <f t="shared" si="203"/>
        <v>1</v>
      </c>
      <c r="AO1924" s="6" t="str">
        <f t="shared" si="205"/>
        <v>OK</v>
      </c>
      <c r="AQ1924" s="6" t="e">
        <f>MATCH($D1924,'D4 - Provider Council Unsched'!$C$11:$C$234,0)</f>
        <v>#N/A</v>
      </c>
      <c r="AR1924" s="6" t="b">
        <f t="shared" si="204"/>
        <v>1</v>
      </c>
      <c r="AS1924" s="6" t="str">
        <f t="shared" si="206"/>
        <v>OK</v>
      </c>
      <c r="AU1924" s="202"/>
      <c r="AV1924" s="262"/>
      <c r="AW1924" s="274"/>
    </row>
    <row r="1925" spans="1:49" s="13" customFormat="1" ht="33.75" x14ac:dyDescent="0.2">
      <c r="A1925" s="14">
        <v>1901</v>
      </c>
      <c r="B1925" s="14">
        <v>400007903</v>
      </c>
      <c r="C1925" s="8" t="s">
        <v>5197</v>
      </c>
      <c r="D1925" s="4" t="str">
        <f t="shared" si="207"/>
        <v>400007903R1</v>
      </c>
      <c r="E1925" s="309" t="str">
        <f>VLOOKUP($B1925,'D7 - NDB Impacted SPRF''s'!$E$6:$O$9929,2,FALSE)</f>
        <v>National Provider ID (NPI) Compliance</v>
      </c>
      <c r="F1925" s="8" t="s">
        <v>1059</v>
      </c>
      <c r="G1925" s="8" t="s">
        <v>4758</v>
      </c>
      <c r="H1925" s="8" t="s">
        <v>4246</v>
      </c>
      <c r="I1925" s="20">
        <v>7.87</v>
      </c>
      <c r="J1925" s="8" t="s">
        <v>4862</v>
      </c>
      <c r="K1925" s="182"/>
      <c r="L1925" s="8" t="s">
        <v>4156</v>
      </c>
      <c r="M1925" s="8" t="s">
        <v>2814</v>
      </c>
      <c r="N1925" s="367" t="s">
        <v>4383</v>
      </c>
      <c r="O1925" s="8"/>
      <c r="P1925" s="4" t="str">
        <f>VLOOKUP($B1925,'D7 - NDB Impacted SPRF''s'!$E$16:$O$9929,9,FALSE)</f>
        <v>Y</v>
      </c>
      <c r="Q1925" s="4" t="str">
        <f>VLOOKUP($B1925,'D7 - NDB Impacted SPRF''s'!$E$16:$O$9929,10,FALSE)</f>
        <v>N</v>
      </c>
      <c r="R1925" s="4" t="str">
        <f>VLOOKUP($B1925,'D7 - NDB Impacted SPRF''s'!$E$16:$O$9929,11,FALSE)</f>
        <v>N</v>
      </c>
      <c r="S1925" s="8"/>
      <c r="T1925" s="310"/>
      <c r="U1925" s="310"/>
      <c r="V1925" s="4"/>
      <c r="W1925" s="4"/>
      <c r="X1925" s="4"/>
      <c r="Y1925" s="4"/>
      <c r="Z1925" s="4"/>
      <c r="AA1925" s="4"/>
      <c r="AB1925" s="380" t="str">
        <f>VLOOKUP($B1925,'D7 - NDB Impacted SPRF''s'!$E$16:$O$9929,4,FALSE)</f>
        <v>Completed</v>
      </c>
      <c r="AC1925" s="380" t="str">
        <f>VLOOKUP($B1925,'D7 - NDB Impacted SPRF''s'!$E$16:$O$9929,3,FALSE)</f>
        <v>UnitedHealthcare Employer &amp; Individual</v>
      </c>
      <c r="AD1925" s="380" t="str">
        <f>VLOOKUP($B1925,'D7 - NDB Impacted SPRF''s'!$E$16:$O$9929,5,FALSE)</f>
        <v>Regulatory / Other</v>
      </c>
      <c r="AE1925" s="380" t="str">
        <f>VLOOKUP($B1925,'D7 - NDB Impacted SPRF''s'!$E$16:$O$9929,7,FALSE)</f>
        <v>Peter Bompane</v>
      </c>
      <c r="AF1925" s="380" t="str">
        <f>VLOOKUP($B1925,'D7 - NDB Impacted SPRF''s'!$E$16:$O$9929,6,FALSE)</f>
        <v>KELLY LEONARD</v>
      </c>
      <c r="AG1925" s="282"/>
      <c r="AH1925" s="311" t="e">
        <f>INDEX('D5 - Gatekeeper - Projects'!$A$4:$AF$1010,$AM1925, 17)</f>
        <v>#N/A</v>
      </c>
      <c r="AI1925" s="8"/>
      <c r="AJ1925" s="57"/>
      <c r="AK1925" s="105"/>
      <c r="AM1925" s="6" t="e">
        <f>MATCH(D1925,'D5 - Gatekeeper - Projects'!$C$4:$C$1010,0)</f>
        <v>#N/A</v>
      </c>
      <c r="AN1925" s="6" t="b">
        <f t="shared" si="203"/>
        <v>1</v>
      </c>
      <c r="AO1925" s="6" t="str">
        <f t="shared" si="205"/>
        <v>OK</v>
      </c>
      <c r="AQ1925" s="6" t="e">
        <f>MATCH($D1925,'D4 - Provider Council Unsched'!$C$11:$C$234,0)</f>
        <v>#N/A</v>
      </c>
      <c r="AR1925" s="6" t="b">
        <f t="shared" si="204"/>
        <v>1</v>
      </c>
      <c r="AS1925" s="6" t="str">
        <f t="shared" si="206"/>
        <v>OK</v>
      </c>
      <c r="AU1925" s="202"/>
      <c r="AV1925" s="262"/>
      <c r="AW1925" s="274"/>
    </row>
    <row r="1926" spans="1:49" s="13" customFormat="1" ht="33.75" x14ac:dyDescent="0.2">
      <c r="A1926" s="14">
        <v>1902</v>
      </c>
      <c r="B1926" s="14">
        <v>400008045</v>
      </c>
      <c r="C1926" s="8" t="s">
        <v>5197</v>
      </c>
      <c r="D1926" s="4" t="str">
        <f t="shared" si="207"/>
        <v>400008045R1</v>
      </c>
      <c r="E1926" s="309" t="str">
        <f>VLOOKUP($B1926,'D7 - NDB Impacted SPRF''s'!$E$6:$O$9929,2,FALSE)</f>
        <v>PPII - Security - Security QuickWins - R.1</v>
      </c>
      <c r="F1926" s="8" t="s">
        <v>5536</v>
      </c>
      <c r="G1926" s="8" t="s">
        <v>4758</v>
      </c>
      <c r="H1926" s="8" t="s">
        <v>4246</v>
      </c>
      <c r="I1926" s="20"/>
      <c r="J1926" s="8"/>
      <c r="K1926" s="182"/>
      <c r="L1926" s="8" t="s">
        <v>4964</v>
      </c>
      <c r="M1926" s="8" t="s">
        <v>2814</v>
      </c>
      <c r="N1926" s="367"/>
      <c r="O1926" s="8"/>
      <c r="P1926" s="4" t="str">
        <f>VLOOKUP($B1926,'D7 - NDB Impacted SPRF''s'!$E$16:$O$9929,9,FALSE)</f>
        <v>N</v>
      </c>
      <c r="Q1926" s="4" t="str">
        <f>VLOOKUP($B1926,'D7 - NDB Impacted SPRF''s'!$E$16:$O$9929,10,FALSE)</f>
        <v>N</v>
      </c>
      <c r="R1926" s="4" t="str">
        <f>VLOOKUP($B1926,'D7 - NDB Impacted SPRF''s'!$E$16:$O$9929,11,FALSE)</f>
        <v>N</v>
      </c>
      <c r="S1926" s="8"/>
      <c r="T1926" s="310"/>
      <c r="U1926" s="310"/>
      <c r="V1926" s="4"/>
      <c r="W1926" s="4"/>
      <c r="X1926" s="4"/>
      <c r="Y1926" s="4"/>
      <c r="Z1926" s="4"/>
      <c r="AA1926" s="4"/>
      <c r="AB1926" s="380" t="str">
        <f>VLOOKUP($B1926,'D7 - NDB Impacted SPRF''s'!$E$16:$O$9929,4,FALSE)</f>
        <v>Completed</v>
      </c>
      <c r="AC1926" s="380" t="str">
        <f>VLOOKUP($B1926,'D7 - NDB Impacted SPRF''s'!$E$16:$O$9929,3,FALSE)</f>
        <v>UnitedHealthcare Employer &amp; Individual</v>
      </c>
      <c r="AD1926" s="380" t="str">
        <f>VLOOKUP($B1926,'D7 - NDB Impacted SPRF''s'!$E$16:$O$9929,5,FALSE)</f>
        <v>Key Initiatives Group</v>
      </c>
      <c r="AE1926" s="380" t="str">
        <f>VLOOKUP($B1926,'D7 - NDB Impacted SPRF''s'!$E$16:$O$9929,7,FALSE)</f>
        <v>Steve Auerbach</v>
      </c>
      <c r="AF1926" s="380" t="str">
        <f>VLOOKUP($B1926,'D7 - NDB Impacted SPRF''s'!$E$16:$O$9929,6,FALSE)</f>
        <v>AMELIA HINRICHS</v>
      </c>
      <c r="AG1926" s="282"/>
      <c r="AH1926" s="311" t="e">
        <f>INDEX('D5 - Gatekeeper - Projects'!$A$4:$AF$1010,$AM1926, 17)</f>
        <v>#N/A</v>
      </c>
      <c r="AI1926" s="8"/>
      <c r="AJ1926" s="57"/>
      <c r="AK1926" s="105"/>
      <c r="AM1926" s="6" t="e">
        <f>MATCH(D1926,'D5 - Gatekeeper - Projects'!$C$4:$C$1010,0)</f>
        <v>#N/A</v>
      </c>
      <c r="AN1926" s="6" t="b">
        <f t="shared" si="203"/>
        <v>1</v>
      </c>
      <c r="AO1926" s="6" t="str">
        <f t="shared" si="205"/>
        <v>OK</v>
      </c>
      <c r="AQ1926" s="6" t="e">
        <f>MATCH($D1926,'D4 - Provider Council Unsched'!$C$11:$C$234,0)</f>
        <v>#N/A</v>
      </c>
      <c r="AR1926" s="6" t="b">
        <f t="shared" si="204"/>
        <v>1</v>
      </c>
      <c r="AS1926" s="6" t="str">
        <f>IF(AND(H1926="2 - Not Scheduled",AR1926=TRUE,C1926="R1"),"Add","OK")</f>
        <v>OK</v>
      </c>
      <c r="AU1926" s="202"/>
      <c r="AV1926" s="262"/>
      <c r="AW1926" s="274"/>
    </row>
    <row r="1927" spans="1:49" s="13" customFormat="1" ht="33.75" x14ac:dyDescent="0.2">
      <c r="A1927" s="14">
        <v>1903</v>
      </c>
      <c r="B1927" s="14">
        <v>400008049</v>
      </c>
      <c r="C1927" s="8" t="s">
        <v>3812</v>
      </c>
      <c r="D1927" s="4" t="str">
        <f t="shared" si="207"/>
        <v>400008049CC05</v>
      </c>
      <c r="E1927" s="309" t="str">
        <f>VLOOKUP($B1927,'D7 - NDB Impacted SPRF''s'!$E$6:$O$9929,2,FALSE)</f>
        <v>PPII - Transactions - Claim Status - R.2</v>
      </c>
      <c r="F1927" s="8" t="s">
        <v>5536</v>
      </c>
      <c r="G1927" s="8" t="s">
        <v>4758</v>
      </c>
      <c r="H1927" s="8" t="s">
        <v>4246</v>
      </c>
      <c r="I1927" s="20">
        <v>0.8</v>
      </c>
      <c r="J1927" s="8" t="s">
        <v>4862</v>
      </c>
      <c r="K1927" s="182"/>
      <c r="L1927" s="8" t="s">
        <v>4156</v>
      </c>
      <c r="M1927" s="8" t="s">
        <v>2814</v>
      </c>
      <c r="N1927" s="367" t="s">
        <v>7616</v>
      </c>
      <c r="O1927" s="8"/>
      <c r="P1927" s="4" t="str">
        <f>VLOOKUP($B1927,'D7 - NDB Impacted SPRF''s'!$E$16:$O$9929,9,FALSE)</f>
        <v>N</v>
      </c>
      <c r="Q1927" s="4" t="str">
        <f>VLOOKUP($B1927,'D7 - NDB Impacted SPRF''s'!$E$16:$O$9929,10,FALSE)</f>
        <v>N</v>
      </c>
      <c r="R1927" s="4" t="str">
        <f>VLOOKUP($B1927,'D7 - NDB Impacted SPRF''s'!$E$16:$O$9929,11,FALSE)</f>
        <v>N</v>
      </c>
      <c r="S1927" s="8"/>
      <c r="T1927" s="310"/>
      <c r="U1927" s="310"/>
      <c r="V1927" s="4"/>
      <c r="W1927" s="4"/>
      <c r="X1927" s="4"/>
      <c r="Y1927" s="4"/>
      <c r="Z1927" s="4"/>
      <c r="AA1927" s="4"/>
      <c r="AB1927" s="380" t="str">
        <f>VLOOKUP($B1927,'D7 - NDB Impacted SPRF''s'!$E$16:$O$9929,4,FALSE)</f>
        <v>Completed</v>
      </c>
      <c r="AC1927" s="380" t="str">
        <f>VLOOKUP($B1927,'D7 - NDB Impacted SPRF''s'!$E$16:$O$9929,3,FALSE)</f>
        <v>Uniprise</v>
      </c>
      <c r="AD1927" s="380" t="str">
        <f>VLOOKUP($B1927,'D7 - NDB Impacted SPRF''s'!$E$16:$O$9929,5,FALSE)</f>
        <v>Group Services - Capital Projects</v>
      </c>
      <c r="AE1927" s="380" t="str">
        <f>VLOOKUP($B1927,'D7 - NDB Impacted SPRF''s'!$E$16:$O$9929,7,FALSE)</f>
        <v>Steve Auerbach</v>
      </c>
      <c r="AF1927" s="380" t="str">
        <f>VLOOKUP($B1927,'D7 - NDB Impacted SPRF''s'!$E$16:$O$9929,6,FALSE)</f>
        <v>AMELIA HINRICHS</v>
      </c>
      <c r="AG1927" s="282" t="s">
        <v>7755</v>
      </c>
      <c r="AH1927" s="311" t="e">
        <f>INDEX('D5 - Gatekeeper - Projects'!$A$4:$AF$1010,$AM1927, 17)</f>
        <v>#N/A</v>
      </c>
      <c r="AI1927" s="8"/>
      <c r="AJ1927" s="57"/>
      <c r="AK1927" s="105"/>
      <c r="AM1927" s="6" t="e">
        <f>MATCH(D1927,'D5 - Gatekeeper - Projects'!$C$4:$C$1010,0)</f>
        <v>#N/A</v>
      </c>
      <c r="AN1927" s="6" t="b">
        <f t="shared" si="203"/>
        <v>1</v>
      </c>
      <c r="AO1927" s="6" t="str">
        <f t="shared" si="205"/>
        <v>OK</v>
      </c>
      <c r="AQ1927" s="6" t="e">
        <f>MATCH($D1927,'D4 - Provider Council Unsched'!$C$11:$C$234,0)</f>
        <v>#N/A</v>
      </c>
      <c r="AR1927" s="6" t="b">
        <f t="shared" si="204"/>
        <v>1</v>
      </c>
      <c r="AS1927" s="6" t="str">
        <f t="shared" ref="AS1927:AS1956" si="208">IF(AND(H1927="2 - Not Scheduled",AR1927=TRUE),"Add","OK")</f>
        <v>OK</v>
      </c>
      <c r="AU1927" s="202"/>
      <c r="AV1927" s="262"/>
      <c r="AW1927" s="274"/>
    </row>
    <row r="1928" spans="1:49" s="13" customFormat="1" ht="33.75" x14ac:dyDescent="0.2">
      <c r="A1928" s="14">
        <v>1904</v>
      </c>
      <c r="B1928" s="14">
        <v>400008054</v>
      </c>
      <c r="C1928" s="8" t="s">
        <v>3763</v>
      </c>
      <c r="D1928" s="4" t="str">
        <f t="shared" si="207"/>
        <v>400008054R2</v>
      </c>
      <c r="E1928" s="309" t="str">
        <f>VLOOKUP($B1928,'D7 - NDB Impacted SPRF''s'!$E$6:$O$9929,2,FALSE)</f>
        <v>Queue Consolidation and Management</v>
      </c>
      <c r="F1928" s="8" t="s">
        <v>4961</v>
      </c>
      <c r="G1928" s="8" t="s">
        <v>4758</v>
      </c>
      <c r="H1928" s="8" t="s">
        <v>4246</v>
      </c>
      <c r="I1928" s="20">
        <v>20</v>
      </c>
      <c r="J1928" s="8" t="s">
        <v>7113</v>
      </c>
      <c r="K1928" s="182"/>
      <c r="L1928" s="8" t="s">
        <v>5743</v>
      </c>
      <c r="M1928" s="8" t="s">
        <v>2814</v>
      </c>
      <c r="N1928" s="367" t="s">
        <v>4387</v>
      </c>
      <c r="O1928" s="8"/>
      <c r="P1928" s="4" t="str">
        <f>VLOOKUP($B1928,'D7 - NDB Impacted SPRF''s'!$E$16:$O$9929,9,FALSE)</f>
        <v>Y</v>
      </c>
      <c r="Q1928" s="4" t="str">
        <f>VLOOKUP($B1928,'D7 - NDB Impacted SPRF''s'!$E$16:$O$9929,10,FALSE)</f>
        <v>N</v>
      </c>
      <c r="R1928" s="4" t="str">
        <f>VLOOKUP($B1928,'D7 - NDB Impacted SPRF''s'!$E$16:$O$9929,11,FALSE)</f>
        <v>Y</v>
      </c>
      <c r="S1928" s="8"/>
      <c r="T1928" s="310"/>
      <c r="U1928" s="310"/>
      <c r="V1928" s="4"/>
      <c r="W1928" s="4"/>
      <c r="X1928" s="4"/>
      <c r="Y1928" s="4"/>
      <c r="Z1928" s="4"/>
      <c r="AA1928" s="4"/>
      <c r="AB1928" s="380" t="str">
        <f>VLOOKUP($B1928,'D7 - NDB Impacted SPRF''s'!$E$16:$O$9929,4,FALSE)</f>
        <v>Completed</v>
      </c>
      <c r="AC1928" s="380" t="str">
        <f>VLOOKUP($B1928,'D7 - NDB Impacted SPRF''s'!$E$16:$O$9929,3,FALSE)</f>
        <v>UnitedHealthcare Employer &amp; Individual</v>
      </c>
      <c r="AD1928" s="380" t="str">
        <f>VLOOKUP($B1928,'D7 - NDB Impacted SPRF''s'!$E$16:$O$9929,5,FALSE)</f>
        <v>Network Growth / Enhancements</v>
      </c>
      <c r="AE1928" s="380" t="str">
        <f>VLOOKUP($B1928,'D7 - NDB Impacted SPRF''s'!$E$16:$O$9929,7,FALSE)</f>
        <v>Peter Bompane</v>
      </c>
      <c r="AF1928" s="380" t="str">
        <f>VLOOKUP($B1928,'D7 - NDB Impacted SPRF''s'!$E$16:$O$9929,6,FALSE)</f>
        <v>ELIZABETH Young</v>
      </c>
      <c r="AG1928" s="282" t="s">
        <v>6682</v>
      </c>
      <c r="AH1928" s="311" t="e">
        <f>INDEX('D5 - Gatekeeper - Projects'!$A$4:$AF$1010,$AM1928, 17)</f>
        <v>#N/A</v>
      </c>
      <c r="AI1928" s="8"/>
      <c r="AJ1928" s="57"/>
      <c r="AK1928" s="105"/>
      <c r="AM1928" s="6" t="e">
        <f>MATCH(D1928,'D5 - Gatekeeper - Projects'!$C$4:$C$1010,0)</f>
        <v>#N/A</v>
      </c>
      <c r="AN1928" s="6" t="b">
        <f t="shared" si="203"/>
        <v>1</v>
      </c>
      <c r="AO1928" s="6" t="str">
        <f t="shared" si="205"/>
        <v>OK</v>
      </c>
      <c r="AQ1928" s="6" t="e">
        <f>MATCH($D1928,'D4 - Provider Council Unsched'!$C$11:$C$234,0)</f>
        <v>#N/A</v>
      </c>
      <c r="AR1928" s="6" t="b">
        <f t="shared" si="204"/>
        <v>1</v>
      </c>
      <c r="AS1928" s="6" t="str">
        <f t="shared" si="208"/>
        <v>OK</v>
      </c>
      <c r="AU1928" s="202"/>
      <c r="AV1928" s="262"/>
      <c r="AW1928" s="274"/>
    </row>
    <row r="1929" spans="1:49" s="13" customFormat="1" ht="33.75" x14ac:dyDescent="0.2">
      <c r="A1929" s="14">
        <v>1905</v>
      </c>
      <c r="B1929" s="14">
        <v>400008074</v>
      </c>
      <c r="C1929" s="8" t="s">
        <v>7133</v>
      </c>
      <c r="D1929" s="4" t="str">
        <f t="shared" si="207"/>
        <v>400008074CC04</v>
      </c>
      <c r="E1929" s="309" t="str">
        <f>VLOOKUP($B1929,'D7 - NDB Impacted SPRF''s'!$E$6:$O$9929,2,FALSE)</f>
        <v>CORP1-Callserv-Call and Service</v>
      </c>
      <c r="F1929" s="8" t="s">
        <v>5196</v>
      </c>
      <c r="G1929" s="8" t="s">
        <v>4758</v>
      </c>
      <c r="H1929" s="8" t="s">
        <v>4246</v>
      </c>
      <c r="I1929" s="20">
        <v>0.4</v>
      </c>
      <c r="J1929" s="8" t="s">
        <v>4862</v>
      </c>
      <c r="K1929" s="182"/>
      <c r="L1929" s="8" t="s">
        <v>4156</v>
      </c>
      <c r="M1929" s="8" t="s">
        <v>5626</v>
      </c>
      <c r="N1929" s="367" t="s">
        <v>2554</v>
      </c>
      <c r="O1929" s="8"/>
      <c r="P1929" s="4" t="str">
        <f>VLOOKUP($B1929,'D7 - NDB Impacted SPRF''s'!$E$16:$O$9929,9,FALSE)</f>
        <v>Y</v>
      </c>
      <c r="Q1929" s="4" t="str">
        <f>VLOOKUP($B1929,'D7 - NDB Impacted SPRF''s'!$E$16:$O$9929,10,FALSE)</f>
        <v>N</v>
      </c>
      <c r="R1929" s="4" t="str">
        <f>VLOOKUP($B1929,'D7 - NDB Impacted SPRF''s'!$E$16:$O$9929,11,FALSE)</f>
        <v>N</v>
      </c>
      <c r="S1929" s="8"/>
      <c r="T1929" s="310"/>
      <c r="U1929" s="310"/>
      <c r="V1929" s="4"/>
      <c r="W1929" s="4"/>
      <c r="X1929" s="4"/>
      <c r="Y1929" s="4"/>
      <c r="Z1929" s="4"/>
      <c r="AA1929" s="4"/>
      <c r="AB1929" s="380" t="str">
        <f>VLOOKUP($B1929,'D7 - NDB Impacted SPRF''s'!$E$16:$O$9929,4,FALSE)</f>
        <v>Completed</v>
      </c>
      <c r="AC1929" s="380" t="str">
        <f>VLOOKUP($B1929,'D7 - NDB Impacted SPRF''s'!$E$16:$O$9929,3,FALSE)</f>
        <v>UnitedHealthcare Employer &amp; Individual</v>
      </c>
      <c r="AD1929" s="380" t="str">
        <f>VLOOKUP($B1929,'D7 - NDB Impacted SPRF''s'!$E$16:$O$9929,5,FALSE)</f>
        <v>Harvard Pilgrim Service Alliance</v>
      </c>
      <c r="AE1929" s="380" t="str">
        <f>VLOOKUP($B1929,'D7 - NDB Impacted SPRF''s'!$E$16:$O$9929,7,FALSE)</f>
        <v>Bev Nyce</v>
      </c>
      <c r="AF1929" s="380" t="str">
        <f>VLOOKUP($B1929,'D7 - NDB Impacted SPRF''s'!$E$16:$O$9929,6,FALSE)</f>
        <v>DANIEL CRIMMINS</v>
      </c>
      <c r="AG1929" s="282"/>
      <c r="AH1929" s="311" t="e">
        <f>INDEX('D5 - Gatekeeper - Projects'!$A$4:$AF$1010,$AM1929, 17)</f>
        <v>#N/A</v>
      </c>
      <c r="AI1929" s="8"/>
      <c r="AJ1929" s="57"/>
      <c r="AK1929" s="105"/>
      <c r="AM1929" s="6" t="e">
        <f>MATCH(D1929,'D5 - Gatekeeper - Projects'!$C$4:$C$1010,0)</f>
        <v>#N/A</v>
      </c>
      <c r="AN1929" s="6" t="b">
        <f t="shared" si="203"/>
        <v>1</v>
      </c>
      <c r="AO1929" s="6" t="str">
        <f t="shared" si="205"/>
        <v>OK</v>
      </c>
      <c r="AQ1929" s="6" t="e">
        <f>MATCH($D1929,'D4 - Provider Council Unsched'!$C$11:$C$234,0)</f>
        <v>#N/A</v>
      </c>
      <c r="AR1929" s="6" t="b">
        <f t="shared" si="204"/>
        <v>1</v>
      </c>
      <c r="AS1929" s="6" t="str">
        <f t="shared" si="208"/>
        <v>OK</v>
      </c>
      <c r="AU1929" s="202"/>
      <c r="AV1929" s="262"/>
      <c r="AW1929" s="274"/>
    </row>
    <row r="1930" spans="1:49" s="13" customFormat="1" x14ac:dyDescent="0.2">
      <c r="A1930" s="14">
        <v>1906</v>
      </c>
      <c r="B1930" s="14">
        <v>400008078</v>
      </c>
      <c r="C1930" s="8" t="s">
        <v>5197</v>
      </c>
      <c r="D1930" s="4" t="str">
        <f t="shared" si="207"/>
        <v>400008078R1</v>
      </c>
      <c r="E1930" s="309" t="str">
        <f>VLOOKUP($B1930,'D7 - NDB Impacted SPRF''s'!$E$6:$O$9929,2,FALSE)</f>
        <v>Corp1-Financial Svc Allnce Financial Configuration</v>
      </c>
      <c r="F1930" s="8" t="s">
        <v>5196</v>
      </c>
      <c r="G1930" s="8" t="s">
        <v>4758</v>
      </c>
      <c r="H1930" s="8" t="s">
        <v>4246</v>
      </c>
      <c r="I1930" s="20">
        <v>2.27</v>
      </c>
      <c r="J1930" s="8" t="s">
        <v>7113</v>
      </c>
      <c r="K1930" s="182"/>
      <c r="L1930" s="8" t="s">
        <v>4156</v>
      </c>
      <c r="M1930" s="8" t="s">
        <v>2814</v>
      </c>
      <c r="N1930" s="368" t="s">
        <v>5446</v>
      </c>
      <c r="O1930" s="8"/>
      <c r="P1930" s="4" t="str">
        <f>VLOOKUP($B1930,'D7 - NDB Impacted SPRF''s'!$E$16:$O$9929,9,FALSE)</f>
        <v>Y</v>
      </c>
      <c r="Q1930" s="4" t="str">
        <f>VLOOKUP($B1930,'D7 - NDB Impacted SPRF''s'!$E$16:$O$9929,10,FALSE)</f>
        <v>N</v>
      </c>
      <c r="R1930" s="4" t="str">
        <f>VLOOKUP($B1930,'D7 - NDB Impacted SPRF''s'!$E$16:$O$9929,11,FALSE)</f>
        <v>N</v>
      </c>
      <c r="S1930" s="8"/>
      <c r="T1930" s="310"/>
      <c r="U1930" s="310"/>
      <c r="V1930" s="4"/>
      <c r="W1930" s="4"/>
      <c r="X1930" s="4"/>
      <c r="Y1930" s="4"/>
      <c r="Z1930" s="4"/>
      <c r="AA1930" s="4"/>
      <c r="AB1930" s="380" t="str">
        <f>VLOOKUP($B1930,'D7 - NDB Impacted SPRF''s'!$E$16:$O$9929,4,FALSE)</f>
        <v>Completed</v>
      </c>
      <c r="AC1930" s="380" t="str">
        <f>VLOOKUP($B1930,'D7 - NDB Impacted SPRF''s'!$E$16:$O$9929,3,FALSE)</f>
        <v>Alliance</v>
      </c>
      <c r="AD1930" s="380" t="str">
        <f>VLOOKUP($B1930,'D7 - NDB Impacted SPRF''s'!$E$16:$O$9929,5,FALSE)</f>
        <v>Healthcare Service Alliance</v>
      </c>
      <c r="AE1930" s="380" t="str">
        <f>VLOOKUP($B1930,'D7 - NDB Impacted SPRF''s'!$E$16:$O$9929,7,FALSE)</f>
        <v>Bev Nyce</v>
      </c>
      <c r="AF1930" s="380" t="str">
        <f>VLOOKUP($B1930,'D7 - NDB Impacted SPRF''s'!$E$16:$O$9929,6,FALSE)</f>
        <v>Bob Fredette</v>
      </c>
      <c r="AG1930" s="282"/>
      <c r="AH1930" s="311" t="e">
        <f>INDEX('D5 - Gatekeeper - Projects'!$A$4:$AF$1010,$AM1930, 17)</f>
        <v>#N/A</v>
      </c>
      <c r="AI1930" s="8"/>
      <c r="AJ1930" s="57"/>
      <c r="AK1930" s="105"/>
      <c r="AM1930" s="6" t="e">
        <f>MATCH(D1930,'D5 - Gatekeeper - Projects'!$C$4:$C$1010,0)</f>
        <v>#N/A</v>
      </c>
      <c r="AN1930" s="6" t="b">
        <f t="shared" si="203"/>
        <v>1</v>
      </c>
      <c r="AO1930" s="6" t="str">
        <f t="shared" si="205"/>
        <v>OK</v>
      </c>
      <c r="AQ1930" s="6" t="e">
        <f>MATCH($D1930,'D4 - Provider Council Unsched'!$C$11:$C$234,0)</f>
        <v>#N/A</v>
      </c>
      <c r="AR1930" s="6" t="b">
        <f t="shared" si="204"/>
        <v>1</v>
      </c>
      <c r="AS1930" s="6" t="str">
        <f t="shared" si="208"/>
        <v>OK</v>
      </c>
      <c r="AU1930" s="202"/>
      <c r="AV1930" s="262"/>
      <c r="AW1930" s="274"/>
    </row>
    <row r="1931" spans="1:49" s="13" customFormat="1" ht="22.5" x14ac:dyDescent="0.2">
      <c r="A1931" s="14">
        <v>1907</v>
      </c>
      <c r="B1931" s="14">
        <v>400008163</v>
      </c>
      <c r="C1931" s="8" t="s">
        <v>5197</v>
      </c>
      <c r="D1931" s="4" t="str">
        <f t="shared" si="207"/>
        <v>400008163R1</v>
      </c>
      <c r="E1931" s="309" t="str">
        <f>VLOOKUP($B1931,'D7 - NDB Impacted SPRF''s'!$E$6:$O$9929,2,FALSE)</f>
        <v>Corp1 - Finance - HPHC Multi-site Financial Report</v>
      </c>
      <c r="F1931" s="8" t="s">
        <v>5196</v>
      </c>
      <c r="G1931" s="8" t="s">
        <v>4758</v>
      </c>
      <c r="H1931" s="8" t="s">
        <v>4246</v>
      </c>
      <c r="I1931" s="20"/>
      <c r="J1931" s="8"/>
      <c r="K1931" s="182"/>
      <c r="L1931" s="8" t="s">
        <v>4156</v>
      </c>
      <c r="M1931" s="8" t="s">
        <v>2814</v>
      </c>
      <c r="N1931" s="368"/>
      <c r="O1931" s="8"/>
      <c r="P1931" s="4" t="str">
        <f>VLOOKUP($B1931,'D7 - NDB Impacted SPRF''s'!$E$16:$O$9929,9,FALSE)</f>
        <v>Y</v>
      </c>
      <c r="Q1931" s="4" t="str">
        <f>VLOOKUP($B1931,'D7 - NDB Impacted SPRF''s'!$E$16:$O$9929,10,FALSE)</f>
        <v>N</v>
      </c>
      <c r="R1931" s="4" t="str">
        <f>VLOOKUP($B1931,'D7 - NDB Impacted SPRF''s'!$E$16:$O$9929,11,FALSE)</f>
        <v>N</v>
      </c>
      <c r="S1931" s="8"/>
      <c r="T1931" s="310"/>
      <c r="U1931" s="310"/>
      <c r="V1931" s="4"/>
      <c r="W1931" s="4"/>
      <c r="X1931" s="4"/>
      <c r="Y1931" s="4"/>
      <c r="Z1931" s="4"/>
      <c r="AA1931" s="4"/>
      <c r="AB1931" s="380" t="str">
        <f>VLOOKUP($B1931,'D7 - NDB Impacted SPRF''s'!$E$16:$O$9929,4,FALSE)</f>
        <v>Completed</v>
      </c>
      <c r="AC1931" s="380" t="str">
        <f>VLOOKUP($B1931,'D7 - NDB Impacted SPRF''s'!$E$16:$O$9929,3,FALSE)</f>
        <v>Alliance</v>
      </c>
      <c r="AD1931" s="380" t="str">
        <f>VLOOKUP($B1931,'D7 - NDB Impacted SPRF''s'!$E$16:$O$9929,5,FALSE)</f>
        <v>Healthcare Service Alliance</v>
      </c>
      <c r="AE1931" s="380" t="str">
        <f>VLOOKUP($B1931,'D7 - NDB Impacted SPRF''s'!$E$16:$O$9929,7,FALSE)</f>
        <v>Bev Nyce</v>
      </c>
      <c r="AF1931" s="380" t="str">
        <f>VLOOKUP($B1931,'D7 - NDB Impacted SPRF''s'!$E$16:$O$9929,6,FALSE)</f>
        <v>Elizabeth Smith-Fries</v>
      </c>
      <c r="AG1931" s="282"/>
      <c r="AH1931" s="311" t="e">
        <f>INDEX('D5 - Gatekeeper - Projects'!$A$4:$AF$1010,$AM1931, 17)</f>
        <v>#N/A</v>
      </c>
      <c r="AI1931" s="8"/>
      <c r="AJ1931" s="57"/>
      <c r="AK1931" s="105"/>
      <c r="AM1931" s="6" t="e">
        <f>MATCH(D1931,'D5 - Gatekeeper - Projects'!$C$4:$C$1010,0)</f>
        <v>#N/A</v>
      </c>
      <c r="AN1931" s="6" t="b">
        <f t="shared" si="203"/>
        <v>1</v>
      </c>
      <c r="AO1931" s="6" t="str">
        <f t="shared" si="205"/>
        <v>OK</v>
      </c>
      <c r="AQ1931" s="6" t="e">
        <f>MATCH($D1931,'D4 - Provider Council Unsched'!$C$11:$C$234,0)</f>
        <v>#N/A</v>
      </c>
      <c r="AR1931" s="6" t="b">
        <f t="shared" si="204"/>
        <v>1</v>
      </c>
      <c r="AS1931" s="6" t="str">
        <f t="shared" si="208"/>
        <v>OK</v>
      </c>
      <c r="AU1931" s="202"/>
      <c r="AV1931" s="262"/>
      <c r="AW1931" s="274"/>
    </row>
    <row r="1932" spans="1:49" s="13" customFormat="1" ht="22.5" x14ac:dyDescent="0.2">
      <c r="A1932" s="14">
        <v>1908</v>
      </c>
      <c r="B1932" s="14">
        <v>400008169</v>
      </c>
      <c r="C1932" s="8" t="s">
        <v>5197</v>
      </c>
      <c r="D1932" s="4" t="str">
        <f t="shared" si="207"/>
        <v>400008169R1</v>
      </c>
      <c r="E1932" s="309" t="str">
        <f>VLOOKUP($B1932,'D7 - NDB Impacted SPRF''s'!$E$6:$O$9929,2,FALSE)</f>
        <v>CORP1-architecture-Arch and Roadmap</v>
      </c>
      <c r="F1932" s="8" t="s">
        <v>5196</v>
      </c>
      <c r="G1932" s="8" t="s">
        <v>4758</v>
      </c>
      <c r="H1932" s="8" t="s">
        <v>4246</v>
      </c>
      <c r="I1932" s="20">
        <v>0.53</v>
      </c>
      <c r="J1932" s="8" t="s">
        <v>7113</v>
      </c>
      <c r="K1932" s="182"/>
      <c r="L1932" s="8" t="s">
        <v>4156</v>
      </c>
      <c r="M1932" s="8" t="s">
        <v>2814</v>
      </c>
      <c r="N1932" s="368" t="s">
        <v>5446</v>
      </c>
      <c r="O1932" s="8"/>
      <c r="P1932" s="4" t="str">
        <f>VLOOKUP($B1932,'D7 - NDB Impacted SPRF''s'!$E$16:$O$9929,9,FALSE)</f>
        <v>Y</v>
      </c>
      <c r="Q1932" s="4" t="str">
        <f>VLOOKUP($B1932,'D7 - NDB Impacted SPRF''s'!$E$16:$O$9929,10,FALSE)</f>
        <v>N</v>
      </c>
      <c r="R1932" s="4" t="str">
        <f>VLOOKUP($B1932,'D7 - NDB Impacted SPRF''s'!$E$16:$O$9929,11,FALSE)</f>
        <v>N</v>
      </c>
      <c r="S1932" s="8"/>
      <c r="T1932" s="310"/>
      <c r="U1932" s="310"/>
      <c r="V1932" s="4"/>
      <c r="W1932" s="4"/>
      <c r="X1932" s="4"/>
      <c r="Y1932" s="4"/>
      <c r="Z1932" s="4"/>
      <c r="AA1932" s="4"/>
      <c r="AB1932" s="380" t="str">
        <f>VLOOKUP($B1932,'D7 - NDB Impacted SPRF''s'!$E$16:$O$9929,4,FALSE)</f>
        <v>Completed</v>
      </c>
      <c r="AC1932" s="380" t="str">
        <f>VLOOKUP($B1932,'D7 - NDB Impacted SPRF''s'!$E$16:$O$9929,3,FALSE)</f>
        <v>Alliance</v>
      </c>
      <c r="AD1932" s="380" t="str">
        <f>VLOOKUP($B1932,'D7 - NDB Impacted SPRF''s'!$E$16:$O$9929,5,FALSE)</f>
        <v>Healthcare Service Alliance</v>
      </c>
      <c r="AE1932" s="380" t="str">
        <f>VLOOKUP($B1932,'D7 - NDB Impacted SPRF''s'!$E$16:$O$9929,7,FALSE)</f>
        <v>Bev Nyce</v>
      </c>
      <c r="AF1932" s="380" t="str">
        <f>VLOOKUP($B1932,'D7 - NDB Impacted SPRF''s'!$E$16:$O$9929,6,FALSE)</f>
        <v>GEORGE GELLY</v>
      </c>
      <c r="AG1932" s="282"/>
      <c r="AH1932" s="311" t="e">
        <f>INDEX('D5 - Gatekeeper - Projects'!$A$4:$AF$1010,$AM1932, 17)</f>
        <v>#N/A</v>
      </c>
      <c r="AI1932" s="8"/>
      <c r="AJ1932" s="57"/>
      <c r="AK1932" s="105"/>
      <c r="AM1932" s="6" t="e">
        <f>MATCH(D1932,'D5 - Gatekeeper - Projects'!$C$4:$C$1010,0)</f>
        <v>#N/A</v>
      </c>
      <c r="AN1932" s="6" t="b">
        <f t="shared" si="203"/>
        <v>1</v>
      </c>
      <c r="AO1932" s="6" t="str">
        <f t="shared" si="205"/>
        <v>OK</v>
      </c>
      <c r="AQ1932" s="6" t="e">
        <f>MATCH($D1932,'D4 - Provider Council Unsched'!$C$11:$C$234,0)</f>
        <v>#N/A</v>
      </c>
      <c r="AR1932" s="6" t="b">
        <f t="shared" si="204"/>
        <v>1</v>
      </c>
      <c r="AS1932" s="6" t="str">
        <f t="shared" si="208"/>
        <v>OK</v>
      </c>
      <c r="AU1932" s="202"/>
      <c r="AV1932" s="262"/>
      <c r="AW1932" s="274"/>
    </row>
    <row r="1933" spans="1:49" s="13" customFormat="1" ht="11.25" customHeight="1" x14ac:dyDescent="0.2">
      <c r="A1933" s="14">
        <v>1909</v>
      </c>
      <c r="B1933" s="14">
        <v>400008171</v>
      </c>
      <c r="C1933" s="8" t="s">
        <v>5197</v>
      </c>
      <c r="D1933" s="4" t="str">
        <f t="shared" si="207"/>
        <v>400008171R1</v>
      </c>
      <c r="E1933" s="309" t="str">
        <f>VLOOKUP($B1933,'D7 - NDB Impacted SPRF''s'!$E$6:$O$9929,2,FALSE)</f>
        <v>CORP1-architecture-Partner Profile</v>
      </c>
      <c r="F1933" s="8" t="s">
        <v>5196</v>
      </c>
      <c r="G1933" s="8" t="s">
        <v>4758</v>
      </c>
      <c r="H1933" s="8" t="s">
        <v>4246</v>
      </c>
      <c r="I1933" s="20">
        <v>0.53</v>
      </c>
      <c r="J1933" s="8" t="s">
        <v>7113</v>
      </c>
      <c r="K1933" s="182"/>
      <c r="L1933" s="8" t="s">
        <v>4156</v>
      </c>
      <c r="M1933" s="8" t="s">
        <v>2814</v>
      </c>
      <c r="N1933" s="368" t="s">
        <v>5446</v>
      </c>
      <c r="O1933" s="8"/>
      <c r="P1933" s="4" t="str">
        <f>VLOOKUP($B1933,'D7 - NDB Impacted SPRF''s'!$E$16:$O$9929,9,FALSE)</f>
        <v>Y</v>
      </c>
      <c r="Q1933" s="4" t="str">
        <f>VLOOKUP($B1933,'D7 - NDB Impacted SPRF''s'!$E$16:$O$9929,10,FALSE)</f>
        <v>N</v>
      </c>
      <c r="R1933" s="4" t="str">
        <f>VLOOKUP($B1933,'D7 - NDB Impacted SPRF''s'!$E$16:$O$9929,11,FALSE)</f>
        <v>N</v>
      </c>
      <c r="S1933" s="8"/>
      <c r="T1933" s="310"/>
      <c r="U1933" s="310"/>
      <c r="V1933" s="4"/>
      <c r="W1933" s="4"/>
      <c r="X1933" s="4"/>
      <c r="Y1933" s="4"/>
      <c r="Z1933" s="4"/>
      <c r="AA1933" s="4"/>
      <c r="AB1933" s="380" t="str">
        <f>VLOOKUP($B1933,'D7 - NDB Impacted SPRF''s'!$E$16:$O$9929,4,FALSE)</f>
        <v>Completed</v>
      </c>
      <c r="AC1933" s="380" t="str">
        <f>VLOOKUP($B1933,'D7 - NDB Impacted SPRF''s'!$E$16:$O$9929,3,FALSE)</f>
        <v>Alliance</v>
      </c>
      <c r="AD1933" s="380" t="str">
        <f>VLOOKUP($B1933,'D7 - NDB Impacted SPRF''s'!$E$16:$O$9929,5,FALSE)</f>
        <v>Healthcare Service Alliance</v>
      </c>
      <c r="AE1933" s="380" t="str">
        <f>VLOOKUP($B1933,'D7 - NDB Impacted SPRF''s'!$E$16:$O$9929,7,FALSE)</f>
        <v>Bev Nyce</v>
      </c>
      <c r="AF1933" s="380" t="str">
        <f>VLOOKUP($B1933,'D7 - NDB Impacted SPRF''s'!$E$16:$O$9929,6,FALSE)</f>
        <v>GEORGE GELLY</v>
      </c>
      <c r="AG1933" s="282"/>
      <c r="AH1933" s="311" t="e">
        <f>INDEX('D5 - Gatekeeper - Projects'!$A$4:$AF$1010,$AM1933, 17)</f>
        <v>#N/A</v>
      </c>
      <c r="AI1933" s="8"/>
      <c r="AJ1933" s="57"/>
      <c r="AK1933" s="105"/>
      <c r="AM1933" s="6" t="e">
        <f>MATCH(D1933,'D5 - Gatekeeper - Projects'!$C$4:$C$1010,0)</f>
        <v>#N/A</v>
      </c>
      <c r="AN1933" s="6" t="b">
        <f t="shared" si="203"/>
        <v>1</v>
      </c>
      <c r="AO1933" s="6" t="str">
        <f t="shared" si="205"/>
        <v>OK</v>
      </c>
      <c r="AQ1933" s="6" t="e">
        <f>MATCH($D1933,'D4 - Provider Council Unsched'!$C$11:$C$234,0)</f>
        <v>#N/A</v>
      </c>
      <c r="AR1933" s="6" t="b">
        <f t="shared" si="204"/>
        <v>1</v>
      </c>
      <c r="AS1933" s="6" t="str">
        <f t="shared" si="208"/>
        <v>OK</v>
      </c>
      <c r="AU1933" s="202"/>
      <c r="AV1933" s="262"/>
      <c r="AW1933" s="274"/>
    </row>
    <row r="1934" spans="1:49" s="13" customFormat="1" ht="22.5" x14ac:dyDescent="0.2">
      <c r="A1934" s="14">
        <v>1910</v>
      </c>
      <c r="B1934" s="14">
        <v>400008339</v>
      </c>
      <c r="C1934" s="8" t="s">
        <v>2939</v>
      </c>
      <c r="D1934" s="4" t="str">
        <f t="shared" si="207"/>
        <v>400008339CC06U</v>
      </c>
      <c r="E1934" s="309" t="str">
        <f>VLOOKUP($B1934,'D7 - NDB Impacted SPRF''s'!$E$6:$O$9929,2,FALSE)</f>
        <v>Gated HMO Design &amp; Development Phase III</v>
      </c>
      <c r="F1934" s="8" t="s">
        <v>4168</v>
      </c>
      <c r="G1934" s="8" t="s">
        <v>4758</v>
      </c>
      <c r="H1934" s="8" t="s">
        <v>4246</v>
      </c>
      <c r="I1934" s="20">
        <v>1.07</v>
      </c>
      <c r="J1934" s="8" t="s">
        <v>4862</v>
      </c>
      <c r="K1934" s="182"/>
      <c r="L1934" s="8" t="s">
        <v>4156</v>
      </c>
      <c r="M1934" s="8" t="s">
        <v>2814</v>
      </c>
      <c r="N1934" s="368" t="s">
        <v>5301</v>
      </c>
      <c r="O1934" s="8"/>
      <c r="P1934" s="4" t="str">
        <f>VLOOKUP($B1934,'D7 - NDB Impacted SPRF''s'!$E$16:$O$9929,9,FALSE)</f>
        <v>Y</v>
      </c>
      <c r="Q1934" s="4" t="str">
        <f>VLOOKUP($B1934,'D7 - NDB Impacted SPRF''s'!$E$16:$O$9929,10,FALSE)</f>
        <v>N</v>
      </c>
      <c r="R1934" s="4" t="str">
        <f>VLOOKUP($B1934,'D7 - NDB Impacted SPRF''s'!$E$16:$O$9929,11,FALSE)</f>
        <v>N</v>
      </c>
      <c r="S1934" s="8"/>
      <c r="T1934" s="310"/>
      <c r="U1934" s="310"/>
      <c r="V1934" s="4"/>
      <c r="W1934" s="4"/>
      <c r="X1934" s="4"/>
      <c r="Y1934" s="4"/>
      <c r="Z1934" s="4"/>
      <c r="AA1934" s="4"/>
      <c r="AB1934" s="380" t="str">
        <f>VLOOKUP($B1934,'D7 - NDB Impacted SPRF''s'!$E$16:$O$9929,4,FALSE)</f>
        <v>Completed</v>
      </c>
      <c r="AC1934" s="380" t="str">
        <f>VLOOKUP($B1934,'D7 - NDB Impacted SPRF''s'!$E$16:$O$9929,3,FALSE)</f>
        <v>Alliance</v>
      </c>
      <c r="AD1934" s="380" t="str">
        <f>VLOOKUP($B1934,'D7 - NDB Impacted SPRF''s'!$E$16:$O$9929,5,FALSE)</f>
        <v>Gated HMO</v>
      </c>
      <c r="AE1934" s="380" t="str">
        <f>VLOOKUP($B1934,'D7 - NDB Impacted SPRF''s'!$E$16:$O$9929,7,FALSE)</f>
        <v>Diane Schofield</v>
      </c>
      <c r="AF1934" s="380" t="str">
        <f>VLOOKUP($B1934,'D7 - NDB Impacted SPRF''s'!$E$16:$O$9929,6,FALSE)</f>
        <v>Debi Streb</v>
      </c>
      <c r="AG1934" s="282" t="s">
        <v>7755</v>
      </c>
      <c r="AH1934" s="311" t="e">
        <f>INDEX('D5 - Gatekeeper - Projects'!$A$4:$AF$1010,$AM1934, 17)</f>
        <v>#N/A</v>
      </c>
      <c r="AI1934" s="8"/>
      <c r="AJ1934" s="57"/>
      <c r="AK1934" s="105"/>
      <c r="AM1934" s="6" t="e">
        <f>MATCH(D1934,'D5 - Gatekeeper - Projects'!$C$4:$C$1010,0)</f>
        <v>#N/A</v>
      </c>
      <c r="AN1934" s="6" t="b">
        <f t="shared" si="203"/>
        <v>1</v>
      </c>
      <c r="AO1934" s="6" t="str">
        <f t="shared" si="205"/>
        <v>OK</v>
      </c>
      <c r="AQ1934" s="6" t="e">
        <f>MATCH($D1934,'D4 - Provider Council Unsched'!$C$11:$C$234,0)</f>
        <v>#N/A</v>
      </c>
      <c r="AR1934" s="6" t="b">
        <f t="shared" si="204"/>
        <v>1</v>
      </c>
      <c r="AS1934" s="6" t="str">
        <f t="shared" si="208"/>
        <v>OK</v>
      </c>
      <c r="AU1934" s="202"/>
      <c r="AV1934" s="262"/>
      <c r="AW1934" s="274"/>
    </row>
    <row r="1935" spans="1:49" s="13" customFormat="1" ht="67.5" x14ac:dyDescent="0.2">
      <c r="A1935" s="14">
        <v>1911</v>
      </c>
      <c r="B1935" s="14">
        <v>400008585</v>
      </c>
      <c r="C1935" s="8" t="s">
        <v>1992</v>
      </c>
      <c r="D1935" s="4" t="str">
        <f t="shared" si="207"/>
        <v>400008585U1</v>
      </c>
      <c r="E1935" s="309" t="str">
        <f>VLOOKUP($B1935,'D7 - NDB Impacted SPRF''s'!$E$6:$O$9929,2,FALSE)</f>
        <v>Implement myUHC authentication redesign</v>
      </c>
      <c r="F1935" s="8" t="s">
        <v>5536</v>
      </c>
      <c r="G1935" s="8" t="s">
        <v>4758</v>
      </c>
      <c r="H1935" s="8" t="s">
        <v>4246</v>
      </c>
      <c r="I1935" s="20">
        <v>0.26</v>
      </c>
      <c r="J1935" s="8" t="s">
        <v>7113</v>
      </c>
      <c r="K1935" s="182"/>
      <c r="L1935" s="8" t="s">
        <v>4156</v>
      </c>
      <c r="M1935" s="8" t="s">
        <v>2814</v>
      </c>
      <c r="N1935" s="367" t="s">
        <v>5423</v>
      </c>
      <c r="O1935" s="8"/>
      <c r="P1935" s="4" t="str">
        <f>VLOOKUP($B1935,'D7 - NDB Impacted SPRF''s'!$E$16:$O$9929,9,FALSE)</f>
        <v>Y</v>
      </c>
      <c r="Q1935" s="4" t="str">
        <f>VLOOKUP($B1935,'D7 - NDB Impacted SPRF''s'!$E$16:$O$9929,10,FALSE)</f>
        <v>N</v>
      </c>
      <c r="R1935" s="4" t="str">
        <f>VLOOKUP($B1935,'D7 - NDB Impacted SPRF''s'!$E$16:$O$9929,11,FALSE)</f>
        <v>N</v>
      </c>
      <c r="S1935" s="8"/>
      <c r="T1935" s="310"/>
      <c r="U1935" s="310"/>
      <c r="V1935" s="4"/>
      <c r="W1935" s="4"/>
      <c r="X1935" s="4"/>
      <c r="Y1935" s="4"/>
      <c r="Z1935" s="4"/>
      <c r="AA1935" s="4"/>
      <c r="AB1935" s="380" t="str">
        <f>VLOOKUP($B1935,'D7 - NDB Impacted SPRF''s'!$E$16:$O$9929,4,FALSE)</f>
        <v>Completed</v>
      </c>
      <c r="AC1935" s="380" t="str">
        <f>VLOOKUP($B1935,'D7 - NDB Impacted SPRF''s'!$E$16:$O$9929,3,FALSE)</f>
        <v>Uniprise</v>
      </c>
      <c r="AD1935" s="380" t="str">
        <f>VLOOKUP($B1935,'D7 - NDB Impacted SPRF''s'!$E$16:$O$9929,5,FALSE)</f>
        <v>Group Services - Capital Projects</v>
      </c>
      <c r="AE1935" s="380" t="str">
        <f>VLOOKUP($B1935,'D7 - NDB Impacted SPRF''s'!$E$16:$O$9929,7,FALSE)</f>
        <v>Meg Rush</v>
      </c>
      <c r="AF1935" s="380" t="str">
        <f>VLOOKUP($B1935,'D7 - NDB Impacted SPRF''s'!$E$16:$O$9929,6,FALSE)</f>
        <v>Roberts Ron</v>
      </c>
      <c r="AG1935" s="282" t="s">
        <v>7755</v>
      </c>
      <c r="AH1935" s="311" t="e">
        <f>INDEX('D5 - Gatekeeper - Projects'!$A$4:$AF$1010,$AM1935, 17)</f>
        <v>#N/A</v>
      </c>
      <c r="AI1935" s="8"/>
      <c r="AJ1935" s="57"/>
      <c r="AK1935" s="105"/>
      <c r="AM1935" s="6" t="e">
        <f>MATCH(D1935,'D5 - Gatekeeper - Projects'!$C$4:$C$1010,0)</f>
        <v>#N/A</v>
      </c>
      <c r="AN1935" s="6" t="b">
        <f t="shared" si="203"/>
        <v>1</v>
      </c>
      <c r="AO1935" s="6" t="str">
        <f t="shared" si="205"/>
        <v>OK</v>
      </c>
      <c r="AQ1935" s="6" t="e">
        <f>MATCH($D1935,'D4 - Provider Council Unsched'!$C$11:$C$234,0)</f>
        <v>#N/A</v>
      </c>
      <c r="AR1935" s="6" t="b">
        <f t="shared" si="204"/>
        <v>1</v>
      </c>
      <c r="AS1935" s="6" t="str">
        <f t="shared" si="208"/>
        <v>OK</v>
      </c>
      <c r="AU1935" s="202"/>
      <c r="AV1935" s="262"/>
      <c r="AW1935" s="274"/>
    </row>
    <row r="1936" spans="1:49" s="13" customFormat="1" x14ac:dyDescent="0.2">
      <c r="A1936" s="14">
        <v>1912</v>
      </c>
      <c r="B1936" s="14">
        <v>400008742</v>
      </c>
      <c r="C1936" s="8" t="s">
        <v>5197</v>
      </c>
      <c r="D1936" s="4" t="str">
        <f t="shared" si="207"/>
        <v>400008742R1</v>
      </c>
      <c r="E1936" s="309" t="str">
        <f>VLOOKUP($B1936,'D7 - NDB Impacted SPRF''s'!$E$6:$O$9929,2,FALSE)</f>
        <v>Plymount Account Code Clean Up</v>
      </c>
      <c r="F1936" s="8"/>
      <c r="G1936" s="8" t="s">
        <v>4758</v>
      </c>
      <c r="H1936" s="8" t="s">
        <v>4246</v>
      </c>
      <c r="I1936" s="20"/>
      <c r="J1936" s="8"/>
      <c r="K1936" s="182"/>
      <c r="L1936" s="8" t="s">
        <v>6164</v>
      </c>
      <c r="M1936" s="8" t="s">
        <v>2814</v>
      </c>
      <c r="N1936" s="367"/>
      <c r="O1936" s="8"/>
      <c r="P1936" s="4" t="str">
        <f>VLOOKUP($B1936,'D7 - NDB Impacted SPRF''s'!$E$16:$O$9929,9,FALSE)</f>
        <v>Y</v>
      </c>
      <c r="Q1936" s="4" t="str">
        <f>VLOOKUP($B1936,'D7 - NDB Impacted SPRF''s'!$E$16:$O$9929,10,FALSE)</f>
        <v>N</v>
      </c>
      <c r="R1936" s="4" t="str">
        <f>VLOOKUP($B1936,'D7 - NDB Impacted SPRF''s'!$E$16:$O$9929,11,FALSE)</f>
        <v>N</v>
      </c>
      <c r="S1936" s="8"/>
      <c r="T1936" s="310"/>
      <c r="U1936" s="310"/>
      <c r="V1936" s="4"/>
      <c r="W1936" s="4"/>
      <c r="X1936" s="4"/>
      <c r="Y1936" s="4"/>
      <c r="Z1936" s="4"/>
      <c r="AA1936" s="4"/>
      <c r="AB1936" s="380" t="str">
        <f>VLOOKUP($B1936,'D7 - NDB Impacted SPRF''s'!$E$16:$O$9929,4,FALSE)</f>
        <v>Completed</v>
      </c>
      <c r="AC1936" s="380" t="str">
        <f>VLOOKUP($B1936,'D7 - NDB Impacted SPRF''s'!$E$16:$O$9929,3,FALSE)</f>
        <v>Uniprise</v>
      </c>
      <c r="AD1936" s="380" t="str">
        <f>VLOOKUP($B1936,'D7 - NDB Impacted SPRF''s'!$E$16:$O$9929,5,FALSE)</f>
        <v>Uniprise Technologies - DDC</v>
      </c>
      <c r="AE1936" s="380" t="str">
        <f>VLOOKUP($B1936,'D7 - NDB Impacted SPRF''s'!$E$16:$O$9929,7,FALSE)</f>
        <v>Steve Penn</v>
      </c>
      <c r="AF1936" s="380" t="str">
        <f>VLOOKUP($B1936,'D7 - NDB Impacted SPRF''s'!$E$16:$O$9929,6,FALSE)</f>
        <v>EMILY TIMRECK</v>
      </c>
      <c r="AG1936" s="282"/>
      <c r="AH1936" s="311" t="e">
        <f>INDEX('D5 - Gatekeeper - Projects'!$A$4:$AF$1010,$AM1936, 17)</f>
        <v>#N/A</v>
      </c>
      <c r="AI1936" s="8"/>
      <c r="AJ1936" s="57"/>
      <c r="AK1936" s="105"/>
      <c r="AM1936" s="6" t="e">
        <f>MATCH(D1936,'D5 - Gatekeeper - Projects'!$C$4:$C$1010,0)</f>
        <v>#N/A</v>
      </c>
      <c r="AN1936" s="6" t="b">
        <f t="shared" si="203"/>
        <v>1</v>
      </c>
      <c r="AO1936" s="6" t="str">
        <f t="shared" si="205"/>
        <v>OK</v>
      </c>
      <c r="AQ1936" s="6" t="e">
        <f>MATCH($D1936,'D4 - Provider Council Unsched'!$C$11:$C$234,0)</f>
        <v>#N/A</v>
      </c>
      <c r="AR1936" s="6" t="b">
        <f t="shared" si="204"/>
        <v>1</v>
      </c>
      <c r="AS1936" s="6" t="str">
        <f t="shared" si="208"/>
        <v>OK</v>
      </c>
      <c r="AU1936" s="202"/>
      <c r="AV1936" s="262"/>
      <c r="AW1936" s="274"/>
    </row>
    <row r="1937" spans="1:49" s="13" customFormat="1" ht="45" x14ac:dyDescent="0.2">
      <c r="A1937" s="14">
        <v>1913</v>
      </c>
      <c r="B1937" s="14">
        <v>400009192</v>
      </c>
      <c r="C1937" s="8" t="s">
        <v>5197</v>
      </c>
      <c r="D1937" s="4" t="str">
        <f t="shared" si="207"/>
        <v>400009192R1</v>
      </c>
      <c r="E1937" s="309" t="str">
        <f>VLOOKUP($B1937,'D7 - NDB Impacted SPRF''s'!$E$6:$O$9929,2,FALSE)</f>
        <v>Control Review Program</v>
      </c>
      <c r="F1937" s="8" t="s">
        <v>2114</v>
      </c>
      <c r="G1937" s="8" t="s">
        <v>4758</v>
      </c>
      <c r="H1937" s="8" t="s">
        <v>4246</v>
      </c>
      <c r="I1937" s="20">
        <v>0.27</v>
      </c>
      <c r="J1937" s="8" t="s">
        <v>7113</v>
      </c>
      <c r="K1937" s="182"/>
      <c r="L1937" s="8" t="s">
        <v>4156</v>
      </c>
      <c r="M1937" s="8" t="s">
        <v>2814</v>
      </c>
      <c r="N1937" s="367" t="s">
        <v>7028</v>
      </c>
      <c r="O1937" s="8"/>
      <c r="P1937" s="4" t="str">
        <f>VLOOKUP($B1937,'D7 - NDB Impacted SPRF''s'!$E$16:$O$9929,9,FALSE)</f>
        <v>N</v>
      </c>
      <c r="Q1937" s="4" t="str">
        <f>VLOOKUP($B1937,'D7 - NDB Impacted SPRF''s'!$E$16:$O$9929,10,FALSE)</f>
        <v>N</v>
      </c>
      <c r="R1937" s="4" t="str">
        <f>VLOOKUP($B1937,'D7 - NDB Impacted SPRF''s'!$E$16:$O$9929,11,FALSE)</f>
        <v>N</v>
      </c>
      <c r="S1937" s="8"/>
      <c r="T1937" s="310"/>
      <c r="U1937" s="310"/>
      <c r="V1937" s="4"/>
      <c r="W1937" s="4"/>
      <c r="X1937" s="4"/>
      <c r="Y1937" s="4"/>
      <c r="Z1937" s="4"/>
      <c r="AA1937" s="4"/>
      <c r="AB1937" s="380" t="str">
        <f>VLOOKUP($B1937,'D7 - NDB Impacted SPRF''s'!$E$16:$O$9929,4,FALSE)</f>
        <v>Completed</v>
      </c>
      <c r="AC1937" s="380" t="str">
        <f>VLOOKUP($B1937,'D7 - NDB Impacted SPRF''s'!$E$16:$O$9929,3,FALSE)</f>
        <v>UHG IT - Enterprise Technology Services</v>
      </c>
      <c r="AD1937" s="380" t="str">
        <f>VLOOKUP($B1937,'D7 - NDB Impacted SPRF''s'!$E$16:$O$9929,5,FALSE)</f>
        <v>UHG IT</v>
      </c>
      <c r="AE1937" s="380" t="str">
        <f>VLOOKUP($B1937,'D7 - NDB Impacted SPRF''s'!$E$16:$O$9929,7,FALSE)</f>
        <v>Rich Nechanicky</v>
      </c>
      <c r="AF1937" s="380" t="str">
        <f>VLOOKUP($B1937,'D7 - NDB Impacted SPRF''s'!$E$16:$O$9929,6,FALSE)</f>
        <v>JOCELYN FREEDMAN</v>
      </c>
      <c r="AG1937" s="282" t="s">
        <v>7755</v>
      </c>
      <c r="AH1937" s="311" t="e">
        <f>INDEX('D5 - Gatekeeper - Projects'!$A$4:$AF$1010,$AM1937, 17)</f>
        <v>#N/A</v>
      </c>
      <c r="AI1937" s="8"/>
      <c r="AJ1937" s="57"/>
      <c r="AK1937" s="105"/>
      <c r="AM1937" s="6" t="e">
        <f>MATCH(D1937,'D5 - Gatekeeper - Projects'!$C$4:$C$1010,0)</f>
        <v>#N/A</v>
      </c>
      <c r="AN1937" s="6" t="b">
        <f t="shared" ref="AN1937:AN1992" si="209">ISERROR(AM1937)</f>
        <v>1</v>
      </c>
      <c r="AO1937" s="6" t="str">
        <f t="shared" si="205"/>
        <v>OK</v>
      </c>
      <c r="AQ1937" s="6" t="e">
        <f>MATCH($D1937,'D4 - Provider Council Unsched'!$C$11:$C$234,0)</f>
        <v>#N/A</v>
      </c>
      <c r="AR1937" s="6" t="b">
        <f t="shared" ref="AR1937:AR1992" si="210">ISERROR(AQ1937)</f>
        <v>1</v>
      </c>
      <c r="AS1937" s="6" t="str">
        <f t="shared" si="208"/>
        <v>OK</v>
      </c>
      <c r="AU1937" s="202"/>
      <c r="AV1937" s="262"/>
      <c r="AW1937" s="274"/>
    </row>
    <row r="1938" spans="1:49" s="13" customFormat="1" ht="22.5" x14ac:dyDescent="0.2">
      <c r="A1938" s="14">
        <v>1914</v>
      </c>
      <c r="B1938" s="14">
        <v>400009492</v>
      </c>
      <c r="C1938" s="8" t="s">
        <v>5197</v>
      </c>
      <c r="D1938" s="4" t="str">
        <f t="shared" si="207"/>
        <v>400009492R1</v>
      </c>
      <c r="E1938" s="309" t="str">
        <f>VLOOKUP($B1938,'D7 - NDB Impacted SPRF''s'!$E$6:$O$9929,2,FALSE)</f>
        <v>Dental HMO product support on PRIME (PacDental)</v>
      </c>
      <c r="F1938" s="8" t="s">
        <v>7779</v>
      </c>
      <c r="G1938" s="8" t="s">
        <v>4758</v>
      </c>
      <c r="H1938" s="8" t="s">
        <v>4246</v>
      </c>
      <c r="I1938" s="20"/>
      <c r="J1938" s="8"/>
      <c r="K1938" s="182"/>
      <c r="L1938" s="8" t="s">
        <v>4156</v>
      </c>
      <c r="M1938" s="8" t="s">
        <v>5626</v>
      </c>
      <c r="N1938" s="38"/>
      <c r="O1938" s="8"/>
      <c r="P1938" s="4" t="str">
        <f>VLOOKUP($B1938,'D7 - NDB Impacted SPRF''s'!$E$16:$O$9929,9,FALSE)</f>
        <v>N</v>
      </c>
      <c r="Q1938" s="4" t="str">
        <f>VLOOKUP($B1938,'D7 - NDB Impacted SPRF''s'!$E$16:$O$9929,10,FALSE)</f>
        <v>N</v>
      </c>
      <c r="R1938" s="4" t="str">
        <f>VLOOKUP($B1938,'D7 - NDB Impacted SPRF''s'!$E$16:$O$9929,11,FALSE)</f>
        <v>N</v>
      </c>
      <c r="S1938" s="8"/>
      <c r="T1938" s="310"/>
      <c r="U1938" s="310"/>
      <c r="V1938" s="4"/>
      <c r="W1938" s="4"/>
      <c r="X1938" s="4"/>
      <c r="Y1938" s="4"/>
      <c r="Z1938" s="4"/>
      <c r="AA1938" s="4"/>
      <c r="AB1938" s="380" t="str">
        <f>VLOOKUP($B1938,'D7 - NDB Impacted SPRF''s'!$E$16:$O$9929,4,FALSE)</f>
        <v>Completed</v>
      </c>
      <c r="AC1938" s="380" t="str">
        <f>VLOOKUP($B1938,'D7 - NDB Impacted SPRF''s'!$E$16:$O$9929,3,FALSE)</f>
        <v>OptumHealth</v>
      </c>
      <c r="AD1938" s="380" t="str">
        <f>VLOOKUP($B1938,'D7 - NDB Impacted SPRF''s'!$E$16:$O$9929,5,FALSE)</f>
        <v>DBP</v>
      </c>
      <c r="AE1938" s="380" t="str">
        <f>VLOOKUP($B1938,'D7 - NDB Impacted SPRF''s'!$E$16:$O$9929,7,FALSE)</f>
        <v>Robert Trachman</v>
      </c>
      <c r="AF1938" s="380" t="str">
        <f>VLOOKUP($B1938,'D7 - NDB Impacted SPRF''s'!$E$16:$O$9929,6,FALSE)</f>
        <v>PEGGY LOPRETE</v>
      </c>
      <c r="AG1938" s="282"/>
      <c r="AH1938" s="311" t="e">
        <f>INDEX('D5 - Gatekeeper - Projects'!$A$4:$AF$1010,$AM1938, 17)</f>
        <v>#N/A</v>
      </c>
      <c r="AI1938" s="8"/>
      <c r="AJ1938" s="57"/>
      <c r="AK1938" s="105"/>
      <c r="AL1938" s="216"/>
      <c r="AM1938" s="6" t="e">
        <f>MATCH(D1938,'D5 - Gatekeeper - Projects'!$C$4:$C$1010,0)</f>
        <v>#N/A</v>
      </c>
      <c r="AN1938" s="6" t="b">
        <f t="shared" si="209"/>
        <v>1</v>
      </c>
      <c r="AO1938" s="6" t="str">
        <f t="shared" ref="AO1938:AO1992" si="211">IF(AND(H1938="1 - Scheduled",AN1938=TRUE),"Add","OK")</f>
        <v>OK</v>
      </c>
      <c r="AQ1938" s="6" t="e">
        <f>MATCH($D1938,'D4 - Provider Council Unsched'!$C$11:$C$234,0)</f>
        <v>#N/A</v>
      </c>
      <c r="AR1938" s="6" t="b">
        <f t="shared" si="210"/>
        <v>1</v>
      </c>
      <c r="AS1938" s="6" t="str">
        <f t="shared" si="208"/>
        <v>OK</v>
      </c>
      <c r="AU1938" s="202"/>
      <c r="AV1938" s="262"/>
      <c r="AW1938" s="274"/>
    </row>
    <row r="1939" spans="1:49" s="13" customFormat="1" ht="33.75" x14ac:dyDescent="0.2">
      <c r="A1939" s="14">
        <v>1915</v>
      </c>
      <c r="B1939" s="14">
        <v>400009660</v>
      </c>
      <c r="C1939" s="8" t="s">
        <v>5197</v>
      </c>
      <c r="D1939" s="4" t="str">
        <f t="shared" si="207"/>
        <v>400009660R1</v>
      </c>
      <c r="E1939" s="309" t="str">
        <f>VLOOKUP($B1939,'D7 - NDB Impacted SPRF''s'!$E$6:$O$9929,2,FALSE)</f>
        <v>NDB-EA Queue Consolidation - Phase 1</v>
      </c>
      <c r="F1939" s="8" t="s">
        <v>4961</v>
      </c>
      <c r="G1939" s="8" t="s">
        <v>4758</v>
      </c>
      <c r="H1939" s="8" t="s">
        <v>4246</v>
      </c>
      <c r="I1939" s="20">
        <v>30</v>
      </c>
      <c r="J1939" s="8" t="s">
        <v>7113</v>
      </c>
      <c r="K1939" s="182"/>
      <c r="L1939" s="8" t="s">
        <v>5743</v>
      </c>
      <c r="M1939" s="8" t="s">
        <v>2814</v>
      </c>
      <c r="N1939" s="367" t="s">
        <v>3079</v>
      </c>
      <c r="O1939" s="8"/>
      <c r="P1939" s="4" t="str">
        <f>VLOOKUP($B1939,'D7 - NDB Impacted SPRF''s'!$E$16:$O$9929,9,FALSE)</f>
        <v>N</v>
      </c>
      <c r="Q1939" s="4" t="str">
        <f>VLOOKUP($B1939,'D7 - NDB Impacted SPRF''s'!$E$16:$O$9929,10,FALSE)</f>
        <v>N</v>
      </c>
      <c r="R1939" s="4" t="str">
        <f>VLOOKUP($B1939,'D7 - NDB Impacted SPRF''s'!$E$16:$O$9929,11,FALSE)</f>
        <v>N</v>
      </c>
      <c r="S1939" s="8"/>
      <c r="T1939" s="310"/>
      <c r="U1939" s="310"/>
      <c r="V1939" s="4"/>
      <c r="W1939" s="4"/>
      <c r="X1939" s="4"/>
      <c r="Y1939" s="4"/>
      <c r="Z1939" s="4"/>
      <c r="AA1939" s="4"/>
      <c r="AB1939" s="380" t="str">
        <f>VLOOKUP($B1939,'D7 - NDB Impacted SPRF''s'!$E$16:$O$9929,4,FALSE)</f>
        <v>Completed</v>
      </c>
      <c r="AC1939" s="380" t="str">
        <f>VLOOKUP($B1939,'D7 - NDB Impacted SPRF''s'!$E$16:$O$9929,3,FALSE)</f>
        <v>UnitedHealthcare Employer &amp; Individual</v>
      </c>
      <c r="AD1939" s="380" t="str">
        <f>VLOOKUP($B1939,'D7 - NDB Impacted SPRF''s'!$E$16:$O$9929,5,FALSE)</f>
        <v>Network Growth / Enhancements</v>
      </c>
      <c r="AE1939" s="380" t="str">
        <f>VLOOKUP($B1939,'D7 - NDB Impacted SPRF''s'!$E$16:$O$9929,7,FALSE)</f>
        <v>Peter Bompane</v>
      </c>
      <c r="AF1939" s="380" t="str">
        <f>VLOOKUP($B1939,'D7 - NDB Impacted SPRF''s'!$E$16:$O$9929,6,FALSE)</f>
        <v>ELIZABETH Young</v>
      </c>
      <c r="AG1939" s="282" t="s">
        <v>6682</v>
      </c>
      <c r="AH1939" s="311" t="e">
        <f>INDEX('D5 - Gatekeeper - Projects'!$A$4:$AF$1010,$AM1939, 17)</f>
        <v>#N/A</v>
      </c>
      <c r="AI1939" s="8"/>
      <c r="AJ1939" s="57"/>
      <c r="AK1939" s="105"/>
      <c r="AM1939" s="6" t="e">
        <f>MATCH(D1939,'D5 - Gatekeeper - Projects'!$C$4:$C$1010,0)</f>
        <v>#N/A</v>
      </c>
      <c r="AN1939" s="6" t="b">
        <f t="shared" si="209"/>
        <v>1</v>
      </c>
      <c r="AO1939" s="6" t="str">
        <f t="shared" si="211"/>
        <v>OK</v>
      </c>
      <c r="AQ1939" s="6" t="e">
        <f>MATCH($D1939,'D4 - Provider Council Unsched'!$C$11:$C$234,0)</f>
        <v>#N/A</v>
      </c>
      <c r="AR1939" s="6" t="b">
        <f t="shared" si="210"/>
        <v>1</v>
      </c>
      <c r="AS1939" s="6" t="str">
        <f t="shared" si="208"/>
        <v>OK</v>
      </c>
      <c r="AU1939" s="202"/>
      <c r="AV1939" s="262"/>
      <c r="AW1939" s="274"/>
    </row>
    <row r="1940" spans="1:49" s="13" customFormat="1" ht="33.75" x14ac:dyDescent="0.2">
      <c r="A1940" s="14">
        <v>1916</v>
      </c>
      <c r="B1940" s="14">
        <v>400009660</v>
      </c>
      <c r="C1940" s="8" t="s">
        <v>1992</v>
      </c>
      <c r="D1940" s="4" t="str">
        <f t="shared" si="207"/>
        <v>400009660U1</v>
      </c>
      <c r="E1940" s="309" t="str">
        <f>VLOOKUP($B1940,'D7 - NDB Impacted SPRF''s'!$E$6:$O$9929,2,FALSE)</f>
        <v>NDB-EA Queue Consolidation - Phase 1</v>
      </c>
      <c r="F1940" s="8" t="s">
        <v>4961</v>
      </c>
      <c r="G1940" s="8" t="s">
        <v>4758</v>
      </c>
      <c r="H1940" s="8" t="s">
        <v>4246</v>
      </c>
      <c r="I1940" s="20">
        <v>2.27</v>
      </c>
      <c r="J1940" s="8" t="s">
        <v>7113</v>
      </c>
      <c r="K1940" s="182"/>
      <c r="L1940" s="8" t="s">
        <v>5743</v>
      </c>
      <c r="M1940" s="8" t="s">
        <v>2814</v>
      </c>
      <c r="N1940" s="367" t="s">
        <v>3079</v>
      </c>
      <c r="O1940" s="8"/>
      <c r="P1940" s="4" t="str">
        <f>VLOOKUP($B1940,'D7 - NDB Impacted SPRF''s'!$E$16:$O$9929,9,FALSE)</f>
        <v>N</v>
      </c>
      <c r="Q1940" s="4" t="str">
        <f>VLOOKUP($B1940,'D7 - NDB Impacted SPRF''s'!$E$16:$O$9929,10,FALSE)</f>
        <v>N</v>
      </c>
      <c r="R1940" s="4" t="str">
        <f>VLOOKUP($B1940,'D7 - NDB Impacted SPRF''s'!$E$16:$O$9929,11,FALSE)</f>
        <v>N</v>
      </c>
      <c r="S1940" s="8"/>
      <c r="T1940" s="310"/>
      <c r="U1940" s="310"/>
      <c r="V1940" s="4"/>
      <c r="W1940" s="4"/>
      <c r="X1940" s="4"/>
      <c r="Y1940" s="4"/>
      <c r="Z1940" s="4"/>
      <c r="AA1940" s="4"/>
      <c r="AB1940" s="380" t="str">
        <f>VLOOKUP($B1940,'D7 - NDB Impacted SPRF''s'!$E$16:$O$9929,4,FALSE)</f>
        <v>Completed</v>
      </c>
      <c r="AC1940" s="380" t="str">
        <f>VLOOKUP($B1940,'D7 - NDB Impacted SPRF''s'!$E$16:$O$9929,3,FALSE)</f>
        <v>UnitedHealthcare Employer &amp; Individual</v>
      </c>
      <c r="AD1940" s="380" t="str">
        <f>VLOOKUP($B1940,'D7 - NDB Impacted SPRF''s'!$E$16:$O$9929,5,FALSE)</f>
        <v>Network Growth / Enhancements</v>
      </c>
      <c r="AE1940" s="380" t="str">
        <f>VLOOKUP($B1940,'D7 - NDB Impacted SPRF''s'!$E$16:$O$9929,7,FALSE)</f>
        <v>Peter Bompane</v>
      </c>
      <c r="AF1940" s="380" t="str">
        <f>VLOOKUP($B1940,'D7 - NDB Impacted SPRF''s'!$E$16:$O$9929,6,FALSE)</f>
        <v>ELIZABETH Young</v>
      </c>
      <c r="AG1940" s="282" t="s">
        <v>6682</v>
      </c>
      <c r="AH1940" s="311" t="e">
        <f>INDEX('D5 - Gatekeeper - Projects'!$A$4:$AF$1010,$AM1940, 17)</f>
        <v>#N/A</v>
      </c>
      <c r="AI1940" s="8"/>
      <c r="AJ1940" s="57"/>
      <c r="AK1940" s="105"/>
      <c r="AM1940" s="6" t="e">
        <f>MATCH(D1940,'D5 - Gatekeeper - Projects'!$C$4:$C$1010,0)</f>
        <v>#N/A</v>
      </c>
      <c r="AN1940" s="6" t="b">
        <f t="shared" si="209"/>
        <v>1</v>
      </c>
      <c r="AO1940" s="6" t="str">
        <f t="shared" si="211"/>
        <v>OK</v>
      </c>
      <c r="AQ1940" s="6" t="e">
        <f>MATCH($D1940,'D4 - Provider Council Unsched'!$C$11:$C$234,0)</f>
        <v>#N/A</v>
      </c>
      <c r="AR1940" s="6" t="b">
        <f t="shared" si="210"/>
        <v>1</v>
      </c>
      <c r="AS1940" s="6" t="str">
        <f t="shared" si="208"/>
        <v>OK</v>
      </c>
      <c r="AU1940" s="202"/>
      <c r="AV1940" s="262"/>
      <c r="AW1940" s="274"/>
    </row>
    <row r="1941" spans="1:49" s="13" customFormat="1" ht="33.75" x14ac:dyDescent="0.2">
      <c r="A1941" s="14">
        <v>1917</v>
      </c>
      <c r="B1941" s="14">
        <v>400010540</v>
      </c>
      <c r="C1941" s="8" t="s">
        <v>5197</v>
      </c>
      <c r="D1941" s="4" t="str">
        <f t="shared" si="207"/>
        <v>400010540R1</v>
      </c>
      <c r="E1941" s="309" t="str">
        <f>VLOOKUP($B1941,'D7 - NDB Impacted SPRF''s'!$E$6:$O$9929,2,FALSE)</f>
        <v>Migration of Reimbursement Logic from TOPS to NDB</v>
      </c>
      <c r="F1941" s="8" t="s">
        <v>7106</v>
      </c>
      <c r="G1941" s="8" t="s">
        <v>4758</v>
      </c>
      <c r="H1941" s="8" t="s">
        <v>4246</v>
      </c>
      <c r="I1941" s="20">
        <v>7</v>
      </c>
      <c r="J1941" s="8" t="s">
        <v>4862</v>
      </c>
      <c r="K1941" s="182"/>
      <c r="L1941" s="8" t="s">
        <v>4156</v>
      </c>
      <c r="M1941" s="8" t="s">
        <v>2814</v>
      </c>
      <c r="N1941" s="367" t="s">
        <v>5570</v>
      </c>
      <c r="O1941" s="8"/>
      <c r="P1941" s="4" t="str">
        <f>VLOOKUP($B1941,'D7 - NDB Impacted SPRF''s'!$E$16:$O$9929,9,FALSE)</f>
        <v>Y</v>
      </c>
      <c r="Q1941" s="4" t="str">
        <f>VLOOKUP($B1941,'D7 - NDB Impacted SPRF''s'!$E$16:$O$9929,10,FALSE)</f>
        <v>N</v>
      </c>
      <c r="R1941" s="4" t="str">
        <f>VLOOKUP($B1941,'D7 - NDB Impacted SPRF''s'!$E$16:$O$9929,11,FALSE)</f>
        <v>N</v>
      </c>
      <c r="S1941" s="8"/>
      <c r="T1941" s="310"/>
      <c r="U1941" s="310"/>
      <c r="V1941" s="4"/>
      <c r="W1941" s="4"/>
      <c r="X1941" s="4"/>
      <c r="Y1941" s="4"/>
      <c r="Z1941" s="4"/>
      <c r="AA1941" s="4"/>
      <c r="AB1941" s="380" t="str">
        <f>VLOOKUP($B1941,'D7 - NDB Impacted SPRF''s'!$E$16:$O$9929,4,FALSE)</f>
        <v>Completed</v>
      </c>
      <c r="AC1941" s="380" t="str">
        <f>VLOOKUP($B1941,'D7 - NDB Impacted SPRF''s'!$E$16:$O$9929,3,FALSE)</f>
        <v>UnitedHealthcare Employer &amp; Individual</v>
      </c>
      <c r="AD1941" s="380" t="str">
        <f>VLOOKUP($B1941,'D7 - NDB Impacted SPRF''s'!$E$16:$O$9929,5,FALSE)</f>
        <v>Medical Cost Savings Programs</v>
      </c>
      <c r="AE1941" s="380" t="str">
        <f>VLOOKUP($B1941,'D7 - NDB Impacted SPRF''s'!$E$16:$O$9929,7,FALSE)</f>
        <v>Steven Mueller</v>
      </c>
      <c r="AF1941" s="380" t="str">
        <f>VLOOKUP($B1941,'D7 - NDB Impacted SPRF''s'!$E$16:$O$9929,6,FALSE)</f>
        <v>SUSAN HAMES</v>
      </c>
      <c r="AG1941" s="282" t="s">
        <v>6162</v>
      </c>
      <c r="AH1941" s="311" t="e">
        <f>INDEX('D5 - Gatekeeper - Projects'!$A$4:$AF$1010,$AM1941, 17)</f>
        <v>#N/A</v>
      </c>
      <c r="AI1941" s="8"/>
      <c r="AJ1941" s="57"/>
      <c r="AK1941" s="105"/>
      <c r="AM1941" s="6" t="e">
        <f>MATCH(D1941,'D5 - Gatekeeper - Projects'!$C$4:$C$1010,0)</f>
        <v>#N/A</v>
      </c>
      <c r="AN1941" s="6" t="b">
        <f t="shared" si="209"/>
        <v>1</v>
      </c>
      <c r="AO1941" s="6" t="str">
        <f t="shared" si="211"/>
        <v>OK</v>
      </c>
      <c r="AQ1941" s="6" t="e">
        <f>MATCH($D1941,'D4 - Provider Council Unsched'!$C$11:$C$234,0)</f>
        <v>#N/A</v>
      </c>
      <c r="AR1941" s="6" t="b">
        <f t="shared" si="210"/>
        <v>1</v>
      </c>
      <c r="AS1941" s="6" t="str">
        <f t="shared" si="208"/>
        <v>OK</v>
      </c>
      <c r="AU1941" s="202"/>
      <c r="AV1941" s="262"/>
      <c r="AW1941" s="274"/>
    </row>
    <row r="1942" spans="1:49" s="13" customFormat="1" x14ac:dyDescent="0.2">
      <c r="A1942" s="14">
        <v>1918</v>
      </c>
      <c r="B1942" s="14">
        <v>400010593</v>
      </c>
      <c r="C1942" s="8" t="s">
        <v>6724</v>
      </c>
      <c r="D1942" s="4" t="str">
        <f t="shared" si="207"/>
        <v>400010593CC07</v>
      </c>
      <c r="E1942" s="309" t="str">
        <f>VLOOKUP($B1942,'D7 - NDB Impacted SPRF''s'!$E$6:$O$9929,2,FALSE)</f>
        <v>Medica  Telephony - VETSS</v>
      </c>
      <c r="F1942" s="8" t="s">
        <v>5196</v>
      </c>
      <c r="G1942" s="8" t="s">
        <v>4758</v>
      </c>
      <c r="H1942" s="8" t="s">
        <v>4246</v>
      </c>
      <c r="I1942" s="20">
        <v>1.07</v>
      </c>
      <c r="J1942" s="8" t="s">
        <v>7113</v>
      </c>
      <c r="K1942" s="182"/>
      <c r="L1942" s="8" t="s">
        <v>4156</v>
      </c>
      <c r="M1942" s="8" t="s">
        <v>2814</v>
      </c>
      <c r="N1942" s="367" t="s">
        <v>3345</v>
      </c>
      <c r="O1942" s="8"/>
      <c r="P1942" s="4" t="str">
        <f>VLOOKUP($B1942,'D7 - NDB Impacted SPRF''s'!$E$16:$O$9929,9,FALSE)</f>
        <v>Y</v>
      </c>
      <c r="Q1942" s="4" t="str">
        <f>VLOOKUP($B1942,'D7 - NDB Impacted SPRF''s'!$E$16:$O$9929,10,FALSE)</f>
        <v>N</v>
      </c>
      <c r="R1942" s="4" t="str">
        <f>VLOOKUP($B1942,'D7 - NDB Impacted SPRF''s'!$E$16:$O$9929,11,FALSE)</f>
        <v>N</v>
      </c>
      <c r="S1942" s="8"/>
      <c r="T1942" s="310"/>
      <c r="U1942" s="310"/>
      <c r="V1942" s="4"/>
      <c r="W1942" s="4"/>
      <c r="X1942" s="4"/>
      <c r="Y1942" s="4"/>
      <c r="Z1942" s="4"/>
      <c r="AA1942" s="4"/>
      <c r="AB1942" s="380" t="str">
        <f>VLOOKUP($B1942,'D7 - NDB Impacted SPRF''s'!$E$16:$O$9929,4,FALSE)</f>
        <v>Completed</v>
      </c>
      <c r="AC1942" s="380" t="str">
        <f>VLOOKUP($B1942,'D7 - NDB Impacted SPRF''s'!$E$16:$O$9929,3,FALSE)</f>
        <v>Alliance</v>
      </c>
      <c r="AD1942" s="380" t="str">
        <f>VLOOKUP($B1942,'D7 - NDB Impacted SPRF''s'!$E$16:$O$9929,5,FALSE)</f>
        <v>Medica UNET Conversion</v>
      </c>
      <c r="AE1942" s="380" t="str">
        <f>VLOOKUP($B1942,'D7 - NDB Impacted SPRF''s'!$E$16:$O$9929,7,FALSE)</f>
        <v>Kevin Kantola</v>
      </c>
      <c r="AF1942" s="380" t="str">
        <f>VLOOKUP($B1942,'D7 - NDB Impacted SPRF''s'!$E$16:$O$9929,6,FALSE)</f>
        <v>Cindy Nelson</v>
      </c>
      <c r="AG1942" s="282"/>
      <c r="AH1942" s="311" t="e">
        <f>INDEX('D5 - Gatekeeper - Projects'!$A$4:$AF$1010,$AM1942, 17)</f>
        <v>#N/A</v>
      </c>
      <c r="AI1942" s="8"/>
      <c r="AJ1942" s="57"/>
      <c r="AK1942" s="105"/>
      <c r="AM1942" s="6" t="e">
        <f>MATCH(D1942,'D5 - Gatekeeper - Projects'!$C$4:$C$1010,0)</f>
        <v>#N/A</v>
      </c>
      <c r="AN1942" s="6" t="b">
        <f t="shared" si="209"/>
        <v>1</v>
      </c>
      <c r="AO1942" s="6" t="str">
        <f t="shared" si="211"/>
        <v>OK</v>
      </c>
      <c r="AQ1942" s="6" t="e">
        <f>MATCH($D1942,'D4 - Provider Council Unsched'!$C$11:$C$234,0)</f>
        <v>#N/A</v>
      </c>
      <c r="AR1942" s="6" t="b">
        <f t="shared" si="210"/>
        <v>1</v>
      </c>
      <c r="AS1942" s="6" t="str">
        <f t="shared" si="208"/>
        <v>OK</v>
      </c>
      <c r="AU1942" s="202"/>
      <c r="AV1942" s="262"/>
      <c r="AW1942" s="274"/>
    </row>
    <row r="1943" spans="1:49" s="13" customFormat="1" ht="33.75" x14ac:dyDescent="0.2">
      <c r="A1943" s="14">
        <v>1919</v>
      </c>
      <c r="B1943" s="14">
        <v>400011082</v>
      </c>
      <c r="C1943" s="8" t="s">
        <v>3763</v>
      </c>
      <c r="D1943" s="4" t="str">
        <f t="shared" si="207"/>
        <v>400011082R2</v>
      </c>
      <c r="E1943" s="309" t="str">
        <f>VLOOKUP($B1943,'D7 - NDB Impacted SPRF''s'!$E$6:$O$9929,2,FALSE)</f>
        <v>Pacificare QicLink -HCFA ppoONE Repricing</v>
      </c>
      <c r="F1943" s="8" t="s">
        <v>6071</v>
      </c>
      <c r="G1943" s="8" t="s">
        <v>4758</v>
      </c>
      <c r="H1943" s="8" t="s">
        <v>4246</v>
      </c>
      <c r="I1943" s="20">
        <v>2.2000000000000002</v>
      </c>
      <c r="J1943" s="8" t="s">
        <v>4862</v>
      </c>
      <c r="K1943" s="182"/>
      <c r="L1943" s="8" t="s">
        <v>4156</v>
      </c>
      <c r="M1943" s="8" t="s">
        <v>5626</v>
      </c>
      <c r="N1943" s="38"/>
      <c r="O1943" s="8" t="s">
        <v>2000</v>
      </c>
      <c r="P1943" s="4" t="str">
        <f>VLOOKUP($B1943,'D7 - NDB Impacted SPRF''s'!$E$16:$O$9929,9,FALSE)</f>
        <v>N</v>
      </c>
      <c r="Q1943" s="4" t="str">
        <f>VLOOKUP($B1943,'D7 - NDB Impacted SPRF''s'!$E$16:$O$9929,10,FALSE)</f>
        <v>N</v>
      </c>
      <c r="R1943" s="4" t="str">
        <f>VLOOKUP($B1943,'D7 - NDB Impacted SPRF''s'!$E$16:$O$9929,11,FALSE)</f>
        <v>Y</v>
      </c>
      <c r="S1943" s="8"/>
      <c r="T1943" s="310"/>
      <c r="U1943" s="310"/>
      <c r="V1943" s="4"/>
      <c r="W1943" s="4"/>
      <c r="X1943" s="4"/>
      <c r="Y1943" s="4"/>
      <c r="Z1943" s="4"/>
      <c r="AA1943" s="4"/>
      <c r="AB1943" s="380" t="str">
        <f>VLOOKUP($B1943,'D7 - NDB Impacted SPRF''s'!$E$16:$O$9929,4,FALSE)</f>
        <v>Completed</v>
      </c>
      <c r="AC1943" s="380" t="str">
        <f>VLOOKUP($B1943,'D7 - NDB Impacted SPRF''s'!$E$16:$O$9929,3,FALSE)</f>
        <v>UnitedHealthcare Employer &amp; Individual</v>
      </c>
      <c r="AD1943" s="380" t="str">
        <f>VLOOKUP($B1943,'D7 - NDB Impacted SPRF''s'!$E$16:$O$9929,5,FALSE)</f>
        <v>Integration Requirements</v>
      </c>
      <c r="AE1943" s="380" t="str">
        <f>VLOOKUP($B1943,'D7 - NDB Impacted SPRF''s'!$E$16:$O$9929,7,FALSE)</f>
        <v>Shannon Nelson</v>
      </c>
      <c r="AF1943" s="380" t="str">
        <f>VLOOKUP($B1943,'D7 - NDB Impacted SPRF''s'!$E$16:$O$9929,6,FALSE)</f>
        <v>STACIE THOMAS</v>
      </c>
      <c r="AG1943" s="282"/>
      <c r="AH1943" s="311" t="e">
        <f>INDEX('D5 - Gatekeeper - Projects'!$A$4:$AF$1010,$AM1943, 17)</f>
        <v>#N/A</v>
      </c>
      <c r="AI1943" s="8"/>
      <c r="AJ1943" s="57"/>
      <c r="AK1943" s="105"/>
      <c r="AM1943" s="6" t="e">
        <f>MATCH(D1943,'D5 - Gatekeeper - Projects'!$C$4:$C$1010,0)</f>
        <v>#N/A</v>
      </c>
      <c r="AN1943" s="6" t="b">
        <f t="shared" si="209"/>
        <v>1</v>
      </c>
      <c r="AO1943" s="6" t="str">
        <f t="shared" si="211"/>
        <v>OK</v>
      </c>
      <c r="AQ1943" s="6" t="e">
        <f>MATCH($D1943,'D4 - Provider Council Unsched'!$C$11:$C$234,0)</f>
        <v>#N/A</v>
      </c>
      <c r="AR1943" s="6" t="b">
        <f t="shared" si="210"/>
        <v>1</v>
      </c>
      <c r="AS1943" s="6" t="str">
        <f t="shared" si="208"/>
        <v>OK</v>
      </c>
      <c r="AU1943" s="202"/>
      <c r="AV1943" s="262"/>
      <c r="AW1943" s="274"/>
    </row>
    <row r="1944" spans="1:49" s="13" customFormat="1" ht="33.75" x14ac:dyDescent="0.2">
      <c r="A1944" s="14">
        <v>1920</v>
      </c>
      <c r="B1944" s="14">
        <v>400011083</v>
      </c>
      <c r="C1944" s="8" t="s">
        <v>3763</v>
      </c>
      <c r="D1944" s="4" t="str">
        <f t="shared" si="207"/>
        <v>400011083R2</v>
      </c>
      <c r="E1944" s="309" t="str">
        <f>VLOOKUP($B1944,'D7 - NDB Impacted SPRF''s'!$E$6:$O$9929,2,FALSE)</f>
        <v>Pacificare QicLink UB ppoONE repricing</v>
      </c>
      <c r="F1944" s="8" t="s">
        <v>6071</v>
      </c>
      <c r="G1944" s="8" t="s">
        <v>4758</v>
      </c>
      <c r="H1944" s="8" t="s">
        <v>4246</v>
      </c>
      <c r="I1944" s="20">
        <v>2.2000000000000002</v>
      </c>
      <c r="J1944" s="8" t="s">
        <v>4862</v>
      </c>
      <c r="K1944" s="182"/>
      <c r="L1944" s="8" t="s">
        <v>4156</v>
      </c>
      <c r="M1944" s="8" t="s">
        <v>5626</v>
      </c>
      <c r="N1944" s="38"/>
      <c r="O1944" s="8" t="s">
        <v>2000</v>
      </c>
      <c r="P1944" s="4" t="str">
        <f>VLOOKUP($B1944,'D7 - NDB Impacted SPRF''s'!$E$16:$O$9929,9,FALSE)</f>
        <v>N</v>
      </c>
      <c r="Q1944" s="4" t="str">
        <f>VLOOKUP($B1944,'D7 - NDB Impacted SPRF''s'!$E$16:$O$9929,10,FALSE)</f>
        <v>N</v>
      </c>
      <c r="R1944" s="4" t="str">
        <f>VLOOKUP($B1944,'D7 - NDB Impacted SPRF''s'!$E$16:$O$9929,11,FALSE)</f>
        <v>Y</v>
      </c>
      <c r="S1944" s="8"/>
      <c r="T1944" s="310"/>
      <c r="U1944" s="310"/>
      <c r="V1944" s="4"/>
      <c r="W1944" s="4"/>
      <c r="X1944" s="4"/>
      <c r="Y1944" s="4"/>
      <c r="Z1944" s="4"/>
      <c r="AA1944" s="4"/>
      <c r="AB1944" s="380" t="str">
        <f>VLOOKUP($B1944,'D7 - NDB Impacted SPRF''s'!$E$16:$O$9929,4,FALSE)</f>
        <v>Completed</v>
      </c>
      <c r="AC1944" s="380" t="str">
        <f>VLOOKUP($B1944,'D7 - NDB Impacted SPRF''s'!$E$16:$O$9929,3,FALSE)</f>
        <v>UnitedHealthcare Employer &amp; Individual</v>
      </c>
      <c r="AD1944" s="380" t="str">
        <f>VLOOKUP($B1944,'D7 - NDB Impacted SPRF''s'!$E$16:$O$9929,5,FALSE)</f>
        <v>Integration Requirements</v>
      </c>
      <c r="AE1944" s="380" t="str">
        <f>VLOOKUP($B1944,'D7 - NDB Impacted SPRF''s'!$E$16:$O$9929,7,FALSE)</f>
        <v>Shannon Nelson</v>
      </c>
      <c r="AF1944" s="380" t="str">
        <f>VLOOKUP($B1944,'D7 - NDB Impacted SPRF''s'!$E$16:$O$9929,6,FALSE)</f>
        <v>STACIE THOMAS</v>
      </c>
      <c r="AG1944" s="282"/>
      <c r="AH1944" s="311" t="e">
        <f>INDEX('D5 - Gatekeeper - Projects'!$A$4:$AF$1010,$AM1944, 17)</f>
        <v>#N/A</v>
      </c>
      <c r="AI1944" s="8"/>
      <c r="AJ1944" s="57"/>
      <c r="AK1944" s="105"/>
      <c r="AM1944" s="6" t="e">
        <f>MATCH(D1944,'D5 - Gatekeeper - Projects'!$C$4:$C$1010,0)</f>
        <v>#N/A</v>
      </c>
      <c r="AN1944" s="6" t="b">
        <f t="shared" si="209"/>
        <v>1</v>
      </c>
      <c r="AO1944" s="6" t="str">
        <f t="shared" si="211"/>
        <v>OK</v>
      </c>
      <c r="AQ1944" s="6" t="e">
        <f>MATCH($D1944,'D4 - Provider Council Unsched'!$C$11:$C$234,0)</f>
        <v>#N/A</v>
      </c>
      <c r="AR1944" s="6" t="b">
        <f t="shared" si="210"/>
        <v>1</v>
      </c>
      <c r="AS1944" s="6" t="str">
        <f t="shared" si="208"/>
        <v>OK</v>
      </c>
      <c r="AU1944" s="202"/>
      <c r="AV1944" s="262"/>
      <c r="AW1944" s="274"/>
    </row>
    <row r="1945" spans="1:49" s="13" customFormat="1" ht="33.75" x14ac:dyDescent="0.2">
      <c r="A1945" s="14">
        <v>1921</v>
      </c>
      <c r="B1945" s="14">
        <v>400011199</v>
      </c>
      <c r="C1945" s="8" t="s">
        <v>5197</v>
      </c>
      <c r="D1945" s="4" t="str">
        <f t="shared" si="207"/>
        <v>400011199R1</v>
      </c>
      <c r="E1945" s="309" t="str">
        <f>VLOOKUP($B1945,'D7 - NDB Impacted SPRF''s'!$E$6:$O$9929,2,FALSE)</f>
        <v>Enhance Reimbursement Capability - Planning</v>
      </c>
      <c r="F1945" s="8" t="s">
        <v>7106</v>
      </c>
      <c r="G1945" s="8" t="s">
        <v>4758</v>
      </c>
      <c r="H1945" s="8" t="s">
        <v>4246</v>
      </c>
      <c r="I1945" s="20">
        <v>4</v>
      </c>
      <c r="J1945" s="8" t="s">
        <v>4862</v>
      </c>
      <c r="K1945" s="182"/>
      <c r="L1945" s="8" t="s">
        <v>5743</v>
      </c>
      <c r="M1945" s="8" t="s">
        <v>2814</v>
      </c>
      <c r="N1945" s="367" t="s">
        <v>5570</v>
      </c>
      <c r="O1945" s="8"/>
      <c r="P1945" s="4" t="str">
        <f>VLOOKUP($B1945,'D7 - NDB Impacted SPRF''s'!$E$16:$O$9929,9,FALSE)</f>
        <v>Y</v>
      </c>
      <c r="Q1945" s="4" t="str">
        <f>VLOOKUP($B1945,'D7 - NDB Impacted SPRF''s'!$E$16:$O$9929,10,FALSE)</f>
        <v>N</v>
      </c>
      <c r="R1945" s="4" t="str">
        <f>VLOOKUP($B1945,'D7 - NDB Impacted SPRF''s'!$E$16:$O$9929,11,FALSE)</f>
        <v>N</v>
      </c>
      <c r="S1945" s="8"/>
      <c r="T1945" s="310"/>
      <c r="U1945" s="310"/>
      <c r="V1945" s="4"/>
      <c r="W1945" s="4"/>
      <c r="X1945" s="4"/>
      <c r="Y1945" s="4"/>
      <c r="Z1945" s="4"/>
      <c r="AA1945" s="4"/>
      <c r="AB1945" s="380" t="str">
        <f>VLOOKUP($B1945,'D7 - NDB Impacted SPRF''s'!$E$16:$O$9929,4,FALSE)</f>
        <v>Completed</v>
      </c>
      <c r="AC1945" s="380" t="str">
        <f>VLOOKUP($B1945,'D7 - NDB Impacted SPRF''s'!$E$16:$O$9929,3,FALSE)</f>
        <v>UnitedHealthcare Employer &amp; Individual</v>
      </c>
      <c r="AD1945" s="380" t="str">
        <f>VLOOKUP($B1945,'D7 - NDB Impacted SPRF''s'!$E$16:$O$9929,5,FALSE)</f>
        <v>Medical Cost Savings Programs</v>
      </c>
      <c r="AE1945" s="380" t="str">
        <f>VLOOKUP($B1945,'D7 - NDB Impacted SPRF''s'!$E$16:$O$9929,7,FALSE)</f>
        <v>Steven Mueller</v>
      </c>
      <c r="AF1945" s="380" t="str">
        <f>VLOOKUP($B1945,'D7 - NDB Impacted SPRF''s'!$E$16:$O$9929,6,FALSE)</f>
        <v>JEFFREY HUXLEY</v>
      </c>
      <c r="AG1945" s="282" t="s">
        <v>6162</v>
      </c>
      <c r="AH1945" s="311" t="e">
        <f>INDEX('D5 - Gatekeeper - Projects'!$A$4:$AF$1010,$AM1945, 17)</f>
        <v>#N/A</v>
      </c>
      <c r="AI1945" s="8"/>
      <c r="AJ1945" s="57"/>
      <c r="AK1945" s="105"/>
      <c r="AM1945" s="6" t="e">
        <f>MATCH(D1945,'D5 - Gatekeeper - Projects'!$C$4:$C$1010,0)</f>
        <v>#N/A</v>
      </c>
      <c r="AN1945" s="6" t="b">
        <f t="shared" si="209"/>
        <v>1</v>
      </c>
      <c r="AO1945" s="6" t="str">
        <f t="shared" si="211"/>
        <v>OK</v>
      </c>
      <c r="AQ1945" s="6" t="e">
        <f>MATCH($D1945,'D4 - Provider Council Unsched'!$C$11:$C$234,0)</f>
        <v>#N/A</v>
      </c>
      <c r="AR1945" s="6" t="b">
        <f t="shared" si="210"/>
        <v>1</v>
      </c>
      <c r="AS1945" s="6" t="str">
        <f t="shared" si="208"/>
        <v>OK</v>
      </c>
      <c r="AU1945" s="202"/>
      <c r="AV1945" s="262"/>
      <c r="AW1945" s="274"/>
    </row>
    <row r="1946" spans="1:49" s="13" customFormat="1" x14ac:dyDescent="0.2">
      <c r="A1946" s="14">
        <v>1922</v>
      </c>
      <c r="B1946" s="14">
        <v>400011473</v>
      </c>
      <c r="C1946" s="8" t="s">
        <v>5197</v>
      </c>
      <c r="D1946" s="4" t="str">
        <f t="shared" si="207"/>
        <v>400011473R1</v>
      </c>
      <c r="E1946" s="309" t="str">
        <f>VLOOKUP($B1946,'D7 - NDB Impacted SPRF''s'!$E$6:$O$9929,2,FALSE)</f>
        <v>Medica - Product - Patient Choice Insights on UNET</v>
      </c>
      <c r="F1946" s="8" t="s">
        <v>5196</v>
      </c>
      <c r="G1946" s="8" t="s">
        <v>4758</v>
      </c>
      <c r="H1946" s="8" t="s">
        <v>4246</v>
      </c>
      <c r="I1946" s="20"/>
      <c r="J1946" s="8"/>
      <c r="K1946" s="182"/>
      <c r="L1946" s="8" t="s">
        <v>4156</v>
      </c>
      <c r="M1946" s="8" t="s">
        <v>2814</v>
      </c>
      <c r="N1946" s="368" t="s">
        <v>5446</v>
      </c>
      <c r="O1946" s="8"/>
      <c r="P1946" s="4" t="str">
        <f>VLOOKUP($B1946,'D7 - NDB Impacted SPRF''s'!$E$16:$O$9929,9,FALSE)</f>
        <v>Y</v>
      </c>
      <c r="Q1946" s="4" t="str">
        <f>VLOOKUP($B1946,'D7 - NDB Impacted SPRF''s'!$E$16:$O$9929,10,FALSE)</f>
        <v>N</v>
      </c>
      <c r="R1946" s="4" t="str">
        <f>VLOOKUP($B1946,'D7 - NDB Impacted SPRF''s'!$E$16:$O$9929,11,FALSE)</f>
        <v>N</v>
      </c>
      <c r="S1946" s="8"/>
      <c r="T1946" s="310"/>
      <c r="U1946" s="310"/>
      <c r="V1946" s="4"/>
      <c r="W1946" s="4"/>
      <c r="X1946" s="4"/>
      <c r="Y1946" s="4"/>
      <c r="Z1946" s="4"/>
      <c r="AA1946" s="4"/>
      <c r="AB1946" s="380" t="str">
        <f>VLOOKUP($B1946,'D7 - NDB Impacted SPRF''s'!$E$16:$O$9929,4,FALSE)</f>
        <v>Completed</v>
      </c>
      <c r="AC1946" s="380" t="str">
        <f>VLOOKUP($B1946,'D7 - NDB Impacted SPRF''s'!$E$16:$O$9929,3,FALSE)</f>
        <v>Alliance</v>
      </c>
      <c r="AD1946" s="380" t="str">
        <f>VLOOKUP($B1946,'D7 - NDB Impacted SPRF''s'!$E$16:$O$9929,5,FALSE)</f>
        <v>Medica UNET Conversion</v>
      </c>
      <c r="AE1946" s="380" t="str">
        <f>VLOOKUP($B1946,'D7 - NDB Impacted SPRF''s'!$E$16:$O$9929,7,FALSE)</f>
        <v>Diane Schofield</v>
      </c>
      <c r="AF1946" s="380" t="str">
        <f>VLOOKUP($B1946,'D7 - NDB Impacted SPRF''s'!$E$16:$O$9929,6,FALSE)</f>
        <v>RINA LASSEN</v>
      </c>
      <c r="AG1946" s="282"/>
      <c r="AH1946" s="311" t="e">
        <f>INDEX('D5 - Gatekeeper - Projects'!$A$4:$AF$1010,$AM1946, 17)</f>
        <v>#N/A</v>
      </c>
      <c r="AI1946" s="8"/>
      <c r="AJ1946" s="57"/>
      <c r="AK1946" s="105"/>
      <c r="AM1946" s="6" t="e">
        <f>MATCH(D1946,'D5 - Gatekeeper - Projects'!$C$4:$C$1010,0)</f>
        <v>#N/A</v>
      </c>
      <c r="AN1946" s="6" t="b">
        <f t="shared" si="209"/>
        <v>1</v>
      </c>
      <c r="AO1946" s="6" t="str">
        <f t="shared" si="211"/>
        <v>OK</v>
      </c>
      <c r="AQ1946" s="6" t="e">
        <f>MATCH($D1946,'D4 - Provider Council Unsched'!$C$11:$C$234,0)</f>
        <v>#N/A</v>
      </c>
      <c r="AR1946" s="6" t="b">
        <f t="shared" si="210"/>
        <v>1</v>
      </c>
      <c r="AS1946" s="6" t="str">
        <f t="shared" si="208"/>
        <v>OK</v>
      </c>
      <c r="AU1946" s="202"/>
      <c r="AV1946" s="262"/>
      <c r="AW1946" s="274"/>
    </row>
    <row r="1947" spans="1:49" s="13" customFormat="1" ht="33.75" x14ac:dyDescent="0.2">
      <c r="A1947" s="14">
        <v>1923</v>
      </c>
      <c r="B1947" s="14">
        <v>400012686</v>
      </c>
      <c r="C1947" s="8" t="s">
        <v>5197</v>
      </c>
      <c r="D1947" s="4" t="str">
        <f t="shared" si="207"/>
        <v>400012686R1</v>
      </c>
      <c r="E1947" s="309" t="str">
        <f>VLOOKUP($B1947,'D7 - NDB Impacted SPRF''s'!$E$6:$O$9929,2,FALSE)</f>
        <v>GHMO B2B/B2C Authorization Intake</v>
      </c>
      <c r="F1947" s="8" t="s">
        <v>4168</v>
      </c>
      <c r="G1947" s="8" t="s">
        <v>4758</v>
      </c>
      <c r="H1947" s="8" t="s">
        <v>4246</v>
      </c>
      <c r="I1947" s="20">
        <v>1.33</v>
      </c>
      <c r="J1947" s="8" t="s">
        <v>7113</v>
      </c>
      <c r="K1947" s="182"/>
      <c r="L1947" s="8" t="s">
        <v>4156</v>
      </c>
      <c r="M1947" s="8" t="s">
        <v>2814</v>
      </c>
      <c r="N1947" s="368" t="s">
        <v>5446</v>
      </c>
      <c r="O1947" s="8"/>
      <c r="P1947" s="4" t="str">
        <f>VLOOKUP($B1947,'D7 - NDB Impacted SPRF''s'!$E$16:$O$9929,9,FALSE)</f>
        <v>N</v>
      </c>
      <c r="Q1947" s="4" t="str">
        <f>VLOOKUP($B1947,'D7 - NDB Impacted SPRF''s'!$E$16:$O$9929,10,FALSE)</f>
        <v>N</v>
      </c>
      <c r="R1947" s="4" t="str">
        <f>VLOOKUP($B1947,'D7 - NDB Impacted SPRF''s'!$E$16:$O$9929,11,FALSE)</f>
        <v>N</v>
      </c>
      <c r="S1947" s="8"/>
      <c r="T1947" s="310"/>
      <c r="U1947" s="310"/>
      <c r="V1947" s="4"/>
      <c r="W1947" s="4"/>
      <c r="X1947" s="4"/>
      <c r="Y1947" s="4"/>
      <c r="Z1947" s="4"/>
      <c r="AA1947" s="4"/>
      <c r="AB1947" s="380" t="str">
        <f>VLOOKUP($B1947,'D7 - NDB Impacted SPRF''s'!$E$16:$O$9929,4,FALSE)</f>
        <v>Completed</v>
      </c>
      <c r="AC1947" s="380" t="str">
        <f>VLOOKUP($B1947,'D7 - NDB Impacted SPRF''s'!$E$16:$O$9929,3,FALSE)</f>
        <v>UnitedHealthcare Employer &amp; Individual</v>
      </c>
      <c r="AD1947" s="380" t="str">
        <f>VLOOKUP($B1947,'D7 - NDB Impacted SPRF''s'!$E$16:$O$9929,5,FALSE)</f>
        <v>Integration Requirements</v>
      </c>
      <c r="AE1947" s="380" t="str">
        <f>VLOOKUP($B1947,'D7 - NDB Impacted SPRF''s'!$E$16:$O$9929,7,FALSE)</f>
        <v>Diane Schofield</v>
      </c>
      <c r="AF1947" s="380" t="str">
        <f>VLOOKUP($B1947,'D7 - NDB Impacted SPRF''s'!$E$16:$O$9929,6,FALSE)</f>
        <v>Jennifer Steffens</v>
      </c>
      <c r="AG1947" s="282" t="s">
        <v>7755</v>
      </c>
      <c r="AH1947" s="311" t="e">
        <f>INDEX('D5 - Gatekeeper - Projects'!$A$4:$AF$1010,$AM1947, 17)</f>
        <v>#N/A</v>
      </c>
      <c r="AI1947" s="8"/>
      <c r="AJ1947" s="57"/>
      <c r="AK1947" s="105"/>
      <c r="AM1947" s="6" t="e">
        <f>MATCH(D1947,'D5 - Gatekeeper - Projects'!$C$4:$C$1010,0)</f>
        <v>#N/A</v>
      </c>
      <c r="AN1947" s="6" t="b">
        <f t="shared" si="209"/>
        <v>1</v>
      </c>
      <c r="AO1947" s="6" t="str">
        <f t="shared" si="211"/>
        <v>OK</v>
      </c>
      <c r="AQ1947" s="6" t="e">
        <f>MATCH($D1947,'D4 - Provider Council Unsched'!$C$11:$C$234,0)</f>
        <v>#N/A</v>
      </c>
      <c r="AR1947" s="6" t="b">
        <f t="shared" si="210"/>
        <v>1</v>
      </c>
      <c r="AS1947" s="6" t="str">
        <f t="shared" si="208"/>
        <v>OK</v>
      </c>
      <c r="AU1947" s="202"/>
      <c r="AV1947" s="262"/>
      <c r="AW1947" s="274"/>
    </row>
    <row r="1948" spans="1:49" s="13" customFormat="1" ht="22.5" x14ac:dyDescent="0.2">
      <c r="A1948" s="14">
        <v>1924</v>
      </c>
      <c r="B1948" s="14">
        <v>400013727</v>
      </c>
      <c r="C1948" s="8" t="s">
        <v>5197</v>
      </c>
      <c r="D1948" s="4" t="str">
        <f t="shared" si="207"/>
        <v>400013727R1</v>
      </c>
      <c r="E1948" s="309" t="str">
        <f>VLOOKUP($B1948,'D7 - NDB Impacted SPRF''s'!$E$6:$O$9929,2,FALSE)</f>
        <v>New Consumer Portal 1.1 Enhanced Provider Search</v>
      </c>
      <c r="F1948" s="8" t="s">
        <v>5536</v>
      </c>
      <c r="G1948" s="8" t="s">
        <v>4758</v>
      </c>
      <c r="H1948" s="8" t="s">
        <v>4246</v>
      </c>
      <c r="I1948" s="20"/>
      <c r="J1948" s="8"/>
      <c r="K1948" s="182"/>
      <c r="L1948" s="8" t="s">
        <v>4156</v>
      </c>
      <c r="M1948" s="8" t="s">
        <v>2814</v>
      </c>
      <c r="N1948" s="367" t="s">
        <v>5929</v>
      </c>
      <c r="O1948" s="8"/>
      <c r="P1948" s="4" t="str">
        <f>VLOOKUP($B1948,'D7 - NDB Impacted SPRF''s'!$E$16:$O$9929,9,FALSE)</f>
        <v>N</v>
      </c>
      <c r="Q1948" s="4" t="str">
        <f>VLOOKUP($B1948,'D7 - NDB Impacted SPRF''s'!$E$16:$O$9929,10,FALSE)</f>
        <v>N</v>
      </c>
      <c r="R1948" s="4" t="str">
        <f>VLOOKUP($B1948,'D7 - NDB Impacted SPRF''s'!$E$16:$O$9929,11,FALSE)</f>
        <v>N</v>
      </c>
      <c r="S1948" s="8"/>
      <c r="T1948" s="310"/>
      <c r="U1948" s="310"/>
      <c r="V1948" s="4"/>
      <c r="W1948" s="4"/>
      <c r="X1948" s="4"/>
      <c r="Y1948" s="4"/>
      <c r="Z1948" s="4"/>
      <c r="AA1948" s="4"/>
      <c r="AB1948" s="380" t="str">
        <f>VLOOKUP($B1948,'D7 - NDB Impacted SPRF''s'!$E$16:$O$9929,4,FALSE)</f>
        <v>Completed</v>
      </c>
      <c r="AC1948" s="380" t="str">
        <f>VLOOKUP($B1948,'D7 - NDB Impacted SPRF''s'!$E$16:$O$9929,3,FALSE)</f>
        <v>Uniprise</v>
      </c>
      <c r="AD1948" s="380" t="str">
        <f>VLOOKUP($B1948,'D7 - NDB Impacted SPRF''s'!$E$16:$O$9929,5,FALSE)</f>
        <v>Group Services - Capital Projects</v>
      </c>
      <c r="AE1948" s="380" t="str">
        <f>VLOOKUP($B1948,'D7 - NDB Impacted SPRF''s'!$E$16:$O$9929,7,FALSE)</f>
        <v>Meg Rush</v>
      </c>
      <c r="AF1948" s="380" t="str">
        <f>VLOOKUP($B1948,'D7 - NDB Impacted SPRF''s'!$E$16:$O$9929,6,FALSE)</f>
        <v>LISA GREENWOOD</v>
      </c>
      <c r="AG1948" s="282"/>
      <c r="AH1948" s="311" t="e">
        <f>INDEX('D5 - Gatekeeper - Projects'!$A$4:$AF$1010,$AM1948, 17)</f>
        <v>#N/A</v>
      </c>
      <c r="AI1948" s="8"/>
      <c r="AJ1948" s="57"/>
      <c r="AK1948" s="105"/>
      <c r="AM1948" s="6" t="e">
        <f>MATCH(D1948,'D5 - Gatekeeper - Projects'!$C$4:$C$1010,0)</f>
        <v>#N/A</v>
      </c>
      <c r="AN1948" s="6" t="b">
        <f t="shared" si="209"/>
        <v>1</v>
      </c>
      <c r="AO1948" s="6" t="str">
        <f t="shared" si="211"/>
        <v>OK</v>
      </c>
      <c r="AQ1948" s="6" t="e">
        <f>MATCH($D1948,'D4 - Provider Council Unsched'!$C$11:$C$234,0)</f>
        <v>#N/A</v>
      </c>
      <c r="AR1948" s="6" t="b">
        <f t="shared" si="210"/>
        <v>1</v>
      </c>
      <c r="AS1948" s="6" t="str">
        <f t="shared" si="208"/>
        <v>OK</v>
      </c>
      <c r="AU1948" s="202"/>
      <c r="AV1948" s="262"/>
      <c r="AW1948" s="274"/>
    </row>
    <row r="1949" spans="1:49" s="13" customFormat="1" ht="33.75" x14ac:dyDescent="0.2">
      <c r="A1949" s="14">
        <v>1925</v>
      </c>
      <c r="B1949" s="14">
        <v>400013811</v>
      </c>
      <c r="C1949" s="8" t="s">
        <v>5197</v>
      </c>
      <c r="D1949" s="4" t="str">
        <f t="shared" si="207"/>
        <v>400013811R1</v>
      </c>
      <c r="E1949" s="309" t="str">
        <f>VLOOKUP($B1949,'D7 - NDB Impacted SPRF''s'!$E$6:$O$9929,2,FALSE)</f>
        <v>Uniprise Quicken Health Implementation A&amp;D</v>
      </c>
      <c r="F1949" s="8" t="s">
        <v>2114</v>
      </c>
      <c r="G1949" s="8" t="s">
        <v>4758</v>
      </c>
      <c r="H1949" s="8" t="s">
        <v>4246</v>
      </c>
      <c r="I1949" s="20">
        <f>320/150</f>
        <v>2.1333333333333333</v>
      </c>
      <c r="J1949" s="8" t="s">
        <v>4862</v>
      </c>
      <c r="K1949" s="182"/>
      <c r="L1949" s="8" t="s">
        <v>4156</v>
      </c>
      <c r="M1949" s="8" t="s">
        <v>6688</v>
      </c>
      <c r="N1949" s="38" t="s">
        <v>5983</v>
      </c>
      <c r="O1949" s="8"/>
      <c r="P1949" s="4" t="str">
        <f>VLOOKUP($B1949,'D7 - NDB Impacted SPRF''s'!$E$16:$O$9929,9,FALSE)</f>
        <v>Y</v>
      </c>
      <c r="Q1949" s="4" t="str">
        <f>VLOOKUP($B1949,'D7 - NDB Impacted SPRF''s'!$E$16:$O$9929,10,FALSE)</f>
        <v>N</v>
      </c>
      <c r="R1949" s="4" t="str">
        <f>VLOOKUP($B1949,'D7 - NDB Impacted SPRF''s'!$E$16:$O$9929,11,FALSE)</f>
        <v>N</v>
      </c>
      <c r="S1949" s="8"/>
      <c r="T1949" s="310"/>
      <c r="U1949" s="310"/>
      <c r="V1949" s="4"/>
      <c r="W1949" s="4"/>
      <c r="X1949" s="4"/>
      <c r="Y1949" s="4"/>
      <c r="Z1949" s="4"/>
      <c r="AA1949" s="4"/>
      <c r="AB1949" s="380" t="str">
        <f>VLOOKUP($B1949,'D7 - NDB Impacted SPRF''s'!$E$16:$O$9929,4,FALSE)</f>
        <v>Completed</v>
      </c>
      <c r="AC1949" s="380" t="str">
        <f>VLOOKUP($B1949,'D7 - NDB Impacted SPRF''s'!$E$16:$O$9929,3,FALSE)</f>
        <v>UnitedHealthcare Employer &amp; Individual</v>
      </c>
      <c r="AD1949" s="380" t="str">
        <f>VLOOKUP($B1949,'D7 - NDB Impacted SPRF''s'!$E$16:$O$9929,5,FALSE)</f>
        <v>Membership Growth / Revenue Programs</v>
      </c>
      <c r="AE1949" s="380" t="str">
        <f>VLOOKUP($B1949,'D7 - NDB Impacted SPRF''s'!$E$16:$O$9929,7,FALSE)</f>
        <v>Giulia Pogers</v>
      </c>
      <c r="AF1949" s="380" t="str">
        <f>VLOOKUP($B1949,'D7 - NDB Impacted SPRF''s'!$E$16:$O$9929,6,FALSE)</f>
        <v>JAMES SALSBERG</v>
      </c>
      <c r="AG1949" s="282"/>
      <c r="AH1949" s="311" t="e">
        <f>INDEX('D5 - Gatekeeper - Projects'!$A$4:$AF$1010,$AM1949, 17)</f>
        <v>#N/A</v>
      </c>
      <c r="AI1949" s="8"/>
      <c r="AJ1949" s="57"/>
      <c r="AK1949" s="105"/>
      <c r="AM1949" s="6" t="e">
        <f>MATCH(D1949,'D5 - Gatekeeper - Projects'!$C$4:$C$1010,0)</f>
        <v>#N/A</v>
      </c>
      <c r="AN1949" s="6" t="b">
        <f t="shared" si="209"/>
        <v>1</v>
      </c>
      <c r="AO1949" s="6" t="str">
        <f t="shared" si="211"/>
        <v>OK</v>
      </c>
      <c r="AQ1949" s="6" t="e">
        <f>MATCH($D1949,'D4 - Provider Council Unsched'!$C$11:$C$234,0)</f>
        <v>#N/A</v>
      </c>
      <c r="AR1949" s="6" t="b">
        <f t="shared" si="210"/>
        <v>1</v>
      </c>
      <c r="AS1949" s="6" t="str">
        <f t="shared" si="208"/>
        <v>OK</v>
      </c>
      <c r="AU1949" s="202"/>
      <c r="AV1949" s="262"/>
      <c r="AW1949" s="274"/>
    </row>
    <row r="1950" spans="1:49" s="13" customFormat="1" ht="33.75" x14ac:dyDescent="0.2">
      <c r="A1950" s="14">
        <v>1926</v>
      </c>
      <c r="B1950" s="14">
        <v>400014296</v>
      </c>
      <c r="C1950" s="8" t="s">
        <v>5197</v>
      </c>
      <c r="D1950" s="4" t="str">
        <f t="shared" si="207"/>
        <v>400014296R1</v>
      </c>
      <c r="E1950" s="309" t="str">
        <f>VLOOKUP($B1950,'D7 - NDB Impacted SPRF''s'!$E$6:$O$9929,2,FALSE)</f>
        <v>Comet Additional Development Environments</v>
      </c>
      <c r="F1950" s="8" t="s">
        <v>8133</v>
      </c>
      <c r="G1950" s="8" t="s">
        <v>4758</v>
      </c>
      <c r="H1950" s="8" t="s">
        <v>4246</v>
      </c>
      <c r="I1950" s="20">
        <v>0.53</v>
      </c>
      <c r="J1950" s="8" t="s">
        <v>4862</v>
      </c>
      <c r="K1950" s="182"/>
      <c r="L1950" s="8" t="s">
        <v>4156</v>
      </c>
      <c r="M1950" s="8" t="s">
        <v>5626</v>
      </c>
      <c r="N1950" s="367" t="s">
        <v>7479</v>
      </c>
      <c r="O1950" s="8"/>
      <c r="P1950" s="4" t="str">
        <f>VLOOKUP($B1950,'D7 - NDB Impacted SPRF''s'!$E$16:$O$9929,9,FALSE)</f>
        <v>Y</v>
      </c>
      <c r="Q1950" s="4" t="str">
        <f>VLOOKUP($B1950,'D7 - NDB Impacted SPRF''s'!$E$16:$O$9929,10,FALSE)</f>
        <v>N</v>
      </c>
      <c r="R1950" s="4" t="str">
        <f>VLOOKUP($B1950,'D7 - NDB Impacted SPRF''s'!$E$16:$O$9929,11,FALSE)</f>
        <v>N</v>
      </c>
      <c r="S1950" s="8"/>
      <c r="T1950" s="310"/>
      <c r="U1950" s="310"/>
      <c r="V1950" s="4"/>
      <c r="W1950" s="4"/>
      <c r="X1950" s="4"/>
      <c r="Y1950" s="4"/>
      <c r="Z1950" s="4"/>
      <c r="AA1950" s="4"/>
      <c r="AB1950" s="380" t="str">
        <f>VLOOKUP($B1950,'D7 - NDB Impacted SPRF''s'!$E$16:$O$9929,4,FALSE)</f>
        <v>Completed</v>
      </c>
      <c r="AC1950" s="380" t="str">
        <f>VLOOKUP($B1950,'D7 - NDB Impacted SPRF''s'!$E$16:$O$9929,3,FALSE)</f>
        <v>UnitedHealthcare Employer &amp; Individual</v>
      </c>
      <c r="AD1950" s="380" t="str">
        <f>VLOOKUP($B1950,'D7 - NDB Impacted SPRF''s'!$E$16:$O$9929,5,FALSE)</f>
        <v>Operational Requirements</v>
      </c>
      <c r="AE1950" s="380" t="str">
        <f>VLOOKUP($B1950,'D7 - NDB Impacted SPRF''s'!$E$16:$O$9929,7,FALSE)</f>
        <v>Mary Jo Curtin</v>
      </c>
      <c r="AF1950" s="380" t="str">
        <f>VLOOKUP($B1950,'D7 - NDB Impacted SPRF''s'!$E$16:$O$9929,6,FALSE)</f>
        <v>RICHARD HOWARD</v>
      </c>
      <c r="AG1950" s="282"/>
      <c r="AH1950" s="311" t="e">
        <f>INDEX('D5 - Gatekeeper - Projects'!$A$4:$AF$1010,$AM1950, 17)</f>
        <v>#N/A</v>
      </c>
      <c r="AI1950" s="8"/>
      <c r="AJ1950" s="57"/>
      <c r="AK1950" s="105"/>
      <c r="AM1950" s="6" t="e">
        <f>MATCH(D1950,'D5 - Gatekeeper - Projects'!$C$4:$C$1010,0)</f>
        <v>#N/A</v>
      </c>
      <c r="AN1950" s="6" t="b">
        <f t="shared" si="209"/>
        <v>1</v>
      </c>
      <c r="AO1950" s="6" t="str">
        <f t="shared" si="211"/>
        <v>OK</v>
      </c>
      <c r="AQ1950" s="6" t="e">
        <f>MATCH($D1950,'D4 - Provider Council Unsched'!$C$11:$C$234,0)</f>
        <v>#N/A</v>
      </c>
      <c r="AR1950" s="6" t="b">
        <f t="shared" si="210"/>
        <v>1</v>
      </c>
      <c r="AS1950" s="6" t="str">
        <f t="shared" si="208"/>
        <v>OK</v>
      </c>
      <c r="AU1950" s="202"/>
      <c r="AV1950" s="262"/>
      <c r="AW1950" s="274"/>
    </row>
    <row r="1951" spans="1:49" s="13" customFormat="1" x14ac:dyDescent="0.2">
      <c r="A1951" s="14">
        <v>1927</v>
      </c>
      <c r="B1951" s="14">
        <v>400014609</v>
      </c>
      <c r="C1951" s="8" t="s">
        <v>6726</v>
      </c>
      <c r="D1951" s="4" t="str">
        <f t="shared" si="207"/>
        <v>400014609CC06</v>
      </c>
      <c r="E1951" s="309" t="str">
        <f>VLOOKUP($B1951,'D7 - NDB Impacted SPRF''s'!$E$6:$O$9929,2,FALSE)</f>
        <v>Build Service Capacity in Green Bay</v>
      </c>
      <c r="F1951" s="8" t="s">
        <v>8133</v>
      </c>
      <c r="G1951" s="8" t="s">
        <v>4758</v>
      </c>
      <c r="H1951" s="8" t="s">
        <v>4246</v>
      </c>
      <c r="I1951" s="20"/>
      <c r="J1951" s="8"/>
      <c r="K1951" s="182"/>
      <c r="L1951" s="8" t="s">
        <v>4156</v>
      </c>
      <c r="M1951" s="8" t="s">
        <v>2814</v>
      </c>
      <c r="N1951" s="38"/>
      <c r="O1951" s="8"/>
      <c r="P1951" s="4" t="str">
        <f>VLOOKUP($B1951,'D7 - NDB Impacted SPRF''s'!$E$16:$O$9929,9,FALSE)</f>
        <v>N</v>
      </c>
      <c r="Q1951" s="4" t="str">
        <f>VLOOKUP($B1951,'D7 - NDB Impacted SPRF''s'!$E$16:$O$9929,10,FALSE)</f>
        <v>N</v>
      </c>
      <c r="R1951" s="4" t="str">
        <f>VLOOKUP($B1951,'D7 - NDB Impacted SPRF''s'!$E$16:$O$9929,11,FALSE)</f>
        <v>N</v>
      </c>
      <c r="S1951" s="8"/>
      <c r="T1951" s="310"/>
      <c r="U1951" s="310"/>
      <c r="V1951" s="4"/>
      <c r="W1951" s="4"/>
      <c r="X1951" s="4"/>
      <c r="Y1951" s="4"/>
      <c r="Z1951" s="4"/>
      <c r="AA1951" s="4"/>
      <c r="AB1951" s="380" t="str">
        <f>VLOOKUP($B1951,'D7 - NDB Impacted SPRF''s'!$E$16:$O$9929,4,FALSE)</f>
        <v>Completed</v>
      </c>
      <c r="AC1951" s="380" t="str">
        <f>VLOOKUP($B1951,'D7 - NDB Impacted SPRF''s'!$E$16:$O$9929,3,FALSE)</f>
        <v>Uniprise</v>
      </c>
      <c r="AD1951" s="380" t="str">
        <f>VLOOKUP($B1951,'D7 - NDB Impacted SPRF''s'!$E$16:$O$9929,5,FALSE)</f>
        <v>Consumer Experience</v>
      </c>
      <c r="AE1951" s="380" t="str">
        <f>VLOOKUP($B1951,'D7 - NDB Impacted SPRF''s'!$E$16:$O$9929,7,FALSE)</f>
        <v>John Reinke</v>
      </c>
      <c r="AF1951" s="380" t="str">
        <f>VLOOKUP($B1951,'D7 - NDB Impacted SPRF''s'!$E$16:$O$9929,6,FALSE)</f>
        <v>Lori McGhee</v>
      </c>
      <c r="AG1951" s="282"/>
      <c r="AH1951" s="311" t="e">
        <f>INDEX('D5 - Gatekeeper - Projects'!$A$4:$AF$1010,$AM1951, 17)</f>
        <v>#N/A</v>
      </c>
      <c r="AI1951" s="8"/>
      <c r="AJ1951" s="57"/>
      <c r="AK1951" s="105"/>
      <c r="AM1951" s="6" t="e">
        <f>MATCH(D1951,'D5 - Gatekeeper - Projects'!$C$4:$C$1010,0)</f>
        <v>#N/A</v>
      </c>
      <c r="AN1951" s="6" t="b">
        <f t="shared" si="209"/>
        <v>1</v>
      </c>
      <c r="AO1951" s="6" t="str">
        <f t="shared" si="211"/>
        <v>OK</v>
      </c>
      <c r="AQ1951" s="6" t="e">
        <f>MATCH($D1951,'D4 - Provider Council Unsched'!$C$11:$C$234,0)</f>
        <v>#N/A</v>
      </c>
      <c r="AR1951" s="6" t="b">
        <f t="shared" si="210"/>
        <v>1</v>
      </c>
      <c r="AS1951" s="6" t="str">
        <f t="shared" si="208"/>
        <v>OK</v>
      </c>
      <c r="AU1951" s="202"/>
      <c r="AV1951" s="262"/>
      <c r="AW1951" s="274"/>
    </row>
    <row r="1952" spans="1:49" s="13" customFormat="1" ht="22.5" x14ac:dyDescent="0.2">
      <c r="A1952" s="14">
        <v>1928</v>
      </c>
      <c r="B1952" s="14">
        <v>400014951</v>
      </c>
      <c r="C1952" s="8" t="s">
        <v>5197</v>
      </c>
      <c r="D1952" s="4" t="str">
        <f t="shared" si="207"/>
        <v>400014951R1</v>
      </c>
      <c r="E1952" s="309" t="str">
        <f>VLOOKUP($B1952,'D7 - NDB Impacted SPRF''s'!$E$6:$O$9929,2,FALSE)</f>
        <v>Medica Commercial Migration on PRIME-CEBB 9/1/07</v>
      </c>
      <c r="F1952" s="8" t="s">
        <v>5196</v>
      </c>
      <c r="G1952" s="8" t="s">
        <v>4758</v>
      </c>
      <c r="H1952" s="8" t="s">
        <v>4246</v>
      </c>
      <c r="I1952" s="20"/>
      <c r="J1952" s="8"/>
      <c r="K1952" s="182"/>
      <c r="L1952" s="8" t="s">
        <v>4156</v>
      </c>
      <c r="M1952" s="8" t="s">
        <v>2814</v>
      </c>
      <c r="N1952" s="38" t="s">
        <v>5931</v>
      </c>
      <c r="O1952" s="8"/>
      <c r="P1952" s="4" t="str">
        <f>VLOOKUP($B1952,'D7 - NDB Impacted SPRF''s'!$E$16:$O$9929,9,FALSE)</f>
        <v>Y</v>
      </c>
      <c r="Q1952" s="4" t="str">
        <f>VLOOKUP($B1952,'D7 - NDB Impacted SPRF''s'!$E$16:$O$9929,10,FALSE)</f>
        <v>N</v>
      </c>
      <c r="R1952" s="4" t="str">
        <f>VLOOKUP($B1952,'D7 - NDB Impacted SPRF''s'!$E$16:$O$9929,11,FALSE)</f>
        <v>N</v>
      </c>
      <c r="S1952" s="8"/>
      <c r="T1952" s="310"/>
      <c r="U1952" s="310"/>
      <c r="V1952" s="4"/>
      <c r="W1952" s="4"/>
      <c r="X1952" s="4"/>
      <c r="Y1952" s="4"/>
      <c r="Z1952" s="4"/>
      <c r="AA1952" s="4"/>
      <c r="AB1952" s="380" t="str">
        <f>VLOOKUP($B1952,'D7 - NDB Impacted SPRF''s'!$E$16:$O$9929,4,FALSE)</f>
        <v>Completed</v>
      </c>
      <c r="AC1952" s="380" t="str">
        <f>VLOOKUP($B1952,'D7 - NDB Impacted SPRF''s'!$E$16:$O$9929,3,FALSE)</f>
        <v>Alliance</v>
      </c>
      <c r="AD1952" s="380" t="str">
        <f>VLOOKUP($B1952,'D7 - NDB Impacted SPRF''s'!$E$16:$O$9929,5,FALSE)</f>
        <v>Medica UNET Conversion</v>
      </c>
      <c r="AE1952" s="380" t="str">
        <f>VLOOKUP($B1952,'D7 - NDB Impacted SPRF''s'!$E$16:$O$9929,7,FALSE)</f>
        <v>Joan Gionfriddo</v>
      </c>
      <c r="AF1952" s="380" t="str">
        <f>VLOOKUP($B1952,'D7 - NDB Impacted SPRF''s'!$E$16:$O$9929,6,FALSE)</f>
        <v>TAYLOR MIRIAM</v>
      </c>
      <c r="AG1952" s="282"/>
      <c r="AH1952" s="311" t="e">
        <f>INDEX('D5 - Gatekeeper - Projects'!$A$4:$AF$1010,$AM1952, 17)</f>
        <v>#N/A</v>
      </c>
      <c r="AI1952" s="8"/>
      <c r="AJ1952" s="57"/>
      <c r="AK1952" s="105"/>
      <c r="AM1952" s="6" t="e">
        <f>MATCH(D1952,'D5 - Gatekeeper - Projects'!$C$4:$C$1010,0)</f>
        <v>#N/A</v>
      </c>
      <c r="AN1952" s="6" t="b">
        <f t="shared" si="209"/>
        <v>1</v>
      </c>
      <c r="AO1952" s="6" t="str">
        <f t="shared" si="211"/>
        <v>OK</v>
      </c>
      <c r="AQ1952" s="6" t="e">
        <f>MATCH($D1952,'D4 - Provider Council Unsched'!$C$11:$C$234,0)</f>
        <v>#N/A</v>
      </c>
      <c r="AR1952" s="6" t="b">
        <f t="shared" si="210"/>
        <v>1</v>
      </c>
      <c r="AS1952" s="6" t="str">
        <f t="shared" si="208"/>
        <v>OK</v>
      </c>
      <c r="AU1952" s="202"/>
      <c r="AV1952" s="262"/>
      <c r="AW1952" s="274"/>
    </row>
    <row r="1953" spans="1:49" s="13" customFormat="1" ht="33.75" x14ac:dyDescent="0.2">
      <c r="A1953" s="14">
        <v>1929</v>
      </c>
      <c r="B1953" s="14">
        <v>400015179</v>
      </c>
      <c r="C1953" s="8" t="s">
        <v>5197</v>
      </c>
      <c r="D1953" s="4" t="str">
        <f t="shared" si="207"/>
        <v>400015179R1</v>
      </c>
      <c r="E1953" s="309" t="str">
        <f>VLOOKUP($B1953,'D7 - NDB Impacted SPRF''s'!$E$6:$O$9929,2,FALSE)</f>
        <v>10/1/07 CMS Quarterly/Annual CMS Updates for MNRP</v>
      </c>
      <c r="F1953" s="8" t="s">
        <v>2114</v>
      </c>
      <c r="G1953" s="8" t="s">
        <v>4758</v>
      </c>
      <c r="H1953" s="8" t="s">
        <v>4246</v>
      </c>
      <c r="I1953" s="20">
        <v>8.41</v>
      </c>
      <c r="J1953" s="8" t="s">
        <v>4862</v>
      </c>
      <c r="K1953" s="182"/>
      <c r="L1953" s="8" t="s">
        <v>4156</v>
      </c>
      <c r="M1953" s="8" t="s">
        <v>2814</v>
      </c>
      <c r="N1953" s="38" t="s">
        <v>3227</v>
      </c>
      <c r="O1953" s="8"/>
      <c r="P1953" s="4" t="str">
        <f>VLOOKUP($B1953,'D7 - NDB Impacted SPRF''s'!$E$16:$O$9929,9,FALSE)</f>
        <v>Y</v>
      </c>
      <c r="Q1953" s="4" t="str">
        <f>VLOOKUP($B1953,'D7 - NDB Impacted SPRF''s'!$E$16:$O$9929,10,FALSE)</f>
        <v>N</v>
      </c>
      <c r="R1953" s="4" t="str">
        <f>VLOOKUP($B1953,'D7 - NDB Impacted SPRF''s'!$E$16:$O$9929,11,FALSE)</f>
        <v>N</v>
      </c>
      <c r="S1953" s="8"/>
      <c r="T1953" s="310"/>
      <c r="U1953" s="310"/>
      <c r="V1953" s="4"/>
      <c r="W1953" s="4"/>
      <c r="X1953" s="4"/>
      <c r="Y1953" s="4"/>
      <c r="Z1953" s="4"/>
      <c r="AA1953" s="4"/>
      <c r="AB1953" s="380" t="str">
        <f>VLOOKUP($B1953,'D7 - NDB Impacted SPRF''s'!$E$16:$O$9929,4,FALSE)</f>
        <v>Completed</v>
      </c>
      <c r="AC1953" s="380" t="str">
        <f>VLOOKUP($B1953,'D7 - NDB Impacted SPRF''s'!$E$16:$O$9929,3,FALSE)</f>
        <v>UnitedHealthcare Employer &amp; Individual</v>
      </c>
      <c r="AD1953" s="380" t="str">
        <f>VLOOKUP($B1953,'D7 - NDB Impacted SPRF''s'!$E$16:$O$9929,5,FALSE)</f>
        <v>Regulatory / Other</v>
      </c>
      <c r="AE1953" s="380" t="str">
        <f>VLOOKUP($B1953,'D7 - NDB Impacted SPRF''s'!$E$16:$O$9929,7,FALSE)</f>
        <v>Mike McDonnell</v>
      </c>
      <c r="AF1953" s="380" t="str">
        <f>VLOOKUP($B1953,'D7 - NDB Impacted SPRF''s'!$E$16:$O$9929,6,FALSE)</f>
        <v>Christine Martin-Peterson</v>
      </c>
      <c r="AG1953" s="282"/>
      <c r="AH1953" s="311" t="e">
        <f>INDEX('D5 - Gatekeeper - Projects'!$A$4:$AF$1010,$AM1953, 17)</f>
        <v>#N/A</v>
      </c>
      <c r="AI1953" s="8"/>
      <c r="AJ1953" s="57"/>
      <c r="AK1953" s="105"/>
      <c r="AM1953" s="6" t="e">
        <f>MATCH(D1953,'D5 - Gatekeeper - Projects'!$C$4:$C$1010,0)</f>
        <v>#N/A</v>
      </c>
      <c r="AN1953" s="6" t="b">
        <f t="shared" si="209"/>
        <v>1</v>
      </c>
      <c r="AO1953" s="6" t="str">
        <f t="shared" si="211"/>
        <v>OK</v>
      </c>
      <c r="AQ1953" s="6" t="e">
        <f>MATCH($D1953,'D4 - Provider Council Unsched'!$C$11:$C$234,0)</f>
        <v>#N/A</v>
      </c>
      <c r="AR1953" s="6" t="b">
        <f t="shared" si="210"/>
        <v>1</v>
      </c>
      <c r="AS1953" s="6" t="str">
        <f t="shared" si="208"/>
        <v>OK</v>
      </c>
      <c r="AU1953" s="202"/>
      <c r="AV1953" s="262"/>
      <c r="AW1953" s="274"/>
    </row>
    <row r="1954" spans="1:49" s="13" customFormat="1" ht="33.75" x14ac:dyDescent="0.2">
      <c r="A1954" s="14">
        <v>1930</v>
      </c>
      <c r="B1954" s="14">
        <v>400015510</v>
      </c>
      <c r="C1954" s="8" t="s">
        <v>1992</v>
      </c>
      <c r="D1954" s="4" t="str">
        <f t="shared" si="207"/>
        <v>400015510U1</v>
      </c>
      <c r="E1954" s="309" t="str">
        <f>VLOOKUP($B1954,'D7 - NDB Impacted SPRF''s'!$E$6:$O$9929,2,FALSE)</f>
        <v>Medica Commercial ET/PC Operational Readiness Test</v>
      </c>
      <c r="F1954" s="8" t="s">
        <v>5196</v>
      </c>
      <c r="G1954" s="8" t="s">
        <v>4758</v>
      </c>
      <c r="H1954" s="8" t="s">
        <v>4246</v>
      </c>
      <c r="I1954" s="20">
        <v>0.27</v>
      </c>
      <c r="J1954" s="8" t="s">
        <v>4862</v>
      </c>
      <c r="K1954" s="182"/>
      <c r="L1954" s="8" t="s">
        <v>4156</v>
      </c>
      <c r="M1954" s="8" t="s">
        <v>5626</v>
      </c>
      <c r="N1954" s="38" t="s">
        <v>4031</v>
      </c>
      <c r="O1954" s="8"/>
      <c r="P1954" s="4" t="str">
        <f>VLOOKUP($B1954,'D7 - NDB Impacted SPRF''s'!$E$16:$O$9929,9,FALSE)</f>
        <v>Y</v>
      </c>
      <c r="Q1954" s="4" t="str">
        <f>VLOOKUP($B1954,'D7 - NDB Impacted SPRF''s'!$E$16:$O$9929,10,FALSE)</f>
        <v>N</v>
      </c>
      <c r="R1954" s="4" t="str">
        <f>VLOOKUP($B1954,'D7 - NDB Impacted SPRF''s'!$E$16:$O$9929,11,FALSE)</f>
        <v>N</v>
      </c>
      <c r="S1954" s="8"/>
      <c r="T1954" s="310"/>
      <c r="U1954" s="310"/>
      <c r="V1954" s="4"/>
      <c r="W1954" s="4"/>
      <c r="X1954" s="4"/>
      <c r="Y1954" s="4"/>
      <c r="Z1954" s="4"/>
      <c r="AA1954" s="4"/>
      <c r="AB1954" s="380" t="str">
        <f>VLOOKUP($B1954,'D7 - NDB Impacted SPRF''s'!$E$16:$O$9929,4,FALSE)</f>
        <v>Completed</v>
      </c>
      <c r="AC1954" s="380" t="str">
        <f>VLOOKUP($B1954,'D7 - NDB Impacted SPRF''s'!$E$16:$O$9929,3,FALSE)</f>
        <v>UnitedHealthcare Employer &amp; Individual</v>
      </c>
      <c r="AD1954" s="380" t="str">
        <f>VLOOKUP($B1954,'D7 - NDB Impacted SPRF''s'!$E$16:$O$9929,5,FALSE)</f>
        <v>HCA - Medica UNET Conversion</v>
      </c>
      <c r="AE1954" s="380" t="str">
        <f>VLOOKUP($B1954,'D7 - NDB Impacted SPRF''s'!$E$16:$O$9929,7,FALSE)</f>
        <v>Diane Schofield</v>
      </c>
      <c r="AF1954" s="380" t="str">
        <f>VLOOKUP($B1954,'D7 - NDB Impacted SPRF''s'!$E$16:$O$9929,6,FALSE)</f>
        <v>Cindy Griggs</v>
      </c>
      <c r="AG1954" s="282"/>
      <c r="AH1954" s="311" t="e">
        <f>INDEX('D5 - Gatekeeper - Projects'!$A$4:$AF$1010,$AM1954, 17)</f>
        <v>#N/A</v>
      </c>
      <c r="AI1954" s="8"/>
      <c r="AJ1954" s="57"/>
      <c r="AK1954" s="105"/>
      <c r="AM1954" s="6" t="e">
        <f>MATCH(D1954,'D5 - Gatekeeper - Projects'!$C$4:$C$1010,0)</f>
        <v>#N/A</v>
      </c>
      <c r="AN1954" s="6" t="b">
        <f t="shared" si="209"/>
        <v>1</v>
      </c>
      <c r="AO1954" s="6" t="str">
        <f t="shared" si="211"/>
        <v>OK</v>
      </c>
      <c r="AQ1954" s="6" t="e">
        <f>MATCH($D1954,'D4 - Provider Council Unsched'!$C$11:$C$234,0)</f>
        <v>#N/A</v>
      </c>
      <c r="AR1954" s="6" t="b">
        <f t="shared" si="210"/>
        <v>1</v>
      </c>
      <c r="AS1954" s="6" t="str">
        <f t="shared" si="208"/>
        <v>OK</v>
      </c>
      <c r="AU1954" s="202"/>
      <c r="AV1954" s="262"/>
      <c r="AW1954" s="274"/>
    </row>
    <row r="1955" spans="1:49" s="13" customFormat="1" x14ac:dyDescent="0.2">
      <c r="A1955" s="14">
        <v>1931</v>
      </c>
      <c r="B1955" s="14">
        <v>400015847</v>
      </c>
      <c r="C1955" s="8" t="s">
        <v>5197</v>
      </c>
      <c r="D1955" s="4" t="str">
        <f t="shared" si="207"/>
        <v>400015847R1</v>
      </c>
      <c r="E1955" s="309" t="e">
        <f>VLOOKUP($B1955,'D7 - NDB Impacted SPRF''s'!$E$6:$O$9929,2,FALSE)</f>
        <v>#N/A</v>
      </c>
      <c r="F1955" s="8" t="s">
        <v>2114</v>
      </c>
      <c r="G1955" s="8" t="s">
        <v>4758</v>
      </c>
      <c r="H1955" s="8" t="s">
        <v>4246</v>
      </c>
      <c r="I1955" s="20"/>
      <c r="J1955" s="8"/>
      <c r="K1955" s="182"/>
      <c r="L1955" s="8" t="s">
        <v>4156</v>
      </c>
      <c r="M1955" s="8" t="s">
        <v>2814</v>
      </c>
      <c r="N1955" s="38"/>
      <c r="O1955" s="8"/>
      <c r="P1955" s="4" t="e">
        <f>VLOOKUP($B1955,'D7 - NDB Impacted SPRF''s'!$E$16:$O$9929,9,FALSE)</f>
        <v>#N/A</v>
      </c>
      <c r="Q1955" s="4" t="e">
        <f>VLOOKUP($B1955,'D7 - NDB Impacted SPRF''s'!$E$16:$O$9929,10,FALSE)</f>
        <v>#N/A</v>
      </c>
      <c r="R1955" s="4" t="e">
        <f>VLOOKUP($B1955,'D7 - NDB Impacted SPRF''s'!$E$16:$O$9929,11,FALSE)</f>
        <v>#N/A</v>
      </c>
      <c r="S1955" s="8"/>
      <c r="T1955" s="310"/>
      <c r="U1955" s="310"/>
      <c r="V1955" s="4"/>
      <c r="W1955" s="4"/>
      <c r="X1955" s="4"/>
      <c r="Y1955" s="4"/>
      <c r="Z1955" s="4"/>
      <c r="AA1955" s="4"/>
      <c r="AB1955" s="380" t="e">
        <f>VLOOKUP($B1955,'D7 - NDB Impacted SPRF''s'!$E$16:$O$9929,4,FALSE)</f>
        <v>#N/A</v>
      </c>
      <c r="AC1955" s="380" t="e">
        <f>VLOOKUP($B1955,'D7 - NDB Impacted SPRF''s'!$E$16:$O$9929,3,FALSE)</f>
        <v>#N/A</v>
      </c>
      <c r="AD1955" s="380" t="e">
        <f>VLOOKUP($B1955,'D7 - NDB Impacted SPRF''s'!$E$16:$O$9929,5,FALSE)</f>
        <v>#N/A</v>
      </c>
      <c r="AE1955" s="380" t="e">
        <f>VLOOKUP($B1955,'D7 - NDB Impacted SPRF''s'!$E$16:$O$9929,7,FALSE)</f>
        <v>#N/A</v>
      </c>
      <c r="AF1955" s="380" t="e">
        <f>VLOOKUP($B1955,'D7 - NDB Impacted SPRF''s'!$E$16:$O$9929,6,FALSE)</f>
        <v>#N/A</v>
      </c>
      <c r="AG1955" s="282"/>
      <c r="AH1955" s="311" t="e">
        <f>INDEX('D5 - Gatekeeper - Projects'!$A$4:$AF$1010,$AM1955, 17)</f>
        <v>#N/A</v>
      </c>
      <c r="AI1955" s="8"/>
      <c r="AJ1955" s="57"/>
      <c r="AK1955" s="105"/>
      <c r="AM1955" s="6" t="e">
        <f>MATCH(D1955,'D5 - Gatekeeper - Projects'!$C$4:$C$1010,0)</f>
        <v>#N/A</v>
      </c>
      <c r="AN1955" s="6" t="b">
        <f t="shared" si="209"/>
        <v>1</v>
      </c>
      <c r="AO1955" s="6" t="str">
        <f t="shared" si="211"/>
        <v>OK</v>
      </c>
      <c r="AQ1955" s="6" t="e">
        <f>MATCH($D1955,'D4 - Provider Council Unsched'!$C$11:$C$234,0)</f>
        <v>#N/A</v>
      </c>
      <c r="AR1955" s="6" t="b">
        <f t="shared" si="210"/>
        <v>1</v>
      </c>
      <c r="AS1955" s="6" t="str">
        <f t="shared" si="208"/>
        <v>OK</v>
      </c>
      <c r="AU1955" s="202"/>
      <c r="AV1955" s="262"/>
      <c r="AW1955" s="274"/>
    </row>
    <row r="1956" spans="1:49" s="13" customFormat="1" ht="22.5" x14ac:dyDescent="0.2">
      <c r="A1956" s="14">
        <v>1932</v>
      </c>
      <c r="B1956" s="14">
        <v>400016834</v>
      </c>
      <c r="C1956" s="8" t="s">
        <v>5197</v>
      </c>
      <c r="D1956" s="4" t="str">
        <f t="shared" si="207"/>
        <v>400016834R1</v>
      </c>
      <c r="E1956" s="309" t="str">
        <f>VLOOKUP($B1956,'D7 - NDB Impacted SPRF''s'!$E$6:$O$9929,2,FALSE)</f>
        <v>Endevor Conversion-PRIME (2007 phase)</v>
      </c>
      <c r="F1956" s="8" t="s">
        <v>2114</v>
      </c>
      <c r="G1956" s="8" t="s">
        <v>4758</v>
      </c>
      <c r="H1956" s="8" t="s">
        <v>4246</v>
      </c>
      <c r="I1956" s="20">
        <v>0.13</v>
      </c>
      <c r="J1956" s="8" t="s">
        <v>4862</v>
      </c>
      <c r="K1956" s="182"/>
      <c r="L1956" s="8" t="s">
        <v>4156</v>
      </c>
      <c r="M1956" s="8" t="s">
        <v>5626</v>
      </c>
      <c r="N1956" s="38" t="s">
        <v>5660</v>
      </c>
      <c r="O1956" s="8"/>
      <c r="P1956" s="4" t="str">
        <f>VLOOKUP($B1956,'D7 - NDB Impacted SPRF''s'!$E$16:$O$9929,9,FALSE)</f>
        <v>Y</v>
      </c>
      <c r="Q1956" s="4" t="str">
        <f>VLOOKUP($B1956,'D7 - NDB Impacted SPRF''s'!$E$16:$O$9929,10,FALSE)</f>
        <v>N</v>
      </c>
      <c r="R1956" s="4" t="str">
        <f>VLOOKUP($B1956,'D7 - NDB Impacted SPRF''s'!$E$16:$O$9929,11,FALSE)</f>
        <v>N</v>
      </c>
      <c r="S1956" s="8"/>
      <c r="T1956" s="310"/>
      <c r="U1956" s="310"/>
      <c r="V1956" s="4"/>
      <c r="W1956" s="4"/>
      <c r="X1956" s="4"/>
      <c r="Y1956" s="4"/>
      <c r="Z1956" s="4"/>
      <c r="AA1956" s="4"/>
      <c r="AB1956" s="380" t="str">
        <f>VLOOKUP($B1956,'D7 - NDB Impacted SPRF''s'!$E$16:$O$9929,4,FALSE)</f>
        <v>Completed</v>
      </c>
      <c r="AC1956" s="380" t="str">
        <f>VLOOKUP($B1956,'D7 - NDB Impacted SPRF''s'!$E$16:$O$9929,3,FALSE)</f>
        <v>Uniprise</v>
      </c>
      <c r="AD1956" s="380" t="str">
        <f>VLOOKUP($B1956,'D7 - NDB Impacted SPRF''s'!$E$16:$O$9929,5,FALSE)</f>
        <v>Uniprise Technologies - DDC</v>
      </c>
      <c r="AE1956" s="380" t="str">
        <f>VLOOKUP($B1956,'D7 - NDB Impacted SPRF''s'!$E$16:$O$9929,7,FALSE)</f>
        <v>Ed Skopas</v>
      </c>
      <c r="AF1956" s="380" t="str">
        <f>VLOOKUP($B1956,'D7 - NDB Impacted SPRF''s'!$E$16:$O$9929,6,FALSE)</f>
        <v>Gail Gretzmacher</v>
      </c>
      <c r="AG1956" s="282"/>
      <c r="AH1956" s="311" t="e">
        <f>INDEX('D5 - Gatekeeper - Projects'!$A$4:$AF$1010,$AM1956, 17)</f>
        <v>#N/A</v>
      </c>
      <c r="AI1956" s="8"/>
      <c r="AJ1956" s="57"/>
      <c r="AK1956" s="105"/>
      <c r="AM1956" s="6" t="e">
        <f>MATCH(D1956,'D5 - Gatekeeper - Projects'!$C$4:$C$1010,0)</f>
        <v>#N/A</v>
      </c>
      <c r="AN1956" s="6" t="b">
        <f t="shared" si="209"/>
        <v>1</v>
      </c>
      <c r="AO1956" s="6" t="str">
        <f t="shared" si="211"/>
        <v>OK</v>
      </c>
      <c r="AQ1956" s="6" t="e">
        <f>MATCH($D1956,'D4 - Provider Council Unsched'!$C$11:$C$234,0)</f>
        <v>#N/A</v>
      </c>
      <c r="AR1956" s="6" t="b">
        <f t="shared" si="210"/>
        <v>1</v>
      </c>
      <c r="AS1956" s="6" t="str">
        <f t="shared" si="208"/>
        <v>OK</v>
      </c>
      <c r="AU1956" s="202"/>
      <c r="AV1956" s="262"/>
      <c r="AW1956" s="274"/>
    </row>
    <row r="1957" spans="1:49" s="13" customFormat="1" ht="22.5" x14ac:dyDescent="0.2">
      <c r="A1957" s="14">
        <v>1933</v>
      </c>
      <c r="B1957" s="14">
        <v>400017173</v>
      </c>
      <c r="C1957" s="8" t="s">
        <v>5197</v>
      </c>
      <c r="D1957" s="4" t="str">
        <f t="shared" si="207"/>
        <v>400017173R1</v>
      </c>
      <c r="E1957" s="309" t="str">
        <f>VLOOKUP($B1957,'D7 - NDB Impacted SPRF''s'!$E$6:$O$9929,2,FALSE)</f>
        <v>B2C to have NDB send daily batch files</v>
      </c>
      <c r="F1957" s="8" t="s">
        <v>2114</v>
      </c>
      <c r="G1957" s="8" t="s">
        <v>4758</v>
      </c>
      <c r="H1957" s="8" t="s">
        <v>4246</v>
      </c>
      <c r="I1957" s="20"/>
      <c r="J1957" s="8"/>
      <c r="K1957" s="182"/>
      <c r="L1957" s="8" t="s">
        <v>4156</v>
      </c>
      <c r="M1957" s="8" t="s">
        <v>6007</v>
      </c>
      <c r="N1957" s="38"/>
      <c r="O1957" s="8"/>
      <c r="P1957" s="4" t="str">
        <f>VLOOKUP($B1957,'D7 - NDB Impacted SPRF''s'!$E$16:$O$9929,9,FALSE)</f>
        <v>N</v>
      </c>
      <c r="Q1957" s="4" t="str">
        <f>VLOOKUP($B1957,'D7 - NDB Impacted SPRF''s'!$E$16:$O$9929,10,FALSE)</f>
        <v>N</v>
      </c>
      <c r="R1957" s="4" t="str">
        <f>VLOOKUP($B1957,'D7 - NDB Impacted SPRF''s'!$E$16:$O$9929,11,FALSE)</f>
        <v>N</v>
      </c>
      <c r="S1957" s="8"/>
      <c r="T1957" s="310"/>
      <c r="U1957" s="310"/>
      <c r="V1957" s="4"/>
      <c r="W1957" s="4"/>
      <c r="X1957" s="4"/>
      <c r="Y1957" s="4"/>
      <c r="Z1957" s="4"/>
      <c r="AA1957" s="4"/>
      <c r="AB1957" s="380" t="str">
        <f>VLOOKUP($B1957,'D7 - NDB Impacted SPRF''s'!$E$16:$O$9929,4,FALSE)</f>
        <v>Completed</v>
      </c>
      <c r="AC1957" s="380" t="str">
        <f>VLOOKUP($B1957,'D7 - NDB Impacted SPRF''s'!$E$16:$O$9929,3,FALSE)</f>
        <v>Uniprise</v>
      </c>
      <c r="AD1957" s="380" t="str">
        <f>VLOOKUP($B1957,'D7 - NDB Impacted SPRF''s'!$E$16:$O$9929,5,FALSE)</f>
        <v>Group Services - Capital Projects</v>
      </c>
      <c r="AE1957" s="380" t="str">
        <f>VLOOKUP($B1957,'D7 - NDB Impacted SPRF''s'!$E$16:$O$9929,7,FALSE)</f>
        <v>Amy Hinrichs</v>
      </c>
      <c r="AF1957" s="380" t="str">
        <f>VLOOKUP($B1957,'D7 - NDB Impacted SPRF''s'!$E$16:$O$9929,6,FALSE)</f>
        <v>William James</v>
      </c>
      <c r="AG1957" s="282"/>
      <c r="AH1957" s="311" t="e">
        <f>INDEX('D5 - Gatekeeper - Projects'!$A$4:$AF$1010,$AM1957, 17)</f>
        <v>#N/A</v>
      </c>
      <c r="AI1957" s="8"/>
      <c r="AJ1957" s="57"/>
      <c r="AK1957" s="105"/>
      <c r="AM1957" s="6" t="e">
        <f>MATCH(D1957,'D5 - Gatekeeper - Projects'!$C$4:$C$1010,0)</f>
        <v>#N/A</v>
      </c>
      <c r="AN1957" s="6" t="b">
        <f t="shared" si="209"/>
        <v>1</v>
      </c>
      <c r="AO1957" s="6" t="str">
        <f t="shared" si="211"/>
        <v>OK</v>
      </c>
      <c r="AQ1957" s="6" t="e">
        <f>MATCH($D1957,'D4 - Provider Council Unsched'!$C$11:$C$234,0)</f>
        <v>#N/A</v>
      </c>
      <c r="AR1957" s="6" t="b">
        <f t="shared" si="210"/>
        <v>1</v>
      </c>
      <c r="AS1957" s="6" t="str">
        <f>IF(AND(H1957="2 - Not Scheduled",AR1957=TRUE,C1957="R1"),"Add","OK")</f>
        <v>OK</v>
      </c>
      <c r="AU1957" s="202"/>
      <c r="AV1957" s="262"/>
      <c r="AW1957" s="274"/>
    </row>
    <row r="1958" spans="1:49" s="13" customFormat="1" ht="22.5" x14ac:dyDescent="0.2">
      <c r="A1958" s="14">
        <v>1934</v>
      </c>
      <c r="B1958" s="14">
        <v>400017329</v>
      </c>
      <c r="C1958" s="8" t="s">
        <v>5197</v>
      </c>
      <c r="D1958" s="4" t="str">
        <f t="shared" si="207"/>
        <v>400017329R1</v>
      </c>
      <c r="E1958" s="309" t="str">
        <f>VLOOKUP($B1958,'D7 - NDB Impacted SPRF''s'!$E$6:$O$9929,2,FALSE)</f>
        <v>Access Profile Update batch</v>
      </c>
      <c r="F1958" s="8" t="s">
        <v>5787</v>
      </c>
      <c r="G1958" s="8" t="s">
        <v>4758</v>
      </c>
      <c r="H1958" s="8" t="s">
        <v>4246</v>
      </c>
      <c r="I1958" s="20"/>
      <c r="J1958" s="8"/>
      <c r="K1958" s="182"/>
      <c r="L1958" s="8" t="s">
        <v>4156</v>
      </c>
      <c r="M1958" s="8" t="s">
        <v>2814</v>
      </c>
      <c r="N1958" s="38"/>
      <c r="O1958" s="8"/>
      <c r="P1958" s="4" t="str">
        <f>VLOOKUP($B1958,'D7 - NDB Impacted SPRF''s'!$E$16:$O$9929,9,FALSE)</f>
        <v>N</v>
      </c>
      <c r="Q1958" s="4" t="str">
        <f>VLOOKUP($B1958,'D7 - NDB Impacted SPRF''s'!$E$16:$O$9929,10,FALSE)</f>
        <v>N</v>
      </c>
      <c r="R1958" s="4" t="str">
        <f>VLOOKUP($B1958,'D7 - NDB Impacted SPRF''s'!$E$16:$O$9929,11,FALSE)</f>
        <v>N</v>
      </c>
      <c r="S1958" s="8"/>
      <c r="T1958" s="310"/>
      <c r="U1958" s="310"/>
      <c r="V1958" s="4"/>
      <c r="W1958" s="4"/>
      <c r="X1958" s="4"/>
      <c r="Y1958" s="4"/>
      <c r="Z1958" s="4"/>
      <c r="AA1958" s="4"/>
      <c r="AB1958" s="380" t="str">
        <f>VLOOKUP($B1958,'D7 - NDB Impacted SPRF''s'!$E$16:$O$9929,4,FALSE)</f>
        <v>Completed</v>
      </c>
      <c r="AC1958" s="380" t="str">
        <f>VLOOKUP($B1958,'D7 - NDB Impacted SPRF''s'!$E$16:$O$9929,3,FALSE)</f>
        <v>Uniprise</v>
      </c>
      <c r="AD1958" s="380" t="str">
        <f>VLOOKUP($B1958,'D7 - NDB Impacted SPRF''s'!$E$16:$O$9929,5,FALSE)</f>
        <v>Group Services - Capital Projects</v>
      </c>
      <c r="AE1958" s="380" t="str">
        <f>VLOOKUP($B1958,'D7 - NDB Impacted SPRF''s'!$E$16:$O$9929,7,FALSE)</f>
        <v>Amy Hinrichs</v>
      </c>
      <c r="AF1958" s="380" t="str">
        <f>VLOOKUP($B1958,'D7 - NDB Impacted SPRF''s'!$E$16:$O$9929,6,FALSE)</f>
        <v>William James</v>
      </c>
      <c r="AG1958" s="282"/>
      <c r="AH1958" s="311" t="e">
        <f>INDEX('D5 - Gatekeeper - Projects'!$A$4:$AF$1010,$AM1958, 17)</f>
        <v>#N/A</v>
      </c>
      <c r="AI1958" s="8"/>
      <c r="AJ1958" s="57"/>
      <c r="AK1958" s="105"/>
      <c r="AM1958" s="6" t="e">
        <f>MATCH(D1958,'D5 - Gatekeeper - Projects'!$C$4:$C$1010,0)</f>
        <v>#N/A</v>
      </c>
      <c r="AN1958" s="6" t="b">
        <f t="shared" si="209"/>
        <v>1</v>
      </c>
      <c r="AO1958" s="6" t="str">
        <f t="shared" si="211"/>
        <v>OK</v>
      </c>
      <c r="AQ1958" s="6" t="e">
        <f>MATCH($D1958,'D4 - Provider Council Unsched'!$C$11:$C$234,0)</f>
        <v>#N/A</v>
      </c>
      <c r="AR1958" s="6" t="b">
        <f t="shared" si="210"/>
        <v>1</v>
      </c>
      <c r="AS1958" s="6" t="str">
        <f>IF(AND(H1958="2 - Not Scheduled",AR1958=TRUE),"Add","OK")</f>
        <v>OK</v>
      </c>
      <c r="AU1958" s="202"/>
      <c r="AV1958" s="262"/>
      <c r="AW1958" s="274"/>
    </row>
    <row r="1959" spans="1:49" s="13" customFormat="1" ht="33.75" x14ac:dyDescent="0.2">
      <c r="A1959" s="14">
        <v>1935</v>
      </c>
      <c r="B1959" s="14">
        <v>400017474</v>
      </c>
      <c r="C1959" s="8" t="s">
        <v>5197</v>
      </c>
      <c r="D1959" s="4" t="str">
        <f t="shared" si="207"/>
        <v>400017474R1</v>
      </c>
      <c r="E1959" s="309" t="str">
        <f>VLOOKUP($B1959,'D7 - NDB Impacted SPRF''s'!$E$6:$O$9929,2,FALSE)</f>
        <v>ACEC Trust</v>
      </c>
      <c r="F1959" s="8" t="s">
        <v>2114</v>
      </c>
      <c r="G1959" s="8" t="s">
        <v>4758</v>
      </c>
      <c r="H1959" s="8" t="s">
        <v>4246</v>
      </c>
      <c r="I1959" s="20"/>
      <c r="J1959" s="8"/>
      <c r="K1959" s="182"/>
      <c r="L1959" s="8" t="s">
        <v>4156</v>
      </c>
      <c r="M1959" s="8" t="s">
        <v>6688</v>
      </c>
      <c r="N1959" s="38" t="s">
        <v>3384</v>
      </c>
      <c r="O1959" s="8"/>
      <c r="P1959" s="4" t="str">
        <f>VLOOKUP($B1959,'D7 - NDB Impacted SPRF''s'!$E$16:$O$9929,9,FALSE)</f>
        <v>Y</v>
      </c>
      <c r="Q1959" s="4" t="str">
        <f>VLOOKUP($B1959,'D7 - NDB Impacted SPRF''s'!$E$16:$O$9929,10,FALSE)</f>
        <v>N</v>
      </c>
      <c r="R1959" s="4" t="str">
        <f>VLOOKUP($B1959,'D7 - NDB Impacted SPRF''s'!$E$16:$O$9929,11,FALSE)</f>
        <v>N</v>
      </c>
      <c r="S1959" s="8"/>
      <c r="T1959" s="310"/>
      <c r="U1959" s="310"/>
      <c r="V1959" s="4"/>
      <c r="W1959" s="4"/>
      <c r="X1959" s="4"/>
      <c r="Y1959" s="4"/>
      <c r="Z1959" s="4"/>
      <c r="AA1959" s="4"/>
      <c r="AB1959" s="380" t="str">
        <f>VLOOKUP($B1959,'D7 - NDB Impacted SPRF''s'!$E$16:$O$9929,4,FALSE)</f>
        <v>Completed</v>
      </c>
      <c r="AC1959" s="380" t="str">
        <f>VLOOKUP($B1959,'D7 - NDB Impacted SPRF''s'!$E$16:$O$9929,3,FALSE)</f>
        <v>UnitedHealthcare Employer &amp; Individual</v>
      </c>
      <c r="AD1959" s="380" t="str">
        <f>VLOOKUP($B1959,'D7 - NDB Impacted SPRF''s'!$E$16:$O$9929,5,FALSE)</f>
        <v>Membership Growth / Revenue Programs</v>
      </c>
      <c r="AE1959" s="380" t="str">
        <f>VLOOKUP($B1959,'D7 - NDB Impacted SPRF''s'!$E$16:$O$9929,7,FALSE)</f>
        <v>Dave Withee</v>
      </c>
      <c r="AF1959" s="380" t="str">
        <f>VLOOKUP($B1959,'D7 - NDB Impacted SPRF''s'!$E$16:$O$9929,6,FALSE)</f>
        <v>Alfredo Penteado</v>
      </c>
      <c r="AG1959" s="282"/>
      <c r="AH1959" s="311" t="e">
        <f>INDEX('D5 - Gatekeeper - Projects'!$A$4:$AF$1010,$AM1959, 17)</f>
        <v>#N/A</v>
      </c>
      <c r="AI1959" s="8"/>
      <c r="AJ1959" s="57"/>
      <c r="AK1959" s="105"/>
      <c r="AM1959" s="6" t="e">
        <f>MATCH(D1959,'D5 - Gatekeeper - Projects'!$C$4:$C$1010,0)</f>
        <v>#N/A</v>
      </c>
      <c r="AN1959" s="6" t="b">
        <f t="shared" si="209"/>
        <v>1</v>
      </c>
      <c r="AO1959" s="6" t="str">
        <f t="shared" si="211"/>
        <v>OK</v>
      </c>
      <c r="AQ1959" s="6" t="e">
        <f>MATCH($D1959,'D4 - Provider Council Unsched'!$C$11:$C$234,0)</f>
        <v>#N/A</v>
      </c>
      <c r="AR1959" s="6" t="b">
        <f t="shared" si="210"/>
        <v>1</v>
      </c>
      <c r="AS1959" s="6" t="str">
        <f>IF(AND(H1959="2 - Not Scheduled",AR1959=TRUE),"Add","OK")</f>
        <v>OK</v>
      </c>
      <c r="AU1959" s="202"/>
      <c r="AV1959" s="262"/>
      <c r="AW1959" s="274"/>
    </row>
    <row r="1960" spans="1:49" s="13" customFormat="1" ht="33.75" x14ac:dyDescent="0.2">
      <c r="A1960" s="14">
        <v>1936</v>
      </c>
      <c r="B1960" s="14">
        <v>400017619</v>
      </c>
      <c r="C1960" s="8" t="s">
        <v>5197</v>
      </c>
      <c r="D1960" s="4" t="str">
        <f t="shared" si="207"/>
        <v>400017619R1</v>
      </c>
      <c r="E1960" s="309" t="str">
        <f>VLOOKUP($B1960,'D7 - NDB Impacted SPRF''s'!$E$6:$O$9929,2,FALSE)</f>
        <v>work orders 2007</v>
      </c>
      <c r="F1960" s="8" t="s">
        <v>2114</v>
      </c>
      <c r="G1960" s="8" t="s">
        <v>4758</v>
      </c>
      <c r="H1960" s="8" t="s">
        <v>4246</v>
      </c>
      <c r="I1960" s="20">
        <v>1.07</v>
      </c>
      <c r="J1960" s="8" t="s">
        <v>4862</v>
      </c>
      <c r="K1960" s="182"/>
      <c r="L1960" s="8" t="s">
        <v>4156</v>
      </c>
      <c r="M1960" s="8" t="s">
        <v>2814</v>
      </c>
      <c r="N1960" s="38" t="s">
        <v>6242</v>
      </c>
      <c r="O1960" s="8"/>
      <c r="P1960" s="4" t="str">
        <f>VLOOKUP($B1960,'D7 - NDB Impacted SPRF''s'!$E$16:$O$9929,9,FALSE)</f>
        <v>N</v>
      </c>
      <c r="Q1960" s="4" t="str">
        <f>VLOOKUP($B1960,'D7 - NDB Impacted SPRF''s'!$E$16:$O$9929,10,FALSE)</f>
        <v>N</v>
      </c>
      <c r="R1960" s="4" t="str">
        <f>VLOOKUP($B1960,'D7 - NDB Impacted SPRF''s'!$E$16:$O$9929,11,FALSE)</f>
        <v>N</v>
      </c>
      <c r="S1960" s="8"/>
      <c r="T1960" s="310"/>
      <c r="U1960" s="310"/>
      <c r="V1960" s="4"/>
      <c r="W1960" s="4"/>
      <c r="X1960" s="4"/>
      <c r="Y1960" s="4"/>
      <c r="Z1960" s="4"/>
      <c r="AA1960" s="4"/>
      <c r="AB1960" s="380" t="str">
        <f>VLOOKUP($B1960,'D7 - NDB Impacted SPRF''s'!$E$16:$O$9929,4,FALSE)</f>
        <v>Completed</v>
      </c>
      <c r="AC1960" s="380" t="str">
        <f>VLOOKUP($B1960,'D7 - NDB Impacted SPRF''s'!$E$16:$O$9929,3,FALSE)</f>
        <v>UnitedHealthcare Employer &amp; Individual</v>
      </c>
      <c r="AD1960" s="380" t="str">
        <f>VLOOKUP($B1960,'D7 - NDB Impacted SPRF''s'!$E$16:$O$9929,5,FALSE)</f>
        <v>Network Growth / Enhancements</v>
      </c>
      <c r="AE1960" s="380" t="str">
        <f>VLOOKUP($B1960,'D7 - NDB Impacted SPRF''s'!$E$16:$O$9929,7,FALSE)</f>
        <v>dom furfari</v>
      </c>
      <c r="AF1960" s="380" t="str">
        <f>VLOOKUP($B1960,'D7 - NDB Impacted SPRF''s'!$E$16:$O$9929,6,FALSE)</f>
        <v>Joyce Valentukonis</v>
      </c>
      <c r="AG1960" s="282"/>
      <c r="AH1960" s="311" t="e">
        <f>INDEX('D5 - Gatekeeper - Projects'!$A$4:$AF$1010,$AM1960, 17)</f>
        <v>#N/A</v>
      </c>
      <c r="AI1960" s="8"/>
      <c r="AJ1960" s="57"/>
      <c r="AK1960" s="105"/>
      <c r="AM1960" s="6" t="e">
        <f>MATCH(D1960,'D5 - Gatekeeper - Projects'!$C$4:$C$1010,0)</f>
        <v>#N/A</v>
      </c>
      <c r="AN1960" s="6" t="b">
        <f t="shared" si="209"/>
        <v>1</v>
      </c>
      <c r="AO1960" s="6" t="str">
        <f t="shared" si="211"/>
        <v>OK</v>
      </c>
      <c r="AQ1960" s="6" t="e">
        <f>MATCH($D1960,'D4 - Provider Council Unsched'!$C$11:$C$234,0)</f>
        <v>#N/A</v>
      </c>
      <c r="AR1960" s="6" t="b">
        <f t="shared" si="210"/>
        <v>1</v>
      </c>
      <c r="AS1960" s="6" t="str">
        <f>IF(AND(H1960="2 - Not Scheduled",AR1960=TRUE),"Add","OK")</f>
        <v>OK</v>
      </c>
      <c r="AU1960" s="202"/>
      <c r="AV1960" s="262"/>
      <c r="AW1960" s="274"/>
    </row>
    <row r="1961" spans="1:49" s="13" customFormat="1" ht="33.75" x14ac:dyDescent="0.2">
      <c r="A1961" s="14">
        <v>1937</v>
      </c>
      <c r="B1961" s="14">
        <v>400017672</v>
      </c>
      <c r="C1961" s="8" t="s">
        <v>5197</v>
      </c>
      <c r="D1961" s="4" t="str">
        <f t="shared" si="207"/>
        <v>400017672R1</v>
      </c>
      <c r="E1961" s="309" t="str">
        <f>VLOOKUP($B1961,'D7 - NDB Impacted SPRF''s'!$E$6:$O$9929,2,FALSE)</f>
        <v>HCA - Super User Access on Employer Portal</v>
      </c>
      <c r="F1961" s="8" t="s">
        <v>5196</v>
      </c>
      <c r="G1961" s="8" t="s">
        <v>4758</v>
      </c>
      <c r="H1961" s="8" t="s">
        <v>4246</v>
      </c>
      <c r="I1961" s="20">
        <f>160/150</f>
        <v>1.0666666666666667</v>
      </c>
      <c r="J1961" s="8" t="s">
        <v>4862</v>
      </c>
      <c r="K1961" s="182"/>
      <c r="L1961" s="8" t="s">
        <v>4156</v>
      </c>
      <c r="M1961" s="8" t="s">
        <v>2814</v>
      </c>
      <c r="N1961" s="38" t="s">
        <v>6242</v>
      </c>
      <c r="O1961" s="8"/>
      <c r="P1961" s="4" t="str">
        <f>VLOOKUP($B1961,'D7 - NDB Impacted SPRF''s'!$E$16:$O$9929,9,FALSE)</f>
        <v>Y</v>
      </c>
      <c r="Q1961" s="4" t="str">
        <f>VLOOKUP($B1961,'D7 - NDB Impacted SPRF''s'!$E$16:$O$9929,10,FALSE)</f>
        <v>N</v>
      </c>
      <c r="R1961" s="4" t="str">
        <f>VLOOKUP($B1961,'D7 - NDB Impacted SPRF''s'!$E$16:$O$9929,11,FALSE)</f>
        <v>N</v>
      </c>
      <c r="S1961" s="8"/>
      <c r="T1961" s="310"/>
      <c r="U1961" s="310"/>
      <c r="V1961" s="4"/>
      <c r="W1961" s="4"/>
      <c r="X1961" s="4"/>
      <c r="Y1961" s="4"/>
      <c r="Z1961" s="4"/>
      <c r="AA1961" s="4"/>
      <c r="AB1961" s="380" t="str">
        <f>VLOOKUP($B1961,'D7 - NDB Impacted SPRF''s'!$E$16:$O$9929,4,FALSE)</f>
        <v>Completed</v>
      </c>
      <c r="AC1961" s="380" t="str">
        <f>VLOOKUP($B1961,'D7 - NDB Impacted SPRF''s'!$E$16:$O$9929,3,FALSE)</f>
        <v>UnitedHealthcare Employer &amp; Individual</v>
      </c>
      <c r="AD1961" s="380" t="str">
        <f>VLOOKUP($B1961,'D7 - NDB Impacted SPRF''s'!$E$16:$O$9929,5,FALSE)</f>
        <v>Healthcare Service Alliance</v>
      </c>
      <c r="AE1961" s="380" t="str">
        <f>VLOOKUP($B1961,'D7 - NDB Impacted SPRF''s'!$E$16:$O$9929,7,FALSE)</f>
        <v>Diane Schofiled</v>
      </c>
      <c r="AF1961" s="380" t="str">
        <f>VLOOKUP($B1961,'D7 - NDB Impacted SPRF''s'!$E$16:$O$9929,6,FALSE)</f>
        <v>SARAH HAROLD</v>
      </c>
      <c r="AG1961" s="282"/>
      <c r="AH1961" s="311" t="e">
        <f>INDEX('D5 - Gatekeeper - Projects'!$A$4:$AF$1010,$AM1961, 17)</f>
        <v>#N/A</v>
      </c>
      <c r="AI1961" s="8"/>
      <c r="AJ1961" s="57"/>
      <c r="AK1961" s="105"/>
      <c r="AM1961" s="6" t="e">
        <f>MATCH(D1961,'D5 - Gatekeeper - Projects'!$C$4:$C$1010,0)</f>
        <v>#N/A</v>
      </c>
      <c r="AN1961" s="6" t="b">
        <f t="shared" si="209"/>
        <v>1</v>
      </c>
      <c r="AO1961" s="6" t="str">
        <f t="shared" si="211"/>
        <v>OK</v>
      </c>
      <c r="AQ1961" s="6" t="e">
        <f>MATCH($D1961,'D4 - Provider Council Unsched'!$C$11:$C$234,0)</f>
        <v>#N/A</v>
      </c>
      <c r="AR1961" s="6" t="b">
        <f t="shared" si="210"/>
        <v>1</v>
      </c>
      <c r="AS1961" s="6" t="str">
        <f>IF(AND(H1961="2 - Not Scheduled",AR1961=TRUE),"Add","OK")</f>
        <v>OK</v>
      </c>
      <c r="AU1961" s="202"/>
      <c r="AV1961" s="262"/>
      <c r="AW1961" s="274"/>
    </row>
    <row r="1962" spans="1:49" s="13" customFormat="1" ht="45" x14ac:dyDescent="0.2">
      <c r="A1962" s="14">
        <v>1938</v>
      </c>
      <c r="B1962" s="14">
        <v>400017806</v>
      </c>
      <c r="C1962" s="8" t="s">
        <v>5197</v>
      </c>
      <c r="D1962" s="4" t="str">
        <f t="shared" si="207"/>
        <v>400017806R1</v>
      </c>
      <c r="E1962" s="309" t="str">
        <f>VLOOKUP($B1962,'D7 - NDB Impacted SPRF''s'!$E$6:$O$9929,2,FALSE)</f>
        <v>COSMOS Port - UNISYS to IBM</v>
      </c>
      <c r="F1962" s="8" t="s">
        <v>5787</v>
      </c>
      <c r="G1962" s="8" t="s">
        <v>4758</v>
      </c>
      <c r="H1962" s="8" t="s">
        <v>4246</v>
      </c>
      <c r="I1962" s="20">
        <f>240/160</f>
        <v>1.5</v>
      </c>
      <c r="J1962" s="8" t="s">
        <v>4862</v>
      </c>
      <c r="K1962" s="182"/>
      <c r="L1962" s="8" t="s">
        <v>4156</v>
      </c>
      <c r="M1962" s="8" t="s">
        <v>5626</v>
      </c>
      <c r="N1962" s="38" t="s">
        <v>5636</v>
      </c>
      <c r="O1962" s="8"/>
      <c r="P1962" s="4" t="str">
        <f>VLOOKUP($B1962,'D7 - NDB Impacted SPRF''s'!$E$16:$O$9929,9,FALSE)</f>
        <v>Y</v>
      </c>
      <c r="Q1962" s="4" t="str">
        <f>VLOOKUP($B1962,'D7 - NDB Impacted SPRF''s'!$E$16:$O$9929,10,FALSE)</f>
        <v>N</v>
      </c>
      <c r="R1962" s="4" t="str">
        <f>VLOOKUP($B1962,'D7 - NDB Impacted SPRF''s'!$E$16:$O$9929,11,FALSE)</f>
        <v>N</v>
      </c>
      <c r="S1962" s="8"/>
      <c r="T1962" s="310"/>
      <c r="U1962" s="310"/>
      <c r="V1962" s="4"/>
      <c r="W1962" s="4"/>
      <c r="X1962" s="4"/>
      <c r="Y1962" s="4"/>
      <c r="Z1962" s="4"/>
      <c r="AA1962" s="4"/>
      <c r="AB1962" s="380" t="str">
        <f>VLOOKUP($B1962,'D7 - NDB Impacted SPRF''s'!$E$16:$O$9929,4,FALSE)</f>
        <v>Completed</v>
      </c>
      <c r="AC1962" s="380" t="str">
        <f>VLOOKUP($B1962,'D7 - NDB Impacted SPRF''s'!$E$16:$O$9929,3,FALSE)</f>
        <v>UHG IT - Enterprise Technology Services</v>
      </c>
      <c r="AD1962" s="380" t="str">
        <f>VLOOKUP($B1962,'D7 - NDB Impacted SPRF''s'!$E$16:$O$9929,5,FALSE)</f>
        <v>UHG IT - CS</v>
      </c>
      <c r="AE1962" s="380" t="str">
        <f>VLOOKUP($B1962,'D7 - NDB Impacted SPRF''s'!$E$16:$O$9929,7,FALSE)</f>
        <v>John Santelli</v>
      </c>
      <c r="AF1962" s="380" t="str">
        <f>VLOOKUP($B1962,'D7 - NDB Impacted SPRF''s'!$E$16:$O$9929,6,FALSE)</f>
        <v>Ganapathy Venkataraman</v>
      </c>
      <c r="AG1962" s="282"/>
      <c r="AH1962" s="311" t="e">
        <f>INDEX('D5 - Gatekeeper - Projects'!$A$4:$AF$1010,$AM1962, 17)</f>
        <v>#N/A</v>
      </c>
      <c r="AI1962" s="8"/>
      <c r="AJ1962" s="57"/>
      <c r="AK1962" s="105"/>
      <c r="AM1962" s="6" t="e">
        <f>MATCH(D1962,'D5 - Gatekeeper - Projects'!$C$4:$C$1010,0)</f>
        <v>#N/A</v>
      </c>
      <c r="AN1962" s="6" t="b">
        <f t="shared" si="209"/>
        <v>1</v>
      </c>
      <c r="AO1962" s="6" t="str">
        <f t="shared" si="211"/>
        <v>OK</v>
      </c>
      <c r="AQ1962" s="6" t="e">
        <f>MATCH($D1962,'D4 - Provider Council Unsched'!$C$11:$C$234,0)</f>
        <v>#N/A</v>
      </c>
      <c r="AR1962" s="6" t="b">
        <f t="shared" si="210"/>
        <v>1</v>
      </c>
      <c r="AS1962" s="6" t="str">
        <f>IF(AND(H1962="2 - Not Scheduled",AR1962=TRUE,C1962="R1"),"Add","OK")</f>
        <v>OK</v>
      </c>
      <c r="AU1962" s="202"/>
      <c r="AV1962" s="262"/>
      <c r="AW1962" s="274"/>
    </row>
    <row r="1963" spans="1:49" s="13" customFormat="1" x14ac:dyDescent="0.2">
      <c r="A1963" s="14">
        <v>1939</v>
      </c>
      <c r="B1963" s="14">
        <v>400017917</v>
      </c>
      <c r="C1963" s="8" t="s">
        <v>5197</v>
      </c>
      <c r="D1963" s="4" t="str">
        <f t="shared" si="207"/>
        <v>400017917R1</v>
      </c>
      <c r="E1963" s="309" t="e">
        <f>VLOOKUP($B1963,'D7 - NDB Impacted SPRF''s'!$E$6:$O$9929,2,FALSE)</f>
        <v>#N/A</v>
      </c>
      <c r="F1963" s="8" t="s">
        <v>2114</v>
      </c>
      <c r="G1963" s="8" t="s">
        <v>4758</v>
      </c>
      <c r="H1963" s="8" t="s">
        <v>4246</v>
      </c>
      <c r="I1963" s="20"/>
      <c r="J1963" s="8"/>
      <c r="K1963" s="182"/>
      <c r="L1963" s="8" t="s">
        <v>4156</v>
      </c>
      <c r="M1963" s="8" t="s">
        <v>2814</v>
      </c>
      <c r="N1963" s="38"/>
      <c r="O1963" s="8"/>
      <c r="P1963" s="4" t="e">
        <f>VLOOKUP($B1963,'D7 - NDB Impacted SPRF''s'!$E$16:$O$9929,9,FALSE)</f>
        <v>#N/A</v>
      </c>
      <c r="Q1963" s="4" t="e">
        <f>VLOOKUP($B1963,'D7 - NDB Impacted SPRF''s'!$E$16:$O$9929,10,FALSE)</f>
        <v>#N/A</v>
      </c>
      <c r="R1963" s="4" t="e">
        <f>VLOOKUP($B1963,'D7 - NDB Impacted SPRF''s'!$E$16:$O$9929,11,FALSE)</f>
        <v>#N/A</v>
      </c>
      <c r="S1963" s="8"/>
      <c r="T1963" s="310"/>
      <c r="U1963" s="310"/>
      <c r="V1963" s="4"/>
      <c r="W1963" s="4"/>
      <c r="X1963" s="4"/>
      <c r="Y1963" s="4"/>
      <c r="Z1963" s="4"/>
      <c r="AA1963" s="4"/>
      <c r="AB1963" s="380" t="e">
        <f>VLOOKUP($B1963,'D7 - NDB Impacted SPRF''s'!$E$16:$O$9929,4,FALSE)</f>
        <v>#N/A</v>
      </c>
      <c r="AC1963" s="380" t="e">
        <f>VLOOKUP($B1963,'D7 - NDB Impacted SPRF''s'!$E$16:$O$9929,3,FALSE)</f>
        <v>#N/A</v>
      </c>
      <c r="AD1963" s="380" t="e">
        <f>VLOOKUP($B1963,'D7 - NDB Impacted SPRF''s'!$E$16:$O$9929,5,FALSE)</f>
        <v>#N/A</v>
      </c>
      <c r="AE1963" s="380" t="e">
        <f>VLOOKUP($B1963,'D7 - NDB Impacted SPRF''s'!$E$16:$O$9929,7,FALSE)</f>
        <v>#N/A</v>
      </c>
      <c r="AF1963" s="380" t="e">
        <f>VLOOKUP($B1963,'D7 - NDB Impacted SPRF''s'!$E$16:$O$9929,6,FALSE)</f>
        <v>#N/A</v>
      </c>
      <c r="AG1963" s="282"/>
      <c r="AH1963" s="311" t="e">
        <f>INDEX('D5 - Gatekeeper - Projects'!$A$4:$AF$1010,$AM1963, 17)</f>
        <v>#N/A</v>
      </c>
      <c r="AI1963" s="8"/>
      <c r="AJ1963" s="57"/>
      <c r="AK1963" s="105"/>
      <c r="AM1963" s="6" t="e">
        <f>MATCH(D1963,'D5 - Gatekeeper - Projects'!$C$4:$C$1010,0)</f>
        <v>#N/A</v>
      </c>
      <c r="AN1963" s="6" t="b">
        <f t="shared" si="209"/>
        <v>1</v>
      </c>
      <c r="AO1963" s="6" t="str">
        <f t="shared" si="211"/>
        <v>OK</v>
      </c>
      <c r="AQ1963" s="6" t="e">
        <f>MATCH($D1963,'D4 - Provider Council Unsched'!$C$11:$C$234,0)</f>
        <v>#N/A</v>
      </c>
      <c r="AR1963" s="6" t="b">
        <f t="shared" si="210"/>
        <v>1</v>
      </c>
      <c r="AS1963" s="6" t="str">
        <f>IF(AND(H1963="2 - Not Scheduled",AR1963=TRUE),"Add","OK")</f>
        <v>OK</v>
      </c>
      <c r="AU1963" s="202"/>
      <c r="AV1963" s="262"/>
      <c r="AW1963" s="274"/>
    </row>
    <row r="1964" spans="1:49" s="13" customFormat="1" ht="33.75" x14ac:dyDescent="0.2">
      <c r="A1964" s="14">
        <v>1940</v>
      </c>
      <c r="B1964" s="14">
        <v>400018187</v>
      </c>
      <c r="C1964" s="8" t="s">
        <v>5197</v>
      </c>
      <c r="D1964" s="4" t="str">
        <f t="shared" si="207"/>
        <v>400018187R1</v>
      </c>
      <c r="E1964" s="309" t="str">
        <f>VLOOKUP($B1964,'D7 - NDB Impacted SPRF''s'!$E$6:$O$9929,2,FALSE)</f>
        <v>NHP High Level GHMO Product Development Costs</v>
      </c>
      <c r="F1964" s="8" t="s">
        <v>3248</v>
      </c>
      <c r="G1964" s="8" t="s">
        <v>4758</v>
      </c>
      <c r="H1964" s="8" t="s">
        <v>4246</v>
      </c>
      <c r="I1964" s="20"/>
      <c r="J1964" s="8"/>
      <c r="K1964" s="182"/>
      <c r="L1964" s="8" t="s">
        <v>4156</v>
      </c>
      <c r="M1964" s="8" t="s">
        <v>6688</v>
      </c>
      <c r="N1964" s="38"/>
      <c r="O1964" s="8"/>
      <c r="P1964" s="4" t="str">
        <f>VLOOKUP($B1964,'D7 - NDB Impacted SPRF''s'!$E$16:$O$9929,9,FALSE)</f>
        <v>Y</v>
      </c>
      <c r="Q1964" s="4" t="str">
        <f>VLOOKUP($B1964,'D7 - NDB Impacted SPRF''s'!$E$16:$O$9929,10,FALSE)</f>
        <v>N</v>
      </c>
      <c r="R1964" s="4" t="str">
        <f>VLOOKUP($B1964,'D7 - NDB Impacted SPRF''s'!$E$16:$O$9929,11,FALSE)</f>
        <v>N</v>
      </c>
      <c r="S1964" s="8"/>
      <c r="T1964" s="310"/>
      <c r="U1964" s="310"/>
      <c r="V1964" s="4"/>
      <c r="W1964" s="4"/>
      <c r="X1964" s="4"/>
      <c r="Y1964" s="4"/>
      <c r="Z1964" s="4"/>
      <c r="AA1964" s="4"/>
      <c r="AB1964" s="380" t="str">
        <f>VLOOKUP($B1964,'D7 - NDB Impacted SPRF''s'!$E$16:$O$9929,4,FALSE)</f>
        <v>Completed</v>
      </c>
      <c r="AC1964" s="380" t="str">
        <f>VLOOKUP($B1964,'D7 - NDB Impacted SPRF''s'!$E$16:$O$9929,3,FALSE)</f>
        <v>UnitedHealthcare Employer &amp; Individual</v>
      </c>
      <c r="AD1964" s="380" t="str">
        <f>VLOOKUP($B1964,'D7 - NDB Impacted SPRF''s'!$E$16:$O$9929,5,FALSE)</f>
        <v>Integration Requirements</v>
      </c>
      <c r="AE1964" s="380" t="str">
        <f>VLOOKUP($B1964,'D7 - NDB Impacted SPRF''s'!$E$16:$O$9929,7,FALSE)</f>
        <v>Diane Schofield</v>
      </c>
      <c r="AF1964" s="380" t="str">
        <f>VLOOKUP($B1964,'D7 - NDB Impacted SPRF''s'!$E$16:$O$9929,6,FALSE)</f>
        <v>SUSAN TONKIN</v>
      </c>
      <c r="AG1964" s="282"/>
      <c r="AH1964" s="311" t="e">
        <f>INDEX('D5 - Gatekeeper - Projects'!$A$4:$AF$1010,$AM1964, 17)</f>
        <v>#N/A</v>
      </c>
      <c r="AI1964" s="8"/>
      <c r="AJ1964" s="57"/>
      <c r="AK1964" s="105"/>
      <c r="AM1964" s="6" t="e">
        <f>MATCH(D1964,'D5 - Gatekeeper - Projects'!$C$4:$C$1010,0)</f>
        <v>#N/A</v>
      </c>
      <c r="AN1964" s="6" t="b">
        <f t="shared" si="209"/>
        <v>1</v>
      </c>
      <c r="AO1964" s="6" t="str">
        <f t="shared" si="211"/>
        <v>OK</v>
      </c>
      <c r="AQ1964" s="6" t="e">
        <f>MATCH($D1964,'D4 - Provider Council Unsched'!$C$11:$C$234,0)</f>
        <v>#N/A</v>
      </c>
      <c r="AR1964" s="6" t="b">
        <f t="shared" si="210"/>
        <v>1</v>
      </c>
      <c r="AS1964" s="6" t="str">
        <f>IF(AND(H1964="2 - Not Scheduled",AR1964=TRUE,C1964="R1"),"Add","OK")</f>
        <v>OK</v>
      </c>
      <c r="AU1964" s="202"/>
      <c r="AV1964" s="262"/>
      <c r="AW1964" s="274"/>
    </row>
    <row r="1965" spans="1:49" s="13" customFormat="1" ht="33.75" x14ac:dyDescent="0.2">
      <c r="A1965" s="14">
        <v>1941</v>
      </c>
      <c r="B1965" s="14">
        <v>400018188</v>
      </c>
      <c r="C1965" s="8" t="s">
        <v>5197</v>
      </c>
      <c r="D1965" s="4" t="str">
        <f t="shared" si="207"/>
        <v>400018188R1</v>
      </c>
      <c r="E1965" s="309" t="str">
        <f>VLOOKUP($B1965,'D7 - NDB Impacted SPRF''s'!$E$6:$O$9929,2,FALSE)</f>
        <v xml:space="preserve">JDHP GHMO High Level Development Costs </v>
      </c>
      <c r="F1965" s="8" t="s">
        <v>4302</v>
      </c>
      <c r="G1965" s="8" t="s">
        <v>4758</v>
      </c>
      <c r="H1965" s="8" t="s">
        <v>4246</v>
      </c>
      <c r="I1965" s="20"/>
      <c r="J1965" s="8"/>
      <c r="K1965" s="182"/>
      <c r="L1965" s="8" t="s">
        <v>4156</v>
      </c>
      <c r="M1965" s="8" t="s">
        <v>6688</v>
      </c>
      <c r="N1965" s="38"/>
      <c r="O1965" s="8"/>
      <c r="P1965" s="4" t="str">
        <f>VLOOKUP($B1965,'D7 - NDB Impacted SPRF''s'!$E$16:$O$9929,9,FALSE)</f>
        <v>Y</v>
      </c>
      <c r="Q1965" s="4" t="str">
        <f>VLOOKUP($B1965,'D7 - NDB Impacted SPRF''s'!$E$16:$O$9929,10,FALSE)</f>
        <v>N</v>
      </c>
      <c r="R1965" s="4" t="str">
        <f>VLOOKUP($B1965,'D7 - NDB Impacted SPRF''s'!$E$16:$O$9929,11,FALSE)</f>
        <v>N</v>
      </c>
      <c r="S1965" s="8"/>
      <c r="T1965" s="310"/>
      <c r="U1965" s="310"/>
      <c r="V1965" s="4"/>
      <c r="W1965" s="4"/>
      <c r="X1965" s="4"/>
      <c r="Y1965" s="4"/>
      <c r="Z1965" s="4"/>
      <c r="AA1965" s="4"/>
      <c r="AB1965" s="380" t="str">
        <f>VLOOKUP($B1965,'D7 - NDB Impacted SPRF''s'!$E$16:$O$9929,4,FALSE)</f>
        <v>Completed</v>
      </c>
      <c r="AC1965" s="380" t="str">
        <f>VLOOKUP($B1965,'D7 - NDB Impacted SPRF''s'!$E$16:$O$9929,3,FALSE)</f>
        <v>UnitedHealthcare Employer &amp; Individual</v>
      </c>
      <c r="AD1965" s="380" t="str">
        <f>VLOOKUP($B1965,'D7 - NDB Impacted SPRF''s'!$E$16:$O$9929,5,FALSE)</f>
        <v>Integration Requirements</v>
      </c>
      <c r="AE1965" s="380" t="str">
        <f>VLOOKUP($B1965,'D7 - NDB Impacted SPRF''s'!$E$16:$O$9929,7,FALSE)</f>
        <v>Diane Schofield</v>
      </c>
      <c r="AF1965" s="380" t="str">
        <f>VLOOKUP($B1965,'D7 - NDB Impacted SPRF''s'!$E$16:$O$9929,6,FALSE)</f>
        <v>SUSAN TONKIN</v>
      </c>
      <c r="AG1965" s="282"/>
      <c r="AH1965" s="311" t="e">
        <f>INDEX('D5 - Gatekeeper - Projects'!$A$4:$AF$1010,$AM1965, 17)</f>
        <v>#N/A</v>
      </c>
      <c r="AI1965" s="8"/>
      <c r="AJ1965" s="57"/>
      <c r="AK1965" s="105"/>
      <c r="AM1965" s="6" t="e">
        <f>MATCH(D1965,'D5 - Gatekeeper - Projects'!$C$4:$C$1010,0)</f>
        <v>#N/A</v>
      </c>
      <c r="AN1965" s="6" t="b">
        <f t="shared" si="209"/>
        <v>1</v>
      </c>
      <c r="AO1965" s="6" t="str">
        <f t="shared" si="211"/>
        <v>OK</v>
      </c>
      <c r="AQ1965" s="6" t="e">
        <f>MATCH($D1965,'D4 - Provider Council Unsched'!$C$11:$C$234,0)</f>
        <v>#N/A</v>
      </c>
      <c r="AR1965" s="6" t="b">
        <f t="shared" si="210"/>
        <v>1</v>
      </c>
      <c r="AS1965" s="6" t="str">
        <f>IF(AND(H1965="2 - Not Scheduled",AR1965=TRUE,C1965="R1"),"Add","OK")</f>
        <v>OK</v>
      </c>
      <c r="AU1965" s="202"/>
      <c r="AV1965" s="262"/>
      <c r="AW1965" s="274"/>
    </row>
    <row r="1966" spans="1:49" s="13" customFormat="1" ht="33.75" x14ac:dyDescent="0.2">
      <c r="A1966" s="14">
        <v>1942</v>
      </c>
      <c r="B1966" s="14">
        <v>400018662</v>
      </c>
      <c r="C1966" s="8" t="s">
        <v>5197</v>
      </c>
      <c r="D1966" s="4" t="str">
        <f t="shared" si="207"/>
        <v>400018662R1</v>
      </c>
      <c r="E1966" s="309" t="str">
        <f>VLOOKUP($B1966,'D7 - NDB Impacted SPRF''s'!$E$6:$O$9929,2,FALSE)</f>
        <v>HIT Electronic Notifications</v>
      </c>
      <c r="F1966" s="8" t="s">
        <v>2114</v>
      </c>
      <c r="G1966" s="8" t="s">
        <v>4758</v>
      </c>
      <c r="H1966" s="8" t="s">
        <v>4246</v>
      </c>
      <c r="I1966" s="20"/>
      <c r="J1966" s="8"/>
      <c r="K1966" s="182"/>
      <c r="L1966" s="8" t="s">
        <v>4156</v>
      </c>
      <c r="M1966" s="8" t="s">
        <v>2814</v>
      </c>
      <c r="N1966" s="38"/>
      <c r="O1966" s="8"/>
      <c r="P1966" s="4" t="str">
        <f>VLOOKUP($B1966,'D7 - NDB Impacted SPRF''s'!$E$16:$O$9929,9,FALSE)</f>
        <v>Y</v>
      </c>
      <c r="Q1966" s="4" t="str">
        <f>VLOOKUP($B1966,'D7 - NDB Impacted SPRF''s'!$E$16:$O$9929,10,FALSE)</f>
        <v>N</v>
      </c>
      <c r="R1966" s="4" t="str">
        <f>VLOOKUP($B1966,'D7 - NDB Impacted SPRF''s'!$E$16:$O$9929,11,FALSE)</f>
        <v>N</v>
      </c>
      <c r="S1966" s="8"/>
      <c r="T1966" s="310"/>
      <c r="U1966" s="310"/>
      <c r="V1966" s="4"/>
      <c r="W1966" s="4"/>
      <c r="X1966" s="4"/>
      <c r="Y1966" s="4"/>
      <c r="Z1966" s="4"/>
      <c r="AA1966" s="4"/>
      <c r="AB1966" s="380" t="str">
        <f>VLOOKUP($B1966,'D7 - NDB Impacted SPRF''s'!$E$16:$O$9929,4,FALSE)</f>
        <v>Completed</v>
      </c>
      <c r="AC1966" s="380" t="str">
        <f>VLOOKUP($B1966,'D7 - NDB Impacted SPRF''s'!$E$16:$O$9929,3,FALSE)</f>
        <v>UnitedHealthcare Employer &amp; Individual</v>
      </c>
      <c r="AD1966" s="380" t="str">
        <f>VLOOKUP($B1966,'D7 - NDB Impacted SPRF''s'!$E$16:$O$9929,5,FALSE)</f>
        <v>Process Improvement</v>
      </c>
      <c r="AE1966" s="380" t="str">
        <f>VLOOKUP($B1966,'D7 - NDB Impacted SPRF''s'!$E$16:$O$9929,7,FALSE)</f>
        <v>Paul Conlin</v>
      </c>
      <c r="AF1966" s="380" t="str">
        <f>VLOOKUP($B1966,'D7 - NDB Impacted SPRF''s'!$E$16:$O$9929,6,FALSE)</f>
        <v>SUSHMEETA NANDA</v>
      </c>
      <c r="AG1966" s="282"/>
      <c r="AH1966" s="311" t="e">
        <f>INDEX('D5 - Gatekeeper - Projects'!$A$4:$AF$1010,$AM1966, 17)</f>
        <v>#N/A</v>
      </c>
      <c r="AI1966" s="8"/>
      <c r="AJ1966" s="57"/>
      <c r="AK1966" s="105"/>
      <c r="AM1966" s="6" t="e">
        <f>MATCH(D1966,'D5 - Gatekeeper - Projects'!$C$4:$C$1010,0)</f>
        <v>#N/A</v>
      </c>
      <c r="AN1966" s="6" t="b">
        <f t="shared" si="209"/>
        <v>1</v>
      </c>
      <c r="AO1966" s="6" t="str">
        <f t="shared" si="211"/>
        <v>OK</v>
      </c>
      <c r="AQ1966" s="6" t="e">
        <f>MATCH($D1966,'D4 - Provider Council Unsched'!$C$11:$C$234,0)</f>
        <v>#N/A</v>
      </c>
      <c r="AR1966" s="6" t="b">
        <f t="shared" si="210"/>
        <v>1</v>
      </c>
      <c r="AS1966" s="6" t="str">
        <f>IF(AND(H1966="2 - Not Scheduled",AR1966=TRUE),"Add","OK")</f>
        <v>OK</v>
      </c>
      <c r="AU1966" s="202"/>
      <c r="AV1966" s="262"/>
      <c r="AW1966" s="274"/>
    </row>
    <row r="1967" spans="1:49" s="13" customFormat="1" ht="33.75" x14ac:dyDescent="0.2">
      <c r="A1967" s="14">
        <v>1943</v>
      </c>
      <c r="B1967" s="14">
        <v>400018931</v>
      </c>
      <c r="C1967" s="8" t="s">
        <v>5197</v>
      </c>
      <c r="D1967" s="4" t="str">
        <f t="shared" si="207"/>
        <v>400018931R1</v>
      </c>
      <c r="E1967" s="309" t="str">
        <f>VLOOKUP($B1967,'D7 - NDB Impacted SPRF''s'!$E$6:$O$9929,2,FALSE)</f>
        <v>MAHP IDT Enhancements</v>
      </c>
      <c r="F1967" s="8" t="s">
        <v>5752</v>
      </c>
      <c r="G1967" s="8" t="s">
        <v>4758</v>
      </c>
      <c r="H1967" s="8" t="s">
        <v>4246</v>
      </c>
      <c r="I1967" s="20"/>
      <c r="J1967" s="8"/>
      <c r="K1967" s="182"/>
      <c r="L1967" s="8" t="s">
        <v>4156</v>
      </c>
      <c r="M1967" s="8" t="s">
        <v>6688</v>
      </c>
      <c r="N1967" s="38"/>
      <c r="O1967" s="8"/>
      <c r="P1967" s="4" t="str">
        <f>VLOOKUP($B1967,'D7 - NDB Impacted SPRF''s'!$E$16:$O$9929,9,FALSE)</f>
        <v>Y</v>
      </c>
      <c r="Q1967" s="4" t="str">
        <f>VLOOKUP($B1967,'D7 - NDB Impacted SPRF''s'!$E$16:$O$9929,10,FALSE)</f>
        <v>N</v>
      </c>
      <c r="R1967" s="4" t="str">
        <f>VLOOKUP($B1967,'D7 - NDB Impacted SPRF''s'!$E$16:$O$9929,11,FALSE)</f>
        <v>N</v>
      </c>
      <c r="S1967" s="8"/>
      <c r="T1967" s="310"/>
      <c r="U1967" s="310"/>
      <c r="V1967" s="4"/>
      <c r="W1967" s="4"/>
      <c r="X1967" s="4"/>
      <c r="Y1967" s="4"/>
      <c r="Z1967" s="4"/>
      <c r="AA1967" s="4"/>
      <c r="AB1967" s="380" t="str">
        <f>VLOOKUP($B1967,'D7 - NDB Impacted SPRF''s'!$E$16:$O$9929,4,FALSE)</f>
        <v>Completed</v>
      </c>
      <c r="AC1967" s="380" t="str">
        <f>VLOOKUP($B1967,'D7 - NDB Impacted SPRF''s'!$E$16:$O$9929,3,FALSE)</f>
        <v>UnitedHealthcare Employer &amp; Individual</v>
      </c>
      <c r="AD1967" s="380" t="str">
        <f>VLOOKUP($B1967,'D7 - NDB Impacted SPRF''s'!$E$16:$O$9929,5,FALSE)</f>
        <v>Integration Requirements</v>
      </c>
      <c r="AE1967" s="380" t="str">
        <f>VLOOKUP($B1967,'D7 - NDB Impacted SPRF''s'!$E$16:$O$9929,7,FALSE)</f>
        <v>Marla Leigh</v>
      </c>
      <c r="AF1967" s="380" t="str">
        <f>VLOOKUP($B1967,'D7 - NDB Impacted SPRF''s'!$E$16:$O$9929,6,FALSE)</f>
        <v>JOHN HULEN</v>
      </c>
      <c r="AG1967" s="282"/>
      <c r="AH1967" s="311" t="e">
        <f>INDEX('D5 - Gatekeeper - Projects'!$A$4:$AF$1010,$AM1967, 17)</f>
        <v>#N/A</v>
      </c>
      <c r="AI1967" s="8"/>
      <c r="AJ1967" s="57"/>
      <c r="AK1967" s="105"/>
      <c r="AM1967" s="6" t="e">
        <f>MATCH(D1967,'D5 - Gatekeeper - Projects'!$C$4:$C$1010,0)</f>
        <v>#N/A</v>
      </c>
      <c r="AN1967" s="6" t="b">
        <f t="shared" si="209"/>
        <v>1</v>
      </c>
      <c r="AO1967" s="6" t="str">
        <f t="shared" si="211"/>
        <v>OK</v>
      </c>
      <c r="AQ1967" s="6" t="e">
        <f>MATCH($D1967,'D4 - Provider Council Unsched'!$C$11:$C$234,0)</f>
        <v>#N/A</v>
      </c>
      <c r="AR1967" s="6" t="b">
        <f t="shared" si="210"/>
        <v>1</v>
      </c>
      <c r="AS1967" s="6" t="str">
        <f>IF(AND(H1967="2 - Not Scheduled",AR1967=TRUE,C1967="R1"),"Add","OK")</f>
        <v>OK</v>
      </c>
      <c r="AU1967" s="202"/>
      <c r="AV1967" s="262"/>
      <c r="AW1967" s="274"/>
    </row>
    <row r="1968" spans="1:49" s="13" customFormat="1" x14ac:dyDescent="0.2">
      <c r="A1968" s="14">
        <v>1944</v>
      </c>
      <c r="B1968" s="14">
        <v>400019927</v>
      </c>
      <c r="C1968" s="8" t="s">
        <v>5197</v>
      </c>
      <c r="D1968" s="4" t="str">
        <f t="shared" si="207"/>
        <v>400019927R1</v>
      </c>
      <c r="E1968" s="309" t="str">
        <f>VLOOKUP($B1968,'D7 - NDB Impacted SPRF''s'!$E$6:$O$9929,2,FALSE)</f>
        <v>Analysis Request</v>
      </c>
      <c r="F1968" s="8" t="s">
        <v>2114</v>
      </c>
      <c r="G1968" s="8" t="s">
        <v>4758</v>
      </c>
      <c r="H1968" s="8" t="s">
        <v>4246</v>
      </c>
      <c r="I1968" s="20"/>
      <c r="J1968" s="8"/>
      <c r="K1968" s="182"/>
      <c r="L1968" s="8" t="s">
        <v>4156</v>
      </c>
      <c r="M1968" s="8" t="s">
        <v>6688</v>
      </c>
      <c r="N1968" s="38"/>
      <c r="O1968" s="8"/>
      <c r="P1968" s="4" t="str">
        <f>VLOOKUP($B1968,'D7 - NDB Impacted SPRF''s'!$E$16:$O$9929,9,FALSE)</f>
        <v>N</v>
      </c>
      <c r="Q1968" s="4" t="str">
        <f>VLOOKUP($B1968,'D7 - NDB Impacted SPRF''s'!$E$16:$O$9929,10,FALSE)</f>
        <v>N</v>
      </c>
      <c r="R1968" s="4" t="str">
        <f>VLOOKUP($B1968,'D7 - NDB Impacted SPRF''s'!$E$16:$O$9929,11,FALSE)</f>
        <v>N</v>
      </c>
      <c r="S1968" s="8"/>
      <c r="T1968" s="310"/>
      <c r="U1968" s="310"/>
      <c r="V1968" s="4"/>
      <c r="W1968" s="4"/>
      <c r="X1968" s="4"/>
      <c r="Y1968" s="4"/>
      <c r="Z1968" s="4"/>
      <c r="AA1968" s="4"/>
      <c r="AB1968" s="380" t="str">
        <f>VLOOKUP($B1968,'D7 - NDB Impacted SPRF''s'!$E$16:$O$9929,4,FALSE)</f>
        <v>Completed</v>
      </c>
      <c r="AC1968" s="380" t="str">
        <f>VLOOKUP($B1968,'D7 - NDB Impacted SPRF''s'!$E$16:$O$9929,3,FALSE)</f>
        <v>Uniprise</v>
      </c>
      <c r="AD1968" s="380" t="str">
        <f>VLOOKUP($B1968,'D7 - NDB Impacted SPRF''s'!$E$16:$O$9929,5,FALSE)</f>
        <v>Definity - Capital Projects</v>
      </c>
      <c r="AE1968" s="380" t="str">
        <f>VLOOKUP($B1968,'D7 - NDB Impacted SPRF''s'!$E$16:$O$9929,7,FALSE)</f>
        <v>Karen Bogden</v>
      </c>
      <c r="AF1968" s="380" t="str">
        <f>VLOOKUP($B1968,'D7 - NDB Impacted SPRF''s'!$E$16:$O$9929,6,FALSE)</f>
        <v>Vincent Tyler</v>
      </c>
      <c r="AG1968" s="282"/>
      <c r="AH1968" s="311" t="e">
        <f>INDEX('D5 - Gatekeeper - Projects'!$A$4:$AF$1010,$AM1968, 17)</f>
        <v>#N/A</v>
      </c>
      <c r="AI1968" s="8"/>
      <c r="AJ1968" s="57"/>
      <c r="AK1968" s="105"/>
      <c r="AM1968" s="6" t="e">
        <f>MATCH(D1968,'D5 - Gatekeeper - Projects'!$C$4:$C$1010,0)</f>
        <v>#N/A</v>
      </c>
      <c r="AN1968" s="6" t="b">
        <f t="shared" si="209"/>
        <v>1</v>
      </c>
      <c r="AO1968" s="6" t="str">
        <f t="shared" si="211"/>
        <v>OK</v>
      </c>
      <c r="AQ1968" s="6" t="e">
        <f>MATCH($D1968,'D4 - Provider Council Unsched'!$C$11:$C$234,0)</f>
        <v>#N/A</v>
      </c>
      <c r="AR1968" s="6" t="b">
        <f t="shared" si="210"/>
        <v>1</v>
      </c>
      <c r="AS1968" s="6" t="str">
        <f>IF(AND(H1968="2 - Not Scheduled",AR1968=TRUE,C1968="R1"),"Add","OK")</f>
        <v>OK</v>
      </c>
      <c r="AU1968" s="202"/>
      <c r="AV1968" s="262"/>
      <c r="AW1968" s="274"/>
    </row>
    <row r="1969" spans="1:49" s="13" customFormat="1" ht="22.5" x14ac:dyDescent="0.2">
      <c r="A1969" s="14">
        <v>1945</v>
      </c>
      <c r="B1969" s="14">
        <v>400020127</v>
      </c>
      <c r="C1969" s="8" t="s">
        <v>5197</v>
      </c>
      <c r="D1969" s="4" t="str">
        <f t="shared" ref="D1969:D2032" si="212">CONCATENATE(B1969,C1969)</f>
        <v>400020127R1</v>
      </c>
      <c r="E1969" s="309" t="str">
        <f>VLOOKUP($B1969,'D7 - NDB Impacted SPRF''s'!$E$6:$O$9929,2,FALSE)</f>
        <v>CDB Initiate POC for Provider &amp; Employer Data</v>
      </c>
      <c r="F1969" s="8" t="s">
        <v>2114</v>
      </c>
      <c r="G1969" s="8" t="s">
        <v>4758</v>
      </c>
      <c r="H1969" s="8" t="s">
        <v>4246</v>
      </c>
      <c r="I1969" s="20"/>
      <c r="J1969" s="8"/>
      <c r="K1969" s="182"/>
      <c r="L1969" s="8" t="s">
        <v>4156</v>
      </c>
      <c r="M1969" s="8" t="s">
        <v>2814</v>
      </c>
      <c r="N1969" s="38"/>
      <c r="O1969" s="8"/>
      <c r="P1969" s="4" t="str">
        <f>VLOOKUP($B1969,'D7 - NDB Impacted SPRF''s'!$E$16:$O$9929,9,FALSE)</f>
        <v>N</v>
      </c>
      <c r="Q1969" s="4" t="str">
        <f>VLOOKUP($B1969,'D7 - NDB Impacted SPRF''s'!$E$16:$O$9929,10,FALSE)</f>
        <v>N</v>
      </c>
      <c r="R1969" s="4" t="str">
        <f>VLOOKUP($B1969,'D7 - NDB Impacted SPRF''s'!$E$16:$O$9929,11,FALSE)</f>
        <v>N</v>
      </c>
      <c r="S1969" s="8"/>
      <c r="T1969" s="310"/>
      <c r="U1969" s="310"/>
      <c r="V1969" s="4"/>
      <c r="W1969" s="4"/>
      <c r="X1969" s="4"/>
      <c r="Y1969" s="4"/>
      <c r="Z1969" s="4"/>
      <c r="AA1969" s="4"/>
      <c r="AB1969" s="380" t="str">
        <f>VLOOKUP($B1969,'D7 - NDB Impacted SPRF''s'!$E$16:$O$9929,4,FALSE)</f>
        <v>Completed</v>
      </c>
      <c r="AC1969" s="380" t="str">
        <f>VLOOKUP($B1969,'D7 - NDB Impacted SPRF''s'!$E$16:$O$9929,3,FALSE)</f>
        <v>Uniprise</v>
      </c>
      <c r="AD1969" s="380" t="str">
        <f>VLOOKUP($B1969,'D7 - NDB Impacted SPRF''s'!$E$16:$O$9929,5,FALSE)</f>
        <v>Group Services - Capital Projects</v>
      </c>
      <c r="AE1969" s="380" t="str">
        <f>VLOOKUP($B1969,'D7 - NDB Impacted SPRF''s'!$E$16:$O$9929,7,FALSE)</f>
        <v>Gyan Dwibedy</v>
      </c>
      <c r="AF1969" s="380" t="str">
        <f>VLOOKUP($B1969,'D7 - NDB Impacted SPRF''s'!$E$16:$O$9929,6,FALSE)</f>
        <v>ANDREW FELRICE</v>
      </c>
      <c r="AG1969" s="282"/>
      <c r="AH1969" s="311" t="e">
        <f>INDEX('D5 - Gatekeeper - Projects'!$A$4:$AF$1010,$AM1969, 17)</f>
        <v>#N/A</v>
      </c>
      <c r="AI1969" s="8"/>
      <c r="AJ1969" s="57"/>
      <c r="AK1969" s="105"/>
      <c r="AM1969" s="6" t="e">
        <f>MATCH(D1969,'D5 - Gatekeeper - Projects'!$C$4:$C$1010,0)</f>
        <v>#N/A</v>
      </c>
      <c r="AN1969" s="6" t="b">
        <f t="shared" si="209"/>
        <v>1</v>
      </c>
      <c r="AO1969" s="6" t="str">
        <f t="shared" si="211"/>
        <v>OK</v>
      </c>
      <c r="AQ1969" s="6" t="e">
        <f>MATCH($D1969,'D4 - Provider Council Unsched'!$C$11:$C$234,0)</f>
        <v>#N/A</v>
      </c>
      <c r="AR1969" s="6" t="b">
        <f t="shared" si="210"/>
        <v>1</v>
      </c>
      <c r="AS1969" s="6" t="str">
        <f>IF(AND(H1969="2 - Not Scheduled",AR1969=TRUE),"Add","OK")</f>
        <v>OK</v>
      </c>
      <c r="AU1969" s="202"/>
      <c r="AV1969" s="262"/>
      <c r="AW1969" s="274"/>
    </row>
    <row r="1970" spans="1:49" s="13" customFormat="1" ht="33.75" x14ac:dyDescent="0.2">
      <c r="A1970" s="14">
        <v>1946</v>
      </c>
      <c r="B1970" s="14">
        <v>400020183</v>
      </c>
      <c r="C1970" s="8" t="s">
        <v>5197</v>
      </c>
      <c r="D1970" s="4" t="str">
        <f t="shared" si="212"/>
        <v>400020183R1</v>
      </c>
      <c r="E1970" s="309" t="str">
        <f>VLOOKUP($B1970,'D7 - NDB Impacted SPRF''s'!$E$6:$O$9929,2,FALSE)</f>
        <v>FRP - Clinical Self Service</v>
      </c>
      <c r="F1970" s="8" t="s">
        <v>2114</v>
      </c>
      <c r="G1970" s="8" t="s">
        <v>4758</v>
      </c>
      <c r="H1970" s="8" t="s">
        <v>4246</v>
      </c>
      <c r="I1970" s="20"/>
      <c r="J1970" s="8"/>
      <c r="K1970" s="182"/>
      <c r="L1970" s="8" t="s">
        <v>4156</v>
      </c>
      <c r="M1970" s="8" t="s">
        <v>2814</v>
      </c>
      <c r="N1970" s="38"/>
      <c r="O1970" s="8"/>
      <c r="P1970" s="4" t="str">
        <f>VLOOKUP($B1970,'D7 - NDB Impacted SPRF''s'!$E$16:$O$9929,9,FALSE)</f>
        <v>N</v>
      </c>
      <c r="Q1970" s="4" t="str">
        <f>VLOOKUP($B1970,'D7 - NDB Impacted SPRF''s'!$E$16:$O$9929,10,FALSE)</f>
        <v>N</v>
      </c>
      <c r="R1970" s="4" t="str">
        <f>VLOOKUP($B1970,'D7 - NDB Impacted SPRF''s'!$E$16:$O$9929,11,FALSE)</f>
        <v>N</v>
      </c>
      <c r="S1970" s="8"/>
      <c r="T1970" s="310"/>
      <c r="U1970" s="310"/>
      <c r="V1970" s="4"/>
      <c r="W1970" s="4"/>
      <c r="X1970" s="4"/>
      <c r="Y1970" s="4"/>
      <c r="Z1970" s="4"/>
      <c r="AA1970" s="4"/>
      <c r="AB1970" s="380" t="str">
        <f>VLOOKUP($B1970,'D7 - NDB Impacted SPRF''s'!$E$16:$O$9929,4,FALSE)</f>
        <v>Completed</v>
      </c>
      <c r="AC1970" s="380" t="str">
        <f>VLOOKUP($B1970,'D7 - NDB Impacted SPRF''s'!$E$16:$O$9929,3,FALSE)</f>
        <v>UnitedHealthcare Medicare &amp; Retirement</v>
      </c>
      <c r="AD1970" s="380" t="str">
        <f>VLOOKUP($B1970,'D7 - NDB Impacted SPRF''s'!$E$16:$O$9929,5,FALSE)</f>
        <v>Clinical Engagement Toolbox</v>
      </c>
      <c r="AE1970" s="380" t="str">
        <f>VLOOKUP($B1970,'D7 - NDB Impacted SPRF''s'!$E$16:$O$9929,7,FALSE)</f>
        <v>Cindi Middaugh</v>
      </c>
      <c r="AF1970" s="380" t="str">
        <f>VLOOKUP($B1970,'D7 - NDB Impacted SPRF''s'!$E$16:$O$9929,6,FALSE)</f>
        <v>Steve Frankel</v>
      </c>
      <c r="AG1970" s="282"/>
      <c r="AH1970" s="311" t="e">
        <f>INDEX('D5 - Gatekeeper - Projects'!$A$4:$AF$1010,$AM1970, 17)</f>
        <v>#N/A</v>
      </c>
      <c r="AI1970" s="8"/>
      <c r="AJ1970" s="57"/>
      <c r="AK1970" s="105"/>
      <c r="AM1970" s="6" t="e">
        <f>MATCH(D1970,'D5 - Gatekeeper - Projects'!$C$4:$C$1010,0)</f>
        <v>#N/A</v>
      </c>
      <c r="AN1970" s="6" t="b">
        <f t="shared" si="209"/>
        <v>1</v>
      </c>
      <c r="AO1970" s="6" t="str">
        <f t="shared" si="211"/>
        <v>OK</v>
      </c>
      <c r="AQ1970" s="6" t="e">
        <f>MATCH($D1970,'D4 - Provider Council Unsched'!$C$11:$C$234,0)</f>
        <v>#N/A</v>
      </c>
      <c r="AR1970" s="6" t="b">
        <f t="shared" si="210"/>
        <v>1</v>
      </c>
      <c r="AS1970" s="6" t="str">
        <f>IF(AND(H1970="2 - Not Scheduled",AR1970=TRUE),"Add","OK")</f>
        <v>OK</v>
      </c>
      <c r="AU1970" s="202"/>
      <c r="AV1970" s="262"/>
      <c r="AW1970" s="274"/>
    </row>
    <row r="1971" spans="1:49" s="13" customFormat="1" ht="33.75" x14ac:dyDescent="0.2">
      <c r="A1971" s="14">
        <v>1947</v>
      </c>
      <c r="B1971" s="14">
        <v>400020298</v>
      </c>
      <c r="C1971" s="8" t="s">
        <v>5197</v>
      </c>
      <c r="D1971" s="4" t="str">
        <f t="shared" si="212"/>
        <v>400020298R1</v>
      </c>
      <c r="E1971" s="309" t="str">
        <f>VLOOKUP($B1971,'D7 - NDB Impacted SPRF''s'!$E$6:$O$9929,2,FALSE)</f>
        <v>Enterprise provider search analysis</v>
      </c>
      <c r="F1971" s="8" t="s">
        <v>2114</v>
      </c>
      <c r="G1971" s="8" t="s">
        <v>4758</v>
      </c>
      <c r="H1971" s="8" t="s">
        <v>4246</v>
      </c>
      <c r="I1971" s="20">
        <f>80/160</f>
        <v>0.5</v>
      </c>
      <c r="J1971" s="8" t="s">
        <v>4862</v>
      </c>
      <c r="K1971" s="182"/>
      <c r="L1971" s="8" t="s">
        <v>4156</v>
      </c>
      <c r="M1971" s="8" t="s">
        <v>6688</v>
      </c>
      <c r="N1971" s="38"/>
      <c r="O1971" s="8"/>
      <c r="P1971" s="4" t="str">
        <f>VLOOKUP($B1971,'D7 - NDB Impacted SPRF''s'!$E$16:$O$9929,9,FALSE)</f>
        <v>N</v>
      </c>
      <c r="Q1971" s="4" t="str">
        <f>VLOOKUP($B1971,'D7 - NDB Impacted SPRF''s'!$E$16:$O$9929,10,FALSE)</f>
        <v>N</v>
      </c>
      <c r="R1971" s="4" t="str">
        <f>VLOOKUP($B1971,'D7 - NDB Impacted SPRF''s'!$E$16:$O$9929,11,FALSE)</f>
        <v>N</v>
      </c>
      <c r="S1971" s="8"/>
      <c r="T1971" s="310"/>
      <c r="U1971" s="310"/>
      <c r="V1971" s="4"/>
      <c r="W1971" s="4"/>
      <c r="X1971" s="4"/>
      <c r="Y1971" s="4"/>
      <c r="Z1971" s="4"/>
      <c r="AA1971" s="4"/>
      <c r="AB1971" s="380" t="str">
        <f>VLOOKUP($B1971,'D7 - NDB Impacted SPRF''s'!$E$16:$O$9929,4,FALSE)</f>
        <v>Completed</v>
      </c>
      <c r="AC1971" s="380" t="str">
        <f>VLOOKUP($B1971,'D7 - NDB Impacted SPRF''s'!$E$16:$O$9929,3,FALSE)</f>
        <v>UnitedHealthcare Employer &amp; Individual</v>
      </c>
      <c r="AD1971" s="380" t="str">
        <f>VLOOKUP($B1971,'D7 - NDB Impacted SPRF''s'!$E$16:$O$9929,5,FALSE)</f>
        <v>Membership Growth / Revenue Programs</v>
      </c>
      <c r="AE1971" s="380" t="str">
        <f>VLOOKUP($B1971,'D7 - NDB Impacted SPRF''s'!$E$16:$O$9929,7,FALSE)</f>
        <v>Mark Gennerman</v>
      </c>
      <c r="AF1971" s="380" t="str">
        <f>VLOOKUP($B1971,'D7 - NDB Impacted SPRF''s'!$E$16:$O$9929,6,FALSE)</f>
        <v>Jesse Owdom</v>
      </c>
      <c r="AG1971" s="282"/>
      <c r="AH1971" s="311" t="e">
        <f>INDEX('D5 - Gatekeeper - Projects'!$A$4:$AF$1010,$AM1971, 17)</f>
        <v>#N/A</v>
      </c>
      <c r="AI1971" s="8"/>
      <c r="AJ1971" s="57"/>
      <c r="AK1971" s="105"/>
      <c r="AM1971" s="6" t="e">
        <f>MATCH(D1971,'D5 - Gatekeeper - Projects'!$C$4:$C$1010,0)</f>
        <v>#N/A</v>
      </c>
      <c r="AN1971" s="6" t="b">
        <f t="shared" si="209"/>
        <v>1</v>
      </c>
      <c r="AO1971" s="6" t="str">
        <f t="shared" si="211"/>
        <v>OK</v>
      </c>
      <c r="AQ1971" s="6" t="e">
        <f>MATCH($D1971,'D4 - Provider Council Unsched'!$C$11:$C$234,0)</f>
        <v>#N/A</v>
      </c>
      <c r="AR1971" s="6" t="b">
        <f t="shared" si="210"/>
        <v>1</v>
      </c>
      <c r="AS1971" s="6" t="str">
        <f>IF(AND(H1971="2 - Not Scheduled",AR1971=TRUE),"Add","OK")</f>
        <v>OK</v>
      </c>
      <c r="AU1971" s="202"/>
      <c r="AV1971" s="262"/>
      <c r="AW1971" s="274"/>
    </row>
    <row r="1972" spans="1:49" s="13" customFormat="1" x14ac:dyDescent="0.2">
      <c r="A1972" s="14">
        <v>1948</v>
      </c>
      <c r="B1972" s="14">
        <v>400020440</v>
      </c>
      <c r="C1972" s="8" t="s">
        <v>5197</v>
      </c>
      <c r="D1972" s="4" t="str">
        <f t="shared" si="212"/>
        <v>400020440R1</v>
      </c>
      <c r="E1972" s="309" t="str">
        <f>VLOOKUP($B1972,'D7 - NDB Impacted SPRF''s'!$E$6:$O$9929,2,FALSE)</f>
        <v>FRP - Qualified Network Access Plan</v>
      </c>
      <c r="F1972" s="8" t="s">
        <v>2114</v>
      </c>
      <c r="G1972" s="8" t="s">
        <v>4758</v>
      </c>
      <c r="H1972" s="8" t="s">
        <v>4246</v>
      </c>
      <c r="I1972" s="20">
        <f>16/150</f>
        <v>0.10666666666666667</v>
      </c>
      <c r="J1972" s="8" t="s">
        <v>4862</v>
      </c>
      <c r="K1972" s="182"/>
      <c r="L1972" s="8" t="s">
        <v>4156</v>
      </c>
      <c r="M1972" s="8" t="s">
        <v>6688</v>
      </c>
      <c r="N1972" s="38"/>
      <c r="O1972" s="8"/>
      <c r="P1972" s="4" t="str">
        <f>VLOOKUP($B1972,'D7 - NDB Impacted SPRF''s'!$E$16:$O$9929,9,FALSE)</f>
        <v>Y</v>
      </c>
      <c r="Q1972" s="4" t="str">
        <f>VLOOKUP($B1972,'D7 - NDB Impacted SPRF''s'!$E$16:$O$9929,10,FALSE)</f>
        <v>N</v>
      </c>
      <c r="R1972" s="4" t="str">
        <f>VLOOKUP($B1972,'D7 - NDB Impacted SPRF''s'!$E$16:$O$9929,11,FALSE)</f>
        <v>Y</v>
      </c>
      <c r="S1972" s="8"/>
      <c r="T1972" s="310"/>
      <c r="U1972" s="310"/>
      <c r="V1972" s="4"/>
      <c r="W1972" s="4"/>
      <c r="X1972" s="4"/>
      <c r="Y1972" s="4"/>
      <c r="Z1972" s="4"/>
      <c r="AA1972" s="4"/>
      <c r="AB1972" s="380" t="str">
        <f>VLOOKUP($B1972,'D7 - NDB Impacted SPRF''s'!$E$16:$O$9929,4,FALSE)</f>
        <v>Completed</v>
      </c>
      <c r="AC1972" s="380" t="str">
        <f>VLOOKUP($B1972,'D7 - NDB Impacted SPRF''s'!$E$16:$O$9929,3,FALSE)</f>
        <v>Uniprise</v>
      </c>
      <c r="AD1972" s="380" t="str">
        <f>VLOOKUP($B1972,'D7 - NDB Impacted SPRF''s'!$E$16:$O$9929,5,FALSE)</f>
        <v>USS - Capital Projects</v>
      </c>
      <c r="AE1972" s="380" t="str">
        <f>VLOOKUP($B1972,'D7 - NDB Impacted SPRF''s'!$E$16:$O$9929,7,FALSE)</f>
        <v>Tim Kaja</v>
      </c>
      <c r="AF1972" s="380" t="str">
        <f>VLOOKUP($B1972,'D7 - NDB Impacted SPRF''s'!$E$16:$O$9929,6,FALSE)</f>
        <v>Steve Frankel</v>
      </c>
      <c r="AG1972" s="282"/>
      <c r="AH1972" s="311" t="e">
        <f>INDEX('D5 - Gatekeeper - Projects'!$A$4:$AF$1010,$AM1972, 17)</f>
        <v>#N/A</v>
      </c>
      <c r="AI1972" s="8"/>
      <c r="AJ1972" s="57"/>
      <c r="AK1972" s="105"/>
      <c r="AM1972" s="6" t="e">
        <f>MATCH(D1972,'D5 - Gatekeeper - Projects'!$C$4:$C$1010,0)</f>
        <v>#N/A</v>
      </c>
      <c r="AN1972" s="6" t="b">
        <f t="shared" si="209"/>
        <v>1</v>
      </c>
      <c r="AO1972" s="6" t="str">
        <f t="shared" si="211"/>
        <v>OK</v>
      </c>
      <c r="AQ1972" s="6" t="e">
        <f>MATCH($D1972,'D4 - Provider Council Unsched'!$C$11:$C$234,0)</f>
        <v>#N/A</v>
      </c>
      <c r="AR1972" s="6" t="b">
        <f t="shared" si="210"/>
        <v>1</v>
      </c>
      <c r="AS1972" s="6" t="str">
        <f>IF(AND(H1972="2 - Not Scheduled",AR1972=TRUE),"Add","OK")</f>
        <v>OK</v>
      </c>
      <c r="AU1972" s="202"/>
      <c r="AV1972" s="262"/>
      <c r="AW1972" s="274"/>
    </row>
    <row r="1973" spans="1:49" s="13" customFormat="1" x14ac:dyDescent="0.2">
      <c r="A1973" s="14">
        <v>1949</v>
      </c>
      <c r="B1973" s="14">
        <v>400020925</v>
      </c>
      <c r="C1973" s="8" t="s">
        <v>5197</v>
      </c>
      <c r="D1973" s="4" t="str">
        <f t="shared" si="212"/>
        <v>400020925R1</v>
      </c>
      <c r="E1973" s="309" t="e">
        <f>VLOOKUP($B1973,'D7 - NDB Impacted SPRF''s'!$E$6:$O$9929,2,FALSE)</f>
        <v>#N/A</v>
      </c>
      <c r="F1973" s="8" t="s">
        <v>2114</v>
      </c>
      <c r="G1973" s="8" t="s">
        <v>4758</v>
      </c>
      <c r="H1973" s="8" t="s">
        <v>4246</v>
      </c>
      <c r="I1973" s="20"/>
      <c r="J1973" s="8"/>
      <c r="K1973" s="182"/>
      <c r="L1973" s="8" t="s">
        <v>4156</v>
      </c>
      <c r="M1973" s="8" t="s">
        <v>2814</v>
      </c>
      <c r="N1973" s="38"/>
      <c r="O1973" s="8"/>
      <c r="P1973" s="4" t="e">
        <f>VLOOKUP($B1973,'D7 - NDB Impacted SPRF''s'!$E$16:$O$9929,9,FALSE)</f>
        <v>#N/A</v>
      </c>
      <c r="Q1973" s="4" t="e">
        <f>VLOOKUP($B1973,'D7 - NDB Impacted SPRF''s'!$E$16:$O$9929,10,FALSE)</f>
        <v>#N/A</v>
      </c>
      <c r="R1973" s="4" t="e">
        <f>VLOOKUP($B1973,'D7 - NDB Impacted SPRF''s'!$E$16:$O$9929,11,FALSE)</f>
        <v>#N/A</v>
      </c>
      <c r="S1973" s="8"/>
      <c r="T1973" s="310"/>
      <c r="U1973" s="310"/>
      <c r="V1973" s="4"/>
      <c r="W1973" s="4"/>
      <c r="X1973" s="4"/>
      <c r="Y1973" s="4"/>
      <c r="Z1973" s="4"/>
      <c r="AA1973" s="4"/>
      <c r="AB1973" s="380" t="e">
        <f>VLOOKUP($B1973,'D7 - NDB Impacted SPRF''s'!$E$16:$O$9929,4,FALSE)</f>
        <v>#N/A</v>
      </c>
      <c r="AC1973" s="380" t="e">
        <f>VLOOKUP($B1973,'D7 - NDB Impacted SPRF''s'!$E$16:$O$9929,3,FALSE)</f>
        <v>#N/A</v>
      </c>
      <c r="AD1973" s="380" t="e">
        <f>VLOOKUP($B1973,'D7 - NDB Impacted SPRF''s'!$E$16:$O$9929,5,FALSE)</f>
        <v>#N/A</v>
      </c>
      <c r="AE1973" s="380" t="e">
        <f>VLOOKUP($B1973,'D7 - NDB Impacted SPRF''s'!$E$16:$O$9929,7,FALSE)</f>
        <v>#N/A</v>
      </c>
      <c r="AF1973" s="380" t="e">
        <f>VLOOKUP($B1973,'D7 - NDB Impacted SPRF''s'!$E$16:$O$9929,6,FALSE)</f>
        <v>#N/A</v>
      </c>
      <c r="AG1973" s="282"/>
      <c r="AH1973" s="311" t="e">
        <f>INDEX('D5 - Gatekeeper - Projects'!$A$4:$AF$1010,$AM1973, 17)</f>
        <v>#N/A</v>
      </c>
      <c r="AI1973" s="8"/>
      <c r="AJ1973" s="57"/>
      <c r="AK1973" s="105"/>
      <c r="AM1973" s="6" t="e">
        <f>MATCH(D1973,'D5 - Gatekeeper - Projects'!$C$4:$C$1010,0)</f>
        <v>#N/A</v>
      </c>
      <c r="AN1973" s="6" t="b">
        <f t="shared" si="209"/>
        <v>1</v>
      </c>
      <c r="AO1973" s="6" t="str">
        <f t="shared" si="211"/>
        <v>OK</v>
      </c>
      <c r="AQ1973" s="6" t="e">
        <f>MATCH($D1973,'D4 - Provider Council Unsched'!$C$11:$C$234,0)</f>
        <v>#N/A</v>
      </c>
      <c r="AR1973" s="6" t="b">
        <f t="shared" si="210"/>
        <v>1</v>
      </c>
      <c r="AS1973" s="6" t="str">
        <f>IF(AND(H1973="2 - Not Scheduled",AR1973=TRUE,C1973="R1"),"Add","OK")</f>
        <v>OK</v>
      </c>
      <c r="AU1973" s="202"/>
      <c r="AV1973" s="262"/>
      <c r="AW1973" s="274"/>
    </row>
    <row r="1974" spans="1:49" s="13" customFormat="1" ht="22.5" x14ac:dyDescent="0.2">
      <c r="A1974" s="14">
        <v>1950</v>
      </c>
      <c r="B1974" s="14">
        <v>400020974</v>
      </c>
      <c r="C1974" s="8" t="s">
        <v>5197</v>
      </c>
      <c r="D1974" s="4" t="str">
        <f t="shared" si="212"/>
        <v>400020974R1</v>
      </c>
      <c r="E1974" s="309" t="str">
        <f>VLOOKUP($B1974,'D7 - NDB Impacted SPRF''s'!$E$6:$O$9929,2,FALSE)</f>
        <v>FRP-1 Regulatory Reporting Database</v>
      </c>
      <c r="F1974" s="8" t="s">
        <v>2114</v>
      </c>
      <c r="G1974" s="8" t="s">
        <v>4758</v>
      </c>
      <c r="H1974" s="8" t="s">
        <v>4246</v>
      </c>
      <c r="I1974" s="20">
        <f>75/150</f>
        <v>0.5</v>
      </c>
      <c r="J1974" s="8" t="s">
        <v>4862</v>
      </c>
      <c r="K1974" s="182"/>
      <c r="L1974" s="8" t="s">
        <v>4156</v>
      </c>
      <c r="M1974" s="8" t="s">
        <v>2814</v>
      </c>
      <c r="N1974" s="38"/>
      <c r="O1974" s="8"/>
      <c r="P1974" s="4" t="str">
        <f>VLOOKUP($B1974,'D7 - NDB Impacted SPRF''s'!$E$16:$O$9929,9,FALSE)</f>
        <v>Y</v>
      </c>
      <c r="Q1974" s="4" t="str">
        <f>VLOOKUP($B1974,'D7 - NDB Impacted SPRF''s'!$E$16:$O$9929,10,FALSE)</f>
        <v>N</v>
      </c>
      <c r="R1974" s="4" t="str">
        <f>VLOOKUP($B1974,'D7 - NDB Impacted SPRF''s'!$E$16:$O$9929,11,FALSE)</f>
        <v>N</v>
      </c>
      <c r="S1974" s="8"/>
      <c r="T1974" s="310"/>
      <c r="U1974" s="310"/>
      <c r="V1974" s="4"/>
      <c r="W1974" s="4"/>
      <c r="X1974" s="4"/>
      <c r="Y1974" s="4"/>
      <c r="Z1974" s="4"/>
      <c r="AA1974" s="4"/>
      <c r="AB1974" s="380" t="str">
        <f>VLOOKUP($B1974,'D7 - NDB Impacted SPRF''s'!$E$16:$O$9929,4,FALSE)</f>
        <v>Completed</v>
      </c>
      <c r="AC1974" s="380" t="str">
        <f>VLOOKUP($B1974,'D7 - NDB Impacted SPRF''s'!$E$16:$O$9929,3,FALSE)</f>
        <v>UHG Corporate</v>
      </c>
      <c r="AD1974" s="380" t="str">
        <f>VLOOKUP($B1974,'D7 - NDB Impacted SPRF''s'!$E$16:$O$9929,5,FALSE)</f>
        <v>Corporate Systems</v>
      </c>
      <c r="AE1974" s="380" t="str">
        <f>VLOOKUP($B1974,'D7 - NDB Impacted SPRF''s'!$E$16:$O$9929,7,FALSE)</f>
        <v>Al McMahon</v>
      </c>
      <c r="AF1974" s="380" t="str">
        <f>VLOOKUP($B1974,'D7 - NDB Impacted SPRF''s'!$E$16:$O$9929,6,FALSE)</f>
        <v>ROGER AUCLAIR</v>
      </c>
      <c r="AG1974" s="282"/>
      <c r="AH1974" s="311" t="e">
        <f>INDEX('D5 - Gatekeeper - Projects'!$A$4:$AF$1010,$AM1974, 17)</f>
        <v>#N/A</v>
      </c>
      <c r="AI1974" s="8"/>
      <c r="AJ1974" s="57"/>
      <c r="AK1974" s="105"/>
      <c r="AM1974" s="6" t="e">
        <f>MATCH(D1974,'D5 - Gatekeeper - Projects'!$C$4:$C$1010,0)</f>
        <v>#N/A</v>
      </c>
      <c r="AN1974" s="6" t="b">
        <f t="shared" si="209"/>
        <v>1</v>
      </c>
      <c r="AO1974" s="6" t="str">
        <f t="shared" si="211"/>
        <v>OK</v>
      </c>
      <c r="AQ1974" s="6" t="e">
        <f>MATCH($D1974,'D4 - Provider Council Unsched'!$C$11:$C$234,0)</f>
        <v>#N/A</v>
      </c>
      <c r="AR1974" s="6" t="b">
        <f t="shared" si="210"/>
        <v>1</v>
      </c>
      <c r="AS1974" s="6" t="str">
        <f>IF(AND(H1974="2 - Not Scheduled",AR1974=TRUE,C1974="R1"),"Add","OK")</f>
        <v>OK</v>
      </c>
      <c r="AU1974" s="202"/>
      <c r="AV1974" s="262"/>
      <c r="AW1974" s="274"/>
    </row>
    <row r="1975" spans="1:49" s="13" customFormat="1" ht="33.75" x14ac:dyDescent="0.2">
      <c r="A1975" s="14">
        <v>1951</v>
      </c>
      <c r="B1975" s="14">
        <v>400020987</v>
      </c>
      <c r="C1975" s="8" t="s">
        <v>5197</v>
      </c>
      <c r="D1975" s="4" t="str">
        <f t="shared" si="212"/>
        <v>400020987R1</v>
      </c>
      <c r="E1975" s="309" t="str">
        <f>VLOOKUP($B1975,'D7 - NDB Impacted SPRF''s'!$E$6:$O$9929,2,FALSE)</f>
        <v>Letters Reengineering - Q2 08</v>
      </c>
      <c r="F1975" s="8"/>
      <c r="G1975" s="8" t="s">
        <v>4758</v>
      </c>
      <c r="H1975" s="8" t="s">
        <v>4246</v>
      </c>
      <c r="I1975" s="20"/>
      <c r="J1975" s="8"/>
      <c r="K1975" s="182"/>
      <c r="L1975" s="8" t="s">
        <v>4156</v>
      </c>
      <c r="M1975" s="8" t="s">
        <v>2814</v>
      </c>
      <c r="N1975" s="38"/>
      <c r="O1975" s="8"/>
      <c r="P1975" s="4" t="str">
        <f>VLOOKUP($B1975,'D7 - NDB Impacted SPRF''s'!$E$16:$O$9929,9,FALSE)</f>
        <v>Y</v>
      </c>
      <c r="Q1975" s="4" t="str">
        <f>VLOOKUP($B1975,'D7 - NDB Impacted SPRF''s'!$E$16:$O$9929,10,FALSE)</f>
        <v>N</v>
      </c>
      <c r="R1975" s="4" t="str">
        <f>VLOOKUP($B1975,'D7 - NDB Impacted SPRF''s'!$E$16:$O$9929,11,FALSE)</f>
        <v>N</v>
      </c>
      <c r="S1975" s="8"/>
      <c r="T1975" s="310"/>
      <c r="U1975" s="310"/>
      <c r="V1975" s="4"/>
      <c r="W1975" s="4"/>
      <c r="X1975" s="4"/>
      <c r="Y1975" s="4"/>
      <c r="Z1975" s="4"/>
      <c r="AA1975" s="4"/>
      <c r="AB1975" s="380" t="str">
        <f>VLOOKUP($B1975,'D7 - NDB Impacted SPRF''s'!$E$16:$O$9929,4,FALSE)</f>
        <v>Completed</v>
      </c>
      <c r="AC1975" s="380" t="str">
        <f>VLOOKUP($B1975,'D7 - NDB Impacted SPRF''s'!$E$16:$O$9929,3,FALSE)</f>
        <v>UnitedHealthcare Employer &amp; Individual</v>
      </c>
      <c r="AD1975" s="380" t="str">
        <f>VLOOKUP($B1975,'D7 - NDB Impacted SPRF''s'!$E$16:$O$9929,5,FALSE)</f>
        <v>Membership Growth / Revenue Programs</v>
      </c>
      <c r="AE1975" s="380" t="str">
        <f>VLOOKUP($B1975,'D7 - NDB Impacted SPRF''s'!$E$16:$O$9929,7,FALSE)</f>
        <v>Steve Auerbach</v>
      </c>
      <c r="AF1975" s="380" t="str">
        <f>VLOOKUP($B1975,'D7 - NDB Impacted SPRF''s'!$E$16:$O$9929,6,FALSE)</f>
        <v>Pooja Dedania</v>
      </c>
      <c r="AG1975" s="282"/>
      <c r="AH1975" s="311" t="e">
        <f>INDEX('D5 - Gatekeeper - Projects'!$A$4:$AF$1010,$AM1975, 17)</f>
        <v>#N/A</v>
      </c>
      <c r="AI1975" s="8"/>
      <c r="AJ1975" s="57"/>
      <c r="AK1975" s="105"/>
      <c r="AM1975" s="6" t="e">
        <f>MATCH(D1975,'D5 - Gatekeeper - Projects'!$C$4:$C$1010,0)</f>
        <v>#N/A</v>
      </c>
      <c r="AN1975" s="6" t="b">
        <f t="shared" si="209"/>
        <v>1</v>
      </c>
      <c r="AO1975" s="6" t="str">
        <f t="shared" si="211"/>
        <v>OK</v>
      </c>
      <c r="AQ1975" s="6" t="e">
        <f>MATCH($D1975,'D4 - Provider Council Unsched'!$C$11:$C$234,0)</f>
        <v>#N/A</v>
      </c>
      <c r="AR1975" s="6" t="b">
        <f t="shared" si="210"/>
        <v>1</v>
      </c>
      <c r="AS1975" s="6" t="str">
        <f>IF(AND(H1975="2 - Not Scheduled",AR1975=TRUE,C1975="R1"),"Add","OK")</f>
        <v>OK</v>
      </c>
      <c r="AU1975" s="202"/>
      <c r="AV1975" s="262"/>
      <c r="AW1975" s="274"/>
    </row>
    <row r="1976" spans="1:49" s="13" customFormat="1" ht="33.75" x14ac:dyDescent="0.2">
      <c r="A1976" s="14">
        <v>1952</v>
      </c>
      <c r="B1976" s="14">
        <v>400021162</v>
      </c>
      <c r="C1976" s="8" t="s">
        <v>5197</v>
      </c>
      <c r="D1976" s="4" t="str">
        <f t="shared" si="212"/>
        <v>400021162R1</v>
      </c>
      <c r="E1976" s="309" t="str">
        <f>VLOOKUP($B1976,'D7 - NDB Impacted SPRF''s'!$E$6:$O$9929,2,FALSE)</f>
        <v>MS_DRG</v>
      </c>
      <c r="F1976" s="8" t="s">
        <v>2114</v>
      </c>
      <c r="G1976" s="8" t="s">
        <v>4758</v>
      </c>
      <c r="H1976" s="8" t="s">
        <v>4246</v>
      </c>
      <c r="I1976" s="20">
        <f>82/160</f>
        <v>0.51249999999999996</v>
      </c>
      <c r="J1976" s="8" t="s">
        <v>4862</v>
      </c>
      <c r="K1976" s="182"/>
      <c r="L1976" s="8" t="s">
        <v>4156</v>
      </c>
      <c r="M1976" s="8" t="s">
        <v>6688</v>
      </c>
      <c r="N1976" s="38"/>
      <c r="O1976" s="8"/>
      <c r="P1976" s="4" t="str">
        <f>VLOOKUP($B1976,'D7 - NDB Impacted SPRF''s'!$E$16:$O$9929,9,FALSE)</f>
        <v>Y</v>
      </c>
      <c r="Q1976" s="4" t="str">
        <f>VLOOKUP($B1976,'D7 - NDB Impacted SPRF''s'!$E$16:$O$9929,10,FALSE)</f>
        <v>N</v>
      </c>
      <c r="R1976" s="4" t="str">
        <f>VLOOKUP($B1976,'D7 - NDB Impacted SPRF''s'!$E$16:$O$9929,11,FALSE)</f>
        <v>N</v>
      </c>
      <c r="S1976" s="8"/>
      <c r="T1976" s="310"/>
      <c r="U1976" s="310"/>
      <c r="V1976" s="4"/>
      <c r="W1976" s="4"/>
      <c r="X1976" s="4"/>
      <c r="Y1976" s="4"/>
      <c r="Z1976" s="4"/>
      <c r="AA1976" s="4"/>
      <c r="AB1976" s="380" t="str">
        <f>VLOOKUP($B1976,'D7 - NDB Impacted SPRF''s'!$E$16:$O$9929,4,FALSE)</f>
        <v>Completed</v>
      </c>
      <c r="AC1976" s="380" t="str">
        <f>VLOOKUP($B1976,'D7 - NDB Impacted SPRF''s'!$E$16:$O$9929,3,FALSE)</f>
        <v>UnitedHealthcare Employer &amp; Individual</v>
      </c>
      <c r="AD1976" s="380" t="str">
        <f>VLOOKUP($B1976,'D7 - NDB Impacted SPRF''s'!$E$16:$O$9929,5,FALSE)</f>
        <v>Operational Requirements</v>
      </c>
      <c r="AE1976" s="380" t="str">
        <f>VLOOKUP($B1976,'D7 - NDB Impacted SPRF''s'!$E$16:$O$9929,7,FALSE)</f>
        <v>Tim Kaja</v>
      </c>
      <c r="AF1976" s="380" t="str">
        <f>VLOOKUP($B1976,'D7 - NDB Impacted SPRF''s'!$E$16:$O$9929,6,FALSE)</f>
        <v>JEFFREY HUXLEY</v>
      </c>
      <c r="AG1976" s="282"/>
      <c r="AH1976" s="311" t="e">
        <f>INDEX('D5 - Gatekeeper - Projects'!$A$4:$AF$1010,$AM1976, 17)</f>
        <v>#N/A</v>
      </c>
      <c r="AI1976" s="8"/>
      <c r="AJ1976" s="57"/>
      <c r="AK1976" s="105"/>
      <c r="AM1976" s="6" t="e">
        <f>MATCH(D1976,'D5 - Gatekeeper - Projects'!$C$4:$C$1010,0)</f>
        <v>#N/A</v>
      </c>
      <c r="AN1976" s="6" t="b">
        <f t="shared" si="209"/>
        <v>1</v>
      </c>
      <c r="AO1976" s="6" t="str">
        <f t="shared" si="211"/>
        <v>OK</v>
      </c>
      <c r="AQ1976" s="6" t="e">
        <f>MATCH($D1976,'D4 - Provider Council Unsched'!$C$11:$C$234,0)</f>
        <v>#N/A</v>
      </c>
      <c r="AR1976" s="6" t="b">
        <f t="shared" si="210"/>
        <v>1</v>
      </c>
      <c r="AS1976" s="6" t="str">
        <f>IF(AND(H1976="2 - Not Scheduled",AR1976=TRUE,C1976="R1"),"Add","OK")</f>
        <v>OK</v>
      </c>
      <c r="AU1976" s="202"/>
      <c r="AV1976" s="262"/>
      <c r="AW1976" s="274"/>
    </row>
    <row r="1977" spans="1:49" s="13" customFormat="1" ht="33.75" x14ac:dyDescent="0.2">
      <c r="A1977" s="14">
        <v>1953</v>
      </c>
      <c r="B1977" s="14">
        <v>400021471</v>
      </c>
      <c r="C1977" s="8" t="s">
        <v>5197</v>
      </c>
      <c r="D1977" s="4" t="str">
        <f t="shared" si="212"/>
        <v>400021471R1</v>
      </c>
      <c r="E1977" s="309" t="str">
        <f>VLOOKUP($B1977,'D7 - NDB Impacted SPRF''s'!$E$6:$O$9929,2,FALSE)</f>
        <v>Pre-Auth Table Query</v>
      </c>
      <c r="F1977" s="8" t="s">
        <v>7989</v>
      </c>
      <c r="G1977" s="8" t="s">
        <v>4758</v>
      </c>
      <c r="H1977" s="8" t="s">
        <v>4246</v>
      </c>
      <c r="I1977" s="20">
        <v>1.07</v>
      </c>
      <c r="J1977" s="8" t="s">
        <v>4862</v>
      </c>
      <c r="K1977" s="182"/>
      <c r="L1977" s="8" t="s">
        <v>4156</v>
      </c>
      <c r="M1977" s="8" t="s">
        <v>6007</v>
      </c>
      <c r="N1977" s="38"/>
      <c r="O1977" s="8"/>
      <c r="P1977" s="4" t="str">
        <f>VLOOKUP($B1977,'D7 - NDB Impacted SPRF''s'!$E$16:$O$9929,9,FALSE)</f>
        <v>N</v>
      </c>
      <c r="Q1977" s="4" t="str">
        <f>VLOOKUP($B1977,'D7 - NDB Impacted SPRF''s'!$E$16:$O$9929,10,FALSE)</f>
        <v>N</v>
      </c>
      <c r="R1977" s="4" t="str">
        <f>VLOOKUP($B1977,'D7 - NDB Impacted SPRF''s'!$E$16:$O$9929,11,FALSE)</f>
        <v>N</v>
      </c>
      <c r="S1977" s="8"/>
      <c r="T1977" s="310"/>
      <c r="U1977" s="310"/>
      <c r="V1977" s="4"/>
      <c r="W1977" s="4"/>
      <c r="X1977" s="4"/>
      <c r="Y1977" s="4"/>
      <c r="Z1977" s="4"/>
      <c r="AA1977" s="4"/>
      <c r="AB1977" s="380" t="str">
        <f>VLOOKUP($B1977,'D7 - NDB Impacted SPRF''s'!$E$16:$O$9929,4,FALSE)</f>
        <v>Completed</v>
      </c>
      <c r="AC1977" s="380" t="str">
        <f>VLOOKUP($B1977,'D7 - NDB Impacted SPRF''s'!$E$16:$O$9929,3,FALSE)</f>
        <v>UnitedHealthcare Employer &amp; Individual</v>
      </c>
      <c r="AD1977" s="380" t="str">
        <f>VLOOKUP($B1977,'D7 - NDB Impacted SPRF''s'!$E$16:$O$9929,5,FALSE)</f>
        <v>Medical Cost Savings Programs</v>
      </c>
      <c r="AE1977" s="380" t="str">
        <f>VLOOKUP($B1977,'D7 - NDB Impacted SPRF''s'!$E$16:$O$9929,7,FALSE)</f>
        <v>Gino Tenace</v>
      </c>
      <c r="AF1977" s="380" t="str">
        <f>VLOOKUP($B1977,'D7 - NDB Impacted SPRF''s'!$E$16:$O$9929,6,FALSE)</f>
        <v>Nicolle Wollin</v>
      </c>
      <c r="AG1977" s="282"/>
      <c r="AH1977" s="311" t="e">
        <f>INDEX('D5 - Gatekeeper - Projects'!$A$4:$AF$1010,$AM1977, 17)</f>
        <v>#N/A</v>
      </c>
      <c r="AI1977" s="8"/>
      <c r="AJ1977" s="57"/>
      <c r="AK1977" s="105"/>
      <c r="AM1977" s="6" t="e">
        <f>MATCH(D1977,'D5 - Gatekeeper - Projects'!$C$4:$C$1010,0)</f>
        <v>#N/A</v>
      </c>
      <c r="AN1977" s="6" t="b">
        <f t="shared" si="209"/>
        <v>1</v>
      </c>
      <c r="AO1977" s="6" t="str">
        <f t="shared" si="211"/>
        <v>OK</v>
      </c>
      <c r="AQ1977" s="6" t="e">
        <f>MATCH($D1977,'D4 - Provider Council Unsched'!$C$11:$C$234,0)</f>
        <v>#N/A</v>
      </c>
      <c r="AR1977" s="6" t="b">
        <f t="shared" si="210"/>
        <v>1</v>
      </c>
      <c r="AS1977" s="6" t="str">
        <f>IF(AND(H1977="2 - Not Scheduled",AR1977=TRUE),"Add","OK")</f>
        <v>OK</v>
      </c>
      <c r="AU1977" s="202"/>
      <c r="AV1977" s="262"/>
      <c r="AW1977" s="274"/>
    </row>
    <row r="1978" spans="1:49" s="13" customFormat="1" ht="33.75" x14ac:dyDescent="0.2">
      <c r="A1978" s="14">
        <v>1954</v>
      </c>
      <c r="B1978" s="14">
        <v>400021614</v>
      </c>
      <c r="C1978" s="8" t="s">
        <v>5197</v>
      </c>
      <c r="D1978" s="4" t="str">
        <f t="shared" si="212"/>
        <v>400021614R1</v>
      </c>
      <c r="E1978" s="309" t="str">
        <f>VLOOKUP($B1978,'D7 - NDB Impacted SPRF''s'!$E$6:$O$9929,2,FALSE)</f>
        <v xml:space="preserve">EPDE Full File Pulls for PHS Auto-Load </v>
      </c>
      <c r="F1978" s="8" t="s">
        <v>6071</v>
      </c>
      <c r="G1978" s="8" t="s">
        <v>4758</v>
      </c>
      <c r="H1978" s="8" t="s">
        <v>4246</v>
      </c>
      <c r="I1978" s="20">
        <f>101/160</f>
        <v>0.63124999999999998</v>
      </c>
      <c r="J1978" s="8" t="s">
        <v>4862</v>
      </c>
      <c r="K1978" s="182"/>
      <c r="L1978" s="8" t="s">
        <v>4156</v>
      </c>
      <c r="M1978" s="8" t="s">
        <v>2814</v>
      </c>
      <c r="N1978" s="38" t="s">
        <v>6242</v>
      </c>
      <c r="O1978" s="8"/>
      <c r="P1978" s="4" t="str">
        <f>VLOOKUP($B1978,'D7 - NDB Impacted SPRF''s'!$E$16:$O$9929,9,FALSE)</f>
        <v>N</v>
      </c>
      <c r="Q1978" s="4" t="str">
        <f>VLOOKUP($B1978,'D7 - NDB Impacted SPRF''s'!$E$16:$O$9929,10,FALSE)</f>
        <v>N</v>
      </c>
      <c r="R1978" s="4" t="str">
        <f>VLOOKUP($B1978,'D7 - NDB Impacted SPRF''s'!$E$16:$O$9929,11,FALSE)</f>
        <v>N</v>
      </c>
      <c r="S1978" s="8"/>
      <c r="T1978" s="310"/>
      <c r="U1978" s="310"/>
      <c r="V1978" s="4"/>
      <c r="W1978" s="4"/>
      <c r="X1978" s="4"/>
      <c r="Y1978" s="4"/>
      <c r="Z1978" s="4"/>
      <c r="AA1978" s="4"/>
      <c r="AB1978" s="380" t="str">
        <f>VLOOKUP($B1978,'D7 - NDB Impacted SPRF''s'!$E$16:$O$9929,4,FALSE)</f>
        <v>Completed</v>
      </c>
      <c r="AC1978" s="380" t="str">
        <f>VLOOKUP($B1978,'D7 - NDB Impacted SPRF''s'!$E$16:$O$9929,3,FALSE)</f>
        <v>UnitedHealthcare Employer &amp; Individual</v>
      </c>
      <c r="AD1978" s="380" t="str">
        <f>VLOOKUP($B1978,'D7 - NDB Impacted SPRF''s'!$E$16:$O$9929,5,FALSE)</f>
        <v>Integration Requirements</v>
      </c>
      <c r="AE1978" s="380" t="str">
        <f>VLOOKUP($B1978,'D7 - NDB Impacted SPRF''s'!$E$16:$O$9929,7,FALSE)</f>
        <v>Tim Kaja</v>
      </c>
      <c r="AF1978" s="380" t="str">
        <f>VLOOKUP($B1978,'D7 - NDB Impacted SPRF''s'!$E$16:$O$9929,6,FALSE)</f>
        <v>MARCIA MONACO</v>
      </c>
      <c r="AG1978" s="282"/>
      <c r="AH1978" s="311" t="e">
        <f>INDEX('D5 - Gatekeeper - Projects'!$A$4:$AF$1010,$AM1978, 17)</f>
        <v>#N/A</v>
      </c>
      <c r="AI1978" s="8"/>
      <c r="AJ1978" s="57"/>
      <c r="AK1978" s="105"/>
      <c r="AM1978" s="6" t="e">
        <f>MATCH(D1978,'D5 - Gatekeeper - Projects'!$C$4:$C$1010,0)</f>
        <v>#N/A</v>
      </c>
      <c r="AN1978" s="6" t="b">
        <f t="shared" si="209"/>
        <v>1</v>
      </c>
      <c r="AO1978" s="6" t="str">
        <f t="shared" si="211"/>
        <v>OK</v>
      </c>
      <c r="AQ1978" s="6" t="e">
        <f>MATCH($D1978,'D4 - Provider Council Unsched'!$C$11:$C$234,0)</f>
        <v>#N/A</v>
      </c>
      <c r="AR1978" s="6" t="b">
        <f t="shared" si="210"/>
        <v>1</v>
      </c>
      <c r="AS1978" s="6" t="str">
        <f t="shared" ref="AS1978:AS1992" si="213">IF(AND(H1978="2 - Not Scheduled",AR1978=TRUE,C1978="R1"),"Add","OK")</f>
        <v>OK</v>
      </c>
      <c r="AU1978" s="202"/>
      <c r="AV1978" s="262"/>
      <c r="AW1978" s="274"/>
    </row>
    <row r="1979" spans="1:49" s="13" customFormat="1" ht="33.75" x14ac:dyDescent="0.2">
      <c r="A1979" s="14">
        <v>1955</v>
      </c>
      <c r="B1979" s="14">
        <v>400021850</v>
      </c>
      <c r="C1979" s="8" t="s">
        <v>5197</v>
      </c>
      <c r="D1979" s="4" t="str">
        <f t="shared" si="212"/>
        <v>400021850R1</v>
      </c>
      <c r="E1979" s="309" t="str">
        <f>VLOOKUP($B1979,'D7 - NDB Impacted SPRF''s'!$E$6:$O$9929,2,FALSE)</f>
        <v>FRP - CA SB 853 - Language Assistance Program</v>
      </c>
      <c r="F1979" s="8" t="s">
        <v>4471</v>
      </c>
      <c r="G1979" s="8" t="s">
        <v>4758</v>
      </c>
      <c r="H1979" s="8" t="s">
        <v>4246</v>
      </c>
      <c r="I1979" s="20"/>
      <c r="J1979" s="8"/>
      <c r="K1979" s="182"/>
      <c r="L1979" s="8" t="s">
        <v>4156</v>
      </c>
      <c r="M1979" s="8" t="s">
        <v>6688</v>
      </c>
      <c r="N1979" s="38" t="s">
        <v>8012</v>
      </c>
      <c r="O1979" s="8"/>
      <c r="P1979" s="4" t="str">
        <f>VLOOKUP($B1979,'D7 - NDB Impacted SPRF''s'!$E$16:$O$9929,9,FALSE)</f>
        <v>Y</v>
      </c>
      <c r="Q1979" s="4" t="str">
        <f>VLOOKUP($B1979,'D7 - NDB Impacted SPRF''s'!$E$16:$O$9929,10,FALSE)</f>
        <v>N</v>
      </c>
      <c r="R1979" s="4" t="str">
        <f>VLOOKUP($B1979,'D7 - NDB Impacted SPRF''s'!$E$16:$O$9929,11,FALSE)</f>
        <v>N</v>
      </c>
      <c r="S1979" s="8"/>
      <c r="T1979" s="310"/>
      <c r="U1979" s="310"/>
      <c r="V1979" s="4"/>
      <c r="W1979" s="4"/>
      <c r="X1979" s="4"/>
      <c r="Y1979" s="4"/>
      <c r="Z1979" s="4"/>
      <c r="AA1979" s="4"/>
      <c r="AB1979" s="380" t="str">
        <f>VLOOKUP($B1979,'D7 - NDB Impacted SPRF''s'!$E$16:$O$9929,4,FALSE)</f>
        <v>Completed</v>
      </c>
      <c r="AC1979" s="380" t="str">
        <f>VLOOKUP($B1979,'D7 - NDB Impacted SPRF''s'!$E$16:$O$9929,3,FALSE)</f>
        <v>UnitedHealthcare Employer &amp; Individual</v>
      </c>
      <c r="AD1979" s="380" t="str">
        <f>VLOOKUP($B1979,'D7 - NDB Impacted SPRF''s'!$E$16:$O$9929,5,FALSE)</f>
        <v>Regulatory / Other</v>
      </c>
      <c r="AE1979" s="380" t="str">
        <f>VLOOKUP($B1979,'D7 - NDB Impacted SPRF''s'!$E$16:$O$9929,7,FALSE)</f>
        <v>Sue Berkel</v>
      </c>
      <c r="AF1979" s="380" t="str">
        <f>VLOOKUP($B1979,'D7 - NDB Impacted SPRF''s'!$E$16:$O$9929,6,FALSE)</f>
        <v>Steve Frankel</v>
      </c>
      <c r="AG1979" s="282"/>
      <c r="AH1979" s="311" t="e">
        <f>INDEX('D5 - Gatekeeper - Projects'!$A$4:$AF$1010,$AM1979, 17)</f>
        <v>#N/A</v>
      </c>
      <c r="AI1979" s="8"/>
      <c r="AJ1979" s="57"/>
      <c r="AK1979" s="105"/>
      <c r="AM1979" s="6" t="e">
        <f>MATCH(D1979,'D5 - Gatekeeper - Projects'!$C$4:$C$1010,0)</f>
        <v>#N/A</v>
      </c>
      <c r="AN1979" s="6" t="b">
        <f t="shared" si="209"/>
        <v>1</v>
      </c>
      <c r="AO1979" s="6" t="str">
        <f t="shared" si="211"/>
        <v>OK</v>
      </c>
      <c r="AQ1979" s="6" t="e">
        <f>MATCH($D1979,'D4 - Provider Council Unsched'!$C$11:$C$234,0)</f>
        <v>#N/A</v>
      </c>
      <c r="AR1979" s="6" t="b">
        <f t="shared" si="210"/>
        <v>1</v>
      </c>
      <c r="AS1979" s="6" t="str">
        <f t="shared" si="213"/>
        <v>OK</v>
      </c>
      <c r="AU1979" s="202"/>
      <c r="AV1979" s="262"/>
      <c r="AW1979" s="274"/>
    </row>
    <row r="1980" spans="1:49" s="13" customFormat="1" ht="45" x14ac:dyDescent="0.2">
      <c r="A1980" s="14">
        <v>1956</v>
      </c>
      <c r="B1980" s="14">
        <v>400021916</v>
      </c>
      <c r="C1980" s="8" t="s">
        <v>5197</v>
      </c>
      <c r="D1980" s="4" t="str">
        <f t="shared" si="212"/>
        <v>400021916R1</v>
      </c>
      <c r="E1980" s="309" t="str">
        <f>VLOOKUP($B1980,'D7 - NDB Impacted SPRF''s'!$E$6:$O$9929,2,FALSE)</f>
        <v>Distributed Rapid Recovery</v>
      </c>
      <c r="F1980" s="8" t="s">
        <v>8133</v>
      </c>
      <c r="G1980" s="8" t="s">
        <v>4758</v>
      </c>
      <c r="H1980" s="8" t="s">
        <v>4246</v>
      </c>
      <c r="I1980" s="20"/>
      <c r="J1980" s="8"/>
      <c r="K1980" s="182"/>
      <c r="L1980" s="8" t="s">
        <v>4156</v>
      </c>
      <c r="M1980" s="8" t="s">
        <v>2814</v>
      </c>
      <c r="N1980" s="38"/>
      <c r="O1980" s="8"/>
      <c r="P1980" s="4" t="str">
        <f>VLOOKUP($B1980,'D7 - NDB Impacted SPRF''s'!$E$16:$O$9929,9,FALSE)</f>
        <v>Y</v>
      </c>
      <c r="Q1980" s="4" t="str">
        <f>VLOOKUP($B1980,'D7 - NDB Impacted SPRF''s'!$E$16:$O$9929,10,FALSE)</f>
        <v>N</v>
      </c>
      <c r="R1980" s="4" t="str">
        <f>VLOOKUP($B1980,'D7 - NDB Impacted SPRF''s'!$E$16:$O$9929,11,FALSE)</f>
        <v>Y</v>
      </c>
      <c r="S1980" s="8"/>
      <c r="T1980" s="310"/>
      <c r="U1980" s="310"/>
      <c r="V1980" s="4"/>
      <c r="W1980" s="4"/>
      <c r="X1980" s="4"/>
      <c r="Y1980" s="4"/>
      <c r="Z1980" s="4"/>
      <c r="AA1980" s="4"/>
      <c r="AB1980" s="380" t="str">
        <f>VLOOKUP($B1980,'D7 - NDB Impacted SPRF''s'!$E$16:$O$9929,4,FALSE)</f>
        <v>Completed</v>
      </c>
      <c r="AC1980" s="380" t="str">
        <f>VLOOKUP($B1980,'D7 - NDB Impacted SPRF''s'!$E$16:$O$9929,3,FALSE)</f>
        <v>UHG IT - Enterprise Technology Services</v>
      </c>
      <c r="AD1980" s="380" t="str">
        <f>VLOOKUP($B1980,'D7 - NDB Impacted SPRF''s'!$E$16:$O$9929,5,FALSE)</f>
        <v>Computer Services</v>
      </c>
      <c r="AE1980" s="380" t="str">
        <f>VLOOKUP($B1980,'D7 - NDB Impacted SPRF''s'!$E$16:$O$9929,7,FALSE)</f>
        <v>Darrell Brooks</v>
      </c>
      <c r="AF1980" s="380" t="str">
        <f>VLOOKUP($B1980,'D7 - NDB Impacted SPRF''s'!$E$16:$O$9929,6,FALSE)</f>
        <v>MICHAEL GWIN</v>
      </c>
      <c r="AG1980" s="282"/>
      <c r="AH1980" s="311" t="e">
        <f>INDEX('D5 - Gatekeeper - Projects'!$A$4:$AF$1010,$AM1980, 17)</f>
        <v>#N/A</v>
      </c>
      <c r="AI1980" s="8"/>
      <c r="AJ1980" s="57"/>
      <c r="AK1980" s="105"/>
      <c r="AM1980" s="6" t="e">
        <f>MATCH(D1980,'D5 - Gatekeeper - Projects'!$C$4:$C$1010,0)</f>
        <v>#N/A</v>
      </c>
      <c r="AN1980" s="6" t="b">
        <f t="shared" si="209"/>
        <v>1</v>
      </c>
      <c r="AO1980" s="6" t="str">
        <f t="shared" si="211"/>
        <v>OK</v>
      </c>
      <c r="AQ1980" s="6" t="e">
        <f>MATCH($D1980,'D4 - Provider Council Unsched'!$C$11:$C$234,0)</f>
        <v>#N/A</v>
      </c>
      <c r="AR1980" s="6" t="b">
        <f t="shared" si="210"/>
        <v>1</v>
      </c>
      <c r="AS1980" s="6" t="str">
        <f t="shared" si="213"/>
        <v>OK</v>
      </c>
      <c r="AU1980" s="202"/>
      <c r="AV1980" s="262"/>
      <c r="AW1980" s="274"/>
    </row>
    <row r="1981" spans="1:49" s="13" customFormat="1" ht="33.75" x14ac:dyDescent="0.2">
      <c r="A1981" s="14">
        <v>1957</v>
      </c>
      <c r="B1981" s="14">
        <v>400022302</v>
      </c>
      <c r="C1981" s="8" t="s">
        <v>5197</v>
      </c>
      <c r="D1981" s="4" t="str">
        <f t="shared" si="212"/>
        <v>400022302R1</v>
      </c>
      <c r="E1981" s="309" t="str">
        <f>VLOOKUP($B1981,'D7 - NDB Impacted SPRF''s'!$E$6:$O$9929,2,FALSE)</f>
        <v>UPCSA - NICE UPCSA Migration</v>
      </c>
      <c r="F1981" s="8" t="s">
        <v>4762</v>
      </c>
      <c r="G1981" s="8" t="s">
        <v>4758</v>
      </c>
      <c r="H1981" s="8" t="s">
        <v>4246</v>
      </c>
      <c r="I1981" s="20">
        <v>3.44</v>
      </c>
      <c r="J1981" s="8" t="s">
        <v>4862</v>
      </c>
      <c r="K1981" s="182"/>
      <c r="L1981" s="8" t="s">
        <v>4156</v>
      </c>
      <c r="M1981" s="8" t="s">
        <v>6688</v>
      </c>
      <c r="N1981" s="38"/>
      <c r="O1981" s="8"/>
      <c r="P1981" s="4" t="str">
        <f>VLOOKUP($B1981,'D7 - NDB Impacted SPRF''s'!$E$16:$O$9929,9,FALSE)</f>
        <v>Y</v>
      </c>
      <c r="Q1981" s="4" t="str">
        <f>VLOOKUP($B1981,'D7 - NDB Impacted SPRF''s'!$E$16:$O$9929,10,FALSE)</f>
        <v>N</v>
      </c>
      <c r="R1981" s="4" t="str">
        <f>VLOOKUP($B1981,'D7 - NDB Impacted SPRF''s'!$E$16:$O$9929,11,FALSE)</f>
        <v>N</v>
      </c>
      <c r="S1981" s="8"/>
      <c r="T1981" s="310"/>
      <c r="U1981" s="310"/>
      <c r="V1981" s="4"/>
      <c r="W1981" s="4"/>
      <c r="X1981" s="4"/>
      <c r="Y1981" s="4"/>
      <c r="Z1981" s="4"/>
      <c r="AA1981" s="4"/>
      <c r="AB1981" s="380" t="str">
        <f>VLOOKUP($B1981,'D7 - NDB Impacted SPRF''s'!$E$16:$O$9929,4,FALSE)</f>
        <v>Completed</v>
      </c>
      <c r="AC1981" s="380" t="str">
        <f>VLOOKUP($B1981,'D7 - NDB Impacted SPRF''s'!$E$16:$O$9929,3,FALSE)</f>
        <v>UnitedHealthcare Employer &amp; Individual</v>
      </c>
      <c r="AD1981" s="380" t="str">
        <f>VLOOKUP($B1981,'D7 - NDB Impacted SPRF''s'!$E$16:$O$9929,5,FALSE)</f>
        <v>Process Improvement</v>
      </c>
      <c r="AE1981" s="380" t="str">
        <f>VLOOKUP($B1981,'D7 - NDB Impacted SPRF''s'!$E$16:$O$9929,7,FALSE)</f>
        <v>Patrick Kennedy</v>
      </c>
      <c r="AF1981" s="380" t="str">
        <f>VLOOKUP($B1981,'D7 - NDB Impacted SPRF''s'!$E$16:$O$9929,6,FALSE)</f>
        <v>Jermaine Crooks</v>
      </c>
      <c r="AG1981" s="282"/>
      <c r="AH1981" s="311" t="e">
        <f>INDEX('D5 - Gatekeeper - Projects'!$A$4:$AF$1010,$AM1981, 17)</f>
        <v>#N/A</v>
      </c>
      <c r="AI1981" s="8"/>
      <c r="AJ1981" s="57"/>
      <c r="AK1981" s="105"/>
      <c r="AM1981" s="6" t="e">
        <f>MATCH(D1981,'D5 - Gatekeeper - Projects'!$C$4:$C$1010,0)</f>
        <v>#N/A</v>
      </c>
      <c r="AN1981" s="6" t="b">
        <f t="shared" si="209"/>
        <v>1</v>
      </c>
      <c r="AO1981" s="6" t="str">
        <f t="shared" si="211"/>
        <v>OK</v>
      </c>
      <c r="AQ1981" s="6" t="e">
        <f>MATCH($D1981,'D4 - Provider Council Unsched'!$C$11:$C$234,0)</f>
        <v>#N/A</v>
      </c>
      <c r="AR1981" s="6" t="b">
        <f t="shared" si="210"/>
        <v>1</v>
      </c>
      <c r="AS1981" s="6" t="str">
        <f t="shared" si="213"/>
        <v>OK</v>
      </c>
      <c r="AU1981" s="202"/>
      <c r="AV1981" s="262"/>
      <c r="AW1981" s="274"/>
    </row>
    <row r="1982" spans="1:49" s="13" customFormat="1" ht="33.75" x14ac:dyDescent="0.2">
      <c r="A1982" s="14">
        <v>1958</v>
      </c>
      <c r="B1982" s="14">
        <v>400022311</v>
      </c>
      <c r="C1982" s="8" t="s">
        <v>5197</v>
      </c>
      <c r="D1982" s="4" t="str">
        <f t="shared" si="212"/>
        <v>400022311R1</v>
      </c>
      <c r="E1982" s="309" t="str">
        <f>VLOOKUP($B1982,'D7 - NDB Impacted SPRF''s'!$E$6:$O$9929,2,FALSE)</f>
        <v>B2B/B2C Internal Transaction Reporting Overhaul</v>
      </c>
      <c r="F1982" s="8" t="s">
        <v>2114</v>
      </c>
      <c r="G1982" s="8" t="s">
        <v>4758</v>
      </c>
      <c r="H1982" s="8" t="s">
        <v>4246</v>
      </c>
      <c r="I1982" s="20"/>
      <c r="J1982" s="8"/>
      <c r="K1982" s="182"/>
      <c r="L1982" s="8" t="s">
        <v>4156</v>
      </c>
      <c r="M1982" s="8" t="s">
        <v>2814</v>
      </c>
      <c r="N1982" s="38" t="s">
        <v>1422</v>
      </c>
      <c r="O1982" s="8"/>
      <c r="P1982" s="4" t="str">
        <f>VLOOKUP($B1982,'D7 - NDB Impacted SPRF''s'!$E$16:$O$9929,9,FALSE)</f>
        <v>N</v>
      </c>
      <c r="Q1982" s="4" t="str">
        <f>VLOOKUP($B1982,'D7 - NDB Impacted SPRF''s'!$E$16:$O$9929,10,FALSE)</f>
        <v>N</v>
      </c>
      <c r="R1982" s="4" t="str">
        <f>VLOOKUP($B1982,'D7 - NDB Impacted SPRF''s'!$E$16:$O$9929,11,FALSE)</f>
        <v>N</v>
      </c>
      <c r="S1982" s="8"/>
      <c r="T1982" s="310"/>
      <c r="U1982" s="310"/>
      <c r="V1982" s="4"/>
      <c r="W1982" s="4"/>
      <c r="X1982" s="4"/>
      <c r="Y1982" s="4"/>
      <c r="Z1982" s="4"/>
      <c r="AA1982" s="4"/>
      <c r="AB1982" s="380" t="str">
        <f>VLOOKUP($B1982,'D7 - NDB Impacted SPRF''s'!$E$16:$O$9929,4,FALSE)</f>
        <v>Completed</v>
      </c>
      <c r="AC1982" s="380" t="str">
        <f>VLOOKUP($B1982,'D7 - NDB Impacted SPRF''s'!$E$16:$O$9929,3,FALSE)</f>
        <v>UnitedHealthcare Employer &amp; Individual</v>
      </c>
      <c r="AD1982" s="380" t="str">
        <f>VLOOKUP($B1982,'D7 - NDB Impacted SPRF''s'!$E$16:$O$9929,5,FALSE)</f>
        <v>Process Improvement</v>
      </c>
      <c r="AE1982" s="380" t="str">
        <f>VLOOKUP($B1982,'D7 - NDB Impacted SPRF''s'!$E$16:$O$9929,7,FALSE)</f>
        <v>Randy Jacob</v>
      </c>
      <c r="AF1982" s="380" t="str">
        <f>VLOOKUP($B1982,'D7 - NDB Impacted SPRF''s'!$E$16:$O$9929,6,FALSE)</f>
        <v>Jai Narayanan</v>
      </c>
      <c r="AG1982" s="282"/>
      <c r="AH1982" s="311" t="e">
        <f>INDEX('D5 - Gatekeeper - Projects'!$A$4:$AF$1010,$AM1982, 17)</f>
        <v>#N/A</v>
      </c>
      <c r="AI1982" s="8"/>
      <c r="AJ1982" s="57"/>
      <c r="AK1982" s="105"/>
      <c r="AM1982" s="6" t="e">
        <f>MATCH(D1982,'D5 - Gatekeeper - Projects'!$C$4:$C$1010,0)</f>
        <v>#N/A</v>
      </c>
      <c r="AN1982" s="6" t="b">
        <f t="shared" si="209"/>
        <v>1</v>
      </c>
      <c r="AO1982" s="6" t="str">
        <f t="shared" si="211"/>
        <v>OK</v>
      </c>
      <c r="AQ1982" s="6" t="e">
        <f>MATCH($D1982,'D4 - Provider Council Unsched'!$C$11:$C$234,0)</f>
        <v>#N/A</v>
      </c>
      <c r="AR1982" s="6" t="b">
        <f t="shared" si="210"/>
        <v>1</v>
      </c>
      <c r="AS1982" s="6" t="str">
        <f t="shared" si="213"/>
        <v>OK</v>
      </c>
      <c r="AU1982" s="202"/>
      <c r="AV1982" s="262"/>
      <c r="AW1982" s="274"/>
    </row>
    <row r="1983" spans="1:49" s="13" customFormat="1" ht="33.75" x14ac:dyDescent="0.2">
      <c r="A1983" s="14">
        <v>1959</v>
      </c>
      <c r="B1983" s="14">
        <v>400022801</v>
      </c>
      <c r="C1983" s="8" t="s">
        <v>5197</v>
      </c>
      <c r="D1983" s="4" t="str">
        <f t="shared" si="212"/>
        <v>400022801R1</v>
      </c>
      <c r="E1983" s="309" t="str">
        <f>VLOOKUP($B1983,'D7 - NDB Impacted SPRF''s'!$E$6:$O$9929,2,FALSE)</f>
        <v>EPS - Portal Provider Search Relesae 1 (CST Phase)</v>
      </c>
      <c r="F1983" s="8" t="s">
        <v>2114</v>
      </c>
      <c r="G1983" s="8" t="s">
        <v>4758</v>
      </c>
      <c r="H1983" s="8" t="s">
        <v>4246</v>
      </c>
      <c r="I1983" s="20">
        <f>94/150</f>
        <v>0.62666666666666671</v>
      </c>
      <c r="J1983" s="8" t="s">
        <v>4862</v>
      </c>
      <c r="K1983" s="182"/>
      <c r="L1983" s="8" t="s">
        <v>4156</v>
      </c>
      <c r="M1983" s="8" t="s">
        <v>2814</v>
      </c>
      <c r="N1983" s="38" t="s">
        <v>6242</v>
      </c>
      <c r="O1983" s="8"/>
      <c r="P1983" s="4" t="str">
        <f>VLOOKUP($B1983,'D7 - NDB Impacted SPRF''s'!$E$16:$O$9929,9,FALSE)</f>
        <v>Y</v>
      </c>
      <c r="Q1983" s="4" t="str">
        <f>VLOOKUP($B1983,'D7 - NDB Impacted SPRF''s'!$E$16:$O$9929,10,FALSE)</f>
        <v>N</v>
      </c>
      <c r="R1983" s="4" t="str">
        <f>VLOOKUP($B1983,'D7 - NDB Impacted SPRF''s'!$E$16:$O$9929,11,FALSE)</f>
        <v>N</v>
      </c>
      <c r="S1983" s="8"/>
      <c r="T1983" s="310"/>
      <c r="U1983" s="310"/>
      <c r="V1983" s="4"/>
      <c r="W1983" s="4"/>
      <c r="X1983" s="4"/>
      <c r="Y1983" s="4"/>
      <c r="Z1983" s="4"/>
      <c r="AA1983" s="4"/>
      <c r="AB1983" s="380" t="str">
        <f>VLOOKUP($B1983,'D7 - NDB Impacted SPRF''s'!$E$16:$O$9929,4,FALSE)</f>
        <v>Completed</v>
      </c>
      <c r="AC1983" s="380" t="str">
        <f>VLOOKUP($B1983,'D7 - NDB Impacted SPRF''s'!$E$16:$O$9929,3,FALSE)</f>
        <v>UnitedHealthcare Medicare &amp; Retirement</v>
      </c>
      <c r="AD1983" s="380" t="str">
        <f>VLOOKUP($B1983,'D7 - NDB Impacted SPRF''s'!$E$16:$O$9929,5,FALSE)</f>
        <v>Ovations</v>
      </c>
      <c r="AE1983" s="380" t="str">
        <f>VLOOKUP($B1983,'D7 - NDB Impacted SPRF''s'!$E$16:$O$9929,7,FALSE)</f>
        <v>Adi Codaty</v>
      </c>
      <c r="AF1983" s="380" t="str">
        <f>VLOOKUP($B1983,'D7 - NDB Impacted SPRF''s'!$E$16:$O$9929,6,FALSE)</f>
        <v>MICHAEL WENTZIEN</v>
      </c>
      <c r="AG1983" s="282"/>
      <c r="AH1983" s="311" t="e">
        <f>INDEX('D5 - Gatekeeper - Projects'!$A$4:$AF$1010,$AM1983, 17)</f>
        <v>#N/A</v>
      </c>
      <c r="AI1983" s="8"/>
      <c r="AJ1983" s="57"/>
      <c r="AK1983" s="105"/>
      <c r="AM1983" s="6" t="e">
        <f>MATCH(D1983,'D5 - Gatekeeper - Projects'!$C$4:$C$1010,0)</f>
        <v>#N/A</v>
      </c>
      <c r="AN1983" s="6" t="b">
        <f t="shared" si="209"/>
        <v>1</v>
      </c>
      <c r="AO1983" s="6" t="str">
        <f t="shared" si="211"/>
        <v>OK</v>
      </c>
      <c r="AQ1983" s="6" t="e">
        <f>MATCH($D1983,'D4 - Provider Council Unsched'!$C$11:$C$234,0)</f>
        <v>#N/A</v>
      </c>
      <c r="AR1983" s="6" t="b">
        <f t="shared" si="210"/>
        <v>1</v>
      </c>
      <c r="AS1983" s="6" t="str">
        <f t="shared" si="213"/>
        <v>OK</v>
      </c>
      <c r="AU1983" s="202"/>
      <c r="AV1983" s="262"/>
      <c r="AW1983" s="274"/>
    </row>
    <row r="1984" spans="1:49" s="13" customFormat="1" ht="33.75" x14ac:dyDescent="0.2">
      <c r="A1984" s="14">
        <v>1960</v>
      </c>
      <c r="B1984" s="14">
        <v>400022824</v>
      </c>
      <c r="C1984" s="8" t="s">
        <v>5197</v>
      </c>
      <c r="D1984" s="4" t="str">
        <f t="shared" si="212"/>
        <v>400022824R1</v>
      </c>
      <c r="E1984" s="309" t="str">
        <f>VLOOKUP($B1984,'D7 - NDB Impacted SPRF''s'!$E$6:$O$9929,2,FALSE)</f>
        <v>CAT 2008 End to End Testing Application Estimates</v>
      </c>
      <c r="F1984" s="8" t="s">
        <v>2114</v>
      </c>
      <c r="G1984" s="8" t="s">
        <v>4758</v>
      </c>
      <c r="H1984" s="8" t="s">
        <v>4246</v>
      </c>
      <c r="I1984" s="20">
        <f>40/150</f>
        <v>0.26666666666666666</v>
      </c>
      <c r="J1984" s="8" t="s">
        <v>4862</v>
      </c>
      <c r="K1984" s="182"/>
      <c r="L1984" s="8" t="s">
        <v>4156</v>
      </c>
      <c r="M1984" s="8" t="s">
        <v>6688</v>
      </c>
      <c r="N1984" s="38" t="s">
        <v>7878</v>
      </c>
      <c r="O1984" s="8"/>
      <c r="P1984" s="4" t="str">
        <f>VLOOKUP($B1984,'D7 - NDB Impacted SPRF''s'!$E$16:$O$9929,9,FALSE)</f>
        <v>N</v>
      </c>
      <c r="Q1984" s="4" t="str">
        <f>VLOOKUP($B1984,'D7 - NDB Impacted SPRF''s'!$E$16:$O$9929,10,FALSE)</f>
        <v>N</v>
      </c>
      <c r="R1984" s="4" t="str">
        <f>VLOOKUP($B1984,'D7 - NDB Impacted SPRF''s'!$E$16:$O$9929,11,FALSE)</f>
        <v>N</v>
      </c>
      <c r="S1984" s="8"/>
      <c r="T1984" s="310"/>
      <c r="U1984" s="310"/>
      <c r="V1984" s="4"/>
      <c r="W1984" s="4"/>
      <c r="X1984" s="4"/>
      <c r="Y1984" s="4"/>
      <c r="Z1984" s="4"/>
      <c r="AA1984" s="4"/>
      <c r="AB1984" s="380" t="str">
        <f>VLOOKUP($B1984,'D7 - NDB Impacted SPRF''s'!$E$16:$O$9929,4,FALSE)</f>
        <v>Completed</v>
      </c>
      <c r="AC1984" s="380" t="str">
        <f>VLOOKUP($B1984,'D7 - NDB Impacted SPRF''s'!$E$16:$O$9929,3,FALSE)</f>
        <v>UHG IT - Application Services Group</v>
      </c>
      <c r="AD1984" s="380" t="str">
        <f>VLOOKUP($B1984,'D7 - NDB Impacted SPRF''s'!$E$16:$O$9929,5,FALSE)</f>
        <v>ASG</v>
      </c>
      <c r="AE1984" s="380" t="str">
        <f>VLOOKUP($B1984,'D7 - NDB Impacted SPRF''s'!$E$16:$O$9929,7,FALSE)</f>
        <v>Bob Preston</v>
      </c>
      <c r="AF1984" s="380" t="str">
        <f>VLOOKUP($B1984,'D7 - NDB Impacted SPRF''s'!$E$16:$O$9929,6,FALSE)</f>
        <v>CURT SCHROEDERS</v>
      </c>
      <c r="AG1984" s="282"/>
      <c r="AH1984" s="311" t="e">
        <f>INDEX('D5 - Gatekeeper - Projects'!$A$4:$AF$1010,$AM1984, 17)</f>
        <v>#N/A</v>
      </c>
      <c r="AI1984" s="8"/>
      <c r="AJ1984" s="57"/>
      <c r="AK1984" s="105"/>
      <c r="AM1984" s="6" t="e">
        <f>MATCH(D1984,'D5 - Gatekeeper - Projects'!$C$4:$C$1010,0)</f>
        <v>#N/A</v>
      </c>
      <c r="AN1984" s="6" t="b">
        <f t="shared" si="209"/>
        <v>1</v>
      </c>
      <c r="AO1984" s="6" t="str">
        <f t="shared" si="211"/>
        <v>OK</v>
      </c>
      <c r="AQ1984" s="6" t="e">
        <f>MATCH($D1984,'D4 - Provider Council Unsched'!$C$11:$C$234,0)</f>
        <v>#N/A</v>
      </c>
      <c r="AR1984" s="6" t="b">
        <f t="shared" si="210"/>
        <v>1</v>
      </c>
      <c r="AS1984" s="6" t="str">
        <f t="shared" si="213"/>
        <v>OK</v>
      </c>
      <c r="AU1984" s="202"/>
      <c r="AV1984" s="262"/>
      <c r="AW1984" s="274"/>
    </row>
    <row r="1985" spans="1:49" s="13" customFormat="1" ht="67.5" x14ac:dyDescent="0.2">
      <c r="A1985" s="14">
        <v>1961</v>
      </c>
      <c r="B1985" s="14">
        <v>400022873</v>
      </c>
      <c r="C1985" s="8" t="s">
        <v>5197</v>
      </c>
      <c r="D1985" s="4" t="str">
        <f t="shared" si="212"/>
        <v>400022873R1</v>
      </c>
      <c r="E1985" s="309" t="str">
        <f>VLOOKUP($B1985,'D7 - NDB Impacted SPRF''s'!$E$6:$O$9929,2,FALSE)</f>
        <v>Establish Centralized Automated Regressions</v>
      </c>
      <c r="F1985" s="8" t="s">
        <v>2114</v>
      </c>
      <c r="G1985" s="8" t="s">
        <v>4758</v>
      </c>
      <c r="H1985" s="8" t="s">
        <v>4246</v>
      </c>
      <c r="I1985" s="20">
        <f>158/150</f>
        <v>1.0533333333333332</v>
      </c>
      <c r="J1985" s="8" t="s">
        <v>4862</v>
      </c>
      <c r="K1985" s="182"/>
      <c r="L1985" s="8" t="s">
        <v>4156</v>
      </c>
      <c r="M1985" s="8" t="s">
        <v>2814</v>
      </c>
      <c r="N1985" s="38" t="s">
        <v>5591</v>
      </c>
      <c r="O1985" s="8"/>
      <c r="P1985" s="4" t="str">
        <f>VLOOKUP($B1985,'D7 - NDB Impacted SPRF''s'!$E$16:$O$9929,9,FALSE)</f>
        <v>Y</v>
      </c>
      <c r="Q1985" s="4" t="str">
        <f>VLOOKUP($B1985,'D7 - NDB Impacted SPRF''s'!$E$16:$O$9929,10,FALSE)</f>
        <v>N</v>
      </c>
      <c r="R1985" s="4" t="str">
        <f>VLOOKUP($B1985,'D7 - NDB Impacted SPRF''s'!$E$16:$O$9929,11,FALSE)</f>
        <v>N</v>
      </c>
      <c r="S1985" s="8"/>
      <c r="T1985" s="310"/>
      <c r="U1985" s="310"/>
      <c r="V1985" s="4"/>
      <c r="W1985" s="4"/>
      <c r="X1985" s="4"/>
      <c r="Y1985" s="4"/>
      <c r="Z1985" s="4"/>
      <c r="AA1985" s="4"/>
      <c r="AB1985" s="380" t="str">
        <f>VLOOKUP($B1985,'D7 - NDB Impacted SPRF''s'!$E$16:$O$9929,4,FALSE)</f>
        <v>Completed</v>
      </c>
      <c r="AC1985" s="380" t="str">
        <f>VLOOKUP($B1985,'D7 - NDB Impacted SPRF''s'!$E$16:$O$9929,3,FALSE)</f>
        <v>UHG IT - Application Services Group</v>
      </c>
      <c r="AD1985" s="380" t="str">
        <f>VLOOKUP($B1985,'D7 - NDB Impacted SPRF''s'!$E$16:$O$9929,5,FALSE)</f>
        <v>ASG</v>
      </c>
      <c r="AE1985" s="380" t="str">
        <f>VLOOKUP($B1985,'D7 - NDB Impacted SPRF''s'!$E$16:$O$9929,7,FALSE)</f>
        <v>Bob Preston</v>
      </c>
      <c r="AF1985" s="380" t="str">
        <f>VLOOKUP($B1985,'D7 - NDB Impacted SPRF''s'!$E$16:$O$9929,6,FALSE)</f>
        <v>CURT SCHROEDERS</v>
      </c>
      <c r="AG1985" s="282"/>
      <c r="AH1985" s="311" t="e">
        <f>INDEX('D5 - Gatekeeper - Projects'!$A$4:$AF$1010,$AM1985, 17)</f>
        <v>#N/A</v>
      </c>
      <c r="AI1985" s="8"/>
      <c r="AJ1985" s="57"/>
      <c r="AK1985" s="105"/>
      <c r="AM1985" s="6" t="e">
        <f>MATCH(D1985,'D5 - Gatekeeper - Projects'!$C$4:$C$1010,0)</f>
        <v>#N/A</v>
      </c>
      <c r="AN1985" s="6" t="b">
        <f t="shared" si="209"/>
        <v>1</v>
      </c>
      <c r="AO1985" s="6" t="str">
        <f t="shared" si="211"/>
        <v>OK</v>
      </c>
      <c r="AQ1985" s="6" t="e">
        <f>MATCH($D1985,'D4 - Provider Council Unsched'!$C$11:$C$234,0)</f>
        <v>#N/A</v>
      </c>
      <c r="AR1985" s="6" t="b">
        <f t="shared" si="210"/>
        <v>1</v>
      </c>
      <c r="AS1985" s="6" t="str">
        <f t="shared" si="213"/>
        <v>OK</v>
      </c>
      <c r="AU1985" s="202"/>
      <c r="AV1985" s="262"/>
      <c r="AW1985" s="274"/>
    </row>
    <row r="1986" spans="1:49" s="13" customFormat="1" ht="33.75" x14ac:dyDescent="0.2">
      <c r="A1986" s="14">
        <v>1962</v>
      </c>
      <c r="B1986" s="14">
        <v>400023011</v>
      </c>
      <c r="C1986" s="8" t="s">
        <v>5197</v>
      </c>
      <c r="D1986" s="4" t="str">
        <f t="shared" si="212"/>
        <v>400023011R1</v>
      </c>
      <c r="E1986" s="309" t="str">
        <f>VLOOKUP($B1986,'D7 - NDB Impacted SPRF''s'!$E$6:$O$9929,2,FALSE)</f>
        <v>Migrate Empire TFN to UVP from Unified App</v>
      </c>
      <c r="F1986" s="8" t="s">
        <v>2114</v>
      </c>
      <c r="G1986" s="8" t="s">
        <v>4758</v>
      </c>
      <c r="H1986" s="8" t="s">
        <v>4246</v>
      </c>
      <c r="I1986" s="20">
        <f>59/150</f>
        <v>0.39333333333333331</v>
      </c>
      <c r="J1986" s="8" t="s">
        <v>4862</v>
      </c>
      <c r="K1986" s="182"/>
      <c r="L1986" s="8" t="s">
        <v>4156</v>
      </c>
      <c r="M1986" s="8" t="s">
        <v>6688</v>
      </c>
      <c r="N1986" s="38"/>
      <c r="O1986" s="8"/>
      <c r="P1986" s="4" t="str">
        <f>VLOOKUP($B1986,'D7 - NDB Impacted SPRF''s'!$E$16:$O$9929,9,FALSE)</f>
        <v>N</v>
      </c>
      <c r="Q1986" s="4" t="str">
        <f>VLOOKUP($B1986,'D7 - NDB Impacted SPRF''s'!$E$16:$O$9929,10,FALSE)</f>
        <v>N</v>
      </c>
      <c r="R1986" s="4" t="str">
        <f>VLOOKUP($B1986,'D7 - NDB Impacted SPRF''s'!$E$16:$O$9929,11,FALSE)</f>
        <v>N</v>
      </c>
      <c r="S1986" s="8"/>
      <c r="T1986" s="310"/>
      <c r="U1986" s="310"/>
      <c r="V1986" s="4"/>
      <c r="W1986" s="4"/>
      <c r="X1986" s="4"/>
      <c r="Y1986" s="4"/>
      <c r="Z1986" s="4"/>
      <c r="AA1986" s="4"/>
      <c r="AB1986" s="380" t="str">
        <f>VLOOKUP($B1986,'D7 - NDB Impacted SPRF''s'!$E$16:$O$9929,4,FALSE)</f>
        <v>Completed</v>
      </c>
      <c r="AC1986" s="380" t="str">
        <f>VLOOKUP($B1986,'D7 - NDB Impacted SPRF''s'!$E$16:$O$9929,3,FALSE)</f>
        <v>UnitedHealthcare Employer &amp; Individual</v>
      </c>
      <c r="AD1986" s="380" t="str">
        <f>VLOOKUP($B1986,'D7 - NDB Impacted SPRF''s'!$E$16:$O$9929,5,FALSE)</f>
        <v>Membership Growth / Revenue Programs</v>
      </c>
      <c r="AE1986" s="380" t="str">
        <f>VLOOKUP($B1986,'D7 - NDB Impacted SPRF''s'!$E$16:$O$9929,7,FALSE)</f>
        <v>Laurie Torres</v>
      </c>
      <c r="AF1986" s="380" t="str">
        <f>VLOOKUP($B1986,'D7 - NDB Impacted SPRF''s'!$E$16:$O$9929,6,FALSE)</f>
        <v>JEFFERY GREELY</v>
      </c>
      <c r="AG1986" s="282"/>
      <c r="AH1986" s="311" t="e">
        <f>INDEX('D5 - Gatekeeper - Projects'!$A$4:$AF$1010,$AM1986, 17)</f>
        <v>#N/A</v>
      </c>
      <c r="AI1986" s="8"/>
      <c r="AJ1986" s="57"/>
      <c r="AK1986" s="105"/>
      <c r="AM1986" s="6" t="e">
        <f>MATCH(D1986,'D5 - Gatekeeper - Projects'!$C$4:$C$1010,0)</f>
        <v>#N/A</v>
      </c>
      <c r="AN1986" s="6" t="b">
        <f t="shared" si="209"/>
        <v>1</v>
      </c>
      <c r="AO1986" s="6" t="str">
        <f t="shared" si="211"/>
        <v>OK</v>
      </c>
      <c r="AQ1986" s="6" t="e">
        <f>MATCH($D1986,'D4 - Provider Council Unsched'!$C$11:$C$234,0)</f>
        <v>#N/A</v>
      </c>
      <c r="AR1986" s="6" t="b">
        <f t="shared" si="210"/>
        <v>1</v>
      </c>
      <c r="AS1986" s="6" t="str">
        <f t="shared" si="213"/>
        <v>OK</v>
      </c>
      <c r="AU1986" s="202"/>
      <c r="AV1986" s="262"/>
      <c r="AW1986" s="274"/>
    </row>
    <row r="1987" spans="1:49" s="13" customFormat="1" x14ac:dyDescent="0.2">
      <c r="A1987" s="14">
        <v>1963</v>
      </c>
      <c r="B1987" s="14">
        <v>400023066</v>
      </c>
      <c r="C1987" s="8" t="s">
        <v>5197</v>
      </c>
      <c r="D1987" s="4" t="str">
        <f t="shared" si="212"/>
        <v>400023066R1</v>
      </c>
      <c r="E1987" s="309" t="e">
        <f>VLOOKUP($B1987,'D7 - NDB Impacted SPRF''s'!$E$6:$O$9929,2,FALSE)</f>
        <v>#N/A</v>
      </c>
      <c r="F1987" s="8" t="s">
        <v>2114</v>
      </c>
      <c r="G1987" s="8" t="s">
        <v>4758</v>
      </c>
      <c r="H1987" s="8" t="s">
        <v>4246</v>
      </c>
      <c r="I1987" s="20"/>
      <c r="J1987" s="8"/>
      <c r="K1987" s="182"/>
      <c r="L1987" s="8" t="s">
        <v>4156</v>
      </c>
      <c r="M1987" s="8" t="s">
        <v>2814</v>
      </c>
      <c r="N1987" s="38"/>
      <c r="O1987" s="8"/>
      <c r="P1987" s="4" t="e">
        <f>VLOOKUP($B1987,'D7 - NDB Impacted SPRF''s'!$E$16:$O$9929,9,FALSE)</f>
        <v>#N/A</v>
      </c>
      <c r="Q1987" s="4" t="e">
        <f>VLOOKUP($B1987,'D7 - NDB Impacted SPRF''s'!$E$16:$O$9929,10,FALSE)</f>
        <v>#N/A</v>
      </c>
      <c r="R1987" s="4" t="e">
        <f>VLOOKUP($B1987,'D7 - NDB Impacted SPRF''s'!$E$16:$O$9929,11,FALSE)</f>
        <v>#N/A</v>
      </c>
      <c r="S1987" s="8"/>
      <c r="T1987" s="310"/>
      <c r="U1987" s="310"/>
      <c r="V1987" s="4"/>
      <c r="W1987" s="4"/>
      <c r="X1987" s="4"/>
      <c r="Y1987" s="4"/>
      <c r="Z1987" s="4"/>
      <c r="AA1987" s="4"/>
      <c r="AB1987" s="380" t="e">
        <f>VLOOKUP($B1987,'D7 - NDB Impacted SPRF''s'!$E$16:$O$9929,4,FALSE)</f>
        <v>#N/A</v>
      </c>
      <c r="AC1987" s="380" t="e">
        <f>VLOOKUP($B1987,'D7 - NDB Impacted SPRF''s'!$E$16:$O$9929,3,FALSE)</f>
        <v>#N/A</v>
      </c>
      <c r="AD1987" s="380" t="e">
        <f>VLOOKUP($B1987,'D7 - NDB Impacted SPRF''s'!$E$16:$O$9929,5,FALSE)</f>
        <v>#N/A</v>
      </c>
      <c r="AE1987" s="380" t="e">
        <f>VLOOKUP($B1987,'D7 - NDB Impacted SPRF''s'!$E$16:$O$9929,7,FALSE)</f>
        <v>#N/A</v>
      </c>
      <c r="AF1987" s="380" t="e">
        <f>VLOOKUP($B1987,'D7 - NDB Impacted SPRF''s'!$E$16:$O$9929,6,FALSE)</f>
        <v>#N/A</v>
      </c>
      <c r="AG1987" s="282"/>
      <c r="AH1987" s="311" t="e">
        <f>INDEX('D5 - Gatekeeper - Projects'!$A$4:$AF$1010,$AM1987, 17)</f>
        <v>#N/A</v>
      </c>
      <c r="AI1987" s="8"/>
      <c r="AJ1987" s="57"/>
      <c r="AK1987" s="105"/>
      <c r="AM1987" s="6" t="e">
        <f>MATCH(D1987,'D5 - Gatekeeper - Projects'!$C$4:$C$1010,0)</f>
        <v>#N/A</v>
      </c>
      <c r="AN1987" s="6" t="b">
        <f t="shared" si="209"/>
        <v>1</v>
      </c>
      <c r="AO1987" s="6" t="str">
        <f t="shared" si="211"/>
        <v>OK</v>
      </c>
      <c r="AQ1987" s="6" t="e">
        <f>MATCH($D1987,'D4 - Provider Council Unsched'!$C$11:$C$234,0)</f>
        <v>#N/A</v>
      </c>
      <c r="AR1987" s="6" t="b">
        <f t="shared" si="210"/>
        <v>1</v>
      </c>
      <c r="AS1987" s="6" t="str">
        <f t="shared" si="213"/>
        <v>OK</v>
      </c>
      <c r="AU1987" s="202"/>
      <c r="AV1987" s="262"/>
      <c r="AW1987" s="274"/>
    </row>
    <row r="1988" spans="1:49" s="13" customFormat="1" ht="33.75" x14ac:dyDescent="0.2">
      <c r="A1988" s="14">
        <v>1964</v>
      </c>
      <c r="B1988" s="14">
        <v>400024145</v>
      </c>
      <c r="C1988" s="8" t="s">
        <v>5197</v>
      </c>
      <c r="D1988" s="4" t="str">
        <f t="shared" si="212"/>
        <v>400024145R1</v>
      </c>
      <c r="E1988" s="309" t="str">
        <f>VLOOKUP($B1988,'D7 - NDB Impacted SPRF''s'!$E$6:$O$9929,2,FALSE)</f>
        <v>CT Medicaid Implementation - Cross App</v>
      </c>
      <c r="F1988" s="8" t="s">
        <v>2114</v>
      </c>
      <c r="G1988" s="8" t="s">
        <v>4758</v>
      </c>
      <c r="H1988" s="8" t="s">
        <v>4246</v>
      </c>
      <c r="I1988" s="20">
        <v>1.07</v>
      </c>
      <c r="J1988" s="8" t="s">
        <v>4862</v>
      </c>
      <c r="K1988" s="182"/>
      <c r="L1988" s="8" t="s">
        <v>4156</v>
      </c>
      <c r="M1988" s="8" t="s">
        <v>2814</v>
      </c>
      <c r="N1988" s="38" t="s">
        <v>1948</v>
      </c>
      <c r="O1988" s="8"/>
      <c r="P1988" s="4" t="str">
        <f>VLOOKUP($B1988,'D7 - NDB Impacted SPRF''s'!$E$16:$O$9929,9,FALSE)</f>
        <v>N</v>
      </c>
      <c r="Q1988" s="4" t="str">
        <f>VLOOKUP($B1988,'D7 - NDB Impacted SPRF''s'!$E$16:$O$9929,10,FALSE)</f>
        <v>N</v>
      </c>
      <c r="R1988" s="4" t="str">
        <f>VLOOKUP($B1988,'D7 - NDB Impacted SPRF''s'!$E$16:$O$9929,11,FALSE)</f>
        <v>N</v>
      </c>
      <c r="S1988" s="8"/>
      <c r="T1988" s="310"/>
      <c r="U1988" s="310"/>
      <c r="V1988" s="4"/>
      <c r="W1988" s="4"/>
      <c r="X1988" s="4"/>
      <c r="Y1988" s="4"/>
      <c r="Z1988" s="4"/>
      <c r="AA1988" s="4"/>
      <c r="AB1988" s="380" t="str">
        <f>VLOOKUP($B1988,'D7 - NDB Impacted SPRF''s'!$E$16:$O$9929,4,FALSE)</f>
        <v>Completed</v>
      </c>
      <c r="AC1988" s="380" t="str">
        <f>VLOOKUP($B1988,'D7 - NDB Impacted SPRF''s'!$E$16:$O$9929,3,FALSE)</f>
        <v>UnitedHealthcare Community &amp; State</v>
      </c>
      <c r="AD1988" s="380" t="str">
        <f>VLOOKUP($B1988,'D7 - NDB Impacted SPRF''s'!$E$16:$O$9929,5,FALSE)</f>
        <v>AmeriChoice</v>
      </c>
      <c r="AE1988" s="380" t="str">
        <f>VLOOKUP($B1988,'D7 - NDB Impacted SPRF''s'!$E$16:$O$9929,7,FALSE)</f>
        <v>Jim Donovan</v>
      </c>
      <c r="AF1988" s="380" t="str">
        <f>VLOOKUP($B1988,'D7 - NDB Impacted SPRF''s'!$E$16:$O$9929,6,FALSE)</f>
        <v>David Decker</v>
      </c>
      <c r="AG1988" s="282"/>
      <c r="AH1988" s="311" t="e">
        <f>INDEX('D5 - Gatekeeper - Projects'!$A$4:$AF$1010,$AM1988, 17)</f>
        <v>#N/A</v>
      </c>
      <c r="AI1988" s="8"/>
      <c r="AJ1988" s="57"/>
      <c r="AK1988" s="105"/>
      <c r="AM1988" s="6" t="e">
        <f>MATCH(D1988,'D5 - Gatekeeper - Projects'!$C$4:$C$1010,0)</f>
        <v>#N/A</v>
      </c>
      <c r="AN1988" s="6" t="b">
        <f t="shared" si="209"/>
        <v>1</v>
      </c>
      <c r="AO1988" s="6" t="str">
        <f t="shared" si="211"/>
        <v>OK</v>
      </c>
      <c r="AQ1988" s="6" t="e">
        <f>MATCH($D1988,'D4 - Provider Council Unsched'!$C$11:$C$234,0)</f>
        <v>#N/A</v>
      </c>
      <c r="AR1988" s="6" t="b">
        <f t="shared" si="210"/>
        <v>1</v>
      </c>
      <c r="AS1988" s="6" t="str">
        <f t="shared" si="213"/>
        <v>OK</v>
      </c>
      <c r="AU1988" s="202"/>
      <c r="AV1988" s="262"/>
      <c r="AW1988" s="274"/>
    </row>
    <row r="1989" spans="1:49" s="13" customFormat="1" ht="33.75" x14ac:dyDescent="0.2">
      <c r="A1989" s="14">
        <v>1965</v>
      </c>
      <c r="B1989" s="14">
        <v>400024505</v>
      </c>
      <c r="C1989" s="8" t="s">
        <v>5197</v>
      </c>
      <c r="D1989" s="4" t="str">
        <f t="shared" si="212"/>
        <v>400024505R1</v>
      </c>
      <c r="E1989" s="309" t="str">
        <f>VLOOKUP($B1989,'D7 - NDB Impacted SPRF''s'!$E$6:$O$9929,2,FALSE)</f>
        <v>UPCSA - OAO Feasibility Study</v>
      </c>
      <c r="F1989" s="8" t="s">
        <v>8133</v>
      </c>
      <c r="G1989" s="8" t="s">
        <v>4758</v>
      </c>
      <c r="H1989" s="8" t="s">
        <v>4246</v>
      </c>
      <c r="I1989" s="20">
        <f>128/150</f>
        <v>0.85333333333333339</v>
      </c>
      <c r="J1989" s="8" t="s">
        <v>4862</v>
      </c>
      <c r="K1989" s="182"/>
      <c r="L1989" s="8" t="s">
        <v>4156</v>
      </c>
      <c r="M1989" s="8" t="s">
        <v>6688</v>
      </c>
      <c r="N1989" s="38" t="s">
        <v>6050</v>
      </c>
      <c r="O1989" s="8"/>
      <c r="P1989" s="4" t="str">
        <f>VLOOKUP($B1989,'D7 - NDB Impacted SPRF''s'!$E$16:$O$9929,9,FALSE)</f>
        <v>Y</v>
      </c>
      <c r="Q1989" s="4" t="str">
        <f>VLOOKUP($B1989,'D7 - NDB Impacted SPRF''s'!$E$16:$O$9929,10,FALSE)</f>
        <v>N</v>
      </c>
      <c r="R1989" s="4" t="str">
        <f>VLOOKUP($B1989,'D7 - NDB Impacted SPRF''s'!$E$16:$O$9929,11,FALSE)</f>
        <v>N</v>
      </c>
      <c r="S1989" s="8"/>
      <c r="T1989" s="310"/>
      <c r="U1989" s="310"/>
      <c r="V1989" s="4"/>
      <c r="W1989" s="4"/>
      <c r="X1989" s="4"/>
      <c r="Y1989" s="4"/>
      <c r="Z1989" s="4"/>
      <c r="AA1989" s="4"/>
      <c r="AB1989" s="380" t="str">
        <f>VLOOKUP($B1989,'D7 - NDB Impacted SPRF''s'!$E$16:$O$9929,4,FALSE)</f>
        <v>Completed</v>
      </c>
      <c r="AC1989" s="380" t="str">
        <f>VLOOKUP($B1989,'D7 - NDB Impacted SPRF''s'!$E$16:$O$9929,3,FALSE)</f>
        <v>UnitedHealthcare Employer &amp; Individual</v>
      </c>
      <c r="AD1989" s="380" t="str">
        <f>VLOOKUP($B1989,'D7 - NDB Impacted SPRF''s'!$E$16:$O$9929,5,FALSE)</f>
        <v>Process Improvement</v>
      </c>
      <c r="AE1989" s="380" t="str">
        <f>VLOOKUP($B1989,'D7 - NDB Impacted SPRF''s'!$E$16:$O$9929,7,FALSE)</f>
        <v>Margaret Bottazzi</v>
      </c>
      <c r="AF1989" s="380" t="str">
        <f>VLOOKUP($B1989,'D7 - NDB Impacted SPRF''s'!$E$16:$O$9929,6,FALSE)</f>
        <v>Jermaine Crooks</v>
      </c>
      <c r="AG1989" s="282"/>
      <c r="AH1989" s="311" t="e">
        <f>INDEX('D5 - Gatekeeper - Projects'!$A$4:$AF$1010,$AM1989, 17)</f>
        <v>#N/A</v>
      </c>
      <c r="AI1989" s="8"/>
      <c r="AJ1989" s="57"/>
      <c r="AK1989" s="105"/>
      <c r="AM1989" s="6" t="e">
        <f>MATCH(D1989,'D5 - Gatekeeper - Projects'!$C$4:$C$1010,0)</f>
        <v>#N/A</v>
      </c>
      <c r="AN1989" s="6" t="b">
        <f t="shared" si="209"/>
        <v>1</v>
      </c>
      <c r="AO1989" s="6" t="str">
        <f t="shared" si="211"/>
        <v>OK</v>
      </c>
      <c r="AQ1989" s="6" t="e">
        <f>MATCH($D1989,'D4 - Provider Council Unsched'!$C$11:$C$234,0)</f>
        <v>#N/A</v>
      </c>
      <c r="AR1989" s="6" t="b">
        <f t="shared" si="210"/>
        <v>1</v>
      </c>
      <c r="AS1989" s="6" t="str">
        <f t="shared" si="213"/>
        <v>OK</v>
      </c>
      <c r="AU1989" s="202"/>
      <c r="AV1989" s="262"/>
      <c r="AW1989" s="274"/>
    </row>
    <row r="1990" spans="1:49" s="13" customFormat="1" ht="33.75" x14ac:dyDescent="0.2">
      <c r="A1990" s="14">
        <v>1966</v>
      </c>
      <c r="B1990" s="14">
        <v>400025084</v>
      </c>
      <c r="C1990" s="8" t="s">
        <v>5197</v>
      </c>
      <c r="D1990" s="4" t="str">
        <f t="shared" si="212"/>
        <v>400025084R1</v>
      </c>
      <c r="E1990" s="309" t="str">
        <f>VLOOKUP($B1990,'D7 - NDB Impacted SPRF''s'!$E$6:$O$9929,2,FALSE)</f>
        <v>Additional NY analysis for NDB EA for AmeriChoice</v>
      </c>
      <c r="F1990" s="8" t="s">
        <v>2114</v>
      </c>
      <c r="G1990" s="8" t="s">
        <v>4758</v>
      </c>
      <c r="H1990" s="8" t="s">
        <v>4246</v>
      </c>
      <c r="I1990" s="20">
        <f>144/160</f>
        <v>0.9</v>
      </c>
      <c r="J1990" s="8" t="s">
        <v>4862</v>
      </c>
      <c r="K1990" s="182"/>
      <c r="L1990" s="8" t="s">
        <v>4156</v>
      </c>
      <c r="M1990" s="8" t="s">
        <v>6688</v>
      </c>
      <c r="N1990" s="38" t="s">
        <v>5592</v>
      </c>
      <c r="O1990" s="8"/>
      <c r="P1990" s="4" t="str">
        <f>VLOOKUP($B1990,'D7 - NDB Impacted SPRF''s'!$E$16:$O$9929,9,FALSE)</f>
        <v>N</v>
      </c>
      <c r="Q1990" s="4" t="str">
        <f>VLOOKUP($B1990,'D7 - NDB Impacted SPRF''s'!$E$16:$O$9929,10,FALSE)</f>
        <v>N</v>
      </c>
      <c r="R1990" s="4" t="str">
        <f>VLOOKUP($B1990,'D7 - NDB Impacted SPRF''s'!$E$16:$O$9929,11,FALSE)</f>
        <v>N</v>
      </c>
      <c r="S1990" s="8"/>
      <c r="T1990" s="310"/>
      <c r="U1990" s="310"/>
      <c r="V1990" s="4"/>
      <c r="W1990" s="4"/>
      <c r="X1990" s="4"/>
      <c r="Y1990" s="4"/>
      <c r="Z1990" s="4"/>
      <c r="AA1990" s="4"/>
      <c r="AB1990" s="380" t="str">
        <f>VLOOKUP($B1990,'D7 - NDB Impacted SPRF''s'!$E$16:$O$9929,4,FALSE)</f>
        <v>Completed</v>
      </c>
      <c r="AC1990" s="380" t="str">
        <f>VLOOKUP($B1990,'D7 - NDB Impacted SPRF''s'!$E$16:$O$9929,3,FALSE)</f>
        <v>UnitedHealthcare Community &amp; State</v>
      </c>
      <c r="AD1990" s="380" t="str">
        <f>VLOOKUP($B1990,'D7 - NDB Impacted SPRF''s'!$E$16:$O$9929,5,FALSE)</f>
        <v>AmeriChoice</v>
      </c>
      <c r="AE1990" s="380" t="str">
        <f>VLOOKUP($B1990,'D7 - NDB Impacted SPRF''s'!$E$16:$O$9929,7,FALSE)</f>
        <v>Garfield Collins</v>
      </c>
      <c r="AF1990" s="380" t="str">
        <f>VLOOKUP($B1990,'D7 - NDB Impacted SPRF''s'!$E$16:$O$9929,6,FALSE)</f>
        <v>John Lewis</v>
      </c>
      <c r="AG1990" s="282"/>
      <c r="AH1990" s="311" t="e">
        <f>INDEX('D5 - Gatekeeper - Projects'!$A$4:$AF$1010,$AM1990, 17)</f>
        <v>#N/A</v>
      </c>
      <c r="AI1990" s="8"/>
      <c r="AJ1990" s="57"/>
      <c r="AK1990" s="105"/>
      <c r="AM1990" s="6" t="e">
        <f>MATCH(D1990,'D5 - Gatekeeper - Projects'!$C$4:$C$1010,0)</f>
        <v>#N/A</v>
      </c>
      <c r="AN1990" s="6" t="b">
        <f t="shared" si="209"/>
        <v>1</v>
      </c>
      <c r="AO1990" s="6" t="str">
        <f t="shared" si="211"/>
        <v>OK</v>
      </c>
      <c r="AQ1990" s="6" t="e">
        <f>MATCH($D1990,'D4 - Provider Council Unsched'!$C$11:$C$234,0)</f>
        <v>#N/A</v>
      </c>
      <c r="AR1990" s="6" t="b">
        <f t="shared" si="210"/>
        <v>1</v>
      </c>
      <c r="AS1990" s="6" t="str">
        <f t="shared" si="213"/>
        <v>OK</v>
      </c>
      <c r="AU1990" s="202"/>
      <c r="AV1990" s="262"/>
      <c r="AW1990" s="274"/>
    </row>
    <row r="1991" spans="1:49" s="13" customFormat="1" ht="45" x14ac:dyDescent="0.2">
      <c r="A1991" s="14">
        <v>1967</v>
      </c>
      <c r="B1991" s="14">
        <v>400025370</v>
      </c>
      <c r="C1991" s="8" t="s">
        <v>5197</v>
      </c>
      <c r="D1991" s="4" t="str">
        <f t="shared" si="212"/>
        <v>400025370R1</v>
      </c>
      <c r="E1991" s="309" t="str">
        <f>VLOOKUP($B1991,'D7 - NDB Impacted SPRF''s'!$E$6:$O$9929,2,FALSE)</f>
        <v xml:space="preserve">UHG-Cisco Telemedicine Pilot </v>
      </c>
      <c r="F1991" s="8" t="s">
        <v>2114</v>
      </c>
      <c r="G1991" s="8" t="s">
        <v>4758</v>
      </c>
      <c r="H1991" s="8" t="s">
        <v>4246</v>
      </c>
      <c r="I1991" s="20"/>
      <c r="J1991" s="8"/>
      <c r="K1991" s="182"/>
      <c r="L1991" s="8" t="s">
        <v>4156</v>
      </c>
      <c r="M1991" s="8" t="s">
        <v>2814</v>
      </c>
      <c r="N1991" s="38" t="s">
        <v>2060</v>
      </c>
      <c r="O1991" s="8"/>
      <c r="P1991" s="4" t="str">
        <f>VLOOKUP($B1991,'D7 - NDB Impacted SPRF''s'!$E$16:$O$9929,9,FALSE)</f>
        <v>N</v>
      </c>
      <c r="Q1991" s="4" t="str">
        <f>VLOOKUP($B1991,'D7 - NDB Impacted SPRF''s'!$E$16:$O$9929,10,FALSE)</f>
        <v>N</v>
      </c>
      <c r="R1991" s="4" t="str">
        <f>VLOOKUP($B1991,'D7 - NDB Impacted SPRF''s'!$E$16:$O$9929,11,FALSE)</f>
        <v>N</v>
      </c>
      <c r="S1991" s="8"/>
      <c r="T1991" s="310"/>
      <c r="U1991" s="310"/>
      <c r="V1991" s="4"/>
      <c r="W1991" s="4"/>
      <c r="X1991" s="4"/>
      <c r="Y1991" s="4"/>
      <c r="Z1991" s="4"/>
      <c r="AA1991" s="4"/>
      <c r="AB1991" s="380" t="str">
        <f>VLOOKUP($B1991,'D7 - NDB Impacted SPRF''s'!$E$16:$O$9929,4,FALSE)</f>
        <v>Cancelled</v>
      </c>
      <c r="AC1991" s="380" t="str">
        <f>VLOOKUP($B1991,'D7 - NDB Impacted SPRF''s'!$E$16:$O$9929,3,FALSE)</f>
        <v>UHG IT - Enterprise Technology Services</v>
      </c>
      <c r="AD1991" s="380" t="str">
        <f>VLOOKUP($B1991,'D7 - NDB Impacted SPRF''s'!$E$16:$O$9929,5,FALSE)</f>
        <v>IRD</v>
      </c>
      <c r="AE1991" s="380" t="str">
        <f>VLOOKUP($B1991,'D7 - NDB Impacted SPRF''s'!$E$16:$O$9929,7,FALSE)</f>
        <v>Bud Flagstad</v>
      </c>
      <c r="AF1991" s="380" t="str">
        <f>VLOOKUP($B1991,'D7 - NDB Impacted SPRF''s'!$E$16:$O$9929,6,FALSE)</f>
        <v>Brian Horn</v>
      </c>
      <c r="AG1991" s="282"/>
      <c r="AH1991" s="311" t="e">
        <f>INDEX('D5 - Gatekeeper - Projects'!$A$4:$AF$1010,$AM1991, 17)</f>
        <v>#N/A</v>
      </c>
      <c r="AI1991" s="8"/>
      <c r="AJ1991" s="57"/>
      <c r="AK1991" s="105"/>
      <c r="AM1991" s="6" t="e">
        <f>MATCH(D1991,'D5 - Gatekeeper - Projects'!$C$4:$C$1010,0)</f>
        <v>#N/A</v>
      </c>
      <c r="AN1991" s="6" t="b">
        <f t="shared" si="209"/>
        <v>1</v>
      </c>
      <c r="AO1991" s="6" t="str">
        <f t="shared" si="211"/>
        <v>OK</v>
      </c>
      <c r="AQ1991" s="6" t="e">
        <f>MATCH($D1991,'D4 - Provider Council Unsched'!$C$11:$C$234,0)</f>
        <v>#N/A</v>
      </c>
      <c r="AR1991" s="6" t="b">
        <f t="shared" si="210"/>
        <v>1</v>
      </c>
      <c r="AS1991" s="6" t="str">
        <f t="shared" si="213"/>
        <v>OK</v>
      </c>
      <c r="AU1991" s="202"/>
      <c r="AV1991" s="262"/>
      <c r="AW1991" s="274"/>
    </row>
    <row r="1992" spans="1:49" s="13" customFormat="1" x14ac:dyDescent="0.2">
      <c r="A1992" s="14">
        <v>1968</v>
      </c>
      <c r="B1992" s="14">
        <v>400025466</v>
      </c>
      <c r="C1992" s="8" t="s">
        <v>5197</v>
      </c>
      <c r="D1992" s="4" t="str">
        <f t="shared" si="212"/>
        <v>400025466R1</v>
      </c>
      <c r="E1992" s="309" t="e">
        <f>VLOOKUP($B1992,'D7 - NDB Impacted SPRF''s'!$E$6:$O$9929,2,FALSE)</f>
        <v>#N/A</v>
      </c>
      <c r="F1992" s="8" t="s">
        <v>2464</v>
      </c>
      <c r="G1992" s="8" t="s">
        <v>4758</v>
      </c>
      <c r="H1992" s="8" t="s">
        <v>4246</v>
      </c>
      <c r="I1992" s="20"/>
      <c r="J1992" s="8"/>
      <c r="K1992" s="182"/>
      <c r="L1992" s="8" t="s">
        <v>4156</v>
      </c>
      <c r="M1992" s="8" t="s">
        <v>2814</v>
      </c>
      <c r="N1992" s="38"/>
      <c r="O1992" s="8"/>
      <c r="P1992" s="4" t="e">
        <f>VLOOKUP($B1992,'D7 - NDB Impacted SPRF''s'!$E$16:$O$9929,9,FALSE)</f>
        <v>#N/A</v>
      </c>
      <c r="Q1992" s="4" t="e">
        <f>VLOOKUP($B1992,'D7 - NDB Impacted SPRF''s'!$E$16:$O$9929,10,FALSE)</f>
        <v>#N/A</v>
      </c>
      <c r="R1992" s="4" t="e">
        <f>VLOOKUP($B1992,'D7 - NDB Impacted SPRF''s'!$E$16:$O$9929,11,FALSE)</f>
        <v>#N/A</v>
      </c>
      <c r="S1992" s="8"/>
      <c r="T1992" s="310"/>
      <c r="U1992" s="310"/>
      <c r="V1992" s="4"/>
      <c r="W1992" s="4"/>
      <c r="X1992" s="4"/>
      <c r="Y1992" s="4"/>
      <c r="Z1992" s="4"/>
      <c r="AA1992" s="4"/>
      <c r="AB1992" s="380" t="e">
        <f>VLOOKUP($B1992,'D7 - NDB Impacted SPRF''s'!$E$16:$O$9929,4,FALSE)</f>
        <v>#N/A</v>
      </c>
      <c r="AC1992" s="380" t="e">
        <f>VLOOKUP($B1992,'D7 - NDB Impacted SPRF''s'!$E$16:$O$9929,3,FALSE)</f>
        <v>#N/A</v>
      </c>
      <c r="AD1992" s="380" t="e">
        <f>VLOOKUP($B1992,'D7 - NDB Impacted SPRF''s'!$E$16:$O$9929,5,FALSE)</f>
        <v>#N/A</v>
      </c>
      <c r="AE1992" s="380" t="e">
        <f>VLOOKUP($B1992,'D7 - NDB Impacted SPRF''s'!$E$16:$O$9929,7,FALSE)</f>
        <v>#N/A</v>
      </c>
      <c r="AF1992" s="380" t="e">
        <f>VLOOKUP($B1992,'D7 - NDB Impacted SPRF''s'!$E$16:$O$9929,6,FALSE)</f>
        <v>#N/A</v>
      </c>
      <c r="AG1992" s="282"/>
      <c r="AH1992" s="311" t="e">
        <f>INDEX('D5 - Gatekeeper - Projects'!$A$4:$AF$1010,$AM1992, 17)</f>
        <v>#N/A</v>
      </c>
      <c r="AI1992" s="8"/>
      <c r="AJ1992" s="57"/>
      <c r="AK1992" s="105"/>
      <c r="AM1992" s="6" t="e">
        <f>MATCH(D1992,'D5 - Gatekeeper - Projects'!$C$4:$C$1010,0)</f>
        <v>#N/A</v>
      </c>
      <c r="AN1992" s="6" t="b">
        <f t="shared" si="209"/>
        <v>1</v>
      </c>
      <c r="AO1992" s="6" t="str">
        <f t="shared" si="211"/>
        <v>OK</v>
      </c>
      <c r="AQ1992" s="6" t="e">
        <f>MATCH($D1992,'D4 - Provider Council Unsched'!$C$11:$C$234,0)</f>
        <v>#N/A</v>
      </c>
      <c r="AR1992" s="6" t="b">
        <f t="shared" si="210"/>
        <v>1</v>
      </c>
      <c r="AS1992" s="6" t="str">
        <f t="shared" si="213"/>
        <v>OK</v>
      </c>
      <c r="AU1992" s="202"/>
      <c r="AV1992" s="262"/>
      <c r="AW1992" s="274"/>
    </row>
    <row r="1993" spans="1:49" s="13" customFormat="1" ht="33.75" x14ac:dyDescent="0.2">
      <c r="A1993" s="14">
        <v>1969</v>
      </c>
      <c r="B1993" s="14">
        <v>400025511</v>
      </c>
      <c r="C1993" s="8" t="s">
        <v>5197</v>
      </c>
      <c r="D1993" s="4" t="str">
        <f t="shared" si="212"/>
        <v>400025511R1</v>
      </c>
      <c r="E1993" s="309" t="str">
        <f>VLOOKUP($B1993,'D7 - NDB Impacted SPRF''s'!$E$6:$O$9929,2,FALSE)</f>
        <v>Unit Truncation Issue</v>
      </c>
      <c r="F1993" s="8" t="s">
        <v>7989</v>
      </c>
      <c r="G1993" s="8" t="s">
        <v>4758</v>
      </c>
      <c r="H1993" s="8" t="s">
        <v>4246</v>
      </c>
      <c r="I1993" s="20"/>
      <c r="J1993" s="8"/>
      <c r="K1993" s="182"/>
      <c r="L1993" s="8" t="s">
        <v>4156</v>
      </c>
      <c r="M1993" s="8" t="s">
        <v>2814</v>
      </c>
      <c r="N1993" s="38"/>
      <c r="O1993" s="8"/>
      <c r="P1993" s="4" t="str">
        <f>VLOOKUP($B1993,'D7 - NDB Impacted SPRF''s'!$E$16:$O$9929,9,FALSE)</f>
        <v>Y</v>
      </c>
      <c r="Q1993" s="4" t="str">
        <f>VLOOKUP($B1993,'D7 - NDB Impacted SPRF''s'!$E$16:$O$9929,10,FALSE)</f>
        <v>N</v>
      </c>
      <c r="R1993" s="4" t="str">
        <f>VLOOKUP($B1993,'D7 - NDB Impacted SPRF''s'!$E$16:$O$9929,11,FALSE)</f>
        <v>Y</v>
      </c>
      <c r="S1993" s="8"/>
      <c r="T1993" s="310"/>
      <c r="U1993" s="310"/>
      <c r="V1993" s="4"/>
      <c r="W1993" s="4"/>
      <c r="X1993" s="4"/>
      <c r="Y1993" s="4"/>
      <c r="Z1993" s="4"/>
      <c r="AA1993" s="4"/>
      <c r="AB1993" s="380" t="str">
        <f>VLOOKUP($B1993,'D7 - NDB Impacted SPRF''s'!$E$16:$O$9929,4,FALSE)</f>
        <v>Completed</v>
      </c>
      <c r="AC1993" s="380" t="str">
        <f>VLOOKUP($B1993,'D7 - NDB Impacted SPRF''s'!$E$16:$O$9929,3,FALSE)</f>
        <v>UnitedHealthcare Employer &amp; Individual</v>
      </c>
      <c r="AD1993" s="380" t="str">
        <f>VLOOKUP($B1993,'D7 - NDB Impacted SPRF''s'!$E$16:$O$9929,5,FALSE)</f>
        <v>Medical Cost Savings Programs</v>
      </c>
      <c r="AE1993" s="380" t="str">
        <f>VLOOKUP($B1993,'D7 - NDB Impacted SPRF''s'!$E$16:$O$9929,7,FALSE)</f>
        <v>Randy Falkenrath</v>
      </c>
      <c r="AF1993" s="380" t="str">
        <f>VLOOKUP($B1993,'D7 - NDB Impacted SPRF''s'!$E$16:$O$9929,6,FALSE)</f>
        <v>Yvonne Tavis</v>
      </c>
      <c r="AG1993" s="282"/>
      <c r="AH1993" s="311" t="e">
        <f>INDEX('D5 - Gatekeeper - Projects'!$A$4:$AF$1010,$AM1993, 17)</f>
        <v>#N/A</v>
      </c>
      <c r="AI1993" s="8"/>
      <c r="AJ1993" s="57"/>
      <c r="AK1993" s="105"/>
      <c r="AL1993" s="49"/>
      <c r="AM1993" s="46" t="e">
        <f>MATCH(D1993,'D5 - Gatekeeper - Projects'!$C$4:$C$1010,0)</f>
        <v>#N/A</v>
      </c>
      <c r="AN1993" s="47"/>
      <c r="AO1993" s="47"/>
      <c r="AP1993" s="49"/>
      <c r="AQ1993" s="6" t="e">
        <f>MATCH($D1993,'D4 - Provider Council Unsched'!$C$11:$C$234,0)</f>
        <v>#N/A</v>
      </c>
      <c r="AR1993" s="47"/>
      <c r="AS1993" s="47"/>
      <c r="AU1993" s="202"/>
      <c r="AV1993" s="262"/>
      <c r="AW1993" s="274"/>
    </row>
    <row r="1994" spans="1:49" s="13" customFormat="1" x14ac:dyDescent="0.2">
      <c r="A1994" s="14">
        <v>1970</v>
      </c>
      <c r="B1994" s="14">
        <v>400025527</v>
      </c>
      <c r="C1994" s="8" t="s">
        <v>5197</v>
      </c>
      <c r="D1994" s="4" t="str">
        <f t="shared" si="212"/>
        <v>400025527R1</v>
      </c>
      <c r="E1994" s="309" t="s">
        <v>2205</v>
      </c>
      <c r="F1994" s="8" t="s">
        <v>5096</v>
      </c>
      <c r="G1994" s="8" t="s">
        <v>4758</v>
      </c>
      <c r="H1994" s="8" t="s">
        <v>4246</v>
      </c>
      <c r="I1994" s="20">
        <v>2.73</v>
      </c>
      <c r="J1994" s="8" t="s">
        <v>4862</v>
      </c>
      <c r="K1994" s="182"/>
      <c r="L1994" s="8" t="s">
        <v>4156</v>
      </c>
      <c r="M1994" s="8" t="s">
        <v>6688</v>
      </c>
      <c r="N1994" s="38" t="s">
        <v>8012</v>
      </c>
      <c r="O1994" s="8"/>
      <c r="P1994" s="4" t="e">
        <f>VLOOKUP($B1994,'D7 - NDB Impacted SPRF''s'!$E$16:$O$9929,9,FALSE)</f>
        <v>#N/A</v>
      </c>
      <c r="Q1994" s="4" t="e">
        <f>VLOOKUP($B1994,'D7 - NDB Impacted SPRF''s'!$E$16:$O$9929,10,FALSE)</f>
        <v>#N/A</v>
      </c>
      <c r="R1994" s="4" t="e">
        <f>VLOOKUP($B1994,'D7 - NDB Impacted SPRF''s'!$E$16:$O$9929,11,FALSE)</f>
        <v>#N/A</v>
      </c>
      <c r="S1994" s="8"/>
      <c r="T1994" s="310"/>
      <c r="U1994" s="310"/>
      <c r="V1994" s="4"/>
      <c r="W1994" s="4"/>
      <c r="X1994" s="4"/>
      <c r="Y1994" s="4"/>
      <c r="Z1994" s="4"/>
      <c r="AA1994" s="4"/>
      <c r="AB1994" s="380" t="e">
        <f>VLOOKUP($B1994,'D7 - NDB Impacted SPRF''s'!$E$16:$O$9929,4,FALSE)</f>
        <v>#N/A</v>
      </c>
      <c r="AC1994" s="380" t="e">
        <f>VLOOKUP($B1994,'D7 - NDB Impacted SPRF''s'!$E$16:$O$9929,3,FALSE)</f>
        <v>#N/A</v>
      </c>
      <c r="AD1994" s="380" t="e">
        <f>VLOOKUP($B1994,'D7 - NDB Impacted SPRF''s'!$E$16:$O$9929,5,FALSE)</f>
        <v>#N/A</v>
      </c>
      <c r="AE1994" s="380" t="e">
        <f>VLOOKUP($B1994,'D7 - NDB Impacted SPRF''s'!$E$16:$O$9929,7,FALSE)</f>
        <v>#N/A</v>
      </c>
      <c r="AF1994" s="380" t="e">
        <f>VLOOKUP($B1994,'D7 - NDB Impacted SPRF''s'!$E$16:$O$9929,6,FALSE)</f>
        <v>#N/A</v>
      </c>
      <c r="AG1994" s="282"/>
      <c r="AH1994" s="311" t="e">
        <f>INDEX('D5 - Gatekeeper - Projects'!$A$4:$AF$1010,$AM1994, 17)</f>
        <v>#N/A</v>
      </c>
      <c r="AI1994" s="8"/>
      <c r="AJ1994" s="57"/>
      <c r="AK1994" s="105"/>
      <c r="AM1994" s="6" t="e">
        <f>MATCH(D1994,'D5 - Gatekeeper - Projects'!$C$4:$C$1010,0)</f>
        <v>#N/A</v>
      </c>
      <c r="AN1994" s="6" t="b">
        <f t="shared" ref="AN1994:AN2057" si="214">ISERROR(AM1994)</f>
        <v>1</v>
      </c>
      <c r="AO1994" s="6" t="str">
        <f t="shared" ref="AO1994:AO2057" si="215">IF(AND(H1994="1 - Scheduled",AN1994=TRUE),"Add","OK")</f>
        <v>OK</v>
      </c>
      <c r="AQ1994" s="6" t="e">
        <f>MATCH($D1994,'D4 - Provider Council Unsched'!$C$11:$C$234,0)</f>
        <v>#N/A</v>
      </c>
      <c r="AR1994" s="6" t="b">
        <f t="shared" ref="AR1994:AR2057" si="216">ISERROR(AQ1994)</f>
        <v>1</v>
      </c>
      <c r="AS1994" s="6" t="str">
        <f>IF(AND(H1994="2 - Not Scheduled",AR1994=TRUE),"Add","OK")</f>
        <v>OK</v>
      </c>
      <c r="AU1994" s="202"/>
      <c r="AV1994" s="262"/>
      <c r="AW1994" s="274"/>
    </row>
    <row r="1995" spans="1:49" s="13" customFormat="1" ht="33.75" x14ac:dyDescent="0.2">
      <c r="A1995" s="14">
        <v>1971</v>
      </c>
      <c r="B1995" s="14">
        <v>400025619</v>
      </c>
      <c r="C1995" s="8" t="s">
        <v>5197</v>
      </c>
      <c r="D1995" s="4" t="str">
        <f t="shared" si="212"/>
        <v>400025619R1</v>
      </c>
      <c r="E1995" s="309" t="str">
        <f>VLOOKUP($B1995,'D7 - NDB Impacted SPRF''s'!$E$6:$O$9929,2,FALSE)</f>
        <v>UHG IT Knowledge Management Pilot Program</v>
      </c>
      <c r="F1995" s="8" t="s">
        <v>8133</v>
      </c>
      <c r="G1995" s="8" t="s">
        <v>4758</v>
      </c>
      <c r="H1995" s="8" t="s">
        <v>4246</v>
      </c>
      <c r="I1995" s="20"/>
      <c r="J1995" s="8"/>
      <c r="K1995" s="182"/>
      <c r="L1995" s="8" t="s">
        <v>4156</v>
      </c>
      <c r="M1995" s="8" t="s">
        <v>2814</v>
      </c>
      <c r="N1995" s="38" t="s">
        <v>1054</v>
      </c>
      <c r="O1995" s="8"/>
      <c r="P1995" s="4" t="str">
        <f>VLOOKUP($B1995,'D7 - NDB Impacted SPRF''s'!$E$16:$O$9929,9,FALSE)</f>
        <v>Y</v>
      </c>
      <c r="Q1995" s="4" t="str">
        <f>VLOOKUP($B1995,'D7 - NDB Impacted SPRF''s'!$E$16:$O$9929,10,FALSE)</f>
        <v>N</v>
      </c>
      <c r="R1995" s="4" t="str">
        <f>VLOOKUP($B1995,'D7 - NDB Impacted SPRF''s'!$E$16:$O$9929,11,FALSE)</f>
        <v>N</v>
      </c>
      <c r="S1995" s="8"/>
      <c r="T1995" s="310"/>
      <c r="U1995" s="310"/>
      <c r="V1995" s="4"/>
      <c r="W1995" s="4"/>
      <c r="X1995" s="4"/>
      <c r="Y1995" s="4"/>
      <c r="Z1995" s="4"/>
      <c r="AA1995" s="4"/>
      <c r="AB1995" s="380" t="str">
        <f>VLOOKUP($B1995,'D7 - NDB Impacted SPRF''s'!$E$6:$O$9929,4,FALSE)</f>
        <v>Completed</v>
      </c>
      <c r="AC1995" s="380" t="str">
        <f>VLOOKUP($B1995,'D7 - NDB Impacted SPRF''s'!$E$6:$O$9929,3,FALSE)</f>
        <v>UHG IT - Shared Services</v>
      </c>
      <c r="AD1995" s="380" t="str">
        <f>VLOOKUP($B1995,'D7 - NDB Impacted SPRF''s'!$E$6:$O$9929,5,FALSE)</f>
        <v>Human Capital</v>
      </c>
      <c r="AE1995" s="380" t="str">
        <f>VLOOKUP($B1995,'D7 - NDB Impacted SPRF''s'!$E$6:$O$9929,7,FALSE)</f>
        <v>Mike Connly</v>
      </c>
      <c r="AF1995" s="380" t="str">
        <f>VLOOKUP($B1995,'D7 - NDB Impacted SPRF''s'!$E$6:$O$9929,6,FALSE)</f>
        <v>Joseph Kostrzewa</v>
      </c>
      <c r="AG1995" s="282"/>
      <c r="AH1995" s="311" t="e">
        <f>INDEX('D5 - Gatekeeper - Projects'!$A$4:$AF$1010,$AM1995, 17)</f>
        <v>#N/A</v>
      </c>
      <c r="AI1995" s="8"/>
      <c r="AJ1995" s="57"/>
      <c r="AK1995" s="105"/>
      <c r="AM1995" s="6" t="e">
        <f>MATCH(D1995,'D5 - Gatekeeper - Projects'!$C$4:$C$1010,0)</f>
        <v>#N/A</v>
      </c>
      <c r="AN1995" s="6" t="b">
        <f t="shared" si="214"/>
        <v>1</v>
      </c>
      <c r="AO1995" s="6" t="str">
        <f t="shared" si="215"/>
        <v>OK</v>
      </c>
      <c r="AQ1995" s="6" t="e">
        <f>MATCH($D1995,'D4 - Provider Council Unsched'!$C$11:$C$234,0)</f>
        <v>#N/A</v>
      </c>
      <c r="AR1995" s="6" t="b">
        <f t="shared" si="216"/>
        <v>1</v>
      </c>
      <c r="AS1995" s="6" t="str">
        <f>IF(AND(H1995="2 - Not Scheduled",AR1995=TRUE,C1995="R1"),"Add","OK")</f>
        <v>OK</v>
      </c>
      <c r="AU1995" s="202"/>
      <c r="AV1995" s="262"/>
      <c r="AW1995" s="274"/>
    </row>
    <row r="1996" spans="1:49" s="13" customFormat="1" x14ac:dyDescent="0.2">
      <c r="A1996" s="14">
        <v>1972</v>
      </c>
      <c r="B1996" s="14">
        <v>400025967</v>
      </c>
      <c r="C1996" s="8" t="s">
        <v>5197</v>
      </c>
      <c r="D1996" s="4" t="str">
        <f t="shared" si="212"/>
        <v>400025967R1</v>
      </c>
      <c r="E1996" s="309" t="s">
        <v>2204</v>
      </c>
      <c r="F1996" s="8" t="s">
        <v>2114</v>
      </c>
      <c r="G1996" s="8" t="s">
        <v>4758</v>
      </c>
      <c r="H1996" s="8" t="s">
        <v>4246</v>
      </c>
      <c r="I1996" s="20"/>
      <c r="J1996" s="8"/>
      <c r="K1996" s="182"/>
      <c r="L1996" s="8" t="s">
        <v>4156</v>
      </c>
      <c r="M1996" s="8" t="s">
        <v>2814</v>
      </c>
      <c r="N1996" s="38"/>
      <c r="O1996" s="8"/>
      <c r="P1996" s="4" t="e">
        <f>VLOOKUP($B1996,'D7 - NDB Impacted SPRF''s'!$E$16:$O$9929,9,FALSE)</f>
        <v>#N/A</v>
      </c>
      <c r="Q1996" s="4" t="e">
        <f>VLOOKUP($B1996,'D7 - NDB Impacted SPRF''s'!$E$16:$O$9929,10,FALSE)</f>
        <v>#N/A</v>
      </c>
      <c r="R1996" s="4" t="e">
        <f>VLOOKUP($B1996,'D7 - NDB Impacted SPRF''s'!$E$16:$O$9929,11,FALSE)</f>
        <v>#N/A</v>
      </c>
      <c r="S1996" s="8"/>
      <c r="T1996" s="310"/>
      <c r="U1996" s="310"/>
      <c r="V1996" s="4"/>
      <c r="W1996" s="4"/>
      <c r="X1996" s="4"/>
      <c r="Y1996" s="4"/>
      <c r="Z1996" s="4"/>
      <c r="AA1996" s="4"/>
      <c r="AB1996" s="380" t="e">
        <f>VLOOKUP($B1996,'D7 - NDB Impacted SPRF''s'!$E$16:$O$9929,4,FALSE)</f>
        <v>#N/A</v>
      </c>
      <c r="AC1996" s="380" t="e">
        <f>VLOOKUP($B1996,'D7 - NDB Impacted SPRF''s'!$E$16:$O$9929,3,FALSE)</f>
        <v>#N/A</v>
      </c>
      <c r="AD1996" s="380" t="e">
        <f>VLOOKUP($B1996,'D7 - NDB Impacted SPRF''s'!$E$16:$O$9929,5,FALSE)</f>
        <v>#N/A</v>
      </c>
      <c r="AE1996" s="380" t="e">
        <f>VLOOKUP($B1996,'D7 - NDB Impacted SPRF''s'!$E$16:$O$9929,7,FALSE)</f>
        <v>#N/A</v>
      </c>
      <c r="AF1996" s="380" t="e">
        <f>VLOOKUP($B1996,'D7 - NDB Impacted SPRF''s'!$E$16:$O$9929,6,FALSE)</f>
        <v>#N/A</v>
      </c>
      <c r="AG1996" s="282"/>
      <c r="AH1996" s="311" t="e">
        <f>INDEX('D5 - Gatekeeper - Projects'!$A$4:$AF$1010,$AM1996, 17)</f>
        <v>#N/A</v>
      </c>
      <c r="AI1996" s="8"/>
      <c r="AJ1996" s="57"/>
      <c r="AK1996" s="105"/>
      <c r="AM1996" s="6" t="e">
        <f>MATCH(D1996,'D5 - Gatekeeper - Projects'!$C$4:$C$1010,0)</f>
        <v>#N/A</v>
      </c>
      <c r="AN1996" s="6" t="b">
        <f t="shared" si="214"/>
        <v>1</v>
      </c>
      <c r="AO1996" s="6" t="str">
        <f t="shared" si="215"/>
        <v>OK</v>
      </c>
      <c r="AQ1996" s="6" t="e">
        <f>MATCH($D1996,'D4 - Provider Council Unsched'!$C$11:$C$234,0)</f>
        <v>#N/A</v>
      </c>
      <c r="AR1996" s="6" t="b">
        <f t="shared" si="216"/>
        <v>1</v>
      </c>
      <c r="AS1996" s="6" t="str">
        <f>IF(AND(H1996="2 - Not Scheduled",AR1996=TRUE),"Add","OK")</f>
        <v>OK</v>
      </c>
      <c r="AU1996" s="202"/>
      <c r="AV1996" s="262"/>
      <c r="AW1996" s="274"/>
    </row>
    <row r="1997" spans="1:49" s="13" customFormat="1" ht="33.75" x14ac:dyDescent="0.2">
      <c r="A1997" s="14">
        <v>1973</v>
      </c>
      <c r="B1997" s="14">
        <v>400026084</v>
      </c>
      <c r="C1997" s="8" t="s">
        <v>5197</v>
      </c>
      <c r="D1997" s="4" t="str">
        <f t="shared" si="212"/>
        <v>400026084R1</v>
      </c>
      <c r="E1997" s="309" t="str">
        <f>VLOOKUP($B1997,'D7 - NDB Impacted SPRF''s'!$E$6:$O$9929,2,FALSE)</f>
        <v xml:space="preserve">COSMOS Providers Penalty Assignment </v>
      </c>
      <c r="F1997" s="8" t="s">
        <v>2114</v>
      </c>
      <c r="G1997" s="8" t="s">
        <v>4758</v>
      </c>
      <c r="H1997" s="8" t="s">
        <v>4246</v>
      </c>
      <c r="I1997" s="20"/>
      <c r="J1997" s="8"/>
      <c r="K1997" s="182"/>
      <c r="L1997" s="8" t="s">
        <v>4156</v>
      </c>
      <c r="M1997" s="8" t="s">
        <v>2814</v>
      </c>
      <c r="N1997" s="38"/>
      <c r="O1997" s="8"/>
      <c r="P1997" s="4" t="str">
        <f>VLOOKUP($B1997,'D7 - NDB Impacted SPRF''s'!$E$16:$O$9929,9,FALSE)</f>
        <v>N</v>
      </c>
      <c r="Q1997" s="4" t="str">
        <f>VLOOKUP($B1997,'D7 - NDB Impacted SPRF''s'!$E$16:$O$9929,10,FALSE)</f>
        <v>N</v>
      </c>
      <c r="R1997" s="4" t="str">
        <f>VLOOKUP($B1997,'D7 - NDB Impacted SPRF''s'!$E$16:$O$9929,11,FALSE)</f>
        <v>N</v>
      </c>
      <c r="S1997" s="8"/>
      <c r="T1997" s="310"/>
      <c r="U1997" s="310"/>
      <c r="V1997" s="4"/>
      <c r="W1997" s="4"/>
      <c r="X1997" s="4"/>
      <c r="Y1997" s="4"/>
      <c r="Z1997" s="4"/>
      <c r="AA1997" s="4"/>
      <c r="AB1997" s="380" t="str">
        <f>VLOOKUP($B1997,'D7 - NDB Impacted SPRF''s'!$E$16:$O$9929,4,FALSE)</f>
        <v>Completed</v>
      </c>
      <c r="AC1997" s="380" t="str">
        <f>VLOOKUP($B1997,'D7 - NDB Impacted SPRF''s'!$E$16:$O$9929,3,FALSE)</f>
        <v>UnitedHealthcare Medicare &amp; Retirement</v>
      </c>
      <c r="AD1997" s="380" t="str">
        <f>VLOOKUP($B1997,'D7 - NDB Impacted SPRF''s'!$E$16:$O$9929,5,FALSE)</f>
        <v>Health Services</v>
      </c>
      <c r="AE1997" s="380" t="str">
        <f>VLOOKUP($B1997,'D7 - NDB Impacted SPRF''s'!$E$16:$O$9929,7,FALSE)</f>
        <v>Suzanne Kunze</v>
      </c>
      <c r="AF1997" s="380" t="str">
        <f>VLOOKUP($B1997,'D7 - NDB Impacted SPRF''s'!$E$16:$O$9929,6,FALSE)</f>
        <v>Kevin Nyaribo</v>
      </c>
      <c r="AG1997" s="282"/>
      <c r="AH1997" s="311" t="e">
        <f>INDEX('D5 - Gatekeeper - Projects'!$A$4:$AF$1010,$AM1997, 17)</f>
        <v>#N/A</v>
      </c>
      <c r="AI1997" s="8"/>
      <c r="AJ1997" s="57"/>
      <c r="AK1997" s="105"/>
      <c r="AM1997" s="6" t="e">
        <f>MATCH(D1997,'D5 - Gatekeeper - Projects'!$C$4:$C$1010,0)</f>
        <v>#N/A</v>
      </c>
      <c r="AN1997" s="6" t="b">
        <f t="shared" si="214"/>
        <v>1</v>
      </c>
      <c r="AO1997" s="6" t="str">
        <f t="shared" si="215"/>
        <v>OK</v>
      </c>
      <c r="AQ1997" s="6" t="e">
        <f>MATCH($D1997,'D4 - Provider Council Unsched'!$C$11:$C$234,0)</f>
        <v>#N/A</v>
      </c>
      <c r="AR1997" s="6" t="b">
        <f t="shared" si="216"/>
        <v>1</v>
      </c>
      <c r="AS1997" s="6" t="str">
        <f>IF(AND(H1997="2 - Not Scheduled",AR1997=TRUE),"Add","OK")</f>
        <v>OK</v>
      </c>
      <c r="AU1997" s="202"/>
      <c r="AV1997" s="262"/>
      <c r="AW1997" s="274"/>
    </row>
    <row r="1998" spans="1:49" s="13" customFormat="1" ht="33.75" x14ac:dyDescent="0.2">
      <c r="A1998" s="14">
        <v>1974</v>
      </c>
      <c r="B1998" s="14">
        <v>400026380</v>
      </c>
      <c r="C1998" s="8" t="s">
        <v>5197</v>
      </c>
      <c r="D1998" s="4" t="str">
        <f t="shared" si="212"/>
        <v>400026380R1</v>
      </c>
      <c r="E1998" s="309" t="str">
        <f>VLOOKUP($B1998,'D7 - NDB Impacted SPRF''s'!$E$6:$O$9929,2,FALSE)</f>
        <v>FRP - Implementation of APC’s for Medica’s BOB-AO</v>
      </c>
      <c r="F1998" s="8" t="s">
        <v>2114</v>
      </c>
      <c r="G1998" s="8" t="s">
        <v>4758</v>
      </c>
      <c r="H1998" s="8" t="s">
        <v>4246</v>
      </c>
      <c r="I1998" s="20"/>
      <c r="J1998" s="8"/>
      <c r="K1998" s="182"/>
      <c r="L1998" s="8" t="s">
        <v>4156</v>
      </c>
      <c r="M1998" s="8" t="s">
        <v>2814</v>
      </c>
      <c r="N1998" s="38"/>
      <c r="O1998" s="8"/>
      <c r="P1998" s="4" t="str">
        <f>VLOOKUP($B1998,'D7 - NDB Impacted SPRF''s'!$E$16:$O$9929,9,FALSE)</f>
        <v>Y</v>
      </c>
      <c r="Q1998" s="4" t="str">
        <f>VLOOKUP($B1998,'D7 - NDB Impacted SPRF''s'!$E$16:$O$9929,10,FALSE)</f>
        <v>N</v>
      </c>
      <c r="R1998" s="4" t="str">
        <f>VLOOKUP($B1998,'D7 - NDB Impacted SPRF''s'!$E$16:$O$9929,11,FALSE)</f>
        <v>N</v>
      </c>
      <c r="S1998" s="8"/>
      <c r="T1998" s="310"/>
      <c r="U1998" s="310"/>
      <c r="V1998" s="4"/>
      <c r="W1998" s="4"/>
      <c r="X1998" s="4"/>
      <c r="Y1998" s="4"/>
      <c r="Z1998" s="4"/>
      <c r="AA1998" s="4"/>
      <c r="AB1998" s="380" t="str">
        <f>VLOOKUP($B1998,'D7 - NDB Impacted SPRF''s'!$E$16:$O$9929,4,FALSE)</f>
        <v>Completed</v>
      </c>
      <c r="AC1998" s="380" t="str">
        <f>VLOOKUP($B1998,'D7 - NDB Impacted SPRF''s'!$E$16:$O$9929,3,FALSE)</f>
        <v>UnitedHealthcare Employer &amp; Individual</v>
      </c>
      <c r="AD1998" s="380" t="str">
        <f>VLOOKUP($B1998,'D7 - NDB Impacted SPRF''s'!$E$16:$O$9929,5,FALSE)</f>
        <v>HCA - Medica Operational Support</v>
      </c>
      <c r="AE1998" s="380" t="str">
        <f>VLOOKUP($B1998,'D7 - NDB Impacted SPRF''s'!$E$16:$O$9929,7,FALSE)</f>
        <v>Tracy Berg</v>
      </c>
      <c r="AF1998" s="380" t="str">
        <f>VLOOKUP($B1998,'D7 - NDB Impacted SPRF''s'!$E$16:$O$9929,6,FALSE)</f>
        <v>Steve Frankel</v>
      </c>
      <c r="AG1998" s="282"/>
      <c r="AH1998" s="311" t="e">
        <f>INDEX('D5 - Gatekeeper - Projects'!$A$4:$AF$1010,$AM1998, 17)</f>
        <v>#N/A</v>
      </c>
      <c r="AI1998" s="8"/>
      <c r="AJ1998" s="57"/>
      <c r="AK1998" s="105"/>
      <c r="AM1998" s="6" t="e">
        <f>MATCH(D1998,'D5 - Gatekeeper - Projects'!$C$4:$C$1010,0)</f>
        <v>#N/A</v>
      </c>
      <c r="AN1998" s="6" t="b">
        <f t="shared" si="214"/>
        <v>1</v>
      </c>
      <c r="AO1998" s="6" t="str">
        <f t="shared" si="215"/>
        <v>OK</v>
      </c>
      <c r="AQ1998" s="6" t="e">
        <f>MATCH($D1998,'D4 - Provider Council Unsched'!$C$11:$C$234,0)</f>
        <v>#N/A</v>
      </c>
      <c r="AR1998" s="6" t="b">
        <f t="shared" si="216"/>
        <v>1</v>
      </c>
      <c r="AS1998" s="6" t="str">
        <f>IF(AND(H1998="2 - Not Scheduled",AR1998=TRUE),"Add","OK")</f>
        <v>OK</v>
      </c>
      <c r="AU1998" s="202"/>
      <c r="AV1998" s="262"/>
      <c r="AW1998" s="274"/>
    </row>
    <row r="1999" spans="1:49" s="13" customFormat="1" ht="33.75" x14ac:dyDescent="0.2">
      <c r="A1999" s="14">
        <v>1975</v>
      </c>
      <c r="B1999" s="14">
        <v>400026400</v>
      </c>
      <c r="C1999" s="8" t="s">
        <v>5197</v>
      </c>
      <c r="D1999" s="4" t="str">
        <f t="shared" si="212"/>
        <v>400026400R1</v>
      </c>
      <c r="E1999" s="309" t="str">
        <f>VLOOKUP($B1999,'D7 - NDB Impacted SPRF''s'!$E$6:$O$9929,2,FALSE)</f>
        <v>NDB UT ZPN Provider Pick Analysis</v>
      </c>
      <c r="F1999" s="8" t="s">
        <v>2114</v>
      </c>
      <c r="G1999" s="8" t="s">
        <v>4758</v>
      </c>
      <c r="H1999" s="8" t="s">
        <v>4246</v>
      </c>
      <c r="I1999" s="20">
        <v>1.07</v>
      </c>
      <c r="J1999" s="8" t="s">
        <v>4862</v>
      </c>
      <c r="K1999" s="182"/>
      <c r="L1999" s="8" t="s">
        <v>4156</v>
      </c>
      <c r="M1999" s="8" t="s">
        <v>6007</v>
      </c>
      <c r="N1999" s="38"/>
      <c r="O1999" s="8"/>
      <c r="P1999" s="4" t="str">
        <f>VLOOKUP($B1999,'D7 - NDB Impacted SPRF''s'!$E$16:$O$9929,9,FALSE)</f>
        <v>N</v>
      </c>
      <c r="Q1999" s="4" t="str">
        <f>VLOOKUP($B1999,'D7 - NDB Impacted SPRF''s'!$E$16:$O$9929,10,FALSE)</f>
        <v>N</v>
      </c>
      <c r="R1999" s="4" t="str">
        <f>VLOOKUP($B1999,'D7 - NDB Impacted SPRF''s'!$E$16:$O$9929,11,FALSE)</f>
        <v>N</v>
      </c>
      <c r="S1999" s="8"/>
      <c r="T1999" s="310"/>
      <c r="U1999" s="310"/>
      <c r="V1999" s="4"/>
      <c r="W1999" s="4"/>
      <c r="X1999" s="4"/>
      <c r="Y1999" s="4"/>
      <c r="Z1999" s="4"/>
      <c r="AA1999" s="4"/>
      <c r="AB1999" s="380" t="str">
        <f>VLOOKUP($B1999,'D7 - NDB Impacted SPRF''s'!$E$16:$O$9929,4,FALSE)</f>
        <v>Completed</v>
      </c>
      <c r="AC1999" s="380" t="str">
        <f>VLOOKUP($B1999,'D7 - NDB Impacted SPRF''s'!$E$16:$O$9929,3,FALSE)</f>
        <v>UnitedHealthcare Employer &amp; Individual</v>
      </c>
      <c r="AD1999" s="380" t="str">
        <f>VLOOKUP($B1999,'D7 - NDB Impacted SPRF''s'!$E$16:$O$9929,5,FALSE)</f>
        <v>Operational Requirements</v>
      </c>
      <c r="AE1999" s="380" t="str">
        <f>VLOOKUP($B1999,'D7 - NDB Impacted SPRF''s'!$E$16:$O$9929,7,FALSE)</f>
        <v>Jillian Foucre</v>
      </c>
      <c r="AF1999" s="380" t="str">
        <f>VLOOKUP($B1999,'D7 - NDB Impacted SPRF''s'!$E$16:$O$9929,6,FALSE)</f>
        <v>PARK CHRISTINE</v>
      </c>
      <c r="AG1999" s="282"/>
      <c r="AH1999" s="311" t="e">
        <f>INDEX('D5 - Gatekeeper - Projects'!$A$4:$AF$1010,$AM1999, 17)</f>
        <v>#N/A</v>
      </c>
      <c r="AI1999" s="8"/>
      <c r="AJ1999" s="57"/>
      <c r="AK1999" s="105"/>
      <c r="AM1999" s="6" t="e">
        <f>MATCH(D1999,'D5 - Gatekeeper - Projects'!$C$4:$C$1010,0)</f>
        <v>#N/A</v>
      </c>
      <c r="AN1999" s="6" t="b">
        <f t="shared" si="214"/>
        <v>1</v>
      </c>
      <c r="AO1999" s="6" t="str">
        <f t="shared" si="215"/>
        <v>OK</v>
      </c>
      <c r="AQ1999" s="6" t="e">
        <f>MATCH($D1999,'D4 - Provider Council Unsched'!$C$11:$C$234,0)</f>
        <v>#N/A</v>
      </c>
      <c r="AR1999" s="6" t="b">
        <f t="shared" si="216"/>
        <v>1</v>
      </c>
      <c r="AS1999" s="6" t="str">
        <f>IF(AND(H1999="2 - Not Scheduled",AR1999=TRUE),"Add","OK")</f>
        <v>OK</v>
      </c>
      <c r="AU1999" s="202"/>
      <c r="AV1999" s="262"/>
      <c r="AW1999" s="274"/>
    </row>
    <row r="2000" spans="1:49" s="13" customFormat="1" ht="45" x14ac:dyDescent="0.2">
      <c r="A2000" s="14">
        <v>1976</v>
      </c>
      <c r="B2000" s="14">
        <v>400026683</v>
      </c>
      <c r="C2000" s="8" t="s">
        <v>5197</v>
      </c>
      <c r="D2000" s="4" t="str">
        <f t="shared" si="212"/>
        <v>400026683R1</v>
      </c>
      <c r="E2000" s="309" t="str">
        <f>VLOOKUP($B2000,'D7 - NDB Impacted SPRF''s'!$E$6:$O$9929,2,FALSE)</f>
        <v>Access Administration Centralization</v>
      </c>
      <c r="F2000" s="8"/>
      <c r="G2000" s="8" t="s">
        <v>4758</v>
      </c>
      <c r="H2000" s="8" t="s">
        <v>4246</v>
      </c>
      <c r="I2000" s="20"/>
      <c r="J2000" s="8"/>
      <c r="K2000" s="182"/>
      <c r="L2000" s="8" t="s">
        <v>4156</v>
      </c>
      <c r="M2000" s="8" t="s">
        <v>2814</v>
      </c>
      <c r="N2000" s="38"/>
      <c r="O2000" s="8"/>
      <c r="P2000" s="4" t="str">
        <f>VLOOKUP($B2000,'D7 - NDB Impacted SPRF''s'!$E$16:$O$9929,9,FALSE)</f>
        <v>Y</v>
      </c>
      <c r="Q2000" s="4" t="str">
        <f>VLOOKUP($B2000,'D7 - NDB Impacted SPRF''s'!$E$16:$O$9929,10,FALSE)</f>
        <v>N</v>
      </c>
      <c r="R2000" s="4" t="str">
        <f>VLOOKUP($B2000,'D7 - NDB Impacted SPRF''s'!$E$16:$O$9929,11,FALSE)</f>
        <v>N</v>
      </c>
      <c r="S2000" s="8"/>
      <c r="T2000" s="310"/>
      <c r="U2000" s="310"/>
      <c r="V2000" s="4"/>
      <c r="W2000" s="4"/>
      <c r="X2000" s="4"/>
      <c r="Y2000" s="4"/>
      <c r="Z2000" s="4"/>
      <c r="AA2000" s="4"/>
      <c r="AB2000" s="380" t="str">
        <f>VLOOKUP($B2000,'D7 - NDB Impacted SPRF''s'!$E$6:$O$9929,4,FALSE)</f>
        <v>Completed</v>
      </c>
      <c r="AC2000" s="380" t="str">
        <f>VLOOKUP($B2000,'D7 - NDB Impacted SPRF''s'!$E$6:$O$9929,3,FALSE)</f>
        <v>UHG IT - Enterprise Technology Services</v>
      </c>
      <c r="AD2000" s="380" t="str">
        <f>VLOOKUP($B2000,'D7 - NDB Impacted SPRF''s'!$E$6:$O$9929,5,FALSE)</f>
        <v>ITSM</v>
      </c>
      <c r="AE2000" s="380" t="str">
        <f>VLOOKUP($B2000,'D7 - NDB Impacted SPRF''s'!$E$6:$O$9929,7,FALSE)</f>
        <v>Judd Frahm</v>
      </c>
      <c r="AF2000" s="380" t="str">
        <f>VLOOKUP($B2000,'D7 - NDB Impacted SPRF''s'!$E$6:$O$9929,6,FALSE)</f>
        <v>Mitch Forsyth</v>
      </c>
      <c r="AG2000" s="282"/>
      <c r="AH2000" s="311" t="e">
        <f>INDEX('D5 - Gatekeeper - Projects'!$A$4:$AF$1010,$AM2000, 17)</f>
        <v>#N/A</v>
      </c>
      <c r="AI2000" s="8"/>
      <c r="AJ2000" s="57"/>
      <c r="AK2000" s="105"/>
      <c r="AM2000" s="6" t="e">
        <f>MATCH(D2000,'D5 - Gatekeeper - Projects'!$C$4:$C$1010,0)</f>
        <v>#N/A</v>
      </c>
      <c r="AN2000" s="6" t="b">
        <f t="shared" si="214"/>
        <v>1</v>
      </c>
      <c r="AO2000" s="6" t="str">
        <f t="shared" si="215"/>
        <v>OK</v>
      </c>
      <c r="AQ2000" s="6" t="e">
        <f>MATCH($D2000,'D4 - Provider Council Unsched'!$C$11:$C$234,0)</f>
        <v>#N/A</v>
      </c>
      <c r="AR2000" s="6" t="b">
        <f t="shared" si="216"/>
        <v>1</v>
      </c>
      <c r="AS2000" s="6" t="str">
        <f>IF(AND(H2000="2 - Not Scheduled",AR2000=TRUE,C2000="R1"),"Add","OK")</f>
        <v>OK</v>
      </c>
      <c r="AU2000" s="202"/>
      <c r="AV2000" s="262"/>
      <c r="AW2000" s="274"/>
    </row>
    <row r="2001" spans="1:49" s="13" customFormat="1" ht="33.75" x14ac:dyDescent="0.2">
      <c r="A2001" s="14">
        <v>1977</v>
      </c>
      <c r="B2001" s="14">
        <v>400026898</v>
      </c>
      <c r="C2001" s="8" t="s">
        <v>5197</v>
      </c>
      <c r="D2001" s="4" t="str">
        <f t="shared" si="212"/>
        <v>400026898R1</v>
      </c>
      <c r="E2001" s="309" t="str">
        <f>VLOOKUP($B2001,'D7 - NDB Impacted SPRF''s'!$E$6:$O$9929,2,FALSE)</f>
        <v>Employer eServices Link</v>
      </c>
      <c r="F2001" s="8" t="s">
        <v>2114</v>
      </c>
      <c r="G2001" s="8" t="s">
        <v>4758</v>
      </c>
      <c r="H2001" s="8" t="s">
        <v>4246</v>
      </c>
      <c r="I2001" s="20"/>
      <c r="J2001" s="8"/>
      <c r="K2001" s="182"/>
      <c r="L2001" s="8" t="s">
        <v>4156</v>
      </c>
      <c r="M2001" s="8" t="s">
        <v>2814</v>
      </c>
      <c r="N2001" s="38"/>
      <c r="O2001" s="8"/>
      <c r="P2001" s="4" t="str">
        <f>VLOOKUP($B2001,'D7 - NDB Impacted SPRF''s'!$E$16:$O$9929,9,FALSE)</f>
        <v>N</v>
      </c>
      <c r="Q2001" s="4" t="str">
        <f>VLOOKUP($B2001,'D7 - NDB Impacted SPRF''s'!$E$16:$O$9929,10,FALSE)</f>
        <v>N</v>
      </c>
      <c r="R2001" s="4" t="str">
        <f>VLOOKUP($B2001,'D7 - NDB Impacted SPRF''s'!$E$16:$O$9929,11,FALSE)</f>
        <v>N</v>
      </c>
      <c r="S2001" s="8"/>
      <c r="T2001" s="310"/>
      <c r="U2001" s="310"/>
      <c r="V2001" s="4"/>
      <c r="W2001" s="4"/>
      <c r="X2001" s="4"/>
      <c r="Y2001" s="4"/>
      <c r="Z2001" s="4"/>
      <c r="AA2001" s="4"/>
      <c r="AB2001" s="380" t="str">
        <f>VLOOKUP($B2001,'D7 - NDB Impacted SPRF''s'!$E$6:$O$9929,4,FALSE)</f>
        <v>Completed</v>
      </c>
      <c r="AC2001" s="380" t="str">
        <f>VLOOKUP($B2001,'D7 - NDB Impacted SPRF''s'!$E$16:$O$9929,3,FALSE)</f>
        <v>UnitedHealthcare Medicare &amp; Retirement</v>
      </c>
      <c r="AD2001" s="380" t="str">
        <f>VLOOKUP($B2001,'D7 - NDB Impacted SPRF''s'!$E$16:$O$9929,5,FALSE)</f>
        <v>Constituent Services</v>
      </c>
      <c r="AE2001" s="380" t="str">
        <f>VLOOKUP($B2001,'D7 - NDB Impacted SPRF''s'!$E$16:$O$9929,7,FALSE)</f>
        <v>Gayle Adams</v>
      </c>
      <c r="AF2001" s="380" t="str">
        <f>VLOOKUP($B2001,'D7 - NDB Impacted SPRF''s'!$E$16:$O$9929,6,FALSE)</f>
        <v>Jessica Tattersall</v>
      </c>
      <c r="AG2001" s="282"/>
      <c r="AH2001" s="311" t="e">
        <f>INDEX('D5 - Gatekeeper - Projects'!$A$4:$AF$1010,$AM2001, 17)</f>
        <v>#N/A</v>
      </c>
      <c r="AI2001" s="8"/>
      <c r="AJ2001" s="57"/>
      <c r="AK2001" s="57"/>
      <c r="AM2001" s="6" t="e">
        <f>MATCH(D2001,'D5 - Gatekeeper - Projects'!$C$4:$C$1010,0)</f>
        <v>#N/A</v>
      </c>
      <c r="AN2001" s="6" t="b">
        <f t="shared" si="214"/>
        <v>1</v>
      </c>
      <c r="AO2001" s="6" t="str">
        <f t="shared" si="215"/>
        <v>OK</v>
      </c>
      <c r="AQ2001" s="6" t="e">
        <f>MATCH($D2001,'D4 - Provider Council Unsched'!$C$11:$C$234,0)</f>
        <v>#N/A</v>
      </c>
      <c r="AR2001" s="6" t="b">
        <f t="shared" si="216"/>
        <v>1</v>
      </c>
      <c r="AS2001" s="6" t="str">
        <f>IF(AND(H2001="2 - Not Scheduled",AR2001=TRUE,C2001="R1"),"Add","OK")</f>
        <v>OK</v>
      </c>
      <c r="AU2001" s="202"/>
      <c r="AV2001" s="262"/>
      <c r="AW2001" s="274"/>
    </row>
    <row r="2002" spans="1:49" s="13" customFormat="1" ht="33.75" x14ac:dyDescent="0.2">
      <c r="A2002" s="14">
        <v>1978</v>
      </c>
      <c r="B2002" s="14">
        <v>400026903</v>
      </c>
      <c r="C2002" s="8" t="s">
        <v>5197</v>
      </c>
      <c r="D2002" s="4" t="str">
        <f t="shared" si="212"/>
        <v>400026903R1</v>
      </c>
      <c r="E2002" s="309" t="str">
        <f>VLOOKUP($B2002,'D7 - NDB Impacted SPRF''s'!$E$6:$O$9929,2,FALSE)</f>
        <v>COSMOS Provider Selection Quality Improvements</v>
      </c>
      <c r="F2002" s="8" t="s">
        <v>2114</v>
      </c>
      <c r="G2002" s="8" t="s">
        <v>4758</v>
      </c>
      <c r="H2002" s="8" t="s">
        <v>4246</v>
      </c>
      <c r="I2002" s="20"/>
      <c r="J2002" s="8"/>
      <c r="K2002" s="182"/>
      <c r="L2002" s="8" t="s">
        <v>4156</v>
      </c>
      <c r="M2002" s="8" t="s">
        <v>2814</v>
      </c>
      <c r="N2002" s="38"/>
      <c r="O2002" s="8"/>
      <c r="P2002" s="4" t="str">
        <f>VLOOKUP($B2002,'D7 - NDB Impacted SPRF''s'!$E$16:$O$9929,9,FALSE)</f>
        <v>N</v>
      </c>
      <c r="Q2002" s="4" t="str">
        <f>VLOOKUP($B2002,'D7 - NDB Impacted SPRF''s'!$E$16:$O$9929,10,FALSE)</f>
        <v>N</v>
      </c>
      <c r="R2002" s="4" t="str">
        <f>VLOOKUP($B2002,'D7 - NDB Impacted SPRF''s'!$E$16:$O$9929,11,FALSE)</f>
        <v>N</v>
      </c>
      <c r="S2002" s="8"/>
      <c r="T2002" s="310"/>
      <c r="U2002" s="310"/>
      <c r="V2002" s="4"/>
      <c r="W2002" s="4"/>
      <c r="X2002" s="4"/>
      <c r="Y2002" s="4"/>
      <c r="Z2002" s="4"/>
      <c r="AA2002" s="4"/>
      <c r="AB2002" s="380" t="str">
        <f>VLOOKUP($B2002,'D7 - NDB Impacted SPRF''s'!$E$16:$O$9929,4,FALSE)</f>
        <v>Completed</v>
      </c>
      <c r="AC2002" s="380" t="str">
        <f>VLOOKUP($B2002,'D7 - NDB Impacted SPRF''s'!$E$16:$O$9929,3,FALSE)</f>
        <v>UnitedHealthcare Medicare &amp; Retirement</v>
      </c>
      <c r="AD2002" s="380" t="str">
        <f>VLOOKUP($B2002,'D7 - NDB Impacted SPRF''s'!$E$16:$O$9929,5,FALSE)</f>
        <v>Operations</v>
      </c>
      <c r="AE2002" s="380" t="str">
        <f>VLOOKUP($B2002,'D7 - NDB Impacted SPRF''s'!$E$16:$O$9929,7,FALSE)</f>
        <v>Cathy Holman</v>
      </c>
      <c r="AF2002" s="380" t="str">
        <f>VLOOKUP($B2002,'D7 - NDB Impacted SPRF''s'!$E$16:$O$9929,6,FALSE)</f>
        <v>Jessica Ayers</v>
      </c>
      <c r="AG2002" s="282"/>
      <c r="AH2002" s="311" t="e">
        <f>INDEX('D5 - Gatekeeper - Projects'!$A$4:$AF$1010,$AM2002, 17)</f>
        <v>#N/A</v>
      </c>
      <c r="AI2002" s="8"/>
      <c r="AJ2002" s="57"/>
      <c r="AK2002" s="105"/>
      <c r="AM2002" s="6" t="e">
        <f>MATCH(D2002,'D5 - Gatekeeper - Projects'!$C$4:$C$1010,0)</f>
        <v>#N/A</v>
      </c>
      <c r="AN2002" s="6" t="b">
        <f t="shared" si="214"/>
        <v>1</v>
      </c>
      <c r="AO2002" s="6" t="str">
        <f t="shared" si="215"/>
        <v>OK</v>
      </c>
      <c r="AQ2002" s="6" t="e">
        <f>MATCH($D2002,'D4 - Provider Council Unsched'!$C$11:$C$234,0)</f>
        <v>#N/A</v>
      </c>
      <c r="AR2002" s="6" t="b">
        <f t="shared" si="216"/>
        <v>1</v>
      </c>
      <c r="AS2002" s="6" t="str">
        <f t="shared" ref="AS2002:AS2016" si="217">IF(AND(H2002="2 - Not Scheduled",AR2002=TRUE),"Add","OK")</f>
        <v>OK</v>
      </c>
      <c r="AU2002" s="202"/>
      <c r="AV2002" s="262"/>
      <c r="AW2002" s="274"/>
    </row>
    <row r="2003" spans="1:49" s="13" customFormat="1" x14ac:dyDescent="0.2">
      <c r="A2003" s="14">
        <v>1979</v>
      </c>
      <c r="B2003" s="14">
        <v>400027224</v>
      </c>
      <c r="C2003" s="8" t="s">
        <v>5197</v>
      </c>
      <c r="D2003" s="4" t="str">
        <f t="shared" si="212"/>
        <v>400027224R1</v>
      </c>
      <c r="E2003" s="309" t="str">
        <f>VLOOKUP($B2003,'D7 - NDB Impacted SPRF''s'!$E$6:$O$9929,2,FALSE)</f>
        <v>Display consumer GIC messages in UHConline</v>
      </c>
      <c r="F2003" s="8" t="s">
        <v>2114</v>
      </c>
      <c r="G2003" s="8" t="s">
        <v>4758</v>
      </c>
      <c r="H2003" s="8" t="s">
        <v>4246</v>
      </c>
      <c r="I2003" s="20"/>
      <c r="J2003" s="8"/>
      <c r="K2003" s="182"/>
      <c r="L2003" s="8" t="s">
        <v>4156</v>
      </c>
      <c r="M2003" s="8" t="s">
        <v>2814</v>
      </c>
      <c r="N2003" s="38"/>
      <c r="O2003" s="8"/>
      <c r="P2003" s="4" t="str">
        <f>VLOOKUP($B2003,'D7 - NDB Impacted SPRF''s'!$E$16:$O$9929,9,FALSE)</f>
        <v>N</v>
      </c>
      <c r="Q2003" s="4" t="str">
        <f>VLOOKUP($B2003,'D7 - NDB Impacted SPRF''s'!$E$16:$O$9929,10,FALSE)</f>
        <v>N</v>
      </c>
      <c r="R2003" s="4" t="str">
        <f>VLOOKUP($B2003,'D7 - NDB Impacted SPRF''s'!$E$16:$O$9929,11,FALSE)</f>
        <v>N</v>
      </c>
      <c r="S2003" s="8"/>
      <c r="T2003" s="310"/>
      <c r="U2003" s="310"/>
      <c r="V2003" s="4"/>
      <c r="W2003" s="4"/>
      <c r="X2003" s="4"/>
      <c r="Y2003" s="4"/>
      <c r="Z2003" s="4"/>
      <c r="AA2003" s="4"/>
      <c r="AB2003" s="380" t="str">
        <f>VLOOKUP($B2003,'D7 - NDB Impacted SPRF''s'!$E$16:$O$9929,4,FALSE)</f>
        <v>Completed</v>
      </c>
      <c r="AC2003" s="380" t="str">
        <f>VLOOKUP($B2003,'D7 - NDB Impacted SPRF''s'!$E$16:$O$9929,3,FALSE)</f>
        <v>OptumHealth</v>
      </c>
      <c r="AD2003" s="380" t="str">
        <f>VLOOKUP($B2003,'D7 - NDB Impacted SPRF''s'!$E$16:$O$9929,5,FALSE)</f>
        <v>Care Solutions</v>
      </c>
      <c r="AE2003" s="380" t="str">
        <f>VLOOKUP($B2003,'D7 - NDB Impacted SPRF''s'!$E$16:$O$9929,7,FALSE)</f>
        <v>Scott Heimes</v>
      </c>
      <c r="AF2003" s="380" t="str">
        <f>VLOOKUP($B2003,'D7 - NDB Impacted SPRF''s'!$E$16:$O$9929,6,FALSE)</f>
        <v>Gavin Sinclair</v>
      </c>
      <c r="AG2003" s="282"/>
      <c r="AH2003" s="311" t="e">
        <f>INDEX('D5 - Gatekeeper - Projects'!$A$4:$AF$1010,$AM2003, 17)</f>
        <v>#N/A</v>
      </c>
      <c r="AI2003" s="8"/>
      <c r="AJ2003" s="57"/>
      <c r="AK2003" s="105"/>
      <c r="AM2003" s="6" t="e">
        <f>MATCH(D2003,'D5 - Gatekeeper - Projects'!$C$4:$C$1010,0)</f>
        <v>#N/A</v>
      </c>
      <c r="AN2003" s="6" t="b">
        <f t="shared" si="214"/>
        <v>1</v>
      </c>
      <c r="AO2003" s="6" t="str">
        <f t="shared" si="215"/>
        <v>OK</v>
      </c>
      <c r="AQ2003" s="6" t="e">
        <f>MATCH($D2003,'D4 - Provider Council Unsched'!$C$11:$C$234,0)</f>
        <v>#N/A</v>
      </c>
      <c r="AR2003" s="6" t="b">
        <f t="shared" si="216"/>
        <v>1</v>
      </c>
      <c r="AS2003" s="6" t="str">
        <f t="shared" si="217"/>
        <v>OK</v>
      </c>
      <c r="AU2003" s="202"/>
      <c r="AV2003" s="262"/>
      <c r="AW2003" s="274"/>
    </row>
    <row r="2004" spans="1:49" s="13" customFormat="1" x14ac:dyDescent="0.2">
      <c r="A2004" s="14">
        <v>1980</v>
      </c>
      <c r="B2004" s="14">
        <v>400027261</v>
      </c>
      <c r="C2004" s="8" t="s">
        <v>5197</v>
      </c>
      <c r="D2004" s="4" t="str">
        <f t="shared" si="212"/>
        <v>400027261R1</v>
      </c>
      <c r="E2004" s="309" t="s">
        <v>2203</v>
      </c>
      <c r="F2004" s="8" t="s">
        <v>2114</v>
      </c>
      <c r="G2004" s="8" t="s">
        <v>4758</v>
      </c>
      <c r="H2004" s="8" t="s">
        <v>4246</v>
      </c>
      <c r="I2004" s="20"/>
      <c r="J2004" s="8"/>
      <c r="K2004" s="182"/>
      <c r="L2004" s="8" t="s">
        <v>4156</v>
      </c>
      <c r="M2004" s="8" t="s">
        <v>2814</v>
      </c>
      <c r="N2004" s="38"/>
      <c r="O2004" s="8"/>
      <c r="P2004" s="4" t="e">
        <f>VLOOKUP($B2004,'D7 - NDB Impacted SPRF''s'!$E$16:$O$9929,9,FALSE)</f>
        <v>#N/A</v>
      </c>
      <c r="Q2004" s="4" t="e">
        <f>VLOOKUP($B2004,'D7 - NDB Impacted SPRF''s'!$E$16:$O$9929,10,FALSE)</f>
        <v>#N/A</v>
      </c>
      <c r="R2004" s="4" t="e">
        <f>VLOOKUP($B2004,'D7 - NDB Impacted SPRF''s'!$E$16:$O$9929,11,FALSE)</f>
        <v>#N/A</v>
      </c>
      <c r="S2004" s="8"/>
      <c r="T2004" s="310"/>
      <c r="U2004" s="310"/>
      <c r="V2004" s="4"/>
      <c r="W2004" s="4"/>
      <c r="X2004" s="4"/>
      <c r="Y2004" s="4"/>
      <c r="Z2004" s="4"/>
      <c r="AA2004" s="4"/>
      <c r="AB2004" s="380" t="e">
        <f>VLOOKUP($B2004,'D7 - NDB Impacted SPRF''s'!$E$16:$O$9929,4,FALSE)</f>
        <v>#N/A</v>
      </c>
      <c r="AC2004" s="380" t="e">
        <f>VLOOKUP($B2004,'D7 - NDB Impacted SPRF''s'!$E$16:$O$9929,3,FALSE)</f>
        <v>#N/A</v>
      </c>
      <c r="AD2004" s="380" t="e">
        <f>VLOOKUP($B2004,'D7 - NDB Impacted SPRF''s'!$E$16:$O$9929,5,FALSE)</f>
        <v>#N/A</v>
      </c>
      <c r="AE2004" s="380" t="e">
        <f>VLOOKUP($B2004,'D7 - NDB Impacted SPRF''s'!$E$16:$O$9929,7,FALSE)</f>
        <v>#N/A</v>
      </c>
      <c r="AF2004" s="380" t="e">
        <f>VLOOKUP($B2004,'D7 - NDB Impacted SPRF''s'!$E$16:$O$9929,6,FALSE)</f>
        <v>#N/A</v>
      </c>
      <c r="AG2004" s="282"/>
      <c r="AH2004" s="311" t="e">
        <f>INDEX('D5 - Gatekeeper - Projects'!$A$4:$AF$1010,$AM2004, 17)</f>
        <v>#N/A</v>
      </c>
      <c r="AI2004" s="8"/>
      <c r="AJ2004" s="57"/>
      <c r="AK2004" s="105"/>
      <c r="AM2004" s="6" t="e">
        <f>MATCH(D2004,'D5 - Gatekeeper - Projects'!$C$4:$C$1010,0)</f>
        <v>#N/A</v>
      </c>
      <c r="AN2004" s="6" t="b">
        <f t="shared" si="214"/>
        <v>1</v>
      </c>
      <c r="AO2004" s="6" t="str">
        <f t="shared" si="215"/>
        <v>OK</v>
      </c>
      <c r="AQ2004" s="6" t="e">
        <f>MATCH($D2004,'D4 - Provider Council Unsched'!$C$11:$C$234,0)</f>
        <v>#N/A</v>
      </c>
      <c r="AR2004" s="6" t="b">
        <f t="shared" si="216"/>
        <v>1</v>
      </c>
      <c r="AS2004" s="6" t="str">
        <f t="shared" si="217"/>
        <v>OK</v>
      </c>
      <c r="AU2004" s="202"/>
      <c r="AV2004" s="262"/>
      <c r="AW2004" s="274"/>
    </row>
    <row r="2005" spans="1:49" s="13" customFormat="1" ht="33.75" x14ac:dyDescent="0.2">
      <c r="A2005" s="14">
        <v>1981</v>
      </c>
      <c r="B2005" s="14">
        <v>400027391</v>
      </c>
      <c r="C2005" s="8" t="s">
        <v>5197</v>
      </c>
      <c r="D2005" s="4" t="str">
        <f t="shared" si="212"/>
        <v>400027391R1</v>
      </c>
      <c r="E2005" s="309" t="str">
        <f>VLOOKUP($B2005,'D7 - NDB Impacted SPRF''s'!$E$6:$O$9929,2,FALSE)</f>
        <v>FRP - Medical Necessity</v>
      </c>
      <c r="F2005" s="8" t="s">
        <v>2114</v>
      </c>
      <c r="G2005" s="8" t="s">
        <v>4758</v>
      </c>
      <c r="H2005" s="8" t="s">
        <v>4246</v>
      </c>
      <c r="I2005" s="20"/>
      <c r="J2005" s="8"/>
      <c r="K2005" s="182"/>
      <c r="L2005" s="8" t="s">
        <v>4156</v>
      </c>
      <c r="M2005" s="8" t="s">
        <v>2814</v>
      </c>
      <c r="N2005" s="38"/>
      <c r="O2005" s="8"/>
      <c r="P2005" s="4" t="str">
        <f>VLOOKUP($B2005,'D7 - NDB Impacted SPRF''s'!$E$16:$O$9929,9,FALSE)</f>
        <v>Y</v>
      </c>
      <c r="Q2005" s="4" t="str">
        <f>VLOOKUP($B2005,'D7 - NDB Impacted SPRF''s'!$E$16:$O$9929,10,FALSE)</f>
        <v>N</v>
      </c>
      <c r="R2005" s="4" t="str">
        <f>VLOOKUP($B2005,'D7 - NDB Impacted SPRF''s'!$E$16:$O$9929,11,FALSE)</f>
        <v>N</v>
      </c>
      <c r="S2005" s="8"/>
      <c r="T2005" s="310"/>
      <c r="U2005" s="310"/>
      <c r="V2005" s="4"/>
      <c r="W2005" s="4"/>
      <c r="X2005" s="4"/>
      <c r="Y2005" s="4"/>
      <c r="Z2005" s="4"/>
      <c r="AA2005" s="4"/>
      <c r="AB2005" s="380" t="str">
        <f>VLOOKUP($B2005,'D7 - NDB Impacted SPRF''s'!$E$16:$O$9929,4,FALSE)</f>
        <v>Completed</v>
      </c>
      <c r="AC2005" s="380" t="str">
        <f>VLOOKUP($B2005,'D7 - NDB Impacted SPRF''s'!$E$16:$O$9929,3,FALSE)</f>
        <v>UnitedHealthcare Employer &amp; Individual</v>
      </c>
      <c r="AD2005" s="380" t="str">
        <f>VLOOKUP($B2005,'D7 - NDB Impacted SPRF''s'!$E$16:$O$9929,5,FALSE)</f>
        <v>Membership Growth / Revenue Programs</v>
      </c>
      <c r="AE2005" s="380" t="str">
        <f>VLOOKUP($B2005,'D7 - NDB Impacted SPRF''s'!$E$16:$O$9929,7,FALSE)</f>
        <v>Steve Rodgers</v>
      </c>
      <c r="AF2005" s="380" t="str">
        <f>VLOOKUP($B2005,'D7 - NDB Impacted SPRF''s'!$E$16:$O$9929,6,FALSE)</f>
        <v>JOSEPH SNEDDON</v>
      </c>
      <c r="AG2005" s="282"/>
      <c r="AH2005" s="311" t="e">
        <f>INDEX('D5 - Gatekeeper - Projects'!$A$4:$AF$1010,$AM2005, 17)</f>
        <v>#N/A</v>
      </c>
      <c r="AI2005" s="8"/>
      <c r="AJ2005" s="57"/>
      <c r="AK2005" s="105"/>
      <c r="AM2005" s="6" t="e">
        <f>MATCH(D2005,'D5 - Gatekeeper - Projects'!$C$4:$C$1010,0)</f>
        <v>#N/A</v>
      </c>
      <c r="AN2005" s="6" t="b">
        <f t="shared" si="214"/>
        <v>1</v>
      </c>
      <c r="AO2005" s="6" t="str">
        <f t="shared" si="215"/>
        <v>OK</v>
      </c>
      <c r="AQ2005" s="6" t="e">
        <f>MATCH($D2005,'D4 - Provider Council Unsched'!$C$11:$C$234,0)</f>
        <v>#N/A</v>
      </c>
      <c r="AR2005" s="6" t="b">
        <f t="shared" si="216"/>
        <v>1</v>
      </c>
      <c r="AS2005" s="6" t="str">
        <f t="shared" si="217"/>
        <v>OK</v>
      </c>
      <c r="AU2005" s="202"/>
      <c r="AV2005" s="262"/>
      <c r="AW2005" s="274"/>
    </row>
    <row r="2006" spans="1:49" s="13" customFormat="1" ht="33.75" x14ac:dyDescent="0.2">
      <c r="A2006" s="14">
        <v>1982</v>
      </c>
      <c r="B2006" s="14">
        <v>400027485</v>
      </c>
      <c r="C2006" s="8" t="s">
        <v>5197</v>
      </c>
      <c r="D2006" s="4" t="str">
        <f t="shared" si="212"/>
        <v>400027485R1</v>
      </c>
      <c r="E2006" s="309" t="str">
        <f>VLOOKUP($B2006,'D7 - NDB Impacted SPRF''s'!$E$6:$O$9929,2,FALSE)</f>
        <v xml:space="preserve"> Middle Tier change for Notification remark codes</v>
      </c>
      <c r="F2006" s="282" t="s">
        <v>2114</v>
      </c>
      <c r="G2006" s="8" t="s">
        <v>4758</v>
      </c>
      <c r="H2006" s="8" t="s">
        <v>4246</v>
      </c>
      <c r="I2006" s="20"/>
      <c r="J2006" s="8"/>
      <c r="K2006" s="182"/>
      <c r="L2006" s="8" t="s">
        <v>4156</v>
      </c>
      <c r="M2006" s="8" t="s">
        <v>2814</v>
      </c>
      <c r="N2006" s="38"/>
      <c r="O2006" s="8"/>
      <c r="P2006" s="4" t="str">
        <f>VLOOKUP($B2006,'D7 - NDB Impacted SPRF''s'!$E$16:$O$9929,9,FALSE)</f>
        <v>Y</v>
      </c>
      <c r="Q2006" s="4" t="str">
        <f>VLOOKUP($B2006,'D7 - NDB Impacted SPRF''s'!$E$16:$O$9929,10,FALSE)</f>
        <v>N</v>
      </c>
      <c r="R2006" s="4" t="str">
        <f>VLOOKUP($B2006,'D7 - NDB Impacted SPRF''s'!$E$16:$O$9929,11,FALSE)</f>
        <v>N</v>
      </c>
      <c r="S2006" s="8"/>
      <c r="T2006" s="310"/>
      <c r="U2006" s="310"/>
      <c r="V2006" s="4"/>
      <c r="W2006" s="4"/>
      <c r="X2006" s="4"/>
      <c r="Y2006" s="4"/>
      <c r="Z2006" s="4"/>
      <c r="AA2006" s="4"/>
      <c r="AB2006" s="380" t="str">
        <f>VLOOKUP($B2006,'D7 - NDB Impacted SPRF''s'!$E$6:$O$9929,4,FALSE)</f>
        <v>Completed</v>
      </c>
      <c r="AC2006" s="380" t="str">
        <f>VLOOKUP($B2006,'D7 - NDB Impacted SPRF''s'!$E$6:$O$9929,3,FALSE)</f>
        <v>UnitedHealthcare Employer &amp; Individual</v>
      </c>
      <c r="AD2006" s="380" t="str">
        <f>VLOOKUP($B2006,'D7 - NDB Impacted SPRF''s'!$E$6:$O$9929,5,FALSE)</f>
        <v>Membership Growth / Revenue Programs</v>
      </c>
      <c r="AE2006" s="380" t="str">
        <f>VLOOKUP($B2006,'D7 - NDB Impacted SPRF''s'!$E$6:$O$9929,7,FALSE)</f>
        <v>Ellyn Hosch</v>
      </c>
      <c r="AF2006" s="380" t="str">
        <f>VLOOKUP($B2006,'D7 - NDB Impacted SPRF''s'!$E$6:$O$9929,6,FALSE)</f>
        <v>Cassandra Logue</v>
      </c>
      <c r="AG2006" s="282"/>
      <c r="AH2006" s="311" t="e">
        <f>INDEX('D5 - Gatekeeper - Projects'!$A$4:$AF$1010,$AM2006, 17)</f>
        <v>#N/A</v>
      </c>
      <c r="AI2006" s="8"/>
      <c r="AJ2006" s="57"/>
      <c r="AK2006" s="105"/>
      <c r="AM2006" s="6" t="e">
        <f>MATCH(D2006,'D5 - Gatekeeper - Projects'!$C$4:$C$1010,0)</f>
        <v>#N/A</v>
      </c>
      <c r="AN2006" s="6" t="b">
        <f t="shared" si="214"/>
        <v>1</v>
      </c>
      <c r="AO2006" s="6" t="str">
        <f t="shared" si="215"/>
        <v>OK</v>
      </c>
      <c r="AQ2006" s="6" t="e">
        <f>MATCH($D2006,'D4 - Provider Council Unsched'!$C$11:$C$234,0)</f>
        <v>#N/A</v>
      </c>
      <c r="AR2006" s="6" t="b">
        <f t="shared" si="216"/>
        <v>1</v>
      </c>
      <c r="AS2006" s="6" t="str">
        <f t="shared" si="217"/>
        <v>OK</v>
      </c>
      <c r="AU2006" s="202"/>
      <c r="AV2006" s="262"/>
      <c r="AW2006" s="274"/>
    </row>
    <row r="2007" spans="1:49" s="13" customFormat="1" ht="33.75" x14ac:dyDescent="0.2">
      <c r="A2007" s="14">
        <v>1983</v>
      </c>
      <c r="B2007" s="14">
        <v>400027506</v>
      </c>
      <c r="C2007" s="8" t="s">
        <v>5197</v>
      </c>
      <c r="D2007" s="4" t="str">
        <f t="shared" si="212"/>
        <v>400027506R1</v>
      </c>
      <c r="E2007" s="309" t="str">
        <f>VLOOKUP($B2007,'D7 - NDB Impacted SPRF''s'!$E$6:$O$9929,2,FALSE)</f>
        <v>FRP - PHS POS RIMS OON Wrapper move to UNET</v>
      </c>
      <c r="F2007" s="8" t="s">
        <v>6071</v>
      </c>
      <c r="G2007" s="8" t="s">
        <v>4758</v>
      </c>
      <c r="H2007" s="8" t="s">
        <v>4246</v>
      </c>
      <c r="I2007" s="20"/>
      <c r="J2007" s="8"/>
      <c r="K2007" s="182"/>
      <c r="L2007" s="8" t="s">
        <v>4156</v>
      </c>
      <c r="M2007" s="8" t="s">
        <v>2814</v>
      </c>
      <c r="N2007" s="38"/>
      <c r="O2007" s="8"/>
      <c r="P2007" s="4" t="str">
        <f>VLOOKUP($B2007,'D7 - NDB Impacted SPRF''s'!$E$16:$O$9929,9,FALSE)</f>
        <v>Y</v>
      </c>
      <c r="Q2007" s="4" t="str">
        <f>VLOOKUP($B2007,'D7 - NDB Impacted SPRF''s'!$E$16:$O$9929,10,FALSE)</f>
        <v>N</v>
      </c>
      <c r="R2007" s="4" t="str">
        <f>VLOOKUP($B2007,'D7 - NDB Impacted SPRF''s'!$E$16:$O$9929,11,FALSE)</f>
        <v>N</v>
      </c>
      <c r="S2007" s="8"/>
      <c r="T2007" s="310"/>
      <c r="U2007" s="310"/>
      <c r="V2007" s="4"/>
      <c r="W2007" s="4"/>
      <c r="X2007" s="4"/>
      <c r="Y2007" s="4"/>
      <c r="Z2007" s="4"/>
      <c r="AA2007" s="4"/>
      <c r="AB2007" s="380" t="str">
        <f>VLOOKUP($B2007,'D7 - NDB Impacted SPRF''s'!$E$16:$O$9929,4,FALSE)</f>
        <v>Completed</v>
      </c>
      <c r="AC2007" s="380" t="str">
        <f>VLOOKUP($B2007,'D7 - NDB Impacted SPRF''s'!$E$16:$O$9929,3,FALSE)</f>
        <v>UnitedHealthcare Employer &amp; Individual</v>
      </c>
      <c r="AD2007" s="380" t="str">
        <f>VLOOKUP($B2007,'D7 - NDB Impacted SPRF''s'!$E$16:$O$9929,5,FALSE)</f>
        <v>Integration Requirements</v>
      </c>
      <c r="AE2007" s="380" t="str">
        <f>VLOOKUP($B2007,'D7 - NDB Impacted SPRF''s'!$E$16:$O$9929,7,FALSE)</f>
        <v>Greenberg, Jason</v>
      </c>
      <c r="AF2007" s="380" t="str">
        <f>VLOOKUP($B2007,'D7 - NDB Impacted SPRF''s'!$E$16:$O$9929,6,FALSE)</f>
        <v>Steve Frankel</v>
      </c>
      <c r="AG2007" s="282"/>
      <c r="AH2007" s="311" t="e">
        <f>INDEX('D5 - Gatekeeper - Projects'!$A$4:$AF$1010,$AM2007, 17)</f>
        <v>#N/A</v>
      </c>
      <c r="AI2007" s="8"/>
      <c r="AJ2007" s="57"/>
      <c r="AK2007" s="105"/>
      <c r="AM2007" s="6" t="e">
        <f>MATCH(D2007,'D5 - Gatekeeper - Projects'!$C$4:$C$1010,0)</f>
        <v>#N/A</v>
      </c>
      <c r="AN2007" s="6" t="b">
        <f t="shared" si="214"/>
        <v>1</v>
      </c>
      <c r="AO2007" s="6" t="str">
        <f t="shared" si="215"/>
        <v>OK</v>
      </c>
      <c r="AQ2007" s="6" t="e">
        <f>MATCH($D2007,'D4 - Provider Council Unsched'!$C$11:$C$234,0)</f>
        <v>#N/A</v>
      </c>
      <c r="AR2007" s="6" t="b">
        <f t="shared" si="216"/>
        <v>1</v>
      </c>
      <c r="AS2007" s="6" t="str">
        <f t="shared" si="217"/>
        <v>OK</v>
      </c>
      <c r="AU2007" s="202"/>
      <c r="AV2007" s="262"/>
      <c r="AW2007" s="274"/>
    </row>
    <row r="2008" spans="1:49" s="13" customFormat="1" ht="33.75" x14ac:dyDescent="0.2">
      <c r="A2008" s="14">
        <v>1984</v>
      </c>
      <c r="B2008" s="14">
        <v>400028445</v>
      </c>
      <c r="C2008" s="8" t="s">
        <v>5197</v>
      </c>
      <c r="D2008" s="4" t="str">
        <f t="shared" si="212"/>
        <v>400028445R1</v>
      </c>
      <c r="E2008" s="309" t="str">
        <f>VLOOKUP($B2008,'D7 - NDB Impacted SPRF''s'!$E$6:$O$9929,2,FALSE)</f>
        <v>Update GGMAP / ERC in CAT test regions</v>
      </c>
      <c r="F2008" s="8" t="s">
        <v>7106</v>
      </c>
      <c r="G2008" s="8" t="s">
        <v>4758</v>
      </c>
      <c r="H2008" s="8" t="s">
        <v>4246</v>
      </c>
      <c r="I2008" s="20"/>
      <c r="J2008" s="8"/>
      <c r="K2008" s="182"/>
      <c r="L2008" s="8" t="s">
        <v>4156</v>
      </c>
      <c r="M2008" s="8" t="s">
        <v>2814</v>
      </c>
      <c r="N2008" s="38"/>
      <c r="O2008" s="8"/>
      <c r="P2008" s="4" t="str">
        <f>VLOOKUP($B2008,'D7 - NDB Impacted SPRF''s'!$E$16:$O$9929,9,FALSE)</f>
        <v>N</v>
      </c>
      <c r="Q2008" s="4" t="str">
        <f>VLOOKUP($B2008,'D7 - NDB Impacted SPRF''s'!$E$16:$O$9929,10,FALSE)</f>
        <v>N</v>
      </c>
      <c r="R2008" s="4" t="str">
        <f>VLOOKUP($B2008,'D7 - NDB Impacted SPRF''s'!$E$16:$O$9929,11,FALSE)</f>
        <v>N</v>
      </c>
      <c r="S2008" s="8"/>
      <c r="T2008" s="310"/>
      <c r="U2008" s="310"/>
      <c r="V2008" s="4"/>
      <c r="W2008" s="4"/>
      <c r="X2008" s="4"/>
      <c r="Y2008" s="4"/>
      <c r="Z2008" s="4"/>
      <c r="AA2008" s="4"/>
      <c r="AB2008" s="380" t="str">
        <f>VLOOKUP($B2008,'D7 - NDB Impacted SPRF''s'!$E$16:$O$9929,4,FALSE)</f>
        <v>Completed</v>
      </c>
      <c r="AC2008" s="380" t="str">
        <f>VLOOKUP($B2008,'D7 - NDB Impacted SPRF''s'!$E$16:$O$9929,3,FALSE)</f>
        <v>UHG IT - Application Services Group</v>
      </c>
      <c r="AD2008" s="380" t="str">
        <f>VLOOKUP($B2008,'D7 - NDB Impacted SPRF''s'!$E$16:$O$9929,5,FALSE)</f>
        <v>ASG</v>
      </c>
      <c r="AE2008" s="380" t="str">
        <f>VLOOKUP($B2008,'D7 - NDB Impacted SPRF''s'!$E$16:$O$9929,7,FALSE)</f>
        <v>Bob Preston</v>
      </c>
      <c r="AF2008" s="380" t="str">
        <f>VLOOKUP($B2008,'D7 - NDB Impacted SPRF''s'!$E$16:$O$9929,6,FALSE)</f>
        <v>EDWARD SIWICKI</v>
      </c>
      <c r="AG2008" s="282"/>
      <c r="AH2008" s="311" t="e">
        <f>INDEX('D5 - Gatekeeper - Projects'!$A$4:$AF$1010,$AM2008, 17)</f>
        <v>#N/A</v>
      </c>
      <c r="AI2008" s="8"/>
      <c r="AJ2008" s="57"/>
      <c r="AK2008" s="105"/>
      <c r="AM2008" s="6" t="e">
        <f>MATCH(D2008,'D5 - Gatekeeper - Projects'!$C$4:$C$1010,0)</f>
        <v>#N/A</v>
      </c>
      <c r="AN2008" s="6" t="b">
        <f t="shared" si="214"/>
        <v>1</v>
      </c>
      <c r="AO2008" s="6" t="str">
        <f t="shared" si="215"/>
        <v>OK</v>
      </c>
      <c r="AQ2008" s="6" t="e">
        <f>MATCH($D2008,'D4 - Provider Council Unsched'!$C$11:$C$234,0)</f>
        <v>#N/A</v>
      </c>
      <c r="AR2008" s="6" t="b">
        <f t="shared" si="216"/>
        <v>1</v>
      </c>
      <c r="AS2008" s="6" t="str">
        <f t="shared" si="217"/>
        <v>OK</v>
      </c>
      <c r="AU2008" s="202"/>
      <c r="AV2008" s="262"/>
      <c r="AW2008" s="274"/>
    </row>
    <row r="2009" spans="1:49" s="13" customFormat="1" ht="33.75" x14ac:dyDescent="0.2">
      <c r="A2009" s="14">
        <v>1985</v>
      </c>
      <c r="B2009" s="14">
        <v>400028495</v>
      </c>
      <c r="C2009" s="8" t="s">
        <v>5197</v>
      </c>
      <c r="D2009" s="4" t="str">
        <f t="shared" si="212"/>
        <v>400028495R1</v>
      </c>
      <c r="E2009" s="309" t="str">
        <f>VLOOKUP($B2009,'D7 - NDB Impacted SPRF''s'!$E$6:$O$9929,2,FALSE)</f>
        <v>PlanView 10 UHG IT Requirements</v>
      </c>
      <c r="F2009" s="8" t="s">
        <v>2114</v>
      </c>
      <c r="G2009" s="8" t="s">
        <v>4758</v>
      </c>
      <c r="H2009" s="8" t="s">
        <v>4246</v>
      </c>
      <c r="I2009" s="20"/>
      <c r="J2009" s="8"/>
      <c r="K2009" s="182"/>
      <c r="L2009" s="8" t="s">
        <v>4156</v>
      </c>
      <c r="M2009" s="8" t="s">
        <v>2814</v>
      </c>
      <c r="N2009" s="38" t="s">
        <v>4383</v>
      </c>
      <c r="O2009" s="8"/>
      <c r="P2009" s="4" t="str">
        <f>VLOOKUP($B2009,'D7 - NDB Impacted SPRF''s'!$E$16:$O$9929,9,FALSE)</f>
        <v>Y</v>
      </c>
      <c r="Q2009" s="4" t="str">
        <f>VLOOKUP($B2009,'D7 - NDB Impacted SPRF''s'!$E$16:$O$9929,10,FALSE)</f>
        <v>N</v>
      </c>
      <c r="R2009" s="4" t="str">
        <f>VLOOKUP($B2009,'D7 - NDB Impacted SPRF''s'!$E$16:$O$9929,11,FALSE)</f>
        <v>N</v>
      </c>
      <c r="S2009" s="8"/>
      <c r="T2009" s="310"/>
      <c r="U2009" s="310"/>
      <c r="V2009" s="4"/>
      <c r="W2009" s="4"/>
      <c r="X2009" s="4"/>
      <c r="Y2009" s="4"/>
      <c r="Z2009" s="4"/>
      <c r="AA2009" s="4"/>
      <c r="AB2009" s="380" t="str">
        <f>VLOOKUP($B2009,'D7 - NDB Impacted SPRF''s'!$E$16:$O$9929,4,FALSE)</f>
        <v>Completed</v>
      </c>
      <c r="AC2009" s="380" t="str">
        <f>VLOOKUP($B2009,'D7 - NDB Impacted SPRF''s'!$E$16:$O$9929,3,FALSE)</f>
        <v>UHG IT - Application Services Group</v>
      </c>
      <c r="AD2009" s="380" t="str">
        <f>VLOOKUP($B2009,'D7 - NDB Impacted SPRF''s'!$E$16:$O$9929,5,FALSE)</f>
        <v>ASG</v>
      </c>
      <c r="AE2009" s="380" t="str">
        <f>VLOOKUP($B2009,'D7 - NDB Impacted SPRF''s'!$E$16:$O$9929,7,FALSE)</f>
        <v>John Silva</v>
      </c>
      <c r="AF2009" s="380" t="str">
        <f>VLOOKUP($B2009,'D7 - NDB Impacted SPRF''s'!$E$16:$O$9929,6,FALSE)</f>
        <v>ISAAC DAVIDI</v>
      </c>
      <c r="AG2009" s="282"/>
      <c r="AH2009" s="311" t="e">
        <f>INDEX('D5 - Gatekeeper - Projects'!$A$4:$AF$1010,$AM2009, 17)</f>
        <v>#N/A</v>
      </c>
      <c r="AI2009" s="8"/>
      <c r="AJ2009" s="57"/>
      <c r="AK2009" s="105"/>
      <c r="AM2009" s="6" t="e">
        <f>MATCH(D2009,'D5 - Gatekeeper - Projects'!$C$4:$C$1010,0)</f>
        <v>#N/A</v>
      </c>
      <c r="AN2009" s="6" t="b">
        <f t="shared" si="214"/>
        <v>1</v>
      </c>
      <c r="AO2009" s="6" t="str">
        <f t="shared" si="215"/>
        <v>OK</v>
      </c>
      <c r="AQ2009" s="6" t="e">
        <f>MATCH($D2009,'D4 - Provider Council Unsched'!$C$11:$C$234,0)</f>
        <v>#N/A</v>
      </c>
      <c r="AR2009" s="6" t="b">
        <f t="shared" si="216"/>
        <v>1</v>
      </c>
      <c r="AS2009" s="6" t="str">
        <f t="shared" si="217"/>
        <v>OK</v>
      </c>
      <c r="AU2009" s="202"/>
      <c r="AV2009" s="262"/>
      <c r="AW2009" s="274"/>
    </row>
    <row r="2010" spans="1:49" s="13" customFormat="1" ht="33.75" x14ac:dyDescent="0.2">
      <c r="A2010" s="14">
        <v>1986</v>
      </c>
      <c r="B2010" s="14">
        <v>400028863</v>
      </c>
      <c r="C2010" s="8" t="s">
        <v>5197</v>
      </c>
      <c r="D2010" s="4" t="str">
        <f t="shared" si="212"/>
        <v>400028863R1</v>
      </c>
      <c r="E2010" s="309" t="str">
        <f>VLOOKUP($B2010,'D7 - NDB Impacted SPRF''s'!$E$6:$O$9929,2,FALSE)</f>
        <v>E2E Physician Emptoris Enhancements 2009</v>
      </c>
      <c r="F2010" s="8" t="s">
        <v>5594</v>
      </c>
      <c r="G2010" s="8" t="s">
        <v>4758</v>
      </c>
      <c r="H2010" s="8" t="s">
        <v>4246</v>
      </c>
      <c r="I2010" s="20"/>
      <c r="J2010" s="8"/>
      <c r="K2010" s="182"/>
      <c r="L2010" s="8" t="s">
        <v>4156</v>
      </c>
      <c r="M2010" s="8" t="s">
        <v>2814</v>
      </c>
      <c r="N2010" s="38"/>
      <c r="O2010" s="8"/>
      <c r="P2010" s="4" t="str">
        <f>VLOOKUP($B2010,'D7 - NDB Impacted SPRF''s'!$E$16:$O$9929,9,FALSE)</f>
        <v>N</v>
      </c>
      <c r="Q2010" s="4" t="str">
        <f>VLOOKUP($B2010,'D7 - NDB Impacted SPRF''s'!$E$16:$O$9929,10,FALSE)</f>
        <v>N</v>
      </c>
      <c r="R2010" s="4" t="str">
        <f>VLOOKUP($B2010,'D7 - NDB Impacted SPRF''s'!$E$16:$O$9929,11,FALSE)</f>
        <v>N</v>
      </c>
      <c r="S2010" s="8"/>
      <c r="T2010" s="310"/>
      <c r="U2010" s="310"/>
      <c r="V2010" s="4"/>
      <c r="W2010" s="4"/>
      <c r="X2010" s="4"/>
      <c r="Y2010" s="4"/>
      <c r="Z2010" s="4"/>
      <c r="AA2010" s="4"/>
      <c r="AB2010" s="380" t="str">
        <f>VLOOKUP($B2010,'D7 - NDB Impacted SPRF''s'!$E$6:$O$9929,4,FALSE)</f>
        <v>Completed</v>
      </c>
      <c r="AC2010" s="380" t="str">
        <f>VLOOKUP($B2010,'D7 - NDB Impacted SPRF''s'!$E$6:$O$9929,3,FALSE)</f>
        <v>UnitedHealthcare Employer &amp; Individual</v>
      </c>
      <c r="AD2010" s="380" t="str">
        <f>VLOOKUP($B2010,'D7 - NDB Impacted SPRF''s'!$E$6:$O$9929,5,FALSE)</f>
        <v>Process Improvement</v>
      </c>
      <c r="AE2010" s="380" t="str">
        <f>VLOOKUP($B2010,'D7 - NDB Impacted SPRF''s'!$E$6:$O$9929,7,FALSE)</f>
        <v>Jill Foucre</v>
      </c>
      <c r="AF2010" s="380" t="str">
        <f>VLOOKUP($B2010,'D7 - NDB Impacted SPRF''s'!$E$6:$O$9929,6,FALSE)</f>
        <v>Melissa Orth</v>
      </c>
      <c r="AG2010" s="282"/>
      <c r="AH2010" s="311" t="e">
        <f>INDEX('D5 - Gatekeeper - Projects'!$A$4:$AF$1010,$AM2010, 17)</f>
        <v>#N/A</v>
      </c>
      <c r="AI2010" s="8"/>
      <c r="AJ2010" s="57"/>
      <c r="AK2010" s="105"/>
      <c r="AM2010" s="6" t="e">
        <f>MATCH(D2010,'D5 - Gatekeeper - Projects'!$C$4:$C$1010,0)</f>
        <v>#N/A</v>
      </c>
      <c r="AN2010" s="6" t="b">
        <f t="shared" si="214"/>
        <v>1</v>
      </c>
      <c r="AO2010" s="6" t="str">
        <f t="shared" si="215"/>
        <v>OK</v>
      </c>
      <c r="AQ2010" s="6" t="e">
        <f>MATCH($D2010,'D4 - Provider Council Unsched'!$C$11:$C$234,0)</f>
        <v>#N/A</v>
      </c>
      <c r="AR2010" s="6" t="b">
        <f t="shared" si="216"/>
        <v>1</v>
      </c>
      <c r="AS2010" s="6" t="str">
        <f t="shared" si="217"/>
        <v>OK</v>
      </c>
      <c r="AU2010" s="202"/>
      <c r="AV2010" s="262"/>
      <c r="AW2010" s="274"/>
    </row>
    <row r="2011" spans="1:49" s="13" customFormat="1" ht="33.75" x14ac:dyDescent="0.2">
      <c r="A2011" s="14">
        <v>1987</v>
      </c>
      <c r="B2011" s="14">
        <v>400028872</v>
      </c>
      <c r="C2011" s="8" t="s">
        <v>5197</v>
      </c>
      <c r="D2011" s="4" t="str">
        <f t="shared" si="212"/>
        <v>400028872R1</v>
      </c>
      <c r="E2011" s="309" t="str">
        <f>VLOOKUP($B2011,'D7 - NDB Impacted SPRF''s'!$E$6:$O$9929,2,FALSE)</f>
        <v>FRP - PHS ILIAD move to alternative platform</v>
      </c>
      <c r="F2011" s="8" t="s">
        <v>2114</v>
      </c>
      <c r="G2011" s="8" t="s">
        <v>4758</v>
      </c>
      <c r="H2011" s="8" t="s">
        <v>4246</v>
      </c>
      <c r="I2011" s="20"/>
      <c r="J2011" s="8"/>
      <c r="K2011" s="182"/>
      <c r="L2011" s="8" t="s">
        <v>4156</v>
      </c>
      <c r="M2011" s="8" t="s">
        <v>2814</v>
      </c>
      <c r="N2011" s="38"/>
      <c r="O2011" s="8"/>
      <c r="P2011" s="4" t="str">
        <f>VLOOKUP($B2011,'D7 - NDB Impacted SPRF''s'!$E$16:$O$9929,9,FALSE)</f>
        <v>Y</v>
      </c>
      <c r="Q2011" s="4" t="str">
        <f>VLOOKUP($B2011,'D7 - NDB Impacted SPRF''s'!$E$16:$O$9929,10,FALSE)</f>
        <v>N</v>
      </c>
      <c r="R2011" s="4" t="str">
        <f>VLOOKUP($B2011,'D7 - NDB Impacted SPRF''s'!$E$16:$O$9929,11,FALSE)</f>
        <v>Y</v>
      </c>
      <c r="S2011" s="8"/>
      <c r="T2011" s="310"/>
      <c r="U2011" s="310"/>
      <c r="V2011" s="4"/>
      <c r="W2011" s="4"/>
      <c r="X2011" s="4"/>
      <c r="Y2011" s="4"/>
      <c r="Z2011" s="4"/>
      <c r="AA2011" s="4"/>
      <c r="AB2011" s="380" t="str">
        <f>VLOOKUP($B2011,'D7 - NDB Impacted SPRF''s'!$E$16:$O$9929,4,FALSE)</f>
        <v>Completed</v>
      </c>
      <c r="AC2011" s="380" t="str">
        <f>VLOOKUP($B2011,'D7 - NDB Impacted SPRF''s'!$E$16:$O$9929,3,FALSE)</f>
        <v>UnitedHealthcare Employer &amp; Individual</v>
      </c>
      <c r="AD2011" s="380" t="str">
        <f>VLOOKUP($B2011,'D7 - NDB Impacted SPRF''s'!$E$16:$O$9929,5,FALSE)</f>
        <v>Integration Requirements</v>
      </c>
      <c r="AE2011" s="380" t="str">
        <f>VLOOKUP($B2011,'D7 - NDB Impacted SPRF''s'!$E$16:$O$9929,7,FALSE)</f>
        <v>Greenberg, Jason</v>
      </c>
      <c r="AF2011" s="380" t="str">
        <f>VLOOKUP($B2011,'D7 - NDB Impacted SPRF''s'!$E$16:$O$9929,6,FALSE)</f>
        <v>Catherine Krause</v>
      </c>
      <c r="AG2011" s="282"/>
      <c r="AH2011" s="311" t="e">
        <f>INDEX('D5 - Gatekeeper - Projects'!$A$4:$AF$1010,$AM2011, 17)</f>
        <v>#N/A</v>
      </c>
      <c r="AI2011" s="8"/>
      <c r="AJ2011" s="57"/>
      <c r="AK2011" s="57"/>
      <c r="AM2011" s="6" t="e">
        <f>MATCH(D2011,'D5 - Gatekeeper - Projects'!$C$4:$C$1010,0)</f>
        <v>#N/A</v>
      </c>
      <c r="AN2011" s="6" t="b">
        <f t="shared" si="214"/>
        <v>1</v>
      </c>
      <c r="AO2011" s="6" t="str">
        <f t="shared" si="215"/>
        <v>OK</v>
      </c>
      <c r="AQ2011" s="6" t="e">
        <f>MATCH($D2011,'D4 - Provider Council Unsched'!$C$11:$C$234,0)</f>
        <v>#N/A</v>
      </c>
      <c r="AR2011" s="6" t="b">
        <f t="shared" si="216"/>
        <v>1</v>
      </c>
      <c r="AS2011" s="6" t="str">
        <f t="shared" si="217"/>
        <v>OK</v>
      </c>
      <c r="AU2011" s="202"/>
      <c r="AV2011" s="262"/>
      <c r="AW2011" s="274"/>
    </row>
    <row r="2012" spans="1:49" s="13" customFormat="1" ht="45" x14ac:dyDescent="0.2">
      <c r="A2012" s="14">
        <v>1988</v>
      </c>
      <c r="B2012" s="14">
        <v>400029070</v>
      </c>
      <c r="C2012" s="8" t="s">
        <v>5197</v>
      </c>
      <c r="D2012" s="4" t="str">
        <f t="shared" si="212"/>
        <v>400029070R1</v>
      </c>
      <c r="E2012" s="309" t="str">
        <f>VLOOKUP($B2012,'D7 - NDB Impacted SPRF''s'!$E$6:$O$9929,2,FALSE)</f>
        <v>VirtualClinic - QA Resources</v>
      </c>
      <c r="F2012" s="8" t="s">
        <v>2114</v>
      </c>
      <c r="G2012" s="8" t="s">
        <v>4758</v>
      </c>
      <c r="H2012" s="8" t="s">
        <v>4246</v>
      </c>
      <c r="I2012" s="20"/>
      <c r="J2012" s="8"/>
      <c r="K2012" s="182"/>
      <c r="L2012" s="8" t="s">
        <v>4156</v>
      </c>
      <c r="M2012" s="8" t="s">
        <v>2814</v>
      </c>
      <c r="N2012" s="38" t="s">
        <v>6813</v>
      </c>
      <c r="O2012" s="8"/>
      <c r="P2012" s="4" t="str">
        <f>VLOOKUP($B2012,'D7 - NDB Impacted SPRF''s'!$E$16:$O$9929,9,FALSE)</f>
        <v>N</v>
      </c>
      <c r="Q2012" s="4" t="str">
        <f>VLOOKUP($B2012,'D7 - NDB Impacted SPRF''s'!$E$16:$O$9929,10,FALSE)</f>
        <v>N</v>
      </c>
      <c r="R2012" s="4" t="str">
        <f>VLOOKUP($B2012,'D7 - NDB Impacted SPRF''s'!$E$16:$O$9929,11,FALSE)</f>
        <v>N</v>
      </c>
      <c r="S2012" s="8"/>
      <c r="T2012" s="310"/>
      <c r="U2012" s="310"/>
      <c r="V2012" s="4"/>
      <c r="W2012" s="4"/>
      <c r="X2012" s="4"/>
      <c r="Y2012" s="4"/>
      <c r="Z2012" s="4"/>
      <c r="AA2012" s="4"/>
      <c r="AB2012" s="380" t="str">
        <f>VLOOKUP($B2012,'D7 - NDB Impacted SPRF''s'!$E$16:$O$9929,4,FALSE)</f>
        <v>Completed</v>
      </c>
      <c r="AC2012" s="380" t="str">
        <f>VLOOKUP($B2012,'D7 - NDB Impacted SPRF''s'!$E$16:$O$9929,3,FALSE)</f>
        <v>UHG IT - Enterprise Technology Services</v>
      </c>
      <c r="AD2012" s="380" t="str">
        <f>VLOOKUP($B2012,'D7 - NDB Impacted SPRF''s'!$E$16:$O$9929,5,FALSE)</f>
        <v>IRD</v>
      </c>
      <c r="AE2012" s="380" t="str">
        <f>VLOOKUP($B2012,'D7 - NDB Impacted SPRF''s'!$E$16:$O$9929,7,FALSE)</f>
        <v>Bud Flagstad</v>
      </c>
      <c r="AF2012" s="380" t="str">
        <f>VLOOKUP($B2012,'D7 - NDB Impacted SPRF''s'!$E$16:$O$9929,6,FALSE)</f>
        <v>Tina Marthaler</v>
      </c>
      <c r="AG2012" s="282"/>
      <c r="AH2012" s="311" t="e">
        <f>INDEX('D5 - Gatekeeper - Projects'!$A$4:$AF$1010,$AM2012, 17)</f>
        <v>#N/A</v>
      </c>
      <c r="AI2012" s="8"/>
      <c r="AJ2012" s="57"/>
      <c r="AK2012" s="105"/>
      <c r="AM2012" s="6" t="e">
        <f>MATCH(D2012,'D5 - Gatekeeper - Projects'!$C$4:$C$1010,0)</f>
        <v>#N/A</v>
      </c>
      <c r="AN2012" s="6" t="b">
        <f t="shared" si="214"/>
        <v>1</v>
      </c>
      <c r="AO2012" s="6" t="str">
        <f t="shared" si="215"/>
        <v>OK</v>
      </c>
      <c r="AQ2012" s="6" t="e">
        <f>MATCH($D2012,'D4 - Provider Council Unsched'!$C$11:$C$234,0)</f>
        <v>#N/A</v>
      </c>
      <c r="AR2012" s="6" t="b">
        <f t="shared" si="216"/>
        <v>1</v>
      </c>
      <c r="AS2012" s="6" t="str">
        <f t="shared" si="217"/>
        <v>OK</v>
      </c>
      <c r="AU2012" s="202"/>
      <c r="AV2012" s="262"/>
      <c r="AW2012" s="274"/>
    </row>
    <row r="2013" spans="1:49" s="13" customFormat="1" ht="33.75" x14ac:dyDescent="0.2">
      <c r="A2013" s="14">
        <v>1989</v>
      </c>
      <c r="B2013" s="14">
        <v>400029089</v>
      </c>
      <c r="C2013" s="8" t="s">
        <v>5197</v>
      </c>
      <c r="D2013" s="4" t="str">
        <f t="shared" si="212"/>
        <v>400029089R1</v>
      </c>
      <c r="E2013" s="309" t="str">
        <f>VLOOKUP($B2013,'D7 - NDB Impacted SPRF''s'!$E$6:$O$9929,2,FALSE)</f>
        <v>FRP Contract Line Selection by Physical Location</v>
      </c>
      <c r="F2013" s="8" t="s">
        <v>2114</v>
      </c>
      <c r="G2013" s="8" t="s">
        <v>4758</v>
      </c>
      <c r="H2013" s="8" t="s">
        <v>4246</v>
      </c>
      <c r="I2013" s="20"/>
      <c r="J2013" s="8"/>
      <c r="K2013" s="182"/>
      <c r="L2013" s="8" t="s">
        <v>4156</v>
      </c>
      <c r="M2013" s="8" t="s">
        <v>2814</v>
      </c>
      <c r="N2013" s="38"/>
      <c r="O2013" s="8"/>
      <c r="P2013" s="4" t="str">
        <f>VLOOKUP($B2013,'D7 - NDB Impacted SPRF''s'!$E$16:$O$9929,9,FALSE)</f>
        <v>Y</v>
      </c>
      <c r="Q2013" s="4" t="str">
        <f>VLOOKUP($B2013,'D7 - NDB Impacted SPRF''s'!$E$16:$O$9929,10,FALSE)</f>
        <v>N</v>
      </c>
      <c r="R2013" s="4" t="str">
        <f>VLOOKUP($B2013,'D7 - NDB Impacted SPRF''s'!$E$16:$O$9929,11,FALSE)</f>
        <v>Y</v>
      </c>
      <c r="S2013" s="8"/>
      <c r="T2013" s="310"/>
      <c r="U2013" s="310"/>
      <c r="V2013" s="4"/>
      <c r="W2013" s="4"/>
      <c r="X2013" s="4"/>
      <c r="Y2013" s="4"/>
      <c r="Z2013" s="4"/>
      <c r="AA2013" s="4"/>
      <c r="AB2013" s="380" t="str">
        <f>VLOOKUP($B2013,'D7 - NDB Impacted SPRF''s'!$E$16:$O$9929,4,FALSE)</f>
        <v>Completed</v>
      </c>
      <c r="AC2013" s="380" t="str">
        <f>VLOOKUP($B2013,'D7 - NDB Impacted SPRF''s'!$E$16:$O$9929,3,FALSE)</f>
        <v>UnitedHealthcare Employer &amp; Individual</v>
      </c>
      <c r="AD2013" s="380" t="str">
        <f>VLOOKUP($B2013,'D7 - NDB Impacted SPRF''s'!$E$16:$O$9929,5,FALSE)</f>
        <v>Process Improvement</v>
      </c>
      <c r="AE2013" s="380" t="str">
        <f>VLOOKUP($B2013,'D7 - NDB Impacted SPRF''s'!$E$16:$O$9929,7,FALSE)</f>
        <v>Tim Kaja</v>
      </c>
      <c r="AF2013" s="380" t="str">
        <f>VLOOKUP($B2013,'D7 - NDB Impacted SPRF''s'!$E$16:$O$9929,6,FALSE)</f>
        <v>CHERYL STAUFFER</v>
      </c>
      <c r="AG2013" s="282"/>
      <c r="AH2013" s="311" t="e">
        <f>INDEX('D5 - Gatekeeper - Projects'!$A$4:$AF$1010,$AM2013, 17)</f>
        <v>#N/A</v>
      </c>
      <c r="AI2013" s="8"/>
      <c r="AJ2013" s="57"/>
      <c r="AK2013" s="105"/>
      <c r="AM2013" s="6" t="e">
        <f>MATCH(D2013,'D5 - Gatekeeper - Projects'!$C$4:$C$1010,0)</f>
        <v>#N/A</v>
      </c>
      <c r="AN2013" s="6" t="b">
        <f t="shared" si="214"/>
        <v>1</v>
      </c>
      <c r="AO2013" s="6" t="str">
        <f t="shared" si="215"/>
        <v>OK</v>
      </c>
      <c r="AQ2013" s="6" t="e">
        <f>MATCH($D2013,'D4 - Provider Council Unsched'!$C$11:$C$234,0)</f>
        <v>#N/A</v>
      </c>
      <c r="AR2013" s="6" t="b">
        <f t="shared" si="216"/>
        <v>1</v>
      </c>
      <c r="AS2013" s="6" t="str">
        <f t="shared" si="217"/>
        <v>OK</v>
      </c>
      <c r="AU2013" s="202"/>
      <c r="AV2013" s="262"/>
      <c r="AW2013" s="274"/>
    </row>
    <row r="2014" spans="1:49" s="13" customFormat="1" ht="33.75" x14ac:dyDescent="0.2">
      <c r="A2014" s="14">
        <v>1990</v>
      </c>
      <c r="B2014" s="14">
        <v>400029090</v>
      </c>
      <c r="C2014" s="8" t="s">
        <v>5197</v>
      </c>
      <c r="D2014" s="4" t="str">
        <f t="shared" si="212"/>
        <v>400029090R1</v>
      </c>
      <c r="E2014" s="309" t="str">
        <f>VLOOKUP($B2014,'D7 - NDB Impacted SPRF''s'!$E$6:$O$9929,2,FALSE)</f>
        <v>FRP RAPL/NOBLX 1st Pass Claim Payment Improvements</v>
      </c>
      <c r="F2014" s="8" t="s">
        <v>2114</v>
      </c>
      <c r="G2014" s="8" t="s">
        <v>4758</v>
      </c>
      <c r="H2014" s="8" t="s">
        <v>4246</v>
      </c>
      <c r="I2014" s="20"/>
      <c r="J2014" s="8"/>
      <c r="K2014" s="182"/>
      <c r="L2014" s="8" t="s">
        <v>4156</v>
      </c>
      <c r="M2014" s="8" t="s">
        <v>6688</v>
      </c>
      <c r="N2014" s="38"/>
      <c r="O2014" s="8"/>
      <c r="P2014" s="4" t="str">
        <f>VLOOKUP($B2014,'D7 - NDB Impacted SPRF''s'!$E$16:$O$9929,9,FALSE)</f>
        <v>Y</v>
      </c>
      <c r="Q2014" s="4" t="str">
        <f>VLOOKUP($B2014,'D7 - NDB Impacted SPRF''s'!$E$16:$O$9929,10,FALSE)</f>
        <v>N</v>
      </c>
      <c r="R2014" s="4" t="str">
        <f>VLOOKUP($B2014,'D7 - NDB Impacted SPRF''s'!$E$16:$O$9929,11,FALSE)</f>
        <v>Y</v>
      </c>
      <c r="S2014" s="8"/>
      <c r="T2014" s="310"/>
      <c r="U2014" s="310"/>
      <c r="V2014" s="4"/>
      <c r="W2014" s="4"/>
      <c r="X2014" s="4"/>
      <c r="Y2014" s="4"/>
      <c r="Z2014" s="4"/>
      <c r="AA2014" s="4"/>
      <c r="AB2014" s="380" t="str">
        <f>VLOOKUP($B2014,'D7 - NDB Impacted SPRF''s'!$E$16:$O$9929,4,FALSE)</f>
        <v>Completed</v>
      </c>
      <c r="AC2014" s="380" t="str">
        <f>VLOOKUP($B2014,'D7 - NDB Impacted SPRF''s'!$E$16:$O$9929,3,FALSE)</f>
        <v>UnitedHealthcare Employer &amp; Individual</v>
      </c>
      <c r="AD2014" s="380" t="str">
        <f>VLOOKUP($B2014,'D7 - NDB Impacted SPRF''s'!$E$16:$O$9929,5,FALSE)</f>
        <v>Process Improvement</v>
      </c>
      <c r="AE2014" s="380" t="str">
        <f>VLOOKUP($B2014,'D7 - NDB Impacted SPRF''s'!$E$16:$O$9929,7,FALSE)</f>
        <v>Tim Kaja</v>
      </c>
      <c r="AF2014" s="380" t="str">
        <f>VLOOKUP($B2014,'D7 - NDB Impacted SPRF''s'!$E$16:$O$9929,6,FALSE)</f>
        <v>CHERYL STAUFFER</v>
      </c>
      <c r="AG2014" s="282"/>
      <c r="AH2014" s="311" t="e">
        <f>INDEX('D5 - Gatekeeper - Projects'!$A$4:$AF$1010,$AM2014, 17)</f>
        <v>#N/A</v>
      </c>
      <c r="AI2014" s="8"/>
      <c r="AJ2014" s="57"/>
      <c r="AK2014" s="105"/>
      <c r="AM2014" s="6" t="e">
        <f>MATCH(D2014,'D5 - Gatekeeper - Projects'!$C$4:$C$1010,0)</f>
        <v>#N/A</v>
      </c>
      <c r="AN2014" s="6" t="b">
        <f t="shared" si="214"/>
        <v>1</v>
      </c>
      <c r="AO2014" s="6" t="str">
        <f t="shared" si="215"/>
        <v>OK</v>
      </c>
      <c r="AQ2014" s="6" t="e">
        <f>MATCH($D2014,'D4 - Provider Council Unsched'!$C$11:$C$234,0)</f>
        <v>#N/A</v>
      </c>
      <c r="AR2014" s="6" t="b">
        <f t="shared" si="216"/>
        <v>1</v>
      </c>
      <c r="AS2014" s="6" t="str">
        <f t="shared" si="217"/>
        <v>OK</v>
      </c>
      <c r="AU2014" s="202"/>
      <c r="AV2014" s="262"/>
      <c r="AW2014" s="274"/>
    </row>
    <row r="2015" spans="1:49" s="13" customFormat="1" ht="33.75" x14ac:dyDescent="0.2">
      <c r="A2015" s="14">
        <v>1991</v>
      </c>
      <c r="B2015" s="14">
        <v>400029382</v>
      </c>
      <c r="C2015" s="8" t="s">
        <v>5197</v>
      </c>
      <c r="D2015" s="4" t="str">
        <f t="shared" si="212"/>
        <v>400029382R1</v>
      </c>
      <c r="E2015" s="309" t="str">
        <f>VLOOKUP($B2015,'D7 - NDB Impacted SPRF''s'!$E$6:$O$9929,2,FALSE)</f>
        <v>FiServ ppoONE- Dallas-UHIS Regression Testing II</v>
      </c>
      <c r="F2015" s="8" t="s">
        <v>2114</v>
      </c>
      <c r="G2015" s="8" t="s">
        <v>4758</v>
      </c>
      <c r="H2015" s="8" t="s">
        <v>4246</v>
      </c>
      <c r="I2015" s="20"/>
      <c r="J2015" s="8"/>
      <c r="K2015" s="182"/>
      <c r="L2015" s="8" t="s">
        <v>4156</v>
      </c>
      <c r="M2015" s="8" t="s">
        <v>2814</v>
      </c>
      <c r="N2015" s="38" t="s">
        <v>8081</v>
      </c>
      <c r="O2015" s="8"/>
      <c r="P2015" s="4" t="str">
        <f>VLOOKUP($B2015,'D7 - NDB Impacted SPRF''s'!$E$16:$O$9929,9,FALSE)</f>
        <v>N</v>
      </c>
      <c r="Q2015" s="4" t="str">
        <f>VLOOKUP($B2015,'D7 - NDB Impacted SPRF''s'!$E$16:$O$9929,10,FALSE)</f>
        <v>N</v>
      </c>
      <c r="R2015" s="4" t="str">
        <f>VLOOKUP($B2015,'D7 - NDB Impacted SPRF''s'!$E$16:$O$9929,11,FALSE)</f>
        <v>Y</v>
      </c>
      <c r="S2015" s="8"/>
      <c r="T2015" s="310"/>
      <c r="U2015" s="310"/>
      <c r="V2015" s="4"/>
      <c r="W2015" s="4"/>
      <c r="X2015" s="4"/>
      <c r="Y2015" s="4"/>
      <c r="Z2015" s="4"/>
      <c r="AA2015" s="4"/>
      <c r="AB2015" s="380" t="str">
        <f>VLOOKUP($B2015,'D7 - NDB Impacted SPRF''s'!$E$16:$O$9929,4,FALSE)</f>
        <v>Completed</v>
      </c>
      <c r="AC2015" s="380" t="str">
        <f>VLOOKUP($B2015,'D7 - NDB Impacted SPRF''s'!$E$16:$O$9929,3,FALSE)</f>
        <v>UnitedHealthcare Employer &amp; Individual</v>
      </c>
      <c r="AD2015" s="380" t="str">
        <f>VLOOKUP($B2015,'D7 - NDB Impacted SPRF''s'!$E$16:$O$9929,5,FALSE)</f>
        <v>Membership Growth / Revenue Programs</v>
      </c>
      <c r="AE2015" s="380" t="str">
        <f>VLOOKUP($B2015,'D7 - NDB Impacted SPRF''s'!$E$16:$O$9929,7,FALSE)</f>
        <v>Sally A Verrilli</v>
      </c>
      <c r="AF2015" s="380" t="str">
        <f>VLOOKUP($B2015,'D7 - NDB Impacted SPRF''s'!$E$16:$O$9929,6,FALSE)</f>
        <v>Ellis Miller</v>
      </c>
      <c r="AG2015" s="282"/>
      <c r="AH2015" s="311" t="e">
        <f>INDEX('D5 - Gatekeeper - Projects'!$A$4:$AF$1010,$AM2015, 17)</f>
        <v>#N/A</v>
      </c>
      <c r="AI2015" s="8"/>
      <c r="AJ2015" s="57"/>
      <c r="AK2015" s="105"/>
      <c r="AM2015" s="6" t="e">
        <f>MATCH(D2015,'D5 - Gatekeeper - Projects'!$C$4:$C$1010,0)</f>
        <v>#N/A</v>
      </c>
      <c r="AN2015" s="6" t="b">
        <f t="shared" si="214"/>
        <v>1</v>
      </c>
      <c r="AO2015" s="6" t="str">
        <f t="shared" si="215"/>
        <v>OK</v>
      </c>
      <c r="AQ2015" s="6" t="e">
        <f>MATCH($D2015,'D4 - Provider Council Unsched'!$C$11:$C$234,0)</f>
        <v>#N/A</v>
      </c>
      <c r="AR2015" s="6" t="b">
        <f t="shared" si="216"/>
        <v>1</v>
      </c>
      <c r="AS2015" s="6" t="str">
        <f t="shared" si="217"/>
        <v>OK</v>
      </c>
      <c r="AU2015" s="202"/>
      <c r="AV2015" s="262"/>
      <c r="AW2015" s="274"/>
    </row>
    <row r="2016" spans="1:49" s="13" customFormat="1" ht="33.75" x14ac:dyDescent="0.2">
      <c r="A2016" s="14">
        <v>1992</v>
      </c>
      <c r="B2016" s="14">
        <v>400029511</v>
      </c>
      <c r="C2016" s="8" t="s">
        <v>5197</v>
      </c>
      <c r="D2016" s="4" t="str">
        <f t="shared" si="212"/>
        <v>400029511R1</v>
      </c>
      <c r="E2016" s="309" t="str">
        <f>VLOOKUP($B2016,'D7 - NDB Impacted SPRF''s'!$E$6:$O$9929,2,FALSE)</f>
        <v>Heritage Product in Ohio</v>
      </c>
      <c r="F2016" s="282" t="s">
        <v>2114</v>
      </c>
      <c r="G2016" s="8" t="s">
        <v>4758</v>
      </c>
      <c r="H2016" s="8" t="s">
        <v>4246</v>
      </c>
      <c r="I2016" s="20"/>
      <c r="J2016" s="8"/>
      <c r="K2016" s="182"/>
      <c r="L2016" s="8" t="s">
        <v>4156</v>
      </c>
      <c r="M2016" s="8" t="s">
        <v>2814</v>
      </c>
      <c r="N2016" s="38" t="s">
        <v>4334</v>
      </c>
      <c r="O2016" s="8"/>
      <c r="P2016" s="4" t="str">
        <f>VLOOKUP($B2016,'D7 - NDB Impacted SPRF''s'!$E$16:$O$9929,9,FALSE)</f>
        <v>N</v>
      </c>
      <c r="Q2016" s="4" t="str">
        <f>VLOOKUP($B2016,'D7 - NDB Impacted SPRF''s'!$E$16:$O$9929,10,FALSE)</f>
        <v>N</v>
      </c>
      <c r="R2016" s="4" t="str">
        <f>VLOOKUP($B2016,'D7 - NDB Impacted SPRF''s'!$E$16:$O$9929,11,FALSE)</f>
        <v>N</v>
      </c>
      <c r="S2016" s="8"/>
      <c r="T2016" s="310"/>
      <c r="U2016" s="310"/>
      <c r="V2016" s="4"/>
      <c r="W2016" s="4"/>
      <c r="X2016" s="4"/>
      <c r="Y2016" s="4"/>
      <c r="Z2016" s="4"/>
      <c r="AA2016" s="4"/>
      <c r="AB2016" s="380" t="str">
        <f>VLOOKUP($B2016,'D7 - NDB Impacted SPRF''s'!$E$6:$O$9929,4,FALSE)</f>
        <v>Completed</v>
      </c>
      <c r="AC2016" s="380" t="str">
        <f>VLOOKUP($B2016,'D7 - NDB Impacted SPRF''s'!$E$6:$O$9929,3,FALSE)</f>
        <v>UnitedHealthcare Employer &amp; Individual</v>
      </c>
      <c r="AD2016" s="380" t="str">
        <f>VLOOKUP($B2016,'D7 - NDB Impacted SPRF''s'!$E$6:$O$9929,5,FALSE)</f>
        <v>Operational Requirements</v>
      </c>
      <c r="AE2016" s="380" t="str">
        <f>VLOOKUP($B2016,'D7 - NDB Impacted SPRF''s'!$E$6:$O$9929,7,FALSE)</f>
        <v>Heather Lowe</v>
      </c>
      <c r="AF2016" s="380" t="str">
        <f>VLOOKUP($B2016,'D7 - NDB Impacted SPRF''s'!$E$6:$O$9929,6,FALSE)</f>
        <v>HEATHER LOWE-SMITH</v>
      </c>
      <c r="AG2016" s="282"/>
      <c r="AH2016" s="311" t="e">
        <f>INDEX('D5 - Gatekeeper - Projects'!$A$4:$AF$1010,$AM2016, 17)</f>
        <v>#N/A</v>
      </c>
      <c r="AI2016" s="8"/>
      <c r="AJ2016" s="57"/>
      <c r="AK2016" s="57"/>
      <c r="AM2016" s="6" t="e">
        <f>MATCH(D2016,'D5 - Gatekeeper - Projects'!$C$4:$C$1010,0)</f>
        <v>#N/A</v>
      </c>
      <c r="AN2016" s="6" t="b">
        <f t="shared" si="214"/>
        <v>1</v>
      </c>
      <c r="AO2016" s="6" t="str">
        <f t="shared" si="215"/>
        <v>OK</v>
      </c>
      <c r="AQ2016" s="6" t="e">
        <f>MATCH($D2016,'D4 - Provider Council Unsched'!$C$11:$C$234,0)</f>
        <v>#N/A</v>
      </c>
      <c r="AR2016" s="6" t="b">
        <f t="shared" si="216"/>
        <v>1</v>
      </c>
      <c r="AS2016" s="6" t="str">
        <f t="shared" si="217"/>
        <v>OK</v>
      </c>
      <c r="AU2016" s="202"/>
      <c r="AV2016" s="262"/>
      <c r="AW2016" s="274"/>
    </row>
    <row r="2017" spans="1:49" s="13" customFormat="1" ht="45" x14ac:dyDescent="0.2">
      <c r="A2017" s="14">
        <v>1993</v>
      </c>
      <c r="B2017" s="14">
        <v>400030274</v>
      </c>
      <c r="C2017" s="8" t="s">
        <v>5197</v>
      </c>
      <c r="D2017" s="4" t="str">
        <f t="shared" si="212"/>
        <v>400030274R1</v>
      </c>
      <c r="E2017" s="309" t="str">
        <f>VLOOKUP($B2017,'D7 - NDB Impacted SPRF''s'!$E$6:$O$9929,2,FALSE)</f>
        <v>PDR - Contract Selection on Claims Highway</v>
      </c>
      <c r="F2017" s="8" t="s">
        <v>5595</v>
      </c>
      <c r="G2017" s="8" t="s">
        <v>4758</v>
      </c>
      <c r="H2017" s="8" t="s">
        <v>4246</v>
      </c>
      <c r="I2017" s="20"/>
      <c r="J2017" s="8"/>
      <c r="K2017" s="182"/>
      <c r="L2017" s="8" t="s">
        <v>4156</v>
      </c>
      <c r="M2017" s="8" t="s">
        <v>2814</v>
      </c>
      <c r="N2017" s="38"/>
      <c r="O2017" s="8"/>
      <c r="P2017" s="4" t="str">
        <f>VLOOKUP($B2017,'D7 - NDB Impacted SPRF''s'!$E$16:$O$9929,9,FALSE)</f>
        <v>Y</v>
      </c>
      <c r="Q2017" s="4" t="str">
        <f>VLOOKUP($B2017,'D7 - NDB Impacted SPRF''s'!$E$16:$O$9929,10,FALSE)</f>
        <v>N</v>
      </c>
      <c r="R2017" s="4" t="str">
        <f>VLOOKUP($B2017,'D7 - NDB Impacted SPRF''s'!$E$16:$O$9929,11,FALSE)</f>
        <v>N</v>
      </c>
      <c r="S2017" s="8"/>
      <c r="T2017" s="310"/>
      <c r="U2017" s="310"/>
      <c r="V2017" s="4"/>
      <c r="W2017" s="4"/>
      <c r="X2017" s="4"/>
      <c r="Y2017" s="4"/>
      <c r="Z2017" s="4"/>
      <c r="AA2017" s="4"/>
      <c r="AB2017" s="380" t="str">
        <f>VLOOKUP($B2017,'D7 - NDB Impacted SPRF''s'!$E$6:$O$9929,4,FALSE)</f>
        <v>Completed</v>
      </c>
      <c r="AC2017" s="380" t="str">
        <f>VLOOKUP($B2017,'D7 - NDB Impacted SPRF''s'!$E$6:$O$9929,3,FALSE)</f>
        <v>UHG IT - Enterprise Technology Services</v>
      </c>
      <c r="AD2017" s="380" t="str">
        <f>VLOOKUP($B2017,'D7 - NDB Impacted SPRF''s'!$E$6:$O$9929,5,FALSE)</f>
        <v>Strategic Initiatives</v>
      </c>
      <c r="AE2017" s="380" t="str">
        <f>VLOOKUP($B2017,'D7 - NDB Impacted SPRF''s'!$E$6:$O$9929,7,FALSE)</f>
        <v>Dave Wichmann</v>
      </c>
      <c r="AF2017" s="380" t="str">
        <f>VLOOKUP($B2017,'D7 - NDB Impacted SPRF''s'!$E$6:$O$9929,6,FALSE)</f>
        <v>Nicole Cartwright</v>
      </c>
      <c r="AG2017" s="282"/>
      <c r="AH2017" s="311" t="e">
        <f>INDEX('D5 - Gatekeeper - Projects'!$A$4:$AF$1010,$AM2017, 17)</f>
        <v>#N/A</v>
      </c>
      <c r="AI2017" s="8"/>
      <c r="AJ2017" s="57"/>
      <c r="AK2017" s="105"/>
      <c r="AM2017" s="6" t="e">
        <f>MATCH(D2017,'D5 - Gatekeeper - Projects'!$C$4:$C$1010,0)</f>
        <v>#N/A</v>
      </c>
      <c r="AN2017" s="6" t="b">
        <f t="shared" si="214"/>
        <v>1</v>
      </c>
      <c r="AO2017" s="6" t="str">
        <f t="shared" si="215"/>
        <v>OK</v>
      </c>
      <c r="AQ2017" s="6" t="e">
        <f>MATCH($D2017,'D4 - Provider Council Unsched'!$C$11:$C$234,0)</f>
        <v>#N/A</v>
      </c>
      <c r="AR2017" s="6" t="b">
        <f t="shared" si="216"/>
        <v>1</v>
      </c>
      <c r="AS2017" s="6" t="str">
        <f>IF(AND(H2017="2 - Not Scheduled",AR2017=TRUE,C2017="R1"),"Add","OK")</f>
        <v>OK</v>
      </c>
      <c r="AU2017" s="202"/>
      <c r="AV2017" s="262"/>
      <c r="AW2017" s="274"/>
    </row>
    <row r="2018" spans="1:49" s="13" customFormat="1" ht="90" x14ac:dyDescent="0.2">
      <c r="A2018" s="14">
        <v>1994</v>
      </c>
      <c r="B2018" s="14">
        <v>400030375</v>
      </c>
      <c r="C2018" s="8" t="s">
        <v>5197</v>
      </c>
      <c r="D2018" s="4" t="str">
        <f t="shared" si="212"/>
        <v>400030375R1</v>
      </c>
      <c r="E2018" s="309" t="str">
        <f>VLOOKUP($B2018,'D7 - NDB Impacted SPRF''s'!$E$6:$O$9929,2,FALSE)</f>
        <v>PDR- DRG Clearinghouse</v>
      </c>
      <c r="F2018" s="8" t="s">
        <v>5595</v>
      </c>
      <c r="G2018" s="8" t="s">
        <v>4758</v>
      </c>
      <c r="H2018" s="8" t="s">
        <v>4246</v>
      </c>
      <c r="I2018" s="20">
        <v>1.31</v>
      </c>
      <c r="J2018" s="8"/>
      <c r="K2018" s="182"/>
      <c r="L2018" s="8" t="s">
        <v>4156</v>
      </c>
      <c r="M2018" s="8" t="s">
        <v>6688</v>
      </c>
      <c r="N2018" s="38" t="s">
        <v>5046</v>
      </c>
      <c r="O2018" s="8" t="s">
        <v>1074</v>
      </c>
      <c r="P2018" s="4" t="str">
        <f>VLOOKUP($B2018,'D7 - NDB Impacted SPRF''s'!$E$16:$O$9929,9,FALSE)</f>
        <v>Y</v>
      </c>
      <c r="Q2018" s="4" t="str">
        <f>VLOOKUP($B2018,'D7 - NDB Impacted SPRF''s'!$E$16:$O$9929,10,FALSE)</f>
        <v>N</v>
      </c>
      <c r="R2018" s="4" t="str">
        <f>VLOOKUP($B2018,'D7 - NDB Impacted SPRF''s'!$E$16:$O$9929,11,FALSE)</f>
        <v>Y</v>
      </c>
      <c r="S2018" s="8"/>
      <c r="T2018" s="310"/>
      <c r="U2018" s="310"/>
      <c r="V2018" s="4"/>
      <c r="W2018" s="4"/>
      <c r="X2018" s="4"/>
      <c r="Y2018" s="4"/>
      <c r="Z2018" s="4"/>
      <c r="AA2018" s="4"/>
      <c r="AB2018" s="380" t="str">
        <f>VLOOKUP($B2018,'D7 - NDB Impacted SPRF''s'!$E$6:$O$9929,4,FALSE)</f>
        <v>Completed</v>
      </c>
      <c r="AC2018" s="380" t="str">
        <f>VLOOKUP($B2018,'D7 - NDB Impacted SPRF''s'!$E$6:$O$9929,3,FALSE)</f>
        <v>UHG IT - Enterprise Technology Services</v>
      </c>
      <c r="AD2018" s="380" t="str">
        <f>VLOOKUP($B2018,'D7 - NDB Impacted SPRF''s'!$E$6:$O$9929,5,FALSE)</f>
        <v>Strategic Initiatives</v>
      </c>
      <c r="AE2018" s="380" t="str">
        <f>VLOOKUP($B2018,'D7 - NDB Impacted SPRF''s'!$E$6:$O$9929,7,FALSE)</f>
        <v>Jill Foucre</v>
      </c>
      <c r="AF2018" s="380" t="str">
        <f>VLOOKUP($B2018,'D7 - NDB Impacted SPRF''s'!$E$6:$O$9929,6,FALSE)</f>
        <v>SUSAN HINES</v>
      </c>
      <c r="AG2018" s="282"/>
      <c r="AH2018" s="311" t="e">
        <f>INDEX('D5 - Gatekeeper - Projects'!$A$4:$AF$1010,$AM2018, 17)</f>
        <v>#N/A</v>
      </c>
      <c r="AI2018" s="8"/>
      <c r="AJ2018" s="57"/>
      <c r="AK2018" s="105"/>
      <c r="AM2018" s="6" t="e">
        <f>MATCH(D2018,'D5 - Gatekeeper - Projects'!$C$4:$C$1010,0)</f>
        <v>#N/A</v>
      </c>
      <c r="AN2018" s="6" t="b">
        <f t="shared" si="214"/>
        <v>1</v>
      </c>
      <c r="AO2018" s="6" t="str">
        <f t="shared" si="215"/>
        <v>OK</v>
      </c>
      <c r="AQ2018" s="6" t="e">
        <f>MATCH($D2018,'D4 - Provider Council Unsched'!$C$11:$C$234,0)</f>
        <v>#N/A</v>
      </c>
      <c r="AR2018" s="6" t="b">
        <f t="shared" si="216"/>
        <v>1</v>
      </c>
      <c r="AS2018" s="6" t="str">
        <f>IF(AND(H2018="2 - Not Scheduled",AR2018=TRUE,C2018="R1"),"Add","OK")</f>
        <v>OK</v>
      </c>
      <c r="AU2018" s="202"/>
      <c r="AV2018" s="262"/>
      <c r="AW2018" s="274"/>
    </row>
    <row r="2019" spans="1:49" s="13" customFormat="1" ht="45" x14ac:dyDescent="0.2">
      <c r="A2019" s="14">
        <v>1995</v>
      </c>
      <c r="B2019" s="14">
        <v>400030448</v>
      </c>
      <c r="C2019" s="8" t="s">
        <v>5197</v>
      </c>
      <c r="D2019" s="4" t="str">
        <f t="shared" si="212"/>
        <v>400030448R1</v>
      </c>
      <c r="E2019" s="309" t="str">
        <f>VLOOKUP($B2019,'D7 - NDB Impacted SPRF''s'!$E$6:$O$9929,2,FALSE)</f>
        <v>PDR - Loading UBH Providers in NDB</v>
      </c>
      <c r="F2019" s="8" t="s">
        <v>5595</v>
      </c>
      <c r="G2019" s="8" t="s">
        <v>4758</v>
      </c>
      <c r="H2019" s="8" t="s">
        <v>4246</v>
      </c>
      <c r="I2019" s="20">
        <v>13.7</v>
      </c>
      <c r="J2019" s="8" t="s">
        <v>4862</v>
      </c>
      <c r="K2019" s="182"/>
      <c r="L2019" s="8" t="s">
        <v>4156</v>
      </c>
      <c r="M2019" s="8" t="s">
        <v>2814</v>
      </c>
      <c r="N2019" s="38" t="s">
        <v>2009</v>
      </c>
      <c r="O2019" s="8" t="s">
        <v>1074</v>
      </c>
      <c r="P2019" s="4" t="str">
        <f>VLOOKUP($B2019,'D7 - NDB Impacted SPRF''s'!$E$16:$O$9929,9,FALSE)</f>
        <v>N</v>
      </c>
      <c r="Q2019" s="4" t="str">
        <f>VLOOKUP($B2019,'D7 - NDB Impacted SPRF''s'!$E$16:$O$9929,10,FALSE)</f>
        <v>N</v>
      </c>
      <c r="R2019" s="4" t="str">
        <f>VLOOKUP($B2019,'D7 - NDB Impacted SPRF''s'!$E$16:$O$9929,11,FALSE)</f>
        <v>N</v>
      </c>
      <c r="S2019" s="8"/>
      <c r="T2019" s="310"/>
      <c r="U2019" s="310"/>
      <c r="V2019" s="4"/>
      <c r="W2019" s="4"/>
      <c r="X2019" s="4"/>
      <c r="Y2019" s="4"/>
      <c r="Z2019" s="4"/>
      <c r="AA2019" s="4"/>
      <c r="AB2019" s="380" t="str">
        <f>VLOOKUP($B2019,'D7 - NDB Impacted SPRF''s'!$E$6:$O$9929,4,FALSE)</f>
        <v>Completed</v>
      </c>
      <c r="AC2019" s="380" t="str">
        <f>VLOOKUP($B2019,'D7 - NDB Impacted SPRF''s'!$E$6:$O$9929,3,FALSE)</f>
        <v>UHG IT - Enterprise Technology Services</v>
      </c>
      <c r="AD2019" s="380" t="str">
        <f>VLOOKUP($B2019,'D7 - NDB Impacted SPRF''s'!$E$6:$O$9929,5,FALSE)</f>
        <v>Strategic Initiatives</v>
      </c>
      <c r="AE2019" s="380" t="str">
        <f>VLOOKUP($B2019,'D7 - NDB Impacted SPRF''s'!$E$6:$O$9929,7,FALSE)</f>
        <v>Dave Wichmann</v>
      </c>
      <c r="AF2019" s="380" t="str">
        <f>VLOOKUP($B2019,'D7 - NDB Impacted SPRF''s'!$E$6:$O$9929,6,FALSE)</f>
        <v>Nicole Cartwright</v>
      </c>
      <c r="AG2019" s="282"/>
      <c r="AH2019" s="311" t="e">
        <f>INDEX('D5 - Gatekeeper - Projects'!$A$4:$AF$1010,$AM2019, 17)</f>
        <v>#N/A</v>
      </c>
      <c r="AI2019" s="8"/>
      <c r="AJ2019" s="57"/>
      <c r="AK2019" s="105"/>
      <c r="AM2019" s="6" t="e">
        <f>MATCH(D2019,'D5 - Gatekeeper - Projects'!$C$4:$C$1010,0)</f>
        <v>#N/A</v>
      </c>
      <c r="AN2019" s="6" t="b">
        <f t="shared" si="214"/>
        <v>1</v>
      </c>
      <c r="AO2019" s="6" t="str">
        <f t="shared" si="215"/>
        <v>OK</v>
      </c>
      <c r="AQ2019" s="6" t="e">
        <f>MATCH($D2019,'D4 - Provider Council Unsched'!$C$11:$C$234,0)</f>
        <v>#N/A</v>
      </c>
      <c r="AR2019" s="6" t="b">
        <f t="shared" si="216"/>
        <v>1</v>
      </c>
      <c r="AS2019" s="6" t="str">
        <f>IF(AND(H2019="2 - Not Scheduled",AR2019=TRUE,C2019="R1"),"Add","OK")</f>
        <v>OK</v>
      </c>
      <c r="AU2019" s="202"/>
      <c r="AV2019" s="262"/>
      <c r="AW2019" s="274"/>
    </row>
    <row r="2020" spans="1:49" s="13" customFormat="1" ht="33.75" x14ac:dyDescent="0.2">
      <c r="A2020" s="14">
        <v>1996</v>
      </c>
      <c r="B2020" s="14">
        <v>400030601</v>
      </c>
      <c r="C2020" s="8" t="s">
        <v>5197</v>
      </c>
      <c r="D2020" s="4" t="str">
        <f t="shared" si="212"/>
        <v>400030601R1</v>
      </c>
      <c r="E2020" s="309" t="str">
        <f>VLOOKUP($B2020,'D7 - NDB Impacted SPRF''s'!$E$6:$O$9929,2,FALSE)</f>
        <v xml:space="preserve">SSO from UHConline.com to PPI Hub </v>
      </c>
      <c r="F2020" s="8" t="s">
        <v>2114</v>
      </c>
      <c r="G2020" s="8" t="s">
        <v>4758</v>
      </c>
      <c r="H2020" s="8" t="s">
        <v>4246</v>
      </c>
      <c r="I2020" s="20"/>
      <c r="J2020" s="8"/>
      <c r="K2020" s="182"/>
      <c r="L2020" s="8" t="s">
        <v>4156</v>
      </c>
      <c r="M2020" s="8" t="s">
        <v>2814</v>
      </c>
      <c r="N2020" s="38"/>
      <c r="O2020" s="8"/>
      <c r="P2020" s="4" t="str">
        <f>VLOOKUP($B2020,'D7 - NDB Impacted SPRF''s'!$E$16:$O$9929,9,FALSE)</f>
        <v>N</v>
      </c>
      <c r="Q2020" s="4" t="str">
        <f>VLOOKUP($B2020,'D7 - NDB Impacted SPRF''s'!$E$16:$O$9929,10,FALSE)</f>
        <v>N</v>
      </c>
      <c r="R2020" s="4" t="str">
        <f>VLOOKUP($B2020,'D7 - NDB Impacted SPRF''s'!$E$16:$O$9929,11,FALSE)</f>
        <v>N</v>
      </c>
      <c r="S2020" s="8"/>
      <c r="T2020" s="310"/>
      <c r="U2020" s="310"/>
      <c r="V2020" s="4"/>
      <c r="W2020" s="4"/>
      <c r="X2020" s="4"/>
      <c r="Y2020" s="4"/>
      <c r="Z2020" s="4"/>
      <c r="AA2020" s="4"/>
      <c r="AB2020" s="380" t="str">
        <f>VLOOKUP($B2020,'D7 - NDB Impacted SPRF''s'!$E$6:$O$9929,4,FALSE)</f>
        <v>Completed</v>
      </c>
      <c r="AC2020" s="380" t="str">
        <f>VLOOKUP($B2020,'D7 - NDB Impacted SPRF''s'!$E$6:$O$9929,3,FALSE)</f>
        <v>UnitedHealthcare Medicare &amp; Retirement</v>
      </c>
      <c r="AD2020" s="380" t="str">
        <f>VLOOKUP($B2020,'D7 - NDB Impacted SPRF''s'!$E$6:$O$9929,5,FALSE)</f>
        <v>Enterprise Clinical</v>
      </c>
      <c r="AE2020" s="380" t="str">
        <f>VLOOKUP($B2020,'D7 - NDB Impacted SPRF''s'!$E$6:$O$9929,7,FALSE)</f>
        <v>Dennis Zuzek</v>
      </c>
      <c r="AF2020" s="380" t="str">
        <f>VLOOKUP($B2020,'D7 - NDB Impacted SPRF''s'!$E$6:$O$9929,6,FALSE)</f>
        <v>Jessica Yeo</v>
      </c>
      <c r="AG2020" s="282"/>
      <c r="AH2020" s="311" t="e">
        <f>INDEX('D5 - Gatekeeper - Projects'!$A$4:$AF$1010,$AM2020, 17)</f>
        <v>#N/A</v>
      </c>
      <c r="AI2020" s="8"/>
      <c r="AJ2020" s="57"/>
      <c r="AK2020" s="105"/>
      <c r="AM2020" s="6" t="e">
        <f>MATCH(D2020,'D5 - Gatekeeper - Projects'!$C$4:$C$1010,0)</f>
        <v>#N/A</v>
      </c>
      <c r="AN2020" s="6" t="b">
        <f t="shared" si="214"/>
        <v>1</v>
      </c>
      <c r="AO2020" s="6" t="str">
        <f t="shared" si="215"/>
        <v>OK</v>
      </c>
      <c r="AQ2020" s="6" t="e">
        <f>MATCH($D2020,'D4 - Provider Council Unsched'!$C$11:$C$234,0)</f>
        <v>#N/A</v>
      </c>
      <c r="AR2020" s="6" t="b">
        <f t="shared" si="216"/>
        <v>1</v>
      </c>
      <c r="AS2020" s="6" t="str">
        <f>IF(AND(H2020="2 - Not Scheduled",AR2020=TRUE,C2020="R1"),"Add","OK")</f>
        <v>OK</v>
      </c>
      <c r="AU2020" s="202"/>
      <c r="AV2020" s="262"/>
      <c r="AW2020" s="274"/>
    </row>
    <row r="2021" spans="1:49" s="13" customFormat="1" ht="33.75" x14ac:dyDescent="0.2">
      <c r="A2021" s="14">
        <v>1997</v>
      </c>
      <c r="B2021" s="14">
        <v>400030888</v>
      </c>
      <c r="C2021" s="8" t="s">
        <v>5197</v>
      </c>
      <c r="D2021" s="4" t="str">
        <f t="shared" si="212"/>
        <v>400030888R1</v>
      </c>
      <c r="E2021" s="309" t="str">
        <f>VLOOKUP($B2021,'D7 - NDB Impacted SPRF''s'!$E$6:$O$9929,2,FALSE)</f>
        <v>FRP - Nat'l Open Access Narrow Network (Non-Gated)</v>
      </c>
      <c r="F2021" s="8" t="s">
        <v>2114</v>
      </c>
      <c r="G2021" s="8" t="s">
        <v>4758</v>
      </c>
      <c r="H2021" s="8" t="s">
        <v>4246</v>
      </c>
      <c r="I2021" s="20"/>
      <c r="J2021" s="8"/>
      <c r="K2021" s="182"/>
      <c r="L2021" s="8" t="s">
        <v>4156</v>
      </c>
      <c r="M2021" s="8" t="s">
        <v>2814</v>
      </c>
      <c r="N2021" s="38"/>
      <c r="O2021" s="8"/>
      <c r="P2021" s="4" t="str">
        <f>VLOOKUP($B2021,'D7 - NDB Impacted SPRF''s'!$E$16:$O$9929,9,FALSE)</f>
        <v>Y</v>
      </c>
      <c r="Q2021" s="4" t="str">
        <f>VLOOKUP($B2021,'D7 - NDB Impacted SPRF''s'!$E$16:$O$9929,10,FALSE)</f>
        <v>N</v>
      </c>
      <c r="R2021" s="4" t="str">
        <f>VLOOKUP($B2021,'D7 - NDB Impacted SPRF''s'!$E$16:$O$9929,11,FALSE)</f>
        <v>Y</v>
      </c>
      <c r="S2021" s="8"/>
      <c r="T2021" s="310"/>
      <c r="U2021" s="310"/>
      <c r="V2021" s="4"/>
      <c r="W2021" s="4"/>
      <c r="X2021" s="4"/>
      <c r="Y2021" s="4"/>
      <c r="Z2021" s="4"/>
      <c r="AA2021" s="4"/>
      <c r="AB2021" s="380" t="str">
        <f>VLOOKUP($B2021,'D7 - NDB Impacted SPRF''s'!$E$6:$O$9929,4,FALSE)</f>
        <v>Completed</v>
      </c>
      <c r="AC2021" s="380" t="str">
        <f>VLOOKUP($B2021,'D7 - NDB Impacted SPRF''s'!$E$6:$O$9929,3,FALSE)</f>
        <v>UnitedHealthcare Employer &amp; Individual</v>
      </c>
      <c r="AD2021" s="380" t="str">
        <f>VLOOKUP($B2021,'D7 - NDB Impacted SPRF''s'!$E$6:$O$9929,5,FALSE)</f>
        <v>Membership Growth / Revenue Programs</v>
      </c>
      <c r="AE2021" s="380" t="str">
        <f>VLOOKUP($B2021,'D7 - NDB Impacted SPRF''s'!$E$6:$O$9929,7,FALSE)</f>
        <v>Yasmine Winkler</v>
      </c>
      <c r="AF2021" s="380" t="str">
        <f>VLOOKUP($B2021,'D7 - NDB Impacted SPRF''s'!$E$6:$O$9929,6,FALSE)</f>
        <v>LOIS MATTI</v>
      </c>
      <c r="AG2021" s="282"/>
      <c r="AH2021" s="311" t="e">
        <f>INDEX('D5 - Gatekeeper - Projects'!$A$4:$AF$1010,$AM2021, 17)</f>
        <v>#N/A</v>
      </c>
      <c r="AI2021" s="8"/>
      <c r="AJ2021" s="57"/>
      <c r="AK2021" s="105"/>
      <c r="AM2021" s="6" t="e">
        <f>MATCH(D2021,'D5 - Gatekeeper - Projects'!$C$4:$C$1010,0)</f>
        <v>#N/A</v>
      </c>
      <c r="AN2021" s="6" t="b">
        <f t="shared" si="214"/>
        <v>1</v>
      </c>
      <c r="AO2021" s="6" t="str">
        <f t="shared" si="215"/>
        <v>OK</v>
      </c>
      <c r="AQ2021" s="6" t="e">
        <f>MATCH($D2021,'D4 - Provider Council Unsched'!$C$11:$C$234,0)</f>
        <v>#N/A</v>
      </c>
      <c r="AR2021" s="6" t="b">
        <f t="shared" si="216"/>
        <v>1</v>
      </c>
      <c r="AS2021" s="6" t="str">
        <f>IF(AND(H2021="2 - Not Scheduled",AR2021=TRUE),"Add","OK")</f>
        <v>OK</v>
      </c>
      <c r="AU2021" s="202"/>
      <c r="AV2021" s="262"/>
      <c r="AW2021" s="274"/>
    </row>
    <row r="2022" spans="1:49" s="13" customFormat="1" ht="33.75" x14ac:dyDescent="0.2">
      <c r="A2022" s="14">
        <v>1998</v>
      </c>
      <c r="B2022" s="14">
        <v>400030959</v>
      </c>
      <c r="C2022" s="8" t="s">
        <v>5197</v>
      </c>
      <c r="D2022" s="4" t="str">
        <f t="shared" si="212"/>
        <v>400030959R1</v>
      </c>
      <c r="E2022" s="309" t="str">
        <f>VLOOKUP($B2022,'D7 - NDB Impacted SPRF''s'!$E$6:$O$9929,2,FALSE)</f>
        <v>IT BPM - Planview 10 COM Pilot</v>
      </c>
      <c r="F2022" s="8" t="s">
        <v>2114</v>
      </c>
      <c r="G2022" s="8" t="s">
        <v>4758</v>
      </c>
      <c r="H2022" s="8" t="s">
        <v>4246</v>
      </c>
      <c r="I2022" s="20"/>
      <c r="J2022" s="8"/>
      <c r="K2022" s="182"/>
      <c r="L2022" s="8" t="s">
        <v>4156</v>
      </c>
      <c r="M2022" s="8" t="s">
        <v>2814</v>
      </c>
      <c r="N2022" s="38"/>
      <c r="O2022" s="8"/>
      <c r="P2022" s="4" t="str">
        <f>VLOOKUP($B2022,'D7 - NDB Impacted SPRF''s'!$E$16:$O$9929,9,FALSE)</f>
        <v>Y</v>
      </c>
      <c r="Q2022" s="4" t="str">
        <f>VLOOKUP($B2022,'D7 - NDB Impacted SPRF''s'!$E$16:$O$9929,10,FALSE)</f>
        <v>N</v>
      </c>
      <c r="R2022" s="4" t="str">
        <f>VLOOKUP($B2022,'D7 - NDB Impacted SPRF''s'!$E$16:$O$9929,11,FALSE)</f>
        <v>N</v>
      </c>
      <c r="S2022" s="8"/>
      <c r="T2022" s="310"/>
      <c r="U2022" s="310"/>
      <c r="V2022" s="4"/>
      <c r="W2022" s="4"/>
      <c r="X2022" s="4"/>
      <c r="Y2022" s="4"/>
      <c r="Z2022" s="4"/>
      <c r="AA2022" s="4"/>
      <c r="AB2022" s="380" t="str">
        <f>VLOOKUP($B2022,'D7 - NDB Impacted SPRF''s'!$E$6:$O$9929,4,FALSE)</f>
        <v>Completed</v>
      </c>
      <c r="AC2022" s="380" t="str">
        <f>VLOOKUP($B2022,'D7 - NDB Impacted SPRF''s'!$E$6:$O$9929,3,FALSE)</f>
        <v>UHG IT - Application Services Group</v>
      </c>
      <c r="AD2022" s="380" t="str">
        <f>VLOOKUP($B2022,'D7 - NDB Impacted SPRF''s'!$E$6:$O$9929,5,FALSE)</f>
        <v>ASG</v>
      </c>
      <c r="AE2022" s="380" t="str">
        <f>VLOOKUP($B2022,'D7 - NDB Impacted SPRF''s'!$E$6:$O$9929,7,FALSE)</f>
        <v>John Silva</v>
      </c>
      <c r="AF2022" s="380" t="str">
        <f>VLOOKUP($B2022,'D7 - NDB Impacted SPRF''s'!$E$6:$O$9929,6,FALSE)</f>
        <v>Sheri Petrucci</v>
      </c>
      <c r="AG2022" s="282"/>
      <c r="AH2022" s="311" t="e">
        <f>INDEX('D5 - Gatekeeper - Projects'!$A$4:$AF$1010,$AM2022, 17)</f>
        <v>#N/A</v>
      </c>
      <c r="AI2022" s="8"/>
      <c r="AJ2022" s="57"/>
      <c r="AK2022" s="105"/>
      <c r="AM2022" s="6" t="e">
        <f>MATCH(D2022,'D5 - Gatekeeper - Projects'!$C$4:$C$1010,0)</f>
        <v>#N/A</v>
      </c>
      <c r="AN2022" s="6" t="b">
        <f t="shared" si="214"/>
        <v>1</v>
      </c>
      <c r="AO2022" s="6" t="str">
        <f t="shared" si="215"/>
        <v>OK</v>
      </c>
      <c r="AQ2022" s="6" t="e">
        <f>MATCH($D2022,'D4 - Provider Council Unsched'!$C$11:$C$234,0)</f>
        <v>#N/A</v>
      </c>
      <c r="AR2022" s="6" t="b">
        <f t="shared" si="216"/>
        <v>1</v>
      </c>
      <c r="AS2022" s="6" t="str">
        <f>IF(AND(H2022="2 - Not Scheduled",AR2022=TRUE),"Add","OK")</f>
        <v>OK</v>
      </c>
      <c r="AU2022" s="202"/>
      <c r="AV2022" s="262"/>
      <c r="AW2022" s="274"/>
    </row>
    <row r="2023" spans="1:49" s="13" customFormat="1" ht="33.75" x14ac:dyDescent="0.2">
      <c r="A2023" s="14">
        <v>1999</v>
      </c>
      <c r="B2023" s="14">
        <v>400031091</v>
      </c>
      <c r="C2023" s="8" t="s">
        <v>5197</v>
      </c>
      <c r="D2023" s="4" t="str">
        <f t="shared" si="212"/>
        <v>400031091R1</v>
      </c>
      <c r="E2023" s="309" t="str">
        <f>VLOOKUP($B2023,'D7 - NDB Impacted SPRF''s'!$E$6:$O$9929,2,FALSE)</f>
        <v xml:space="preserve">Provider Directory Print on Demand	</v>
      </c>
      <c r="F2023" s="8"/>
      <c r="G2023" s="8" t="s">
        <v>4758</v>
      </c>
      <c r="H2023" s="8" t="s">
        <v>4246</v>
      </c>
      <c r="I2023" s="20"/>
      <c r="J2023" s="8"/>
      <c r="K2023" s="182"/>
      <c r="L2023" s="8" t="s">
        <v>4156</v>
      </c>
      <c r="M2023" s="8" t="s">
        <v>2814</v>
      </c>
      <c r="N2023" s="38" t="s">
        <v>662</v>
      </c>
      <c r="O2023" s="8"/>
      <c r="P2023" s="4" t="str">
        <f>VLOOKUP($B2023,'D7 - NDB Impacted SPRF''s'!$E$16:$O$9929,9,FALSE)</f>
        <v>N</v>
      </c>
      <c r="Q2023" s="4" t="str">
        <f>VLOOKUP($B2023,'D7 - NDB Impacted SPRF''s'!$E$16:$O$9929,10,FALSE)</f>
        <v>N</v>
      </c>
      <c r="R2023" s="4" t="str">
        <f>VLOOKUP($B2023,'D7 - NDB Impacted SPRF''s'!$E$16:$O$9929,11,FALSE)</f>
        <v>N</v>
      </c>
      <c r="S2023" s="8"/>
      <c r="T2023" s="310"/>
      <c r="U2023" s="310"/>
      <c r="V2023" s="4"/>
      <c r="W2023" s="4"/>
      <c r="X2023" s="4"/>
      <c r="Y2023" s="4"/>
      <c r="Z2023" s="4"/>
      <c r="AA2023" s="4"/>
      <c r="AB2023" s="380" t="str">
        <f>VLOOKUP($B2023,'D7 - NDB Impacted SPRF''s'!$E$6:$O$9929,4,FALSE)</f>
        <v>Completed</v>
      </c>
      <c r="AC2023" s="380" t="str">
        <f>VLOOKUP($B2023,'D7 - NDB Impacted SPRF''s'!$E$6:$O$9929,3,FALSE)</f>
        <v>UnitedHealthcare Community &amp; State</v>
      </c>
      <c r="AD2023" s="380" t="str">
        <f>VLOOKUP($B2023,'D7 - NDB Impacted SPRF''s'!$E$6:$O$9929,5,FALSE)</f>
        <v>AmeriChoice</v>
      </c>
      <c r="AE2023" s="380" t="str">
        <f>VLOOKUP($B2023,'D7 - NDB Impacted SPRF''s'!$E$6:$O$9929,7,FALSE)</f>
        <v>John Blank</v>
      </c>
      <c r="AF2023" s="380" t="str">
        <f>VLOOKUP($B2023,'D7 - NDB Impacted SPRF''s'!$E$6:$O$9929,6,FALSE)</f>
        <v>Ronald Wilson</v>
      </c>
      <c r="AG2023" s="282"/>
      <c r="AH2023" s="311" t="e">
        <f>INDEX('D5 - Gatekeeper - Projects'!$A$4:$AF$1010,$AM2023, 17)</f>
        <v>#N/A</v>
      </c>
      <c r="AI2023" s="8"/>
      <c r="AJ2023" s="57"/>
      <c r="AK2023" s="105"/>
      <c r="AM2023" s="6" t="e">
        <f>MATCH(D2023,'D5 - Gatekeeper - Projects'!$C$4:$C$1010,0)</f>
        <v>#N/A</v>
      </c>
      <c r="AN2023" s="6" t="b">
        <f t="shared" si="214"/>
        <v>1</v>
      </c>
      <c r="AO2023" s="6" t="str">
        <f t="shared" si="215"/>
        <v>OK</v>
      </c>
      <c r="AQ2023" s="6" t="e">
        <f>MATCH($D2023,'D4 - Provider Council Unsched'!$C$11:$C$234,0)</f>
        <v>#N/A</v>
      </c>
      <c r="AR2023" s="6" t="b">
        <f t="shared" si="216"/>
        <v>1</v>
      </c>
      <c r="AS2023" s="6" t="str">
        <f t="shared" ref="AS2023:AS2037" si="218">IF(AND(H2023="2 - Not Scheduled",AR2023=TRUE,C2023="R1"),"Add","OK")</f>
        <v>OK</v>
      </c>
      <c r="AU2023" s="202"/>
      <c r="AV2023" s="262"/>
      <c r="AW2023" s="274"/>
    </row>
    <row r="2024" spans="1:49" s="13" customFormat="1" ht="33.75" x14ac:dyDescent="0.2">
      <c r="A2024" s="14">
        <v>2000</v>
      </c>
      <c r="B2024" s="14">
        <v>400031355</v>
      </c>
      <c r="C2024" s="8" t="s">
        <v>5197</v>
      </c>
      <c r="D2024" s="4" t="str">
        <f t="shared" si="212"/>
        <v>400031355R1</v>
      </c>
      <c r="E2024" s="309" t="str">
        <f>VLOOKUP($B2024,'D7 - NDB Impacted SPRF''s'!$E$6:$O$9929,2,FALSE)</f>
        <v>Testing Center of Excellence</v>
      </c>
      <c r="F2024" s="8" t="s">
        <v>2114</v>
      </c>
      <c r="G2024" s="8" t="s">
        <v>4758</v>
      </c>
      <c r="H2024" s="8" t="s">
        <v>4246</v>
      </c>
      <c r="I2024" s="20"/>
      <c r="J2024" s="8"/>
      <c r="K2024" s="182"/>
      <c r="L2024" s="8" t="s">
        <v>4156</v>
      </c>
      <c r="M2024" s="8" t="s">
        <v>2814</v>
      </c>
      <c r="N2024" s="38"/>
      <c r="O2024" s="8"/>
      <c r="P2024" s="4" t="e">
        <f>VLOOKUP($B2024,'D7 - NDB Impacted SPRF''s'!$E$16:$O$9929,9,FALSE)</f>
        <v>#N/A</v>
      </c>
      <c r="Q2024" s="4" t="e">
        <f>VLOOKUP($B2024,'D7 - NDB Impacted SPRF''s'!$E$16:$O$9929,10,FALSE)</f>
        <v>#N/A</v>
      </c>
      <c r="R2024" s="4" t="e">
        <f>VLOOKUP($B2024,'D7 - NDB Impacted SPRF''s'!$E$16:$O$9929,11,FALSE)</f>
        <v>#N/A</v>
      </c>
      <c r="S2024" s="8"/>
      <c r="T2024" s="310"/>
      <c r="U2024" s="310"/>
      <c r="V2024" s="4"/>
      <c r="W2024" s="4"/>
      <c r="X2024" s="4"/>
      <c r="Y2024" s="4"/>
      <c r="Z2024" s="4"/>
      <c r="AA2024" s="4"/>
      <c r="AB2024" s="380" t="str">
        <f>VLOOKUP($B2024,'D7 - NDB Impacted SPRF''s'!$E$6:$O$9929,4,FALSE)</f>
        <v>Completed</v>
      </c>
      <c r="AC2024" s="380" t="str">
        <f>VLOOKUP($B2024,'D7 - NDB Impacted SPRF''s'!$E$6:$O$9929,3,FALSE)</f>
        <v>UHG IT - Application Services Group</v>
      </c>
      <c r="AD2024" s="380" t="str">
        <f>VLOOKUP($B2024,'D7 - NDB Impacted SPRF''s'!$E$6:$O$9929,5,FALSE)</f>
        <v>ASG</v>
      </c>
      <c r="AE2024" s="380" t="str">
        <f>VLOOKUP($B2024,'D7 - NDB Impacted SPRF''s'!$E$6:$O$9929,7,FALSE)</f>
        <v xml:space="preserve">John Santelli </v>
      </c>
      <c r="AF2024" s="380" t="str">
        <f>VLOOKUP($B2024,'D7 - NDB Impacted SPRF''s'!$E$6:$O$9929,6,FALSE)</f>
        <v>ALLA TASKENT</v>
      </c>
      <c r="AG2024" s="282"/>
      <c r="AH2024" s="311" t="e">
        <f>INDEX('D5 - Gatekeeper - Projects'!$A$4:$AF$1010,$AM2024, 17)</f>
        <v>#N/A</v>
      </c>
      <c r="AI2024" s="8"/>
      <c r="AJ2024" s="57"/>
      <c r="AK2024" s="105"/>
      <c r="AM2024" s="6" t="e">
        <f>MATCH(D2024,'D5 - Gatekeeper - Projects'!$C$4:$C$1010,0)</f>
        <v>#N/A</v>
      </c>
      <c r="AN2024" s="6" t="b">
        <f t="shared" si="214"/>
        <v>1</v>
      </c>
      <c r="AO2024" s="6" t="str">
        <f t="shared" si="215"/>
        <v>OK</v>
      </c>
      <c r="AQ2024" s="6" t="e">
        <f>MATCH($D2024,'D4 - Provider Council Unsched'!$C$11:$C$234,0)</f>
        <v>#N/A</v>
      </c>
      <c r="AR2024" s="6" t="b">
        <f t="shared" si="216"/>
        <v>1</v>
      </c>
      <c r="AS2024" s="6" t="str">
        <f t="shared" si="218"/>
        <v>OK</v>
      </c>
      <c r="AU2024" s="202"/>
      <c r="AV2024" s="262"/>
      <c r="AW2024" s="274"/>
    </row>
    <row r="2025" spans="1:49" s="13" customFormat="1" ht="33.75" x14ac:dyDescent="0.2">
      <c r="A2025" s="14">
        <v>2001</v>
      </c>
      <c r="B2025" s="14">
        <v>400032208</v>
      </c>
      <c r="C2025" s="8" t="s">
        <v>5197</v>
      </c>
      <c r="D2025" s="4" t="str">
        <f t="shared" si="212"/>
        <v>400032208R1</v>
      </c>
      <c r="E2025" s="309" t="str">
        <f>VLOOKUP($B2025,'D7 - NDB Impacted SPRF''s'!$E$6:$O$9929,2,FALSE)</f>
        <v>EDI 278 Notification Enhancements - 2010.02</v>
      </c>
      <c r="F2025" s="8" t="s">
        <v>2114</v>
      </c>
      <c r="G2025" s="8" t="s">
        <v>4758</v>
      </c>
      <c r="H2025" s="8" t="s">
        <v>4246</v>
      </c>
      <c r="I2025" s="20"/>
      <c r="J2025" s="8"/>
      <c r="K2025" s="182"/>
      <c r="L2025" s="8" t="s">
        <v>4156</v>
      </c>
      <c r="M2025" s="8" t="s">
        <v>2814</v>
      </c>
      <c r="N2025" s="38"/>
      <c r="O2025" s="8"/>
      <c r="P2025" s="4" t="str">
        <f>VLOOKUP($B2025,'D7 - NDB Impacted SPRF''s'!$E$16:$O$9929,9,FALSE)</f>
        <v>N</v>
      </c>
      <c r="Q2025" s="4" t="str">
        <f>VLOOKUP($B2025,'D7 - NDB Impacted SPRF''s'!$E$16:$O$9929,10,FALSE)</f>
        <v>N</v>
      </c>
      <c r="R2025" s="4" t="str">
        <f>VLOOKUP($B2025,'D7 - NDB Impacted SPRF''s'!$E$16:$O$9929,11,FALSE)</f>
        <v>N</v>
      </c>
      <c r="S2025" s="8"/>
      <c r="T2025" s="310"/>
      <c r="U2025" s="310"/>
      <c r="V2025" s="4"/>
      <c r="W2025" s="4"/>
      <c r="X2025" s="4"/>
      <c r="Y2025" s="4"/>
      <c r="Z2025" s="4"/>
      <c r="AA2025" s="4"/>
      <c r="AB2025" s="380" t="str">
        <f>VLOOKUP($B2025,'D7 - NDB Impacted SPRF''s'!$E$6:$O$9929,4,FALSE)</f>
        <v>Completed</v>
      </c>
      <c r="AC2025" s="380" t="str">
        <f>VLOOKUP($B2025,'D7 - NDB Impacted SPRF''s'!$E$6:$O$9929,3,FALSE)</f>
        <v>UnitedHealthcare Medicare &amp; Retirement</v>
      </c>
      <c r="AD2025" s="380" t="str">
        <f>VLOOKUP($B2025,'D7 - NDB Impacted SPRF''s'!$E$6:$O$9929,5,FALSE)</f>
        <v>Enterprise Clinical</v>
      </c>
      <c r="AE2025" s="380" t="str">
        <f>VLOOKUP($B2025,'D7 - NDB Impacted SPRF''s'!$E$6:$O$9929,7,FALSE)</f>
        <v>Bartley Bryt</v>
      </c>
      <c r="AF2025" s="380" t="str">
        <f>VLOOKUP($B2025,'D7 - NDB Impacted SPRF''s'!$E$6:$O$9929,6,FALSE)</f>
        <v>Mary McDonald</v>
      </c>
      <c r="AG2025" s="282"/>
      <c r="AH2025" s="311" t="e">
        <f>INDEX('D5 - Gatekeeper - Projects'!$A$4:$AF$1010,$AM2025, 17)</f>
        <v>#N/A</v>
      </c>
      <c r="AI2025" s="8"/>
      <c r="AJ2025" s="57"/>
      <c r="AK2025" s="105"/>
      <c r="AM2025" s="6" t="e">
        <f>MATCH(D2025,'D5 - Gatekeeper - Projects'!$C$4:$C$1010,0)</f>
        <v>#N/A</v>
      </c>
      <c r="AN2025" s="6" t="b">
        <f t="shared" si="214"/>
        <v>1</v>
      </c>
      <c r="AO2025" s="6" t="str">
        <f t="shared" si="215"/>
        <v>OK</v>
      </c>
      <c r="AQ2025" s="6" t="e">
        <f>MATCH($D2025,'D4 - Provider Council Unsched'!$C$11:$C$234,0)</f>
        <v>#N/A</v>
      </c>
      <c r="AR2025" s="6" t="b">
        <f t="shared" si="216"/>
        <v>1</v>
      </c>
      <c r="AS2025" s="6" t="str">
        <f t="shared" si="218"/>
        <v>OK</v>
      </c>
      <c r="AU2025" s="202"/>
      <c r="AV2025" s="262"/>
      <c r="AW2025" s="274"/>
    </row>
    <row r="2026" spans="1:49" s="13" customFormat="1" ht="33.75" x14ac:dyDescent="0.2">
      <c r="A2026" s="14">
        <v>2002</v>
      </c>
      <c r="B2026" s="14">
        <v>400032354</v>
      </c>
      <c r="C2026" s="8" t="s">
        <v>5197</v>
      </c>
      <c r="D2026" s="4" t="str">
        <f t="shared" si="212"/>
        <v>400032354R1</v>
      </c>
      <c r="E2026" s="309" t="str">
        <f>VLOOKUP($B2026,'D7 - NDB Impacted SPRF''s'!$E$6:$O$9929,2,FALSE)</f>
        <v>RSA - National PPO Rollout</v>
      </c>
      <c r="F2026" s="8" t="s">
        <v>2114</v>
      </c>
      <c r="G2026" s="8" t="s">
        <v>4758</v>
      </c>
      <c r="H2026" s="8" t="s">
        <v>4246</v>
      </c>
      <c r="I2026" s="20"/>
      <c r="J2026" s="8"/>
      <c r="K2026" s="182"/>
      <c r="L2026" s="8" t="s">
        <v>4156</v>
      </c>
      <c r="M2026" s="8" t="s">
        <v>2814</v>
      </c>
      <c r="N2026" s="38"/>
      <c r="O2026" s="8"/>
      <c r="P2026" s="4" t="str">
        <f>VLOOKUP($B2026,'D7 - NDB Impacted SPRF''s'!$E$16:$O$9929,9,FALSE)</f>
        <v>N</v>
      </c>
      <c r="Q2026" s="4" t="str">
        <f>VLOOKUP($B2026,'D7 - NDB Impacted SPRF''s'!$E$16:$O$9929,10,FALSE)</f>
        <v>N</v>
      </c>
      <c r="R2026" s="4" t="str">
        <f>VLOOKUP($B2026,'D7 - NDB Impacted SPRF''s'!$E$16:$O$9929,11,FALSE)</f>
        <v>Y</v>
      </c>
      <c r="S2026" s="8"/>
      <c r="T2026" s="310"/>
      <c r="U2026" s="310"/>
      <c r="V2026" s="4"/>
      <c r="W2026" s="4"/>
      <c r="X2026" s="4"/>
      <c r="Y2026" s="4"/>
      <c r="Z2026" s="4"/>
      <c r="AA2026" s="4"/>
      <c r="AB2026" s="380" t="str">
        <f>VLOOKUP($B2026,'D7 - NDB Impacted SPRF''s'!$E$6:$O$9929,4,FALSE)</f>
        <v>Completed</v>
      </c>
      <c r="AC2026" s="380" t="str">
        <f>VLOOKUP($B2026,'D7 - NDB Impacted SPRF''s'!$E$6:$O$9929,3,FALSE)</f>
        <v>UnitedHealthcare Medicare &amp; Retirement</v>
      </c>
      <c r="AD2026" s="380" t="str">
        <f>VLOOKUP($B2026,'D7 - NDB Impacted SPRF''s'!$E$6:$O$9929,5,FALSE)</f>
        <v>Product Development</v>
      </c>
      <c r="AE2026" s="380" t="str">
        <f>VLOOKUP($B2026,'D7 - NDB Impacted SPRF''s'!$E$6:$O$9929,7,FALSE)</f>
        <v>Scott Rineford</v>
      </c>
      <c r="AF2026" s="380" t="str">
        <f>VLOOKUP($B2026,'D7 - NDB Impacted SPRF''s'!$E$6:$O$9929,6,FALSE)</f>
        <v>Jessica Tattersall</v>
      </c>
      <c r="AG2026" s="282"/>
      <c r="AH2026" s="311" t="e">
        <f>INDEX('D5 - Gatekeeper - Projects'!$A$4:$AF$1010,$AM2026, 17)</f>
        <v>#N/A</v>
      </c>
      <c r="AI2026" s="8"/>
      <c r="AJ2026" s="57"/>
      <c r="AK2026" s="105"/>
      <c r="AM2026" s="6" t="e">
        <f>MATCH(D2026,'D5 - Gatekeeper - Projects'!$C$4:$C$1010,0)</f>
        <v>#N/A</v>
      </c>
      <c r="AN2026" s="6" t="b">
        <f t="shared" si="214"/>
        <v>1</v>
      </c>
      <c r="AO2026" s="6" t="str">
        <f t="shared" si="215"/>
        <v>OK</v>
      </c>
      <c r="AQ2026" s="6" t="e">
        <f>MATCH($D2026,'D4 - Provider Council Unsched'!$C$11:$C$234,0)</f>
        <v>#N/A</v>
      </c>
      <c r="AR2026" s="6" t="b">
        <f t="shared" si="216"/>
        <v>1</v>
      </c>
      <c r="AS2026" s="6" t="str">
        <f t="shared" si="218"/>
        <v>OK</v>
      </c>
      <c r="AU2026" s="202"/>
      <c r="AV2026" s="262"/>
      <c r="AW2026" s="274"/>
    </row>
    <row r="2027" spans="1:49" s="13" customFormat="1" ht="33.75" x14ac:dyDescent="0.2">
      <c r="A2027" s="14">
        <v>2003</v>
      </c>
      <c r="B2027" s="14">
        <v>400032370</v>
      </c>
      <c r="C2027" s="8" t="s">
        <v>5197</v>
      </c>
      <c r="D2027" s="4" t="str">
        <f t="shared" si="212"/>
        <v>400032370R1</v>
      </c>
      <c r="E2027" s="309" t="str">
        <f>VLOOKUP($B2027,'D7 - NDB Impacted SPRF''s'!$E$6:$O$9929,2,FALSE)</f>
        <v>iLEAD Release 3.0</v>
      </c>
      <c r="F2027" s="8" t="s">
        <v>2114</v>
      </c>
      <c r="G2027" s="8" t="s">
        <v>4758</v>
      </c>
      <c r="H2027" s="8" t="s">
        <v>4246</v>
      </c>
      <c r="I2027" s="20"/>
      <c r="J2027" s="8"/>
      <c r="K2027" s="182"/>
      <c r="L2027" s="8" t="s">
        <v>4156</v>
      </c>
      <c r="M2027" s="8" t="s">
        <v>2814</v>
      </c>
      <c r="N2027" s="38"/>
      <c r="O2027" s="8"/>
      <c r="P2027" s="4" t="str">
        <f>VLOOKUP($B2027,'D7 - NDB Impacted SPRF''s'!$E$16:$O$9929,9,FALSE)</f>
        <v>N</v>
      </c>
      <c r="Q2027" s="4" t="str">
        <f>VLOOKUP($B2027,'D7 - NDB Impacted SPRF''s'!$E$16:$O$9929,10,FALSE)</f>
        <v>N</v>
      </c>
      <c r="R2027" s="4" t="str">
        <f>VLOOKUP($B2027,'D7 - NDB Impacted SPRF''s'!$E$16:$O$9929,11,FALSE)</f>
        <v>N</v>
      </c>
      <c r="S2027" s="8"/>
      <c r="T2027" s="310"/>
      <c r="U2027" s="310"/>
      <c r="V2027" s="4"/>
      <c r="W2027" s="4"/>
      <c r="X2027" s="4"/>
      <c r="Y2027" s="4"/>
      <c r="Z2027" s="4"/>
      <c r="AA2027" s="4"/>
      <c r="AB2027" s="380" t="str">
        <f>VLOOKUP($B2027,'D7 - NDB Impacted SPRF''s'!$E$6:$O$9929,4,FALSE)</f>
        <v>Completed</v>
      </c>
      <c r="AC2027" s="380" t="str">
        <f>VLOOKUP($B2027,'D7 - NDB Impacted SPRF''s'!$E$6:$O$9929,3,FALSE)</f>
        <v>UnitedHealthcare Medicare &amp; Retirement</v>
      </c>
      <c r="AD2027" s="380" t="str">
        <f>VLOOKUP($B2027,'D7 - NDB Impacted SPRF''s'!$E$6:$O$9929,5,FALSE)</f>
        <v>Constituent Services</v>
      </c>
      <c r="AE2027" s="380" t="str">
        <f>VLOOKUP($B2027,'D7 - NDB Impacted SPRF''s'!$E$6:$O$9929,7,FALSE)</f>
        <v>David Shapiro</v>
      </c>
      <c r="AF2027" s="380" t="str">
        <f>VLOOKUP($B2027,'D7 - NDB Impacted SPRF''s'!$E$6:$O$9929,6,FALSE)</f>
        <v>Brett Turnquist</v>
      </c>
      <c r="AG2027" s="282"/>
      <c r="AH2027" s="311" t="e">
        <f>INDEX('D5 - Gatekeeper - Projects'!$A$4:$AF$1010,$AM2027, 17)</f>
        <v>#N/A</v>
      </c>
      <c r="AI2027" s="8"/>
      <c r="AJ2027" s="57"/>
      <c r="AK2027" s="105"/>
      <c r="AM2027" s="6" t="e">
        <f>MATCH(D2027,'D5 - Gatekeeper - Projects'!$C$4:$C$1010,0)</f>
        <v>#N/A</v>
      </c>
      <c r="AN2027" s="6" t="b">
        <f t="shared" si="214"/>
        <v>1</v>
      </c>
      <c r="AO2027" s="6" t="str">
        <f t="shared" si="215"/>
        <v>OK</v>
      </c>
      <c r="AQ2027" s="6" t="e">
        <f>MATCH($D2027,'D4 - Provider Council Unsched'!$C$11:$C$234,0)</f>
        <v>#N/A</v>
      </c>
      <c r="AR2027" s="6" t="b">
        <f t="shared" si="216"/>
        <v>1</v>
      </c>
      <c r="AS2027" s="6" t="str">
        <f t="shared" si="218"/>
        <v>OK</v>
      </c>
      <c r="AU2027" s="202"/>
      <c r="AV2027" s="262"/>
      <c r="AW2027" s="274"/>
    </row>
    <row r="2028" spans="1:49" s="13" customFormat="1" ht="22.5" x14ac:dyDescent="0.2">
      <c r="A2028" s="14">
        <v>2004</v>
      </c>
      <c r="B2028" s="14">
        <v>400032461</v>
      </c>
      <c r="C2028" s="8" t="s">
        <v>5197</v>
      </c>
      <c r="D2028" s="4" t="str">
        <f t="shared" si="212"/>
        <v>400032461R1</v>
      </c>
      <c r="E2028" s="309" t="str">
        <f>VLOOKUP($B2028,'D7 - NDB Impacted SPRF''s'!$E$6:$O$9929,2,FALSE)</f>
        <v>RxSOL Prior Auth Web Front-end 2010 Enhancements</v>
      </c>
      <c r="F2028" s="8"/>
      <c r="G2028" s="8" t="s">
        <v>4758</v>
      </c>
      <c r="H2028" s="8" t="s">
        <v>4246</v>
      </c>
      <c r="I2028" s="20"/>
      <c r="J2028" s="8"/>
      <c r="K2028" s="182"/>
      <c r="L2028" s="8" t="s">
        <v>4156</v>
      </c>
      <c r="M2028" s="8" t="s">
        <v>2814</v>
      </c>
      <c r="N2028" s="38" t="s">
        <v>1163</v>
      </c>
      <c r="O2028" s="8"/>
      <c r="P2028" s="4" t="str">
        <f>VLOOKUP($B2028,'D7 - NDB Impacted SPRF''s'!$E$16:$O$9929,9,FALSE)</f>
        <v>N</v>
      </c>
      <c r="Q2028" s="4" t="str">
        <f>VLOOKUP($B2028,'D7 - NDB Impacted SPRF''s'!$E$16:$O$9929,10,FALSE)</f>
        <v>N</v>
      </c>
      <c r="R2028" s="4" t="str">
        <f>VLOOKUP($B2028,'D7 - NDB Impacted SPRF''s'!$E$16:$O$9929,11,FALSE)</f>
        <v>N</v>
      </c>
      <c r="S2028" s="8"/>
      <c r="T2028" s="310"/>
      <c r="U2028" s="310"/>
      <c r="V2028" s="4"/>
      <c r="W2028" s="4"/>
      <c r="X2028" s="4"/>
      <c r="Y2028" s="4"/>
      <c r="Z2028" s="4"/>
      <c r="AA2028" s="4"/>
      <c r="AB2028" s="380" t="str">
        <f>VLOOKUP($B2028,'D7 - NDB Impacted SPRF''s'!$E$6:$O$9929,4,FALSE)</f>
        <v>In Funding</v>
      </c>
      <c r="AC2028" s="380" t="str">
        <f>VLOOKUP($B2028,'D7 - NDB Impacted SPRF''s'!$E$6:$O$9929,3,FALSE)</f>
        <v>Prescription Solutions</v>
      </c>
      <c r="AD2028" s="380" t="str">
        <f>VLOOKUP($B2028,'D7 - NDB Impacted SPRF''s'!$E$6:$O$9929,5,FALSE)</f>
        <v xml:space="preserve">Integr Cust Svs Frnt End Ph 1 (12-10540-000) </v>
      </c>
      <c r="AE2028" s="380" t="str">
        <f>VLOOKUP($B2028,'D7 - NDB Impacted SPRF''s'!$E$6:$O$9929,7,FALSE)</f>
        <v>Mark Knutson</v>
      </c>
      <c r="AF2028" s="380" t="str">
        <f>VLOOKUP($B2028,'D7 - NDB Impacted SPRF''s'!$E$6:$O$9929,6,FALSE)</f>
        <v>John Botros</v>
      </c>
      <c r="AG2028" s="282"/>
      <c r="AH2028" s="311" t="e">
        <f>INDEX('D5 - Gatekeeper - Projects'!$A$4:$AF$1010,$AM2028, 17)</f>
        <v>#N/A</v>
      </c>
      <c r="AI2028" s="8"/>
      <c r="AJ2028" s="57"/>
      <c r="AK2028" s="105"/>
      <c r="AM2028" s="6" t="e">
        <f>MATCH(D2028,'D5 - Gatekeeper - Projects'!$C$4:$C$1010,0)</f>
        <v>#N/A</v>
      </c>
      <c r="AN2028" s="6" t="b">
        <f t="shared" si="214"/>
        <v>1</v>
      </c>
      <c r="AO2028" s="6" t="str">
        <f t="shared" si="215"/>
        <v>OK</v>
      </c>
      <c r="AQ2028" s="6" t="e">
        <f>MATCH($D2028,'D4 - Provider Council Unsched'!$C$11:$C$234,0)</f>
        <v>#N/A</v>
      </c>
      <c r="AR2028" s="6" t="b">
        <f t="shared" si="216"/>
        <v>1</v>
      </c>
      <c r="AS2028" s="6" t="str">
        <f t="shared" si="218"/>
        <v>OK</v>
      </c>
      <c r="AU2028" s="202"/>
      <c r="AV2028" s="262"/>
      <c r="AW2028" s="274"/>
    </row>
    <row r="2029" spans="1:49" s="13" customFormat="1" ht="33.75" x14ac:dyDescent="0.2">
      <c r="A2029" s="14">
        <v>2005</v>
      </c>
      <c r="B2029" s="14">
        <v>400032539</v>
      </c>
      <c r="C2029" s="8" t="s">
        <v>5197</v>
      </c>
      <c r="D2029" s="4" t="str">
        <f t="shared" si="212"/>
        <v>400032539R1</v>
      </c>
      <c r="E2029" s="309" t="str">
        <f>VLOOKUP($B2029,'D7 - NDB Impacted SPRF''s'!$E$6:$O$9929,2,FALSE)</f>
        <v>Enterprise Capitation - MAHP Check &amp; Report Dist.</v>
      </c>
      <c r="F2029" s="8"/>
      <c r="G2029" s="8" t="s">
        <v>4758</v>
      </c>
      <c r="H2029" s="8" t="s">
        <v>4246</v>
      </c>
      <c r="I2029" s="20"/>
      <c r="J2029" s="8"/>
      <c r="K2029" s="182"/>
      <c r="L2029" s="8" t="s">
        <v>4156</v>
      </c>
      <c r="M2029" s="8" t="s">
        <v>2814</v>
      </c>
      <c r="N2029" s="38"/>
      <c r="O2029" s="8"/>
      <c r="P2029" s="4" t="str">
        <f>VLOOKUP($B2029,'D7 - NDB Impacted SPRF''s'!$E$16:$O$9929,9,FALSE)</f>
        <v>N</v>
      </c>
      <c r="Q2029" s="4" t="str">
        <f>VLOOKUP($B2029,'D7 - NDB Impacted SPRF''s'!$E$16:$O$9929,10,FALSE)</f>
        <v>N</v>
      </c>
      <c r="R2029" s="4" t="str">
        <f>VLOOKUP($B2029,'D7 - NDB Impacted SPRF''s'!$E$16:$O$9929,11,FALSE)</f>
        <v>N</v>
      </c>
      <c r="S2029" s="8"/>
      <c r="T2029" s="310"/>
      <c r="U2029" s="310"/>
      <c r="V2029" s="4"/>
      <c r="W2029" s="4"/>
      <c r="X2029" s="4"/>
      <c r="Y2029" s="4"/>
      <c r="Z2029" s="4"/>
      <c r="AA2029" s="4"/>
      <c r="AB2029" s="380" t="str">
        <f>VLOOKUP($B2029,'D7 - NDB Impacted SPRF''s'!$E$6:$O$9929,4,FALSE)</f>
        <v>Completed</v>
      </c>
      <c r="AC2029" s="380" t="str">
        <f>VLOOKUP($B2029,'D7 - NDB Impacted SPRF''s'!$E$6:$O$9929,3,FALSE)</f>
        <v>UnitedHealthcare Employer &amp; Individual</v>
      </c>
      <c r="AD2029" s="380" t="str">
        <f>VLOOKUP($B2029,'D7 - NDB Impacted SPRF''s'!$E$6:$O$9929,5,FALSE)</f>
        <v>Integration Requirements</v>
      </c>
      <c r="AE2029" s="380" t="str">
        <f>VLOOKUP($B2029,'D7 - NDB Impacted SPRF''s'!$E$6:$O$9929,7,FALSE)</f>
        <v>Gino Tenace</v>
      </c>
      <c r="AF2029" s="380" t="str">
        <f>VLOOKUP($B2029,'D7 - NDB Impacted SPRF''s'!$E$6:$O$9929,6,FALSE)</f>
        <v>Delana Anderson</v>
      </c>
      <c r="AG2029" s="282"/>
      <c r="AH2029" s="311" t="e">
        <f>INDEX('D5 - Gatekeeper - Projects'!$A$4:$AF$1010,$AM2029, 17)</f>
        <v>#N/A</v>
      </c>
      <c r="AI2029" s="8"/>
      <c r="AJ2029" s="57"/>
      <c r="AK2029" s="105"/>
      <c r="AM2029" s="6" t="e">
        <f>MATCH(D2029,'D5 - Gatekeeper - Projects'!$C$4:$C$1010,0)</f>
        <v>#N/A</v>
      </c>
      <c r="AN2029" s="6" t="b">
        <f t="shared" si="214"/>
        <v>1</v>
      </c>
      <c r="AO2029" s="6" t="str">
        <f t="shared" si="215"/>
        <v>OK</v>
      </c>
      <c r="AQ2029" s="6" t="e">
        <f>MATCH($D2029,'D4 - Provider Council Unsched'!$C$11:$C$234,0)</f>
        <v>#N/A</v>
      </c>
      <c r="AR2029" s="6" t="b">
        <f t="shared" si="216"/>
        <v>1</v>
      </c>
      <c r="AS2029" s="6" t="str">
        <f t="shared" si="218"/>
        <v>OK</v>
      </c>
      <c r="AU2029" s="202"/>
      <c r="AV2029" s="262"/>
      <c r="AW2029" s="274"/>
    </row>
    <row r="2030" spans="1:49" s="13" customFormat="1" ht="45" x14ac:dyDescent="0.2">
      <c r="A2030" s="14">
        <v>2006</v>
      </c>
      <c r="B2030" s="14">
        <v>400032662</v>
      </c>
      <c r="C2030" s="8" t="s">
        <v>5197</v>
      </c>
      <c r="D2030" s="4" t="str">
        <f t="shared" si="212"/>
        <v>400032662R1</v>
      </c>
      <c r="E2030" s="309" t="str">
        <f>VLOOKUP($B2030,'D7 - NDB Impacted SPRF''s'!$E$6:$O$9929,2,FALSE)</f>
        <v>Middle Tier Replacement 2010</v>
      </c>
      <c r="F2030" s="8" t="s">
        <v>2114</v>
      </c>
      <c r="G2030" s="8" t="s">
        <v>4758</v>
      </c>
      <c r="H2030" s="8" t="s">
        <v>4246</v>
      </c>
      <c r="I2030" s="20"/>
      <c r="J2030" s="8"/>
      <c r="K2030" s="182"/>
      <c r="L2030" s="8" t="s">
        <v>4156</v>
      </c>
      <c r="M2030" s="8" t="s">
        <v>2814</v>
      </c>
      <c r="N2030" s="38" t="s">
        <v>5270</v>
      </c>
      <c r="O2030" s="8"/>
      <c r="P2030" s="4" t="str">
        <f>VLOOKUP($B2030,'D7 - NDB Impacted SPRF''s'!$E$16:$O$9929,9,FALSE)</f>
        <v>N</v>
      </c>
      <c r="Q2030" s="4" t="str">
        <f>VLOOKUP($B2030,'D7 - NDB Impacted SPRF''s'!$E$16:$O$9929,10,FALSE)</f>
        <v>N</v>
      </c>
      <c r="R2030" s="4" t="str">
        <f>VLOOKUP($B2030,'D7 - NDB Impacted SPRF''s'!$E$16:$O$9929,11,FALSE)</f>
        <v>N</v>
      </c>
      <c r="S2030" s="8"/>
      <c r="T2030" s="310"/>
      <c r="U2030" s="310"/>
      <c r="V2030" s="4"/>
      <c r="W2030" s="4"/>
      <c r="X2030" s="4"/>
      <c r="Y2030" s="4"/>
      <c r="Z2030" s="4"/>
      <c r="AA2030" s="4"/>
      <c r="AB2030" s="380" t="str">
        <f>VLOOKUP($B2030,'D7 - NDB Impacted SPRF''s'!$E$6:$O$9929,4,FALSE)</f>
        <v>Scheduled</v>
      </c>
      <c r="AC2030" s="380" t="str">
        <f>VLOOKUP($B2030,'D7 - NDB Impacted SPRF''s'!$E$6:$O$9929,3,FALSE)</f>
        <v>UHG IT - Enterprise Technology Services</v>
      </c>
      <c r="AD2030" s="380" t="str">
        <f>VLOOKUP($B2030,'D7 - NDB Impacted SPRF''s'!$E$6:$O$9929,5,FALSE)</f>
        <v>SB Design Pattern/Middle Tier Replacement</v>
      </c>
      <c r="AE2030" s="380" t="str">
        <f>VLOOKUP($B2030,'D7 - NDB Impacted SPRF''s'!$E$6:$O$9929,7,FALSE)</f>
        <v>Milla Hautman</v>
      </c>
      <c r="AF2030" s="380" t="str">
        <f>VLOOKUP($B2030,'D7 - NDB Impacted SPRF''s'!$E$6:$O$9929,6,FALSE)</f>
        <v>COLLEEN MEAGHER</v>
      </c>
      <c r="AG2030" s="282"/>
      <c r="AH2030" s="311" t="e">
        <f>INDEX('D5 - Gatekeeper - Projects'!$A$4:$AF$1010,$AM2030, 17)</f>
        <v>#N/A</v>
      </c>
      <c r="AI2030" s="8"/>
      <c r="AJ2030" s="57"/>
      <c r="AK2030" s="105"/>
      <c r="AM2030" s="6" t="e">
        <f>MATCH(D2030,'D5 - Gatekeeper - Projects'!$C$4:$C$1010,0)</f>
        <v>#N/A</v>
      </c>
      <c r="AN2030" s="6" t="b">
        <f t="shared" si="214"/>
        <v>1</v>
      </c>
      <c r="AO2030" s="6" t="str">
        <f t="shared" si="215"/>
        <v>OK</v>
      </c>
      <c r="AQ2030" s="6" t="e">
        <f>MATCH($D2030,'D4 - Provider Council Unsched'!$C$11:$C$234,0)</f>
        <v>#N/A</v>
      </c>
      <c r="AR2030" s="6" t="b">
        <f t="shared" si="216"/>
        <v>1</v>
      </c>
      <c r="AS2030" s="6" t="str">
        <f t="shared" si="218"/>
        <v>OK</v>
      </c>
      <c r="AU2030" s="202"/>
      <c r="AV2030" s="262"/>
      <c r="AW2030" s="274"/>
    </row>
    <row r="2031" spans="1:49" s="13" customFormat="1" ht="33.75" x14ac:dyDescent="0.2">
      <c r="A2031" s="14">
        <v>2007</v>
      </c>
      <c r="B2031" s="14">
        <v>400032874</v>
      </c>
      <c r="C2031" s="8" t="s">
        <v>5197</v>
      </c>
      <c r="D2031" s="4" t="str">
        <f t="shared" si="212"/>
        <v>400032874R1</v>
      </c>
      <c r="E2031" s="309" t="str">
        <f>VLOOKUP($B2031,'D7 - NDB Impacted SPRF''s'!$E$6:$O$9929,2,FALSE)</f>
        <v>RSA - Non-Par Payment Schedule</v>
      </c>
      <c r="F2031" s="8" t="s">
        <v>2114</v>
      </c>
      <c r="G2031" s="8" t="s">
        <v>4758</v>
      </c>
      <c r="H2031" s="8" t="s">
        <v>4246</v>
      </c>
      <c r="I2031" s="20"/>
      <c r="J2031" s="8"/>
      <c r="K2031" s="182"/>
      <c r="L2031" s="8" t="s">
        <v>4156</v>
      </c>
      <c r="M2031" s="8" t="s">
        <v>2814</v>
      </c>
      <c r="N2031" s="38"/>
      <c r="O2031" s="8"/>
      <c r="P2031" s="4" t="str">
        <f>VLOOKUP($B2031,'D7 - NDB Impacted SPRF''s'!$E$16:$O$9929,9,FALSE)</f>
        <v>Y</v>
      </c>
      <c r="Q2031" s="4" t="str">
        <f>VLOOKUP($B2031,'D7 - NDB Impacted SPRF''s'!$E$16:$O$9929,10,FALSE)</f>
        <v>N</v>
      </c>
      <c r="R2031" s="4" t="str">
        <f>VLOOKUP($B2031,'D7 - NDB Impacted SPRF''s'!$E$16:$O$9929,11,FALSE)</f>
        <v>Y</v>
      </c>
      <c r="S2031" s="8"/>
      <c r="T2031" s="310"/>
      <c r="U2031" s="310"/>
      <c r="V2031" s="4"/>
      <c r="W2031" s="4"/>
      <c r="X2031" s="4"/>
      <c r="Y2031" s="4"/>
      <c r="Z2031" s="4"/>
      <c r="AA2031" s="4"/>
      <c r="AB2031" s="380" t="str">
        <f>VLOOKUP($B2031,'D7 - NDB Impacted SPRF''s'!$E$6:$O$9929,4,FALSE)</f>
        <v>Completed</v>
      </c>
      <c r="AC2031" s="380" t="str">
        <f>VLOOKUP($B2031,'D7 - NDB Impacted SPRF''s'!$E$6:$O$9929,3,FALSE)</f>
        <v>UnitedHealthcare Employer &amp; Individual</v>
      </c>
      <c r="AD2031" s="380" t="str">
        <f>VLOOKUP($B2031,'D7 - NDB Impacted SPRF''s'!$E$6:$O$9929,5,FALSE)</f>
        <v>Medical Cost Savings Programs</v>
      </c>
      <c r="AE2031" s="380" t="str">
        <f>VLOOKUP($B2031,'D7 - NDB Impacted SPRF''s'!$E$6:$O$9929,7,FALSE)</f>
        <v>Tom Quirk</v>
      </c>
      <c r="AF2031" s="380" t="str">
        <f>VLOOKUP($B2031,'D7 - NDB Impacted SPRF''s'!$E$6:$O$9929,6,FALSE)</f>
        <v>Todd Nielsen</v>
      </c>
      <c r="AG2031" s="282"/>
      <c r="AH2031" s="311" t="e">
        <f>INDEX('D5 - Gatekeeper - Projects'!$A$4:$AF$1010,$AM2031, 17)</f>
        <v>#N/A</v>
      </c>
      <c r="AI2031" s="8"/>
      <c r="AJ2031" s="57"/>
      <c r="AK2031" s="105"/>
      <c r="AM2031" s="6" t="e">
        <f>MATCH(D2031,'D5 - Gatekeeper - Projects'!$C$4:$C$1010,0)</f>
        <v>#N/A</v>
      </c>
      <c r="AN2031" s="6" t="b">
        <f t="shared" si="214"/>
        <v>1</v>
      </c>
      <c r="AO2031" s="6" t="str">
        <f t="shared" si="215"/>
        <v>OK</v>
      </c>
      <c r="AQ2031" s="6" t="e">
        <f>MATCH($D2031,'D4 - Provider Council Unsched'!$C$11:$C$234,0)</f>
        <v>#N/A</v>
      </c>
      <c r="AR2031" s="6" t="b">
        <f t="shared" si="216"/>
        <v>1</v>
      </c>
      <c r="AS2031" s="6" t="str">
        <f t="shared" si="218"/>
        <v>OK</v>
      </c>
      <c r="AU2031" s="202"/>
      <c r="AV2031" s="262"/>
      <c r="AW2031" s="274"/>
    </row>
    <row r="2032" spans="1:49" s="13" customFormat="1" ht="45" x14ac:dyDescent="0.2">
      <c r="A2032" s="14">
        <v>2008</v>
      </c>
      <c r="B2032" s="14">
        <v>400032877</v>
      </c>
      <c r="C2032" s="8" t="s">
        <v>5197</v>
      </c>
      <c r="D2032" s="4" t="str">
        <f t="shared" si="212"/>
        <v>400032877R1</v>
      </c>
      <c r="E2032" s="309" t="str">
        <f>VLOOKUP($B2032,'D7 - NDB Impacted SPRF''s'!$E$6:$O$9929,2,FALSE)</f>
        <v>Create instance of OTS in Master &amp; Zulu for CAT</v>
      </c>
      <c r="F2032" s="8" t="s">
        <v>2114</v>
      </c>
      <c r="G2032" s="8" t="s">
        <v>4758</v>
      </c>
      <c r="H2032" s="8" t="s">
        <v>4246</v>
      </c>
      <c r="I2032" s="20"/>
      <c r="J2032" s="8"/>
      <c r="K2032" s="182"/>
      <c r="L2032" s="8" t="s">
        <v>4156</v>
      </c>
      <c r="M2032" s="8" t="s">
        <v>2814</v>
      </c>
      <c r="N2032" s="38"/>
      <c r="O2032" s="8"/>
      <c r="P2032" s="4" t="str">
        <f>VLOOKUP($B2032,'D7 - NDB Impacted SPRF''s'!$E$16:$O$9929,9,FALSE)</f>
        <v>Y</v>
      </c>
      <c r="Q2032" s="4" t="str">
        <f>VLOOKUP($B2032,'D7 - NDB Impacted SPRF''s'!$E$16:$O$9929,10,FALSE)</f>
        <v>N</v>
      </c>
      <c r="R2032" s="4" t="str">
        <f>VLOOKUP($B2032,'D7 - NDB Impacted SPRF''s'!$E$16:$O$9929,11,FALSE)</f>
        <v>N</v>
      </c>
      <c r="S2032" s="8"/>
      <c r="T2032" s="310"/>
      <c r="U2032" s="310"/>
      <c r="V2032" s="4"/>
      <c r="W2032" s="4"/>
      <c r="X2032" s="4"/>
      <c r="Y2032" s="4"/>
      <c r="Z2032" s="4"/>
      <c r="AA2032" s="4"/>
      <c r="AB2032" s="380" t="str">
        <f>VLOOKUP($B2032,'D7 - NDB Impacted SPRF''s'!$E$6:$O$9929,4,FALSE)</f>
        <v>Completed</v>
      </c>
      <c r="AC2032" s="380" t="str">
        <f>VLOOKUP($B2032,'D7 - NDB Impacted SPRF''s'!$E$6:$O$9929,3,FALSE)</f>
        <v>UHG IT - Enterprise Technology Services</v>
      </c>
      <c r="AD2032" s="380" t="str">
        <f>VLOOKUP($B2032,'D7 - NDB Impacted SPRF''s'!$E$6:$O$9929,5,FALSE)</f>
        <v>ASG</v>
      </c>
      <c r="AE2032" s="380" t="str">
        <f>VLOOKUP($B2032,'D7 - NDB Impacted SPRF''s'!$E$6:$O$9929,7,FALSE)</f>
        <v>Michael Connly</v>
      </c>
      <c r="AF2032" s="380" t="str">
        <f>VLOOKUP($B2032,'D7 - NDB Impacted SPRF''s'!$E$6:$O$9929,6,FALSE)</f>
        <v>EDWARD SIWICKI</v>
      </c>
      <c r="AG2032" s="282"/>
      <c r="AH2032" s="311" t="e">
        <f>INDEX('D5 - Gatekeeper - Projects'!$A$4:$AF$1010,$AM2032, 17)</f>
        <v>#N/A</v>
      </c>
      <c r="AI2032" s="8"/>
      <c r="AJ2032" s="57"/>
      <c r="AK2032" s="105"/>
      <c r="AM2032" s="6" t="e">
        <f>MATCH(D2032,'D5 - Gatekeeper - Projects'!$C$4:$C$1010,0)</f>
        <v>#N/A</v>
      </c>
      <c r="AN2032" s="6" t="b">
        <f t="shared" si="214"/>
        <v>1</v>
      </c>
      <c r="AO2032" s="6" t="str">
        <f t="shared" si="215"/>
        <v>OK</v>
      </c>
      <c r="AQ2032" s="6" t="e">
        <f>MATCH($D2032,'D4 - Provider Council Unsched'!$C$11:$C$234,0)</f>
        <v>#N/A</v>
      </c>
      <c r="AR2032" s="6" t="b">
        <f t="shared" si="216"/>
        <v>1</v>
      </c>
      <c r="AS2032" s="6" t="str">
        <f t="shared" si="218"/>
        <v>OK</v>
      </c>
      <c r="AU2032" s="202"/>
      <c r="AV2032" s="262"/>
      <c r="AW2032" s="274"/>
    </row>
    <row r="2033" spans="1:49" s="13" customFormat="1" ht="33.75" x14ac:dyDescent="0.2">
      <c r="A2033" s="14">
        <v>2009</v>
      </c>
      <c r="B2033" s="14">
        <v>400033150</v>
      </c>
      <c r="C2033" s="8" t="s">
        <v>5197</v>
      </c>
      <c r="D2033" s="4" t="str">
        <f t="shared" ref="D2033:D2096" si="219">CONCATENATE(B2033,C2033)</f>
        <v>400033150R1</v>
      </c>
      <c r="E2033" s="309" t="str">
        <f>VLOOKUP($B2033,'D7 - NDB Impacted SPRF''s'!$E$6:$O$9929,2,FALSE)</f>
        <v>2010 NDB Provider Pick Research Analysis Only</v>
      </c>
      <c r="F2033" s="8" t="s">
        <v>2114</v>
      </c>
      <c r="G2033" s="8" t="s">
        <v>4758</v>
      </c>
      <c r="H2033" s="8" t="s">
        <v>4246</v>
      </c>
      <c r="I2033" s="20"/>
      <c r="J2033" s="8"/>
      <c r="K2033" s="182"/>
      <c r="L2033" s="8" t="s">
        <v>4156</v>
      </c>
      <c r="M2033" s="8" t="s">
        <v>2814</v>
      </c>
      <c r="N2033" s="38" t="s">
        <v>4296</v>
      </c>
      <c r="O2033" s="8"/>
      <c r="P2033" s="4" t="str">
        <f>VLOOKUP($B2033,'D7 - NDB Impacted SPRF''s'!$E$16:$O$9929,9,FALSE)</f>
        <v>N</v>
      </c>
      <c r="Q2033" s="4" t="str">
        <f>VLOOKUP($B2033,'D7 - NDB Impacted SPRF''s'!$E$16:$O$9929,10,FALSE)</f>
        <v>N</v>
      </c>
      <c r="R2033" s="4" t="str">
        <f>VLOOKUP($B2033,'D7 - NDB Impacted SPRF''s'!$E$16:$O$9929,11,FALSE)</f>
        <v>N</v>
      </c>
      <c r="S2033" s="8"/>
      <c r="T2033" s="310"/>
      <c r="U2033" s="310"/>
      <c r="V2033" s="4"/>
      <c r="W2033" s="4"/>
      <c r="X2033" s="4"/>
      <c r="Y2033" s="4"/>
      <c r="Z2033" s="4"/>
      <c r="AA2033" s="4"/>
      <c r="AB2033" s="380" t="str">
        <f>VLOOKUP($B2033,'D7 - NDB Impacted SPRF''s'!$E$6:$O$9929,4,FALSE)</f>
        <v>Completed</v>
      </c>
      <c r="AC2033" s="380" t="str">
        <f>VLOOKUP($B2033,'D7 - NDB Impacted SPRF''s'!$E$6:$O$9929,3,FALSE)</f>
        <v>UnitedHealthcare Employer &amp; Individual</v>
      </c>
      <c r="AD2033" s="380" t="str">
        <f>VLOOKUP($B2033,'D7 - NDB Impacted SPRF''s'!$E$6:$O$9929,5,FALSE)</f>
        <v>Operational Requirements</v>
      </c>
      <c r="AE2033" s="380" t="str">
        <f>VLOOKUP($B2033,'D7 - NDB Impacted SPRF''s'!$E$6:$O$9929,7,FALSE)</f>
        <v>Jillian Foucre</v>
      </c>
      <c r="AF2033" s="380" t="str">
        <f>VLOOKUP($B2033,'D7 - NDB Impacted SPRF''s'!$E$6:$O$9929,6,FALSE)</f>
        <v>Brenda Colwill</v>
      </c>
      <c r="AG2033" s="282"/>
      <c r="AH2033" s="311" t="e">
        <f>INDEX('D5 - Gatekeeper - Projects'!$A$4:$AF$1010,$AM2033, 17)</f>
        <v>#N/A</v>
      </c>
      <c r="AI2033" s="8"/>
      <c r="AJ2033" s="57"/>
      <c r="AK2033" s="105"/>
      <c r="AM2033" s="6" t="e">
        <f>MATCH(D2033,'D5 - Gatekeeper - Projects'!$C$4:$C$1010,0)</f>
        <v>#N/A</v>
      </c>
      <c r="AN2033" s="6" t="b">
        <f t="shared" si="214"/>
        <v>1</v>
      </c>
      <c r="AO2033" s="6" t="str">
        <f t="shared" si="215"/>
        <v>OK</v>
      </c>
      <c r="AQ2033" s="6" t="e">
        <f>MATCH($D2033,'D4 - Provider Council Unsched'!$C$11:$C$234,0)</f>
        <v>#N/A</v>
      </c>
      <c r="AR2033" s="6" t="b">
        <f t="shared" si="216"/>
        <v>1</v>
      </c>
      <c r="AS2033" s="6" t="str">
        <f t="shared" si="218"/>
        <v>OK</v>
      </c>
      <c r="AU2033" s="202"/>
      <c r="AV2033" s="262"/>
      <c r="AW2033" s="274"/>
    </row>
    <row r="2034" spans="1:49" s="13" customFormat="1" ht="33.75" x14ac:dyDescent="0.2">
      <c r="A2034" s="14">
        <v>2010</v>
      </c>
      <c r="B2034" s="14">
        <v>400033154</v>
      </c>
      <c r="C2034" s="8" t="s">
        <v>5197</v>
      </c>
      <c r="D2034" s="4" t="str">
        <f t="shared" si="219"/>
        <v>400033154R1</v>
      </c>
      <c r="E2034" s="309" t="str">
        <f>VLOOKUP($B2034,'D7 - NDB Impacted SPRF''s'!$E$6:$O$9929,2,FALSE)</f>
        <v>Deere GSP Narrow Network Provider Search</v>
      </c>
      <c r="F2034" s="8"/>
      <c r="G2034" s="8" t="s">
        <v>4758</v>
      </c>
      <c r="H2034" s="8" t="s">
        <v>4246</v>
      </c>
      <c r="I2034" s="20"/>
      <c r="J2034" s="8"/>
      <c r="K2034" s="182"/>
      <c r="L2034" s="8" t="s">
        <v>4156</v>
      </c>
      <c r="M2034" s="8" t="s">
        <v>2814</v>
      </c>
      <c r="N2034" s="38" t="s">
        <v>5268</v>
      </c>
      <c r="O2034" s="8"/>
      <c r="P2034" s="4" t="str">
        <f>VLOOKUP($B2034,'D7 - NDB Impacted SPRF''s'!$E$16:$O$9929,9,FALSE)</f>
        <v>N</v>
      </c>
      <c r="Q2034" s="4" t="str">
        <f>VLOOKUP($B2034,'D7 - NDB Impacted SPRF''s'!$E$16:$O$9929,10,FALSE)</f>
        <v>N</v>
      </c>
      <c r="R2034" s="4" t="str">
        <f>VLOOKUP($B2034,'D7 - NDB Impacted SPRF''s'!$E$16:$O$9929,11,FALSE)</f>
        <v>N</v>
      </c>
      <c r="S2034" s="8"/>
      <c r="T2034" s="310"/>
      <c r="U2034" s="310"/>
      <c r="V2034" s="4"/>
      <c r="W2034" s="4"/>
      <c r="X2034" s="4"/>
      <c r="Y2034" s="4"/>
      <c r="Z2034" s="4"/>
      <c r="AA2034" s="4"/>
      <c r="AB2034" s="380" t="str">
        <f>VLOOKUP($B2034,'D7 - NDB Impacted SPRF''s'!$E$6:$O$9929,4,FALSE)</f>
        <v>Scheduled</v>
      </c>
      <c r="AC2034" s="380" t="str">
        <f>VLOOKUP($B2034,'D7 - NDB Impacted SPRF''s'!$E$6:$O$9929,3,FALSE)</f>
        <v>UnitedHealthcare</v>
      </c>
      <c r="AD2034" s="380" t="str">
        <f>VLOOKUP($B2034,'D7 - NDB Impacted SPRF''s'!$E$6:$O$9929,5,FALSE)</f>
        <v>Customer Specific Requests - National Accounts</v>
      </c>
      <c r="AE2034" s="380" t="str">
        <f>VLOOKUP($B2034,'D7 - NDB Impacted SPRF''s'!$E$6:$O$9929,7,FALSE)</f>
        <v>John Ryan</v>
      </c>
      <c r="AF2034" s="380" t="str">
        <f>VLOOKUP($B2034,'D7 - NDB Impacted SPRF''s'!$E$6:$O$9929,6,FALSE)</f>
        <v>Patricia Mullins</v>
      </c>
      <c r="AG2034" s="282"/>
      <c r="AH2034" s="311" t="e">
        <f>INDEX('D5 - Gatekeeper - Projects'!$A$4:$AF$1010,$AM2034, 17)</f>
        <v>#N/A</v>
      </c>
      <c r="AI2034" s="8"/>
      <c r="AJ2034" s="57"/>
      <c r="AK2034" s="105"/>
      <c r="AM2034" s="6" t="e">
        <f>MATCH(D2034,'D5 - Gatekeeper - Projects'!$C$4:$C$1010,0)</f>
        <v>#N/A</v>
      </c>
      <c r="AN2034" s="6" t="b">
        <f t="shared" si="214"/>
        <v>1</v>
      </c>
      <c r="AO2034" s="6" t="str">
        <f t="shared" si="215"/>
        <v>OK</v>
      </c>
      <c r="AQ2034" s="6" t="e">
        <f>MATCH($D2034,'D4 - Provider Council Unsched'!$C$11:$C$234,0)</f>
        <v>#N/A</v>
      </c>
      <c r="AR2034" s="6" t="b">
        <f t="shared" si="216"/>
        <v>1</v>
      </c>
      <c r="AS2034" s="6" t="str">
        <f t="shared" si="218"/>
        <v>OK</v>
      </c>
      <c r="AU2034" s="202"/>
      <c r="AV2034" s="262"/>
      <c r="AW2034" s="274"/>
    </row>
    <row r="2035" spans="1:49" s="13" customFormat="1" ht="33.75" x14ac:dyDescent="0.2">
      <c r="A2035" s="14">
        <v>2011</v>
      </c>
      <c r="B2035" s="14">
        <v>400033322</v>
      </c>
      <c r="C2035" s="8" t="s">
        <v>5197</v>
      </c>
      <c r="D2035" s="4" t="str">
        <f t="shared" si="219"/>
        <v>400033322R1</v>
      </c>
      <c r="E2035" s="309" t="str">
        <f>VLOOKUP($B2035,'D7 - NDB Impacted SPRF''s'!$E$6:$O$9929,2,FALSE)</f>
        <v>Heritage Product in OH, GA and AR Provider Develop</v>
      </c>
      <c r="F2035" s="8" t="s">
        <v>2114</v>
      </c>
      <c r="G2035" s="8" t="s">
        <v>4758</v>
      </c>
      <c r="H2035" s="8" t="s">
        <v>4246</v>
      </c>
      <c r="I2035" s="20"/>
      <c r="J2035" s="8"/>
      <c r="K2035" s="182"/>
      <c r="L2035" s="8" t="s">
        <v>4156</v>
      </c>
      <c r="M2035" s="8" t="s">
        <v>2814</v>
      </c>
      <c r="N2035" s="38"/>
      <c r="O2035" s="8"/>
      <c r="P2035" s="4" t="str">
        <f>VLOOKUP($B2035,'D7 - NDB Impacted SPRF''s'!$E$16:$O$9929,9,FALSE)</f>
        <v>N</v>
      </c>
      <c r="Q2035" s="4" t="str">
        <f>VLOOKUP($B2035,'D7 - NDB Impacted SPRF''s'!$E$16:$O$9929,10,FALSE)</f>
        <v>N</v>
      </c>
      <c r="R2035" s="4" t="str">
        <f>VLOOKUP($B2035,'D7 - NDB Impacted SPRF''s'!$E$16:$O$9929,11,FALSE)</f>
        <v>N</v>
      </c>
      <c r="S2035" s="8"/>
      <c r="T2035" s="310"/>
      <c r="U2035" s="310"/>
      <c r="V2035" s="4"/>
      <c r="W2035" s="4"/>
      <c r="X2035" s="4"/>
      <c r="Y2035" s="4"/>
      <c r="Z2035" s="4"/>
      <c r="AA2035" s="4"/>
      <c r="AB2035" s="380" t="str">
        <f>VLOOKUP($B2035,'D7 - NDB Impacted SPRF''s'!$E$6:$O$9929,4,FALSE)</f>
        <v>Completed</v>
      </c>
      <c r="AC2035" s="380" t="str">
        <f>VLOOKUP($B2035,'D7 - NDB Impacted SPRF''s'!$E$6:$O$9929,3,FALSE)</f>
        <v>UnitedHealthcare Employer &amp; Individual</v>
      </c>
      <c r="AD2035" s="380" t="str">
        <f>VLOOKUP($B2035,'D7 - NDB Impacted SPRF''s'!$E$6:$O$9929,5,FALSE)</f>
        <v>Membership Growth / Revenue Programs</v>
      </c>
      <c r="AE2035" s="380" t="str">
        <f>VLOOKUP($B2035,'D7 - NDB Impacted SPRF''s'!$E$6:$O$9929,7,FALSE)</f>
        <v>Heather Lowe</v>
      </c>
      <c r="AF2035" s="380" t="str">
        <f>VLOOKUP($B2035,'D7 - NDB Impacted SPRF''s'!$E$6:$O$9929,6,FALSE)</f>
        <v>COBB DOROTHY</v>
      </c>
      <c r="AG2035" s="282"/>
      <c r="AH2035" s="311" t="e">
        <f>INDEX('D5 - Gatekeeper - Projects'!$A$4:$AF$1010,$AM2035, 17)</f>
        <v>#N/A</v>
      </c>
      <c r="AI2035" s="8"/>
      <c r="AJ2035" s="57"/>
      <c r="AK2035" s="105"/>
      <c r="AM2035" s="6" t="e">
        <f>MATCH(D2035,'D5 - Gatekeeper - Projects'!$C$4:$C$1010,0)</f>
        <v>#N/A</v>
      </c>
      <c r="AN2035" s="6" t="b">
        <f t="shared" si="214"/>
        <v>1</v>
      </c>
      <c r="AO2035" s="6" t="str">
        <f t="shared" si="215"/>
        <v>OK</v>
      </c>
      <c r="AQ2035" s="6" t="e">
        <f>MATCH($D2035,'D4 - Provider Council Unsched'!$C$11:$C$234,0)</f>
        <v>#N/A</v>
      </c>
      <c r="AR2035" s="6" t="b">
        <f t="shared" si="216"/>
        <v>1</v>
      </c>
      <c r="AS2035" s="6" t="str">
        <f t="shared" si="218"/>
        <v>OK</v>
      </c>
      <c r="AU2035" s="202"/>
      <c r="AV2035" s="262"/>
      <c r="AW2035" s="274"/>
    </row>
    <row r="2036" spans="1:49" s="13" customFormat="1" ht="33.75" x14ac:dyDescent="0.2">
      <c r="A2036" s="14">
        <v>2012</v>
      </c>
      <c r="B2036" s="14">
        <v>400033476</v>
      </c>
      <c r="C2036" s="8" t="s">
        <v>5197</v>
      </c>
      <c r="D2036" s="4" t="str">
        <f t="shared" si="219"/>
        <v>400033476R1</v>
      </c>
      <c r="E2036" s="309" t="str">
        <f>VLOOKUP($B2036,'D7 - NDB Impacted SPRF''s'!$E$6:$O$9929,2,FALSE)</f>
        <v>Heritage Product Expansion- Arkansas</v>
      </c>
      <c r="F2036" s="8" t="s">
        <v>2114</v>
      </c>
      <c r="G2036" s="8" t="s">
        <v>4758</v>
      </c>
      <c r="H2036" s="8" t="s">
        <v>4246</v>
      </c>
      <c r="I2036" s="20"/>
      <c r="J2036" s="8"/>
      <c r="K2036" s="182"/>
      <c r="L2036" s="8" t="s">
        <v>4156</v>
      </c>
      <c r="M2036" s="8" t="s">
        <v>2814</v>
      </c>
      <c r="N2036" s="38" t="s">
        <v>5449</v>
      </c>
      <c r="O2036" s="8"/>
      <c r="P2036" s="4" t="str">
        <f>VLOOKUP($B2036,'D7 - NDB Impacted SPRF''s'!$E$16:$O$9929,9,FALSE)</f>
        <v>N</v>
      </c>
      <c r="Q2036" s="4" t="str">
        <f>VLOOKUP($B2036,'D7 - NDB Impacted SPRF''s'!$E$16:$O$9929,10,FALSE)</f>
        <v>N</v>
      </c>
      <c r="R2036" s="4" t="str">
        <f>VLOOKUP($B2036,'D7 - NDB Impacted SPRF''s'!$E$16:$O$9929,11,FALSE)</f>
        <v>Y</v>
      </c>
      <c r="S2036" s="8"/>
      <c r="T2036" s="310"/>
      <c r="U2036" s="310"/>
      <c r="V2036" s="4"/>
      <c r="W2036" s="4"/>
      <c r="X2036" s="4"/>
      <c r="Y2036" s="4"/>
      <c r="Z2036" s="4"/>
      <c r="AA2036" s="4"/>
      <c r="AB2036" s="380" t="str">
        <f>VLOOKUP($B2036,'D7 - NDB Impacted SPRF''s'!$E$6:$O$9929,4,FALSE)</f>
        <v>Completed</v>
      </c>
      <c r="AC2036" s="380" t="str">
        <f>VLOOKUP($B2036,'D7 - NDB Impacted SPRF''s'!$E$6:$O$9929,3,FALSE)</f>
        <v>UnitedHealthcare Employer &amp; Individual</v>
      </c>
      <c r="AD2036" s="380" t="str">
        <f>VLOOKUP($B2036,'D7 - NDB Impacted SPRF''s'!$E$6:$O$9929,5,FALSE)</f>
        <v>Membership Growth / Revenue Programs</v>
      </c>
      <c r="AE2036" s="380" t="str">
        <f>VLOOKUP($B2036,'D7 - NDB Impacted SPRF''s'!$E$6:$O$9929,7,FALSE)</f>
        <v>Stephen Wilson</v>
      </c>
      <c r="AF2036" s="380" t="str">
        <f>VLOOKUP($B2036,'D7 - NDB Impacted SPRF''s'!$E$6:$O$9929,6,FALSE)</f>
        <v>COBB DOROTHY</v>
      </c>
      <c r="AG2036" s="282"/>
      <c r="AH2036" s="311" t="e">
        <f>INDEX('D5 - Gatekeeper - Projects'!$A$4:$AF$1010,$AM2036, 17)</f>
        <v>#N/A</v>
      </c>
      <c r="AI2036" s="8"/>
      <c r="AJ2036" s="57"/>
      <c r="AK2036" s="105"/>
      <c r="AM2036" s="6" t="e">
        <f>MATCH(D2036,'D5 - Gatekeeper - Projects'!$C$4:$C$1010,0)</f>
        <v>#N/A</v>
      </c>
      <c r="AN2036" s="6" t="b">
        <f t="shared" si="214"/>
        <v>1</v>
      </c>
      <c r="AO2036" s="6" t="str">
        <f t="shared" si="215"/>
        <v>OK</v>
      </c>
      <c r="AQ2036" s="6" t="e">
        <f>MATCH($D2036,'D4 - Provider Council Unsched'!$C$11:$C$234,0)</f>
        <v>#N/A</v>
      </c>
      <c r="AR2036" s="6" t="b">
        <f t="shared" si="216"/>
        <v>1</v>
      </c>
      <c r="AS2036" s="6" t="str">
        <f t="shared" si="218"/>
        <v>OK</v>
      </c>
      <c r="AU2036" s="202"/>
      <c r="AV2036" s="262"/>
      <c r="AW2036" s="274"/>
    </row>
    <row r="2037" spans="1:49" s="13" customFormat="1" ht="33.75" x14ac:dyDescent="0.2">
      <c r="A2037" s="14">
        <v>2013</v>
      </c>
      <c r="B2037" s="14">
        <v>400033670</v>
      </c>
      <c r="C2037" s="8" t="s">
        <v>5197</v>
      </c>
      <c r="D2037" s="4" t="str">
        <f t="shared" si="219"/>
        <v>400033670R1</v>
      </c>
      <c r="E2037" s="309" t="str">
        <f>VLOOKUP($B2037,'D7 - NDB Impacted SPRF''s'!$E$6:$O$9929,2,FALSE)</f>
        <v>National PPO Rollout</v>
      </c>
      <c r="F2037" s="8"/>
      <c r="G2037" s="8" t="s">
        <v>4758</v>
      </c>
      <c r="H2037" s="8" t="s">
        <v>4246</v>
      </c>
      <c r="I2037" s="20"/>
      <c r="J2037" s="8"/>
      <c r="K2037" s="182"/>
      <c r="L2037" s="8" t="s">
        <v>4156</v>
      </c>
      <c r="M2037" s="8" t="s">
        <v>2814</v>
      </c>
      <c r="N2037" s="38" t="s">
        <v>5275</v>
      </c>
      <c r="O2037" s="8"/>
      <c r="P2037" s="4" t="str">
        <f>VLOOKUP($B2037,'D7 - NDB Impacted SPRF''s'!$E$16:$O$9929,9,FALSE)</f>
        <v>N</v>
      </c>
      <c r="Q2037" s="4" t="str">
        <f>VLOOKUP($B2037,'D7 - NDB Impacted SPRF''s'!$E$16:$O$9929,10,FALSE)</f>
        <v>N</v>
      </c>
      <c r="R2037" s="4" t="str">
        <f>VLOOKUP($B2037,'D7 - NDB Impacted SPRF''s'!$E$16:$O$9929,11,FALSE)</f>
        <v>N</v>
      </c>
      <c r="S2037" s="8"/>
      <c r="T2037" s="310"/>
      <c r="U2037" s="310"/>
      <c r="V2037" s="4"/>
      <c r="W2037" s="4"/>
      <c r="X2037" s="4"/>
      <c r="Y2037" s="4"/>
      <c r="Z2037" s="4"/>
      <c r="AA2037" s="4"/>
      <c r="AB2037" s="380" t="str">
        <f>VLOOKUP($B2037,'D7 - NDB Impacted SPRF''s'!$E$6:$O$9929,4,FALSE)</f>
        <v>Completed</v>
      </c>
      <c r="AC2037" s="380" t="str">
        <f>VLOOKUP($B2037,'D7 - NDB Impacted SPRF''s'!$E$6:$O$9929,3,FALSE)</f>
        <v>UnitedHealthcare Medicare &amp; Retirement</v>
      </c>
      <c r="AD2037" s="380" t="str">
        <f>VLOOKUP($B2037,'D7 - NDB Impacted SPRF''s'!$E$6:$O$9929,5,FALSE)</f>
        <v>Product Development</v>
      </c>
      <c r="AE2037" s="380" t="str">
        <f>VLOOKUP($B2037,'D7 - NDB Impacted SPRF''s'!$E$6:$O$9929,7,FALSE)</f>
        <v>Scott Rineford</v>
      </c>
      <c r="AF2037" s="380" t="str">
        <f>VLOOKUP($B2037,'D7 - NDB Impacted SPRF''s'!$E$6:$O$9929,6,FALSE)</f>
        <v>Jessica Tattersall</v>
      </c>
      <c r="AG2037" s="282"/>
      <c r="AH2037" s="311" t="e">
        <f>INDEX('D5 - Gatekeeper - Projects'!$A$4:$AF$1010,$AM2037, 17)</f>
        <v>#N/A</v>
      </c>
      <c r="AI2037" s="8"/>
      <c r="AJ2037" s="57"/>
      <c r="AK2037" s="105"/>
      <c r="AM2037" s="6" t="e">
        <f>MATCH(D2037,'D5 - Gatekeeper - Projects'!$C$4:$C$1010,0)</f>
        <v>#N/A</v>
      </c>
      <c r="AN2037" s="6" t="b">
        <f t="shared" si="214"/>
        <v>1</v>
      </c>
      <c r="AO2037" s="6" t="str">
        <f t="shared" si="215"/>
        <v>OK</v>
      </c>
      <c r="AQ2037" s="6" t="e">
        <f>MATCH($D2037,'D4 - Provider Council Unsched'!$C$11:$C$234,0)</f>
        <v>#N/A</v>
      </c>
      <c r="AR2037" s="6" t="b">
        <f t="shared" si="216"/>
        <v>1</v>
      </c>
      <c r="AS2037" s="6" t="str">
        <f t="shared" si="218"/>
        <v>OK</v>
      </c>
      <c r="AU2037" s="202"/>
      <c r="AV2037" s="262"/>
      <c r="AW2037" s="274"/>
    </row>
    <row r="2038" spans="1:49" s="13" customFormat="1" ht="33.75" x14ac:dyDescent="0.2">
      <c r="A2038" s="14">
        <v>2014</v>
      </c>
      <c r="B2038" s="14">
        <v>400033762</v>
      </c>
      <c r="C2038" s="8" t="s">
        <v>5197</v>
      </c>
      <c r="D2038" s="4" t="str">
        <f t="shared" si="219"/>
        <v>400033762R1</v>
      </c>
      <c r="E2038" s="309" t="str">
        <f>VLOOKUP($B2038,'D7 - NDB Impacted SPRF''s'!$E$6:$O$9929,2,FALSE)</f>
        <v>COSMOS Provider ID Runout</v>
      </c>
      <c r="F2038" s="8" t="s">
        <v>2114</v>
      </c>
      <c r="G2038" s="8" t="s">
        <v>4758</v>
      </c>
      <c r="H2038" s="8" t="s">
        <v>4246</v>
      </c>
      <c r="I2038" s="20"/>
      <c r="J2038" s="8"/>
      <c r="K2038" s="182"/>
      <c r="L2038" s="8" t="s">
        <v>4156</v>
      </c>
      <c r="M2038" s="8" t="s">
        <v>2814</v>
      </c>
      <c r="N2038" s="38" t="s">
        <v>661</v>
      </c>
      <c r="O2038" s="8"/>
      <c r="P2038" s="4" t="str">
        <f>VLOOKUP($B2038,'D7 - NDB Impacted SPRF''s'!$E$16:$O$9929,9,FALSE)</f>
        <v>N</v>
      </c>
      <c r="Q2038" s="4" t="str">
        <f>VLOOKUP($B2038,'D7 - NDB Impacted SPRF''s'!$E$16:$O$9929,10,FALSE)</f>
        <v>N</v>
      </c>
      <c r="R2038" s="4" t="str">
        <f>VLOOKUP($B2038,'D7 - NDB Impacted SPRF''s'!$E$16:$O$9929,11,FALSE)</f>
        <v>N</v>
      </c>
      <c r="S2038" s="8"/>
      <c r="T2038" s="310"/>
      <c r="U2038" s="310"/>
      <c r="V2038" s="4"/>
      <c r="W2038" s="4"/>
      <c r="X2038" s="4"/>
      <c r="Y2038" s="4"/>
      <c r="Z2038" s="4"/>
      <c r="AA2038" s="4"/>
      <c r="AB2038" s="380" t="str">
        <f>VLOOKUP($B2038,'D7 - NDB Impacted SPRF''s'!$E$6:$O$9929,4,FALSE)</f>
        <v>Completed</v>
      </c>
      <c r="AC2038" s="380" t="str">
        <f>VLOOKUP($B2038,'D7 - NDB Impacted SPRF''s'!$E$6:$O$9929,3,FALSE)</f>
        <v>UnitedHealthcare Medicare &amp; Retirement</v>
      </c>
      <c r="AD2038" s="380" t="str">
        <f>VLOOKUP($B2038,'D7 - NDB Impacted SPRF''s'!$E$6:$O$9929,5,FALSE)</f>
        <v>Benefit Admin</v>
      </c>
      <c r="AE2038" s="380" t="str">
        <f>VLOOKUP($B2038,'D7 - NDB Impacted SPRF''s'!$E$6:$O$9929,7,FALSE)</f>
        <v>Joe Hafermann</v>
      </c>
      <c r="AF2038" s="380" t="str">
        <f>VLOOKUP($B2038,'D7 - NDB Impacted SPRF''s'!$E$6:$O$9929,6,FALSE)</f>
        <v>Keith Koszuta</v>
      </c>
      <c r="AG2038" s="282"/>
      <c r="AH2038" s="311" t="e">
        <f>INDEX('D5 - Gatekeeper - Projects'!$A$4:$AF$1010,$AM2038, 17)</f>
        <v>#N/A</v>
      </c>
      <c r="AI2038" s="8"/>
      <c r="AJ2038" s="57"/>
      <c r="AK2038" s="105"/>
      <c r="AM2038" s="6" t="e">
        <f>MATCH(D2038,'D5 - Gatekeeper - Projects'!$C$4:$C$1010,0)</f>
        <v>#N/A</v>
      </c>
      <c r="AN2038" s="6" t="b">
        <f t="shared" si="214"/>
        <v>1</v>
      </c>
      <c r="AO2038" s="6" t="str">
        <f t="shared" si="215"/>
        <v>OK</v>
      </c>
      <c r="AQ2038" s="6" t="e">
        <f>MATCH($D2038,'D4 - Provider Council Unsched'!$C$11:$C$234,0)</f>
        <v>#N/A</v>
      </c>
      <c r="AR2038" s="6" t="b">
        <f t="shared" si="216"/>
        <v>1</v>
      </c>
      <c r="AS2038" s="6" t="str">
        <f>IF(AND(H2038="2 - Not Scheduled",AR2038=TRUE),"Add","OK")</f>
        <v>OK</v>
      </c>
      <c r="AU2038" s="202"/>
      <c r="AV2038" s="262"/>
      <c r="AW2038" s="274"/>
    </row>
    <row r="2039" spans="1:49" s="13" customFormat="1" x14ac:dyDescent="0.2">
      <c r="A2039" s="14">
        <v>2015</v>
      </c>
      <c r="B2039" s="14">
        <v>400033966</v>
      </c>
      <c r="C2039" s="8" t="s">
        <v>5197</v>
      </c>
      <c r="D2039" s="4" t="str">
        <f t="shared" si="219"/>
        <v>400033966R1</v>
      </c>
      <c r="E2039" s="309" t="str">
        <f>VLOOKUP($B2039,'D7 - NDB Impacted SPRF''s'!$E$6:$O$9929,2,FALSE)</f>
        <v>New non-select to stop OHBS claims for reciprocity</v>
      </c>
      <c r="F2039" s="8"/>
      <c r="G2039" s="8" t="s">
        <v>4758</v>
      </c>
      <c r="H2039" s="8" t="s">
        <v>4246</v>
      </c>
      <c r="I2039" s="20"/>
      <c r="J2039" s="8"/>
      <c r="K2039" s="182"/>
      <c r="L2039" s="8" t="s">
        <v>4156</v>
      </c>
      <c r="M2039" s="8" t="s">
        <v>2814</v>
      </c>
      <c r="N2039" s="38"/>
      <c r="O2039" s="8"/>
      <c r="P2039" s="4" t="str">
        <f>VLOOKUP($B2039,'D7 - NDB Impacted SPRF''s'!$E$16:$O$9929,9,FALSE)</f>
        <v>Y</v>
      </c>
      <c r="Q2039" s="4" t="str">
        <f>VLOOKUP($B2039,'D7 - NDB Impacted SPRF''s'!$E$16:$O$9929,10,FALSE)</f>
        <v>N</v>
      </c>
      <c r="R2039" s="4" t="str">
        <f>VLOOKUP($B2039,'D7 - NDB Impacted SPRF''s'!$E$16:$O$9929,11,FALSE)</f>
        <v>Y</v>
      </c>
      <c r="S2039" s="8"/>
      <c r="T2039" s="310"/>
      <c r="U2039" s="310"/>
      <c r="V2039" s="4"/>
      <c r="W2039" s="4"/>
      <c r="X2039" s="4"/>
      <c r="Y2039" s="4"/>
      <c r="Z2039" s="4"/>
      <c r="AA2039" s="4"/>
      <c r="AB2039" s="380" t="str">
        <f>VLOOKUP($B2039,'D7 - NDB Impacted SPRF''s'!$E$6:$O$9929,4,FALSE)</f>
        <v>In Estimating</v>
      </c>
      <c r="AC2039" s="380" t="str">
        <f>VLOOKUP($B2039,'D7 - NDB Impacted SPRF''s'!$E$6:$O$9929,3,FALSE)</f>
        <v>OptumHealth</v>
      </c>
      <c r="AD2039" s="380" t="str">
        <f>VLOOKUP($B2039,'D7 - NDB Impacted SPRF''s'!$E$6:$O$9929,5,FALSE)</f>
        <v>OHBS General Funds</v>
      </c>
      <c r="AE2039" s="380" t="str">
        <f>VLOOKUP($B2039,'D7 - NDB Impacted SPRF''s'!$E$6:$O$9929,7,FALSE)</f>
        <v>Bob Preston</v>
      </c>
      <c r="AF2039" s="380" t="str">
        <f>VLOOKUP($B2039,'D7 - NDB Impacted SPRF''s'!$E$6:$O$9929,6,FALSE)</f>
        <v>Mark Leone</v>
      </c>
      <c r="AG2039" s="282"/>
      <c r="AH2039" s="311" t="e">
        <f>INDEX('D5 - Gatekeeper - Projects'!$A$4:$AF$1010,$AM2039, 17)</f>
        <v>#N/A</v>
      </c>
      <c r="AI2039" s="8"/>
      <c r="AJ2039" s="57"/>
      <c r="AK2039" s="105"/>
      <c r="AM2039" s="6" t="e">
        <f>MATCH(D2039,'D5 - Gatekeeper - Projects'!$C$4:$C$1010,0)</f>
        <v>#N/A</v>
      </c>
      <c r="AN2039" s="6" t="b">
        <f t="shared" si="214"/>
        <v>1</v>
      </c>
      <c r="AO2039" s="6" t="str">
        <f t="shared" si="215"/>
        <v>OK</v>
      </c>
      <c r="AQ2039" s="6" t="e">
        <f>MATCH($D2039,'D4 - Provider Council Unsched'!$C$11:$C$234,0)</f>
        <v>#N/A</v>
      </c>
      <c r="AR2039" s="6" t="b">
        <f t="shared" si="216"/>
        <v>1</v>
      </c>
      <c r="AS2039" s="6" t="str">
        <f t="shared" ref="AS2039:AS2067" si="220">IF(AND(H2039="2 - Not Scheduled",AR2039=TRUE,C2039="R1"),"Add","OK")</f>
        <v>OK</v>
      </c>
      <c r="AU2039" s="202"/>
      <c r="AV2039" s="262"/>
      <c r="AW2039" s="274"/>
    </row>
    <row r="2040" spans="1:49" s="13" customFormat="1" ht="22.5" x14ac:dyDescent="0.2">
      <c r="A2040" s="14">
        <v>2016</v>
      </c>
      <c r="B2040" s="14">
        <v>400035293</v>
      </c>
      <c r="C2040" s="8" t="s">
        <v>5197</v>
      </c>
      <c r="D2040" s="4" t="str">
        <f t="shared" si="219"/>
        <v>400035293R1</v>
      </c>
      <c r="E2040" s="309" t="str">
        <f>VLOOKUP($B2040,'D7 - NDB Impacted SPRF''s'!$E$6:$O$9929,2,FALSE)</f>
        <v xml:space="preserve">Notification Case Routing </v>
      </c>
      <c r="F2040" s="8" t="s">
        <v>1533</v>
      </c>
      <c r="G2040" s="8" t="s">
        <v>4758</v>
      </c>
      <c r="H2040" s="8" t="s">
        <v>4246</v>
      </c>
      <c r="I2040" s="20"/>
      <c r="J2040" s="8"/>
      <c r="K2040" s="182"/>
      <c r="L2040" s="8" t="s">
        <v>4156</v>
      </c>
      <c r="M2040" s="8" t="s">
        <v>2814</v>
      </c>
      <c r="N2040" s="38" t="s">
        <v>1163</v>
      </c>
      <c r="O2040" s="8"/>
      <c r="P2040" s="4" t="str">
        <f>VLOOKUP($B2040,'D7 - NDB Impacted SPRF''s'!$E$16:$O$9929,9,FALSE)</f>
        <v>N</v>
      </c>
      <c r="Q2040" s="4" t="str">
        <f>VLOOKUP($B2040,'D7 - NDB Impacted SPRF''s'!$E$16:$O$9929,10,FALSE)</f>
        <v>N</v>
      </c>
      <c r="R2040" s="4" t="str">
        <f>VLOOKUP($B2040,'D7 - NDB Impacted SPRF''s'!$E$16:$O$9929,11,FALSE)</f>
        <v>N</v>
      </c>
      <c r="S2040" s="8"/>
      <c r="T2040" s="310"/>
      <c r="U2040" s="310"/>
      <c r="V2040" s="4"/>
      <c r="W2040" s="4"/>
      <c r="X2040" s="4"/>
      <c r="Y2040" s="4"/>
      <c r="Z2040" s="4"/>
      <c r="AA2040" s="4"/>
      <c r="AB2040" s="380" t="str">
        <f>VLOOKUP($B2040,'D7 - NDB Impacted SPRF''s'!$E$6:$O$9929,4,FALSE)</f>
        <v>In Estimating</v>
      </c>
      <c r="AC2040" s="380" t="str">
        <f>VLOOKUP($B2040,'D7 - NDB Impacted SPRF''s'!$E$6:$O$9929,3,FALSE)</f>
        <v>Ovations</v>
      </c>
      <c r="AD2040" s="380" t="str">
        <f>VLOOKUP($B2040,'D7 - NDB Impacted SPRF''s'!$E$6:$O$9929,5,FALSE)</f>
        <v>ITI Funding 72 to 24 Hour on Notification (04-39180-000)</v>
      </c>
      <c r="AE2040" s="380" t="str">
        <f>VLOOKUP($B2040,'D7 - NDB Impacted SPRF''s'!$E$6:$O$9929,7,FALSE)</f>
        <v>Derek Harris</v>
      </c>
      <c r="AF2040" s="380" t="str">
        <f>VLOOKUP($B2040,'D7 - NDB Impacted SPRF''s'!$E$6:$O$9929,6,FALSE)</f>
        <v>Jeanette Klausing</v>
      </c>
      <c r="AG2040" s="282"/>
      <c r="AH2040" s="311" t="e">
        <f>INDEX('D5 - Gatekeeper - Projects'!$A$4:$AF$1010,$AM2040, 17)</f>
        <v>#N/A</v>
      </c>
      <c r="AI2040" s="8"/>
      <c r="AJ2040" s="57"/>
      <c r="AK2040" s="105"/>
      <c r="AM2040" s="6" t="e">
        <f>MATCH(D2040,'D5 - Gatekeeper - Projects'!$C$4:$C$1010,0)</f>
        <v>#N/A</v>
      </c>
      <c r="AN2040" s="6" t="b">
        <f t="shared" si="214"/>
        <v>1</v>
      </c>
      <c r="AO2040" s="6" t="str">
        <f t="shared" si="215"/>
        <v>OK</v>
      </c>
      <c r="AQ2040" s="6" t="e">
        <f>MATCH($D2040,'D4 - Provider Council Unsched'!$C$11:$C$234,0)</f>
        <v>#N/A</v>
      </c>
      <c r="AR2040" s="6" t="b">
        <f t="shared" si="216"/>
        <v>1</v>
      </c>
      <c r="AS2040" s="6" t="str">
        <f t="shared" si="220"/>
        <v>OK</v>
      </c>
      <c r="AU2040" s="202"/>
      <c r="AV2040" s="262"/>
      <c r="AW2040" s="274"/>
    </row>
    <row r="2041" spans="1:49" s="13" customFormat="1" ht="33.75" x14ac:dyDescent="0.2">
      <c r="A2041" s="14">
        <v>2017</v>
      </c>
      <c r="B2041" s="14">
        <v>400035391</v>
      </c>
      <c r="C2041" s="8" t="s">
        <v>5197</v>
      </c>
      <c r="D2041" s="4" t="str">
        <f t="shared" si="219"/>
        <v>400035391R1</v>
      </c>
      <c r="E2041" s="309" t="str">
        <f>VLOOKUP($B2041,'D7 - NDB Impacted SPRF''s'!$E$6:$O$9929,2,FALSE)</f>
        <v>NCQA Provider Search- Hospital Accreditation Field</v>
      </c>
      <c r="F2041" s="8" t="s">
        <v>2114</v>
      </c>
      <c r="G2041" s="8" t="s">
        <v>4758</v>
      </c>
      <c r="H2041" s="8" t="s">
        <v>4246</v>
      </c>
      <c r="I2041" s="20"/>
      <c r="J2041" s="8"/>
      <c r="K2041" s="182"/>
      <c r="L2041" s="8" t="s">
        <v>4156</v>
      </c>
      <c r="M2041" s="8" t="s">
        <v>2814</v>
      </c>
      <c r="N2041" s="38"/>
      <c r="O2041" s="8"/>
      <c r="P2041" s="4" t="str">
        <f>VLOOKUP($B2041,'D7 - NDB Impacted SPRF''s'!$E$16:$O$9929,9,FALSE)</f>
        <v>N</v>
      </c>
      <c r="Q2041" s="4" t="str">
        <f>VLOOKUP($B2041,'D7 - NDB Impacted SPRF''s'!$E$16:$O$9929,10,FALSE)</f>
        <v>N</v>
      </c>
      <c r="R2041" s="4" t="str">
        <f>VLOOKUP($B2041,'D7 - NDB Impacted SPRF''s'!$E$16:$O$9929,11,FALSE)</f>
        <v>N</v>
      </c>
      <c r="S2041" s="8"/>
      <c r="T2041" s="310"/>
      <c r="U2041" s="310"/>
      <c r="V2041" s="4"/>
      <c r="W2041" s="4"/>
      <c r="X2041" s="4"/>
      <c r="Y2041" s="4"/>
      <c r="Z2041" s="4"/>
      <c r="AA2041" s="4"/>
      <c r="AB2041" s="380" t="str">
        <f>VLOOKUP($B2041,'D7 - NDB Impacted SPRF''s'!$E$6:$O$9929,4,FALSE)</f>
        <v>Completed</v>
      </c>
      <c r="AC2041" s="380" t="str">
        <f>VLOOKUP($B2041,'D7 - NDB Impacted SPRF''s'!$E$6:$O$9929,3,FALSE)</f>
        <v>UnitedHealthcare Medicare &amp; Retirement</v>
      </c>
      <c r="AD2041" s="380" t="str">
        <f>VLOOKUP($B2041,'D7 - NDB Impacted SPRF''s'!$E$6:$O$9929,5,FALSE)</f>
        <v>Tech and Data Management</v>
      </c>
      <c r="AE2041" s="380" t="str">
        <f>VLOOKUP($B2041,'D7 - NDB Impacted SPRF''s'!$E$6:$O$9929,7,FALSE)</f>
        <v>Peter Demaris</v>
      </c>
      <c r="AF2041" s="380" t="str">
        <f>VLOOKUP($B2041,'D7 - NDB Impacted SPRF''s'!$E$6:$O$9929,6,FALSE)</f>
        <v>Jessica Tattersall</v>
      </c>
      <c r="AG2041" s="282"/>
      <c r="AH2041" s="311" t="e">
        <f>INDEX('D5 - Gatekeeper - Projects'!$A$4:$AF$1010,$AM2041, 17)</f>
        <v>#N/A</v>
      </c>
      <c r="AI2041" s="8"/>
      <c r="AJ2041" s="57"/>
      <c r="AK2041" s="105"/>
      <c r="AM2041" s="6" t="e">
        <f>MATCH(D2041,'D5 - Gatekeeper - Projects'!$C$4:$C$1010,0)</f>
        <v>#N/A</v>
      </c>
      <c r="AN2041" s="6" t="b">
        <f t="shared" si="214"/>
        <v>1</v>
      </c>
      <c r="AO2041" s="6" t="str">
        <f t="shared" si="215"/>
        <v>OK</v>
      </c>
      <c r="AQ2041" s="6" t="e">
        <f>MATCH($D2041,'D4 - Provider Council Unsched'!$C$11:$C$234,0)</f>
        <v>#N/A</v>
      </c>
      <c r="AR2041" s="6" t="b">
        <f t="shared" si="216"/>
        <v>1</v>
      </c>
      <c r="AS2041" s="6" t="str">
        <f t="shared" si="220"/>
        <v>OK</v>
      </c>
      <c r="AU2041" s="202"/>
      <c r="AV2041" s="262"/>
      <c r="AW2041" s="274"/>
    </row>
    <row r="2042" spans="1:49" s="13" customFormat="1" ht="33.75" x14ac:dyDescent="0.2">
      <c r="A2042" s="14">
        <v>2018</v>
      </c>
      <c r="B2042" s="14">
        <v>400036033</v>
      </c>
      <c r="C2042" s="8" t="s">
        <v>5197</v>
      </c>
      <c r="D2042" s="4" t="str">
        <f t="shared" si="219"/>
        <v>400036033R1</v>
      </c>
      <c r="E2042" s="309" t="str">
        <f>VLOOKUP($B2042,'D7 - NDB Impacted SPRF''s'!$E$6:$O$9929,2,FALSE)</f>
        <v>MS CHIP ppoOne/RVF Claims Processing Logic</v>
      </c>
      <c r="F2042" s="8"/>
      <c r="G2042" s="8" t="s">
        <v>4758</v>
      </c>
      <c r="H2042" s="8" t="s">
        <v>4246</v>
      </c>
      <c r="I2042" s="20"/>
      <c r="J2042" s="8"/>
      <c r="K2042" s="182"/>
      <c r="L2042" s="8" t="s">
        <v>4156</v>
      </c>
      <c r="M2042" s="8" t="s">
        <v>2814</v>
      </c>
      <c r="N2042" s="38"/>
      <c r="O2042" s="8"/>
      <c r="P2042" s="4" t="str">
        <f>VLOOKUP($B2042,'D7 - NDB Impacted SPRF''s'!$E$16:$O$9929,9,FALSE)</f>
        <v>N</v>
      </c>
      <c r="Q2042" s="4" t="str">
        <f>VLOOKUP($B2042,'D7 - NDB Impacted SPRF''s'!$E$16:$O$9929,10,FALSE)</f>
        <v>N</v>
      </c>
      <c r="R2042" s="4" t="str">
        <f>VLOOKUP($B2042,'D7 - NDB Impacted SPRF''s'!$E$16:$O$9929,11,FALSE)</f>
        <v>Y</v>
      </c>
      <c r="S2042" s="8"/>
      <c r="T2042" s="310"/>
      <c r="U2042" s="310"/>
      <c r="V2042" s="4"/>
      <c r="W2042" s="4"/>
      <c r="X2042" s="4"/>
      <c r="Y2042" s="4"/>
      <c r="Z2042" s="4"/>
      <c r="AA2042" s="4"/>
      <c r="AB2042" s="380" t="str">
        <f>VLOOKUP($B2042,'D7 - NDB Impacted SPRF''s'!$E$6:$O$9929,4,FALSE)</f>
        <v>Completed</v>
      </c>
      <c r="AC2042" s="380" t="str">
        <f>VLOOKUP($B2042,'D7 - NDB Impacted SPRF''s'!$E$6:$O$9929,3,FALSE)</f>
        <v>UnitedHealthcare Community &amp; State</v>
      </c>
      <c r="AD2042" s="380" t="str">
        <f>VLOOKUP($B2042,'D7 - NDB Impacted SPRF''s'!$E$6:$O$9929,5,FALSE)</f>
        <v>Growth/Expansion</v>
      </c>
      <c r="AE2042" s="380" t="str">
        <f>VLOOKUP($B2042,'D7 - NDB Impacted SPRF''s'!$E$6:$O$9929,7,FALSE)</f>
        <v>Fred Madill</v>
      </c>
      <c r="AF2042" s="380" t="str">
        <f>VLOOKUP($B2042,'D7 - NDB Impacted SPRF''s'!$E$6:$O$9929,6,FALSE)</f>
        <v>Carol Brunetti</v>
      </c>
      <c r="AG2042" s="282"/>
      <c r="AH2042" s="311" t="e">
        <f>INDEX('D5 - Gatekeeper - Projects'!$A$4:$AF$1010,$AM2042, 17)</f>
        <v>#N/A</v>
      </c>
      <c r="AI2042" s="8"/>
      <c r="AJ2042" s="57"/>
      <c r="AK2042" s="105"/>
      <c r="AM2042" s="6" t="e">
        <f>MATCH(D2042,'D5 - Gatekeeper - Projects'!$C$4:$C$1010,0)</f>
        <v>#N/A</v>
      </c>
      <c r="AN2042" s="6" t="b">
        <f t="shared" si="214"/>
        <v>1</v>
      </c>
      <c r="AO2042" s="6" t="str">
        <f t="shared" si="215"/>
        <v>OK</v>
      </c>
      <c r="AQ2042" s="6" t="e">
        <f>MATCH($D2042,'D4 - Provider Council Unsched'!$C$11:$C$234,0)</f>
        <v>#N/A</v>
      </c>
      <c r="AR2042" s="6" t="b">
        <f t="shared" si="216"/>
        <v>1</v>
      </c>
      <c r="AS2042" s="6" t="str">
        <f t="shared" si="220"/>
        <v>OK</v>
      </c>
      <c r="AU2042" s="202"/>
      <c r="AV2042" s="262"/>
      <c r="AW2042" s="274"/>
    </row>
    <row r="2043" spans="1:49" s="13" customFormat="1" ht="33.75" x14ac:dyDescent="0.2">
      <c r="A2043" s="14">
        <v>2019</v>
      </c>
      <c r="B2043" s="14">
        <v>400036341</v>
      </c>
      <c r="C2043" s="8" t="s">
        <v>5197</v>
      </c>
      <c r="D2043" s="4" t="str">
        <f t="shared" si="219"/>
        <v>400036341R1</v>
      </c>
      <c r="E2043" s="309" t="str">
        <f>VLOOKUP($B2043,'D7 - NDB Impacted SPRF''s'!$E$6:$O$9929,2,FALSE)</f>
        <v>IDT Sunset Prep - IDT Parity Must Haves</v>
      </c>
      <c r="F2043" s="8"/>
      <c r="G2043" s="8" t="s">
        <v>4758</v>
      </c>
      <c r="H2043" s="8" t="s">
        <v>4246</v>
      </c>
      <c r="I2043" s="20"/>
      <c r="J2043" s="8"/>
      <c r="K2043" s="182"/>
      <c r="L2043" s="8" t="s">
        <v>4156</v>
      </c>
      <c r="M2043" s="8" t="s">
        <v>2814</v>
      </c>
      <c r="N2043" s="38" t="s">
        <v>5985</v>
      </c>
      <c r="O2043" s="8"/>
      <c r="P2043" s="4" t="str">
        <f>VLOOKUP($B2043,'D7 - NDB Impacted SPRF''s'!$E$16:$O$9929,9,FALSE)</f>
        <v>Y</v>
      </c>
      <c r="Q2043" s="4" t="str">
        <f>VLOOKUP($B2043,'D7 - NDB Impacted SPRF''s'!$E$16:$O$9929,10,FALSE)</f>
        <v>N</v>
      </c>
      <c r="R2043" s="4" t="str">
        <f>VLOOKUP($B2043,'D7 - NDB Impacted SPRF''s'!$E$16:$O$9929,11,FALSE)</f>
        <v>N</v>
      </c>
      <c r="S2043" s="8"/>
      <c r="T2043" s="310"/>
      <c r="U2043" s="310"/>
      <c r="V2043" s="4"/>
      <c r="W2043" s="4"/>
      <c r="X2043" s="4"/>
      <c r="Y2043" s="4"/>
      <c r="Z2043" s="4"/>
      <c r="AA2043" s="4"/>
      <c r="AB2043" s="380" t="str">
        <f>VLOOKUP($B2043,'D7 - NDB Impacted SPRF''s'!$E$6:$O$9929,4,FALSE)</f>
        <v>Completed</v>
      </c>
      <c r="AC2043" s="380" t="str">
        <f>VLOOKUP($B2043,'D7 - NDB Impacted SPRF''s'!$E$6:$O$9929,3,FALSE)</f>
        <v>UnitedHealthcare Employer &amp; Individual</v>
      </c>
      <c r="AD2043" s="380" t="str">
        <f>VLOOKUP($B2043,'D7 - NDB Impacted SPRF''s'!$E$6:$O$9929,5,FALSE)</f>
        <v>Membership Growth / Revenue Programs</v>
      </c>
      <c r="AE2043" s="380" t="str">
        <f>VLOOKUP($B2043,'D7 - NDB Impacted SPRF''s'!$E$6:$O$9929,7,FALSE)</f>
        <v>Roger Wambheim</v>
      </c>
      <c r="AF2043" s="380" t="str">
        <f>VLOOKUP($B2043,'D7 - NDB Impacted SPRF''s'!$E$6:$O$9929,6,FALSE)</f>
        <v>KRISTYN EIRING</v>
      </c>
      <c r="AG2043" s="282"/>
      <c r="AH2043" s="311" t="e">
        <f>INDEX('D5 - Gatekeeper - Projects'!$A$4:$AF$1010,$AM2043, 17)</f>
        <v>#N/A</v>
      </c>
      <c r="AI2043" s="8"/>
      <c r="AJ2043" s="57"/>
      <c r="AK2043" s="105"/>
      <c r="AM2043" s="6" t="e">
        <f>MATCH(D2043,'D5 - Gatekeeper - Projects'!$C$4:$C$1010,0)</f>
        <v>#N/A</v>
      </c>
      <c r="AN2043" s="6" t="b">
        <f t="shared" si="214"/>
        <v>1</v>
      </c>
      <c r="AO2043" s="6" t="str">
        <f t="shared" si="215"/>
        <v>OK</v>
      </c>
      <c r="AQ2043" s="6" t="e">
        <f>MATCH($D2043,'D4 - Provider Council Unsched'!$C$11:$C$234,0)</f>
        <v>#N/A</v>
      </c>
      <c r="AR2043" s="6" t="b">
        <f t="shared" si="216"/>
        <v>1</v>
      </c>
      <c r="AS2043" s="6" t="str">
        <f t="shared" si="220"/>
        <v>OK</v>
      </c>
      <c r="AU2043" s="202"/>
      <c r="AV2043" s="262"/>
      <c r="AW2043" s="274"/>
    </row>
    <row r="2044" spans="1:49" s="13" customFormat="1" x14ac:dyDescent="0.2">
      <c r="A2044" s="14">
        <v>2020</v>
      </c>
      <c r="B2044" s="8">
        <v>400037683</v>
      </c>
      <c r="C2044" s="8" t="s">
        <v>1447</v>
      </c>
      <c r="D2044" s="4" t="str">
        <f t="shared" si="219"/>
        <v>400037683A</v>
      </c>
      <c r="E2044" s="309" t="s">
        <v>2202</v>
      </c>
      <c r="F2044" s="8"/>
      <c r="G2044" s="8" t="s">
        <v>4758</v>
      </c>
      <c r="H2044" s="8" t="s">
        <v>4246</v>
      </c>
      <c r="I2044" s="20"/>
      <c r="J2044" s="8"/>
      <c r="K2044" s="182"/>
      <c r="L2044" s="8" t="s">
        <v>4156</v>
      </c>
      <c r="M2044" s="8" t="s">
        <v>2814</v>
      </c>
      <c r="N2044" s="38"/>
      <c r="O2044" s="8"/>
      <c r="P2044" s="4" t="e">
        <f>VLOOKUP($B2044,'D7 - NDB Impacted SPRF''s'!$E$16:$O$9929,9,FALSE)</f>
        <v>#N/A</v>
      </c>
      <c r="Q2044" s="4" t="e">
        <f>VLOOKUP($B2044,'D7 - NDB Impacted SPRF''s'!$E$16:$O$9929,10,FALSE)</f>
        <v>#N/A</v>
      </c>
      <c r="R2044" s="4" t="e">
        <f>VLOOKUP($B2044,'D7 - NDB Impacted SPRF''s'!$E$16:$O$9929,11,FALSE)</f>
        <v>#N/A</v>
      </c>
      <c r="S2044" s="8"/>
      <c r="T2044" s="310"/>
      <c r="U2044" s="310"/>
      <c r="V2044" s="4"/>
      <c r="W2044" s="4"/>
      <c r="X2044" s="4"/>
      <c r="Y2044" s="4"/>
      <c r="Z2044" s="4"/>
      <c r="AA2044" s="4"/>
      <c r="AB2044" s="380" t="e">
        <f>VLOOKUP($B2044,'D7 - NDB Impacted SPRF''s'!$E$6:$O$9929,4,FALSE)</f>
        <v>#N/A</v>
      </c>
      <c r="AC2044" s="380" t="e">
        <f>VLOOKUP($B2044,'D7 - NDB Impacted SPRF''s'!$E$6:$O$9929,3,FALSE)</f>
        <v>#N/A</v>
      </c>
      <c r="AD2044" s="380" t="e">
        <f>VLOOKUP($B2044,'D7 - NDB Impacted SPRF''s'!$E$6:$O$9929,5,FALSE)</f>
        <v>#N/A</v>
      </c>
      <c r="AE2044" s="380" t="e">
        <f>VLOOKUP($B2044,'D7 - NDB Impacted SPRF''s'!$E$6:$O$9929,7,FALSE)</f>
        <v>#N/A</v>
      </c>
      <c r="AF2044" s="380" t="e">
        <f>VLOOKUP($B2044,'D7 - NDB Impacted SPRF''s'!$E$6:$O$9929,6,FALSE)</f>
        <v>#N/A</v>
      </c>
      <c r="AG2044" s="282"/>
      <c r="AH2044" s="311" t="e">
        <f>INDEX('D5 - Gatekeeper - Projects'!$A$4:$AF$1010,$AM2044, 17)</f>
        <v>#N/A</v>
      </c>
      <c r="AI2044" s="8"/>
      <c r="AJ2044" s="57"/>
      <c r="AK2044" s="105"/>
      <c r="AM2044" s="6" t="e">
        <f>MATCH(D2044,'D5 - Gatekeeper - Projects'!$C$4:$C$1010,0)</f>
        <v>#N/A</v>
      </c>
      <c r="AN2044" s="6" t="b">
        <f t="shared" si="214"/>
        <v>1</v>
      </c>
      <c r="AO2044" s="6" t="str">
        <f t="shared" si="215"/>
        <v>OK</v>
      </c>
      <c r="AQ2044" s="6" t="e">
        <f>MATCH($D2044,'D4 - Provider Council Unsched'!$C$11:$C$234,0)</f>
        <v>#N/A</v>
      </c>
      <c r="AR2044" s="6" t="b">
        <f t="shared" si="216"/>
        <v>1</v>
      </c>
      <c r="AS2044" s="6" t="str">
        <f t="shared" si="220"/>
        <v>OK</v>
      </c>
      <c r="AU2044" s="202"/>
      <c r="AV2044" s="262"/>
      <c r="AW2044" s="274"/>
    </row>
    <row r="2045" spans="1:49" s="13" customFormat="1" ht="33.75" x14ac:dyDescent="0.2">
      <c r="A2045" s="14">
        <v>2021</v>
      </c>
      <c r="B2045" s="8">
        <v>400038653</v>
      </c>
      <c r="C2045" s="8" t="s">
        <v>1447</v>
      </c>
      <c r="D2045" s="4" t="str">
        <f t="shared" si="219"/>
        <v>400038653A</v>
      </c>
      <c r="E2045" s="309" t="str">
        <f>VLOOKUP($B2045,'D7 - NDB Impacted SPRF''s'!$E$6:$O$9929,2,FALSE)</f>
        <v>EPS Tool Fix</v>
      </c>
      <c r="F2045" s="8"/>
      <c r="G2045" s="8" t="s">
        <v>4758</v>
      </c>
      <c r="H2045" s="8" t="s">
        <v>4246</v>
      </c>
      <c r="I2045" s="20"/>
      <c r="J2045" s="8"/>
      <c r="K2045" s="182"/>
      <c r="L2045" s="8" t="s">
        <v>4156</v>
      </c>
      <c r="M2045" s="8" t="s">
        <v>2814</v>
      </c>
      <c r="N2045" s="38" t="s">
        <v>6039</v>
      </c>
      <c r="O2045" s="8"/>
      <c r="P2045" s="4" t="str">
        <f>VLOOKUP($B2045,'D7 - NDB Impacted SPRF''s'!$E$16:$O$9929,9,FALSE)</f>
        <v>N</v>
      </c>
      <c r="Q2045" s="4" t="str">
        <f>VLOOKUP($B2045,'D7 - NDB Impacted SPRF''s'!$E$16:$O$9929,10,FALSE)</f>
        <v>N</v>
      </c>
      <c r="R2045" s="4" t="str">
        <f>VLOOKUP($B2045,'D7 - NDB Impacted SPRF''s'!$E$16:$O$9929,11,FALSE)</f>
        <v>N</v>
      </c>
      <c r="S2045" s="8"/>
      <c r="T2045" s="310"/>
      <c r="U2045" s="310"/>
      <c r="V2045" s="4"/>
      <c r="W2045" s="4"/>
      <c r="X2045" s="4"/>
      <c r="Y2045" s="4"/>
      <c r="Z2045" s="4"/>
      <c r="AA2045" s="4"/>
      <c r="AB2045" s="380" t="str">
        <f>VLOOKUP($B2045,'D7 - NDB Impacted SPRF''s'!$E$6:$O$9929,4,FALSE)</f>
        <v>Completed</v>
      </c>
      <c r="AC2045" s="380" t="str">
        <f>VLOOKUP($B2045,'D7 - NDB Impacted SPRF''s'!$E$6:$O$9929,3,FALSE)</f>
        <v>UnitedHealthcare Medicare &amp; Retirement</v>
      </c>
      <c r="AD2045" s="380" t="str">
        <f>VLOOKUP($B2045,'D7 - NDB Impacted SPRF''s'!$E$6:$O$9929,5,FALSE)</f>
        <v>Tech and Data Management</v>
      </c>
      <c r="AE2045" s="380" t="str">
        <f>VLOOKUP($B2045,'D7 - NDB Impacted SPRF''s'!$E$6:$O$9929,7,FALSE)</f>
        <v>Peter Ngin</v>
      </c>
      <c r="AF2045" s="380" t="str">
        <f>VLOOKUP($B2045,'D7 - NDB Impacted SPRF''s'!$E$6:$O$9929,6,FALSE)</f>
        <v>T Charles</v>
      </c>
      <c r="AG2045" s="282"/>
      <c r="AH2045" s="311" t="e">
        <f>INDEX('D5 - Gatekeeper - Projects'!$A$4:$AF$1010,$AM2045, 17)</f>
        <v>#N/A</v>
      </c>
      <c r="AI2045" s="8"/>
      <c r="AJ2045" s="57"/>
      <c r="AK2045" s="105"/>
      <c r="AM2045" s="6" t="e">
        <f>MATCH(D2045,'D5 - Gatekeeper - Projects'!$C$4:$C$1010,0)</f>
        <v>#N/A</v>
      </c>
      <c r="AN2045" s="6" t="b">
        <f t="shared" si="214"/>
        <v>1</v>
      </c>
      <c r="AO2045" s="6" t="str">
        <f t="shared" si="215"/>
        <v>OK</v>
      </c>
      <c r="AQ2045" s="6" t="e">
        <f>MATCH($D2045,'D4 - Provider Council Unsched'!$C$11:$C$234,0)</f>
        <v>#N/A</v>
      </c>
      <c r="AR2045" s="6" t="b">
        <f t="shared" si="216"/>
        <v>1</v>
      </c>
      <c r="AS2045" s="6" t="str">
        <f t="shared" si="220"/>
        <v>OK</v>
      </c>
      <c r="AU2045" s="202"/>
      <c r="AV2045" s="262"/>
      <c r="AW2045" s="274"/>
    </row>
    <row r="2046" spans="1:49" s="13" customFormat="1" ht="33.75" x14ac:dyDescent="0.2">
      <c r="A2046" s="14">
        <v>2022</v>
      </c>
      <c r="B2046" s="8">
        <v>400039254</v>
      </c>
      <c r="C2046" s="8" t="s">
        <v>1447</v>
      </c>
      <c r="D2046" s="4" t="str">
        <f t="shared" si="219"/>
        <v>400039254A</v>
      </c>
      <c r="E2046" s="309" t="str">
        <f>VLOOKUP($B2046,'D7 - NDB Impacted SPRF''s'!$E$6:$O$9929,2,FALSE)</f>
        <v>INT AMC 1151 NDB Roll Out for Facets</v>
      </c>
      <c r="F2046" s="8"/>
      <c r="G2046" s="8" t="s">
        <v>4758</v>
      </c>
      <c r="H2046" s="8" t="s">
        <v>4246</v>
      </c>
      <c r="I2046" s="20"/>
      <c r="J2046" s="8"/>
      <c r="K2046" s="182"/>
      <c r="L2046" s="8" t="s">
        <v>4156</v>
      </c>
      <c r="M2046" s="8" t="s">
        <v>2814</v>
      </c>
      <c r="N2046" s="38" t="s">
        <v>1328</v>
      </c>
      <c r="O2046" s="8"/>
      <c r="P2046" s="4" t="str">
        <f>VLOOKUP($B2046,'D7 - NDB Impacted SPRF''s'!$E$16:$O$9929,9,FALSE)</f>
        <v>N</v>
      </c>
      <c r="Q2046" s="4" t="str">
        <f>VLOOKUP($B2046,'D7 - NDB Impacted SPRF''s'!$E$16:$O$9929,10,FALSE)</f>
        <v>N</v>
      </c>
      <c r="R2046" s="4" t="str">
        <f>VLOOKUP($B2046,'D7 - NDB Impacted SPRF''s'!$E$16:$O$9929,11,FALSE)</f>
        <v>N</v>
      </c>
      <c r="S2046" s="8"/>
      <c r="T2046" s="310"/>
      <c r="U2046" s="310"/>
      <c r="V2046" s="4"/>
      <c r="W2046" s="4"/>
      <c r="X2046" s="4"/>
      <c r="Y2046" s="4"/>
      <c r="Z2046" s="4"/>
      <c r="AA2046" s="4"/>
      <c r="AB2046" s="380" t="str">
        <f>VLOOKUP($B2046,'D7 - NDB Impacted SPRF''s'!$E$6:$O$9929,4,FALSE)</f>
        <v>Completed</v>
      </c>
      <c r="AC2046" s="380" t="str">
        <f>VLOOKUP($B2046,'D7 - NDB Impacted SPRF''s'!$E$6:$O$9929,3,FALSE)</f>
        <v>UnitedHealthcare Community &amp; State</v>
      </c>
      <c r="AD2046" s="380" t="str">
        <f>VLOOKUP($B2046,'D7 - NDB Impacted SPRF''s'!$E$6:$O$9929,5,FALSE)</f>
        <v>AmeriChoice</v>
      </c>
      <c r="AE2046" s="380" t="str">
        <f>VLOOKUP($B2046,'D7 - NDB Impacted SPRF''s'!$E$6:$O$9929,7,FALSE)</f>
        <v>Paul Balthazor</v>
      </c>
      <c r="AF2046" s="380" t="str">
        <f>VLOOKUP($B2046,'D7 - NDB Impacted SPRF''s'!$E$6:$O$9929,6,FALSE)</f>
        <v>JOSEPH TISCHIO</v>
      </c>
      <c r="AG2046" s="282"/>
      <c r="AH2046" s="311" t="e">
        <f>INDEX('D5 - Gatekeeper - Projects'!$A$4:$AF$1010,$AM2046, 17)</f>
        <v>#N/A</v>
      </c>
      <c r="AI2046" s="8"/>
      <c r="AJ2046" s="57"/>
      <c r="AK2046" s="105"/>
      <c r="AM2046" s="6" t="e">
        <f>MATCH(D2046,'D5 - Gatekeeper - Projects'!$C$4:$C$1010,0)</f>
        <v>#N/A</v>
      </c>
      <c r="AN2046" s="6" t="b">
        <f t="shared" si="214"/>
        <v>1</v>
      </c>
      <c r="AO2046" s="6" t="str">
        <f t="shared" si="215"/>
        <v>OK</v>
      </c>
      <c r="AQ2046" s="6" t="e">
        <f>MATCH($D2046,'D4 - Provider Council Unsched'!$C$11:$C$234,0)</f>
        <v>#N/A</v>
      </c>
      <c r="AR2046" s="6" t="b">
        <f t="shared" si="216"/>
        <v>1</v>
      </c>
      <c r="AS2046" s="6" t="str">
        <f t="shared" si="220"/>
        <v>OK</v>
      </c>
      <c r="AU2046" s="202"/>
      <c r="AV2046" s="262"/>
      <c r="AW2046" s="274"/>
    </row>
    <row r="2047" spans="1:49" s="13" customFormat="1" ht="33.75" x14ac:dyDescent="0.2">
      <c r="A2047" s="14">
        <v>2023</v>
      </c>
      <c r="B2047" s="8">
        <v>400039753</v>
      </c>
      <c r="C2047" s="8" t="s">
        <v>1447</v>
      </c>
      <c r="D2047" s="4" t="str">
        <f t="shared" si="219"/>
        <v>400039753A</v>
      </c>
      <c r="E2047" s="309" t="str">
        <f>VLOOKUP($B2047,'D7 - NDB Impacted SPRF''s'!$E$6:$O$9929,2,FALSE)</f>
        <v>AmeriChoice Project 1014 to be used for funding.</v>
      </c>
      <c r="F2047" s="8"/>
      <c r="G2047" s="8" t="s">
        <v>4758</v>
      </c>
      <c r="H2047" s="8" t="s">
        <v>4246</v>
      </c>
      <c r="I2047" s="20"/>
      <c r="J2047" s="8"/>
      <c r="K2047" s="182"/>
      <c r="L2047" s="8" t="s">
        <v>4156</v>
      </c>
      <c r="M2047" s="8" t="s">
        <v>2814</v>
      </c>
      <c r="N2047" s="38"/>
      <c r="O2047" s="8"/>
      <c r="P2047" s="4" t="str">
        <f>VLOOKUP($B2047,'D7 - NDB Impacted SPRF''s'!$E$16:$O$9929,9,FALSE)</f>
        <v>N</v>
      </c>
      <c r="Q2047" s="4" t="str">
        <f>VLOOKUP($B2047,'D7 - NDB Impacted SPRF''s'!$E$16:$O$9929,10,FALSE)</f>
        <v>N</v>
      </c>
      <c r="R2047" s="4" t="str">
        <f>VLOOKUP($B2047,'D7 - NDB Impacted SPRF''s'!$E$16:$O$9929,11,FALSE)</f>
        <v>N</v>
      </c>
      <c r="S2047" s="8"/>
      <c r="T2047" s="310"/>
      <c r="U2047" s="310"/>
      <c r="V2047" s="4"/>
      <c r="W2047" s="4"/>
      <c r="X2047" s="4"/>
      <c r="Y2047" s="4"/>
      <c r="Z2047" s="4"/>
      <c r="AA2047" s="4"/>
      <c r="AB2047" s="380" t="str">
        <f>VLOOKUP($B2047,'D7 - NDB Impacted SPRF''s'!$E$6:$O$9929,4,FALSE)</f>
        <v>Completed</v>
      </c>
      <c r="AC2047" s="380" t="str">
        <f>VLOOKUP($B2047,'D7 - NDB Impacted SPRF''s'!$E$6:$O$9929,3,FALSE)</f>
        <v>UnitedHealthcare Community &amp; State</v>
      </c>
      <c r="AD2047" s="380" t="str">
        <f>VLOOKUP($B2047,'D7 - NDB Impacted SPRF''s'!$E$6:$O$9929,5,FALSE)</f>
        <v>AmeriChoice</v>
      </c>
      <c r="AE2047" s="380" t="str">
        <f>VLOOKUP($B2047,'D7 - NDB Impacted SPRF''s'!$E$6:$O$9929,7,FALSE)</f>
        <v>Matthew Wazny</v>
      </c>
      <c r="AF2047" s="380" t="str">
        <f>VLOOKUP($B2047,'D7 - NDB Impacted SPRF''s'!$E$6:$O$9929,6,FALSE)</f>
        <v>Matthew Wazny</v>
      </c>
      <c r="AG2047" s="282"/>
      <c r="AH2047" s="311" t="e">
        <f>INDEX('D5 - Gatekeeper - Projects'!$A$4:$AF$1010,$AM2047, 17)</f>
        <v>#N/A</v>
      </c>
      <c r="AI2047" s="8"/>
      <c r="AJ2047" s="57"/>
      <c r="AK2047" s="105"/>
      <c r="AM2047" s="6" t="e">
        <f>MATCH(D2047,'D5 - Gatekeeper - Projects'!$C$4:$C$1010,0)</f>
        <v>#N/A</v>
      </c>
      <c r="AN2047" s="6" t="b">
        <f t="shared" si="214"/>
        <v>1</v>
      </c>
      <c r="AO2047" s="6" t="str">
        <f t="shared" si="215"/>
        <v>OK</v>
      </c>
      <c r="AQ2047" s="6" t="e">
        <f>MATCH($D2047,'D4 - Provider Council Unsched'!$C$11:$C$234,0)</f>
        <v>#N/A</v>
      </c>
      <c r="AR2047" s="6" t="b">
        <f t="shared" si="216"/>
        <v>1</v>
      </c>
      <c r="AS2047" s="6" t="str">
        <f t="shared" si="220"/>
        <v>OK</v>
      </c>
      <c r="AU2047" s="202"/>
      <c r="AV2047" s="262"/>
      <c r="AW2047" s="274"/>
    </row>
    <row r="2048" spans="1:49" s="13" customFormat="1" ht="33.75" x14ac:dyDescent="0.2">
      <c r="A2048" s="14">
        <v>2024</v>
      </c>
      <c r="B2048" s="8">
        <v>400039913</v>
      </c>
      <c r="C2048" s="8" t="s">
        <v>1447</v>
      </c>
      <c r="D2048" s="4" t="str">
        <f t="shared" si="219"/>
        <v>400039913A</v>
      </c>
      <c r="E2048" s="309" t="str">
        <f>VLOOKUP($B2048,'D7 - NDB Impacted SPRF''s'!$E$6:$O$9929,2,FALSE)</f>
        <v>Enterprise ICD10 Program:  Requirements Phase</v>
      </c>
      <c r="F2048" s="8"/>
      <c r="G2048" s="8" t="s">
        <v>4758</v>
      </c>
      <c r="H2048" s="8" t="s">
        <v>4246</v>
      </c>
      <c r="I2048" s="20"/>
      <c r="J2048" s="8"/>
      <c r="K2048" s="182"/>
      <c r="L2048" s="8" t="s">
        <v>4156</v>
      </c>
      <c r="M2048" s="8" t="s">
        <v>2814</v>
      </c>
      <c r="N2048" s="38" t="s">
        <v>1186</v>
      </c>
      <c r="O2048" s="8"/>
      <c r="P2048" s="4" t="str">
        <f>VLOOKUP($B2048,'D7 - NDB Impacted SPRF''s'!$E$16:$O$9929,9,FALSE)</f>
        <v>Y</v>
      </c>
      <c r="Q2048" s="4" t="str">
        <f>VLOOKUP($B2048,'D7 - NDB Impacted SPRF''s'!$E$16:$O$9929,10,FALSE)</f>
        <v>N</v>
      </c>
      <c r="R2048" s="4" t="str">
        <f>VLOOKUP($B2048,'D7 - NDB Impacted SPRF''s'!$E$16:$O$9929,11,FALSE)</f>
        <v>Y</v>
      </c>
      <c r="S2048" s="8"/>
      <c r="T2048" s="310"/>
      <c r="U2048" s="310"/>
      <c r="V2048" s="4"/>
      <c r="W2048" s="4"/>
      <c r="X2048" s="4"/>
      <c r="Y2048" s="4"/>
      <c r="Z2048" s="4"/>
      <c r="AA2048" s="4"/>
      <c r="AB2048" s="380" t="str">
        <f>VLOOKUP($B2048,'D7 - NDB Impacted SPRF''s'!$E$6:$O$9929,4,FALSE)</f>
        <v>Completed</v>
      </c>
      <c r="AC2048" s="380" t="str">
        <f>VLOOKUP($B2048,'D7 - NDB Impacted SPRF''s'!$E$6:$O$9929,3,FALSE)</f>
        <v>UnitedHealthcare Employer &amp; Individual</v>
      </c>
      <c r="AD2048" s="380" t="str">
        <f>VLOOKUP($B2048,'D7 - NDB Impacted SPRF''s'!$E$6:$O$9929,5,FALSE)</f>
        <v>Regulatory / Other</v>
      </c>
      <c r="AE2048" s="380" t="str">
        <f>VLOOKUP($B2048,'D7 - NDB Impacted SPRF''s'!$E$6:$O$9929,7,FALSE)</f>
        <v>Tim Kaja</v>
      </c>
      <c r="AF2048" s="380" t="str">
        <f>VLOOKUP($B2048,'D7 - NDB Impacted SPRF''s'!$E$6:$O$9929,6,FALSE)</f>
        <v>Janice Wallace</v>
      </c>
      <c r="AG2048" s="282"/>
      <c r="AH2048" s="311" t="e">
        <f>INDEX('D5 - Gatekeeper - Projects'!$A$4:$AF$1010,$AM2048, 17)</f>
        <v>#N/A</v>
      </c>
      <c r="AI2048" s="8"/>
      <c r="AJ2048" s="57"/>
      <c r="AK2048" s="105"/>
      <c r="AM2048" s="6" t="e">
        <f>MATCH(D2048,'D5 - Gatekeeper - Projects'!$C$4:$C$1010,0)</f>
        <v>#N/A</v>
      </c>
      <c r="AN2048" s="6" t="b">
        <f t="shared" si="214"/>
        <v>1</v>
      </c>
      <c r="AO2048" s="6" t="str">
        <f t="shared" si="215"/>
        <v>OK</v>
      </c>
      <c r="AQ2048" s="6" t="e">
        <f>MATCH($D2048,'D4 - Provider Council Unsched'!$C$11:$C$234,0)</f>
        <v>#N/A</v>
      </c>
      <c r="AR2048" s="6" t="b">
        <f t="shared" si="216"/>
        <v>1</v>
      </c>
      <c r="AS2048" s="6" t="str">
        <f t="shared" si="220"/>
        <v>OK</v>
      </c>
      <c r="AU2048" s="202"/>
      <c r="AV2048" s="262"/>
      <c r="AW2048" s="274"/>
    </row>
    <row r="2049" spans="1:49" s="13" customFormat="1" ht="33.75" x14ac:dyDescent="0.2">
      <c r="A2049" s="14">
        <v>2025</v>
      </c>
      <c r="B2049" s="8">
        <v>400039957</v>
      </c>
      <c r="C2049" s="8" t="s">
        <v>1447</v>
      </c>
      <c r="D2049" s="4" t="str">
        <f t="shared" si="219"/>
        <v>400039957A</v>
      </c>
      <c r="E2049" s="309" t="str">
        <f>VLOOKUP($B2049,'D7 - NDB Impacted SPRF''s'!$E$6:$O$9929,2,FALSE)</f>
        <v>Enterprise ICD10 Program Field Expansion</v>
      </c>
      <c r="F2049" s="8"/>
      <c r="G2049" s="8" t="s">
        <v>4758</v>
      </c>
      <c r="H2049" s="8" t="s">
        <v>4246</v>
      </c>
      <c r="I2049" s="20"/>
      <c r="J2049" s="8"/>
      <c r="K2049" s="182"/>
      <c r="L2049" s="8" t="s">
        <v>4156</v>
      </c>
      <c r="M2049" s="8" t="s">
        <v>2814</v>
      </c>
      <c r="N2049" s="38" t="s">
        <v>5265</v>
      </c>
      <c r="O2049" s="8"/>
      <c r="P2049" s="4" t="str">
        <f>VLOOKUP($B2049,'D7 - NDB Impacted SPRF''s'!$E$16:$O$9929,9,FALSE)</f>
        <v>Y</v>
      </c>
      <c r="Q2049" s="4" t="str">
        <f>VLOOKUP($B2049,'D7 - NDB Impacted SPRF''s'!$E$16:$O$9929,10,FALSE)</f>
        <v>N</v>
      </c>
      <c r="R2049" s="4" t="str">
        <f>VLOOKUP($B2049,'D7 - NDB Impacted SPRF''s'!$E$16:$O$9929,11,FALSE)</f>
        <v>Y</v>
      </c>
      <c r="S2049" s="8"/>
      <c r="T2049" s="310"/>
      <c r="U2049" s="310"/>
      <c r="V2049" s="4"/>
      <c r="W2049" s="4"/>
      <c r="X2049" s="4"/>
      <c r="Y2049" s="4"/>
      <c r="Z2049" s="4"/>
      <c r="AA2049" s="4"/>
      <c r="AB2049" s="380" t="str">
        <f>VLOOKUP($B2049,'D7 - NDB Impacted SPRF''s'!$E$6:$O$9929,4,FALSE)</f>
        <v>Completed</v>
      </c>
      <c r="AC2049" s="380" t="str">
        <f>VLOOKUP($B2049,'D7 - NDB Impacted SPRF''s'!$E$6:$O$9929,3,FALSE)</f>
        <v>UnitedHealthcare Employer &amp; Individual</v>
      </c>
      <c r="AD2049" s="380" t="str">
        <f>VLOOKUP($B2049,'D7 - NDB Impacted SPRF''s'!$E$6:$O$9929,5,FALSE)</f>
        <v>Regulatory / Other</v>
      </c>
      <c r="AE2049" s="380" t="str">
        <f>VLOOKUP($B2049,'D7 - NDB Impacted SPRF''s'!$E$6:$O$9929,7,FALSE)</f>
        <v>Tim Kaja</v>
      </c>
      <c r="AF2049" s="380" t="str">
        <f>VLOOKUP($B2049,'D7 - NDB Impacted SPRF''s'!$E$6:$O$9929,6,FALSE)</f>
        <v>Janice Wallace</v>
      </c>
      <c r="AG2049" s="282"/>
      <c r="AH2049" s="311" t="e">
        <f>INDEX('D5 - Gatekeeper - Projects'!$A$4:$AF$1010,$AM2049, 17)</f>
        <v>#N/A</v>
      </c>
      <c r="AI2049" s="8"/>
      <c r="AJ2049" s="57"/>
      <c r="AK2049" s="105"/>
      <c r="AM2049" s="6" t="e">
        <f>MATCH(D2049,'D5 - Gatekeeper - Projects'!$C$4:$C$1010,0)</f>
        <v>#N/A</v>
      </c>
      <c r="AN2049" s="6" t="b">
        <f t="shared" si="214"/>
        <v>1</v>
      </c>
      <c r="AO2049" s="6" t="str">
        <f t="shared" si="215"/>
        <v>OK</v>
      </c>
      <c r="AQ2049" s="6" t="e">
        <f>MATCH($D2049,'D4 - Provider Council Unsched'!$C$11:$C$234,0)</f>
        <v>#N/A</v>
      </c>
      <c r="AR2049" s="6" t="b">
        <f t="shared" si="216"/>
        <v>1</v>
      </c>
      <c r="AS2049" s="6" t="str">
        <f t="shared" si="220"/>
        <v>OK</v>
      </c>
      <c r="AU2049" s="202"/>
      <c r="AV2049" s="262"/>
      <c r="AW2049" s="274"/>
    </row>
    <row r="2050" spans="1:49" s="13" customFormat="1" ht="33.75" x14ac:dyDescent="0.2">
      <c r="A2050" s="14">
        <v>2026</v>
      </c>
      <c r="B2050" s="8">
        <v>400040404</v>
      </c>
      <c r="C2050" s="8" t="s">
        <v>1447</v>
      </c>
      <c r="D2050" s="4" t="str">
        <f t="shared" si="219"/>
        <v>400040404A</v>
      </c>
      <c r="E2050" s="309" t="str">
        <f>VLOOKUP($B2050,'D7 - NDB Impacted SPRF''s'!$E$6:$O$9929,2,FALSE)</f>
        <v>Ovations dedicated Test Environment in COSMOS</v>
      </c>
      <c r="F2050" s="8"/>
      <c r="G2050" s="8" t="s">
        <v>4758</v>
      </c>
      <c r="H2050" s="8" t="s">
        <v>4246</v>
      </c>
      <c r="I2050" s="20"/>
      <c r="J2050" s="8"/>
      <c r="K2050" s="182"/>
      <c r="L2050" s="8" t="s">
        <v>4156</v>
      </c>
      <c r="M2050" s="8" t="s">
        <v>2814</v>
      </c>
      <c r="N2050" s="38" t="s">
        <v>4296</v>
      </c>
      <c r="O2050" s="8"/>
      <c r="P2050" s="4" t="str">
        <f>VLOOKUP($B2050,'D7 - NDB Impacted SPRF''s'!$E$16:$O$9929,9,FALSE)</f>
        <v>N</v>
      </c>
      <c r="Q2050" s="4" t="str">
        <f>VLOOKUP($B2050,'D7 - NDB Impacted SPRF''s'!$E$16:$O$9929,10,FALSE)</f>
        <v>N</v>
      </c>
      <c r="R2050" s="4" t="str">
        <f>VLOOKUP($B2050,'D7 - NDB Impacted SPRF''s'!$E$16:$O$9929,11,FALSE)</f>
        <v>N</v>
      </c>
      <c r="S2050" s="8"/>
      <c r="T2050" s="310"/>
      <c r="U2050" s="310"/>
      <c r="V2050" s="4"/>
      <c r="W2050" s="4"/>
      <c r="X2050" s="4"/>
      <c r="Y2050" s="4"/>
      <c r="Z2050" s="4"/>
      <c r="AA2050" s="4"/>
      <c r="AB2050" s="380" t="str">
        <f>VLOOKUP($B2050,'D7 - NDB Impacted SPRF''s'!$E$6:$O$9929,4,FALSE)</f>
        <v>Completed</v>
      </c>
      <c r="AC2050" s="380" t="str">
        <f>VLOOKUP($B2050,'D7 - NDB Impacted SPRF''s'!$E$6:$O$9929,3,FALSE)</f>
        <v>UnitedHealthcare Medicare &amp; Retirement</v>
      </c>
      <c r="AD2050" s="380" t="str">
        <f>VLOOKUP($B2050,'D7 - NDB Impacted SPRF''s'!$E$6:$O$9929,5,FALSE)</f>
        <v>Benefit Admin</v>
      </c>
      <c r="AE2050" s="380" t="str">
        <f>VLOOKUP($B2050,'D7 - NDB Impacted SPRF''s'!$E$6:$O$9929,7,FALSE)</f>
        <v>Harry Holmberg</v>
      </c>
      <c r="AF2050" s="380" t="str">
        <f>VLOOKUP($B2050,'D7 - NDB Impacted SPRF''s'!$E$6:$O$9929,6,FALSE)</f>
        <v>Jessica Tattersall</v>
      </c>
      <c r="AG2050" s="282"/>
      <c r="AH2050" s="311" t="e">
        <f>INDEX('D5 - Gatekeeper - Projects'!$A$4:$AF$1010,$AM2050, 17)</f>
        <v>#N/A</v>
      </c>
      <c r="AI2050" s="8"/>
      <c r="AJ2050" s="57"/>
      <c r="AK2050" s="105"/>
      <c r="AM2050" s="6" t="e">
        <f>MATCH(D2050,'D5 - Gatekeeper - Projects'!$C$4:$C$1010,0)</f>
        <v>#N/A</v>
      </c>
      <c r="AN2050" s="6" t="b">
        <f t="shared" si="214"/>
        <v>1</v>
      </c>
      <c r="AO2050" s="6" t="str">
        <f t="shared" si="215"/>
        <v>OK</v>
      </c>
      <c r="AQ2050" s="6" t="e">
        <f>MATCH($D2050,'D4 - Provider Council Unsched'!$C$11:$C$234,0)</f>
        <v>#N/A</v>
      </c>
      <c r="AR2050" s="6" t="b">
        <f t="shared" si="216"/>
        <v>1</v>
      </c>
      <c r="AS2050" s="6" t="str">
        <f t="shared" si="220"/>
        <v>OK</v>
      </c>
      <c r="AU2050" s="202"/>
      <c r="AV2050" s="262"/>
      <c r="AW2050" s="274"/>
    </row>
    <row r="2051" spans="1:49" s="13" customFormat="1" ht="33.75" x14ac:dyDescent="0.2">
      <c r="A2051" s="14">
        <v>2027</v>
      </c>
      <c r="B2051" s="8">
        <v>400041065</v>
      </c>
      <c r="C2051" s="8" t="s">
        <v>1447</v>
      </c>
      <c r="D2051" s="4" t="str">
        <f t="shared" si="219"/>
        <v>400041065A</v>
      </c>
      <c r="E2051" s="309" t="str">
        <f>VLOOKUP($B2051,'D7 - NDB Impacted SPRF''s'!$E$6:$O$9929,2,FALSE)</f>
        <v>HIPAA 278 Transaction Set</v>
      </c>
      <c r="F2051" s="8"/>
      <c r="G2051" s="8" t="s">
        <v>4758</v>
      </c>
      <c r="H2051" s="8" t="s">
        <v>4246</v>
      </c>
      <c r="I2051" s="20"/>
      <c r="J2051" s="8"/>
      <c r="K2051" s="182"/>
      <c r="L2051" s="8" t="s">
        <v>4156</v>
      </c>
      <c r="M2051" s="8" t="s">
        <v>2814</v>
      </c>
      <c r="N2051" s="38" t="s">
        <v>9458</v>
      </c>
      <c r="O2051" s="8"/>
      <c r="P2051" s="4" t="str">
        <f>VLOOKUP($B2051,'D7 - NDB Impacted SPRF''s'!$E$16:$O$9929,9,FALSE)</f>
        <v>N</v>
      </c>
      <c r="Q2051" s="4" t="str">
        <f>VLOOKUP($B2051,'D7 - NDB Impacted SPRF''s'!$E$16:$O$9929,10,FALSE)</f>
        <v>N</v>
      </c>
      <c r="R2051" s="4" t="str">
        <f>VLOOKUP($B2051,'D7 - NDB Impacted SPRF''s'!$E$16:$O$9929,11,FALSE)</f>
        <v>N</v>
      </c>
      <c r="S2051" s="8"/>
      <c r="T2051" s="310"/>
      <c r="U2051" s="310"/>
      <c r="V2051" s="4"/>
      <c r="W2051" s="4"/>
      <c r="X2051" s="4"/>
      <c r="Y2051" s="4"/>
      <c r="Z2051" s="4"/>
      <c r="AA2051" s="4"/>
      <c r="AB2051" s="380" t="str">
        <f>VLOOKUP($B2051,'D7 - NDB Impacted SPRF''s'!$E$6:$O$9929,4,FALSE)</f>
        <v>Completed</v>
      </c>
      <c r="AC2051" s="380" t="str">
        <f>VLOOKUP($B2051,'D7 - NDB Impacted SPRF''s'!$E$6:$O$9929,3,FALSE)</f>
        <v>UnitedHealthcare Community &amp; State</v>
      </c>
      <c r="AD2051" s="380" t="str">
        <f>VLOOKUP($B2051,'D7 - NDB Impacted SPRF''s'!$E$6:$O$9929,5,FALSE)</f>
        <v>Membership Growth / Revenue Programs</v>
      </c>
      <c r="AE2051" s="380" t="str">
        <f>VLOOKUP($B2051,'D7 - NDB Impacted SPRF''s'!$E$6:$O$9929,7,FALSE)</f>
        <v>Rodney Armstead</v>
      </c>
      <c r="AF2051" s="380" t="str">
        <f>VLOOKUP($B2051,'D7 - NDB Impacted SPRF''s'!$E$6:$O$9929,6,FALSE)</f>
        <v>Carol Brunetti</v>
      </c>
      <c r="AG2051" s="282"/>
      <c r="AH2051" s="311" t="e">
        <f>INDEX('D5 - Gatekeeper - Projects'!$A$4:$AF$1010,$AM2051, 17)</f>
        <v>#N/A</v>
      </c>
      <c r="AI2051" s="8"/>
      <c r="AJ2051" s="57"/>
      <c r="AK2051" s="105"/>
      <c r="AM2051" s="6" t="e">
        <f>MATCH(D2051,'D5 - Gatekeeper - Projects'!$C$4:$C$1010,0)</f>
        <v>#N/A</v>
      </c>
      <c r="AN2051" s="6" t="b">
        <f t="shared" si="214"/>
        <v>1</v>
      </c>
      <c r="AO2051" s="6" t="str">
        <f t="shared" si="215"/>
        <v>OK</v>
      </c>
      <c r="AQ2051" s="6" t="e">
        <f>MATCH($D2051,'D4 - Provider Council Unsched'!$C$11:$C$234,0)</f>
        <v>#N/A</v>
      </c>
      <c r="AR2051" s="6" t="b">
        <f t="shared" si="216"/>
        <v>1</v>
      </c>
      <c r="AS2051" s="6" t="str">
        <f t="shared" si="220"/>
        <v>OK</v>
      </c>
      <c r="AU2051" s="202"/>
      <c r="AV2051" s="394" t="s">
        <v>34</v>
      </c>
      <c r="AW2051" s="274"/>
    </row>
    <row r="2052" spans="1:49" s="13" customFormat="1" ht="33.75" x14ac:dyDescent="0.2">
      <c r="A2052" s="14">
        <v>2028</v>
      </c>
      <c r="B2052" s="8">
        <v>400041480</v>
      </c>
      <c r="C2052" s="8" t="s">
        <v>1447</v>
      </c>
      <c r="D2052" s="4" t="str">
        <f t="shared" si="219"/>
        <v>400041480A</v>
      </c>
      <c r="E2052" s="309" t="str">
        <f>VLOOKUP($B2052,'D7 - NDB Impacted SPRF''s'!$E$6:$O$9929,2,FALSE)</f>
        <v>Medica ISET Q3 Project</v>
      </c>
      <c r="F2052" s="8"/>
      <c r="G2052" s="8" t="s">
        <v>4758</v>
      </c>
      <c r="H2052" s="8" t="s">
        <v>4246</v>
      </c>
      <c r="I2052" s="20"/>
      <c r="J2052" s="8"/>
      <c r="K2052" s="182"/>
      <c r="L2052" s="8" t="s">
        <v>4156</v>
      </c>
      <c r="M2052" s="8" t="s">
        <v>2814</v>
      </c>
      <c r="N2052" s="38"/>
      <c r="O2052" s="8"/>
      <c r="P2052" s="4" t="str">
        <f>VLOOKUP($B2052,'D7 - NDB Impacted SPRF''s'!$E$16:$O$9929,9,FALSE)</f>
        <v>Y</v>
      </c>
      <c r="Q2052" s="4" t="str">
        <f>VLOOKUP($B2052,'D7 - NDB Impacted SPRF''s'!$E$16:$O$9929,10,FALSE)</f>
        <v>N</v>
      </c>
      <c r="R2052" s="4" t="str">
        <f>VLOOKUP($B2052,'D7 - NDB Impacted SPRF''s'!$E$16:$O$9929,11,FALSE)</f>
        <v>N</v>
      </c>
      <c r="S2052" s="8"/>
      <c r="T2052" s="310"/>
      <c r="U2052" s="310"/>
      <c r="V2052" s="4"/>
      <c r="W2052" s="4"/>
      <c r="X2052" s="4"/>
      <c r="Y2052" s="4"/>
      <c r="Z2052" s="4"/>
      <c r="AA2052" s="4"/>
      <c r="AB2052" s="380" t="str">
        <f>VLOOKUP($B2052,'D7 - NDB Impacted SPRF''s'!$E$6:$O$9929,4,FALSE)</f>
        <v>Completed</v>
      </c>
      <c r="AC2052" s="380" t="str">
        <f>VLOOKUP($B2052,'D7 - NDB Impacted SPRF''s'!$E$6:$O$9929,3,FALSE)</f>
        <v>UnitedHealthcare Employer &amp; Individual</v>
      </c>
      <c r="AD2052" s="380" t="str">
        <f>VLOOKUP($B2052,'D7 - NDB Impacted SPRF''s'!$E$6:$O$9929,5,FALSE)</f>
        <v>HCA - Operational Requirements</v>
      </c>
      <c r="AE2052" s="380" t="str">
        <f>VLOOKUP($B2052,'D7 - NDB Impacted SPRF''s'!$E$6:$O$9929,7,FALSE)</f>
        <v>Robyn Athmann</v>
      </c>
      <c r="AF2052" s="380" t="str">
        <f>VLOOKUP($B2052,'D7 - NDB Impacted SPRF''s'!$E$6:$O$9929,6,FALSE)</f>
        <v>KRISTYN EIRING</v>
      </c>
      <c r="AG2052" s="282"/>
      <c r="AH2052" s="311" t="e">
        <f>INDEX('D5 - Gatekeeper - Projects'!$A$4:$AF$1010,$AM2052, 17)</f>
        <v>#N/A</v>
      </c>
      <c r="AI2052" s="8"/>
      <c r="AJ2052" s="57"/>
      <c r="AK2052" s="105"/>
      <c r="AM2052" s="6" t="e">
        <f>MATCH(D2052,'D5 - Gatekeeper - Projects'!$C$4:$C$1010,0)</f>
        <v>#N/A</v>
      </c>
      <c r="AN2052" s="6" t="b">
        <f t="shared" si="214"/>
        <v>1</v>
      </c>
      <c r="AO2052" s="6" t="str">
        <f t="shared" si="215"/>
        <v>OK</v>
      </c>
      <c r="AQ2052" s="6" t="e">
        <f>MATCH($D2052,'D4 - Provider Council Unsched'!$C$11:$C$234,0)</f>
        <v>#N/A</v>
      </c>
      <c r="AR2052" s="6" t="b">
        <f t="shared" si="216"/>
        <v>1</v>
      </c>
      <c r="AS2052" s="6" t="str">
        <f t="shared" si="220"/>
        <v>OK</v>
      </c>
      <c r="AU2052" s="202"/>
      <c r="AV2052" s="262"/>
      <c r="AW2052" s="274"/>
    </row>
    <row r="2053" spans="1:49" s="13" customFormat="1" ht="67.5" x14ac:dyDescent="0.2">
      <c r="A2053" s="14">
        <v>2029</v>
      </c>
      <c r="B2053" s="8">
        <v>400042795</v>
      </c>
      <c r="C2053" s="8" t="s">
        <v>1196</v>
      </c>
      <c r="D2053" s="4" t="str">
        <f t="shared" si="219"/>
        <v>400042795F</v>
      </c>
      <c r="E2053" s="309" t="str">
        <f>VLOOKUP($B2053,'D7 - NDB Impacted SPRF''s'!$E$6:$O$9929,2,FALSE)</f>
        <v>PDR - EVC Fee Schedule Migration to NDB</v>
      </c>
      <c r="F2053" s="8"/>
      <c r="G2053" s="8" t="s">
        <v>4758</v>
      </c>
      <c r="H2053" s="8" t="s">
        <v>4246</v>
      </c>
      <c r="I2053" s="20">
        <v>6.56</v>
      </c>
      <c r="J2053" s="8" t="s">
        <v>4862</v>
      </c>
      <c r="K2053" s="182"/>
      <c r="L2053" s="8" t="s">
        <v>4156</v>
      </c>
      <c r="M2053" s="8" t="s">
        <v>2814</v>
      </c>
      <c r="N2053" s="38" t="s">
        <v>173</v>
      </c>
      <c r="O2053" s="8"/>
      <c r="P2053" s="4" t="str">
        <f>VLOOKUP($B2053,'D7 - NDB Impacted SPRF''s'!$E$16:$O$9929,9,FALSE)</f>
        <v>N</v>
      </c>
      <c r="Q2053" s="4" t="str">
        <f>VLOOKUP($B2053,'D7 - NDB Impacted SPRF''s'!$E$16:$O$9929,10,FALSE)</f>
        <v>N</v>
      </c>
      <c r="R2053" s="4" t="str">
        <f>VLOOKUP($B2053,'D7 - NDB Impacted SPRF''s'!$E$16:$O$9929,11,FALSE)</f>
        <v>Y</v>
      </c>
      <c r="S2053" s="8"/>
      <c r="T2053" s="310"/>
      <c r="U2053" s="310"/>
      <c r="V2053" s="4"/>
      <c r="W2053" s="4"/>
      <c r="X2053" s="4"/>
      <c r="Y2053" s="4"/>
      <c r="Z2053" s="4"/>
      <c r="AA2053" s="4"/>
      <c r="AB2053" s="380" t="str">
        <f>VLOOKUP($B2053,'D7 - NDB Impacted SPRF''s'!$E$6:$O$9929,4,FALSE)</f>
        <v>Completed</v>
      </c>
      <c r="AC2053" s="380" t="s">
        <v>5324</v>
      </c>
      <c r="AD2053" s="380" t="str">
        <f>VLOOKUP($B2053,'D7 - NDB Impacted SPRF''s'!$E$6:$O$9929,5,FALSE)</f>
        <v>Strategic Initiatives</v>
      </c>
      <c r="AE2053" s="380" t="str">
        <f>VLOOKUP($B2053,'D7 - NDB Impacted SPRF''s'!$E$6:$O$9929,7,FALSE)</f>
        <v>Wichmann</v>
      </c>
      <c r="AF2053" s="380" t="str">
        <f>VLOOKUP($B2053,'D7 - NDB Impacted SPRF''s'!$E$6:$O$9929,6,FALSE)</f>
        <v>Joshua Ely</v>
      </c>
      <c r="AG2053" s="282"/>
      <c r="AH2053" s="311" t="e">
        <f>INDEX('D5 - Gatekeeper - Projects'!$A$4:$AF$1010,$AM2053, 17)</f>
        <v>#N/A</v>
      </c>
      <c r="AI2053" s="8"/>
      <c r="AJ2053" s="57"/>
      <c r="AK2053" s="105"/>
      <c r="AM2053" s="6" t="e">
        <f>MATCH(D2053,'D5 - Gatekeeper - Projects'!$C$4:$C$1010,0)</f>
        <v>#N/A</v>
      </c>
      <c r="AN2053" s="6" t="b">
        <f t="shared" si="214"/>
        <v>1</v>
      </c>
      <c r="AO2053" s="6" t="str">
        <f t="shared" si="215"/>
        <v>OK</v>
      </c>
      <c r="AQ2053" s="6" t="e">
        <f>MATCH($D2053,'D4 - Provider Council Unsched'!$C$11:$C$234,0)</f>
        <v>#N/A</v>
      </c>
      <c r="AR2053" s="6" t="b">
        <f t="shared" si="216"/>
        <v>1</v>
      </c>
      <c r="AS2053" s="6" t="str">
        <f t="shared" si="220"/>
        <v>OK</v>
      </c>
      <c r="AU2053" s="202">
        <v>40777</v>
      </c>
      <c r="AV2053" s="262"/>
      <c r="AW2053" s="274"/>
    </row>
    <row r="2054" spans="1:49" s="13" customFormat="1" ht="45" x14ac:dyDescent="0.2">
      <c r="A2054" s="14">
        <v>2030</v>
      </c>
      <c r="B2054" s="8">
        <v>400043122</v>
      </c>
      <c r="C2054" s="8" t="s">
        <v>1447</v>
      </c>
      <c r="D2054" s="4" t="str">
        <f t="shared" si="219"/>
        <v>400043122A</v>
      </c>
      <c r="E2054" s="309" t="str">
        <f>VLOOKUP($B2054,'D7 - NDB Impacted SPRF''s'!$E$6:$O$9929,2,FALSE)</f>
        <v>Phase 1 XGEN To COBOL</v>
      </c>
      <c r="F2054" s="8"/>
      <c r="G2054" s="8" t="s">
        <v>4758</v>
      </c>
      <c r="H2054" s="8" t="s">
        <v>4246</v>
      </c>
      <c r="I2054" s="20"/>
      <c r="J2054" s="8"/>
      <c r="K2054" s="182"/>
      <c r="L2054" s="8" t="s">
        <v>4156</v>
      </c>
      <c r="M2054" s="8" t="s">
        <v>2814</v>
      </c>
      <c r="N2054" s="38" t="s">
        <v>2159</v>
      </c>
      <c r="O2054" s="8"/>
      <c r="P2054" s="4" t="str">
        <f>VLOOKUP($B2054,'D7 - NDB Impacted SPRF''s'!$E$16:$O$9929,9,FALSE)</f>
        <v>N</v>
      </c>
      <c r="Q2054" s="4" t="str">
        <f>VLOOKUP($B2054,'D7 - NDB Impacted SPRF''s'!$E$16:$O$9929,10,FALSE)</f>
        <v>N</v>
      </c>
      <c r="R2054" s="4" t="str">
        <f>VLOOKUP($B2054,'D7 - NDB Impacted SPRF''s'!$E$16:$O$9929,11,FALSE)</f>
        <v>N</v>
      </c>
      <c r="S2054" s="8"/>
      <c r="T2054" s="310"/>
      <c r="U2054" s="310"/>
      <c r="V2054" s="4"/>
      <c r="W2054" s="4"/>
      <c r="X2054" s="4"/>
      <c r="Y2054" s="4"/>
      <c r="Z2054" s="4"/>
      <c r="AA2054" s="4"/>
      <c r="AB2054" s="380" t="str">
        <f>VLOOKUP($B2054,'D7 - NDB Impacted SPRF''s'!$E$6:$O$9929,4,FALSE)</f>
        <v>Completed</v>
      </c>
      <c r="AC2054" s="380" t="str">
        <f>VLOOKUP($B2054,'D7 - NDB Impacted SPRF''s'!$E$6:$O$9929,3,FALSE)</f>
        <v>UHG IT - Enterprise Technology Services</v>
      </c>
      <c r="AD2054" s="380" t="str">
        <f>VLOOKUP($B2054,'D7 - NDB Impacted SPRF''s'!$E$6:$O$9929,5,FALSE)</f>
        <v>ASG</v>
      </c>
      <c r="AE2054" s="380" t="str">
        <f>VLOOKUP($B2054,'D7 - NDB Impacted SPRF''s'!$E$6:$O$9929,7,FALSE)</f>
        <v>John Doddy</v>
      </c>
      <c r="AF2054" s="380" t="str">
        <f>VLOOKUP($B2054,'D7 - NDB Impacted SPRF''s'!$E$6:$O$9929,6,FALSE)</f>
        <v>Eric Peterson</v>
      </c>
      <c r="AG2054" s="282"/>
      <c r="AH2054" s="311" t="e">
        <f>INDEX('D5 - Gatekeeper - Projects'!$A$4:$AF$1010,$AM2054, 17)</f>
        <v>#N/A</v>
      </c>
      <c r="AI2054" s="8"/>
      <c r="AJ2054" s="57"/>
      <c r="AK2054" s="105"/>
      <c r="AM2054" s="6" t="e">
        <f>MATCH(D2054,'D5 - Gatekeeper - Projects'!$C$4:$C$1010,0)</f>
        <v>#N/A</v>
      </c>
      <c r="AN2054" s="6" t="b">
        <f t="shared" si="214"/>
        <v>1</v>
      </c>
      <c r="AO2054" s="6" t="str">
        <f t="shared" si="215"/>
        <v>OK</v>
      </c>
      <c r="AQ2054" s="6" t="e">
        <f>MATCH($D2054,'D4 - Provider Council Unsched'!$C$11:$C$234,0)</f>
        <v>#N/A</v>
      </c>
      <c r="AR2054" s="6" t="b">
        <f t="shared" si="216"/>
        <v>1</v>
      </c>
      <c r="AS2054" s="6" t="str">
        <f t="shared" si="220"/>
        <v>OK</v>
      </c>
      <c r="AU2054" s="202"/>
      <c r="AV2054" s="262" t="s">
        <v>478</v>
      </c>
      <c r="AW2054" s="274"/>
    </row>
    <row r="2055" spans="1:49" s="13" customFormat="1" ht="33.75" x14ac:dyDescent="0.2">
      <c r="A2055" s="14">
        <v>2031</v>
      </c>
      <c r="B2055" s="8">
        <v>400045060</v>
      </c>
      <c r="C2055" s="8" t="s">
        <v>1447</v>
      </c>
      <c r="D2055" s="4" t="str">
        <f t="shared" si="219"/>
        <v>400045060A</v>
      </c>
      <c r="E2055" s="309" t="str">
        <f>VLOOKUP($B2055,'D7 - NDB Impacted SPRF''s'!$E$6:$O$9929,2,FALSE)</f>
        <v>NICE Narrow Networks Phase 2</v>
      </c>
      <c r="F2055" s="8"/>
      <c r="G2055" s="8" t="s">
        <v>4758</v>
      </c>
      <c r="H2055" s="8" t="s">
        <v>4246</v>
      </c>
      <c r="I2055" s="20"/>
      <c r="J2055" s="8"/>
      <c r="K2055" s="182"/>
      <c r="L2055" s="8" t="s">
        <v>4156</v>
      </c>
      <c r="M2055" s="8" t="s">
        <v>5626</v>
      </c>
      <c r="N2055" s="38" t="s">
        <v>1364</v>
      </c>
      <c r="O2055" s="8"/>
      <c r="P2055" s="4" t="str">
        <f>VLOOKUP($B2055,'D7 - NDB Impacted SPRF''s'!$E$16:$O$9929,9,FALSE)</f>
        <v>N</v>
      </c>
      <c r="Q2055" s="4" t="str">
        <f>VLOOKUP($B2055,'D7 - NDB Impacted SPRF''s'!$E$16:$O$9929,10,FALSE)</f>
        <v>N</v>
      </c>
      <c r="R2055" s="4" t="str">
        <f>VLOOKUP($B2055,'D7 - NDB Impacted SPRF''s'!$E$16:$O$9929,11,FALSE)</f>
        <v>Y</v>
      </c>
      <c r="S2055" s="8"/>
      <c r="T2055" s="310"/>
      <c r="U2055" s="310"/>
      <c r="V2055" s="4"/>
      <c r="W2055" s="4"/>
      <c r="X2055" s="4"/>
      <c r="Y2055" s="4"/>
      <c r="Z2055" s="4"/>
      <c r="AA2055" s="4"/>
      <c r="AB2055" s="380" t="str">
        <f>VLOOKUP($B2055,'D7 - NDB Impacted SPRF''s'!$E$6:$O$9929,4,FALSE)</f>
        <v>Completed</v>
      </c>
      <c r="AC2055" s="380" t="str">
        <f>VLOOKUP($B2055,'D7 - NDB Impacted SPRF''s'!$E$6:$O$9929,3,FALSE)</f>
        <v>UnitedHealthcare Employer &amp; Individual</v>
      </c>
      <c r="AD2055" s="380" t="str">
        <f>VLOOKUP($B2055,'D7 - NDB Impacted SPRF''s'!$E$6:$O$9929,5,FALSE)</f>
        <v>Membership Growth / Revenue Programs</v>
      </c>
      <c r="AE2055" s="380" t="str">
        <f>VLOOKUP($B2055,'D7 - NDB Impacted SPRF''s'!$E$6:$O$9929,7,FALSE)</f>
        <v>Mark Ochal</v>
      </c>
      <c r="AF2055" s="380" t="str">
        <f>VLOOKUP($B2055,'D7 - NDB Impacted SPRF''s'!$E$6:$O$9929,6,FALSE)</f>
        <v>Joan Roby</v>
      </c>
      <c r="AG2055" s="282"/>
      <c r="AH2055" s="311" t="e">
        <f>INDEX('D5 - Gatekeeper - Projects'!$A$4:$AF$1010,$AM2055, 17)</f>
        <v>#N/A</v>
      </c>
      <c r="AI2055" s="8"/>
      <c r="AJ2055" s="57"/>
      <c r="AK2055" s="105"/>
      <c r="AM2055" s="6" t="e">
        <f>MATCH(D2055,'D5 - Gatekeeper - Projects'!$C$4:$C$1010,0)</f>
        <v>#N/A</v>
      </c>
      <c r="AN2055" s="6" t="b">
        <f t="shared" si="214"/>
        <v>1</v>
      </c>
      <c r="AO2055" s="6" t="str">
        <f t="shared" si="215"/>
        <v>OK</v>
      </c>
      <c r="AQ2055" s="6" t="e">
        <f>MATCH($D2055,'D4 - Provider Council Unsched'!$C$11:$C$234,0)</f>
        <v>#N/A</v>
      </c>
      <c r="AR2055" s="6" t="b">
        <f t="shared" si="216"/>
        <v>1</v>
      </c>
      <c r="AS2055" s="6" t="str">
        <f t="shared" si="220"/>
        <v>OK</v>
      </c>
      <c r="AU2055" s="202"/>
      <c r="AV2055" s="262" t="s">
        <v>481</v>
      </c>
      <c r="AW2055" s="274">
        <v>41033</v>
      </c>
    </row>
    <row r="2056" spans="1:49" s="13" customFormat="1" ht="22.5" x14ac:dyDescent="0.2">
      <c r="A2056" s="14">
        <v>2032</v>
      </c>
      <c r="B2056" s="8">
        <v>400046355</v>
      </c>
      <c r="C2056" s="8" t="s">
        <v>1447</v>
      </c>
      <c r="D2056" s="4" t="str">
        <f t="shared" si="219"/>
        <v>400046355A</v>
      </c>
      <c r="E2056" s="309" t="str">
        <f>VLOOKUP($B2056,'D7 - NDB Impacted SPRF''s'!$E$6:$O$9929,2,FALSE)</f>
        <v>2012 Exit of Eagan Technology Center</v>
      </c>
      <c r="F2056" s="8"/>
      <c r="G2056" s="8" t="s">
        <v>4758</v>
      </c>
      <c r="H2056" s="8" t="s">
        <v>4246</v>
      </c>
      <c r="I2056" s="20"/>
      <c r="J2056" s="8"/>
      <c r="K2056" s="182"/>
      <c r="L2056" s="8" t="s">
        <v>4156</v>
      </c>
      <c r="M2056" s="8" t="s">
        <v>2814</v>
      </c>
      <c r="N2056" s="38" t="s">
        <v>5465</v>
      </c>
      <c r="O2056" s="8"/>
      <c r="P2056" s="4" t="str">
        <f>VLOOKUP($B2056,'D7 - NDB Impacted SPRF''s'!$E$16:$O$9929,9,FALSE)</f>
        <v>Y</v>
      </c>
      <c r="Q2056" s="4" t="str">
        <f>VLOOKUP($B2056,'D7 - NDB Impacted SPRF''s'!$E$16:$O$9929,10,FALSE)</f>
        <v>N</v>
      </c>
      <c r="R2056" s="4" t="str">
        <f>VLOOKUP($B2056,'D7 - NDB Impacted SPRF''s'!$E$16:$O$9929,11,FALSE)</f>
        <v>Y</v>
      </c>
      <c r="S2056" s="8"/>
      <c r="T2056" s="310"/>
      <c r="U2056" s="310"/>
      <c r="V2056" s="4"/>
      <c r="W2056" s="4"/>
      <c r="X2056" s="4"/>
      <c r="Y2056" s="4"/>
      <c r="Z2056" s="4"/>
      <c r="AA2056" s="4"/>
      <c r="AB2056" s="380" t="str">
        <f>VLOOKUP($B2056,'D7 - NDB Impacted SPRF''s'!$E$6:$O$9929,4,FALSE)</f>
        <v>Completed</v>
      </c>
      <c r="AC2056" s="380" t="str">
        <f>VLOOKUP($B2056,'D7 - NDB Impacted SPRF''s'!$E$6:$O$9929,3,FALSE)</f>
        <v>UHG IT - Shared Services</v>
      </c>
      <c r="AD2056" s="380" t="str">
        <f>VLOOKUP($B2056,'D7 - NDB Impacted SPRF''s'!$E$6:$O$9929,5,FALSE)</f>
        <v>Computer Services</v>
      </c>
      <c r="AE2056" s="380" t="str">
        <f>VLOOKUP($B2056,'D7 - NDB Impacted SPRF''s'!$E$6:$O$9929,7,FALSE)</f>
        <v>Darrell Brooks</v>
      </c>
      <c r="AF2056" s="380" t="str">
        <f>VLOOKUP($B2056,'D7 - NDB Impacted SPRF''s'!$E$6:$O$9929,6,FALSE)</f>
        <v>Victoria Host</v>
      </c>
      <c r="AG2056" s="282"/>
      <c r="AH2056" s="311" t="e">
        <f>INDEX('D5 - Gatekeeper - Projects'!$A$4:$AF$1010,$AM2056, 17)</f>
        <v>#N/A</v>
      </c>
      <c r="AI2056" s="8"/>
      <c r="AJ2056" s="57"/>
      <c r="AK2056" s="105"/>
      <c r="AM2056" s="6" t="e">
        <f>MATCH(D2056,'D5 - Gatekeeper - Projects'!$C$4:$C$1010,0)</f>
        <v>#N/A</v>
      </c>
      <c r="AN2056" s="6" t="b">
        <f t="shared" si="214"/>
        <v>1</v>
      </c>
      <c r="AO2056" s="6" t="str">
        <f t="shared" si="215"/>
        <v>OK</v>
      </c>
      <c r="AQ2056" s="6" t="e">
        <f>MATCH($D2056,'D4 - Provider Council Unsched'!$C$11:$C$234,0)</f>
        <v>#N/A</v>
      </c>
      <c r="AR2056" s="6" t="b">
        <f t="shared" si="216"/>
        <v>1</v>
      </c>
      <c r="AS2056" s="6" t="str">
        <f t="shared" si="220"/>
        <v>OK</v>
      </c>
      <c r="AU2056" s="202"/>
      <c r="AV2056" s="262" t="s">
        <v>2231</v>
      </c>
      <c r="AW2056" s="274"/>
    </row>
    <row r="2057" spans="1:49" s="13" customFormat="1" x14ac:dyDescent="0.2">
      <c r="A2057" s="14">
        <v>2033</v>
      </c>
      <c r="B2057" s="8">
        <v>400046988</v>
      </c>
      <c r="C2057" s="8" t="s">
        <v>1447</v>
      </c>
      <c r="D2057" s="4" t="str">
        <f t="shared" si="219"/>
        <v>400046988A</v>
      </c>
      <c r="E2057" s="309" t="str">
        <f>VLOOKUP($B2057,'D7 - NDB Impacted SPRF''s'!$E$6:$O$9929,2,FALSE)</f>
        <v>Include Cosmos prov type = 0084 for EFT</v>
      </c>
      <c r="F2057" s="8"/>
      <c r="G2057" s="8" t="s">
        <v>4758</v>
      </c>
      <c r="H2057" s="8" t="s">
        <v>4246</v>
      </c>
      <c r="I2057" s="20"/>
      <c r="J2057" s="8"/>
      <c r="K2057" s="182"/>
      <c r="L2057" s="8" t="s">
        <v>4156</v>
      </c>
      <c r="M2057" s="8" t="s">
        <v>2814</v>
      </c>
      <c r="N2057" s="38"/>
      <c r="O2057" s="8"/>
      <c r="P2057" s="4" t="str">
        <f>VLOOKUP($B2057,'D7 - NDB Impacted SPRF''s'!$E$16:$O$9929,9,FALSE)</f>
        <v>N</v>
      </c>
      <c r="Q2057" s="4" t="str">
        <f>VLOOKUP($B2057,'D7 - NDB Impacted SPRF''s'!$E$16:$O$9929,10,FALSE)</f>
        <v>N</v>
      </c>
      <c r="R2057" s="4" t="str">
        <f>VLOOKUP($B2057,'D7 - NDB Impacted SPRF''s'!$E$16:$O$9929,11,FALSE)</f>
        <v>N</v>
      </c>
      <c r="S2057" s="8"/>
      <c r="T2057" s="310"/>
      <c r="U2057" s="310"/>
      <c r="V2057" s="4"/>
      <c r="W2057" s="4"/>
      <c r="X2057" s="4"/>
      <c r="Y2057" s="4"/>
      <c r="Z2057" s="4"/>
      <c r="AA2057" s="4"/>
      <c r="AB2057" s="380" t="str">
        <f>VLOOKUP($B2057,'D7 - NDB Impacted SPRF''s'!$E$6:$O$9929,4,FALSE)</f>
        <v>Completed</v>
      </c>
      <c r="AC2057" s="380" t="str">
        <f>VLOOKUP($B2057,'D7 - NDB Impacted SPRF''s'!$E$6:$O$9929,3,FALSE)</f>
        <v>OptumHealth</v>
      </c>
      <c r="AD2057" s="380" t="str">
        <f>VLOOKUP($B2057,'D7 - NDB Impacted SPRF''s'!$E$6:$O$9929,5,FALSE)</f>
        <v>Behavioral Solutions</v>
      </c>
      <c r="AE2057" s="380" t="str">
        <f>VLOOKUP($B2057,'D7 - NDB Impacted SPRF''s'!$E$6:$O$9929,7,FALSE)</f>
        <v>Behavioral Network Servies</v>
      </c>
      <c r="AF2057" s="380" t="str">
        <f>VLOOKUP($B2057,'D7 - NDB Impacted SPRF''s'!$E$6:$O$9929,6,FALSE)</f>
        <v>Rene Savage</v>
      </c>
      <c r="AG2057" s="282"/>
      <c r="AH2057" s="311" t="e">
        <f>INDEX('D5 - Gatekeeper - Projects'!$A$4:$AF$1010,$AM2057, 17)</f>
        <v>#N/A</v>
      </c>
      <c r="AI2057" s="8"/>
      <c r="AJ2057" s="57"/>
      <c r="AK2057" s="105"/>
      <c r="AM2057" s="6" t="e">
        <f>MATCH(D2057,'D5 - Gatekeeper - Projects'!$C$4:$C$1010,0)</f>
        <v>#N/A</v>
      </c>
      <c r="AN2057" s="6" t="b">
        <f t="shared" si="214"/>
        <v>1</v>
      </c>
      <c r="AO2057" s="6" t="str">
        <f t="shared" si="215"/>
        <v>OK</v>
      </c>
      <c r="AQ2057" s="6" t="e">
        <f>MATCH($D2057,'D4 - Provider Council Unsched'!$C$11:$C$234,0)</f>
        <v>#N/A</v>
      </c>
      <c r="AR2057" s="6" t="b">
        <f t="shared" si="216"/>
        <v>1</v>
      </c>
      <c r="AS2057" s="6" t="str">
        <f t="shared" si="220"/>
        <v>OK</v>
      </c>
      <c r="AU2057" s="202"/>
      <c r="AV2057" s="262" t="s">
        <v>492</v>
      </c>
      <c r="AW2057" s="274"/>
    </row>
    <row r="2058" spans="1:49" s="13" customFormat="1" ht="33.75" x14ac:dyDescent="0.2">
      <c r="A2058" s="14">
        <v>2034</v>
      </c>
      <c r="B2058" s="8">
        <v>400048530</v>
      </c>
      <c r="C2058" s="8" t="s">
        <v>1447</v>
      </c>
      <c r="D2058" s="4" t="str">
        <f t="shared" si="219"/>
        <v>400048530A</v>
      </c>
      <c r="E2058" s="309" t="str">
        <f>VLOOKUP($B2058,'D7 - NDB Impacted SPRF''s'!$E$6:$O$9929,2,FALSE)</f>
        <v>WA Medicaid Feasibility Study (A/O for 4-41390)</v>
      </c>
      <c r="F2058" s="8"/>
      <c r="G2058" s="8" t="s">
        <v>4758</v>
      </c>
      <c r="H2058" s="8" t="s">
        <v>4246</v>
      </c>
      <c r="I2058" s="20"/>
      <c r="J2058" s="8"/>
      <c r="K2058" s="182"/>
      <c r="L2058" s="8" t="s">
        <v>4156</v>
      </c>
      <c r="M2058" s="8" t="s">
        <v>2814</v>
      </c>
      <c r="N2058" s="38"/>
      <c r="O2058" s="8"/>
      <c r="P2058" s="4" t="str">
        <f>VLOOKUP($B2058,'D7 - NDB Impacted SPRF''s'!$E$16:$O$9929,9,FALSE)</f>
        <v>N</v>
      </c>
      <c r="Q2058" s="4" t="str">
        <f>VLOOKUP($B2058,'D7 - NDB Impacted SPRF''s'!$E$16:$O$9929,10,FALSE)</f>
        <v>N</v>
      </c>
      <c r="R2058" s="4" t="str">
        <f>VLOOKUP($B2058,'D7 - NDB Impacted SPRF''s'!$E$16:$O$9929,11,FALSE)</f>
        <v>N</v>
      </c>
      <c r="S2058" s="8"/>
      <c r="T2058" s="310"/>
      <c r="U2058" s="310"/>
      <c r="V2058" s="4"/>
      <c r="W2058" s="4"/>
      <c r="X2058" s="4"/>
      <c r="Y2058" s="4"/>
      <c r="Z2058" s="4"/>
      <c r="AA2058" s="4"/>
      <c r="AB2058" s="380" t="str">
        <f>VLOOKUP($B2058,'D7 - NDB Impacted SPRF''s'!$E$6:$O$9929,4,FALSE)</f>
        <v>Completed</v>
      </c>
      <c r="AC2058" s="380" t="str">
        <f>VLOOKUP($B2058,'D7 - NDB Impacted SPRF''s'!$E$6:$O$9929,3,FALSE)</f>
        <v>UnitedHealthcare Community &amp; State</v>
      </c>
      <c r="AD2058" s="380" t="str">
        <f>VLOOKUP($B2058,'D7 - NDB Impacted SPRF''s'!$E$6:$O$9929,5,FALSE)</f>
        <v>Membership Growth / Revenue Programs</v>
      </c>
      <c r="AE2058" s="380" t="str">
        <f>VLOOKUP($B2058,'D7 - NDB Impacted SPRF''s'!$E$6:$O$9929,7,FALSE)</f>
        <v>Scott Burghoff</v>
      </c>
      <c r="AF2058" s="380" t="str">
        <f>VLOOKUP($B2058,'D7 - NDB Impacted SPRF''s'!$E$6:$O$9929,6,FALSE)</f>
        <v>Pamela D Allen</v>
      </c>
      <c r="AG2058" s="282"/>
      <c r="AH2058" s="311" t="e">
        <f>INDEX('D5 - Gatekeeper - Projects'!$A$4:$AF$1010,$AM2058, 17)</f>
        <v>#N/A</v>
      </c>
      <c r="AI2058" s="8"/>
      <c r="AJ2058" s="57"/>
      <c r="AK2058" s="105"/>
      <c r="AM2058" s="6" t="e">
        <f>MATCH(D2058,'D5 - Gatekeeper - Projects'!$C$4:$C$1010,0)</f>
        <v>#N/A</v>
      </c>
      <c r="AN2058" s="6" t="b">
        <f t="shared" ref="AN2058:AN2121" si="221">ISERROR(AM2058)</f>
        <v>1</v>
      </c>
      <c r="AO2058" s="6" t="str">
        <f t="shared" ref="AO2058:AO2121" si="222">IF(AND(H2058="1 - Scheduled",AN2058=TRUE),"Add","OK")</f>
        <v>OK</v>
      </c>
      <c r="AQ2058" s="6" t="e">
        <f>MATCH($D2058,'D4 - Provider Council Unsched'!$C$11:$C$234,0)</f>
        <v>#N/A</v>
      </c>
      <c r="AR2058" s="6" t="b">
        <f t="shared" ref="AR2058:AR2121" si="223">ISERROR(AQ2058)</f>
        <v>1</v>
      </c>
      <c r="AS2058" s="6" t="str">
        <f t="shared" si="220"/>
        <v>OK</v>
      </c>
      <c r="AU2058" s="202"/>
      <c r="AV2058" s="262" t="s">
        <v>1087</v>
      </c>
      <c r="AW2058" s="274"/>
    </row>
    <row r="2059" spans="1:49" s="13" customFormat="1" ht="33.75" x14ac:dyDescent="0.2">
      <c r="A2059" s="14">
        <v>2035</v>
      </c>
      <c r="B2059" s="8">
        <v>400048971</v>
      </c>
      <c r="C2059" s="8" t="s">
        <v>1447</v>
      </c>
      <c r="D2059" s="4" t="str">
        <f t="shared" si="219"/>
        <v>400048971A</v>
      </c>
      <c r="E2059" s="309" t="str">
        <f>VLOOKUP($B2059,'D7 - NDB Impacted SPRF''s'!$E$6:$O$9929,2,FALSE)</f>
        <v>GPS/CDB interface to IKA (WellMed)</v>
      </c>
      <c r="F2059" s="8"/>
      <c r="G2059" s="8" t="s">
        <v>4758</v>
      </c>
      <c r="H2059" s="8" t="s">
        <v>4246</v>
      </c>
      <c r="I2059" s="20"/>
      <c r="J2059" s="8"/>
      <c r="K2059" s="182"/>
      <c r="L2059" s="8" t="s">
        <v>4156</v>
      </c>
      <c r="M2059" s="8" t="s">
        <v>2814</v>
      </c>
      <c r="N2059" s="38">
        <v>2</v>
      </c>
      <c r="O2059" s="8"/>
      <c r="P2059" s="4" t="str">
        <f>VLOOKUP($B2059,'D7 - NDB Impacted SPRF''s'!$E$16:$O$9929,9,FALSE)</f>
        <v>N</v>
      </c>
      <c r="Q2059" s="4" t="str">
        <f>VLOOKUP($B2059,'D7 - NDB Impacted SPRF''s'!$E$16:$O$9929,10,FALSE)</f>
        <v>N</v>
      </c>
      <c r="R2059" s="4" t="str">
        <f>VLOOKUP($B2059,'D7 - NDB Impacted SPRF''s'!$E$16:$O$9929,11,FALSE)</f>
        <v>N</v>
      </c>
      <c r="S2059" s="8"/>
      <c r="T2059" s="310"/>
      <c r="U2059" s="310"/>
      <c r="V2059" s="4"/>
      <c r="W2059" s="4"/>
      <c r="X2059" s="4"/>
      <c r="Y2059" s="4"/>
      <c r="Z2059" s="4"/>
      <c r="AA2059" s="4"/>
      <c r="AB2059" s="380" t="str">
        <f>VLOOKUP($B2059,'D7 - NDB Impacted SPRF''s'!$E$6:$O$9929,4,FALSE)</f>
        <v>Cancelled</v>
      </c>
      <c r="AC2059" s="380" t="str">
        <f>VLOOKUP($B2059,'D7 - NDB Impacted SPRF''s'!$E$6:$O$9929,3,FALSE)</f>
        <v>UnitedHealthcare Medicare &amp; Retirement</v>
      </c>
      <c r="AD2059" s="380" t="str">
        <f>VLOOKUP($B2059,'D7 - NDB Impacted SPRF''s'!$E$6:$O$9929,5,FALSE)</f>
        <v>Integration Requirements</v>
      </c>
      <c r="AE2059" s="380" t="str">
        <f>VLOOKUP($B2059,'D7 - NDB Impacted SPRF''s'!$E$6:$O$9929,7,FALSE)</f>
        <v>Kelly Gilbertson</v>
      </c>
      <c r="AF2059" s="380" t="str">
        <f>VLOOKUP($B2059,'D7 - NDB Impacted SPRF''s'!$E$6:$O$9929,6,FALSE)</f>
        <v>Jessica Ayers</v>
      </c>
      <c r="AG2059" s="282"/>
      <c r="AH2059" s="311" t="e">
        <f>INDEX('D5 - Gatekeeper - Projects'!$A$4:$AF$1010,$AM2059, 17)</f>
        <v>#N/A</v>
      </c>
      <c r="AI2059" s="8"/>
      <c r="AJ2059" s="57"/>
      <c r="AK2059" s="105"/>
      <c r="AM2059" s="6" t="e">
        <f>MATCH(D2059,'D5 - Gatekeeper - Projects'!$C$4:$C$1010,0)</f>
        <v>#N/A</v>
      </c>
      <c r="AN2059" s="6" t="b">
        <f t="shared" si="221"/>
        <v>1</v>
      </c>
      <c r="AO2059" s="6" t="str">
        <f t="shared" si="222"/>
        <v>OK</v>
      </c>
      <c r="AQ2059" s="6" t="e">
        <f>MATCH($D2059,'D4 - Provider Council Unsched'!$C$11:$C$234,0)</f>
        <v>#N/A</v>
      </c>
      <c r="AR2059" s="6" t="b">
        <f t="shared" si="223"/>
        <v>1</v>
      </c>
      <c r="AS2059" s="6" t="str">
        <f t="shared" si="220"/>
        <v>OK</v>
      </c>
      <c r="AU2059" s="202"/>
      <c r="AV2059" s="262" t="s">
        <v>438</v>
      </c>
      <c r="AW2059" s="274">
        <v>53381</v>
      </c>
    </row>
    <row r="2060" spans="1:49" s="13" customFormat="1" x14ac:dyDescent="0.2">
      <c r="A2060" s="14">
        <v>2036</v>
      </c>
      <c r="B2060" s="8">
        <v>400049870</v>
      </c>
      <c r="C2060" s="8" t="s">
        <v>1447</v>
      </c>
      <c r="D2060" s="4" t="str">
        <f t="shared" si="219"/>
        <v>400049870A</v>
      </c>
      <c r="E2060" s="309" t="str">
        <f>VLOOKUP($B2060,'D7 - NDB Impacted SPRF''s'!$E$6:$O$9929,2,FALSE)</f>
        <v>NDB Feed to OTS</v>
      </c>
      <c r="F2060" s="8"/>
      <c r="G2060" s="8" t="s">
        <v>4758</v>
      </c>
      <c r="H2060" s="8" t="s">
        <v>4246</v>
      </c>
      <c r="I2060" s="20"/>
      <c r="J2060" s="8"/>
      <c r="K2060" s="182"/>
      <c r="L2060" s="8" t="s">
        <v>4156</v>
      </c>
      <c r="M2060" s="8" t="s">
        <v>2814</v>
      </c>
      <c r="N2060" s="38"/>
      <c r="O2060" s="8"/>
      <c r="P2060" s="4" t="str">
        <f>VLOOKUP($B2060,'D7 - NDB Impacted SPRF''s'!$E$16:$O$9929,9,FALSE)</f>
        <v>N</v>
      </c>
      <c r="Q2060" s="4" t="str">
        <f>VLOOKUP($B2060,'D7 - NDB Impacted SPRF''s'!$E$16:$O$9929,10,FALSE)</f>
        <v>N</v>
      </c>
      <c r="R2060" s="4" t="str">
        <f>VLOOKUP($B2060,'D7 - NDB Impacted SPRF''s'!$E$16:$O$9929,11,FALSE)</f>
        <v>N</v>
      </c>
      <c r="S2060" s="8"/>
      <c r="T2060" s="310"/>
      <c r="U2060" s="310"/>
      <c r="V2060" s="4"/>
      <c r="W2060" s="4"/>
      <c r="X2060" s="4"/>
      <c r="Y2060" s="4"/>
      <c r="Z2060" s="4"/>
      <c r="AA2060" s="4"/>
      <c r="AB2060" s="380" t="str">
        <f>VLOOKUP($B2060,'D7 - NDB Impacted SPRF''s'!$E$6:$O$9929,4,FALSE)</f>
        <v>Completed</v>
      </c>
      <c r="AC2060" s="380" t="str">
        <f>VLOOKUP($B2060,'D7 - NDB Impacted SPRF''s'!$E$6:$O$9929,3,FALSE)</f>
        <v>OptumInsight</v>
      </c>
      <c r="AD2060" s="380" t="str">
        <f>VLOOKUP($B2060,'D7 - NDB Impacted SPRF''s'!$E$6:$O$9929,5,FALSE)</f>
        <v>Ingenix</v>
      </c>
      <c r="AE2060" s="380" t="str">
        <f>VLOOKUP($B2060,'D7 - NDB Impacted SPRF''s'!$E$6:$O$9929,7,FALSE)</f>
        <v>Brian Bugiel</v>
      </c>
      <c r="AF2060" s="380" t="str">
        <f>VLOOKUP($B2060,'D7 - NDB Impacted SPRF''s'!$E$6:$O$9929,6,FALSE)</f>
        <v>RINA SCHARTZ</v>
      </c>
      <c r="AG2060" s="282"/>
      <c r="AH2060" s="311" t="e">
        <f>INDEX('D5 - Gatekeeper - Projects'!$A$4:$AF$1010,$AM2060, 17)</f>
        <v>#N/A</v>
      </c>
      <c r="AI2060" s="8"/>
      <c r="AJ2060" s="57"/>
      <c r="AK2060" s="105"/>
      <c r="AM2060" s="6" t="e">
        <f>MATCH(D2060,'D5 - Gatekeeper - Projects'!$C$4:$C$1010,0)</f>
        <v>#N/A</v>
      </c>
      <c r="AN2060" s="6" t="b">
        <f t="shared" si="221"/>
        <v>1</v>
      </c>
      <c r="AO2060" s="6" t="str">
        <f t="shared" si="222"/>
        <v>OK</v>
      </c>
      <c r="AQ2060" s="6" t="e">
        <f>MATCH($D2060,'D4 - Provider Council Unsched'!$C$11:$C$234,0)</f>
        <v>#N/A</v>
      </c>
      <c r="AR2060" s="6" t="b">
        <f t="shared" si="223"/>
        <v>1</v>
      </c>
      <c r="AS2060" s="6" t="str">
        <f t="shared" si="220"/>
        <v>OK</v>
      </c>
      <c r="AU2060" s="202"/>
      <c r="AV2060" s="262" t="s">
        <v>1138</v>
      </c>
      <c r="AW2060" s="274">
        <v>58611</v>
      </c>
    </row>
    <row r="2061" spans="1:49" s="13" customFormat="1" ht="22.5" x14ac:dyDescent="0.2">
      <c r="A2061" s="14">
        <v>2037</v>
      </c>
      <c r="B2061" s="8">
        <v>400050243</v>
      </c>
      <c r="C2061" s="8" t="s">
        <v>1447</v>
      </c>
      <c r="D2061" s="4" t="str">
        <f t="shared" si="219"/>
        <v>400050243A</v>
      </c>
      <c r="E2061" s="309" t="str">
        <f>VLOOKUP($B2061,'D7 - NDB Impacted SPRF''s'!$E$6:$O$9929,2,FALSE)</f>
        <v>Pilot &amp; implement Scriptless Test Automation Tool</v>
      </c>
      <c r="F2061" s="8"/>
      <c r="G2061" s="8" t="s">
        <v>4758</v>
      </c>
      <c r="H2061" s="8" t="s">
        <v>4246</v>
      </c>
      <c r="I2061" s="20"/>
      <c r="J2061" s="8"/>
      <c r="K2061" s="182"/>
      <c r="L2061" s="8" t="s">
        <v>4156</v>
      </c>
      <c r="M2061" s="8" t="s">
        <v>2814</v>
      </c>
      <c r="N2061" s="38" t="s">
        <v>198</v>
      </c>
      <c r="O2061" s="8"/>
      <c r="P2061" s="4" t="str">
        <f>VLOOKUP($B2061,'D7 - NDB Impacted SPRF''s'!$E$16:$O$9929,9,FALSE)</f>
        <v>N</v>
      </c>
      <c r="Q2061" s="4" t="str">
        <f>VLOOKUP($B2061,'D7 - NDB Impacted SPRF''s'!$E$16:$O$9929,10,FALSE)</f>
        <v>N</v>
      </c>
      <c r="R2061" s="4" t="str">
        <f>VLOOKUP($B2061,'D7 - NDB Impacted SPRF''s'!$E$16:$O$9929,11,FALSE)</f>
        <v>N</v>
      </c>
      <c r="S2061" s="8"/>
      <c r="T2061" s="310"/>
      <c r="U2061" s="310"/>
      <c r="V2061" s="4"/>
      <c r="W2061" s="4"/>
      <c r="X2061" s="4"/>
      <c r="Y2061" s="4"/>
      <c r="Z2061" s="4"/>
      <c r="AA2061" s="4"/>
      <c r="AB2061" s="380" t="str">
        <f>VLOOKUP($B2061,'D7 - NDB Impacted SPRF''s'!$E$6:$O$9929,4,FALSE)</f>
        <v>Completed</v>
      </c>
      <c r="AC2061" s="380" t="str">
        <f>VLOOKUP($B2061,'D7 - NDB Impacted SPRF''s'!$E$6:$O$9929,3,FALSE)</f>
        <v>UHG IT - Shared Services</v>
      </c>
      <c r="AD2061" s="380" t="str">
        <f>VLOOKUP($B2061,'D7 - NDB Impacted SPRF''s'!$E$6:$O$9929,5,FALSE)</f>
        <v>ASG</v>
      </c>
      <c r="AE2061" s="380" t="str">
        <f>VLOOKUP($B2061,'D7 - NDB Impacted SPRF''s'!$E$6:$O$9929,7,FALSE)</f>
        <v>Jonathan Gelber</v>
      </c>
      <c r="AF2061" s="380" t="str">
        <f>VLOOKUP($B2061,'D7 - NDB Impacted SPRF''s'!$E$6:$O$9929,6,FALSE)</f>
        <v>ALLA TASKENT</v>
      </c>
      <c r="AG2061" s="282"/>
      <c r="AH2061" s="311" t="e">
        <f>INDEX('D5 - Gatekeeper - Projects'!$A$4:$AF$1010,$AM2061, 17)</f>
        <v>#N/A</v>
      </c>
      <c r="AI2061" s="8"/>
      <c r="AJ2061" s="57"/>
      <c r="AK2061" s="105"/>
      <c r="AM2061" s="6" t="e">
        <f>MATCH(D2061,'D5 - Gatekeeper - Projects'!$C$4:$C$1010,0)</f>
        <v>#N/A</v>
      </c>
      <c r="AN2061" s="6" t="b">
        <f t="shared" si="221"/>
        <v>1</v>
      </c>
      <c r="AO2061" s="6" t="str">
        <f t="shared" si="222"/>
        <v>OK</v>
      </c>
      <c r="AQ2061" s="6" t="e">
        <f>MATCH($D2061,'D4 - Provider Council Unsched'!$C$11:$C$234,0)</f>
        <v>#N/A</v>
      </c>
      <c r="AR2061" s="6" t="b">
        <f t="shared" si="223"/>
        <v>1</v>
      </c>
      <c r="AS2061" s="6" t="str">
        <f t="shared" si="220"/>
        <v>OK</v>
      </c>
      <c r="AU2061" s="202"/>
      <c r="AV2061" s="262" t="s">
        <v>1140</v>
      </c>
      <c r="AW2061" s="274"/>
    </row>
    <row r="2062" spans="1:49" s="13" customFormat="1" ht="22.5" x14ac:dyDescent="0.2">
      <c r="A2062" s="14">
        <v>2038</v>
      </c>
      <c r="B2062" s="8">
        <v>400050945</v>
      </c>
      <c r="C2062" s="8" t="s">
        <v>1447</v>
      </c>
      <c r="D2062" s="4" t="str">
        <f t="shared" si="219"/>
        <v>400050945A</v>
      </c>
      <c r="E2062" s="309" t="str">
        <f>VLOOKUP($B2062,'D7 - NDB Impacted SPRF''s'!$E$6:$O$9929,2,FALSE)</f>
        <v>Provider Touchpoint - Fee Schedule Development</v>
      </c>
      <c r="F2062" s="8"/>
      <c r="G2062" s="8" t="s">
        <v>4758</v>
      </c>
      <c r="H2062" s="8" t="s">
        <v>4246</v>
      </c>
      <c r="I2062" s="20"/>
      <c r="J2062" s="8"/>
      <c r="K2062" s="182"/>
      <c r="L2062" s="8" t="s">
        <v>4156</v>
      </c>
      <c r="M2062" s="8" t="s">
        <v>2814</v>
      </c>
      <c r="N2062" s="38"/>
      <c r="O2062" s="8"/>
      <c r="P2062" s="4" t="str">
        <f>VLOOKUP($B2062,'D7 - NDB Impacted SPRF''s'!$E$16:$O$9929,9,FALSE)</f>
        <v>N</v>
      </c>
      <c r="Q2062" s="4" t="str">
        <f>VLOOKUP($B2062,'D7 - NDB Impacted SPRF''s'!$E$16:$O$9929,10,FALSE)</f>
        <v>N</v>
      </c>
      <c r="R2062" s="4" t="str">
        <f>VLOOKUP($B2062,'D7 - NDB Impacted SPRF''s'!$E$16:$O$9929,11,FALSE)</f>
        <v>N</v>
      </c>
      <c r="S2062" s="8"/>
      <c r="T2062" s="310"/>
      <c r="U2062" s="310"/>
      <c r="V2062" s="4"/>
      <c r="W2062" s="4"/>
      <c r="X2062" s="4"/>
      <c r="Y2062" s="4"/>
      <c r="Z2062" s="4"/>
      <c r="AA2062" s="4"/>
      <c r="AB2062" s="380" t="str">
        <f>VLOOKUP($B2062,'D7 - NDB Impacted SPRF''s'!$E$6:$O$9929,4,FALSE)</f>
        <v>Completed</v>
      </c>
      <c r="AC2062" s="380" t="str">
        <f>VLOOKUP($B2062,'D7 - NDB Impacted SPRF''s'!$E$6:$O$9929,3,FALSE)</f>
        <v>UHG IT - Shared Services</v>
      </c>
      <c r="AD2062" s="380" t="str">
        <f>VLOOKUP($B2062,'D7 - NDB Impacted SPRF''s'!$E$6:$O$9929,5,FALSE)</f>
        <v>Strategic Initiatives</v>
      </c>
      <c r="AE2062" s="380" t="str">
        <f>VLOOKUP($B2062,'D7 - NDB Impacted SPRF''s'!$E$6:$O$9929,7,FALSE)</f>
        <v>Dino Colaluca</v>
      </c>
      <c r="AF2062" s="380" t="str">
        <f>VLOOKUP($B2062,'D7 - NDB Impacted SPRF''s'!$E$6:$O$9929,6,FALSE)</f>
        <v>John Hodgson</v>
      </c>
      <c r="AG2062" s="282"/>
      <c r="AH2062" s="311" t="e">
        <f>INDEX('D5 - Gatekeeper - Projects'!$A$4:$AF$1010,$AM2062, 17)</f>
        <v>#N/A</v>
      </c>
      <c r="AI2062" s="8"/>
      <c r="AJ2062" s="57"/>
      <c r="AK2062" s="105"/>
      <c r="AM2062" s="6" t="e">
        <f>MATCH(D2062,'D5 - Gatekeeper - Projects'!$C$4:$C$1010,0)</f>
        <v>#N/A</v>
      </c>
      <c r="AN2062" s="6" t="b">
        <f t="shared" si="221"/>
        <v>1</v>
      </c>
      <c r="AO2062" s="6" t="str">
        <f t="shared" si="222"/>
        <v>OK</v>
      </c>
      <c r="AQ2062" s="6" t="e">
        <f>MATCH($D2062,'D4 - Provider Council Unsched'!$C$11:$C$234,0)</f>
        <v>#N/A</v>
      </c>
      <c r="AR2062" s="6" t="b">
        <f t="shared" si="223"/>
        <v>1</v>
      </c>
      <c r="AS2062" s="6" t="str">
        <f t="shared" si="220"/>
        <v>OK</v>
      </c>
      <c r="AU2062" s="202"/>
      <c r="AV2062" s="262" t="s">
        <v>435</v>
      </c>
      <c r="AW2062" s="274">
        <v>58630</v>
      </c>
    </row>
    <row r="2063" spans="1:49" s="13" customFormat="1" ht="22.5" x14ac:dyDescent="0.2">
      <c r="A2063" s="14">
        <v>2039</v>
      </c>
      <c r="B2063" s="8">
        <v>400051716</v>
      </c>
      <c r="C2063" s="8" t="s">
        <v>1447</v>
      </c>
      <c r="D2063" s="4" t="str">
        <f t="shared" si="219"/>
        <v>400051716A</v>
      </c>
      <c r="E2063" s="309" t="str">
        <f>VLOOKUP($B2063,'D7 - NDB Impacted SPRF''s'!$E$6:$O$9929,2,FALSE)</f>
        <v>ED - Adjudipro Analysis &amp; Development</v>
      </c>
      <c r="F2063" s="8"/>
      <c r="G2063" s="8" t="s">
        <v>4758</v>
      </c>
      <c r="H2063" s="8" t="s">
        <v>4246</v>
      </c>
      <c r="I2063" s="20"/>
      <c r="J2063" s="8"/>
      <c r="K2063" s="182"/>
      <c r="L2063" s="8" t="s">
        <v>4156</v>
      </c>
      <c r="M2063" s="8" t="s">
        <v>2814</v>
      </c>
      <c r="N2063" s="38" t="s">
        <v>7797</v>
      </c>
      <c r="O2063" s="8"/>
      <c r="P2063" s="4" t="str">
        <f>VLOOKUP($B2063,'D7 - NDB Impacted SPRF''s'!$E$16:$O$9929,9,FALSE)</f>
        <v>N</v>
      </c>
      <c r="Q2063" s="4" t="str">
        <f>VLOOKUP($B2063,'D7 - NDB Impacted SPRF''s'!$E$16:$O$9929,10,FALSE)</f>
        <v>N</v>
      </c>
      <c r="R2063" s="4" t="str">
        <f>VLOOKUP($B2063,'D7 - NDB Impacted SPRF''s'!$E$16:$O$9929,11,FALSE)</f>
        <v>N</v>
      </c>
      <c r="S2063" s="8"/>
      <c r="T2063" s="310"/>
      <c r="U2063" s="310"/>
      <c r="V2063" s="4"/>
      <c r="W2063" s="4"/>
      <c r="X2063" s="4"/>
      <c r="Y2063" s="4"/>
      <c r="Z2063" s="4"/>
      <c r="AA2063" s="4"/>
      <c r="AB2063" s="380" t="str">
        <f>VLOOKUP($B2063,'D7 - NDB Impacted SPRF''s'!$E$6:$O$9929,4,FALSE)</f>
        <v>Scheduled</v>
      </c>
      <c r="AC2063" s="380" t="str">
        <f>VLOOKUP($B2063,'D7 - NDB Impacted SPRF''s'!$E$6:$O$9929,3,FALSE)</f>
        <v>UHG IT - Shared Services</v>
      </c>
      <c r="AD2063" s="380" t="str">
        <f>VLOOKUP($B2063,'D7 - NDB Impacted SPRF''s'!$E$6:$O$9929,5,FALSE)</f>
        <v>Strategic Initiatives</v>
      </c>
      <c r="AE2063" s="380" t="str">
        <f>VLOOKUP($B2063,'D7 - NDB Impacted SPRF''s'!$E$6:$O$9929,7,FALSE)</f>
        <v>Kevin Cogle</v>
      </c>
      <c r="AF2063" s="380" t="str">
        <f>VLOOKUP($B2063,'D7 - NDB Impacted SPRF''s'!$E$6:$O$9929,6,FALSE)</f>
        <v>Ali Fiad</v>
      </c>
      <c r="AG2063" s="282"/>
      <c r="AH2063" s="311" t="e">
        <f>INDEX('D5 - Gatekeeper - Projects'!$A$4:$AF$1010,$AM2063, 17)</f>
        <v>#N/A</v>
      </c>
      <c r="AI2063" s="8"/>
      <c r="AJ2063" s="57"/>
      <c r="AK2063" s="105"/>
      <c r="AM2063" s="6" t="e">
        <f>MATCH(D2063,'D5 - Gatekeeper - Projects'!$C$4:$C$1010,0)</f>
        <v>#N/A</v>
      </c>
      <c r="AN2063" s="6" t="b">
        <f t="shared" si="221"/>
        <v>1</v>
      </c>
      <c r="AO2063" s="6" t="str">
        <f t="shared" si="222"/>
        <v>OK</v>
      </c>
      <c r="AQ2063" s="6" t="e">
        <f>MATCH($D2063,'D4 - Provider Council Unsched'!$C$11:$C$234,0)</f>
        <v>#N/A</v>
      </c>
      <c r="AR2063" s="6" t="b">
        <f t="shared" si="223"/>
        <v>1</v>
      </c>
      <c r="AS2063" s="6" t="str">
        <f t="shared" si="220"/>
        <v>OK</v>
      </c>
      <c r="AU2063" s="202"/>
      <c r="AV2063" s="322" t="s">
        <v>1088</v>
      </c>
      <c r="AW2063" s="274"/>
    </row>
    <row r="2064" spans="1:49" s="13" customFormat="1" ht="45" x14ac:dyDescent="0.2">
      <c r="A2064" s="14">
        <v>2040</v>
      </c>
      <c r="B2064" s="8">
        <v>400052497</v>
      </c>
      <c r="C2064" s="8" t="s">
        <v>1447</v>
      </c>
      <c r="D2064" s="4" t="str">
        <f t="shared" si="219"/>
        <v>400052497A</v>
      </c>
      <c r="E2064" s="309" t="str">
        <f>VLOOKUP($B2064,'D7 - NDB Impacted SPRF''s'!$E$6:$O$9929,2,FALSE)</f>
        <v>W/O NDB COSMOS Panels (IM Ticket 12128846)</v>
      </c>
      <c r="F2064" s="8"/>
      <c r="G2064" s="8" t="s">
        <v>4758</v>
      </c>
      <c r="H2064" s="8" t="s">
        <v>4246</v>
      </c>
      <c r="I2064" s="20"/>
      <c r="J2064" s="8"/>
      <c r="K2064" s="182"/>
      <c r="L2064" s="8" t="s">
        <v>4156</v>
      </c>
      <c r="M2064" s="8" t="s">
        <v>2814</v>
      </c>
      <c r="N2064" s="38" t="s">
        <v>251</v>
      </c>
      <c r="O2064" s="8"/>
      <c r="P2064" s="4" t="str">
        <f>VLOOKUP($B2064,'D7 - NDB Impacted SPRF''s'!$E$16:$O$9929,9,FALSE)</f>
        <v>N</v>
      </c>
      <c r="Q2064" s="4" t="str">
        <f>VLOOKUP($B2064,'D7 - NDB Impacted SPRF''s'!$E$16:$O$9929,10,FALSE)</f>
        <v>N</v>
      </c>
      <c r="R2064" s="4" t="str">
        <f>VLOOKUP($B2064,'D7 - NDB Impacted SPRF''s'!$E$16:$O$9929,11,FALSE)</f>
        <v>N</v>
      </c>
      <c r="S2064" s="8"/>
      <c r="T2064" s="310"/>
      <c r="U2064" s="310"/>
      <c r="V2064" s="4"/>
      <c r="W2064" s="4"/>
      <c r="X2064" s="4"/>
      <c r="Y2064" s="4"/>
      <c r="Z2064" s="4"/>
      <c r="AA2064" s="4"/>
      <c r="AB2064" s="380" t="str">
        <f>VLOOKUP($B2064,'D7 - NDB Impacted SPRF''s'!$E$6:$O$9929,4,FALSE)</f>
        <v>Completed</v>
      </c>
      <c r="AC2064" s="380" t="str">
        <f>VLOOKUP($B2064,'D7 - NDB Impacted SPRF''s'!$E$6:$O$9929,3,FALSE)</f>
        <v>UHG IT - Enterprise Technology Services</v>
      </c>
      <c r="AD2064" s="380" t="str">
        <f>VLOOKUP($B2064,'D7 - NDB Impacted SPRF''s'!$E$6:$O$9929,5,FALSE)</f>
        <v>Strategic Initiatives</v>
      </c>
      <c r="AE2064" s="380" t="str">
        <f>VLOOKUP($B2064,'D7 - NDB Impacted SPRF''s'!$E$6:$O$9929,7,FALSE)</f>
        <v>Karen Davezac</v>
      </c>
      <c r="AF2064" s="380" t="str">
        <f>VLOOKUP($B2064,'D7 - NDB Impacted SPRF''s'!$E$6:$O$9929,6,FALSE)</f>
        <v>SHELBY GRAHAM</v>
      </c>
      <c r="AG2064" s="282"/>
      <c r="AH2064" s="311" t="e">
        <f>INDEX('D5 - Gatekeeper - Projects'!$A$4:$AF$1010,$AM2064, 17)</f>
        <v>#N/A</v>
      </c>
      <c r="AI2064" s="8"/>
      <c r="AJ2064" s="57"/>
      <c r="AK2064" s="105"/>
      <c r="AM2064" s="6" t="e">
        <f>MATCH(D2064,'D5 - Gatekeeper - Projects'!$C$4:$C$1010,0)</f>
        <v>#N/A</v>
      </c>
      <c r="AN2064" s="6" t="b">
        <f t="shared" si="221"/>
        <v>1</v>
      </c>
      <c r="AO2064" s="6" t="str">
        <f t="shared" si="222"/>
        <v>OK</v>
      </c>
      <c r="AQ2064" s="6" t="e">
        <f>MATCH($D2064,'D4 - Provider Council Unsched'!$C$11:$C$234,0)</f>
        <v>#N/A</v>
      </c>
      <c r="AR2064" s="6" t="b">
        <f t="shared" si="223"/>
        <v>1</v>
      </c>
      <c r="AS2064" s="6" t="str">
        <f t="shared" si="220"/>
        <v>OK</v>
      </c>
      <c r="AU2064" s="202"/>
      <c r="AV2064" s="346" t="s">
        <v>2754</v>
      </c>
      <c r="AW2064" s="274"/>
    </row>
    <row r="2065" spans="1:49" s="13" customFormat="1" ht="33.75" x14ac:dyDescent="0.2">
      <c r="A2065" s="14">
        <v>2041</v>
      </c>
      <c r="B2065" s="8">
        <v>400055024</v>
      </c>
      <c r="C2065" s="8" t="s">
        <v>1447</v>
      </c>
      <c r="D2065" s="4" t="str">
        <f t="shared" si="219"/>
        <v>400055024A</v>
      </c>
      <c r="E2065" s="309" t="str">
        <f>VLOOKUP($B2065,'D7 - NDB Impacted SPRF''s'!$E$6:$O$9929,2,FALSE)</f>
        <v>KS Front End Billing</v>
      </c>
      <c r="F2065" s="8"/>
      <c r="G2065" s="8" t="s">
        <v>4758</v>
      </c>
      <c r="H2065" s="8" t="s">
        <v>4246</v>
      </c>
      <c r="I2065" s="20"/>
      <c r="J2065" s="8"/>
      <c r="K2065" s="182"/>
      <c r="L2065" s="8" t="s">
        <v>4156</v>
      </c>
      <c r="M2065" s="8" t="s">
        <v>2814</v>
      </c>
      <c r="N2065" s="38" t="s">
        <v>8245</v>
      </c>
      <c r="O2065" s="8"/>
      <c r="P2065" s="4" t="str">
        <f>VLOOKUP($B2065,'D7 - NDB Impacted SPRF''s'!$E$16:$O$9929,9,FALSE)</f>
        <v>N</v>
      </c>
      <c r="Q2065" s="4" t="str">
        <f>VLOOKUP($B2065,'D7 - NDB Impacted SPRF''s'!$E$16:$O$9929,10,FALSE)</f>
        <v>N</v>
      </c>
      <c r="R2065" s="4" t="str">
        <f>VLOOKUP($B2065,'D7 - NDB Impacted SPRF''s'!$E$16:$O$9929,11,FALSE)</f>
        <v>N</v>
      </c>
      <c r="S2065" s="8"/>
      <c r="T2065" s="310"/>
      <c r="U2065" s="310"/>
      <c r="V2065" s="4"/>
      <c r="W2065" s="4"/>
      <c r="X2065" s="4"/>
      <c r="Y2065" s="4"/>
      <c r="Z2065" s="4"/>
      <c r="AA2065" s="4"/>
      <c r="AB2065" s="380" t="str">
        <f>VLOOKUP($B2065,'D7 - NDB Impacted SPRF''s'!$E$6:$O$9929,4,FALSE)</f>
        <v>Scheduled</v>
      </c>
      <c r="AC2065" s="380" t="str">
        <f>VLOOKUP($B2065,'D7 - NDB Impacted SPRF''s'!$E$6:$O$9929,3,FALSE)</f>
        <v>UnitedHealthcare Community &amp; State</v>
      </c>
      <c r="AD2065" s="380" t="str">
        <f>VLOOKUP($B2065,'D7 - NDB Impacted SPRF''s'!$E$6:$O$9929,5,FALSE)</f>
        <v>Membership Growth / Revenue Programs</v>
      </c>
      <c r="AE2065" s="380" t="str">
        <f>VLOOKUP($B2065,'D7 - NDB Impacted SPRF''s'!$E$6:$O$9929,7,FALSE)</f>
        <v>Bror Hultgren</v>
      </c>
      <c r="AF2065" s="380" t="str">
        <f>VLOOKUP($B2065,'D7 - NDB Impacted SPRF''s'!$E$6:$O$9929,6,FALSE)</f>
        <v>LAN HOANG</v>
      </c>
      <c r="AG2065" s="282"/>
      <c r="AH2065" s="311" t="e">
        <f>INDEX('D5 - Gatekeeper - Projects'!$A$4:$AF$1010,$AM2065, 17)</f>
        <v>#N/A</v>
      </c>
      <c r="AI2065" s="8"/>
      <c r="AJ2065" s="57"/>
      <c r="AK2065" s="105"/>
      <c r="AM2065" s="6" t="e">
        <f>MATCH(D2065,'D5 - Gatekeeper - Projects'!$C$4:$C$1010,0)</f>
        <v>#N/A</v>
      </c>
      <c r="AN2065" s="6" t="b">
        <f t="shared" si="221"/>
        <v>1</v>
      </c>
      <c r="AO2065" s="6" t="str">
        <f t="shared" si="222"/>
        <v>OK</v>
      </c>
      <c r="AQ2065" s="6" t="e">
        <f>MATCH($D2065,'D4 - Provider Council Unsched'!$C$11:$C$234,0)</f>
        <v>#N/A</v>
      </c>
      <c r="AR2065" s="6" t="b">
        <f t="shared" si="223"/>
        <v>1</v>
      </c>
      <c r="AS2065" s="6" t="str">
        <f t="shared" si="220"/>
        <v>OK</v>
      </c>
      <c r="AU2065" s="202"/>
      <c r="AV2065" s="322" t="s">
        <v>2238</v>
      </c>
      <c r="AW2065" s="274"/>
    </row>
    <row r="2066" spans="1:49" s="13" customFormat="1" ht="22.5" x14ac:dyDescent="0.2">
      <c r="A2066" s="14">
        <v>2042</v>
      </c>
      <c r="B2066" s="8">
        <v>400055289</v>
      </c>
      <c r="C2066" s="8" t="s">
        <v>1447</v>
      </c>
      <c r="D2066" s="4" t="str">
        <f t="shared" si="219"/>
        <v>400055289A</v>
      </c>
      <c r="E2066" s="309" t="str">
        <f>VLOOKUP($B2066,'D7 - NDB Impacted SPRF''s'!$E$6:$O$9929,2,FALSE)</f>
        <v>ORX FS Dependent CHP WRTF</v>
      </c>
      <c r="F2066" s="8"/>
      <c r="G2066" s="8" t="s">
        <v>4758</v>
      </c>
      <c r="H2066" s="8" t="s">
        <v>4246</v>
      </c>
      <c r="I2066" s="20"/>
      <c r="J2066" s="8"/>
      <c r="K2066" s="182"/>
      <c r="L2066" s="8" t="s">
        <v>4156</v>
      </c>
      <c r="M2066" s="8" t="s">
        <v>2814</v>
      </c>
      <c r="N2066" s="38" t="s">
        <v>7170</v>
      </c>
      <c r="O2066" s="8"/>
      <c r="P2066" s="4" t="str">
        <f>VLOOKUP($B2066,'D7 - NDB Impacted SPRF''s'!$E$16:$O$9929,9,FALSE)</f>
        <v>N</v>
      </c>
      <c r="Q2066" s="4" t="str">
        <f>VLOOKUP($B2066,'D7 - NDB Impacted SPRF''s'!$E$16:$O$9929,10,FALSE)</f>
        <v>N</v>
      </c>
      <c r="R2066" s="4" t="str">
        <f>VLOOKUP($B2066,'D7 - NDB Impacted SPRF''s'!$E$16:$O$9929,11,FALSE)</f>
        <v>N</v>
      </c>
      <c r="S2066" s="8"/>
      <c r="T2066" s="310"/>
      <c r="U2066" s="310"/>
      <c r="V2066" s="4"/>
      <c r="W2066" s="4"/>
      <c r="X2066" s="4"/>
      <c r="Y2066" s="4"/>
      <c r="Z2066" s="4"/>
      <c r="AA2066" s="4"/>
      <c r="AB2066" s="380" t="str">
        <f>VLOOKUP($B2066,'D7 - NDB Impacted SPRF''s'!$E$6:$O$9929,4,FALSE)</f>
        <v>Completed</v>
      </c>
      <c r="AC2066" s="380" t="str">
        <f>VLOOKUP($B2066,'D7 - NDB Impacted SPRF''s'!$E$6:$O$9929,3,FALSE)</f>
        <v>OptumRx</v>
      </c>
      <c r="AD2066" s="380" t="str">
        <f>VLOOKUP($B2066,'D7 - NDB Impacted SPRF''s'!$E$6:$O$9929,5,FALSE)</f>
        <v>Prescription Solutions</v>
      </c>
      <c r="AE2066" s="380" t="str">
        <f>VLOOKUP($B2066,'D7 - NDB Impacted SPRF''s'!$E$6:$O$9929,7,FALSE)</f>
        <v>Swartz, Richard A</v>
      </c>
      <c r="AF2066" s="380" t="str">
        <f>VLOOKUP($B2066,'D7 - NDB Impacted SPRF''s'!$E$6:$O$9929,6,FALSE)</f>
        <v>Mark Paidosh</v>
      </c>
      <c r="AG2066" s="282"/>
      <c r="AH2066" s="311" t="e">
        <f>INDEX('D5 - Gatekeeper - Projects'!$A$4:$AF$1010,$AM2066, 17)</f>
        <v>#N/A</v>
      </c>
      <c r="AI2066" s="8"/>
      <c r="AJ2066" s="57"/>
      <c r="AK2066" s="105"/>
      <c r="AM2066" s="6" t="e">
        <f>MATCH(D2066,'D5 - Gatekeeper - Projects'!$C$4:$C$1010,0)</f>
        <v>#N/A</v>
      </c>
      <c r="AN2066" s="6" t="b">
        <f t="shared" si="221"/>
        <v>1</v>
      </c>
      <c r="AO2066" s="6" t="str">
        <f t="shared" si="222"/>
        <v>OK</v>
      </c>
      <c r="AQ2066" s="6" t="e">
        <f>MATCH($D2066,'D4 - Provider Council Unsched'!$C$11:$C$234,0)</f>
        <v>#N/A</v>
      </c>
      <c r="AR2066" s="6" t="b">
        <f t="shared" si="223"/>
        <v>1</v>
      </c>
      <c r="AS2066" s="6" t="str">
        <f t="shared" si="220"/>
        <v>OK</v>
      </c>
      <c r="AU2066" s="202"/>
      <c r="AV2066" s="323" t="s">
        <v>2614</v>
      </c>
      <c r="AW2066" s="274"/>
    </row>
    <row r="2067" spans="1:49" s="13" customFormat="1" x14ac:dyDescent="0.2">
      <c r="A2067" s="14">
        <v>2043</v>
      </c>
      <c r="B2067" s="8">
        <v>477777777</v>
      </c>
      <c r="C2067" s="8" t="s">
        <v>1447</v>
      </c>
      <c r="D2067" s="4" t="str">
        <f t="shared" si="219"/>
        <v>477777777A</v>
      </c>
      <c r="E2067" s="309" t="str">
        <f>VLOOKUP($B2067,'D7 - NDB Impacted SPRF''s'!$E$6:$O$9929,2,FALSE)</f>
        <v>DBRMS</v>
      </c>
      <c r="F2067" s="8"/>
      <c r="G2067" s="8" t="s">
        <v>4758</v>
      </c>
      <c r="H2067" s="8" t="s">
        <v>4246</v>
      </c>
      <c r="I2067" s="20"/>
      <c r="J2067" s="8"/>
      <c r="K2067" s="182"/>
      <c r="L2067" s="8" t="s">
        <v>4156</v>
      </c>
      <c r="M2067" s="8" t="s">
        <v>2814</v>
      </c>
      <c r="N2067" s="38" t="s">
        <v>1277</v>
      </c>
      <c r="O2067" s="8"/>
      <c r="P2067" s="4" t="str">
        <f>VLOOKUP($B2067,'D7 - NDB Impacted SPRF''s'!$E$16:$O$9929,9,FALSE)</f>
        <v>N</v>
      </c>
      <c r="Q2067" s="4" t="str">
        <f>VLOOKUP($B2067,'D7 - NDB Impacted SPRF''s'!$E$16:$O$9929,10,FALSE)</f>
        <v>N</v>
      </c>
      <c r="R2067" s="4" t="str">
        <f>VLOOKUP($B2067,'D7 - NDB Impacted SPRF''s'!$E$16:$O$9929,11,FALSE)</f>
        <v>N</v>
      </c>
      <c r="S2067" s="8"/>
      <c r="T2067" s="310"/>
      <c r="U2067" s="310"/>
      <c r="V2067" s="4"/>
      <c r="W2067" s="4"/>
      <c r="X2067" s="4"/>
      <c r="Y2067" s="4"/>
      <c r="Z2067" s="4"/>
      <c r="AA2067" s="4"/>
      <c r="AB2067" s="380" t="str">
        <f>VLOOKUP($B2067,'D7 - NDB Impacted SPRF''s'!$E$6:$O$9929,4,FALSE)</f>
        <v>n/a</v>
      </c>
      <c r="AC2067" s="380" t="str">
        <f>VLOOKUP($B2067,'D7 - NDB Impacted SPRF''s'!$E$6:$O$9929,3,FALSE)</f>
        <v>n/a</v>
      </c>
      <c r="AD2067" s="380" t="str">
        <f>VLOOKUP($B2067,'D7 - NDB Impacted SPRF''s'!$E$6:$O$9929,5,FALSE)</f>
        <v>n/a</v>
      </c>
      <c r="AE2067" s="380" t="str">
        <f>VLOOKUP($B2067,'D7 - NDB Impacted SPRF''s'!$E$6:$O$9929,7,FALSE)</f>
        <v>n/a</v>
      </c>
      <c r="AF2067" s="380" t="str">
        <f>VLOOKUP($B2067,'D7 - NDB Impacted SPRF''s'!$E$6:$O$9929,6,FALSE)</f>
        <v>n/a</v>
      </c>
      <c r="AG2067" s="282"/>
      <c r="AH2067" s="311" t="e">
        <f>INDEX('D5 - Gatekeeper - Projects'!$A$4:$AF$1010,$AM2067, 17)</f>
        <v>#N/A</v>
      </c>
      <c r="AI2067" s="8"/>
      <c r="AJ2067" s="57"/>
      <c r="AK2067" s="105"/>
      <c r="AM2067" s="6" t="e">
        <f>MATCH(D2067,'D5 - Gatekeeper - Projects'!$C$4:$C$1010,0)</f>
        <v>#N/A</v>
      </c>
      <c r="AN2067" s="6" t="b">
        <f t="shared" si="221"/>
        <v>1</v>
      </c>
      <c r="AO2067" s="6" t="str">
        <f t="shared" si="222"/>
        <v>OK</v>
      </c>
      <c r="AQ2067" s="6" t="e">
        <f>MATCH($D2067,'D4 - Provider Council Unsched'!$C$11:$C$234,0)</f>
        <v>#N/A</v>
      </c>
      <c r="AR2067" s="6" t="b">
        <f t="shared" si="223"/>
        <v>1</v>
      </c>
      <c r="AS2067" s="6" t="str">
        <f t="shared" si="220"/>
        <v>OK</v>
      </c>
      <c r="AU2067" s="202"/>
      <c r="AV2067" s="262"/>
      <c r="AW2067" s="274"/>
    </row>
    <row r="2068" spans="1:49" s="13" customFormat="1" x14ac:dyDescent="0.2">
      <c r="A2068" s="14">
        <v>2044</v>
      </c>
      <c r="B2068" s="133">
        <v>0</v>
      </c>
      <c r="C2068" s="47"/>
      <c r="D2068" s="46" t="str">
        <f t="shared" si="219"/>
        <v>0</v>
      </c>
      <c r="E2068" s="47"/>
      <c r="F2068" s="47"/>
      <c r="G2068" s="47" t="s">
        <v>4758</v>
      </c>
      <c r="H2068" s="47" t="s">
        <v>2870</v>
      </c>
      <c r="I2068" s="48"/>
      <c r="J2068" s="47"/>
      <c r="K2068" s="183">
        <v>36892</v>
      </c>
      <c r="L2068" s="46"/>
      <c r="M2068" s="46" t="s">
        <v>2814</v>
      </c>
      <c r="N2068" s="366"/>
      <c r="O2068" s="47"/>
      <c r="P2068" s="46" t="e">
        <f>VLOOKUP($B2068,'D7 - NDB Impacted SPRF''s'!$E$16:$O$9929,9,FALSE)</f>
        <v>#N/A</v>
      </c>
      <c r="Q2068" s="46" t="e">
        <f>VLOOKUP($B2068,'D7 - NDB Impacted SPRF''s'!$E$16:$O$9929,10,FALSE)</f>
        <v>#N/A</v>
      </c>
      <c r="R2068" s="46" t="e">
        <f>VLOOKUP($B2068,'D7 - NDB Impacted SPRF''s'!$E$16:$O$9929,11,FALSE)</f>
        <v>#N/A</v>
      </c>
      <c r="S2068" s="47"/>
      <c r="T2068" s="325" t="str">
        <f>IF($H2068=$H$1,INDEX('D5 - Gatekeeper - Projects'!$A$4:$AF$1010,$AM2068,27),"NA")</f>
        <v>NA</v>
      </c>
      <c r="U2068" s="325" t="str">
        <f>IF($H2068=$H$1,INDEX('D5 - Gatekeeper - Projects'!$A$4:$AF$1010,$AM2068,28),"NA")</f>
        <v>NA</v>
      </c>
      <c r="V2068" s="325" t="str">
        <f>IF($H2068=$H$1,INDEX('D5 - Gatekeeper - Projects'!$A$4:$AF$1010,$AM2068,28),"NA")</f>
        <v>NA</v>
      </c>
      <c r="W2068" s="325" t="str">
        <f>IF($H2068=$H$1,INDEX('D5 - Gatekeeper - Projects'!$A$4:$AF$1010,$AM2068,28),"NA")</f>
        <v>NA</v>
      </c>
      <c r="X2068" s="325" t="str">
        <f>IF($H2068=$H$1,INDEX('D5 - Gatekeeper - Projects'!$A$4:$AF$1010,$AM2068,28),"NA")</f>
        <v>NA</v>
      </c>
      <c r="Y2068" s="325" t="str">
        <f>IF($H2068=$H$1,INDEX('D5 - Gatekeeper - Projects'!$A$4:$AF$1010,$AM2068,28),"NA")</f>
        <v>NA</v>
      </c>
      <c r="Z2068" s="325" t="str">
        <f>IF($H2068=$H$1,INDEX('D5 - Gatekeeper - Projects'!$A$4:$AF$1010,$AM2068,28),"NA")</f>
        <v>NA</v>
      </c>
      <c r="AA2068" s="325" t="str">
        <f>IF($H2068=$H$1,INDEX('D5 - Gatekeeper - Projects'!$A$4:$AF$1010,$AM2068,28),"NA")</f>
        <v>NA</v>
      </c>
      <c r="AB2068" s="381" t="e">
        <f>VLOOKUP($B2068,'D7 - NDB Impacted SPRF''s'!$E$16:$O$9929,4,FALSE)</f>
        <v>#N/A</v>
      </c>
      <c r="AC2068" s="381" t="e">
        <f>VLOOKUP($B2068,'D7 - NDB Impacted SPRF''s'!$E$16:$O$9929,3,FALSE)</f>
        <v>#N/A</v>
      </c>
      <c r="AD2068" s="381" t="e">
        <f>VLOOKUP($B2068,'D7 - NDB Impacted SPRF''s'!$E$16:$O$9929,5,FALSE)</f>
        <v>#N/A</v>
      </c>
      <c r="AE2068" s="381" t="e">
        <f>VLOOKUP($B2068,'D7 - NDB Impacted SPRF''s'!$E$16:$O$9929,7,FALSE)</f>
        <v>#N/A</v>
      </c>
      <c r="AF2068" s="381" t="e">
        <f>VLOOKUP($B2068,'D7 - NDB Impacted SPRF''s'!$E$16:$O$9929,6,FALSE)</f>
        <v>#N/A</v>
      </c>
      <c r="AG2068" s="324"/>
      <c r="AH2068" s="326"/>
      <c r="AI2068" s="47"/>
      <c r="AJ2068" s="58"/>
      <c r="AK2068" s="106"/>
      <c r="AM2068" s="6" t="e">
        <f>MATCH(D2068,'D5 - Gatekeeper - Projects'!$C$4:$C$1010,0)</f>
        <v>#N/A</v>
      </c>
      <c r="AN2068" s="6" t="b">
        <f t="shared" si="221"/>
        <v>1</v>
      </c>
      <c r="AO2068" s="6" t="str">
        <f t="shared" si="222"/>
        <v>OK</v>
      </c>
      <c r="AQ2068" s="6" t="e">
        <f>MATCH($D2068,'D4 - Provider Council Unsched'!$C$11:$C$234,0)</f>
        <v>#N/A</v>
      </c>
      <c r="AR2068" s="6" t="b">
        <f t="shared" si="223"/>
        <v>1</v>
      </c>
      <c r="AS2068" s="6" t="str">
        <f t="shared" ref="AS2068:AS2099" si="224">IF(AND(H2068="2 - Not Scheduled",AR2068=TRUE),"Add","OK")</f>
        <v>OK</v>
      </c>
      <c r="AU2068" s="202"/>
      <c r="AV2068" s="262"/>
      <c r="AW2068" s="275"/>
    </row>
    <row r="2069" spans="1:49" s="13" customFormat="1" ht="33.75" x14ac:dyDescent="0.2">
      <c r="A2069" s="14">
        <v>2045</v>
      </c>
      <c r="B2069" s="14">
        <v>400008719</v>
      </c>
      <c r="C2069" s="8" t="s">
        <v>5197</v>
      </c>
      <c r="D2069" s="4" t="str">
        <f t="shared" si="219"/>
        <v>400008719R1</v>
      </c>
      <c r="E2069" s="309" t="str">
        <f>VLOOKUP($B2069,'D7 - NDB Impacted SPRF''s'!$E$6:$O$9929,2,FALSE)</f>
        <v>MAMSI Referral Integration</v>
      </c>
      <c r="F2069" s="8" t="s">
        <v>5196</v>
      </c>
      <c r="G2069" s="8" t="s">
        <v>4758</v>
      </c>
      <c r="H2069" s="8" t="s">
        <v>2870</v>
      </c>
      <c r="I2069" s="20">
        <v>0.52</v>
      </c>
      <c r="J2069" s="8" t="s">
        <v>4862</v>
      </c>
      <c r="K2069" s="182">
        <v>38843</v>
      </c>
      <c r="L2069" s="8" t="s">
        <v>4156</v>
      </c>
      <c r="M2069" s="8" t="s">
        <v>2814</v>
      </c>
      <c r="N2069" s="38" t="s">
        <v>7421</v>
      </c>
      <c r="O2069" s="8"/>
      <c r="P2069" s="4" t="str">
        <f>VLOOKUP($B2069,'D7 - NDB Impacted SPRF''s'!$E$16:$O$9929,9,FALSE)</f>
        <v>Y</v>
      </c>
      <c r="Q2069" s="4" t="str">
        <f>VLOOKUP($B2069,'D7 - NDB Impacted SPRF''s'!$E$16:$O$9929,10,FALSE)</f>
        <v>N</v>
      </c>
      <c r="R2069" s="4" t="str">
        <f>VLOOKUP($B2069,'D7 - NDB Impacted SPRF''s'!$E$16:$O$9929,11,FALSE)</f>
        <v>N</v>
      </c>
      <c r="S2069" s="8"/>
      <c r="T2069" s="310"/>
      <c r="U2069" s="310"/>
      <c r="V2069" s="4"/>
      <c r="W2069" s="4"/>
      <c r="X2069" s="4"/>
      <c r="Y2069" s="4"/>
      <c r="Z2069" s="4"/>
      <c r="AA2069" s="4"/>
      <c r="AB2069" s="380" t="str">
        <f>VLOOKUP($B2069,'D7 - NDB Impacted SPRF''s'!$E$16:$O$9929,4,FALSE)</f>
        <v>Completed</v>
      </c>
      <c r="AC2069" s="380" t="str">
        <f>VLOOKUP($B2069,'D7 - NDB Impacted SPRF''s'!$E$16:$O$9929,3,FALSE)</f>
        <v>UnitedHealthcare Employer &amp; Individual</v>
      </c>
      <c r="AD2069" s="380" t="str">
        <f>VLOOKUP($B2069,'D7 - NDB Impacted SPRF''s'!$E$16:$O$9929,5,FALSE)</f>
        <v>Integration Requirements</v>
      </c>
      <c r="AE2069" s="380" t="str">
        <f>VLOOKUP($B2069,'D7 - NDB Impacted SPRF''s'!$E$16:$O$9929,7,FALSE)</f>
        <v>Diane Schofied</v>
      </c>
      <c r="AF2069" s="380" t="str">
        <f>VLOOKUP($B2069,'D7 - NDB Impacted SPRF''s'!$E$16:$O$9929,6,FALSE)</f>
        <v>Jennifer Steffens</v>
      </c>
      <c r="AG2069" s="282"/>
      <c r="AH2069" s="311" t="e">
        <f>INDEX('D5 - Gatekeeper - Projects'!$A$4:$AF$1010,$AM2069, 17)</f>
        <v>#N/A</v>
      </c>
      <c r="AI2069" s="8"/>
      <c r="AJ2069" s="57"/>
      <c r="AK2069" s="105"/>
      <c r="AM2069" s="6" t="e">
        <f>MATCH(D2069,'D5 - Gatekeeper - Projects'!$C$4:$C$1010,0)</f>
        <v>#N/A</v>
      </c>
      <c r="AN2069" s="6" t="b">
        <f t="shared" si="221"/>
        <v>1</v>
      </c>
      <c r="AO2069" s="6" t="str">
        <f t="shared" si="222"/>
        <v>OK</v>
      </c>
      <c r="AQ2069" s="6" t="e">
        <f>MATCH($D2069,'D4 - Provider Council Unsched'!$C$11:$C$234,0)</f>
        <v>#N/A</v>
      </c>
      <c r="AR2069" s="6" t="b">
        <f t="shared" si="223"/>
        <v>1</v>
      </c>
      <c r="AS2069" s="6" t="str">
        <f t="shared" si="224"/>
        <v>OK</v>
      </c>
      <c r="AU2069" s="202"/>
      <c r="AV2069" s="262"/>
      <c r="AW2069" s="274"/>
    </row>
    <row r="2070" spans="1:49" s="13" customFormat="1" ht="33.75" x14ac:dyDescent="0.2">
      <c r="A2070" s="14">
        <v>2046</v>
      </c>
      <c r="B2070" s="14">
        <v>400005444</v>
      </c>
      <c r="C2070" s="8" t="s">
        <v>3286</v>
      </c>
      <c r="D2070" s="4" t="str">
        <f t="shared" si="219"/>
        <v>400005444CC02</v>
      </c>
      <c r="E2070" s="309" t="str">
        <f>VLOOKUP($B2070,'D7 - NDB Impacted SPRF''s'!$E$6:$O$9929,2,FALSE)</f>
        <v>Facility EDI for Shared Savings</v>
      </c>
      <c r="F2070" s="8" t="s">
        <v>7800</v>
      </c>
      <c r="G2070" s="8" t="s">
        <v>4758</v>
      </c>
      <c r="H2070" s="8" t="s">
        <v>2870</v>
      </c>
      <c r="I2070" s="20">
        <v>0.22</v>
      </c>
      <c r="J2070" s="8" t="s">
        <v>4862</v>
      </c>
      <c r="K2070" s="182">
        <v>38885</v>
      </c>
      <c r="L2070" s="8" t="s">
        <v>5743</v>
      </c>
      <c r="M2070" s="8" t="s">
        <v>2814</v>
      </c>
      <c r="N2070" s="367" t="s">
        <v>4417</v>
      </c>
      <c r="O2070" s="8" t="s">
        <v>5509</v>
      </c>
      <c r="P2070" s="4" t="str">
        <f>VLOOKUP($B2070,'D7 - NDB Impacted SPRF''s'!$E$16:$O$9929,9,FALSE)</f>
        <v>Y</v>
      </c>
      <c r="Q2070" s="4" t="str">
        <f>VLOOKUP($B2070,'D7 - NDB Impacted SPRF''s'!$E$16:$O$9929,10,FALSE)</f>
        <v>N</v>
      </c>
      <c r="R2070" s="4" t="str">
        <f>VLOOKUP($B2070,'D7 - NDB Impacted SPRF''s'!$E$16:$O$9929,11,FALSE)</f>
        <v>N</v>
      </c>
      <c r="S2070" s="8"/>
      <c r="T2070" s="310"/>
      <c r="U2070" s="310"/>
      <c r="V2070" s="4"/>
      <c r="W2070" s="4"/>
      <c r="X2070" s="4"/>
      <c r="Y2070" s="4"/>
      <c r="Z2070" s="4"/>
      <c r="AA2070" s="4"/>
      <c r="AB2070" s="380" t="str">
        <f>VLOOKUP($B2070,'D7 - NDB Impacted SPRF''s'!$E$16:$O$9929,4,FALSE)</f>
        <v>Completed</v>
      </c>
      <c r="AC2070" s="380" t="str">
        <f>VLOOKUP($B2070,'D7 - NDB Impacted SPRF''s'!$E$16:$O$9929,3,FALSE)</f>
        <v>UnitedHealthcare Employer &amp; Individual</v>
      </c>
      <c r="AD2070" s="380" t="str">
        <f>VLOOKUP($B2070,'D7 - NDB Impacted SPRF''s'!$E$16:$O$9929,5,FALSE)</f>
        <v>Medical Cost Savings Programs</v>
      </c>
      <c r="AE2070" s="380" t="str">
        <f>VLOOKUP($B2070,'D7 - NDB Impacted SPRF''s'!$E$16:$O$9929,7,FALSE)</f>
        <v>John Haben</v>
      </c>
      <c r="AF2070" s="380" t="str">
        <f>VLOOKUP($B2070,'D7 - NDB Impacted SPRF''s'!$E$16:$O$9929,6,FALSE)</f>
        <v>SARAH PETERSON</v>
      </c>
      <c r="AG2070" s="282"/>
      <c r="AH2070" s="311" t="e">
        <f>INDEX('D5 - Gatekeeper - Projects'!$A$4:$AF$1010,$AM2070, 17)</f>
        <v>#N/A</v>
      </c>
      <c r="AI2070" s="8"/>
      <c r="AJ2070" s="57"/>
      <c r="AK2070" s="105"/>
      <c r="AM2070" s="6" t="e">
        <f>MATCH(D2070,'D5 - Gatekeeper - Projects'!$C$4:$C$1010,0)</f>
        <v>#N/A</v>
      </c>
      <c r="AN2070" s="6" t="b">
        <f t="shared" si="221"/>
        <v>1</v>
      </c>
      <c r="AO2070" s="6" t="str">
        <f t="shared" si="222"/>
        <v>OK</v>
      </c>
      <c r="AQ2070" s="6" t="e">
        <f>MATCH($D2070,'D4 - Provider Council Unsched'!$C$11:$C$234,0)</f>
        <v>#N/A</v>
      </c>
      <c r="AR2070" s="6" t="b">
        <f t="shared" si="223"/>
        <v>1</v>
      </c>
      <c r="AS2070" s="6" t="str">
        <f t="shared" si="224"/>
        <v>OK</v>
      </c>
      <c r="AU2070" s="202"/>
      <c r="AV2070" s="262"/>
      <c r="AW2070" s="274"/>
    </row>
    <row r="2071" spans="1:49" s="13" customFormat="1" ht="78.75" x14ac:dyDescent="0.2">
      <c r="A2071" s="14">
        <v>2047</v>
      </c>
      <c r="B2071" s="14">
        <v>400008339</v>
      </c>
      <c r="C2071" s="8" t="s">
        <v>7133</v>
      </c>
      <c r="D2071" s="4" t="str">
        <f t="shared" si="219"/>
        <v>400008339CC04</v>
      </c>
      <c r="E2071" s="309" t="str">
        <f>VLOOKUP($B2071,'D7 - NDB Impacted SPRF''s'!$E$6:$O$9929,2,FALSE)</f>
        <v>Gated HMO Design &amp; Development Phase III</v>
      </c>
      <c r="F2071" s="8" t="s">
        <v>4168</v>
      </c>
      <c r="G2071" s="8" t="s">
        <v>4758</v>
      </c>
      <c r="H2071" s="8" t="s">
        <v>2870</v>
      </c>
      <c r="I2071" s="20">
        <v>6</v>
      </c>
      <c r="J2071" s="8" t="s">
        <v>4862</v>
      </c>
      <c r="K2071" s="182">
        <v>38885</v>
      </c>
      <c r="L2071" s="8" t="s">
        <v>5743</v>
      </c>
      <c r="M2071" s="8" t="s">
        <v>2814</v>
      </c>
      <c r="N2071" s="368" t="s">
        <v>3848</v>
      </c>
      <c r="O2071" s="8"/>
      <c r="P2071" s="4" t="str">
        <f>VLOOKUP($B2071,'D7 - NDB Impacted SPRF''s'!$E$16:$O$9929,9,FALSE)</f>
        <v>Y</v>
      </c>
      <c r="Q2071" s="4" t="str">
        <f>VLOOKUP($B2071,'D7 - NDB Impacted SPRF''s'!$E$16:$O$9929,10,FALSE)</f>
        <v>N</v>
      </c>
      <c r="R2071" s="4" t="str">
        <f>VLOOKUP($B2071,'D7 - NDB Impacted SPRF''s'!$E$16:$O$9929,11,FALSE)</f>
        <v>N</v>
      </c>
      <c r="S2071" s="8"/>
      <c r="T2071" s="310"/>
      <c r="U2071" s="310"/>
      <c r="V2071" s="4"/>
      <c r="W2071" s="4"/>
      <c r="X2071" s="4"/>
      <c r="Y2071" s="4"/>
      <c r="Z2071" s="4"/>
      <c r="AA2071" s="4"/>
      <c r="AB2071" s="380" t="str">
        <f>VLOOKUP($B2071,'D7 - NDB Impacted SPRF''s'!$E$16:$O$9929,4,FALSE)</f>
        <v>Completed</v>
      </c>
      <c r="AC2071" s="380" t="str">
        <f>VLOOKUP($B2071,'D7 - NDB Impacted SPRF''s'!$E$16:$O$9929,3,FALSE)</f>
        <v>Alliance</v>
      </c>
      <c r="AD2071" s="380" t="str">
        <f>VLOOKUP($B2071,'D7 - NDB Impacted SPRF''s'!$E$16:$O$9929,5,FALSE)</f>
        <v>Gated HMO</v>
      </c>
      <c r="AE2071" s="380" t="str">
        <f>VLOOKUP($B2071,'D7 - NDB Impacted SPRF''s'!$E$16:$O$9929,7,FALSE)</f>
        <v>Diane Schofield</v>
      </c>
      <c r="AF2071" s="380" t="str">
        <f>VLOOKUP($B2071,'D7 - NDB Impacted SPRF''s'!$E$16:$O$9929,6,FALSE)</f>
        <v>Debi Streb</v>
      </c>
      <c r="AG2071" s="282" t="s">
        <v>7755</v>
      </c>
      <c r="AH2071" s="311" t="e">
        <f>INDEX('D5 - Gatekeeper - Projects'!$A$4:$AF$1010,$AM2071, 17)</f>
        <v>#N/A</v>
      </c>
      <c r="AI2071" s="8"/>
      <c r="AJ2071" s="57"/>
      <c r="AK2071" s="105"/>
      <c r="AM2071" s="6" t="e">
        <f>MATCH(D2071,'D5 - Gatekeeper - Projects'!$C$4:$C$1010,0)</f>
        <v>#N/A</v>
      </c>
      <c r="AN2071" s="6" t="b">
        <f t="shared" si="221"/>
        <v>1</v>
      </c>
      <c r="AO2071" s="6" t="str">
        <f t="shared" si="222"/>
        <v>OK</v>
      </c>
      <c r="AQ2071" s="6" t="e">
        <f>MATCH($D2071,'D4 - Provider Council Unsched'!$C$11:$C$234,0)</f>
        <v>#N/A</v>
      </c>
      <c r="AR2071" s="6" t="b">
        <f t="shared" si="223"/>
        <v>1</v>
      </c>
      <c r="AS2071" s="6" t="str">
        <f t="shared" si="224"/>
        <v>OK</v>
      </c>
      <c r="AU2071" s="202"/>
      <c r="AV2071" s="262"/>
      <c r="AW2071" s="274"/>
    </row>
    <row r="2072" spans="1:49" s="13" customFormat="1" ht="22.5" x14ac:dyDescent="0.2">
      <c r="A2072" s="14">
        <v>2048</v>
      </c>
      <c r="B2072" s="14">
        <v>400008339</v>
      </c>
      <c r="C2072" s="8" t="s">
        <v>3763</v>
      </c>
      <c r="D2072" s="4" t="str">
        <f t="shared" si="219"/>
        <v>400008339R2</v>
      </c>
      <c r="E2072" s="309" t="str">
        <f>VLOOKUP($B2072,'D7 - NDB Impacted SPRF''s'!$E$6:$O$9929,2,FALSE)</f>
        <v>Gated HMO Design &amp; Development Phase III</v>
      </c>
      <c r="F2072" s="8" t="s">
        <v>4168</v>
      </c>
      <c r="G2072" s="8" t="s">
        <v>4758</v>
      </c>
      <c r="H2072" s="8" t="s">
        <v>2870</v>
      </c>
      <c r="I2072" s="20">
        <v>2</v>
      </c>
      <c r="J2072" s="8" t="s">
        <v>4862</v>
      </c>
      <c r="K2072" s="182">
        <v>38885</v>
      </c>
      <c r="L2072" s="8" t="s">
        <v>6919</v>
      </c>
      <c r="M2072" s="8" t="s">
        <v>2814</v>
      </c>
      <c r="N2072" s="65" t="s">
        <v>7302</v>
      </c>
      <c r="O2072" s="8"/>
      <c r="P2072" s="4" t="str">
        <f>VLOOKUP($B2072,'D7 - NDB Impacted SPRF''s'!$E$16:$O$9929,9,FALSE)</f>
        <v>Y</v>
      </c>
      <c r="Q2072" s="4" t="str">
        <f>VLOOKUP($B2072,'D7 - NDB Impacted SPRF''s'!$E$16:$O$9929,10,FALSE)</f>
        <v>N</v>
      </c>
      <c r="R2072" s="4" t="str">
        <f>VLOOKUP($B2072,'D7 - NDB Impacted SPRF''s'!$E$16:$O$9929,11,FALSE)</f>
        <v>N</v>
      </c>
      <c r="S2072" s="8"/>
      <c r="T2072" s="310"/>
      <c r="U2072" s="310"/>
      <c r="V2072" s="4"/>
      <c r="W2072" s="4"/>
      <c r="X2072" s="4"/>
      <c r="Y2072" s="4"/>
      <c r="Z2072" s="4"/>
      <c r="AA2072" s="4"/>
      <c r="AB2072" s="380" t="str">
        <f>VLOOKUP($B2072,'D7 - NDB Impacted SPRF''s'!$E$16:$O$9929,4,FALSE)</f>
        <v>Completed</v>
      </c>
      <c r="AC2072" s="380" t="str">
        <f>VLOOKUP($B2072,'D7 - NDB Impacted SPRF''s'!$E$16:$O$9929,3,FALSE)</f>
        <v>Alliance</v>
      </c>
      <c r="AD2072" s="380" t="str">
        <f>VLOOKUP($B2072,'D7 - NDB Impacted SPRF''s'!$E$16:$O$9929,5,FALSE)</f>
        <v>Gated HMO</v>
      </c>
      <c r="AE2072" s="380" t="str">
        <f>VLOOKUP($B2072,'D7 - NDB Impacted SPRF''s'!$E$16:$O$9929,7,FALSE)</f>
        <v>Diane Schofield</v>
      </c>
      <c r="AF2072" s="380" t="str">
        <f>VLOOKUP($B2072,'D7 - NDB Impacted SPRF''s'!$E$16:$O$9929,6,FALSE)</f>
        <v>Debi Streb</v>
      </c>
      <c r="AG2072" s="282" t="s">
        <v>7755</v>
      </c>
      <c r="AH2072" s="311" t="e">
        <f>INDEX('D5 - Gatekeeper - Projects'!$A$4:$AF$1010,$AM2072, 17)</f>
        <v>#N/A</v>
      </c>
      <c r="AI2072" s="8"/>
      <c r="AJ2072" s="57"/>
      <c r="AK2072" s="105"/>
      <c r="AM2072" s="6" t="e">
        <f>MATCH(D2072,'D5 - Gatekeeper - Projects'!$C$4:$C$1010,0)</f>
        <v>#N/A</v>
      </c>
      <c r="AN2072" s="6" t="b">
        <f t="shared" si="221"/>
        <v>1</v>
      </c>
      <c r="AO2072" s="6" t="str">
        <f t="shared" si="222"/>
        <v>OK</v>
      </c>
      <c r="AQ2072" s="6" t="e">
        <f>MATCH($D2072,'D4 - Provider Council Unsched'!$C$11:$C$234,0)</f>
        <v>#N/A</v>
      </c>
      <c r="AR2072" s="6" t="b">
        <f t="shared" si="223"/>
        <v>1</v>
      </c>
      <c r="AS2072" s="6" t="str">
        <f t="shared" si="224"/>
        <v>OK</v>
      </c>
      <c r="AU2072" s="202"/>
      <c r="AV2072" s="262"/>
      <c r="AW2072" s="274"/>
    </row>
    <row r="2073" spans="1:49" s="13" customFormat="1" ht="33.75" x14ac:dyDescent="0.2">
      <c r="A2073" s="14">
        <v>2049</v>
      </c>
      <c r="B2073" s="14">
        <v>400011972</v>
      </c>
      <c r="C2073" s="8" t="s">
        <v>5197</v>
      </c>
      <c r="D2073" s="4" t="str">
        <f t="shared" si="219"/>
        <v>400011972R1</v>
      </c>
      <c r="E2073" s="309" t="str">
        <f>VLOOKUP($B2073,'D7 - NDB Impacted SPRF''s'!$E$6:$O$9929,2,FALSE)</f>
        <v>W/O UHC Online - EPS One Shot</v>
      </c>
      <c r="F2073" s="8" t="s">
        <v>5588</v>
      </c>
      <c r="G2073" s="8" t="s">
        <v>4758</v>
      </c>
      <c r="H2073" s="8" t="s">
        <v>2870</v>
      </c>
      <c r="I2073" s="20">
        <v>0.53</v>
      </c>
      <c r="J2073" s="8" t="s">
        <v>4862</v>
      </c>
      <c r="K2073" s="182">
        <v>38885</v>
      </c>
      <c r="L2073" s="8" t="s">
        <v>4156</v>
      </c>
      <c r="M2073" s="8" t="s">
        <v>2814</v>
      </c>
      <c r="N2073" s="367" t="s">
        <v>6573</v>
      </c>
      <c r="O2073" s="8"/>
      <c r="P2073" s="4" t="str">
        <f>VLOOKUP($B2073,'D7 - NDB Impacted SPRF''s'!$E$16:$O$9929,9,FALSE)</f>
        <v>N</v>
      </c>
      <c r="Q2073" s="4" t="str">
        <f>VLOOKUP($B2073,'D7 - NDB Impacted SPRF''s'!$E$16:$O$9929,10,FALSE)</f>
        <v>N</v>
      </c>
      <c r="R2073" s="4" t="str">
        <f>VLOOKUP($B2073,'D7 - NDB Impacted SPRF''s'!$E$16:$O$9929,11,FALSE)</f>
        <v>N</v>
      </c>
      <c r="S2073" s="8"/>
      <c r="T2073" s="310"/>
      <c r="U2073" s="310"/>
      <c r="V2073" s="4"/>
      <c r="W2073" s="4"/>
      <c r="X2073" s="4"/>
      <c r="Y2073" s="4"/>
      <c r="Z2073" s="4"/>
      <c r="AA2073" s="4"/>
      <c r="AB2073" s="380" t="str">
        <f>VLOOKUP($B2073,'D7 - NDB Impacted SPRF''s'!$E$16:$O$9929,4,FALSE)</f>
        <v>Cancelled</v>
      </c>
      <c r="AC2073" s="380" t="str">
        <f>VLOOKUP($B2073,'D7 - NDB Impacted SPRF''s'!$E$16:$O$9929,3,FALSE)</f>
        <v>OptumHealth Financial Services</v>
      </c>
      <c r="AD2073" s="380" t="str">
        <f>VLOOKUP($B2073,'D7 - NDB Impacted SPRF''s'!$E$16:$O$9929,5,FALSE)</f>
        <v>OptumHealth Financial Services-DDC</v>
      </c>
      <c r="AE2073" s="380" t="str">
        <f>VLOOKUP($B2073,'D7 - NDB Impacted SPRF''s'!$E$16:$O$9929,7,FALSE)</f>
        <v>William Schofield</v>
      </c>
      <c r="AF2073" s="380" t="str">
        <f>VLOOKUP($B2073,'D7 - NDB Impacted SPRF''s'!$E$16:$O$9929,6,FALSE)</f>
        <v>Laura Gilchrist</v>
      </c>
      <c r="AG2073" s="282"/>
      <c r="AH2073" s="311" t="e">
        <f>INDEX('D5 - Gatekeeper - Projects'!$A$4:$AF$1010,$AM2073, 17)</f>
        <v>#N/A</v>
      </c>
      <c r="AI2073" s="8"/>
      <c r="AJ2073" s="57"/>
      <c r="AK2073" s="105"/>
      <c r="AM2073" s="6" t="e">
        <f>MATCH(D2073,'D5 - Gatekeeper - Projects'!$C$4:$C$1010,0)</f>
        <v>#N/A</v>
      </c>
      <c r="AN2073" s="6" t="b">
        <f t="shared" si="221"/>
        <v>1</v>
      </c>
      <c r="AO2073" s="6" t="str">
        <f t="shared" si="222"/>
        <v>OK</v>
      </c>
      <c r="AQ2073" s="6" t="e">
        <f>MATCH($D2073,'D4 - Provider Council Unsched'!$C$11:$C$234,0)</f>
        <v>#N/A</v>
      </c>
      <c r="AR2073" s="6" t="b">
        <f t="shared" si="223"/>
        <v>1</v>
      </c>
      <c r="AS2073" s="6" t="str">
        <f t="shared" si="224"/>
        <v>OK</v>
      </c>
      <c r="AU2073" s="202"/>
      <c r="AV2073" s="262"/>
      <c r="AW2073" s="274"/>
    </row>
    <row r="2074" spans="1:49" s="13" customFormat="1" ht="33.75" x14ac:dyDescent="0.2">
      <c r="A2074" s="14">
        <v>2050</v>
      </c>
      <c r="B2074" s="14">
        <v>400007822</v>
      </c>
      <c r="C2074" s="8" t="s">
        <v>1992</v>
      </c>
      <c r="D2074" s="4" t="str">
        <f t="shared" si="219"/>
        <v>400007822U1</v>
      </c>
      <c r="E2074" s="309" t="str">
        <f>VLOOKUP($B2074,'D7 - NDB Impacted SPRF''s'!$E$6:$O$9929,2,FALSE)</f>
        <v>diCarta v6.0 Upgrade App/Int Enhancements</v>
      </c>
      <c r="F2074" s="8" t="s">
        <v>4695</v>
      </c>
      <c r="G2074" s="8" t="s">
        <v>4758</v>
      </c>
      <c r="H2074" s="8" t="s">
        <v>2870</v>
      </c>
      <c r="I2074" s="20">
        <v>2.13</v>
      </c>
      <c r="J2074" s="8" t="s">
        <v>4862</v>
      </c>
      <c r="K2074" s="182">
        <v>38934</v>
      </c>
      <c r="L2074" s="8" t="s">
        <v>5743</v>
      </c>
      <c r="M2074" s="8" t="s">
        <v>2814</v>
      </c>
      <c r="N2074" s="367" t="s">
        <v>6203</v>
      </c>
      <c r="O2074" s="8"/>
      <c r="P2074" s="4" t="str">
        <f>VLOOKUP($B2074,'D7 - NDB Impacted SPRF''s'!$E$16:$O$9929,9,FALSE)</f>
        <v>N</v>
      </c>
      <c r="Q2074" s="4" t="str">
        <f>VLOOKUP($B2074,'D7 - NDB Impacted SPRF''s'!$E$16:$O$9929,10,FALSE)</f>
        <v>N</v>
      </c>
      <c r="R2074" s="4" t="str">
        <f>VLOOKUP($B2074,'D7 - NDB Impacted SPRF''s'!$E$16:$O$9929,11,FALSE)</f>
        <v>N</v>
      </c>
      <c r="S2074" s="8" t="s">
        <v>3758</v>
      </c>
      <c r="T2074" s="310"/>
      <c r="U2074" s="310"/>
      <c r="V2074" s="4"/>
      <c r="W2074" s="4"/>
      <c r="X2074" s="4"/>
      <c r="Y2074" s="4"/>
      <c r="Z2074" s="4"/>
      <c r="AA2074" s="4"/>
      <c r="AB2074" s="380" t="str">
        <f>VLOOKUP($B2074,'D7 - NDB Impacted SPRF''s'!$E$16:$O$9929,4,FALSE)</f>
        <v>Completed</v>
      </c>
      <c r="AC2074" s="380" t="str">
        <f>VLOOKUP($B2074,'D7 - NDB Impacted SPRF''s'!$E$16:$O$9929,3,FALSE)</f>
        <v>UnitedHealthcare Employer &amp; Individual</v>
      </c>
      <c r="AD2074" s="380" t="str">
        <f>VLOOKUP($B2074,'D7 - NDB Impacted SPRF''s'!$E$16:$O$9929,5,FALSE)</f>
        <v>Key Initiatives Group</v>
      </c>
      <c r="AE2074" s="380" t="str">
        <f>VLOOKUP($B2074,'D7 - NDB Impacted SPRF''s'!$E$16:$O$9929,7,FALSE)</f>
        <v>Peter Bompane</v>
      </c>
      <c r="AF2074" s="380" t="str">
        <f>VLOOKUP($B2074,'D7 - NDB Impacted SPRF''s'!$E$16:$O$9929,6,FALSE)</f>
        <v>JOSHUA WOODRUM</v>
      </c>
      <c r="AG2074" s="282"/>
      <c r="AH2074" s="311" t="e">
        <f>INDEX('D5 - Gatekeeper - Projects'!$A$4:$AF$1010,$AM2074, 17)</f>
        <v>#N/A</v>
      </c>
      <c r="AI2074" s="8"/>
      <c r="AJ2074" s="57"/>
      <c r="AK2074" s="105"/>
      <c r="AM2074" s="6" t="e">
        <f>MATCH(D2074,'D5 - Gatekeeper - Projects'!$C$4:$C$1010,0)</f>
        <v>#N/A</v>
      </c>
      <c r="AN2074" s="6" t="b">
        <f t="shared" si="221"/>
        <v>1</v>
      </c>
      <c r="AO2074" s="6" t="str">
        <f t="shared" si="222"/>
        <v>OK</v>
      </c>
      <c r="AQ2074" s="6" t="e">
        <f>MATCH($D2074,'D4 - Provider Council Unsched'!$C$11:$C$234,0)</f>
        <v>#N/A</v>
      </c>
      <c r="AR2074" s="6" t="b">
        <f t="shared" si="223"/>
        <v>1</v>
      </c>
      <c r="AS2074" s="6" t="str">
        <f t="shared" si="224"/>
        <v>OK</v>
      </c>
      <c r="AU2074" s="202"/>
      <c r="AV2074" s="262"/>
      <c r="AW2074" s="274"/>
    </row>
    <row r="2075" spans="1:49" s="13" customFormat="1" ht="22.5" x14ac:dyDescent="0.2">
      <c r="A2075" s="14">
        <v>2051</v>
      </c>
      <c r="B2075" s="14">
        <v>400009454</v>
      </c>
      <c r="C2075" s="8" t="s">
        <v>3793</v>
      </c>
      <c r="D2075" s="4" t="str">
        <f t="shared" si="219"/>
        <v>400009454U</v>
      </c>
      <c r="E2075" s="309" t="str">
        <f>VLOOKUP($B2075,'D7 - NDB Impacted SPRF''s'!$E$6:$O$9929,2,FALSE)</f>
        <v>Gated HMO Design &amp; Development Phase IV</v>
      </c>
      <c r="F2075" s="8" t="s">
        <v>4168</v>
      </c>
      <c r="G2075" s="8" t="s">
        <v>4758</v>
      </c>
      <c r="H2075" s="8" t="s">
        <v>2870</v>
      </c>
      <c r="I2075" s="20">
        <v>0.44</v>
      </c>
      <c r="J2075" s="8" t="s">
        <v>4862</v>
      </c>
      <c r="K2075" s="182">
        <v>38934</v>
      </c>
      <c r="L2075" s="8" t="s">
        <v>5743</v>
      </c>
      <c r="M2075" s="8" t="s">
        <v>2814</v>
      </c>
      <c r="N2075" s="38" t="s">
        <v>7872</v>
      </c>
      <c r="O2075" s="8"/>
      <c r="P2075" s="4" t="str">
        <f>VLOOKUP($B2075,'D7 - NDB Impacted SPRF''s'!$E$16:$O$9929,9,FALSE)</f>
        <v>Y</v>
      </c>
      <c r="Q2075" s="4" t="str">
        <f>VLOOKUP($B2075,'D7 - NDB Impacted SPRF''s'!$E$16:$O$9929,10,FALSE)</f>
        <v>N</v>
      </c>
      <c r="R2075" s="4" t="str">
        <f>VLOOKUP($B2075,'D7 - NDB Impacted SPRF''s'!$E$16:$O$9929,11,FALSE)</f>
        <v>N</v>
      </c>
      <c r="S2075" s="8" t="s">
        <v>3758</v>
      </c>
      <c r="T2075" s="310"/>
      <c r="U2075" s="310"/>
      <c r="V2075" s="4"/>
      <c r="W2075" s="4"/>
      <c r="X2075" s="4"/>
      <c r="Y2075" s="4"/>
      <c r="Z2075" s="4"/>
      <c r="AA2075" s="4"/>
      <c r="AB2075" s="380" t="str">
        <f>VLOOKUP($B2075,'D7 - NDB Impacted SPRF''s'!$E$16:$O$9929,4,FALSE)</f>
        <v>Completed</v>
      </c>
      <c r="AC2075" s="380" t="str">
        <f>VLOOKUP($B2075,'D7 - NDB Impacted SPRF''s'!$E$16:$O$9929,3,FALSE)</f>
        <v>Alliance</v>
      </c>
      <c r="AD2075" s="380" t="str">
        <f>VLOOKUP($B2075,'D7 - NDB Impacted SPRF''s'!$E$16:$O$9929,5,FALSE)</f>
        <v>Gated HMO</v>
      </c>
      <c r="AE2075" s="380" t="str">
        <f>VLOOKUP($B2075,'D7 - NDB Impacted SPRF''s'!$E$16:$O$9929,7,FALSE)</f>
        <v>Diane Schofield</v>
      </c>
      <c r="AF2075" s="380" t="str">
        <f>VLOOKUP($B2075,'D7 - NDB Impacted SPRF''s'!$E$16:$O$9929,6,FALSE)</f>
        <v>Debi Streb</v>
      </c>
      <c r="AG2075" s="282" t="s">
        <v>7755</v>
      </c>
      <c r="AH2075" s="311" t="e">
        <f>INDEX('D5 - Gatekeeper - Projects'!$A$4:$AF$1010,$AM2075, 17)</f>
        <v>#N/A</v>
      </c>
      <c r="AI2075" s="8"/>
      <c r="AJ2075" s="57"/>
      <c r="AK2075" s="105"/>
      <c r="AM2075" s="6" t="e">
        <f>MATCH(D2075,'D5 - Gatekeeper - Projects'!$C$4:$C$1010,0)</f>
        <v>#N/A</v>
      </c>
      <c r="AN2075" s="6" t="b">
        <f t="shared" si="221"/>
        <v>1</v>
      </c>
      <c r="AO2075" s="6" t="str">
        <f t="shared" si="222"/>
        <v>OK</v>
      </c>
      <c r="AQ2075" s="6" t="e">
        <f>MATCH($D2075,'D4 - Provider Council Unsched'!$C$11:$C$234,0)</f>
        <v>#N/A</v>
      </c>
      <c r="AR2075" s="6" t="b">
        <f t="shared" si="223"/>
        <v>1</v>
      </c>
      <c r="AS2075" s="6" t="str">
        <f t="shared" si="224"/>
        <v>OK</v>
      </c>
      <c r="AU2075" s="202"/>
      <c r="AV2075" s="262"/>
      <c r="AW2075" s="274"/>
    </row>
    <row r="2076" spans="1:49" s="13" customFormat="1" ht="22.5" x14ac:dyDescent="0.2">
      <c r="A2076" s="14">
        <v>2052</v>
      </c>
      <c r="B2076" s="14">
        <v>400011389</v>
      </c>
      <c r="C2076" s="8" t="s">
        <v>5197</v>
      </c>
      <c r="D2076" s="4" t="str">
        <f t="shared" si="219"/>
        <v>400011389R1</v>
      </c>
      <c r="E2076" s="309" t="str">
        <f>VLOOKUP($B2076,'D7 - NDB Impacted SPRF''s'!$E$6:$O$9929,2,FALSE)</f>
        <v>Integrated Test Improvements</v>
      </c>
      <c r="F2076" s="8" t="s">
        <v>8133</v>
      </c>
      <c r="G2076" s="8" t="s">
        <v>4758</v>
      </c>
      <c r="H2076" s="8" t="s">
        <v>2870</v>
      </c>
      <c r="I2076" s="20"/>
      <c r="J2076" s="8"/>
      <c r="K2076" s="182">
        <v>38934</v>
      </c>
      <c r="L2076" s="8" t="s">
        <v>4156</v>
      </c>
      <c r="M2076" s="8" t="s">
        <v>2814</v>
      </c>
      <c r="N2076" s="368" t="s">
        <v>5881</v>
      </c>
      <c r="O2076" s="8"/>
      <c r="P2076" s="4" t="str">
        <f>VLOOKUP($B2076,'D7 - NDB Impacted SPRF''s'!$E$16:$O$9929,9,FALSE)</f>
        <v>Y</v>
      </c>
      <c r="Q2076" s="4" t="str">
        <f>VLOOKUP($B2076,'D7 - NDB Impacted SPRF''s'!$E$16:$O$9929,10,FALSE)</f>
        <v>N</v>
      </c>
      <c r="R2076" s="4" t="str">
        <f>VLOOKUP($B2076,'D7 - NDB Impacted SPRF''s'!$E$16:$O$9929,11,FALSE)</f>
        <v>N</v>
      </c>
      <c r="S2076" s="8"/>
      <c r="T2076" s="310"/>
      <c r="U2076" s="310"/>
      <c r="V2076" s="4"/>
      <c r="W2076" s="4"/>
      <c r="X2076" s="4"/>
      <c r="Y2076" s="4"/>
      <c r="Z2076" s="4"/>
      <c r="AA2076" s="4"/>
      <c r="AB2076" s="380" t="str">
        <f>VLOOKUP($B2076,'D7 - NDB Impacted SPRF''s'!$E$16:$O$9929,4,FALSE)</f>
        <v>Cancelled</v>
      </c>
      <c r="AC2076" s="380" t="str">
        <f>VLOOKUP($B2076,'D7 - NDB Impacted SPRF''s'!$E$16:$O$9929,3,FALSE)</f>
        <v>Uniprise</v>
      </c>
      <c r="AD2076" s="380" t="str">
        <f>VLOOKUP($B2076,'D7 - NDB Impacted SPRF''s'!$E$16:$O$9929,5,FALSE)</f>
        <v>Uniprise Technologies - DDC</v>
      </c>
      <c r="AE2076" s="380" t="str">
        <f>VLOOKUP($B2076,'D7 - NDB Impacted SPRF''s'!$E$16:$O$9929,7,FALSE)</f>
        <v>Kelly Clark</v>
      </c>
      <c r="AF2076" s="380" t="str">
        <f>VLOOKUP($B2076,'D7 - NDB Impacted SPRF''s'!$E$16:$O$9929,6,FALSE)</f>
        <v>Dawn Gunderson</v>
      </c>
      <c r="AG2076" s="282"/>
      <c r="AH2076" s="311" t="e">
        <f>INDEX('D5 - Gatekeeper - Projects'!$A$4:$AF$1010,$AM2076, 17)</f>
        <v>#N/A</v>
      </c>
      <c r="AI2076" s="8"/>
      <c r="AJ2076" s="57"/>
      <c r="AK2076" s="105"/>
      <c r="AM2076" s="6" t="e">
        <f>MATCH(D2076,'D5 - Gatekeeper - Projects'!$C$4:$C$1010,0)</f>
        <v>#N/A</v>
      </c>
      <c r="AN2076" s="6" t="b">
        <f t="shared" si="221"/>
        <v>1</v>
      </c>
      <c r="AO2076" s="6" t="str">
        <f t="shared" si="222"/>
        <v>OK</v>
      </c>
      <c r="AQ2076" s="6" t="e">
        <f>MATCH($D2076,'D4 - Provider Council Unsched'!$C$11:$C$234,0)</f>
        <v>#N/A</v>
      </c>
      <c r="AR2076" s="6" t="b">
        <f t="shared" si="223"/>
        <v>1</v>
      </c>
      <c r="AS2076" s="6" t="str">
        <f t="shared" si="224"/>
        <v>OK</v>
      </c>
      <c r="AU2076" s="202"/>
      <c r="AV2076" s="262"/>
      <c r="AW2076" s="274"/>
    </row>
    <row r="2077" spans="1:49" s="13" customFormat="1" ht="22.5" x14ac:dyDescent="0.2">
      <c r="A2077" s="14">
        <v>2053</v>
      </c>
      <c r="B2077" s="14">
        <v>400008656</v>
      </c>
      <c r="C2077" s="8" t="s">
        <v>5197</v>
      </c>
      <c r="D2077" s="4" t="str">
        <f t="shared" si="219"/>
        <v>400008656R1</v>
      </c>
      <c r="E2077" s="309" t="str">
        <f>VLOOKUP($B2077,'D7 - NDB Impacted SPRF''s'!$E$6:$O$9929,2,FALSE)</f>
        <v>W/O Eliminate emailed IDs from daily LDAP file</v>
      </c>
      <c r="F2077" s="8" t="s">
        <v>6007</v>
      </c>
      <c r="G2077" s="8" t="s">
        <v>4758</v>
      </c>
      <c r="H2077" s="8" t="s">
        <v>2870</v>
      </c>
      <c r="I2077" s="20">
        <v>0.53</v>
      </c>
      <c r="J2077" s="8" t="s">
        <v>4862</v>
      </c>
      <c r="K2077" s="182">
        <v>38976</v>
      </c>
      <c r="L2077" s="8" t="s">
        <v>5743</v>
      </c>
      <c r="M2077" s="8" t="s">
        <v>2814</v>
      </c>
      <c r="N2077" s="368" t="s">
        <v>4653</v>
      </c>
      <c r="O2077" s="8"/>
      <c r="P2077" s="4" t="str">
        <f>VLOOKUP($B2077,'D7 - NDB Impacted SPRF''s'!$E$16:$O$9929,9,FALSE)</f>
        <v>N</v>
      </c>
      <c r="Q2077" s="4" t="str">
        <f>VLOOKUP($B2077,'D7 - NDB Impacted SPRF''s'!$E$16:$O$9929,10,FALSE)</f>
        <v>N</v>
      </c>
      <c r="R2077" s="4" t="str">
        <f>VLOOKUP($B2077,'D7 - NDB Impacted SPRF''s'!$E$16:$O$9929,11,FALSE)</f>
        <v>N</v>
      </c>
      <c r="S2077" s="8"/>
      <c r="T2077" s="310"/>
      <c r="U2077" s="310"/>
      <c r="V2077" s="4"/>
      <c r="W2077" s="4"/>
      <c r="X2077" s="4"/>
      <c r="Y2077" s="4"/>
      <c r="Z2077" s="4"/>
      <c r="AA2077" s="4"/>
      <c r="AB2077" s="380" t="str">
        <f>VLOOKUP($B2077,'D7 - NDB Impacted SPRF''s'!$E$16:$O$9929,4,FALSE)</f>
        <v>Cancelled</v>
      </c>
      <c r="AC2077" s="380" t="str">
        <f>VLOOKUP($B2077,'D7 - NDB Impacted SPRF''s'!$E$16:$O$9929,3,FALSE)</f>
        <v>Uniprise</v>
      </c>
      <c r="AD2077" s="380" t="str">
        <f>VLOOKUP($B2077,'D7 - NDB Impacted SPRF''s'!$E$16:$O$9929,5,FALSE)</f>
        <v>Group Services - Capital Projects</v>
      </c>
      <c r="AE2077" s="380" t="str">
        <f>VLOOKUP($B2077,'D7 - NDB Impacted SPRF''s'!$E$16:$O$9929,7,FALSE)</f>
        <v>Steven Morelli</v>
      </c>
      <c r="AF2077" s="380" t="str">
        <f>VLOOKUP($B2077,'D7 - NDB Impacted SPRF''s'!$E$16:$O$9929,6,FALSE)</f>
        <v>Laura Gilchrist</v>
      </c>
      <c r="AG2077" s="282" t="s">
        <v>7755</v>
      </c>
      <c r="AH2077" s="311" t="e">
        <f>INDEX('D5 - Gatekeeper - Projects'!$A$4:$AF$1010,$AM2077, 17)</f>
        <v>#N/A</v>
      </c>
      <c r="AI2077" s="8"/>
      <c r="AJ2077" s="57"/>
      <c r="AK2077" s="105"/>
      <c r="AM2077" s="6" t="e">
        <f>MATCH(D2077,'D5 - Gatekeeper - Projects'!$C$4:$C$1010,0)</f>
        <v>#N/A</v>
      </c>
      <c r="AN2077" s="6" t="b">
        <f t="shared" si="221"/>
        <v>1</v>
      </c>
      <c r="AO2077" s="6" t="str">
        <f t="shared" si="222"/>
        <v>OK</v>
      </c>
      <c r="AQ2077" s="6" t="e">
        <f>MATCH($D2077,'D4 - Provider Council Unsched'!$C$11:$C$234,0)</f>
        <v>#N/A</v>
      </c>
      <c r="AR2077" s="6" t="b">
        <f t="shared" si="223"/>
        <v>1</v>
      </c>
      <c r="AS2077" s="6" t="str">
        <f t="shared" si="224"/>
        <v>OK</v>
      </c>
      <c r="AU2077" s="202"/>
      <c r="AV2077" s="262"/>
      <c r="AW2077" s="274"/>
    </row>
    <row r="2078" spans="1:49" s="13" customFormat="1" ht="33.75" x14ac:dyDescent="0.2">
      <c r="A2078" s="14">
        <v>2054</v>
      </c>
      <c r="B2078" s="14">
        <v>400010929</v>
      </c>
      <c r="C2078" s="8" t="s">
        <v>5197</v>
      </c>
      <c r="D2078" s="4" t="str">
        <f t="shared" si="219"/>
        <v>400010929R1</v>
      </c>
      <c r="E2078" s="309" t="str">
        <f>VLOOKUP($B2078,'D7 - NDB Impacted SPRF''s'!$E$6:$O$9929,2,FALSE)</f>
        <v>NPI Ingenix GeoAccess Compliance</v>
      </c>
      <c r="F2078" s="8" t="s">
        <v>1059</v>
      </c>
      <c r="G2078" s="8" t="s">
        <v>4758</v>
      </c>
      <c r="H2078" s="8" t="s">
        <v>2870</v>
      </c>
      <c r="I2078" s="20">
        <v>2.83</v>
      </c>
      <c r="J2078" s="8" t="s">
        <v>4862</v>
      </c>
      <c r="K2078" s="182">
        <v>38976</v>
      </c>
      <c r="L2078" s="8" t="s">
        <v>5743</v>
      </c>
      <c r="M2078" s="8" t="s">
        <v>2814</v>
      </c>
      <c r="N2078" s="367"/>
      <c r="O2078" s="8"/>
      <c r="P2078" s="4" t="str">
        <f>VLOOKUP($B2078,'D7 - NDB Impacted SPRF''s'!$E$16:$O$9929,9,FALSE)</f>
        <v>N</v>
      </c>
      <c r="Q2078" s="4" t="str">
        <f>VLOOKUP($B2078,'D7 - NDB Impacted SPRF''s'!$E$16:$O$9929,10,FALSE)</f>
        <v>N</v>
      </c>
      <c r="R2078" s="4" t="str">
        <f>VLOOKUP($B2078,'D7 - NDB Impacted SPRF''s'!$E$16:$O$9929,11,FALSE)</f>
        <v>N</v>
      </c>
      <c r="S2078" s="8"/>
      <c r="T2078" s="310"/>
      <c r="U2078" s="310"/>
      <c r="V2078" s="4"/>
      <c r="W2078" s="4"/>
      <c r="X2078" s="4"/>
      <c r="Y2078" s="4"/>
      <c r="Z2078" s="4"/>
      <c r="AA2078" s="4"/>
      <c r="AB2078" s="380" t="str">
        <f>VLOOKUP($B2078,'D7 - NDB Impacted SPRF''s'!$E$16:$O$9929,4,FALSE)</f>
        <v>Completed</v>
      </c>
      <c r="AC2078" s="380" t="str">
        <f>VLOOKUP($B2078,'D7 - NDB Impacted SPRF''s'!$E$16:$O$9929,3,FALSE)</f>
        <v>UnitedHealthcare Employer &amp; Individual</v>
      </c>
      <c r="AD2078" s="380" t="str">
        <f>VLOOKUP($B2078,'D7 - NDB Impacted SPRF''s'!$E$16:$O$9929,5,FALSE)</f>
        <v>Regulatory / Other</v>
      </c>
      <c r="AE2078" s="380" t="str">
        <f>VLOOKUP($B2078,'D7 - NDB Impacted SPRF''s'!$E$16:$O$9929,7,FALSE)</f>
        <v>Gerald Brockman</v>
      </c>
      <c r="AF2078" s="380" t="str">
        <f>VLOOKUP($B2078,'D7 - NDB Impacted SPRF''s'!$E$16:$O$9929,6,FALSE)</f>
        <v>KELLY LEONARD</v>
      </c>
      <c r="AG2078" s="282" t="s">
        <v>6682</v>
      </c>
      <c r="AH2078" s="311" t="e">
        <f>INDEX('D5 - Gatekeeper - Projects'!$A$4:$AF$1010,$AM2078, 17)</f>
        <v>#N/A</v>
      </c>
      <c r="AI2078" s="8"/>
      <c r="AJ2078" s="57"/>
      <c r="AK2078" s="105"/>
      <c r="AM2078" s="6" t="e">
        <f>MATCH(D2078,'D5 - Gatekeeper - Projects'!$C$4:$C$1010,0)</f>
        <v>#N/A</v>
      </c>
      <c r="AN2078" s="6" t="b">
        <f t="shared" si="221"/>
        <v>1</v>
      </c>
      <c r="AO2078" s="6" t="str">
        <f t="shared" si="222"/>
        <v>OK</v>
      </c>
      <c r="AQ2078" s="6" t="e">
        <f>MATCH($D2078,'D4 - Provider Council Unsched'!$C$11:$C$234,0)</f>
        <v>#N/A</v>
      </c>
      <c r="AR2078" s="6" t="b">
        <f t="shared" si="223"/>
        <v>1</v>
      </c>
      <c r="AS2078" s="6" t="str">
        <f t="shared" si="224"/>
        <v>OK</v>
      </c>
      <c r="AU2078" s="202"/>
      <c r="AV2078" s="262"/>
      <c r="AW2078" s="274"/>
    </row>
    <row r="2079" spans="1:49" s="13" customFormat="1" ht="22.5" x14ac:dyDescent="0.2">
      <c r="A2079" s="14">
        <v>2055</v>
      </c>
      <c r="B2079" s="14">
        <v>400011122</v>
      </c>
      <c r="C2079" s="8" t="s">
        <v>5197</v>
      </c>
      <c r="D2079" s="4" t="str">
        <f t="shared" si="219"/>
        <v>400011122R1</v>
      </c>
      <c r="E2079" s="309" t="str">
        <f>VLOOKUP($B2079,'D7 - NDB Impacted SPRF''s'!$E$6:$O$9929,2,FALSE)</f>
        <v>Registered Provider Report</v>
      </c>
      <c r="F2079" s="8" t="s">
        <v>6007</v>
      </c>
      <c r="G2079" s="8" t="s">
        <v>4758</v>
      </c>
      <c r="H2079" s="8" t="s">
        <v>2870</v>
      </c>
      <c r="I2079" s="20">
        <v>1.73</v>
      </c>
      <c r="J2079" s="8" t="s">
        <v>4862</v>
      </c>
      <c r="K2079" s="182">
        <v>38976</v>
      </c>
      <c r="L2079" s="8" t="s">
        <v>5743</v>
      </c>
      <c r="M2079" s="8" t="s">
        <v>2814</v>
      </c>
      <c r="N2079" s="367" t="s">
        <v>4653</v>
      </c>
      <c r="O2079" s="8"/>
      <c r="P2079" s="4" t="str">
        <f>VLOOKUP($B2079,'D7 - NDB Impacted SPRF''s'!$E$16:$O$9929,9,FALSE)</f>
        <v>N</v>
      </c>
      <c r="Q2079" s="4" t="str">
        <f>VLOOKUP($B2079,'D7 - NDB Impacted SPRF''s'!$E$16:$O$9929,10,FALSE)</f>
        <v>N</v>
      </c>
      <c r="R2079" s="4" t="str">
        <f>VLOOKUP($B2079,'D7 - NDB Impacted SPRF''s'!$E$16:$O$9929,11,FALSE)</f>
        <v>N</v>
      </c>
      <c r="S2079" s="8"/>
      <c r="T2079" s="310"/>
      <c r="U2079" s="310"/>
      <c r="V2079" s="4"/>
      <c r="W2079" s="4"/>
      <c r="X2079" s="4"/>
      <c r="Y2079" s="4"/>
      <c r="Z2079" s="4"/>
      <c r="AA2079" s="4"/>
      <c r="AB2079" s="380" t="str">
        <f>VLOOKUP($B2079,'D7 - NDB Impacted SPRF''s'!$E$16:$O$9929,4,FALSE)</f>
        <v>Cancelled</v>
      </c>
      <c r="AC2079" s="380" t="str">
        <f>VLOOKUP($B2079,'D7 - NDB Impacted SPRF''s'!$E$16:$O$9929,3,FALSE)</f>
        <v>Uniprise</v>
      </c>
      <c r="AD2079" s="380" t="str">
        <f>VLOOKUP($B2079,'D7 - NDB Impacted SPRF''s'!$E$16:$O$9929,5,FALSE)</f>
        <v>Group Services - Capital Projects</v>
      </c>
      <c r="AE2079" s="380" t="str">
        <f>VLOOKUP($B2079,'D7 - NDB Impacted SPRF''s'!$E$16:$O$9929,7,FALSE)</f>
        <v>Susan Spring</v>
      </c>
      <c r="AF2079" s="380" t="str">
        <f>VLOOKUP($B2079,'D7 - NDB Impacted SPRF''s'!$E$16:$O$9929,6,FALSE)</f>
        <v>JASON LAVOIE</v>
      </c>
      <c r="AG2079" s="282" t="s">
        <v>7755</v>
      </c>
      <c r="AH2079" s="311" t="e">
        <f>INDEX('D5 - Gatekeeper - Projects'!$A$4:$AF$1010,$AM2079, 17)</f>
        <v>#N/A</v>
      </c>
      <c r="AI2079" s="8"/>
      <c r="AJ2079" s="57"/>
      <c r="AK2079" s="105"/>
      <c r="AM2079" s="6" t="e">
        <f>MATCH(D2079,'D5 - Gatekeeper - Projects'!$C$4:$C$1010,0)</f>
        <v>#N/A</v>
      </c>
      <c r="AN2079" s="6" t="b">
        <f t="shared" si="221"/>
        <v>1</v>
      </c>
      <c r="AO2079" s="6" t="str">
        <f t="shared" si="222"/>
        <v>OK</v>
      </c>
      <c r="AQ2079" s="6" t="e">
        <f>MATCH($D2079,'D4 - Provider Council Unsched'!$C$11:$C$234,0)</f>
        <v>#N/A</v>
      </c>
      <c r="AR2079" s="6" t="b">
        <f t="shared" si="223"/>
        <v>1</v>
      </c>
      <c r="AS2079" s="6" t="str">
        <f t="shared" si="224"/>
        <v>OK</v>
      </c>
      <c r="AU2079" s="202"/>
      <c r="AV2079" s="262"/>
      <c r="AW2079" s="274"/>
    </row>
    <row r="2080" spans="1:49" s="13" customFormat="1" ht="22.5" x14ac:dyDescent="0.2">
      <c r="A2080" s="14">
        <v>2056</v>
      </c>
      <c r="B2080" s="14">
        <v>400011499</v>
      </c>
      <c r="C2080" s="8" t="s">
        <v>6725</v>
      </c>
      <c r="D2080" s="4" t="str">
        <f t="shared" si="219"/>
        <v>400011499CC01</v>
      </c>
      <c r="E2080" s="309" t="e">
        <f>VLOOKUP($B2080,'D7 - NDB Impacted SPRF''s'!$E$6:$O$9929,2,FALSE)</f>
        <v>#N/A</v>
      </c>
      <c r="F2080" s="8" t="s">
        <v>5196</v>
      </c>
      <c r="G2080" s="8" t="s">
        <v>4758</v>
      </c>
      <c r="H2080" s="8" t="s">
        <v>2870</v>
      </c>
      <c r="I2080" s="20"/>
      <c r="J2080" s="8" t="s">
        <v>7113</v>
      </c>
      <c r="K2080" s="182">
        <v>38976</v>
      </c>
      <c r="L2080" s="8" t="s">
        <v>4156</v>
      </c>
      <c r="M2080" s="8" t="s">
        <v>2814</v>
      </c>
      <c r="N2080" s="367" t="s">
        <v>4583</v>
      </c>
      <c r="O2080" s="8"/>
      <c r="P2080" s="4" t="e">
        <f>VLOOKUP($B2080,'D7 - NDB Impacted SPRF''s'!$E$16:$O$9929,9,FALSE)</f>
        <v>#N/A</v>
      </c>
      <c r="Q2080" s="4" t="e">
        <f>VLOOKUP($B2080,'D7 - NDB Impacted SPRF''s'!$E$16:$O$9929,10,FALSE)</f>
        <v>#N/A</v>
      </c>
      <c r="R2080" s="4" t="e">
        <f>VLOOKUP($B2080,'D7 - NDB Impacted SPRF''s'!$E$16:$O$9929,11,FALSE)</f>
        <v>#N/A</v>
      </c>
      <c r="S2080" s="8"/>
      <c r="T2080" s="310"/>
      <c r="U2080" s="310"/>
      <c r="V2080" s="4"/>
      <c r="W2080" s="4"/>
      <c r="X2080" s="4"/>
      <c r="Y2080" s="4"/>
      <c r="Z2080" s="4"/>
      <c r="AA2080" s="4"/>
      <c r="AB2080" s="380" t="e">
        <f>VLOOKUP($B2080,'D7 - NDB Impacted SPRF''s'!$E$16:$O$9929,4,FALSE)</f>
        <v>#N/A</v>
      </c>
      <c r="AC2080" s="380" t="e">
        <f>VLOOKUP($B2080,'D7 - NDB Impacted SPRF''s'!$E$16:$O$9929,3,FALSE)</f>
        <v>#N/A</v>
      </c>
      <c r="AD2080" s="380" t="e">
        <f>VLOOKUP($B2080,'D7 - NDB Impacted SPRF''s'!$E$16:$O$9929,5,FALSE)</f>
        <v>#N/A</v>
      </c>
      <c r="AE2080" s="380" t="e">
        <f>VLOOKUP($B2080,'D7 - NDB Impacted SPRF''s'!$E$16:$O$9929,7,FALSE)</f>
        <v>#N/A</v>
      </c>
      <c r="AF2080" s="380" t="e">
        <f>VLOOKUP($B2080,'D7 - NDB Impacted SPRF''s'!$E$16:$O$9929,6,FALSE)</f>
        <v>#N/A</v>
      </c>
      <c r="AG2080" s="282"/>
      <c r="AH2080" s="311" t="e">
        <f>INDEX('D5 - Gatekeeper - Projects'!$A$4:$AF$1010,$AM2080, 17)</f>
        <v>#N/A</v>
      </c>
      <c r="AI2080" s="8"/>
      <c r="AJ2080" s="57"/>
      <c r="AK2080" s="105"/>
      <c r="AM2080" s="6" t="e">
        <f>MATCH(D2080,'D5 - Gatekeeper - Projects'!$C$4:$C$1010,0)</f>
        <v>#N/A</v>
      </c>
      <c r="AN2080" s="6" t="b">
        <f t="shared" si="221"/>
        <v>1</v>
      </c>
      <c r="AO2080" s="6" t="str">
        <f t="shared" si="222"/>
        <v>OK</v>
      </c>
      <c r="AQ2080" s="6" t="e">
        <f>MATCH($D2080,'D4 - Provider Council Unsched'!$C$11:$C$234,0)</f>
        <v>#N/A</v>
      </c>
      <c r="AR2080" s="6" t="b">
        <f t="shared" si="223"/>
        <v>1</v>
      </c>
      <c r="AS2080" s="6" t="str">
        <f t="shared" si="224"/>
        <v>OK</v>
      </c>
      <c r="AU2080" s="202"/>
      <c r="AV2080" s="262"/>
      <c r="AW2080" s="274"/>
    </row>
    <row r="2081" spans="1:49" s="13" customFormat="1" x14ac:dyDescent="0.2">
      <c r="A2081" s="14">
        <v>2057</v>
      </c>
      <c r="B2081" s="14">
        <v>400011779</v>
      </c>
      <c r="C2081" s="8" t="s">
        <v>5197</v>
      </c>
      <c r="D2081" s="4" t="str">
        <f t="shared" si="219"/>
        <v>400011779R1</v>
      </c>
      <c r="E2081" s="309" t="e">
        <f>VLOOKUP($B2081,'D7 - NDB Impacted SPRF''s'!$E$6:$O$9929,2,FALSE)</f>
        <v>#N/A</v>
      </c>
      <c r="F2081" s="8" t="s">
        <v>5196</v>
      </c>
      <c r="G2081" s="8" t="s">
        <v>4758</v>
      </c>
      <c r="H2081" s="8" t="s">
        <v>2870</v>
      </c>
      <c r="I2081" s="20"/>
      <c r="J2081" s="8" t="s">
        <v>7113</v>
      </c>
      <c r="K2081" s="182">
        <v>38976</v>
      </c>
      <c r="L2081" s="8" t="s">
        <v>4156</v>
      </c>
      <c r="M2081" s="8" t="s">
        <v>2814</v>
      </c>
      <c r="N2081" s="367" t="s">
        <v>6981</v>
      </c>
      <c r="O2081" s="8"/>
      <c r="P2081" s="4" t="e">
        <f>VLOOKUP($B2081,'D7 - NDB Impacted SPRF''s'!$E$16:$O$9929,9,FALSE)</f>
        <v>#N/A</v>
      </c>
      <c r="Q2081" s="4" t="e">
        <f>VLOOKUP($B2081,'D7 - NDB Impacted SPRF''s'!$E$16:$O$9929,10,FALSE)</f>
        <v>#N/A</v>
      </c>
      <c r="R2081" s="4" t="e">
        <f>VLOOKUP($B2081,'D7 - NDB Impacted SPRF''s'!$E$16:$O$9929,11,FALSE)</f>
        <v>#N/A</v>
      </c>
      <c r="S2081" s="8"/>
      <c r="T2081" s="310"/>
      <c r="U2081" s="310"/>
      <c r="V2081" s="4"/>
      <c r="W2081" s="4"/>
      <c r="X2081" s="4"/>
      <c r="Y2081" s="4"/>
      <c r="Z2081" s="4"/>
      <c r="AA2081" s="4"/>
      <c r="AB2081" s="380" t="e">
        <f>VLOOKUP($B2081,'D7 - NDB Impacted SPRF''s'!$E$16:$O$9929,4,FALSE)</f>
        <v>#N/A</v>
      </c>
      <c r="AC2081" s="380" t="e">
        <f>VLOOKUP($B2081,'D7 - NDB Impacted SPRF''s'!$E$16:$O$9929,3,FALSE)</f>
        <v>#N/A</v>
      </c>
      <c r="AD2081" s="380" t="e">
        <f>VLOOKUP($B2081,'D7 - NDB Impacted SPRF''s'!$E$16:$O$9929,5,FALSE)</f>
        <v>#N/A</v>
      </c>
      <c r="AE2081" s="380" t="e">
        <f>VLOOKUP($B2081,'D7 - NDB Impacted SPRF''s'!$E$16:$O$9929,7,FALSE)</f>
        <v>#N/A</v>
      </c>
      <c r="AF2081" s="380" t="e">
        <f>VLOOKUP($B2081,'D7 - NDB Impacted SPRF''s'!$E$16:$O$9929,6,FALSE)</f>
        <v>#N/A</v>
      </c>
      <c r="AG2081" s="282" t="s">
        <v>6682</v>
      </c>
      <c r="AH2081" s="311" t="e">
        <f>INDEX('D5 - Gatekeeper - Projects'!$A$4:$AF$1010,$AM2081, 17)</f>
        <v>#N/A</v>
      </c>
      <c r="AI2081" s="8"/>
      <c r="AJ2081" s="57"/>
      <c r="AK2081" s="105"/>
      <c r="AM2081" s="6" t="e">
        <f>MATCH(D2081,'D5 - Gatekeeper - Projects'!$C$4:$C$1010,0)</f>
        <v>#N/A</v>
      </c>
      <c r="AN2081" s="6" t="b">
        <f t="shared" si="221"/>
        <v>1</v>
      </c>
      <c r="AO2081" s="6" t="str">
        <f t="shared" si="222"/>
        <v>OK</v>
      </c>
      <c r="AQ2081" s="6" t="e">
        <f>MATCH($D2081,'D4 - Provider Council Unsched'!$C$11:$C$234,0)</f>
        <v>#N/A</v>
      </c>
      <c r="AR2081" s="6" t="b">
        <f t="shared" si="223"/>
        <v>1</v>
      </c>
      <c r="AS2081" s="6" t="str">
        <f t="shared" si="224"/>
        <v>OK</v>
      </c>
      <c r="AU2081" s="202"/>
      <c r="AV2081" s="262"/>
      <c r="AW2081" s="274"/>
    </row>
    <row r="2082" spans="1:49" s="13" customFormat="1" ht="22.5" x14ac:dyDescent="0.2">
      <c r="A2082" s="14">
        <v>2058</v>
      </c>
      <c r="B2082" s="14">
        <v>400012190</v>
      </c>
      <c r="C2082" s="8" t="s">
        <v>5197</v>
      </c>
      <c r="D2082" s="4" t="str">
        <f t="shared" si="219"/>
        <v>400012190R1</v>
      </c>
      <c r="E2082" s="309" t="str">
        <f>VLOOKUP($B2082,'D7 - NDB Impacted SPRF''s'!$E$6:$O$9929,2,FALSE)</f>
        <v>Medica - Definity by Medica</v>
      </c>
      <c r="F2082" s="8" t="s">
        <v>5196</v>
      </c>
      <c r="G2082" s="8" t="s">
        <v>4758</v>
      </c>
      <c r="H2082" s="8" t="s">
        <v>2870</v>
      </c>
      <c r="I2082" s="20">
        <v>1.33</v>
      </c>
      <c r="J2082" s="8" t="s">
        <v>4862</v>
      </c>
      <c r="K2082" s="182">
        <v>38976</v>
      </c>
      <c r="L2082" s="8" t="s">
        <v>5743</v>
      </c>
      <c r="M2082" s="8" t="s">
        <v>2814</v>
      </c>
      <c r="N2082" s="367" t="s">
        <v>4947</v>
      </c>
      <c r="O2082" s="8"/>
      <c r="P2082" s="4" t="str">
        <f>VLOOKUP($B2082,'D7 - NDB Impacted SPRF''s'!$E$16:$O$9929,9,FALSE)</f>
        <v>Y</v>
      </c>
      <c r="Q2082" s="4" t="str">
        <f>VLOOKUP($B2082,'D7 - NDB Impacted SPRF''s'!$E$16:$O$9929,10,FALSE)</f>
        <v>N</v>
      </c>
      <c r="R2082" s="4" t="str">
        <f>VLOOKUP($B2082,'D7 - NDB Impacted SPRF''s'!$E$16:$O$9929,11,FALSE)</f>
        <v>N</v>
      </c>
      <c r="S2082" s="8"/>
      <c r="T2082" s="310"/>
      <c r="U2082" s="310"/>
      <c r="V2082" s="4"/>
      <c r="W2082" s="4"/>
      <c r="X2082" s="4"/>
      <c r="Y2082" s="4"/>
      <c r="Z2082" s="4"/>
      <c r="AA2082" s="4"/>
      <c r="AB2082" s="380" t="str">
        <f>VLOOKUP($B2082,'D7 - NDB Impacted SPRF''s'!$E$16:$O$9929,4,FALSE)</f>
        <v>Completed</v>
      </c>
      <c r="AC2082" s="380" t="str">
        <f>VLOOKUP($B2082,'D7 - NDB Impacted SPRF''s'!$E$16:$O$9929,3,FALSE)</f>
        <v>Alliance</v>
      </c>
      <c r="AD2082" s="380" t="str">
        <f>VLOOKUP($B2082,'D7 - NDB Impacted SPRF''s'!$E$16:$O$9929,5,FALSE)</f>
        <v>Medica UNET Conversion</v>
      </c>
      <c r="AE2082" s="380" t="str">
        <f>VLOOKUP($B2082,'D7 - NDB Impacted SPRF''s'!$E$16:$O$9929,7,FALSE)</f>
        <v>Bev Nyce</v>
      </c>
      <c r="AF2082" s="380" t="str">
        <f>VLOOKUP($B2082,'D7 - NDB Impacted SPRF''s'!$E$16:$O$9929,6,FALSE)</f>
        <v>Tonya Maurer</v>
      </c>
      <c r="AG2082" s="282" t="s">
        <v>7755</v>
      </c>
      <c r="AH2082" s="311" t="e">
        <f>INDEX('D5 - Gatekeeper - Projects'!$A$4:$AF$1010,$AM2082, 17)</f>
        <v>#N/A</v>
      </c>
      <c r="AI2082" s="8"/>
      <c r="AJ2082" s="57"/>
      <c r="AK2082" s="105"/>
      <c r="AM2082" s="6" t="e">
        <f>MATCH(D2082,'D5 - Gatekeeper - Projects'!$C$4:$C$1010,0)</f>
        <v>#N/A</v>
      </c>
      <c r="AN2082" s="6" t="b">
        <f t="shared" si="221"/>
        <v>1</v>
      </c>
      <c r="AO2082" s="6" t="str">
        <f t="shared" si="222"/>
        <v>OK</v>
      </c>
      <c r="AQ2082" s="6" t="e">
        <f>MATCH($D2082,'D4 - Provider Council Unsched'!$C$11:$C$234,0)</f>
        <v>#N/A</v>
      </c>
      <c r="AR2082" s="6" t="b">
        <f t="shared" si="223"/>
        <v>1</v>
      </c>
      <c r="AS2082" s="6" t="str">
        <f t="shared" si="224"/>
        <v>OK</v>
      </c>
      <c r="AU2082" s="202"/>
      <c r="AV2082" s="262"/>
      <c r="AW2082" s="274"/>
    </row>
    <row r="2083" spans="1:49" s="13" customFormat="1" ht="33.75" x14ac:dyDescent="0.2">
      <c r="A2083" s="14">
        <v>2059</v>
      </c>
      <c r="B2083" s="14">
        <v>400014029</v>
      </c>
      <c r="C2083" s="8" t="s">
        <v>5197</v>
      </c>
      <c r="D2083" s="4" t="str">
        <f t="shared" si="219"/>
        <v>400014029R1</v>
      </c>
      <c r="E2083" s="309" t="str">
        <f>VLOOKUP($B2083,'D7 - NDB Impacted SPRF''s'!$E$6:$O$9929,2,FALSE)</f>
        <v>Regression Test diCarta to NDB Facility Feed</v>
      </c>
      <c r="F2083" s="8" t="s">
        <v>7106</v>
      </c>
      <c r="G2083" s="8" t="s">
        <v>4758</v>
      </c>
      <c r="H2083" s="8" t="s">
        <v>2870</v>
      </c>
      <c r="I2083" s="20">
        <v>1.07</v>
      </c>
      <c r="J2083" s="8" t="s">
        <v>4862</v>
      </c>
      <c r="K2083" s="182">
        <v>38976</v>
      </c>
      <c r="L2083" s="8" t="s">
        <v>5743</v>
      </c>
      <c r="M2083" s="8" t="s">
        <v>2814</v>
      </c>
      <c r="N2083" s="367" t="s">
        <v>2948</v>
      </c>
      <c r="O2083" s="8"/>
      <c r="P2083" s="4" t="str">
        <f>VLOOKUP($B2083,'D7 - NDB Impacted SPRF''s'!$E$16:$O$9929,9,FALSE)</f>
        <v>N</v>
      </c>
      <c r="Q2083" s="4" t="str">
        <f>VLOOKUP($B2083,'D7 - NDB Impacted SPRF''s'!$E$16:$O$9929,10,FALSE)</f>
        <v>N</v>
      </c>
      <c r="R2083" s="4" t="str">
        <f>VLOOKUP($B2083,'D7 - NDB Impacted SPRF''s'!$E$16:$O$9929,11,FALSE)</f>
        <v>N</v>
      </c>
      <c r="S2083" s="8"/>
      <c r="T2083" s="310"/>
      <c r="U2083" s="310"/>
      <c r="V2083" s="4"/>
      <c r="W2083" s="4"/>
      <c r="X2083" s="4"/>
      <c r="Y2083" s="4"/>
      <c r="Z2083" s="4"/>
      <c r="AA2083" s="4"/>
      <c r="AB2083" s="380" t="str">
        <f>VLOOKUP($B2083,'D7 - NDB Impacted SPRF''s'!$E$16:$O$9929,4,FALSE)</f>
        <v>Cancelled</v>
      </c>
      <c r="AC2083" s="380" t="str">
        <f>VLOOKUP($B2083,'D7 - NDB Impacted SPRF''s'!$E$16:$O$9929,3,FALSE)</f>
        <v>UnitedHealthcare Employer &amp; Individual</v>
      </c>
      <c r="AD2083" s="380" t="str">
        <f>VLOOKUP($B2083,'D7 - NDB Impacted SPRF''s'!$E$16:$O$9929,5,FALSE)</f>
        <v>Medical Cost Savings Programs</v>
      </c>
      <c r="AE2083" s="380" t="str">
        <f>VLOOKUP($B2083,'D7 - NDB Impacted SPRF''s'!$E$16:$O$9929,7,FALSE)</f>
        <v>Steven Mueller</v>
      </c>
      <c r="AF2083" s="380" t="str">
        <f>VLOOKUP($B2083,'D7 - NDB Impacted SPRF''s'!$E$16:$O$9929,6,FALSE)</f>
        <v>JEFFREY HUXLEY</v>
      </c>
      <c r="AG2083" s="282"/>
      <c r="AH2083" s="311" t="e">
        <f>INDEX('D5 - Gatekeeper - Projects'!$A$4:$AF$1010,$AM2083, 17)</f>
        <v>#N/A</v>
      </c>
      <c r="AI2083" s="8"/>
      <c r="AJ2083" s="57"/>
      <c r="AK2083" s="105"/>
      <c r="AM2083" s="6" t="e">
        <f>MATCH(D2083,'D5 - Gatekeeper - Projects'!$C$4:$C$1010,0)</f>
        <v>#N/A</v>
      </c>
      <c r="AN2083" s="6" t="b">
        <f t="shared" si="221"/>
        <v>1</v>
      </c>
      <c r="AO2083" s="6" t="str">
        <f t="shared" si="222"/>
        <v>OK</v>
      </c>
      <c r="AQ2083" s="6" t="e">
        <f>MATCH($D2083,'D4 - Provider Council Unsched'!$C$11:$C$234,0)</f>
        <v>#N/A</v>
      </c>
      <c r="AR2083" s="6" t="b">
        <f t="shared" si="223"/>
        <v>1</v>
      </c>
      <c r="AS2083" s="6" t="str">
        <f t="shared" si="224"/>
        <v>OK</v>
      </c>
      <c r="AU2083" s="202"/>
      <c r="AV2083" s="262"/>
      <c r="AW2083" s="274"/>
    </row>
    <row r="2084" spans="1:49" s="2" customFormat="1" x14ac:dyDescent="0.2">
      <c r="A2084" s="14">
        <v>2060</v>
      </c>
      <c r="B2084" s="14" t="s">
        <v>6398</v>
      </c>
      <c r="C2084" s="8" t="s">
        <v>5197</v>
      </c>
      <c r="D2084" s="4" t="str">
        <f t="shared" si="219"/>
        <v>TBD024R1</v>
      </c>
      <c r="E2084" s="309" t="s">
        <v>3360</v>
      </c>
      <c r="F2084" s="8" t="s">
        <v>7106</v>
      </c>
      <c r="G2084" s="8" t="s">
        <v>4758</v>
      </c>
      <c r="H2084" s="8" t="s">
        <v>2870</v>
      </c>
      <c r="I2084" s="20">
        <v>40</v>
      </c>
      <c r="J2084" s="8" t="s">
        <v>7113</v>
      </c>
      <c r="K2084" s="182">
        <v>38976</v>
      </c>
      <c r="L2084" s="8" t="s">
        <v>4156</v>
      </c>
      <c r="M2084" s="8" t="s">
        <v>2814</v>
      </c>
      <c r="N2084" s="367"/>
      <c r="O2084" s="8"/>
      <c r="P2084" s="4" t="e">
        <f>VLOOKUP($B2084,'D7 - NDB Impacted SPRF''s'!$E$16:$O$9929,9,FALSE)</f>
        <v>#N/A</v>
      </c>
      <c r="Q2084" s="4" t="e">
        <f>VLOOKUP($B2084,'D7 - NDB Impacted SPRF''s'!$E$16:$O$9929,10,FALSE)</f>
        <v>#N/A</v>
      </c>
      <c r="R2084" s="4" t="e">
        <f>VLOOKUP($B2084,'D7 - NDB Impacted SPRF''s'!$E$16:$O$9929,11,FALSE)</f>
        <v>#N/A</v>
      </c>
      <c r="S2084" s="8"/>
      <c r="T2084" s="310"/>
      <c r="U2084" s="310"/>
      <c r="V2084" s="4"/>
      <c r="W2084" s="4"/>
      <c r="X2084" s="4"/>
      <c r="Y2084" s="4"/>
      <c r="Z2084" s="4"/>
      <c r="AA2084" s="4"/>
      <c r="AB2084" s="380" t="e">
        <f>VLOOKUP($B2084,'D7 - NDB Impacted SPRF''s'!$E$16:$O$9929,4,FALSE)</f>
        <v>#N/A</v>
      </c>
      <c r="AC2084" s="380" t="e">
        <f>VLOOKUP($B2084,'D7 - NDB Impacted SPRF''s'!$E$16:$O$9929,3,FALSE)</f>
        <v>#N/A</v>
      </c>
      <c r="AD2084" s="380" t="e">
        <f>VLOOKUP($B2084,'D7 - NDB Impacted SPRF''s'!$E$16:$O$9929,5,FALSE)</f>
        <v>#N/A</v>
      </c>
      <c r="AE2084" s="380" t="e">
        <f>VLOOKUP($B2084,'D7 - NDB Impacted SPRF''s'!$E$16:$O$9929,7,FALSE)</f>
        <v>#N/A</v>
      </c>
      <c r="AF2084" s="380" t="e">
        <f>VLOOKUP($B2084,'D7 - NDB Impacted SPRF''s'!$E$16:$O$9929,6,FALSE)</f>
        <v>#N/A</v>
      </c>
      <c r="AG2084" s="282" t="s">
        <v>6162</v>
      </c>
      <c r="AH2084" s="311" t="e">
        <f>INDEX('D5 - Gatekeeper - Projects'!$A$4:$AF$1010,$AM2084, 17)</f>
        <v>#N/A</v>
      </c>
      <c r="AI2084" s="8"/>
      <c r="AJ2084" s="57"/>
      <c r="AK2084" s="105"/>
      <c r="AL2084" s="13"/>
      <c r="AM2084" s="6" t="e">
        <f>MATCH(D2084,'D5 - Gatekeeper - Projects'!$C$4:$C$1010,0)</f>
        <v>#N/A</v>
      </c>
      <c r="AN2084" s="6" t="b">
        <f t="shared" si="221"/>
        <v>1</v>
      </c>
      <c r="AO2084" s="6" t="str">
        <f t="shared" si="222"/>
        <v>OK</v>
      </c>
      <c r="AP2084" s="13"/>
      <c r="AQ2084" s="6" t="e">
        <f>MATCH($D2084,'D4 - Provider Council Unsched'!$C$11:$C$234,0)</f>
        <v>#N/A</v>
      </c>
      <c r="AR2084" s="6" t="b">
        <f t="shared" si="223"/>
        <v>1</v>
      </c>
      <c r="AS2084" s="6" t="str">
        <f t="shared" si="224"/>
        <v>OK</v>
      </c>
      <c r="AT2084" s="13"/>
      <c r="AU2084" s="202"/>
      <c r="AV2084" s="262"/>
      <c r="AW2084" s="274"/>
    </row>
    <row r="2085" spans="1:49" s="13" customFormat="1" ht="22.5" x14ac:dyDescent="0.2">
      <c r="A2085" s="14">
        <v>2061</v>
      </c>
      <c r="B2085" s="14">
        <v>400006375</v>
      </c>
      <c r="C2085" s="8" t="s">
        <v>3286</v>
      </c>
      <c r="D2085" s="4" t="str">
        <f t="shared" si="219"/>
        <v>400006375CC02</v>
      </c>
      <c r="E2085" s="309" t="str">
        <f>VLOOKUP($B2085,'D7 - NDB Impacted SPRF''s'!$E$6:$O$9929,2,FALSE)</f>
        <v>Reciprocity for iCES templates - Permanent Solutio</v>
      </c>
      <c r="F2085" s="8" t="s">
        <v>5196</v>
      </c>
      <c r="G2085" s="8" t="s">
        <v>4758</v>
      </c>
      <c r="H2085" s="8" t="s">
        <v>2870</v>
      </c>
      <c r="I2085" s="20">
        <v>2.65</v>
      </c>
      <c r="J2085" s="8" t="s">
        <v>4862</v>
      </c>
      <c r="K2085" s="182">
        <v>39018</v>
      </c>
      <c r="L2085" s="8" t="s">
        <v>5743</v>
      </c>
      <c r="M2085" s="8" t="s">
        <v>2814</v>
      </c>
      <c r="N2085" s="367" t="s">
        <v>4655</v>
      </c>
      <c r="O2085" s="8"/>
      <c r="P2085" s="4" t="str">
        <f>VLOOKUP($B2085,'D7 - NDB Impacted SPRF''s'!$E$16:$O$9929,9,FALSE)</f>
        <v>Y</v>
      </c>
      <c r="Q2085" s="4" t="str">
        <f>VLOOKUP($B2085,'D7 - NDB Impacted SPRF''s'!$E$16:$O$9929,10,FALSE)</f>
        <v>N</v>
      </c>
      <c r="R2085" s="4" t="str">
        <f>VLOOKUP($B2085,'D7 - NDB Impacted SPRF''s'!$E$16:$O$9929,11,FALSE)</f>
        <v>N</v>
      </c>
      <c r="S2085" s="8"/>
      <c r="T2085" s="310"/>
      <c r="U2085" s="310"/>
      <c r="V2085" s="4"/>
      <c r="W2085" s="4"/>
      <c r="X2085" s="4"/>
      <c r="Y2085" s="4"/>
      <c r="Z2085" s="4"/>
      <c r="AA2085" s="4"/>
      <c r="AB2085" s="380" t="str">
        <f>VLOOKUP($B2085,'D7 - NDB Impacted SPRF''s'!$E$16:$O$9929,4,FALSE)</f>
        <v>Cancelled</v>
      </c>
      <c r="AC2085" s="380" t="str">
        <f>VLOOKUP($B2085,'D7 - NDB Impacted SPRF''s'!$E$16:$O$9929,3,FALSE)</f>
        <v>Alliance</v>
      </c>
      <c r="AD2085" s="380" t="str">
        <f>VLOOKUP($B2085,'D7 - NDB Impacted SPRF''s'!$E$16:$O$9929,5,FALSE)</f>
        <v>Healthcare Service Alliance</v>
      </c>
      <c r="AE2085" s="380" t="str">
        <f>VLOOKUP($B2085,'D7 - NDB Impacted SPRF''s'!$E$16:$O$9929,7,FALSE)</f>
        <v>Patrick Kennedy</v>
      </c>
      <c r="AF2085" s="380" t="str">
        <f>VLOOKUP($B2085,'D7 - NDB Impacted SPRF''s'!$E$16:$O$9929,6,FALSE)</f>
        <v>SUSAN HINES</v>
      </c>
      <c r="AG2085" s="282"/>
      <c r="AH2085" s="311" t="e">
        <f>INDEX('D5 - Gatekeeper - Projects'!$A$4:$AF$1010,$AM2085, 17)</f>
        <v>#N/A</v>
      </c>
      <c r="AI2085" s="8"/>
      <c r="AJ2085" s="57"/>
      <c r="AK2085" s="105"/>
      <c r="AM2085" s="6" t="e">
        <f>MATCH(D2085,'D5 - Gatekeeper - Projects'!$C$4:$C$1010,0)</f>
        <v>#N/A</v>
      </c>
      <c r="AN2085" s="6" t="b">
        <f t="shared" si="221"/>
        <v>1</v>
      </c>
      <c r="AO2085" s="6" t="str">
        <f t="shared" si="222"/>
        <v>OK</v>
      </c>
      <c r="AQ2085" s="6" t="e">
        <f>MATCH($D2085,'D4 - Provider Council Unsched'!$C$11:$C$234,0)</f>
        <v>#N/A</v>
      </c>
      <c r="AR2085" s="6" t="b">
        <f t="shared" si="223"/>
        <v>1</v>
      </c>
      <c r="AS2085" s="6" t="str">
        <f t="shared" si="224"/>
        <v>OK</v>
      </c>
      <c r="AU2085" s="202"/>
      <c r="AV2085" s="262"/>
      <c r="AW2085" s="274"/>
    </row>
    <row r="2086" spans="1:49" s="13" customFormat="1" x14ac:dyDescent="0.2">
      <c r="A2086" s="14">
        <v>2062</v>
      </c>
      <c r="B2086" s="14">
        <v>400006849</v>
      </c>
      <c r="C2086" s="8" t="s">
        <v>5197</v>
      </c>
      <c r="D2086" s="4" t="str">
        <f t="shared" si="219"/>
        <v>400006849R1</v>
      </c>
      <c r="E2086" s="309" t="str">
        <f>VLOOKUP($B2086,'D7 - NDB Impacted SPRF''s'!$E$6:$O$9929,2,FALSE)</f>
        <v>EFS Paper Directory Error Reports</v>
      </c>
      <c r="F2086" s="8" t="s">
        <v>5054</v>
      </c>
      <c r="G2086" s="8" t="s">
        <v>4758</v>
      </c>
      <c r="H2086" s="8" t="s">
        <v>2870</v>
      </c>
      <c r="I2086" s="20">
        <v>0.27</v>
      </c>
      <c r="J2086" s="8" t="s">
        <v>4862</v>
      </c>
      <c r="K2086" s="182">
        <v>39018</v>
      </c>
      <c r="L2086" s="8" t="s">
        <v>5743</v>
      </c>
      <c r="M2086" s="8" t="s">
        <v>2814</v>
      </c>
      <c r="N2086" s="65" t="s">
        <v>5190</v>
      </c>
      <c r="O2086" s="8"/>
      <c r="P2086" s="4" t="str">
        <f>VLOOKUP($B2086,'D7 - NDB Impacted SPRF''s'!$E$16:$O$9929,9,FALSE)</f>
        <v>N</v>
      </c>
      <c r="Q2086" s="4" t="str">
        <f>VLOOKUP($B2086,'D7 - NDB Impacted SPRF''s'!$E$16:$O$9929,10,FALSE)</f>
        <v>N</v>
      </c>
      <c r="R2086" s="4" t="str">
        <f>VLOOKUP($B2086,'D7 - NDB Impacted SPRF''s'!$E$16:$O$9929,11,FALSE)</f>
        <v>N</v>
      </c>
      <c r="S2086" s="8"/>
      <c r="T2086" s="310"/>
      <c r="U2086" s="310"/>
      <c r="V2086" s="4"/>
      <c r="W2086" s="4"/>
      <c r="X2086" s="4"/>
      <c r="Y2086" s="4"/>
      <c r="Z2086" s="4"/>
      <c r="AA2086" s="4"/>
      <c r="AB2086" s="380" t="str">
        <f>VLOOKUP($B2086,'D7 - NDB Impacted SPRF''s'!$E$16:$O$9929,4,FALSE)</f>
        <v>Cancelled</v>
      </c>
      <c r="AC2086" s="380" t="str">
        <f>VLOOKUP($B2086,'D7 - NDB Impacted SPRF''s'!$E$16:$O$9929,3,FALSE)</f>
        <v>Uniprise</v>
      </c>
      <c r="AD2086" s="380" t="str">
        <f>VLOOKUP($B2086,'D7 - NDB Impacted SPRF''s'!$E$16:$O$9929,5,FALSE)</f>
        <v>Exante - DDC</v>
      </c>
      <c r="AE2086" s="380" t="str">
        <f>VLOOKUP($B2086,'D7 - NDB Impacted SPRF''s'!$E$16:$O$9929,7,FALSE)</f>
        <v>Thomas Watson</v>
      </c>
      <c r="AF2086" s="380" t="str">
        <f>VLOOKUP($B2086,'D7 - NDB Impacted SPRF''s'!$E$16:$O$9929,6,FALSE)</f>
        <v>Pasini Liz</v>
      </c>
      <c r="AG2086" s="282" t="s">
        <v>7755</v>
      </c>
      <c r="AH2086" s="311" t="e">
        <f>INDEX('D5 - Gatekeeper - Projects'!$A$4:$AF$1010,$AM2086, 17)</f>
        <v>#N/A</v>
      </c>
      <c r="AI2086" s="8"/>
      <c r="AJ2086" s="57"/>
      <c r="AK2086" s="105"/>
      <c r="AM2086" s="6" t="e">
        <f>MATCH(D2086,'D5 - Gatekeeper - Projects'!$C$4:$C$1010,0)</f>
        <v>#N/A</v>
      </c>
      <c r="AN2086" s="6" t="b">
        <f t="shared" si="221"/>
        <v>1</v>
      </c>
      <c r="AO2086" s="6" t="str">
        <f t="shared" si="222"/>
        <v>OK</v>
      </c>
      <c r="AQ2086" s="6" t="e">
        <f>MATCH($D2086,'D4 - Provider Council Unsched'!$C$11:$C$234,0)</f>
        <v>#N/A</v>
      </c>
      <c r="AR2086" s="6" t="b">
        <f t="shared" si="223"/>
        <v>1</v>
      </c>
      <c r="AS2086" s="6" t="str">
        <f t="shared" si="224"/>
        <v>OK</v>
      </c>
      <c r="AU2086" s="202"/>
      <c r="AV2086" s="262"/>
      <c r="AW2086" s="274"/>
    </row>
    <row r="2087" spans="1:49" s="13" customFormat="1" x14ac:dyDescent="0.2">
      <c r="A2087" s="14">
        <v>2063</v>
      </c>
      <c r="B2087" s="14">
        <v>400007560</v>
      </c>
      <c r="C2087" s="8" t="s">
        <v>1503</v>
      </c>
      <c r="D2087" s="4" t="str">
        <f t="shared" si="219"/>
        <v>400007560CC07R1</v>
      </c>
      <c r="E2087" s="309" t="str">
        <f>VLOOKUP($B2087,'D7 - NDB Impacted SPRF''s'!$E$6:$O$9929,2,FALSE)</f>
        <v>UBH Facets and United Systems Integration</v>
      </c>
      <c r="F2087" s="8" t="s">
        <v>3764</v>
      </c>
      <c r="G2087" s="8" t="s">
        <v>4758</v>
      </c>
      <c r="H2087" s="8" t="s">
        <v>2870</v>
      </c>
      <c r="I2087" s="20">
        <v>10.67</v>
      </c>
      <c r="J2087" s="8" t="s">
        <v>7114</v>
      </c>
      <c r="K2087" s="182">
        <v>39018</v>
      </c>
      <c r="L2087" s="8" t="s">
        <v>6919</v>
      </c>
      <c r="M2087" s="8" t="s">
        <v>2814</v>
      </c>
      <c r="N2087" s="38" t="s">
        <v>3908</v>
      </c>
      <c r="O2087" s="8"/>
      <c r="P2087" s="4" t="str">
        <f>VLOOKUP($B2087,'D7 - NDB Impacted SPRF''s'!$E$16:$O$9929,9,FALSE)</f>
        <v>N</v>
      </c>
      <c r="Q2087" s="4" t="str">
        <f>VLOOKUP($B2087,'D7 - NDB Impacted SPRF''s'!$E$16:$O$9929,10,FALSE)</f>
        <v>N</v>
      </c>
      <c r="R2087" s="4" t="str">
        <f>VLOOKUP($B2087,'D7 - NDB Impacted SPRF''s'!$E$16:$O$9929,11,FALSE)</f>
        <v>N</v>
      </c>
      <c r="S2087" s="8" t="s">
        <v>3758</v>
      </c>
      <c r="T2087" s="310"/>
      <c r="U2087" s="310"/>
      <c r="V2087" s="4"/>
      <c r="W2087" s="4"/>
      <c r="X2087" s="4"/>
      <c r="Y2087" s="4"/>
      <c r="Z2087" s="4"/>
      <c r="AA2087" s="4"/>
      <c r="AB2087" s="380" t="str">
        <f>VLOOKUP($B2087,'D7 - NDB Impacted SPRF''s'!$E$16:$O$9929,4,FALSE)</f>
        <v>Completed</v>
      </c>
      <c r="AC2087" s="380" t="str">
        <f>VLOOKUP($B2087,'D7 - NDB Impacted SPRF''s'!$E$16:$O$9929,3,FALSE)</f>
        <v>OptumHealth</v>
      </c>
      <c r="AD2087" s="380" t="str">
        <f>VLOOKUP($B2087,'D7 - NDB Impacted SPRF''s'!$E$16:$O$9929,5,FALSE)</f>
        <v>UBH</v>
      </c>
      <c r="AE2087" s="380" t="str">
        <f>VLOOKUP($B2087,'D7 - NDB Impacted SPRF''s'!$E$16:$O$9929,7,FALSE)</f>
        <v>Brian Murray / Brigid Bonner</v>
      </c>
      <c r="AF2087" s="380" t="str">
        <f>VLOOKUP($B2087,'D7 - NDB Impacted SPRF''s'!$E$16:$O$9929,6,FALSE)</f>
        <v>Don Tierney</v>
      </c>
      <c r="AG2087" s="282" t="s">
        <v>7755</v>
      </c>
      <c r="AH2087" s="311" t="e">
        <f>INDEX('D5 - Gatekeeper - Projects'!$A$4:$AF$1010,$AM2087, 17)</f>
        <v>#N/A</v>
      </c>
      <c r="AI2087" s="8"/>
      <c r="AJ2087" s="57"/>
      <c r="AK2087" s="105"/>
      <c r="AM2087" s="6" t="e">
        <f>MATCH(D2087,'D5 - Gatekeeper - Projects'!$C$4:$C$1010,0)</f>
        <v>#N/A</v>
      </c>
      <c r="AN2087" s="6" t="b">
        <f t="shared" si="221"/>
        <v>1</v>
      </c>
      <c r="AO2087" s="6" t="str">
        <f t="shared" si="222"/>
        <v>OK</v>
      </c>
      <c r="AQ2087" s="6" t="e">
        <f>MATCH($D2087,'D4 - Provider Council Unsched'!$C$11:$C$234,0)</f>
        <v>#N/A</v>
      </c>
      <c r="AR2087" s="6" t="b">
        <f t="shared" si="223"/>
        <v>1</v>
      </c>
      <c r="AS2087" s="6" t="str">
        <f t="shared" si="224"/>
        <v>OK</v>
      </c>
      <c r="AU2087" s="202"/>
      <c r="AV2087" s="262"/>
      <c r="AW2087" s="274"/>
    </row>
    <row r="2088" spans="1:49" s="13" customFormat="1" ht="11.25" customHeight="1" x14ac:dyDescent="0.2">
      <c r="A2088" s="14">
        <v>2064</v>
      </c>
      <c r="B2088" s="14">
        <v>400008441</v>
      </c>
      <c r="C2088" s="8" t="s">
        <v>5197</v>
      </c>
      <c r="D2088" s="4" t="str">
        <f t="shared" si="219"/>
        <v>400008441R1</v>
      </c>
      <c r="E2088" s="309" t="str">
        <f>VLOOKUP($B2088,'D7 - NDB Impacted SPRF''s'!$E$6:$O$9929,2,FALSE)</f>
        <v>Alliance PPO: Phase II, NDB Provider Directories</v>
      </c>
      <c r="F2088" s="8" t="s">
        <v>1931</v>
      </c>
      <c r="G2088" s="8" t="s">
        <v>4758</v>
      </c>
      <c r="H2088" s="8" t="s">
        <v>2870</v>
      </c>
      <c r="I2088" s="20">
        <v>5.5</v>
      </c>
      <c r="J2088" s="8" t="s">
        <v>4862</v>
      </c>
      <c r="K2088" s="182">
        <v>39018</v>
      </c>
      <c r="L2088" s="8" t="s">
        <v>4156</v>
      </c>
      <c r="M2088" s="8" t="s">
        <v>2814</v>
      </c>
      <c r="N2088" s="38"/>
      <c r="O2088" s="8"/>
      <c r="P2088" s="4" t="str">
        <f>VLOOKUP($B2088,'D7 - NDB Impacted SPRF''s'!$E$16:$O$9929,9,FALSE)</f>
        <v>N</v>
      </c>
      <c r="Q2088" s="4" t="str">
        <f>VLOOKUP($B2088,'D7 - NDB Impacted SPRF''s'!$E$16:$O$9929,10,FALSE)</f>
        <v>N</v>
      </c>
      <c r="R2088" s="4" t="str">
        <f>VLOOKUP($B2088,'D7 - NDB Impacted SPRF''s'!$E$16:$O$9929,11,FALSE)</f>
        <v>N</v>
      </c>
      <c r="S2088" s="8"/>
      <c r="T2088" s="310"/>
      <c r="U2088" s="310"/>
      <c r="V2088" s="4"/>
      <c r="W2088" s="4"/>
      <c r="X2088" s="4"/>
      <c r="Y2088" s="4"/>
      <c r="Z2088" s="4"/>
      <c r="AA2088" s="4"/>
      <c r="AB2088" s="380" t="str">
        <f>VLOOKUP($B2088,'D7 - NDB Impacted SPRF''s'!$E$16:$O$9929,4,FALSE)</f>
        <v>Cancelled</v>
      </c>
      <c r="AC2088" s="380" t="str">
        <f>VLOOKUP($B2088,'D7 - NDB Impacted SPRF''s'!$E$16:$O$9929,3,FALSE)</f>
        <v>UnitedHealthcare Employer &amp; Individual</v>
      </c>
      <c r="AD2088" s="380" t="str">
        <f>VLOOKUP($B2088,'D7 - NDB Impacted SPRF''s'!$E$16:$O$9929,5,FALSE)</f>
        <v>Key Initiatives Group</v>
      </c>
      <c r="AE2088" s="380" t="str">
        <f>VLOOKUP($B2088,'D7 - NDB Impacted SPRF''s'!$E$16:$O$9929,7,FALSE)</f>
        <v>Mike Mikan</v>
      </c>
      <c r="AF2088" s="380" t="str">
        <f>VLOOKUP($B2088,'D7 - NDB Impacted SPRF''s'!$E$16:$O$9929,6,FALSE)</f>
        <v>KELLY HARRISON</v>
      </c>
      <c r="AG2088" s="282" t="s">
        <v>6162</v>
      </c>
      <c r="AH2088" s="311" t="e">
        <f>INDEX('D5 - Gatekeeper - Projects'!$A$4:$AF$1010,$AM2088, 17)</f>
        <v>#N/A</v>
      </c>
      <c r="AI2088" s="8"/>
      <c r="AJ2088" s="57"/>
      <c r="AK2088" s="105"/>
      <c r="AM2088" s="6" t="e">
        <f>MATCH(D2088,'D5 - Gatekeeper - Projects'!$C$4:$C$1010,0)</f>
        <v>#N/A</v>
      </c>
      <c r="AN2088" s="6" t="b">
        <f t="shared" si="221"/>
        <v>1</v>
      </c>
      <c r="AO2088" s="6" t="str">
        <f t="shared" si="222"/>
        <v>OK</v>
      </c>
      <c r="AQ2088" s="6" t="e">
        <f>MATCH($D2088,'D4 - Provider Council Unsched'!$C$11:$C$234,0)</f>
        <v>#N/A</v>
      </c>
      <c r="AR2088" s="6" t="b">
        <f t="shared" si="223"/>
        <v>1</v>
      </c>
      <c r="AS2088" s="6" t="str">
        <f t="shared" si="224"/>
        <v>OK</v>
      </c>
      <c r="AU2088" s="202"/>
      <c r="AV2088" s="262"/>
      <c r="AW2088" s="274"/>
    </row>
    <row r="2089" spans="1:49" s="13" customFormat="1" ht="56.25" x14ac:dyDescent="0.2">
      <c r="A2089" s="14">
        <v>2065</v>
      </c>
      <c r="B2089" s="14">
        <v>400009454</v>
      </c>
      <c r="C2089" s="8" t="s">
        <v>5227</v>
      </c>
      <c r="D2089" s="4" t="str">
        <f t="shared" si="219"/>
        <v>400009454CC10</v>
      </c>
      <c r="E2089" s="309" t="str">
        <f>VLOOKUP($B2089,'D7 - NDB Impacted SPRF''s'!$E$6:$O$9929,2,FALSE)</f>
        <v>Gated HMO Design &amp; Development Phase IV</v>
      </c>
      <c r="F2089" s="8" t="s">
        <v>4168</v>
      </c>
      <c r="G2089" s="8" t="s">
        <v>4758</v>
      </c>
      <c r="H2089" s="8" t="s">
        <v>2870</v>
      </c>
      <c r="I2089" s="20">
        <v>3.87</v>
      </c>
      <c r="J2089" s="8" t="s">
        <v>4862</v>
      </c>
      <c r="K2089" s="182">
        <v>39018</v>
      </c>
      <c r="L2089" s="8" t="s">
        <v>5743</v>
      </c>
      <c r="M2089" s="8" t="s">
        <v>2814</v>
      </c>
      <c r="N2089" s="367" t="s">
        <v>4889</v>
      </c>
      <c r="O2089" s="8"/>
      <c r="P2089" s="4" t="str">
        <f>VLOOKUP($B2089,'D7 - NDB Impacted SPRF''s'!$E$16:$O$9929,9,FALSE)</f>
        <v>Y</v>
      </c>
      <c r="Q2089" s="4" t="str">
        <f>VLOOKUP($B2089,'D7 - NDB Impacted SPRF''s'!$E$16:$O$9929,10,FALSE)</f>
        <v>N</v>
      </c>
      <c r="R2089" s="4" t="str">
        <f>VLOOKUP($B2089,'D7 - NDB Impacted SPRF''s'!$E$16:$O$9929,11,FALSE)</f>
        <v>N</v>
      </c>
      <c r="S2089" s="8"/>
      <c r="T2089" s="310"/>
      <c r="U2089" s="310"/>
      <c r="V2089" s="4"/>
      <c r="W2089" s="4"/>
      <c r="X2089" s="4"/>
      <c r="Y2089" s="4"/>
      <c r="Z2089" s="4"/>
      <c r="AA2089" s="4"/>
      <c r="AB2089" s="380" t="str">
        <f>VLOOKUP($B2089,'D7 - NDB Impacted SPRF''s'!$E$16:$O$9929,4,FALSE)</f>
        <v>Completed</v>
      </c>
      <c r="AC2089" s="380" t="str">
        <f>VLOOKUP($B2089,'D7 - NDB Impacted SPRF''s'!$E$16:$O$9929,3,FALSE)</f>
        <v>Alliance</v>
      </c>
      <c r="AD2089" s="380" t="str">
        <f>VLOOKUP($B2089,'D7 - NDB Impacted SPRF''s'!$E$16:$O$9929,5,FALSE)</f>
        <v>Gated HMO</v>
      </c>
      <c r="AE2089" s="380" t="str">
        <f>VLOOKUP($B2089,'D7 - NDB Impacted SPRF''s'!$E$16:$O$9929,7,FALSE)</f>
        <v>Diane Schofield</v>
      </c>
      <c r="AF2089" s="380" t="str">
        <f>VLOOKUP($B2089,'D7 - NDB Impacted SPRF''s'!$E$16:$O$9929,6,FALSE)</f>
        <v>Debi Streb</v>
      </c>
      <c r="AG2089" s="282"/>
      <c r="AH2089" s="311" t="e">
        <f>INDEX('D5 - Gatekeeper - Projects'!$A$4:$AF$1010,$AM2089, 17)</f>
        <v>#N/A</v>
      </c>
      <c r="AI2089" s="8"/>
      <c r="AJ2089" s="57"/>
      <c r="AK2089" s="105"/>
      <c r="AM2089" s="6" t="e">
        <f>MATCH(D2089,'D5 - Gatekeeper - Projects'!$C$4:$C$1010,0)</f>
        <v>#N/A</v>
      </c>
      <c r="AN2089" s="6" t="b">
        <f t="shared" si="221"/>
        <v>1</v>
      </c>
      <c r="AO2089" s="6" t="str">
        <f t="shared" si="222"/>
        <v>OK</v>
      </c>
      <c r="AQ2089" s="6" t="e">
        <f>MATCH($D2089,'D4 - Provider Council Unsched'!$C$11:$C$234,0)</f>
        <v>#N/A</v>
      </c>
      <c r="AR2089" s="6" t="b">
        <f t="shared" si="223"/>
        <v>1</v>
      </c>
      <c r="AS2089" s="6" t="str">
        <f t="shared" si="224"/>
        <v>OK</v>
      </c>
      <c r="AU2089" s="202"/>
      <c r="AV2089" s="262"/>
      <c r="AW2089" s="274"/>
    </row>
    <row r="2090" spans="1:49" s="13" customFormat="1" ht="33.75" x14ac:dyDescent="0.2">
      <c r="A2090" s="14">
        <v>2066</v>
      </c>
      <c r="B2090" s="14">
        <v>400010915</v>
      </c>
      <c r="C2090" s="8" t="s">
        <v>6725</v>
      </c>
      <c r="D2090" s="4" t="str">
        <f t="shared" si="219"/>
        <v>400010915CC01</v>
      </c>
      <c r="E2090" s="309" t="str">
        <f>VLOOKUP($B2090,'D7 - NDB Impacted SPRF''s'!$E$6:$O$9929,2,FALSE)</f>
        <v>NPI Reporting Compliance</v>
      </c>
      <c r="F2090" s="8" t="s">
        <v>1059</v>
      </c>
      <c r="G2090" s="8" t="s">
        <v>4758</v>
      </c>
      <c r="H2090" s="8" t="s">
        <v>2870</v>
      </c>
      <c r="I2090" s="20">
        <v>2.62</v>
      </c>
      <c r="J2090" s="8" t="s">
        <v>4862</v>
      </c>
      <c r="K2090" s="182">
        <v>39018</v>
      </c>
      <c r="L2090" s="8" t="s">
        <v>5743</v>
      </c>
      <c r="M2090" s="8" t="s">
        <v>2814</v>
      </c>
      <c r="N2090" s="367"/>
      <c r="O2090" s="8"/>
      <c r="P2090" s="4" t="str">
        <f>VLOOKUP($B2090,'D7 - NDB Impacted SPRF''s'!$E$16:$O$9929,9,FALSE)</f>
        <v>N</v>
      </c>
      <c r="Q2090" s="4" t="str">
        <f>VLOOKUP($B2090,'D7 - NDB Impacted SPRF''s'!$E$16:$O$9929,10,FALSE)</f>
        <v>N</v>
      </c>
      <c r="R2090" s="4" t="str">
        <f>VLOOKUP($B2090,'D7 - NDB Impacted SPRF''s'!$E$16:$O$9929,11,FALSE)</f>
        <v>N</v>
      </c>
      <c r="S2090" s="8"/>
      <c r="T2090" s="310"/>
      <c r="U2090" s="310"/>
      <c r="V2090" s="4"/>
      <c r="W2090" s="4"/>
      <c r="X2090" s="4"/>
      <c r="Y2090" s="4"/>
      <c r="Z2090" s="4"/>
      <c r="AA2090" s="4"/>
      <c r="AB2090" s="380" t="str">
        <f>VLOOKUP($B2090,'D7 - NDB Impacted SPRF''s'!$E$16:$O$9929,4,FALSE)</f>
        <v>Cancelled</v>
      </c>
      <c r="AC2090" s="380" t="str">
        <f>VLOOKUP($B2090,'D7 - NDB Impacted SPRF''s'!$E$16:$O$9929,3,FALSE)</f>
        <v>UnitedHealthcare Employer &amp; Individual</v>
      </c>
      <c r="AD2090" s="380" t="str">
        <f>VLOOKUP($B2090,'D7 - NDB Impacted SPRF''s'!$E$16:$O$9929,5,FALSE)</f>
        <v>Regulatory / Other</v>
      </c>
      <c r="AE2090" s="380" t="str">
        <f>VLOOKUP($B2090,'D7 - NDB Impacted SPRF''s'!$E$16:$O$9929,7,FALSE)</f>
        <v>Gerald Brockman</v>
      </c>
      <c r="AF2090" s="380" t="str">
        <f>VLOOKUP($B2090,'D7 - NDB Impacted SPRF''s'!$E$16:$O$9929,6,FALSE)</f>
        <v>KELLY LEONARD</v>
      </c>
      <c r="AG2090" s="282"/>
      <c r="AH2090" s="311" t="e">
        <f>INDEX('D5 - Gatekeeper - Projects'!$A$4:$AF$1010,$AM2090, 17)</f>
        <v>#N/A</v>
      </c>
      <c r="AI2090" s="8"/>
      <c r="AJ2090" s="57"/>
      <c r="AK2090" s="105"/>
      <c r="AM2090" s="6" t="e">
        <f>MATCH(D2090,'D5 - Gatekeeper - Projects'!$C$4:$C$1010,0)</f>
        <v>#N/A</v>
      </c>
      <c r="AN2090" s="6" t="b">
        <f t="shared" si="221"/>
        <v>1</v>
      </c>
      <c r="AO2090" s="6" t="str">
        <f t="shared" si="222"/>
        <v>OK</v>
      </c>
      <c r="AQ2090" s="6" t="e">
        <f>MATCH($D2090,'D4 - Provider Council Unsched'!$C$11:$C$234,0)</f>
        <v>#N/A</v>
      </c>
      <c r="AR2090" s="6" t="b">
        <f t="shared" si="223"/>
        <v>1</v>
      </c>
      <c r="AS2090" s="6" t="str">
        <f t="shared" si="224"/>
        <v>OK</v>
      </c>
      <c r="AU2090" s="202"/>
      <c r="AV2090" s="262"/>
      <c r="AW2090" s="274"/>
    </row>
    <row r="2091" spans="1:49" s="13" customFormat="1" ht="33.75" x14ac:dyDescent="0.2">
      <c r="A2091" s="14">
        <v>2067</v>
      </c>
      <c r="B2091" s="14">
        <v>400012554</v>
      </c>
      <c r="C2091" s="8" t="s">
        <v>5197</v>
      </c>
      <c r="D2091" s="4" t="str">
        <f t="shared" si="219"/>
        <v>400012554R1</v>
      </c>
      <c r="E2091" s="309" t="str">
        <f>VLOOKUP($B2091,'D7 - NDB Impacted SPRF''s'!$E$6:$O$9929,2,FALSE)</f>
        <v>Brokertape for Ovations AdminPlatform</v>
      </c>
      <c r="F2091" s="8" t="s">
        <v>5544</v>
      </c>
      <c r="G2091" s="8" t="s">
        <v>4758</v>
      </c>
      <c r="H2091" s="8" t="s">
        <v>2870</v>
      </c>
      <c r="I2091" s="20">
        <v>1.07</v>
      </c>
      <c r="J2091" s="8" t="s">
        <v>4862</v>
      </c>
      <c r="K2091" s="182">
        <v>39018</v>
      </c>
      <c r="L2091" s="8" t="s">
        <v>5743</v>
      </c>
      <c r="M2091" s="8" t="s">
        <v>2814</v>
      </c>
      <c r="N2091" s="368" t="s">
        <v>5190</v>
      </c>
      <c r="O2091" s="8"/>
      <c r="P2091" s="4" t="str">
        <f>VLOOKUP($B2091,'D7 - NDB Impacted SPRF''s'!$E$16:$O$9929,9,FALSE)</f>
        <v>N</v>
      </c>
      <c r="Q2091" s="4" t="str">
        <f>VLOOKUP($B2091,'D7 - NDB Impacted SPRF''s'!$E$16:$O$9929,10,FALSE)</f>
        <v>N</v>
      </c>
      <c r="R2091" s="4" t="str">
        <f>VLOOKUP($B2091,'D7 - NDB Impacted SPRF''s'!$E$16:$O$9929,11,FALSE)</f>
        <v>N</v>
      </c>
      <c r="S2091" s="8"/>
      <c r="T2091" s="310"/>
      <c r="U2091" s="310"/>
      <c r="V2091" s="4"/>
      <c r="W2091" s="4"/>
      <c r="X2091" s="4"/>
      <c r="Y2091" s="4"/>
      <c r="Z2091" s="4"/>
      <c r="AA2091" s="4"/>
      <c r="AB2091" s="380" t="str">
        <f>VLOOKUP($B2091,'D7 - NDB Impacted SPRF''s'!$E$16:$O$9929,4,FALSE)</f>
        <v>Cancelled</v>
      </c>
      <c r="AC2091" s="380" t="str">
        <f>VLOOKUP($B2091,'D7 - NDB Impacted SPRF''s'!$E$16:$O$9929,3,FALSE)</f>
        <v>UnitedHealthcare Medicare &amp; Retirement</v>
      </c>
      <c r="AD2091" s="380" t="str">
        <f>VLOOKUP($B2091,'D7 - NDB Impacted SPRF''s'!$E$16:$O$9929,5,FALSE)</f>
        <v>XXCOG</v>
      </c>
      <c r="AE2091" s="380" t="str">
        <f>VLOOKUP($B2091,'D7 - NDB Impacted SPRF''s'!$E$16:$O$9929,7,FALSE)</f>
        <v>Ashok Sundarshan</v>
      </c>
      <c r="AF2091" s="380" t="str">
        <f>VLOOKUP($B2091,'D7 - NDB Impacted SPRF''s'!$E$16:$O$9929,6,FALSE)</f>
        <v>Susan Gruwell</v>
      </c>
      <c r="AG2091" s="282" t="s">
        <v>7755</v>
      </c>
      <c r="AH2091" s="311" t="e">
        <f>INDEX('D5 - Gatekeeper - Projects'!$A$4:$AF$1010,$AM2091, 17)</f>
        <v>#N/A</v>
      </c>
      <c r="AI2091" s="8"/>
      <c r="AJ2091" s="57"/>
      <c r="AK2091" s="105"/>
      <c r="AM2091" s="6" t="e">
        <f>MATCH(D2091,'D5 - Gatekeeper - Projects'!$C$4:$C$1010,0)</f>
        <v>#N/A</v>
      </c>
      <c r="AN2091" s="6" t="b">
        <f t="shared" si="221"/>
        <v>1</v>
      </c>
      <c r="AO2091" s="6" t="str">
        <f t="shared" si="222"/>
        <v>OK</v>
      </c>
      <c r="AQ2091" s="6" t="e">
        <f>MATCH($D2091,'D4 - Provider Council Unsched'!$C$11:$C$234,0)</f>
        <v>#N/A</v>
      </c>
      <c r="AR2091" s="6" t="b">
        <f t="shared" si="223"/>
        <v>1</v>
      </c>
      <c r="AS2091" s="6" t="str">
        <f t="shared" si="224"/>
        <v>OK</v>
      </c>
      <c r="AU2091" s="202"/>
      <c r="AV2091" s="262"/>
      <c r="AW2091" s="274"/>
    </row>
    <row r="2092" spans="1:49" s="13" customFormat="1" ht="33.75" x14ac:dyDescent="0.2">
      <c r="A2092" s="14">
        <v>2068</v>
      </c>
      <c r="B2092" s="14">
        <v>400013978</v>
      </c>
      <c r="C2092" s="8" t="s">
        <v>5197</v>
      </c>
      <c r="D2092" s="4" t="str">
        <f t="shared" si="219"/>
        <v>400013978R1</v>
      </c>
      <c r="E2092" s="309" t="str">
        <f>VLOOKUP($B2092,'D7 - NDB Impacted SPRF''s'!$E$6:$O$9929,2,FALSE)</f>
        <v>MAHP - CDB Requirements</v>
      </c>
      <c r="F2092" s="8" t="s">
        <v>5752</v>
      </c>
      <c r="G2092" s="8" t="s">
        <v>4758</v>
      </c>
      <c r="H2092" s="8" t="s">
        <v>2870</v>
      </c>
      <c r="I2092" s="20">
        <v>1.07</v>
      </c>
      <c r="J2092" s="8" t="s">
        <v>4862</v>
      </c>
      <c r="K2092" s="182">
        <v>39018</v>
      </c>
      <c r="L2092" s="8" t="s">
        <v>5743</v>
      </c>
      <c r="M2092" s="8" t="s">
        <v>2814</v>
      </c>
      <c r="N2092" s="367" t="s">
        <v>4155</v>
      </c>
      <c r="O2092" s="8"/>
      <c r="P2092" s="4" t="str">
        <f>VLOOKUP($B2092,'D7 - NDB Impacted SPRF''s'!$E$16:$O$9929,9,FALSE)</f>
        <v>N</v>
      </c>
      <c r="Q2092" s="4" t="str">
        <f>VLOOKUP($B2092,'D7 - NDB Impacted SPRF''s'!$E$16:$O$9929,10,FALSE)</f>
        <v>N</v>
      </c>
      <c r="R2092" s="4" t="str">
        <f>VLOOKUP($B2092,'D7 - NDB Impacted SPRF''s'!$E$16:$O$9929,11,FALSE)</f>
        <v>N</v>
      </c>
      <c r="S2092" s="8"/>
      <c r="T2092" s="310"/>
      <c r="U2092" s="310"/>
      <c r="V2092" s="4"/>
      <c r="W2092" s="4"/>
      <c r="X2092" s="4"/>
      <c r="Y2092" s="4"/>
      <c r="Z2092" s="4"/>
      <c r="AA2092" s="4"/>
      <c r="AB2092" s="380" t="str">
        <f>VLOOKUP($B2092,'D7 - NDB Impacted SPRF''s'!$E$16:$O$9929,4,FALSE)</f>
        <v>Completed</v>
      </c>
      <c r="AC2092" s="380" t="str">
        <f>VLOOKUP($B2092,'D7 - NDB Impacted SPRF''s'!$E$16:$O$9929,3,FALSE)</f>
        <v>UnitedHealthcare Employer &amp; Individual</v>
      </c>
      <c r="AD2092" s="380" t="str">
        <f>VLOOKUP($B2092,'D7 - NDB Impacted SPRF''s'!$E$16:$O$9929,5,FALSE)</f>
        <v>Integration Requirements</v>
      </c>
      <c r="AE2092" s="380" t="str">
        <f>VLOOKUP($B2092,'D7 - NDB Impacted SPRF''s'!$E$16:$O$9929,7,FALSE)</f>
        <v>Kevin Ruth</v>
      </c>
      <c r="AF2092" s="380" t="str">
        <f>VLOOKUP($B2092,'D7 - NDB Impacted SPRF''s'!$E$16:$O$9929,6,FALSE)</f>
        <v>Laura Ness</v>
      </c>
      <c r="AG2092" s="282"/>
      <c r="AH2092" s="311" t="e">
        <f>INDEX('D5 - Gatekeeper - Projects'!$A$4:$AF$1010,$AM2092, 17)</f>
        <v>#N/A</v>
      </c>
      <c r="AI2092" s="8"/>
      <c r="AJ2092" s="57"/>
      <c r="AK2092" s="105"/>
      <c r="AM2092" s="6" t="e">
        <f>MATCH(D2092,'D5 - Gatekeeper - Projects'!$C$4:$C$1010,0)</f>
        <v>#N/A</v>
      </c>
      <c r="AN2092" s="6" t="b">
        <f t="shared" si="221"/>
        <v>1</v>
      </c>
      <c r="AO2092" s="6" t="str">
        <f t="shared" si="222"/>
        <v>OK</v>
      </c>
      <c r="AQ2092" s="6" t="e">
        <f>MATCH($D2092,'D4 - Provider Council Unsched'!$C$11:$C$234,0)</f>
        <v>#N/A</v>
      </c>
      <c r="AR2092" s="6" t="b">
        <f t="shared" si="223"/>
        <v>1</v>
      </c>
      <c r="AS2092" s="6" t="str">
        <f t="shared" si="224"/>
        <v>OK</v>
      </c>
      <c r="AU2092" s="202"/>
      <c r="AV2092" s="262"/>
      <c r="AW2092" s="274"/>
    </row>
    <row r="2093" spans="1:49" s="13" customFormat="1" ht="22.5" x14ac:dyDescent="0.2">
      <c r="A2093" s="14">
        <v>2069</v>
      </c>
      <c r="B2093" s="14">
        <v>400007677</v>
      </c>
      <c r="C2093" s="8" t="s">
        <v>6725</v>
      </c>
      <c r="D2093" s="4" t="str">
        <f t="shared" si="219"/>
        <v>400007677CC01</v>
      </c>
      <c r="E2093" s="309" t="str">
        <f>VLOOKUP($B2093,'D7 - NDB Impacted SPRF''s'!$E$6:$O$9929,2,FALSE)</f>
        <v>2006 Online Notification Enhancement Project</v>
      </c>
      <c r="F2093" s="8" t="s">
        <v>5536</v>
      </c>
      <c r="G2093" s="8" t="s">
        <v>4758</v>
      </c>
      <c r="H2093" s="8" t="s">
        <v>2870</v>
      </c>
      <c r="I2093" s="20">
        <v>1.65</v>
      </c>
      <c r="J2093" s="8" t="s">
        <v>4862</v>
      </c>
      <c r="K2093" s="182">
        <v>39060</v>
      </c>
      <c r="L2093" s="8" t="s">
        <v>5743</v>
      </c>
      <c r="M2093" s="8" t="s">
        <v>2814</v>
      </c>
      <c r="N2093" s="367" t="s">
        <v>7140</v>
      </c>
      <c r="O2093" s="8"/>
      <c r="P2093" s="4" t="str">
        <f>VLOOKUP($B2093,'D7 - NDB Impacted SPRF''s'!$E$16:$O$9929,9,FALSE)</f>
        <v>N</v>
      </c>
      <c r="Q2093" s="4" t="str">
        <f>VLOOKUP($B2093,'D7 - NDB Impacted SPRF''s'!$E$16:$O$9929,10,FALSE)</f>
        <v>N</v>
      </c>
      <c r="R2093" s="4" t="str">
        <f>VLOOKUP($B2093,'D7 - NDB Impacted SPRF''s'!$E$16:$O$9929,11,FALSE)</f>
        <v>N</v>
      </c>
      <c r="S2093" s="8"/>
      <c r="T2093" s="310"/>
      <c r="U2093" s="310"/>
      <c r="V2093" s="4"/>
      <c r="W2093" s="4"/>
      <c r="X2093" s="4"/>
      <c r="Y2093" s="4"/>
      <c r="Z2093" s="4"/>
      <c r="AA2093" s="4"/>
      <c r="AB2093" s="380" t="str">
        <f>VLOOKUP($B2093,'D7 - NDB Impacted SPRF''s'!$E$16:$O$9929,4,FALSE)</f>
        <v>Completed</v>
      </c>
      <c r="AC2093" s="380" t="str">
        <f>VLOOKUP($B2093,'D7 - NDB Impacted SPRF''s'!$E$16:$O$9929,3,FALSE)</f>
        <v>OptumHealth</v>
      </c>
      <c r="AD2093" s="380" t="str">
        <f>VLOOKUP($B2093,'D7 - NDB Impacted SPRF''s'!$E$16:$O$9929,5,FALSE)</f>
        <v>Optum</v>
      </c>
      <c r="AE2093" s="380" t="str">
        <f>VLOOKUP($B2093,'D7 - NDB Impacted SPRF''s'!$E$16:$O$9929,7,FALSE)</f>
        <v>Scott Ireland</v>
      </c>
      <c r="AF2093" s="380" t="str">
        <f>VLOOKUP($B2093,'D7 - NDB Impacted SPRF''s'!$E$16:$O$9929,6,FALSE)</f>
        <v>KATHRYN CATALANO</v>
      </c>
      <c r="AG2093" s="282" t="s">
        <v>7755</v>
      </c>
      <c r="AH2093" s="311" t="e">
        <f>INDEX('D5 - Gatekeeper - Projects'!$A$4:$AF$1010,$AM2093, 17)</f>
        <v>#N/A</v>
      </c>
      <c r="AI2093" s="8"/>
      <c r="AJ2093" s="57"/>
      <c r="AK2093" s="105"/>
      <c r="AM2093" s="6" t="e">
        <f>MATCH(D2093,'D5 - Gatekeeper - Projects'!$C$4:$C$1010,0)</f>
        <v>#N/A</v>
      </c>
      <c r="AN2093" s="6" t="b">
        <f t="shared" si="221"/>
        <v>1</v>
      </c>
      <c r="AO2093" s="6" t="str">
        <f t="shared" si="222"/>
        <v>OK</v>
      </c>
      <c r="AQ2093" s="6" t="e">
        <f>MATCH($D2093,'D4 - Provider Council Unsched'!$C$11:$C$234,0)</f>
        <v>#N/A</v>
      </c>
      <c r="AR2093" s="6" t="b">
        <f t="shared" si="223"/>
        <v>1</v>
      </c>
      <c r="AS2093" s="6" t="str">
        <f t="shared" si="224"/>
        <v>OK</v>
      </c>
      <c r="AU2093" s="202"/>
      <c r="AV2093" s="262"/>
      <c r="AW2093" s="274"/>
    </row>
    <row r="2094" spans="1:49" s="13" customFormat="1" ht="22.5" x14ac:dyDescent="0.2">
      <c r="A2094" s="14">
        <v>2070</v>
      </c>
      <c r="B2094" s="14">
        <v>400007971</v>
      </c>
      <c r="C2094" s="8" t="s">
        <v>6445</v>
      </c>
      <c r="D2094" s="4" t="str">
        <f t="shared" si="219"/>
        <v>400007971R7</v>
      </c>
      <c r="E2094" s="309" t="str">
        <f>VLOOKUP($B2094,'D7 - NDB Impacted SPRF''s'!$E$6:$O$9929,2,FALSE)</f>
        <v>DTRs for UT Applications</v>
      </c>
      <c r="F2094" s="8" t="s">
        <v>8133</v>
      </c>
      <c r="G2094" s="8" t="s">
        <v>4758</v>
      </c>
      <c r="H2094" s="8" t="s">
        <v>2870</v>
      </c>
      <c r="I2094" s="20">
        <v>2</v>
      </c>
      <c r="J2094" s="8" t="s">
        <v>4862</v>
      </c>
      <c r="K2094" s="182">
        <v>39060</v>
      </c>
      <c r="L2094" s="8" t="s">
        <v>5743</v>
      </c>
      <c r="M2094" s="8" t="s">
        <v>2814</v>
      </c>
      <c r="N2094" s="367" t="s">
        <v>1492</v>
      </c>
      <c r="O2094" s="8"/>
      <c r="P2094" s="4" t="str">
        <f>VLOOKUP($B2094,'D7 - NDB Impacted SPRF''s'!$E$16:$O$9929,9,FALSE)</f>
        <v>Y</v>
      </c>
      <c r="Q2094" s="4" t="str">
        <f>VLOOKUP($B2094,'D7 - NDB Impacted SPRF''s'!$E$16:$O$9929,10,FALSE)</f>
        <v>N</v>
      </c>
      <c r="R2094" s="4" t="str">
        <f>VLOOKUP($B2094,'D7 - NDB Impacted SPRF''s'!$E$16:$O$9929,11,FALSE)</f>
        <v>N</v>
      </c>
      <c r="S2094" s="8" t="s">
        <v>3758</v>
      </c>
      <c r="T2094" s="310"/>
      <c r="U2094" s="310"/>
      <c r="V2094" s="4"/>
      <c r="W2094" s="4"/>
      <c r="X2094" s="4"/>
      <c r="Y2094" s="4"/>
      <c r="Z2094" s="4"/>
      <c r="AA2094" s="4"/>
      <c r="AB2094" s="380" t="str">
        <f>VLOOKUP($B2094,'D7 - NDB Impacted SPRF''s'!$E$16:$O$9929,4,FALSE)</f>
        <v>Completed</v>
      </c>
      <c r="AC2094" s="380" t="str">
        <f>VLOOKUP($B2094,'D7 - NDB Impacted SPRF''s'!$E$16:$O$9929,3,FALSE)</f>
        <v>Uniprise</v>
      </c>
      <c r="AD2094" s="380" t="str">
        <f>VLOOKUP($B2094,'D7 - NDB Impacted SPRF''s'!$E$16:$O$9929,5,FALSE)</f>
        <v>Uniprise Technologies - Capital Projects</v>
      </c>
      <c r="AE2094" s="380" t="str">
        <f>VLOOKUP($B2094,'D7 - NDB Impacted SPRF''s'!$E$16:$O$9929,7,FALSE)</f>
        <v>Steven Penn</v>
      </c>
      <c r="AF2094" s="380" t="str">
        <f>VLOOKUP($B2094,'D7 - NDB Impacted SPRF''s'!$E$16:$O$9929,6,FALSE)</f>
        <v>Jeffrey Jablonski</v>
      </c>
      <c r="AG2094" s="282"/>
      <c r="AH2094" s="311" t="e">
        <f>INDEX('D5 - Gatekeeper - Projects'!$A$4:$AF$1010,$AM2094, 17)</f>
        <v>#N/A</v>
      </c>
      <c r="AI2094" s="8"/>
      <c r="AJ2094" s="57"/>
      <c r="AK2094" s="105"/>
      <c r="AM2094" s="6" t="e">
        <f>MATCH(D2094,'D5 - Gatekeeper - Projects'!$C$4:$C$1010,0)</f>
        <v>#N/A</v>
      </c>
      <c r="AN2094" s="6" t="b">
        <f t="shared" si="221"/>
        <v>1</v>
      </c>
      <c r="AO2094" s="6" t="str">
        <f t="shared" si="222"/>
        <v>OK</v>
      </c>
      <c r="AQ2094" s="6" t="e">
        <f>MATCH($D2094,'D4 - Provider Council Unsched'!$C$11:$C$234,0)</f>
        <v>#N/A</v>
      </c>
      <c r="AR2094" s="6" t="b">
        <f t="shared" si="223"/>
        <v>1</v>
      </c>
      <c r="AS2094" s="6" t="str">
        <f t="shared" si="224"/>
        <v>OK</v>
      </c>
      <c r="AU2094" s="202"/>
      <c r="AV2094" s="262"/>
      <c r="AW2094" s="274"/>
    </row>
    <row r="2095" spans="1:49" s="13" customFormat="1" x14ac:dyDescent="0.2">
      <c r="A2095" s="14">
        <v>2071</v>
      </c>
      <c r="B2095" s="14">
        <v>400009120</v>
      </c>
      <c r="C2095" s="8" t="s">
        <v>5197</v>
      </c>
      <c r="D2095" s="4" t="str">
        <f t="shared" si="219"/>
        <v>400009120R1</v>
      </c>
      <c r="E2095" s="309" t="str">
        <f>VLOOKUP($B2095,'D7 - NDB Impacted SPRF''s'!$E$6:$O$9929,2,FALSE)</f>
        <v>CORP1 - Multiple Procedure Ranking</v>
      </c>
      <c r="F2095" s="8" t="s">
        <v>5196</v>
      </c>
      <c r="G2095" s="8" t="s">
        <v>4758</v>
      </c>
      <c r="H2095" s="8" t="s">
        <v>2870</v>
      </c>
      <c r="I2095" s="20">
        <v>1.07</v>
      </c>
      <c r="J2095" s="8" t="s">
        <v>4862</v>
      </c>
      <c r="K2095" s="182">
        <v>39060</v>
      </c>
      <c r="L2095" s="8" t="s">
        <v>4156</v>
      </c>
      <c r="M2095" s="8" t="s">
        <v>2814</v>
      </c>
      <c r="N2095" s="367" t="s">
        <v>5190</v>
      </c>
      <c r="O2095" s="8"/>
      <c r="P2095" s="4" t="str">
        <f>VLOOKUP($B2095,'D7 - NDB Impacted SPRF''s'!$E$16:$O$9929,9,FALSE)</f>
        <v>Y</v>
      </c>
      <c r="Q2095" s="4" t="str">
        <f>VLOOKUP($B2095,'D7 - NDB Impacted SPRF''s'!$E$16:$O$9929,10,FALSE)</f>
        <v>N</v>
      </c>
      <c r="R2095" s="4" t="str">
        <f>VLOOKUP($B2095,'D7 - NDB Impacted SPRF''s'!$E$16:$O$9929,11,FALSE)</f>
        <v>N</v>
      </c>
      <c r="S2095" s="8"/>
      <c r="T2095" s="310"/>
      <c r="U2095" s="310"/>
      <c r="V2095" s="4"/>
      <c r="W2095" s="4"/>
      <c r="X2095" s="4"/>
      <c r="Y2095" s="4"/>
      <c r="Z2095" s="4"/>
      <c r="AA2095" s="4"/>
      <c r="AB2095" s="380" t="str">
        <f>VLOOKUP($B2095,'D7 - NDB Impacted SPRF''s'!$E$16:$O$9929,4,FALSE)</f>
        <v>Cancelled</v>
      </c>
      <c r="AC2095" s="380" t="str">
        <f>VLOOKUP($B2095,'D7 - NDB Impacted SPRF''s'!$E$16:$O$9929,3,FALSE)</f>
        <v>Alliance</v>
      </c>
      <c r="AD2095" s="380" t="str">
        <f>VLOOKUP($B2095,'D7 - NDB Impacted SPRF''s'!$E$16:$O$9929,5,FALSE)</f>
        <v>Healthcare Service Alliance</v>
      </c>
      <c r="AE2095" s="380" t="str">
        <f>VLOOKUP($B2095,'D7 - NDB Impacted SPRF''s'!$E$16:$O$9929,7,FALSE)</f>
        <v>Patrick Kennedy</v>
      </c>
      <c r="AF2095" s="380" t="str">
        <f>VLOOKUP($B2095,'D7 - NDB Impacted SPRF''s'!$E$16:$O$9929,6,FALSE)</f>
        <v>DONNA SALT</v>
      </c>
      <c r="AG2095" s="282" t="s">
        <v>6682</v>
      </c>
      <c r="AH2095" s="311" t="e">
        <f>INDEX('D5 - Gatekeeper - Projects'!$A$4:$AF$1010,$AM2095, 17)</f>
        <v>#N/A</v>
      </c>
      <c r="AI2095" s="8"/>
      <c r="AJ2095" s="57"/>
      <c r="AK2095" s="105"/>
      <c r="AM2095" s="6" t="e">
        <f>MATCH(D2095,'D5 - Gatekeeper - Projects'!$C$4:$C$1010,0)</f>
        <v>#N/A</v>
      </c>
      <c r="AN2095" s="6" t="b">
        <f t="shared" si="221"/>
        <v>1</v>
      </c>
      <c r="AO2095" s="6" t="str">
        <f t="shared" si="222"/>
        <v>OK</v>
      </c>
      <c r="AQ2095" s="6" t="e">
        <f>MATCH($D2095,'D4 - Provider Council Unsched'!$C$11:$C$234,0)</f>
        <v>#N/A</v>
      </c>
      <c r="AR2095" s="6" t="b">
        <f t="shared" si="223"/>
        <v>1</v>
      </c>
      <c r="AS2095" s="6" t="str">
        <f t="shared" si="224"/>
        <v>OK</v>
      </c>
      <c r="AU2095" s="202"/>
      <c r="AV2095" s="262"/>
      <c r="AW2095" s="274"/>
    </row>
    <row r="2096" spans="1:49" s="13" customFormat="1" x14ac:dyDescent="0.2">
      <c r="A2096" s="14">
        <v>2072</v>
      </c>
      <c r="B2096" s="14">
        <v>400009754</v>
      </c>
      <c r="C2096" s="8" t="s">
        <v>5197</v>
      </c>
      <c r="D2096" s="4" t="str">
        <f t="shared" si="219"/>
        <v>400009754R1</v>
      </c>
      <c r="E2096" s="309" t="str">
        <f>VLOOKUP($B2096,'D7 - NDB Impacted SPRF''s'!$E$6:$O$9929,2,FALSE)</f>
        <v>Medica - Provider Portal Hybrid Solution</v>
      </c>
      <c r="F2096" s="8" t="s">
        <v>5196</v>
      </c>
      <c r="G2096" s="8" t="s">
        <v>4758</v>
      </c>
      <c r="H2096" s="8" t="s">
        <v>2870</v>
      </c>
      <c r="I2096" s="20">
        <v>1.6</v>
      </c>
      <c r="J2096" s="8" t="s">
        <v>4862</v>
      </c>
      <c r="K2096" s="182">
        <v>39060</v>
      </c>
      <c r="L2096" s="8" t="s">
        <v>5743</v>
      </c>
      <c r="M2096" s="8" t="s">
        <v>2814</v>
      </c>
      <c r="N2096" s="367" t="s">
        <v>5190</v>
      </c>
      <c r="O2096" s="8"/>
      <c r="P2096" s="4" t="str">
        <f>VLOOKUP($B2096,'D7 - NDB Impacted SPRF''s'!$E$16:$O$9929,9,FALSE)</f>
        <v>N</v>
      </c>
      <c r="Q2096" s="4" t="str">
        <f>VLOOKUP($B2096,'D7 - NDB Impacted SPRF''s'!$E$16:$O$9929,10,FALSE)</f>
        <v>N</v>
      </c>
      <c r="R2096" s="4" t="str">
        <f>VLOOKUP($B2096,'D7 - NDB Impacted SPRF''s'!$E$16:$O$9929,11,FALSE)</f>
        <v>N</v>
      </c>
      <c r="S2096" s="8"/>
      <c r="T2096" s="310"/>
      <c r="U2096" s="310"/>
      <c r="V2096" s="4"/>
      <c r="W2096" s="4"/>
      <c r="X2096" s="4"/>
      <c r="Y2096" s="4"/>
      <c r="Z2096" s="4"/>
      <c r="AA2096" s="4"/>
      <c r="AB2096" s="380" t="str">
        <f>VLOOKUP($B2096,'D7 - NDB Impacted SPRF''s'!$E$16:$O$9929,4,FALSE)</f>
        <v>Cancelled</v>
      </c>
      <c r="AC2096" s="380" t="str">
        <f>VLOOKUP($B2096,'D7 - NDB Impacted SPRF''s'!$E$16:$O$9929,3,FALSE)</f>
        <v>Alliance</v>
      </c>
      <c r="AD2096" s="380" t="str">
        <f>VLOOKUP($B2096,'D7 - NDB Impacted SPRF''s'!$E$16:$O$9929,5,FALSE)</f>
        <v>Medica UNET Conversion</v>
      </c>
      <c r="AE2096" s="380" t="str">
        <f>VLOOKUP($B2096,'D7 - NDB Impacted SPRF''s'!$E$16:$O$9929,7,FALSE)</f>
        <v>Diane Schofield</v>
      </c>
      <c r="AF2096" s="380" t="str">
        <f>VLOOKUP($B2096,'D7 - NDB Impacted SPRF''s'!$E$16:$O$9929,6,FALSE)</f>
        <v>DAWN WALTER</v>
      </c>
      <c r="AG2096" s="282" t="s">
        <v>7755</v>
      </c>
      <c r="AH2096" s="311" t="e">
        <f>INDEX('D5 - Gatekeeper - Projects'!$A$4:$AF$1010,$AM2096, 17)</f>
        <v>#N/A</v>
      </c>
      <c r="AI2096" s="8"/>
      <c r="AJ2096" s="57"/>
      <c r="AK2096" s="105"/>
      <c r="AM2096" s="6" t="e">
        <f>MATCH(D2096,'D5 - Gatekeeper - Projects'!$C$4:$C$1010,0)</f>
        <v>#N/A</v>
      </c>
      <c r="AN2096" s="6" t="b">
        <f t="shared" si="221"/>
        <v>1</v>
      </c>
      <c r="AO2096" s="6" t="str">
        <f t="shared" si="222"/>
        <v>OK</v>
      </c>
      <c r="AQ2096" s="6" t="e">
        <f>MATCH($D2096,'D4 - Provider Council Unsched'!$C$11:$C$234,0)</f>
        <v>#N/A</v>
      </c>
      <c r="AR2096" s="6" t="b">
        <f t="shared" si="223"/>
        <v>1</v>
      </c>
      <c r="AS2096" s="6" t="str">
        <f t="shared" si="224"/>
        <v>OK</v>
      </c>
      <c r="AU2096" s="202"/>
      <c r="AV2096" s="262"/>
      <c r="AW2096" s="274"/>
    </row>
    <row r="2097" spans="1:49" s="13" customFormat="1" x14ac:dyDescent="0.2">
      <c r="A2097" s="14">
        <v>2073</v>
      </c>
      <c r="B2097" s="14">
        <v>400009947</v>
      </c>
      <c r="C2097" s="8" t="s">
        <v>2934</v>
      </c>
      <c r="D2097" s="4" t="str">
        <f t="shared" ref="D2097:D2160" si="225">CONCATENATE(B2097,C2097)</f>
        <v>400009947U3</v>
      </c>
      <c r="E2097" s="309" t="str">
        <f>VLOOKUP($B2097,'D7 - NDB Impacted SPRF''s'!$E$6:$O$9929,2,FALSE)</f>
        <v>CORP1-NDB-EA Security P1:Contract Designation Key</v>
      </c>
      <c r="F2097" s="8" t="s">
        <v>5196</v>
      </c>
      <c r="G2097" s="8" t="s">
        <v>4758</v>
      </c>
      <c r="H2097" s="8" t="s">
        <v>2870</v>
      </c>
      <c r="I2097" s="20">
        <v>1</v>
      </c>
      <c r="J2097" s="8" t="s">
        <v>7114</v>
      </c>
      <c r="K2097" s="182">
        <v>39060</v>
      </c>
      <c r="L2097" s="8" t="s">
        <v>6919</v>
      </c>
      <c r="M2097" s="8" t="s">
        <v>2814</v>
      </c>
      <c r="N2097" s="367" t="s">
        <v>1238</v>
      </c>
      <c r="O2097" s="8"/>
      <c r="P2097" s="4" t="str">
        <f>VLOOKUP($B2097,'D7 - NDB Impacted SPRF''s'!$E$16:$O$9929,9,FALSE)</f>
        <v>N</v>
      </c>
      <c r="Q2097" s="4" t="str">
        <f>VLOOKUP($B2097,'D7 - NDB Impacted SPRF''s'!$E$16:$O$9929,10,FALSE)</f>
        <v>N</v>
      </c>
      <c r="R2097" s="4" t="str">
        <f>VLOOKUP($B2097,'D7 - NDB Impacted SPRF''s'!$E$16:$O$9929,11,FALSE)</f>
        <v>Y</v>
      </c>
      <c r="S2097" s="8" t="s">
        <v>3758</v>
      </c>
      <c r="T2097" s="310"/>
      <c r="U2097" s="310"/>
      <c r="V2097" s="4"/>
      <c r="W2097" s="4"/>
      <c r="X2097" s="4"/>
      <c r="Y2097" s="4"/>
      <c r="Z2097" s="4"/>
      <c r="AA2097" s="4"/>
      <c r="AB2097" s="380" t="str">
        <f>VLOOKUP($B2097,'D7 - NDB Impacted SPRF''s'!$E$16:$O$9929,4,FALSE)</f>
        <v>Completed</v>
      </c>
      <c r="AC2097" s="380" t="str">
        <f>VLOOKUP($B2097,'D7 - NDB Impacted SPRF''s'!$E$16:$O$9929,3,FALSE)</f>
        <v>Alliance</v>
      </c>
      <c r="AD2097" s="380" t="str">
        <f>VLOOKUP($B2097,'D7 - NDB Impacted SPRF''s'!$E$16:$O$9929,5,FALSE)</f>
        <v>Healthcare Service Alliance</v>
      </c>
      <c r="AE2097" s="380" t="str">
        <f>VLOOKUP($B2097,'D7 - NDB Impacted SPRF''s'!$E$16:$O$9929,7,FALSE)</f>
        <v>Bev Nyce</v>
      </c>
      <c r="AF2097" s="380" t="str">
        <f>VLOOKUP($B2097,'D7 - NDB Impacted SPRF''s'!$E$16:$O$9929,6,FALSE)</f>
        <v>Susan Neal</v>
      </c>
      <c r="AG2097" s="282"/>
      <c r="AH2097" s="311" t="e">
        <f>INDEX('D5 - Gatekeeper - Projects'!$A$4:$AF$1010,$AM2097, 17)</f>
        <v>#N/A</v>
      </c>
      <c r="AI2097" s="8"/>
      <c r="AJ2097" s="57"/>
      <c r="AK2097" s="105"/>
      <c r="AM2097" s="6" t="e">
        <f>MATCH(D2097,'D5 - Gatekeeper - Projects'!$C$4:$C$1010,0)</f>
        <v>#N/A</v>
      </c>
      <c r="AN2097" s="6" t="b">
        <f t="shared" si="221"/>
        <v>1</v>
      </c>
      <c r="AO2097" s="6" t="str">
        <f t="shared" si="222"/>
        <v>OK</v>
      </c>
      <c r="AQ2097" s="6" t="e">
        <f>MATCH($D2097,'D4 - Provider Council Unsched'!$C$11:$C$234,0)</f>
        <v>#N/A</v>
      </c>
      <c r="AR2097" s="6" t="b">
        <f t="shared" si="223"/>
        <v>1</v>
      </c>
      <c r="AS2097" s="6" t="str">
        <f t="shared" si="224"/>
        <v>OK</v>
      </c>
      <c r="AU2097" s="202"/>
      <c r="AV2097" s="262"/>
      <c r="AW2097" s="274"/>
    </row>
    <row r="2098" spans="1:49" s="13" customFormat="1" ht="33.75" x14ac:dyDescent="0.2">
      <c r="A2098" s="14">
        <v>2074</v>
      </c>
      <c r="B2098" s="14">
        <v>400010528</v>
      </c>
      <c r="C2098" s="8" t="s">
        <v>5197</v>
      </c>
      <c r="D2098" s="4" t="str">
        <f t="shared" si="225"/>
        <v>400010528R1</v>
      </c>
      <c r="E2098" s="309" t="str">
        <f>VLOOKUP($B2098,'D7 - NDB Impacted SPRF''s'!$E$6:$O$9929,2,FALSE)</f>
        <v>Neighborhood Health Part'shp (NHP) EPDL Data Load</v>
      </c>
      <c r="F2098" s="8" t="s">
        <v>3248</v>
      </c>
      <c r="G2098" s="8" t="s">
        <v>4758</v>
      </c>
      <c r="H2098" s="8" t="s">
        <v>2870</v>
      </c>
      <c r="I2098" s="20">
        <v>1.06</v>
      </c>
      <c r="J2098" s="8" t="s">
        <v>4862</v>
      </c>
      <c r="K2098" s="182">
        <v>39060</v>
      </c>
      <c r="L2098" s="8" t="s">
        <v>5743</v>
      </c>
      <c r="M2098" s="8" t="s">
        <v>2814</v>
      </c>
      <c r="N2098" s="38" t="s">
        <v>6622</v>
      </c>
      <c r="O2098" s="8"/>
      <c r="P2098" s="4" t="str">
        <f>VLOOKUP($B2098,'D7 - NDB Impacted SPRF''s'!$E$16:$O$9929,9,FALSE)</f>
        <v>N</v>
      </c>
      <c r="Q2098" s="4" t="str">
        <f>VLOOKUP($B2098,'D7 - NDB Impacted SPRF''s'!$E$16:$O$9929,10,FALSE)</f>
        <v>N</v>
      </c>
      <c r="R2098" s="4" t="str">
        <f>VLOOKUP($B2098,'D7 - NDB Impacted SPRF''s'!$E$16:$O$9929,11,FALSE)</f>
        <v>N</v>
      </c>
      <c r="S2098" s="8"/>
      <c r="T2098" s="310"/>
      <c r="U2098" s="310"/>
      <c r="V2098" s="4"/>
      <c r="W2098" s="4"/>
      <c r="X2098" s="4"/>
      <c r="Y2098" s="4"/>
      <c r="Z2098" s="4"/>
      <c r="AA2098" s="4"/>
      <c r="AB2098" s="380" t="str">
        <f>VLOOKUP($B2098,'D7 - NDB Impacted SPRF''s'!$E$16:$O$9929,4,FALSE)</f>
        <v>Cancelled</v>
      </c>
      <c r="AC2098" s="380" t="str">
        <f>VLOOKUP($B2098,'D7 - NDB Impacted SPRF''s'!$E$16:$O$9929,3,FALSE)</f>
        <v>UnitedHealthcare Employer &amp; Individual</v>
      </c>
      <c r="AD2098" s="380" t="str">
        <f>VLOOKUP($B2098,'D7 - NDB Impacted SPRF''s'!$E$16:$O$9929,5,FALSE)</f>
        <v>Operations Group</v>
      </c>
      <c r="AE2098" s="380" t="str">
        <f>VLOOKUP($B2098,'D7 - NDB Impacted SPRF''s'!$E$16:$O$9929,7,FALSE)</f>
        <v>Steven Black</v>
      </c>
      <c r="AF2098" s="380" t="str">
        <f>VLOOKUP($B2098,'D7 - NDB Impacted SPRF''s'!$E$16:$O$9929,6,FALSE)</f>
        <v>STEPHEN FINLEY</v>
      </c>
      <c r="AG2098" s="282" t="s">
        <v>6682</v>
      </c>
      <c r="AH2098" s="311" t="e">
        <f>INDEX('D5 - Gatekeeper - Projects'!$A$4:$AF$1010,$AM2098, 17)</f>
        <v>#N/A</v>
      </c>
      <c r="AI2098" s="8"/>
      <c r="AJ2098" s="57"/>
      <c r="AK2098" s="105"/>
      <c r="AM2098" s="6" t="e">
        <f>MATCH(D2098,'D5 - Gatekeeper - Projects'!$C$4:$C$1010,0)</f>
        <v>#N/A</v>
      </c>
      <c r="AN2098" s="6" t="b">
        <f t="shared" si="221"/>
        <v>1</v>
      </c>
      <c r="AO2098" s="6" t="str">
        <f t="shared" si="222"/>
        <v>OK</v>
      </c>
      <c r="AQ2098" s="6" t="e">
        <f>MATCH($D2098,'D4 - Provider Council Unsched'!$C$11:$C$234,0)</f>
        <v>#N/A</v>
      </c>
      <c r="AR2098" s="6" t="b">
        <f t="shared" si="223"/>
        <v>1</v>
      </c>
      <c r="AS2098" s="6" t="str">
        <f t="shared" si="224"/>
        <v>OK</v>
      </c>
      <c r="AU2098" s="202"/>
      <c r="AV2098" s="262"/>
      <c r="AW2098" s="274"/>
    </row>
    <row r="2099" spans="1:49" s="13" customFormat="1" ht="33.75" x14ac:dyDescent="0.2">
      <c r="A2099" s="14">
        <v>2075</v>
      </c>
      <c r="B2099" s="14">
        <v>400010533</v>
      </c>
      <c r="C2099" s="8" t="s">
        <v>5197</v>
      </c>
      <c r="D2099" s="4" t="str">
        <f t="shared" si="225"/>
        <v>400010533R1</v>
      </c>
      <c r="E2099" s="309" t="str">
        <f>VLOOKUP($B2099,'D7 - NDB Impacted SPRF''s'!$E$6:$O$9929,2,FALSE)</f>
        <v xml:space="preserve">Neighborh'd Health Part'shp (NHP) EPDE Extract </v>
      </c>
      <c r="F2099" s="8" t="s">
        <v>3248</v>
      </c>
      <c r="G2099" s="8" t="s">
        <v>4758</v>
      </c>
      <c r="H2099" s="8" t="s">
        <v>2870</v>
      </c>
      <c r="I2099" s="20">
        <v>1.06</v>
      </c>
      <c r="J2099" s="8" t="s">
        <v>4862</v>
      </c>
      <c r="K2099" s="182">
        <v>39060</v>
      </c>
      <c r="L2099" s="8" t="s">
        <v>5743</v>
      </c>
      <c r="M2099" s="8" t="s">
        <v>2814</v>
      </c>
      <c r="N2099" s="38" t="s">
        <v>6622</v>
      </c>
      <c r="O2099" s="8"/>
      <c r="P2099" s="4" t="str">
        <f>VLOOKUP($B2099,'D7 - NDB Impacted SPRF''s'!$E$16:$O$9929,9,FALSE)</f>
        <v>N</v>
      </c>
      <c r="Q2099" s="4" t="str">
        <f>VLOOKUP($B2099,'D7 - NDB Impacted SPRF''s'!$E$16:$O$9929,10,FALSE)</f>
        <v>N</v>
      </c>
      <c r="R2099" s="4" t="str">
        <f>VLOOKUP($B2099,'D7 - NDB Impacted SPRF''s'!$E$16:$O$9929,11,FALSE)</f>
        <v>N</v>
      </c>
      <c r="S2099" s="8"/>
      <c r="T2099" s="310"/>
      <c r="U2099" s="310"/>
      <c r="V2099" s="4"/>
      <c r="W2099" s="4"/>
      <c r="X2099" s="4"/>
      <c r="Y2099" s="4"/>
      <c r="Z2099" s="4"/>
      <c r="AA2099" s="4"/>
      <c r="AB2099" s="380" t="str">
        <f>VLOOKUP($B2099,'D7 - NDB Impacted SPRF''s'!$E$16:$O$9929,4,FALSE)</f>
        <v>Cancelled</v>
      </c>
      <c r="AC2099" s="380" t="str">
        <f>VLOOKUP($B2099,'D7 - NDB Impacted SPRF''s'!$E$16:$O$9929,3,FALSE)</f>
        <v>UnitedHealthcare Employer &amp; Individual</v>
      </c>
      <c r="AD2099" s="380" t="str">
        <f>VLOOKUP($B2099,'D7 - NDB Impacted SPRF''s'!$E$16:$O$9929,5,FALSE)</f>
        <v>Operations Group</v>
      </c>
      <c r="AE2099" s="380" t="str">
        <f>VLOOKUP($B2099,'D7 - NDB Impacted SPRF''s'!$E$16:$O$9929,7,FALSE)</f>
        <v>Steven Black</v>
      </c>
      <c r="AF2099" s="380" t="str">
        <f>VLOOKUP($B2099,'D7 - NDB Impacted SPRF''s'!$E$16:$O$9929,6,FALSE)</f>
        <v>STEPHEN FINLEY</v>
      </c>
      <c r="AG2099" s="282" t="s">
        <v>6682</v>
      </c>
      <c r="AH2099" s="311" t="e">
        <f>INDEX('D5 - Gatekeeper - Projects'!$A$4:$AF$1010,$AM2099, 17)</f>
        <v>#N/A</v>
      </c>
      <c r="AI2099" s="8"/>
      <c r="AJ2099" s="57"/>
      <c r="AK2099" s="105"/>
      <c r="AM2099" s="6" t="e">
        <f>MATCH(D2099,'D5 - Gatekeeper - Projects'!$C$4:$C$1010,0)</f>
        <v>#N/A</v>
      </c>
      <c r="AN2099" s="6" t="b">
        <f t="shared" si="221"/>
        <v>1</v>
      </c>
      <c r="AO2099" s="6" t="str">
        <f t="shared" si="222"/>
        <v>OK</v>
      </c>
      <c r="AQ2099" s="6" t="e">
        <f>MATCH($D2099,'D4 - Provider Council Unsched'!$C$11:$C$234,0)</f>
        <v>#N/A</v>
      </c>
      <c r="AR2099" s="6" t="b">
        <f t="shared" si="223"/>
        <v>1</v>
      </c>
      <c r="AS2099" s="6" t="str">
        <f t="shared" si="224"/>
        <v>OK</v>
      </c>
      <c r="AU2099" s="202"/>
      <c r="AV2099" s="262"/>
      <c r="AW2099" s="274"/>
    </row>
    <row r="2100" spans="1:49" s="13" customFormat="1" ht="33.75" x14ac:dyDescent="0.2">
      <c r="A2100" s="14">
        <v>2076</v>
      </c>
      <c r="B2100" s="14">
        <v>400010616</v>
      </c>
      <c r="C2100" s="8" t="s">
        <v>5197</v>
      </c>
      <c r="D2100" s="4" t="str">
        <f t="shared" si="225"/>
        <v>400010616R1</v>
      </c>
      <c r="E2100" s="309" t="str">
        <f>VLOOKUP($B2100,'D7 - NDB Impacted SPRF''s'!$E$6:$O$9929,2,FALSE)</f>
        <v>NPI UFE/NDB Provider Pick Compliance</v>
      </c>
      <c r="F2100" s="8" t="s">
        <v>1059</v>
      </c>
      <c r="G2100" s="8" t="s">
        <v>4758</v>
      </c>
      <c r="H2100" s="8" t="s">
        <v>2870</v>
      </c>
      <c r="I2100" s="20">
        <v>4.37</v>
      </c>
      <c r="J2100" s="8" t="s">
        <v>4862</v>
      </c>
      <c r="K2100" s="182">
        <v>39060</v>
      </c>
      <c r="L2100" s="8" t="s">
        <v>5743</v>
      </c>
      <c r="M2100" s="8" t="s">
        <v>2814</v>
      </c>
      <c r="N2100" s="65" t="s">
        <v>5446</v>
      </c>
      <c r="O2100" s="8"/>
      <c r="P2100" s="4" t="str">
        <f>VLOOKUP($B2100,'D7 - NDB Impacted SPRF''s'!$E$16:$O$9929,9,FALSE)</f>
        <v>Y</v>
      </c>
      <c r="Q2100" s="4" t="str">
        <f>VLOOKUP($B2100,'D7 - NDB Impacted SPRF''s'!$E$16:$O$9929,10,FALSE)</f>
        <v>N</v>
      </c>
      <c r="R2100" s="4" t="str">
        <f>VLOOKUP($B2100,'D7 - NDB Impacted SPRF''s'!$E$16:$O$9929,11,FALSE)</f>
        <v>Y</v>
      </c>
      <c r="S2100" s="8"/>
      <c r="T2100" s="310"/>
      <c r="U2100" s="310"/>
      <c r="V2100" s="4"/>
      <c r="W2100" s="4"/>
      <c r="X2100" s="4"/>
      <c r="Y2100" s="4"/>
      <c r="Z2100" s="4"/>
      <c r="AA2100" s="4"/>
      <c r="AB2100" s="380" t="str">
        <f>VLOOKUP($B2100,'D7 - NDB Impacted SPRF''s'!$E$16:$O$9929,4,FALSE)</f>
        <v>Completed</v>
      </c>
      <c r="AC2100" s="380" t="str">
        <f>VLOOKUP($B2100,'D7 - NDB Impacted SPRF''s'!$E$16:$O$9929,3,FALSE)</f>
        <v>UnitedHealthcare Employer &amp; Individual</v>
      </c>
      <c r="AD2100" s="380" t="str">
        <f>VLOOKUP($B2100,'D7 - NDB Impacted SPRF''s'!$E$16:$O$9929,5,FALSE)</f>
        <v>Regulatory / Other</v>
      </c>
      <c r="AE2100" s="380" t="str">
        <f>VLOOKUP($B2100,'D7 - NDB Impacted SPRF''s'!$E$16:$O$9929,7,FALSE)</f>
        <v>Gerald Brockman</v>
      </c>
      <c r="AF2100" s="380" t="str">
        <f>VLOOKUP($B2100,'D7 - NDB Impacted SPRF''s'!$E$16:$O$9929,6,FALSE)</f>
        <v>KELLY LEONARD</v>
      </c>
      <c r="AG2100" s="282" t="s">
        <v>6682</v>
      </c>
      <c r="AH2100" s="311" t="e">
        <f>INDEX('D5 - Gatekeeper - Projects'!$A$4:$AF$1010,$AM2100, 17)</f>
        <v>#N/A</v>
      </c>
      <c r="AI2100" s="8"/>
      <c r="AJ2100" s="57"/>
      <c r="AK2100" s="105"/>
      <c r="AM2100" s="6" t="e">
        <f>MATCH(D2100,'D5 - Gatekeeper - Projects'!$C$4:$C$1010,0)</f>
        <v>#N/A</v>
      </c>
      <c r="AN2100" s="6" t="b">
        <f t="shared" si="221"/>
        <v>1</v>
      </c>
      <c r="AO2100" s="6" t="str">
        <f t="shared" si="222"/>
        <v>OK</v>
      </c>
      <c r="AQ2100" s="6" t="e">
        <f>MATCH($D2100,'D4 - Provider Council Unsched'!$C$11:$C$234,0)</f>
        <v>#N/A</v>
      </c>
      <c r="AR2100" s="6" t="b">
        <f t="shared" si="223"/>
        <v>1</v>
      </c>
      <c r="AS2100" s="6" t="str">
        <f t="shared" ref="AS2100:AS2131" si="226">IF(AND(H2100="2 - Not Scheduled",AR2100=TRUE),"Add","OK")</f>
        <v>OK</v>
      </c>
      <c r="AU2100" s="202"/>
      <c r="AV2100" s="262"/>
      <c r="AW2100" s="274"/>
    </row>
    <row r="2101" spans="1:49" s="13" customFormat="1" ht="33.75" x14ac:dyDescent="0.2">
      <c r="A2101" s="14">
        <v>2077</v>
      </c>
      <c r="B2101" s="14">
        <v>400010916</v>
      </c>
      <c r="C2101" s="8" t="s">
        <v>5197</v>
      </c>
      <c r="D2101" s="4" t="str">
        <f t="shared" si="225"/>
        <v>400010916R1</v>
      </c>
      <c r="E2101" s="309" t="str">
        <f>VLOOKUP($B2101,'D7 - NDB Impacted SPRF''s'!$E$6:$O$9929,2,FALSE)</f>
        <v>NPI COMET Compliance</v>
      </c>
      <c r="F2101" s="8" t="s">
        <v>1059</v>
      </c>
      <c r="G2101" s="8" t="s">
        <v>4758</v>
      </c>
      <c r="H2101" s="8" t="s">
        <v>2870</v>
      </c>
      <c r="I2101" s="20">
        <v>2.65</v>
      </c>
      <c r="J2101" s="8" t="s">
        <v>4862</v>
      </c>
      <c r="K2101" s="182">
        <v>39060</v>
      </c>
      <c r="L2101" s="8" t="s">
        <v>5743</v>
      </c>
      <c r="M2101" s="8" t="s">
        <v>2814</v>
      </c>
      <c r="N2101" s="38" t="s">
        <v>7420</v>
      </c>
      <c r="O2101" s="8"/>
      <c r="P2101" s="4" t="str">
        <f>VLOOKUP($B2101,'D7 - NDB Impacted SPRF''s'!$E$16:$O$9929,9,FALSE)</f>
        <v>Y</v>
      </c>
      <c r="Q2101" s="4" t="str">
        <f>VLOOKUP($B2101,'D7 - NDB Impacted SPRF''s'!$E$16:$O$9929,10,FALSE)</f>
        <v>N</v>
      </c>
      <c r="R2101" s="4" t="str">
        <f>VLOOKUP($B2101,'D7 - NDB Impacted SPRF''s'!$E$16:$O$9929,11,FALSE)</f>
        <v>N</v>
      </c>
      <c r="S2101" s="8"/>
      <c r="T2101" s="310"/>
      <c r="U2101" s="310"/>
      <c r="V2101" s="4"/>
      <c r="W2101" s="4"/>
      <c r="X2101" s="4"/>
      <c r="Y2101" s="4"/>
      <c r="Z2101" s="4"/>
      <c r="AA2101" s="4"/>
      <c r="AB2101" s="380" t="str">
        <f>VLOOKUP($B2101,'D7 - NDB Impacted SPRF''s'!$E$16:$O$9929,4,FALSE)</f>
        <v>Cancelled</v>
      </c>
      <c r="AC2101" s="380" t="str">
        <f>VLOOKUP($B2101,'D7 - NDB Impacted SPRF''s'!$E$16:$O$9929,3,FALSE)</f>
        <v>UnitedHealthcare Employer &amp; Individual</v>
      </c>
      <c r="AD2101" s="380" t="str">
        <f>VLOOKUP($B2101,'D7 - NDB Impacted SPRF''s'!$E$16:$O$9929,5,FALSE)</f>
        <v>Regulatory / Other</v>
      </c>
      <c r="AE2101" s="380" t="str">
        <f>VLOOKUP($B2101,'D7 - NDB Impacted SPRF''s'!$E$16:$O$9929,7,FALSE)</f>
        <v>Gerald Brockman</v>
      </c>
      <c r="AF2101" s="380" t="str">
        <f>VLOOKUP($B2101,'D7 - NDB Impacted SPRF''s'!$E$16:$O$9929,6,FALSE)</f>
        <v>KELLY LEONARD</v>
      </c>
      <c r="AG2101" s="282" t="s">
        <v>6682</v>
      </c>
      <c r="AH2101" s="311" t="e">
        <f>INDEX('D5 - Gatekeeper - Projects'!$A$4:$AF$1010,$AM2101, 17)</f>
        <v>#N/A</v>
      </c>
      <c r="AI2101" s="8"/>
      <c r="AJ2101" s="57"/>
      <c r="AK2101" s="105"/>
      <c r="AM2101" s="6" t="e">
        <f>MATCH(D2101,'D5 - Gatekeeper - Projects'!$C$4:$C$1010,0)</f>
        <v>#N/A</v>
      </c>
      <c r="AN2101" s="6" t="b">
        <f t="shared" si="221"/>
        <v>1</v>
      </c>
      <c r="AO2101" s="6" t="str">
        <f t="shared" si="222"/>
        <v>OK</v>
      </c>
      <c r="AQ2101" s="6" t="e">
        <f>MATCH($D2101,'D4 - Provider Council Unsched'!$C$11:$C$234,0)</f>
        <v>#N/A</v>
      </c>
      <c r="AR2101" s="6" t="b">
        <f t="shared" si="223"/>
        <v>1</v>
      </c>
      <c r="AS2101" s="6" t="str">
        <f t="shared" si="226"/>
        <v>OK</v>
      </c>
      <c r="AU2101" s="202"/>
      <c r="AV2101" s="262"/>
      <c r="AW2101" s="274"/>
    </row>
    <row r="2102" spans="1:49" s="13" customFormat="1" x14ac:dyDescent="0.2">
      <c r="A2102" s="14">
        <v>2078</v>
      </c>
      <c r="B2102" s="14">
        <v>400011783</v>
      </c>
      <c r="C2102" s="8" t="s">
        <v>5197</v>
      </c>
      <c r="D2102" s="4" t="str">
        <f t="shared" si="225"/>
        <v>400011783R1</v>
      </c>
      <c r="E2102" s="309" t="e">
        <f>VLOOKUP($B2102,'D7 - NDB Impacted SPRF''s'!$E$6:$O$9929,2,FALSE)</f>
        <v>#N/A</v>
      </c>
      <c r="F2102" s="8" t="s">
        <v>5196</v>
      </c>
      <c r="G2102" s="8" t="s">
        <v>4758</v>
      </c>
      <c r="H2102" s="8" t="s">
        <v>2870</v>
      </c>
      <c r="I2102" s="20"/>
      <c r="J2102" s="8"/>
      <c r="K2102" s="182">
        <v>39060</v>
      </c>
      <c r="L2102" s="8" t="s">
        <v>4156</v>
      </c>
      <c r="M2102" s="8" t="s">
        <v>2814</v>
      </c>
      <c r="N2102" s="367" t="s">
        <v>6981</v>
      </c>
      <c r="O2102" s="8"/>
      <c r="P2102" s="4" t="e">
        <f>VLOOKUP($B2102,'D7 - NDB Impacted SPRF''s'!$E$16:$O$9929,9,FALSE)</f>
        <v>#N/A</v>
      </c>
      <c r="Q2102" s="4" t="e">
        <f>VLOOKUP($B2102,'D7 - NDB Impacted SPRF''s'!$E$16:$O$9929,10,FALSE)</f>
        <v>#N/A</v>
      </c>
      <c r="R2102" s="4" t="e">
        <f>VLOOKUP($B2102,'D7 - NDB Impacted SPRF''s'!$E$16:$O$9929,11,FALSE)</f>
        <v>#N/A</v>
      </c>
      <c r="S2102" s="8"/>
      <c r="T2102" s="310"/>
      <c r="U2102" s="310"/>
      <c r="V2102" s="4"/>
      <c r="W2102" s="4"/>
      <c r="X2102" s="4"/>
      <c r="Y2102" s="4"/>
      <c r="Z2102" s="4"/>
      <c r="AA2102" s="4"/>
      <c r="AB2102" s="380" t="e">
        <f>VLOOKUP($B2102,'D7 - NDB Impacted SPRF''s'!$E$16:$O$9929,4,FALSE)</f>
        <v>#N/A</v>
      </c>
      <c r="AC2102" s="380" t="e">
        <f>VLOOKUP($B2102,'D7 - NDB Impacted SPRF''s'!$E$16:$O$9929,3,FALSE)</f>
        <v>#N/A</v>
      </c>
      <c r="AD2102" s="380" t="e">
        <f>VLOOKUP($B2102,'D7 - NDB Impacted SPRF''s'!$E$16:$O$9929,5,FALSE)</f>
        <v>#N/A</v>
      </c>
      <c r="AE2102" s="380" t="e">
        <f>VLOOKUP($B2102,'D7 - NDB Impacted SPRF''s'!$E$16:$O$9929,7,FALSE)</f>
        <v>#N/A</v>
      </c>
      <c r="AF2102" s="380" t="e">
        <f>VLOOKUP($B2102,'D7 - NDB Impacted SPRF''s'!$E$16:$O$9929,6,FALSE)</f>
        <v>#N/A</v>
      </c>
      <c r="AG2102" s="282" t="s">
        <v>6682</v>
      </c>
      <c r="AH2102" s="311" t="e">
        <f>INDEX('D5 - Gatekeeper - Projects'!$A$4:$AF$1010,$AM2102, 17)</f>
        <v>#N/A</v>
      </c>
      <c r="AI2102" s="8"/>
      <c r="AJ2102" s="57"/>
      <c r="AK2102" s="105"/>
      <c r="AM2102" s="6" t="e">
        <f>MATCH(D2102,'D5 - Gatekeeper - Projects'!$C$4:$C$1010,0)</f>
        <v>#N/A</v>
      </c>
      <c r="AN2102" s="6" t="b">
        <f t="shared" si="221"/>
        <v>1</v>
      </c>
      <c r="AO2102" s="6" t="str">
        <f t="shared" si="222"/>
        <v>OK</v>
      </c>
      <c r="AQ2102" s="6" t="e">
        <f>MATCH($D2102,'D4 - Provider Council Unsched'!$C$11:$C$234,0)</f>
        <v>#N/A</v>
      </c>
      <c r="AR2102" s="6" t="b">
        <f t="shared" si="223"/>
        <v>1</v>
      </c>
      <c r="AS2102" s="6" t="str">
        <f t="shared" si="226"/>
        <v>OK</v>
      </c>
      <c r="AU2102" s="202"/>
      <c r="AV2102" s="262"/>
      <c r="AW2102" s="274"/>
    </row>
    <row r="2103" spans="1:49" s="13" customFormat="1" ht="33.75" x14ac:dyDescent="0.2">
      <c r="A2103" s="14">
        <v>2079</v>
      </c>
      <c r="B2103" s="14">
        <v>400013090</v>
      </c>
      <c r="C2103" s="8" t="s">
        <v>5197</v>
      </c>
      <c r="D2103" s="4" t="str">
        <f t="shared" si="225"/>
        <v>400013090R1</v>
      </c>
      <c r="E2103" s="309" t="str">
        <f>VLOOKUP($B2103,'D7 - NDB Impacted SPRF''s'!$E$6:$O$9929,2,FALSE)</f>
        <v>NDB-PERADIGM Migration - 12/9/06 Seed File</v>
      </c>
      <c r="F2103" s="8" t="s">
        <v>5544</v>
      </c>
      <c r="G2103" s="8" t="s">
        <v>4758</v>
      </c>
      <c r="H2103" s="8" t="s">
        <v>2870</v>
      </c>
      <c r="I2103" s="20">
        <v>2.67</v>
      </c>
      <c r="J2103" s="8" t="s">
        <v>4862</v>
      </c>
      <c r="K2103" s="182">
        <v>39060</v>
      </c>
      <c r="L2103" s="8" t="s">
        <v>5743</v>
      </c>
      <c r="M2103" s="8" t="s">
        <v>2814</v>
      </c>
      <c r="N2103" s="369" t="s">
        <v>6852</v>
      </c>
      <c r="O2103" s="8"/>
      <c r="P2103" s="4" t="str">
        <f>VLOOKUP($B2103,'D7 - NDB Impacted SPRF''s'!$E$16:$O$9929,9,FALSE)</f>
        <v>N</v>
      </c>
      <c r="Q2103" s="4" t="str">
        <f>VLOOKUP($B2103,'D7 - NDB Impacted SPRF''s'!$E$16:$O$9929,10,FALSE)</f>
        <v>N</v>
      </c>
      <c r="R2103" s="4" t="str">
        <f>VLOOKUP($B2103,'D7 - NDB Impacted SPRF''s'!$E$16:$O$9929,11,FALSE)</f>
        <v>N</v>
      </c>
      <c r="S2103" s="8" t="s">
        <v>3758</v>
      </c>
      <c r="T2103" s="310"/>
      <c r="U2103" s="310"/>
      <c r="V2103" s="4"/>
      <c r="W2103" s="4"/>
      <c r="X2103" s="4"/>
      <c r="Y2103" s="4"/>
      <c r="Z2103" s="4"/>
      <c r="AA2103" s="4"/>
      <c r="AB2103" s="380" t="str">
        <f>VLOOKUP($B2103,'D7 - NDB Impacted SPRF''s'!$E$16:$O$9929,4,FALSE)</f>
        <v>Completed</v>
      </c>
      <c r="AC2103" s="380" t="str">
        <f>VLOOKUP($B2103,'D7 - NDB Impacted SPRF''s'!$E$16:$O$9929,3,FALSE)</f>
        <v>UnitedHealthcare Medicare &amp; Retirement</v>
      </c>
      <c r="AD2103" s="380" t="str">
        <f>VLOOKUP($B2103,'D7 - NDB Impacted SPRF''s'!$E$16:$O$9929,5,FALSE)</f>
        <v>XXCOG</v>
      </c>
      <c r="AE2103" s="380" t="str">
        <f>VLOOKUP($B2103,'D7 - NDB Impacted SPRF''s'!$E$16:$O$9929,7,FALSE)</f>
        <v>Ashok Sundarshan</v>
      </c>
      <c r="AF2103" s="380" t="str">
        <f>VLOOKUP($B2103,'D7 - NDB Impacted SPRF''s'!$E$16:$O$9929,6,FALSE)</f>
        <v>GERALD GORODISCH</v>
      </c>
      <c r="AG2103" s="282"/>
      <c r="AH2103" s="311" t="e">
        <f>INDEX('D5 - Gatekeeper - Projects'!$A$4:$AF$1010,$AM2103, 17)</f>
        <v>#N/A</v>
      </c>
      <c r="AI2103" s="8"/>
      <c r="AJ2103" s="57"/>
      <c r="AK2103" s="105"/>
      <c r="AM2103" s="6" t="e">
        <f>MATCH(D2103,'D5 - Gatekeeper - Projects'!$C$4:$C$1010,0)</f>
        <v>#N/A</v>
      </c>
      <c r="AN2103" s="6" t="b">
        <f t="shared" si="221"/>
        <v>1</v>
      </c>
      <c r="AO2103" s="6" t="str">
        <f t="shared" si="222"/>
        <v>OK</v>
      </c>
      <c r="AQ2103" s="6" t="e">
        <f>MATCH($D2103,'D4 - Provider Council Unsched'!$C$11:$C$234,0)</f>
        <v>#N/A</v>
      </c>
      <c r="AR2103" s="6" t="b">
        <f t="shared" si="223"/>
        <v>1</v>
      </c>
      <c r="AS2103" s="6" t="str">
        <f t="shared" si="226"/>
        <v>OK</v>
      </c>
      <c r="AU2103" s="202"/>
      <c r="AV2103" s="262"/>
      <c r="AW2103" s="274"/>
    </row>
    <row r="2104" spans="1:49" s="13" customFormat="1" ht="33.75" x14ac:dyDescent="0.2">
      <c r="A2104" s="14">
        <v>2080</v>
      </c>
      <c r="B2104" s="14">
        <v>400013288</v>
      </c>
      <c r="C2104" s="8" t="s">
        <v>5197</v>
      </c>
      <c r="D2104" s="4" t="str">
        <f t="shared" si="225"/>
        <v>400013288R1</v>
      </c>
      <c r="E2104" s="309" t="str">
        <f>VLOOKUP($B2104,'D7 - NDB Impacted SPRF''s'!$E$6:$O$9929,2,FALSE)</f>
        <v>Secure Horizons Migr from NICE to Peradigm-UT Only</v>
      </c>
      <c r="F2104" s="8" t="s">
        <v>6071</v>
      </c>
      <c r="G2104" s="8" t="s">
        <v>4758</v>
      </c>
      <c r="H2104" s="8" t="s">
        <v>2870</v>
      </c>
      <c r="I2104" s="20"/>
      <c r="J2104" s="8"/>
      <c r="K2104" s="182">
        <v>39060</v>
      </c>
      <c r="L2104" s="8" t="s">
        <v>4156</v>
      </c>
      <c r="M2104" s="8" t="s">
        <v>2814</v>
      </c>
      <c r="N2104" s="367" t="s">
        <v>6060</v>
      </c>
      <c r="O2104" s="8"/>
      <c r="P2104" s="4" t="str">
        <f>VLOOKUP($B2104,'D7 - NDB Impacted SPRF''s'!$E$16:$O$9929,9,FALSE)</f>
        <v>N</v>
      </c>
      <c r="Q2104" s="4" t="str">
        <f>VLOOKUP($B2104,'D7 - NDB Impacted SPRF''s'!$E$16:$O$9929,10,FALSE)</f>
        <v>N</v>
      </c>
      <c r="R2104" s="4" t="str">
        <f>VLOOKUP($B2104,'D7 - NDB Impacted SPRF''s'!$E$16:$O$9929,11,FALSE)</f>
        <v>N</v>
      </c>
      <c r="S2104" s="8"/>
      <c r="T2104" s="310"/>
      <c r="U2104" s="310"/>
      <c r="V2104" s="4"/>
      <c r="W2104" s="4"/>
      <c r="X2104" s="4"/>
      <c r="Y2104" s="4"/>
      <c r="Z2104" s="4"/>
      <c r="AA2104" s="4"/>
      <c r="AB2104" s="380" t="str">
        <f>VLOOKUP($B2104,'D7 - NDB Impacted SPRF''s'!$E$16:$O$9929,4,FALSE)</f>
        <v>Cancelled</v>
      </c>
      <c r="AC2104" s="380" t="str">
        <f>VLOOKUP($B2104,'D7 - NDB Impacted SPRF''s'!$E$16:$O$9929,3,FALSE)</f>
        <v>UnitedHealthcare Medicare &amp; Retirement</v>
      </c>
      <c r="AD2104" s="380" t="str">
        <f>VLOOKUP($B2104,'D7 - NDB Impacted SPRF''s'!$E$16:$O$9929,5,FALSE)</f>
        <v>Ovations</v>
      </c>
      <c r="AE2104" s="380" t="str">
        <f>VLOOKUP($B2104,'D7 - NDB Impacted SPRF''s'!$E$16:$O$9929,7,FALSE)</f>
        <v>Leslie Sheldon</v>
      </c>
      <c r="AF2104" s="380" t="str">
        <f>VLOOKUP($B2104,'D7 - NDB Impacted SPRF''s'!$E$16:$O$9929,6,FALSE)</f>
        <v>GERALD GORODISCH</v>
      </c>
      <c r="AG2104" s="282"/>
      <c r="AH2104" s="311" t="e">
        <f>INDEX('D5 - Gatekeeper - Projects'!$A$4:$AF$1010,$AM2104, 17)</f>
        <v>#N/A</v>
      </c>
      <c r="AI2104" s="8"/>
      <c r="AJ2104" s="57"/>
      <c r="AK2104" s="105"/>
      <c r="AM2104" s="6" t="e">
        <f>MATCH(D2104,'D5 - Gatekeeper - Projects'!$C$4:$C$1010,0)</f>
        <v>#N/A</v>
      </c>
      <c r="AN2104" s="6" t="b">
        <f t="shared" si="221"/>
        <v>1</v>
      </c>
      <c r="AO2104" s="6" t="str">
        <f t="shared" si="222"/>
        <v>OK</v>
      </c>
      <c r="AQ2104" s="6" t="e">
        <f>MATCH($D2104,'D4 - Provider Council Unsched'!$C$11:$C$234,0)</f>
        <v>#N/A</v>
      </c>
      <c r="AR2104" s="6" t="b">
        <f t="shared" si="223"/>
        <v>1</v>
      </c>
      <c r="AS2104" s="6" t="str">
        <f t="shared" si="226"/>
        <v>OK</v>
      </c>
      <c r="AU2104" s="202"/>
      <c r="AV2104" s="262"/>
      <c r="AW2104" s="274"/>
    </row>
    <row r="2105" spans="1:49" s="13" customFormat="1" ht="33.75" x14ac:dyDescent="0.2">
      <c r="A2105" s="14">
        <v>2081</v>
      </c>
      <c r="B2105" s="14">
        <v>400013334</v>
      </c>
      <c r="C2105" s="8" t="s">
        <v>5197</v>
      </c>
      <c r="D2105" s="4" t="str">
        <f t="shared" si="225"/>
        <v>400013334R1</v>
      </c>
      <c r="E2105" s="309" t="str">
        <f>VLOOKUP($B2105,'D7 - NDB Impacted SPRF''s'!$E$6:$O$9929,2,FALSE)</f>
        <v>PHS - Front Office Integration - Data Intake</v>
      </c>
      <c r="F2105" s="8" t="s">
        <v>6071</v>
      </c>
      <c r="G2105" s="8" t="s">
        <v>4758</v>
      </c>
      <c r="H2105" s="8" t="s">
        <v>2870</v>
      </c>
      <c r="I2105" s="20">
        <v>21.37</v>
      </c>
      <c r="J2105" s="8" t="s">
        <v>4862</v>
      </c>
      <c r="K2105" s="182">
        <v>39060</v>
      </c>
      <c r="L2105" s="8" t="s">
        <v>5743</v>
      </c>
      <c r="M2105" s="8" t="s">
        <v>2814</v>
      </c>
      <c r="N2105" s="370" t="s">
        <v>6812</v>
      </c>
      <c r="O2105" s="8"/>
      <c r="P2105" s="4" t="str">
        <f>VLOOKUP($B2105,'D7 - NDB Impacted SPRF''s'!$E$16:$O$9929,9,FALSE)</f>
        <v>N</v>
      </c>
      <c r="Q2105" s="4" t="str">
        <f>VLOOKUP($B2105,'D7 - NDB Impacted SPRF''s'!$E$16:$O$9929,10,FALSE)</f>
        <v>N</v>
      </c>
      <c r="R2105" s="4" t="str">
        <f>VLOOKUP($B2105,'D7 - NDB Impacted SPRF''s'!$E$16:$O$9929,11,FALSE)</f>
        <v>N</v>
      </c>
      <c r="S2105" s="8" t="s">
        <v>3758</v>
      </c>
      <c r="T2105" s="310"/>
      <c r="U2105" s="310"/>
      <c r="V2105" s="4"/>
      <c r="W2105" s="4"/>
      <c r="X2105" s="4"/>
      <c r="Y2105" s="4"/>
      <c r="Z2105" s="4"/>
      <c r="AA2105" s="4"/>
      <c r="AB2105" s="380" t="str">
        <f>VLOOKUP($B2105,'D7 - NDB Impacted SPRF''s'!$E$16:$O$9929,4,FALSE)</f>
        <v>Completed</v>
      </c>
      <c r="AC2105" s="380" t="str">
        <f>VLOOKUP($B2105,'D7 - NDB Impacted SPRF''s'!$E$16:$O$9929,3,FALSE)</f>
        <v>UnitedHealthcare Employer &amp; Individual</v>
      </c>
      <c r="AD2105" s="380" t="str">
        <f>VLOOKUP($B2105,'D7 - NDB Impacted SPRF''s'!$E$16:$O$9929,5,FALSE)</f>
        <v>Integration Requirements</v>
      </c>
      <c r="AE2105" s="380" t="str">
        <f>VLOOKUP($B2105,'D7 - NDB Impacted SPRF''s'!$E$16:$O$9929,7,FALSE)</f>
        <v>Steve Black</v>
      </c>
      <c r="AF2105" s="380" t="str">
        <f>VLOOKUP($B2105,'D7 - NDB Impacted SPRF''s'!$E$16:$O$9929,6,FALSE)</f>
        <v>KENNETH MATARAZZO</v>
      </c>
      <c r="AG2105" s="282"/>
      <c r="AH2105" s="311" t="e">
        <f>INDEX('D5 - Gatekeeper - Projects'!$A$4:$AF$1010,$AM2105, 17)</f>
        <v>#N/A</v>
      </c>
      <c r="AI2105" s="8"/>
      <c r="AJ2105" s="57"/>
      <c r="AK2105" s="105"/>
      <c r="AM2105" s="6" t="e">
        <f>MATCH(D2105,'D5 - Gatekeeper - Projects'!$C$4:$C$1010,0)</f>
        <v>#N/A</v>
      </c>
      <c r="AN2105" s="6" t="b">
        <f t="shared" si="221"/>
        <v>1</v>
      </c>
      <c r="AO2105" s="6" t="str">
        <f t="shared" si="222"/>
        <v>OK</v>
      </c>
      <c r="AQ2105" s="6" t="e">
        <f>MATCH($D2105,'D4 - Provider Council Unsched'!$C$11:$C$234,0)</f>
        <v>#N/A</v>
      </c>
      <c r="AR2105" s="6" t="b">
        <f t="shared" si="223"/>
        <v>1</v>
      </c>
      <c r="AS2105" s="6" t="str">
        <f t="shared" si="226"/>
        <v>OK</v>
      </c>
      <c r="AU2105" s="202"/>
      <c r="AV2105" s="262"/>
      <c r="AW2105" s="274"/>
    </row>
    <row r="2106" spans="1:49" s="13" customFormat="1" ht="33.75" x14ac:dyDescent="0.2">
      <c r="A2106" s="14">
        <v>2082</v>
      </c>
      <c r="B2106" s="14">
        <v>400013558</v>
      </c>
      <c r="C2106" s="8" t="s">
        <v>5197</v>
      </c>
      <c r="D2106" s="4" t="str">
        <f t="shared" si="225"/>
        <v>400013558R1</v>
      </c>
      <c r="E2106" s="309" t="str">
        <f>VLOOKUP($B2106,'D7 - NDB Impacted SPRF''s'!$E$6:$O$9929,2,FALSE)</f>
        <v>John Deer EPDL Cred Data Load</v>
      </c>
      <c r="F2106" s="8" t="s">
        <v>4302</v>
      </c>
      <c r="G2106" s="8" t="s">
        <v>4758</v>
      </c>
      <c r="H2106" s="8" t="s">
        <v>2870</v>
      </c>
      <c r="I2106" s="20">
        <v>1.07</v>
      </c>
      <c r="J2106" s="8" t="s">
        <v>4862</v>
      </c>
      <c r="K2106" s="182">
        <v>39060</v>
      </c>
      <c r="L2106" s="8" t="s">
        <v>5743</v>
      </c>
      <c r="M2106" s="8" t="s">
        <v>2814</v>
      </c>
      <c r="N2106" s="368"/>
      <c r="O2106" s="8"/>
      <c r="P2106" s="4" t="str">
        <f>VLOOKUP($B2106,'D7 - NDB Impacted SPRF''s'!$E$16:$O$9929,9,FALSE)</f>
        <v>N</v>
      </c>
      <c r="Q2106" s="4" t="str">
        <f>VLOOKUP($B2106,'D7 - NDB Impacted SPRF''s'!$E$16:$O$9929,10,FALSE)</f>
        <v>N</v>
      </c>
      <c r="R2106" s="4" t="str">
        <f>VLOOKUP($B2106,'D7 - NDB Impacted SPRF''s'!$E$16:$O$9929,11,FALSE)</f>
        <v>N</v>
      </c>
      <c r="S2106" s="8" t="s">
        <v>3758</v>
      </c>
      <c r="T2106" s="310"/>
      <c r="U2106" s="310"/>
      <c r="V2106" s="4"/>
      <c r="W2106" s="4"/>
      <c r="X2106" s="4"/>
      <c r="Y2106" s="4"/>
      <c r="Z2106" s="4"/>
      <c r="AA2106" s="4"/>
      <c r="AB2106" s="380" t="str">
        <f>VLOOKUP($B2106,'D7 - NDB Impacted SPRF''s'!$E$16:$O$9929,4,FALSE)</f>
        <v>Cancelled</v>
      </c>
      <c r="AC2106" s="380" t="str">
        <f>VLOOKUP($B2106,'D7 - NDB Impacted SPRF''s'!$E$16:$O$9929,3,FALSE)</f>
        <v>UnitedHealthcare Employer &amp; Individual</v>
      </c>
      <c r="AD2106" s="380" t="str">
        <f>VLOOKUP($B2106,'D7 - NDB Impacted SPRF''s'!$E$16:$O$9929,5,FALSE)</f>
        <v>Integration Requirements</v>
      </c>
      <c r="AE2106" s="380" t="str">
        <f>VLOOKUP($B2106,'D7 - NDB Impacted SPRF''s'!$E$16:$O$9929,7,FALSE)</f>
        <v>Tim Kaja</v>
      </c>
      <c r="AF2106" s="380" t="str">
        <f>VLOOKUP($B2106,'D7 - NDB Impacted SPRF''s'!$E$16:$O$9929,6,FALSE)</f>
        <v>MARCIA MONACO</v>
      </c>
      <c r="AG2106" s="282"/>
      <c r="AH2106" s="311" t="e">
        <f>INDEX('D5 - Gatekeeper - Projects'!$A$4:$AF$1010,$AM2106, 17)</f>
        <v>#N/A</v>
      </c>
      <c r="AI2106" s="8"/>
      <c r="AJ2106" s="57"/>
      <c r="AK2106" s="105"/>
      <c r="AM2106" s="6" t="e">
        <f>MATCH(D2106,'D5 - Gatekeeper - Projects'!$C$4:$C$1010,0)</f>
        <v>#N/A</v>
      </c>
      <c r="AN2106" s="6" t="b">
        <f t="shared" si="221"/>
        <v>1</v>
      </c>
      <c r="AO2106" s="6" t="str">
        <f t="shared" si="222"/>
        <v>OK</v>
      </c>
      <c r="AQ2106" s="6" t="e">
        <f>MATCH($D2106,'D4 - Provider Council Unsched'!$C$11:$C$234,0)</f>
        <v>#N/A</v>
      </c>
      <c r="AR2106" s="6" t="b">
        <f t="shared" si="223"/>
        <v>1</v>
      </c>
      <c r="AS2106" s="6" t="str">
        <f t="shared" si="226"/>
        <v>OK</v>
      </c>
      <c r="AU2106" s="202"/>
      <c r="AV2106" s="262"/>
      <c r="AW2106" s="274"/>
    </row>
    <row r="2107" spans="1:49" s="13" customFormat="1" ht="22.5" x14ac:dyDescent="0.2">
      <c r="A2107" s="14">
        <v>2083</v>
      </c>
      <c r="B2107" s="14">
        <v>400013949</v>
      </c>
      <c r="C2107" s="8" t="s">
        <v>5197</v>
      </c>
      <c r="D2107" s="4" t="str">
        <f t="shared" si="225"/>
        <v>400013949R1</v>
      </c>
      <c r="E2107" s="309" t="str">
        <f>VLOOKUP($B2107,'D7 - NDB Impacted SPRF''s'!$E$6:$O$9929,2,FALSE)</f>
        <v>Medica - ORBIT PTI of 'M' Report</v>
      </c>
      <c r="F2107" s="8" t="s">
        <v>5196</v>
      </c>
      <c r="G2107" s="8" t="s">
        <v>4758</v>
      </c>
      <c r="H2107" s="8" t="s">
        <v>2870</v>
      </c>
      <c r="I2107" s="20">
        <v>1.73</v>
      </c>
      <c r="J2107" s="8" t="s">
        <v>4862</v>
      </c>
      <c r="K2107" s="182">
        <v>39060</v>
      </c>
      <c r="L2107" s="8" t="s">
        <v>5743</v>
      </c>
      <c r="M2107" s="8" t="s">
        <v>2814</v>
      </c>
      <c r="N2107" s="367"/>
      <c r="O2107" s="8"/>
      <c r="P2107" s="4" t="str">
        <f>VLOOKUP($B2107,'D7 - NDB Impacted SPRF''s'!$E$16:$O$9929,9,FALSE)</f>
        <v>N</v>
      </c>
      <c r="Q2107" s="4" t="str">
        <f>VLOOKUP($B2107,'D7 - NDB Impacted SPRF''s'!$E$16:$O$9929,10,FALSE)</f>
        <v>N</v>
      </c>
      <c r="R2107" s="4" t="str">
        <f>VLOOKUP($B2107,'D7 - NDB Impacted SPRF''s'!$E$16:$O$9929,11,FALSE)</f>
        <v>N</v>
      </c>
      <c r="S2107" s="8" t="s">
        <v>3758</v>
      </c>
      <c r="T2107" s="310"/>
      <c r="U2107" s="310"/>
      <c r="V2107" s="4"/>
      <c r="W2107" s="4"/>
      <c r="X2107" s="4"/>
      <c r="Y2107" s="4"/>
      <c r="Z2107" s="4"/>
      <c r="AA2107" s="4"/>
      <c r="AB2107" s="380" t="str">
        <f>VLOOKUP($B2107,'D7 - NDB Impacted SPRF''s'!$E$16:$O$9929,4,FALSE)</f>
        <v>Cancelled</v>
      </c>
      <c r="AC2107" s="380" t="str">
        <f>VLOOKUP($B2107,'D7 - NDB Impacted SPRF''s'!$E$16:$O$9929,3,FALSE)</f>
        <v>Alliance</v>
      </c>
      <c r="AD2107" s="380" t="str">
        <f>VLOOKUP($B2107,'D7 - NDB Impacted SPRF''s'!$E$16:$O$9929,5,FALSE)</f>
        <v>Medica UNET Conversion</v>
      </c>
      <c r="AE2107" s="380" t="str">
        <f>VLOOKUP($B2107,'D7 - NDB Impacted SPRF''s'!$E$16:$O$9929,7,FALSE)</f>
        <v>Kyle Winnegar</v>
      </c>
      <c r="AF2107" s="380" t="str">
        <f>VLOOKUP($B2107,'D7 - NDB Impacted SPRF''s'!$E$16:$O$9929,6,FALSE)</f>
        <v>STEPHEN FINLEY</v>
      </c>
      <c r="AG2107" s="282"/>
      <c r="AH2107" s="311" t="e">
        <f>INDEX('D5 - Gatekeeper - Projects'!$A$4:$AF$1010,$AM2107, 17)</f>
        <v>#N/A</v>
      </c>
      <c r="AI2107" s="8"/>
      <c r="AJ2107" s="57"/>
      <c r="AK2107" s="105"/>
      <c r="AM2107" s="6" t="e">
        <f>MATCH(D2107,'D5 - Gatekeeper - Projects'!$C$4:$C$1010,0)</f>
        <v>#N/A</v>
      </c>
      <c r="AN2107" s="6" t="b">
        <f t="shared" si="221"/>
        <v>1</v>
      </c>
      <c r="AO2107" s="6" t="str">
        <f t="shared" si="222"/>
        <v>OK</v>
      </c>
      <c r="AQ2107" s="6" t="e">
        <f>MATCH($D2107,'D4 - Provider Council Unsched'!$C$11:$C$234,0)</f>
        <v>#N/A</v>
      </c>
      <c r="AR2107" s="6" t="b">
        <f t="shared" si="223"/>
        <v>1</v>
      </c>
      <c r="AS2107" s="6" t="str">
        <f t="shared" si="226"/>
        <v>OK</v>
      </c>
      <c r="AU2107" s="202"/>
      <c r="AV2107" s="262"/>
      <c r="AW2107" s="274"/>
    </row>
    <row r="2108" spans="1:49" s="13" customFormat="1" ht="33.75" x14ac:dyDescent="0.2">
      <c r="A2108" s="14">
        <v>2084</v>
      </c>
      <c r="B2108" s="14">
        <v>400014011</v>
      </c>
      <c r="C2108" s="8" t="s">
        <v>5197</v>
      </c>
      <c r="D2108" s="4" t="str">
        <f t="shared" si="225"/>
        <v>400014011R1</v>
      </c>
      <c r="E2108" s="309" t="str">
        <f>VLOOKUP($B2108,'D7 - NDB Impacted SPRF''s'!$E$6:$O$9929,2,FALSE)</f>
        <v xml:space="preserve">Research TX address level Medicaid IDs </v>
      </c>
      <c r="F2108" s="8" t="s">
        <v>3235</v>
      </c>
      <c r="G2108" s="8" t="s">
        <v>4758</v>
      </c>
      <c r="H2108" s="8" t="s">
        <v>2870</v>
      </c>
      <c r="I2108" s="20">
        <v>0.33</v>
      </c>
      <c r="J2108" s="8" t="s">
        <v>4862</v>
      </c>
      <c r="K2108" s="182">
        <v>39060</v>
      </c>
      <c r="L2108" s="8" t="s">
        <v>5743</v>
      </c>
      <c r="M2108" s="8" t="s">
        <v>2814</v>
      </c>
      <c r="N2108" s="367" t="s">
        <v>3012</v>
      </c>
      <c r="O2108" s="8"/>
      <c r="P2108" s="4" t="str">
        <f>VLOOKUP($B2108,'D7 - NDB Impacted SPRF''s'!$E$16:$O$9929,9,FALSE)</f>
        <v>N</v>
      </c>
      <c r="Q2108" s="4" t="str">
        <f>VLOOKUP($B2108,'D7 - NDB Impacted SPRF''s'!$E$16:$O$9929,10,FALSE)</f>
        <v>N</v>
      </c>
      <c r="R2108" s="4" t="str">
        <f>VLOOKUP($B2108,'D7 - NDB Impacted SPRF''s'!$E$16:$O$9929,11,FALSE)</f>
        <v>N</v>
      </c>
      <c r="S2108" s="8" t="s">
        <v>3758</v>
      </c>
      <c r="T2108" s="310"/>
      <c r="U2108" s="310"/>
      <c r="V2108" s="4"/>
      <c r="W2108" s="4"/>
      <c r="X2108" s="4"/>
      <c r="Y2108" s="4"/>
      <c r="Z2108" s="4"/>
      <c r="AA2108" s="4"/>
      <c r="AB2108" s="380" t="str">
        <f>VLOOKUP($B2108,'D7 - NDB Impacted SPRF''s'!$E$16:$O$9929,4,FALSE)</f>
        <v>Cancelled</v>
      </c>
      <c r="AC2108" s="380" t="str">
        <f>VLOOKUP($B2108,'D7 - NDB Impacted SPRF''s'!$E$16:$O$9929,3,FALSE)</f>
        <v>UnitedHealthcare Community &amp; State</v>
      </c>
      <c r="AD2108" s="380" t="str">
        <f>VLOOKUP($B2108,'D7 - NDB Impacted SPRF''s'!$E$16:$O$9929,5,FALSE)</f>
        <v>AmeriChoice</v>
      </c>
      <c r="AE2108" s="380" t="str">
        <f>VLOOKUP($B2108,'D7 - NDB Impacted SPRF''s'!$E$16:$O$9929,7,FALSE)</f>
        <v>Garfield Collins</v>
      </c>
      <c r="AF2108" s="380" t="str">
        <f>VLOOKUP($B2108,'D7 - NDB Impacted SPRF''s'!$E$16:$O$9929,6,FALSE)</f>
        <v>ROB WILSON</v>
      </c>
      <c r="AG2108" s="282"/>
      <c r="AH2108" s="311" t="e">
        <f>INDEX('D5 - Gatekeeper - Projects'!$A$4:$AF$1010,$AM2108, 17)</f>
        <v>#N/A</v>
      </c>
      <c r="AI2108" s="8"/>
      <c r="AJ2108" s="57"/>
      <c r="AK2108" s="105"/>
      <c r="AM2108" s="6" t="e">
        <f>MATCH(D2108,'D5 - Gatekeeper - Projects'!$C$4:$C$1010,0)</f>
        <v>#N/A</v>
      </c>
      <c r="AN2108" s="6" t="b">
        <f t="shared" si="221"/>
        <v>1</v>
      </c>
      <c r="AO2108" s="6" t="str">
        <f t="shared" si="222"/>
        <v>OK</v>
      </c>
      <c r="AQ2108" s="6" t="e">
        <f>MATCH($D2108,'D4 - Provider Council Unsched'!$C$11:$C$234,0)</f>
        <v>#N/A</v>
      </c>
      <c r="AR2108" s="6" t="b">
        <f t="shared" si="223"/>
        <v>1</v>
      </c>
      <c r="AS2108" s="6" t="str">
        <f t="shared" si="226"/>
        <v>OK</v>
      </c>
      <c r="AU2108" s="202"/>
      <c r="AV2108" s="262"/>
      <c r="AW2108" s="274"/>
    </row>
    <row r="2109" spans="1:49" s="13" customFormat="1" ht="45" x14ac:dyDescent="0.2">
      <c r="A2109" s="14">
        <v>2085</v>
      </c>
      <c r="B2109" s="14">
        <v>400014167</v>
      </c>
      <c r="C2109" s="8" t="s">
        <v>5197</v>
      </c>
      <c r="D2109" s="4" t="str">
        <f t="shared" si="225"/>
        <v>400014167R1</v>
      </c>
      <c r="E2109" s="309" t="str">
        <f>VLOOKUP($B2109,'D7 - NDB Impacted SPRF''s'!$E$6:$O$9929,2,FALSE)</f>
        <v>CIN Analysis Only</v>
      </c>
      <c r="F2109" s="8" t="s">
        <v>7989</v>
      </c>
      <c r="G2109" s="8" t="s">
        <v>4758</v>
      </c>
      <c r="H2109" s="8" t="s">
        <v>2870</v>
      </c>
      <c r="I2109" s="20">
        <f>1500/150</f>
        <v>10</v>
      </c>
      <c r="J2109" s="8" t="s">
        <v>4862</v>
      </c>
      <c r="K2109" s="182">
        <v>39060</v>
      </c>
      <c r="L2109" s="8" t="s">
        <v>5743</v>
      </c>
      <c r="M2109" s="8" t="s">
        <v>2814</v>
      </c>
      <c r="N2109" s="367" t="s">
        <v>7830</v>
      </c>
      <c r="O2109" s="8"/>
      <c r="P2109" s="4" t="str">
        <f>VLOOKUP($B2109,'D7 - NDB Impacted SPRF''s'!$E$16:$O$9929,9,FALSE)</f>
        <v>Y</v>
      </c>
      <c r="Q2109" s="4" t="str">
        <f>VLOOKUP($B2109,'D7 - NDB Impacted SPRF''s'!$E$16:$O$9929,10,FALSE)</f>
        <v>N</v>
      </c>
      <c r="R2109" s="4" t="str">
        <f>VLOOKUP($B2109,'D7 - NDB Impacted SPRF''s'!$E$16:$O$9929,11,FALSE)</f>
        <v>Y</v>
      </c>
      <c r="S2109" s="8" t="s">
        <v>7273</v>
      </c>
      <c r="T2109" s="310"/>
      <c r="U2109" s="310"/>
      <c r="V2109" s="4"/>
      <c r="W2109" s="4"/>
      <c r="X2109" s="4"/>
      <c r="Y2109" s="4"/>
      <c r="Z2109" s="4"/>
      <c r="AA2109" s="4"/>
      <c r="AB2109" s="380" t="str">
        <f>VLOOKUP($B2109,'D7 - NDB Impacted SPRF''s'!$E$16:$O$9929,4,FALSE)</f>
        <v>Cancelled</v>
      </c>
      <c r="AC2109" s="380" t="str">
        <f>VLOOKUP($B2109,'D7 - NDB Impacted SPRF''s'!$E$16:$O$9929,3,FALSE)</f>
        <v>UnitedHealthcare Employer &amp; Individual</v>
      </c>
      <c r="AD2109" s="380" t="str">
        <f>VLOOKUP($B2109,'D7 - NDB Impacted SPRF''s'!$E$16:$O$9929,5,FALSE)</f>
        <v>Medical Cost Savings Programs</v>
      </c>
      <c r="AE2109" s="380" t="str">
        <f>VLOOKUP($B2109,'D7 - NDB Impacted SPRF''s'!$E$16:$O$9929,7,FALSE)</f>
        <v>Gino Tenace</v>
      </c>
      <c r="AF2109" s="380" t="str">
        <f>VLOOKUP($B2109,'D7 - NDB Impacted SPRF''s'!$E$16:$O$9929,6,FALSE)</f>
        <v>Tim Olson</v>
      </c>
      <c r="AG2109" s="282"/>
      <c r="AH2109" s="311" t="e">
        <f>INDEX('D5 - Gatekeeper - Projects'!$A$4:$AF$1010,$AM2109, 17)</f>
        <v>#N/A</v>
      </c>
      <c r="AI2109" s="8"/>
      <c r="AJ2109" s="57"/>
      <c r="AK2109" s="105"/>
      <c r="AM2109" s="6" t="e">
        <f>MATCH(D2109,'D5 - Gatekeeper - Projects'!$C$4:$C$1010,0)</f>
        <v>#N/A</v>
      </c>
      <c r="AN2109" s="6" t="b">
        <f t="shared" si="221"/>
        <v>1</v>
      </c>
      <c r="AO2109" s="6" t="str">
        <f t="shared" si="222"/>
        <v>OK</v>
      </c>
      <c r="AQ2109" s="6" t="e">
        <f>MATCH($D2109,'D4 - Provider Council Unsched'!$C$11:$C$234,0)</f>
        <v>#N/A</v>
      </c>
      <c r="AR2109" s="6" t="b">
        <f t="shared" si="223"/>
        <v>1</v>
      </c>
      <c r="AS2109" s="6" t="str">
        <f t="shared" si="226"/>
        <v>OK</v>
      </c>
      <c r="AU2109" s="202"/>
      <c r="AV2109" s="262"/>
      <c r="AW2109" s="274"/>
    </row>
    <row r="2110" spans="1:49" s="13" customFormat="1" ht="33.75" x14ac:dyDescent="0.2">
      <c r="A2110" s="14">
        <v>2086</v>
      </c>
      <c r="B2110" s="14">
        <v>400007963</v>
      </c>
      <c r="C2110" s="8" t="s">
        <v>5197</v>
      </c>
      <c r="D2110" s="4" t="str">
        <f t="shared" si="225"/>
        <v>400007963R1</v>
      </c>
      <c r="E2110" s="309" t="str">
        <f>VLOOKUP($B2110,'D7 - NDB Impacted SPRF''s'!$E$6:$O$9929,2,FALSE)</f>
        <v>Alliance PPO: Phase I, Claims Repricing Onboarding</v>
      </c>
      <c r="F2110" s="8" t="s">
        <v>1931</v>
      </c>
      <c r="G2110" s="8" t="s">
        <v>4758</v>
      </c>
      <c r="H2110" s="8" t="s">
        <v>2870</v>
      </c>
      <c r="I2110" s="20">
        <v>5</v>
      </c>
      <c r="J2110" s="8" t="s">
        <v>4862</v>
      </c>
      <c r="K2110" s="182">
        <v>39109</v>
      </c>
      <c r="L2110" s="8" t="s">
        <v>4156</v>
      </c>
      <c r="M2110" s="8" t="s">
        <v>2814</v>
      </c>
      <c r="N2110" s="65" t="s">
        <v>4406</v>
      </c>
      <c r="O2110" s="8"/>
      <c r="P2110" s="4" t="str">
        <f>VLOOKUP($B2110,'D7 - NDB Impacted SPRF''s'!$E$16:$O$9929,9,FALSE)</f>
        <v>N</v>
      </c>
      <c r="Q2110" s="4" t="str">
        <f>VLOOKUP($B2110,'D7 - NDB Impacted SPRF''s'!$E$16:$O$9929,10,FALSE)</f>
        <v>N</v>
      </c>
      <c r="R2110" s="4" t="str">
        <f>VLOOKUP($B2110,'D7 - NDB Impacted SPRF''s'!$E$16:$O$9929,11,FALSE)</f>
        <v>N</v>
      </c>
      <c r="S2110" s="8"/>
      <c r="T2110" s="310"/>
      <c r="U2110" s="310"/>
      <c r="V2110" s="4"/>
      <c r="W2110" s="4"/>
      <c r="X2110" s="4"/>
      <c r="Y2110" s="4"/>
      <c r="Z2110" s="4"/>
      <c r="AA2110" s="4"/>
      <c r="AB2110" s="380" t="str">
        <f>VLOOKUP($B2110,'D7 - NDB Impacted SPRF''s'!$E$16:$O$9929,4,FALSE)</f>
        <v>Cancelled</v>
      </c>
      <c r="AC2110" s="380" t="str">
        <f>VLOOKUP($B2110,'D7 - NDB Impacted SPRF''s'!$E$16:$O$9929,3,FALSE)</f>
        <v>UnitedHealthcare Employer &amp; Individual</v>
      </c>
      <c r="AD2110" s="380" t="str">
        <f>VLOOKUP($B2110,'D7 - NDB Impacted SPRF''s'!$E$16:$O$9929,5,FALSE)</f>
        <v>Key Initiatives Group</v>
      </c>
      <c r="AE2110" s="380" t="str">
        <f>VLOOKUP($B2110,'D7 - NDB Impacted SPRF''s'!$E$16:$O$9929,7,FALSE)</f>
        <v>Mike Mikan</v>
      </c>
      <c r="AF2110" s="380" t="str">
        <f>VLOOKUP($B2110,'D7 - NDB Impacted SPRF''s'!$E$16:$O$9929,6,FALSE)</f>
        <v>KELLY HARRISON</v>
      </c>
      <c r="AG2110" s="282" t="s">
        <v>6162</v>
      </c>
      <c r="AH2110" s="311" t="e">
        <f>INDEX('D5 - Gatekeeper - Projects'!$A$4:$AF$1010,$AM2110, 17)</f>
        <v>#N/A</v>
      </c>
      <c r="AI2110" s="8"/>
      <c r="AJ2110" s="57"/>
      <c r="AK2110" s="105"/>
      <c r="AM2110" s="6" t="e">
        <f>MATCH(D2110,'D5 - Gatekeeper - Projects'!$C$4:$C$1010,0)</f>
        <v>#N/A</v>
      </c>
      <c r="AN2110" s="6" t="b">
        <f t="shared" si="221"/>
        <v>1</v>
      </c>
      <c r="AO2110" s="6" t="str">
        <f t="shared" si="222"/>
        <v>OK</v>
      </c>
      <c r="AQ2110" s="6" t="e">
        <f>MATCH($D2110,'D4 - Provider Council Unsched'!$C$11:$C$234,0)</f>
        <v>#N/A</v>
      </c>
      <c r="AR2110" s="6" t="b">
        <f t="shared" si="223"/>
        <v>1</v>
      </c>
      <c r="AS2110" s="6" t="str">
        <f t="shared" si="226"/>
        <v>OK</v>
      </c>
      <c r="AU2110" s="202"/>
      <c r="AV2110" s="262"/>
      <c r="AW2110" s="274"/>
    </row>
    <row r="2111" spans="1:49" s="13" customFormat="1" ht="11.25" customHeight="1" x14ac:dyDescent="0.2">
      <c r="A2111" s="14">
        <v>2087</v>
      </c>
      <c r="B2111" s="14">
        <v>400007963</v>
      </c>
      <c r="C2111" s="8" t="s">
        <v>3763</v>
      </c>
      <c r="D2111" s="4" t="str">
        <f t="shared" si="225"/>
        <v>400007963R2</v>
      </c>
      <c r="E2111" s="309" t="str">
        <f>VLOOKUP($B2111,'D7 - NDB Impacted SPRF''s'!$E$6:$O$9929,2,FALSE)</f>
        <v>Alliance PPO: Phase I, Claims Repricing Onboarding</v>
      </c>
      <c r="F2111" s="8" t="s">
        <v>1931</v>
      </c>
      <c r="G2111" s="8" t="s">
        <v>4758</v>
      </c>
      <c r="H2111" s="8" t="s">
        <v>2870</v>
      </c>
      <c r="I2111" s="20">
        <v>5</v>
      </c>
      <c r="J2111" s="8" t="s">
        <v>4862</v>
      </c>
      <c r="K2111" s="182">
        <v>39109</v>
      </c>
      <c r="L2111" s="8" t="s">
        <v>4156</v>
      </c>
      <c r="M2111" s="8" t="s">
        <v>2814</v>
      </c>
      <c r="N2111" s="65" t="s">
        <v>4406</v>
      </c>
      <c r="O2111" s="8"/>
      <c r="P2111" s="4" t="str">
        <f>VLOOKUP($B2111,'D7 - NDB Impacted SPRF''s'!$E$16:$O$9929,9,FALSE)</f>
        <v>N</v>
      </c>
      <c r="Q2111" s="4" t="str">
        <f>VLOOKUP($B2111,'D7 - NDB Impacted SPRF''s'!$E$16:$O$9929,10,FALSE)</f>
        <v>N</v>
      </c>
      <c r="R2111" s="4" t="str">
        <f>VLOOKUP($B2111,'D7 - NDB Impacted SPRF''s'!$E$16:$O$9929,11,FALSE)</f>
        <v>N</v>
      </c>
      <c r="S2111" s="8"/>
      <c r="T2111" s="310"/>
      <c r="U2111" s="310"/>
      <c r="V2111" s="4"/>
      <c r="W2111" s="4"/>
      <c r="X2111" s="4"/>
      <c r="Y2111" s="4"/>
      <c r="Z2111" s="4"/>
      <c r="AA2111" s="4"/>
      <c r="AB2111" s="380" t="str">
        <f>VLOOKUP($B2111,'D7 - NDB Impacted SPRF''s'!$E$16:$O$9929,4,FALSE)</f>
        <v>Cancelled</v>
      </c>
      <c r="AC2111" s="380" t="str">
        <f>VLOOKUP($B2111,'D7 - NDB Impacted SPRF''s'!$E$16:$O$9929,3,FALSE)</f>
        <v>UnitedHealthcare Employer &amp; Individual</v>
      </c>
      <c r="AD2111" s="380" t="str">
        <f>VLOOKUP($B2111,'D7 - NDB Impacted SPRF''s'!$E$16:$O$9929,5,FALSE)</f>
        <v>Key Initiatives Group</v>
      </c>
      <c r="AE2111" s="380" t="str">
        <f>VLOOKUP($B2111,'D7 - NDB Impacted SPRF''s'!$E$16:$O$9929,7,FALSE)</f>
        <v>Mike Mikan</v>
      </c>
      <c r="AF2111" s="380" t="str">
        <f>VLOOKUP($B2111,'D7 - NDB Impacted SPRF''s'!$E$16:$O$9929,6,FALSE)</f>
        <v>KELLY HARRISON</v>
      </c>
      <c r="AG2111" s="282" t="s">
        <v>6162</v>
      </c>
      <c r="AH2111" s="311" t="e">
        <f>INDEX('D5 - Gatekeeper - Projects'!$A$4:$AF$1010,$AM2111, 17)</f>
        <v>#N/A</v>
      </c>
      <c r="AI2111" s="8"/>
      <c r="AJ2111" s="57"/>
      <c r="AK2111" s="105"/>
      <c r="AM2111" s="6" t="e">
        <f>MATCH(D2111,'D5 - Gatekeeper - Projects'!$C$4:$C$1010,0)</f>
        <v>#N/A</v>
      </c>
      <c r="AN2111" s="6" t="b">
        <f t="shared" si="221"/>
        <v>1</v>
      </c>
      <c r="AO2111" s="6" t="str">
        <f t="shared" si="222"/>
        <v>OK</v>
      </c>
      <c r="AQ2111" s="6" t="e">
        <f>MATCH($D2111,'D4 - Provider Council Unsched'!$C$11:$C$234,0)</f>
        <v>#N/A</v>
      </c>
      <c r="AR2111" s="6" t="b">
        <f t="shared" si="223"/>
        <v>1</v>
      </c>
      <c r="AS2111" s="6" t="str">
        <f t="shared" si="226"/>
        <v>OK</v>
      </c>
      <c r="AU2111" s="202"/>
      <c r="AV2111" s="262"/>
      <c r="AW2111" s="274"/>
    </row>
    <row r="2112" spans="1:49" s="13" customFormat="1" ht="45" x14ac:dyDescent="0.2">
      <c r="A2112" s="14">
        <v>2088</v>
      </c>
      <c r="B2112" s="14">
        <v>400011915</v>
      </c>
      <c r="C2112" s="8" t="s">
        <v>5197</v>
      </c>
      <c r="D2112" s="4" t="str">
        <f t="shared" si="225"/>
        <v>400011915R1</v>
      </c>
      <c r="E2112" s="309" t="str">
        <f>VLOOKUP($B2112,'D7 - NDB Impacted SPRF''s'!$E$6:$O$9929,2,FALSE)</f>
        <v>Return "Prof Fee" Providers for EDI Transactions</v>
      </c>
      <c r="F2112" s="8" t="s">
        <v>2114</v>
      </c>
      <c r="G2112" s="8" t="s">
        <v>4758</v>
      </c>
      <c r="H2112" s="8" t="s">
        <v>2870</v>
      </c>
      <c r="I2112" s="20">
        <v>5.92</v>
      </c>
      <c r="J2112" s="8" t="s">
        <v>4862</v>
      </c>
      <c r="K2112" s="182">
        <v>39109</v>
      </c>
      <c r="L2112" s="8" t="s">
        <v>5743</v>
      </c>
      <c r="M2112" s="8" t="s">
        <v>2814</v>
      </c>
      <c r="N2112" s="370" t="s">
        <v>8088</v>
      </c>
      <c r="O2112" s="8"/>
      <c r="P2112" s="4" t="str">
        <f>VLOOKUP($B2112,'D7 - NDB Impacted SPRF''s'!$E$16:$O$9929,9,FALSE)</f>
        <v>N</v>
      </c>
      <c r="Q2112" s="4" t="str">
        <f>VLOOKUP($B2112,'D7 - NDB Impacted SPRF''s'!$E$16:$O$9929,10,FALSE)</f>
        <v>N</v>
      </c>
      <c r="R2112" s="4" t="str">
        <f>VLOOKUP($B2112,'D7 - NDB Impacted SPRF''s'!$E$16:$O$9929,11,FALSE)</f>
        <v>N</v>
      </c>
      <c r="S2112" s="8" t="s">
        <v>3758</v>
      </c>
      <c r="T2112" s="310"/>
      <c r="U2112" s="310"/>
      <c r="V2112" s="4"/>
      <c r="W2112" s="4"/>
      <c r="X2112" s="4"/>
      <c r="Y2112" s="4"/>
      <c r="Z2112" s="4"/>
      <c r="AA2112" s="4"/>
      <c r="AB2112" s="380" t="str">
        <f>VLOOKUP($B2112,'D7 - NDB Impacted SPRF''s'!$E$16:$O$9929,4,FALSE)</f>
        <v>Cancelled</v>
      </c>
      <c r="AC2112" s="380" t="str">
        <f>VLOOKUP($B2112,'D7 - NDB Impacted SPRF''s'!$E$16:$O$9929,3,FALSE)</f>
        <v>Uniprise</v>
      </c>
      <c r="AD2112" s="380" t="str">
        <f>VLOOKUP($B2112,'D7 - NDB Impacted SPRF''s'!$E$16:$O$9929,5,FALSE)</f>
        <v>UOS - DDC</v>
      </c>
      <c r="AE2112" s="380" t="str">
        <f>VLOOKUP($B2112,'D7 - NDB Impacted SPRF''s'!$E$16:$O$9929,7,FALSE)</f>
        <v>Joanne Houck</v>
      </c>
      <c r="AF2112" s="380" t="str">
        <f>VLOOKUP($B2112,'D7 - NDB Impacted SPRF''s'!$E$16:$O$9929,6,FALSE)</f>
        <v>Cathy Hanson</v>
      </c>
      <c r="AG2112" s="282" t="s">
        <v>7755</v>
      </c>
      <c r="AH2112" s="311" t="e">
        <f>INDEX('D5 - Gatekeeper - Projects'!$A$4:$AF$1010,$AM2112, 17)</f>
        <v>#N/A</v>
      </c>
      <c r="AI2112" s="8"/>
      <c r="AJ2112" s="57"/>
      <c r="AK2112" s="105"/>
      <c r="AM2112" s="6" t="e">
        <f>MATCH(D2112,'D5 - Gatekeeper - Projects'!$C$4:$C$1010,0)</f>
        <v>#N/A</v>
      </c>
      <c r="AN2112" s="6" t="b">
        <f t="shared" si="221"/>
        <v>1</v>
      </c>
      <c r="AO2112" s="6" t="str">
        <f t="shared" si="222"/>
        <v>OK</v>
      </c>
      <c r="AQ2112" s="6" t="e">
        <f>MATCH($D2112,'D4 - Provider Council Unsched'!$C$11:$C$234,0)</f>
        <v>#N/A</v>
      </c>
      <c r="AR2112" s="6" t="b">
        <f t="shared" si="223"/>
        <v>1</v>
      </c>
      <c r="AS2112" s="6" t="str">
        <f t="shared" si="226"/>
        <v>OK</v>
      </c>
      <c r="AU2112" s="202"/>
      <c r="AV2112" s="262"/>
      <c r="AW2112" s="274"/>
    </row>
    <row r="2113" spans="1:49" s="13" customFormat="1" ht="22.5" x14ac:dyDescent="0.2">
      <c r="A2113" s="14">
        <v>2089</v>
      </c>
      <c r="B2113" s="14">
        <v>400014177</v>
      </c>
      <c r="C2113" s="8" t="s">
        <v>5197</v>
      </c>
      <c r="D2113" s="4" t="str">
        <f t="shared" si="225"/>
        <v>400014177R1</v>
      </c>
      <c r="E2113" s="309" t="str">
        <f>VLOOKUP($B2113,'D7 - NDB Impacted SPRF''s'!$E$6:$O$9929,2,FALSE)</f>
        <v>PHP Michigan HCFA Claims Repricing Project</v>
      </c>
      <c r="F2113" s="8" t="s">
        <v>5228</v>
      </c>
      <c r="G2113" s="8" t="s">
        <v>4758</v>
      </c>
      <c r="H2113" s="8" t="s">
        <v>2870</v>
      </c>
      <c r="I2113" s="20">
        <v>1</v>
      </c>
      <c r="J2113" s="8" t="s">
        <v>4862</v>
      </c>
      <c r="K2113" s="182">
        <v>39109</v>
      </c>
      <c r="L2113" s="8" t="s">
        <v>4156</v>
      </c>
      <c r="M2113" s="8" t="s">
        <v>2814</v>
      </c>
      <c r="N2113" s="368"/>
      <c r="O2113" s="8"/>
      <c r="P2113" s="4" t="str">
        <f>VLOOKUP($B2113,'D7 - NDB Impacted SPRF''s'!$E$16:$O$9929,9,FALSE)</f>
        <v>N</v>
      </c>
      <c r="Q2113" s="4" t="str">
        <f>VLOOKUP($B2113,'D7 - NDB Impacted SPRF''s'!$E$16:$O$9929,10,FALSE)</f>
        <v>N</v>
      </c>
      <c r="R2113" s="4" t="str">
        <f>VLOOKUP($B2113,'D7 - NDB Impacted SPRF''s'!$E$16:$O$9929,11,FALSE)</f>
        <v>Y</v>
      </c>
      <c r="S2113" s="8" t="s">
        <v>7273</v>
      </c>
      <c r="T2113" s="310"/>
      <c r="U2113" s="310"/>
      <c r="V2113" s="4"/>
      <c r="W2113" s="4"/>
      <c r="X2113" s="4"/>
      <c r="Y2113" s="4"/>
      <c r="Z2113" s="4"/>
      <c r="AA2113" s="4"/>
      <c r="AB2113" s="380" t="str">
        <f>VLOOKUP($B2113,'D7 - NDB Impacted SPRF''s'!$E$16:$O$9929,4,FALSE)</f>
        <v>Cancelled</v>
      </c>
      <c r="AC2113" s="380" t="str">
        <f>VLOOKUP($B2113,'D7 - NDB Impacted SPRF''s'!$E$16:$O$9929,3,FALSE)</f>
        <v>Uniprise</v>
      </c>
      <c r="AD2113" s="380" t="str">
        <f>VLOOKUP($B2113,'D7 - NDB Impacted SPRF''s'!$E$16:$O$9929,5,FALSE)</f>
        <v>UOS - DDC</v>
      </c>
      <c r="AE2113" s="380" t="str">
        <f>VLOOKUP($B2113,'D7 - NDB Impacted SPRF''s'!$E$16:$O$9929,7,FALSE)</f>
        <v>Sally Verrilli</v>
      </c>
      <c r="AF2113" s="380" t="str">
        <f>VLOOKUP($B2113,'D7 - NDB Impacted SPRF''s'!$E$16:$O$9929,6,FALSE)</f>
        <v>WILLIAM DOBRANSKY</v>
      </c>
      <c r="AG2113" s="282"/>
      <c r="AH2113" s="311" t="e">
        <f>INDEX('D5 - Gatekeeper - Projects'!$A$4:$AF$1010,$AM2113, 17)</f>
        <v>#N/A</v>
      </c>
      <c r="AI2113" s="8"/>
      <c r="AJ2113" s="57"/>
      <c r="AK2113" s="105"/>
      <c r="AM2113" s="6" t="e">
        <f>MATCH(D2113,'D5 - Gatekeeper - Projects'!$C$4:$C$1010,0)</f>
        <v>#N/A</v>
      </c>
      <c r="AN2113" s="6" t="b">
        <f t="shared" si="221"/>
        <v>1</v>
      </c>
      <c r="AO2113" s="6" t="str">
        <f t="shared" si="222"/>
        <v>OK</v>
      </c>
      <c r="AQ2113" s="6" t="e">
        <f>MATCH($D2113,'D4 - Provider Council Unsched'!$C$11:$C$234,0)</f>
        <v>#N/A</v>
      </c>
      <c r="AR2113" s="6" t="b">
        <f t="shared" si="223"/>
        <v>1</v>
      </c>
      <c r="AS2113" s="6" t="str">
        <f t="shared" si="226"/>
        <v>OK</v>
      </c>
      <c r="AU2113" s="202"/>
      <c r="AV2113" s="262"/>
      <c r="AW2113" s="274"/>
    </row>
    <row r="2114" spans="1:49" s="13" customFormat="1" ht="22.5" x14ac:dyDescent="0.2">
      <c r="A2114" s="14">
        <v>2090</v>
      </c>
      <c r="B2114" s="14">
        <v>400014461</v>
      </c>
      <c r="C2114" s="8" t="s">
        <v>5197</v>
      </c>
      <c r="D2114" s="4" t="str">
        <f t="shared" si="225"/>
        <v>400014461R1</v>
      </c>
      <c r="E2114" s="309" t="str">
        <f>VLOOKUP($B2114,'D7 - NDB Impacted SPRF''s'!$E$6:$O$9929,2,FALSE)</f>
        <v>PHP Michigan UB Claims Repricing Project</v>
      </c>
      <c r="F2114" s="8" t="s">
        <v>5228</v>
      </c>
      <c r="G2114" s="8" t="s">
        <v>4758</v>
      </c>
      <c r="H2114" s="8" t="s">
        <v>2870</v>
      </c>
      <c r="I2114" s="20">
        <v>1</v>
      </c>
      <c r="J2114" s="8" t="s">
        <v>4862</v>
      </c>
      <c r="K2114" s="182">
        <v>39109</v>
      </c>
      <c r="L2114" s="8" t="s">
        <v>4156</v>
      </c>
      <c r="M2114" s="8" t="s">
        <v>2814</v>
      </c>
      <c r="N2114" s="368"/>
      <c r="O2114" s="8"/>
      <c r="P2114" s="4" t="str">
        <f>VLOOKUP($B2114,'D7 - NDB Impacted SPRF''s'!$E$16:$O$9929,9,FALSE)</f>
        <v>N</v>
      </c>
      <c r="Q2114" s="4" t="str">
        <f>VLOOKUP($B2114,'D7 - NDB Impacted SPRF''s'!$E$16:$O$9929,10,FALSE)</f>
        <v>N</v>
      </c>
      <c r="R2114" s="4" t="str">
        <f>VLOOKUP($B2114,'D7 - NDB Impacted SPRF''s'!$E$16:$O$9929,11,FALSE)</f>
        <v>Y</v>
      </c>
      <c r="S2114" s="8" t="s">
        <v>7273</v>
      </c>
      <c r="T2114" s="310"/>
      <c r="U2114" s="310"/>
      <c r="V2114" s="4"/>
      <c r="W2114" s="4"/>
      <c r="X2114" s="4"/>
      <c r="Y2114" s="4"/>
      <c r="Z2114" s="4"/>
      <c r="AA2114" s="4"/>
      <c r="AB2114" s="380" t="str">
        <f>VLOOKUP($B2114,'D7 - NDB Impacted SPRF''s'!$E$16:$O$9929,4,FALSE)</f>
        <v>Cancelled</v>
      </c>
      <c r="AC2114" s="380" t="str">
        <f>VLOOKUP($B2114,'D7 - NDB Impacted SPRF''s'!$E$16:$O$9929,3,FALSE)</f>
        <v>Uniprise</v>
      </c>
      <c r="AD2114" s="380" t="str">
        <f>VLOOKUP($B2114,'D7 - NDB Impacted SPRF''s'!$E$16:$O$9929,5,FALSE)</f>
        <v>UOS - DDC</v>
      </c>
      <c r="AE2114" s="380" t="str">
        <f>VLOOKUP($B2114,'D7 - NDB Impacted SPRF''s'!$E$16:$O$9929,7,FALSE)</f>
        <v>Sally Verilli</v>
      </c>
      <c r="AF2114" s="380" t="str">
        <f>VLOOKUP($B2114,'D7 - NDB Impacted SPRF''s'!$E$16:$O$9929,6,FALSE)</f>
        <v>WILLIAM DOBRANSKY</v>
      </c>
      <c r="AG2114" s="282"/>
      <c r="AH2114" s="311" t="e">
        <f>INDEX('D5 - Gatekeeper - Projects'!$A$4:$AF$1010,$AM2114, 17)</f>
        <v>#N/A</v>
      </c>
      <c r="AI2114" s="8"/>
      <c r="AJ2114" s="57"/>
      <c r="AK2114" s="105"/>
      <c r="AM2114" s="6" t="e">
        <f>MATCH(D2114,'D5 - Gatekeeper - Projects'!$C$4:$C$1010,0)</f>
        <v>#N/A</v>
      </c>
      <c r="AN2114" s="6" t="b">
        <f t="shared" si="221"/>
        <v>1</v>
      </c>
      <c r="AO2114" s="6" t="str">
        <f t="shared" si="222"/>
        <v>OK</v>
      </c>
      <c r="AQ2114" s="6" t="e">
        <f>MATCH($D2114,'D4 - Provider Council Unsched'!$C$11:$C$234,0)</f>
        <v>#N/A</v>
      </c>
      <c r="AR2114" s="6" t="b">
        <f t="shared" si="223"/>
        <v>1</v>
      </c>
      <c r="AS2114" s="6" t="str">
        <f t="shared" si="226"/>
        <v>OK</v>
      </c>
      <c r="AU2114" s="202"/>
      <c r="AV2114" s="262"/>
      <c r="AW2114" s="274"/>
    </row>
    <row r="2115" spans="1:49" s="13" customFormat="1" ht="33.75" x14ac:dyDescent="0.2">
      <c r="A2115" s="14">
        <v>2091</v>
      </c>
      <c r="B2115" s="14">
        <v>400010547</v>
      </c>
      <c r="C2115" s="8" t="s">
        <v>6726</v>
      </c>
      <c r="D2115" s="4" t="str">
        <f t="shared" si="225"/>
        <v>400010547CC06</v>
      </c>
      <c r="E2115" s="309" t="str">
        <f>VLOOKUP($B2115,'D7 - NDB Impacted SPRF''s'!$E$6:$O$9929,2,FALSE)</f>
        <v>COSMOS NPI Requirements</v>
      </c>
      <c r="F2115" s="8" t="s">
        <v>1059</v>
      </c>
      <c r="G2115" s="8" t="s">
        <v>4758</v>
      </c>
      <c r="H2115" s="8" t="s">
        <v>2870</v>
      </c>
      <c r="I2115" s="20">
        <v>11.86</v>
      </c>
      <c r="J2115" s="8" t="s">
        <v>4862</v>
      </c>
      <c r="K2115" s="182">
        <v>39116</v>
      </c>
      <c r="L2115" s="8" t="s">
        <v>5743</v>
      </c>
      <c r="M2115" s="8" t="s">
        <v>2814</v>
      </c>
      <c r="N2115" s="38" t="s">
        <v>5620</v>
      </c>
      <c r="O2115" s="8"/>
      <c r="P2115" s="4" t="str">
        <f>VLOOKUP($B2115,'D7 - NDB Impacted SPRF''s'!$E$16:$O$9929,9,FALSE)</f>
        <v>Y</v>
      </c>
      <c r="Q2115" s="4" t="str">
        <f>VLOOKUP($B2115,'D7 - NDB Impacted SPRF''s'!$E$16:$O$9929,10,FALSE)</f>
        <v>N</v>
      </c>
      <c r="R2115" s="4" t="str">
        <f>VLOOKUP($B2115,'D7 - NDB Impacted SPRF''s'!$E$16:$O$9929,11,FALSE)</f>
        <v>N</v>
      </c>
      <c r="S2115" s="8"/>
      <c r="T2115" s="310"/>
      <c r="U2115" s="310"/>
      <c r="V2115" s="4"/>
      <c r="W2115" s="4"/>
      <c r="X2115" s="4"/>
      <c r="Y2115" s="4"/>
      <c r="Z2115" s="4"/>
      <c r="AA2115" s="4"/>
      <c r="AB2115" s="380" t="str">
        <f>VLOOKUP($B2115,'D7 - NDB Impacted SPRF''s'!$E$16:$O$9929,4,FALSE)</f>
        <v>Completed</v>
      </c>
      <c r="AC2115" s="380" t="str">
        <f>VLOOKUP($B2115,'D7 - NDB Impacted SPRF''s'!$E$16:$O$9929,3,FALSE)</f>
        <v>UnitedHealthcare Employer &amp; Individual</v>
      </c>
      <c r="AD2115" s="380" t="str">
        <f>VLOOKUP($B2115,'D7 - NDB Impacted SPRF''s'!$E$16:$O$9929,5,FALSE)</f>
        <v>Regulatory / Other</v>
      </c>
      <c r="AE2115" s="380" t="str">
        <f>VLOOKUP($B2115,'D7 - NDB Impacted SPRF''s'!$E$16:$O$9929,7,FALSE)</f>
        <v>Peter Bompane</v>
      </c>
      <c r="AF2115" s="380" t="str">
        <f>VLOOKUP($B2115,'D7 - NDB Impacted SPRF''s'!$E$16:$O$9929,6,FALSE)</f>
        <v>KELLY LEONARD</v>
      </c>
      <c r="AG2115" s="282"/>
      <c r="AH2115" s="311" t="e">
        <f>INDEX('D5 - Gatekeeper - Projects'!$A$4:$AF$1010,$AM2115, 17)</f>
        <v>#N/A</v>
      </c>
      <c r="AI2115" s="8"/>
      <c r="AJ2115" s="57"/>
      <c r="AK2115" s="105"/>
      <c r="AM2115" s="6" t="e">
        <f>MATCH(D2115,'D5 - Gatekeeper - Projects'!$C$4:$C$1010,0)</f>
        <v>#N/A</v>
      </c>
      <c r="AN2115" s="6" t="b">
        <f t="shared" si="221"/>
        <v>1</v>
      </c>
      <c r="AO2115" s="6" t="str">
        <f t="shared" si="222"/>
        <v>OK</v>
      </c>
      <c r="AQ2115" s="6" t="e">
        <f>MATCH($D2115,'D4 - Provider Council Unsched'!$C$11:$C$234,0)</f>
        <v>#N/A</v>
      </c>
      <c r="AR2115" s="6" t="b">
        <f t="shared" si="223"/>
        <v>1</v>
      </c>
      <c r="AS2115" s="6" t="str">
        <f t="shared" si="226"/>
        <v>OK</v>
      </c>
      <c r="AU2115" s="202"/>
      <c r="AV2115" s="262"/>
      <c r="AW2115" s="274"/>
    </row>
    <row r="2116" spans="1:49" s="13" customFormat="1" ht="33.75" x14ac:dyDescent="0.2">
      <c r="A2116" s="14">
        <v>2092</v>
      </c>
      <c r="B2116" s="14">
        <v>400016578</v>
      </c>
      <c r="C2116" s="8" t="s">
        <v>5197</v>
      </c>
      <c r="D2116" s="4" t="str">
        <f t="shared" si="225"/>
        <v>400016578R1</v>
      </c>
      <c r="E2116" s="309" t="str">
        <f>VLOOKUP($B2116,'D7 - NDB Impacted SPRF''s'!$E$6:$O$9929,2,FALSE)</f>
        <v>Detailed Tuning Recommendations</v>
      </c>
      <c r="F2116" s="8" t="s">
        <v>8133</v>
      </c>
      <c r="G2116" s="8" t="s">
        <v>4758</v>
      </c>
      <c r="H2116" s="8" t="s">
        <v>2870</v>
      </c>
      <c r="I2116" s="20">
        <v>2</v>
      </c>
      <c r="J2116" s="8" t="s">
        <v>4862</v>
      </c>
      <c r="K2116" s="182">
        <v>39116</v>
      </c>
      <c r="L2116" s="8" t="s">
        <v>5743</v>
      </c>
      <c r="M2116" s="8" t="s">
        <v>2814</v>
      </c>
      <c r="N2116" s="38" t="s">
        <v>4117</v>
      </c>
      <c r="O2116" s="8" t="s">
        <v>7755</v>
      </c>
      <c r="P2116" s="4" t="str">
        <f>VLOOKUP($B2116,'D7 - NDB Impacted SPRF''s'!$E$16:$O$9929,9,FALSE)</f>
        <v>Y</v>
      </c>
      <c r="Q2116" s="4" t="str">
        <f>VLOOKUP($B2116,'D7 - NDB Impacted SPRF''s'!$E$16:$O$9929,10,FALSE)</f>
        <v>N</v>
      </c>
      <c r="R2116" s="4" t="str">
        <f>VLOOKUP($B2116,'D7 - NDB Impacted SPRF''s'!$E$16:$O$9929,11,FALSE)</f>
        <v>N</v>
      </c>
      <c r="S2116" s="8"/>
      <c r="T2116" s="310"/>
      <c r="U2116" s="310"/>
      <c r="V2116" s="4"/>
      <c r="W2116" s="4"/>
      <c r="X2116" s="4"/>
      <c r="Y2116" s="4"/>
      <c r="Z2116" s="4"/>
      <c r="AA2116" s="4"/>
      <c r="AB2116" s="380" t="str">
        <f>VLOOKUP($B2116,'D7 - NDB Impacted SPRF''s'!$E$16:$O$9929,4,FALSE)</f>
        <v>Completed</v>
      </c>
      <c r="AC2116" s="380" t="str">
        <f>VLOOKUP($B2116,'D7 - NDB Impacted SPRF''s'!$E$16:$O$9929,3,FALSE)</f>
        <v>UHG IT - Application Services Group</v>
      </c>
      <c r="AD2116" s="380" t="str">
        <f>VLOOKUP($B2116,'D7 - NDB Impacted SPRF''s'!$E$16:$O$9929,5,FALSE)</f>
        <v>ASG</v>
      </c>
      <c r="AE2116" s="380" t="str">
        <f>VLOOKUP($B2116,'D7 - NDB Impacted SPRF''s'!$E$16:$O$9929,7,FALSE)</f>
        <v>Jeff Hanas</v>
      </c>
      <c r="AF2116" s="380" t="str">
        <f>VLOOKUP($B2116,'D7 - NDB Impacted SPRF''s'!$E$16:$O$9929,6,FALSE)</f>
        <v>Jeffrey Jablonski</v>
      </c>
      <c r="AG2116" s="282"/>
      <c r="AH2116" s="311" t="e">
        <f>INDEX('D5 - Gatekeeper - Projects'!$A$4:$AF$1010,$AM2116, 17)</f>
        <v>#N/A</v>
      </c>
      <c r="AI2116" s="8"/>
      <c r="AJ2116" s="57"/>
      <c r="AK2116" s="105"/>
      <c r="AM2116" s="6" t="e">
        <f>MATCH(D2116,'D5 - Gatekeeper - Projects'!$C$4:$C$1010,0)</f>
        <v>#N/A</v>
      </c>
      <c r="AN2116" s="6" t="b">
        <f t="shared" si="221"/>
        <v>1</v>
      </c>
      <c r="AO2116" s="6" t="str">
        <f t="shared" si="222"/>
        <v>OK</v>
      </c>
      <c r="AQ2116" s="6" t="e">
        <f>MATCH($D2116,'D4 - Provider Council Unsched'!$C$11:$C$234,0)</f>
        <v>#N/A</v>
      </c>
      <c r="AR2116" s="6" t="b">
        <f t="shared" si="223"/>
        <v>1</v>
      </c>
      <c r="AS2116" s="6" t="str">
        <f t="shared" si="226"/>
        <v>OK</v>
      </c>
      <c r="AU2116" s="202"/>
      <c r="AV2116" s="262"/>
      <c r="AW2116" s="274"/>
    </row>
    <row r="2117" spans="1:49" s="13" customFormat="1" ht="22.5" x14ac:dyDescent="0.2">
      <c r="A2117" s="14">
        <v>2093</v>
      </c>
      <c r="B2117" s="14">
        <v>400005917</v>
      </c>
      <c r="C2117" s="8" t="s">
        <v>5957</v>
      </c>
      <c r="D2117" s="4" t="str">
        <f t="shared" si="225"/>
        <v>400005917CC02R2</v>
      </c>
      <c r="E2117" s="309" t="str">
        <f>VLOOKUP($B2117,'D7 - NDB Impacted SPRF''s'!$E$6:$O$9929,2,FALSE)</f>
        <v>Medica Specific IDT Enhancements</v>
      </c>
      <c r="F2117" s="8" t="s">
        <v>5196</v>
      </c>
      <c r="G2117" s="8" t="s">
        <v>4758</v>
      </c>
      <c r="H2117" s="8" t="s">
        <v>2870</v>
      </c>
      <c r="I2117" s="20">
        <v>1.65</v>
      </c>
      <c r="J2117" s="8" t="s">
        <v>4862</v>
      </c>
      <c r="K2117" s="182">
        <v>39151</v>
      </c>
      <c r="L2117" s="8" t="s">
        <v>5743</v>
      </c>
      <c r="M2117" s="8" t="s">
        <v>2814</v>
      </c>
      <c r="N2117" s="367" t="s">
        <v>2702</v>
      </c>
      <c r="O2117" s="8"/>
      <c r="P2117" s="4" t="str">
        <f>VLOOKUP($B2117,'D7 - NDB Impacted SPRF''s'!$E$16:$O$9929,9,FALSE)</f>
        <v>Y</v>
      </c>
      <c r="Q2117" s="4" t="str">
        <f>VLOOKUP($B2117,'D7 - NDB Impacted SPRF''s'!$E$16:$O$9929,10,FALSE)</f>
        <v>N</v>
      </c>
      <c r="R2117" s="4" t="str">
        <f>VLOOKUP($B2117,'D7 - NDB Impacted SPRF''s'!$E$16:$O$9929,11,FALSE)</f>
        <v>N</v>
      </c>
      <c r="S2117" s="8" t="s">
        <v>3758</v>
      </c>
      <c r="T2117" s="310"/>
      <c r="U2117" s="310"/>
      <c r="V2117" s="4"/>
      <c r="W2117" s="4"/>
      <c r="X2117" s="4"/>
      <c r="Y2117" s="4"/>
      <c r="Z2117" s="4"/>
      <c r="AA2117" s="4"/>
      <c r="AB2117" s="380" t="str">
        <f>VLOOKUP($B2117,'D7 - NDB Impacted SPRF''s'!$E$16:$O$9929,4,FALSE)</f>
        <v>Completed</v>
      </c>
      <c r="AC2117" s="380" t="str">
        <f>VLOOKUP($B2117,'D7 - NDB Impacted SPRF''s'!$E$16:$O$9929,3,FALSE)</f>
        <v>Alliance</v>
      </c>
      <c r="AD2117" s="380" t="str">
        <f>VLOOKUP($B2117,'D7 - NDB Impacted SPRF''s'!$E$16:$O$9929,5,FALSE)</f>
        <v>Medica UNET Conversion</v>
      </c>
      <c r="AE2117" s="380" t="str">
        <f>VLOOKUP($B2117,'D7 - NDB Impacted SPRF''s'!$E$16:$O$9929,7,FALSE)</f>
        <v>Joanne Houck</v>
      </c>
      <c r="AF2117" s="380" t="str">
        <f>VLOOKUP($B2117,'D7 - NDB Impacted SPRF''s'!$E$16:$O$9929,6,FALSE)</f>
        <v>TODD COBBS</v>
      </c>
      <c r="AG2117" s="282" t="s">
        <v>7755</v>
      </c>
      <c r="AH2117" s="311" t="e">
        <f>INDEX('D5 - Gatekeeper - Projects'!$A$4:$AF$1010,$AM2117, 17)</f>
        <v>#N/A</v>
      </c>
      <c r="AI2117" s="8"/>
      <c r="AJ2117" s="57"/>
      <c r="AK2117" s="105"/>
      <c r="AM2117" s="6" t="e">
        <f>MATCH(D2117,'D5 - Gatekeeper - Projects'!$C$4:$C$1010,0)</f>
        <v>#N/A</v>
      </c>
      <c r="AN2117" s="6" t="b">
        <f t="shared" si="221"/>
        <v>1</v>
      </c>
      <c r="AO2117" s="6" t="str">
        <f t="shared" si="222"/>
        <v>OK</v>
      </c>
      <c r="AQ2117" s="6" t="e">
        <f>MATCH($D2117,'D4 - Provider Council Unsched'!$C$11:$C$234,0)</f>
        <v>#N/A</v>
      </c>
      <c r="AR2117" s="6" t="b">
        <f t="shared" si="223"/>
        <v>1</v>
      </c>
      <c r="AS2117" s="6" t="str">
        <f t="shared" si="226"/>
        <v>OK</v>
      </c>
      <c r="AU2117" s="202"/>
      <c r="AV2117" s="262"/>
      <c r="AW2117" s="274"/>
    </row>
    <row r="2118" spans="1:49" s="13" customFormat="1" x14ac:dyDescent="0.2">
      <c r="A2118" s="14">
        <v>2094</v>
      </c>
      <c r="B2118" s="14">
        <v>400007560</v>
      </c>
      <c r="C2118" s="8" t="s">
        <v>6685</v>
      </c>
      <c r="D2118" s="4" t="str">
        <f t="shared" si="225"/>
        <v>400007560CC07R2</v>
      </c>
      <c r="E2118" s="309" t="str">
        <f>VLOOKUP($B2118,'D7 - NDB Impacted SPRF''s'!$E$6:$O$9929,2,FALSE)</f>
        <v>UBH Facets and United Systems Integration</v>
      </c>
      <c r="F2118" s="8" t="s">
        <v>3764</v>
      </c>
      <c r="G2118" s="8" t="s">
        <v>4758</v>
      </c>
      <c r="H2118" s="8" t="s">
        <v>2870</v>
      </c>
      <c r="I2118" s="20"/>
      <c r="J2118" s="8" t="s">
        <v>7113</v>
      </c>
      <c r="K2118" s="182">
        <v>39151</v>
      </c>
      <c r="L2118" s="8" t="s">
        <v>4156</v>
      </c>
      <c r="M2118" s="8" t="s">
        <v>2814</v>
      </c>
      <c r="N2118" s="38" t="s">
        <v>3908</v>
      </c>
      <c r="O2118" s="8"/>
      <c r="P2118" s="4" t="str">
        <f>VLOOKUP($B2118,'D7 - NDB Impacted SPRF''s'!$E$16:$O$9929,9,FALSE)</f>
        <v>N</v>
      </c>
      <c r="Q2118" s="4" t="str">
        <f>VLOOKUP($B2118,'D7 - NDB Impacted SPRF''s'!$E$16:$O$9929,10,FALSE)</f>
        <v>N</v>
      </c>
      <c r="R2118" s="4" t="str">
        <f>VLOOKUP($B2118,'D7 - NDB Impacted SPRF''s'!$E$16:$O$9929,11,FALSE)</f>
        <v>N</v>
      </c>
      <c r="S2118" s="8"/>
      <c r="T2118" s="310"/>
      <c r="U2118" s="310"/>
      <c r="V2118" s="4"/>
      <c r="W2118" s="4"/>
      <c r="X2118" s="4"/>
      <c r="Y2118" s="4"/>
      <c r="Z2118" s="4"/>
      <c r="AA2118" s="4"/>
      <c r="AB2118" s="380" t="str">
        <f>VLOOKUP($B2118,'D7 - NDB Impacted SPRF''s'!$E$16:$O$9929,4,FALSE)</f>
        <v>Completed</v>
      </c>
      <c r="AC2118" s="380" t="str">
        <f>VLOOKUP($B2118,'D7 - NDB Impacted SPRF''s'!$E$16:$O$9929,3,FALSE)</f>
        <v>OptumHealth</v>
      </c>
      <c r="AD2118" s="380" t="str">
        <f>VLOOKUP($B2118,'D7 - NDB Impacted SPRF''s'!$E$16:$O$9929,5,FALSE)</f>
        <v>UBH</v>
      </c>
      <c r="AE2118" s="380" t="str">
        <f>VLOOKUP($B2118,'D7 - NDB Impacted SPRF''s'!$E$16:$O$9929,7,FALSE)</f>
        <v>Brian Murray / Brigid Bonner</v>
      </c>
      <c r="AF2118" s="380" t="str">
        <f>VLOOKUP($B2118,'D7 - NDB Impacted SPRF''s'!$E$16:$O$9929,6,FALSE)</f>
        <v>Don Tierney</v>
      </c>
      <c r="AG2118" s="282"/>
      <c r="AH2118" s="311" t="e">
        <f>INDEX('D5 - Gatekeeper - Projects'!$A$4:$AF$1010,$AM2118, 17)</f>
        <v>#N/A</v>
      </c>
      <c r="AI2118" s="8"/>
      <c r="AJ2118" s="57"/>
      <c r="AK2118" s="105"/>
      <c r="AM2118" s="6" t="e">
        <f>MATCH(D2118,'D5 - Gatekeeper - Projects'!$C$4:$C$1010,0)</f>
        <v>#N/A</v>
      </c>
      <c r="AN2118" s="6" t="b">
        <f t="shared" si="221"/>
        <v>1</v>
      </c>
      <c r="AO2118" s="6" t="str">
        <f t="shared" si="222"/>
        <v>OK</v>
      </c>
      <c r="AQ2118" s="6" t="e">
        <f>MATCH($D2118,'D4 - Provider Council Unsched'!$C$11:$C$234,0)</f>
        <v>#N/A</v>
      </c>
      <c r="AR2118" s="6" t="b">
        <f t="shared" si="223"/>
        <v>1</v>
      </c>
      <c r="AS2118" s="6" t="str">
        <f t="shared" si="226"/>
        <v>OK</v>
      </c>
      <c r="AU2118" s="202"/>
      <c r="AV2118" s="262"/>
      <c r="AW2118" s="274"/>
    </row>
    <row r="2119" spans="1:49" s="13" customFormat="1" ht="33.75" x14ac:dyDescent="0.2">
      <c r="A2119" s="14">
        <v>2095</v>
      </c>
      <c r="B2119" s="14">
        <v>400010852</v>
      </c>
      <c r="C2119" s="8" t="s">
        <v>1969</v>
      </c>
      <c r="D2119" s="4" t="str">
        <f t="shared" si="225"/>
        <v>400010852CC01R2</v>
      </c>
      <c r="E2119" s="309" t="str">
        <f>VLOOKUP($B2119,'D7 - NDB Impacted SPRF''s'!$E$6:$O$9929,2,FALSE)</f>
        <v>NPI UNET Checkwrite (835) Compliance</v>
      </c>
      <c r="F2119" s="8" t="s">
        <v>1059</v>
      </c>
      <c r="G2119" s="8" t="s">
        <v>4758</v>
      </c>
      <c r="H2119" s="8" t="s">
        <v>2870</v>
      </c>
      <c r="I2119" s="20">
        <f>0.53/2</f>
        <v>0.26500000000000001</v>
      </c>
      <c r="J2119" s="8" t="s">
        <v>4862</v>
      </c>
      <c r="K2119" s="182">
        <v>39151</v>
      </c>
      <c r="L2119" s="8" t="s">
        <v>5743</v>
      </c>
      <c r="M2119" s="8" t="s">
        <v>2814</v>
      </c>
      <c r="N2119" s="367" t="s">
        <v>5534</v>
      </c>
      <c r="O2119" s="8"/>
      <c r="P2119" s="4" t="str">
        <f>VLOOKUP($B2119,'D7 - NDB Impacted SPRF''s'!$E$16:$O$9929,9,FALSE)</f>
        <v>Y</v>
      </c>
      <c r="Q2119" s="4" t="str">
        <f>VLOOKUP($B2119,'D7 - NDB Impacted SPRF''s'!$E$16:$O$9929,10,FALSE)</f>
        <v>N</v>
      </c>
      <c r="R2119" s="4" t="str">
        <f>VLOOKUP($B2119,'D7 - NDB Impacted SPRF''s'!$E$16:$O$9929,11,FALSE)</f>
        <v>N</v>
      </c>
      <c r="S2119" s="8" t="s">
        <v>3758</v>
      </c>
      <c r="T2119" s="310"/>
      <c r="U2119" s="310"/>
      <c r="V2119" s="4"/>
      <c r="W2119" s="4"/>
      <c r="X2119" s="4"/>
      <c r="Y2119" s="4"/>
      <c r="Z2119" s="4"/>
      <c r="AA2119" s="4"/>
      <c r="AB2119" s="380" t="str">
        <f>VLOOKUP($B2119,'D7 - NDB Impacted SPRF''s'!$E$16:$O$9929,4,FALSE)</f>
        <v>Completed</v>
      </c>
      <c r="AC2119" s="380" t="str">
        <f>VLOOKUP($B2119,'D7 - NDB Impacted SPRF''s'!$E$16:$O$9929,3,FALSE)</f>
        <v>UnitedHealthcare Employer &amp; Individual</v>
      </c>
      <c r="AD2119" s="380" t="str">
        <f>VLOOKUP($B2119,'D7 - NDB Impacted SPRF''s'!$E$16:$O$9929,5,FALSE)</f>
        <v>Regulatory / Other</v>
      </c>
      <c r="AE2119" s="380" t="str">
        <f>VLOOKUP($B2119,'D7 - NDB Impacted SPRF''s'!$E$16:$O$9929,7,FALSE)</f>
        <v>Gerald Brockman</v>
      </c>
      <c r="AF2119" s="380" t="str">
        <f>VLOOKUP($B2119,'D7 - NDB Impacted SPRF''s'!$E$16:$O$9929,6,FALSE)</f>
        <v>KELLY LEONARD</v>
      </c>
      <c r="AG2119" s="282"/>
      <c r="AH2119" s="311" t="e">
        <f>INDEX('D5 - Gatekeeper - Projects'!$A$4:$AF$1010,$AM2119, 17)</f>
        <v>#N/A</v>
      </c>
      <c r="AI2119" s="8"/>
      <c r="AJ2119" s="57"/>
      <c r="AK2119" s="105"/>
      <c r="AM2119" s="6" t="e">
        <f>MATCH(D2119,'D5 - Gatekeeper - Projects'!$C$4:$C$1010,0)</f>
        <v>#N/A</v>
      </c>
      <c r="AN2119" s="6" t="b">
        <f t="shared" si="221"/>
        <v>1</v>
      </c>
      <c r="AO2119" s="6" t="str">
        <f t="shared" si="222"/>
        <v>OK</v>
      </c>
      <c r="AQ2119" s="6" t="e">
        <f>MATCH($D2119,'D4 - Provider Council Unsched'!$C$11:$C$234,0)</f>
        <v>#N/A</v>
      </c>
      <c r="AR2119" s="6" t="b">
        <f t="shared" si="223"/>
        <v>1</v>
      </c>
      <c r="AS2119" s="6" t="str">
        <f t="shared" si="226"/>
        <v>OK</v>
      </c>
      <c r="AU2119" s="202"/>
      <c r="AV2119" s="262"/>
      <c r="AW2119" s="274"/>
    </row>
    <row r="2120" spans="1:49" s="13" customFormat="1" ht="33.75" x14ac:dyDescent="0.2">
      <c r="A2120" s="14">
        <v>2096</v>
      </c>
      <c r="B2120" s="14">
        <v>400010915</v>
      </c>
      <c r="C2120" s="8" t="s">
        <v>5197</v>
      </c>
      <c r="D2120" s="4" t="str">
        <f t="shared" si="225"/>
        <v>400010915R1</v>
      </c>
      <c r="E2120" s="309" t="str">
        <f>VLOOKUP($B2120,'D7 - NDB Impacted SPRF''s'!$E$6:$O$9929,2,FALSE)</f>
        <v>NPI Reporting Compliance</v>
      </c>
      <c r="F2120" s="8" t="s">
        <v>1059</v>
      </c>
      <c r="G2120" s="8" t="s">
        <v>4758</v>
      </c>
      <c r="H2120" s="8" t="s">
        <v>2870</v>
      </c>
      <c r="I2120" s="20">
        <v>17.600000000000001</v>
      </c>
      <c r="J2120" s="8" t="s">
        <v>4862</v>
      </c>
      <c r="K2120" s="182">
        <v>39151</v>
      </c>
      <c r="L2120" s="8" t="s">
        <v>5743</v>
      </c>
      <c r="M2120" s="8" t="s">
        <v>2814</v>
      </c>
      <c r="N2120" s="368"/>
      <c r="O2120" s="8"/>
      <c r="P2120" s="4" t="str">
        <f>VLOOKUP($B2120,'D7 - NDB Impacted SPRF''s'!$E$16:$O$9929,9,FALSE)</f>
        <v>N</v>
      </c>
      <c r="Q2120" s="4" t="str">
        <f>VLOOKUP($B2120,'D7 - NDB Impacted SPRF''s'!$E$16:$O$9929,10,FALSE)</f>
        <v>N</v>
      </c>
      <c r="R2120" s="4" t="str">
        <f>VLOOKUP($B2120,'D7 - NDB Impacted SPRF''s'!$E$16:$O$9929,11,FALSE)</f>
        <v>N</v>
      </c>
      <c r="S2120" s="8"/>
      <c r="T2120" s="310"/>
      <c r="U2120" s="310"/>
      <c r="V2120" s="4"/>
      <c r="W2120" s="4"/>
      <c r="X2120" s="4"/>
      <c r="Y2120" s="4"/>
      <c r="Z2120" s="4"/>
      <c r="AA2120" s="4"/>
      <c r="AB2120" s="380" t="str">
        <f>VLOOKUP($B2120,'D7 - NDB Impacted SPRF''s'!$E$16:$O$9929,4,FALSE)</f>
        <v>Cancelled</v>
      </c>
      <c r="AC2120" s="380" t="str">
        <f>VLOOKUP($B2120,'D7 - NDB Impacted SPRF''s'!$E$16:$O$9929,3,FALSE)</f>
        <v>UnitedHealthcare Employer &amp; Individual</v>
      </c>
      <c r="AD2120" s="380" t="str">
        <f>VLOOKUP($B2120,'D7 - NDB Impacted SPRF''s'!$E$16:$O$9929,5,FALSE)</f>
        <v>Regulatory / Other</v>
      </c>
      <c r="AE2120" s="380" t="str">
        <f>VLOOKUP($B2120,'D7 - NDB Impacted SPRF''s'!$E$16:$O$9929,7,FALSE)</f>
        <v>Gerald Brockman</v>
      </c>
      <c r="AF2120" s="380" t="str">
        <f>VLOOKUP($B2120,'D7 - NDB Impacted SPRF''s'!$E$16:$O$9929,6,FALSE)</f>
        <v>KELLY LEONARD</v>
      </c>
      <c r="AG2120" s="282" t="s">
        <v>6682</v>
      </c>
      <c r="AH2120" s="311" t="e">
        <f>INDEX('D5 - Gatekeeper - Projects'!$A$4:$AF$1010,$AM2120, 17)</f>
        <v>#N/A</v>
      </c>
      <c r="AI2120" s="8"/>
      <c r="AJ2120" s="57"/>
      <c r="AK2120" s="105"/>
      <c r="AM2120" s="6" t="e">
        <f>MATCH(D2120,'D5 - Gatekeeper - Projects'!$C$4:$C$1010,0)</f>
        <v>#N/A</v>
      </c>
      <c r="AN2120" s="6" t="b">
        <f t="shared" si="221"/>
        <v>1</v>
      </c>
      <c r="AO2120" s="6" t="str">
        <f t="shared" si="222"/>
        <v>OK</v>
      </c>
      <c r="AQ2120" s="6" t="e">
        <f>MATCH($D2120,'D4 - Provider Council Unsched'!$C$11:$C$234,0)</f>
        <v>#N/A</v>
      </c>
      <c r="AR2120" s="6" t="b">
        <f t="shared" si="223"/>
        <v>1</v>
      </c>
      <c r="AS2120" s="6" t="str">
        <f t="shared" si="226"/>
        <v>OK</v>
      </c>
      <c r="AU2120" s="202"/>
      <c r="AV2120" s="262"/>
      <c r="AW2120" s="274"/>
    </row>
    <row r="2121" spans="1:49" s="13" customFormat="1" ht="33.75" x14ac:dyDescent="0.2">
      <c r="A2121" s="14">
        <v>2097</v>
      </c>
      <c r="B2121" s="14">
        <v>400010982</v>
      </c>
      <c r="C2121" s="8" t="s">
        <v>3286</v>
      </c>
      <c r="D2121" s="4" t="str">
        <f t="shared" si="225"/>
        <v>400010982CC02</v>
      </c>
      <c r="E2121" s="309" t="str">
        <f>VLOOKUP($B2121,'D7 - NDB Impacted SPRF''s'!$E$6:$O$9929,2,FALSE)</f>
        <v>NPI PCP Directory</v>
      </c>
      <c r="F2121" s="8" t="s">
        <v>1059</v>
      </c>
      <c r="G2121" s="8" t="s">
        <v>4758</v>
      </c>
      <c r="H2121" s="8" t="s">
        <v>2870</v>
      </c>
      <c r="I2121" s="20"/>
      <c r="J2121" s="8" t="s">
        <v>7113</v>
      </c>
      <c r="K2121" s="182">
        <v>39151</v>
      </c>
      <c r="L2121" s="8" t="s">
        <v>4156</v>
      </c>
      <c r="M2121" s="8" t="s">
        <v>2814</v>
      </c>
      <c r="N2121" s="367" t="s">
        <v>2960</v>
      </c>
      <c r="O2121" s="8"/>
      <c r="P2121" s="4" t="str">
        <f>VLOOKUP($B2121,'D7 - NDB Impacted SPRF''s'!$E$16:$O$9929,9,FALSE)</f>
        <v>N</v>
      </c>
      <c r="Q2121" s="4" t="str">
        <f>VLOOKUP($B2121,'D7 - NDB Impacted SPRF''s'!$E$16:$O$9929,10,FALSE)</f>
        <v>N</v>
      </c>
      <c r="R2121" s="4" t="str">
        <f>VLOOKUP($B2121,'D7 - NDB Impacted SPRF''s'!$E$16:$O$9929,11,FALSE)</f>
        <v>N</v>
      </c>
      <c r="S2121" s="8"/>
      <c r="T2121" s="310"/>
      <c r="U2121" s="310"/>
      <c r="V2121" s="4"/>
      <c r="W2121" s="4"/>
      <c r="X2121" s="4"/>
      <c r="Y2121" s="4"/>
      <c r="Z2121" s="4"/>
      <c r="AA2121" s="4"/>
      <c r="AB2121" s="380" t="str">
        <f>VLOOKUP($B2121,'D7 - NDB Impacted SPRF''s'!$E$16:$O$9929,4,FALSE)</f>
        <v>Completed</v>
      </c>
      <c r="AC2121" s="380" t="str">
        <f>VLOOKUP($B2121,'D7 - NDB Impacted SPRF''s'!$E$16:$O$9929,3,FALSE)</f>
        <v>UnitedHealthcare Employer &amp; Individual</v>
      </c>
      <c r="AD2121" s="380" t="str">
        <f>VLOOKUP($B2121,'D7 - NDB Impacted SPRF''s'!$E$16:$O$9929,5,FALSE)</f>
        <v>Regulatory / Other</v>
      </c>
      <c r="AE2121" s="380" t="str">
        <f>VLOOKUP($B2121,'D7 - NDB Impacted SPRF''s'!$E$16:$O$9929,7,FALSE)</f>
        <v>Gerald Brockman</v>
      </c>
      <c r="AF2121" s="380" t="str">
        <f>VLOOKUP($B2121,'D7 - NDB Impacted SPRF''s'!$E$16:$O$9929,6,FALSE)</f>
        <v>KELLY LEONARD</v>
      </c>
      <c r="AG2121" s="282"/>
      <c r="AH2121" s="311" t="e">
        <f>INDEX('D5 - Gatekeeper - Projects'!$A$4:$AF$1010,$AM2121, 17)</f>
        <v>#N/A</v>
      </c>
      <c r="AI2121" s="8"/>
      <c r="AJ2121" s="57"/>
      <c r="AK2121" s="105"/>
      <c r="AM2121" s="6" t="e">
        <f>MATCH(D2121,'D5 - Gatekeeper - Projects'!$C$4:$C$1010,0)</f>
        <v>#N/A</v>
      </c>
      <c r="AN2121" s="6" t="b">
        <f t="shared" si="221"/>
        <v>1</v>
      </c>
      <c r="AO2121" s="6" t="str">
        <f t="shared" si="222"/>
        <v>OK</v>
      </c>
      <c r="AQ2121" s="6" t="e">
        <f>MATCH($D2121,'D4 - Provider Council Unsched'!$C$11:$C$234,0)</f>
        <v>#N/A</v>
      </c>
      <c r="AR2121" s="6" t="b">
        <f t="shared" si="223"/>
        <v>1</v>
      </c>
      <c r="AS2121" s="6" t="str">
        <f t="shared" si="226"/>
        <v>OK</v>
      </c>
      <c r="AU2121" s="202"/>
      <c r="AV2121" s="262"/>
      <c r="AW2121" s="274"/>
    </row>
    <row r="2122" spans="1:49" s="13" customFormat="1" ht="33.75" x14ac:dyDescent="0.2">
      <c r="A2122" s="14">
        <v>2098</v>
      </c>
      <c r="B2122" s="14">
        <v>400011370</v>
      </c>
      <c r="C2122" s="8" t="s">
        <v>5197</v>
      </c>
      <c r="D2122" s="4" t="str">
        <f t="shared" si="225"/>
        <v>400011370R1</v>
      </c>
      <c r="E2122" s="309" t="str">
        <f>VLOOKUP($B2122,'D7 - NDB Impacted SPRF''s'!$E$6:$O$9929,2,FALSE)</f>
        <v>Fee Schedule Practice Rewards</v>
      </c>
      <c r="F2122" s="8" t="s">
        <v>4961</v>
      </c>
      <c r="G2122" s="8" t="s">
        <v>4758</v>
      </c>
      <c r="H2122" s="8" t="s">
        <v>2870</v>
      </c>
      <c r="I2122" s="20">
        <v>10.050000000000001</v>
      </c>
      <c r="J2122" s="8" t="s">
        <v>4862</v>
      </c>
      <c r="K2122" s="182">
        <v>39151</v>
      </c>
      <c r="L2122" s="8" t="s">
        <v>4156</v>
      </c>
      <c r="M2122" s="8" t="s">
        <v>2814</v>
      </c>
      <c r="N2122" s="367" t="s">
        <v>6481</v>
      </c>
      <c r="O2122" s="8"/>
      <c r="P2122" s="4" t="str">
        <f>VLOOKUP($B2122,'D7 - NDB Impacted SPRF''s'!$E$16:$O$9929,9,FALSE)</f>
        <v>Y</v>
      </c>
      <c r="Q2122" s="4" t="str">
        <f>VLOOKUP($B2122,'D7 - NDB Impacted SPRF''s'!$E$16:$O$9929,10,FALSE)</f>
        <v>N</v>
      </c>
      <c r="R2122" s="4" t="str">
        <f>VLOOKUP($B2122,'D7 - NDB Impacted SPRF''s'!$E$16:$O$9929,11,FALSE)</f>
        <v>Y</v>
      </c>
      <c r="S2122" s="8"/>
      <c r="T2122" s="310"/>
      <c r="U2122" s="310"/>
      <c r="V2122" s="4"/>
      <c r="W2122" s="4"/>
      <c r="X2122" s="4"/>
      <c r="Y2122" s="4"/>
      <c r="Z2122" s="4"/>
      <c r="AA2122" s="4"/>
      <c r="AB2122" s="380" t="str">
        <f>VLOOKUP($B2122,'D7 - NDB Impacted SPRF''s'!$E$16:$O$9929,4,FALSE)</f>
        <v>Cancelled</v>
      </c>
      <c r="AC2122" s="380" t="str">
        <f>VLOOKUP($B2122,'D7 - NDB Impacted SPRF''s'!$E$16:$O$9929,3,FALSE)</f>
        <v>UnitedHealthcare Employer &amp; Individual</v>
      </c>
      <c r="AD2122" s="380" t="str">
        <f>VLOOKUP($B2122,'D7 - NDB Impacted SPRF''s'!$E$16:$O$9929,5,FALSE)</f>
        <v>Network Growth / Enhancements</v>
      </c>
      <c r="AE2122" s="380" t="str">
        <f>VLOOKUP($B2122,'D7 - NDB Impacted SPRF''s'!$E$16:$O$9929,7,FALSE)</f>
        <v>Gerald Brockman</v>
      </c>
      <c r="AF2122" s="380" t="str">
        <f>VLOOKUP($B2122,'D7 - NDB Impacted SPRF''s'!$E$16:$O$9929,6,FALSE)</f>
        <v>Erin Nelson</v>
      </c>
      <c r="AG2122" s="282" t="s">
        <v>6682</v>
      </c>
      <c r="AH2122" s="311" t="e">
        <f>INDEX('D5 - Gatekeeper - Projects'!$A$4:$AF$1010,$AM2122, 17)</f>
        <v>#N/A</v>
      </c>
      <c r="AI2122" s="8"/>
      <c r="AJ2122" s="57"/>
      <c r="AK2122" s="105"/>
      <c r="AM2122" s="6" t="e">
        <f>MATCH(D2122,'D5 - Gatekeeper - Projects'!$C$4:$C$1010,0)</f>
        <v>#N/A</v>
      </c>
      <c r="AN2122" s="6" t="b">
        <f t="shared" ref="AN2122:AN2185" si="227">ISERROR(AM2122)</f>
        <v>1</v>
      </c>
      <c r="AO2122" s="6" t="str">
        <f t="shared" ref="AO2122:AO2185" si="228">IF(AND(H2122="1 - Scheduled",AN2122=TRUE),"Add","OK")</f>
        <v>OK</v>
      </c>
      <c r="AQ2122" s="6" t="e">
        <f>MATCH($D2122,'D4 - Provider Council Unsched'!$C$11:$C$234,0)</f>
        <v>#N/A</v>
      </c>
      <c r="AR2122" s="6" t="b">
        <f t="shared" ref="AR2122:AR2185" si="229">ISERROR(AQ2122)</f>
        <v>1</v>
      </c>
      <c r="AS2122" s="6" t="str">
        <f t="shared" si="226"/>
        <v>OK</v>
      </c>
      <c r="AU2122" s="202"/>
      <c r="AV2122" s="262"/>
      <c r="AW2122" s="274"/>
    </row>
    <row r="2123" spans="1:49" s="13" customFormat="1" ht="56.25" x14ac:dyDescent="0.2">
      <c r="A2123" s="14">
        <v>2099</v>
      </c>
      <c r="B2123" s="14">
        <v>400011565</v>
      </c>
      <c r="C2123" s="8" t="s">
        <v>5197</v>
      </c>
      <c r="D2123" s="4" t="str">
        <f t="shared" si="225"/>
        <v>400011565R1</v>
      </c>
      <c r="E2123" s="309" t="str">
        <f>VLOOKUP($B2123,'D7 - NDB Impacted SPRF''s'!$E$6:$O$9929,2,FALSE)</f>
        <v>HCA - Claim-NDB Timely Filing</v>
      </c>
      <c r="F2123" s="8" t="s">
        <v>5196</v>
      </c>
      <c r="G2123" s="8" t="s">
        <v>4758</v>
      </c>
      <c r="H2123" s="8" t="s">
        <v>2870</v>
      </c>
      <c r="I2123" s="20">
        <v>8.07</v>
      </c>
      <c r="J2123" s="8" t="s">
        <v>4862</v>
      </c>
      <c r="K2123" s="182">
        <v>39151</v>
      </c>
      <c r="L2123" s="8" t="s">
        <v>5743</v>
      </c>
      <c r="M2123" s="8" t="s">
        <v>2814</v>
      </c>
      <c r="N2123" s="367" t="s">
        <v>2991</v>
      </c>
      <c r="O2123" s="8"/>
      <c r="P2123" s="4" t="str">
        <f>VLOOKUP($B2123,'D7 - NDB Impacted SPRF''s'!$E$16:$O$9929,9,FALSE)</f>
        <v>Y</v>
      </c>
      <c r="Q2123" s="4" t="str">
        <f>VLOOKUP($B2123,'D7 - NDB Impacted SPRF''s'!$E$16:$O$9929,10,FALSE)</f>
        <v>N</v>
      </c>
      <c r="R2123" s="4" t="str">
        <f>VLOOKUP($B2123,'D7 - NDB Impacted SPRF''s'!$E$16:$O$9929,11,FALSE)</f>
        <v>N</v>
      </c>
      <c r="S2123" s="8"/>
      <c r="T2123" s="310"/>
      <c r="U2123" s="310"/>
      <c r="V2123" s="4"/>
      <c r="W2123" s="4"/>
      <c r="X2123" s="4"/>
      <c r="Y2123" s="4"/>
      <c r="Z2123" s="4"/>
      <c r="AA2123" s="4"/>
      <c r="AB2123" s="380" t="str">
        <f>VLOOKUP($B2123,'D7 - NDB Impacted SPRF''s'!$E$16:$O$9929,4,FALSE)</f>
        <v>Cancelled</v>
      </c>
      <c r="AC2123" s="380" t="str">
        <f>VLOOKUP($B2123,'D7 - NDB Impacted SPRF''s'!$E$16:$O$9929,3,FALSE)</f>
        <v>Alliance</v>
      </c>
      <c r="AD2123" s="380" t="str">
        <f>VLOOKUP($B2123,'D7 - NDB Impacted SPRF''s'!$E$16:$O$9929,5,FALSE)</f>
        <v>Healthcare Service Alliance</v>
      </c>
      <c r="AE2123" s="380" t="str">
        <f>VLOOKUP($B2123,'D7 - NDB Impacted SPRF''s'!$E$16:$O$9929,7,FALSE)</f>
        <v>Bev Nyce</v>
      </c>
      <c r="AF2123" s="380" t="str">
        <f>VLOOKUP($B2123,'D7 - NDB Impacted SPRF''s'!$E$16:$O$9929,6,FALSE)</f>
        <v>STEPHEN FINLEY</v>
      </c>
      <c r="AG2123" s="282" t="s">
        <v>6682</v>
      </c>
      <c r="AH2123" s="311" t="e">
        <f>INDEX('D5 - Gatekeeper - Projects'!$A$4:$AF$1010,$AM2123, 17)</f>
        <v>#N/A</v>
      </c>
      <c r="AI2123" s="8"/>
      <c r="AJ2123" s="57"/>
      <c r="AK2123" s="105"/>
      <c r="AM2123" s="6" t="e">
        <f>MATCH(D2123,'D5 - Gatekeeper - Projects'!$C$4:$C$1010,0)</f>
        <v>#N/A</v>
      </c>
      <c r="AN2123" s="6" t="b">
        <f t="shared" si="227"/>
        <v>1</v>
      </c>
      <c r="AO2123" s="6" t="str">
        <f t="shared" si="228"/>
        <v>OK</v>
      </c>
      <c r="AQ2123" s="6" t="e">
        <f>MATCH($D2123,'D4 - Provider Council Unsched'!$C$11:$C$234,0)</f>
        <v>#N/A</v>
      </c>
      <c r="AR2123" s="6" t="b">
        <f t="shared" si="229"/>
        <v>1</v>
      </c>
      <c r="AS2123" s="6" t="str">
        <f t="shared" si="226"/>
        <v>OK</v>
      </c>
      <c r="AU2123" s="202"/>
      <c r="AV2123" s="262"/>
      <c r="AW2123" s="274"/>
    </row>
    <row r="2124" spans="1:49" s="13" customFormat="1" ht="33.75" x14ac:dyDescent="0.2">
      <c r="A2124" s="14">
        <v>2100</v>
      </c>
      <c r="B2124" s="14">
        <v>400011565</v>
      </c>
      <c r="C2124" s="8" t="s">
        <v>1992</v>
      </c>
      <c r="D2124" s="4" t="str">
        <f t="shared" si="225"/>
        <v>400011565U1</v>
      </c>
      <c r="E2124" s="309" t="str">
        <f>VLOOKUP($B2124,'D7 - NDB Impacted SPRF''s'!$E$6:$O$9929,2,FALSE)</f>
        <v>HCA - Claim-NDB Timely Filing</v>
      </c>
      <c r="F2124" s="8" t="s">
        <v>5196</v>
      </c>
      <c r="G2124" s="8" t="s">
        <v>4758</v>
      </c>
      <c r="H2124" s="8" t="s">
        <v>2870</v>
      </c>
      <c r="I2124" s="20">
        <v>0.71</v>
      </c>
      <c r="J2124" s="8" t="s">
        <v>4862</v>
      </c>
      <c r="K2124" s="182">
        <v>39151</v>
      </c>
      <c r="L2124" s="8" t="s">
        <v>5743</v>
      </c>
      <c r="M2124" s="8" t="s">
        <v>2814</v>
      </c>
      <c r="N2124" s="367" t="s">
        <v>6122</v>
      </c>
      <c r="O2124" s="8"/>
      <c r="P2124" s="4" t="str">
        <f>VLOOKUP($B2124,'D7 - NDB Impacted SPRF''s'!$E$16:$O$9929,9,FALSE)</f>
        <v>Y</v>
      </c>
      <c r="Q2124" s="4" t="str">
        <f>VLOOKUP($B2124,'D7 - NDB Impacted SPRF''s'!$E$16:$O$9929,10,FALSE)</f>
        <v>N</v>
      </c>
      <c r="R2124" s="4" t="str">
        <f>VLOOKUP($B2124,'D7 - NDB Impacted SPRF''s'!$E$16:$O$9929,11,FALSE)</f>
        <v>N</v>
      </c>
      <c r="S2124" s="8"/>
      <c r="T2124" s="310"/>
      <c r="U2124" s="310"/>
      <c r="V2124" s="4"/>
      <c r="W2124" s="4"/>
      <c r="X2124" s="4"/>
      <c r="Y2124" s="4"/>
      <c r="Z2124" s="4"/>
      <c r="AA2124" s="4"/>
      <c r="AB2124" s="380" t="str">
        <f>VLOOKUP($B2124,'D7 - NDB Impacted SPRF''s'!$E$16:$O$9929,4,FALSE)</f>
        <v>Cancelled</v>
      </c>
      <c r="AC2124" s="380" t="str">
        <f>VLOOKUP($B2124,'D7 - NDB Impacted SPRF''s'!$E$16:$O$9929,3,FALSE)</f>
        <v>Alliance</v>
      </c>
      <c r="AD2124" s="380" t="str">
        <f>VLOOKUP($B2124,'D7 - NDB Impacted SPRF''s'!$E$16:$O$9929,5,FALSE)</f>
        <v>Healthcare Service Alliance</v>
      </c>
      <c r="AE2124" s="380" t="str">
        <f>VLOOKUP($B2124,'D7 - NDB Impacted SPRF''s'!$E$16:$O$9929,7,FALSE)</f>
        <v>Bev Nyce</v>
      </c>
      <c r="AF2124" s="380" t="str">
        <f>VLOOKUP($B2124,'D7 - NDB Impacted SPRF''s'!$E$16:$O$9929,6,FALSE)</f>
        <v>STEPHEN FINLEY</v>
      </c>
      <c r="AG2124" s="282"/>
      <c r="AH2124" s="311" t="e">
        <f>INDEX('D5 - Gatekeeper - Projects'!$A$4:$AF$1010,$AM2124, 17)</f>
        <v>#N/A</v>
      </c>
      <c r="AI2124" s="8"/>
      <c r="AJ2124" s="57"/>
      <c r="AK2124" s="105"/>
      <c r="AM2124" s="6" t="e">
        <f>MATCH(D2124,'D5 - Gatekeeper - Projects'!$C$4:$C$1010,0)</f>
        <v>#N/A</v>
      </c>
      <c r="AN2124" s="6" t="b">
        <f t="shared" si="227"/>
        <v>1</v>
      </c>
      <c r="AO2124" s="6" t="str">
        <f t="shared" si="228"/>
        <v>OK</v>
      </c>
      <c r="AQ2124" s="6" t="e">
        <f>MATCH($D2124,'D4 - Provider Council Unsched'!$C$11:$C$234,0)</f>
        <v>#N/A</v>
      </c>
      <c r="AR2124" s="6" t="b">
        <f t="shared" si="229"/>
        <v>1</v>
      </c>
      <c r="AS2124" s="6" t="str">
        <f t="shared" si="226"/>
        <v>OK</v>
      </c>
      <c r="AU2124" s="202"/>
      <c r="AV2124" s="262"/>
      <c r="AW2124" s="274"/>
    </row>
    <row r="2125" spans="1:49" s="13" customFormat="1" ht="33.75" x14ac:dyDescent="0.2">
      <c r="A2125" s="14">
        <v>2101</v>
      </c>
      <c r="B2125" s="14">
        <v>400012978</v>
      </c>
      <c r="C2125" s="8" t="s">
        <v>3763</v>
      </c>
      <c r="D2125" s="4" t="str">
        <f t="shared" si="225"/>
        <v>400012978R2</v>
      </c>
      <c r="E2125" s="309" t="str">
        <f>VLOOKUP($B2125,'D7 - NDB Impacted SPRF''s'!$E$6:$O$9929,2,FALSE)</f>
        <v xml:space="preserve">Enterprise Capitation Solution - Provider </v>
      </c>
      <c r="F2125" s="8" t="s">
        <v>7593</v>
      </c>
      <c r="G2125" s="8" t="s">
        <v>4758</v>
      </c>
      <c r="H2125" s="8" t="s">
        <v>2870</v>
      </c>
      <c r="I2125" s="20">
        <v>187</v>
      </c>
      <c r="J2125" s="8" t="s">
        <v>4862</v>
      </c>
      <c r="K2125" s="182">
        <v>39151</v>
      </c>
      <c r="L2125" s="8" t="s">
        <v>5743</v>
      </c>
      <c r="M2125" s="8" t="s">
        <v>2814</v>
      </c>
      <c r="N2125" s="367" t="s">
        <v>3164</v>
      </c>
      <c r="O2125" s="8"/>
      <c r="P2125" s="4" t="str">
        <f>VLOOKUP($B2125,'D7 - NDB Impacted SPRF''s'!$E$16:$O$9929,9,FALSE)</f>
        <v>N</v>
      </c>
      <c r="Q2125" s="4" t="str">
        <f>VLOOKUP($B2125,'D7 - NDB Impacted SPRF''s'!$E$16:$O$9929,10,FALSE)</f>
        <v>N</v>
      </c>
      <c r="R2125" s="4" t="str">
        <f>VLOOKUP($B2125,'D7 - NDB Impacted SPRF''s'!$E$16:$O$9929,11,FALSE)</f>
        <v>N</v>
      </c>
      <c r="S2125" s="8" t="s">
        <v>3758</v>
      </c>
      <c r="T2125" s="310"/>
      <c r="U2125" s="310"/>
      <c r="V2125" s="4"/>
      <c r="W2125" s="4"/>
      <c r="X2125" s="4"/>
      <c r="Y2125" s="4"/>
      <c r="Z2125" s="4"/>
      <c r="AA2125" s="4"/>
      <c r="AB2125" s="380" t="str">
        <f>VLOOKUP($B2125,'D7 - NDB Impacted SPRF''s'!$E$16:$O$9929,4,FALSE)</f>
        <v>Completed</v>
      </c>
      <c r="AC2125" s="380" t="str">
        <f>VLOOKUP($B2125,'D7 - NDB Impacted SPRF''s'!$E$16:$O$9929,3,FALSE)</f>
        <v>UnitedHealthcare Employer &amp; Individual</v>
      </c>
      <c r="AD2125" s="380" t="str">
        <f>VLOOKUP($B2125,'D7 - NDB Impacted SPRF''s'!$E$16:$O$9929,5,FALSE)</f>
        <v>Integration Requirements</v>
      </c>
      <c r="AE2125" s="380" t="str">
        <f>VLOOKUP($B2125,'D7 - NDB Impacted SPRF''s'!$E$16:$O$9929,7,FALSE)</f>
        <v>Tim Kaja</v>
      </c>
      <c r="AF2125" s="380" t="str">
        <f>VLOOKUP($B2125,'D7 - NDB Impacted SPRF''s'!$E$16:$O$9929,6,FALSE)</f>
        <v>SEAN WATKINS</v>
      </c>
      <c r="AG2125" s="282"/>
      <c r="AH2125" s="311" t="e">
        <f>INDEX('D5 - Gatekeeper - Projects'!$A$4:$AF$1010,$AM2125, 17)</f>
        <v>#N/A</v>
      </c>
      <c r="AI2125" s="8"/>
      <c r="AJ2125" s="57"/>
      <c r="AK2125" s="105"/>
      <c r="AM2125" s="6" t="e">
        <f>MATCH(D2125,'D5 - Gatekeeper - Projects'!$C$4:$C$1010,0)</f>
        <v>#N/A</v>
      </c>
      <c r="AN2125" s="6" t="b">
        <f t="shared" si="227"/>
        <v>1</v>
      </c>
      <c r="AO2125" s="6" t="str">
        <f t="shared" si="228"/>
        <v>OK</v>
      </c>
      <c r="AQ2125" s="6" t="e">
        <f>MATCH($D2125,'D4 - Provider Council Unsched'!$C$11:$C$234,0)</f>
        <v>#N/A</v>
      </c>
      <c r="AR2125" s="6" t="b">
        <f t="shared" si="229"/>
        <v>1</v>
      </c>
      <c r="AS2125" s="6" t="str">
        <f t="shared" si="226"/>
        <v>OK</v>
      </c>
      <c r="AU2125" s="202"/>
      <c r="AV2125" s="262"/>
      <c r="AW2125" s="274"/>
    </row>
    <row r="2126" spans="1:49" s="13" customFormat="1" ht="33.75" x14ac:dyDescent="0.2">
      <c r="A2126" s="14">
        <v>2102</v>
      </c>
      <c r="B2126" s="14">
        <v>400012978</v>
      </c>
      <c r="C2126" s="8" t="s">
        <v>4465</v>
      </c>
      <c r="D2126" s="4" t="str">
        <f t="shared" si="225"/>
        <v>400012978U2</v>
      </c>
      <c r="E2126" s="309" t="str">
        <f>VLOOKUP($B2126,'D7 - NDB Impacted SPRF''s'!$E$6:$O$9929,2,FALSE)</f>
        <v xml:space="preserve">Enterprise Capitation Solution - Provider </v>
      </c>
      <c r="F2126" s="8" t="s">
        <v>7593</v>
      </c>
      <c r="G2126" s="8" t="s">
        <v>4758</v>
      </c>
      <c r="H2126" s="8" t="s">
        <v>2870</v>
      </c>
      <c r="I2126" s="20">
        <v>1.5</v>
      </c>
      <c r="J2126" s="8" t="s">
        <v>4862</v>
      </c>
      <c r="K2126" s="182">
        <v>39151</v>
      </c>
      <c r="L2126" s="8" t="s">
        <v>5743</v>
      </c>
      <c r="M2126" s="8" t="s">
        <v>2814</v>
      </c>
      <c r="N2126" s="367" t="s">
        <v>3164</v>
      </c>
      <c r="O2126" s="8"/>
      <c r="P2126" s="4" t="str">
        <f>VLOOKUP($B2126,'D7 - NDB Impacted SPRF''s'!$E$16:$O$9929,9,FALSE)</f>
        <v>N</v>
      </c>
      <c r="Q2126" s="4" t="str">
        <f>VLOOKUP($B2126,'D7 - NDB Impacted SPRF''s'!$E$16:$O$9929,10,FALSE)</f>
        <v>N</v>
      </c>
      <c r="R2126" s="4" t="str">
        <f>VLOOKUP($B2126,'D7 - NDB Impacted SPRF''s'!$E$16:$O$9929,11,FALSE)</f>
        <v>N</v>
      </c>
      <c r="S2126" s="8" t="s">
        <v>3758</v>
      </c>
      <c r="T2126" s="310"/>
      <c r="U2126" s="310"/>
      <c r="V2126" s="4"/>
      <c r="W2126" s="4"/>
      <c r="X2126" s="4"/>
      <c r="Y2126" s="4"/>
      <c r="Z2126" s="4"/>
      <c r="AA2126" s="4"/>
      <c r="AB2126" s="380" t="str">
        <f>VLOOKUP($B2126,'D7 - NDB Impacted SPRF''s'!$E$16:$O$9929,4,FALSE)</f>
        <v>Completed</v>
      </c>
      <c r="AC2126" s="380" t="str">
        <f>VLOOKUP($B2126,'D7 - NDB Impacted SPRF''s'!$E$16:$O$9929,3,FALSE)</f>
        <v>UnitedHealthcare Employer &amp; Individual</v>
      </c>
      <c r="AD2126" s="380" t="str">
        <f>VLOOKUP($B2126,'D7 - NDB Impacted SPRF''s'!$E$16:$O$9929,5,FALSE)</f>
        <v>Integration Requirements</v>
      </c>
      <c r="AE2126" s="380" t="str">
        <f>VLOOKUP($B2126,'D7 - NDB Impacted SPRF''s'!$E$16:$O$9929,7,FALSE)</f>
        <v>Tim Kaja</v>
      </c>
      <c r="AF2126" s="380" t="str">
        <f>VLOOKUP($B2126,'D7 - NDB Impacted SPRF''s'!$E$16:$O$9929,6,FALSE)</f>
        <v>SEAN WATKINS</v>
      </c>
      <c r="AG2126" s="282"/>
      <c r="AH2126" s="311" t="e">
        <f>INDEX('D5 - Gatekeeper - Projects'!$A$4:$AF$1010,$AM2126, 17)</f>
        <v>#N/A</v>
      </c>
      <c r="AI2126" s="8"/>
      <c r="AJ2126" s="57"/>
      <c r="AK2126" s="105"/>
      <c r="AM2126" s="6" t="e">
        <f>MATCH(D2126,'D5 - Gatekeeper - Projects'!$C$4:$C$1010,0)</f>
        <v>#N/A</v>
      </c>
      <c r="AN2126" s="6" t="b">
        <f t="shared" si="227"/>
        <v>1</v>
      </c>
      <c r="AO2126" s="6" t="str">
        <f t="shared" si="228"/>
        <v>OK</v>
      </c>
      <c r="AQ2126" s="6" t="e">
        <f>MATCH($D2126,'D4 - Provider Council Unsched'!$C$11:$C$234,0)</f>
        <v>#N/A</v>
      </c>
      <c r="AR2126" s="6" t="b">
        <f t="shared" si="229"/>
        <v>1</v>
      </c>
      <c r="AS2126" s="6" t="str">
        <f t="shared" si="226"/>
        <v>OK</v>
      </c>
      <c r="AU2126" s="202"/>
      <c r="AV2126" s="262"/>
      <c r="AW2126" s="274"/>
    </row>
    <row r="2127" spans="1:49" s="13" customFormat="1" ht="33.75" x14ac:dyDescent="0.2">
      <c r="A2127" s="14">
        <v>2103</v>
      </c>
      <c r="B2127" s="14">
        <v>400013211</v>
      </c>
      <c r="C2127" s="8" t="s">
        <v>5197</v>
      </c>
      <c r="D2127" s="4" t="str">
        <f t="shared" si="225"/>
        <v>400013211R1</v>
      </c>
      <c r="E2127" s="309" t="str">
        <f>VLOOKUP($B2127,'D7 - NDB Impacted SPRF''s'!$E$6:$O$9929,2,FALSE)</f>
        <v>PDI - AmeriChoice EPDL provider load</v>
      </c>
      <c r="F2127" s="8" t="s">
        <v>4961</v>
      </c>
      <c r="G2127" s="8" t="s">
        <v>4758</v>
      </c>
      <c r="H2127" s="8" t="s">
        <v>2870</v>
      </c>
      <c r="I2127" s="20">
        <v>21.8</v>
      </c>
      <c r="J2127" s="8" t="s">
        <v>4862</v>
      </c>
      <c r="K2127" s="182">
        <v>39151</v>
      </c>
      <c r="L2127" s="8" t="s">
        <v>5743</v>
      </c>
      <c r="M2127" s="8" t="s">
        <v>2814</v>
      </c>
      <c r="N2127" s="367" t="s">
        <v>1908</v>
      </c>
      <c r="O2127" s="8"/>
      <c r="P2127" s="4" t="str">
        <f>VLOOKUP($B2127,'D7 - NDB Impacted SPRF''s'!$E$16:$O$9929,9,FALSE)</f>
        <v>N</v>
      </c>
      <c r="Q2127" s="4" t="str">
        <f>VLOOKUP($B2127,'D7 - NDB Impacted SPRF''s'!$E$16:$O$9929,10,FALSE)</f>
        <v>N</v>
      </c>
      <c r="R2127" s="4" t="str">
        <f>VLOOKUP($B2127,'D7 - NDB Impacted SPRF''s'!$E$16:$O$9929,11,FALSE)</f>
        <v>N</v>
      </c>
      <c r="S2127" s="8"/>
      <c r="T2127" s="310"/>
      <c r="U2127" s="310"/>
      <c r="V2127" s="4"/>
      <c r="W2127" s="4"/>
      <c r="X2127" s="4"/>
      <c r="Y2127" s="4"/>
      <c r="Z2127" s="4"/>
      <c r="AA2127" s="4"/>
      <c r="AB2127" s="380" t="str">
        <f>VLOOKUP($B2127,'D7 - NDB Impacted SPRF''s'!$E$16:$O$9929,4,FALSE)</f>
        <v>Cancelled</v>
      </c>
      <c r="AC2127" s="380" t="str">
        <f>VLOOKUP($B2127,'D7 - NDB Impacted SPRF''s'!$E$16:$O$9929,3,FALSE)</f>
        <v>UnitedHealthcare Employer &amp; Individual</v>
      </c>
      <c r="AD2127" s="380" t="str">
        <f>VLOOKUP($B2127,'D7 - NDB Impacted SPRF''s'!$E$16:$O$9929,5,FALSE)</f>
        <v>Network Growth / Enhancements</v>
      </c>
      <c r="AE2127" s="380" t="str">
        <f>VLOOKUP($B2127,'D7 - NDB Impacted SPRF''s'!$E$16:$O$9929,7,FALSE)</f>
        <v>1</v>
      </c>
      <c r="AF2127" s="380" t="str">
        <f>VLOOKUP($B2127,'D7 - NDB Impacted SPRF''s'!$E$16:$O$9929,6,FALSE)</f>
        <v>GREGORY MILLS</v>
      </c>
      <c r="AG2127" s="282"/>
      <c r="AH2127" s="311" t="e">
        <f>INDEX('D5 - Gatekeeper - Projects'!$A$4:$AF$1010,$AM2127, 17)</f>
        <v>#N/A</v>
      </c>
      <c r="AI2127" s="8"/>
      <c r="AJ2127" s="57"/>
      <c r="AK2127" s="105"/>
      <c r="AM2127" s="6" t="e">
        <f>MATCH(D2127,'D5 - Gatekeeper - Projects'!$C$4:$C$1010,0)</f>
        <v>#N/A</v>
      </c>
      <c r="AN2127" s="6" t="b">
        <f t="shared" si="227"/>
        <v>1</v>
      </c>
      <c r="AO2127" s="6" t="str">
        <f t="shared" si="228"/>
        <v>OK</v>
      </c>
      <c r="AQ2127" s="6" t="e">
        <f>MATCH($D2127,'D4 - Provider Council Unsched'!$C$11:$C$234,0)</f>
        <v>#N/A</v>
      </c>
      <c r="AR2127" s="6" t="b">
        <f t="shared" si="229"/>
        <v>1</v>
      </c>
      <c r="AS2127" s="6" t="str">
        <f t="shared" si="226"/>
        <v>OK</v>
      </c>
      <c r="AU2127" s="202"/>
      <c r="AV2127" s="262"/>
      <c r="AW2127" s="274"/>
    </row>
    <row r="2128" spans="1:49" s="13" customFormat="1" ht="33.75" x14ac:dyDescent="0.2">
      <c r="A2128" s="14">
        <v>2104</v>
      </c>
      <c r="B2128" s="14">
        <v>400013211</v>
      </c>
      <c r="C2128" s="8" t="s">
        <v>1992</v>
      </c>
      <c r="D2128" s="4" t="str">
        <f t="shared" si="225"/>
        <v>400013211U1</v>
      </c>
      <c r="E2128" s="309" t="str">
        <f>VLOOKUP($B2128,'D7 - NDB Impacted SPRF''s'!$E$6:$O$9929,2,FALSE)</f>
        <v>PDI - AmeriChoice EPDL provider load</v>
      </c>
      <c r="F2128" s="8" t="s">
        <v>4961</v>
      </c>
      <c r="G2128" s="8" t="s">
        <v>4758</v>
      </c>
      <c r="H2128" s="8" t="s">
        <v>2870</v>
      </c>
      <c r="I2128" s="20">
        <v>0.33</v>
      </c>
      <c r="J2128" s="8" t="s">
        <v>4862</v>
      </c>
      <c r="K2128" s="182">
        <v>39151</v>
      </c>
      <c r="L2128" s="8" t="s">
        <v>5743</v>
      </c>
      <c r="M2128" s="8" t="s">
        <v>2814</v>
      </c>
      <c r="N2128" s="367" t="s">
        <v>3619</v>
      </c>
      <c r="O2128" s="8"/>
      <c r="P2128" s="4" t="str">
        <f>VLOOKUP($B2128,'D7 - NDB Impacted SPRF''s'!$E$16:$O$9929,9,FALSE)</f>
        <v>N</v>
      </c>
      <c r="Q2128" s="4" t="str">
        <f>VLOOKUP($B2128,'D7 - NDB Impacted SPRF''s'!$E$16:$O$9929,10,FALSE)</f>
        <v>N</v>
      </c>
      <c r="R2128" s="4" t="str">
        <f>VLOOKUP($B2128,'D7 - NDB Impacted SPRF''s'!$E$16:$O$9929,11,FALSE)</f>
        <v>N</v>
      </c>
      <c r="S2128" s="8"/>
      <c r="T2128" s="310"/>
      <c r="U2128" s="310"/>
      <c r="V2128" s="4"/>
      <c r="W2128" s="4"/>
      <c r="X2128" s="4"/>
      <c r="Y2128" s="4"/>
      <c r="Z2128" s="4"/>
      <c r="AA2128" s="4"/>
      <c r="AB2128" s="380" t="str">
        <f>VLOOKUP($B2128,'D7 - NDB Impacted SPRF''s'!$E$16:$O$9929,4,FALSE)</f>
        <v>Cancelled</v>
      </c>
      <c r="AC2128" s="380" t="str">
        <f>VLOOKUP($B2128,'D7 - NDB Impacted SPRF''s'!$E$16:$O$9929,3,FALSE)</f>
        <v>UnitedHealthcare Employer &amp; Individual</v>
      </c>
      <c r="AD2128" s="380" t="str">
        <f>VLOOKUP($B2128,'D7 - NDB Impacted SPRF''s'!$E$16:$O$9929,5,FALSE)</f>
        <v>Network Growth / Enhancements</v>
      </c>
      <c r="AE2128" s="380" t="str">
        <f>VLOOKUP($B2128,'D7 - NDB Impacted SPRF''s'!$E$16:$O$9929,7,FALSE)</f>
        <v>1</v>
      </c>
      <c r="AF2128" s="380" t="str">
        <f>VLOOKUP($B2128,'D7 - NDB Impacted SPRF''s'!$E$16:$O$9929,6,FALSE)</f>
        <v>GREGORY MILLS</v>
      </c>
      <c r="AG2128" s="282"/>
      <c r="AH2128" s="311" t="e">
        <f>INDEX('D5 - Gatekeeper - Projects'!$A$4:$AF$1010,$AM2128, 17)</f>
        <v>#N/A</v>
      </c>
      <c r="AI2128" s="8"/>
      <c r="AJ2128" s="57"/>
      <c r="AK2128" s="105"/>
      <c r="AM2128" s="6" t="e">
        <f>MATCH(D2128,'D5 - Gatekeeper - Projects'!$C$4:$C$1010,0)</f>
        <v>#N/A</v>
      </c>
      <c r="AN2128" s="6" t="b">
        <f t="shared" si="227"/>
        <v>1</v>
      </c>
      <c r="AO2128" s="6" t="str">
        <f t="shared" si="228"/>
        <v>OK</v>
      </c>
      <c r="AQ2128" s="6" t="e">
        <f>MATCH($D2128,'D4 - Provider Council Unsched'!$C$11:$C$234,0)</f>
        <v>#N/A</v>
      </c>
      <c r="AR2128" s="6" t="b">
        <f t="shared" si="229"/>
        <v>1</v>
      </c>
      <c r="AS2128" s="6" t="str">
        <f t="shared" si="226"/>
        <v>OK</v>
      </c>
      <c r="AU2128" s="202"/>
      <c r="AV2128" s="262"/>
      <c r="AW2128" s="274"/>
    </row>
    <row r="2129" spans="1:49" s="13" customFormat="1" ht="33.75" x14ac:dyDescent="0.2">
      <c r="A2129" s="14">
        <v>2105</v>
      </c>
      <c r="B2129" s="14">
        <v>400013212</v>
      </c>
      <c r="C2129" s="8" t="s">
        <v>5197</v>
      </c>
      <c r="D2129" s="4" t="str">
        <f t="shared" si="225"/>
        <v>400013212R1</v>
      </c>
      <c r="E2129" s="309" t="str">
        <f>VLOOKUP($B2129,'D7 - NDB Impacted SPRF''s'!$E$6:$O$9929,2,FALSE)</f>
        <v>PDI -Support AmeriChoice Feed from NDB to Diamond</v>
      </c>
      <c r="F2129" s="8" t="s">
        <v>4961</v>
      </c>
      <c r="G2129" s="8" t="s">
        <v>4758</v>
      </c>
      <c r="H2129" s="8" t="s">
        <v>2870</v>
      </c>
      <c r="I2129" s="20">
        <v>36.979999999999997</v>
      </c>
      <c r="J2129" s="8" t="s">
        <v>4862</v>
      </c>
      <c r="K2129" s="182">
        <v>39151</v>
      </c>
      <c r="L2129" s="8" t="s">
        <v>5743</v>
      </c>
      <c r="M2129" s="8" t="s">
        <v>2814</v>
      </c>
      <c r="N2129" s="38" t="s">
        <v>1908</v>
      </c>
      <c r="O2129" s="8"/>
      <c r="P2129" s="4" t="str">
        <f>VLOOKUP($B2129,'D7 - NDB Impacted SPRF''s'!$E$16:$O$9929,9,FALSE)</f>
        <v>N</v>
      </c>
      <c r="Q2129" s="4" t="str">
        <f>VLOOKUP($B2129,'D7 - NDB Impacted SPRF''s'!$E$16:$O$9929,10,FALSE)</f>
        <v>N</v>
      </c>
      <c r="R2129" s="4" t="str">
        <f>VLOOKUP($B2129,'D7 - NDB Impacted SPRF''s'!$E$16:$O$9929,11,FALSE)</f>
        <v>N</v>
      </c>
      <c r="S2129" s="8"/>
      <c r="T2129" s="310"/>
      <c r="U2129" s="310"/>
      <c r="V2129" s="4"/>
      <c r="W2129" s="4"/>
      <c r="X2129" s="4"/>
      <c r="Y2129" s="4"/>
      <c r="Z2129" s="4"/>
      <c r="AA2129" s="4"/>
      <c r="AB2129" s="380" t="str">
        <f>VLOOKUP($B2129,'D7 - NDB Impacted SPRF''s'!$E$16:$O$9929,4,FALSE)</f>
        <v>Cancelled</v>
      </c>
      <c r="AC2129" s="380" t="str">
        <f>VLOOKUP($B2129,'D7 - NDB Impacted SPRF''s'!$E$16:$O$9929,3,FALSE)</f>
        <v>UnitedHealthcare Employer &amp; Individual</v>
      </c>
      <c r="AD2129" s="380" t="str">
        <f>VLOOKUP($B2129,'D7 - NDB Impacted SPRF''s'!$E$16:$O$9929,5,FALSE)</f>
        <v>Network Growth / Enhancements</v>
      </c>
      <c r="AE2129" s="380" t="str">
        <f>VLOOKUP($B2129,'D7 - NDB Impacted SPRF''s'!$E$16:$O$9929,7,FALSE)</f>
        <v>Mike Mikan</v>
      </c>
      <c r="AF2129" s="380" t="str">
        <f>VLOOKUP($B2129,'D7 - NDB Impacted SPRF''s'!$E$16:$O$9929,6,FALSE)</f>
        <v>GREGORY MILLS</v>
      </c>
      <c r="AG2129" s="282"/>
      <c r="AH2129" s="311" t="e">
        <f>INDEX('D5 - Gatekeeper - Projects'!$A$4:$AF$1010,$AM2129, 17)</f>
        <v>#N/A</v>
      </c>
      <c r="AI2129" s="8"/>
      <c r="AJ2129" s="57"/>
      <c r="AK2129" s="105"/>
      <c r="AM2129" s="6" t="e">
        <f>MATCH(D2129,'D5 - Gatekeeper - Projects'!$C$4:$C$1010,0)</f>
        <v>#N/A</v>
      </c>
      <c r="AN2129" s="6" t="b">
        <f t="shared" si="227"/>
        <v>1</v>
      </c>
      <c r="AO2129" s="6" t="str">
        <f t="shared" si="228"/>
        <v>OK</v>
      </c>
      <c r="AQ2129" s="6" t="e">
        <f>MATCH($D2129,'D4 - Provider Council Unsched'!$C$11:$C$234,0)</f>
        <v>#N/A</v>
      </c>
      <c r="AR2129" s="6" t="b">
        <f t="shared" si="229"/>
        <v>1</v>
      </c>
      <c r="AS2129" s="6" t="str">
        <f t="shared" si="226"/>
        <v>OK</v>
      </c>
      <c r="AU2129" s="202"/>
      <c r="AV2129" s="262"/>
      <c r="AW2129" s="274"/>
    </row>
    <row r="2130" spans="1:49" s="13" customFormat="1" ht="56.25" x14ac:dyDescent="0.2">
      <c r="A2130" s="14">
        <v>2106</v>
      </c>
      <c r="B2130" s="14">
        <v>400013559</v>
      </c>
      <c r="C2130" s="8" t="s">
        <v>5197</v>
      </c>
      <c r="D2130" s="4" t="str">
        <f t="shared" si="225"/>
        <v>400013559R1</v>
      </c>
      <c r="E2130" s="309" t="str">
        <f>VLOOKUP($B2130,'D7 - NDB Impacted SPRF''s'!$E$6:$O$9929,2,FALSE)</f>
        <v>Work Order - NDB 'Office Contact' Table Update</v>
      </c>
      <c r="F2130" s="8" t="s">
        <v>6007</v>
      </c>
      <c r="G2130" s="8" t="s">
        <v>4758</v>
      </c>
      <c r="H2130" s="8" t="s">
        <v>2870</v>
      </c>
      <c r="I2130" s="20">
        <v>1.07</v>
      </c>
      <c r="J2130" s="8" t="s">
        <v>4862</v>
      </c>
      <c r="K2130" s="182">
        <v>39151</v>
      </c>
      <c r="L2130" s="8" t="s">
        <v>5743</v>
      </c>
      <c r="M2130" s="8" t="s">
        <v>6007</v>
      </c>
      <c r="N2130" s="367" t="s">
        <v>4704</v>
      </c>
      <c r="O2130" s="8"/>
      <c r="P2130" s="4" t="str">
        <f>VLOOKUP($B2130,'D7 - NDB Impacted SPRF''s'!$E$16:$O$9929,9,FALSE)</f>
        <v>N</v>
      </c>
      <c r="Q2130" s="4" t="str">
        <f>VLOOKUP($B2130,'D7 - NDB Impacted SPRF''s'!$E$16:$O$9929,10,FALSE)</f>
        <v>N</v>
      </c>
      <c r="R2130" s="4" t="str">
        <f>VLOOKUP($B2130,'D7 - NDB Impacted SPRF''s'!$E$16:$O$9929,11,FALSE)</f>
        <v>N</v>
      </c>
      <c r="S2130" s="8"/>
      <c r="T2130" s="310"/>
      <c r="U2130" s="310"/>
      <c r="V2130" s="4"/>
      <c r="W2130" s="4"/>
      <c r="X2130" s="4"/>
      <c r="Y2130" s="4"/>
      <c r="Z2130" s="4"/>
      <c r="AA2130" s="4"/>
      <c r="AB2130" s="380" t="str">
        <f>VLOOKUP($B2130,'D7 - NDB Impacted SPRF''s'!$E$16:$O$9929,4,FALSE)</f>
        <v>Cancelled</v>
      </c>
      <c r="AC2130" s="380" t="str">
        <f>VLOOKUP($B2130,'D7 - NDB Impacted SPRF''s'!$E$16:$O$9929,3,FALSE)</f>
        <v>UnitedHealthcare Employer &amp; Individual</v>
      </c>
      <c r="AD2130" s="380" t="str">
        <f>VLOOKUP($B2130,'D7 - NDB Impacted SPRF''s'!$E$16:$O$9929,5,FALSE)</f>
        <v>Network Growth / Enhancements</v>
      </c>
      <c r="AE2130" s="380" t="str">
        <f>VLOOKUP($B2130,'D7 - NDB Impacted SPRF''s'!$E$16:$O$9929,7,FALSE)</f>
        <v>Tim Kaja</v>
      </c>
      <c r="AF2130" s="380" t="str">
        <f>VLOOKUP($B2130,'D7 - NDB Impacted SPRF''s'!$E$16:$O$9929,6,FALSE)</f>
        <v>MARCIA MONACO</v>
      </c>
      <c r="AG2130" s="282"/>
      <c r="AH2130" s="311" t="e">
        <f>INDEX('D5 - Gatekeeper - Projects'!$A$4:$AF$1010,$AM2130, 17)</f>
        <v>#N/A</v>
      </c>
      <c r="AI2130" s="8"/>
      <c r="AJ2130" s="57"/>
      <c r="AK2130" s="105"/>
      <c r="AM2130" s="6" t="e">
        <f>MATCH(D2130,'D5 - Gatekeeper - Projects'!$C$4:$C$1010,0)</f>
        <v>#N/A</v>
      </c>
      <c r="AN2130" s="6" t="b">
        <f t="shared" si="227"/>
        <v>1</v>
      </c>
      <c r="AO2130" s="6" t="str">
        <f t="shared" si="228"/>
        <v>OK</v>
      </c>
      <c r="AQ2130" s="6" t="e">
        <f>MATCH($D2130,'D4 - Provider Council Unsched'!$C$11:$C$234,0)</f>
        <v>#N/A</v>
      </c>
      <c r="AR2130" s="6" t="b">
        <f t="shared" si="229"/>
        <v>1</v>
      </c>
      <c r="AS2130" s="6" t="str">
        <f t="shared" si="226"/>
        <v>OK</v>
      </c>
      <c r="AU2130" s="202"/>
      <c r="AV2130" s="262"/>
      <c r="AW2130" s="274"/>
    </row>
    <row r="2131" spans="1:49" s="13" customFormat="1" ht="33.75" x14ac:dyDescent="0.2">
      <c r="A2131" s="14">
        <v>2107</v>
      </c>
      <c r="B2131" s="14">
        <v>400014315</v>
      </c>
      <c r="C2131" s="8" t="s">
        <v>3763</v>
      </c>
      <c r="D2131" s="4" t="str">
        <f t="shared" si="225"/>
        <v>400014315R2</v>
      </c>
      <c r="E2131" s="309" t="str">
        <f>VLOOKUP($B2131,'D7 - NDB Impacted SPRF''s'!$E$6:$O$9929,2,FALSE)</f>
        <v>Replacement for CC# 7 for 4-7560</v>
      </c>
      <c r="F2131" s="8" t="s">
        <v>3764</v>
      </c>
      <c r="G2131" s="8" t="s">
        <v>4758</v>
      </c>
      <c r="H2131" s="8" t="s">
        <v>2870</v>
      </c>
      <c r="I2131" s="20">
        <v>13.73</v>
      </c>
      <c r="J2131" s="8" t="s">
        <v>4862</v>
      </c>
      <c r="K2131" s="182">
        <v>39151</v>
      </c>
      <c r="L2131" s="8" t="s">
        <v>4156</v>
      </c>
      <c r="M2131" s="8" t="s">
        <v>2814</v>
      </c>
      <c r="N2131" s="38" t="s">
        <v>5441</v>
      </c>
      <c r="O2131" s="8"/>
      <c r="P2131" s="4" t="str">
        <f>VLOOKUP($B2131,'D7 - NDB Impacted SPRF''s'!$E$16:$O$9929,9,FALSE)</f>
        <v>N</v>
      </c>
      <c r="Q2131" s="4" t="str">
        <f>VLOOKUP($B2131,'D7 - NDB Impacted SPRF''s'!$E$16:$O$9929,10,FALSE)</f>
        <v>N</v>
      </c>
      <c r="R2131" s="4" t="str">
        <f>VLOOKUP($B2131,'D7 - NDB Impacted SPRF''s'!$E$16:$O$9929,11,FALSE)</f>
        <v>N</v>
      </c>
      <c r="S2131" s="8"/>
      <c r="T2131" s="310"/>
      <c r="U2131" s="310"/>
      <c r="V2131" s="4"/>
      <c r="W2131" s="4"/>
      <c r="X2131" s="4"/>
      <c r="Y2131" s="4"/>
      <c r="Z2131" s="4"/>
      <c r="AA2131" s="4"/>
      <c r="AB2131" s="380" t="str">
        <f>VLOOKUP($B2131,'D7 - NDB Impacted SPRF''s'!$E$16:$O$9929,4,FALSE)</f>
        <v>Cancelled</v>
      </c>
      <c r="AC2131" s="380" t="str">
        <f>VLOOKUP($B2131,'D7 - NDB Impacted SPRF''s'!$E$16:$O$9929,3,FALSE)</f>
        <v>UnitedHealthcare Medicare &amp; Retirement</v>
      </c>
      <c r="AD2131" s="380" t="str">
        <f>VLOOKUP($B2131,'D7 - NDB Impacted SPRF''s'!$E$16:$O$9929,5,FALSE)</f>
        <v>Ovations</v>
      </c>
      <c r="AE2131" s="380" t="str">
        <f>VLOOKUP($B2131,'D7 - NDB Impacted SPRF''s'!$E$16:$O$9929,7,FALSE)</f>
        <v>Ashok Sudarshan</v>
      </c>
      <c r="AF2131" s="380" t="str">
        <f>VLOOKUP($B2131,'D7 - NDB Impacted SPRF''s'!$E$16:$O$9929,6,FALSE)</f>
        <v>GERALD GORODISCH</v>
      </c>
      <c r="AG2131" s="282"/>
      <c r="AH2131" s="311" t="e">
        <f>INDEX('D5 - Gatekeeper - Projects'!$A$4:$AF$1010,$AM2131, 17)</f>
        <v>#N/A</v>
      </c>
      <c r="AI2131" s="8"/>
      <c r="AJ2131" s="57"/>
      <c r="AK2131" s="105"/>
      <c r="AM2131" s="6" t="e">
        <f>MATCH(D2131,'D5 - Gatekeeper - Projects'!$C$4:$C$1010,0)</f>
        <v>#N/A</v>
      </c>
      <c r="AN2131" s="6" t="b">
        <f t="shared" si="227"/>
        <v>1</v>
      </c>
      <c r="AO2131" s="6" t="str">
        <f t="shared" si="228"/>
        <v>OK</v>
      </c>
      <c r="AQ2131" s="6" t="e">
        <f>MATCH($D2131,'D4 - Provider Council Unsched'!$C$11:$C$234,0)</f>
        <v>#N/A</v>
      </c>
      <c r="AR2131" s="6" t="b">
        <f t="shared" si="229"/>
        <v>1</v>
      </c>
      <c r="AS2131" s="6" t="str">
        <f t="shared" si="226"/>
        <v>OK</v>
      </c>
      <c r="AU2131" s="202"/>
      <c r="AV2131" s="262"/>
      <c r="AW2131" s="274"/>
    </row>
    <row r="2132" spans="1:49" s="13" customFormat="1" ht="22.5" x14ac:dyDescent="0.2">
      <c r="A2132" s="14">
        <v>2108</v>
      </c>
      <c r="B2132" s="14">
        <v>400014472</v>
      </c>
      <c r="C2132" s="8" t="s">
        <v>5197</v>
      </c>
      <c r="D2132" s="4" t="str">
        <f t="shared" si="225"/>
        <v>400014472R1</v>
      </c>
      <c r="E2132" s="309" t="str">
        <f>VLOOKUP($B2132,'D7 - NDB Impacted SPRF''s'!$E$6:$O$9929,2,FALSE)</f>
        <v xml:space="preserve">HPHC1 - MultiSite Routing 835s with HPHC as Payor </v>
      </c>
      <c r="F2132" s="8" t="s">
        <v>5196</v>
      </c>
      <c r="G2132" s="8" t="s">
        <v>4758</v>
      </c>
      <c r="H2132" s="8" t="s">
        <v>2870</v>
      </c>
      <c r="I2132" s="20">
        <v>9.8800000000000008</v>
      </c>
      <c r="J2132" s="8" t="s">
        <v>4862</v>
      </c>
      <c r="K2132" s="182">
        <v>39151</v>
      </c>
      <c r="L2132" s="8" t="s">
        <v>5743</v>
      </c>
      <c r="M2132" s="8" t="s">
        <v>2814</v>
      </c>
      <c r="N2132" s="367" t="s">
        <v>3841</v>
      </c>
      <c r="O2132" s="8"/>
      <c r="P2132" s="4" t="str">
        <f>VLOOKUP($B2132,'D7 - NDB Impacted SPRF''s'!$E$16:$O$9929,9,FALSE)</f>
        <v>Y</v>
      </c>
      <c r="Q2132" s="4" t="str">
        <f>VLOOKUP($B2132,'D7 - NDB Impacted SPRF''s'!$E$16:$O$9929,10,FALSE)</f>
        <v>N</v>
      </c>
      <c r="R2132" s="4" t="str">
        <f>VLOOKUP($B2132,'D7 - NDB Impacted SPRF''s'!$E$16:$O$9929,11,FALSE)</f>
        <v>N</v>
      </c>
      <c r="S2132" s="8"/>
      <c r="T2132" s="310"/>
      <c r="U2132" s="310"/>
      <c r="V2132" s="4"/>
      <c r="W2132" s="4"/>
      <c r="X2132" s="4"/>
      <c r="Y2132" s="4"/>
      <c r="Z2132" s="4"/>
      <c r="AA2132" s="4"/>
      <c r="AB2132" s="380" t="str">
        <f>VLOOKUP($B2132,'D7 - NDB Impacted SPRF''s'!$E$16:$O$9929,4,FALSE)</f>
        <v>Completed</v>
      </c>
      <c r="AC2132" s="380" t="str">
        <f>VLOOKUP($B2132,'D7 - NDB Impacted SPRF''s'!$E$16:$O$9929,3,FALSE)</f>
        <v>Alliance</v>
      </c>
      <c r="AD2132" s="380" t="str">
        <f>VLOOKUP($B2132,'D7 - NDB Impacted SPRF''s'!$E$16:$O$9929,5,FALSE)</f>
        <v>Harvard Pilgrim Service Alliance</v>
      </c>
      <c r="AE2132" s="380" t="str">
        <f>VLOOKUP($B2132,'D7 - NDB Impacted SPRF''s'!$E$16:$O$9929,7,FALSE)</f>
        <v>Bev Nyce</v>
      </c>
      <c r="AF2132" s="380" t="str">
        <f>VLOOKUP($B2132,'D7 - NDB Impacted SPRF''s'!$E$16:$O$9929,6,FALSE)</f>
        <v>DAWN WALTER</v>
      </c>
      <c r="AG2132" s="282"/>
      <c r="AH2132" s="311" t="e">
        <f>INDEX('D5 - Gatekeeper - Projects'!$A$4:$AF$1010,$AM2132, 17)</f>
        <v>#N/A</v>
      </c>
      <c r="AI2132" s="8"/>
      <c r="AJ2132" s="57"/>
      <c r="AK2132" s="105"/>
      <c r="AM2132" s="6" t="e">
        <f>MATCH(D2132,'D5 - Gatekeeper - Projects'!$C$4:$C$1010,0)</f>
        <v>#N/A</v>
      </c>
      <c r="AN2132" s="6" t="b">
        <f t="shared" si="227"/>
        <v>1</v>
      </c>
      <c r="AO2132" s="6" t="str">
        <f t="shared" si="228"/>
        <v>OK</v>
      </c>
      <c r="AQ2132" s="6" t="e">
        <f>MATCH($D2132,'D4 - Provider Council Unsched'!$C$11:$C$234,0)</f>
        <v>#N/A</v>
      </c>
      <c r="AR2132" s="6" t="b">
        <f t="shared" si="229"/>
        <v>1</v>
      </c>
      <c r="AS2132" s="6" t="str">
        <f t="shared" ref="AS2132:AS2163" si="230">IF(AND(H2132="2 - Not Scheduled",AR2132=TRUE),"Add","OK")</f>
        <v>OK</v>
      </c>
      <c r="AU2132" s="202"/>
      <c r="AV2132" s="262"/>
      <c r="AW2132" s="274"/>
    </row>
    <row r="2133" spans="1:49" s="13" customFormat="1" ht="56.25" x14ac:dyDescent="0.2">
      <c r="A2133" s="14">
        <v>2109</v>
      </c>
      <c r="B2133" s="14">
        <v>400009410</v>
      </c>
      <c r="C2133" s="8" t="s">
        <v>5197</v>
      </c>
      <c r="D2133" s="4" t="str">
        <f t="shared" si="225"/>
        <v>400009410R1</v>
      </c>
      <c r="E2133" s="309" t="str">
        <f>VLOOKUP($B2133,'D7 - NDB Impacted SPRF''s'!$E$6:$O$9929,2,FALSE)</f>
        <v>CORP1-Provider Network Directory Table Extract</v>
      </c>
      <c r="F2133" s="8" t="s">
        <v>4971</v>
      </c>
      <c r="G2133" s="8" t="s">
        <v>4758</v>
      </c>
      <c r="H2133" s="8" t="s">
        <v>2870</v>
      </c>
      <c r="I2133" s="20">
        <v>18.07</v>
      </c>
      <c r="J2133" s="8" t="s">
        <v>4862</v>
      </c>
      <c r="K2133" s="182">
        <v>39193</v>
      </c>
      <c r="L2133" s="8" t="s">
        <v>4156</v>
      </c>
      <c r="M2133" s="8" t="s">
        <v>2814</v>
      </c>
      <c r="N2133" s="38" t="s">
        <v>2572</v>
      </c>
      <c r="O2133" s="8"/>
      <c r="P2133" s="4" t="str">
        <f>VLOOKUP($B2133,'D7 - NDB Impacted SPRF''s'!$E$16:$O$9929,9,FALSE)</f>
        <v>N</v>
      </c>
      <c r="Q2133" s="4" t="str">
        <f>VLOOKUP($B2133,'D7 - NDB Impacted SPRF''s'!$E$16:$O$9929,10,FALSE)</f>
        <v>N</v>
      </c>
      <c r="R2133" s="4" t="str">
        <f>VLOOKUP($B2133,'D7 - NDB Impacted SPRF''s'!$E$16:$O$9929,11,FALSE)</f>
        <v>N</v>
      </c>
      <c r="S2133" s="8" t="s">
        <v>3758</v>
      </c>
      <c r="T2133" s="310"/>
      <c r="U2133" s="310"/>
      <c r="V2133" s="4"/>
      <c r="W2133" s="4"/>
      <c r="X2133" s="4"/>
      <c r="Y2133" s="4"/>
      <c r="Z2133" s="4"/>
      <c r="AA2133" s="4"/>
      <c r="AB2133" s="380" t="str">
        <f>VLOOKUP($B2133,'D7 - NDB Impacted SPRF''s'!$E$16:$O$9929,4,FALSE)</f>
        <v>Cancelled</v>
      </c>
      <c r="AC2133" s="380" t="str">
        <f>VLOOKUP($B2133,'D7 - NDB Impacted SPRF''s'!$E$16:$O$9929,3,FALSE)</f>
        <v>UnitedHealthcare Employer &amp; Individual</v>
      </c>
      <c r="AD2133" s="380" t="str">
        <f>VLOOKUP($B2133,'D7 - NDB Impacted SPRF''s'!$E$16:$O$9929,5,FALSE)</f>
        <v>Network Growth / Enhancements</v>
      </c>
      <c r="AE2133" s="380" t="str">
        <f>VLOOKUP($B2133,'D7 - NDB Impacted SPRF''s'!$E$16:$O$9929,7,FALSE)</f>
        <v>Peter Bompane</v>
      </c>
      <c r="AF2133" s="380" t="str">
        <f>VLOOKUP($B2133,'D7 - NDB Impacted SPRF''s'!$E$16:$O$9929,6,FALSE)</f>
        <v>CARRIE CALL</v>
      </c>
      <c r="AG2133" s="282" t="s">
        <v>6682</v>
      </c>
      <c r="AH2133" s="311" t="e">
        <f>INDEX('D5 - Gatekeeper - Projects'!$A$4:$AF$1010,$AM2133, 17)</f>
        <v>#N/A</v>
      </c>
      <c r="AI2133" s="8"/>
      <c r="AJ2133" s="57"/>
      <c r="AK2133" s="105"/>
      <c r="AM2133" s="6" t="e">
        <f>MATCH(D2133,'D5 - Gatekeeper - Projects'!$C$4:$C$1010,0)</f>
        <v>#N/A</v>
      </c>
      <c r="AN2133" s="6" t="b">
        <f t="shared" si="227"/>
        <v>1</v>
      </c>
      <c r="AO2133" s="6" t="str">
        <f t="shared" si="228"/>
        <v>OK</v>
      </c>
      <c r="AQ2133" s="6" t="e">
        <f>MATCH($D2133,'D4 - Provider Council Unsched'!$C$11:$C$234,0)</f>
        <v>#N/A</v>
      </c>
      <c r="AR2133" s="6" t="b">
        <f t="shared" si="229"/>
        <v>1</v>
      </c>
      <c r="AS2133" s="6" t="str">
        <f t="shared" si="230"/>
        <v>OK</v>
      </c>
      <c r="AU2133" s="202"/>
      <c r="AV2133" s="262"/>
      <c r="AW2133" s="274"/>
    </row>
    <row r="2134" spans="1:49" s="13" customFormat="1" ht="33.75" x14ac:dyDescent="0.2">
      <c r="A2134" s="14">
        <v>2110</v>
      </c>
      <c r="B2134" s="14">
        <v>400012672</v>
      </c>
      <c r="C2134" s="8" t="s">
        <v>1992</v>
      </c>
      <c r="D2134" s="4" t="str">
        <f t="shared" si="225"/>
        <v>400012672U1</v>
      </c>
      <c r="E2134" s="309" t="str">
        <f>VLOOKUP($B2134,'D7 - NDB Impacted SPRF''s'!$E$6:$O$9929,2,FALSE)</f>
        <v>Provider Timely Filing by Contract</v>
      </c>
      <c r="F2134" s="8" t="s">
        <v>2114</v>
      </c>
      <c r="G2134" s="8" t="s">
        <v>4758</v>
      </c>
      <c r="H2134" s="8" t="s">
        <v>2870</v>
      </c>
      <c r="I2134" s="20">
        <v>0.71</v>
      </c>
      <c r="J2134" s="8" t="s">
        <v>4862</v>
      </c>
      <c r="K2134" s="182">
        <v>39193</v>
      </c>
      <c r="L2134" s="8" t="s">
        <v>5743</v>
      </c>
      <c r="M2134" s="8" t="s">
        <v>2814</v>
      </c>
      <c r="N2134" s="367" t="s">
        <v>6552</v>
      </c>
      <c r="O2134" s="8" t="s">
        <v>5042</v>
      </c>
      <c r="P2134" s="4" t="str">
        <f>VLOOKUP($B2134,'D7 - NDB Impacted SPRF''s'!$E$16:$O$9929,9,FALSE)</f>
        <v>Y</v>
      </c>
      <c r="Q2134" s="4" t="str">
        <f>VLOOKUP($B2134,'D7 - NDB Impacted SPRF''s'!$E$16:$O$9929,10,FALSE)</f>
        <v>N</v>
      </c>
      <c r="R2134" s="4" t="str">
        <f>VLOOKUP($B2134,'D7 - NDB Impacted SPRF''s'!$E$16:$O$9929,11,FALSE)</f>
        <v>Y</v>
      </c>
      <c r="S2134" s="8" t="s">
        <v>7273</v>
      </c>
      <c r="T2134" s="310"/>
      <c r="U2134" s="310"/>
      <c r="V2134" s="4"/>
      <c r="W2134" s="4"/>
      <c r="X2134" s="4"/>
      <c r="Y2134" s="4"/>
      <c r="Z2134" s="4"/>
      <c r="AA2134" s="4"/>
      <c r="AB2134" s="380" t="str">
        <f>VLOOKUP($B2134,'D7 - NDB Impacted SPRF''s'!$E$16:$O$9929,4,FALSE)</f>
        <v>Completed</v>
      </c>
      <c r="AC2134" s="380" t="str">
        <f>VLOOKUP($B2134,'D7 - NDB Impacted SPRF''s'!$E$16:$O$9929,3,FALSE)</f>
        <v>UnitedHealthcare Employer &amp; Individual</v>
      </c>
      <c r="AD2134" s="380" t="str">
        <f>VLOOKUP($B2134,'D7 - NDB Impacted SPRF''s'!$E$16:$O$9929,5,FALSE)</f>
        <v>Medical Cost Savings Programs</v>
      </c>
      <c r="AE2134" s="380" t="str">
        <f>VLOOKUP($B2134,'D7 - NDB Impacted SPRF''s'!$E$16:$O$9929,7,FALSE)</f>
        <v>Michael Ile</v>
      </c>
      <c r="AF2134" s="380" t="str">
        <f>VLOOKUP($B2134,'D7 - NDB Impacted SPRF''s'!$E$16:$O$9929,6,FALSE)</f>
        <v>Susan Neal</v>
      </c>
      <c r="AG2134" s="282"/>
      <c r="AH2134" s="311" t="e">
        <f>INDEX('D5 - Gatekeeper - Projects'!$A$4:$AF$1010,$AM2134, 17)</f>
        <v>#N/A</v>
      </c>
      <c r="AI2134" s="8"/>
      <c r="AJ2134" s="57"/>
      <c r="AK2134" s="105"/>
      <c r="AM2134" s="6" t="e">
        <f>MATCH(D2134,'D5 - Gatekeeper - Projects'!$C$4:$C$1010,0)</f>
        <v>#N/A</v>
      </c>
      <c r="AN2134" s="6" t="b">
        <f t="shared" si="227"/>
        <v>1</v>
      </c>
      <c r="AO2134" s="6" t="str">
        <f t="shared" si="228"/>
        <v>OK</v>
      </c>
      <c r="AQ2134" s="6" t="e">
        <f>MATCH($D2134,'D4 - Provider Council Unsched'!$C$11:$C$234,0)</f>
        <v>#N/A</v>
      </c>
      <c r="AR2134" s="6" t="b">
        <f t="shared" si="229"/>
        <v>1</v>
      </c>
      <c r="AS2134" s="6" t="str">
        <f t="shared" si="230"/>
        <v>OK</v>
      </c>
      <c r="AU2134" s="202"/>
      <c r="AV2134" s="262"/>
      <c r="AW2134" s="274"/>
    </row>
    <row r="2135" spans="1:49" s="13" customFormat="1" ht="22.5" x14ac:dyDescent="0.2">
      <c r="A2135" s="14">
        <v>2111</v>
      </c>
      <c r="B2135" s="14">
        <v>400013034</v>
      </c>
      <c r="C2135" s="8" t="s">
        <v>5197</v>
      </c>
      <c r="D2135" s="4" t="str">
        <f t="shared" si="225"/>
        <v>400013034R1</v>
      </c>
      <c r="E2135" s="309" t="str">
        <f>VLOOKUP($B2135,'D7 - NDB Impacted SPRF''s'!$E$6:$O$9929,2,FALSE)</f>
        <v>Medica-Create EPDE w/Enhancements</v>
      </c>
      <c r="F2135" s="8" t="s">
        <v>5196</v>
      </c>
      <c r="G2135" s="8" t="s">
        <v>4758</v>
      </c>
      <c r="H2135" s="8" t="s">
        <v>2870</v>
      </c>
      <c r="I2135" s="20">
        <v>3.7</v>
      </c>
      <c r="J2135" s="8" t="s">
        <v>4862</v>
      </c>
      <c r="K2135" s="182">
        <v>39193</v>
      </c>
      <c r="L2135" s="8" t="s">
        <v>5743</v>
      </c>
      <c r="M2135" s="8" t="s">
        <v>2814</v>
      </c>
      <c r="N2135" s="367" t="s">
        <v>7294</v>
      </c>
      <c r="O2135" s="8"/>
      <c r="P2135" s="4" t="str">
        <f>VLOOKUP($B2135,'D7 - NDB Impacted SPRF''s'!$E$16:$O$9929,9,FALSE)</f>
        <v>N</v>
      </c>
      <c r="Q2135" s="4" t="str">
        <f>VLOOKUP($B2135,'D7 - NDB Impacted SPRF''s'!$E$16:$O$9929,10,FALSE)</f>
        <v>N</v>
      </c>
      <c r="R2135" s="4" t="str">
        <f>VLOOKUP($B2135,'D7 - NDB Impacted SPRF''s'!$E$16:$O$9929,11,FALSE)</f>
        <v>N</v>
      </c>
      <c r="S2135" s="8" t="s">
        <v>3758</v>
      </c>
      <c r="T2135" s="310"/>
      <c r="U2135" s="310"/>
      <c r="V2135" s="4"/>
      <c r="W2135" s="4"/>
      <c r="X2135" s="4"/>
      <c r="Y2135" s="4"/>
      <c r="Z2135" s="4"/>
      <c r="AA2135" s="4"/>
      <c r="AB2135" s="380" t="str">
        <f>VLOOKUP($B2135,'D7 - NDB Impacted SPRF''s'!$E$16:$O$9929,4,FALSE)</f>
        <v>Cancelled</v>
      </c>
      <c r="AC2135" s="380" t="str">
        <f>VLOOKUP($B2135,'D7 - NDB Impacted SPRF''s'!$E$16:$O$9929,3,FALSE)</f>
        <v>Alliance</v>
      </c>
      <c r="AD2135" s="380" t="str">
        <f>VLOOKUP($B2135,'D7 - NDB Impacted SPRF''s'!$E$16:$O$9929,5,FALSE)</f>
        <v>Medica UNET Conversion</v>
      </c>
      <c r="AE2135" s="380" t="str">
        <f>VLOOKUP($B2135,'D7 - NDB Impacted SPRF''s'!$E$16:$O$9929,7,FALSE)</f>
        <v>Tim Kaja</v>
      </c>
      <c r="AF2135" s="380" t="str">
        <f>VLOOKUP($B2135,'D7 - NDB Impacted SPRF''s'!$E$16:$O$9929,6,FALSE)</f>
        <v>MARCIA MONACO</v>
      </c>
      <c r="AG2135" s="282"/>
      <c r="AH2135" s="311" t="e">
        <f>INDEX('D5 - Gatekeeper - Projects'!$A$4:$AF$1010,$AM2135, 17)</f>
        <v>#N/A</v>
      </c>
      <c r="AI2135" s="8"/>
      <c r="AJ2135" s="57"/>
      <c r="AK2135" s="105"/>
      <c r="AM2135" s="6" t="e">
        <f>MATCH(D2135,'D5 - Gatekeeper - Projects'!$C$4:$C$1010,0)</f>
        <v>#N/A</v>
      </c>
      <c r="AN2135" s="6" t="b">
        <f t="shared" si="227"/>
        <v>1</v>
      </c>
      <c r="AO2135" s="6" t="str">
        <f t="shared" si="228"/>
        <v>OK</v>
      </c>
      <c r="AQ2135" s="6" t="e">
        <f>MATCH($D2135,'D4 - Provider Council Unsched'!$C$11:$C$234,0)</f>
        <v>#N/A</v>
      </c>
      <c r="AR2135" s="6" t="b">
        <f t="shared" si="229"/>
        <v>1</v>
      </c>
      <c r="AS2135" s="6" t="str">
        <f t="shared" si="230"/>
        <v>OK</v>
      </c>
      <c r="AU2135" s="202"/>
      <c r="AV2135" s="262"/>
      <c r="AW2135" s="274"/>
    </row>
    <row r="2136" spans="1:49" s="13" customFormat="1" ht="33.75" x14ac:dyDescent="0.2">
      <c r="A2136" s="14">
        <v>2112</v>
      </c>
      <c r="B2136" s="14">
        <v>400013075</v>
      </c>
      <c r="C2136" s="8" t="s">
        <v>5197</v>
      </c>
      <c r="D2136" s="4" t="str">
        <f t="shared" si="225"/>
        <v>400013075R1</v>
      </c>
      <c r="E2136" s="309" t="str">
        <f>VLOOKUP($B2136,'D7 - NDB Impacted SPRF''s'!$E$6:$O$9929,2,FALSE)</f>
        <v xml:space="preserve">PHS Iliad UB92 direct connection to Claim Pricing </v>
      </c>
      <c r="F2136" s="8" t="s">
        <v>6071</v>
      </c>
      <c r="G2136" s="8" t="s">
        <v>4758</v>
      </c>
      <c r="H2136" s="8" t="s">
        <v>2870</v>
      </c>
      <c r="I2136" s="20">
        <v>1</v>
      </c>
      <c r="J2136" s="8" t="s">
        <v>4862</v>
      </c>
      <c r="K2136" s="182">
        <v>39193</v>
      </c>
      <c r="L2136" s="8" t="s">
        <v>4156</v>
      </c>
      <c r="M2136" s="8" t="s">
        <v>2814</v>
      </c>
      <c r="N2136" s="367" t="s">
        <v>5006</v>
      </c>
      <c r="O2136" s="8"/>
      <c r="P2136" s="4" t="str">
        <f>VLOOKUP($B2136,'D7 - NDB Impacted SPRF''s'!$E$16:$O$9929,9,FALSE)</f>
        <v>N</v>
      </c>
      <c r="Q2136" s="4" t="str">
        <f>VLOOKUP($B2136,'D7 - NDB Impacted SPRF''s'!$E$16:$O$9929,10,FALSE)</f>
        <v>N</v>
      </c>
      <c r="R2136" s="4" t="str">
        <f>VLOOKUP($B2136,'D7 - NDB Impacted SPRF''s'!$E$16:$O$9929,11,FALSE)</f>
        <v>Y</v>
      </c>
      <c r="S2136" s="8" t="s">
        <v>7273</v>
      </c>
      <c r="T2136" s="310"/>
      <c r="U2136" s="310"/>
      <c r="V2136" s="4"/>
      <c r="W2136" s="4"/>
      <c r="X2136" s="4"/>
      <c r="Y2136" s="4"/>
      <c r="Z2136" s="4"/>
      <c r="AA2136" s="4"/>
      <c r="AB2136" s="380" t="str">
        <f>VLOOKUP($B2136,'D7 - NDB Impacted SPRF''s'!$E$16:$O$9929,4,FALSE)</f>
        <v>Cancelled</v>
      </c>
      <c r="AC2136" s="380" t="str">
        <f>VLOOKUP($B2136,'D7 - NDB Impacted SPRF''s'!$E$16:$O$9929,3,FALSE)</f>
        <v>UnitedHealthcare Employer &amp; Individual</v>
      </c>
      <c r="AD2136" s="380" t="str">
        <f>VLOOKUP($B2136,'D7 - NDB Impacted SPRF''s'!$E$16:$O$9929,5,FALSE)</f>
        <v>Integration Requirements</v>
      </c>
      <c r="AE2136" s="380" t="str">
        <f>VLOOKUP($B2136,'D7 - NDB Impacted SPRF''s'!$E$16:$O$9929,7,FALSE)</f>
        <v>Shannon Nelson</v>
      </c>
      <c r="AF2136" s="380" t="str">
        <f>VLOOKUP($B2136,'D7 - NDB Impacted SPRF''s'!$E$16:$O$9929,6,FALSE)</f>
        <v>STACIE THOMAS</v>
      </c>
      <c r="AG2136" s="282"/>
      <c r="AH2136" s="311" t="e">
        <f>INDEX('D5 - Gatekeeper - Projects'!$A$4:$AF$1010,$AM2136, 17)</f>
        <v>#N/A</v>
      </c>
      <c r="AI2136" s="8"/>
      <c r="AJ2136" s="57"/>
      <c r="AK2136" s="105"/>
      <c r="AM2136" s="6" t="e">
        <f>MATCH(D2136,'D5 - Gatekeeper - Projects'!$C$4:$C$1010,0)</f>
        <v>#N/A</v>
      </c>
      <c r="AN2136" s="6" t="b">
        <f t="shared" si="227"/>
        <v>1</v>
      </c>
      <c r="AO2136" s="6" t="str">
        <f t="shared" si="228"/>
        <v>OK</v>
      </c>
      <c r="AQ2136" s="6" t="e">
        <f>MATCH($D2136,'D4 - Provider Council Unsched'!$C$11:$C$234,0)</f>
        <v>#N/A</v>
      </c>
      <c r="AR2136" s="6" t="b">
        <f t="shared" si="229"/>
        <v>1</v>
      </c>
      <c r="AS2136" s="6" t="str">
        <f t="shared" si="230"/>
        <v>OK</v>
      </c>
      <c r="AU2136" s="202"/>
      <c r="AV2136" s="262"/>
      <c r="AW2136" s="274"/>
    </row>
    <row r="2137" spans="1:49" s="13" customFormat="1" ht="33.75" x14ac:dyDescent="0.2">
      <c r="A2137" s="14">
        <v>2113</v>
      </c>
      <c r="B2137" s="14">
        <v>400013076</v>
      </c>
      <c r="C2137" s="8" t="s">
        <v>5197</v>
      </c>
      <c r="D2137" s="4" t="str">
        <f t="shared" si="225"/>
        <v>400013076R1</v>
      </c>
      <c r="E2137" s="309" t="str">
        <f>VLOOKUP($B2137,'D7 - NDB Impacted SPRF''s'!$E$6:$O$9929,2,FALSE)</f>
        <v xml:space="preserve">PHS Nice UB92 direct connection to Claim Pricing </v>
      </c>
      <c r="F2137" s="8" t="s">
        <v>6071</v>
      </c>
      <c r="G2137" s="8" t="s">
        <v>4758</v>
      </c>
      <c r="H2137" s="8" t="s">
        <v>2870</v>
      </c>
      <c r="I2137" s="20">
        <v>1</v>
      </c>
      <c r="J2137" s="8" t="s">
        <v>4862</v>
      </c>
      <c r="K2137" s="182">
        <v>39193</v>
      </c>
      <c r="L2137" s="8" t="s">
        <v>4156</v>
      </c>
      <c r="M2137" s="8" t="s">
        <v>2814</v>
      </c>
      <c r="N2137" s="367" t="s">
        <v>5006</v>
      </c>
      <c r="O2137" s="8"/>
      <c r="P2137" s="4" t="str">
        <f>VLOOKUP($B2137,'D7 - NDB Impacted SPRF''s'!$E$16:$O$9929,9,FALSE)</f>
        <v>N</v>
      </c>
      <c r="Q2137" s="4" t="str">
        <f>VLOOKUP($B2137,'D7 - NDB Impacted SPRF''s'!$E$16:$O$9929,10,FALSE)</f>
        <v>N</v>
      </c>
      <c r="R2137" s="4" t="str">
        <f>VLOOKUP($B2137,'D7 - NDB Impacted SPRF''s'!$E$16:$O$9929,11,FALSE)</f>
        <v>Y</v>
      </c>
      <c r="S2137" s="8" t="s">
        <v>7273</v>
      </c>
      <c r="T2137" s="310"/>
      <c r="U2137" s="310"/>
      <c r="V2137" s="4"/>
      <c r="W2137" s="4"/>
      <c r="X2137" s="4"/>
      <c r="Y2137" s="4"/>
      <c r="Z2137" s="4"/>
      <c r="AA2137" s="4"/>
      <c r="AB2137" s="380" t="str">
        <f>VLOOKUP($B2137,'D7 - NDB Impacted SPRF''s'!$E$16:$O$9929,4,FALSE)</f>
        <v>Cancelled</v>
      </c>
      <c r="AC2137" s="380" t="str">
        <f>VLOOKUP($B2137,'D7 - NDB Impacted SPRF''s'!$E$16:$O$9929,3,FALSE)</f>
        <v>UnitedHealthcare Employer &amp; Individual</v>
      </c>
      <c r="AD2137" s="380" t="str">
        <f>VLOOKUP($B2137,'D7 - NDB Impacted SPRF''s'!$E$16:$O$9929,5,FALSE)</f>
        <v>Integration Requirements</v>
      </c>
      <c r="AE2137" s="380" t="str">
        <f>VLOOKUP($B2137,'D7 - NDB Impacted SPRF''s'!$E$16:$O$9929,7,FALSE)</f>
        <v>Shannon Nelson</v>
      </c>
      <c r="AF2137" s="380" t="str">
        <f>VLOOKUP($B2137,'D7 - NDB Impacted SPRF''s'!$E$16:$O$9929,6,FALSE)</f>
        <v>STACIE THOMAS</v>
      </c>
      <c r="AG2137" s="282"/>
      <c r="AH2137" s="311" t="e">
        <f>INDEX('D5 - Gatekeeper - Projects'!$A$4:$AF$1010,$AM2137, 17)</f>
        <v>#N/A</v>
      </c>
      <c r="AI2137" s="8"/>
      <c r="AJ2137" s="57"/>
      <c r="AK2137" s="105"/>
      <c r="AM2137" s="6" t="e">
        <f>MATCH(D2137,'D5 - Gatekeeper - Projects'!$C$4:$C$1010,0)</f>
        <v>#N/A</v>
      </c>
      <c r="AN2137" s="6" t="b">
        <f t="shared" si="227"/>
        <v>1</v>
      </c>
      <c r="AO2137" s="6" t="str">
        <f t="shared" si="228"/>
        <v>OK</v>
      </c>
      <c r="AQ2137" s="6" t="e">
        <f>MATCH($D2137,'D4 - Provider Council Unsched'!$C$11:$C$234,0)</f>
        <v>#N/A</v>
      </c>
      <c r="AR2137" s="6" t="b">
        <f t="shared" si="229"/>
        <v>1</v>
      </c>
      <c r="AS2137" s="6" t="str">
        <f t="shared" si="230"/>
        <v>OK</v>
      </c>
      <c r="AU2137" s="202"/>
      <c r="AV2137" s="262"/>
      <c r="AW2137" s="274"/>
    </row>
    <row r="2138" spans="1:49" s="13" customFormat="1" ht="33.75" x14ac:dyDescent="0.2">
      <c r="A2138" s="14">
        <v>2114</v>
      </c>
      <c r="B2138" s="14">
        <v>400013804</v>
      </c>
      <c r="C2138" s="8" t="s">
        <v>5197</v>
      </c>
      <c r="D2138" s="4" t="str">
        <f t="shared" si="225"/>
        <v>400013804R1</v>
      </c>
      <c r="E2138" s="309" t="str">
        <f>VLOOKUP($B2138,'D7 - NDB Impacted SPRF''s'!$E$6:$O$9929,2,FALSE)</f>
        <v>Peradigm/NDB inetface-Contract Structure changes</v>
      </c>
      <c r="F2138" s="8" t="s">
        <v>5544</v>
      </c>
      <c r="G2138" s="8" t="s">
        <v>4758</v>
      </c>
      <c r="H2138" s="8" t="s">
        <v>2870</v>
      </c>
      <c r="I2138" s="20">
        <v>2</v>
      </c>
      <c r="J2138" s="8" t="s">
        <v>4862</v>
      </c>
      <c r="K2138" s="182">
        <v>39193</v>
      </c>
      <c r="L2138" s="8" t="s">
        <v>4156</v>
      </c>
      <c r="M2138" s="8" t="s">
        <v>6688</v>
      </c>
      <c r="N2138" s="367" t="s">
        <v>3249</v>
      </c>
      <c r="O2138" s="8"/>
      <c r="P2138" s="4" t="str">
        <f>VLOOKUP($B2138,'D7 - NDB Impacted SPRF''s'!$E$16:$O$9929,9,FALSE)</f>
        <v>N</v>
      </c>
      <c r="Q2138" s="4" t="str">
        <f>VLOOKUP($B2138,'D7 - NDB Impacted SPRF''s'!$E$16:$O$9929,10,FALSE)</f>
        <v>N</v>
      </c>
      <c r="R2138" s="4" t="str">
        <f>VLOOKUP($B2138,'D7 - NDB Impacted SPRF''s'!$E$16:$O$9929,11,FALSE)</f>
        <v>N</v>
      </c>
      <c r="S2138" s="8" t="s">
        <v>7273</v>
      </c>
      <c r="T2138" s="310"/>
      <c r="U2138" s="310"/>
      <c r="V2138" s="4"/>
      <c r="W2138" s="4"/>
      <c r="X2138" s="4"/>
      <c r="Y2138" s="4"/>
      <c r="Z2138" s="4"/>
      <c r="AA2138" s="4"/>
      <c r="AB2138" s="380" t="str">
        <f>VLOOKUP($B2138,'D7 - NDB Impacted SPRF''s'!$E$16:$O$9929,4,FALSE)</f>
        <v>Cancelled</v>
      </c>
      <c r="AC2138" s="380" t="str">
        <f>VLOOKUP($B2138,'D7 - NDB Impacted SPRF''s'!$E$16:$O$9929,3,FALSE)</f>
        <v>UnitedHealthcare Medicare &amp; Retirement</v>
      </c>
      <c r="AD2138" s="380" t="str">
        <f>VLOOKUP($B2138,'D7 - NDB Impacted SPRF''s'!$E$16:$O$9929,5,FALSE)</f>
        <v>Ovations</v>
      </c>
      <c r="AE2138" s="380" t="str">
        <f>VLOOKUP($B2138,'D7 - NDB Impacted SPRF''s'!$E$16:$O$9929,7,FALSE)</f>
        <v>Ashok Sundarshan</v>
      </c>
      <c r="AF2138" s="380" t="str">
        <f>VLOOKUP($B2138,'D7 - NDB Impacted SPRF''s'!$E$16:$O$9929,6,FALSE)</f>
        <v>GERALD GORODISCH</v>
      </c>
      <c r="AG2138" s="282"/>
      <c r="AH2138" s="311" t="e">
        <f>INDEX('D5 - Gatekeeper - Projects'!$A$4:$AF$1010,$AM2138, 17)</f>
        <v>#N/A</v>
      </c>
      <c r="AI2138" s="8"/>
      <c r="AJ2138" s="57"/>
      <c r="AK2138" s="105"/>
      <c r="AM2138" s="6" t="e">
        <f>MATCH(D2138,'D5 - Gatekeeper - Projects'!$C$4:$C$1010,0)</f>
        <v>#N/A</v>
      </c>
      <c r="AN2138" s="6" t="b">
        <f t="shared" si="227"/>
        <v>1</v>
      </c>
      <c r="AO2138" s="6" t="str">
        <f t="shared" si="228"/>
        <v>OK</v>
      </c>
      <c r="AQ2138" s="6" t="e">
        <f>MATCH($D2138,'D4 - Provider Council Unsched'!$C$11:$C$234,0)</f>
        <v>#N/A</v>
      </c>
      <c r="AR2138" s="6" t="b">
        <f t="shared" si="229"/>
        <v>1</v>
      </c>
      <c r="AS2138" s="6" t="str">
        <f t="shared" si="230"/>
        <v>OK</v>
      </c>
      <c r="AU2138" s="202"/>
      <c r="AV2138" s="262"/>
      <c r="AW2138" s="274"/>
    </row>
    <row r="2139" spans="1:49" s="13" customFormat="1" ht="33.75" x14ac:dyDescent="0.2">
      <c r="A2139" s="14">
        <v>2115</v>
      </c>
      <c r="B2139" s="14">
        <v>400016578</v>
      </c>
      <c r="C2139" s="8" t="s">
        <v>2449</v>
      </c>
      <c r="D2139" s="4" t="str">
        <f t="shared" si="225"/>
        <v>400016578R3</v>
      </c>
      <c r="E2139" s="309" t="str">
        <f>VLOOKUP($B2139,'D7 - NDB Impacted SPRF''s'!$E$6:$O$9929,2,FALSE)</f>
        <v>Detailed Tuning Recommendations</v>
      </c>
      <c r="F2139" s="8" t="s">
        <v>8133</v>
      </c>
      <c r="G2139" s="8" t="s">
        <v>4758</v>
      </c>
      <c r="H2139" s="8" t="s">
        <v>2870</v>
      </c>
      <c r="I2139" s="20">
        <v>1</v>
      </c>
      <c r="J2139" s="8" t="s">
        <v>4862</v>
      </c>
      <c r="K2139" s="182">
        <v>39193</v>
      </c>
      <c r="L2139" s="8" t="s">
        <v>5743</v>
      </c>
      <c r="M2139" s="8" t="s">
        <v>2814</v>
      </c>
      <c r="N2139" s="38" t="s">
        <v>4637</v>
      </c>
      <c r="O2139" s="8" t="s">
        <v>7755</v>
      </c>
      <c r="P2139" s="4" t="str">
        <f>VLOOKUP($B2139,'D7 - NDB Impacted SPRF''s'!$E$16:$O$9929,9,FALSE)</f>
        <v>Y</v>
      </c>
      <c r="Q2139" s="4" t="str">
        <f>VLOOKUP($B2139,'D7 - NDB Impacted SPRF''s'!$E$16:$O$9929,10,FALSE)</f>
        <v>N</v>
      </c>
      <c r="R2139" s="4" t="str">
        <f>VLOOKUP($B2139,'D7 - NDB Impacted SPRF''s'!$E$16:$O$9929,11,FALSE)</f>
        <v>N</v>
      </c>
      <c r="S2139" s="8"/>
      <c r="T2139" s="310"/>
      <c r="U2139" s="310"/>
      <c r="V2139" s="4"/>
      <c r="W2139" s="4"/>
      <c r="X2139" s="4"/>
      <c r="Y2139" s="4"/>
      <c r="Z2139" s="4"/>
      <c r="AA2139" s="4"/>
      <c r="AB2139" s="380" t="str">
        <f>VLOOKUP($B2139,'D7 - NDB Impacted SPRF''s'!$E$16:$O$9929,4,FALSE)</f>
        <v>Completed</v>
      </c>
      <c r="AC2139" s="380" t="str">
        <f>VLOOKUP($B2139,'D7 - NDB Impacted SPRF''s'!$E$16:$O$9929,3,FALSE)</f>
        <v>UHG IT - Application Services Group</v>
      </c>
      <c r="AD2139" s="380" t="str">
        <f>VLOOKUP($B2139,'D7 - NDB Impacted SPRF''s'!$E$16:$O$9929,5,FALSE)</f>
        <v>ASG</v>
      </c>
      <c r="AE2139" s="380" t="str">
        <f>VLOOKUP($B2139,'D7 - NDB Impacted SPRF''s'!$E$16:$O$9929,7,FALSE)</f>
        <v>Jeff Hanas</v>
      </c>
      <c r="AF2139" s="380" t="str">
        <f>VLOOKUP($B2139,'D7 - NDB Impacted SPRF''s'!$E$16:$O$9929,6,FALSE)</f>
        <v>Jeffrey Jablonski</v>
      </c>
      <c r="AG2139" s="282"/>
      <c r="AH2139" s="311" t="e">
        <f>INDEX('D5 - Gatekeeper - Projects'!$A$4:$AF$1010,$AM2139, 17)</f>
        <v>#N/A</v>
      </c>
      <c r="AI2139" s="8"/>
      <c r="AJ2139" s="57"/>
      <c r="AK2139" s="105"/>
      <c r="AM2139" s="6" t="e">
        <f>MATCH(D2139,'D5 - Gatekeeper - Projects'!$C$4:$C$1010,0)</f>
        <v>#N/A</v>
      </c>
      <c r="AN2139" s="6" t="b">
        <f t="shared" si="227"/>
        <v>1</v>
      </c>
      <c r="AO2139" s="6" t="str">
        <f t="shared" si="228"/>
        <v>OK</v>
      </c>
      <c r="AQ2139" s="6" t="e">
        <f>MATCH($D2139,'D4 - Provider Council Unsched'!$C$11:$C$234,0)</f>
        <v>#N/A</v>
      </c>
      <c r="AR2139" s="6" t="b">
        <f t="shared" si="229"/>
        <v>1</v>
      </c>
      <c r="AS2139" s="6" t="str">
        <f t="shared" si="230"/>
        <v>OK</v>
      </c>
      <c r="AU2139" s="202"/>
      <c r="AV2139" s="262"/>
      <c r="AW2139" s="274"/>
    </row>
    <row r="2140" spans="1:49" s="13" customFormat="1" ht="33.75" x14ac:dyDescent="0.2">
      <c r="A2140" s="14">
        <v>2116</v>
      </c>
      <c r="B2140" s="14">
        <v>400002032</v>
      </c>
      <c r="C2140" s="8" t="s">
        <v>5197</v>
      </c>
      <c r="D2140" s="4" t="str">
        <f t="shared" si="225"/>
        <v>400002032R1</v>
      </c>
      <c r="E2140" s="309" t="str">
        <f>VLOOKUP($B2140,'D7 - NDB Impacted SPRF''s'!$E$6:$O$9929,2,FALSE)</f>
        <v>Bill Type</v>
      </c>
      <c r="F2140" s="8" t="s">
        <v>6633</v>
      </c>
      <c r="G2140" s="8" t="s">
        <v>4758</v>
      </c>
      <c r="H2140" s="8" t="s">
        <v>2870</v>
      </c>
      <c r="I2140" s="20">
        <v>4</v>
      </c>
      <c r="J2140" s="8" t="s">
        <v>4862</v>
      </c>
      <c r="K2140" s="182">
        <v>39235</v>
      </c>
      <c r="L2140" s="8" t="s">
        <v>4156</v>
      </c>
      <c r="M2140" s="8" t="s">
        <v>2814</v>
      </c>
      <c r="N2140" s="367" t="s">
        <v>4653</v>
      </c>
      <c r="O2140" s="8"/>
      <c r="P2140" s="4" t="str">
        <f>VLOOKUP($B2140,'D7 - NDB Impacted SPRF''s'!$E$16:$O$9929,9,FALSE)</f>
        <v>Y</v>
      </c>
      <c r="Q2140" s="4" t="str">
        <f>VLOOKUP($B2140,'D7 - NDB Impacted SPRF''s'!$E$16:$O$9929,10,FALSE)</f>
        <v>N</v>
      </c>
      <c r="R2140" s="4" t="str">
        <f>VLOOKUP($B2140,'D7 - NDB Impacted SPRF''s'!$E$16:$O$9929,11,FALSE)</f>
        <v>N</v>
      </c>
      <c r="S2140" s="8"/>
      <c r="T2140" s="310"/>
      <c r="U2140" s="310"/>
      <c r="V2140" s="4"/>
      <c r="W2140" s="4"/>
      <c r="X2140" s="4"/>
      <c r="Y2140" s="4"/>
      <c r="Z2140" s="4"/>
      <c r="AA2140" s="4"/>
      <c r="AB2140" s="380" t="str">
        <f>VLOOKUP($B2140,'D7 - NDB Impacted SPRF''s'!$E$16:$O$9929,4,FALSE)</f>
        <v>Cancelled</v>
      </c>
      <c r="AC2140" s="380" t="str">
        <f>VLOOKUP($B2140,'D7 - NDB Impacted SPRF''s'!$E$16:$O$9929,3,FALSE)</f>
        <v>UnitedHealthcare Employer &amp; Individual</v>
      </c>
      <c r="AD2140" s="380" t="str">
        <f>VLOOKUP($B2140,'D7 - NDB Impacted SPRF''s'!$E$16:$O$9929,5,FALSE)</f>
        <v>Medical Cost Savings Programs</v>
      </c>
      <c r="AE2140" s="380" t="str">
        <f>VLOOKUP($B2140,'D7 - NDB Impacted SPRF''s'!$E$16:$O$9929,7,FALSE)</f>
        <v>Juan Serrano</v>
      </c>
      <c r="AF2140" s="380" t="str">
        <f>VLOOKUP($B2140,'D7 - NDB Impacted SPRF''s'!$E$16:$O$9929,6,FALSE)</f>
        <v>Rigina Stewart</v>
      </c>
      <c r="AG2140" s="282" t="s">
        <v>7755</v>
      </c>
      <c r="AH2140" s="311" t="e">
        <f>INDEX('D5 - Gatekeeper - Projects'!$A$4:$AF$1010,$AM2140, 17)</f>
        <v>#N/A</v>
      </c>
      <c r="AI2140" s="8"/>
      <c r="AJ2140" s="57"/>
      <c r="AK2140" s="105"/>
      <c r="AM2140" s="6" t="e">
        <f>MATCH(D2140,'D5 - Gatekeeper - Projects'!$C$4:$C$1010,0)</f>
        <v>#N/A</v>
      </c>
      <c r="AN2140" s="6" t="b">
        <f t="shared" si="227"/>
        <v>1</v>
      </c>
      <c r="AO2140" s="6" t="str">
        <f t="shared" si="228"/>
        <v>OK</v>
      </c>
      <c r="AQ2140" s="6" t="e">
        <f>MATCH($D2140,'D4 - Provider Council Unsched'!$C$11:$C$234,0)</f>
        <v>#N/A</v>
      </c>
      <c r="AR2140" s="6" t="b">
        <f t="shared" si="229"/>
        <v>1</v>
      </c>
      <c r="AS2140" s="6" t="str">
        <f t="shared" si="230"/>
        <v>OK</v>
      </c>
      <c r="AU2140" s="202"/>
      <c r="AV2140" s="262"/>
      <c r="AW2140" s="274"/>
    </row>
    <row r="2141" spans="1:49" s="13" customFormat="1" ht="22.5" x14ac:dyDescent="0.2">
      <c r="A2141" s="14">
        <v>2117</v>
      </c>
      <c r="B2141" s="14">
        <v>400009608</v>
      </c>
      <c r="C2141" s="8" t="s">
        <v>5197</v>
      </c>
      <c r="D2141" s="4" t="str">
        <f t="shared" si="225"/>
        <v>400009608R1</v>
      </c>
      <c r="E2141" s="309" t="str">
        <f>VLOOKUP($B2141,'D7 - NDB Impacted SPRF''s'!$E$6:$O$9929,2,FALSE)</f>
        <v>CORP1-Netclaim-Reciprocity Enhancement Phase II</v>
      </c>
      <c r="F2141" s="8" t="s">
        <v>5196</v>
      </c>
      <c r="G2141" s="8" t="s">
        <v>4758</v>
      </c>
      <c r="H2141" s="8" t="s">
        <v>2870</v>
      </c>
      <c r="I2141" s="20">
        <v>12.69</v>
      </c>
      <c r="J2141" s="8" t="s">
        <v>4862</v>
      </c>
      <c r="K2141" s="182">
        <v>39235</v>
      </c>
      <c r="L2141" s="8" t="s">
        <v>4156</v>
      </c>
      <c r="M2141" s="8" t="s">
        <v>2814</v>
      </c>
      <c r="N2141" s="367" t="s">
        <v>3315</v>
      </c>
      <c r="O2141" s="8"/>
      <c r="P2141" s="4" t="str">
        <f>VLOOKUP($B2141,'D7 - NDB Impacted SPRF''s'!$E$16:$O$9929,9,FALSE)</f>
        <v>Y</v>
      </c>
      <c r="Q2141" s="4" t="str">
        <f>VLOOKUP($B2141,'D7 - NDB Impacted SPRF''s'!$E$16:$O$9929,10,FALSE)</f>
        <v>N</v>
      </c>
      <c r="R2141" s="4" t="str">
        <f>VLOOKUP($B2141,'D7 - NDB Impacted SPRF''s'!$E$16:$O$9929,11,FALSE)</f>
        <v>N</v>
      </c>
      <c r="S2141" s="8" t="s">
        <v>3758</v>
      </c>
      <c r="T2141" s="310"/>
      <c r="U2141" s="310"/>
      <c r="V2141" s="4"/>
      <c r="W2141" s="4"/>
      <c r="X2141" s="4"/>
      <c r="Y2141" s="4"/>
      <c r="Z2141" s="4"/>
      <c r="AA2141" s="4"/>
      <c r="AB2141" s="380" t="str">
        <f>VLOOKUP($B2141,'D7 - NDB Impacted SPRF''s'!$E$16:$O$9929,4,FALSE)</f>
        <v>Cancelled</v>
      </c>
      <c r="AC2141" s="380" t="str">
        <f>VLOOKUP($B2141,'D7 - NDB Impacted SPRF''s'!$E$16:$O$9929,3,FALSE)</f>
        <v>Alliance</v>
      </c>
      <c r="AD2141" s="380" t="str">
        <f>VLOOKUP($B2141,'D7 - NDB Impacted SPRF''s'!$E$16:$O$9929,5,FALSE)</f>
        <v>Healthcare Service Alliance</v>
      </c>
      <c r="AE2141" s="380" t="str">
        <f>VLOOKUP($B2141,'D7 - NDB Impacted SPRF''s'!$E$16:$O$9929,7,FALSE)</f>
        <v>Bev Nyce</v>
      </c>
      <c r="AF2141" s="380" t="str">
        <f>VLOOKUP($B2141,'D7 - NDB Impacted SPRF''s'!$E$16:$O$9929,6,FALSE)</f>
        <v>Susan Neal</v>
      </c>
      <c r="AG2141" s="282" t="s">
        <v>6682</v>
      </c>
      <c r="AH2141" s="311" t="e">
        <f>INDEX('D5 - Gatekeeper - Projects'!$A$4:$AF$1010,$AM2141, 17)</f>
        <v>#N/A</v>
      </c>
      <c r="AI2141" s="8"/>
      <c r="AJ2141" s="57"/>
      <c r="AK2141" s="105"/>
      <c r="AM2141" s="6" t="e">
        <f>MATCH(D2141,'D5 - Gatekeeper - Projects'!$C$4:$C$1010,0)</f>
        <v>#N/A</v>
      </c>
      <c r="AN2141" s="6" t="b">
        <f t="shared" si="227"/>
        <v>1</v>
      </c>
      <c r="AO2141" s="6" t="str">
        <f t="shared" si="228"/>
        <v>OK</v>
      </c>
      <c r="AQ2141" s="6" t="e">
        <f>MATCH($D2141,'D4 - Provider Council Unsched'!$C$11:$C$234,0)</f>
        <v>#N/A</v>
      </c>
      <c r="AR2141" s="6" t="b">
        <f t="shared" si="229"/>
        <v>1</v>
      </c>
      <c r="AS2141" s="6" t="str">
        <f t="shared" si="230"/>
        <v>OK</v>
      </c>
      <c r="AU2141" s="202"/>
      <c r="AV2141" s="262"/>
      <c r="AW2141" s="274"/>
    </row>
    <row r="2142" spans="1:49" s="13" customFormat="1" x14ac:dyDescent="0.2">
      <c r="A2142" s="14">
        <v>2118</v>
      </c>
      <c r="B2142" s="14">
        <v>400009608</v>
      </c>
      <c r="C2142" s="8" t="s">
        <v>1992</v>
      </c>
      <c r="D2142" s="4" t="str">
        <f t="shared" si="225"/>
        <v>400009608U1</v>
      </c>
      <c r="E2142" s="309" t="str">
        <f>VLOOKUP($B2142,'D7 - NDB Impacted SPRF''s'!$E$6:$O$9929,2,FALSE)</f>
        <v>CORP1-Netclaim-Reciprocity Enhancement Phase II</v>
      </c>
      <c r="F2142" s="8" t="s">
        <v>5196</v>
      </c>
      <c r="G2142" s="8" t="s">
        <v>4758</v>
      </c>
      <c r="H2142" s="8" t="s">
        <v>2870</v>
      </c>
      <c r="I2142" s="20">
        <v>0.44</v>
      </c>
      <c r="J2142" s="8" t="s">
        <v>4862</v>
      </c>
      <c r="K2142" s="182">
        <v>39235</v>
      </c>
      <c r="L2142" s="8" t="s">
        <v>4156</v>
      </c>
      <c r="M2142" s="8" t="s">
        <v>2814</v>
      </c>
      <c r="N2142" s="368"/>
      <c r="O2142" s="8"/>
      <c r="P2142" s="4" t="str">
        <f>VLOOKUP($B2142,'D7 - NDB Impacted SPRF''s'!$E$16:$O$9929,9,FALSE)</f>
        <v>Y</v>
      </c>
      <c r="Q2142" s="4" t="str">
        <f>VLOOKUP($B2142,'D7 - NDB Impacted SPRF''s'!$E$16:$O$9929,10,FALSE)</f>
        <v>N</v>
      </c>
      <c r="R2142" s="4" t="str">
        <f>VLOOKUP($B2142,'D7 - NDB Impacted SPRF''s'!$E$16:$O$9929,11,FALSE)</f>
        <v>N</v>
      </c>
      <c r="S2142" s="8" t="s">
        <v>3758</v>
      </c>
      <c r="T2142" s="310"/>
      <c r="U2142" s="310"/>
      <c r="V2142" s="4"/>
      <c r="W2142" s="4"/>
      <c r="X2142" s="4"/>
      <c r="Y2142" s="4"/>
      <c r="Z2142" s="4"/>
      <c r="AA2142" s="4"/>
      <c r="AB2142" s="380" t="str">
        <f>VLOOKUP($B2142,'D7 - NDB Impacted SPRF''s'!$E$16:$O$9929,4,FALSE)</f>
        <v>Cancelled</v>
      </c>
      <c r="AC2142" s="380" t="str">
        <f>VLOOKUP($B2142,'D7 - NDB Impacted SPRF''s'!$E$16:$O$9929,3,FALSE)</f>
        <v>Alliance</v>
      </c>
      <c r="AD2142" s="380" t="str">
        <f>VLOOKUP($B2142,'D7 - NDB Impacted SPRF''s'!$E$16:$O$9929,5,FALSE)</f>
        <v>Healthcare Service Alliance</v>
      </c>
      <c r="AE2142" s="380" t="str">
        <f>VLOOKUP($B2142,'D7 - NDB Impacted SPRF''s'!$E$16:$O$9929,7,FALSE)</f>
        <v>Bev Nyce</v>
      </c>
      <c r="AF2142" s="380" t="str">
        <f>VLOOKUP($B2142,'D7 - NDB Impacted SPRF''s'!$E$16:$O$9929,6,FALSE)</f>
        <v>Susan Neal</v>
      </c>
      <c r="AG2142" s="282" t="s">
        <v>6682</v>
      </c>
      <c r="AH2142" s="311" t="e">
        <f>INDEX('D5 - Gatekeeper - Projects'!$A$4:$AF$1010,$AM2142, 17)</f>
        <v>#N/A</v>
      </c>
      <c r="AI2142" s="8"/>
      <c r="AJ2142" s="57"/>
      <c r="AK2142" s="105"/>
      <c r="AM2142" s="6" t="e">
        <f>MATCH(D2142,'D5 - Gatekeeper - Projects'!$C$4:$C$1010,0)</f>
        <v>#N/A</v>
      </c>
      <c r="AN2142" s="6" t="b">
        <f t="shared" si="227"/>
        <v>1</v>
      </c>
      <c r="AO2142" s="6" t="str">
        <f t="shared" si="228"/>
        <v>OK</v>
      </c>
      <c r="AQ2142" s="6" t="e">
        <f>MATCH($D2142,'D4 - Provider Council Unsched'!$C$11:$C$234,0)</f>
        <v>#N/A</v>
      </c>
      <c r="AR2142" s="6" t="b">
        <f t="shared" si="229"/>
        <v>1</v>
      </c>
      <c r="AS2142" s="6" t="str">
        <f t="shared" si="230"/>
        <v>OK</v>
      </c>
      <c r="AU2142" s="202"/>
      <c r="AV2142" s="262"/>
      <c r="AW2142" s="274"/>
    </row>
    <row r="2143" spans="1:49" s="13" customFormat="1" ht="33.75" x14ac:dyDescent="0.2">
      <c r="A2143" s="14">
        <v>2119</v>
      </c>
      <c r="B2143" s="14">
        <v>400012830</v>
      </c>
      <c r="C2143" s="8" t="s">
        <v>2449</v>
      </c>
      <c r="D2143" s="4" t="str">
        <f t="shared" si="225"/>
        <v>400012830R3</v>
      </c>
      <c r="E2143" s="309" t="str">
        <f>VLOOKUP($B2143,'D7 - NDB Impacted SPRF''s'!$E$6:$O$9929,2,FALSE)</f>
        <v>Alliances Data Exchange Platform</v>
      </c>
      <c r="F2143" s="8" t="s">
        <v>5196</v>
      </c>
      <c r="G2143" s="8" t="s">
        <v>4758</v>
      </c>
      <c r="H2143" s="8" t="s">
        <v>2870</v>
      </c>
      <c r="I2143" s="20">
        <v>61.32</v>
      </c>
      <c r="J2143" s="8" t="s">
        <v>4862</v>
      </c>
      <c r="K2143" s="182">
        <v>39235</v>
      </c>
      <c r="L2143" s="8" t="s">
        <v>5743</v>
      </c>
      <c r="M2143" s="8" t="s">
        <v>2814</v>
      </c>
      <c r="N2143" s="367" t="s">
        <v>7623</v>
      </c>
      <c r="O2143" s="8"/>
      <c r="P2143" s="4" t="str">
        <f>VLOOKUP($B2143,'D7 - NDB Impacted SPRF''s'!$E$16:$O$9929,9,FALSE)</f>
        <v>Y</v>
      </c>
      <c r="Q2143" s="4" t="str">
        <f>VLOOKUP($B2143,'D7 - NDB Impacted SPRF''s'!$E$16:$O$9929,10,FALSE)</f>
        <v>N</v>
      </c>
      <c r="R2143" s="4" t="str">
        <f>VLOOKUP($B2143,'D7 - NDB Impacted SPRF''s'!$E$16:$O$9929,11,FALSE)</f>
        <v>N</v>
      </c>
      <c r="S2143" s="8" t="s">
        <v>3758</v>
      </c>
      <c r="T2143" s="310"/>
      <c r="U2143" s="310"/>
      <c r="V2143" s="4"/>
      <c r="W2143" s="4"/>
      <c r="X2143" s="4"/>
      <c r="Y2143" s="4"/>
      <c r="Z2143" s="4"/>
      <c r="AA2143" s="4"/>
      <c r="AB2143" s="380" t="str">
        <f>VLOOKUP($B2143,'D7 - NDB Impacted SPRF''s'!$E$16:$O$9929,4,FALSE)</f>
        <v>Completed</v>
      </c>
      <c r="AC2143" s="380" t="str">
        <f>VLOOKUP($B2143,'D7 - NDB Impacted SPRF''s'!$E$16:$O$9929,3,FALSE)</f>
        <v>UnitedHealthcare Employer &amp; Individual</v>
      </c>
      <c r="AD2143" s="380" t="str">
        <f>VLOOKUP($B2143,'D7 - NDB Impacted SPRF''s'!$E$16:$O$9929,5,FALSE)</f>
        <v>Healthcare Service Alliance</v>
      </c>
      <c r="AE2143" s="380" t="str">
        <f>VLOOKUP($B2143,'D7 - NDB Impacted SPRF''s'!$E$16:$O$9929,7,FALSE)</f>
        <v>Bev Nyce</v>
      </c>
      <c r="AF2143" s="380" t="str">
        <f>VLOOKUP($B2143,'D7 - NDB Impacted SPRF''s'!$E$16:$O$9929,6,FALSE)</f>
        <v>DONALD DEMARCO</v>
      </c>
      <c r="AG2143" s="282" t="s">
        <v>7755</v>
      </c>
      <c r="AH2143" s="311" t="e">
        <f>INDEX('D5 - Gatekeeper - Projects'!$A$4:$AF$1010,$AM2143, 17)</f>
        <v>#N/A</v>
      </c>
      <c r="AI2143" s="8"/>
      <c r="AJ2143" s="57"/>
      <c r="AK2143" s="105"/>
      <c r="AM2143" s="6" t="e">
        <f>MATCH(D2143,'D5 - Gatekeeper - Projects'!$C$4:$C$1010,0)</f>
        <v>#N/A</v>
      </c>
      <c r="AN2143" s="6" t="b">
        <f t="shared" si="227"/>
        <v>1</v>
      </c>
      <c r="AO2143" s="6" t="str">
        <f t="shared" si="228"/>
        <v>OK</v>
      </c>
      <c r="AQ2143" s="6" t="e">
        <f>MATCH($D2143,'D4 - Provider Council Unsched'!$C$11:$C$234,0)</f>
        <v>#N/A</v>
      </c>
      <c r="AR2143" s="6" t="b">
        <f t="shared" si="229"/>
        <v>1</v>
      </c>
      <c r="AS2143" s="6" t="str">
        <f t="shared" si="230"/>
        <v>OK</v>
      </c>
      <c r="AU2143" s="202"/>
      <c r="AV2143" s="262"/>
      <c r="AW2143" s="274"/>
    </row>
    <row r="2144" spans="1:49" s="13" customFormat="1" ht="33.75" x14ac:dyDescent="0.2">
      <c r="A2144" s="14">
        <v>2120</v>
      </c>
      <c r="B2144" s="14">
        <v>400012978</v>
      </c>
      <c r="C2144" s="8" t="s">
        <v>5664</v>
      </c>
      <c r="D2144" s="4" t="str">
        <f t="shared" si="225"/>
        <v>400012978U4</v>
      </c>
      <c r="E2144" s="309" t="str">
        <f>VLOOKUP($B2144,'D7 - NDB Impacted SPRF''s'!$E$6:$O$9929,2,FALSE)</f>
        <v xml:space="preserve">Enterprise Capitation Solution - Provider </v>
      </c>
      <c r="F2144" s="8" t="s">
        <v>7593</v>
      </c>
      <c r="G2144" s="8" t="s">
        <v>4758</v>
      </c>
      <c r="H2144" s="8" t="s">
        <v>2870</v>
      </c>
      <c r="I2144" s="20">
        <v>0.52</v>
      </c>
      <c r="J2144" s="8" t="s">
        <v>4862</v>
      </c>
      <c r="K2144" s="182">
        <v>39235</v>
      </c>
      <c r="L2144" s="8" t="s">
        <v>5743</v>
      </c>
      <c r="M2144" s="8" t="s">
        <v>2814</v>
      </c>
      <c r="N2144" s="367" t="s">
        <v>7636</v>
      </c>
      <c r="O2144" s="8"/>
      <c r="P2144" s="4" t="str">
        <f>VLOOKUP($B2144,'D7 - NDB Impacted SPRF''s'!$E$16:$O$9929,9,FALSE)</f>
        <v>N</v>
      </c>
      <c r="Q2144" s="4" t="str">
        <f>VLOOKUP($B2144,'D7 - NDB Impacted SPRF''s'!$E$16:$O$9929,10,FALSE)</f>
        <v>N</v>
      </c>
      <c r="R2144" s="4" t="str">
        <f>VLOOKUP($B2144,'D7 - NDB Impacted SPRF''s'!$E$16:$O$9929,11,FALSE)</f>
        <v>N</v>
      </c>
      <c r="S2144" s="8" t="s">
        <v>3758</v>
      </c>
      <c r="T2144" s="310"/>
      <c r="U2144" s="310"/>
      <c r="V2144" s="4"/>
      <c r="W2144" s="4"/>
      <c r="X2144" s="4"/>
      <c r="Y2144" s="4"/>
      <c r="Z2144" s="4"/>
      <c r="AA2144" s="4"/>
      <c r="AB2144" s="380" t="str">
        <f>VLOOKUP($B2144,'D7 - NDB Impacted SPRF''s'!$E$16:$O$9929,4,FALSE)</f>
        <v>Completed</v>
      </c>
      <c r="AC2144" s="380" t="str">
        <f>VLOOKUP($B2144,'D7 - NDB Impacted SPRF''s'!$E$16:$O$9929,3,FALSE)</f>
        <v>UnitedHealthcare Employer &amp; Individual</v>
      </c>
      <c r="AD2144" s="380" t="str">
        <f>VLOOKUP($B2144,'D7 - NDB Impacted SPRF''s'!$E$16:$O$9929,5,FALSE)</f>
        <v>Integration Requirements</v>
      </c>
      <c r="AE2144" s="380" t="str">
        <f>VLOOKUP($B2144,'D7 - NDB Impacted SPRF''s'!$E$16:$O$9929,7,FALSE)</f>
        <v>Tim Kaja</v>
      </c>
      <c r="AF2144" s="380" t="str">
        <f>VLOOKUP($B2144,'D7 - NDB Impacted SPRF''s'!$E$16:$O$9929,6,FALSE)</f>
        <v>SEAN WATKINS</v>
      </c>
      <c r="AG2144" s="282"/>
      <c r="AH2144" s="311" t="e">
        <f>INDEX('D5 - Gatekeeper - Projects'!$A$4:$AF$1010,$AM2144, 17)</f>
        <v>#N/A</v>
      </c>
      <c r="AI2144" s="8"/>
      <c r="AJ2144" s="57"/>
      <c r="AK2144" s="105"/>
      <c r="AM2144" s="6" t="e">
        <f>MATCH(D2144,'D5 - Gatekeeper - Projects'!$C$4:$C$1010,0)</f>
        <v>#N/A</v>
      </c>
      <c r="AN2144" s="6" t="b">
        <f t="shared" si="227"/>
        <v>1</v>
      </c>
      <c r="AO2144" s="6" t="str">
        <f t="shared" si="228"/>
        <v>OK</v>
      </c>
      <c r="AQ2144" s="6" t="e">
        <f>MATCH($D2144,'D4 - Provider Council Unsched'!$C$11:$C$234,0)</f>
        <v>#N/A</v>
      </c>
      <c r="AR2144" s="6" t="b">
        <f t="shared" si="229"/>
        <v>1</v>
      </c>
      <c r="AS2144" s="6" t="str">
        <f t="shared" si="230"/>
        <v>OK</v>
      </c>
      <c r="AU2144" s="202"/>
      <c r="AV2144" s="262"/>
      <c r="AW2144" s="274"/>
    </row>
    <row r="2145" spans="1:49" s="13" customFormat="1" ht="33.75" x14ac:dyDescent="0.2">
      <c r="A2145" s="14">
        <v>2121</v>
      </c>
      <c r="B2145" s="14">
        <v>400014745</v>
      </c>
      <c r="C2145" s="8" t="s">
        <v>5197</v>
      </c>
      <c r="D2145" s="4" t="str">
        <f t="shared" si="225"/>
        <v>400014745R1</v>
      </c>
      <c r="E2145" s="309" t="str">
        <f>VLOOKUP($B2145,'D7 - NDB Impacted SPRF''s'!$E$6:$O$9929,2,FALSE)</f>
        <v>PHS HMO Product Capabilities</v>
      </c>
      <c r="F2145" s="8" t="s">
        <v>4041</v>
      </c>
      <c r="G2145" s="8" t="s">
        <v>4758</v>
      </c>
      <c r="H2145" s="8" t="s">
        <v>2870</v>
      </c>
      <c r="I2145" s="20">
        <v>160.55000000000001</v>
      </c>
      <c r="J2145" s="8" t="s">
        <v>4862</v>
      </c>
      <c r="K2145" s="182">
        <v>39235</v>
      </c>
      <c r="L2145" s="8" t="s">
        <v>5743</v>
      </c>
      <c r="M2145" s="8" t="s">
        <v>2814</v>
      </c>
      <c r="N2145" s="38" t="s">
        <v>5178</v>
      </c>
      <c r="O2145" s="8"/>
      <c r="P2145" s="4" t="str">
        <f>VLOOKUP($B2145,'D7 - NDB Impacted SPRF''s'!$E$16:$O$9929,9,FALSE)</f>
        <v>Y</v>
      </c>
      <c r="Q2145" s="4" t="str">
        <f>VLOOKUP($B2145,'D7 - NDB Impacted SPRF''s'!$E$16:$O$9929,10,FALSE)</f>
        <v>N</v>
      </c>
      <c r="R2145" s="4" t="str">
        <f>VLOOKUP($B2145,'D7 - NDB Impacted SPRF''s'!$E$16:$O$9929,11,FALSE)</f>
        <v>N</v>
      </c>
      <c r="S2145" s="8"/>
      <c r="T2145" s="310"/>
      <c r="U2145" s="310"/>
      <c r="V2145" s="4"/>
      <c r="W2145" s="4"/>
      <c r="X2145" s="4"/>
      <c r="Y2145" s="4"/>
      <c r="Z2145" s="4"/>
      <c r="AA2145" s="4"/>
      <c r="AB2145" s="380" t="str">
        <f>VLOOKUP($B2145,'D7 - NDB Impacted SPRF''s'!$E$16:$O$9929,4,FALSE)</f>
        <v>Cancelled</v>
      </c>
      <c r="AC2145" s="380" t="str">
        <f>VLOOKUP($B2145,'D7 - NDB Impacted SPRF''s'!$E$16:$O$9929,3,FALSE)</f>
        <v>UnitedHealthcare Employer &amp; Individual</v>
      </c>
      <c r="AD2145" s="380" t="str">
        <f>VLOOKUP($B2145,'D7 - NDB Impacted SPRF''s'!$E$16:$O$9929,5,FALSE)</f>
        <v>Integration Requirements</v>
      </c>
      <c r="AE2145" s="380" t="str">
        <f>VLOOKUP($B2145,'D7 - NDB Impacted SPRF''s'!$E$16:$O$9929,7,FALSE)</f>
        <v>Diane Schofield</v>
      </c>
      <c r="AF2145" s="380" t="str">
        <f>VLOOKUP($B2145,'D7 - NDB Impacted SPRF''s'!$E$16:$O$9929,6,FALSE)</f>
        <v>SUSAN TONKIN</v>
      </c>
      <c r="AG2145" s="282"/>
      <c r="AH2145" s="311" t="e">
        <f>INDEX('D5 - Gatekeeper - Projects'!$A$4:$AF$1010,$AM2145, 17)</f>
        <v>#N/A</v>
      </c>
      <c r="AI2145" s="8"/>
      <c r="AJ2145" s="57"/>
      <c r="AK2145" s="105"/>
      <c r="AM2145" s="6" t="e">
        <f>MATCH(D2145,'D5 - Gatekeeper - Projects'!$C$4:$C$1010,0)</f>
        <v>#N/A</v>
      </c>
      <c r="AN2145" s="6" t="b">
        <f t="shared" si="227"/>
        <v>1</v>
      </c>
      <c r="AO2145" s="6" t="str">
        <f t="shared" si="228"/>
        <v>OK</v>
      </c>
      <c r="AQ2145" s="6" t="e">
        <f>MATCH($D2145,'D4 - Provider Council Unsched'!$C$11:$C$234,0)</f>
        <v>#N/A</v>
      </c>
      <c r="AR2145" s="6" t="b">
        <f t="shared" si="229"/>
        <v>1</v>
      </c>
      <c r="AS2145" s="6" t="str">
        <f t="shared" si="230"/>
        <v>OK</v>
      </c>
      <c r="AU2145" s="202"/>
      <c r="AV2145" s="262"/>
      <c r="AW2145" s="274"/>
    </row>
    <row r="2146" spans="1:49" s="13" customFormat="1" x14ac:dyDescent="0.2">
      <c r="A2146" s="14">
        <v>2122</v>
      </c>
      <c r="B2146" s="14" t="s">
        <v>7592</v>
      </c>
      <c r="C2146" s="8" t="s">
        <v>5197</v>
      </c>
      <c r="D2146" s="4" t="str">
        <f t="shared" si="225"/>
        <v>TBDERCR1</v>
      </c>
      <c r="E2146" s="309" t="s">
        <v>3360</v>
      </c>
      <c r="F2146" s="8" t="s">
        <v>7106</v>
      </c>
      <c r="G2146" s="8" t="s">
        <v>4758</v>
      </c>
      <c r="H2146" s="8" t="s">
        <v>2870</v>
      </c>
      <c r="I2146" s="20">
        <v>50</v>
      </c>
      <c r="J2146" s="8" t="s">
        <v>7113</v>
      </c>
      <c r="K2146" s="182">
        <v>39235</v>
      </c>
      <c r="L2146" s="8" t="s">
        <v>5743</v>
      </c>
      <c r="M2146" s="8" t="s">
        <v>2814</v>
      </c>
      <c r="N2146" s="38" t="s">
        <v>2433</v>
      </c>
      <c r="O2146" s="8"/>
      <c r="P2146" s="4" t="e">
        <f>VLOOKUP($B2146,'D7 - NDB Impacted SPRF''s'!$E$16:$O$9929,9,FALSE)</f>
        <v>#N/A</v>
      </c>
      <c r="Q2146" s="4" t="e">
        <f>VLOOKUP($B2146,'D7 - NDB Impacted SPRF''s'!$E$16:$O$9929,10,FALSE)</f>
        <v>#N/A</v>
      </c>
      <c r="R2146" s="4" t="e">
        <f>VLOOKUP($B2146,'D7 - NDB Impacted SPRF''s'!$E$16:$O$9929,11,FALSE)</f>
        <v>#N/A</v>
      </c>
      <c r="S2146" s="8"/>
      <c r="T2146" s="310"/>
      <c r="U2146" s="310"/>
      <c r="V2146" s="4"/>
      <c r="W2146" s="4"/>
      <c r="X2146" s="4"/>
      <c r="Y2146" s="4"/>
      <c r="Z2146" s="4"/>
      <c r="AA2146" s="4"/>
      <c r="AB2146" s="380" t="e">
        <f>VLOOKUP($B2146,'D7 - NDB Impacted SPRF''s'!$E$16:$O$9929,4,FALSE)</f>
        <v>#N/A</v>
      </c>
      <c r="AC2146" s="380" t="e">
        <f>VLOOKUP($B2146,'D7 - NDB Impacted SPRF''s'!$E$16:$O$9929,3,FALSE)</f>
        <v>#N/A</v>
      </c>
      <c r="AD2146" s="380" t="e">
        <f>VLOOKUP($B2146,'D7 - NDB Impacted SPRF''s'!$E$16:$O$9929,5,FALSE)</f>
        <v>#N/A</v>
      </c>
      <c r="AE2146" s="380" t="e">
        <f>VLOOKUP($B2146,'D7 - NDB Impacted SPRF''s'!$E$16:$O$9929,7,FALSE)</f>
        <v>#N/A</v>
      </c>
      <c r="AF2146" s="380" t="e">
        <f>VLOOKUP($B2146,'D7 - NDB Impacted SPRF''s'!$E$16:$O$9929,6,FALSE)</f>
        <v>#N/A</v>
      </c>
      <c r="AG2146" s="282"/>
      <c r="AH2146" s="311" t="e">
        <f>INDEX('D5 - Gatekeeper - Projects'!$A$4:$AF$1010,$AM2146, 17)</f>
        <v>#N/A</v>
      </c>
      <c r="AI2146" s="8"/>
      <c r="AJ2146" s="57"/>
      <c r="AK2146" s="105"/>
      <c r="AM2146" s="6" t="e">
        <f>MATCH(D2146,'D5 - Gatekeeper - Projects'!$C$4:$C$1010,0)</f>
        <v>#N/A</v>
      </c>
      <c r="AN2146" s="6" t="b">
        <f t="shared" si="227"/>
        <v>1</v>
      </c>
      <c r="AO2146" s="6" t="str">
        <f t="shared" si="228"/>
        <v>OK</v>
      </c>
      <c r="AQ2146" s="6" t="e">
        <f>MATCH($D2146,'D4 - Provider Council Unsched'!$C$11:$C$234,0)</f>
        <v>#N/A</v>
      </c>
      <c r="AR2146" s="6" t="b">
        <f t="shared" si="229"/>
        <v>1</v>
      </c>
      <c r="AS2146" s="6" t="str">
        <f t="shared" si="230"/>
        <v>OK</v>
      </c>
      <c r="AU2146" s="202"/>
      <c r="AV2146" s="262"/>
      <c r="AW2146" s="274"/>
    </row>
    <row r="2147" spans="1:49" s="13" customFormat="1" ht="33.75" x14ac:dyDescent="0.2">
      <c r="A2147" s="14">
        <v>2123</v>
      </c>
      <c r="B2147" s="14">
        <v>400010721</v>
      </c>
      <c r="C2147" s="8" t="s">
        <v>2961</v>
      </c>
      <c r="D2147" s="4" t="str">
        <f t="shared" si="225"/>
        <v>400010721CC14R1</v>
      </c>
      <c r="E2147" s="309" t="str">
        <f>VLOOKUP($B2147,'D7 - NDB Impacted SPRF''s'!$E$6:$O$9929,2,FALSE)</f>
        <v>GHMO Analysis &amp; Design Phase V (Medica)</v>
      </c>
      <c r="F2147" s="8" t="s">
        <v>4168</v>
      </c>
      <c r="G2147" s="8" t="s">
        <v>4758</v>
      </c>
      <c r="H2147" s="8" t="s">
        <v>2870</v>
      </c>
      <c r="I2147" s="20">
        <v>10</v>
      </c>
      <c r="J2147" s="8" t="s">
        <v>4862</v>
      </c>
      <c r="K2147" s="182">
        <v>39249</v>
      </c>
      <c r="L2147" s="8" t="s">
        <v>5743</v>
      </c>
      <c r="M2147" s="8" t="s">
        <v>2814</v>
      </c>
      <c r="N2147" s="367" t="s">
        <v>6084</v>
      </c>
      <c r="O2147" s="8"/>
      <c r="P2147" s="4" t="str">
        <f>VLOOKUP($B2147,'D7 - NDB Impacted SPRF''s'!$E$16:$O$9929,9,FALSE)</f>
        <v>Y</v>
      </c>
      <c r="Q2147" s="4" t="str">
        <f>VLOOKUP($B2147,'D7 - NDB Impacted SPRF''s'!$E$16:$O$9929,10,FALSE)</f>
        <v>N</v>
      </c>
      <c r="R2147" s="4" t="str">
        <f>VLOOKUP($B2147,'D7 - NDB Impacted SPRF''s'!$E$16:$O$9929,11,FALSE)</f>
        <v>N</v>
      </c>
      <c r="S2147" s="8" t="s">
        <v>3758</v>
      </c>
      <c r="T2147" s="310"/>
      <c r="U2147" s="310"/>
      <c r="V2147" s="4"/>
      <c r="W2147" s="4"/>
      <c r="X2147" s="4"/>
      <c r="Y2147" s="4"/>
      <c r="Z2147" s="4"/>
      <c r="AA2147" s="4"/>
      <c r="AB2147" s="380" t="str">
        <f>VLOOKUP($B2147,'D7 - NDB Impacted SPRF''s'!$E$16:$O$9929,4,FALSE)</f>
        <v>Completed</v>
      </c>
      <c r="AC2147" s="380" t="str">
        <f>VLOOKUP($B2147,'D7 - NDB Impacted SPRF''s'!$E$16:$O$9929,3,FALSE)</f>
        <v>UnitedHealthcare Employer &amp; Individual</v>
      </c>
      <c r="AD2147" s="380" t="str">
        <f>VLOOKUP($B2147,'D7 - NDB Impacted SPRF''s'!$E$16:$O$9929,5,FALSE)</f>
        <v>Gated HMO</v>
      </c>
      <c r="AE2147" s="380" t="str">
        <f>VLOOKUP($B2147,'D7 - NDB Impacted SPRF''s'!$E$16:$O$9929,7,FALSE)</f>
        <v>Diane Schofield</v>
      </c>
      <c r="AF2147" s="380" t="str">
        <f>VLOOKUP($B2147,'D7 - NDB Impacted SPRF''s'!$E$16:$O$9929,6,FALSE)</f>
        <v>SUSAN TONKIN</v>
      </c>
      <c r="AG2147" s="282"/>
      <c r="AH2147" s="311" t="e">
        <f>INDEX('D5 - Gatekeeper - Projects'!$A$4:$AF$1010,$AM2147, 17)</f>
        <v>#N/A</v>
      </c>
      <c r="AI2147" s="8"/>
      <c r="AJ2147" s="57"/>
      <c r="AK2147" s="105"/>
      <c r="AM2147" s="6" t="e">
        <f>MATCH(D2147,'D5 - Gatekeeper - Projects'!$C$4:$C$1010,0)</f>
        <v>#N/A</v>
      </c>
      <c r="AN2147" s="6" t="b">
        <f t="shared" si="227"/>
        <v>1</v>
      </c>
      <c r="AO2147" s="6" t="str">
        <f t="shared" si="228"/>
        <v>OK</v>
      </c>
      <c r="AQ2147" s="6" t="e">
        <f>MATCH($D2147,'D4 - Provider Council Unsched'!$C$11:$C$234,0)</f>
        <v>#N/A</v>
      </c>
      <c r="AR2147" s="6" t="b">
        <f t="shared" si="229"/>
        <v>1</v>
      </c>
      <c r="AS2147" s="6" t="str">
        <f t="shared" si="230"/>
        <v>OK</v>
      </c>
      <c r="AU2147" s="202"/>
      <c r="AV2147" s="262"/>
      <c r="AW2147" s="274"/>
    </row>
    <row r="2148" spans="1:49" s="13" customFormat="1" ht="33.75" x14ac:dyDescent="0.2">
      <c r="A2148" s="14">
        <v>2124</v>
      </c>
      <c r="B2148" s="14">
        <v>400012978</v>
      </c>
      <c r="C2148" s="8" t="s">
        <v>2934</v>
      </c>
      <c r="D2148" s="4" t="str">
        <f t="shared" si="225"/>
        <v>400012978U3</v>
      </c>
      <c r="E2148" s="309" t="str">
        <f>VLOOKUP($B2148,'D7 - NDB Impacted SPRF''s'!$E$6:$O$9929,2,FALSE)</f>
        <v xml:space="preserve">Enterprise Capitation Solution - Provider </v>
      </c>
      <c r="F2148" s="8" t="s">
        <v>7593</v>
      </c>
      <c r="G2148" s="8" t="s">
        <v>4758</v>
      </c>
      <c r="H2148" s="8" t="s">
        <v>2870</v>
      </c>
      <c r="I2148" s="20">
        <v>1.6</v>
      </c>
      <c r="J2148" s="8" t="s">
        <v>4862</v>
      </c>
      <c r="K2148" s="182">
        <v>39249</v>
      </c>
      <c r="L2148" s="8" t="s">
        <v>5743</v>
      </c>
      <c r="M2148" s="8" t="s">
        <v>2814</v>
      </c>
      <c r="N2148" s="367" t="s">
        <v>1658</v>
      </c>
      <c r="O2148" s="8"/>
      <c r="P2148" s="4" t="str">
        <f>VLOOKUP($B2148,'D7 - NDB Impacted SPRF''s'!$E$16:$O$9929,9,FALSE)</f>
        <v>N</v>
      </c>
      <c r="Q2148" s="4" t="str">
        <f>VLOOKUP($B2148,'D7 - NDB Impacted SPRF''s'!$E$16:$O$9929,10,FALSE)</f>
        <v>N</v>
      </c>
      <c r="R2148" s="4" t="str">
        <f>VLOOKUP($B2148,'D7 - NDB Impacted SPRF''s'!$E$16:$O$9929,11,FALSE)</f>
        <v>N</v>
      </c>
      <c r="S2148" s="8" t="s">
        <v>3758</v>
      </c>
      <c r="T2148" s="310"/>
      <c r="U2148" s="310"/>
      <c r="V2148" s="4"/>
      <c r="W2148" s="4"/>
      <c r="X2148" s="4"/>
      <c r="Y2148" s="4"/>
      <c r="Z2148" s="4"/>
      <c r="AA2148" s="4"/>
      <c r="AB2148" s="380" t="str">
        <f>VLOOKUP($B2148,'D7 - NDB Impacted SPRF''s'!$E$16:$O$9929,4,FALSE)</f>
        <v>Completed</v>
      </c>
      <c r="AC2148" s="380" t="str">
        <f>VLOOKUP($B2148,'D7 - NDB Impacted SPRF''s'!$E$16:$O$9929,3,FALSE)</f>
        <v>UnitedHealthcare Employer &amp; Individual</v>
      </c>
      <c r="AD2148" s="380" t="str">
        <f>VLOOKUP($B2148,'D7 - NDB Impacted SPRF''s'!$E$16:$O$9929,5,FALSE)</f>
        <v>Integration Requirements</v>
      </c>
      <c r="AE2148" s="380" t="str">
        <f>VLOOKUP($B2148,'D7 - NDB Impacted SPRF''s'!$E$16:$O$9929,7,FALSE)</f>
        <v>Tim Kaja</v>
      </c>
      <c r="AF2148" s="380" t="str">
        <f>VLOOKUP($B2148,'D7 - NDB Impacted SPRF''s'!$E$16:$O$9929,6,FALSE)</f>
        <v>SEAN WATKINS</v>
      </c>
      <c r="AG2148" s="282"/>
      <c r="AH2148" s="311" t="e">
        <f>INDEX('D5 - Gatekeeper - Projects'!$A$4:$AF$1010,$AM2148, 17)</f>
        <v>#N/A</v>
      </c>
      <c r="AI2148" s="8"/>
      <c r="AJ2148" s="57"/>
      <c r="AK2148" s="105"/>
      <c r="AM2148" s="6" t="e">
        <f>MATCH(D2148,'D5 - Gatekeeper - Projects'!$C$4:$C$1010,0)</f>
        <v>#N/A</v>
      </c>
      <c r="AN2148" s="6" t="b">
        <f t="shared" si="227"/>
        <v>1</v>
      </c>
      <c r="AO2148" s="6" t="str">
        <f t="shared" si="228"/>
        <v>OK</v>
      </c>
      <c r="AQ2148" s="6" t="e">
        <f>MATCH($D2148,'D4 - Provider Council Unsched'!$C$11:$C$234,0)</f>
        <v>#N/A</v>
      </c>
      <c r="AR2148" s="6" t="b">
        <f t="shared" si="229"/>
        <v>1</v>
      </c>
      <c r="AS2148" s="6" t="str">
        <f t="shared" si="230"/>
        <v>OK</v>
      </c>
      <c r="AU2148" s="202"/>
      <c r="AV2148" s="262"/>
      <c r="AW2148" s="274"/>
    </row>
    <row r="2149" spans="1:49" s="13" customFormat="1" ht="33.75" x14ac:dyDescent="0.2">
      <c r="A2149" s="14">
        <v>2125</v>
      </c>
      <c r="B2149" s="14">
        <v>400014569</v>
      </c>
      <c r="C2149" s="8" t="s">
        <v>5197</v>
      </c>
      <c r="D2149" s="4" t="str">
        <f t="shared" si="225"/>
        <v>400014569R1</v>
      </c>
      <c r="E2149" s="309" t="str">
        <f>VLOOKUP($B2149,'D7 - NDB Impacted SPRF''s'!$E$6:$O$9929,2,FALSE)</f>
        <v xml:space="preserve">NPI TOPS-COSMOS Winstrat Compliance </v>
      </c>
      <c r="F2149" s="8" t="s">
        <v>1059</v>
      </c>
      <c r="G2149" s="8" t="s">
        <v>4758</v>
      </c>
      <c r="H2149" s="8" t="s">
        <v>2870</v>
      </c>
      <c r="I2149" s="20">
        <v>7.31</v>
      </c>
      <c r="J2149" s="8" t="s">
        <v>4862</v>
      </c>
      <c r="K2149" s="182">
        <v>39249</v>
      </c>
      <c r="L2149" s="8" t="s">
        <v>5743</v>
      </c>
      <c r="M2149" s="8" t="s">
        <v>2814</v>
      </c>
      <c r="N2149" s="367" t="s">
        <v>7138</v>
      </c>
      <c r="O2149" s="8"/>
      <c r="P2149" s="4" t="str">
        <f>VLOOKUP($B2149,'D7 - NDB Impacted SPRF''s'!$E$16:$O$9929,9,FALSE)</f>
        <v>Y</v>
      </c>
      <c r="Q2149" s="4" t="str">
        <f>VLOOKUP($B2149,'D7 - NDB Impacted SPRF''s'!$E$16:$O$9929,10,FALSE)</f>
        <v>N</v>
      </c>
      <c r="R2149" s="4" t="str">
        <f>VLOOKUP($B2149,'D7 - NDB Impacted SPRF''s'!$E$16:$O$9929,11,FALSE)</f>
        <v>Y</v>
      </c>
      <c r="S2149" s="8" t="s">
        <v>7273</v>
      </c>
      <c r="T2149" s="310"/>
      <c r="U2149" s="310"/>
      <c r="V2149" s="4"/>
      <c r="W2149" s="4"/>
      <c r="X2149" s="4"/>
      <c r="Y2149" s="4"/>
      <c r="Z2149" s="4"/>
      <c r="AA2149" s="4"/>
      <c r="AB2149" s="380" t="str">
        <f>VLOOKUP($B2149,'D7 - NDB Impacted SPRF''s'!$E$16:$O$9929,4,FALSE)</f>
        <v>Cancelled</v>
      </c>
      <c r="AC2149" s="380" t="str">
        <f>VLOOKUP($B2149,'D7 - NDB Impacted SPRF''s'!$E$16:$O$9929,3,FALSE)</f>
        <v>UnitedHealthcare Employer &amp; Individual</v>
      </c>
      <c r="AD2149" s="380" t="str">
        <f>VLOOKUP($B2149,'D7 - NDB Impacted SPRF''s'!$E$16:$O$9929,5,FALSE)</f>
        <v>Regulatory / Other</v>
      </c>
      <c r="AE2149" s="380" t="str">
        <f>VLOOKUP($B2149,'D7 - NDB Impacted SPRF''s'!$E$16:$O$9929,7,FALSE)</f>
        <v>Tim Kaja</v>
      </c>
      <c r="AF2149" s="380" t="str">
        <f>VLOOKUP($B2149,'D7 - NDB Impacted SPRF''s'!$E$16:$O$9929,6,FALSE)</f>
        <v>Brenda Colwill</v>
      </c>
      <c r="AG2149" s="282"/>
      <c r="AH2149" s="311" t="e">
        <f>INDEX('D5 - Gatekeeper - Projects'!$A$4:$AF$1010,$AM2149, 17)</f>
        <v>#N/A</v>
      </c>
      <c r="AI2149" s="8"/>
      <c r="AJ2149" s="57"/>
      <c r="AK2149" s="105"/>
      <c r="AM2149" s="6" t="e">
        <f>MATCH(D2149,'D5 - Gatekeeper - Projects'!$C$4:$C$1010,0)</f>
        <v>#N/A</v>
      </c>
      <c r="AN2149" s="6" t="b">
        <f t="shared" si="227"/>
        <v>1</v>
      </c>
      <c r="AO2149" s="6" t="str">
        <f t="shared" si="228"/>
        <v>OK</v>
      </c>
      <c r="AQ2149" s="6" t="e">
        <f>MATCH($D2149,'D4 - Provider Council Unsched'!$C$11:$C$234,0)</f>
        <v>#N/A</v>
      </c>
      <c r="AR2149" s="6" t="b">
        <f t="shared" si="229"/>
        <v>1</v>
      </c>
      <c r="AS2149" s="6" t="str">
        <f t="shared" si="230"/>
        <v>OK</v>
      </c>
      <c r="AU2149" s="202"/>
      <c r="AV2149" s="262"/>
      <c r="AW2149" s="274"/>
    </row>
    <row r="2150" spans="1:49" s="13" customFormat="1" ht="33.75" x14ac:dyDescent="0.2">
      <c r="A2150" s="14">
        <v>2126</v>
      </c>
      <c r="B2150" s="14">
        <v>400013386</v>
      </c>
      <c r="C2150" s="8" t="s">
        <v>5197</v>
      </c>
      <c r="D2150" s="4" t="str">
        <f t="shared" si="225"/>
        <v>400013386R1</v>
      </c>
      <c r="E2150" s="309" t="str">
        <f>VLOOKUP($B2150,'D7 - NDB Impacted SPRF''s'!$E$6:$O$9929,2,FALSE)</f>
        <v>PHS ILIAD -UPCT Cust-Elig</v>
      </c>
      <c r="F2150" s="8" t="s">
        <v>6071</v>
      </c>
      <c r="G2150" s="8" t="s">
        <v>4758</v>
      </c>
      <c r="H2150" s="8" t="s">
        <v>2870</v>
      </c>
      <c r="I2150" s="20">
        <v>0.8</v>
      </c>
      <c r="J2150" s="8" t="s">
        <v>4862</v>
      </c>
      <c r="K2150" s="182">
        <v>39284</v>
      </c>
      <c r="L2150" s="8" t="s">
        <v>5743</v>
      </c>
      <c r="M2150" s="8" t="s">
        <v>5626</v>
      </c>
      <c r="N2150" s="367" t="s">
        <v>3752</v>
      </c>
      <c r="O2150" s="8"/>
      <c r="P2150" s="4" t="str">
        <f>VLOOKUP($B2150,'D7 - NDB Impacted SPRF''s'!$E$16:$O$9929,9,FALSE)</f>
        <v>N</v>
      </c>
      <c r="Q2150" s="4" t="str">
        <f>VLOOKUP($B2150,'D7 - NDB Impacted SPRF''s'!$E$16:$O$9929,10,FALSE)</f>
        <v>N</v>
      </c>
      <c r="R2150" s="4" t="str">
        <f>VLOOKUP($B2150,'D7 - NDB Impacted SPRF''s'!$E$16:$O$9929,11,FALSE)</f>
        <v>N</v>
      </c>
      <c r="S2150" s="8" t="s">
        <v>3758</v>
      </c>
      <c r="T2150" s="310"/>
      <c r="U2150" s="310"/>
      <c r="V2150" s="4"/>
      <c r="W2150" s="4"/>
      <c r="X2150" s="4"/>
      <c r="Y2150" s="4"/>
      <c r="Z2150" s="4"/>
      <c r="AA2150" s="4"/>
      <c r="AB2150" s="380" t="str">
        <f>VLOOKUP($B2150,'D7 - NDB Impacted SPRF''s'!$E$16:$O$9929,4,FALSE)</f>
        <v>Cancelled</v>
      </c>
      <c r="AC2150" s="380" t="str">
        <f>VLOOKUP($B2150,'D7 - NDB Impacted SPRF''s'!$E$16:$O$9929,3,FALSE)</f>
        <v>UnitedHealthcare Employer &amp; Individual</v>
      </c>
      <c r="AD2150" s="380" t="str">
        <f>VLOOKUP($B2150,'D7 - NDB Impacted SPRF''s'!$E$16:$O$9929,5,FALSE)</f>
        <v>Integration Requirements</v>
      </c>
      <c r="AE2150" s="380" t="str">
        <f>VLOOKUP($B2150,'D7 - NDB Impacted SPRF''s'!$E$16:$O$9929,7,FALSE)</f>
        <v>Diane Schofield</v>
      </c>
      <c r="AF2150" s="380" t="str">
        <f>VLOOKUP($B2150,'D7 - NDB Impacted SPRF''s'!$E$16:$O$9929,6,FALSE)</f>
        <v>NICOLE GEDATUS</v>
      </c>
      <c r="AG2150" s="282"/>
      <c r="AH2150" s="311" t="e">
        <f>INDEX('D5 - Gatekeeper - Projects'!$A$4:$AF$1010,$AM2150, 17)</f>
        <v>#N/A</v>
      </c>
      <c r="AI2150" s="8"/>
      <c r="AJ2150" s="57"/>
      <c r="AK2150" s="105"/>
      <c r="AM2150" s="6" t="e">
        <f>MATCH(D2150,'D5 - Gatekeeper - Projects'!$C$4:$C$1010,0)</f>
        <v>#N/A</v>
      </c>
      <c r="AN2150" s="6" t="b">
        <f t="shared" si="227"/>
        <v>1</v>
      </c>
      <c r="AO2150" s="6" t="str">
        <f t="shared" si="228"/>
        <v>OK</v>
      </c>
      <c r="AQ2150" s="6" t="e">
        <f>MATCH($D2150,'D4 - Provider Council Unsched'!$C$11:$C$234,0)</f>
        <v>#N/A</v>
      </c>
      <c r="AR2150" s="6" t="b">
        <f t="shared" si="229"/>
        <v>1</v>
      </c>
      <c r="AS2150" s="6" t="str">
        <f t="shared" si="230"/>
        <v>OK</v>
      </c>
      <c r="AU2150" s="202"/>
      <c r="AV2150" s="262"/>
      <c r="AW2150" s="274"/>
    </row>
    <row r="2151" spans="1:49" s="13" customFormat="1" ht="33.75" x14ac:dyDescent="0.2">
      <c r="A2151" s="14">
        <v>2127</v>
      </c>
      <c r="B2151" s="14">
        <v>400017578</v>
      </c>
      <c r="C2151" s="8" t="s">
        <v>6581</v>
      </c>
      <c r="D2151" s="4" t="str">
        <f t="shared" si="225"/>
        <v>400017578L1</v>
      </c>
      <c r="E2151" s="309" t="str">
        <f>VLOOKUP($B2151,'D7 - NDB Impacted SPRF''s'!$E$6:$O$9929,2,FALSE)</f>
        <v xml:space="preserve"> MAHP/MAMSI Scope Change for EPDE Feed (add H-line</v>
      </c>
      <c r="F2151" s="8" t="s">
        <v>5196</v>
      </c>
      <c r="G2151" s="8" t="s">
        <v>4758</v>
      </c>
      <c r="H2151" s="8" t="s">
        <v>2870</v>
      </c>
      <c r="I2151" s="20">
        <v>1.07</v>
      </c>
      <c r="J2151" s="8" t="s">
        <v>4862</v>
      </c>
      <c r="K2151" s="182">
        <v>39284</v>
      </c>
      <c r="L2151" s="8" t="s">
        <v>5743</v>
      </c>
      <c r="M2151" s="8" t="s">
        <v>6007</v>
      </c>
      <c r="N2151" s="38" t="s">
        <v>7733</v>
      </c>
      <c r="O2151" s="8"/>
      <c r="P2151" s="4" t="str">
        <f>VLOOKUP($B2151,'D7 - NDB Impacted SPRF''s'!$E$16:$O$9929,9,FALSE)</f>
        <v>N</v>
      </c>
      <c r="Q2151" s="4" t="str">
        <f>VLOOKUP($B2151,'D7 - NDB Impacted SPRF''s'!$E$16:$O$9929,10,FALSE)</f>
        <v>N</v>
      </c>
      <c r="R2151" s="4" t="str">
        <f>VLOOKUP($B2151,'D7 - NDB Impacted SPRF''s'!$E$16:$O$9929,11,FALSE)</f>
        <v>N</v>
      </c>
      <c r="S2151" s="8"/>
      <c r="T2151" s="310"/>
      <c r="U2151" s="310"/>
      <c r="V2151" s="4"/>
      <c r="W2151" s="4"/>
      <c r="X2151" s="4"/>
      <c r="Y2151" s="4"/>
      <c r="Z2151" s="4"/>
      <c r="AA2151" s="4"/>
      <c r="AB2151" s="380" t="str">
        <f>VLOOKUP($B2151,'D7 - NDB Impacted SPRF''s'!$E$16:$O$9929,4,FALSE)</f>
        <v>Cancelled</v>
      </c>
      <c r="AC2151" s="380" t="str">
        <f>VLOOKUP($B2151,'D7 - NDB Impacted SPRF''s'!$E$16:$O$9929,3,FALSE)</f>
        <v>UnitedHealthcare Employer &amp; Individual</v>
      </c>
      <c r="AD2151" s="380" t="str">
        <f>VLOOKUP($B2151,'D7 - NDB Impacted SPRF''s'!$E$16:$O$9929,5,FALSE)</f>
        <v>Integration Requirements</v>
      </c>
      <c r="AE2151" s="380" t="str">
        <f>VLOOKUP($B2151,'D7 - NDB Impacted SPRF''s'!$E$16:$O$9929,7,FALSE)</f>
        <v>Tim Kaja</v>
      </c>
      <c r="AF2151" s="380" t="str">
        <f>VLOOKUP($B2151,'D7 - NDB Impacted SPRF''s'!$E$16:$O$9929,6,FALSE)</f>
        <v>MARCIA MONACO</v>
      </c>
      <c r="AG2151" s="282"/>
      <c r="AH2151" s="311" t="e">
        <f>INDEX('D5 - Gatekeeper - Projects'!$A$4:$AF$1010,$AM2151, 17)</f>
        <v>#N/A</v>
      </c>
      <c r="AI2151" s="8"/>
      <c r="AJ2151" s="57"/>
      <c r="AK2151" s="105"/>
      <c r="AM2151" s="6" t="e">
        <f>MATCH(D2151,'D5 - Gatekeeper - Projects'!$C$4:$C$1010,0)</f>
        <v>#N/A</v>
      </c>
      <c r="AN2151" s="6" t="b">
        <f t="shared" si="227"/>
        <v>1</v>
      </c>
      <c r="AO2151" s="6" t="str">
        <f t="shared" si="228"/>
        <v>OK</v>
      </c>
      <c r="AQ2151" s="6" t="e">
        <f>MATCH($D2151,'D4 - Provider Council Unsched'!$C$11:$C$234,0)</f>
        <v>#N/A</v>
      </c>
      <c r="AR2151" s="6" t="b">
        <f t="shared" si="229"/>
        <v>1</v>
      </c>
      <c r="AS2151" s="6" t="str">
        <f t="shared" si="230"/>
        <v>OK</v>
      </c>
      <c r="AU2151" s="202"/>
      <c r="AV2151" s="262"/>
      <c r="AW2151" s="274"/>
    </row>
    <row r="2152" spans="1:49" s="13" customFormat="1" ht="33.75" x14ac:dyDescent="0.2">
      <c r="A2152" s="14">
        <v>2128</v>
      </c>
      <c r="B2152" s="14">
        <v>400010721</v>
      </c>
      <c r="C2152" s="8" t="s">
        <v>6678</v>
      </c>
      <c r="D2152" s="4" t="str">
        <f t="shared" si="225"/>
        <v>400010721CC14R2</v>
      </c>
      <c r="E2152" s="309" t="str">
        <f>VLOOKUP($B2152,'D7 - NDB Impacted SPRF''s'!$E$6:$O$9929,2,FALSE)</f>
        <v>GHMO Analysis &amp; Design Phase V (Medica)</v>
      </c>
      <c r="F2152" s="8" t="s">
        <v>4168</v>
      </c>
      <c r="G2152" s="8" t="s">
        <v>4758</v>
      </c>
      <c r="H2152" s="8" t="s">
        <v>2870</v>
      </c>
      <c r="I2152" s="20">
        <v>24</v>
      </c>
      <c r="J2152" s="8" t="s">
        <v>4862</v>
      </c>
      <c r="K2152" s="182">
        <v>39319</v>
      </c>
      <c r="L2152" s="8" t="s">
        <v>5743</v>
      </c>
      <c r="M2152" s="8" t="s">
        <v>2814</v>
      </c>
      <c r="N2152" s="367" t="s">
        <v>6084</v>
      </c>
      <c r="O2152" s="8"/>
      <c r="P2152" s="4" t="str">
        <f>VLOOKUP($B2152,'D7 - NDB Impacted SPRF''s'!$E$16:$O$9929,9,FALSE)</f>
        <v>Y</v>
      </c>
      <c r="Q2152" s="4" t="str">
        <f>VLOOKUP($B2152,'D7 - NDB Impacted SPRF''s'!$E$16:$O$9929,10,FALSE)</f>
        <v>N</v>
      </c>
      <c r="R2152" s="4" t="str">
        <f>VLOOKUP($B2152,'D7 - NDB Impacted SPRF''s'!$E$16:$O$9929,11,FALSE)</f>
        <v>N</v>
      </c>
      <c r="S2152" s="8" t="s">
        <v>3758</v>
      </c>
      <c r="T2152" s="310"/>
      <c r="U2152" s="310"/>
      <c r="V2152" s="4"/>
      <c r="W2152" s="4"/>
      <c r="X2152" s="4"/>
      <c r="Y2152" s="4"/>
      <c r="Z2152" s="4"/>
      <c r="AA2152" s="4"/>
      <c r="AB2152" s="380" t="str">
        <f>VLOOKUP($B2152,'D7 - NDB Impacted SPRF''s'!$E$16:$O$9929,4,FALSE)</f>
        <v>Completed</v>
      </c>
      <c r="AC2152" s="380" t="str">
        <f>VLOOKUP($B2152,'D7 - NDB Impacted SPRF''s'!$E$16:$O$9929,3,FALSE)</f>
        <v>UnitedHealthcare Employer &amp; Individual</v>
      </c>
      <c r="AD2152" s="380" t="str">
        <f>VLOOKUP($B2152,'D7 - NDB Impacted SPRF''s'!$E$16:$O$9929,5,FALSE)</f>
        <v>Gated HMO</v>
      </c>
      <c r="AE2152" s="380" t="str">
        <f>VLOOKUP($B2152,'D7 - NDB Impacted SPRF''s'!$E$16:$O$9929,7,FALSE)</f>
        <v>Diane Schofield</v>
      </c>
      <c r="AF2152" s="380" t="str">
        <f>VLOOKUP($B2152,'D7 - NDB Impacted SPRF''s'!$E$16:$O$9929,6,FALSE)</f>
        <v>SUSAN TONKIN</v>
      </c>
      <c r="AG2152" s="282"/>
      <c r="AH2152" s="311" t="e">
        <f>INDEX('D5 - Gatekeeper - Projects'!$A$4:$AF$1010,$AM2152, 17)</f>
        <v>#N/A</v>
      </c>
      <c r="AI2152" s="8"/>
      <c r="AJ2152" s="57"/>
      <c r="AK2152" s="105"/>
      <c r="AM2152" s="6" t="e">
        <f>MATCH(D2152,'D5 - Gatekeeper - Projects'!$C$4:$C$1010,0)</f>
        <v>#N/A</v>
      </c>
      <c r="AN2152" s="6" t="b">
        <f t="shared" si="227"/>
        <v>1</v>
      </c>
      <c r="AO2152" s="6" t="str">
        <f t="shared" si="228"/>
        <v>OK</v>
      </c>
      <c r="AQ2152" s="6" t="e">
        <f>MATCH($D2152,'D4 - Provider Council Unsched'!$C$11:$C$234,0)</f>
        <v>#N/A</v>
      </c>
      <c r="AR2152" s="6" t="b">
        <f t="shared" si="229"/>
        <v>1</v>
      </c>
      <c r="AS2152" s="6" t="str">
        <f t="shared" si="230"/>
        <v>OK</v>
      </c>
      <c r="AU2152" s="202"/>
      <c r="AV2152" s="262"/>
      <c r="AW2152" s="274"/>
    </row>
    <row r="2153" spans="1:49" s="13" customFormat="1" ht="33.75" x14ac:dyDescent="0.2">
      <c r="A2153" s="14">
        <v>2129</v>
      </c>
      <c r="B2153" s="14">
        <v>400011478</v>
      </c>
      <c r="C2153" s="8" t="s">
        <v>5197</v>
      </c>
      <c r="D2153" s="4" t="str">
        <f t="shared" si="225"/>
        <v>400011478R1</v>
      </c>
      <c r="E2153" s="309" t="str">
        <f>VLOOKUP($B2153,'D7 - NDB Impacted SPRF''s'!$E$6:$O$9929,2,FALSE)</f>
        <v>UHP Physician Designation v3.3</v>
      </c>
      <c r="F2153" s="8" t="s">
        <v>5443</v>
      </c>
      <c r="G2153" s="8" t="s">
        <v>4758</v>
      </c>
      <c r="H2153" s="8" t="s">
        <v>2870</v>
      </c>
      <c r="I2153" s="20">
        <v>75</v>
      </c>
      <c r="J2153" s="8" t="s">
        <v>7113</v>
      </c>
      <c r="K2153" s="182">
        <v>39319</v>
      </c>
      <c r="L2153" s="8" t="s">
        <v>4156</v>
      </c>
      <c r="M2153" s="8" t="s">
        <v>2814</v>
      </c>
      <c r="N2153" s="38" t="s">
        <v>2007</v>
      </c>
      <c r="O2153" s="8"/>
      <c r="P2153" s="4" t="str">
        <f>VLOOKUP($B2153,'D7 - NDB Impacted SPRF''s'!$E$16:$O$9929,9,FALSE)</f>
        <v>Y</v>
      </c>
      <c r="Q2153" s="4" t="str">
        <f>VLOOKUP($B2153,'D7 - NDB Impacted SPRF''s'!$E$16:$O$9929,10,FALSE)</f>
        <v>N</v>
      </c>
      <c r="R2153" s="4" t="str">
        <f>VLOOKUP($B2153,'D7 - NDB Impacted SPRF''s'!$E$16:$O$9929,11,FALSE)</f>
        <v>N</v>
      </c>
      <c r="S2153" s="8"/>
      <c r="T2153" s="310"/>
      <c r="U2153" s="310"/>
      <c r="V2153" s="4"/>
      <c r="W2153" s="4"/>
      <c r="X2153" s="4"/>
      <c r="Y2153" s="4"/>
      <c r="Z2153" s="4"/>
      <c r="AA2153" s="4"/>
      <c r="AB2153" s="380" t="str">
        <f>VLOOKUP($B2153,'D7 - NDB Impacted SPRF''s'!$E$16:$O$9929,4,FALSE)</f>
        <v>Completed</v>
      </c>
      <c r="AC2153" s="380" t="str">
        <f>VLOOKUP($B2153,'D7 - NDB Impacted SPRF''s'!$E$16:$O$9929,3,FALSE)</f>
        <v>UnitedHealthcare Employer &amp; Individual</v>
      </c>
      <c r="AD2153" s="380" t="str">
        <f>VLOOKUP($B2153,'D7 - NDB Impacted SPRF''s'!$E$16:$O$9929,5,FALSE)</f>
        <v>Medical Cost Savings Programs</v>
      </c>
      <c r="AE2153" s="380" t="str">
        <f>VLOOKUP($B2153,'D7 - NDB Impacted SPRF''s'!$E$16:$O$9929,7,FALSE)</f>
        <v>Gino Tenace\Chris Brown</v>
      </c>
      <c r="AF2153" s="380" t="str">
        <f>VLOOKUP($B2153,'D7 - NDB Impacted SPRF''s'!$E$16:$O$9929,6,FALSE)</f>
        <v>TEDD HAUSER</v>
      </c>
      <c r="AG2153" s="282"/>
      <c r="AH2153" s="311" t="e">
        <f>INDEX('D5 - Gatekeeper - Projects'!$A$4:$AF$1010,$AM2153, 17)</f>
        <v>#N/A</v>
      </c>
      <c r="AI2153" s="8"/>
      <c r="AJ2153" s="57"/>
      <c r="AK2153" s="105"/>
      <c r="AM2153" s="6" t="e">
        <f>MATCH(D2153,'D5 - Gatekeeper - Projects'!$C$4:$C$1010,0)</f>
        <v>#N/A</v>
      </c>
      <c r="AN2153" s="6" t="b">
        <f t="shared" si="227"/>
        <v>1</v>
      </c>
      <c r="AO2153" s="6" t="str">
        <f t="shared" si="228"/>
        <v>OK</v>
      </c>
      <c r="AQ2153" s="6" t="e">
        <f>MATCH($D2153,'D4 - Provider Council Unsched'!$C$11:$C$234,0)</f>
        <v>#N/A</v>
      </c>
      <c r="AR2153" s="6" t="b">
        <f t="shared" si="229"/>
        <v>1</v>
      </c>
      <c r="AS2153" s="6" t="str">
        <f t="shared" si="230"/>
        <v>OK</v>
      </c>
      <c r="AU2153" s="202"/>
      <c r="AV2153" s="262"/>
      <c r="AW2153" s="274"/>
    </row>
    <row r="2154" spans="1:49" s="13" customFormat="1" ht="22.5" x14ac:dyDescent="0.2">
      <c r="A2154" s="14">
        <v>2130</v>
      </c>
      <c r="B2154" s="14">
        <v>400014166</v>
      </c>
      <c r="C2154" s="8" t="s">
        <v>3763</v>
      </c>
      <c r="D2154" s="4" t="str">
        <f t="shared" si="225"/>
        <v>400014166R2</v>
      </c>
      <c r="E2154" s="309" t="str">
        <f>VLOOKUP($B2154,'D7 - NDB Impacted SPRF''s'!$E$6:$O$9929,2,FALSE)</f>
        <v>Medica DayOne-Phase 2 IDT Enhancements</v>
      </c>
      <c r="F2154" s="8" t="s">
        <v>5196</v>
      </c>
      <c r="G2154" s="8" t="s">
        <v>4758</v>
      </c>
      <c r="H2154" s="8" t="s">
        <v>2870</v>
      </c>
      <c r="I2154" s="20">
        <v>1.82</v>
      </c>
      <c r="J2154" s="8" t="s">
        <v>4862</v>
      </c>
      <c r="K2154" s="182">
        <v>39319</v>
      </c>
      <c r="L2154" s="8" t="s">
        <v>5743</v>
      </c>
      <c r="M2154" s="8" t="s">
        <v>2814</v>
      </c>
      <c r="N2154" s="38" t="s">
        <v>5939</v>
      </c>
      <c r="O2154" s="8"/>
      <c r="P2154" s="4" t="str">
        <f>VLOOKUP($B2154,'D7 - NDB Impacted SPRF''s'!$E$16:$O$9929,9,FALSE)</f>
        <v>Y</v>
      </c>
      <c r="Q2154" s="4" t="str">
        <f>VLOOKUP($B2154,'D7 - NDB Impacted SPRF''s'!$E$16:$O$9929,10,FALSE)</f>
        <v>N</v>
      </c>
      <c r="R2154" s="4" t="str">
        <f>VLOOKUP($B2154,'D7 - NDB Impacted SPRF''s'!$E$16:$O$9929,11,FALSE)</f>
        <v>N</v>
      </c>
      <c r="S2154" s="8"/>
      <c r="T2154" s="310"/>
      <c r="U2154" s="310"/>
      <c r="V2154" s="4"/>
      <c r="W2154" s="4"/>
      <c r="X2154" s="4"/>
      <c r="Y2154" s="4"/>
      <c r="Z2154" s="4"/>
      <c r="AA2154" s="4"/>
      <c r="AB2154" s="380" t="str">
        <f>VLOOKUP($B2154,'D7 - NDB Impacted SPRF''s'!$E$16:$O$9929,4,FALSE)</f>
        <v>Completed</v>
      </c>
      <c r="AC2154" s="380" t="str">
        <f>VLOOKUP($B2154,'D7 - NDB Impacted SPRF''s'!$E$16:$O$9929,3,FALSE)</f>
        <v>Alliance</v>
      </c>
      <c r="AD2154" s="380" t="str">
        <f>VLOOKUP($B2154,'D7 - NDB Impacted SPRF''s'!$E$16:$O$9929,5,FALSE)</f>
        <v>Medica UNET Conversion</v>
      </c>
      <c r="AE2154" s="380" t="str">
        <f>VLOOKUP($B2154,'D7 - NDB Impacted SPRF''s'!$E$16:$O$9929,7,FALSE)</f>
        <v>Claire Verity</v>
      </c>
      <c r="AF2154" s="380" t="str">
        <f>VLOOKUP($B2154,'D7 - NDB Impacted SPRF''s'!$E$16:$O$9929,6,FALSE)</f>
        <v>TODD COBBS</v>
      </c>
      <c r="AG2154" s="282"/>
      <c r="AH2154" s="311" t="e">
        <f>INDEX('D5 - Gatekeeper - Projects'!$A$4:$AF$1010,$AM2154, 17)</f>
        <v>#N/A</v>
      </c>
      <c r="AI2154" s="8"/>
      <c r="AJ2154" s="57"/>
      <c r="AK2154" s="105"/>
      <c r="AM2154" s="6" t="e">
        <f>MATCH(D2154,'D5 - Gatekeeper - Projects'!$C$4:$C$1010,0)</f>
        <v>#N/A</v>
      </c>
      <c r="AN2154" s="6" t="b">
        <f t="shared" si="227"/>
        <v>1</v>
      </c>
      <c r="AO2154" s="6" t="str">
        <f t="shared" si="228"/>
        <v>OK</v>
      </c>
      <c r="AQ2154" s="6" t="e">
        <f>MATCH($D2154,'D4 - Provider Council Unsched'!$C$11:$C$234,0)</f>
        <v>#N/A</v>
      </c>
      <c r="AR2154" s="6" t="b">
        <f t="shared" si="229"/>
        <v>1</v>
      </c>
      <c r="AS2154" s="6" t="str">
        <f t="shared" si="230"/>
        <v>OK</v>
      </c>
      <c r="AU2154" s="202"/>
      <c r="AV2154" s="262"/>
      <c r="AW2154" s="274"/>
    </row>
    <row r="2155" spans="1:49" s="13" customFormat="1" ht="33.75" x14ac:dyDescent="0.2">
      <c r="A2155" s="14">
        <v>2131</v>
      </c>
      <c r="B2155" s="14">
        <v>400013849</v>
      </c>
      <c r="C2155" s="8" t="s">
        <v>6726</v>
      </c>
      <c r="D2155" s="4" t="str">
        <f t="shared" si="225"/>
        <v>400013849CC06</v>
      </c>
      <c r="E2155" s="309" t="str">
        <f>VLOOKUP($B2155,'D7 - NDB Impacted SPRF''s'!$E$6:$O$9929,2,FALSE)</f>
        <v>Medica Travel Benefit Administration</v>
      </c>
      <c r="F2155" s="8" t="s">
        <v>5196</v>
      </c>
      <c r="G2155" s="8" t="s">
        <v>4758</v>
      </c>
      <c r="H2155" s="8" t="s">
        <v>2870</v>
      </c>
      <c r="I2155" s="20">
        <v>1.07</v>
      </c>
      <c r="J2155" s="8" t="s">
        <v>4862</v>
      </c>
      <c r="K2155" s="182">
        <v>39340</v>
      </c>
      <c r="L2155" s="8" t="s">
        <v>5743</v>
      </c>
      <c r="M2155" s="8" t="s">
        <v>5626</v>
      </c>
      <c r="N2155" s="38" t="s">
        <v>5596</v>
      </c>
      <c r="O2155" s="8"/>
      <c r="P2155" s="4" t="str">
        <f>VLOOKUP($B2155,'D7 - NDB Impacted SPRF''s'!$E$16:$O$9929,9,FALSE)</f>
        <v>Y</v>
      </c>
      <c r="Q2155" s="4" t="str">
        <f>VLOOKUP($B2155,'D7 - NDB Impacted SPRF''s'!$E$16:$O$9929,10,FALSE)</f>
        <v>N</v>
      </c>
      <c r="R2155" s="4" t="str">
        <f>VLOOKUP($B2155,'D7 - NDB Impacted SPRF''s'!$E$16:$O$9929,11,FALSE)</f>
        <v>N</v>
      </c>
      <c r="S2155" s="8"/>
      <c r="T2155" s="310"/>
      <c r="U2155" s="310"/>
      <c r="V2155" s="4"/>
      <c r="W2155" s="4"/>
      <c r="X2155" s="4"/>
      <c r="Y2155" s="4"/>
      <c r="Z2155" s="4"/>
      <c r="AA2155" s="4"/>
      <c r="AB2155" s="380" t="str">
        <f>VLOOKUP($B2155,'D7 - NDB Impacted SPRF''s'!$E$16:$O$9929,4,FALSE)</f>
        <v>Completed</v>
      </c>
      <c r="AC2155" s="380" t="str">
        <f>VLOOKUP($B2155,'D7 - NDB Impacted SPRF''s'!$E$16:$O$9929,3,FALSE)</f>
        <v>UnitedHealthcare Employer &amp; Individual</v>
      </c>
      <c r="AD2155" s="380" t="str">
        <f>VLOOKUP($B2155,'D7 - NDB Impacted SPRF''s'!$E$16:$O$9929,5,FALSE)</f>
        <v>HCA - Medica UNET Conversion</v>
      </c>
      <c r="AE2155" s="380" t="str">
        <f>VLOOKUP($B2155,'D7 - NDB Impacted SPRF''s'!$E$16:$O$9929,7,FALSE)</f>
        <v>Diane Schofield</v>
      </c>
      <c r="AF2155" s="380" t="str">
        <f>VLOOKUP($B2155,'D7 - NDB Impacted SPRF''s'!$E$16:$O$9929,6,FALSE)</f>
        <v>SUSAN TONKIN</v>
      </c>
      <c r="AG2155" s="282"/>
      <c r="AH2155" s="311" t="e">
        <f>INDEX('D5 - Gatekeeper - Projects'!$A$4:$AF$1010,$AM2155, 17)</f>
        <v>#N/A</v>
      </c>
      <c r="AI2155" s="8"/>
      <c r="AJ2155" s="57"/>
      <c r="AK2155" s="105"/>
      <c r="AM2155" s="6" t="e">
        <f>MATCH(D2155,'D5 - Gatekeeper - Projects'!$C$4:$C$1010,0)</f>
        <v>#N/A</v>
      </c>
      <c r="AN2155" s="6" t="b">
        <f t="shared" si="227"/>
        <v>1</v>
      </c>
      <c r="AO2155" s="6" t="str">
        <f t="shared" si="228"/>
        <v>OK</v>
      </c>
      <c r="AQ2155" s="6" t="e">
        <f>MATCH($D2155,'D4 - Provider Council Unsched'!$C$11:$C$234,0)</f>
        <v>#N/A</v>
      </c>
      <c r="AR2155" s="6" t="b">
        <f t="shared" si="229"/>
        <v>1</v>
      </c>
      <c r="AS2155" s="6" t="str">
        <f t="shared" si="230"/>
        <v>OK</v>
      </c>
      <c r="AU2155" s="202"/>
      <c r="AV2155" s="262"/>
      <c r="AW2155" s="274"/>
    </row>
    <row r="2156" spans="1:49" s="13" customFormat="1" ht="33.75" x14ac:dyDescent="0.2">
      <c r="A2156" s="14">
        <v>2132</v>
      </c>
      <c r="B2156" s="14">
        <v>400017984</v>
      </c>
      <c r="C2156" s="8" t="s">
        <v>5197</v>
      </c>
      <c r="D2156" s="4" t="str">
        <f t="shared" si="225"/>
        <v>400017984R1</v>
      </c>
      <c r="E2156" s="309" t="str">
        <f>VLOOKUP($B2156,'D7 - NDB Impacted SPRF''s'!$E$6:$O$9929,2,FALSE)</f>
        <v xml:space="preserve">MEDSTAT Provider Data File Analysis </v>
      </c>
      <c r="F2156" s="8" t="s">
        <v>2114</v>
      </c>
      <c r="G2156" s="8" t="s">
        <v>4758</v>
      </c>
      <c r="H2156" s="8" t="s">
        <v>2870</v>
      </c>
      <c r="I2156" s="20">
        <v>2.67</v>
      </c>
      <c r="J2156" s="8" t="s">
        <v>4862</v>
      </c>
      <c r="K2156" s="182">
        <v>39340</v>
      </c>
      <c r="L2156" s="8" t="s">
        <v>5743</v>
      </c>
      <c r="M2156" s="8" t="s">
        <v>6688</v>
      </c>
      <c r="N2156" s="38"/>
      <c r="O2156" s="8"/>
      <c r="P2156" s="4" t="str">
        <f>VLOOKUP($B2156,'D7 - NDB Impacted SPRF''s'!$E$16:$O$9929,9,FALSE)</f>
        <v>N</v>
      </c>
      <c r="Q2156" s="4" t="str">
        <f>VLOOKUP($B2156,'D7 - NDB Impacted SPRF''s'!$E$16:$O$9929,10,FALSE)</f>
        <v>N</v>
      </c>
      <c r="R2156" s="4" t="str">
        <f>VLOOKUP($B2156,'D7 - NDB Impacted SPRF''s'!$E$16:$O$9929,11,FALSE)</f>
        <v>N</v>
      </c>
      <c r="S2156" s="8"/>
      <c r="T2156" s="310"/>
      <c r="U2156" s="310"/>
      <c r="V2156" s="4"/>
      <c r="W2156" s="4"/>
      <c r="X2156" s="4"/>
      <c r="Y2156" s="4"/>
      <c r="Z2156" s="4"/>
      <c r="AA2156" s="4"/>
      <c r="AB2156" s="380" t="str">
        <f>VLOOKUP($B2156,'D7 - NDB Impacted SPRF''s'!$E$16:$O$9929,4,FALSE)</f>
        <v>Cancelled</v>
      </c>
      <c r="AC2156" s="380" t="str">
        <f>VLOOKUP($B2156,'D7 - NDB Impacted SPRF''s'!$E$16:$O$9929,3,FALSE)</f>
        <v>UnitedHealthcare Employer &amp; Individual</v>
      </c>
      <c r="AD2156" s="380" t="str">
        <f>VLOOKUP($B2156,'D7 - NDB Impacted SPRF''s'!$E$16:$O$9929,5,FALSE)</f>
        <v>Process Improvement</v>
      </c>
      <c r="AE2156" s="380" t="str">
        <f>VLOOKUP($B2156,'D7 - NDB Impacted SPRF''s'!$E$16:$O$9929,7,FALSE)</f>
        <v>David Withee</v>
      </c>
      <c r="AF2156" s="380" t="str">
        <f>VLOOKUP($B2156,'D7 - NDB Impacted SPRF''s'!$E$16:$O$9929,6,FALSE)</f>
        <v>Susan Neal</v>
      </c>
      <c r="AG2156" s="282"/>
      <c r="AH2156" s="311" t="e">
        <f>INDEX('D5 - Gatekeeper - Projects'!$A$4:$AF$1010,$AM2156, 17)</f>
        <v>#N/A</v>
      </c>
      <c r="AI2156" s="8"/>
      <c r="AJ2156" s="57"/>
      <c r="AK2156" s="105"/>
      <c r="AM2156" s="6" t="e">
        <f>MATCH(D2156,'D5 - Gatekeeper - Projects'!$C$4:$C$1010,0)</f>
        <v>#N/A</v>
      </c>
      <c r="AN2156" s="6" t="b">
        <f t="shared" si="227"/>
        <v>1</v>
      </c>
      <c r="AO2156" s="6" t="str">
        <f t="shared" si="228"/>
        <v>OK</v>
      </c>
      <c r="AQ2156" s="6" t="e">
        <f>MATCH($D2156,'D4 - Provider Council Unsched'!$C$11:$C$234,0)</f>
        <v>#N/A</v>
      </c>
      <c r="AR2156" s="6" t="b">
        <f t="shared" si="229"/>
        <v>1</v>
      </c>
      <c r="AS2156" s="6" t="str">
        <f t="shared" si="230"/>
        <v>OK</v>
      </c>
      <c r="AU2156" s="202"/>
      <c r="AV2156" s="262"/>
      <c r="AW2156" s="274"/>
    </row>
    <row r="2157" spans="1:49" s="13" customFormat="1" ht="33.75" x14ac:dyDescent="0.2">
      <c r="A2157" s="14">
        <v>2133</v>
      </c>
      <c r="B2157" s="14">
        <v>400008602</v>
      </c>
      <c r="C2157" s="8" t="s">
        <v>5197</v>
      </c>
      <c r="D2157" s="4" t="str">
        <f t="shared" si="225"/>
        <v>400008602R1</v>
      </c>
      <c r="E2157" s="309" t="str">
        <f>VLOOKUP($B2157,'D7 - NDB Impacted SPRF''s'!$E$6:$O$9929,2,FALSE)</f>
        <v>UHN Sales Pipeline Management</v>
      </c>
      <c r="F2157" s="8" t="s">
        <v>7156</v>
      </c>
      <c r="G2157" s="8" t="s">
        <v>4758</v>
      </c>
      <c r="H2157" s="8" t="s">
        <v>2870</v>
      </c>
      <c r="I2157" s="20">
        <v>3.2</v>
      </c>
      <c r="J2157" s="8" t="s">
        <v>7113</v>
      </c>
      <c r="K2157" s="182">
        <v>39361</v>
      </c>
      <c r="L2157" s="8" t="s">
        <v>4156</v>
      </c>
      <c r="M2157" s="8" t="s">
        <v>2814</v>
      </c>
      <c r="N2157" s="367" t="s">
        <v>4653</v>
      </c>
      <c r="O2157" s="8"/>
      <c r="P2157" s="4" t="str">
        <f>VLOOKUP($B2157,'D7 - NDB Impacted SPRF''s'!$E$16:$O$9929,9,FALSE)</f>
        <v>N</v>
      </c>
      <c r="Q2157" s="4" t="str">
        <f>VLOOKUP($B2157,'D7 - NDB Impacted SPRF''s'!$E$16:$O$9929,10,FALSE)</f>
        <v>N</v>
      </c>
      <c r="R2157" s="4" t="str">
        <f>VLOOKUP($B2157,'D7 - NDB Impacted SPRF''s'!$E$16:$O$9929,11,FALSE)</f>
        <v>N</v>
      </c>
      <c r="S2157" s="8"/>
      <c r="T2157" s="310"/>
      <c r="U2157" s="310"/>
      <c r="V2157" s="4"/>
      <c r="W2157" s="4"/>
      <c r="X2157" s="4"/>
      <c r="Y2157" s="4"/>
      <c r="Z2157" s="4"/>
      <c r="AA2157" s="4"/>
      <c r="AB2157" s="380" t="str">
        <f>VLOOKUP($B2157,'D7 - NDB Impacted SPRF''s'!$E$16:$O$9929,4,FALSE)</f>
        <v>Cancelled</v>
      </c>
      <c r="AC2157" s="380" t="str">
        <f>VLOOKUP($B2157,'D7 - NDB Impacted SPRF''s'!$E$16:$O$9929,3,FALSE)</f>
        <v>UnitedHealthcare Employer &amp; Individual</v>
      </c>
      <c r="AD2157" s="380" t="str">
        <f>VLOOKUP($B2157,'D7 - NDB Impacted SPRF''s'!$E$16:$O$9929,5,FALSE)</f>
        <v>Key Initiatives Group</v>
      </c>
      <c r="AE2157" s="380" t="str">
        <f>VLOOKUP($B2157,'D7 - NDB Impacted SPRF''s'!$E$16:$O$9929,7,FALSE)</f>
        <v>Steven Mueller</v>
      </c>
      <c r="AF2157" s="380" t="str">
        <f>VLOOKUP($B2157,'D7 - NDB Impacted SPRF''s'!$E$16:$O$9929,6,FALSE)</f>
        <v>CHARLES JACOBY</v>
      </c>
      <c r="AG2157" s="282" t="s">
        <v>5094</v>
      </c>
      <c r="AH2157" s="311" t="e">
        <f>INDEX('D5 - Gatekeeper - Projects'!$A$4:$AF$1010,$AM2157, 17)</f>
        <v>#N/A</v>
      </c>
      <c r="AI2157" s="8"/>
      <c r="AJ2157" s="57"/>
      <c r="AK2157" s="105"/>
      <c r="AL2157" s="216"/>
      <c r="AM2157" s="6" t="e">
        <f>MATCH(D2157,'D5 - Gatekeeper - Projects'!$C$4:$C$1010,0)</f>
        <v>#N/A</v>
      </c>
      <c r="AN2157" s="6" t="b">
        <f t="shared" si="227"/>
        <v>1</v>
      </c>
      <c r="AO2157" s="6" t="str">
        <f t="shared" si="228"/>
        <v>OK</v>
      </c>
      <c r="AP2157" s="216"/>
      <c r="AQ2157" s="6" t="e">
        <f>MATCH($D2157,'D4 - Provider Council Unsched'!$C$11:$C$234,0)</f>
        <v>#N/A</v>
      </c>
      <c r="AR2157" s="6" t="b">
        <f t="shared" si="229"/>
        <v>1</v>
      </c>
      <c r="AS2157" s="6" t="str">
        <f t="shared" si="230"/>
        <v>OK</v>
      </c>
      <c r="AU2157" s="202"/>
      <c r="AV2157" s="262"/>
      <c r="AW2157" s="274"/>
    </row>
    <row r="2158" spans="1:49" s="13" customFormat="1" ht="33.75" x14ac:dyDescent="0.2">
      <c r="A2158" s="14">
        <v>2134</v>
      </c>
      <c r="B2158" s="14">
        <v>400013210</v>
      </c>
      <c r="C2158" s="8" t="s">
        <v>6581</v>
      </c>
      <c r="D2158" s="4" t="str">
        <f t="shared" si="225"/>
        <v>400013210L1</v>
      </c>
      <c r="E2158" s="309" t="str">
        <f>VLOOKUP($B2158,'D7 - NDB Impacted SPRF''s'!$E$6:$O$9929,2,FALSE)</f>
        <v>PDI -Update NDB fields to support AmeriChoice data</v>
      </c>
      <c r="F2158" s="8" t="s">
        <v>4961</v>
      </c>
      <c r="G2158" s="8" t="s">
        <v>4758</v>
      </c>
      <c r="H2158" s="8" t="s">
        <v>2870</v>
      </c>
      <c r="I2158" s="20">
        <v>20</v>
      </c>
      <c r="J2158" s="8" t="s">
        <v>4862</v>
      </c>
      <c r="K2158" s="182">
        <v>39375</v>
      </c>
      <c r="L2158" s="8" t="s">
        <v>5743</v>
      </c>
      <c r="M2158" s="8" t="s">
        <v>2814</v>
      </c>
      <c r="N2158" s="367" t="s">
        <v>2573</v>
      </c>
      <c r="O2158" s="8" t="s">
        <v>4306</v>
      </c>
      <c r="P2158" s="4" t="str">
        <f>VLOOKUP($B2158,'D7 - NDB Impacted SPRF''s'!$E$16:$O$9929,9,FALSE)</f>
        <v>N</v>
      </c>
      <c r="Q2158" s="4" t="str">
        <f>VLOOKUP($B2158,'D7 - NDB Impacted SPRF''s'!$E$16:$O$9929,10,FALSE)</f>
        <v>N</v>
      </c>
      <c r="R2158" s="4" t="str">
        <f>VLOOKUP($B2158,'D7 - NDB Impacted SPRF''s'!$E$16:$O$9929,11,FALSE)</f>
        <v>N</v>
      </c>
      <c r="S2158" s="8"/>
      <c r="T2158" s="310"/>
      <c r="U2158" s="310"/>
      <c r="V2158" s="4"/>
      <c r="W2158" s="4"/>
      <c r="X2158" s="4"/>
      <c r="Y2158" s="4"/>
      <c r="Z2158" s="4"/>
      <c r="AA2158" s="4"/>
      <c r="AB2158" s="380" t="str">
        <f>VLOOKUP($B2158,'D7 - NDB Impacted SPRF''s'!$E$16:$O$9929,4,FALSE)</f>
        <v>Completed</v>
      </c>
      <c r="AC2158" s="380" t="str">
        <f>VLOOKUP($B2158,'D7 - NDB Impacted SPRF''s'!$E$16:$O$9929,3,FALSE)</f>
        <v>UnitedHealthcare Employer &amp; Individual</v>
      </c>
      <c r="AD2158" s="380" t="str">
        <f>VLOOKUP($B2158,'D7 - NDB Impacted SPRF''s'!$E$16:$O$9929,5,FALSE)</f>
        <v>Network Growth / Enhancements</v>
      </c>
      <c r="AE2158" s="380" t="str">
        <f>VLOOKUP($B2158,'D7 - NDB Impacted SPRF''s'!$E$16:$O$9929,7,FALSE)</f>
        <v>Mike Mikan</v>
      </c>
      <c r="AF2158" s="380" t="str">
        <f>VLOOKUP($B2158,'D7 - NDB Impacted SPRF''s'!$E$16:$O$9929,6,FALSE)</f>
        <v>GREGORY MILLS</v>
      </c>
      <c r="AG2158" s="282"/>
      <c r="AH2158" s="311" t="e">
        <f>INDEX('D5 - Gatekeeper - Projects'!$A$4:$AF$1010,$AM2158, 17)</f>
        <v>#N/A</v>
      </c>
      <c r="AI2158" s="8"/>
      <c r="AJ2158" s="57"/>
      <c r="AK2158" s="105"/>
      <c r="AM2158" s="6" t="e">
        <f>MATCH(D2158,'D5 - Gatekeeper - Projects'!$C$4:$C$1010,0)</f>
        <v>#N/A</v>
      </c>
      <c r="AN2158" s="6" t="b">
        <f t="shared" si="227"/>
        <v>1</v>
      </c>
      <c r="AO2158" s="6" t="str">
        <f t="shared" si="228"/>
        <v>OK</v>
      </c>
      <c r="AQ2158" s="6" t="e">
        <f>MATCH($D2158,'D4 - Provider Council Unsched'!$C$11:$C$234,0)</f>
        <v>#N/A</v>
      </c>
      <c r="AR2158" s="6" t="b">
        <f t="shared" si="229"/>
        <v>1</v>
      </c>
      <c r="AS2158" s="6" t="str">
        <f t="shared" si="230"/>
        <v>OK</v>
      </c>
      <c r="AU2158" s="202"/>
      <c r="AV2158" s="262"/>
      <c r="AW2158" s="274"/>
    </row>
    <row r="2159" spans="1:49" s="13" customFormat="1" ht="22.5" x14ac:dyDescent="0.2">
      <c r="A2159" s="14">
        <v>2135</v>
      </c>
      <c r="B2159" s="14">
        <v>400015728</v>
      </c>
      <c r="C2159" s="8" t="s">
        <v>6581</v>
      </c>
      <c r="D2159" s="4" t="str">
        <f t="shared" si="225"/>
        <v>400015728L1</v>
      </c>
      <c r="E2159" s="309" t="str">
        <f>VLOOKUP($B2159,'D7 - NDB Impacted SPRF''s'!$E$6:$O$9929,2,FALSE)</f>
        <v>HPHC1 - Network-'G' Record Layout Phase II</v>
      </c>
      <c r="F2159" s="8" t="s">
        <v>5196</v>
      </c>
      <c r="G2159" s="8" t="s">
        <v>4758</v>
      </c>
      <c r="H2159" s="8" t="s">
        <v>2870</v>
      </c>
      <c r="I2159" s="20">
        <v>7.19</v>
      </c>
      <c r="J2159" s="8" t="s">
        <v>4862</v>
      </c>
      <c r="K2159" s="182">
        <v>39375</v>
      </c>
      <c r="L2159" s="8" t="s">
        <v>5743</v>
      </c>
      <c r="M2159" s="8" t="s">
        <v>2814</v>
      </c>
      <c r="N2159" s="38" t="s">
        <v>1979</v>
      </c>
      <c r="O2159" s="8"/>
      <c r="P2159" s="4" t="str">
        <f>VLOOKUP($B2159,'D7 - NDB Impacted SPRF''s'!$E$16:$O$9929,9,FALSE)</f>
        <v>N</v>
      </c>
      <c r="Q2159" s="4" t="str">
        <f>VLOOKUP($B2159,'D7 - NDB Impacted SPRF''s'!$E$16:$O$9929,10,FALSE)</f>
        <v>N</v>
      </c>
      <c r="R2159" s="4" t="str">
        <f>VLOOKUP($B2159,'D7 - NDB Impacted SPRF''s'!$E$16:$O$9929,11,FALSE)</f>
        <v>N</v>
      </c>
      <c r="S2159" s="8"/>
      <c r="T2159" s="310"/>
      <c r="U2159" s="310"/>
      <c r="V2159" s="4"/>
      <c r="W2159" s="4"/>
      <c r="X2159" s="4"/>
      <c r="Y2159" s="4"/>
      <c r="Z2159" s="4"/>
      <c r="AA2159" s="4"/>
      <c r="AB2159" s="380" t="str">
        <f>VLOOKUP($B2159,'D7 - NDB Impacted SPRF''s'!$E$16:$O$9929,4,FALSE)</f>
        <v>Completed</v>
      </c>
      <c r="AC2159" s="380" t="str">
        <f>VLOOKUP($B2159,'D7 - NDB Impacted SPRF''s'!$E$16:$O$9929,3,FALSE)</f>
        <v>Alliance</v>
      </c>
      <c r="AD2159" s="380" t="str">
        <f>VLOOKUP($B2159,'D7 - NDB Impacted SPRF''s'!$E$16:$O$9929,5,FALSE)</f>
        <v>Harvard Pilgrim Service Alliance</v>
      </c>
      <c r="AE2159" s="380" t="str">
        <f>VLOOKUP($B2159,'D7 - NDB Impacted SPRF''s'!$E$16:$O$9929,7,FALSE)</f>
        <v>Diane Schofield, Deborah Streb</v>
      </c>
      <c r="AF2159" s="380" t="str">
        <f>VLOOKUP($B2159,'D7 - NDB Impacted SPRF''s'!$E$16:$O$9929,6,FALSE)</f>
        <v>GREGORY MILLS</v>
      </c>
      <c r="AG2159" s="282"/>
      <c r="AH2159" s="311" t="e">
        <f>INDEX('D5 - Gatekeeper - Projects'!$A$4:$AF$1010,$AM2159, 17)</f>
        <v>#N/A</v>
      </c>
      <c r="AI2159" s="8"/>
      <c r="AJ2159" s="57"/>
      <c r="AK2159" s="105"/>
      <c r="AM2159" s="6" t="e">
        <f>MATCH(D2159,'D5 - Gatekeeper - Projects'!$C$4:$C$1010,0)</f>
        <v>#N/A</v>
      </c>
      <c r="AN2159" s="6" t="b">
        <f t="shared" si="227"/>
        <v>1</v>
      </c>
      <c r="AO2159" s="6" t="str">
        <f t="shared" si="228"/>
        <v>OK</v>
      </c>
      <c r="AQ2159" s="6" t="e">
        <f>MATCH($D2159,'D4 - Provider Council Unsched'!$C$11:$C$234,0)</f>
        <v>#N/A</v>
      </c>
      <c r="AR2159" s="6" t="b">
        <f t="shared" si="229"/>
        <v>1</v>
      </c>
      <c r="AS2159" s="6" t="str">
        <f t="shared" si="230"/>
        <v>OK</v>
      </c>
      <c r="AU2159" s="202"/>
      <c r="AV2159" s="262"/>
      <c r="AW2159" s="274"/>
    </row>
    <row r="2160" spans="1:49" s="13" customFormat="1" x14ac:dyDescent="0.2">
      <c r="A2160" s="14">
        <v>2136</v>
      </c>
      <c r="B2160" s="14" t="s">
        <v>8083</v>
      </c>
      <c r="C2160" s="8" t="s">
        <v>5197</v>
      </c>
      <c r="D2160" s="4" t="str">
        <f t="shared" si="225"/>
        <v>TBDOB09R1</v>
      </c>
      <c r="E2160" s="309" t="s">
        <v>5203</v>
      </c>
      <c r="F2160" s="8" t="s">
        <v>4304</v>
      </c>
      <c r="G2160" s="8" t="s">
        <v>4758</v>
      </c>
      <c r="H2160" s="8" t="s">
        <v>2870</v>
      </c>
      <c r="I2160" s="20">
        <v>1</v>
      </c>
      <c r="J2160" s="8" t="s">
        <v>7113</v>
      </c>
      <c r="K2160" s="182">
        <v>39375</v>
      </c>
      <c r="L2160" s="8" t="s">
        <v>5743</v>
      </c>
      <c r="M2160" s="8" t="s">
        <v>5626</v>
      </c>
      <c r="N2160" s="38" t="s">
        <v>6249</v>
      </c>
      <c r="O2160" s="8"/>
      <c r="P2160" s="4" t="e">
        <f>VLOOKUP($B2160,'D7 - NDB Impacted SPRF''s'!$E$16:$O$9929,9,FALSE)</f>
        <v>#N/A</v>
      </c>
      <c r="Q2160" s="4" t="e">
        <f>VLOOKUP($B2160,'D7 - NDB Impacted SPRF''s'!$E$16:$O$9929,10,FALSE)</f>
        <v>#N/A</v>
      </c>
      <c r="R2160" s="4" t="e">
        <f>VLOOKUP($B2160,'D7 - NDB Impacted SPRF''s'!$E$16:$O$9929,11,FALSE)</f>
        <v>#N/A</v>
      </c>
      <c r="S2160" s="8"/>
      <c r="T2160" s="310"/>
      <c r="U2160" s="310"/>
      <c r="V2160" s="4"/>
      <c r="W2160" s="4"/>
      <c r="X2160" s="4"/>
      <c r="Y2160" s="4"/>
      <c r="Z2160" s="4"/>
      <c r="AA2160" s="4"/>
      <c r="AB2160" s="380" t="e">
        <f>VLOOKUP($B2160,'D7 - NDB Impacted SPRF''s'!$E$16:$O$9929,4,FALSE)</f>
        <v>#N/A</v>
      </c>
      <c r="AC2160" s="380" t="e">
        <f>VLOOKUP($B2160,'D7 - NDB Impacted SPRF''s'!$E$16:$O$9929,3,FALSE)</f>
        <v>#N/A</v>
      </c>
      <c r="AD2160" s="380" t="e">
        <f>VLOOKUP($B2160,'D7 - NDB Impacted SPRF''s'!$E$16:$O$9929,5,FALSE)</f>
        <v>#N/A</v>
      </c>
      <c r="AE2160" s="380" t="e">
        <f>VLOOKUP($B2160,'D7 - NDB Impacted SPRF''s'!$E$16:$O$9929,7,FALSE)</f>
        <v>#N/A</v>
      </c>
      <c r="AF2160" s="380" t="e">
        <f>VLOOKUP($B2160,'D7 - NDB Impacted SPRF''s'!$E$16:$O$9929,6,FALSE)</f>
        <v>#N/A</v>
      </c>
      <c r="AG2160" s="282"/>
      <c r="AH2160" s="311" t="e">
        <f>INDEX('D5 - Gatekeeper - Projects'!$A$4:$AF$1010,$AM2160, 17)</f>
        <v>#N/A</v>
      </c>
      <c r="AI2160" s="8"/>
      <c r="AJ2160" s="57"/>
      <c r="AK2160" s="105"/>
      <c r="AM2160" s="6" t="e">
        <f>MATCH(D2160,'D5 - Gatekeeper - Projects'!$C$4:$C$1010,0)</f>
        <v>#N/A</v>
      </c>
      <c r="AN2160" s="6" t="b">
        <f t="shared" si="227"/>
        <v>1</v>
      </c>
      <c r="AO2160" s="6" t="str">
        <f t="shared" si="228"/>
        <v>OK</v>
      </c>
      <c r="AQ2160" s="6" t="e">
        <f>MATCH($D2160,'D4 - Provider Council Unsched'!$C$11:$C$234,0)</f>
        <v>#N/A</v>
      </c>
      <c r="AR2160" s="6" t="b">
        <f t="shared" si="229"/>
        <v>1</v>
      </c>
      <c r="AS2160" s="6" t="str">
        <f t="shared" si="230"/>
        <v>OK</v>
      </c>
      <c r="AU2160" s="202"/>
      <c r="AV2160" s="262"/>
      <c r="AW2160" s="274"/>
    </row>
    <row r="2161" spans="1:49" s="13" customFormat="1" x14ac:dyDescent="0.2">
      <c r="A2161" s="14">
        <v>2137</v>
      </c>
      <c r="B2161" s="14" t="s">
        <v>2063</v>
      </c>
      <c r="C2161" s="8" t="s">
        <v>5197</v>
      </c>
      <c r="D2161" s="4" t="str">
        <f t="shared" ref="D2161:D2224" si="231">CONCATENATE(B2161,C2161)</f>
        <v>TBDOB10R1</v>
      </c>
      <c r="E2161" s="309" t="s">
        <v>5203</v>
      </c>
      <c r="F2161" s="8" t="s">
        <v>4304</v>
      </c>
      <c r="G2161" s="8" t="s">
        <v>4758</v>
      </c>
      <c r="H2161" s="8" t="s">
        <v>2870</v>
      </c>
      <c r="I2161" s="20">
        <v>1</v>
      </c>
      <c r="J2161" s="8" t="s">
        <v>7113</v>
      </c>
      <c r="K2161" s="182">
        <v>39375</v>
      </c>
      <c r="L2161" s="8" t="s">
        <v>5743</v>
      </c>
      <c r="M2161" s="8" t="s">
        <v>5626</v>
      </c>
      <c r="N2161" s="38" t="s">
        <v>6250</v>
      </c>
      <c r="O2161" s="8"/>
      <c r="P2161" s="4" t="e">
        <f>VLOOKUP($B2161,'D7 - NDB Impacted SPRF''s'!$E$16:$O$9929,9,FALSE)</f>
        <v>#N/A</v>
      </c>
      <c r="Q2161" s="4" t="e">
        <f>VLOOKUP($B2161,'D7 - NDB Impacted SPRF''s'!$E$16:$O$9929,10,FALSE)</f>
        <v>#N/A</v>
      </c>
      <c r="R2161" s="4" t="e">
        <f>VLOOKUP($B2161,'D7 - NDB Impacted SPRF''s'!$E$16:$O$9929,11,FALSE)</f>
        <v>#N/A</v>
      </c>
      <c r="S2161" s="8"/>
      <c r="T2161" s="310"/>
      <c r="U2161" s="310"/>
      <c r="V2161" s="4"/>
      <c r="W2161" s="4"/>
      <c r="X2161" s="4"/>
      <c r="Y2161" s="4"/>
      <c r="Z2161" s="4"/>
      <c r="AA2161" s="4"/>
      <c r="AB2161" s="380" t="e">
        <f>VLOOKUP($B2161,'D7 - NDB Impacted SPRF''s'!$E$16:$O$9929,4,FALSE)</f>
        <v>#N/A</v>
      </c>
      <c r="AC2161" s="380" t="e">
        <f>VLOOKUP($B2161,'D7 - NDB Impacted SPRF''s'!$E$16:$O$9929,3,FALSE)</f>
        <v>#N/A</v>
      </c>
      <c r="AD2161" s="380" t="e">
        <f>VLOOKUP($B2161,'D7 - NDB Impacted SPRF''s'!$E$16:$O$9929,5,FALSE)</f>
        <v>#N/A</v>
      </c>
      <c r="AE2161" s="380" t="e">
        <f>VLOOKUP($B2161,'D7 - NDB Impacted SPRF''s'!$E$16:$O$9929,7,FALSE)</f>
        <v>#N/A</v>
      </c>
      <c r="AF2161" s="380" t="e">
        <f>VLOOKUP($B2161,'D7 - NDB Impacted SPRF''s'!$E$16:$O$9929,6,FALSE)</f>
        <v>#N/A</v>
      </c>
      <c r="AG2161" s="282"/>
      <c r="AH2161" s="311" t="e">
        <f>INDEX('D5 - Gatekeeper - Projects'!$A$4:$AF$1010,$AM2161, 17)</f>
        <v>#N/A</v>
      </c>
      <c r="AI2161" s="8"/>
      <c r="AJ2161" s="57"/>
      <c r="AK2161" s="105"/>
      <c r="AM2161" s="6" t="e">
        <f>MATCH(D2161,'D5 - Gatekeeper - Projects'!$C$4:$C$1010,0)</f>
        <v>#N/A</v>
      </c>
      <c r="AN2161" s="6" t="b">
        <f t="shared" si="227"/>
        <v>1</v>
      </c>
      <c r="AO2161" s="6" t="str">
        <f t="shared" si="228"/>
        <v>OK</v>
      </c>
      <c r="AQ2161" s="6" t="e">
        <f>MATCH($D2161,'D4 - Provider Council Unsched'!$C$11:$C$234,0)</f>
        <v>#N/A</v>
      </c>
      <c r="AR2161" s="6" t="b">
        <f t="shared" si="229"/>
        <v>1</v>
      </c>
      <c r="AS2161" s="6" t="str">
        <f t="shared" si="230"/>
        <v>OK</v>
      </c>
      <c r="AU2161" s="202"/>
      <c r="AV2161" s="262"/>
      <c r="AW2161" s="274"/>
    </row>
    <row r="2162" spans="1:49" s="13" customFormat="1" ht="33.75" x14ac:dyDescent="0.2">
      <c r="A2162" s="14">
        <v>2138</v>
      </c>
      <c r="B2162" s="14">
        <v>400010721</v>
      </c>
      <c r="C2162" s="8" t="s">
        <v>6679</v>
      </c>
      <c r="D2162" s="4" t="str">
        <f t="shared" si="231"/>
        <v>400010721CC14R3</v>
      </c>
      <c r="E2162" s="309" t="str">
        <f>VLOOKUP($B2162,'D7 - NDB Impacted SPRF''s'!$E$6:$O$9929,2,FALSE)</f>
        <v>GHMO Analysis &amp; Design Phase V (Medica)</v>
      </c>
      <c r="F2162" s="8" t="s">
        <v>4168</v>
      </c>
      <c r="G2162" s="8" t="s">
        <v>4758</v>
      </c>
      <c r="H2162" s="8" t="s">
        <v>2870</v>
      </c>
      <c r="I2162" s="20">
        <v>5</v>
      </c>
      <c r="J2162" s="8" t="s">
        <v>4862</v>
      </c>
      <c r="K2162" s="182">
        <v>39396</v>
      </c>
      <c r="L2162" s="8" t="s">
        <v>5743</v>
      </c>
      <c r="M2162" s="8" t="s">
        <v>2814</v>
      </c>
      <c r="N2162" s="367" t="s">
        <v>4818</v>
      </c>
      <c r="O2162" s="8"/>
      <c r="P2162" s="4" t="str">
        <f>VLOOKUP($B2162,'D7 - NDB Impacted SPRF''s'!$E$16:$O$9929,9,FALSE)</f>
        <v>Y</v>
      </c>
      <c r="Q2162" s="4" t="str">
        <f>VLOOKUP($B2162,'D7 - NDB Impacted SPRF''s'!$E$16:$O$9929,10,FALSE)</f>
        <v>N</v>
      </c>
      <c r="R2162" s="4" t="str">
        <f>VLOOKUP($B2162,'D7 - NDB Impacted SPRF''s'!$E$16:$O$9929,11,FALSE)</f>
        <v>N</v>
      </c>
      <c r="S2162" s="8" t="s">
        <v>3758</v>
      </c>
      <c r="T2162" s="310"/>
      <c r="U2162" s="310"/>
      <c r="V2162" s="4"/>
      <c r="W2162" s="4"/>
      <c r="X2162" s="4"/>
      <c r="Y2162" s="4"/>
      <c r="Z2162" s="4"/>
      <c r="AA2162" s="4"/>
      <c r="AB2162" s="380" t="str">
        <f>VLOOKUP($B2162,'D7 - NDB Impacted SPRF''s'!$E$16:$O$9929,4,FALSE)</f>
        <v>Completed</v>
      </c>
      <c r="AC2162" s="380" t="str">
        <f>VLOOKUP($B2162,'D7 - NDB Impacted SPRF''s'!$E$16:$O$9929,3,FALSE)</f>
        <v>UnitedHealthcare Employer &amp; Individual</v>
      </c>
      <c r="AD2162" s="380" t="str">
        <f>VLOOKUP($B2162,'D7 - NDB Impacted SPRF''s'!$E$16:$O$9929,5,FALSE)</f>
        <v>Gated HMO</v>
      </c>
      <c r="AE2162" s="380" t="str">
        <f>VLOOKUP($B2162,'D7 - NDB Impacted SPRF''s'!$E$16:$O$9929,7,FALSE)</f>
        <v>Diane Schofield</v>
      </c>
      <c r="AF2162" s="380" t="str">
        <f>VLOOKUP($B2162,'D7 - NDB Impacted SPRF''s'!$E$16:$O$9929,6,FALSE)</f>
        <v>SUSAN TONKIN</v>
      </c>
      <c r="AG2162" s="282"/>
      <c r="AH2162" s="311" t="e">
        <f>INDEX('D5 - Gatekeeper - Projects'!$A$4:$AF$1010,$AM2162, 17)</f>
        <v>#N/A</v>
      </c>
      <c r="AI2162" s="8"/>
      <c r="AJ2162" s="57"/>
      <c r="AK2162" s="105"/>
      <c r="AM2162" s="6" t="e">
        <f>MATCH(D2162,'D5 - Gatekeeper - Projects'!$C$4:$C$1010,0)</f>
        <v>#N/A</v>
      </c>
      <c r="AN2162" s="6" t="b">
        <f t="shared" si="227"/>
        <v>1</v>
      </c>
      <c r="AO2162" s="6" t="str">
        <f t="shared" si="228"/>
        <v>OK</v>
      </c>
      <c r="AQ2162" s="6" t="e">
        <f>MATCH($D2162,'D4 - Provider Council Unsched'!$C$11:$C$234,0)</f>
        <v>#N/A</v>
      </c>
      <c r="AR2162" s="6" t="b">
        <f t="shared" si="229"/>
        <v>1</v>
      </c>
      <c r="AS2162" s="6" t="str">
        <f t="shared" si="230"/>
        <v>OK</v>
      </c>
      <c r="AU2162" s="202"/>
      <c r="AV2162" s="262"/>
      <c r="AW2162" s="274"/>
    </row>
    <row r="2163" spans="1:49" s="13" customFormat="1" ht="22.5" x14ac:dyDescent="0.2">
      <c r="A2163" s="14">
        <v>2139</v>
      </c>
      <c r="B2163" s="14">
        <v>400011744</v>
      </c>
      <c r="C2163" s="8" t="s">
        <v>5197</v>
      </c>
      <c r="D2163" s="4" t="str">
        <f t="shared" si="231"/>
        <v>400011744R1</v>
      </c>
      <c r="E2163" s="309" t="str">
        <f>VLOOKUP($B2163,'D7 - NDB Impacted SPRF''s'!$E$6:$O$9929,2,FALSE)</f>
        <v>Capitation - Harvard Pilgrim</v>
      </c>
      <c r="F2163" s="8" t="s">
        <v>7593</v>
      </c>
      <c r="G2163" s="8" t="s">
        <v>4758</v>
      </c>
      <c r="H2163" s="8" t="s">
        <v>2870</v>
      </c>
      <c r="I2163" s="20">
        <v>1.07</v>
      </c>
      <c r="J2163" s="8" t="s">
        <v>4862</v>
      </c>
      <c r="K2163" s="182">
        <v>39396</v>
      </c>
      <c r="L2163" s="8" t="s">
        <v>5743</v>
      </c>
      <c r="M2163" s="8" t="s">
        <v>5626</v>
      </c>
      <c r="N2163" s="367"/>
      <c r="O2163" s="8"/>
      <c r="P2163" s="4" t="str">
        <f>VLOOKUP($B2163,'D7 - NDB Impacted SPRF''s'!$E$16:$O$9929,9,FALSE)</f>
        <v>N</v>
      </c>
      <c r="Q2163" s="4" t="str">
        <f>VLOOKUP($B2163,'D7 - NDB Impacted SPRF''s'!$E$16:$O$9929,10,FALSE)</f>
        <v>N</v>
      </c>
      <c r="R2163" s="4" t="str">
        <f>VLOOKUP($B2163,'D7 - NDB Impacted SPRF''s'!$E$16:$O$9929,11,FALSE)</f>
        <v>N</v>
      </c>
      <c r="S2163" s="8"/>
      <c r="T2163" s="310"/>
      <c r="U2163" s="310"/>
      <c r="V2163" s="4"/>
      <c r="W2163" s="4"/>
      <c r="X2163" s="4"/>
      <c r="Y2163" s="4"/>
      <c r="Z2163" s="4"/>
      <c r="AA2163" s="4"/>
      <c r="AB2163" s="380" t="str">
        <f>VLOOKUP($B2163,'D7 - NDB Impacted SPRF''s'!$E$16:$O$9929,4,FALSE)</f>
        <v>Cancelled</v>
      </c>
      <c r="AC2163" s="380" t="str">
        <f>VLOOKUP($B2163,'D7 - NDB Impacted SPRF''s'!$E$16:$O$9929,3,FALSE)</f>
        <v>Alliance</v>
      </c>
      <c r="AD2163" s="380" t="str">
        <f>VLOOKUP($B2163,'D7 - NDB Impacted SPRF''s'!$E$16:$O$9929,5,FALSE)</f>
        <v>Harvard Pilgrim Service Alliance</v>
      </c>
      <c r="AE2163" s="380" t="str">
        <f>VLOOKUP($B2163,'D7 - NDB Impacted SPRF''s'!$E$16:$O$9929,7,FALSE)</f>
        <v>Tim Kaja</v>
      </c>
      <c r="AF2163" s="380" t="str">
        <f>VLOOKUP($B2163,'D7 - NDB Impacted SPRF''s'!$E$16:$O$9929,6,FALSE)</f>
        <v>Janet Wright</v>
      </c>
      <c r="AG2163" s="282" t="s">
        <v>7755</v>
      </c>
      <c r="AH2163" s="311" t="e">
        <f>INDEX('D5 - Gatekeeper - Projects'!$A$4:$AF$1010,$AM2163, 17)</f>
        <v>#N/A</v>
      </c>
      <c r="AI2163" s="8"/>
      <c r="AJ2163" s="57"/>
      <c r="AK2163" s="105"/>
      <c r="AM2163" s="6" t="e">
        <f>MATCH(D2163,'D5 - Gatekeeper - Projects'!$C$4:$C$1010,0)</f>
        <v>#N/A</v>
      </c>
      <c r="AN2163" s="6" t="b">
        <f t="shared" si="227"/>
        <v>1</v>
      </c>
      <c r="AO2163" s="6" t="str">
        <f t="shared" si="228"/>
        <v>OK</v>
      </c>
      <c r="AQ2163" s="6" t="e">
        <f>MATCH($D2163,'D4 - Provider Council Unsched'!$C$11:$C$234,0)</f>
        <v>#N/A</v>
      </c>
      <c r="AR2163" s="6" t="b">
        <f t="shared" si="229"/>
        <v>1</v>
      </c>
      <c r="AS2163" s="6" t="str">
        <f t="shared" si="230"/>
        <v>OK</v>
      </c>
      <c r="AU2163" s="202"/>
      <c r="AV2163" s="262"/>
      <c r="AW2163" s="274"/>
    </row>
    <row r="2164" spans="1:49" s="13" customFormat="1" ht="33.75" x14ac:dyDescent="0.2">
      <c r="A2164" s="14">
        <v>2140</v>
      </c>
      <c r="B2164" s="14">
        <v>400014925</v>
      </c>
      <c r="C2164" s="8" t="s">
        <v>5197</v>
      </c>
      <c r="D2164" s="4" t="str">
        <f t="shared" si="231"/>
        <v>400014925R1</v>
      </c>
      <c r="E2164" s="309" t="str">
        <f>VLOOKUP($B2164,'D7 - NDB Impacted SPRF''s'!$E$6:$O$9929,2,FALSE)</f>
        <v>HPHC1 - 040107 HPHC ET &amp; Operational Readiness</v>
      </c>
      <c r="F2164" s="8" t="s">
        <v>5196</v>
      </c>
      <c r="G2164" s="8" t="s">
        <v>4758</v>
      </c>
      <c r="H2164" s="8" t="s">
        <v>2870</v>
      </c>
      <c r="I2164" s="20">
        <v>3.83</v>
      </c>
      <c r="J2164" s="8" t="s">
        <v>4862</v>
      </c>
      <c r="K2164" s="182">
        <v>39396</v>
      </c>
      <c r="L2164" s="8" t="s">
        <v>5743</v>
      </c>
      <c r="M2164" s="8" t="s">
        <v>5626</v>
      </c>
      <c r="N2164" s="38" t="s">
        <v>5805</v>
      </c>
      <c r="O2164" s="8"/>
      <c r="P2164" s="4" t="str">
        <f>VLOOKUP($B2164,'D7 - NDB Impacted SPRF''s'!$E$16:$O$9929,9,FALSE)</f>
        <v>Y</v>
      </c>
      <c r="Q2164" s="4" t="str">
        <f>VLOOKUP($B2164,'D7 - NDB Impacted SPRF''s'!$E$16:$O$9929,10,FALSE)</f>
        <v>N</v>
      </c>
      <c r="R2164" s="4" t="str">
        <f>VLOOKUP($B2164,'D7 - NDB Impacted SPRF''s'!$E$16:$O$9929,11,FALSE)</f>
        <v>N</v>
      </c>
      <c r="S2164" s="8"/>
      <c r="T2164" s="310"/>
      <c r="U2164" s="310"/>
      <c r="V2164" s="4"/>
      <c r="W2164" s="4"/>
      <c r="X2164" s="4"/>
      <c r="Y2164" s="4"/>
      <c r="Z2164" s="4"/>
      <c r="AA2164" s="4"/>
      <c r="AB2164" s="380" t="str">
        <f>VLOOKUP($B2164,'D7 - NDB Impacted SPRF''s'!$E$16:$O$9929,4,FALSE)</f>
        <v>Cancelled</v>
      </c>
      <c r="AC2164" s="380" t="str">
        <f>VLOOKUP($B2164,'D7 - NDB Impacted SPRF''s'!$E$16:$O$9929,3,FALSE)</f>
        <v>UnitedHealthcare Employer &amp; Individual</v>
      </c>
      <c r="AD2164" s="380" t="str">
        <f>VLOOKUP($B2164,'D7 - NDB Impacted SPRF''s'!$E$16:$O$9929,5,FALSE)</f>
        <v>Harvard Pilgrim Service Alliance</v>
      </c>
      <c r="AE2164" s="380" t="str">
        <f>VLOOKUP($B2164,'D7 - NDB Impacted SPRF''s'!$E$16:$O$9929,7,FALSE)</f>
        <v>Diane Schofield</v>
      </c>
      <c r="AF2164" s="380" t="str">
        <f>VLOOKUP($B2164,'D7 - NDB Impacted SPRF''s'!$E$16:$O$9929,6,FALSE)</f>
        <v>Cindy Griggs</v>
      </c>
      <c r="AG2164" s="282"/>
      <c r="AH2164" s="311" t="e">
        <f>INDEX('D5 - Gatekeeper - Projects'!$A$4:$AF$1010,$AM2164, 17)</f>
        <v>#N/A</v>
      </c>
      <c r="AI2164" s="8"/>
      <c r="AJ2164" s="57"/>
      <c r="AK2164" s="105"/>
      <c r="AM2164" s="6" t="e">
        <f>MATCH(D2164,'D5 - Gatekeeper - Projects'!$C$4:$C$1010,0)</f>
        <v>#N/A</v>
      </c>
      <c r="AN2164" s="6" t="b">
        <f t="shared" si="227"/>
        <v>1</v>
      </c>
      <c r="AO2164" s="6" t="str">
        <f t="shared" si="228"/>
        <v>OK</v>
      </c>
      <c r="AQ2164" s="6" t="e">
        <f>MATCH($D2164,'D4 - Provider Council Unsched'!$C$11:$C$234,0)</f>
        <v>#N/A</v>
      </c>
      <c r="AR2164" s="6" t="b">
        <f t="shared" si="229"/>
        <v>1</v>
      </c>
      <c r="AS2164" s="6" t="str">
        <f t="shared" ref="AS2164:AS2195" si="232">IF(AND(H2164="2 - Not Scheduled",AR2164=TRUE),"Add","OK")</f>
        <v>OK</v>
      </c>
      <c r="AU2164" s="202"/>
      <c r="AV2164" s="262"/>
      <c r="AW2164" s="274"/>
    </row>
    <row r="2165" spans="1:49" s="13" customFormat="1" ht="22.5" x14ac:dyDescent="0.2">
      <c r="A2165" s="14">
        <v>2141</v>
      </c>
      <c r="B2165" s="14">
        <v>400015751</v>
      </c>
      <c r="C2165" s="8" t="s">
        <v>5197</v>
      </c>
      <c r="D2165" s="4" t="str">
        <f t="shared" si="231"/>
        <v>400015751R1</v>
      </c>
      <c r="E2165" s="309" t="str">
        <f>VLOOKUP($B2165,'D7 - NDB Impacted SPRF''s'!$E$6:$O$9929,2,FALSE)</f>
        <v>Medica - Check Roll Up functionality</v>
      </c>
      <c r="F2165" s="8" t="s">
        <v>5196</v>
      </c>
      <c r="G2165" s="8" t="s">
        <v>4758</v>
      </c>
      <c r="H2165" s="8" t="s">
        <v>2870</v>
      </c>
      <c r="I2165" s="20">
        <v>20.239999999999998</v>
      </c>
      <c r="J2165" s="8" t="s">
        <v>4862</v>
      </c>
      <c r="K2165" s="182">
        <v>39396</v>
      </c>
      <c r="L2165" s="8" t="s">
        <v>5743</v>
      </c>
      <c r="M2165" s="8" t="s">
        <v>2814</v>
      </c>
      <c r="N2165" s="38" t="s">
        <v>7416</v>
      </c>
      <c r="O2165" s="8"/>
      <c r="P2165" s="4" t="str">
        <f>VLOOKUP($B2165,'D7 - NDB Impacted SPRF''s'!$E$16:$O$9929,9,FALSE)</f>
        <v>Y</v>
      </c>
      <c r="Q2165" s="4" t="str">
        <f>VLOOKUP($B2165,'D7 - NDB Impacted SPRF''s'!$E$16:$O$9929,10,FALSE)</f>
        <v>N</v>
      </c>
      <c r="R2165" s="4" t="str">
        <f>VLOOKUP($B2165,'D7 - NDB Impacted SPRF''s'!$E$16:$O$9929,11,FALSE)</f>
        <v>N</v>
      </c>
      <c r="S2165" s="8"/>
      <c r="T2165" s="310"/>
      <c r="U2165" s="310"/>
      <c r="V2165" s="4"/>
      <c r="W2165" s="4"/>
      <c r="X2165" s="4"/>
      <c r="Y2165" s="4"/>
      <c r="Z2165" s="4"/>
      <c r="AA2165" s="4"/>
      <c r="AB2165" s="380" t="str">
        <f>VLOOKUP($B2165,'D7 - NDB Impacted SPRF''s'!$E$16:$O$9929,4,FALSE)</f>
        <v>Cancelled</v>
      </c>
      <c r="AC2165" s="380" t="str">
        <f>VLOOKUP($B2165,'D7 - NDB Impacted SPRF''s'!$E$16:$O$9929,3,FALSE)</f>
        <v>Alliance</v>
      </c>
      <c r="AD2165" s="380" t="str">
        <f>VLOOKUP($B2165,'D7 - NDB Impacted SPRF''s'!$E$16:$O$9929,5,FALSE)</f>
        <v>Medica UNET Conversion</v>
      </c>
      <c r="AE2165" s="380" t="str">
        <f>VLOOKUP($B2165,'D7 - NDB Impacted SPRF''s'!$E$16:$O$9929,7,FALSE)</f>
        <v>Diane Schofield</v>
      </c>
      <c r="AF2165" s="380" t="str">
        <f>VLOOKUP($B2165,'D7 - NDB Impacted SPRF''s'!$E$16:$O$9929,6,FALSE)</f>
        <v>SCOTT THOMPSON MN</v>
      </c>
      <c r="AG2165" s="282"/>
      <c r="AH2165" s="311" t="e">
        <f>INDEX('D5 - Gatekeeper - Projects'!$A$4:$AF$1010,$AM2165, 17)</f>
        <v>#N/A</v>
      </c>
      <c r="AI2165" s="8"/>
      <c r="AJ2165" s="57"/>
      <c r="AK2165" s="105"/>
      <c r="AM2165" s="6" t="e">
        <f>MATCH(D2165,'D5 - Gatekeeper - Projects'!$C$4:$C$1010,0)</f>
        <v>#N/A</v>
      </c>
      <c r="AN2165" s="6" t="b">
        <f t="shared" si="227"/>
        <v>1</v>
      </c>
      <c r="AO2165" s="6" t="str">
        <f t="shared" si="228"/>
        <v>OK</v>
      </c>
      <c r="AQ2165" s="6" t="e">
        <f>MATCH($D2165,'D4 - Provider Council Unsched'!$C$11:$C$234,0)</f>
        <v>#N/A</v>
      </c>
      <c r="AR2165" s="6" t="b">
        <f t="shared" si="229"/>
        <v>1</v>
      </c>
      <c r="AS2165" s="6" t="str">
        <f t="shared" si="232"/>
        <v>OK</v>
      </c>
      <c r="AU2165" s="202"/>
      <c r="AV2165" s="262"/>
      <c r="AW2165" s="274"/>
    </row>
    <row r="2166" spans="1:49" s="13" customFormat="1" ht="33.75" x14ac:dyDescent="0.2">
      <c r="A2166" s="14">
        <v>2142</v>
      </c>
      <c r="B2166" s="14">
        <v>400018429</v>
      </c>
      <c r="C2166" s="8" t="s">
        <v>6581</v>
      </c>
      <c r="D2166" s="4" t="str">
        <f t="shared" si="231"/>
        <v>400018429L1</v>
      </c>
      <c r="E2166" s="309" t="str">
        <f>VLOOKUP($B2166,'D7 - NDB Impacted SPRF''s'!$E$6:$O$9929,2,FALSE)</f>
        <v>PCP Indicator Assignment at Contract Level</v>
      </c>
      <c r="F2166" s="8" t="s">
        <v>2114</v>
      </c>
      <c r="G2166" s="8" t="s">
        <v>4758</v>
      </c>
      <c r="H2166" s="8" t="s">
        <v>2870</v>
      </c>
      <c r="I2166" s="20">
        <v>0.5</v>
      </c>
      <c r="J2166" s="8" t="s">
        <v>4862</v>
      </c>
      <c r="K2166" s="182">
        <v>39396</v>
      </c>
      <c r="L2166" s="8" t="s">
        <v>5743</v>
      </c>
      <c r="M2166" s="8" t="s">
        <v>2814</v>
      </c>
      <c r="N2166" s="38" t="s">
        <v>1980</v>
      </c>
      <c r="O2166" s="8"/>
      <c r="P2166" s="4" t="str">
        <f>VLOOKUP($B2166,'D7 - NDB Impacted SPRF''s'!$E$16:$O$9929,9,FALSE)</f>
        <v>Y</v>
      </c>
      <c r="Q2166" s="4" t="str">
        <f>VLOOKUP($B2166,'D7 - NDB Impacted SPRF''s'!$E$16:$O$9929,10,FALSE)</f>
        <v>N</v>
      </c>
      <c r="R2166" s="4" t="str">
        <f>VLOOKUP($B2166,'D7 - NDB Impacted SPRF''s'!$E$16:$O$9929,11,FALSE)</f>
        <v>Y</v>
      </c>
      <c r="S2166" s="8"/>
      <c r="T2166" s="310"/>
      <c r="U2166" s="310"/>
      <c r="V2166" s="4"/>
      <c r="W2166" s="4"/>
      <c r="X2166" s="4"/>
      <c r="Y2166" s="4"/>
      <c r="Z2166" s="4"/>
      <c r="AA2166" s="4"/>
      <c r="AB2166" s="380" t="str">
        <f>VLOOKUP($B2166,'D7 - NDB Impacted SPRF''s'!$E$16:$O$9929,4,FALSE)</f>
        <v>Completed</v>
      </c>
      <c r="AC2166" s="380" t="str">
        <f>VLOOKUP($B2166,'D7 - NDB Impacted SPRF''s'!$E$16:$O$9929,3,FALSE)</f>
        <v>UnitedHealthcare Employer &amp; Individual</v>
      </c>
      <c r="AD2166" s="380" t="str">
        <f>VLOOKUP($B2166,'D7 - NDB Impacted SPRF''s'!$E$16:$O$9929,5,FALSE)</f>
        <v>Medical Cost Savings Programs</v>
      </c>
      <c r="AE2166" s="380" t="str">
        <f>VLOOKUP($B2166,'D7 - NDB Impacted SPRF''s'!$E$16:$O$9929,7,FALSE)</f>
        <v>Ross Lippincott</v>
      </c>
      <c r="AF2166" s="380" t="str">
        <f>VLOOKUP($B2166,'D7 - NDB Impacted SPRF''s'!$E$16:$O$9929,6,FALSE)</f>
        <v>Southerland SHERRY</v>
      </c>
      <c r="AG2166" s="282"/>
      <c r="AH2166" s="311" t="e">
        <f>INDEX('D5 - Gatekeeper - Projects'!$A$4:$AF$1010,$AM2166, 17)</f>
        <v>#N/A</v>
      </c>
      <c r="AI2166" s="8"/>
      <c r="AJ2166" s="57"/>
      <c r="AK2166" s="105"/>
      <c r="AM2166" s="6" t="e">
        <f>MATCH(D2166,'D5 - Gatekeeper - Projects'!$C$4:$C$1010,0)</f>
        <v>#N/A</v>
      </c>
      <c r="AN2166" s="6" t="b">
        <f t="shared" si="227"/>
        <v>1</v>
      </c>
      <c r="AO2166" s="6" t="str">
        <f t="shared" si="228"/>
        <v>OK</v>
      </c>
      <c r="AQ2166" s="6" t="e">
        <f>MATCH($D2166,'D4 - Provider Council Unsched'!$C$11:$C$234,0)</f>
        <v>#N/A</v>
      </c>
      <c r="AR2166" s="6" t="b">
        <f t="shared" si="229"/>
        <v>1</v>
      </c>
      <c r="AS2166" s="6" t="str">
        <f t="shared" si="232"/>
        <v>OK</v>
      </c>
      <c r="AU2166" s="202"/>
      <c r="AV2166" s="262"/>
      <c r="AW2166" s="274"/>
    </row>
    <row r="2167" spans="1:49" s="13" customFormat="1" ht="33.75" x14ac:dyDescent="0.2">
      <c r="A2167" s="14">
        <v>2143</v>
      </c>
      <c r="B2167" s="14">
        <v>400019501</v>
      </c>
      <c r="C2167" s="8" t="s">
        <v>5197</v>
      </c>
      <c r="D2167" s="4" t="str">
        <f t="shared" si="231"/>
        <v>400019501R1</v>
      </c>
      <c r="E2167" s="309" t="str">
        <f>VLOOKUP($B2167,'D7 - NDB Impacted SPRF''s'!$E$6:$O$9929,2,FALSE)</f>
        <v>Proof of Concept Scalability Test</v>
      </c>
      <c r="F2167" s="8" t="s">
        <v>7106</v>
      </c>
      <c r="G2167" s="8" t="s">
        <v>4758</v>
      </c>
      <c r="H2167" s="8" t="s">
        <v>2870</v>
      </c>
      <c r="I2167" s="20">
        <v>2.08</v>
      </c>
      <c r="J2167" s="8" t="s">
        <v>4862</v>
      </c>
      <c r="K2167" s="182">
        <v>39396</v>
      </c>
      <c r="L2167" s="8" t="s">
        <v>4156</v>
      </c>
      <c r="M2167" s="8" t="s">
        <v>2814</v>
      </c>
      <c r="N2167" s="38" t="s">
        <v>3446</v>
      </c>
      <c r="O2167" s="8"/>
      <c r="P2167" s="4" t="str">
        <f>VLOOKUP($B2167,'D7 - NDB Impacted SPRF''s'!$E$16:$O$9929,9,FALSE)</f>
        <v>Y</v>
      </c>
      <c r="Q2167" s="4" t="str">
        <f>VLOOKUP($B2167,'D7 - NDB Impacted SPRF''s'!$E$16:$O$9929,10,FALSE)</f>
        <v>N</v>
      </c>
      <c r="R2167" s="4" t="str">
        <f>VLOOKUP($B2167,'D7 - NDB Impacted SPRF''s'!$E$16:$O$9929,11,FALSE)</f>
        <v>Y</v>
      </c>
      <c r="S2167" s="8"/>
      <c r="T2167" s="310"/>
      <c r="U2167" s="310"/>
      <c r="V2167" s="4"/>
      <c r="W2167" s="4"/>
      <c r="X2167" s="4"/>
      <c r="Y2167" s="4"/>
      <c r="Z2167" s="4"/>
      <c r="AA2167" s="4"/>
      <c r="AB2167" s="380" t="str">
        <f>VLOOKUP($B2167,'D7 - NDB Impacted SPRF''s'!$E$16:$O$9929,4,FALSE)</f>
        <v>Cancelled</v>
      </c>
      <c r="AC2167" s="380" t="str">
        <f>VLOOKUP($B2167,'D7 - NDB Impacted SPRF''s'!$E$16:$O$9929,3,FALSE)</f>
        <v>UnitedHealthcare Employer &amp; Individual</v>
      </c>
      <c r="AD2167" s="380" t="str">
        <f>VLOOKUP($B2167,'D7 - NDB Impacted SPRF''s'!$E$16:$O$9929,5,FALSE)</f>
        <v>Medical Cost Savings Programs</v>
      </c>
      <c r="AE2167" s="380" t="str">
        <f>VLOOKUP($B2167,'D7 - NDB Impacted SPRF''s'!$E$16:$O$9929,7,FALSE)</f>
        <v>Steven Mueller</v>
      </c>
      <c r="AF2167" s="380" t="str">
        <f>VLOOKUP($B2167,'D7 - NDB Impacted SPRF''s'!$E$16:$O$9929,6,FALSE)</f>
        <v>JEFFREY HUXLEY</v>
      </c>
      <c r="AG2167" s="282"/>
      <c r="AH2167" s="311" t="e">
        <f>INDEX('D5 - Gatekeeper - Projects'!$A$4:$AF$1010,$AM2167, 17)</f>
        <v>#N/A</v>
      </c>
      <c r="AI2167" s="8"/>
      <c r="AJ2167" s="57"/>
      <c r="AK2167" s="105"/>
      <c r="AM2167" s="6" t="e">
        <f>MATCH(D2167,'D5 - Gatekeeper - Projects'!$C$4:$C$1010,0)</f>
        <v>#N/A</v>
      </c>
      <c r="AN2167" s="6" t="b">
        <f t="shared" si="227"/>
        <v>1</v>
      </c>
      <c r="AO2167" s="6" t="str">
        <f t="shared" si="228"/>
        <v>OK</v>
      </c>
      <c r="AQ2167" s="6" t="e">
        <f>MATCH($D2167,'D4 - Provider Council Unsched'!$C$11:$C$234,0)</f>
        <v>#N/A</v>
      </c>
      <c r="AR2167" s="6" t="b">
        <f t="shared" si="229"/>
        <v>1</v>
      </c>
      <c r="AS2167" s="6" t="str">
        <f t="shared" si="232"/>
        <v>OK</v>
      </c>
      <c r="AU2167" s="202"/>
      <c r="AV2167" s="262"/>
      <c r="AW2167" s="274"/>
    </row>
    <row r="2168" spans="1:49" s="13" customFormat="1" x14ac:dyDescent="0.2">
      <c r="A2168" s="14">
        <v>2144</v>
      </c>
      <c r="B2168" s="14" t="s">
        <v>4770</v>
      </c>
      <c r="C2168" s="8" t="s">
        <v>5197</v>
      </c>
      <c r="D2168" s="4" t="str">
        <f t="shared" si="231"/>
        <v>TBDPHSR1</v>
      </c>
      <c r="E2168" s="309" t="s">
        <v>3279</v>
      </c>
      <c r="F2168" s="8" t="s">
        <v>6071</v>
      </c>
      <c r="G2168" s="8" t="s">
        <v>4758</v>
      </c>
      <c r="H2168" s="8" t="s">
        <v>2870</v>
      </c>
      <c r="I2168" s="20">
        <v>150</v>
      </c>
      <c r="J2168" s="8" t="s">
        <v>7113</v>
      </c>
      <c r="K2168" s="182">
        <v>39396</v>
      </c>
      <c r="L2168" s="8" t="s">
        <v>5743</v>
      </c>
      <c r="M2168" s="8" t="s">
        <v>2814</v>
      </c>
      <c r="N2168" s="38" t="s">
        <v>3313</v>
      </c>
      <c r="O2168" s="8"/>
      <c r="P2168" s="4" t="e">
        <f>VLOOKUP($B2168,'D7 - NDB Impacted SPRF''s'!$E$16:$O$9929,9,FALSE)</f>
        <v>#N/A</v>
      </c>
      <c r="Q2168" s="4" t="e">
        <f>VLOOKUP($B2168,'D7 - NDB Impacted SPRF''s'!$E$16:$O$9929,10,FALSE)</f>
        <v>#N/A</v>
      </c>
      <c r="R2168" s="4" t="e">
        <f>VLOOKUP($B2168,'D7 - NDB Impacted SPRF''s'!$E$16:$O$9929,11,FALSE)</f>
        <v>#N/A</v>
      </c>
      <c r="S2168" s="8"/>
      <c r="T2168" s="310"/>
      <c r="U2168" s="310"/>
      <c r="V2168" s="4"/>
      <c r="W2168" s="4"/>
      <c r="X2168" s="4"/>
      <c r="Y2168" s="4"/>
      <c r="Z2168" s="4"/>
      <c r="AA2168" s="4"/>
      <c r="AB2168" s="380" t="e">
        <f>VLOOKUP($B2168,'D7 - NDB Impacted SPRF''s'!$E$16:$O$9929,4,FALSE)</f>
        <v>#N/A</v>
      </c>
      <c r="AC2168" s="380" t="e">
        <f>VLOOKUP($B2168,'D7 - NDB Impacted SPRF''s'!$E$16:$O$9929,3,FALSE)</f>
        <v>#N/A</v>
      </c>
      <c r="AD2168" s="380" t="e">
        <f>VLOOKUP($B2168,'D7 - NDB Impacted SPRF''s'!$E$16:$O$9929,5,FALSE)</f>
        <v>#N/A</v>
      </c>
      <c r="AE2168" s="380" t="e">
        <f>VLOOKUP($B2168,'D7 - NDB Impacted SPRF''s'!$E$16:$O$9929,7,FALSE)</f>
        <v>#N/A</v>
      </c>
      <c r="AF2168" s="380" t="e">
        <f>VLOOKUP($B2168,'D7 - NDB Impacted SPRF''s'!$E$16:$O$9929,6,FALSE)</f>
        <v>#N/A</v>
      </c>
      <c r="AG2168" s="282"/>
      <c r="AH2168" s="311" t="e">
        <f>INDEX('D5 - Gatekeeper - Projects'!$A$4:$AF$1010,$AM2168, 17)</f>
        <v>#N/A</v>
      </c>
      <c r="AI2168" s="8"/>
      <c r="AJ2168" s="57"/>
      <c r="AK2168" s="105"/>
      <c r="AM2168" s="6" t="e">
        <f>MATCH(D2168,'D5 - Gatekeeper - Projects'!$C$4:$C$1010,0)</f>
        <v>#N/A</v>
      </c>
      <c r="AN2168" s="6" t="b">
        <f t="shared" si="227"/>
        <v>1</v>
      </c>
      <c r="AO2168" s="6" t="str">
        <f t="shared" si="228"/>
        <v>OK</v>
      </c>
      <c r="AQ2168" s="6" t="e">
        <f>MATCH($D2168,'D4 - Provider Council Unsched'!$C$11:$C$234,0)</f>
        <v>#N/A</v>
      </c>
      <c r="AR2168" s="6" t="b">
        <f t="shared" si="229"/>
        <v>1</v>
      </c>
      <c r="AS2168" s="6" t="str">
        <f t="shared" si="232"/>
        <v>OK</v>
      </c>
      <c r="AU2168" s="202"/>
      <c r="AV2168" s="262"/>
      <c r="AW2168" s="274"/>
    </row>
    <row r="2169" spans="1:49" s="13" customFormat="1" ht="33.75" x14ac:dyDescent="0.2">
      <c r="A2169" s="14">
        <v>2145</v>
      </c>
      <c r="B2169" s="14">
        <v>400016578</v>
      </c>
      <c r="C2169" s="8" t="s">
        <v>6895</v>
      </c>
      <c r="D2169" s="4" t="str">
        <f t="shared" si="231"/>
        <v>400016578R6</v>
      </c>
      <c r="E2169" s="309" t="str">
        <f>VLOOKUP($B2169,'D7 - NDB Impacted SPRF''s'!$E$6:$O$9929,2,FALSE)</f>
        <v>Detailed Tuning Recommendations</v>
      </c>
      <c r="F2169" s="8" t="s">
        <v>8133</v>
      </c>
      <c r="G2169" s="8" t="s">
        <v>4758</v>
      </c>
      <c r="H2169" s="8" t="s">
        <v>2870</v>
      </c>
      <c r="I2169" s="20">
        <v>1</v>
      </c>
      <c r="J2169" s="8" t="s">
        <v>4862</v>
      </c>
      <c r="K2169" s="182">
        <v>39424</v>
      </c>
      <c r="L2169" s="8" t="s">
        <v>5743</v>
      </c>
      <c r="M2169" s="8" t="s">
        <v>2814</v>
      </c>
      <c r="N2169" s="38"/>
      <c r="O2169" s="8" t="s">
        <v>7755</v>
      </c>
      <c r="P2169" s="4" t="str">
        <f>VLOOKUP($B2169,'D7 - NDB Impacted SPRF''s'!$E$16:$O$9929,9,FALSE)</f>
        <v>Y</v>
      </c>
      <c r="Q2169" s="4" t="str">
        <f>VLOOKUP($B2169,'D7 - NDB Impacted SPRF''s'!$E$16:$O$9929,10,FALSE)</f>
        <v>N</v>
      </c>
      <c r="R2169" s="4" t="str">
        <f>VLOOKUP($B2169,'D7 - NDB Impacted SPRF''s'!$E$16:$O$9929,11,FALSE)</f>
        <v>N</v>
      </c>
      <c r="S2169" s="8"/>
      <c r="T2169" s="310"/>
      <c r="U2169" s="310"/>
      <c r="V2169" s="4"/>
      <c r="W2169" s="4"/>
      <c r="X2169" s="4"/>
      <c r="Y2169" s="4"/>
      <c r="Z2169" s="4"/>
      <c r="AA2169" s="4"/>
      <c r="AB2169" s="380" t="str">
        <f>VLOOKUP($B2169,'D7 - NDB Impacted SPRF''s'!$E$16:$O$9929,4,FALSE)</f>
        <v>Completed</v>
      </c>
      <c r="AC2169" s="380" t="str">
        <f>VLOOKUP($B2169,'D7 - NDB Impacted SPRF''s'!$E$16:$O$9929,3,FALSE)</f>
        <v>UHG IT - Application Services Group</v>
      </c>
      <c r="AD2169" s="380" t="str">
        <f>VLOOKUP($B2169,'D7 - NDB Impacted SPRF''s'!$E$16:$O$9929,5,FALSE)</f>
        <v>ASG</v>
      </c>
      <c r="AE2169" s="380" t="str">
        <f>VLOOKUP($B2169,'D7 - NDB Impacted SPRF''s'!$E$16:$O$9929,7,FALSE)</f>
        <v>Jeff Hanas</v>
      </c>
      <c r="AF2169" s="380" t="str">
        <f>VLOOKUP($B2169,'D7 - NDB Impacted SPRF''s'!$E$16:$O$9929,6,FALSE)</f>
        <v>Jeffrey Jablonski</v>
      </c>
      <c r="AG2169" s="282"/>
      <c r="AH2169" s="311" t="e">
        <f>INDEX('D5 - Gatekeeper - Projects'!$A$4:$AF$1010,$AM2169, 17)</f>
        <v>#N/A</v>
      </c>
      <c r="AI2169" s="8"/>
      <c r="AJ2169" s="57"/>
      <c r="AK2169" s="105"/>
      <c r="AM2169" s="6" t="e">
        <f>MATCH(D2169,'D5 - Gatekeeper - Projects'!$C$4:$C$1010,0)</f>
        <v>#N/A</v>
      </c>
      <c r="AN2169" s="6" t="b">
        <f t="shared" si="227"/>
        <v>1</v>
      </c>
      <c r="AO2169" s="6" t="str">
        <f t="shared" si="228"/>
        <v>OK</v>
      </c>
      <c r="AQ2169" s="6" t="e">
        <f>MATCH($D2169,'D4 - Provider Council Unsched'!$C$11:$C$234,0)</f>
        <v>#N/A</v>
      </c>
      <c r="AR2169" s="6" t="b">
        <f t="shared" si="229"/>
        <v>1</v>
      </c>
      <c r="AS2169" s="6" t="str">
        <f t="shared" si="232"/>
        <v>OK</v>
      </c>
      <c r="AU2169" s="202"/>
      <c r="AV2169" s="262"/>
      <c r="AW2169" s="274"/>
    </row>
    <row r="2170" spans="1:49" s="13" customFormat="1" ht="33.75" x14ac:dyDescent="0.2">
      <c r="A2170" s="14">
        <v>2146</v>
      </c>
      <c r="B2170" s="14">
        <v>400009875</v>
      </c>
      <c r="C2170" s="8" t="s">
        <v>5197</v>
      </c>
      <c r="D2170" s="4" t="str">
        <f t="shared" si="231"/>
        <v>400009875R1</v>
      </c>
      <c r="E2170" s="309" t="str">
        <f>VLOOKUP($B2170,'D7 - NDB Impacted SPRF''s'!$E$6:$O$9929,2,FALSE)</f>
        <v>HCA - National Pay/ Refer/ Deny Table</v>
      </c>
      <c r="F2170" s="8" t="s">
        <v>5196</v>
      </c>
      <c r="G2170" s="8" t="s">
        <v>4758</v>
      </c>
      <c r="H2170" s="8" t="s">
        <v>2870</v>
      </c>
      <c r="I2170" s="20">
        <v>47.53</v>
      </c>
      <c r="J2170" s="8" t="s">
        <v>4862</v>
      </c>
      <c r="K2170" s="182">
        <v>39494</v>
      </c>
      <c r="L2170" s="8" t="s">
        <v>5743</v>
      </c>
      <c r="M2170" s="8" t="s">
        <v>2814</v>
      </c>
      <c r="N2170" s="367" t="s">
        <v>6002</v>
      </c>
      <c r="O2170" s="8"/>
      <c r="P2170" s="4" t="str">
        <f>VLOOKUP($B2170,'D7 - NDB Impacted SPRF''s'!$E$16:$O$9929,9,FALSE)</f>
        <v>Y</v>
      </c>
      <c r="Q2170" s="4" t="str">
        <f>VLOOKUP($B2170,'D7 - NDB Impacted SPRF''s'!$E$16:$O$9929,10,FALSE)</f>
        <v>N</v>
      </c>
      <c r="R2170" s="4" t="str">
        <f>VLOOKUP($B2170,'D7 - NDB Impacted SPRF''s'!$E$16:$O$9929,11,FALSE)</f>
        <v>N</v>
      </c>
      <c r="S2170" s="8"/>
      <c r="T2170" s="310"/>
      <c r="U2170" s="310"/>
      <c r="V2170" s="4"/>
      <c r="W2170" s="4"/>
      <c r="X2170" s="4"/>
      <c r="Y2170" s="4"/>
      <c r="Z2170" s="4"/>
      <c r="AA2170" s="4"/>
      <c r="AB2170" s="380" t="str">
        <f>VLOOKUP($B2170,'D7 - NDB Impacted SPRF''s'!$E$16:$O$9929,4,FALSE)</f>
        <v>Cancelled</v>
      </c>
      <c r="AC2170" s="380" t="str">
        <f>VLOOKUP($B2170,'D7 - NDB Impacted SPRF''s'!$E$16:$O$9929,3,FALSE)</f>
        <v>UnitedHealthcare Employer &amp; Individual</v>
      </c>
      <c r="AD2170" s="380" t="str">
        <f>VLOOKUP($B2170,'D7 - NDB Impacted SPRF''s'!$E$16:$O$9929,5,FALSE)</f>
        <v>Healthcare Service Alliance</v>
      </c>
      <c r="AE2170" s="380" t="str">
        <f>VLOOKUP($B2170,'D7 - NDB Impacted SPRF''s'!$E$16:$O$9929,7,FALSE)</f>
        <v>Kathy Freiheit</v>
      </c>
      <c r="AF2170" s="380" t="str">
        <f>VLOOKUP($B2170,'D7 - NDB Impacted SPRF''s'!$E$16:$O$9929,6,FALSE)</f>
        <v>Cathy Hanson</v>
      </c>
      <c r="AG2170" s="282" t="s">
        <v>7755</v>
      </c>
      <c r="AH2170" s="311" t="e">
        <f>INDEX('D5 - Gatekeeper - Projects'!$A$4:$AF$1010,$AM2170, 17)</f>
        <v>#N/A</v>
      </c>
      <c r="AI2170" s="8"/>
      <c r="AJ2170" s="57"/>
      <c r="AK2170" s="105"/>
      <c r="AM2170" s="6" t="e">
        <f>MATCH(D2170,'D5 - Gatekeeper - Projects'!$C$4:$C$1010,0)</f>
        <v>#N/A</v>
      </c>
      <c r="AN2170" s="6" t="b">
        <f t="shared" si="227"/>
        <v>1</v>
      </c>
      <c r="AO2170" s="6" t="str">
        <f t="shared" si="228"/>
        <v>OK</v>
      </c>
      <c r="AQ2170" s="6" t="e">
        <f>MATCH($D2170,'D4 - Provider Council Unsched'!$C$11:$C$234,0)</f>
        <v>#N/A</v>
      </c>
      <c r="AR2170" s="6" t="b">
        <f t="shared" si="229"/>
        <v>1</v>
      </c>
      <c r="AS2170" s="6" t="str">
        <f t="shared" si="232"/>
        <v>OK</v>
      </c>
      <c r="AU2170" s="202"/>
      <c r="AV2170" s="262"/>
      <c r="AW2170" s="274"/>
    </row>
    <row r="2171" spans="1:49" s="13" customFormat="1" ht="33.75" x14ac:dyDescent="0.2">
      <c r="A2171" s="14">
        <v>2147</v>
      </c>
      <c r="B2171" s="14">
        <v>400009875</v>
      </c>
      <c r="C2171" s="8" t="s">
        <v>3763</v>
      </c>
      <c r="D2171" s="4" t="str">
        <f t="shared" si="231"/>
        <v>400009875R2</v>
      </c>
      <c r="E2171" s="309" t="str">
        <f>VLOOKUP($B2171,'D7 - NDB Impacted SPRF''s'!$E$6:$O$9929,2,FALSE)</f>
        <v>HCA - National Pay/ Refer/ Deny Table</v>
      </c>
      <c r="F2171" s="8" t="s">
        <v>5196</v>
      </c>
      <c r="G2171" s="8" t="s">
        <v>4758</v>
      </c>
      <c r="H2171" s="8" t="s">
        <v>2870</v>
      </c>
      <c r="I2171" s="20">
        <v>47.53</v>
      </c>
      <c r="J2171" s="8" t="s">
        <v>4862</v>
      </c>
      <c r="K2171" s="182">
        <v>39494</v>
      </c>
      <c r="L2171" s="8" t="s">
        <v>5743</v>
      </c>
      <c r="M2171" s="8" t="s">
        <v>2814</v>
      </c>
      <c r="N2171" s="38" t="s">
        <v>3719</v>
      </c>
      <c r="O2171" s="8"/>
      <c r="P2171" s="4" t="str">
        <f>VLOOKUP($B2171,'D7 - NDB Impacted SPRF''s'!$E$16:$O$9929,9,FALSE)</f>
        <v>Y</v>
      </c>
      <c r="Q2171" s="4" t="str">
        <f>VLOOKUP($B2171,'D7 - NDB Impacted SPRF''s'!$E$16:$O$9929,10,FALSE)</f>
        <v>N</v>
      </c>
      <c r="R2171" s="4" t="str">
        <f>VLOOKUP($B2171,'D7 - NDB Impacted SPRF''s'!$E$16:$O$9929,11,FALSE)</f>
        <v>N</v>
      </c>
      <c r="S2171" s="8"/>
      <c r="T2171" s="310"/>
      <c r="U2171" s="310"/>
      <c r="V2171" s="4"/>
      <c r="W2171" s="4"/>
      <c r="X2171" s="4"/>
      <c r="Y2171" s="4"/>
      <c r="Z2171" s="4"/>
      <c r="AA2171" s="4"/>
      <c r="AB2171" s="380" t="str">
        <f>VLOOKUP($B2171,'D7 - NDB Impacted SPRF''s'!$E$16:$O$9929,4,FALSE)</f>
        <v>Cancelled</v>
      </c>
      <c r="AC2171" s="380" t="str">
        <f>VLOOKUP($B2171,'D7 - NDB Impacted SPRF''s'!$E$16:$O$9929,3,FALSE)</f>
        <v>UnitedHealthcare Employer &amp; Individual</v>
      </c>
      <c r="AD2171" s="380" t="str">
        <f>VLOOKUP($B2171,'D7 - NDB Impacted SPRF''s'!$E$16:$O$9929,5,FALSE)</f>
        <v>Healthcare Service Alliance</v>
      </c>
      <c r="AE2171" s="380" t="str">
        <f>VLOOKUP($B2171,'D7 - NDB Impacted SPRF''s'!$E$16:$O$9929,7,FALSE)</f>
        <v>Kathy Freiheit</v>
      </c>
      <c r="AF2171" s="380" t="str">
        <f>VLOOKUP($B2171,'D7 - NDB Impacted SPRF''s'!$E$16:$O$9929,6,FALSE)</f>
        <v>Cathy Hanson</v>
      </c>
      <c r="AG2171" s="282"/>
      <c r="AH2171" s="311" t="e">
        <f>INDEX('D5 - Gatekeeper - Projects'!$A$4:$AF$1010,$AM2171, 17)</f>
        <v>#N/A</v>
      </c>
      <c r="AI2171" s="8"/>
      <c r="AJ2171" s="57"/>
      <c r="AK2171" s="105"/>
      <c r="AM2171" s="6" t="e">
        <f>MATCH(D2171,'D5 - Gatekeeper - Projects'!$C$4:$C$1010,0)</f>
        <v>#N/A</v>
      </c>
      <c r="AN2171" s="6" t="b">
        <f t="shared" si="227"/>
        <v>1</v>
      </c>
      <c r="AO2171" s="6" t="str">
        <f t="shared" si="228"/>
        <v>OK</v>
      </c>
      <c r="AQ2171" s="6" t="e">
        <f>MATCH($D2171,'D4 - Provider Council Unsched'!$C$11:$C$234,0)</f>
        <v>#N/A</v>
      </c>
      <c r="AR2171" s="6" t="b">
        <f t="shared" si="229"/>
        <v>1</v>
      </c>
      <c r="AS2171" s="6" t="str">
        <f t="shared" si="232"/>
        <v>OK</v>
      </c>
      <c r="AU2171" s="202"/>
      <c r="AV2171" s="262"/>
      <c r="AW2171" s="274"/>
    </row>
    <row r="2172" spans="1:49" s="13" customFormat="1" ht="33.75" x14ac:dyDescent="0.2">
      <c r="A2172" s="14">
        <v>2148</v>
      </c>
      <c r="B2172" s="14">
        <v>400013376</v>
      </c>
      <c r="C2172" s="8" t="s">
        <v>3270</v>
      </c>
      <c r="D2172" s="4" t="str">
        <f t="shared" si="231"/>
        <v>400013376CC38</v>
      </c>
      <c r="E2172" s="309" t="str">
        <f>VLOOKUP($B2172,'D7 - NDB Impacted SPRF''s'!$E$6:$O$9929,2,FALSE)</f>
        <v xml:space="preserve">ITI: August Commercial Release </v>
      </c>
      <c r="F2172" s="8" t="s">
        <v>7989</v>
      </c>
      <c r="G2172" s="8" t="s">
        <v>4758</v>
      </c>
      <c r="H2172" s="8" t="s">
        <v>2870</v>
      </c>
      <c r="I2172" s="20">
        <v>20</v>
      </c>
      <c r="J2172" s="8" t="s">
        <v>7113</v>
      </c>
      <c r="K2172" s="182">
        <v>39494</v>
      </c>
      <c r="L2172" s="8" t="s">
        <v>5743</v>
      </c>
      <c r="M2172" s="8" t="s">
        <v>2814</v>
      </c>
      <c r="N2172" s="367" t="s">
        <v>3672</v>
      </c>
      <c r="O2172" s="8"/>
      <c r="P2172" s="4" t="str">
        <f>VLOOKUP($B2172,'D7 - NDB Impacted SPRF''s'!$E$16:$O$9929,9,FALSE)</f>
        <v>Y</v>
      </c>
      <c r="Q2172" s="4" t="str">
        <f>VLOOKUP($B2172,'D7 - NDB Impacted SPRF''s'!$E$16:$O$9929,10,FALSE)</f>
        <v>N</v>
      </c>
      <c r="R2172" s="4" t="str">
        <f>VLOOKUP($B2172,'D7 - NDB Impacted SPRF''s'!$E$16:$O$9929,11,FALSE)</f>
        <v>Y</v>
      </c>
      <c r="S2172" s="8"/>
      <c r="T2172" s="310"/>
      <c r="U2172" s="310"/>
      <c r="V2172" s="4"/>
      <c r="W2172" s="4"/>
      <c r="X2172" s="4"/>
      <c r="Y2172" s="4"/>
      <c r="Z2172" s="4"/>
      <c r="AA2172" s="4"/>
      <c r="AB2172" s="380" t="str">
        <f>VLOOKUP($B2172,'D7 - NDB Impacted SPRF''s'!$E$16:$O$9929,4,FALSE)</f>
        <v>Completed</v>
      </c>
      <c r="AC2172" s="380" t="str">
        <f>VLOOKUP($B2172,'D7 - NDB Impacted SPRF''s'!$E$16:$O$9929,3,FALSE)</f>
        <v>UnitedHealthcare Employer &amp; Individual</v>
      </c>
      <c r="AD2172" s="380" t="str">
        <f>VLOOKUP($B2172,'D7 - NDB Impacted SPRF''s'!$E$16:$O$9929,5,FALSE)</f>
        <v>Medical Cost Savings Programs</v>
      </c>
      <c r="AE2172" s="380" t="str">
        <f>VLOOKUP($B2172,'D7 - NDB Impacted SPRF''s'!$E$16:$O$9929,7,FALSE)</f>
        <v>Gino Tenace</v>
      </c>
      <c r="AF2172" s="380" t="str">
        <f>VLOOKUP($B2172,'D7 - NDB Impacted SPRF''s'!$E$16:$O$9929,6,FALSE)</f>
        <v>Nicolle Wollin</v>
      </c>
      <c r="AG2172" s="282"/>
      <c r="AH2172" s="311" t="e">
        <f>INDEX('D5 - Gatekeeper - Projects'!$A$4:$AF$1010,$AM2172, 17)</f>
        <v>#N/A</v>
      </c>
      <c r="AI2172" s="8"/>
      <c r="AJ2172" s="57"/>
      <c r="AK2172" s="105"/>
      <c r="AM2172" s="6" t="e">
        <f>MATCH(D2172,'D5 - Gatekeeper - Projects'!$C$4:$C$1010,0)</f>
        <v>#N/A</v>
      </c>
      <c r="AN2172" s="6" t="b">
        <f t="shared" si="227"/>
        <v>1</v>
      </c>
      <c r="AO2172" s="6" t="str">
        <f t="shared" si="228"/>
        <v>OK</v>
      </c>
      <c r="AQ2172" s="6" t="e">
        <f>MATCH($D2172,'D4 - Provider Council Unsched'!$C$11:$C$234,0)</f>
        <v>#N/A</v>
      </c>
      <c r="AR2172" s="6" t="b">
        <f t="shared" si="229"/>
        <v>1</v>
      </c>
      <c r="AS2172" s="6" t="str">
        <f t="shared" si="232"/>
        <v>OK</v>
      </c>
      <c r="AU2172" s="202"/>
      <c r="AV2172" s="262"/>
      <c r="AW2172" s="274"/>
    </row>
    <row r="2173" spans="1:49" s="13" customFormat="1" ht="33.75" x14ac:dyDescent="0.2">
      <c r="A2173" s="14">
        <v>2149</v>
      </c>
      <c r="B2173" s="14">
        <v>400014790</v>
      </c>
      <c r="C2173" s="8" t="s">
        <v>1992</v>
      </c>
      <c r="D2173" s="4" t="str">
        <f t="shared" si="231"/>
        <v>400014790U1</v>
      </c>
      <c r="E2173" s="309" t="str">
        <f>VLOOKUP($B2173,'D7 - NDB Impacted SPRF''s'!$E$6:$O$9929,2,FALSE)</f>
        <v>Medica Electronic Payments and Statements (EPS)</v>
      </c>
      <c r="F2173" s="8" t="s">
        <v>5196</v>
      </c>
      <c r="G2173" s="8" t="s">
        <v>4758</v>
      </c>
      <c r="H2173" s="8" t="s">
        <v>2870</v>
      </c>
      <c r="I2173" s="20">
        <v>2.82</v>
      </c>
      <c r="J2173" s="8" t="s">
        <v>4862</v>
      </c>
      <c r="K2173" s="182">
        <v>39494</v>
      </c>
      <c r="L2173" s="8" t="s">
        <v>5743</v>
      </c>
      <c r="M2173" s="8" t="s">
        <v>2814</v>
      </c>
      <c r="N2173" s="38" t="s">
        <v>1416</v>
      </c>
      <c r="O2173" s="8"/>
      <c r="P2173" s="4" t="str">
        <f>VLOOKUP($B2173,'D7 - NDB Impacted SPRF''s'!$E$16:$O$9929,9,FALSE)</f>
        <v>Y</v>
      </c>
      <c r="Q2173" s="4" t="str">
        <f>VLOOKUP($B2173,'D7 - NDB Impacted SPRF''s'!$E$16:$O$9929,10,FALSE)</f>
        <v>N</v>
      </c>
      <c r="R2173" s="4" t="str">
        <f>VLOOKUP($B2173,'D7 - NDB Impacted SPRF''s'!$E$16:$O$9929,11,FALSE)</f>
        <v>N</v>
      </c>
      <c r="S2173" s="8"/>
      <c r="T2173" s="310"/>
      <c r="U2173" s="310"/>
      <c r="V2173" s="4"/>
      <c r="W2173" s="4"/>
      <c r="X2173" s="4"/>
      <c r="Y2173" s="4"/>
      <c r="Z2173" s="4"/>
      <c r="AA2173" s="4"/>
      <c r="AB2173" s="380" t="str">
        <f>VLOOKUP($B2173,'D7 - NDB Impacted SPRF''s'!$E$16:$O$9929,4,FALSE)</f>
        <v>Completed</v>
      </c>
      <c r="AC2173" s="380" t="str">
        <f>VLOOKUP($B2173,'D7 - NDB Impacted SPRF''s'!$E$16:$O$9929,3,FALSE)</f>
        <v>UnitedHealthcare Employer &amp; Individual</v>
      </c>
      <c r="AD2173" s="380" t="str">
        <f>VLOOKUP($B2173,'D7 - NDB Impacted SPRF''s'!$E$16:$O$9929,5,FALSE)</f>
        <v>HCA - Medica UNET Conversion</v>
      </c>
      <c r="AE2173" s="380" t="str">
        <f>VLOOKUP($B2173,'D7 - NDB Impacted SPRF''s'!$E$16:$O$9929,7,FALSE)</f>
        <v>Mark Pontliana</v>
      </c>
      <c r="AF2173" s="380" t="str">
        <f>VLOOKUP($B2173,'D7 - NDB Impacted SPRF''s'!$E$16:$O$9929,6,FALSE)</f>
        <v>JEFFREY ZIEL</v>
      </c>
      <c r="AG2173" s="282"/>
      <c r="AH2173" s="311" t="e">
        <f>INDEX('D5 - Gatekeeper - Projects'!$A$4:$AF$1010,$AM2173, 17)</f>
        <v>#N/A</v>
      </c>
      <c r="AI2173" s="8"/>
      <c r="AJ2173" s="57"/>
      <c r="AK2173" s="105"/>
      <c r="AM2173" s="6" t="e">
        <f>MATCH(D2173,'D5 - Gatekeeper - Projects'!$C$4:$C$1010,0)</f>
        <v>#N/A</v>
      </c>
      <c r="AN2173" s="6" t="b">
        <f t="shared" si="227"/>
        <v>1</v>
      </c>
      <c r="AO2173" s="6" t="str">
        <f t="shared" si="228"/>
        <v>OK</v>
      </c>
      <c r="AQ2173" s="6" t="e">
        <f>MATCH($D2173,'D4 - Provider Council Unsched'!$C$11:$C$234,0)</f>
        <v>#N/A</v>
      </c>
      <c r="AR2173" s="6" t="b">
        <f t="shared" si="229"/>
        <v>1</v>
      </c>
      <c r="AS2173" s="6" t="str">
        <f t="shared" si="232"/>
        <v>OK</v>
      </c>
      <c r="AU2173" s="202"/>
      <c r="AV2173" s="262"/>
      <c r="AW2173" s="274"/>
    </row>
    <row r="2174" spans="1:49" s="13" customFormat="1" ht="22.5" x14ac:dyDescent="0.2">
      <c r="A2174" s="14">
        <v>2150</v>
      </c>
      <c r="B2174" s="14">
        <v>400015352</v>
      </c>
      <c r="C2174" s="8" t="s">
        <v>6581</v>
      </c>
      <c r="D2174" s="4" t="str">
        <f t="shared" si="231"/>
        <v>400015352L1</v>
      </c>
      <c r="E2174" s="309" t="str">
        <f>VLOOKUP($B2174,'D7 - NDB Impacted SPRF''s'!$E$6:$O$9929,2,FALSE)</f>
        <v>HPHC1 - Create Directory Ind/Flag by Contracting O</v>
      </c>
      <c r="F2174" s="8" t="s">
        <v>5196</v>
      </c>
      <c r="G2174" s="8" t="s">
        <v>4758</v>
      </c>
      <c r="H2174" s="8" t="s">
        <v>2870</v>
      </c>
      <c r="I2174" s="20"/>
      <c r="J2174" s="8" t="s">
        <v>7113</v>
      </c>
      <c r="K2174" s="182">
        <v>39494</v>
      </c>
      <c r="L2174" s="8" t="s">
        <v>4156</v>
      </c>
      <c r="M2174" s="8" t="s">
        <v>2814</v>
      </c>
      <c r="N2174" s="38" t="s">
        <v>1980</v>
      </c>
      <c r="O2174" s="8"/>
      <c r="P2174" s="4" t="str">
        <f>VLOOKUP($B2174,'D7 - NDB Impacted SPRF''s'!$E$16:$O$9929,9,FALSE)</f>
        <v>N</v>
      </c>
      <c r="Q2174" s="4" t="str">
        <f>VLOOKUP($B2174,'D7 - NDB Impacted SPRF''s'!$E$16:$O$9929,10,FALSE)</f>
        <v>N</v>
      </c>
      <c r="R2174" s="4" t="str">
        <f>VLOOKUP($B2174,'D7 - NDB Impacted SPRF''s'!$E$16:$O$9929,11,FALSE)</f>
        <v>Y</v>
      </c>
      <c r="S2174" s="8"/>
      <c r="T2174" s="310"/>
      <c r="U2174" s="310"/>
      <c r="V2174" s="4"/>
      <c r="W2174" s="4"/>
      <c r="X2174" s="4"/>
      <c r="Y2174" s="4"/>
      <c r="Z2174" s="4"/>
      <c r="AA2174" s="4"/>
      <c r="AB2174" s="380" t="str">
        <f>VLOOKUP($B2174,'D7 - NDB Impacted SPRF''s'!$E$16:$O$9929,4,FALSE)</f>
        <v>Cancelled</v>
      </c>
      <c r="AC2174" s="380" t="str">
        <f>VLOOKUP($B2174,'D7 - NDB Impacted SPRF''s'!$E$16:$O$9929,3,FALSE)</f>
        <v>Alliance</v>
      </c>
      <c r="AD2174" s="380" t="str">
        <f>VLOOKUP($B2174,'D7 - NDB Impacted SPRF''s'!$E$16:$O$9929,5,FALSE)</f>
        <v>Harvard Pilgrim Service Alliance</v>
      </c>
      <c r="AE2174" s="380" t="str">
        <f>VLOOKUP($B2174,'D7 - NDB Impacted SPRF''s'!$E$16:$O$9929,7,FALSE)</f>
        <v>Kathy Freiheit</v>
      </c>
      <c r="AF2174" s="380" t="str">
        <f>VLOOKUP($B2174,'D7 - NDB Impacted SPRF''s'!$E$16:$O$9929,6,FALSE)</f>
        <v>LUND ROSS</v>
      </c>
      <c r="AG2174" s="282"/>
      <c r="AH2174" s="311" t="e">
        <f>INDEX('D5 - Gatekeeper - Projects'!$A$4:$AF$1010,$AM2174, 17)</f>
        <v>#N/A</v>
      </c>
      <c r="AI2174" s="8"/>
      <c r="AJ2174" s="57"/>
      <c r="AK2174" s="105"/>
      <c r="AM2174" s="6" t="e">
        <f>MATCH(D2174,'D5 - Gatekeeper - Projects'!$C$4:$C$1010,0)</f>
        <v>#N/A</v>
      </c>
      <c r="AN2174" s="6" t="b">
        <f t="shared" si="227"/>
        <v>1</v>
      </c>
      <c r="AO2174" s="6" t="str">
        <f t="shared" si="228"/>
        <v>OK</v>
      </c>
      <c r="AQ2174" s="6" t="e">
        <f>MATCH($D2174,'D4 - Provider Council Unsched'!$C$11:$C$234,0)</f>
        <v>#N/A</v>
      </c>
      <c r="AR2174" s="6" t="b">
        <f t="shared" si="229"/>
        <v>1</v>
      </c>
      <c r="AS2174" s="6" t="str">
        <f t="shared" si="232"/>
        <v>OK</v>
      </c>
      <c r="AU2174" s="202"/>
      <c r="AV2174" s="262"/>
      <c r="AW2174" s="274"/>
    </row>
    <row r="2175" spans="1:49" s="13" customFormat="1" ht="33.75" x14ac:dyDescent="0.2">
      <c r="A2175" s="14">
        <v>2151</v>
      </c>
      <c r="B2175" s="14">
        <v>400015352</v>
      </c>
      <c r="C2175" s="8" t="s">
        <v>5197</v>
      </c>
      <c r="D2175" s="4" t="str">
        <f t="shared" si="231"/>
        <v>400015352R1</v>
      </c>
      <c r="E2175" s="309" t="str">
        <f>VLOOKUP($B2175,'D7 - NDB Impacted SPRF''s'!$E$6:$O$9929,2,FALSE)</f>
        <v>HPHC1 - Create Directory Ind/Flag by Contracting O</v>
      </c>
      <c r="F2175" s="8" t="s">
        <v>5196</v>
      </c>
      <c r="G2175" s="8" t="s">
        <v>4758</v>
      </c>
      <c r="H2175" s="8" t="s">
        <v>2870</v>
      </c>
      <c r="I2175" s="20">
        <v>4.5199999999999996</v>
      </c>
      <c r="J2175" s="8" t="s">
        <v>4862</v>
      </c>
      <c r="K2175" s="182">
        <v>39494</v>
      </c>
      <c r="L2175" s="8" t="s">
        <v>5743</v>
      </c>
      <c r="M2175" s="8" t="s">
        <v>2814</v>
      </c>
      <c r="N2175" s="38" t="s">
        <v>5856</v>
      </c>
      <c r="O2175" s="8"/>
      <c r="P2175" s="4" t="str">
        <f>VLOOKUP($B2175,'D7 - NDB Impacted SPRF''s'!$E$16:$O$9929,9,FALSE)</f>
        <v>N</v>
      </c>
      <c r="Q2175" s="4" t="str">
        <f>VLOOKUP($B2175,'D7 - NDB Impacted SPRF''s'!$E$16:$O$9929,10,FALSE)</f>
        <v>N</v>
      </c>
      <c r="R2175" s="4" t="str">
        <f>VLOOKUP($B2175,'D7 - NDB Impacted SPRF''s'!$E$16:$O$9929,11,FALSE)</f>
        <v>Y</v>
      </c>
      <c r="S2175" s="8"/>
      <c r="T2175" s="310"/>
      <c r="U2175" s="310"/>
      <c r="V2175" s="4"/>
      <c r="W2175" s="4"/>
      <c r="X2175" s="4"/>
      <c r="Y2175" s="4"/>
      <c r="Z2175" s="4"/>
      <c r="AA2175" s="4"/>
      <c r="AB2175" s="380" t="str">
        <f>VLOOKUP($B2175,'D7 - NDB Impacted SPRF''s'!$E$16:$O$9929,4,FALSE)</f>
        <v>Cancelled</v>
      </c>
      <c r="AC2175" s="380" t="str">
        <f>VLOOKUP($B2175,'D7 - NDB Impacted SPRF''s'!$E$16:$O$9929,3,FALSE)</f>
        <v>Alliance</v>
      </c>
      <c r="AD2175" s="380" t="str">
        <f>VLOOKUP($B2175,'D7 - NDB Impacted SPRF''s'!$E$16:$O$9929,5,FALSE)</f>
        <v>Harvard Pilgrim Service Alliance</v>
      </c>
      <c r="AE2175" s="380" t="str">
        <f>VLOOKUP($B2175,'D7 - NDB Impacted SPRF''s'!$E$16:$O$9929,7,FALSE)</f>
        <v>Kathy Freiheit</v>
      </c>
      <c r="AF2175" s="380" t="str">
        <f>VLOOKUP($B2175,'D7 - NDB Impacted SPRF''s'!$E$16:$O$9929,6,FALSE)</f>
        <v>LUND ROSS</v>
      </c>
      <c r="AG2175" s="282"/>
      <c r="AH2175" s="311" t="e">
        <f>INDEX('D5 - Gatekeeper - Projects'!$A$4:$AF$1010,$AM2175, 17)</f>
        <v>#N/A</v>
      </c>
      <c r="AI2175" s="8"/>
      <c r="AJ2175" s="57"/>
      <c r="AK2175" s="105"/>
      <c r="AM2175" s="6" t="e">
        <f>MATCH(D2175,'D5 - Gatekeeper - Projects'!$C$4:$C$1010,0)</f>
        <v>#N/A</v>
      </c>
      <c r="AN2175" s="6" t="b">
        <f t="shared" si="227"/>
        <v>1</v>
      </c>
      <c r="AO2175" s="6" t="str">
        <f t="shared" si="228"/>
        <v>OK</v>
      </c>
      <c r="AQ2175" s="6" t="e">
        <f>MATCH($D2175,'D4 - Provider Council Unsched'!$C$11:$C$234,0)</f>
        <v>#N/A</v>
      </c>
      <c r="AR2175" s="6" t="b">
        <f t="shared" si="229"/>
        <v>1</v>
      </c>
      <c r="AS2175" s="6" t="str">
        <f t="shared" si="232"/>
        <v>OK</v>
      </c>
      <c r="AU2175" s="202"/>
      <c r="AV2175" s="262"/>
      <c r="AW2175" s="274"/>
    </row>
    <row r="2176" spans="1:49" s="13" customFormat="1" ht="33.75" x14ac:dyDescent="0.2">
      <c r="A2176" s="14">
        <v>2152</v>
      </c>
      <c r="B2176" s="14">
        <v>400017901</v>
      </c>
      <c r="C2176" s="8" t="s">
        <v>1992</v>
      </c>
      <c r="D2176" s="4" t="str">
        <f t="shared" si="231"/>
        <v>400017901U1</v>
      </c>
      <c r="E2176" s="309" t="str">
        <f>VLOOKUP($B2176,'D7 - NDB Impacted SPRF''s'!$E$6:$O$9929,2,FALSE)</f>
        <v>NDB Parallel Sysplex</v>
      </c>
      <c r="F2176" s="8" t="s">
        <v>5787</v>
      </c>
      <c r="G2176" s="8" t="s">
        <v>4758</v>
      </c>
      <c r="H2176" s="8" t="s">
        <v>2870</v>
      </c>
      <c r="I2176" s="20">
        <v>0.8</v>
      </c>
      <c r="J2176" s="8" t="s">
        <v>4862</v>
      </c>
      <c r="K2176" s="182">
        <v>39494</v>
      </c>
      <c r="L2176" s="8" t="s">
        <v>5743</v>
      </c>
      <c r="M2176" s="8" t="s">
        <v>2814</v>
      </c>
      <c r="N2176" s="38" t="s">
        <v>3700</v>
      </c>
      <c r="O2176" s="8" t="s">
        <v>1998</v>
      </c>
      <c r="P2176" s="4" t="str">
        <f>VLOOKUP($B2176,'D7 - NDB Impacted SPRF''s'!$E$16:$O$9929,9,FALSE)</f>
        <v>Y</v>
      </c>
      <c r="Q2176" s="4" t="str">
        <f>VLOOKUP($B2176,'D7 - NDB Impacted SPRF''s'!$E$16:$O$9929,10,FALSE)</f>
        <v>N</v>
      </c>
      <c r="R2176" s="4" t="str">
        <f>VLOOKUP($B2176,'D7 - NDB Impacted SPRF''s'!$E$16:$O$9929,11,FALSE)</f>
        <v>Y</v>
      </c>
      <c r="S2176" s="8"/>
      <c r="T2176" s="310"/>
      <c r="U2176" s="310"/>
      <c r="V2176" s="4"/>
      <c r="W2176" s="4"/>
      <c r="X2176" s="4"/>
      <c r="Y2176" s="4"/>
      <c r="Z2176" s="4"/>
      <c r="AA2176" s="4"/>
      <c r="AB2176" s="380" t="str">
        <f>VLOOKUP($B2176,'D7 - NDB Impacted SPRF''s'!$E$16:$O$9929,4,FALSE)</f>
        <v>Completed</v>
      </c>
      <c r="AC2176" s="380" t="str">
        <f>VLOOKUP($B2176,'D7 - NDB Impacted SPRF''s'!$E$16:$O$9929,3,FALSE)</f>
        <v>UHG IT - Application Services Group</v>
      </c>
      <c r="AD2176" s="380" t="str">
        <f>VLOOKUP($B2176,'D7 - NDB Impacted SPRF''s'!$E$16:$O$9929,5,FALSE)</f>
        <v>ASG</v>
      </c>
      <c r="AE2176" s="380" t="str">
        <f>VLOOKUP($B2176,'D7 - NDB Impacted SPRF''s'!$E$16:$O$9929,7,FALSE)</f>
        <v>John Santelli</v>
      </c>
      <c r="AF2176" s="380" t="str">
        <f>VLOOKUP($B2176,'D7 - NDB Impacted SPRF''s'!$E$16:$O$9929,6,FALSE)</f>
        <v>Laura Levesque</v>
      </c>
      <c r="AG2176" s="282"/>
      <c r="AH2176" s="311" t="e">
        <f>INDEX('D5 - Gatekeeper - Projects'!$A$4:$AF$1010,$AM2176, 17)</f>
        <v>#N/A</v>
      </c>
      <c r="AI2176" s="8"/>
      <c r="AJ2176" s="57"/>
      <c r="AK2176" s="105"/>
      <c r="AM2176" s="6" t="e">
        <f>MATCH(D2176,'D5 - Gatekeeper - Projects'!$C$4:$C$1010,0)</f>
        <v>#N/A</v>
      </c>
      <c r="AN2176" s="6" t="b">
        <f t="shared" si="227"/>
        <v>1</v>
      </c>
      <c r="AO2176" s="6" t="str">
        <f t="shared" si="228"/>
        <v>OK</v>
      </c>
      <c r="AQ2176" s="6" t="e">
        <f>MATCH($D2176,'D4 - Provider Council Unsched'!$C$11:$C$234,0)</f>
        <v>#N/A</v>
      </c>
      <c r="AR2176" s="6" t="b">
        <f t="shared" si="229"/>
        <v>1</v>
      </c>
      <c r="AS2176" s="6" t="str">
        <f t="shared" si="232"/>
        <v>OK</v>
      </c>
      <c r="AU2176" s="202"/>
      <c r="AV2176" s="262"/>
      <c r="AW2176" s="274"/>
    </row>
    <row r="2177" spans="1:49" s="13" customFormat="1" ht="33.75" x14ac:dyDescent="0.2">
      <c r="A2177" s="14">
        <v>2153</v>
      </c>
      <c r="B2177" s="14">
        <v>400017992</v>
      </c>
      <c r="C2177" s="8" t="s">
        <v>6724</v>
      </c>
      <c r="D2177" s="4" t="str">
        <f t="shared" si="231"/>
        <v>400017992CC07</v>
      </c>
      <c r="E2177" s="309" t="str">
        <f>VLOOKUP($B2177,'D7 - NDB Impacted SPRF''s'!$E$6:$O$9929,2,FALSE)</f>
        <v>DDS Reconciliation Feeds to Source</v>
      </c>
      <c r="F2177" s="8" t="s">
        <v>5196</v>
      </c>
      <c r="G2177" s="8" t="s">
        <v>4758</v>
      </c>
      <c r="H2177" s="8" t="s">
        <v>2870</v>
      </c>
      <c r="I2177" s="20">
        <v>6.71</v>
      </c>
      <c r="J2177" s="8" t="s">
        <v>4862</v>
      </c>
      <c r="K2177" s="182">
        <v>39494</v>
      </c>
      <c r="L2177" s="8" t="s">
        <v>5743</v>
      </c>
      <c r="M2177" s="8" t="s">
        <v>2814</v>
      </c>
      <c r="N2177" s="38" t="s">
        <v>4081</v>
      </c>
      <c r="O2177" s="8" t="s">
        <v>7962</v>
      </c>
      <c r="P2177" s="4" t="str">
        <f>VLOOKUP($B2177,'D7 - NDB Impacted SPRF''s'!$E$16:$O$9929,9,FALSE)</f>
        <v>Y</v>
      </c>
      <c r="Q2177" s="4" t="str">
        <f>VLOOKUP($B2177,'D7 - NDB Impacted SPRF''s'!$E$16:$O$9929,10,FALSE)</f>
        <v>N</v>
      </c>
      <c r="R2177" s="4" t="str">
        <f>VLOOKUP($B2177,'D7 - NDB Impacted SPRF''s'!$E$16:$O$9929,11,FALSE)</f>
        <v>N</v>
      </c>
      <c r="S2177" s="8"/>
      <c r="T2177" s="310"/>
      <c r="U2177" s="310"/>
      <c r="V2177" s="4"/>
      <c r="W2177" s="4"/>
      <c r="X2177" s="4"/>
      <c r="Y2177" s="4"/>
      <c r="Z2177" s="4"/>
      <c r="AA2177" s="4"/>
      <c r="AB2177" s="380" t="str">
        <f>VLOOKUP($B2177,'D7 - NDB Impacted SPRF''s'!$E$16:$O$9929,4,FALSE)</f>
        <v>Completed</v>
      </c>
      <c r="AC2177" s="380" t="str">
        <f>VLOOKUP($B2177,'D7 - NDB Impacted SPRF''s'!$E$16:$O$9929,3,FALSE)</f>
        <v>UnitedHealthcare Employer &amp; Individual</v>
      </c>
      <c r="AD2177" s="380" t="str">
        <f>VLOOKUP($B2177,'D7 - NDB Impacted SPRF''s'!$E$16:$O$9929,5,FALSE)</f>
        <v>Healthcare Service Alliance</v>
      </c>
      <c r="AE2177" s="380" t="str">
        <f>VLOOKUP($B2177,'D7 - NDB Impacted SPRF''s'!$E$16:$O$9929,7,FALSE)</f>
        <v>Diane Schofield</v>
      </c>
      <c r="AF2177" s="380" t="str">
        <f>VLOOKUP($B2177,'D7 - NDB Impacted SPRF''s'!$E$16:$O$9929,6,FALSE)</f>
        <v>KIMBERLY ALEXANDER</v>
      </c>
      <c r="AG2177" s="282"/>
      <c r="AH2177" s="311" t="e">
        <f>INDEX('D5 - Gatekeeper - Projects'!$A$4:$AF$1010,$AM2177, 17)</f>
        <v>#N/A</v>
      </c>
      <c r="AI2177" s="8"/>
      <c r="AJ2177" s="57"/>
      <c r="AK2177" s="105"/>
      <c r="AM2177" s="6" t="e">
        <f>MATCH(D2177,'D5 - Gatekeeper - Projects'!$C$4:$C$1010,0)</f>
        <v>#N/A</v>
      </c>
      <c r="AN2177" s="6" t="b">
        <f t="shared" si="227"/>
        <v>1</v>
      </c>
      <c r="AO2177" s="6" t="str">
        <f t="shared" si="228"/>
        <v>OK</v>
      </c>
      <c r="AQ2177" s="6" t="e">
        <f>MATCH($D2177,'D4 - Provider Council Unsched'!$C$11:$C$234,0)</f>
        <v>#N/A</v>
      </c>
      <c r="AR2177" s="6" t="b">
        <f t="shared" si="229"/>
        <v>1</v>
      </c>
      <c r="AS2177" s="6" t="str">
        <f t="shared" si="232"/>
        <v>OK</v>
      </c>
      <c r="AU2177" s="202"/>
      <c r="AV2177" s="262"/>
      <c r="AW2177" s="274"/>
    </row>
    <row r="2178" spans="1:49" s="13" customFormat="1" ht="22.5" x14ac:dyDescent="0.2">
      <c r="A2178" s="14">
        <v>2154</v>
      </c>
      <c r="B2178" s="14">
        <v>400019724</v>
      </c>
      <c r="C2178" s="8" t="s">
        <v>1992</v>
      </c>
      <c r="D2178" s="4" t="str">
        <f t="shared" si="231"/>
        <v>400019724U1</v>
      </c>
      <c r="E2178" s="309" t="str">
        <f>VLOOKUP($B2178,'D7 - NDB Impacted SPRF''s'!$E$6:$O$9929,2,FALSE)</f>
        <v>Integrated Test Env. Phase II BUILD - 2</v>
      </c>
      <c r="F2178" s="8" t="s">
        <v>2114</v>
      </c>
      <c r="G2178" s="8" t="s">
        <v>4758</v>
      </c>
      <c r="H2178" s="8" t="s">
        <v>2870</v>
      </c>
      <c r="I2178" s="20">
        <v>1.33</v>
      </c>
      <c r="J2178" s="8" t="s">
        <v>4862</v>
      </c>
      <c r="K2178" s="182">
        <v>39494</v>
      </c>
      <c r="L2178" s="8" t="s">
        <v>5743</v>
      </c>
      <c r="M2178" s="8" t="s">
        <v>4450</v>
      </c>
      <c r="N2178" s="38" t="s">
        <v>4653</v>
      </c>
      <c r="O2178" s="8"/>
      <c r="P2178" s="4" t="str">
        <f>VLOOKUP($B2178,'D7 - NDB Impacted SPRF''s'!$E$16:$O$9929,9,FALSE)</f>
        <v>N</v>
      </c>
      <c r="Q2178" s="4" t="str">
        <f>VLOOKUP($B2178,'D7 - NDB Impacted SPRF''s'!$E$16:$O$9929,10,FALSE)</f>
        <v>N</v>
      </c>
      <c r="R2178" s="4" t="str">
        <f>VLOOKUP($B2178,'D7 - NDB Impacted SPRF''s'!$E$16:$O$9929,11,FALSE)</f>
        <v>N</v>
      </c>
      <c r="S2178" s="8"/>
      <c r="T2178" s="310"/>
      <c r="U2178" s="310"/>
      <c r="V2178" s="4"/>
      <c r="W2178" s="4"/>
      <c r="X2178" s="4"/>
      <c r="Y2178" s="4"/>
      <c r="Z2178" s="4"/>
      <c r="AA2178" s="4"/>
      <c r="AB2178" s="380" t="str">
        <f>VLOOKUP($B2178,'D7 - NDB Impacted SPRF''s'!$E$16:$O$9929,4,FALSE)</f>
        <v>Cancelled</v>
      </c>
      <c r="AC2178" s="380" t="str">
        <f>VLOOKUP($B2178,'D7 - NDB Impacted SPRF''s'!$E$16:$O$9929,3,FALSE)</f>
        <v>Uniprise</v>
      </c>
      <c r="AD2178" s="380" t="str">
        <f>VLOOKUP($B2178,'D7 - NDB Impacted SPRF''s'!$E$16:$O$9929,5,FALSE)</f>
        <v>Uniprise Technologies - DDC</v>
      </c>
      <c r="AE2178" s="380" t="str">
        <f>VLOOKUP($B2178,'D7 - NDB Impacted SPRF''s'!$E$16:$O$9929,7,FALSE)</f>
        <v>Jessica Kozlowski</v>
      </c>
      <c r="AF2178" s="380" t="str">
        <f>VLOOKUP($B2178,'D7 - NDB Impacted SPRF''s'!$E$16:$O$9929,6,FALSE)</f>
        <v>JACQUELYN LOTTER</v>
      </c>
      <c r="AG2178" s="282"/>
      <c r="AH2178" s="311" t="e">
        <f>INDEX('D5 - Gatekeeper - Projects'!$A$4:$AF$1010,$AM2178, 17)</f>
        <v>#N/A</v>
      </c>
      <c r="AI2178" s="8"/>
      <c r="AJ2178" s="57"/>
      <c r="AK2178" s="105"/>
      <c r="AM2178" s="6" t="e">
        <f>MATCH(D2178,'D5 - Gatekeeper - Projects'!$C$4:$C$1010,0)</f>
        <v>#N/A</v>
      </c>
      <c r="AN2178" s="6" t="b">
        <f t="shared" si="227"/>
        <v>1</v>
      </c>
      <c r="AO2178" s="6" t="str">
        <f t="shared" si="228"/>
        <v>OK</v>
      </c>
      <c r="AQ2178" s="6" t="e">
        <f>MATCH($D2178,'D4 - Provider Council Unsched'!$C$11:$C$234,0)</f>
        <v>#N/A</v>
      </c>
      <c r="AR2178" s="6" t="b">
        <f t="shared" si="229"/>
        <v>1</v>
      </c>
      <c r="AS2178" s="6" t="str">
        <f t="shared" si="232"/>
        <v>OK</v>
      </c>
      <c r="AU2178" s="202"/>
      <c r="AV2178" s="262"/>
      <c r="AW2178" s="274"/>
    </row>
    <row r="2179" spans="1:49" s="13" customFormat="1" ht="33.75" x14ac:dyDescent="0.2">
      <c r="A2179" s="14">
        <v>2155</v>
      </c>
      <c r="B2179" s="14">
        <v>400020328</v>
      </c>
      <c r="C2179" s="8" t="s">
        <v>5197</v>
      </c>
      <c r="D2179" s="4" t="str">
        <f t="shared" si="231"/>
        <v>400020328R1</v>
      </c>
      <c r="E2179" s="309" t="str">
        <f>VLOOKUP($B2179,'D7 - NDB Impacted SPRF''s'!$E$6:$O$9929,2,FALSE)</f>
        <v>UB-04 Diagnosis Codes</v>
      </c>
      <c r="F2179" s="8" t="s">
        <v>4471</v>
      </c>
      <c r="G2179" s="8" t="s">
        <v>4758</v>
      </c>
      <c r="H2179" s="8" t="s">
        <v>2870</v>
      </c>
      <c r="I2179" s="20">
        <v>20.89</v>
      </c>
      <c r="J2179" s="8" t="s">
        <v>4862</v>
      </c>
      <c r="K2179" s="182">
        <v>39494</v>
      </c>
      <c r="L2179" s="8" t="s">
        <v>5743</v>
      </c>
      <c r="M2179" s="8" t="s">
        <v>2814</v>
      </c>
      <c r="N2179" s="38" t="s">
        <v>4778</v>
      </c>
      <c r="O2179" s="8"/>
      <c r="P2179" s="4" t="str">
        <f>VLOOKUP($B2179,'D7 - NDB Impacted SPRF''s'!$E$16:$O$9929,9,FALSE)</f>
        <v>Y</v>
      </c>
      <c r="Q2179" s="4" t="str">
        <f>VLOOKUP($B2179,'D7 - NDB Impacted SPRF''s'!$E$16:$O$9929,10,FALSE)</f>
        <v>N</v>
      </c>
      <c r="R2179" s="4" t="str">
        <f>VLOOKUP($B2179,'D7 - NDB Impacted SPRF''s'!$E$16:$O$9929,11,FALSE)</f>
        <v>Y</v>
      </c>
      <c r="S2179" s="8"/>
      <c r="T2179" s="310"/>
      <c r="U2179" s="310"/>
      <c r="V2179" s="4"/>
      <c r="W2179" s="4"/>
      <c r="X2179" s="4"/>
      <c r="Y2179" s="4"/>
      <c r="Z2179" s="4"/>
      <c r="AA2179" s="4"/>
      <c r="AB2179" s="380" t="str">
        <f>VLOOKUP($B2179,'D7 - NDB Impacted SPRF''s'!$E$16:$O$9929,4,FALSE)</f>
        <v>Cancelled</v>
      </c>
      <c r="AC2179" s="380" t="str">
        <f>VLOOKUP($B2179,'D7 - NDB Impacted SPRF''s'!$E$16:$O$9929,3,FALSE)</f>
        <v>UnitedHealthcare Employer &amp; Individual</v>
      </c>
      <c r="AD2179" s="380" t="str">
        <f>VLOOKUP($B2179,'D7 - NDB Impacted SPRF''s'!$E$16:$O$9929,5,FALSE)</f>
        <v>Regulatory / Other</v>
      </c>
      <c r="AE2179" s="380" t="str">
        <f>VLOOKUP($B2179,'D7 - NDB Impacted SPRF''s'!$E$16:$O$9929,7,FALSE)</f>
        <v>Tim Kaja</v>
      </c>
      <c r="AF2179" s="380" t="str">
        <f>VLOOKUP($B2179,'D7 - NDB Impacted SPRF''s'!$E$16:$O$9929,6,FALSE)</f>
        <v>James Mallard</v>
      </c>
      <c r="AG2179" s="282"/>
      <c r="AH2179" s="311" t="e">
        <f>INDEX('D5 - Gatekeeper - Projects'!$A$4:$AF$1010,$AM2179, 17)</f>
        <v>#N/A</v>
      </c>
      <c r="AI2179" s="8"/>
      <c r="AJ2179" s="57"/>
      <c r="AK2179" s="105"/>
      <c r="AM2179" s="6" t="e">
        <f>MATCH(D2179,'D5 - Gatekeeper - Projects'!$C$4:$C$1010,0)</f>
        <v>#N/A</v>
      </c>
      <c r="AN2179" s="6" t="b">
        <f t="shared" si="227"/>
        <v>1</v>
      </c>
      <c r="AO2179" s="6" t="str">
        <f t="shared" si="228"/>
        <v>OK</v>
      </c>
      <c r="AQ2179" s="6" t="e">
        <f>MATCH($D2179,'D4 - Provider Council Unsched'!$C$11:$C$234,0)</f>
        <v>#N/A</v>
      </c>
      <c r="AR2179" s="6" t="b">
        <f t="shared" si="229"/>
        <v>1</v>
      </c>
      <c r="AS2179" s="6" t="str">
        <f t="shared" si="232"/>
        <v>OK</v>
      </c>
      <c r="AU2179" s="202"/>
      <c r="AV2179" s="262"/>
      <c r="AW2179" s="274"/>
    </row>
    <row r="2180" spans="1:49" s="13" customFormat="1" x14ac:dyDescent="0.2">
      <c r="A2180" s="14">
        <v>2156</v>
      </c>
      <c r="B2180" s="14" t="s">
        <v>4571</v>
      </c>
      <c r="C2180" s="8" t="s">
        <v>5197</v>
      </c>
      <c r="D2180" s="4" t="str">
        <f t="shared" si="231"/>
        <v>TBDOB11R1</v>
      </c>
      <c r="E2180" s="309" t="s">
        <v>5203</v>
      </c>
      <c r="F2180" s="8" t="s">
        <v>4304</v>
      </c>
      <c r="G2180" s="8" t="s">
        <v>4758</v>
      </c>
      <c r="H2180" s="8" t="s">
        <v>2870</v>
      </c>
      <c r="I2180" s="20">
        <v>1</v>
      </c>
      <c r="J2180" s="8" t="s">
        <v>7113</v>
      </c>
      <c r="K2180" s="182">
        <v>39494</v>
      </c>
      <c r="L2180" s="8" t="s">
        <v>5743</v>
      </c>
      <c r="M2180" s="8" t="s">
        <v>5626</v>
      </c>
      <c r="N2180" s="38" t="s">
        <v>7863</v>
      </c>
      <c r="O2180" s="8"/>
      <c r="P2180" s="4" t="e">
        <f>VLOOKUP($B2180,'D7 - NDB Impacted SPRF''s'!$E$16:$O$9929,9,FALSE)</f>
        <v>#N/A</v>
      </c>
      <c r="Q2180" s="4" t="e">
        <f>VLOOKUP($B2180,'D7 - NDB Impacted SPRF''s'!$E$16:$O$9929,10,FALSE)</f>
        <v>#N/A</v>
      </c>
      <c r="R2180" s="4" t="e">
        <f>VLOOKUP($B2180,'D7 - NDB Impacted SPRF''s'!$E$16:$O$9929,11,FALSE)</f>
        <v>#N/A</v>
      </c>
      <c r="S2180" s="8"/>
      <c r="T2180" s="310"/>
      <c r="U2180" s="310"/>
      <c r="V2180" s="4"/>
      <c r="W2180" s="4"/>
      <c r="X2180" s="4"/>
      <c r="Y2180" s="4"/>
      <c r="Z2180" s="4"/>
      <c r="AA2180" s="4"/>
      <c r="AB2180" s="380" t="e">
        <f>VLOOKUP($B2180,'D7 - NDB Impacted SPRF''s'!$E$16:$O$9929,4,FALSE)</f>
        <v>#N/A</v>
      </c>
      <c r="AC2180" s="380" t="e">
        <f>VLOOKUP($B2180,'D7 - NDB Impacted SPRF''s'!$E$16:$O$9929,3,FALSE)</f>
        <v>#N/A</v>
      </c>
      <c r="AD2180" s="380" t="e">
        <f>VLOOKUP($B2180,'D7 - NDB Impacted SPRF''s'!$E$16:$O$9929,5,FALSE)</f>
        <v>#N/A</v>
      </c>
      <c r="AE2180" s="380" t="e">
        <f>VLOOKUP($B2180,'D7 - NDB Impacted SPRF''s'!$E$16:$O$9929,7,FALSE)</f>
        <v>#N/A</v>
      </c>
      <c r="AF2180" s="380" t="e">
        <f>VLOOKUP($B2180,'D7 - NDB Impacted SPRF''s'!$E$16:$O$9929,6,FALSE)</f>
        <v>#N/A</v>
      </c>
      <c r="AG2180" s="282"/>
      <c r="AH2180" s="311" t="e">
        <f>INDEX('D5 - Gatekeeper - Projects'!$A$4:$AF$1010,$AM2180, 17)</f>
        <v>#N/A</v>
      </c>
      <c r="AI2180" s="8"/>
      <c r="AJ2180" s="57"/>
      <c r="AK2180" s="105"/>
      <c r="AM2180" s="6" t="e">
        <f>MATCH(D2180,'D5 - Gatekeeper - Projects'!$C$4:$C$1010,0)</f>
        <v>#N/A</v>
      </c>
      <c r="AN2180" s="6" t="b">
        <f t="shared" si="227"/>
        <v>1</v>
      </c>
      <c r="AO2180" s="6" t="str">
        <f t="shared" si="228"/>
        <v>OK</v>
      </c>
      <c r="AQ2180" s="6" t="e">
        <f>MATCH($D2180,'D4 - Provider Council Unsched'!$C$11:$C$234,0)</f>
        <v>#N/A</v>
      </c>
      <c r="AR2180" s="6" t="b">
        <f t="shared" si="229"/>
        <v>1</v>
      </c>
      <c r="AS2180" s="6" t="str">
        <f t="shared" si="232"/>
        <v>OK</v>
      </c>
      <c r="AU2180" s="202"/>
      <c r="AV2180" s="262"/>
      <c r="AW2180" s="274"/>
    </row>
    <row r="2181" spans="1:49" s="13" customFormat="1" x14ac:dyDescent="0.2">
      <c r="A2181" s="14">
        <v>2157</v>
      </c>
      <c r="B2181" s="14" t="s">
        <v>2170</v>
      </c>
      <c r="C2181" s="8" t="s">
        <v>5197</v>
      </c>
      <c r="D2181" s="4" t="str">
        <f t="shared" si="231"/>
        <v>TBDOB12R1</v>
      </c>
      <c r="E2181" s="309" t="s">
        <v>5203</v>
      </c>
      <c r="F2181" s="8" t="s">
        <v>4304</v>
      </c>
      <c r="G2181" s="8" t="s">
        <v>4758</v>
      </c>
      <c r="H2181" s="8" t="s">
        <v>2870</v>
      </c>
      <c r="I2181" s="20">
        <v>1</v>
      </c>
      <c r="J2181" s="8" t="s">
        <v>7113</v>
      </c>
      <c r="K2181" s="182">
        <v>39494</v>
      </c>
      <c r="L2181" s="8" t="s">
        <v>5743</v>
      </c>
      <c r="M2181" s="8" t="s">
        <v>5626</v>
      </c>
      <c r="N2181" s="38" t="s">
        <v>1622</v>
      </c>
      <c r="O2181" s="8" t="s">
        <v>2000</v>
      </c>
      <c r="P2181" s="4" t="e">
        <f>VLOOKUP($B2181,'D7 - NDB Impacted SPRF''s'!$E$16:$O$9929,9,FALSE)</f>
        <v>#N/A</v>
      </c>
      <c r="Q2181" s="4" t="e">
        <f>VLOOKUP($B2181,'D7 - NDB Impacted SPRF''s'!$E$16:$O$9929,10,FALSE)</f>
        <v>#N/A</v>
      </c>
      <c r="R2181" s="4" t="e">
        <f>VLOOKUP($B2181,'D7 - NDB Impacted SPRF''s'!$E$16:$O$9929,11,FALSE)</f>
        <v>#N/A</v>
      </c>
      <c r="S2181" s="8"/>
      <c r="T2181" s="310"/>
      <c r="U2181" s="310"/>
      <c r="V2181" s="4"/>
      <c r="W2181" s="4"/>
      <c r="X2181" s="4"/>
      <c r="Y2181" s="4"/>
      <c r="Z2181" s="4"/>
      <c r="AA2181" s="4"/>
      <c r="AB2181" s="380" t="e">
        <f>VLOOKUP($B2181,'D7 - NDB Impacted SPRF''s'!$E$16:$O$9929,4,FALSE)</f>
        <v>#N/A</v>
      </c>
      <c r="AC2181" s="380" t="e">
        <f>VLOOKUP($B2181,'D7 - NDB Impacted SPRF''s'!$E$16:$O$9929,3,FALSE)</f>
        <v>#N/A</v>
      </c>
      <c r="AD2181" s="380" t="e">
        <f>VLOOKUP($B2181,'D7 - NDB Impacted SPRF''s'!$E$16:$O$9929,5,FALSE)</f>
        <v>#N/A</v>
      </c>
      <c r="AE2181" s="380" t="e">
        <f>VLOOKUP($B2181,'D7 - NDB Impacted SPRF''s'!$E$16:$O$9929,7,FALSE)</f>
        <v>#N/A</v>
      </c>
      <c r="AF2181" s="380" t="e">
        <f>VLOOKUP($B2181,'D7 - NDB Impacted SPRF''s'!$E$16:$O$9929,6,FALSE)</f>
        <v>#N/A</v>
      </c>
      <c r="AG2181" s="282"/>
      <c r="AH2181" s="311" t="e">
        <f>INDEX('D5 - Gatekeeper - Projects'!$A$4:$AF$1010,$AM2181, 17)</f>
        <v>#N/A</v>
      </c>
      <c r="AI2181" s="8"/>
      <c r="AJ2181" s="57"/>
      <c r="AK2181" s="105"/>
      <c r="AM2181" s="6" t="e">
        <f>MATCH(D2181,'D5 - Gatekeeper - Projects'!$C$4:$C$1010,0)</f>
        <v>#N/A</v>
      </c>
      <c r="AN2181" s="6" t="b">
        <f t="shared" si="227"/>
        <v>1</v>
      </c>
      <c r="AO2181" s="6" t="str">
        <f t="shared" si="228"/>
        <v>OK</v>
      </c>
      <c r="AQ2181" s="6" t="e">
        <f>MATCH($D2181,'D4 - Provider Council Unsched'!$C$11:$C$234,0)</f>
        <v>#N/A</v>
      </c>
      <c r="AR2181" s="6" t="b">
        <f t="shared" si="229"/>
        <v>1</v>
      </c>
      <c r="AS2181" s="6" t="str">
        <f t="shared" si="232"/>
        <v>OK</v>
      </c>
      <c r="AU2181" s="202"/>
      <c r="AV2181" s="262"/>
      <c r="AW2181" s="274"/>
    </row>
    <row r="2182" spans="1:49" s="13" customFormat="1" ht="33.75" x14ac:dyDescent="0.2">
      <c r="A2182" s="14">
        <v>2158</v>
      </c>
      <c r="B2182" s="14">
        <v>400013210</v>
      </c>
      <c r="C2182" s="8" t="s">
        <v>4926</v>
      </c>
      <c r="D2182" s="4" t="str">
        <f t="shared" si="231"/>
        <v>400013210R4</v>
      </c>
      <c r="E2182" s="309" t="str">
        <f>VLOOKUP($B2182,'D7 - NDB Impacted SPRF''s'!$E$6:$O$9929,2,FALSE)</f>
        <v>PDI -Update NDB fields to support AmeriChoice data</v>
      </c>
      <c r="F2182" s="8" t="s">
        <v>4961</v>
      </c>
      <c r="G2182" s="8" t="s">
        <v>4758</v>
      </c>
      <c r="H2182" s="8" t="s">
        <v>2870</v>
      </c>
      <c r="I2182" s="20">
        <v>20</v>
      </c>
      <c r="J2182" s="8" t="s">
        <v>4862</v>
      </c>
      <c r="K2182" s="182">
        <v>39522</v>
      </c>
      <c r="L2182" s="8" t="s">
        <v>5743</v>
      </c>
      <c r="M2182" s="8" t="s">
        <v>4450</v>
      </c>
      <c r="N2182" s="38" t="s">
        <v>5900</v>
      </c>
      <c r="O2182" s="8" t="s">
        <v>4306</v>
      </c>
      <c r="P2182" s="4" t="str">
        <f>VLOOKUP($B2182,'D7 - NDB Impacted SPRF''s'!$E$16:$O$9929,9,FALSE)</f>
        <v>N</v>
      </c>
      <c r="Q2182" s="4" t="str">
        <f>VLOOKUP($B2182,'D7 - NDB Impacted SPRF''s'!$E$16:$O$9929,10,FALSE)</f>
        <v>N</v>
      </c>
      <c r="R2182" s="4" t="str">
        <f>VLOOKUP($B2182,'D7 - NDB Impacted SPRF''s'!$E$16:$O$9929,11,FALSE)</f>
        <v>N</v>
      </c>
      <c r="S2182" s="8"/>
      <c r="T2182" s="310"/>
      <c r="U2182" s="310"/>
      <c r="V2182" s="4"/>
      <c r="W2182" s="4"/>
      <c r="X2182" s="4"/>
      <c r="Y2182" s="4"/>
      <c r="Z2182" s="4"/>
      <c r="AA2182" s="4"/>
      <c r="AB2182" s="380" t="str">
        <f>VLOOKUP($B2182,'D7 - NDB Impacted SPRF''s'!$E$16:$O$9929,4,FALSE)</f>
        <v>Completed</v>
      </c>
      <c r="AC2182" s="380" t="str">
        <f>VLOOKUP($B2182,'D7 - NDB Impacted SPRF''s'!$E$16:$O$9929,3,FALSE)</f>
        <v>UnitedHealthcare Employer &amp; Individual</v>
      </c>
      <c r="AD2182" s="380" t="str">
        <f>VLOOKUP($B2182,'D7 - NDB Impacted SPRF''s'!$E$16:$O$9929,5,FALSE)</f>
        <v>Network Growth / Enhancements</v>
      </c>
      <c r="AE2182" s="380" t="str">
        <f>VLOOKUP($B2182,'D7 - NDB Impacted SPRF''s'!$E$16:$O$9929,7,FALSE)</f>
        <v>Mike Mikan</v>
      </c>
      <c r="AF2182" s="380" t="str">
        <f>VLOOKUP($B2182,'D7 - NDB Impacted SPRF''s'!$E$16:$O$9929,6,FALSE)</f>
        <v>GREGORY MILLS</v>
      </c>
      <c r="AG2182" s="282"/>
      <c r="AH2182" s="311" t="e">
        <f>INDEX('D5 - Gatekeeper - Projects'!$A$4:$AF$1010,$AM2182, 17)</f>
        <v>#N/A</v>
      </c>
      <c r="AI2182" s="8"/>
      <c r="AJ2182" s="57"/>
      <c r="AK2182" s="105"/>
      <c r="AM2182" s="6" t="e">
        <f>MATCH(D2182,'D5 - Gatekeeper - Projects'!$C$4:$C$1010,0)</f>
        <v>#N/A</v>
      </c>
      <c r="AN2182" s="6" t="b">
        <f t="shared" si="227"/>
        <v>1</v>
      </c>
      <c r="AO2182" s="6" t="str">
        <f t="shared" si="228"/>
        <v>OK</v>
      </c>
      <c r="AQ2182" s="6" t="e">
        <f>MATCH($D2182,'D4 - Provider Council Unsched'!$C$11:$C$234,0)</f>
        <v>#N/A</v>
      </c>
      <c r="AR2182" s="6" t="b">
        <f t="shared" si="229"/>
        <v>1</v>
      </c>
      <c r="AS2182" s="6" t="str">
        <f t="shared" si="232"/>
        <v>OK</v>
      </c>
      <c r="AU2182" s="202"/>
      <c r="AV2182" s="262"/>
      <c r="AW2182" s="274"/>
    </row>
    <row r="2183" spans="1:49" s="13" customFormat="1" ht="33.75" x14ac:dyDescent="0.2">
      <c r="A2183" s="14">
        <v>2159</v>
      </c>
      <c r="B2183" s="14">
        <v>400014653</v>
      </c>
      <c r="C2183" s="8" t="s">
        <v>3763</v>
      </c>
      <c r="D2183" s="4" t="str">
        <f t="shared" si="231"/>
        <v>400014653R2</v>
      </c>
      <c r="E2183" s="309" t="str">
        <f>VLOOKUP($B2183,'D7 - NDB Impacted SPRF''s'!$E$6:$O$9929,2,FALSE)</f>
        <v>EPDE Expansion &amp; Supporting Table Conversions</v>
      </c>
      <c r="F2183" s="8" t="s">
        <v>4069</v>
      </c>
      <c r="G2183" s="8" t="s">
        <v>4758</v>
      </c>
      <c r="H2183" s="8" t="s">
        <v>2870</v>
      </c>
      <c r="I2183" s="20">
        <v>2.92</v>
      </c>
      <c r="J2183" s="8" t="s">
        <v>4862</v>
      </c>
      <c r="K2183" s="182">
        <v>39522</v>
      </c>
      <c r="L2183" s="8" t="s">
        <v>5743</v>
      </c>
      <c r="M2183" s="8" t="s">
        <v>2814</v>
      </c>
      <c r="N2183" s="38"/>
      <c r="O2183" s="8" t="s">
        <v>7086</v>
      </c>
      <c r="P2183" s="4" t="str">
        <f>VLOOKUP($B2183,'D7 - NDB Impacted SPRF''s'!$E$16:$O$9929,9,FALSE)</f>
        <v>N</v>
      </c>
      <c r="Q2183" s="4" t="str">
        <f>VLOOKUP($B2183,'D7 - NDB Impacted SPRF''s'!$E$16:$O$9929,10,FALSE)</f>
        <v>N</v>
      </c>
      <c r="R2183" s="4" t="str">
        <f>VLOOKUP($B2183,'D7 - NDB Impacted SPRF''s'!$E$16:$O$9929,11,FALSE)</f>
        <v>N</v>
      </c>
      <c r="S2183" s="8"/>
      <c r="T2183" s="310"/>
      <c r="U2183" s="310"/>
      <c r="V2183" s="4"/>
      <c r="W2183" s="4"/>
      <c r="X2183" s="4"/>
      <c r="Y2183" s="4"/>
      <c r="Z2183" s="4"/>
      <c r="AA2183" s="4"/>
      <c r="AB2183" s="380" t="str">
        <f>VLOOKUP($B2183,'D7 - NDB Impacted SPRF''s'!$E$16:$O$9929,4,FALSE)</f>
        <v>Completed</v>
      </c>
      <c r="AC2183" s="380" t="str">
        <f>VLOOKUP($B2183,'D7 - NDB Impacted SPRF''s'!$E$16:$O$9929,3,FALSE)</f>
        <v>UnitedHealthcare Employer &amp; Individual</v>
      </c>
      <c r="AD2183" s="380" t="str">
        <f>VLOOKUP($B2183,'D7 - NDB Impacted SPRF''s'!$E$16:$O$9929,5,FALSE)</f>
        <v>Medical Cost Savings Programs</v>
      </c>
      <c r="AE2183" s="380" t="str">
        <f>VLOOKUP($B2183,'D7 - NDB Impacted SPRF''s'!$E$16:$O$9929,7,FALSE)</f>
        <v>Tim Kaja</v>
      </c>
      <c r="AF2183" s="380" t="str">
        <f>VLOOKUP($B2183,'D7 - NDB Impacted SPRF''s'!$E$16:$O$9929,6,FALSE)</f>
        <v>MARCIA MONACO</v>
      </c>
      <c r="AG2183" s="282"/>
      <c r="AH2183" s="311" t="e">
        <f>INDEX('D5 - Gatekeeper - Projects'!$A$4:$AF$1010,$AM2183, 17)</f>
        <v>#N/A</v>
      </c>
      <c r="AI2183" s="8"/>
      <c r="AJ2183" s="57"/>
      <c r="AK2183" s="105"/>
      <c r="AM2183" s="6" t="e">
        <f>MATCH(D2183,'D5 - Gatekeeper - Projects'!$C$4:$C$1010,0)</f>
        <v>#N/A</v>
      </c>
      <c r="AN2183" s="6" t="b">
        <f t="shared" si="227"/>
        <v>1</v>
      </c>
      <c r="AO2183" s="6" t="str">
        <f t="shared" si="228"/>
        <v>OK</v>
      </c>
      <c r="AQ2183" s="6" t="e">
        <f>MATCH($D2183,'D4 - Provider Council Unsched'!$C$11:$C$234,0)</f>
        <v>#N/A</v>
      </c>
      <c r="AR2183" s="6" t="b">
        <f t="shared" si="229"/>
        <v>1</v>
      </c>
      <c r="AS2183" s="6" t="str">
        <f t="shared" si="232"/>
        <v>OK</v>
      </c>
      <c r="AU2183" s="202"/>
      <c r="AV2183" s="262"/>
      <c r="AW2183" s="274"/>
    </row>
    <row r="2184" spans="1:49" s="13" customFormat="1" ht="33.75" x14ac:dyDescent="0.2">
      <c r="A2184" s="14">
        <v>2160</v>
      </c>
      <c r="B2184" s="14">
        <v>400020971</v>
      </c>
      <c r="C2184" s="8" t="s">
        <v>5197</v>
      </c>
      <c r="D2184" s="4" t="str">
        <f t="shared" si="231"/>
        <v>400020971R1</v>
      </c>
      <c r="E2184" s="309" t="e">
        <f>VLOOKUP($B2184,'D7 - NDB Impacted SPRF''s'!$E$6:$O$9929,2,FALSE)</f>
        <v>#N/A</v>
      </c>
      <c r="F2184" s="8" t="s">
        <v>2114</v>
      </c>
      <c r="G2184" s="8" t="s">
        <v>4758</v>
      </c>
      <c r="H2184" s="8" t="s">
        <v>2870</v>
      </c>
      <c r="I2184" s="20">
        <v>5</v>
      </c>
      <c r="J2184" s="8" t="s">
        <v>7113</v>
      </c>
      <c r="K2184" s="182">
        <v>39522</v>
      </c>
      <c r="L2184" s="8" t="s">
        <v>5743</v>
      </c>
      <c r="M2184" s="8" t="s">
        <v>6688</v>
      </c>
      <c r="N2184" s="38" t="s">
        <v>5669</v>
      </c>
      <c r="O2184" s="8"/>
      <c r="P2184" s="4" t="e">
        <f>VLOOKUP($B2184,'D7 - NDB Impacted SPRF''s'!$E$16:$O$9929,9,FALSE)</f>
        <v>#N/A</v>
      </c>
      <c r="Q2184" s="4" t="e">
        <f>VLOOKUP($B2184,'D7 - NDB Impacted SPRF''s'!$E$16:$O$9929,10,FALSE)</f>
        <v>#N/A</v>
      </c>
      <c r="R2184" s="4" t="e">
        <f>VLOOKUP($B2184,'D7 - NDB Impacted SPRF''s'!$E$16:$O$9929,11,FALSE)</f>
        <v>#N/A</v>
      </c>
      <c r="S2184" s="8"/>
      <c r="T2184" s="310"/>
      <c r="U2184" s="310"/>
      <c r="V2184" s="4"/>
      <c r="W2184" s="4"/>
      <c r="X2184" s="4"/>
      <c r="Y2184" s="4"/>
      <c r="Z2184" s="4"/>
      <c r="AA2184" s="4"/>
      <c r="AB2184" s="380" t="e">
        <f>VLOOKUP($B2184,'D7 - NDB Impacted SPRF''s'!$E$16:$O$9929,4,FALSE)</f>
        <v>#N/A</v>
      </c>
      <c r="AC2184" s="380" t="e">
        <f>VLOOKUP($B2184,'D7 - NDB Impacted SPRF''s'!$E$16:$O$9929,3,FALSE)</f>
        <v>#N/A</v>
      </c>
      <c r="AD2184" s="380" t="e">
        <f>VLOOKUP($B2184,'D7 - NDB Impacted SPRF''s'!$E$16:$O$9929,5,FALSE)</f>
        <v>#N/A</v>
      </c>
      <c r="AE2184" s="380" t="e">
        <f>VLOOKUP($B2184,'D7 - NDB Impacted SPRF''s'!$E$16:$O$9929,7,FALSE)</f>
        <v>#N/A</v>
      </c>
      <c r="AF2184" s="380" t="e">
        <f>VLOOKUP($B2184,'D7 - NDB Impacted SPRF''s'!$E$16:$O$9929,6,FALSE)</f>
        <v>#N/A</v>
      </c>
      <c r="AG2184" s="282"/>
      <c r="AH2184" s="311" t="e">
        <f>INDEX('D5 - Gatekeeper - Projects'!$A$4:$AF$1010,$AM2184, 17)</f>
        <v>#N/A</v>
      </c>
      <c r="AI2184" s="8"/>
      <c r="AJ2184" s="57"/>
      <c r="AK2184" s="105"/>
      <c r="AM2184" s="6" t="e">
        <f>MATCH(D2184,'D5 - Gatekeeper - Projects'!$C$4:$C$1010,0)</f>
        <v>#N/A</v>
      </c>
      <c r="AN2184" s="6" t="b">
        <f t="shared" si="227"/>
        <v>1</v>
      </c>
      <c r="AO2184" s="6" t="str">
        <f t="shared" si="228"/>
        <v>OK</v>
      </c>
      <c r="AQ2184" s="6" t="e">
        <f>MATCH($D2184,'D4 - Provider Council Unsched'!$C$11:$C$234,0)</f>
        <v>#N/A</v>
      </c>
      <c r="AR2184" s="6" t="b">
        <f t="shared" si="229"/>
        <v>1</v>
      </c>
      <c r="AS2184" s="6" t="str">
        <f t="shared" si="232"/>
        <v>OK</v>
      </c>
      <c r="AU2184" s="202"/>
      <c r="AV2184" s="262"/>
      <c r="AW2184" s="274"/>
    </row>
    <row r="2185" spans="1:49" s="13" customFormat="1" ht="33.75" x14ac:dyDescent="0.2">
      <c r="A2185" s="14">
        <v>2161</v>
      </c>
      <c r="B2185" s="14">
        <v>400013210</v>
      </c>
      <c r="C2185" s="8" t="s">
        <v>6582</v>
      </c>
      <c r="D2185" s="4" t="str">
        <f t="shared" si="231"/>
        <v>400013210L2</v>
      </c>
      <c r="E2185" s="309" t="str">
        <f>VLOOKUP($B2185,'D7 - NDB Impacted SPRF''s'!$E$6:$O$9929,2,FALSE)</f>
        <v>PDI -Update NDB fields to support AmeriChoice data</v>
      </c>
      <c r="F2185" s="8" t="s">
        <v>4961</v>
      </c>
      <c r="G2185" s="8" t="s">
        <v>4758</v>
      </c>
      <c r="H2185" s="8" t="s">
        <v>2870</v>
      </c>
      <c r="I2185" s="20">
        <v>10</v>
      </c>
      <c r="J2185" s="8" t="s">
        <v>4862</v>
      </c>
      <c r="K2185" s="182">
        <v>39536</v>
      </c>
      <c r="L2185" s="8" t="s">
        <v>5743</v>
      </c>
      <c r="M2185" s="8" t="s">
        <v>4450</v>
      </c>
      <c r="N2185" s="38" t="s">
        <v>5120</v>
      </c>
      <c r="O2185" s="8" t="s">
        <v>4306</v>
      </c>
      <c r="P2185" s="4" t="str">
        <f>VLOOKUP($B2185,'D7 - NDB Impacted SPRF''s'!$E$16:$O$9929,9,FALSE)</f>
        <v>N</v>
      </c>
      <c r="Q2185" s="4" t="str">
        <f>VLOOKUP($B2185,'D7 - NDB Impacted SPRF''s'!$E$16:$O$9929,10,FALSE)</f>
        <v>N</v>
      </c>
      <c r="R2185" s="4" t="str">
        <f>VLOOKUP($B2185,'D7 - NDB Impacted SPRF''s'!$E$16:$O$9929,11,FALSE)</f>
        <v>N</v>
      </c>
      <c r="S2185" s="8"/>
      <c r="T2185" s="310"/>
      <c r="U2185" s="310"/>
      <c r="V2185" s="4"/>
      <c r="W2185" s="4"/>
      <c r="X2185" s="4"/>
      <c r="Y2185" s="4"/>
      <c r="Z2185" s="4"/>
      <c r="AA2185" s="4"/>
      <c r="AB2185" s="380" t="str">
        <f>VLOOKUP($B2185,'D7 - NDB Impacted SPRF''s'!$E$16:$O$9929,4,FALSE)</f>
        <v>Completed</v>
      </c>
      <c r="AC2185" s="380" t="str">
        <f>VLOOKUP($B2185,'D7 - NDB Impacted SPRF''s'!$E$16:$O$9929,3,FALSE)</f>
        <v>UnitedHealthcare Employer &amp; Individual</v>
      </c>
      <c r="AD2185" s="380" t="str">
        <f>VLOOKUP($B2185,'D7 - NDB Impacted SPRF''s'!$E$16:$O$9929,5,FALSE)</f>
        <v>Network Growth / Enhancements</v>
      </c>
      <c r="AE2185" s="380" t="str">
        <f>VLOOKUP($B2185,'D7 - NDB Impacted SPRF''s'!$E$16:$O$9929,7,FALSE)</f>
        <v>Mike Mikan</v>
      </c>
      <c r="AF2185" s="380" t="str">
        <f>VLOOKUP($B2185,'D7 - NDB Impacted SPRF''s'!$E$16:$O$9929,6,FALSE)</f>
        <v>GREGORY MILLS</v>
      </c>
      <c r="AG2185" s="282"/>
      <c r="AH2185" s="311" t="e">
        <f>INDEX('D5 - Gatekeeper - Projects'!$A$4:$AF$1010,$AM2185, 17)</f>
        <v>#N/A</v>
      </c>
      <c r="AI2185" s="8"/>
      <c r="AJ2185" s="57"/>
      <c r="AK2185" s="105"/>
      <c r="AM2185" s="6" t="e">
        <f>MATCH(D2185,'D5 - Gatekeeper - Projects'!$C$4:$C$1010,0)</f>
        <v>#N/A</v>
      </c>
      <c r="AN2185" s="6" t="b">
        <f t="shared" si="227"/>
        <v>1</v>
      </c>
      <c r="AO2185" s="6" t="str">
        <f t="shared" si="228"/>
        <v>OK</v>
      </c>
      <c r="AQ2185" s="6" t="e">
        <f>MATCH($D2185,'D4 - Provider Council Unsched'!$C$11:$C$234,0)</f>
        <v>#N/A</v>
      </c>
      <c r="AR2185" s="6" t="b">
        <f t="shared" si="229"/>
        <v>1</v>
      </c>
      <c r="AS2185" s="6" t="str">
        <f t="shared" si="232"/>
        <v>OK</v>
      </c>
      <c r="AU2185" s="202"/>
      <c r="AV2185" s="262"/>
      <c r="AW2185" s="274"/>
    </row>
    <row r="2186" spans="1:49" s="13" customFormat="1" ht="33.75" x14ac:dyDescent="0.2">
      <c r="A2186" s="14">
        <v>2162</v>
      </c>
      <c r="B2186" s="14">
        <v>400015075</v>
      </c>
      <c r="C2186" s="8" t="s">
        <v>6581</v>
      </c>
      <c r="D2186" s="4" t="str">
        <f t="shared" si="231"/>
        <v>400015075L1</v>
      </c>
      <c r="E2186" s="309" t="str">
        <f>VLOOKUP($B2186,'D7 - NDB Impacted SPRF''s'!$E$6:$O$9929,2,FALSE)</f>
        <v>Medica Non-Notification Penalty</v>
      </c>
      <c r="F2186" s="8" t="s">
        <v>5196</v>
      </c>
      <c r="G2186" s="8" t="s">
        <v>4758</v>
      </c>
      <c r="H2186" s="8" t="s">
        <v>2870</v>
      </c>
      <c r="I2186" s="20">
        <v>3.69</v>
      </c>
      <c r="J2186" s="8" t="s">
        <v>4862</v>
      </c>
      <c r="K2186" s="182">
        <v>39536</v>
      </c>
      <c r="L2186" s="8" t="s">
        <v>5743</v>
      </c>
      <c r="M2186" s="8" t="s">
        <v>2814</v>
      </c>
      <c r="N2186" s="38" t="s">
        <v>1979</v>
      </c>
      <c r="O2186" s="8"/>
      <c r="P2186" s="4" t="str">
        <f>VLOOKUP($B2186,'D7 - NDB Impacted SPRF''s'!$E$16:$O$9929,9,FALSE)</f>
        <v>Y</v>
      </c>
      <c r="Q2186" s="4" t="str">
        <f>VLOOKUP($B2186,'D7 - NDB Impacted SPRF''s'!$E$16:$O$9929,10,FALSE)</f>
        <v>N</v>
      </c>
      <c r="R2186" s="4" t="str">
        <f>VLOOKUP($B2186,'D7 - NDB Impacted SPRF''s'!$E$16:$O$9929,11,FALSE)</f>
        <v>N</v>
      </c>
      <c r="S2186" s="8"/>
      <c r="T2186" s="310"/>
      <c r="U2186" s="310"/>
      <c r="V2186" s="4"/>
      <c r="W2186" s="4"/>
      <c r="X2186" s="4"/>
      <c r="Y2186" s="4"/>
      <c r="Z2186" s="4"/>
      <c r="AA2186" s="4"/>
      <c r="AB2186" s="380" t="str">
        <f>VLOOKUP($B2186,'D7 - NDB Impacted SPRF''s'!$E$16:$O$9929,4,FALSE)</f>
        <v>Completed</v>
      </c>
      <c r="AC2186" s="380" t="str">
        <f>VLOOKUP($B2186,'D7 - NDB Impacted SPRF''s'!$E$16:$O$9929,3,FALSE)</f>
        <v>UnitedHealthcare Employer &amp; Individual</v>
      </c>
      <c r="AD2186" s="380" t="str">
        <f>VLOOKUP($B2186,'D7 - NDB Impacted SPRF''s'!$E$16:$O$9929,5,FALSE)</f>
        <v>HCA - Medica UNET Conversion</v>
      </c>
      <c r="AE2186" s="380" t="str">
        <f>VLOOKUP($B2186,'D7 - NDB Impacted SPRF''s'!$E$16:$O$9929,7,FALSE)</f>
        <v>Diane Schofield</v>
      </c>
      <c r="AF2186" s="380" t="str">
        <f>VLOOKUP($B2186,'D7 - NDB Impacted SPRF''s'!$E$16:$O$9929,6,FALSE)</f>
        <v>KELLY Valentine</v>
      </c>
      <c r="AG2186" s="282"/>
      <c r="AH2186" s="311" t="e">
        <f>INDEX('D5 - Gatekeeper - Projects'!$A$4:$AF$1010,$AM2186, 17)</f>
        <v>#N/A</v>
      </c>
      <c r="AI2186" s="8"/>
      <c r="AJ2186" s="57"/>
      <c r="AK2186" s="105"/>
      <c r="AM2186" s="6" t="e">
        <f>MATCH(D2186,'D5 - Gatekeeper - Projects'!$C$4:$C$1010,0)</f>
        <v>#N/A</v>
      </c>
      <c r="AN2186" s="6" t="b">
        <f t="shared" ref="AN2186:AN2249" si="233">ISERROR(AM2186)</f>
        <v>1</v>
      </c>
      <c r="AO2186" s="6" t="str">
        <f t="shared" ref="AO2186:AO2249" si="234">IF(AND(H2186="1 - Scheduled",AN2186=TRUE),"Add","OK")</f>
        <v>OK</v>
      </c>
      <c r="AQ2186" s="6" t="e">
        <f>MATCH($D2186,'D4 - Provider Council Unsched'!$C$11:$C$234,0)</f>
        <v>#N/A</v>
      </c>
      <c r="AR2186" s="6" t="b">
        <f t="shared" ref="AR2186:AR2249" si="235">ISERROR(AQ2186)</f>
        <v>1</v>
      </c>
      <c r="AS2186" s="6" t="str">
        <f t="shared" si="232"/>
        <v>OK</v>
      </c>
      <c r="AU2186" s="202"/>
      <c r="AV2186" s="262"/>
      <c r="AW2186" s="274"/>
    </row>
    <row r="2187" spans="1:49" s="13" customFormat="1" ht="45" x14ac:dyDescent="0.2">
      <c r="A2187" s="14">
        <v>2163</v>
      </c>
      <c r="B2187" s="14">
        <v>400016069</v>
      </c>
      <c r="C2187" s="8" t="s">
        <v>2449</v>
      </c>
      <c r="D2187" s="4" t="str">
        <f t="shared" si="231"/>
        <v>400016069R3</v>
      </c>
      <c r="E2187" s="309" t="str">
        <f>VLOOKUP($B2187,'D7 - NDB Impacted SPRF''s'!$E$6:$O$9929,2,FALSE)</f>
        <v>UHPD Facility Designation Program v2.0</v>
      </c>
      <c r="F2187" s="8" t="s">
        <v>5443</v>
      </c>
      <c r="G2187" s="8" t="s">
        <v>4758</v>
      </c>
      <c r="H2187" s="8" t="s">
        <v>2870</v>
      </c>
      <c r="I2187" s="20"/>
      <c r="J2187" s="8" t="s">
        <v>7113</v>
      </c>
      <c r="K2187" s="182">
        <v>39536</v>
      </c>
      <c r="L2187" s="8" t="s">
        <v>4156</v>
      </c>
      <c r="M2187" s="8" t="s">
        <v>2814</v>
      </c>
      <c r="N2187" s="38" t="s">
        <v>6440</v>
      </c>
      <c r="O2187" s="8" t="s">
        <v>4099</v>
      </c>
      <c r="P2187" s="4" t="str">
        <f>VLOOKUP($B2187,'D7 - NDB Impacted SPRF''s'!$E$16:$O$9929,9,FALSE)</f>
        <v>Y</v>
      </c>
      <c r="Q2187" s="4" t="str">
        <f>VLOOKUP($B2187,'D7 - NDB Impacted SPRF''s'!$E$16:$O$9929,10,FALSE)</f>
        <v>N</v>
      </c>
      <c r="R2187" s="4" t="str">
        <f>VLOOKUP($B2187,'D7 - NDB Impacted SPRF''s'!$E$16:$O$9929,11,FALSE)</f>
        <v>N</v>
      </c>
      <c r="S2187" s="8"/>
      <c r="T2187" s="310"/>
      <c r="U2187" s="310"/>
      <c r="V2187" s="4"/>
      <c r="W2187" s="4"/>
      <c r="X2187" s="4"/>
      <c r="Y2187" s="4"/>
      <c r="Z2187" s="4"/>
      <c r="AA2187" s="4"/>
      <c r="AB2187" s="380" t="str">
        <f>VLOOKUP($B2187,'D7 - NDB Impacted SPRF''s'!$E$16:$O$9929,4,FALSE)</f>
        <v>Completed</v>
      </c>
      <c r="AC2187" s="380" t="str">
        <f>VLOOKUP($B2187,'D7 - NDB Impacted SPRF''s'!$E$16:$O$9929,3,FALSE)</f>
        <v>UnitedHealthcare Employer &amp; Individual</v>
      </c>
      <c r="AD2187" s="380" t="str">
        <f>VLOOKUP($B2187,'D7 - NDB Impacted SPRF''s'!$E$16:$O$9929,5,FALSE)</f>
        <v>Medical Cost Savings Programs</v>
      </c>
      <c r="AE2187" s="380" t="str">
        <f>VLOOKUP($B2187,'D7 - NDB Impacted SPRF''s'!$E$16:$O$9929,7,FALSE)</f>
        <v>Gino Tenace</v>
      </c>
      <c r="AF2187" s="380" t="str">
        <f>VLOOKUP($B2187,'D7 - NDB Impacted SPRF''s'!$E$16:$O$9929,6,FALSE)</f>
        <v>BRUCE CARVER</v>
      </c>
      <c r="AG2187" s="282"/>
      <c r="AH2187" s="311" t="e">
        <f>INDEX('D5 - Gatekeeper - Projects'!$A$4:$AF$1010,$AM2187, 17)</f>
        <v>#N/A</v>
      </c>
      <c r="AI2187" s="8"/>
      <c r="AJ2187" s="57"/>
      <c r="AK2187" s="105"/>
      <c r="AM2187" s="6" t="e">
        <f>MATCH(D2187,'D5 - Gatekeeper - Projects'!$C$4:$C$1010,0)</f>
        <v>#N/A</v>
      </c>
      <c r="AN2187" s="6" t="b">
        <f t="shared" si="233"/>
        <v>1</v>
      </c>
      <c r="AO2187" s="6" t="str">
        <f t="shared" si="234"/>
        <v>OK</v>
      </c>
      <c r="AQ2187" s="6" t="e">
        <f>MATCH($D2187,'D4 - Provider Council Unsched'!$C$11:$C$234,0)</f>
        <v>#N/A</v>
      </c>
      <c r="AR2187" s="6" t="b">
        <f t="shared" si="235"/>
        <v>1</v>
      </c>
      <c r="AS2187" s="6" t="str">
        <f t="shared" si="232"/>
        <v>OK</v>
      </c>
      <c r="AU2187" s="202"/>
      <c r="AV2187" s="262"/>
      <c r="AW2187" s="274"/>
    </row>
    <row r="2188" spans="1:49" s="13" customFormat="1" ht="22.5" x14ac:dyDescent="0.2">
      <c r="A2188" s="14">
        <v>2164</v>
      </c>
      <c r="B2188" s="14">
        <v>400010635</v>
      </c>
      <c r="C2188" s="8" t="s">
        <v>3447</v>
      </c>
      <c r="D2188" s="4" t="str">
        <f t="shared" si="231"/>
        <v>400010635CC16</v>
      </c>
      <c r="E2188" s="309" t="str">
        <f>VLOOKUP($B2188,'D7 - NDB Impacted SPRF''s'!$E$6:$O$9929,2,FALSE)</f>
        <v>MEDICA-Implement Commercial Business on PRIME/UNET</v>
      </c>
      <c r="F2188" s="8" t="s">
        <v>5196</v>
      </c>
      <c r="G2188" s="8" t="s">
        <v>4758</v>
      </c>
      <c r="H2188" s="8" t="s">
        <v>2870</v>
      </c>
      <c r="I2188" s="20">
        <v>3.02</v>
      </c>
      <c r="J2188" s="8" t="s">
        <v>4862</v>
      </c>
      <c r="K2188" s="182">
        <v>39585</v>
      </c>
      <c r="L2188" s="8" t="s">
        <v>5743</v>
      </c>
      <c r="M2188" s="8" t="s">
        <v>2814</v>
      </c>
      <c r="N2188" s="38" t="s">
        <v>4204</v>
      </c>
      <c r="O2188" s="8"/>
      <c r="P2188" s="4" t="str">
        <f>VLOOKUP($B2188,'D7 - NDB Impacted SPRF''s'!$E$16:$O$9929,9,FALSE)</f>
        <v>Y</v>
      </c>
      <c r="Q2188" s="4" t="str">
        <f>VLOOKUP($B2188,'D7 - NDB Impacted SPRF''s'!$E$16:$O$9929,10,FALSE)</f>
        <v>N</v>
      </c>
      <c r="R2188" s="4" t="str">
        <f>VLOOKUP($B2188,'D7 - NDB Impacted SPRF''s'!$E$16:$O$9929,11,FALSE)</f>
        <v>N</v>
      </c>
      <c r="S2188" s="8"/>
      <c r="T2188" s="310"/>
      <c r="U2188" s="310"/>
      <c r="V2188" s="4"/>
      <c r="W2188" s="4"/>
      <c r="X2188" s="4"/>
      <c r="Y2188" s="4"/>
      <c r="Z2188" s="4"/>
      <c r="AA2188" s="4"/>
      <c r="AB2188" s="380" t="str">
        <f>VLOOKUP($B2188,'D7 - NDB Impacted SPRF''s'!$E$16:$O$9929,4,FALSE)</f>
        <v>Completed</v>
      </c>
      <c r="AC2188" s="380" t="str">
        <f>VLOOKUP($B2188,'D7 - NDB Impacted SPRF''s'!$E$16:$O$9929,3,FALSE)</f>
        <v>Alliance</v>
      </c>
      <c r="AD2188" s="380" t="str">
        <f>VLOOKUP($B2188,'D7 - NDB Impacted SPRF''s'!$E$16:$O$9929,5,FALSE)</f>
        <v>Medica UNET Conversion</v>
      </c>
      <c r="AE2188" s="380" t="str">
        <f>VLOOKUP($B2188,'D7 - NDB Impacted SPRF''s'!$E$16:$O$9929,7,FALSE)</f>
        <v>Diane Schofield</v>
      </c>
      <c r="AF2188" s="380" t="str">
        <f>VLOOKUP($B2188,'D7 - NDB Impacted SPRF''s'!$E$16:$O$9929,6,FALSE)</f>
        <v>TERRENCE HUDSON</v>
      </c>
      <c r="AG2188" s="282"/>
      <c r="AH2188" s="311" t="e">
        <f>INDEX('D5 - Gatekeeper - Projects'!$A$4:$AF$1010,$AM2188, 17)</f>
        <v>#N/A</v>
      </c>
      <c r="AI2188" s="8"/>
      <c r="AJ2188" s="57"/>
      <c r="AK2188" s="105"/>
      <c r="AM2188" s="6" t="e">
        <f>MATCH(D2188,'D5 - Gatekeeper - Projects'!$C$4:$C$1010,0)</f>
        <v>#N/A</v>
      </c>
      <c r="AN2188" s="6" t="b">
        <f t="shared" si="233"/>
        <v>1</v>
      </c>
      <c r="AO2188" s="6" t="str">
        <f t="shared" si="234"/>
        <v>OK</v>
      </c>
      <c r="AQ2188" s="6" t="e">
        <f>MATCH($D2188,'D4 - Provider Council Unsched'!$C$11:$C$234,0)</f>
        <v>#N/A</v>
      </c>
      <c r="AR2188" s="6" t="b">
        <f t="shared" si="235"/>
        <v>1</v>
      </c>
      <c r="AS2188" s="6" t="str">
        <f t="shared" si="232"/>
        <v>OK</v>
      </c>
      <c r="AU2188" s="202"/>
      <c r="AV2188" s="262"/>
      <c r="AW2188" s="274"/>
    </row>
    <row r="2189" spans="1:49" s="13" customFormat="1" ht="45" x14ac:dyDescent="0.2">
      <c r="A2189" s="14">
        <v>2165</v>
      </c>
      <c r="B2189" s="14">
        <v>400013376</v>
      </c>
      <c r="C2189" s="8" t="s">
        <v>6884</v>
      </c>
      <c r="D2189" s="4" t="str">
        <f t="shared" si="231"/>
        <v>400013376CC15</v>
      </c>
      <c r="E2189" s="309" t="str">
        <f>VLOOKUP($B2189,'D7 - NDB Impacted SPRF''s'!$E$6:$O$9929,2,FALSE)</f>
        <v xml:space="preserve">ITI: August Commercial Release </v>
      </c>
      <c r="F2189" s="8" t="s">
        <v>7989</v>
      </c>
      <c r="G2189" s="8" t="s">
        <v>4758</v>
      </c>
      <c r="H2189" s="8" t="s">
        <v>2870</v>
      </c>
      <c r="I2189" s="20">
        <v>1</v>
      </c>
      <c r="J2189" s="8" t="s">
        <v>4862</v>
      </c>
      <c r="K2189" s="182">
        <v>39585</v>
      </c>
      <c r="L2189" s="8" t="s">
        <v>5743</v>
      </c>
      <c r="M2189" s="8" t="s">
        <v>2814</v>
      </c>
      <c r="N2189" s="38" t="s">
        <v>4674</v>
      </c>
      <c r="O2189" s="8" t="s">
        <v>1998</v>
      </c>
      <c r="P2189" s="4" t="str">
        <f>VLOOKUP($B2189,'D7 - NDB Impacted SPRF''s'!$E$16:$O$9929,9,FALSE)</f>
        <v>Y</v>
      </c>
      <c r="Q2189" s="4" t="str">
        <f>VLOOKUP($B2189,'D7 - NDB Impacted SPRF''s'!$E$16:$O$9929,10,FALSE)</f>
        <v>N</v>
      </c>
      <c r="R2189" s="4" t="str">
        <f>VLOOKUP($B2189,'D7 - NDB Impacted SPRF''s'!$E$16:$O$9929,11,FALSE)</f>
        <v>Y</v>
      </c>
      <c r="S2189" s="8"/>
      <c r="T2189" s="310"/>
      <c r="U2189" s="310"/>
      <c r="V2189" s="4"/>
      <c r="W2189" s="4"/>
      <c r="X2189" s="4"/>
      <c r="Y2189" s="4"/>
      <c r="Z2189" s="4"/>
      <c r="AA2189" s="4"/>
      <c r="AB2189" s="380" t="str">
        <f>VLOOKUP($B2189,'D7 - NDB Impacted SPRF''s'!$E$16:$O$9929,4,FALSE)</f>
        <v>Completed</v>
      </c>
      <c r="AC2189" s="380" t="str">
        <f>VLOOKUP($B2189,'D7 - NDB Impacted SPRF''s'!$E$16:$O$9929,3,FALSE)</f>
        <v>UnitedHealthcare Employer &amp; Individual</v>
      </c>
      <c r="AD2189" s="380" t="str">
        <f>VLOOKUP($B2189,'D7 - NDB Impacted SPRF''s'!$E$16:$O$9929,5,FALSE)</f>
        <v>Medical Cost Savings Programs</v>
      </c>
      <c r="AE2189" s="380" t="str">
        <f>VLOOKUP($B2189,'D7 - NDB Impacted SPRF''s'!$E$16:$O$9929,7,FALSE)</f>
        <v>Gino Tenace</v>
      </c>
      <c r="AF2189" s="380" t="str">
        <f>VLOOKUP($B2189,'D7 - NDB Impacted SPRF''s'!$E$16:$O$9929,6,FALSE)</f>
        <v>Nicolle Wollin</v>
      </c>
      <c r="AG2189" s="282"/>
      <c r="AH2189" s="311" t="e">
        <f>INDEX('D5 - Gatekeeper - Projects'!$A$4:$AF$1010,$AM2189, 17)</f>
        <v>#N/A</v>
      </c>
      <c r="AI2189" s="8"/>
      <c r="AJ2189" s="57"/>
      <c r="AK2189" s="105"/>
      <c r="AM2189" s="6" t="e">
        <f>MATCH(D2189,'D5 - Gatekeeper - Projects'!$C$4:$C$1010,0)</f>
        <v>#N/A</v>
      </c>
      <c r="AN2189" s="6" t="b">
        <f t="shared" si="233"/>
        <v>1</v>
      </c>
      <c r="AO2189" s="6" t="str">
        <f t="shared" si="234"/>
        <v>OK</v>
      </c>
      <c r="AQ2189" s="6" t="e">
        <f>MATCH($D2189,'D4 - Provider Council Unsched'!$C$11:$C$234,0)</f>
        <v>#N/A</v>
      </c>
      <c r="AR2189" s="6" t="b">
        <f t="shared" si="235"/>
        <v>1</v>
      </c>
      <c r="AS2189" s="6" t="str">
        <f t="shared" si="232"/>
        <v>OK</v>
      </c>
      <c r="AU2189" s="202"/>
      <c r="AV2189" s="262"/>
      <c r="AW2189" s="274"/>
    </row>
    <row r="2190" spans="1:49" s="13" customFormat="1" ht="33.75" x14ac:dyDescent="0.2">
      <c r="A2190" s="14">
        <v>2166</v>
      </c>
      <c r="B2190" s="14">
        <v>400013376</v>
      </c>
      <c r="C2190" s="8" t="s">
        <v>3271</v>
      </c>
      <c r="D2190" s="4" t="str">
        <f t="shared" si="231"/>
        <v>400013376CC20</v>
      </c>
      <c r="E2190" s="309" t="str">
        <f>VLOOKUP($B2190,'D7 - NDB Impacted SPRF''s'!$E$6:$O$9929,2,FALSE)</f>
        <v xml:space="preserve">ITI: August Commercial Release </v>
      </c>
      <c r="F2190" s="8" t="s">
        <v>7989</v>
      </c>
      <c r="G2190" s="8" t="s">
        <v>4758</v>
      </c>
      <c r="H2190" s="8" t="s">
        <v>2870</v>
      </c>
      <c r="I2190" s="20">
        <v>66</v>
      </c>
      <c r="J2190" s="8" t="s">
        <v>7113</v>
      </c>
      <c r="K2190" s="182">
        <v>39585</v>
      </c>
      <c r="L2190" s="8" t="s">
        <v>5743</v>
      </c>
      <c r="M2190" s="8" t="s">
        <v>2814</v>
      </c>
      <c r="N2190" s="367" t="s">
        <v>3673</v>
      </c>
      <c r="O2190" s="8"/>
      <c r="P2190" s="4" t="str">
        <f>VLOOKUP($B2190,'D7 - NDB Impacted SPRF''s'!$E$16:$O$9929,9,FALSE)</f>
        <v>Y</v>
      </c>
      <c r="Q2190" s="4" t="str">
        <f>VLOOKUP($B2190,'D7 - NDB Impacted SPRF''s'!$E$16:$O$9929,10,FALSE)</f>
        <v>N</v>
      </c>
      <c r="R2190" s="4" t="str">
        <f>VLOOKUP($B2190,'D7 - NDB Impacted SPRF''s'!$E$16:$O$9929,11,FALSE)</f>
        <v>Y</v>
      </c>
      <c r="S2190" s="8"/>
      <c r="T2190" s="310"/>
      <c r="U2190" s="310"/>
      <c r="V2190" s="4"/>
      <c r="W2190" s="4"/>
      <c r="X2190" s="4"/>
      <c r="Y2190" s="4"/>
      <c r="Z2190" s="4"/>
      <c r="AA2190" s="4"/>
      <c r="AB2190" s="380" t="str">
        <f>VLOOKUP($B2190,'D7 - NDB Impacted SPRF''s'!$E$16:$O$9929,4,FALSE)</f>
        <v>Completed</v>
      </c>
      <c r="AC2190" s="380" t="str">
        <f>VLOOKUP($B2190,'D7 - NDB Impacted SPRF''s'!$E$16:$O$9929,3,FALSE)</f>
        <v>UnitedHealthcare Employer &amp; Individual</v>
      </c>
      <c r="AD2190" s="380" t="str">
        <f>VLOOKUP($B2190,'D7 - NDB Impacted SPRF''s'!$E$16:$O$9929,5,FALSE)</f>
        <v>Medical Cost Savings Programs</v>
      </c>
      <c r="AE2190" s="380" t="str">
        <f>VLOOKUP($B2190,'D7 - NDB Impacted SPRF''s'!$E$16:$O$9929,7,FALSE)</f>
        <v>Gino Tenace</v>
      </c>
      <c r="AF2190" s="380" t="str">
        <f>VLOOKUP($B2190,'D7 - NDB Impacted SPRF''s'!$E$16:$O$9929,6,FALSE)</f>
        <v>Nicolle Wollin</v>
      </c>
      <c r="AG2190" s="282"/>
      <c r="AH2190" s="311" t="e">
        <f>INDEX('D5 - Gatekeeper - Projects'!$A$4:$AF$1010,$AM2190, 17)</f>
        <v>#N/A</v>
      </c>
      <c r="AI2190" s="8"/>
      <c r="AJ2190" s="57"/>
      <c r="AK2190" s="105"/>
      <c r="AM2190" s="6" t="e">
        <f>MATCH(D2190,'D5 - Gatekeeper - Projects'!$C$4:$C$1010,0)</f>
        <v>#N/A</v>
      </c>
      <c r="AN2190" s="6" t="b">
        <f t="shared" si="233"/>
        <v>1</v>
      </c>
      <c r="AO2190" s="6" t="str">
        <f t="shared" si="234"/>
        <v>OK</v>
      </c>
      <c r="AQ2190" s="6" t="e">
        <f>MATCH($D2190,'D4 - Provider Council Unsched'!$C$11:$C$234,0)</f>
        <v>#N/A</v>
      </c>
      <c r="AR2190" s="6" t="b">
        <f t="shared" si="235"/>
        <v>1</v>
      </c>
      <c r="AS2190" s="6" t="str">
        <f t="shared" si="232"/>
        <v>OK</v>
      </c>
      <c r="AU2190" s="202"/>
      <c r="AV2190" s="262"/>
      <c r="AW2190" s="274"/>
    </row>
    <row r="2191" spans="1:49" s="13" customFormat="1" ht="33.75" x14ac:dyDescent="0.2">
      <c r="A2191" s="14">
        <v>2167</v>
      </c>
      <c r="B2191" s="14">
        <v>400014790</v>
      </c>
      <c r="C2191" s="8" t="s">
        <v>3763</v>
      </c>
      <c r="D2191" s="4" t="str">
        <f t="shared" si="231"/>
        <v>400014790R2</v>
      </c>
      <c r="E2191" s="309" t="str">
        <f>VLOOKUP($B2191,'D7 - NDB Impacted SPRF''s'!$E$6:$O$9929,2,FALSE)</f>
        <v>Medica Electronic Payments and Statements (EPS)</v>
      </c>
      <c r="F2191" s="8" t="s">
        <v>5196</v>
      </c>
      <c r="G2191" s="8" t="s">
        <v>4758</v>
      </c>
      <c r="H2191" s="8" t="s">
        <v>2870</v>
      </c>
      <c r="I2191" s="20"/>
      <c r="J2191" s="8" t="s">
        <v>7113</v>
      </c>
      <c r="K2191" s="182">
        <v>39585</v>
      </c>
      <c r="L2191" s="8" t="s">
        <v>5743</v>
      </c>
      <c r="M2191" s="8" t="s">
        <v>2814</v>
      </c>
      <c r="N2191" s="38" t="s">
        <v>2994</v>
      </c>
      <c r="O2191" s="8"/>
      <c r="P2191" s="4" t="str">
        <f>VLOOKUP($B2191,'D7 - NDB Impacted SPRF''s'!$E$16:$O$9929,9,FALSE)</f>
        <v>Y</v>
      </c>
      <c r="Q2191" s="4" t="str">
        <f>VLOOKUP($B2191,'D7 - NDB Impacted SPRF''s'!$E$16:$O$9929,10,FALSE)</f>
        <v>N</v>
      </c>
      <c r="R2191" s="4" t="str">
        <f>VLOOKUP($B2191,'D7 - NDB Impacted SPRF''s'!$E$16:$O$9929,11,FALSE)</f>
        <v>N</v>
      </c>
      <c r="S2191" s="8"/>
      <c r="T2191" s="310"/>
      <c r="U2191" s="310"/>
      <c r="V2191" s="4"/>
      <c r="W2191" s="4"/>
      <c r="X2191" s="4"/>
      <c r="Y2191" s="4"/>
      <c r="Z2191" s="4"/>
      <c r="AA2191" s="4"/>
      <c r="AB2191" s="380" t="str">
        <f>VLOOKUP($B2191,'D7 - NDB Impacted SPRF''s'!$E$16:$O$9929,4,FALSE)</f>
        <v>Completed</v>
      </c>
      <c r="AC2191" s="380" t="str">
        <f>VLOOKUP($B2191,'D7 - NDB Impacted SPRF''s'!$E$16:$O$9929,3,FALSE)</f>
        <v>UnitedHealthcare Employer &amp; Individual</v>
      </c>
      <c r="AD2191" s="380" t="str">
        <f>VLOOKUP($B2191,'D7 - NDB Impacted SPRF''s'!$E$16:$O$9929,5,FALSE)</f>
        <v>HCA - Medica UNET Conversion</v>
      </c>
      <c r="AE2191" s="380" t="str">
        <f>VLOOKUP($B2191,'D7 - NDB Impacted SPRF''s'!$E$16:$O$9929,7,FALSE)</f>
        <v>Mark Pontliana</v>
      </c>
      <c r="AF2191" s="380" t="str">
        <f>VLOOKUP($B2191,'D7 - NDB Impacted SPRF''s'!$E$16:$O$9929,6,FALSE)</f>
        <v>JEFFREY ZIEL</v>
      </c>
      <c r="AG2191" s="282"/>
      <c r="AH2191" s="311" t="e">
        <f>INDEX('D5 - Gatekeeper - Projects'!$A$4:$AF$1010,$AM2191, 17)</f>
        <v>#N/A</v>
      </c>
      <c r="AI2191" s="8"/>
      <c r="AJ2191" s="57"/>
      <c r="AK2191" s="105"/>
      <c r="AM2191" s="6" t="e">
        <f>MATCH(D2191,'D5 - Gatekeeper - Projects'!$C$4:$C$1010,0)</f>
        <v>#N/A</v>
      </c>
      <c r="AN2191" s="6" t="b">
        <f t="shared" si="233"/>
        <v>1</v>
      </c>
      <c r="AO2191" s="6" t="str">
        <f t="shared" si="234"/>
        <v>OK</v>
      </c>
      <c r="AQ2191" s="6" t="e">
        <f>MATCH($D2191,'D4 - Provider Council Unsched'!$C$11:$C$234,0)</f>
        <v>#N/A</v>
      </c>
      <c r="AR2191" s="6" t="b">
        <f t="shared" si="235"/>
        <v>1</v>
      </c>
      <c r="AS2191" s="6" t="str">
        <f t="shared" si="232"/>
        <v>OK</v>
      </c>
      <c r="AU2191" s="202"/>
      <c r="AV2191" s="262"/>
      <c r="AW2191" s="274"/>
    </row>
    <row r="2192" spans="1:49" s="13" customFormat="1" ht="33.75" x14ac:dyDescent="0.2">
      <c r="A2192" s="14">
        <v>2168</v>
      </c>
      <c r="B2192" s="14">
        <v>400016210</v>
      </c>
      <c r="C2192" s="8" t="s">
        <v>6291</v>
      </c>
      <c r="D2192" s="4" t="str">
        <f t="shared" si="231"/>
        <v>400016210CC03</v>
      </c>
      <c r="E2192" s="309" t="str">
        <f>VLOOKUP($B2192,'D7 - NDB Impacted SPRF''s'!$E$6:$O$9929,2,FALSE)</f>
        <v>NPI Data Load and Matching Process</v>
      </c>
      <c r="F2192" s="8" t="s">
        <v>1059</v>
      </c>
      <c r="G2192" s="8" t="s">
        <v>4758</v>
      </c>
      <c r="H2192" s="8" t="s">
        <v>2870</v>
      </c>
      <c r="I2192" s="20">
        <v>11</v>
      </c>
      <c r="J2192" s="8" t="s">
        <v>4862</v>
      </c>
      <c r="K2192" s="182">
        <v>39585</v>
      </c>
      <c r="L2192" s="8" t="s">
        <v>5743</v>
      </c>
      <c r="M2192" s="8" t="s">
        <v>2814</v>
      </c>
      <c r="N2192" s="38" t="s">
        <v>5204</v>
      </c>
      <c r="O2192" s="8" t="s">
        <v>7086</v>
      </c>
      <c r="P2192" s="4" t="str">
        <f>VLOOKUP($B2192,'D7 - NDB Impacted SPRF''s'!$E$16:$O$9929,9,FALSE)</f>
        <v>N</v>
      </c>
      <c r="Q2192" s="4" t="str">
        <f>VLOOKUP($B2192,'D7 - NDB Impacted SPRF''s'!$E$16:$O$9929,10,FALSE)</f>
        <v>N</v>
      </c>
      <c r="R2192" s="4" t="str">
        <f>VLOOKUP($B2192,'D7 - NDB Impacted SPRF''s'!$E$16:$O$9929,11,FALSE)</f>
        <v>N</v>
      </c>
      <c r="S2192" s="8"/>
      <c r="T2192" s="310"/>
      <c r="U2192" s="310"/>
      <c r="V2192" s="4"/>
      <c r="W2192" s="4"/>
      <c r="X2192" s="4"/>
      <c r="Y2192" s="4"/>
      <c r="Z2192" s="4"/>
      <c r="AA2192" s="4"/>
      <c r="AB2192" s="380" t="str">
        <f>VLOOKUP($B2192,'D7 - NDB Impacted SPRF''s'!$E$16:$O$9929,4,FALSE)</f>
        <v>Completed</v>
      </c>
      <c r="AC2192" s="380" t="str">
        <f>VLOOKUP($B2192,'D7 - NDB Impacted SPRF''s'!$E$16:$O$9929,3,FALSE)</f>
        <v>UnitedHealthcare Employer &amp; Individual</v>
      </c>
      <c r="AD2192" s="380" t="str">
        <f>VLOOKUP($B2192,'D7 - NDB Impacted SPRF''s'!$E$16:$O$9929,5,FALSE)</f>
        <v>Regulatory / Other</v>
      </c>
      <c r="AE2192" s="380" t="str">
        <f>VLOOKUP($B2192,'D7 - NDB Impacted SPRF''s'!$E$16:$O$9929,7,FALSE)</f>
        <v>Tim Kaja</v>
      </c>
      <c r="AF2192" s="380" t="str">
        <f>VLOOKUP($B2192,'D7 - NDB Impacted SPRF''s'!$E$16:$O$9929,6,FALSE)</f>
        <v>PARK CHRISTINE</v>
      </c>
      <c r="AG2192" s="282"/>
      <c r="AH2192" s="311" t="e">
        <f>INDEX('D5 - Gatekeeper - Projects'!$A$4:$AF$1010,$AM2192, 17)</f>
        <v>#N/A</v>
      </c>
      <c r="AI2192" s="8"/>
      <c r="AJ2192" s="57"/>
      <c r="AK2192" s="105"/>
      <c r="AM2192" s="6" t="e">
        <f>MATCH(D2192,'D5 - Gatekeeper - Projects'!$C$4:$C$1010,0)</f>
        <v>#N/A</v>
      </c>
      <c r="AN2192" s="6" t="b">
        <f t="shared" si="233"/>
        <v>1</v>
      </c>
      <c r="AO2192" s="6" t="str">
        <f t="shared" si="234"/>
        <v>OK</v>
      </c>
      <c r="AQ2192" s="6" t="e">
        <f>MATCH($D2192,'D4 - Provider Council Unsched'!$C$11:$C$234,0)</f>
        <v>#N/A</v>
      </c>
      <c r="AR2192" s="6" t="b">
        <f t="shared" si="235"/>
        <v>1</v>
      </c>
      <c r="AS2192" s="6" t="str">
        <f t="shared" si="232"/>
        <v>OK</v>
      </c>
      <c r="AU2192" s="202"/>
      <c r="AV2192" s="262"/>
      <c r="AW2192" s="274"/>
    </row>
    <row r="2193" spans="1:49" s="13" customFormat="1" ht="33.75" x14ac:dyDescent="0.2">
      <c r="A2193" s="14">
        <v>2169</v>
      </c>
      <c r="B2193" s="14">
        <v>400018421</v>
      </c>
      <c r="C2193" s="8" t="s">
        <v>4963</v>
      </c>
      <c r="D2193" s="4" t="str">
        <f t="shared" si="231"/>
        <v>400018421P1</v>
      </c>
      <c r="E2193" s="309" t="str">
        <f>VLOOKUP($B2193,'D7 - NDB Impacted SPRF''s'!$E$6:$O$9929,2,FALSE)</f>
        <v>ERC Proof of Concept Release 3</v>
      </c>
      <c r="F2193" s="8" t="s">
        <v>7106</v>
      </c>
      <c r="G2193" s="8" t="s">
        <v>4758</v>
      </c>
      <c r="H2193" s="8" t="s">
        <v>2870</v>
      </c>
      <c r="I2193" s="20">
        <v>24.42</v>
      </c>
      <c r="J2193" s="8" t="s">
        <v>4862</v>
      </c>
      <c r="K2193" s="182">
        <v>39585</v>
      </c>
      <c r="L2193" s="8" t="s">
        <v>5743</v>
      </c>
      <c r="M2193" s="8" t="s">
        <v>2814</v>
      </c>
      <c r="N2193" s="38" t="s">
        <v>5204</v>
      </c>
      <c r="O2193" s="8" t="s">
        <v>6877</v>
      </c>
      <c r="P2193" s="4" t="str">
        <f>VLOOKUP($B2193,'D7 - NDB Impacted SPRF''s'!$E$16:$O$9929,9,FALSE)</f>
        <v>Y</v>
      </c>
      <c r="Q2193" s="4" t="str">
        <f>VLOOKUP($B2193,'D7 - NDB Impacted SPRF''s'!$E$16:$O$9929,10,FALSE)</f>
        <v>N</v>
      </c>
      <c r="R2193" s="4" t="str">
        <f>VLOOKUP($B2193,'D7 - NDB Impacted SPRF''s'!$E$16:$O$9929,11,FALSE)</f>
        <v>Y</v>
      </c>
      <c r="S2193" s="8"/>
      <c r="T2193" s="310"/>
      <c r="U2193" s="310"/>
      <c r="V2193" s="4"/>
      <c r="W2193" s="4"/>
      <c r="X2193" s="4"/>
      <c r="Y2193" s="4"/>
      <c r="Z2193" s="4"/>
      <c r="AA2193" s="4"/>
      <c r="AB2193" s="380" t="str">
        <f>VLOOKUP($B2193,'D7 - NDB Impacted SPRF''s'!$E$16:$O$9929,4,FALSE)</f>
        <v>Completed</v>
      </c>
      <c r="AC2193" s="380" t="str">
        <f>VLOOKUP($B2193,'D7 - NDB Impacted SPRF''s'!$E$16:$O$9929,3,FALSE)</f>
        <v>UnitedHealthcare Employer &amp; Individual</v>
      </c>
      <c r="AD2193" s="380" t="str">
        <f>VLOOKUP($B2193,'D7 - NDB Impacted SPRF''s'!$E$16:$O$9929,5,FALSE)</f>
        <v>Medical Cost Savings Programs</v>
      </c>
      <c r="AE2193" s="380" t="str">
        <f>VLOOKUP($B2193,'D7 - NDB Impacted SPRF''s'!$E$16:$O$9929,7,FALSE)</f>
        <v>Steven Mueller</v>
      </c>
      <c r="AF2193" s="380" t="str">
        <f>VLOOKUP($B2193,'D7 - NDB Impacted SPRF''s'!$E$16:$O$9929,6,FALSE)</f>
        <v>JEFFREY HUXLEY</v>
      </c>
      <c r="AG2193" s="282"/>
      <c r="AH2193" s="311" t="e">
        <f>INDEX('D5 - Gatekeeper - Projects'!$A$4:$AF$1010,$AM2193, 17)</f>
        <v>#N/A</v>
      </c>
      <c r="AI2193" s="8"/>
      <c r="AJ2193" s="57"/>
      <c r="AK2193" s="105"/>
      <c r="AM2193" s="6" t="e">
        <f>MATCH(D2193,'D5 - Gatekeeper - Projects'!$C$4:$C$1010,0)</f>
        <v>#N/A</v>
      </c>
      <c r="AN2193" s="6" t="b">
        <f t="shared" si="233"/>
        <v>1</v>
      </c>
      <c r="AO2193" s="6" t="str">
        <f t="shared" si="234"/>
        <v>OK</v>
      </c>
      <c r="AQ2193" s="6" t="e">
        <f>MATCH($D2193,'D4 - Provider Council Unsched'!$C$11:$C$234,0)</f>
        <v>#N/A</v>
      </c>
      <c r="AR2193" s="6" t="b">
        <f t="shared" si="235"/>
        <v>1</v>
      </c>
      <c r="AS2193" s="6" t="str">
        <f t="shared" si="232"/>
        <v>OK</v>
      </c>
      <c r="AU2193" s="202"/>
      <c r="AV2193" s="262"/>
      <c r="AW2193" s="274"/>
    </row>
    <row r="2194" spans="1:49" s="13" customFormat="1" ht="33.75" x14ac:dyDescent="0.2">
      <c r="A2194" s="14">
        <v>2170</v>
      </c>
      <c r="B2194" s="14">
        <v>400018421</v>
      </c>
      <c r="C2194" s="8" t="s">
        <v>5197</v>
      </c>
      <c r="D2194" s="4" t="str">
        <f t="shared" si="231"/>
        <v>400018421R1</v>
      </c>
      <c r="E2194" s="309" t="str">
        <f>VLOOKUP($B2194,'D7 - NDB Impacted SPRF''s'!$E$6:$O$9929,2,FALSE)</f>
        <v>ERC Proof of Concept Release 3</v>
      </c>
      <c r="F2194" s="8" t="s">
        <v>7106</v>
      </c>
      <c r="G2194" s="8" t="s">
        <v>4758</v>
      </c>
      <c r="H2194" s="8" t="s">
        <v>2870</v>
      </c>
      <c r="I2194" s="20">
        <v>5.88</v>
      </c>
      <c r="J2194" s="8" t="s">
        <v>4862</v>
      </c>
      <c r="K2194" s="182">
        <v>39585</v>
      </c>
      <c r="L2194" s="8" t="s">
        <v>5743</v>
      </c>
      <c r="M2194" s="8" t="s">
        <v>2814</v>
      </c>
      <c r="N2194" s="38" t="s">
        <v>1471</v>
      </c>
      <c r="O2194" s="8" t="s">
        <v>6877</v>
      </c>
      <c r="P2194" s="4" t="str">
        <f>VLOOKUP($B2194,'D7 - NDB Impacted SPRF''s'!$E$16:$O$9929,9,FALSE)</f>
        <v>Y</v>
      </c>
      <c r="Q2194" s="4" t="str">
        <f>VLOOKUP($B2194,'D7 - NDB Impacted SPRF''s'!$E$16:$O$9929,10,FALSE)</f>
        <v>N</v>
      </c>
      <c r="R2194" s="4" t="str">
        <f>VLOOKUP($B2194,'D7 - NDB Impacted SPRF''s'!$E$16:$O$9929,11,FALSE)</f>
        <v>Y</v>
      </c>
      <c r="S2194" s="8"/>
      <c r="T2194" s="310"/>
      <c r="U2194" s="310"/>
      <c r="V2194" s="4"/>
      <c r="W2194" s="4"/>
      <c r="X2194" s="4"/>
      <c r="Y2194" s="4"/>
      <c r="Z2194" s="4"/>
      <c r="AA2194" s="4"/>
      <c r="AB2194" s="380" t="str">
        <f>VLOOKUP($B2194,'D7 - NDB Impacted SPRF''s'!$E$16:$O$9929,4,FALSE)</f>
        <v>Completed</v>
      </c>
      <c r="AC2194" s="380" t="str">
        <f>VLOOKUP($B2194,'D7 - NDB Impacted SPRF''s'!$E$16:$O$9929,3,FALSE)</f>
        <v>UnitedHealthcare Employer &amp; Individual</v>
      </c>
      <c r="AD2194" s="380" t="str">
        <f>VLOOKUP($B2194,'D7 - NDB Impacted SPRF''s'!$E$16:$O$9929,5,FALSE)</f>
        <v>Medical Cost Savings Programs</v>
      </c>
      <c r="AE2194" s="380" t="str">
        <f>VLOOKUP($B2194,'D7 - NDB Impacted SPRF''s'!$E$16:$O$9929,7,FALSE)</f>
        <v>Steven Mueller</v>
      </c>
      <c r="AF2194" s="380" t="str">
        <f>VLOOKUP($B2194,'D7 - NDB Impacted SPRF''s'!$E$16:$O$9929,6,FALSE)</f>
        <v>JEFFREY HUXLEY</v>
      </c>
      <c r="AG2194" s="282"/>
      <c r="AH2194" s="311" t="e">
        <f>INDEX('D5 - Gatekeeper - Projects'!$A$4:$AF$1010,$AM2194, 17)</f>
        <v>#N/A</v>
      </c>
      <c r="AI2194" s="8"/>
      <c r="AJ2194" s="57"/>
      <c r="AK2194" s="105"/>
      <c r="AM2194" s="6" t="e">
        <f>MATCH(D2194,'D5 - Gatekeeper - Projects'!$C$4:$C$1010,0)</f>
        <v>#N/A</v>
      </c>
      <c r="AN2194" s="6" t="b">
        <f t="shared" si="233"/>
        <v>1</v>
      </c>
      <c r="AO2194" s="6" t="str">
        <f t="shared" si="234"/>
        <v>OK</v>
      </c>
      <c r="AQ2194" s="6" t="e">
        <f>MATCH($D2194,'D4 - Provider Council Unsched'!$C$11:$C$234,0)</f>
        <v>#N/A</v>
      </c>
      <c r="AR2194" s="6" t="b">
        <f t="shared" si="235"/>
        <v>1</v>
      </c>
      <c r="AS2194" s="6" t="str">
        <f t="shared" si="232"/>
        <v>OK</v>
      </c>
      <c r="AU2194" s="202"/>
      <c r="AV2194" s="262"/>
      <c r="AW2194" s="274"/>
    </row>
    <row r="2195" spans="1:49" s="13" customFormat="1" ht="33.75" x14ac:dyDescent="0.2">
      <c r="A2195" s="14">
        <v>2171</v>
      </c>
      <c r="B2195" s="134">
        <v>400018524</v>
      </c>
      <c r="C2195" s="8" t="s">
        <v>8120</v>
      </c>
      <c r="D2195" s="4" t="str">
        <f t="shared" si="231"/>
        <v>400018524CC08</v>
      </c>
      <c r="E2195" s="309" t="str">
        <f>VLOOKUP($B2195,'D7 - NDB Impacted SPRF''s'!$E$6:$O$9929,2,FALSE)</f>
        <v>ITI: October Government Release</v>
      </c>
      <c r="F2195" s="8" t="s">
        <v>7989</v>
      </c>
      <c r="G2195" s="8" t="s">
        <v>4758</v>
      </c>
      <c r="H2195" s="8" t="s">
        <v>2870</v>
      </c>
      <c r="I2195" s="20">
        <v>13</v>
      </c>
      <c r="J2195" s="8" t="s">
        <v>7113</v>
      </c>
      <c r="K2195" s="182">
        <v>39585</v>
      </c>
      <c r="L2195" s="8" t="s">
        <v>5743</v>
      </c>
      <c r="M2195" s="8" t="s">
        <v>2814</v>
      </c>
      <c r="N2195" s="38" t="s">
        <v>6468</v>
      </c>
      <c r="O2195" s="8"/>
      <c r="P2195" s="4" t="str">
        <f>VLOOKUP($B2195,'D7 - NDB Impacted SPRF''s'!$E$16:$O$9929,9,FALSE)</f>
        <v>N</v>
      </c>
      <c r="Q2195" s="4" t="str">
        <f>VLOOKUP($B2195,'D7 - NDB Impacted SPRF''s'!$E$16:$O$9929,10,FALSE)</f>
        <v>N</v>
      </c>
      <c r="R2195" s="4" t="str">
        <f>VLOOKUP($B2195,'D7 - NDB Impacted SPRF''s'!$E$16:$O$9929,11,FALSE)</f>
        <v>N</v>
      </c>
      <c r="S2195" s="8"/>
      <c r="T2195" s="310"/>
      <c r="U2195" s="310"/>
      <c r="V2195" s="4"/>
      <c r="W2195" s="4"/>
      <c r="X2195" s="4"/>
      <c r="Y2195" s="4"/>
      <c r="Z2195" s="4"/>
      <c r="AA2195" s="4"/>
      <c r="AB2195" s="380" t="str">
        <f>VLOOKUP($B2195,'D7 - NDB Impacted SPRF''s'!$E$16:$O$9929,4,FALSE)</f>
        <v>Completed</v>
      </c>
      <c r="AC2195" s="380" t="str">
        <f>VLOOKUP($B2195,'D7 - NDB Impacted SPRF''s'!$E$16:$O$9929,3,FALSE)</f>
        <v>UnitedHealthcare Medicare &amp; Retirement</v>
      </c>
      <c r="AD2195" s="380" t="str">
        <f>VLOOKUP($B2195,'D7 - NDB Impacted SPRF''s'!$E$16:$O$9929,5,FALSE)</f>
        <v>Clinical-Ovations</v>
      </c>
      <c r="AE2195" s="380" t="str">
        <f>VLOOKUP($B2195,'D7 - NDB Impacted SPRF''s'!$E$16:$O$9929,7,FALSE)</f>
        <v>Gino Tenance</v>
      </c>
      <c r="AF2195" s="380" t="str">
        <f>VLOOKUP($B2195,'D7 - NDB Impacted SPRF''s'!$E$16:$O$9929,6,FALSE)</f>
        <v>Nicolle Wollin</v>
      </c>
      <c r="AG2195" s="282"/>
      <c r="AH2195" s="311" t="e">
        <f>INDEX('D5 - Gatekeeper - Projects'!$A$4:$AF$1010,$AM2195, 17)</f>
        <v>#N/A</v>
      </c>
      <c r="AI2195" s="8"/>
      <c r="AJ2195" s="57"/>
      <c r="AK2195" s="105"/>
      <c r="AM2195" s="6" t="e">
        <f>MATCH(D2195,'D5 - Gatekeeper - Projects'!$C$4:$C$1010,0)</f>
        <v>#N/A</v>
      </c>
      <c r="AN2195" s="6" t="b">
        <f t="shared" si="233"/>
        <v>1</v>
      </c>
      <c r="AO2195" s="6" t="str">
        <f t="shared" si="234"/>
        <v>OK</v>
      </c>
      <c r="AQ2195" s="6" t="e">
        <f>MATCH($D2195,'D4 - Provider Council Unsched'!$C$11:$C$234,0)</f>
        <v>#N/A</v>
      </c>
      <c r="AR2195" s="6" t="b">
        <f t="shared" si="235"/>
        <v>1</v>
      </c>
      <c r="AS2195" s="6" t="str">
        <f t="shared" si="232"/>
        <v>OK</v>
      </c>
      <c r="AU2195" s="202"/>
      <c r="AV2195" s="262"/>
      <c r="AW2195" s="274"/>
    </row>
    <row r="2196" spans="1:49" s="13" customFormat="1" ht="33.75" x14ac:dyDescent="0.2">
      <c r="A2196" s="14">
        <v>2172</v>
      </c>
      <c r="B2196" s="14">
        <v>400019619</v>
      </c>
      <c r="C2196" s="8" t="s">
        <v>5197</v>
      </c>
      <c r="D2196" s="4" t="str">
        <f t="shared" si="231"/>
        <v>400019619R1</v>
      </c>
      <c r="E2196" s="309" t="str">
        <f>VLOOKUP($B2196,'D7 - NDB Impacted SPRF''s'!$E$6:$O$9929,2,FALSE)</f>
        <v>ITI: November Commercial Release</v>
      </c>
      <c r="F2196" s="8" t="s">
        <v>7989</v>
      </c>
      <c r="G2196" s="8" t="s">
        <v>4758</v>
      </c>
      <c r="H2196" s="8" t="s">
        <v>2870</v>
      </c>
      <c r="I2196" s="20">
        <v>33.18</v>
      </c>
      <c r="J2196" s="8" t="s">
        <v>4862</v>
      </c>
      <c r="K2196" s="182">
        <v>39585</v>
      </c>
      <c r="L2196" s="8" t="s">
        <v>5743</v>
      </c>
      <c r="M2196" s="8" t="s">
        <v>2814</v>
      </c>
      <c r="N2196" s="38" t="s">
        <v>4740</v>
      </c>
      <c r="O2196" s="8" t="s">
        <v>1998</v>
      </c>
      <c r="P2196" s="4" t="str">
        <f>VLOOKUP($B2196,'D7 - NDB Impacted SPRF''s'!$E$16:$O$9929,9,FALSE)</f>
        <v>Y</v>
      </c>
      <c r="Q2196" s="4" t="str">
        <f>VLOOKUP($B2196,'D7 - NDB Impacted SPRF''s'!$E$16:$O$9929,10,FALSE)</f>
        <v>N</v>
      </c>
      <c r="R2196" s="4" t="str">
        <f>VLOOKUP($B2196,'D7 - NDB Impacted SPRF''s'!$E$16:$O$9929,11,FALSE)</f>
        <v>N</v>
      </c>
      <c r="S2196" s="8"/>
      <c r="T2196" s="310"/>
      <c r="U2196" s="310"/>
      <c r="V2196" s="4"/>
      <c r="W2196" s="4"/>
      <c r="X2196" s="4"/>
      <c r="Y2196" s="4"/>
      <c r="Z2196" s="4"/>
      <c r="AA2196" s="4"/>
      <c r="AB2196" s="380" t="str">
        <f>VLOOKUP($B2196,'D7 - NDB Impacted SPRF''s'!$E$16:$O$9929,4,FALSE)</f>
        <v>Completed</v>
      </c>
      <c r="AC2196" s="380" t="str">
        <f>VLOOKUP($B2196,'D7 - NDB Impacted SPRF''s'!$E$16:$O$9929,3,FALSE)</f>
        <v>UnitedHealthcare Employer &amp; Individual</v>
      </c>
      <c r="AD2196" s="380" t="str">
        <f>VLOOKUP($B2196,'D7 - NDB Impacted SPRF''s'!$E$16:$O$9929,5,FALSE)</f>
        <v>Medical Cost Savings Programs</v>
      </c>
      <c r="AE2196" s="380" t="str">
        <f>VLOOKUP($B2196,'D7 - NDB Impacted SPRF''s'!$E$16:$O$9929,7,FALSE)</f>
        <v>Gino Tenance</v>
      </c>
      <c r="AF2196" s="380" t="str">
        <f>VLOOKUP($B2196,'D7 - NDB Impacted SPRF''s'!$E$16:$O$9929,6,FALSE)</f>
        <v>Nicolle Wollin</v>
      </c>
      <c r="AG2196" s="282"/>
      <c r="AH2196" s="311" t="e">
        <f>INDEX('D5 - Gatekeeper - Projects'!$A$4:$AF$1010,$AM2196, 17)</f>
        <v>#N/A</v>
      </c>
      <c r="AI2196" s="8"/>
      <c r="AJ2196" s="57"/>
      <c r="AK2196" s="105"/>
      <c r="AM2196" s="6" t="e">
        <f>MATCH(D2196,'D5 - Gatekeeper - Projects'!$C$4:$C$1010,0)</f>
        <v>#N/A</v>
      </c>
      <c r="AN2196" s="6" t="b">
        <f t="shared" si="233"/>
        <v>1</v>
      </c>
      <c r="AO2196" s="6" t="str">
        <f t="shared" si="234"/>
        <v>OK</v>
      </c>
      <c r="AQ2196" s="6" t="e">
        <f>MATCH($D2196,'D4 - Provider Council Unsched'!$C$11:$C$234,0)</f>
        <v>#N/A</v>
      </c>
      <c r="AR2196" s="6" t="b">
        <f t="shared" si="235"/>
        <v>1</v>
      </c>
      <c r="AS2196" s="6" t="str">
        <f t="shared" ref="AS2196:AS2213" si="236">IF(AND(H2196="2 - Not Scheduled",AR2196=TRUE),"Add","OK")</f>
        <v>OK</v>
      </c>
      <c r="AU2196" s="202"/>
      <c r="AV2196" s="262"/>
      <c r="AW2196" s="274"/>
    </row>
    <row r="2197" spans="1:49" s="13" customFormat="1" ht="33.75" x14ac:dyDescent="0.2">
      <c r="A2197" s="14">
        <v>2173</v>
      </c>
      <c r="B2197" s="14">
        <v>400019621</v>
      </c>
      <c r="C2197" s="8" t="s">
        <v>5197</v>
      </c>
      <c r="D2197" s="4" t="str">
        <f t="shared" si="231"/>
        <v>400019621R1</v>
      </c>
      <c r="E2197" s="309" t="str">
        <f>VLOOKUP($B2197,'D7 - NDB Impacted SPRF''s'!$E$6:$O$9929,2,FALSE)</f>
        <v>ITI: November Government Release</v>
      </c>
      <c r="F2197" s="8" t="s">
        <v>7989</v>
      </c>
      <c r="G2197" s="8" t="s">
        <v>4758</v>
      </c>
      <c r="H2197" s="8" t="s">
        <v>2870</v>
      </c>
      <c r="I2197" s="20">
        <v>33.18</v>
      </c>
      <c r="J2197" s="8" t="s">
        <v>4862</v>
      </c>
      <c r="K2197" s="182">
        <v>39585</v>
      </c>
      <c r="L2197" s="8" t="s">
        <v>5743</v>
      </c>
      <c r="M2197" s="8" t="s">
        <v>2814</v>
      </c>
      <c r="N2197" s="38" t="s">
        <v>2869</v>
      </c>
      <c r="O2197" s="8" t="s">
        <v>1998</v>
      </c>
      <c r="P2197" s="4" t="str">
        <f>VLOOKUP($B2197,'D7 - NDB Impacted SPRF''s'!$E$16:$O$9929,9,FALSE)</f>
        <v>N</v>
      </c>
      <c r="Q2197" s="4" t="str">
        <f>VLOOKUP($B2197,'D7 - NDB Impacted SPRF''s'!$E$16:$O$9929,10,FALSE)</f>
        <v>N</v>
      </c>
      <c r="R2197" s="4" t="str">
        <f>VLOOKUP($B2197,'D7 - NDB Impacted SPRF''s'!$E$16:$O$9929,11,FALSE)</f>
        <v>N</v>
      </c>
      <c r="S2197" s="8"/>
      <c r="T2197" s="310"/>
      <c r="U2197" s="310"/>
      <c r="V2197" s="4"/>
      <c r="W2197" s="4"/>
      <c r="X2197" s="4"/>
      <c r="Y2197" s="4"/>
      <c r="Z2197" s="4"/>
      <c r="AA2197" s="4"/>
      <c r="AB2197" s="380" t="str">
        <f>VLOOKUP($B2197,'D7 - NDB Impacted SPRF''s'!$E$16:$O$9929,4,FALSE)</f>
        <v>Completed</v>
      </c>
      <c r="AC2197" s="380" t="str">
        <f>VLOOKUP($B2197,'D7 - NDB Impacted SPRF''s'!$E$16:$O$9929,3,FALSE)</f>
        <v>UnitedHealthcare Medicare &amp; Retirement</v>
      </c>
      <c r="AD2197" s="380" t="str">
        <f>VLOOKUP($B2197,'D7 - NDB Impacted SPRF''s'!$E$16:$O$9929,5,FALSE)</f>
        <v>Clinical-Ovations</v>
      </c>
      <c r="AE2197" s="380" t="str">
        <f>VLOOKUP($B2197,'D7 - NDB Impacted SPRF''s'!$E$16:$O$9929,7,FALSE)</f>
        <v>Gino Tenance</v>
      </c>
      <c r="AF2197" s="380" t="str">
        <f>VLOOKUP($B2197,'D7 - NDB Impacted SPRF''s'!$E$16:$O$9929,6,FALSE)</f>
        <v>Nicolle Wollin</v>
      </c>
      <c r="AG2197" s="282"/>
      <c r="AH2197" s="311" t="e">
        <f>INDEX('D5 - Gatekeeper - Projects'!$A$4:$AF$1010,$AM2197, 17)</f>
        <v>#N/A</v>
      </c>
      <c r="AI2197" s="8"/>
      <c r="AJ2197" s="57"/>
      <c r="AK2197" s="105"/>
      <c r="AM2197" s="6" t="e">
        <f>MATCH(D2197,'D5 - Gatekeeper - Projects'!$C$4:$C$1010,0)</f>
        <v>#N/A</v>
      </c>
      <c r="AN2197" s="6" t="b">
        <f t="shared" si="233"/>
        <v>1</v>
      </c>
      <c r="AO2197" s="6" t="str">
        <f t="shared" si="234"/>
        <v>OK</v>
      </c>
      <c r="AQ2197" s="6" t="e">
        <f>MATCH($D2197,'D4 - Provider Council Unsched'!$C$11:$C$234,0)</f>
        <v>#N/A</v>
      </c>
      <c r="AR2197" s="6" t="b">
        <f t="shared" si="235"/>
        <v>1</v>
      </c>
      <c r="AS2197" s="6" t="str">
        <f t="shared" si="236"/>
        <v>OK</v>
      </c>
      <c r="AU2197" s="202"/>
      <c r="AV2197" s="262"/>
      <c r="AW2197" s="274"/>
    </row>
    <row r="2198" spans="1:49" s="13" customFormat="1" ht="33.75" x14ac:dyDescent="0.2">
      <c r="A2198" s="14">
        <v>2174</v>
      </c>
      <c r="B2198" s="14">
        <v>400019683</v>
      </c>
      <c r="C2198" s="8" t="s">
        <v>5197</v>
      </c>
      <c r="D2198" s="4" t="str">
        <f t="shared" si="231"/>
        <v>400019683R1</v>
      </c>
      <c r="E2198" s="309" t="str">
        <f>VLOOKUP($B2198,'D7 - NDB Impacted SPRF''s'!$E$6:$O$9929,2,FALSE)</f>
        <v>PHS Work Package 1 Release 2 - Service</v>
      </c>
      <c r="F2198" s="8" t="s">
        <v>6071</v>
      </c>
      <c r="G2198" s="8" t="s">
        <v>4758</v>
      </c>
      <c r="H2198" s="8" t="s">
        <v>2870</v>
      </c>
      <c r="I2198" s="20">
        <f>160/150</f>
        <v>1.0666666666666667</v>
      </c>
      <c r="J2198" s="8" t="s">
        <v>4862</v>
      </c>
      <c r="K2198" s="182">
        <v>39585</v>
      </c>
      <c r="L2198" s="8" t="s">
        <v>5743</v>
      </c>
      <c r="M2198" s="8" t="s">
        <v>2814</v>
      </c>
      <c r="N2198" s="38" t="s">
        <v>7142</v>
      </c>
      <c r="O2198" s="8" t="s">
        <v>2000</v>
      </c>
      <c r="P2198" s="4" t="str">
        <f>VLOOKUP($B2198,'D7 - NDB Impacted SPRF''s'!$E$16:$O$9929,9,FALSE)</f>
        <v>N</v>
      </c>
      <c r="Q2198" s="4" t="str">
        <f>VLOOKUP($B2198,'D7 - NDB Impacted SPRF''s'!$E$16:$O$9929,10,FALSE)</f>
        <v>N</v>
      </c>
      <c r="R2198" s="4" t="str">
        <f>VLOOKUP($B2198,'D7 - NDB Impacted SPRF''s'!$E$16:$O$9929,11,FALSE)</f>
        <v>N</v>
      </c>
      <c r="S2198" s="8"/>
      <c r="T2198" s="310"/>
      <c r="U2198" s="310"/>
      <c r="V2198" s="4"/>
      <c r="W2198" s="4"/>
      <c r="X2198" s="4"/>
      <c r="Y2198" s="4"/>
      <c r="Z2198" s="4"/>
      <c r="AA2198" s="4"/>
      <c r="AB2198" s="380" t="str">
        <f>VLOOKUP($B2198,'D7 - NDB Impacted SPRF''s'!$E$16:$O$9929,4,FALSE)</f>
        <v>Completed</v>
      </c>
      <c r="AC2198" s="380" t="str">
        <f>VLOOKUP($B2198,'D7 - NDB Impacted SPRF''s'!$E$16:$O$9929,3,FALSE)</f>
        <v>UnitedHealthcare Employer &amp; Individual</v>
      </c>
      <c r="AD2198" s="380" t="str">
        <f>VLOOKUP($B2198,'D7 - NDB Impacted SPRF''s'!$E$16:$O$9929,5,FALSE)</f>
        <v>Integration Requirements</v>
      </c>
      <c r="AE2198" s="380" t="str">
        <f>VLOOKUP($B2198,'D7 - NDB Impacted SPRF''s'!$E$16:$O$9929,7,FALSE)</f>
        <v>Diane Schofield</v>
      </c>
      <c r="AF2198" s="380" t="str">
        <f>VLOOKUP($B2198,'D7 - NDB Impacted SPRF''s'!$E$16:$O$9929,6,FALSE)</f>
        <v>ANGELA BERGA</v>
      </c>
      <c r="AG2198" s="282"/>
      <c r="AH2198" s="311" t="e">
        <f>INDEX('D5 - Gatekeeper - Projects'!$A$4:$AF$1010,$AM2198, 17)</f>
        <v>#N/A</v>
      </c>
      <c r="AI2198" s="8"/>
      <c r="AJ2198" s="57"/>
      <c r="AK2198" s="105"/>
      <c r="AM2198" s="6" t="e">
        <f>MATCH(D2198,'D5 - Gatekeeper - Projects'!$C$4:$C$1010,0)</f>
        <v>#N/A</v>
      </c>
      <c r="AN2198" s="6" t="b">
        <f t="shared" si="233"/>
        <v>1</v>
      </c>
      <c r="AO2198" s="6" t="str">
        <f t="shared" si="234"/>
        <v>OK</v>
      </c>
      <c r="AQ2198" s="6" t="e">
        <f>MATCH($D2198,'D4 - Provider Council Unsched'!$C$11:$C$234,0)</f>
        <v>#N/A</v>
      </c>
      <c r="AR2198" s="6" t="b">
        <f t="shared" si="235"/>
        <v>1</v>
      </c>
      <c r="AS2198" s="6" t="str">
        <f t="shared" si="236"/>
        <v>OK</v>
      </c>
      <c r="AU2198" s="202"/>
      <c r="AV2198" s="262"/>
      <c r="AW2198" s="274"/>
    </row>
    <row r="2199" spans="1:49" s="13" customFormat="1" ht="33.75" x14ac:dyDescent="0.2">
      <c r="A2199" s="14">
        <v>2175</v>
      </c>
      <c r="B2199" s="14">
        <v>400019723</v>
      </c>
      <c r="C2199" s="8" t="s">
        <v>3763</v>
      </c>
      <c r="D2199" s="4" t="str">
        <f t="shared" si="231"/>
        <v>400019723R2</v>
      </c>
      <c r="E2199" s="309" t="str">
        <f>VLOOKUP($B2199,'D7 - NDB Impacted SPRF''s'!$E$6:$O$9929,2,FALSE)</f>
        <v>Integrated Test Env. Phase II BUILD - 1</v>
      </c>
      <c r="F2199" s="8" t="s">
        <v>2114</v>
      </c>
      <c r="G2199" s="8" t="s">
        <v>4758</v>
      </c>
      <c r="H2199" s="8" t="s">
        <v>2870</v>
      </c>
      <c r="I2199" s="20">
        <v>5.27</v>
      </c>
      <c r="J2199" s="8" t="s">
        <v>4862</v>
      </c>
      <c r="K2199" s="182">
        <v>39585</v>
      </c>
      <c r="L2199" s="8" t="s">
        <v>5743</v>
      </c>
      <c r="M2199" s="8" t="s">
        <v>4450</v>
      </c>
      <c r="N2199" s="38"/>
      <c r="O2199" s="8" t="s">
        <v>7086</v>
      </c>
      <c r="P2199" s="4" t="str">
        <f>VLOOKUP($B2199,'D7 - NDB Impacted SPRF''s'!$E$16:$O$9929,9,FALSE)</f>
        <v>Y</v>
      </c>
      <c r="Q2199" s="4" t="str">
        <f>VLOOKUP($B2199,'D7 - NDB Impacted SPRF''s'!$E$16:$O$9929,10,FALSE)</f>
        <v>N</v>
      </c>
      <c r="R2199" s="4" t="str">
        <f>VLOOKUP($B2199,'D7 - NDB Impacted SPRF''s'!$E$16:$O$9929,11,FALSE)</f>
        <v>N</v>
      </c>
      <c r="S2199" s="8"/>
      <c r="T2199" s="310"/>
      <c r="U2199" s="310"/>
      <c r="V2199" s="4"/>
      <c r="W2199" s="4"/>
      <c r="X2199" s="4"/>
      <c r="Y2199" s="4"/>
      <c r="Z2199" s="4"/>
      <c r="AA2199" s="4"/>
      <c r="AB2199" s="380" t="str">
        <f>VLOOKUP($B2199,'D7 - NDB Impacted SPRF''s'!$E$16:$O$9929,4,FALSE)</f>
        <v>Completed</v>
      </c>
      <c r="AC2199" s="380" t="str">
        <f>VLOOKUP($B2199,'D7 - NDB Impacted SPRF''s'!$E$16:$O$9929,3,FALSE)</f>
        <v>UHG IT - Application Services Group</v>
      </c>
      <c r="AD2199" s="380" t="str">
        <f>VLOOKUP($B2199,'D7 - NDB Impacted SPRF''s'!$E$16:$O$9929,5,FALSE)</f>
        <v>ASG</v>
      </c>
      <c r="AE2199" s="380" t="str">
        <f>VLOOKUP($B2199,'D7 - NDB Impacted SPRF''s'!$E$16:$O$9929,7,FALSE)</f>
        <v>Jessica Kozlowski</v>
      </c>
      <c r="AF2199" s="380" t="str">
        <f>VLOOKUP($B2199,'D7 - NDB Impacted SPRF''s'!$E$16:$O$9929,6,FALSE)</f>
        <v>JACQUELYN LOTTER</v>
      </c>
      <c r="AG2199" s="282"/>
      <c r="AH2199" s="311" t="e">
        <f>INDEX('D5 - Gatekeeper - Projects'!$A$4:$AF$1010,$AM2199, 17)</f>
        <v>#N/A</v>
      </c>
      <c r="AI2199" s="8"/>
      <c r="AJ2199" s="57"/>
      <c r="AK2199" s="105"/>
      <c r="AM2199" s="6" t="e">
        <f>MATCH(D2199,'D5 - Gatekeeper - Projects'!$C$4:$C$1010,0)</f>
        <v>#N/A</v>
      </c>
      <c r="AN2199" s="6" t="b">
        <f t="shared" si="233"/>
        <v>1</v>
      </c>
      <c r="AO2199" s="6" t="str">
        <f t="shared" si="234"/>
        <v>OK</v>
      </c>
      <c r="AQ2199" s="6" t="e">
        <f>MATCH($D2199,'D4 - Provider Council Unsched'!$C$11:$C$234,0)</f>
        <v>#N/A</v>
      </c>
      <c r="AR2199" s="6" t="b">
        <f t="shared" si="235"/>
        <v>1</v>
      </c>
      <c r="AS2199" s="6" t="str">
        <f t="shared" si="236"/>
        <v>OK</v>
      </c>
      <c r="AU2199" s="202"/>
      <c r="AV2199" s="262"/>
      <c r="AW2199" s="274"/>
    </row>
    <row r="2200" spans="1:49" s="13" customFormat="1" ht="33.75" x14ac:dyDescent="0.2">
      <c r="A2200" s="14">
        <v>2176</v>
      </c>
      <c r="B2200" s="14">
        <v>400019776</v>
      </c>
      <c r="C2200" s="8" t="s">
        <v>4963</v>
      </c>
      <c r="D2200" s="4" t="str">
        <f t="shared" si="231"/>
        <v>400019776P1</v>
      </c>
      <c r="E2200" s="309" t="str">
        <f>VLOOKUP($B2200,'D7 - NDB Impacted SPRF''s'!$E$6:$O$9929,2,FALSE)</f>
        <v>APR-DRG Grouping / Editing / Pricing</v>
      </c>
      <c r="F2200" s="8" t="s">
        <v>7106</v>
      </c>
      <c r="G2200" s="8" t="s">
        <v>4758</v>
      </c>
      <c r="H2200" s="8" t="s">
        <v>2870</v>
      </c>
      <c r="I2200" s="20">
        <v>17.3</v>
      </c>
      <c r="J2200" s="8" t="s">
        <v>4862</v>
      </c>
      <c r="K2200" s="182">
        <v>39585</v>
      </c>
      <c r="L2200" s="8" t="s">
        <v>5743</v>
      </c>
      <c r="M2200" s="8" t="s">
        <v>2814</v>
      </c>
      <c r="N2200" s="38" t="s">
        <v>5204</v>
      </c>
      <c r="O2200" s="8" t="s">
        <v>6877</v>
      </c>
      <c r="P2200" s="4" t="str">
        <f>VLOOKUP($B2200,'D7 - NDB Impacted SPRF''s'!$E$16:$O$9929,9,FALSE)</f>
        <v>Y</v>
      </c>
      <c r="Q2200" s="4" t="str">
        <f>VLOOKUP($B2200,'D7 - NDB Impacted SPRF''s'!$E$16:$O$9929,10,FALSE)</f>
        <v>N</v>
      </c>
      <c r="R2200" s="4" t="str">
        <f>VLOOKUP($B2200,'D7 - NDB Impacted SPRF''s'!$E$16:$O$9929,11,FALSE)</f>
        <v>Y</v>
      </c>
      <c r="S2200" s="8"/>
      <c r="T2200" s="310"/>
      <c r="U2200" s="310"/>
      <c r="V2200" s="4"/>
      <c r="W2200" s="4"/>
      <c r="X2200" s="4"/>
      <c r="Y2200" s="4"/>
      <c r="Z2200" s="4"/>
      <c r="AA2200" s="4"/>
      <c r="AB2200" s="380" t="str">
        <f>VLOOKUP($B2200,'D7 - NDB Impacted SPRF''s'!$E$16:$O$9929,4,FALSE)</f>
        <v>Cancelled</v>
      </c>
      <c r="AC2200" s="380" t="str">
        <f>VLOOKUP($B2200,'D7 - NDB Impacted SPRF''s'!$E$16:$O$9929,3,FALSE)</f>
        <v>UnitedHealthcare Employer &amp; Individual</v>
      </c>
      <c r="AD2200" s="380" t="str">
        <f>VLOOKUP($B2200,'D7 - NDB Impacted SPRF''s'!$E$16:$O$9929,5,FALSE)</f>
        <v>Medical Cost Savings Programs</v>
      </c>
      <c r="AE2200" s="380" t="str">
        <f>VLOOKUP($B2200,'D7 - NDB Impacted SPRF''s'!$E$16:$O$9929,7,FALSE)</f>
        <v>Steven Mueller</v>
      </c>
      <c r="AF2200" s="380" t="str">
        <f>VLOOKUP($B2200,'D7 - NDB Impacted SPRF''s'!$E$16:$O$9929,6,FALSE)</f>
        <v>JEFFREY HUXLEY</v>
      </c>
      <c r="AG2200" s="282"/>
      <c r="AH2200" s="311" t="e">
        <f>INDEX('D5 - Gatekeeper - Projects'!$A$4:$AF$1010,$AM2200, 17)</f>
        <v>#N/A</v>
      </c>
      <c r="AI2200" s="8"/>
      <c r="AJ2200" s="57"/>
      <c r="AK2200" s="105"/>
      <c r="AM2200" s="6" t="e">
        <f>MATCH(D2200,'D5 - Gatekeeper - Projects'!$C$4:$C$1010,0)</f>
        <v>#N/A</v>
      </c>
      <c r="AN2200" s="6" t="b">
        <f t="shared" si="233"/>
        <v>1</v>
      </c>
      <c r="AO2200" s="6" t="str">
        <f t="shared" si="234"/>
        <v>OK</v>
      </c>
      <c r="AQ2200" s="6" t="e">
        <f>MATCH($D2200,'D4 - Provider Council Unsched'!$C$11:$C$234,0)</f>
        <v>#N/A</v>
      </c>
      <c r="AR2200" s="6" t="b">
        <f t="shared" si="235"/>
        <v>1</v>
      </c>
      <c r="AS2200" s="6" t="str">
        <f t="shared" si="236"/>
        <v>OK</v>
      </c>
      <c r="AU2200" s="202"/>
      <c r="AV2200" s="262"/>
      <c r="AW2200" s="274"/>
    </row>
    <row r="2201" spans="1:49" s="13" customFormat="1" ht="33.75" x14ac:dyDescent="0.2">
      <c r="A2201" s="14">
        <v>2177</v>
      </c>
      <c r="B2201" s="14">
        <v>400020307</v>
      </c>
      <c r="C2201" s="8" t="s">
        <v>5197</v>
      </c>
      <c r="D2201" s="4" t="str">
        <f t="shared" si="231"/>
        <v>400020307R1</v>
      </c>
      <c r="E2201" s="309" t="str">
        <f>VLOOKUP($B2201,'D7 - NDB Impacted SPRF''s'!$E$6:$O$9929,2,FALSE)</f>
        <v>PHS Work Package 1 Release 2 - Install and Admin</v>
      </c>
      <c r="F2201" s="8" t="s">
        <v>6071</v>
      </c>
      <c r="G2201" s="8" t="s">
        <v>4758</v>
      </c>
      <c r="H2201" s="8" t="s">
        <v>2870</v>
      </c>
      <c r="I2201" s="20">
        <f>160/150</f>
        <v>1.0666666666666667</v>
      </c>
      <c r="J2201" s="8" t="s">
        <v>4862</v>
      </c>
      <c r="K2201" s="182">
        <v>39585</v>
      </c>
      <c r="L2201" s="8" t="s">
        <v>5743</v>
      </c>
      <c r="M2201" s="8" t="s">
        <v>5626</v>
      </c>
      <c r="N2201" s="38" t="s">
        <v>7142</v>
      </c>
      <c r="O2201" s="8" t="s">
        <v>2000</v>
      </c>
      <c r="P2201" s="4" t="str">
        <f>VLOOKUP($B2201,'D7 - NDB Impacted SPRF''s'!$E$16:$O$9929,9,FALSE)</f>
        <v>Y</v>
      </c>
      <c r="Q2201" s="4" t="str">
        <f>VLOOKUP($B2201,'D7 - NDB Impacted SPRF''s'!$E$16:$O$9929,10,FALSE)</f>
        <v>N</v>
      </c>
      <c r="R2201" s="4" t="str">
        <f>VLOOKUP($B2201,'D7 - NDB Impacted SPRF''s'!$E$16:$O$9929,11,FALSE)</f>
        <v>N</v>
      </c>
      <c r="S2201" s="8"/>
      <c r="T2201" s="310"/>
      <c r="U2201" s="310"/>
      <c r="V2201" s="4"/>
      <c r="W2201" s="4"/>
      <c r="X2201" s="4"/>
      <c r="Y2201" s="4"/>
      <c r="Z2201" s="4"/>
      <c r="AA2201" s="4"/>
      <c r="AB2201" s="380" t="str">
        <f>VLOOKUP($B2201,'D7 - NDB Impacted SPRF''s'!$E$16:$O$9929,4,FALSE)</f>
        <v>Completed</v>
      </c>
      <c r="AC2201" s="380" t="str">
        <f>VLOOKUP($B2201,'D7 - NDB Impacted SPRF''s'!$E$16:$O$9929,3,FALSE)</f>
        <v>UnitedHealthcare Employer &amp; Individual</v>
      </c>
      <c r="AD2201" s="380" t="str">
        <f>VLOOKUP($B2201,'D7 - NDB Impacted SPRF''s'!$E$16:$O$9929,5,FALSE)</f>
        <v>Integration Requirements</v>
      </c>
      <c r="AE2201" s="380" t="str">
        <f>VLOOKUP($B2201,'D7 - NDB Impacted SPRF''s'!$E$16:$O$9929,7,FALSE)</f>
        <v>Diane Schfield</v>
      </c>
      <c r="AF2201" s="380" t="str">
        <f>VLOOKUP($B2201,'D7 - NDB Impacted SPRF''s'!$E$16:$O$9929,6,FALSE)</f>
        <v>Rebecca Gent</v>
      </c>
      <c r="AG2201" s="282"/>
      <c r="AH2201" s="311" t="e">
        <f>INDEX('D5 - Gatekeeper - Projects'!$A$4:$AF$1010,$AM2201, 17)</f>
        <v>#N/A</v>
      </c>
      <c r="AI2201" s="8"/>
      <c r="AJ2201" s="57"/>
      <c r="AK2201" s="105"/>
      <c r="AM2201" s="6" t="e">
        <f>MATCH(D2201,'D5 - Gatekeeper - Projects'!$C$4:$C$1010,0)</f>
        <v>#N/A</v>
      </c>
      <c r="AN2201" s="6" t="b">
        <f t="shared" si="233"/>
        <v>1</v>
      </c>
      <c r="AO2201" s="6" t="str">
        <f t="shared" si="234"/>
        <v>OK</v>
      </c>
      <c r="AQ2201" s="6" t="e">
        <f>MATCH($D2201,'D4 - Provider Council Unsched'!$C$11:$C$234,0)</f>
        <v>#N/A</v>
      </c>
      <c r="AR2201" s="6" t="b">
        <f t="shared" si="235"/>
        <v>1</v>
      </c>
      <c r="AS2201" s="6" t="str">
        <f t="shared" si="236"/>
        <v>OK</v>
      </c>
      <c r="AU2201" s="202"/>
      <c r="AV2201" s="262"/>
      <c r="AW2201" s="274"/>
    </row>
    <row r="2202" spans="1:49" s="13" customFormat="1" x14ac:dyDescent="0.2">
      <c r="A2202" s="14">
        <v>2178</v>
      </c>
      <c r="B2202" s="14" t="s">
        <v>6388</v>
      </c>
      <c r="C2202" s="8" t="s">
        <v>5197</v>
      </c>
      <c r="D2202" s="4" t="str">
        <f t="shared" si="231"/>
        <v>TBDOB15R1</v>
      </c>
      <c r="E2202" s="309" t="s">
        <v>5203</v>
      </c>
      <c r="F2202" s="8" t="s">
        <v>4304</v>
      </c>
      <c r="G2202" s="8" t="s">
        <v>4758</v>
      </c>
      <c r="H2202" s="8" t="s">
        <v>2870</v>
      </c>
      <c r="I2202" s="20">
        <v>1</v>
      </c>
      <c r="J2202" s="8" t="s">
        <v>7113</v>
      </c>
      <c r="K2202" s="182">
        <v>39585</v>
      </c>
      <c r="L2202" s="8" t="s">
        <v>5743</v>
      </c>
      <c r="M2202" s="8" t="s">
        <v>5626</v>
      </c>
      <c r="N2202" s="38" t="s">
        <v>5354</v>
      </c>
      <c r="O2202" s="8"/>
      <c r="P2202" s="4" t="e">
        <f>VLOOKUP($B2202,'D7 - NDB Impacted SPRF''s'!$E$16:$O$9929,9,FALSE)</f>
        <v>#N/A</v>
      </c>
      <c r="Q2202" s="4" t="e">
        <f>VLOOKUP($B2202,'D7 - NDB Impacted SPRF''s'!$E$16:$O$9929,10,FALSE)</f>
        <v>#N/A</v>
      </c>
      <c r="R2202" s="4" t="e">
        <f>VLOOKUP($B2202,'D7 - NDB Impacted SPRF''s'!$E$16:$O$9929,11,FALSE)</f>
        <v>#N/A</v>
      </c>
      <c r="S2202" s="8"/>
      <c r="T2202" s="310"/>
      <c r="U2202" s="310"/>
      <c r="V2202" s="4"/>
      <c r="W2202" s="4"/>
      <c r="X2202" s="4"/>
      <c r="Y2202" s="4"/>
      <c r="Z2202" s="4"/>
      <c r="AA2202" s="4"/>
      <c r="AB2202" s="380" t="e">
        <f>VLOOKUP($B2202,'D7 - NDB Impacted SPRF''s'!$E$16:$O$9929,4,FALSE)</f>
        <v>#N/A</v>
      </c>
      <c r="AC2202" s="380" t="e">
        <f>VLOOKUP($B2202,'D7 - NDB Impacted SPRF''s'!$E$16:$O$9929,3,FALSE)</f>
        <v>#N/A</v>
      </c>
      <c r="AD2202" s="380" t="e">
        <f>VLOOKUP($B2202,'D7 - NDB Impacted SPRF''s'!$E$16:$O$9929,5,FALSE)</f>
        <v>#N/A</v>
      </c>
      <c r="AE2202" s="380" t="e">
        <f>VLOOKUP($B2202,'D7 - NDB Impacted SPRF''s'!$E$16:$O$9929,7,FALSE)</f>
        <v>#N/A</v>
      </c>
      <c r="AF2202" s="380" t="e">
        <f>VLOOKUP($B2202,'D7 - NDB Impacted SPRF''s'!$E$16:$O$9929,6,FALSE)</f>
        <v>#N/A</v>
      </c>
      <c r="AG2202" s="282"/>
      <c r="AH2202" s="311" t="e">
        <f>INDEX('D5 - Gatekeeper - Projects'!$A$4:$AF$1010,$AM2202, 17)</f>
        <v>#N/A</v>
      </c>
      <c r="AI2202" s="8"/>
      <c r="AJ2202" s="57"/>
      <c r="AK2202" s="105"/>
      <c r="AM2202" s="6" t="e">
        <f>MATCH(D2202,'D5 - Gatekeeper - Projects'!$C$4:$C$1010,0)</f>
        <v>#N/A</v>
      </c>
      <c r="AN2202" s="6" t="b">
        <f t="shared" si="233"/>
        <v>1</v>
      </c>
      <c r="AO2202" s="6" t="str">
        <f t="shared" si="234"/>
        <v>OK</v>
      </c>
      <c r="AQ2202" s="6" t="e">
        <f>MATCH($D2202,'D4 - Provider Council Unsched'!$C$11:$C$234,0)</f>
        <v>#N/A</v>
      </c>
      <c r="AR2202" s="6" t="b">
        <f t="shared" si="235"/>
        <v>1</v>
      </c>
      <c r="AS2202" s="6" t="str">
        <f t="shared" si="236"/>
        <v>OK</v>
      </c>
      <c r="AU2202" s="202"/>
      <c r="AV2202" s="262"/>
      <c r="AW2202" s="274"/>
    </row>
    <row r="2203" spans="1:49" s="13" customFormat="1" x14ac:dyDescent="0.2">
      <c r="A2203" s="14">
        <v>2179</v>
      </c>
      <c r="B2203" s="14" t="s">
        <v>6389</v>
      </c>
      <c r="C2203" s="8" t="s">
        <v>5197</v>
      </c>
      <c r="D2203" s="4" t="str">
        <f t="shared" si="231"/>
        <v>TBDOB16R1</v>
      </c>
      <c r="E2203" s="309" t="s">
        <v>5203</v>
      </c>
      <c r="F2203" s="8" t="s">
        <v>4304</v>
      </c>
      <c r="G2203" s="8" t="s">
        <v>4758</v>
      </c>
      <c r="H2203" s="8" t="s">
        <v>2870</v>
      </c>
      <c r="I2203" s="20">
        <v>1</v>
      </c>
      <c r="J2203" s="8" t="s">
        <v>7113</v>
      </c>
      <c r="K2203" s="182">
        <v>39585</v>
      </c>
      <c r="L2203" s="8" t="s">
        <v>5743</v>
      </c>
      <c r="M2203" s="8" t="s">
        <v>5626</v>
      </c>
      <c r="N2203" s="38" t="s">
        <v>5355</v>
      </c>
      <c r="O2203" s="8"/>
      <c r="P2203" s="4" t="e">
        <f>VLOOKUP($B2203,'D7 - NDB Impacted SPRF''s'!$E$16:$O$9929,9,FALSE)</f>
        <v>#N/A</v>
      </c>
      <c r="Q2203" s="4" t="e">
        <f>VLOOKUP($B2203,'D7 - NDB Impacted SPRF''s'!$E$16:$O$9929,10,FALSE)</f>
        <v>#N/A</v>
      </c>
      <c r="R2203" s="4" t="e">
        <f>VLOOKUP($B2203,'D7 - NDB Impacted SPRF''s'!$E$16:$O$9929,11,FALSE)</f>
        <v>#N/A</v>
      </c>
      <c r="S2203" s="8"/>
      <c r="T2203" s="310"/>
      <c r="U2203" s="310"/>
      <c r="V2203" s="4"/>
      <c r="W2203" s="4"/>
      <c r="X2203" s="4"/>
      <c r="Y2203" s="4"/>
      <c r="Z2203" s="4"/>
      <c r="AA2203" s="4"/>
      <c r="AB2203" s="380" t="e">
        <f>VLOOKUP($B2203,'D7 - NDB Impacted SPRF''s'!$E$16:$O$9929,4,FALSE)</f>
        <v>#N/A</v>
      </c>
      <c r="AC2203" s="380" t="e">
        <f>VLOOKUP($B2203,'D7 - NDB Impacted SPRF''s'!$E$16:$O$9929,3,FALSE)</f>
        <v>#N/A</v>
      </c>
      <c r="AD2203" s="380" t="e">
        <f>VLOOKUP($B2203,'D7 - NDB Impacted SPRF''s'!$E$16:$O$9929,5,FALSE)</f>
        <v>#N/A</v>
      </c>
      <c r="AE2203" s="380" t="e">
        <f>VLOOKUP($B2203,'D7 - NDB Impacted SPRF''s'!$E$16:$O$9929,7,FALSE)</f>
        <v>#N/A</v>
      </c>
      <c r="AF2203" s="380" t="e">
        <f>VLOOKUP($B2203,'D7 - NDB Impacted SPRF''s'!$E$16:$O$9929,6,FALSE)</f>
        <v>#N/A</v>
      </c>
      <c r="AG2203" s="282"/>
      <c r="AH2203" s="311" t="e">
        <f>INDEX('D5 - Gatekeeper - Projects'!$A$4:$AF$1010,$AM2203, 17)</f>
        <v>#N/A</v>
      </c>
      <c r="AI2203" s="8"/>
      <c r="AJ2203" s="57"/>
      <c r="AK2203" s="105"/>
      <c r="AM2203" s="6" t="e">
        <f>MATCH(D2203,'D5 - Gatekeeper - Projects'!$C$4:$C$1010,0)</f>
        <v>#N/A</v>
      </c>
      <c r="AN2203" s="6" t="b">
        <f t="shared" si="233"/>
        <v>1</v>
      </c>
      <c r="AO2203" s="6" t="str">
        <f t="shared" si="234"/>
        <v>OK</v>
      </c>
      <c r="AQ2203" s="6" t="e">
        <f>MATCH($D2203,'D4 - Provider Council Unsched'!$C$11:$C$234,0)</f>
        <v>#N/A</v>
      </c>
      <c r="AR2203" s="6" t="b">
        <f t="shared" si="235"/>
        <v>1</v>
      </c>
      <c r="AS2203" s="6" t="str">
        <f t="shared" si="236"/>
        <v>OK</v>
      </c>
      <c r="AU2203" s="202"/>
      <c r="AV2203" s="262"/>
      <c r="AW2203" s="274"/>
    </row>
    <row r="2204" spans="1:49" s="13" customFormat="1" ht="22.5" x14ac:dyDescent="0.2">
      <c r="A2204" s="14">
        <v>2180</v>
      </c>
      <c r="B2204" s="14" t="s">
        <v>6776</v>
      </c>
      <c r="C2204" s="8" t="s">
        <v>5197</v>
      </c>
      <c r="D2204" s="4" t="str">
        <f t="shared" si="231"/>
        <v>TBDUPCSAR1</v>
      </c>
      <c r="E2204" s="309" t="s">
        <v>6777</v>
      </c>
      <c r="F2204" s="8" t="s">
        <v>4762</v>
      </c>
      <c r="G2204" s="8" t="s">
        <v>4758</v>
      </c>
      <c r="H2204" s="8" t="s">
        <v>2870</v>
      </c>
      <c r="I2204" s="20">
        <v>30</v>
      </c>
      <c r="J2204" s="8" t="s">
        <v>7113</v>
      </c>
      <c r="K2204" s="182">
        <v>39585</v>
      </c>
      <c r="L2204" s="8" t="s">
        <v>5743</v>
      </c>
      <c r="M2204" s="8" t="s">
        <v>2814</v>
      </c>
      <c r="N2204" s="38" t="s">
        <v>2582</v>
      </c>
      <c r="O2204" s="8"/>
      <c r="P2204" s="4" t="e">
        <f>VLOOKUP($B2204,'D7 - NDB Impacted SPRF''s'!$E$16:$O$9929,9,FALSE)</f>
        <v>#N/A</v>
      </c>
      <c r="Q2204" s="4" t="e">
        <f>VLOOKUP($B2204,'D7 - NDB Impacted SPRF''s'!$E$16:$O$9929,10,FALSE)</f>
        <v>#N/A</v>
      </c>
      <c r="R2204" s="4" t="e">
        <f>VLOOKUP($B2204,'D7 - NDB Impacted SPRF''s'!$E$16:$O$9929,11,FALSE)</f>
        <v>#N/A</v>
      </c>
      <c r="S2204" s="8"/>
      <c r="T2204" s="310"/>
      <c r="U2204" s="310"/>
      <c r="V2204" s="4"/>
      <c r="W2204" s="4"/>
      <c r="X2204" s="4"/>
      <c r="Y2204" s="4"/>
      <c r="Z2204" s="4"/>
      <c r="AA2204" s="4"/>
      <c r="AB2204" s="380" t="e">
        <f>VLOOKUP($B2204,'D7 - NDB Impacted SPRF''s'!$E$16:$O$9929,4,FALSE)</f>
        <v>#N/A</v>
      </c>
      <c r="AC2204" s="380" t="e">
        <f>VLOOKUP($B2204,'D7 - NDB Impacted SPRF''s'!$E$16:$O$9929,3,FALSE)</f>
        <v>#N/A</v>
      </c>
      <c r="AD2204" s="380" t="e">
        <f>VLOOKUP($B2204,'D7 - NDB Impacted SPRF''s'!$E$16:$O$9929,5,FALSE)</f>
        <v>#N/A</v>
      </c>
      <c r="AE2204" s="380" t="e">
        <f>VLOOKUP($B2204,'D7 - NDB Impacted SPRF''s'!$E$16:$O$9929,7,FALSE)</f>
        <v>#N/A</v>
      </c>
      <c r="AF2204" s="380" t="e">
        <f>VLOOKUP($B2204,'D7 - NDB Impacted SPRF''s'!$E$16:$O$9929,6,FALSE)</f>
        <v>#N/A</v>
      </c>
      <c r="AG2204" s="282"/>
      <c r="AH2204" s="311" t="e">
        <f>INDEX('D5 - Gatekeeper - Projects'!$A$4:$AF$1010,$AM2204, 17)</f>
        <v>#N/A</v>
      </c>
      <c r="AI2204" s="8"/>
      <c r="AJ2204" s="57"/>
      <c r="AK2204" s="105"/>
      <c r="AM2204" s="6" t="e">
        <f>MATCH(D2204,'D5 - Gatekeeper - Projects'!$C$4:$C$1010,0)</f>
        <v>#N/A</v>
      </c>
      <c r="AN2204" s="6" t="b">
        <f t="shared" si="233"/>
        <v>1</v>
      </c>
      <c r="AO2204" s="6" t="str">
        <f t="shared" si="234"/>
        <v>OK</v>
      </c>
      <c r="AQ2204" s="6" t="e">
        <f>MATCH($D2204,'D4 - Provider Council Unsched'!$C$11:$C$234,0)</f>
        <v>#N/A</v>
      </c>
      <c r="AR2204" s="6" t="b">
        <f t="shared" si="235"/>
        <v>1</v>
      </c>
      <c r="AS2204" s="6" t="str">
        <f t="shared" si="236"/>
        <v>OK</v>
      </c>
      <c r="AU2204" s="202"/>
      <c r="AV2204" s="262"/>
      <c r="AW2204" s="274"/>
    </row>
    <row r="2205" spans="1:49" s="13" customFormat="1" ht="33.75" x14ac:dyDescent="0.2">
      <c r="A2205" s="14">
        <v>2181</v>
      </c>
      <c r="B2205" s="14">
        <v>400003044</v>
      </c>
      <c r="C2205" s="8" t="s">
        <v>5197</v>
      </c>
      <c r="D2205" s="4" t="str">
        <f t="shared" si="231"/>
        <v>400003044R1</v>
      </c>
      <c r="E2205" s="309" t="str">
        <f>VLOOKUP($B2205,'D7 - NDB Impacted SPRF''s'!$E$6:$O$9929,2,FALSE)</f>
        <v>EPDL Cigna Behavoir Health</v>
      </c>
      <c r="F2205" s="8" t="s">
        <v>4069</v>
      </c>
      <c r="G2205" s="8" t="s">
        <v>4758</v>
      </c>
      <c r="H2205" s="8" t="s">
        <v>2870</v>
      </c>
      <c r="I2205" s="20">
        <v>1.24</v>
      </c>
      <c r="J2205" s="8" t="s">
        <v>4862</v>
      </c>
      <c r="K2205" s="182">
        <v>39627</v>
      </c>
      <c r="L2205" s="8" t="s">
        <v>5743</v>
      </c>
      <c r="M2205" s="8" t="s">
        <v>2814</v>
      </c>
      <c r="N2205" s="367" t="s">
        <v>2896</v>
      </c>
      <c r="O2205" s="8"/>
      <c r="P2205" s="4" t="str">
        <f>VLOOKUP($B2205,'D7 - NDB Impacted SPRF''s'!$E$16:$O$9929,9,FALSE)</f>
        <v>N</v>
      </c>
      <c r="Q2205" s="4" t="str">
        <f>VLOOKUP($B2205,'D7 - NDB Impacted SPRF''s'!$E$16:$O$9929,10,FALSE)</f>
        <v>N</v>
      </c>
      <c r="R2205" s="4" t="str">
        <f>VLOOKUP($B2205,'D7 - NDB Impacted SPRF''s'!$E$16:$O$9929,11,FALSE)</f>
        <v>N</v>
      </c>
      <c r="S2205" s="8"/>
      <c r="T2205" s="310"/>
      <c r="U2205" s="310"/>
      <c r="V2205" s="4"/>
      <c r="W2205" s="4"/>
      <c r="X2205" s="4"/>
      <c r="Y2205" s="4"/>
      <c r="Z2205" s="4"/>
      <c r="AA2205" s="4"/>
      <c r="AB2205" s="380" t="str">
        <f>VLOOKUP($B2205,'D7 - NDB Impacted SPRF''s'!$E$16:$O$9929,4,FALSE)</f>
        <v>Cancelled</v>
      </c>
      <c r="AC2205" s="380" t="str">
        <f>VLOOKUP($B2205,'D7 - NDB Impacted SPRF''s'!$E$16:$O$9929,3,FALSE)</f>
        <v>UnitedHealthcare Employer &amp; Individual</v>
      </c>
      <c r="AD2205" s="380" t="str">
        <f>VLOOKUP($B2205,'D7 - NDB Impacted SPRF''s'!$E$16:$O$9929,5,FALSE)</f>
        <v>Network Growth / Enhancements</v>
      </c>
      <c r="AE2205" s="380" t="str">
        <f>VLOOKUP($B2205,'D7 - NDB Impacted SPRF''s'!$E$16:$O$9929,7,FALSE)</f>
        <v>Peter Bompane</v>
      </c>
      <c r="AF2205" s="380" t="str">
        <f>VLOOKUP($B2205,'D7 - NDB Impacted SPRF''s'!$E$16:$O$9929,6,FALSE)</f>
        <v>LUIS ANGUIANO</v>
      </c>
      <c r="AG2205" s="282" t="s">
        <v>6682</v>
      </c>
      <c r="AH2205" s="311" t="e">
        <f>INDEX('D5 - Gatekeeper - Projects'!$A$4:$AF$1010,$AM2205, 17)</f>
        <v>#N/A</v>
      </c>
      <c r="AI2205" s="8"/>
      <c r="AJ2205" s="57"/>
      <c r="AK2205" s="105"/>
      <c r="AM2205" s="6" t="e">
        <f>MATCH(D2205,'D5 - Gatekeeper - Projects'!$C$4:$C$1010,0)</f>
        <v>#N/A</v>
      </c>
      <c r="AN2205" s="6" t="b">
        <f t="shared" si="233"/>
        <v>1</v>
      </c>
      <c r="AO2205" s="6" t="str">
        <f t="shared" si="234"/>
        <v>OK</v>
      </c>
      <c r="AQ2205" s="6" t="e">
        <f>MATCH($D2205,'D4 - Provider Council Unsched'!$C$11:$C$234,0)</f>
        <v>#N/A</v>
      </c>
      <c r="AR2205" s="6" t="b">
        <f t="shared" si="235"/>
        <v>1</v>
      </c>
      <c r="AS2205" s="6" t="str">
        <f t="shared" si="236"/>
        <v>OK</v>
      </c>
      <c r="AU2205" s="202"/>
      <c r="AV2205" s="262"/>
      <c r="AW2205" s="274"/>
    </row>
    <row r="2206" spans="1:49" s="13" customFormat="1" ht="33.75" x14ac:dyDescent="0.2">
      <c r="A2206" s="14">
        <v>2182</v>
      </c>
      <c r="B2206" s="14">
        <v>400009763</v>
      </c>
      <c r="C2206" s="8" t="s">
        <v>5197</v>
      </c>
      <c r="D2206" s="4" t="str">
        <f t="shared" si="231"/>
        <v>400009763R1</v>
      </c>
      <c r="E2206" s="309" t="str">
        <f>VLOOKUP($B2206,'D7 - NDB Impacted SPRF''s'!$E$6:$O$9929,2,FALSE)</f>
        <v>Architecture-ETL Tool Installation for EPDL</v>
      </c>
      <c r="F2206" s="8" t="s">
        <v>4069</v>
      </c>
      <c r="G2206" s="8" t="s">
        <v>4758</v>
      </c>
      <c r="H2206" s="8" t="s">
        <v>2870</v>
      </c>
      <c r="I2206" s="20">
        <v>0.93</v>
      </c>
      <c r="J2206" s="8" t="s">
        <v>4862</v>
      </c>
      <c r="K2206" s="182">
        <v>39627</v>
      </c>
      <c r="L2206" s="8" t="s">
        <v>5743</v>
      </c>
      <c r="M2206" s="8" t="s">
        <v>2814</v>
      </c>
      <c r="N2206" s="367" t="s">
        <v>6104</v>
      </c>
      <c r="O2206" s="8"/>
      <c r="P2206" s="4" t="str">
        <f>VLOOKUP($B2206,'D7 - NDB Impacted SPRF''s'!$E$16:$O$9929,9,FALSE)</f>
        <v>N</v>
      </c>
      <c r="Q2206" s="4" t="str">
        <f>VLOOKUP($B2206,'D7 - NDB Impacted SPRF''s'!$E$16:$O$9929,10,FALSE)</f>
        <v>N</v>
      </c>
      <c r="R2206" s="4" t="str">
        <f>VLOOKUP($B2206,'D7 - NDB Impacted SPRF''s'!$E$16:$O$9929,11,FALSE)</f>
        <v>N</v>
      </c>
      <c r="S2206" s="8"/>
      <c r="T2206" s="310"/>
      <c r="U2206" s="310"/>
      <c r="V2206" s="4"/>
      <c r="W2206" s="4"/>
      <c r="X2206" s="4"/>
      <c r="Y2206" s="4"/>
      <c r="Z2206" s="4"/>
      <c r="AA2206" s="4"/>
      <c r="AB2206" s="380" t="str">
        <f>VLOOKUP($B2206,'D7 - NDB Impacted SPRF''s'!$E$16:$O$9929,4,FALSE)</f>
        <v>Cancelled</v>
      </c>
      <c r="AC2206" s="380" t="str">
        <f>VLOOKUP($B2206,'D7 - NDB Impacted SPRF''s'!$E$16:$O$9929,3,FALSE)</f>
        <v>UnitedHealthcare Employer &amp; Individual</v>
      </c>
      <c r="AD2206" s="380" t="str">
        <f>VLOOKUP($B2206,'D7 - NDB Impacted SPRF''s'!$E$16:$O$9929,5,FALSE)</f>
        <v>Network Growth / Enhancements</v>
      </c>
      <c r="AE2206" s="380" t="str">
        <f>VLOOKUP($B2206,'D7 - NDB Impacted SPRF''s'!$E$16:$O$9929,7,FALSE)</f>
        <v>Gerry Brockman</v>
      </c>
      <c r="AF2206" s="380" t="str">
        <f>VLOOKUP($B2206,'D7 - NDB Impacted SPRF''s'!$E$16:$O$9929,6,FALSE)</f>
        <v>Susan Neal</v>
      </c>
      <c r="AG2206" s="282" t="s">
        <v>6682</v>
      </c>
      <c r="AH2206" s="311" t="e">
        <f>INDEX('D5 - Gatekeeper - Projects'!$A$4:$AF$1010,$AM2206, 17)</f>
        <v>#N/A</v>
      </c>
      <c r="AI2206" s="8"/>
      <c r="AJ2206" s="57"/>
      <c r="AK2206" s="105"/>
      <c r="AM2206" s="6" t="e">
        <f>MATCH(D2206,'D5 - Gatekeeper - Projects'!$C$4:$C$1010,0)</f>
        <v>#N/A</v>
      </c>
      <c r="AN2206" s="6" t="b">
        <f t="shared" si="233"/>
        <v>1</v>
      </c>
      <c r="AO2206" s="6" t="str">
        <f t="shared" si="234"/>
        <v>OK</v>
      </c>
      <c r="AQ2206" s="6" t="e">
        <f>MATCH($D2206,'D4 - Provider Council Unsched'!$C$11:$C$234,0)</f>
        <v>#N/A</v>
      </c>
      <c r="AR2206" s="6" t="b">
        <f t="shared" si="235"/>
        <v>1</v>
      </c>
      <c r="AS2206" s="6" t="str">
        <f t="shared" si="236"/>
        <v>OK</v>
      </c>
      <c r="AU2206" s="202"/>
      <c r="AV2206" s="262"/>
      <c r="AW2206" s="274"/>
    </row>
    <row r="2207" spans="1:49" s="13" customFormat="1" ht="33.75" x14ac:dyDescent="0.2">
      <c r="A2207" s="14">
        <v>2183</v>
      </c>
      <c r="B2207" s="14">
        <v>400014532</v>
      </c>
      <c r="C2207" s="8" t="s">
        <v>5197</v>
      </c>
      <c r="D2207" s="4" t="str">
        <f t="shared" si="231"/>
        <v>400014532R1</v>
      </c>
      <c r="E2207" s="309" t="str">
        <f>VLOOKUP($B2207,'D7 - NDB Impacted SPRF''s'!$E$6:$O$9929,2,FALSE)</f>
        <v>EPDL - ACN Credentialing Data Load</v>
      </c>
      <c r="F2207" s="8" t="s">
        <v>4069</v>
      </c>
      <c r="G2207" s="8" t="s">
        <v>4758</v>
      </c>
      <c r="H2207" s="8" t="s">
        <v>2870</v>
      </c>
      <c r="I2207" s="20">
        <v>0.53</v>
      </c>
      <c r="J2207" s="8" t="s">
        <v>4862</v>
      </c>
      <c r="K2207" s="182">
        <v>39627</v>
      </c>
      <c r="L2207" s="8" t="s">
        <v>5743</v>
      </c>
      <c r="M2207" s="8" t="s">
        <v>5626</v>
      </c>
      <c r="N2207" s="367" t="s">
        <v>4895</v>
      </c>
      <c r="O2207" s="8" t="s">
        <v>5898</v>
      </c>
      <c r="P2207" s="4" t="str">
        <f>VLOOKUP($B2207,'D7 - NDB Impacted SPRF''s'!$E$16:$O$9929,9,FALSE)</f>
        <v>N</v>
      </c>
      <c r="Q2207" s="4" t="str">
        <f>VLOOKUP($B2207,'D7 - NDB Impacted SPRF''s'!$E$16:$O$9929,10,FALSE)</f>
        <v>N</v>
      </c>
      <c r="R2207" s="4" t="str">
        <f>VLOOKUP($B2207,'D7 - NDB Impacted SPRF''s'!$E$16:$O$9929,11,FALSE)</f>
        <v>N</v>
      </c>
      <c r="S2207" s="8"/>
      <c r="T2207" s="310"/>
      <c r="U2207" s="310"/>
      <c r="V2207" s="4"/>
      <c r="W2207" s="4"/>
      <c r="X2207" s="4"/>
      <c r="Y2207" s="4"/>
      <c r="Z2207" s="4"/>
      <c r="AA2207" s="4"/>
      <c r="AB2207" s="380" t="str">
        <f>VLOOKUP($B2207,'D7 - NDB Impacted SPRF''s'!$E$16:$O$9929,4,FALSE)</f>
        <v>Cancelled</v>
      </c>
      <c r="AC2207" s="380" t="str">
        <f>VLOOKUP($B2207,'D7 - NDB Impacted SPRF''s'!$E$16:$O$9929,3,FALSE)</f>
        <v>UnitedHealthcare Employer &amp; Individual</v>
      </c>
      <c r="AD2207" s="380" t="str">
        <f>VLOOKUP($B2207,'D7 - NDB Impacted SPRF''s'!$E$16:$O$9929,5,FALSE)</f>
        <v>Medical Cost Savings Programs</v>
      </c>
      <c r="AE2207" s="380" t="str">
        <f>VLOOKUP($B2207,'D7 - NDB Impacted SPRF''s'!$E$16:$O$9929,7,FALSE)</f>
        <v>Tim Kaja</v>
      </c>
      <c r="AF2207" s="380" t="str">
        <f>VLOOKUP($B2207,'D7 - NDB Impacted SPRF''s'!$E$16:$O$9929,6,FALSE)</f>
        <v>MARCIA MONACO</v>
      </c>
      <c r="AG2207" s="282"/>
      <c r="AH2207" s="311" t="e">
        <f>INDEX('D5 - Gatekeeper - Projects'!$A$4:$AF$1010,$AM2207, 17)</f>
        <v>#N/A</v>
      </c>
      <c r="AI2207" s="8"/>
      <c r="AJ2207" s="57"/>
      <c r="AK2207" s="105"/>
      <c r="AM2207" s="6" t="e">
        <f>MATCH(D2207,'D5 - Gatekeeper - Projects'!$C$4:$C$1010,0)</f>
        <v>#N/A</v>
      </c>
      <c r="AN2207" s="6" t="b">
        <f t="shared" si="233"/>
        <v>1</v>
      </c>
      <c r="AO2207" s="6" t="str">
        <f t="shared" si="234"/>
        <v>OK</v>
      </c>
      <c r="AQ2207" s="6" t="e">
        <f>MATCH($D2207,'D4 - Provider Council Unsched'!$C$11:$C$234,0)</f>
        <v>#N/A</v>
      </c>
      <c r="AR2207" s="6" t="b">
        <f t="shared" si="235"/>
        <v>1</v>
      </c>
      <c r="AS2207" s="6" t="str">
        <f t="shared" si="236"/>
        <v>OK</v>
      </c>
      <c r="AU2207" s="202"/>
      <c r="AV2207" s="262"/>
      <c r="AW2207" s="274"/>
    </row>
    <row r="2208" spans="1:49" s="13" customFormat="1" ht="33.75" x14ac:dyDescent="0.2">
      <c r="A2208" s="14">
        <v>2184</v>
      </c>
      <c r="B2208" s="14">
        <v>400024662</v>
      </c>
      <c r="C2208" s="8" t="s">
        <v>5197</v>
      </c>
      <c r="D2208" s="4" t="str">
        <f t="shared" si="231"/>
        <v>400024662R1</v>
      </c>
      <c r="E2208" s="309" t="str">
        <f>VLOOKUP($B2208,'D7 - NDB Impacted SPRF''s'!$E$6:$O$9929,2,FALSE)</f>
        <v>State of MN GIS/Market Type/New NDB Product Combo</v>
      </c>
      <c r="F2208" s="8" t="s">
        <v>2114</v>
      </c>
      <c r="G2208" s="8" t="s">
        <v>4758</v>
      </c>
      <c r="H2208" s="8" t="s">
        <v>2870</v>
      </c>
      <c r="I2208" s="20">
        <v>0.53333333333333333</v>
      </c>
      <c r="J2208" s="8" t="s">
        <v>4862</v>
      </c>
      <c r="K2208" s="182">
        <v>39627</v>
      </c>
      <c r="L2208" s="8" t="s">
        <v>5743</v>
      </c>
      <c r="M2208" s="8" t="s">
        <v>6688</v>
      </c>
      <c r="N2208" s="38" t="s">
        <v>6298</v>
      </c>
      <c r="O2208" s="8" t="s">
        <v>2875</v>
      </c>
      <c r="P2208" s="4" t="str">
        <f>VLOOKUP($B2208,'D7 - NDB Impacted SPRF''s'!$E$16:$O$9929,9,FALSE)</f>
        <v>Y</v>
      </c>
      <c r="Q2208" s="4" t="str">
        <f>VLOOKUP($B2208,'D7 - NDB Impacted SPRF''s'!$E$16:$O$9929,10,FALSE)</f>
        <v>N</v>
      </c>
      <c r="R2208" s="4" t="str">
        <f>VLOOKUP($B2208,'D7 - NDB Impacted SPRF''s'!$E$16:$O$9929,11,FALSE)</f>
        <v>N</v>
      </c>
      <c r="S2208" s="8"/>
      <c r="T2208" s="310"/>
      <c r="U2208" s="310"/>
      <c r="V2208" s="4"/>
      <c r="W2208" s="4"/>
      <c r="X2208" s="4"/>
      <c r="Y2208" s="4"/>
      <c r="Z2208" s="4"/>
      <c r="AA2208" s="4"/>
      <c r="AB2208" s="380" t="str">
        <f>VLOOKUP($B2208,'D7 - NDB Impacted SPRF''s'!$E$16:$O$9929,4,FALSE)</f>
        <v>Cancelled</v>
      </c>
      <c r="AC2208" s="380" t="str">
        <f>VLOOKUP($B2208,'D7 - NDB Impacted SPRF''s'!$E$16:$O$9929,3,FALSE)</f>
        <v>UnitedHealthcare Employer &amp; Individual</v>
      </c>
      <c r="AD2208" s="380" t="str">
        <f>VLOOKUP($B2208,'D7 - NDB Impacted SPRF''s'!$E$16:$O$9929,5,FALSE)</f>
        <v>HCA - Medica UNET Conversion</v>
      </c>
      <c r="AE2208" s="380" t="str">
        <f>VLOOKUP($B2208,'D7 - NDB Impacted SPRF''s'!$E$16:$O$9929,7,FALSE)</f>
        <v>Diane Schofield</v>
      </c>
      <c r="AF2208" s="380" t="str">
        <f>VLOOKUP($B2208,'D7 - NDB Impacted SPRF''s'!$E$16:$O$9929,6,FALSE)</f>
        <v>Robert Oxford</v>
      </c>
      <c r="AG2208" s="282"/>
      <c r="AH2208" s="311" t="e">
        <f>INDEX('D5 - Gatekeeper - Projects'!$A$4:$AF$1010,$AM2208, 17)</f>
        <v>#N/A</v>
      </c>
      <c r="AI2208" s="8"/>
      <c r="AJ2208" s="57"/>
      <c r="AK2208" s="105"/>
      <c r="AM2208" s="6" t="e">
        <f>MATCH(D2208,'D5 - Gatekeeper - Projects'!$C$4:$C$1010,0)</f>
        <v>#N/A</v>
      </c>
      <c r="AN2208" s="6" t="b">
        <f t="shared" si="233"/>
        <v>1</v>
      </c>
      <c r="AO2208" s="6" t="str">
        <f t="shared" si="234"/>
        <v>OK</v>
      </c>
      <c r="AQ2208" s="6" t="e">
        <f>MATCH($D2208,'D4 - Provider Council Unsched'!$C$11:$C$234,0)</f>
        <v>#N/A</v>
      </c>
      <c r="AR2208" s="6" t="b">
        <f t="shared" si="235"/>
        <v>1</v>
      </c>
      <c r="AS2208" s="6" t="str">
        <f t="shared" si="236"/>
        <v>OK</v>
      </c>
      <c r="AU2208" s="202"/>
      <c r="AV2208" s="262"/>
      <c r="AW2208" s="274"/>
    </row>
    <row r="2209" spans="1:49" s="13" customFormat="1" x14ac:dyDescent="0.2">
      <c r="A2209" s="14">
        <v>2185</v>
      </c>
      <c r="B2209" s="14" t="s">
        <v>4418</v>
      </c>
      <c r="C2209" s="8" t="s">
        <v>5197</v>
      </c>
      <c r="D2209" s="4" t="str">
        <f t="shared" si="231"/>
        <v>TBDEPDL1R1</v>
      </c>
      <c r="E2209" s="309" t="s">
        <v>7499</v>
      </c>
      <c r="F2209" s="8" t="s">
        <v>2114</v>
      </c>
      <c r="G2209" s="8" t="s">
        <v>4758</v>
      </c>
      <c r="H2209" s="8" t="s">
        <v>2870</v>
      </c>
      <c r="I2209" s="20">
        <v>1.07</v>
      </c>
      <c r="J2209" s="8" t="s">
        <v>7113</v>
      </c>
      <c r="K2209" s="182">
        <v>39627</v>
      </c>
      <c r="L2209" s="8" t="s">
        <v>5743</v>
      </c>
      <c r="M2209" s="8" t="s">
        <v>6007</v>
      </c>
      <c r="N2209" s="38" t="s">
        <v>4374</v>
      </c>
      <c r="O2209" s="8"/>
      <c r="P2209" s="4" t="e">
        <f>VLOOKUP($B2209,'D7 - NDB Impacted SPRF''s'!$E$16:$O$9929,9,FALSE)</f>
        <v>#N/A</v>
      </c>
      <c r="Q2209" s="4" t="e">
        <f>VLOOKUP($B2209,'D7 - NDB Impacted SPRF''s'!$E$16:$O$9929,10,FALSE)</f>
        <v>#N/A</v>
      </c>
      <c r="R2209" s="4" t="e">
        <f>VLOOKUP($B2209,'D7 - NDB Impacted SPRF''s'!$E$16:$O$9929,11,FALSE)</f>
        <v>#N/A</v>
      </c>
      <c r="S2209" s="8"/>
      <c r="T2209" s="310"/>
      <c r="U2209" s="310"/>
      <c r="V2209" s="4"/>
      <c r="W2209" s="4"/>
      <c r="X2209" s="4"/>
      <c r="Y2209" s="4"/>
      <c r="Z2209" s="4"/>
      <c r="AA2209" s="4"/>
      <c r="AB2209" s="380" t="e">
        <f>VLOOKUP($B2209,'D7 - NDB Impacted SPRF''s'!$E$16:$O$9929,4,FALSE)</f>
        <v>#N/A</v>
      </c>
      <c r="AC2209" s="380" t="e">
        <f>VLOOKUP($B2209,'D7 - NDB Impacted SPRF''s'!$E$16:$O$9929,3,FALSE)</f>
        <v>#N/A</v>
      </c>
      <c r="AD2209" s="380" t="e">
        <f>VLOOKUP($B2209,'D7 - NDB Impacted SPRF''s'!$E$16:$O$9929,5,FALSE)</f>
        <v>#N/A</v>
      </c>
      <c r="AE2209" s="380" t="e">
        <f>VLOOKUP($B2209,'D7 - NDB Impacted SPRF''s'!$E$16:$O$9929,7,FALSE)</f>
        <v>#N/A</v>
      </c>
      <c r="AF2209" s="380" t="e">
        <f>VLOOKUP($B2209,'D7 - NDB Impacted SPRF''s'!$E$16:$O$9929,6,FALSE)</f>
        <v>#N/A</v>
      </c>
      <c r="AG2209" s="282"/>
      <c r="AH2209" s="311" t="e">
        <f>INDEX('D5 - Gatekeeper - Projects'!$A$4:$AF$1010,$AM2209, 17)</f>
        <v>#N/A</v>
      </c>
      <c r="AI2209" s="8"/>
      <c r="AJ2209" s="57"/>
      <c r="AK2209" s="105"/>
      <c r="AM2209" s="6" t="e">
        <f>MATCH(D2209,'D5 - Gatekeeper - Projects'!$C$4:$C$1010,0)</f>
        <v>#N/A</v>
      </c>
      <c r="AN2209" s="6" t="b">
        <f t="shared" si="233"/>
        <v>1</v>
      </c>
      <c r="AO2209" s="6" t="str">
        <f t="shared" si="234"/>
        <v>OK</v>
      </c>
      <c r="AQ2209" s="6" t="e">
        <f>MATCH($D2209,'D4 - Provider Council Unsched'!$C$11:$C$234,0)</f>
        <v>#N/A</v>
      </c>
      <c r="AR2209" s="6" t="b">
        <f t="shared" si="235"/>
        <v>1</v>
      </c>
      <c r="AS2209" s="6" t="str">
        <f t="shared" si="236"/>
        <v>OK</v>
      </c>
      <c r="AU2209" s="202"/>
      <c r="AV2209" s="262"/>
      <c r="AW2209" s="274"/>
    </row>
    <row r="2210" spans="1:49" s="13" customFormat="1" x14ac:dyDescent="0.2">
      <c r="A2210" s="14">
        <v>2186</v>
      </c>
      <c r="B2210" s="14" t="s">
        <v>6390</v>
      </c>
      <c r="C2210" s="8" t="s">
        <v>5197</v>
      </c>
      <c r="D2210" s="4" t="str">
        <f t="shared" si="231"/>
        <v>TBDOB17R1</v>
      </c>
      <c r="E2210" s="309" t="s">
        <v>5203</v>
      </c>
      <c r="F2210" s="8" t="s">
        <v>4304</v>
      </c>
      <c r="G2210" s="8" t="s">
        <v>4758</v>
      </c>
      <c r="H2210" s="8" t="s">
        <v>2870</v>
      </c>
      <c r="I2210" s="20">
        <v>1</v>
      </c>
      <c r="J2210" s="8" t="s">
        <v>7113</v>
      </c>
      <c r="K2210" s="182">
        <v>39627</v>
      </c>
      <c r="L2210" s="8" t="s">
        <v>5743</v>
      </c>
      <c r="M2210" s="8" t="s">
        <v>5626</v>
      </c>
      <c r="N2210" s="38" t="s">
        <v>6137</v>
      </c>
      <c r="O2210" s="8"/>
      <c r="P2210" s="4" t="e">
        <f>VLOOKUP($B2210,'D7 - NDB Impacted SPRF''s'!$E$16:$O$9929,9,FALSE)</f>
        <v>#N/A</v>
      </c>
      <c r="Q2210" s="4" t="e">
        <f>VLOOKUP($B2210,'D7 - NDB Impacted SPRF''s'!$E$16:$O$9929,10,FALSE)</f>
        <v>#N/A</v>
      </c>
      <c r="R2210" s="4" t="e">
        <f>VLOOKUP($B2210,'D7 - NDB Impacted SPRF''s'!$E$16:$O$9929,11,FALSE)</f>
        <v>#N/A</v>
      </c>
      <c r="S2210" s="8"/>
      <c r="T2210" s="310"/>
      <c r="U2210" s="310"/>
      <c r="V2210" s="4"/>
      <c r="W2210" s="4"/>
      <c r="X2210" s="4"/>
      <c r="Y2210" s="4"/>
      <c r="Z2210" s="4"/>
      <c r="AA2210" s="4"/>
      <c r="AB2210" s="380" t="e">
        <f>VLOOKUP($B2210,'D7 - NDB Impacted SPRF''s'!$E$16:$O$9929,4,FALSE)</f>
        <v>#N/A</v>
      </c>
      <c r="AC2210" s="380" t="e">
        <f>VLOOKUP($B2210,'D7 - NDB Impacted SPRF''s'!$E$16:$O$9929,3,FALSE)</f>
        <v>#N/A</v>
      </c>
      <c r="AD2210" s="380" t="e">
        <f>VLOOKUP($B2210,'D7 - NDB Impacted SPRF''s'!$E$16:$O$9929,5,FALSE)</f>
        <v>#N/A</v>
      </c>
      <c r="AE2210" s="380" t="e">
        <f>VLOOKUP($B2210,'D7 - NDB Impacted SPRF''s'!$E$16:$O$9929,7,FALSE)</f>
        <v>#N/A</v>
      </c>
      <c r="AF2210" s="380" t="e">
        <f>VLOOKUP($B2210,'D7 - NDB Impacted SPRF''s'!$E$16:$O$9929,6,FALSE)</f>
        <v>#N/A</v>
      </c>
      <c r="AG2210" s="282"/>
      <c r="AH2210" s="311" t="e">
        <f>INDEX('D5 - Gatekeeper - Projects'!$A$4:$AF$1010,$AM2210, 17)</f>
        <v>#N/A</v>
      </c>
      <c r="AI2210" s="8"/>
      <c r="AJ2210" s="57"/>
      <c r="AK2210" s="105"/>
      <c r="AM2210" s="6" t="e">
        <f>MATCH(D2210,'D5 - Gatekeeper - Projects'!$C$4:$C$1010,0)</f>
        <v>#N/A</v>
      </c>
      <c r="AN2210" s="6" t="b">
        <f t="shared" si="233"/>
        <v>1</v>
      </c>
      <c r="AO2210" s="6" t="str">
        <f t="shared" si="234"/>
        <v>OK</v>
      </c>
      <c r="AQ2210" s="6" t="e">
        <f>MATCH($D2210,'D4 - Provider Council Unsched'!$C$11:$C$234,0)</f>
        <v>#N/A</v>
      </c>
      <c r="AR2210" s="6" t="b">
        <f t="shared" si="235"/>
        <v>1</v>
      </c>
      <c r="AS2210" s="6" t="str">
        <f t="shared" si="236"/>
        <v>OK</v>
      </c>
      <c r="AU2210" s="202"/>
      <c r="AV2210" s="262"/>
      <c r="AW2210" s="274"/>
    </row>
    <row r="2211" spans="1:49" s="13" customFormat="1" x14ac:dyDescent="0.2">
      <c r="A2211" s="14">
        <v>2187</v>
      </c>
      <c r="B2211" s="14" t="s">
        <v>6391</v>
      </c>
      <c r="C2211" s="8" t="s">
        <v>5197</v>
      </c>
      <c r="D2211" s="4" t="str">
        <f t="shared" si="231"/>
        <v>TBDOB18R1</v>
      </c>
      <c r="E2211" s="309" t="s">
        <v>5203</v>
      </c>
      <c r="F2211" s="8" t="s">
        <v>4304</v>
      </c>
      <c r="G2211" s="8" t="s">
        <v>4758</v>
      </c>
      <c r="H2211" s="8" t="s">
        <v>2870</v>
      </c>
      <c r="I2211" s="20">
        <v>1</v>
      </c>
      <c r="J2211" s="8" t="s">
        <v>7113</v>
      </c>
      <c r="K2211" s="182">
        <v>39627</v>
      </c>
      <c r="L2211" s="8" t="s">
        <v>5743</v>
      </c>
      <c r="M2211" s="8" t="s">
        <v>5626</v>
      </c>
      <c r="N2211" s="38" t="s">
        <v>5989</v>
      </c>
      <c r="O2211" s="8"/>
      <c r="P2211" s="4" t="e">
        <f>VLOOKUP($B2211,'D7 - NDB Impacted SPRF''s'!$E$16:$O$9929,9,FALSE)</f>
        <v>#N/A</v>
      </c>
      <c r="Q2211" s="4" t="e">
        <f>VLOOKUP($B2211,'D7 - NDB Impacted SPRF''s'!$E$16:$O$9929,10,FALSE)</f>
        <v>#N/A</v>
      </c>
      <c r="R2211" s="4" t="e">
        <f>VLOOKUP($B2211,'D7 - NDB Impacted SPRF''s'!$E$16:$O$9929,11,FALSE)</f>
        <v>#N/A</v>
      </c>
      <c r="S2211" s="8"/>
      <c r="T2211" s="310"/>
      <c r="U2211" s="310"/>
      <c r="V2211" s="4"/>
      <c r="W2211" s="4"/>
      <c r="X2211" s="4"/>
      <c r="Y2211" s="4"/>
      <c r="Z2211" s="4"/>
      <c r="AA2211" s="4"/>
      <c r="AB2211" s="380" t="e">
        <f>VLOOKUP($B2211,'D7 - NDB Impacted SPRF''s'!$E$16:$O$9929,4,FALSE)</f>
        <v>#N/A</v>
      </c>
      <c r="AC2211" s="380" t="e">
        <f>VLOOKUP($B2211,'D7 - NDB Impacted SPRF''s'!$E$16:$O$9929,3,FALSE)</f>
        <v>#N/A</v>
      </c>
      <c r="AD2211" s="380" t="e">
        <f>VLOOKUP($B2211,'D7 - NDB Impacted SPRF''s'!$E$16:$O$9929,5,FALSE)</f>
        <v>#N/A</v>
      </c>
      <c r="AE2211" s="380" t="e">
        <f>VLOOKUP($B2211,'D7 - NDB Impacted SPRF''s'!$E$16:$O$9929,7,FALSE)</f>
        <v>#N/A</v>
      </c>
      <c r="AF2211" s="380" t="e">
        <f>VLOOKUP($B2211,'D7 - NDB Impacted SPRF''s'!$E$16:$O$9929,6,FALSE)</f>
        <v>#N/A</v>
      </c>
      <c r="AG2211" s="282"/>
      <c r="AH2211" s="311" t="e">
        <f>INDEX('D5 - Gatekeeper - Projects'!$A$4:$AF$1010,$AM2211, 17)</f>
        <v>#N/A</v>
      </c>
      <c r="AI2211" s="8"/>
      <c r="AJ2211" s="57"/>
      <c r="AK2211" s="105"/>
      <c r="AM2211" s="6" t="e">
        <f>MATCH(D2211,'D5 - Gatekeeper - Projects'!$C$4:$C$1010,0)</f>
        <v>#N/A</v>
      </c>
      <c r="AN2211" s="6" t="b">
        <f t="shared" si="233"/>
        <v>1</v>
      </c>
      <c r="AO2211" s="6" t="str">
        <f t="shared" si="234"/>
        <v>OK</v>
      </c>
      <c r="AQ2211" s="6" t="e">
        <f>MATCH($D2211,'D4 - Provider Council Unsched'!$C$11:$C$234,0)</f>
        <v>#N/A</v>
      </c>
      <c r="AR2211" s="6" t="b">
        <f t="shared" si="235"/>
        <v>1</v>
      </c>
      <c r="AS2211" s="6" t="str">
        <f t="shared" si="236"/>
        <v>OK</v>
      </c>
      <c r="AU2211" s="202"/>
      <c r="AV2211" s="262"/>
      <c r="AW2211" s="274"/>
    </row>
    <row r="2212" spans="1:49" s="13" customFormat="1" x14ac:dyDescent="0.2">
      <c r="A2212" s="14">
        <v>2188</v>
      </c>
      <c r="B2212" s="14" t="s">
        <v>7984</v>
      </c>
      <c r="C2212" s="8" t="s">
        <v>5197</v>
      </c>
      <c r="D2212" s="4" t="str">
        <f t="shared" si="231"/>
        <v>TBDOB25R1</v>
      </c>
      <c r="E2212" s="309" t="s">
        <v>5203</v>
      </c>
      <c r="F2212" s="8" t="s">
        <v>4304</v>
      </c>
      <c r="G2212" s="8" t="s">
        <v>4758</v>
      </c>
      <c r="H2212" s="8" t="s">
        <v>2870</v>
      </c>
      <c r="I2212" s="20">
        <v>1</v>
      </c>
      <c r="J2212" s="8" t="s">
        <v>7113</v>
      </c>
      <c r="K2212" s="182">
        <v>39627</v>
      </c>
      <c r="L2212" s="8" t="s">
        <v>5743</v>
      </c>
      <c r="M2212" s="8" t="s">
        <v>5626</v>
      </c>
      <c r="N2212" s="38" t="s">
        <v>4141</v>
      </c>
      <c r="O2212" s="8"/>
      <c r="P2212" s="4" t="e">
        <f>VLOOKUP($B2212,'D7 - NDB Impacted SPRF''s'!$E$16:$O$9929,9,FALSE)</f>
        <v>#N/A</v>
      </c>
      <c r="Q2212" s="4" t="e">
        <f>VLOOKUP($B2212,'D7 - NDB Impacted SPRF''s'!$E$16:$O$9929,10,FALSE)</f>
        <v>#N/A</v>
      </c>
      <c r="R2212" s="4" t="e">
        <f>VLOOKUP($B2212,'D7 - NDB Impacted SPRF''s'!$E$16:$O$9929,11,FALSE)</f>
        <v>#N/A</v>
      </c>
      <c r="S2212" s="8"/>
      <c r="T2212" s="310"/>
      <c r="U2212" s="310"/>
      <c r="V2212" s="4"/>
      <c r="W2212" s="4"/>
      <c r="X2212" s="4"/>
      <c r="Y2212" s="4"/>
      <c r="Z2212" s="4"/>
      <c r="AA2212" s="4"/>
      <c r="AB2212" s="380" t="e">
        <f>VLOOKUP($B2212,'D7 - NDB Impacted SPRF''s'!$E$16:$O$9929,4,FALSE)</f>
        <v>#N/A</v>
      </c>
      <c r="AC2212" s="380" t="e">
        <f>VLOOKUP($B2212,'D7 - NDB Impacted SPRF''s'!$E$16:$O$9929,3,FALSE)</f>
        <v>#N/A</v>
      </c>
      <c r="AD2212" s="380" t="e">
        <f>VLOOKUP($B2212,'D7 - NDB Impacted SPRF''s'!$E$16:$O$9929,5,FALSE)</f>
        <v>#N/A</v>
      </c>
      <c r="AE2212" s="380" t="e">
        <f>VLOOKUP($B2212,'D7 - NDB Impacted SPRF''s'!$E$16:$O$9929,7,FALSE)</f>
        <v>#N/A</v>
      </c>
      <c r="AF2212" s="380" t="e">
        <f>VLOOKUP($B2212,'D7 - NDB Impacted SPRF''s'!$E$16:$O$9929,6,FALSE)</f>
        <v>#N/A</v>
      </c>
      <c r="AG2212" s="282"/>
      <c r="AH2212" s="311" t="e">
        <f>INDEX('D5 - Gatekeeper - Projects'!$A$4:$AF$1010,$AM2212, 17)</f>
        <v>#N/A</v>
      </c>
      <c r="AI2212" s="8"/>
      <c r="AJ2212" s="57"/>
      <c r="AK2212" s="105"/>
      <c r="AM2212" s="6" t="e">
        <f>MATCH(D2212,'D5 - Gatekeeper - Projects'!$C$4:$C$1010,0)</f>
        <v>#N/A</v>
      </c>
      <c r="AN2212" s="6" t="b">
        <f t="shared" si="233"/>
        <v>1</v>
      </c>
      <c r="AO2212" s="6" t="str">
        <f t="shared" si="234"/>
        <v>OK</v>
      </c>
      <c r="AQ2212" s="6" t="e">
        <f>MATCH($D2212,'D4 - Provider Council Unsched'!$C$11:$C$234,0)</f>
        <v>#N/A</v>
      </c>
      <c r="AR2212" s="6" t="b">
        <f t="shared" si="235"/>
        <v>1</v>
      </c>
      <c r="AS2212" s="6" t="str">
        <f t="shared" si="236"/>
        <v>OK</v>
      </c>
      <c r="AU2212" s="202"/>
      <c r="AV2212" s="262"/>
      <c r="AW2212" s="274"/>
    </row>
    <row r="2213" spans="1:49" s="13" customFormat="1" x14ac:dyDescent="0.2">
      <c r="A2213" s="14">
        <v>2189</v>
      </c>
      <c r="B2213" s="14" t="s">
        <v>7985</v>
      </c>
      <c r="C2213" s="8" t="s">
        <v>5197</v>
      </c>
      <c r="D2213" s="4" t="str">
        <f t="shared" si="231"/>
        <v>TBDOB26R1</v>
      </c>
      <c r="E2213" s="309" t="s">
        <v>5203</v>
      </c>
      <c r="F2213" s="8" t="s">
        <v>4304</v>
      </c>
      <c r="G2213" s="8" t="s">
        <v>4758</v>
      </c>
      <c r="H2213" s="8" t="s">
        <v>2870</v>
      </c>
      <c r="I2213" s="20">
        <v>1</v>
      </c>
      <c r="J2213" s="8" t="s">
        <v>7113</v>
      </c>
      <c r="K2213" s="182">
        <v>39627</v>
      </c>
      <c r="L2213" s="8" t="s">
        <v>5743</v>
      </c>
      <c r="M2213" s="8" t="s">
        <v>5626</v>
      </c>
      <c r="N2213" s="38" t="s">
        <v>5236</v>
      </c>
      <c r="O2213" s="8"/>
      <c r="P2213" s="4" t="e">
        <f>VLOOKUP($B2213,'D7 - NDB Impacted SPRF''s'!$E$16:$O$9929,9,FALSE)</f>
        <v>#N/A</v>
      </c>
      <c r="Q2213" s="4" t="e">
        <f>VLOOKUP($B2213,'D7 - NDB Impacted SPRF''s'!$E$16:$O$9929,10,FALSE)</f>
        <v>#N/A</v>
      </c>
      <c r="R2213" s="4" t="e">
        <f>VLOOKUP($B2213,'D7 - NDB Impacted SPRF''s'!$E$16:$O$9929,11,FALSE)</f>
        <v>#N/A</v>
      </c>
      <c r="S2213" s="8"/>
      <c r="T2213" s="310"/>
      <c r="U2213" s="310"/>
      <c r="V2213" s="4"/>
      <c r="W2213" s="4"/>
      <c r="X2213" s="4"/>
      <c r="Y2213" s="4"/>
      <c r="Z2213" s="4"/>
      <c r="AA2213" s="4"/>
      <c r="AB2213" s="380" t="e">
        <f>VLOOKUP($B2213,'D7 - NDB Impacted SPRF''s'!$E$16:$O$9929,4,FALSE)</f>
        <v>#N/A</v>
      </c>
      <c r="AC2213" s="380" t="e">
        <f>VLOOKUP($B2213,'D7 - NDB Impacted SPRF''s'!$E$16:$O$9929,3,FALSE)</f>
        <v>#N/A</v>
      </c>
      <c r="AD2213" s="380" t="e">
        <f>VLOOKUP($B2213,'D7 - NDB Impacted SPRF''s'!$E$16:$O$9929,5,FALSE)</f>
        <v>#N/A</v>
      </c>
      <c r="AE2213" s="380" t="e">
        <f>VLOOKUP($B2213,'D7 - NDB Impacted SPRF''s'!$E$16:$O$9929,7,FALSE)</f>
        <v>#N/A</v>
      </c>
      <c r="AF2213" s="380" t="e">
        <f>VLOOKUP($B2213,'D7 - NDB Impacted SPRF''s'!$E$16:$O$9929,6,FALSE)</f>
        <v>#N/A</v>
      </c>
      <c r="AG2213" s="282"/>
      <c r="AH2213" s="311" t="e">
        <f>INDEX('D5 - Gatekeeper - Projects'!$A$4:$AF$1010,$AM2213, 17)</f>
        <v>#N/A</v>
      </c>
      <c r="AI2213" s="8"/>
      <c r="AJ2213" s="57"/>
      <c r="AK2213" s="105"/>
      <c r="AM2213" s="6" t="e">
        <f>MATCH(D2213,'D5 - Gatekeeper - Projects'!$C$4:$C$1010,0)</f>
        <v>#N/A</v>
      </c>
      <c r="AN2213" s="6" t="b">
        <f t="shared" si="233"/>
        <v>1</v>
      </c>
      <c r="AO2213" s="6" t="str">
        <f t="shared" si="234"/>
        <v>OK</v>
      </c>
      <c r="AQ2213" s="6" t="e">
        <f>MATCH($D2213,'D4 - Provider Council Unsched'!$C$11:$C$234,0)</f>
        <v>#N/A</v>
      </c>
      <c r="AR2213" s="6" t="b">
        <f t="shared" si="235"/>
        <v>1</v>
      </c>
      <c r="AS2213" s="6" t="str">
        <f t="shared" si="236"/>
        <v>OK</v>
      </c>
      <c r="AU2213" s="202"/>
      <c r="AV2213" s="262"/>
      <c r="AW2213" s="274"/>
    </row>
    <row r="2214" spans="1:49" s="13" customFormat="1" ht="33.75" x14ac:dyDescent="0.2">
      <c r="A2214" s="14">
        <v>2190</v>
      </c>
      <c r="B2214" s="14">
        <v>400016578</v>
      </c>
      <c r="C2214" s="8" t="s">
        <v>6555</v>
      </c>
      <c r="D2214" s="4" t="str">
        <f t="shared" si="231"/>
        <v>400016578R11</v>
      </c>
      <c r="E2214" s="309" t="str">
        <f>VLOOKUP($B2214,'D7 - NDB Impacted SPRF''s'!$E$6:$O$9929,2,FALSE)</f>
        <v>Detailed Tuning Recommendations</v>
      </c>
      <c r="F2214" s="8" t="s">
        <v>8133</v>
      </c>
      <c r="G2214" s="8" t="s">
        <v>4758</v>
      </c>
      <c r="H2214" s="8" t="s">
        <v>2870</v>
      </c>
      <c r="I2214" s="20">
        <v>1.4</v>
      </c>
      <c r="J2214" s="8" t="s">
        <v>4862</v>
      </c>
      <c r="K2214" s="182">
        <v>39675</v>
      </c>
      <c r="L2214" s="8" t="s">
        <v>5743</v>
      </c>
      <c r="M2214" s="8" t="s">
        <v>4450</v>
      </c>
      <c r="N2214" s="38" t="s">
        <v>3782</v>
      </c>
      <c r="O2214" s="8" t="s">
        <v>7299</v>
      </c>
      <c r="P2214" s="4" t="str">
        <f>VLOOKUP($B2214,'D7 - NDB Impacted SPRF''s'!$E$16:$O$9929,9,FALSE)</f>
        <v>Y</v>
      </c>
      <c r="Q2214" s="4" t="str">
        <f>VLOOKUP($B2214,'D7 - NDB Impacted SPRF''s'!$E$16:$O$9929,10,FALSE)</f>
        <v>N</v>
      </c>
      <c r="R2214" s="4" t="str">
        <f>VLOOKUP($B2214,'D7 - NDB Impacted SPRF''s'!$E$16:$O$9929,11,FALSE)</f>
        <v>N</v>
      </c>
      <c r="S2214" s="8"/>
      <c r="T2214" s="310"/>
      <c r="U2214" s="310"/>
      <c r="V2214" s="4"/>
      <c r="W2214" s="4"/>
      <c r="X2214" s="4"/>
      <c r="Y2214" s="4"/>
      <c r="Z2214" s="4"/>
      <c r="AA2214" s="4"/>
      <c r="AB2214" s="380" t="str">
        <f>VLOOKUP($B2214,'D7 - NDB Impacted SPRF''s'!$E$16:$O$9929,4,FALSE)</f>
        <v>Completed</v>
      </c>
      <c r="AC2214" s="380" t="str">
        <f>VLOOKUP($B2214,'D7 - NDB Impacted SPRF''s'!$E$16:$O$9929,3,FALSE)</f>
        <v>UHG IT - Application Services Group</v>
      </c>
      <c r="AD2214" s="380" t="str">
        <f>VLOOKUP($B2214,'D7 - NDB Impacted SPRF''s'!$E$16:$O$9929,5,FALSE)</f>
        <v>ASG</v>
      </c>
      <c r="AE2214" s="380" t="str">
        <f>VLOOKUP($B2214,'D7 - NDB Impacted SPRF''s'!$E$16:$O$9929,7,FALSE)</f>
        <v>Jeff Hanas</v>
      </c>
      <c r="AF2214" s="380" t="str">
        <f>VLOOKUP($B2214,'D7 - NDB Impacted SPRF''s'!$E$16:$O$9929,6,FALSE)</f>
        <v>Jeffrey Jablonski</v>
      </c>
      <c r="AG2214" s="282"/>
      <c r="AH2214" s="311" t="e">
        <f>INDEX('D5 - Gatekeeper - Projects'!$A$4:$AF$1010,$AM2214, 17)</f>
        <v>#N/A</v>
      </c>
      <c r="AI2214" s="8"/>
      <c r="AJ2214" s="57"/>
      <c r="AK2214" s="105"/>
      <c r="AM2214" s="6" t="e">
        <f>MATCH(D2214,'D5 - Gatekeeper - Projects'!$C$4:$C$1010,0)</f>
        <v>#N/A</v>
      </c>
      <c r="AN2214" s="6" t="b">
        <f t="shared" si="233"/>
        <v>1</v>
      </c>
      <c r="AO2214" s="6" t="str">
        <f t="shared" si="234"/>
        <v>OK</v>
      </c>
      <c r="AQ2214" s="6" t="e">
        <f>MATCH($D2214,'D4 - Provider Council Unsched'!$C$11:$C$234,0)</f>
        <v>#N/A</v>
      </c>
      <c r="AR2214" s="6" t="b">
        <f t="shared" si="235"/>
        <v>1</v>
      </c>
      <c r="AS2214" s="6" t="str">
        <f>IF(AND(H2214="2 - Not Scheduled",AR2214=TRUE,C2214="R1"),"Add","OK")</f>
        <v>OK</v>
      </c>
      <c r="AU2214" s="202"/>
      <c r="AV2214" s="262"/>
      <c r="AW2214" s="274"/>
    </row>
    <row r="2215" spans="1:49" s="13" customFormat="1" ht="33.75" x14ac:dyDescent="0.2">
      <c r="A2215" s="14">
        <v>2191</v>
      </c>
      <c r="B2215" s="14">
        <v>400014653</v>
      </c>
      <c r="C2215" s="8" t="s">
        <v>6895</v>
      </c>
      <c r="D2215" s="4" t="str">
        <f t="shared" si="231"/>
        <v>400014653R6</v>
      </c>
      <c r="E2215" s="309" t="str">
        <f>VLOOKUP($B2215,'D7 - NDB Impacted SPRF''s'!$E$6:$O$9929,2,FALSE)</f>
        <v>EPDE Expansion &amp; Supporting Table Conversions</v>
      </c>
      <c r="F2215" s="8" t="s">
        <v>4069</v>
      </c>
      <c r="G2215" s="8" t="s">
        <v>4758</v>
      </c>
      <c r="H2215" s="8" t="s">
        <v>2870</v>
      </c>
      <c r="I2215" s="20">
        <v>1.07</v>
      </c>
      <c r="J2215" s="8" t="s">
        <v>4862</v>
      </c>
      <c r="K2215" s="182">
        <v>39676</v>
      </c>
      <c r="L2215" s="8" t="s">
        <v>5743</v>
      </c>
      <c r="M2215" s="8" t="s">
        <v>5626</v>
      </c>
      <c r="N2215" s="38" t="s">
        <v>7129</v>
      </c>
      <c r="O2215" s="8" t="s">
        <v>7086</v>
      </c>
      <c r="P2215" s="4" t="str">
        <f>VLOOKUP($B2215,'D7 - NDB Impacted SPRF''s'!$E$16:$O$9929,9,FALSE)</f>
        <v>N</v>
      </c>
      <c r="Q2215" s="4" t="str">
        <f>VLOOKUP($B2215,'D7 - NDB Impacted SPRF''s'!$E$16:$O$9929,10,FALSE)</f>
        <v>N</v>
      </c>
      <c r="R2215" s="4" t="str">
        <f>VLOOKUP($B2215,'D7 - NDB Impacted SPRF''s'!$E$16:$O$9929,11,FALSE)</f>
        <v>N</v>
      </c>
      <c r="S2215" s="8"/>
      <c r="T2215" s="310"/>
      <c r="U2215" s="310"/>
      <c r="V2215" s="4"/>
      <c r="W2215" s="4"/>
      <c r="X2215" s="4"/>
      <c r="Y2215" s="4"/>
      <c r="Z2215" s="4"/>
      <c r="AA2215" s="4"/>
      <c r="AB2215" s="380" t="str">
        <f>VLOOKUP($B2215,'D7 - NDB Impacted SPRF''s'!$E$16:$O$9929,4,FALSE)</f>
        <v>Completed</v>
      </c>
      <c r="AC2215" s="380" t="str">
        <f>VLOOKUP($B2215,'D7 - NDB Impacted SPRF''s'!$E$16:$O$9929,3,FALSE)</f>
        <v>UnitedHealthcare Employer &amp; Individual</v>
      </c>
      <c r="AD2215" s="380" t="str">
        <f>VLOOKUP($B2215,'D7 - NDB Impacted SPRF''s'!$E$16:$O$9929,5,FALSE)</f>
        <v>Medical Cost Savings Programs</v>
      </c>
      <c r="AE2215" s="380" t="str">
        <f>VLOOKUP($B2215,'D7 - NDB Impacted SPRF''s'!$E$16:$O$9929,7,FALSE)</f>
        <v>Tim Kaja</v>
      </c>
      <c r="AF2215" s="380" t="str">
        <f>VLOOKUP($B2215,'D7 - NDB Impacted SPRF''s'!$E$16:$O$9929,6,FALSE)</f>
        <v>MARCIA MONACO</v>
      </c>
      <c r="AG2215" s="282"/>
      <c r="AH2215" s="311" t="e">
        <f>INDEX('D5 - Gatekeeper - Projects'!$A$4:$AF$1010,$AM2215, 17)</f>
        <v>#N/A</v>
      </c>
      <c r="AI2215" s="8"/>
      <c r="AJ2215" s="57"/>
      <c r="AK2215" s="105"/>
      <c r="AM2215" s="6" t="e">
        <f>MATCH(D2215,'D5 - Gatekeeper - Projects'!$C$4:$C$1010,0)</f>
        <v>#N/A</v>
      </c>
      <c r="AN2215" s="6" t="b">
        <f t="shared" si="233"/>
        <v>1</v>
      </c>
      <c r="AO2215" s="6" t="str">
        <f t="shared" si="234"/>
        <v>OK</v>
      </c>
      <c r="AQ2215" s="6" t="e">
        <f>MATCH($D2215,'D4 - Provider Council Unsched'!$C$11:$C$234,0)</f>
        <v>#N/A</v>
      </c>
      <c r="AR2215" s="6" t="b">
        <f t="shared" si="235"/>
        <v>1</v>
      </c>
      <c r="AS2215" s="6" t="str">
        <f>IF(AND(H2215="2 - Not Scheduled",AR2215=TRUE),"Add","OK")</f>
        <v>OK</v>
      </c>
      <c r="AU2215" s="202"/>
      <c r="AV2215" s="262"/>
      <c r="AW2215" s="274"/>
    </row>
    <row r="2216" spans="1:49" s="13" customFormat="1" ht="33.75" x14ac:dyDescent="0.2">
      <c r="A2216" s="14">
        <v>2192</v>
      </c>
      <c r="B2216" s="14">
        <v>400014751</v>
      </c>
      <c r="C2216" s="8" t="s">
        <v>5197</v>
      </c>
      <c r="D2216" s="4" t="str">
        <f t="shared" si="231"/>
        <v>400014751R1</v>
      </c>
      <c r="E2216" s="309" t="str">
        <f>VLOOKUP($B2216,'D7 - NDB Impacted SPRF''s'!$E$6:$O$9929,2,FALSE)</f>
        <v>Medica - COB Calculations</v>
      </c>
      <c r="F2216" s="8" t="s">
        <v>5196</v>
      </c>
      <c r="G2216" s="8" t="s">
        <v>4758</v>
      </c>
      <c r="H2216" s="8" t="s">
        <v>2870</v>
      </c>
      <c r="I2216" s="20">
        <v>1.07</v>
      </c>
      <c r="J2216" s="8" t="s">
        <v>4862</v>
      </c>
      <c r="K2216" s="182">
        <v>39676</v>
      </c>
      <c r="L2216" s="8" t="s">
        <v>5743</v>
      </c>
      <c r="M2216" s="8" t="s">
        <v>5626</v>
      </c>
      <c r="N2216" s="38" t="s">
        <v>2583</v>
      </c>
      <c r="O2216" s="8" t="s">
        <v>2000</v>
      </c>
      <c r="P2216" s="4" t="str">
        <f>VLOOKUP($B2216,'D7 - NDB Impacted SPRF''s'!$E$16:$O$9929,9,FALSE)</f>
        <v>Y</v>
      </c>
      <c r="Q2216" s="4" t="str">
        <f>VLOOKUP($B2216,'D7 - NDB Impacted SPRF''s'!$E$16:$O$9929,10,FALSE)</f>
        <v>N</v>
      </c>
      <c r="R2216" s="4" t="str">
        <f>VLOOKUP($B2216,'D7 - NDB Impacted SPRF''s'!$E$16:$O$9929,11,FALSE)</f>
        <v>N</v>
      </c>
      <c r="S2216" s="8"/>
      <c r="T2216" s="310"/>
      <c r="U2216" s="310"/>
      <c r="V2216" s="4"/>
      <c r="W2216" s="4"/>
      <c r="X2216" s="4"/>
      <c r="Y2216" s="4"/>
      <c r="Z2216" s="4"/>
      <c r="AA2216" s="4"/>
      <c r="AB2216" s="380" t="str">
        <f>VLOOKUP($B2216,'D7 - NDB Impacted SPRF''s'!$E$16:$O$9929,4,FALSE)</f>
        <v>Cancelled</v>
      </c>
      <c r="AC2216" s="380" t="str">
        <f>VLOOKUP($B2216,'D7 - NDB Impacted SPRF''s'!$E$16:$O$9929,3,FALSE)</f>
        <v>UnitedHealthcare Employer &amp; Individual</v>
      </c>
      <c r="AD2216" s="380" t="str">
        <f>VLOOKUP($B2216,'D7 - NDB Impacted SPRF''s'!$E$16:$O$9929,5,FALSE)</f>
        <v>HCA - Medica UNET Conversion</v>
      </c>
      <c r="AE2216" s="380" t="str">
        <f>VLOOKUP($B2216,'D7 - NDB Impacted SPRF''s'!$E$16:$O$9929,7,FALSE)</f>
        <v>Diane Schofield</v>
      </c>
      <c r="AF2216" s="380" t="str">
        <f>VLOOKUP($B2216,'D7 - NDB Impacted SPRF''s'!$E$16:$O$9929,6,FALSE)</f>
        <v>Cathy Hanson</v>
      </c>
      <c r="AG2216" s="282"/>
      <c r="AH2216" s="311" t="e">
        <f>INDEX('D5 - Gatekeeper - Projects'!$A$4:$AF$1010,$AM2216, 17)</f>
        <v>#N/A</v>
      </c>
      <c r="AI2216" s="8"/>
      <c r="AJ2216" s="57"/>
      <c r="AK2216" s="105"/>
      <c r="AM2216" s="6" t="e">
        <f>MATCH(D2216,'D5 - Gatekeeper - Projects'!$C$4:$C$1010,0)</f>
        <v>#N/A</v>
      </c>
      <c r="AN2216" s="6" t="b">
        <f t="shared" si="233"/>
        <v>1</v>
      </c>
      <c r="AO2216" s="6" t="str">
        <f t="shared" si="234"/>
        <v>OK</v>
      </c>
      <c r="AQ2216" s="6" t="e">
        <f>MATCH($D2216,'D4 - Provider Council Unsched'!$C$11:$C$234,0)</f>
        <v>#N/A</v>
      </c>
      <c r="AR2216" s="6" t="b">
        <f t="shared" si="235"/>
        <v>1</v>
      </c>
      <c r="AS2216" s="6" t="str">
        <f>IF(AND(H2216="2 - Not Scheduled",AR2216=TRUE),"Add","OK")</f>
        <v>OK</v>
      </c>
      <c r="AU2216" s="202"/>
      <c r="AV2216" s="262"/>
      <c r="AW2216" s="274"/>
    </row>
    <row r="2217" spans="1:49" s="13" customFormat="1" ht="33.75" x14ac:dyDescent="0.2">
      <c r="A2217" s="14">
        <v>2193</v>
      </c>
      <c r="B2217" s="14">
        <v>400015128</v>
      </c>
      <c r="C2217" s="8" t="s">
        <v>5197</v>
      </c>
      <c r="D2217" s="4" t="str">
        <f t="shared" si="231"/>
        <v>400015128R1</v>
      </c>
      <c r="E2217" s="309" t="str">
        <f>VLOOKUP($B2217,'D7 - NDB Impacted SPRF''s'!$E$6:$O$9929,2,FALSE)</f>
        <v>Prov Directory Improvement -  Verification Fields</v>
      </c>
      <c r="F2217" s="8" t="s">
        <v>4971</v>
      </c>
      <c r="G2217" s="8" t="s">
        <v>4758</v>
      </c>
      <c r="H2217" s="8" t="s">
        <v>2870</v>
      </c>
      <c r="I2217" s="20">
        <v>12.59</v>
      </c>
      <c r="J2217" s="8" t="s">
        <v>4862</v>
      </c>
      <c r="K2217" s="182">
        <v>39676</v>
      </c>
      <c r="L2217" s="8" t="s">
        <v>5743</v>
      </c>
      <c r="M2217" s="8" t="s">
        <v>2814</v>
      </c>
      <c r="N2217" s="38" t="s">
        <v>5702</v>
      </c>
      <c r="O2217" s="8" t="s">
        <v>4599</v>
      </c>
      <c r="P2217" s="4" t="str">
        <f>VLOOKUP($B2217,'D7 - NDB Impacted SPRF''s'!$E$16:$O$9929,9,FALSE)</f>
        <v>N</v>
      </c>
      <c r="Q2217" s="4" t="str">
        <f>VLOOKUP($B2217,'D7 - NDB Impacted SPRF''s'!$E$16:$O$9929,10,FALSE)</f>
        <v>N</v>
      </c>
      <c r="R2217" s="4" t="str">
        <f>VLOOKUP($B2217,'D7 - NDB Impacted SPRF''s'!$E$16:$O$9929,11,FALSE)</f>
        <v>N</v>
      </c>
      <c r="S2217" s="8"/>
      <c r="T2217" s="310"/>
      <c r="U2217" s="310"/>
      <c r="V2217" s="4"/>
      <c r="W2217" s="4"/>
      <c r="X2217" s="4"/>
      <c r="Y2217" s="4"/>
      <c r="Z2217" s="4"/>
      <c r="AA2217" s="4"/>
      <c r="AB2217" s="380" t="str">
        <f>VLOOKUP($B2217,'D7 - NDB Impacted SPRF''s'!$E$16:$O$9929,4,FALSE)</f>
        <v>Completed</v>
      </c>
      <c r="AC2217" s="380" t="str">
        <f>VLOOKUP($B2217,'D7 - NDB Impacted SPRF''s'!$E$16:$O$9929,3,FALSE)</f>
        <v>UnitedHealthcare Employer &amp; Individual</v>
      </c>
      <c r="AD2217" s="380" t="str">
        <f>VLOOKUP($B2217,'D7 - NDB Impacted SPRF''s'!$E$16:$O$9929,5,FALSE)</f>
        <v>Process Improvement</v>
      </c>
      <c r="AE2217" s="380" t="str">
        <f>VLOOKUP($B2217,'D7 - NDB Impacted SPRF''s'!$E$16:$O$9929,7,FALSE)</f>
        <v>Matt Guisinger</v>
      </c>
      <c r="AF2217" s="380" t="str">
        <f>VLOOKUP($B2217,'D7 - NDB Impacted SPRF''s'!$E$16:$O$9929,6,FALSE)</f>
        <v>Rosalind Hoagland</v>
      </c>
      <c r="AG2217" s="282"/>
      <c r="AH2217" s="311" t="e">
        <f>INDEX('D5 - Gatekeeper - Projects'!$A$4:$AF$1010,$AM2217, 17)</f>
        <v>#N/A</v>
      </c>
      <c r="AI2217" s="8"/>
      <c r="AJ2217" s="57"/>
      <c r="AK2217" s="105"/>
      <c r="AM2217" s="6" t="e">
        <f>MATCH(D2217,'D5 - Gatekeeper - Projects'!$C$4:$C$1010,0)</f>
        <v>#N/A</v>
      </c>
      <c r="AN2217" s="6" t="b">
        <f t="shared" si="233"/>
        <v>1</v>
      </c>
      <c r="AO2217" s="6" t="str">
        <f t="shared" si="234"/>
        <v>OK</v>
      </c>
      <c r="AQ2217" s="6" t="e">
        <f>MATCH($D2217,'D4 - Provider Council Unsched'!$C$11:$C$234,0)</f>
        <v>#N/A</v>
      </c>
      <c r="AR2217" s="6" t="b">
        <f t="shared" si="235"/>
        <v>1</v>
      </c>
      <c r="AS2217" s="6" t="str">
        <f>IF(AND(H2217="2 - Not Scheduled",AR2217=TRUE,C2217="R1"),"Add","OK")</f>
        <v>OK</v>
      </c>
      <c r="AU2217" s="202"/>
      <c r="AV2217" s="262"/>
      <c r="AW2217" s="274"/>
    </row>
    <row r="2218" spans="1:49" s="13" customFormat="1" ht="33.75" x14ac:dyDescent="0.2">
      <c r="A2218" s="14">
        <v>2194</v>
      </c>
      <c r="B2218" s="14">
        <v>400015128</v>
      </c>
      <c r="C2218" s="8" t="s">
        <v>1992</v>
      </c>
      <c r="D2218" s="4" t="str">
        <f t="shared" si="231"/>
        <v>400015128U1</v>
      </c>
      <c r="E2218" s="309" t="str">
        <f>VLOOKUP($B2218,'D7 - NDB Impacted SPRF''s'!$E$6:$O$9929,2,FALSE)</f>
        <v>Prov Directory Improvement -  Verification Fields</v>
      </c>
      <c r="F2218" s="8" t="s">
        <v>4971</v>
      </c>
      <c r="G2218" s="8" t="s">
        <v>4758</v>
      </c>
      <c r="H2218" s="8" t="s">
        <v>2870</v>
      </c>
      <c r="I2218" s="20">
        <v>1.06</v>
      </c>
      <c r="J2218" s="8" t="s">
        <v>4862</v>
      </c>
      <c r="K2218" s="182">
        <v>39676</v>
      </c>
      <c r="L2218" s="8" t="s">
        <v>5743</v>
      </c>
      <c r="M2218" s="8" t="s">
        <v>2814</v>
      </c>
      <c r="N2218" s="38" t="s">
        <v>5702</v>
      </c>
      <c r="O2218" s="8" t="s">
        <v>4599</v>
      </c>
      <c r="P2218" s="4" t="str">
        <f>VLOOKUP($B2218,'D7 - NDB Impacted SPRF''s'!$E$16:$O$9929,9,FALSE)</f>
        <v>N</v>
      </c>
      <c r="Q2218" s="4" t="str">
        <f>VLOOKUP($B2218,'D7 - NDB Impacted SPRF''s'!$E$16:$O$9929,10,FALSE)</f>
        <v>N</v>
      </c>
      <c r="R2218" s="4" t="str">
        <f>VLOOKUP($B2218,'D7 - NDB Impacted SPRF''s'!$E$16:$O$9929,11,FALSE)</f>
        <v>N</v>
      </c>
      <c r="S2218" s="8"/>
      <c r="T2218" s="310"/>
      <c r="U2218" s="310"/>
      <c r="V2218" s="4"/>
      <c r="W2218" s="4"/>
      <c r="X2218" s="4"/>
      <c r="Y2218" s="4"/>
      <c r="Z2218" s="4"/>
      <c r="AA2218" s="4"/>
      <c r="AB2218" s="380" t="str">
        <f>VLOOKUP($B2218,'D7 - NDB Impacted SPRF''s'!$E$16:$O$9929,4,FALSE)</f>
        <v>Completed</v>
      </c>
      <c r="AC2218" s="380" t="str">
        <f>VLOOKUP($B2218,'D7 - NDB Impacted SPRF''s'!$E$16:$O$9929,3,FALSE)</f>
        <v>UnitedHealthcare Employer &amp; Individual</v>
      </c>
      <c r="AD2218" s="380" t="str">
        <f>VLOOKUP($B2218,'D7 - NDB Impacted SPRF''s'!$E$16:$O$9929,5,FALSE)</f>
        <v>Process Improvement</v>
      </c>
      <c r="AE2218" s="380" t="str">
        <f>VLOOKUP($B2218,'D7 - NDB Impacted SPRF''s'!$E$16:$O$9929,7,FALSE)</f>
        <v>Matt Guisinger</v>
      </c>
      <c r="AF2218" s="380" t="str">
        <f>VLOOKUP($B2218,'D7 - NDB Impacted SPRF''s'!$E$16:$O$9929,6,FALSE)</f>
        <v>Rosalind Hoagland</v>
      </c>
      <c r="AG2218" s="282"/>
      <c r="AH2218" s="311" t="e">
        <f>INDEX('D5 - Gatekeeper - Projects'!$A$4:$AF$1010,$AM2218, 17)</f>
        <v>#N/A</v>
      </c>
      <c r="AI2218" s="8"/>
      <c r="AJ2218" s="57"/>
      <c r="AK2218" s="105"/>
      <c r="AM2218" s="6" t="e">
        <f>MATCH(D2218,'D5 - Gatekeeper - Projects'!$C$4:$C$1010,0)</f>
        <v>#N/A</v>
      </c>
      <c r="AN2218" s="6" t="b">
        <f t="shared" si="233"/>
        <v>1</v>
      </c>
      <c r="AO2218" s="6" t="str">
        <f t="shared" si="234"/>
        <v>OK</v>
      </c>
      <c r="AQ2218" s="6" t="e">
        <f>MATCH($D2218,'D4 - Provider Council Unsched'!$C$11:$C$234,0)</f>
        <v>#N/A</v>
      </c>
      <c r="AR2218" s="6" t="b">
        <f t="shared" si="235"/>
        <v>1</v>
      </c>
      <c r="AS2218" s="6" t="str">
        <f t="shared" ref="AS2218:AS2233" si="237">IF(AND(H2218="2 - Not Scheduled",AR2218=TRUE),"Add","OK")</f>
        <v>OK</v>
      </c>
      <c r="AU2218" s="202"/>
      <c r="AV2218" s="262"/>
      <c r="AW2218" s="274"/>
    </row>
    <row r="2219" spans="1:49" s="13" customFormat="1" ht="33.75" x14ac:dyDescent="0.2">
      <c r="A2219" s="14">
        <v>2195</v>
      </c>
      <c r="B2219" s="14">
        <v>400019582</v>
      </c>
      <c r="C2219" s="8" t="s">
        <v>3763</v>
      </c>
      <c r="D2219" s="4" t="str">
        <f t="shared" si="231"/>
        <v>400019582R2</v>
      </c>
      <c r="E2219" s="309" t="str">
        <f>VLOOKUP($B2219,'D7 - NDB Impacted SPRF''s'!$E$6:$O$9929,2,FALSE)</f>
        <v>Radiology Accreditation Search Functionality</v>
      </c>
      <c r="F2219" s="8" t="s">
        <v>7989</v>
      </c>
      <c r="G2219" s="8" t="s">
        <v>4758</v>
      </c>
      <c r="H2219" s="8" t="s">
        <v>2870</v>
      </c>
      <c r="I2219" s="20"/>
      <c r="J2219" s="8" t="s">
        <v>7113</v>
      </c>
      <c r="K2219" s="182">
        <v>39676</v>
      </c>
      <c r="L2219" s="8" t="s">
        <v>4156</v>
      </c>
      <c r="M2219" s="8" t="s">
        <v>2814</v>
      </c>
      <c r="N2219" s="38" t="s">
        <v>5205</v>
      </c>
      <c r="O2219" s="8" t="s">
        <v>4599</v>
      </c>
      <c r="P2219" s="4" t="str">
        <f>VLOOKUP($B2219,'D7 - NDB Impacted SPRF''s'!$E$16:$O$9929,9,FALSE)</f>
        <v>Y</v>
      </c>
      <c r="Q2219" s="4" t="str">
        <f>VLOOKUP($B2219,'D7 - NDB Impacted SPRF''s'!$E$16:$O$9929,10,FALSE)</f>
        <v>N</v>
      </c>
      <c r="R2219" s="4" t="str">
        <f>VLOOKUP($B2219,'D7 - NDB Impacted SPRF''s'!$E$16:$O$9929,11,FALSE)</f>
        <v>N</v>
      </c>
      <c r="S2219" s="8"/>
      <c r="T2219" s="310"/>
      <c r="U2219" s="310"/>
      <c r="V2219" s="4"/>
      <c r="W2219" s="4"/>
      <c r="X2219" s="4"/>
      <c r="Y2219" s="4"/>
      <c r="Z2219" s="4"/>
      <c r="AA2219" s="4"/>
      <c r="AB2219" s="380" t="str">
        <f>VLOOKUP($B2219,'D7 - NDB Impacted SPRF''s'!$E$16:$O$9929,4,FALSE)</f>
        <v>Cancelled</v>
      </c>
      <c r="AC2219" s="380" t="str">
        <f>VLOOKUP($B2219,'D7 - NDB Impacted SPRF''s'!$E$16:$O$9929,3,FALSE)</f>
        <v>UnitedHealthcare Employer &amp; Individual</v>
      </c>
      <c r="AD2219" s="380" t="str">
        <f>VLOOKUP($B2219,'D7 - NDB Impacted SPRF''s'!$E$16:$O$9929,5,FALSE)</f>
        <v>Medical Cost Savings Programs</v>
      </c>
      <c r="AE2219" s="380" t="str">
        <f>VLOOKUP($B2219,'D7 - NDB Impacted SPRF''s'!$E$16:$O$9929,7,FALSE)</f>
        <v>Laurie Paidosh</v>
      </c>
      <c r="AF2219" s="380" t="str">
        <f>VLOOKUP($B2219,'D7 - NDB Impacted SPRF''s'!$E$16:$O$9929,6,FALSE)</f>
        <v>Lori West</v>
      </c>
      <c r="AG2219" s="282"/>
      <c r="AH2219" s="311" t="e">
        <f>INDEX('D5 - Gatekeeper - Projects'!$A$4:$AF$1010,$AM2219, 17)</f>
        <v>#N/A</v>
      </c>
      <c r="AI2219" s="8"/>
      <c r="AJ2219" s="57"/>
      <c r="AK2219" s="105"/>
      <c r="AM2219" s="6" t="e">
        <f>MATCH(D2219,'D5 - Gatekeeper - Projects'!$C$4:$C$1010,0)</f>
        <v>#N/A</v>
      </c>
      <c r="AN2219" s="6" t="b">
        <f t="shared" si="233"/>
        <v>1</v>
      </c>
      <c r="AO2219" s="6" t="str">
        <f t="shared" si="234"/>
        <v>OK</v>
      </c>
      <c r="AQ2219" s="6" t="e">
        <f>MATCH($D2219,'D4 - Provider Council Unsched'!$C$11:$C$234,0)</f>
        <v>#N/A</v>
      </c>
      <c r="AR2219" s="6" t="b">
        <f t="shared" si="235"/>
        <v>1</v>
      </c>
      <c r="AS2219" s="6" t="str">
        <f t="shared" si="237"/>
        <v>OK</v>
      </c>
      <c r="AU2219" s="202"/>
      <c r="AV2219" s="262"/>
      <c r="AW2219" s="274"/>
    </row>
    <row r="2220" spans="1:49" s="13" customFormat="1" ht="33.75" x14ac:dyDescent="0.2">
      <c r="A2220" s="14">
        <v>2196</v>
      </c>
      <c r="B2220" s="14">
        <v>400019846</v>
      </c>
      <c r="C2220" s="8" t="s">
        <v>4536</v>
      </c>
      <c r="D2220" s="4" t="str">
        <f t="shared" si="231"/>
        <v>400019846CC6</v>
      </c>
      <c r="E2220" s="339" t="s">
        <v>4606</v>
      </c>
      <c r="F2220" s="8" t="s">
        <v>7989</v>
      </c>
      <c r="G2220" s="8" t="s">
        <v>4758</v>
      </c>
      <c r="H2220" s="8" t="s">
        <v>2870</v>
      </c>
      <c r="I2220" s="20">
        <v>7.94</v>
      </c>
      <c r="J2220" s="8" t="s">
        <v>4862</v>
      </c>
      <c r="K2220" s="182">
        <v>39676</v>
      </c>
      <c r="L2220" s="8" t="s">
        <v>5743</v>
      </c>
      <c r="M2220" s="8" t="s">
        <v>2814</v>
      </c>
      <c r="N2220" s="38" t="s">
        <v>4734</v>
      </c>
      <c r="O2220" s="8" t="s">
        <v>1998</v>
      </c>
      <c r="P2220" s="4" t="str">
        <f>VLOOKUP($B2220,'D7 - NDB Impacted SPRF''s'!$E$16:$O$9929,9,FALSE)</f>
        <v>Y</v>
      </c>
      <c r="Q2220" s="4" t="str">
        <f>VLOOKUP($B2220,'D7 - NDB Impacted SPRF''s'!$E$16:$O$9929,10,FALSE)</f>
        <v>N</v>
      </c>
      <c r="R2220" s="4" t="str">
        <f>VLOOKUP($B2220,'D7 - NDB Impacted SPRF''s'!$E$16:$O$9929,11,FALSE)</f>
        <v>N</v>
      </c>
      <c r="S2220" s="8"/>
      <c r="T2220" s="310"/>
      <c r="U2220" s="310"/>
      <c r="V2220" s="4"/>
      <c r="W2220" s="4"/>
      <c r="X2220" s="4"/>
      <c r="Y2220" s="4"/>
      <c r="Z2220" s="4"/>
      <c r="AA2220" s="4"/>
      <c r="AB2220" s="380" t="str">
        <f>VLOOKUP($B2220,'D7 - NDB Impacted SPRF''s'!$E$16:$O$9929,4,FALSE)</f>
        <v>Completed</v>
      </c>
      <c r="AC2220" s="380" t="str">
        <f>VLOOKUP($B2220,'D7 - NDB Impacted SPRF''s'!$E$16:$O$9929,3,FALSE)</f>
        <v>UnitedHealthcare Employer &amp; Individual</v>
      </c>
      <c r="AD2220" s="380" t="str">
        <f>VLOOKUP($B2220,'D7 - NDB Impacted SPRF''s'!$E$16:$O$9929,5,FALSE)</f>
        <v>Medical Cost Savings Programs</v>
      </c>
      <c r="AE2220" s="380" t="str">
        <f>VLOOKUP($B2220,'D7 - NDB Impacted SPRF''s'!$E$16:$O$9929,7,FALSE)</f>
        <v>Gino Tenance</v>
      </c>
      <c r="AF2220" s="380" t="str">
        <f>VLOOKUP($B2220,'D7 - NDB Impacted SPRF''s'!$E$16:$O$9929,6,FALSE)</f>
        <v>Mark Duquesnoy</v>
      </c>
      <c r="AG2220" s="282"/>
      <c r="AH2220" s="311" t="e">
        <f>INDEX('D5 - Gatekeeper - Projects'!$A$4:$AF$1010,$AM2220, 17)</f>
        <v>#N/A</v>
      </c>
      <c r="AI2220" s="8"/>
      <c r="AJ2220" s="57"/>
      <c r="AK2220" s="105"/>
      <c r="AM2220" s="6" t="e">
        <f>MATCH(D2220,'D5 - Gatekeeper - Projects'!$C$4:$C$1010,0)</f>
        <v>#N/A</v>
      </c>
      <c r="AN2220" s="6" t="b">
        <f t="shared" si="233"/>
        <v>1</v>
      </c>
      <c r="AO2220" s="6" t="str">
        <f t="shared" si="234"/>
        <v>OK</v>
      </c>
      <c r="AQ2220" s="6" t="e">
        <f>MATCH($D2220,'D4 - Provider Council Unsched'!$C$11:$C$234,0)</f>
        <v>#N/A</v>
      </c>
      <c r="AR2220" s="6" t="b">
        <f t="shared" si="235"/>
        <v>1</v>
      </c>
      <c r="AS2220" s="6" t="str">
        <f t="shared" si="237"/>
        <v>OK</v>
      </c>
      <c r="AU2220" s="202"/>
      <c r="AV2220" s="262"/>
      <c r="AW2220" s="274"/>
    </row>
    <row r="2221" spans="1:49" s="13" customFormat="1" ht="33.75" x14ac:dyDescent="0.2">
      <c r="A2221" s="14">
        <v>2197</v>
      </c>
      <c r="B2221" s="14">
        <v>400022664</v>
      </c>
      <c r="C2221" s="8" t="s">
        <v>5197</v>
      </c>
      <c r="D2221" s="4" t="str">
        <f t="shared" si="231"/>
        <v>400022664R1</v>
      </c>
      <c r="E2221" s="309" t="str">
        <f>VLOOKUP($B2221,'D7 - NDB Impacted SPRF''s'!$E$6:$O$9929,2,FALSE)</f>
        <v>Suppress Display of Non-UHPD Physician Designation</v>
      </c>
      <c r="F2221" s="8" t="s">
        <v>5443</v>
      </c>
      <c r="G2221" s="8" t="s">
        <v>4758</v>
      </c>
      <c r="H2221" s="8" t="s">
        <v>2870</v>
      </c>
      <c r="I2221" s="20">
        <f>2365/150</f>
        <v>15.766666666666667</v>
      </c>
      <c r="J2221" s="8" t="s">
        <v>4862</v>
      </c>
      <c r="K2221" s="182">
        <v>39676</v>
      </c>
      <c r="L2221" s="8" t="s">
        <v>5743</v>
      </c>
      <c r="M2221" s="8" t="s">
        <v>2814</v>
      </c>
      <c r="N2221" s="38"/>
      <c r="O2221" s="8" t="s">
        <v>1998</v>
      </c>
      <c r="P2221" s="4" t="str">
        <f>VLOOKUP($B2221,'D7 - NDB Impacted SPRF''s'!$E$16:$O$9929,9,FALSE)</f>
        <v>N</v>
      </c>
      <c r="Q2221" s="4" t="str">
        <f>VLOOKUP($B2221,'D7 - NDB Impacted SPRF''s'!$E$16:$O$9929,10,FALSE)</f>
        <v>N</v>
      </c>
      <c r="R2221" s="4" t="str">
        <f>VLOOKUP($B2221,'D7 - NDB Impacted SPRF''s'!$E$16:$O$9929,11,FALSE)</f>
        <v>N</v>
      </c>
      <c r="S2221" s="8"/>
      <c r="T2221" s="310"/>
      <c r="U2221" s="310"/>
      <c r="V2221" s="4"/>
      <c r="W2221" s="4"/>
      <c r="X2221" s="4"/>
      <c r="Y2221" s="4"/>
      <c r="Z2221" s="4"/>
      <c r="AA2221" s="4"/>
      <c r="AB2221" s="380" t="str">
        <f>VLOOKUP($B2221,'D7 - NDB Impacted SPRF''s'!$E$16:$O$9929,4,FALSE)</f>
        <v>Cancelled</v>
      </c>
      <c r="AC2221" s="380" t="str">
        <f>VLOOKUP($B2221,'D7 - NDB Impacted SPRF''s'!$E$16:$O$9929,3,FALSE)</f>
        <v>UnitedHealthcare Employer &amp; Individual</v>
      </c>
      <c r="AD2221" s="380" t="str">
        <f>VLOOKUP($B2221,'D7 - NDB Impacted SPRF''s'!$E$16:$O$9929,5,FALSE)</f>
        <v>Medical Cost Savings Programs</v>
      </c>
      <c r="AE2221" s="380" t="str">
        <f>VLOOKUP($B2221,'D7 - NDB Impacted SPRF''s'!$E$16:$O$9929,7,FALSE)</f>
        <v>Gino Tenace</v>
      </c>
      <c r="AF2221" s="380" t="str">
        <f>VLOOKUP($B2221,'D7 - NDB Impacted SPRF''s'!$E$16:$O$9929,6,FALSE)</f>
        <v>LINDA BARTELT-HERRMANN</v>
      </c>
      <c r="AG2221" s="282"/>
      <c r="AH2221" s="311" t="e">
        <f>INDEX('D5 - Gatekeeper - Projects'!$A$4:$AF$1010,$AM2221, 17)</f>
        <v>#N/A</v>
      </c>
      <c r="AI2221" s="8"/>
      <c r="AJ2221" s="57"/>
      <c r="AK2221" s="105"/>
      <c r="AM2221" s="6" t="e">
        <f>MATCH(D2221,'D5 - Gatekeeper - Projects'!$C$4:$C$1010,0)</f>
        <v>#N/A</v>
      </c>
      <c r="AN2221" s="6" t="b">
        <f t="shared" si="233"/>
        <v>1</v>
      </c>
      <c r="AO2221" s="6" t="str">
        <f t="shared" si="234"/>
        <v>OK</v>
      </c>
      <c r="AQ2221" s="6" t="e">
        <f>MATCH($D2221,'D4 - Provider Council Unsched'!$C$11:$C$234,0)</f>
        <v>#N/A</v>
      </c>
      <c r="AR2221" s="6" t="b">
        <f t="shared" si="235"/>
        <v>1</v>
      </c>
      <c r="AS2221" s="6" t="str">
        <f t="shared" si="237"/>
        <v>OK</v>
      </c>
      <c r="AU2221" s="202"/>
      <c r="AV2221" s="262"/>
      <c r="AW2221" s="274"/>
    </row>
    <row r="2222" spans="1:49" s="13" customFormat="1" ht="33.75" x14ac:dyDescent="0.2">
      <c r="A2222" s="14">
        <v>2198</v>
      </c>
      <c r="B2222" s="14">
        <v>400024510</v>
      </c>
      <c r="C2222" s="8" t="s">
        <v>5197</v>
      </c>
      <c r="D2222" s="4" t="str">
        <f t="shared" si="231"/>
        <v>400024510R1</v>
      </c>
      <c r="E2222" s="309" t="str">
        <f>VLOOKUP($B2222,'D7 - NDB Impacted SPRF''s'!$E$6:$O$9929,2,FALSE)</f>
        <v>PHS QicLink UBH Addition for NSF/HCFA &amp; 837/UB92</v>
      </c>
      <c r="F2222" s="8" t="s">
        <v>6071</v>
      </c>
      <c r="G2222" s="8" t="s">
        <v>4758</v>
      </c>
      <c r="H2222" s="8" t="s">
        <v>2870</v>
      </c>
      <c r="I2222" s="20">
        <f>320/150</f>
        <v>2.1333333333333333</v>
      </c>
      <c r="J2222" s="8" t="s">
        <v>4862</v>
      </c>
      <c r="K2222" s="182">
        <v>39676</v>
      </c>
      <c r="L2222" s="8" t="s">
        <v>5743</v>
      </c>
      <c r="M2222" s="8" t="s">
        <v>5626</v>
      </c>
      <c r="N2222" s="38" t="s">
        <v>3147</v>
      </c>
      <c r="O2222" s="8"/>
      <c r="P2222" s="4" t="str">
        <f>VLOOKUP($B2222,'D7 - NDB Impacted SPRF''s'!$E$16:$O$9929,9,FALSE)</f>
        <v>N</v>
      </c>
      <c r="Q2222" s="4" t="str">
        <f>VLOOKUP($B2222,'D7 - NDB Impacted SPRF''s'!$E$16:$O$9929,10,FALSE)</f>
        <v>N</v>
      </c>
      <c r="R2222" s="4" t="str">
        <f>VLOOKUP($B2222,'D7 - NDB Impacted SPRF''s'!$E$16:$O$9929,11,FALSE)</f>
        <v>N</v>
      </c>
      <c r="S2222" s="8"/>
      <c r="T2222" s="310"/>
      <c r="U2222" s="310"/>
      <c r="V2222" s="4"/>
      <c r="W2222" s="4"/>
      <c r="X2222" s="4"/>
      <c r="Y2222" s="4"/>
      <c r="Z2222" s="4"/>
      <c r="AA2222" s="4"/>
      <c r="AB2222" s="380" t="str">
        <f>VLOOKUP($B2222,'D7 - NDB Impacted SPRF''s'!$E$16:$O$9929,4,FALSE)</f>
        <v>Cancelled</v>
      </c>
      <c r="AC2222" s="380" t="str">
        <f>VLOOKUP($B2222,'D7 - NDB Impacted SPRF''s'!$E$16:$O$9929,3,FALSE)</f>
        <v>UnitedHealthcare Employer &amp; Individual</v>
      </c>
      <c r="AD2222" s="380" t="str">
        <f>VLOOKUP($B2222,'D7 - NDB Impacted SPRF''s'!$E$16:$O$9929,5,FALSE)</f>
        <v>Integration Requirements</v>
      </c>
      <c r="AE2222" s="380" t="str">
        <f>VLOOKUP($B2222,'D7 - NDB Impacted SPRF''s'!$E$16:$O$9929,7,FALSE)</f>
        <v>Sally Verrilli</v>
      </c>
      <c r="AF2222" s="380" t="str">
        <f>VLOOKUP($B2222,'D7 - NDB Impacted SPRF''s'!$E$16:$O$9929,6,FALSE)</f>
        <v>Ellis Miller</v>
      </c>
      <c r="AG2222" s="282"/>
      <c r="AH2222" s="311" t="e">
        <f>INDEX('D5 - Gatekeeper - Projects'!$A$4:$AF$1010,$AM2222, 17)</f>
        <v>#N/A</v>
      </c>
      <c r="AI2222" s="8"/>
      <c r="AJ2222" s="57"/>
      <c r="AK2222" s="105"/>
      <c r="AM2222" s="6" t="e">
        <f>MATCH(D2222,'D5 - Gatekeeper - Projects'!$C$4:$C$1010,0)</f>
        <v>#N/A</v>
      </c>
      <c r="AN2222" s="6" t="b">
        <f t="shared" si="233"/>
        <v>1</v>
      </c>
      <c r="AO2222" s="6" t="str">
        <f t="shared" si="234"/>
        <v>OK</v>
      </c>
      <c r="AQ2222" s="6" t="e">
        <f>MATCH($D2222,'D4 - Provider Council Unsched'!$C$11:$C$234,0)</f>
        <v>#N/A</v>
      </c>
      <c r="AR2222" s="6" t="b">
        <f t="shared" si="235"/>
        <v>1</v>
      </c>
      <c r="AS2222" s="6" t="str">
        <f t="shared" si="237"/>
        <v>OK</v>
      </c>
      <c r="AU2222" s="202"/>
      <c r="AV2222" s="262"/>
      <c r="AW2222" s="274"/>
    </row>
    <row r="2223" spans="1:49" s="13" customFormat="1" x14ac:dyDescent="0.2">
      <c r="A2223" s="14">
        <v>2199</v>
      </c>
      <c r="B2223" s="14" t="s">
        <v>4419</v>
      </c>
      <c r="C2223" s="8" t="s">
        <v>5197</v>
      </c>
      <c r="D2223" s="4" t="str">
        <f t="shared" si="231"/>
        <v>TBDEPDL2R1</v>
      </c>
      <c r="E2223" s="309" t="s">
        <v>7499</v>
      </c>
      <c r="F2223" s="8" t="s">
        <v>2114</v>
      </c>
      <c r="G2223" s="8" t="s">
        <v>4758</v>
      </c>
      <c r="H2223" s="8" t="s">
        <v>2870</v>
      </c>
      <c r="I2223" s="20">
        <v>1.07</v>
      </c>
      <c r="J2223" s="8" t="s">
        <v>7113</v>
      </c>
      <c r="K2223" s="182">
        <v>39676</v>
      </c>
      <c r="L2223" s="8" t="s">
        <v>4156</v>
      </c>
      <c r="M2223" s="8" t="s">
        <v>6007</v>
      </c>
      <c r="N2223" s="38" t="s">
        <v>4374</v>
      </c>
      <c r="O2223" s="8"/>
      <c r="P2223" s="4" t="e">
        <f>VLOOKUP($B2223,'D7 - NDB Impacted SPRF''s'!$E$16:$O$9929,9,FALSE)</f>
        <v>#N/A</v>
      </c>
      <c r="Q2223" s="4" t="e">
        <f>VLOOKUP($B2223,'D7 - NDB Impacted SPRF''s'!$E$16:$O$9929,10,FALSE)</f>
        <v>#N/A</v>
      </c>
      <c r="R2223" s="4" t="e">
        <f>VLOOKUP($B2223,'D7 - NDB Impacted SPRF''s'!$E$16:$O$9929,11,FALSE)</f>
        <v>#N/A</v>
      </c>
      <c r="S2223" s="8"/>
      <c r="T2223" s="310"/>
      <c r="U2223" s="310"/>
      <c r="V2223" s="4"/>
      <c r="W2223" s="4"/>
      <c r="X2223" s="4"/>
      <c r="Y2223" s="4"/>
      <c r="Z2223" s="4"/>
      <c r="AA2223" s="4"/>
      <c r="AB2223" s="380" t="e">
        <f>VLOOKUP($B2223,'D7 - NDB Impacted SPRF''s'!$E$16:$O$9929,4,FALSE)</f>
        <v>#N/A</v>
      </c>
      <c r="AC2223" s="380" t="e">
        <f>VLOOKUP($B2223,'D7 - NDB Impacted SPRF''s'!$E$16:$O$9929,3,FALSE)</f>
        <v>#N/A</v>
      </c>
      <c r="AD2223" s="380" t="e">
        <f>VLOOKUP($B2223,'D7 - NDB Impacted SPRF''s'!$E$16:$O$9929,5,FALSE)</f>
        <v>#N/A</v>
      </c>
      <c r="AE2223" s="380" t="e">
        <f>VLOOKUP($B2223,'D7 - NDB Impacted SPRF''s'!$E$16:$O$9929,7,FALSE)</f>
        <v>#N/A</v>
      </c>
      <c r="AF2223" s="380" t="e">
        <f>VLOOKUP($B2223,'D7 - NDB Impacted SPRF''s'!$E$16:$O$9929,6,FALSE)</f>
        <v>#N/A</v>
      </c>
      <c r="AG2223" s="282"/>
      <c r="AH2223" s="311" t="e">
        <f>INDEX('D5 - Gatekeeper - Projects'!$A$4:$AF$1010,$AM2223, 17)</f>
        <v>#N/A</v>
      </c>
      <c r="AI2223" s="8"/>
      <c r="AJ2223" s="57"/>
      <c r="AK2223" s="105"/>
      <c r="AM2223" s="6" t="e">
        <f>MATCH(D2223,'D5 - Gatekeeper - Projects'!$C$4:$C$1010,0)</f>
        <v>#N/A</v>
      </c>
      <c r="AN2223" s="6" t="b">
        <f t="shared" si="233"/>
        <v>1</v>
      </c>
      <c r="AO2223" s="6" t="str">
        <f t="shared" si="234"/>
        <v>OK</v>
      </c>
      <c r="AQ2223" s="6" t="e">
        <f>MATCH($D2223,'D4 - Provider Council Unsched'!$C$11:$C$234,0)</f>
        <v>#N/A</v>
      </c>
      <c r="AR2223" s="6" t="b">
        <f t="shared" si="235"/>
        <v>1</v>
      </c>
      <c r="AS2223" s="6" t="str">
        <f t="shared" si="237"/>
        <v>OK</v>
      </c>
      <c r="AU2223" s="202"/>
      <c r="AV2223" s="262"/>
      <c r="AW2223" s="274"/>
    </row>
    <row r="2224" spans="1:49" s="13" customFormat="1" x14ac:dyDescent="0.2">
      <c r="A2224" s="14">
        <v>2200</v>
      </c>
      <c r="B2224" s="14" t="s">
        <v>3136</v>
      </c>
      <c r="C2224" s="8" t="s">
        <v>5197</v>
      </c>
      <c r="D2224" s="4" t="str">
        <f t="shared" si="231"/>
        <v>TBDERC01R1</v>
      </c>
      <c r="E2224" s="309" t="s">
        <v>3360</v>
      </c>
      <c r="F2224" s="8" t="s">
        <v>7106</v>
      </c>
      <c r="G2224" s="8" t="s">
        <v>4758</v>
      </c>
      <c r="H2224" s="8" t="s">
        <v>2870</v>
      </c>
      <c r="I2224" s="20">
        <v>100</v>
      </c>
      <c r="J2224" s="8" t="s">
        <v>7113</v>
      </c>
      <c r="K2224" s="182">
        <v>39676</v>
      </c>
      <c r="L2224" s="8" t="s">
        <v>5743</v>
      </c>
      <c r="M2224" s="8" t="s">
        <v>2814</v>
      </c>
      <c r="N2224" s="38" t="s">
        <v>8012</v>
      </c>
      <c r="O2224" s="8"/>
      <c r="P2224" s="4" t="e">
        <f>VLOOKUP($B2224,'D7 - NDB Impacted SPRF''s'!$E$16:$O$9929,9,FALSE)</f>
        <v>#N/A</v>
      </c>
      <c r="Q2224" s="4" t="e">
        <f>VLOOKUP($B2224,'D7 - NDB Impacted SPRF''s'!$E$16:$O$9929,10,FALSE)</f>
        <v>#N/A</v>
      </c>
      <c r="R2224" s="4" t="e">
        <f>VLOOKUP($B2224,'D7 - NDB Impacted SPRF''s'!$E$16:$O$9929,11,FALSE)</f>
        <v>#N/A</v>
      </c>
      <c r="S2224" s="8"/>
      <c r="T2224" s="310"/>
      <c r="U2224" s="310"/>
      <c r="V2224" s="4"/>
      <c r="W2224" s="4"/>
      <c r="X2224" s="4"/>
      <c r="Y2224" s="4"/>
      <c r="Z2224" s="4"/>
      <c r="AA2224" s="4"/>
      <c r="AB2224" s="380" t="e">
        <f>VLOOKUP($B2224,'D7 - NDB Impacted SPRF''s'!$E$16:$O$9929,4,FALSE)</f>
        <v>#N/A</v>
      </c>
      <c r="AC2224" s="380" t="e">
        <f>VLOOKUP($B2224,'D7 - NDB Impacted SPRF''s'!$E$16:$O$9929,3,FALSE)</f>
        <v>#N/A</v>
      </c>
      <c r="AD2224" s="380" t="e">
        <f>VLOOKUP($B2224,'D7 - NDB Impacted SPRF''s'!$E$16:$O$9929,5,FALSE)</f>
        <v>#N/A</v>
      </c>
      <c r="AE2224" s="380" t="e">
        <f>VLOOKUP($B2224,'D7 - NDB Impacted SPRF''s'!$E$16:$O$9929,7,FALSE)</f>
        <v>#N/A</v>
      </c>
      <c r="AF2224" s="380" t="e">
        <f>VLOOKUP($B2224,'D7 - NDB Impacted SPRF''s'!$E$16:$O$9929,6,FALSE)</f>
        <v>#N/A</v>
      </c>
      <c r="AG2224" s="282"/>
      <c r="AH2224" s="311" t="e">
        <f>INDEX('D5 - Gatekeeper - Projects'!$A$4:$AF$1010,$AM2224, 17)</f>
        <v>#N/A</v>
      </c>
      <c r="AI2224" s="8"/>
      <c r="AJ2224" s="57"/>
      <c r="AK2224" s="105"/>
      <c r="AM2224" s="6" t="e">
        <f>MATCH(D2224,'D5 - Gatekeeper - Projects'!$C$4:$C$1010,0)</f>
        <v>#N/A</v>
      </c>
      <c r="AN2224" s="6" t="b">
        <f t="shared" si="233"/>
        <v>1</v>
      </c>
      <c r="AO2224" s="6" t="str">
        <f t="shared" si="234"/>
        <v>OK</v>
      </c>
      <c r="AQ2224" s="6" t="e">
        <f>MATCH($D2224,'D4 - Provider Council Unsched'!$C$11:$C$234,0)</f>
        <v>#N/A</v>
      </c>
      <c r="AR2224" s="6" t="b">
        <f t="shared" si="235"/>
        <v>1</v>
      </c>
      <c r="AS2224" s="6" t="str">
        <f t="shared" si="237"/>
        <v>OK</v>
      </c>
      <c r="AU2224" s="202"/>
      <c r="AV2224" s="262"/>
      <c r="AW2224" s="274"/>
    </row>
    <row r="2225" spans="1:49" s="13" customFormat="1" x14ac:dyDescent="0.2">
      <c r="A2225" s="14">
        <v>2201</v>
      </c>
      <c r="B2225" s="14" t="s">
        <v>7986</v>
      </c>
      <c r="C2225" s="8" t="s">
        <v>5197</v>
      </c>
      <c r="D2225" s="4" t="str">
        <f t="shared" ref="D2225:D2288" si="238">CONCATENATE(B2225,C2225)</f>
        <v>TBDPHS01R1</v>
      </c>
      <c r="E2225" s="309" t="s">
        <v>5886</v>
      </c>
      <c r="F2225" s="8" t="s">
        <v>7763</v>
      </c>
      <c r="G2225" s="8" t="s">
        <v>4758</v>
      </c>
      <c r="H2225" s="8" t="s">
        <v>2870</v>
      </c>
      <c r="I2225" s="20">
        <v>50</v>
      </c>
      <c r="J2225" s="8" t="s">
        <v>7113</v>
      </c>
      <c r="K2225" s="182">
        <v>39676</v>
      </c>
      <c r="L2225" s="8" t="s">
        <v>5743</v>
      </c>
      <c r="M2225" s="8" t="s">
        <v>2814</v>
      </c>
      <c r="N2225" s="38"/>
      <c r="O2225" s="8"/>
      <c r="P2225" s="4" t="e">
        <f>VLOOKUP($B2225,'D7 - NDB Impacted SPRF''s'!$E$16:$O$9929,9,FALSE)</f>
        <v>#N/A</v>
      </c>
      <c r="Q2225" s="4" t="e">
        <f>VLOOKUP($B2225,'D7 - NDB Impacted SPRF''s'!$E$16:$O$9929,10,FALSE)</f>
        <v>#N/A</v>
      </c>
      <c r="R2225" s="4" t="e">
        <f>VLOOKUP($B2225,'D7 - NDB Impacted SPRF''s'!$E$16:$O$9929,11,FALSE)</f>
        <v>#N/A</v>
      </c>
      <c r="S2225" s="8"/>
      <c r="T2225" s="310"/>
      <c r="U2225" s="310"/>
      <c r="V2225" s="4"/>
      <c r="W2225" s="4"/>
      <c r="X2225" s="4"/>
      <c r="Y2225" s="4"/>
      <c r="Z2225" s="4"/>
      <c r="AA2225" s="4"/>
      <c r="AB2225" s="380" t="e">
        <f>VLOOKUP($B2225,'D7 - NDB Impacted SPRF''s'!$E$16:$O$9929,4,FALSE)</f>
        <v>#N/A</v>
      </c>
      <c r="AC2225" s="380" t="e">
        <f>VLOOKUP($B2225,'D7 - NDB Impacted SPRF''s'!$E$16:$O$9929,3,FALSE)</f>
        <v>#N/A</v>
      </c>
      <c r="AD2225" s="380" t="e">
        <f>VLOOKUP($B2225,'D7 - NDB Impacted SPRF''s'!$E$16:$O$9929,5,FALSE)</f>
        <v>#N/A</v>
      </c>
      <c r="AE2225" s="380" t="e">
        <f>VLOOKUP($B2225,'D7 - NDB Impacted SPRF''s'!$E$16:$O$9929,7,FALSE)</f>
        <v>#N/A</v>
      </c>
      <c r="AF2225" s="380" t="e">
        <f>VLOOKUP($B2225,'D7 - NDB Impacted SPRF''s'!$E$16:$O$9929,6,FALSE)</f>
        <v>#N/A</v>
      </c>
      <c r="AG2225" s="282"/>
      <c r="AH2225" s="311" t="e">
        <f>INDEX('D5 - Gatekeeper - Projects'!$A$4:$AF$1010,$AM2225, 17)</f>
        <v>#N/A</v>
      </c>
      <c r="AI2225" s="8"/>
      <c r="AJ2225" s="57"/>
      <c r="AK2225" s="105"/>
      <c r="AM2225" s="6" t="e">
        <f>MATCH(D2225,'D5 - Gatekeeper - Projects'!$C$4:$C$1010,0)</f>
        <v>#N/A</v>
      </c>
      <c r="AN2225" s="6" t="b">
        <f t="shared" si="233"/>
        <v>1</v>
      </c>
      <c r="AO2225" s="6" t="str">
        <f t="shared" si="234"/>
        <v>OK</v>
      </c>
      <c r="AQ2225" s="6" t="e">
        <f>MATCH($D2225,'D4 - Provider Council Unsched'!$C$11:$C$234,0)</f>
        <v>#N/A</v>
      </c>
      <c r="AR2225" s="6" t="b">
        <f t="shared" si="235"/>
        <v>1</v>
      </c>
      <c r="AS2225" s="6" t="str">
        <f t="shared" si="237"/>
        <v>OK</v>
      </c>
      <c r="AU2225" s="202"/>
      <c r="AV2225" s="262"/>
      <c r="AW2225" s="274"/>
    </row>
    <row r="2226" spans="1:49" s="13" customFormat="1" x14ac:dyDescent="0.2">
      <c r="A2226" s="14">
        <v>2202</v>
      </c>
      <c r="B2226" s="14" t="s">
        <v>7986</v>
      </c>
      <c r="C2226" s="8" t="s">
        <v>1992</v>
      </c>
      <c r="D2226" s="4" t="str">
        <f t="shared" si="238"/>
        <v>TBDPHS01U1</v>
      </c>
      <c r="E2226" s="309" t="s">
        <v>5886</v>
      </c>
      <c r="F2226" s="8" t="s">
        <v>7763</v>
      </c>
      <c r="G2226" s="8" t="s">
        <v>4758</v>
      </c>
      <c r="H2226" s="8" t="s">
        <v>2870</v>
      </c>
      <c r="I2226" s="20">
        <v>1.07</v>
      </c>
      <c r="J2226" s="8" t="s">
        <v>7113</v>
      </c>
      <c r="K2226" s="182">
        <v>39676</v>
      </c>
      <c r="L2226" s="8" t="s">
        <v>5743</v>
      </c>
      <c r="M2226" s="8" t="s">
        <v>2814</v>
      </c>
      <c r="N2226" s="38"/>
      <c r="O2226" s="8"/>
      <c r="P2226" s="4" t="e">
        <f>VLOOKUP($B2226,'D7 - NDB Impacted SPRF''s'!$E$16:$O$9929,9,FALSE)</f>
        <v>#N/A</v>
      </c>
      <c r="Q2226" s="4" t="e">
        <f>VLOOKUP($B2226,'D7 - NDB Impacted SPRF''s'!$E$16:$O$9929,10,FALSE)</f>
        <v>#N/A</v>
      </c>
      <c r="R2226" s="4" t="e">
        <f>VLOOKUP($B2226,'D7 - NDB Impacted SPRF''s'!$E$16:$O$9929,11,FALSE)</f>
        <v>#N/A</v>
      </c>
      <c r="S2226" s="8"/>
      <c r="T2226" s="310"/>
      <c r="U2226" s="310"/>
      <c r="V2226" s="4"/>
      <c r="W2226" s="4"/>
      <c r="X2226" s="4"/>
      <c r="Y2226" s="4"/>
      <c r="Z2226" s="4"/>
      <c r="AA2226" s="4"/>
      <c r="AB2226" s="380" t="e">
        <f>VLOOKUP($B2226,'D7 - NDB Impacted SPRF''s'!$E$16:$O$9929,4,FALSE)</f>
        <v>#N/A</v>
      </c>
      <c r="AC2226" s="380" t="e">
        <f>VLOOKUP($B2226,'D7 - NDB Impacted SPRF''s'!$E$16:$O$9929,3,FALSE)</f>
        <v>#N/A</v>
      </c>
      <c r="AD2226" s="380" t="e">
        <f>VLOOKUP($B2226,'D7 - NDB Impacted SPRF''s'!$E$16:$O$9929,5,FALSE)</f>
        <v>#N/A</v>
      </c>
      <c r="AE2226" s="380" t="e">
        <f>VLOOKUP($B2226,'D7 - NDB Impacted SPRF''s'!$E$16:$O$9929,7,FALSE)</f>
        <v>#N/A</v>
      </c>
      <c r="AF2226" s="380" t="e">
        <f>VLOOKUP($B2226,'D7 - NDB Impacted SPRF''s'!$E$16:$O$9929,6,FALSE)</f>
        <v>#N/A</v>
      </c>
      <c r="AG2226" s="282"/>
      <c r="AH2226" s="311" t="e">
        <f>INDEX('D5 - Gatekeeper - Projects'!$A$4:$AF$1010,$AM2226, 17)</f>
        <v>#N/A</v>
      </c>
      <c r="AI2226" s="8"/>
      <c r="AJ2226" s="57"/>
      <c r="AK2226" s="105"/>
      <c r="AM2226" s="6" t="e">
        <f>MATCH(D2226,'D5 - Gatekeeper - Projects'!$C$4:$C$1010,0)</f>
        <v>#N/A</v>
      </c>
      <c r="AN2226" s="6" t="b">
        <f t="shared" si="233"/>
        <v>1</v>
      </c>
      <c r="AO2226" s="6" t="str">
        <f t="shared" si="234"/>
        <v>OK</v>
      </c>
      <c r="AQ2226" s="6" t="e">
        <f>MATCH($D2226,'D4 - Provider Council Unsched'!$C$11:$C$234,0)</f>
        <v>#N/A</v>
      </c>
      <c r="AR2226" s="6" t="b">
        <f t="shared" si="235"/>
        <v>1</v>
      </c>
      <c r="AS2226" s="6" t="str">
        <f t="shared" si="237"/>
        <v>OK</v>
      </c>
      <c r="AU2226" s="202"/>
      <c r="AV2226" s="262"/>
      <c r="AW2226" s="274"/>
    </row>
    <row r="2227" spans="1:49" s="13" customFormat="1" x14ac:dyDescent="0.2">
      <c r="A2227" s="14">
        <v>2203</v>
      </c>
      <c r="B2227" s="14" t="s">
        <v>6776</v>
      </c>
      <c r="C2227" s="8" t="s">
        <v>3763</v>
      </c>
      <c r="D2227" s="4" t="str">
        <f t="shared" si="238"/>
        <v>TBDUPCSAR2</v>
      </c>
      <c r="E2227" s="309" t="s">
        <v>6777</v>
      </c>
      <c r="F2227" s="8" t="s">
        <v>4762</v>
      </c>
      <c r="G2227" s="8" t="s">
        <v>4758</v>
      </c>
      <c r="H2227" s="8" t="s">
        <v>2870</v>
      </c>
      <c r="I2227" s="20">
        <v>30</v>
      </c>
      <c r="J2227" s="8" t="s">
        <v>7113</v>
      </c>
      <c r="K2227" s="182">
        <v>39686</v>
      </c>
      <c r="L2227" s="8" t="s">
        <v>5743</v>
      </c>
      <c r="M2227" s="8" t="s">
        <v>2814</v>
      </c>
      <c r="N2227" s="38" t="s">
        <v>4981</v>
      </c>
      <c r="O2227" s="8"/>
      <c r="P2227" s="4" t="e">
        <f>VLOOKUP($B2227,'D7 - NDB Impacted SPRF''s'!$E$16:$O$9929,9,FALSE)</f>
        <v>#N/A</v>
      </c>
      <c r="Q2227" s="4" t="e">
        <f>VLOOKUP($B2227,'D7 - NDB Impacted SPRF''s'!$E$16:$O$9929,10,FALSE)</f>
        <v>#N/A</v>
      </c>
      <c r="R2227" s="4" t="e">
        <f>VLOOKUP($B2227,'D7 - NDB Impacted SPRF''s'!$E$16:$O$9929,11,FALSE)</f>
        <v>#N/A</v>
      </c>
      <c r="S2227" s="8"/>
      <c r="T2227" s="310"/>
      <c r="U2227" s="310"/>
      <c r="V2227" s="4"/>
      <c r="W2227" s="4"/>
      <c r="X2227" s="4"/>
      <c r="Y2227" s="4"/>
      <c r="Z2227" s="4"/>
      <c r="AA2227" s="4"/>
      <c r="AB2227" s="380" t="e">
        <f>VLOOKUP($B2227,'D7 - NDB Impacted SPRF''s'!$E$16:$O$9929,4,FALSE)</f>
        <v>#N/A</v>
      </c>
      <c r="AC2227" s="380" t="e">
        <f>VLOOKUP($B2227,'D7 - NDB Impacted SPRF''s'!$E$16:$O$9929,3,FALSE)</f>
        <v>#N/A</v>
      </c>
      <c r="AD2227" s="380" t="e">
        <f>VLOOKUP($B2227,'D7 - NDB Impacted SPRF''s'!$E$16:$O$9929,5,FALSE)</f>
        <v>#N/A</v>
      </c>
      <c r="AE2227" s="380" t="e">
        <f>VLOOKUP($B2227,'D7 - NDB Impacted SPRF''s'!$E$16:$O$9929,7,FALSE)</f>
        <v>#N/A</v>
      </c>
      <c r="AF2227" s="380" t="e">
        <f>VLOOKUP($B2227,'D7 - NDB Impacted SPRF''s'!$E$16:$O$9929,6,FALSE)</f>
        <v>#N/A</v>
      </c>
      <c r="AG2227" s="282"/>
      <c r="AH2227" s="311" t="e">
        <f>INDEX('D5 - Gatekeeper - Projects'!$A$4:$AF$1010,$AM2227, 17)</f>
        <v>#N/A</v>
      </c>
      <c r="AI2227" s="8"/>
      <c r="AJ2227" s="57"/>
      <c r="AK2227" s="105"/>
      <c r="AM2227" s="6" t="e">
        <f>MATCH(D2227,'D5 - Gatekeeper - Projects'!$C$4:$C$1010,0)</f>
        <v>#N/A</v>
      </c>
      <c r="AN2227" s="6" t="b">
        <f t="shared" si="233"/>
        <v>1</v>
      </c>
      <c r="AO2227" s="6" t="str">
        <f t="shared" si="234"/>
        <v>OK</v>
      </c>
      <c r="AQ2227" s="6" t="e">
        <f>MATCH($D2227,'D4 - Provider Council Unsched'!$C$11:$C$234,0)</f>
        <v>#N/A</v>
      </c>
      <c r="AR2227" s="6" t="b">
        <f t="shared" si="235"/>
        <v>1</v>
      </c>
      <c r="AS2227" s="6" t="str">
        <f t="shared" si="237"/>
        <v>OK</v>
      </c>
      <c r="AU2227" s="202"/>
      <c r="AV2227" s="262"/>
      <c r="AW2227" s="274"/>
    </row>
    <row r="2228" spans="1:49" s="13" customFormat="1" ht="33.75" x14ac:dyDescent="0.2">
      <c r="A2228" s="14">
        <v>2204</v>
      </c>
      <c r="B2228" s="14">
        <v>400013349</v>
      </c>
      <c r="C2228" s="8" t="s">
        <v>5197</v>
      </c>
      <c r="D2228" s="4" t="str">
        <f t="shared" si="238"/>
        <v>400013349R1</v>
      </c>
      <c r="E2228" s="309" t="str">
        <f>VLOOKUP($B2228,'D7 - NDB Impacted SPRF''s'!$E$6:$O$9929,2,FALSE)</f>
        <v>Change NDB Oxford Provider feed to support UBH</v>
      </c>
      <c r="F2228" s="8" t="s">
        <v>6138</v>
      </c>
      <c r="G2228" s="8" t="s">
        <v>4758</v>
      </c>
      <c r="H2228" s="8" t="s">
        <v>2870</v>
      </c>
      <c r="I2228" s="20">
        <v>0.6</v>
      </c>
      <c r="J2228" s="8" t="s">
        <v>4862</v>
      </c>
      <c r="K2228" s="182">
        <v>39718</v>
      </c>
      <c r="L2228" s="8" t="s">
        <v>5743</v>
      </c>
      <c r="M2228" s="8" t="s">
        <v>6007</v>
      </c>
      <c r="N2228" s="367" t="s">
        <v>6831</v>
      </c>
      <c r="O2228" s="8" t="s">
        <v>5898</v>
      </c>
      <c r="P2228" s="4" t="str">
        <f>VLOOKUP($B2228,'D7 - NDB Impacted SPRF''s'!$E$16:$O$9929,9,FALSE)</f>
        <v>N</v>
      </c>
      <c r="Q2228" s="4" t="str">
        <f>VLOOKUP($B2228,'D7 - NDB Impacted SPRF''s'!$E$16:$O$9929,10,FALSE)</f>
        <v>N</v>
      </c>
      <c r="R2228" s="4" t="str">
        <f>VLOOKUP($B2228,'D7 - NDB Impacted SPRF''s'!$E$16:$O$9929,11,FALSE)</f>
        <v>N</v>
      </c>
      <c r="S2228" s="8" t="s">
        <v>3758</v>
      </c>
      <c r="T2228" s="310"/>
      <c r="U2228" s="310"/>
      <c r="V2228" s="4"/>
      <c r="W2228" s="4"/>
      <c r="X2228" s="4"/>
      <c r="Y2228" s="4"/>
      <c r="Z2228" s="4"/>
      <c r="AA2228" s="4"/>
      <c r="AB2228" s="380" t="str">
        <f>VLOOKUP($B2228,'D7 - NDB Impacted SPRF''s'!$E$16:$O$9929,4,FALSE)</f>
        <v>Cancelled</v>
      </c>
      <c r="AC2228" s="380" t="str">
        <f>VLOOKUP($B2228,'D7 - NDB Impacted SPRF''s'!$E$16:$O$9929,3,FALSE)</f>
        <v>UnitedHealthcare Employer &amp; Individual</v>
      </c>
      <c r="AD2228" s="380" t="str">
        <f>VLOOKUP($B2228,'D7 - NDB Impacted SPRF''s'!$E$16:$O$9929,5,FALSE)</f>
        <v>Integration Requirements</v>
      </c>
      <c r="AE2228" s="380" t="str">
        <f>VLOOKUP($B2228,'D7 - NDB Impacted SPRF''s'!$E$16:$O$9929,7,FALSE)</f>
        <v>Michael Bresolin</v>
      </c>
      <c r="AF2228" s="380" t="str">
        <f>VLOOKUP($B2228,'D7 - NDB Impacted SPRF''s'!$E$16:$O$9929,6,FALSE)</f>
        <v>Mark Leone</v>
      </c>
      <c r="AG2228" s="282"/>
      <c r="AH2228" s="311" t="e">
        <f>INDEX('D5 - Gatekeeper - Projects'!$A$4:$AF$1010,$AM2228, 17)</f>
        <v>#N/A</v>
      </c>
      <c r="AI2228" s="8"/>
      <c r="AJ2228" s="57"/>
      <c r="AK2228" s="105"/>
      <c r="AM2228" s="6" t="e">
        <f>MATCH(D2228,'D5 - Gatekeeper - Projects'!$C$4:$C$1010,0)</f>
        <v>#N/A</v>
      </c>
      <c r="AN2228" s="6" t="b">
        <f t="shared" si="233"/>
        <v>1</v>
      </c>
      <c r="AO2228" s="6" t="str">
        <f t="shared" si="234"/>
        <v>OK</v>
      </c>
      <c r="AQ2228" s="6" t="e">
        <f>MATCH($D2228,'D4 - Provider Council Unsched'!$C$11:$C$234,0)</f>
        <v>#N/A</v>
      </c>
      <c r="AR2228" s="6" t="b">
        <f t="shared" si="235"/>
        <v>1</v>
      </c>
      <c r="AS2228" s="6" t="str">
        <f t="shared" si="237"/>
        <v>OK</v>
      </c>
      <c r="AU2228" s="202"/>
      <c r="AV2228" s="262"/>
      <c r="AW2228" s="274"/>
    </row>
    <row r="2229" spans="1:49" s="13" customFormat="1" ht="33.75" x14ac:dyDescent="0.2">
      <c r="A2229" s="14">
        <v>2205</v>
      </c>
      <c r="B2229" s="14">
        <v>400024662</v>
      </c>
      <c r="C2229" s="8" t="s">
        <v>3763</v>
      </c>
      <c r="D2229" s="4" t="str">
        <f t="shared" si="238"/>
        <v>400024662R2</v>
      </c>
      <c r="E2229" s="309" t="str">
        <f>VLOOKUP($B2229,'D7 - NDB Impacted SPRF''s'!$E$6:$O$9929,2,FALSE)</f>
        <v>State of MN GIS/Market Type/New NDB Product Combo</v>
      </c>
      <c r="F2229" s="8" t="s">
        <v>2114</v>
      </c>
      <c r="G2229" s="8" t="s">
        <v>4758</v>
      </c>
      <c r="H2229" s="8" t="s">
        <v>2870</v>
      </c>
      <c r="I2229" s="20">
        <v>0.66666666666666663</v>
      </c>
      <c r="J2229" s="8" t="s">
        <v>4862</v>
      </c>
      <c r="K2229" s="182">
        <v>39718</v>
      </c>
      <c r="L2229" s="8" t="s">
        <v>5743</v>
      </c>
      <c r="M2229" s="8" t="s">
        <v>5626</v>
      </c>
      <c r="N2229" s="38" t="s">
        <v>6297</v>
      </c>
      <c r="O2229" s="8" t="s">
        <v>2875</v>
      </c>
      <c r="P2229" s="4" t="str">
        <f>VLOOKUP($B2229,'D7 - NDB Impacted SPRF''s'!$E$16:$O$9929,9,FALSE)</f>
        <v>Y</v>
      </c>
      <c r="Q2229" s="4" t="str">
        <f>VLOOKUP($B2229,'D7 - NDB Impacted SPRF''s'!$E$16:$O$9929,10,FALSE)</f>
        <v>N</v>
      </c>
      <c r="R2229" s="4" t="str">
        <f>VLOOKUP($B2229,'D7 - NDB Impacted SPRF''s'!$E$16:$O$9929,11,FALSE)</f>
        <v>N</v>
      </c>
      <c r="S2229" s="8"/>
      <c r="T2229" s="310"/>
      <c r="U2229" s="310"/>
      <c r="V2229" s="4"/>
      <c r="W2229" s="4"/>
      <c r="X2229" s="4"/>
      <c r="Y2229" s="4"/>
      <c r="Z2229" s="4"/>
      <c r="AA2229" s="4"/>
      <c r="AB2229" s="380" t="str">
        <f>VLOOKUP($B2229,'D7 - NDB Impacted SPRF''s'!$E$16:$O$9929,4,FALSE)</f>
        <v>Cancelled</v>
      </c>
      <c r="AC2229" s="380" t="str">
        <f>VLOOKUP($B2229,'D7 - NDB Impacted SPRF''s'!$E$16:$O$9929,3,FALSE)</f>
        <v>UnitedHealthcare Employer &amp; Individual</v>
      </c>
      <c r="AD2229" s="380" t="str">
        <f>VLOOKUP($B2229,'D7 - NDB Impacted SPRF''s'!$E$16:$O$9929,5,FALSE)</f>
        <v>HCA - Medica UNET Conversion</v>
      </c>
      <c r="AE2229" s="380" t="str">
        <f>VLOOKUP($B2229,'D7 - NDB Impacted SPRF''s'!$E$16:$O$9929,7,FALSE)</f>
        <v>Diane Schofield</v>
      </c>
      <c r="AF2229" s="380" t="str">
        <f>VLOOKUP($B2229,'D7 - NDB Impacted SPRF''s'!$E$16:$O$9929,6,FALSE)</f>
        <v>Robert Oxford</v>
      </c>
      <c r="AG2229" s="282"/>
      <c r="AH2229" s="311" t="e">
        <f>INDEX('D5 - Gatekeeper - Projects'!$A$4:$AF$1010,$AM2229, 17)</f>
        <v>#N/A</v>
      </c>
      <c r="AI2229" s="8"/>
      <c r="AJ2229" s="57"/>
      <c r="AK2229" s="105"/>
      <c r="AM2229" s="6" t="e">
        <f>MATCH(D2229,'D5 - Gatekeeper - Projects'!$C$4:$C$1010,0)</f>
        <v>#N/A</v>
      </c>
      <c r="AN2229" s="6" t="b">
        <f t="shared" si="233"/>
        <v>1</v>
      </c>
      <c r="AO2229" s="6" t="str">
        <f t="shared" si="234"/>
        <v>OK</v>
      </c>
      <c r="AQ2229" s="6" t="e">
        <f>MATCH($D2229,'D4 - Provider Council Unsched'!$C$11:$C$234,0)</f>
        <v>#N/A</v>
      </c>
      <c r="AR2229" s="6" t="b">
        <f t="shared" si="235"/>
        <v>1</v>
      </c>
      <c r="AS2229" s="6" t="str">
        <f t="shared" si="237"/>
        <v>OK</v>
      </c>
      <c r="AU2229" s="202"/>
      <c r="AV2229" s="262"/>
      <c r="AW2229" s="274"/>
    </row>
    <row r="2230" spans="1:49" s="13" customFormat="1" x14ac:dyDescent="0.2">
      <c r="A2230" s="14">
        <v>2206</v>
      </c>
      <c r="B2230" s="14" t="s">
        <v>6847</v>
      </c>
      <c r="C2230" s="8" t="s">
        <v>5197</v>
      </c>
      <c r="D2230" s="4" t="str">
        <f t="shared" si="238"/>
        <v>TBDEPDL3R1</v>
      </c>
      <c r="E2230" s="309" t="s">
        <v>7499</v>
      </c>
      <c r="F2230" s="8" t="s">
        <v>2114</v>
      </c>
      <c r="G2230" s="8" t="s">
        <v>4758</v>
      </c>
      <c r="H2230" s="8" t="s">
        <v>2870</v>
      </c>
      <c r="I2230" s="20">
        <v>1.07</v>
      </c>
      <c r="J2230" s="8" t="s">
        <v>7113</v>
      </c>
      <c r="K2230" s="182">
        <v>39718</v>
      </c>
      <c r="L2230" s="8" t="s">
        <v>5743</v>
      </c>
      <c r="M2230" s="8" t="s">
        <v>6007</v>
      </c>
      <c r="N2230" s="38" t="s">
        <v>7130</v>
      </c>
      <c r="O2230" s="8"/>
      <c r="P2230" s="4" t="e">
        <f>VLOOKUP($B2230,'D7 - NDB Impacted SPRF''s'!$E$16:$O$9929,9,FALSE)</f>
        <v>#N/A</v>
      </c>
      <c r="Q2230" s="4" t="e">
        <f>VLOOKUP($B2230,'D7 - NDB Impacted SPRF''s'!$E$16:$O$9929,10,FALSE)</f>
        <v>#N/A</v>
      </c>
      <c r="R2230" s="4" t="e">
        <f>VLOOKUP($B2230,'D7 - NDB Impacted SPRF''s'!$E$16:$O$9929,11,FALSE)</f>
        <v>#N/A</v>
      </c>
      <c r="S2230" s="8"/>
      <c r="T2230" s="310"/>
      <c r="U2230" s="310"/>
      <c r="V2230" s="4"/>
      <c r="W2230" s="4"/>
      <c r="X2230" s="4"/>
      <c r="Y2230" s="4"/>
      <c r="Z2230" s="4"/>
      <c r="AA2230" s="4"/>
      <c r="AB2230" s="380" t="e">
        <f>VLOOKUP($B2230,'D7 - NDB Impacted SPRF''s'!$E$16:$O$9929,4,FALSE)</f>
        <v>#N/A</v>
      </c>
      <c r="AC2230" s="380" t="e">
        <f>VLOOKUP($B2230,'D7 - NDB Impacted SPRF''s'!$E$16:$O$9929,3,FALSE)</f>
        <v>#N/A</v>
      </c>
      <c r="AD2230" s="380" t="e">
        <f>VLOOKUP($B2230,'D7 - NDB Impacted SPRF''s'!$E$16:$O$9929,5,FALSE)</f>
        <v>#N/A</v>
      </c>
      <c r="AE2230" s="380" t="e">
        <f>VLOOKUP($B2230,'D7 - NDB Impacted SPRF''s'!$E$16:$O$9929,7,FALSE)</f>
        <v>#N/A</v>
      </c>
      <c r="AF2230" s="380" t="e">
        <f>VLOOKUP($B2230,'D7 - NDB Impacted SPRF''s'!$E$16:$O$9929,6,FALSE)</f>
        <v>#N/A</v>
      </c>
      <c r="AG2230" s="282"/>
      <c r="AH2230" s="311" t="e">
        <f>INDEX('D5 - Gatekeeper - Projects'!$A$4:$AF$1010,$AM2230, 17)</f>
        <v>#N/A</v>
      </c>
      <c r="AI2230" s="8"/>
      <c r="AJ2230" s="57"/>
      <c r="AK2230" s="105"/>
      <c r="AM2230" s="6" t="e">
        <f>MATCH(D2230,'D5 - Gatekeeper - Projects'!$C$4:$C$1010,0)</f>
        <v>#N/A</v>
      </c>
      <c r="AN2230" s="6" t="b">
        <f t="shared" si="233"/>
        <v>1</v>
      </c>
      <c r="AO2230" s="6" t="str">
        <f t="shared" si="234"/>
        <v>OK</v>
      </c>
      <c r="AQ2230" s="6" t="e">
        <f>MATCH($D2230,'D4 - Provider Council Unsched'!$C$11:$C$234,0)</f>
        <v>#N/A</v>
      </c>
      <c r="AR2230" s="6" t="b">
        <f t="shared" si="235"/>
        <v>1</v>
      </c>
      <c r="AS2230" s="6" t="str">
        <f t="shared" si="237"/>
        <v>OK</v>
      </c>
      <c r="AU2230" s="202"/>
      <c r="AV2230" s="262"/>
      <c r="AW2230" s="274"/>
    </row>
    <row r="2231" spans="1:49" s="13" customFormat="1" x14ac:dyDescent="0.2">
      <c r="A2231" s="14">
        <v>2207</v>
      </c>
      <c r="B2231" s="14" t="s">
        <v>6647</v>
      </c>
      <c r="C2231" s="8" t="s">
        <v>5197</v>
      </c>
      <c r="D2231" s="4" t="str">
        <f t="shared" si="238"/>
        <v>TBDOB21R1</v>
      </c>
      <c r="E2231" s="309" t="s">
        <v>5203</v>
      </c>
      <c r="F2231" s="8" t="s">
        <v>4304</v>
      </c>
      <c r="G2231" s="8" t="s">
        <v>4758</v>
      </c>
      <c r="H2231" s="8" t="s">
        <v>2870</v>
      </c>
      <c r="I2231" s="20">
        <v>1</v>
      </c>
      <c r="J2231" s="8" t="s">
        <v>7113</v>
      </c>
      <c r="K2231" s="182">
        <v>39718</v>
      </c>
      <c r="L2231" s="8" t="s">
        <v>5743</v>
      </c>
      <c r="M2231" s="8" t="s">
        <v>5626</v>
      </c>
      <c r="N2231" s="38" t="s">
        <v>7287</v>
      </c>
      <c r="O2231" s="8" t="s">
        <v>3572</v>
      </c>
      <c r="P2231" s="4" t="e">
        <f>VLOOKUP($B2231,'D7 - NDB Impacted SPRF''s'!$E$16:$O$9929,9,FALSE)</f>
        <v>#N/A</v>
      </c>
      <c r="Q2231" s="4" t="e">
        <f>VLOOKUP($B2231,'D7 - NDB Impacted SPRF''s'!$E$16:$O$9929,10,FALSE)</f>
        <v>#N/A</v>
      </c>
      <c r="R2231" s="4" t="e">
        <f>VLOOKUP($B2231,'D7 - NDB Impacted SPRF''s'!$E$16:$O$9929,11,FALSE)</f>
        <v>#N/A</v>
      </c>
      <c r="S2231" s="8"/>
      <c r="T2231" s="310"/>
      <c r="U2231" s="310"/>
      <c r="V2231" s="4"/>
      <c r="W2231" s="4"/>
      <c r="X2231" s="4"/>
      <c r="Y2231" s="4"/>
      <c r="Z2231" s="4"/>
      <c r="AA2231" s="4"/>
      <c r="AB2231" s="380" t="e">
        <f>VLOOKUP($B2231,'D7 - NDB Impacted SPRF''s'!$E$16:$O$9929,4,FALSE)</f>
        <v>#N/A</v>
      </c>
      <c r="AC2231" s="380" t="e">
        <f>VLOOKUP($B2231,'D7 - NDB Impacted SPRF''s'!$E$16:$O$9929,3,FALSE)</f>
        <v>#N/A</v>
      </c>
      <c r="AD2231" s="380" t="e">
        <f>VLOOKUP($B2231,'D7 - NDB Impacted SPRF''s'!$E$16:$O$9929,5,FALSE)</f>
        <v>#N/A</v>
      </c>
      <c r="AE2231" s="380" t="e">
        <f>VLOOKUP($B2231,'D7 - NDB Impacted SPRF''s'!$E$16:$O$9929,7,FALSE)</f>
        <v>#N/A</v>
      </c>
      <c r="AF2231" s="380" t="e">
        <f>VLOOKUP($B2231,'D7 - NDB Impacted SPRF''s'!$E$16:$O$9929,6,FALSE)</f>
        <v>#N/A</v>
      </c>
      <c r="AG2231" s="282"/>
      <c r="AH2231" s="311" t="e">
        <f>INDEX('D5 - Gatekeeper - Projects'!$A$4:$AF$1010,$AM2231, 17)</f>
        <v>#N/A</v>
      </c>
      <c r="AI2231" s="8"/>
      <c r="AJ2231" s="57"/>
      <c r="AK2231" s="105"/>
      <c r="AM2231" s="6" t="e">
        <f>MATCH(D2231,'D5 - Gatekeeper - Projects'!$C$4:$C$1010,0)</f>
        <v>#N/A</v>
      </c>
      <c r="AN2231" s="6" t="b">
        <f t="shared" si="233"/>
        <v>1</v>
      </c>
      <c r="AO2231" s="6" t="str">
        <f t="shared" si="234"/>
        <v>OK</v>
      </c>
      <c r="AQ2231" s="6" t="e">
        <f>MATCH($D2231,'D4 - Provider Council Unsched'!$C$11:$C$234,0)</f>
        <v>#N/A</v>
      </c>
      <c r="AR2231" s="6" t="b">
        <f t="shared" si="235"/>
        <v>1</v>
      </c>
      <c r="AS2231" s="6" t="str">
        <f t="shared" si="237"/>
        <v>OK</v>
      </c>
      <c r="AU2231" s="202"/>
      <c r="AV2231" s="262"/>
      <c r="AW2231" s="274"/>
    </row>
    <row r="2232" spans="1:49" s="13" customFormat="1" x14ac:dyDescent="0.2">
      <c r="A2232" s="14">
        <v>2208</v>
      </c>
      <c r="B2232" s="14" t="s">
        <v>6648</v>
      </c>
      <c r="C2232" s="8" t="s">
        <v>5197</v>
      </c>
      <c r="D2232" s="4" t="str">
        <f t="shared" si="238"/>
        <v>TBDOB22R1</v>
      </c>
      <c r="E2232" s="309" t="s">
        <v>5203</v>
      </c>
      <c r="F2232" s="8" t="s">
        <v>4304</v>
      </c>
      <c r="G2232" s="8" t="s">
        <v>4758</v>
      </c>
      <c r="H2232" s="8" t="s">
        <v>2870</v>
      </c>
      <c r="I2232" s="20">
        <v>1</v>
      </c>
      <c r="J2232" s="8" t="s">
        <v>7113</v>
      </c>
      <c r="K2232" s="182">
        <v>39718</v>
      </c>
      <c r="L2232" s="8" t="s">
        <v>5743</v>
      </c>
      <c r="M2232" s="8" t="s">
        <v>5626</v>
      </c>
      <c r="N2232" s="38" t="s">
        <v>3901</v>
      </c>
      <c r="O2232" s="8" t="s">
        <v>3572</v>
      </c>
      <c r="P2232" s="4" t="e">
        <f>VLOOKUP($B2232,'D7 - NDB Impacted SPRF''s'!$E$16:$O$9929,9,FALSE)</f>
        <v>#N/A</v>
      </c>
      <c r="Q2232" s="4" t="e">
        <f>VLOOKUP($B2232,'D7 - NDB Impacted SPRF''s'!$E$16:$O$9929,10,FALSE)</f>
        <v>#N/A</v>
      </c>
      <c r="R2232" s="4" t="e">
        <f>VLOOKUP($B2232,'D7 - NDB Impacted SPRF''s'!$E$16:$O$9929,11,FALSE)</f>
        <v>#N/A</v>
      </c>
      <c r="S2232" s="8"/>
      <c r="T2232" s="310"/>
      <c r="U2232" s="310"/>
      <c r="V2232" s="4"/>
      <c r="W2232" s="4"/>
      <c r="X2232" s="4"/>
      <c r="Y2232" s="4"/>
      <c r="Z2232" s="4"/>
      <c r="AA2232" s="4"/>
      <c r="AB2232" s="380" t="e">
        <f>VLOOKUP($B2232,'D7 - NDB Impacted SPRF''s'!$E$16:$O$9929,4,FALSE)</f>
        <v>#N/A</v>
      </c>
      <c r="AC2232" s="380" t="e">
        <f>VLOOKUP($B2232,'D7 - NDB Impacted SPRF''s'!$E$16:$O$9929,3,FALSE)</f>
        <v>#N/A</v>
      </c>
      <c r="AD2232" s="380" t="e">
        <f>VLOOKUP($B2232,'D7 - NDB Impacted SPRF''s'!$E$16:$O$9929,5,FALSE)</f>
        <v>#N/A</v>
      </c>
      <c r="AE2232" s="380" t="e">
        <f>VLOOKUP($B2232,'D7 - NDB Impacted SPRF''s'!$E$16:$O$9929,7,FALSE)</f>
        <v>#N/A</v>
      </c>
      <c r="AF2232" s="380" t="e">
        <f>VLOOKUP($B2232,'D7 - NDB Impacted SPRF''s'!$E$16:$O$9929,6,FALSE)</f>
        <v>#N/A</v>
      </c>
      <c r="AG2232" s="282"/>
      <c r="AH2232" s="311" t="e">
        <f>INDEX('D5 - Gatekeeper - Projects'!$A$4:$AF$1010,$AM2232, 17)</f>
        <v>#N/A</v>
      </c>
      <c r="AI2232" s="8"/>
      <c r="AJ2232" s="57"/>
      <c r="AK2232" s="105"/>
      <c r="AM2232" s="6" t="e">
        <f>MATCH(D2232,'D5 - Gatekeeper - Projects'!$C$4:$C$1010,0)</f>
        <v>#N/A</v>
      </c>
      <c r="AN2232" s="6" t="b">
        <f t="shared" si="233"/>
        <v>1</v>
      </c>
      <c r="AO2232" s="6" t="str">
        <f t="shared" si="234"/>
        <v>OK</v>
      </c>
      <c r="AQ2232" s="6" t="e">
        <f>MATCH($D2232,'D4 - Provider Council Unsched'!$C$11:$C$234,0)</f>
        <v>#N/A</v>
      </c>
      <c r="AR2232" s="6" t="b">
        <f t="shared" si="235"/>
        <v>1</v>
      </c>
      <c r="AS2232" s="6" t="str">
        <f t="shared" si="237"/>
        <v>OK</v>
      </c>
      <c r="AU2232" s="202"/>
      <c r="AV2232" s="262"/>
      <c r="AW2232" s="274"/>
    </row>
    <row r="2233" spans="1:49" s="13" customFormat="1" ht="33.75" x14ac:dyDescent="0.2">
      <c r="A2233" s="14">
        <v>2209</v>
      </c>
      <c r="B2233" s="14">
        <v>400017186</v>
      </c>
      <c r="C2233" s="8" t="s">
        <v>5197</v>
      </c>
      <c r="D2233" s="4" t="str">
        <f t="shared" si="238"/>
        <v>400017186R1</v>
      </c>
      <c r="E2233" s="309" t="str">
        <f>VLOOKUP($B2233,'D7 - NDB Impacted SPRF''s'!$E$6:$O$9929,2,FALSE)</f>
        <v>Medica Non-Par Provider Reimbursement Change</v>
      </c>
      <c r="F2233" s="8" t="s">
        <v>5196</v>
      </c>
      <c r="G2233" s="8" t="s">
        <v>4758</v>
      </c>
      <c r="H2233" s="8" t="s">
        <v>2870</v>
      </c>
      <c r="I2233" s="20">
        <v>7.83</v>
      </c>
      <c r="J2233" s="8" t="s">
        <v>4862</v>
      </c>
      <c r="K2233" s="182">
        <v>39767</v>
      </c>
      <c r="L2233" s="8" t="s">
        <v>5743</v>
      </c>
      <c r="M2233" s="8" t="s">
        <v>2814</v>
      </c>
      <c r="N2233" s="38" t="s">
        <v>2988</v>
      </c>
      <c r="O2233" s="8" t="s">
        <v>2547</v>
      </c>
      <c r="P2233" s="4" t="str">
        <f>VLOOKUP($B2233,'D7 - NDB Impacted SPRF''s'!$E$16:$O$9929,9,FALSE)</f>
        <v>Y</v>
      </c>
      <c r="Q2233" s="4" t="str">
        <f>VLOOKUP($B2233,'D7 - NDB Impacted SPRF''s'!$E$16:$O$9929,10,FALSE)</f>
        <v>N</v>
      </c>
      <c r="R2233" s="4" t="str">
        <f>VLOOKUP($B2233,'D7 - NDB Impacted SPRF''s'!$E$16:$O$9929,11,FALSE)</f>
        <v>N</v>
      </c>
      <c r="S2233" s="8"/>
      <c r="T2233" s="310"/>
      <c r="U2233" s="310"/>
      <c r="V2233" s="4"/>
      <c r="W2233" s="4"/>
      <c r="X2233" s="4"/>
      <c r="Y2233" s="4"/>
      <c r="Z2233" s="4"/>
      <c r="AA2233" s="4"/>
      <c r="AB2233" s="380" t="str">
        <f>VLOOKUP($B2233,'D7 - NDB Impacted SPRF''s'!$E$16:$O$9929,4,FALSE)</f>
        <v>Cancelled</v>
      </c>
      <c r="AC2233" s="380" t="str">
        <f>VLOOKUP($B2233,'D7 - NDB Impacted SPRF''s'!$E$16:$O$9929,3,FALSE)</f>
        <v>UnitedHealthcare Employer &amp; Individual</v>
      </c>
      <c r="AD2233" s="380" t="str">
        <f>VLOOKUP($B2233,'D7 - NDB Impacted SPRF''s'!$E$16:$O$9929,5,FALSE)</f>
        <v>HCA - Medica UNET Conversion</v>
      </c>
      <c r="AE2233" s="380" t="str">
        <f>VLOOKUP($B2233,'D7 - NDB Impacted SPRF''s'!$E$16:$O$9929,7,FALSE)</f>
        <v>Diane Schofield</v>
      </c>
      <c r="AF2233" s="380" t="str">
        <f>VLOOKUP($B2233,'D7 - NDB Impacted SPRF''s'!$E$16:$O$9929,6,FALSE)</f>
        <v>Derek Schmit</v>
      </c>
      <c r="AG2233" s="282"/>
      <c r="AH2233" s="311" t="e">
        <f>INDEX('D5 - Gatekeeper - Projects'!$A$4:$AF$1010,$AM2233, 17)</f>
        <v>#N/A</v>
      </c>
      <c r="AI2233" s="8"/>
      <c r="AJ2233" s="57"/>
      <c r="AK2233" s="105"/>
      <c r="AM2233" s="6" t="e">
        <f>MATCH(D2233,'D5 - Gatekeeper - Projects'!$C$4:$C$1010,0)</f>
        <v>#N/A</v>
      </c>
      <c r="AN2233" s="6" t="b">
        <f t="shared" si="233"/>
        <v>1</v>
      </c>
      <c r="AO2233" s="6" t="str">
        <f t="shared" si="234"/>
        <v>OK</v>
      </c>
      <c r="AQ2233" s="6" t="e">
        <f>MATCH($D2233,'D4 - Provider Council Unsched'!$C$11:$C$234,0)</f>
        <v>#N/A</v>
      </c>
      <c r="AR2233" s="6" t="b">
        <f t="shared" si="235"/>
        <v>1</v>
      </c>
      <c r="AS2233" s="6" t="str">
        <f t="shared" si="237"/>
        <v>OK</v>
      </c>
      <c r="AU2233" s="202"/>
      <c r="AV2233" s="262"/>
      <c r="AW2233" s="274"/>
    </row>
    <row r="2234" spans="1:49" s="13" customFormat="1" ht="33.75" x14ac:dyDescent="0.2">
      <c r="A2234" s="14">
        <v>2210</v>
      </c>
      <c r="B2234" s="14">
        <v>400019781</v>
      </c>
      <c r="C2234" s="8" t="s">
        <v>5197</v>
      </c>
      <c r="D2234" s="4" t="str">
        <f t="shared" si="238"/>
        <v>400019781R1</v>
      </c>
      <c r="E2234" s="309" t="str">
        <f>VLOOKUP($B2234,'D7 - NDB Impacted SPRF''s'!$E$6:$O$9929,2,FALSE)</f>
        <v>Medica Commercial PCC ID Translation</v>
      </c>
      <c r="F2234" s="8" t="s">
        <v>5196</v>
      </c>
      <c r="G2234" s="8" t="s">
        <v>4758</v>
      </c>
      <c r="H2234" s="8" t="s">
        <v>2870</v>
      </c>
      <c r="I2234" s="20">
        <v>1.49</v>
      </c>
      <c r="J2234" s="8" t="s">
        <v>4862</v>
      </c>
      <c r="K2234" s="182">
        <v>39767</v>
      </c>
      <c r="L2234" s="8" t="s">
        <v>5743</v>
      </c>
      <c r="M2234" s="8" t="s">
        <v>2814</v>
      </c>
      <c r="N2234" s="38"/>
      <c r="O2234" s="8" t="s">
        <v>2547</v>
      </c>
      <c r="P2234" s="4" t="str">
        <f>VLOOKUP($B2234,'D7 - NDB Impacted SPRF''s'!$E$16:$O$9929,9,FALSE)</f>
        <v>N</v>
      </c>
      <c r="Q2234" s="4" t="str">
        <f>VLOOKUP($B2234,'D7 - NDB Impacted SPRF''s'!$E$16:$O$9929,10,FALSE)</f>
        <v>N</v>
      </c>
      <c r="R2234" s="4" t="str">
        <f>VLOOKUP($B2234,'D7 - NDB Impacted SPRF''s'!$E$16:$O$9929,11,FALSE)</f>
        <v>N</v>
      </c>
      <c r="S2234" s="8"/>
      <c r="T2234" s="310"/>
      <c r="U2234" s="310"/>
      <c r="V2234" s="4"/>
      <c r="W2234" s="4"/>
      <c r="X2234" s="4"/>
      <c r="Y2234" s="4"/>
      <c r="Z2234" s="4"/>
      <c r="AA2234" s="4"/>
      <c r="AB2234" s="380" t="str">
        <f>VLOOKUP($B2234,'D7 - NDB Impacted SPRF''s'!$E$16:$O$9929,4,FALSE)</f>
        <v>Cancelled</v>
      </c>
      <c r="AC2234" s="380" t="str">
        <f>VLOOKUP($B2234,'D7 - NDB Impacted SPRF''s'!$E$16:$O$9929,3,FALSE)</f>
        <v>UnitedHealthcare Employer &amp; Individual</v>
      </c>
      <c r="AD2234" s="380" t="str">
        <f>VLOOKUP($B2234,'D7 - NDB Impacted SPRF''s'!$E$16:$O$9929,5,FALSE)</f>
        <v>HCA - Medica UNET Conversion</v>
      </c>
      <c r="AE2234" s="380" t="str">
        <f>VLOOKUP($B2234,'D7 - NDB Impacted SPRF''s'!$E$16:$O$9929,7,FALSE)</f>
        <v>Darla Haagensen</v>
      </c>
      <c r="AF2234" s="380" t="str">
        <f>VLOOKUP($B2234,'D7 - NDB Impacted SPRF''s'!$E$16:$O$9929,6,FALSE)</f>
        <v>TAYLOR MIRIAM</v>
      </c>
      <c r="AG2234" s="282"/>
      <c r="AH2234" s="311" t="e">
        <f>INDEX('D5 - Gatekeeper - Projects'!$A$4:$AF$1010,$AM2234, 17)</f>
        <v>#N/A</v>
      </c>
      <c r="AI2234" s="8"/>
      <c r="AJ2234" s="57"/>
      <c r="AK2234" s="105"/>
      <c r="AM2234" s="6" t="e">
        <f>MATCH(D2234,'D5 - Gatekeeper - Projects'!$C$4:$C$1010,0)</f>
        <v>#N/A</v>
      </c>
      <c r="AN2234" s="6" t="b">
        <f t="shared" si="233"/>
        <v>1</v>
      </c>
      <c r="AO2234" s="6" t="str">
        <f t="shared" si="234"/>
        <v>OK</v>
      </c>
      <c r="AQ2234" s="6" t="e">
        <f>MATCH($D2234,'D4 - Provider Council Unsched'!$C$11:$C$234,0)</f>
        <v>#N/A</v>
      </c>
      <c r="AR2234" s="6" t="b">
        <f t="shared" si="235"/>
        <v>1</v>
      </c>
      <c r="AS2234" s="6" t="str">
        <f>IF(AND(H2234="2 - Not Scheduled",AR2234=TRUE,C2234="R1"),"Add","OK")</f>
        <v>OK</v>
      </c>
      <c r="AU2234" s="202"/>
      <c r="AV2234" s="262"/>
      <c r="AW2234" s="274"/>
    </row>
    <row r="2235" spans="1:49" s="13" customFormat="1" ht="33.75" x14ac:dyDescent="0.2">
      <c r="A2235" s="14">
        <v>2211</v>
      </c>
      <c r="B2235" s="14">
        <v>400019886</v>
      </c>
      <c r="C2235" s="8" t="s">
        <v>5197</v>
      </c>
      <c r="D2235" s="4" t="str">
        <f t="shared" si="238"/>
        <v>400019886R1</v>
      </c>
      <c r="E2235" s="309" t="str">
        <f>VLOOKUP($B2235,'D7 - NDB Impacted SPRF''s'!$E$6:$O$9929,2,FALSE)</f>
        <v>Payment Deductions from Standard Capitation Rate</v>
      </c>
      <c r="F2235" s="8" t="s">
        <v>7593</v>
      </c>
      <c r="G2235" s="8" t="s">
        <v>4758</v>
      </c>
      <c r="H2235" s="8" t="s">
        <v>2870</v>
      </c>
      <c r="I2235" s="20">
        <v>32.11</v>
      </c>
      <c r="J2235" s="8" t="s">
        <v>4862</v>
      </c>
      <c r="K2235" s="182">
        <v>39767</v>
      </c>
      <c r="L2235" s="8" t="s">
        <v>5743</v>
      </c>
      <c r="M2235" s="8" t="s">
        <v>2814</v>
      </c>
      <c r="N2235" s="38" t="s">
        <v>3344</v>
      </c>
      <c r="O2235" s="8" t="s">
        <v>1998</v>
      </c>
      <c r="P2235" s="4" t="str">
        <f>VLOOKUP($B2235,'D7 - NDB Impacted SPRF''s'!$E$16:$O$9929,9,FALSE)</f>
        <v>N</v>
      </c>
      <c r="Q2235" s="4" t="str">
        <f>VLOOKUP($B2235,'D7 - NDB Impacted SPRF''s'!$E$16:$O$9929,10,FALSE)</f>
        <v>N</v>
      </c>
      <c r="R2235" s="4" t="str">
        <f>VLOOKUP($B2235,'D7 - NDB Impacted SPRF''s'!$E$16:$O$9929,11,FALSE)</f>
        <v>N</v>
      </c>
      <c r="S2235" s="8"/>
      <c r="T2235" s="310"/>
      <c r="U2235" s="310"/>
      <c r="V2235" s="4"/>
      <c r="W2235" s="4"/>
      <c r="X2235" s="4"/>
      <c r="Y2235" s="4"/>
      <c r="Z2235" s="4"/>
      <c r="AA2235" s="4"/>
      <c r="AB2235" s="380" t="str">
        <f>VLOOKUP($B2235,'D7 - NDB Impacted SPRF''s'!$E$16:$O$9929,4,FALSE)</f>
        <v>Cancelled</v>
      </c>
      <c r="AC2235" s="380" t="str">
        <f>VLOOKUP($B2235,'D7 - NDB Impacted SPRF''s'!$E$16:$O$9929,3,FALSE)</f>
        <v>UnitedHealthcare Employer &amp; Individual</v>
      </c>
      <c r="AD2235" s="380" t="str">
        <f>VLOOKUP($B2235,'D7 - NDB Impacted SPRF''s'!$E$16:$O$9929,5,FALSE)</f>
        <v>Integration Requirements</v>
      </c>
      <c r="AE2235" s="380" t="str">
        <f>VLOOKUP($B2235,'D7 - NDB Impacted SPRF''s'!$E$16:$O$9929,7,FALSE)</f>
        <v>Sue Berkel</v>
      </c>
      <c r="AF2235" s="380" t="str">
        <f>VLOOKUP($B2235,'D7 - NDB Impacted SPRF''s'!$E$16:$O$9929,6,FALSE)</f>
        <v>MELINDA BURWELL</v>
      </c>
      <c r="AG2235" s="282"/>
      <c r="AH2235" s="311" t="e">
        <f>INDEX('D5 - Gatekeeper - Projects'!$A$4:$AF$1010,$AM2235, 17)</f>
        <v>#N/A</v>
      </c>
      <c r="AI2235" s="8"/>
      <c r="AJ2235" s="57"/>
      <c r="AK2235" s="105"/>
      <c r="AM2235" s="6" t="e">
        <f>MATCH(D2235,'D5 - Gatekeeper - Projects'!$C$4:$C$1010,0)</f>
        <v>#N/A</v>
      </c>
      <c r="AN2235" s="6" t="b">
        <f t="shared" si="233"/>
        <v>1</v>
      </c>
      <c r="AO2235" s="6" t="str">
        <f t="shared" si="234"/>
        <v>OK</v>
      </c>
      <c r="AQ2235" s="6" t="e">
        <f>MATCH($D2235,'D4 - Provider Council Unsched'!$C$11:$C$234,0)</f>
        <v>#N/A</v>
      </c>
      <c r="AR2235" s="6" t="b">
        <f t="shared" si="235"/>
        <v>1</v>
      </c>
      <c r="AS2235" s="6" t="str">
        <f>IF(AND(H2235="2 - Not Scheduled",AR2235=TRUE),"Add","OK")</f>
        <v>OK</v>
      </c>
      <c r="AU2235" s="202"/>
      <c r="AV2235" s="262"/>
      <c r="AW2235" s="274"/>
    </row>
    <row r="2236" spans="1:49" s="13" customFormat="1" ht="33.75" x14ac:dyDescent="0.2">
      <c r="A2236" s="14">
        <v>2212</v>
      </c>
      <c r="B2236" s="14">
        <v>400022071</v>
      </c>
      <c r="C2236" s="8" t="s">
        <v>5197</v>
      </c>
      <c r="D2236" s="4" t="str">
        <f t="shared" si="238"/>
        <v>400022071R1</v>
      </c>
      <c r="E2236" s="309" t="str">
        <f>VLOOKUP($B2236,'D7 - NDB Impacted SPRF''s'!$E$6:$O$9929,2,FALSE)</f>
        <v>Americhoice - UHG Provider Portal Link to FACETS</v>
      </c>
      <c r="F2236" s="8" t="s">
        <v>2114</v>
      </c>
      <c r="G2236" s="8" t="s">
        <v>4758</v>
      </c>
      <c r="H2236" s="8" t="s">
        <v>2870</v>
      </c>
      <c r="I2236" s="20">
        <f>160/150</f>
        <v>1.0666666666666667</v>
      </c>
      <c r="J2236" s="8" t="s">
        <v>4862</v>
      </c>
      <c r="K2236" s="182">
        <v>39767</v>
      </c>
      <c r="L2236" s="8" t="s">
        <v>5743</v>
      </c>
      <c r="M2236" s="8" t="s">
        <v>2814</v>
      </c>
      <c r="N2236" s="38" t="s">
        <v>5855</v>
      </c>
      <c r="O2236" s="8" t="s">
        <v>7299</v>
      </c>
      <c r="P2236" s="4" t="str">
        <f>VLOOKUP($B2236,'D7 - NDB Impacted SPRF''s'!$E$16:$O$9929,9,FALSE)</f>
        <v>N</v>
      </c>
      <c r="Q2236" s="4" t="str">
        <f>VLOOKUP($B2236,'D7 - NDB Impacted SPRF''s'!$E$16:$O$9929,10,FALSE)</f>
        <v>N</v>
      </c>
      <c r="R2236" s="4" t="str">
        <f>VLOOKUP($B2236,'D7 - NDB Impacted SPRF''s'!$E$16:$O$9929,11,FALSE)</f>
        <v>N</v>
      </c>
      <c r="S2236" s="8"/>
      <c r="T2236" s="310"/>
      <c r="U2236" s="310"/>
      <c r="V2236" s="4"/>
      <c r="W2236" s="4"/>
      <c r="X2236" s="4"/>
      <c r="Y2236" s="4"/>
      <c r="Z2236" s="4"/>
      <c r="AA2236" s="4"/>
      <c r="AB2236" s="380" t="str">
        <f>VLOOKUP($B2236,'D7 - NDB Impacted SPRF''s'!$E$16:$O$9929,4,FALSE)</f>
        <v>Cancelled</v>
      </c>
      <c r="AC2236" s="380" t="str">
        <f>VLOOKUP($B2236,'D7 - NDB Impacted SPRF''s'!$E$16:$O$9929,3,FALSE)</f>
        <v>UnitedHealthcare Medicare &amp; Retirement</v>
      </c>
      <c r="AD2236" s="380" t="str">
        <f>VLOOKUP($B2236,'D7 - NDB Impacted SPRF''s'!$E$16:$O$9929,5,FALSE)</f>
        <v>Clinical Engagement Toolbox</v>
      </c>
      <c r="AE2236" s="380" t="str">
        <f>VLOOKUP($B2236,'D7 - NDB Impacted SPRF''s'!$E$16:$O$9929,7,FALSE)</f>
        <v>Cindi Middaugh</v>
      </c>
      <c r="AF2236" s="380" t="str">
        <f>VLOOKUP($B2236,'D7 - NDB Impacted SPRF''s'!$E$16:$O$9929,6,FALSE)</f>
        <v>CHRISTINA MOSHER</v>
      </c>
      <c r="AG2236" s="282"/>
      <c r="AH2236" s="311" t="e">
        <f>INDEX('D5 - Gatekeeper - Projects'!$A$4:$AF$1010,$AM2236, 17)</f>
        <v>#N/A</v>
      </c>
      <c r="AI2236" s="8"/>
      <c r="AJ2236" s="57"/>
      <c r="AK2236" s="105"/>
      <c r="AM2236" s="6" t="e">
        <f>MATCH(D2236,'D5 - Gatekeeper - Projects'!$C$4:$C$1010,0)</f>
        <v>#N/A</v>
      </c>
      <c r="AN2236" s="6" t="b">
        <f t="shared" si="233"/>
        <v>1</v>
      </c>
      <c r="AO2236" s="6" t="str">
        <f t="shared" si="234"/>
        <v>OK</v>
      </c>
      <c r="AQ2236" s="6" t="e">
        <f>MATCH($D2236,'D4 - Provider Council Unsched'!$C$11:$C$234,0)</f>
        <v>#N/A</v>
      </c>
      <c r="AR2236" s="6" t="b">
        <f t="shared" si="235"/>
        <v>1</v>
      </c>
      <c r="AS2236" s="6" t="str">
        <f>IF(AND(H2236="2 - Not Scheduled",AR2236=TRUE),"Add","OK")</f>
        <v>OK</v>
      </c>
      <c r="AU2236" s="202"/>
      <c r="AV2236" s="262"/>
      <c r="AW2236" s="274"/>
    </row>
    <row r="2237" spans="1:49" s="13" customFormat="1" ht="33.75" x14ac:dyDescent="0.2">
      <c r="A2237" s="14">
        <v>2213</v>
      </c>
      <c r="B2237" s="14">
        <v>400022471</v>
      </c>
      <c r="C2237" s="8" t="s">
        <v>5197</v>
      </c>
      <c r="D2237" s="4" t="str">
        <f t="shared" si="238"/>
        <v>400022471R1</v>
      </c>
      <c r="E2237" s="309" t="str">
        <f>VLOOKUP($B2237,'D7 - NDB Impacted SPRF''s'!$E$6:$O$9929,2,FALSE)</f>
        <v>PHS Work Package 2, Release 2</v>
      </c>
      <c r="F2237" s="8" t="s">
        <v>6071</v>
      </c>
      <c r="G2237" s="8" t="s">
        <v>4758</v>
      </c>
      <c r="H2237" s="8" t="s">
        <v>2870</v>
      </c>
      <c r="I2237" s="20">
        <f>18804/150</f>
        <v>125.36</v>
      </c>
      <c r="J2237" s="8" t="s">
        <v>4862</v>
      </c>
      <c r="K2237" s="182">
        <v>39767</v>
      </c>
      <c r="L2237" s="8" t="s">
        <v>5743</v>
      </c>
      <c r="M2237" s="8" t="s">
        <v>2814</v>
      </c>
      <c r="N2237" s="38" t="s">
        <v>7485</v>
      </c>
      <c r="O2237" s="8" t="s">
        <v>2547</v>
      </c>
      <c r="P2237" s="4" t="str">
        <f>VLOOKUP($B2237,'D7 - NDB Impacted SPRF''s'!$E$16:$O$9929,9,FALSE)</f>
        <v>Y</v>
      </c>
      <c r="Q2237" s="4" t="str">
        <f>VLOOKUP($B2237,'D7 - NDB Impacted SPRF''s'!$E$16:$O$9929,10,FALSE)</f>
        <v>N</v>
      </c>
      <c r="R2237" s="4" t="str">
        <f>VLOOKUP($B2237,'D7 - NDB Impacted SPRF''s'!$E$16:$O$9929,11,FALSE)</f>
        <v>N</v>
      </c>
      <c r="S2237" s="8"/>
      <c r="T2237" s="310"/>
      <c r="U2237" s="310"/>
      <c r="V2237" s="4"/>
      <c r="W2237" s="4"/>
      <c r="X2237" s="4"/>
      <c r="Y2237" s="4"/>
      <c r="Z2237" s="4"/>
      <c r="AA2237" s="4"/>
      <c r="AB2237" s="380" t="str">
        <f>VLOOKUP($B2237,'D7 - NDB Impacted SPRF''s'!$E$16:$O$9929,4,FALSE)</f>
        <v>Cancelled</v>
      </c>
      <c r="AC2237" s="380" t="str">
        <f>VLOOKUP($B2237,'D7 - NDB Impacted SPRF''s'!$E$16:$O$9929,3,FALSE)</f>
        <v>UnitedHealthcare Employer &amp; Individual</v>
      </c>
      <c r="AD2237" s="380" t="str">
        <f>VLOOKUP($B2237,'D7 - NDB Impacted SPRF''s'!$E$16:$O$9929,5,FALSE)</f>
        <v>Integration Requirements</v>
      </c>
      <c r="AE2237" s="380" t="str">
        <f>VLOOKUP($B2237,'D7 - NDB Impacted SPRF''s'!$E$16:$O$9929,7,FALSE)</f>
        <v>Diane Schofield</v>
      </c>
      <c r="AF2237" s="380" t="str">
        <f>VLOOKUP($B2237,'D7 - NDB Impacted SPRF''s'!$E$16:$O$9929,6,FALSE)</f>
        <v>Rebecca Gent</v>
      </c>
      <c r="AG2237" s="282"/>
      <c r="AH2237" s="311" t="e">
        <f>INDEX('D5 - Gatekeeper - Projects'!$A$4:$AF$1010,$AM2237, 17)</f>
        <v>#N/A</v>
      </c>
      <c r="AI2237" s="8"/>
      <c r="AJ2237" s="57"/>
      <c r="AK2237" s="105"/>
      <c r="AM2237" s="6" t="e">
        <f>MATCH(D2237,'D5 - Gatekeeper - Projects'!$C$4:$C$1010,0)</f>
        <v>#N/A</v>
      </c>
      <c r="AN2237" s="6" t="b">
        <f t="shared" si="233"/>
        <v>1</v>
      </c>
      <c r="AO2237" s="6" t="str">
        <f t="shared" si="234"/>
        <v>OK</v>
      </c>
      <c r="AQ2237" s="6" t="e">
        <f>MATCH($D2237,'D4 - Provider Council Unsched'!$C$11:$C$234,0)</f>
        <v>#N/A</v>
      </c>
      <c r="AR2237" s="6" t="b">
        <f t="shared" si="235"/>
        <v>1</v>
      </c>
      <c r="AS2237" s="6" t="str">
        <f>IF(AND(H2237="2 - Not Scheduled",AR2237=TRUE),"Add","OK")</f>
        <v>OK</v>
      </c>
      <c r="AU2237" s="202"/>
      <c r="AV2237" s="262"/>
      <c r="AW2237" s="274"/>
    </row>
    <row r="2238" spans="1:49" s="13" customFormat="1" x14ac:dyDescent="0.2">
      <c r="A2238" s="14">
        <v>2214</v>
      </c>
      <c r="B2238" s="14">
        <v>400022903</v>
      </c>
      <c r="C2238" s="8" t="s">
        <v>5197</v>
      </c>
      <c r="D2238" s="4" t="str">
        <f t="shared" si="238"/>
        <v>400022903R1</v>
      </c>
      <c r="E2238" s="309" t="str">
        <f>VLOOKUP($B2238,'D7 - NDB Impacted SPRF''s'!$E$6:$O$9929,2,FALSE)</f>
        <v>PBH Facets Migration</v>
      </c>
      <c r="F2238" s="8" t="s">
        <v>3764</v>
      </c>
      <c r="G2238" s="8" t="s">
        <v>4758</v>
      </c>
      <c r="H2238" s="8" t="s">
        <v>2870</v>
      </c>
      <c r="I2238" s="20">
        <f>160/150</f>
        <v>1.0666666666666667</v>
      </c>
      <c r="J2238" s="8" t="s">
        <v>4862</v>
      </c>
      <c r="K2238" s="182">
        <v>39767</v>
      </c>
      <c r="L2238" s="8" t="s">
        <v>5743</v>
      </c>
      <c r="M2238" s="8" t="s">
        <v>5626</v>
      </c>
      <c r="N2238" s="38" t="s">
        <v>5637</v>
      </c>
      <c r="O2238" s="8" t="s">
        <v>2000</v>
      </c>
      <c r="P2238" s="4" t="str">
        <f>VLOOKUP($B2238,'D7 - NDB Impacted SPRF''s'!$E$16:$O$9929,9,FALSE)</f>
        <v>N</v>
      </c>
      <c r="Q2238" s="4" t="str">
        <f>VLOOKUP($B2238,'D7 - NDB Impacted SPRF''s'!$E$16:$O$9929,10,FALSE)</f>
        <v>N</v>
      </c>
      <c r="R2238" s="4" t="str">
        <f>VLOOKUP($B2238,'D7 - NDB Impacted SPRF''s'!$E$16:$O$9929,11,FALSE)</f>
        <v>N</v>
      </c>
      <c r="S2238" s="8"/>
      <c r="T2238" s="310"/>
      <c r="U2238" s="310"/>
      <c r="V2238" s="4"/>
      <c r="W2238" s="4"/>
      <c r="X2238" s="4"/>
      <c r="Y2238" s="4"/>
      <c r="Z2238" s="4"/>
      <c r="AA2238" s="4"/>
      <c r="AB2238" s="380" t="str">
        <f>VLOOKUP($B2238,'D7 - NDB Impacted SPRF''s'!$E$16:$O$9929,4,FALSE)</f>
        <v>Cancelled</v>
      </c>
      <c r="AC2238" s="380" t="str">
        <f>VLOOKUP($B2238,'D7 - NDB Impacted SPRF''s'!$E$16:$O$9929,3,FALSE)</f>
        <v>OptumHealth</v>
      </c>
      <c r="AD2238" s="380" t="str">
        <f>VLOOKUP($B2238,'D7 - NDB Impacted SPRF''s'!$E$16:$O$9929,5,FALSE)</f>
        <v>Behavioral Solutions</v>
      </c>
      <c r="AE2238" s="380" t="str">
        <f>VLOOKUP($B2238,'D7 - NDB Impacted SPRF''s'!$E$16:$O$9929,7,FALSE)</f>
        <v>Lloyd Dyer</v>
      </c>
      <c r="AF2238" s="380" t="str">
        <f>VLOOKUP($B2238,'D7 - NDB Impacted SPRF''s'!$E$16:$O$9929,6,FALSE)</f>
        <v>Teresa Melchior</v>
      </c>
      <c r="AG2238" s="282"/>
      <c r="AH2238" s="311" t="e">
        <f>INDEX('D5 - Gatekeeper - Projects'!$A$4:$AF$1010,$AM2238, 17)</f>
        <v>#N/A</v>
      </c>
      <c r="AI2238" s="8"/>
      <c r="AJ2238" s="57"/>
      <c r="AK2238" s="105"/>
      <c r="AM2238" s="6" t="e">
        <f>MATCH(D2238,'D5 - Gatekeeper - Projects'!$C$4:$C$1010,0)</f>
        <v>#N/A</v>
      </c>
      <c r="AN2238" s="6" t="b">
        <f t="shared" si="233"/>
        <v>1</v>
      </c>
      <c r="AO2238" s="6" t="str">
        <f t="shared" si="234"/>
        <v>OK</v>
      </c>
      <c r="AQ2238" s="6" t="e">
        <f>MATCH($D2238,'D4 - Provider Council Unsched'!$C$11:$C$234,0)</f>
        <v>#N/A</v>
      </c>
      <c r="AR2238" s="6" t="b">
        <f t="shared" si="235"/>
        <v>1</v>
      </c>
      <c r="AS2238" s="6" t="str">
        <f>IF(AND(H2238="2 - Not Scheduled",AR2238=TRUE),"Add","OK")</f>
        <v>OK</v>
      </c>
      <c r="AU2238" s="202"/>
      <c r="AV2238" s="262"/>
      <c r="AW2238" s="274"/>
    </row>
    <row r="2239" spans="1:49" s="13" customFormat="1" ht="33.75" x14ac:dyDescent="0.2">
      <c r="A2239" s="14">
        <v>2215</v>
      </c>
      <c r="B2239" s="14">
        <v>400023446</v>
      </c>
      <c r="C2239" s="8" t="s">
        <v>5197</v>
      </c>
      <c r="D2239" s="4" t="str">
        <f t="shared" si="238"/>
        <v>400023446R1</v>
      </c>
      <c r="E2239" s="309" t="str">
        <f>VLOOKUP($B2239,'D7 - NDB Impacted SPRF''s'!$E$6:$O$9929,2,FALSE)</f>
        <v>Enhance NDB Mass Maintenance</v>
      </c>
      <c r="F2239" s="8" t="s">
        <v>2114</v>
      </c>
      <c r="G2239" s="8" t="s">
        <v>4758</v>
      </c>
      <c r="H2239" s="8" t="s">
        <v>2870</v>
      </c>
      <c r="I2239" s="20">
        <v>12.29</v>
      </c>
      <c r="J2239" s="8" t="s">
        <v>7113</v>
      </c>
      <c r="K2239" s="182">
        <v>39767</v>
      </c>
      <c r="L2239" s="8" t="s">
        <v>4156</v>
      </c>
      <c r="M2239" s="8" t="s">
        <v>2814</v>
      </c>
      <c r="N2239" s="38" t="s">
        <v>7624</v>
      </c>
      <c r="O2239" s="8"/>
      <c r="P2239" s="4" t="str">
        <f>VLOOKUP($B2239,'D7 - NDB Impacted SPRF''s'!$E$16:$O$9929,9,FALSE)</f>
        <v>N</v>
      </c>
      <c r="Q2239" s="4" t="str">
        <f>VLOOKUP($B2239,'D7 - NDB Impacted SPRF''s'!$E$16:$O$9929,10,FALSE)</f>
        <v>N</v>
      </c>
      <c r="R2239" s="4" t="str">
        <f>VLOOKUP($B2239,'D7 - NDB Impacted SPRF''s'!$E$16:$O$9929,11,FALSE)</f>
        <v>N</v>
      </c>
      <c r="S2239" s="8"/>
      <c r="T2239" s="310"/>
      <c r="U2239" s="310"/>
      <c r="V2239" s="4"/>
      <c r="W2239" s="4"/>
      <c r="X2239" s="4"/>
      <c r="Y2239" s="4"/>
      <c r="Z2239" s="4"/>
      <c r="AA2239" s="4"/>
      <c r="AB2239" s="380" t="str">
        <f>VLOOKUP($B2239,'D7 - NDB Impacted SPRF''s'!$E$16:$O$9929,4,FALSE)</f>
        <v>Cancelled</v>
      </c>
      <c r="AC2239" s="380" t="str">
        <f>VLOOKUP($B2239,'D7 - NDB Impacted SPRF''s'!$E$16:$O$9929,3,FALSE)</f>
        <v>UnitedHealthcare Employer &amp; Individual</v>
      </c>
      <c r="AD2239" s="380" t="str">
        <f>VLOOKUP($B2239,'D7 - NDB Impacted SPRF''s'!$E$16:$O$9929,5,FALSE)</f>
        <v>Process Improvement</v>
      </c>
      <c r="AE2239" s="380" t="str">
        <f>VLOOKUP($B2239,'D7 - NDB Impacted SPRF''s'!$E$16:$O$9929,7,FALSE)</f>
        <v>Tim Kaja</v>
      </c>
      <c r="AF2239" s="380" t="str">
        <f>VLOOKUP($B2239,'D7 - NDB Impacted SPRF''s'!$E$16:$O$9929,6,FALSE)</f>
        <v>STEPHEN FINLEY</v>
      </c>
      <c r="AG2239" s="282"/>
      <c r="AH2239" s="311" t="e">
        <f>INDEX('D5 - Gatekeeper - Projects'!$A$4:$AF$1010,$AM2239, 17)</f>
        <v>#N/A</v>
      </c>
      <c r="AI2239" s="8"/>
      <c r="AJ2239" s="57"/>
      <c r="AK2239" s="105"/>
      <c r="AM2239" s="6" t="e">
        <f>MATCH(D2239,'D5 - Gatekeeper - Projects'!$C$4:$C$1010,0)</f>
        <v>#N/A</v>
      </c>
      <c r="AN2239" s="6" t="b">
        <f t="shared" si="233"/>
        <v>1</v>
      </c>
      <c r="AO2239" s="6" t="str">
        <f t="shared" si="234"/>
        <v>OK</v>
      </c>
      <c r="AQ2239" s="6" t="e">
        <f>MATCH($D2239,'D4 - Provider Council Unsched'!$C$11:$C$234,0)</f>
        <v>#N/A</v>
      </c>
      <c r="AR2239" s="6" t="b">
        <f t="shared" si="235"/>
        <v>1</v>
      </c>
      <c r="AS2239" s="6" t="str">
        <f>IF(AND(H2239="2 - Not Scheduled",AR2239=TRUE),"Add","OK")</f>
        <v>OK</v>
      </c>
      <c r="AU2239" s="202"/>
      <c r="AV2239" s="262"/>
      <c r="AW2239" s="274"/>
    </row>
    <row r="2240" spans="1:49" s="13" customFormat="1" ht="33.75" x14ac:dyDescent="0.2">
      <c r="A2240" s="14">
        <v>2216</v>
      </c>
      <c r="B2240" s="14">
        <v>400023858</v>
      </c>
      <c r="C2240" s="8" t="s">
        <v>5197</v>
      </c>
      <c r="D2240" s="4" t="str">
        <f t="shared" si="238"/>
        <v>400023858R1</v>
      </c>
      <c r="E2240" s="309" t="str">
        <f>VLOOKUP($B2240,'D7 - NDB Impacted SPRF''s'!$E$6:$O$9929,2,FALSE)</f>
        <v>AmeriChoice Data Load Funding</v>
      </c>
      <c r="F2240" s="8" t="s">
        <v>2114</v>
      </c>
      <c r="G2240" s="8" t="s">
        <v>4758</v>
      </c>
      <c r="H2240" s="8" t="s">
        <v>2870</v>
      </c>
      <c r="I2240" s="20">
        <f>3150/150</f>
        <v>21</v>
      </c>
      <c r="J2240" s="8" t="s">
        <v>4862</v>
      </c>
      <c r="K2240" s="182">
        <v>39767</v>
      </c>
      <c r="L2240" s="8" t="s">
        <v>5743</v>
      </c>
      <c r="M2240" s="8" t="s">
        <v>2814</v>
      </c>
      <c r="N2240" s="38" t="s">
        <v>1635</v>
      </c>
      <c r="O2240" s="8" t="s">
        <v>4599</v>
      </c>
      <c r="P2240" s="4" t="str">
        <f>VLOOKUP($B2240,'D7 - NDB Impacted SPRF''s'!$E$16:$O$9929,9,FALSE)</f>
        <v>N</v>
      </c>
      <c r="Q2240" s="4" t="str">
        <f>VLOOKUP($B2240,'D7 - NDB Impacted SPRF''s'!$E$16:$O$9929,10,FALSE)</f>
        <v>N</v>
      </c>
      <c r="R2240" s="4" t="str">
        <f>VLOOKUP($B2240,'D7 - NDB Impacted SPRF''s'!$E$16:$O$9929,11,FALSE)</f>
        <v>N</v>
      </c>
      <c r="S2240" s="8"/>
      <c r="T2240" s="310"/>
      <c r="U2240" s="310"/>
      <c r="V2240" s="4"/>
      <c r="W2240" s="4"/>
      <c r="X2240" s="4"/>
      <c r="Y2240" s="4"/>
      <c r="Z2240" s="4"/>
      <c r="AA2240" s="4"/>
      <c r="AB2240" s="380" t="str">
        <f>VLOOKUP($B2240,'D7 - NDB Impacted SPRF''s'!$E$16:$O$9929,4,FALSE)</f>
        <v>Cancelled</v>
      </c>
      <c r="AC2240" s="380" t="str">
        <f>VLOOKUP($B2240,'D7 - NDB Impacted SPRF''s'!$E$16:$O$9929,3,FALSE)</f>
        <v>UnitedHealthcare Community &amp; State</v>
      </c>
      <c r="AD2240" s="380" t="str">
        <f>VLOOKUP($B2240,'D7 - NDB Impacted SPRF''s'!$E$16:$O$9929,5,FALSE)</f>
        <v>AmeriChoice</v>
      </c>
      <c r="AE2240" s="380" t="str">
        <f>VLOOKUP($B2240,'D7 - NDB Impacted SPRF''s'!$E$16:$O$9929,7,FALSE)</f>
        <v>Collins, Garfield</v>
      </c>
      <c r="AF2240" s="380" t="str">
        <f>VLOOKUP($B2240,'D7 - NDB Impacted SPRF''s'!$E$16:$O$9929,6,FALSE)</f>
        <v>GREGORY MILLS</v>
      </c>
      <c r="AG2240" s="282"/>
      <c r="AH2240" s="311" t="e">
        <f>INDEX('D5 - Gatekeeper - Projects'!$A$4:$AF$1010,$AM2240, 17)</f>
        <v>#N/A</v>
      </c>
      <c r="AI2240" s="8"/>
      <c r="AJ2240" s="57"/>
      <c r="AK2240" s="105"/>
      <c r="AM2240" s="6" t="e">
        <f>MATCH(D2240,'D5 - Gatekeeper - Projects'!$C$4:$C$1010,0)</f>
        <v>#N/A</v>
      </c>
      <c r="AN2240" s="6" t="b">
        <f t="shared" si="233"/>
        <v>1</v>
      </c>
      <c r="AO2240" s="6" t="str">
        <f t="shared" si="234"/>
        <v>OK</v>
      </c>
      <c r="AQ2240" s="6" t="e">
        <f>MATCH($D2240,'D4 - Provider Council Unsched'!$C$11:$C$234,0)</f>
        <v>#N/A</v>
      </c>
      <c r="AR2240" s="6" t="b">
        <f t="shared" si="235"/>
        <v>1</v>
      </c>
      <c r="AS2240" s="6" t="str">
        <f>IF(AND(H2240="2 - Not Scheduled",AR2240=TRUE,C2240="R1"),"Add","OK")</f>
        <v>OK</v>
      </c>
      <c r="AU2240" s="202"/>
      <c r="AV2240" s="262"/>
      <c r="AW2240" s="274"/>
    </row>
    <row r="2241" spans="1:49" s="13" customFormat="1" ht="33.75" x14ac:dyDescent="0.2">
      <c r="A2241" s="14">
        <v>2217</v>
      </c>
      <c r="B2241" s="14">
        <v>400024408</v>
      </c>
      <c r="C2241" s="8" t="s">
        <v>5197</v>
      </c>
      <c r="D2241" s="4" t="str">
        <f t="shared" si="238"/>
        <v>400024408R1</v>
      </c>
      <c r="E2241" s="309" t="str">
        <f>VLOOKUP($B2241,'D7 - NDB Impacted SPRF''s'!$E$6:$O$9929,2,FALSE)</f>
        <v>Build NDB.NET in Bravo</v>
      </c>
      <c r="F2241" s="8" t="s">
        <v>2114</v>
      </c>
      <c r="G2241" s="8" t="s">
        <v>4758</v>
      </c>
      <c r="H2241" s="8" t="s">
        <v>2870</v>
      </c>
      <c r="I2241" s="20">
        <v>6.49</v>
      </c>
      <c r="J2241" s="8" t="s">
        <v>4862</v>
      </c>
      <c r="K2241" s="182">
        <v>39767</v>
      </c>
      <c r="L2241" s="8" t="s">
        <v>5743</v>
      </c>
      <c r="M2241" s="8" t="s">
        <v>2814</v>
      </c>
      <c r="N2241" s="38" t="s">
        <v>5077</v>
      </c>
      <c r="O2241" s="8" t="s">
        <v>7086</v>
      </c>
      <c r="P2241" s="4" t="str">
        <f>VLOOKUP($B2241,'D7 - NDB Impacted SPRF''s'!$E$16:$O$9929,9,FALSE)</f>
        <v>N</v>
      </c>
      <c r="Q2241" s="4" t="str">
        <f>VLOOKUP($B2241,'D7 - NDB Impacted SPRF''s'!$E$16:$O$9929,10,FALSE)</f>
        <v>N</v>
      </c>
      <c r="R2241" s="4" t="str">
        <f>VLOOKUP($B2241,'D7 - NDB Impacted SPRF''s'!$E$16:$O$9929,11,FALSE)</f>
        <v>N</v>
      </c>
      <c r="S2241" s="8"/>
      <c r="T2241" s="310"/>
      <c r="U2241" s="310"/>
      <c r="V2241" s="4"/>
      <c r="W2241" s="4"/>
      <c r="X2241" s="4"/>
      <c r="Y2241" s="4"/>
      <c r="Z2241" s="4"/>
      <c r="AA2241" s="4"/>
      <c r="AB2241" s="380" t="str">
        <f>VLOOKUP($B2241,'D7 - NDB Impacted SPRF''s'!$E$16:$O$9929,4,FALSE)</f>
        <v>Cancelled</v>
      </c>
      <c r="AC2241" s="380" t="str">
        <f>VLOOKUP($B2241,'D7 - NDB Impacted SPRF''s'!$E$16:$O$9929,3,FALSE)</f>
        <v>UHG IT - Application Services Group</v>
      </c>
      <c r="AD2241" s="380" t="str">
        <f>VLOOKUP($B2241,'D7 - NDB Impacted SPRF''s'!$E$16:$O$9929,5,FALSE)</f>
        <v>ASG</v>
      </c>
      <c r="AE2241" s="380" t="str">
        <f>VLOOKUP($B2241,'D7 - NDB Impacted SPRF''s'!$E$16:$O$9929,7,FALSE)</f>
        <v>Bob Preston</v>
      </c>
      <c r="AF2241" s="380" t="str">
        <f>VLOOKUP($B2241,'D7 - NDB Impacted SPRF''s'!$E$16:$O$9929,6,FALSE)</f>
        <v>EDWARD SIWICKI</v>
      </c>
      <c r="AG2241" s="282"/>
      <c r="AH2241" s="311" t="e">
        <f>INDEX('D5 - Gatekeeper - Projects'!$A$4:$AF$1010,$AM2241, 17)</f>
        <v>#N/A</v>
      </c>
      <c r="AI2241" s="8"/>
      <c r="AJ2241" s="57"/>
      <c r="AK2241" s="105"/>
      <c r="AM2241" s="6" t="e">
        <f>MATCH(D2241,'D5 - Gatekeeper - Projects'!$C$4:$C$1010,0)</f>
        <v>#N/A</v>
      </c>
      <c r="AN2241" s="6" t="b">
        <f t="shared" si="233"/>
        <v>1</v>
      </c>
      <c r="AO2241" s="6" t="str">
        <f t="shared" si="234"/>
        <v>OK</v>
      </c>
      <c r="AQ2241" s="6" t="e">
        <f>MATCH($D2241,'D4 - Provider Council Unsched'!$C$11:$C$234,0)</f>
        <v>#N/A</v>
      </c>
      <c r="AR2241" s="6" t="b">
        <f t="shared" si="235"/>
        <v>1</v>
      </c>
      <c r="AS2241" s="6" t="str">
        <f>IF(AND(H2241="2 - Not Scheduled",AR2241=TRUE,C2241="R1"),"Add","OK")</f>
        <v>OK</v>
      </c>
      <c r="AU2241" s="202"/>
      <c r="AV2241" s="262"/>
      <c r="AW2241" s="274"/>
    </row>
    <row r="2242" spans="1:49" s="13" customFormat="1" ht="33.75" x14ac:dyDescent="0.2">
      <c r="A2242" s="14">
        <v>2218</v>
      </c>
      <c r="B2242" s="14">
        <v>400024883</v>
      </c>
      <c r="C2242" s="8" t="s">
        <v>5197</v>
      </c>
      <c r="D2242" s="4" t="str">
        <f t="shared" si="238"/>
        <v>400024883R1</v>
      </c>
      <c r="E2242" s="309" t="str">
        <f>VLOOKUP($B2242,'D7 - NDB Impacted SPRF''s'!$E$6:$O$9929,2,FALSE)</f>
        <v>State of MN Partner Certification Testing</v>
      </c>
      <c r="F2242" s="8"/>
      <c r="G2242" s="8" t="s">
        <v>4758</v>
      </c>
      <c r="H2242" s="8" t="s">
        <v>2870</v>
      </c>
      <c r="I2242" s="20">
        <v>1.98</v>
      </c>
      <c r="J2242" s="8" t="s">
        <v>4862</v>
      </c>
      <c r="K2242" s="182">
        <v>39767</v>
      </c>
      <c r="L2242" s="8" t="s">
        <v>5743</v>
      </c>
      <c r="M2242" s="8" t="s">
        <v>5626</v>
      </c>
      <c r="N2242" s="38" t="s">
        <v>8012</v>
      </c>
      <c r="O2242" s="8"/>
      <c r="P2242" s="4" t="str">
        <f>VLOOKUP($B2242,'D7 - NDB Impacted SPRF''s'!$E$16:$O$9929,9,FALSE)</f>
        <v>Y</v>
      </c>
      <c r="Q2242" s="4" t="str">
        <f>VLOOKUP($B2242,'D7 - NDB Impacted SPRF''s'!$E$16:$O$9929,10,FALSE)</f>
        <v>N</v>
      </c>
      <c r="R2242" s="4" t="str">
        <f>VLOOKUP($B2242,'D7 - NDB Impacted SPRF''s'!$E$16:$O$9929,11,FALSE)</f>
        <v>N</v>
      </c>
      <c r="S2242" s="8"/>
      <c r="T2242" s="310"/>
      <c r="U2242" s="310"/>
      <c r="V2242" s="4"/>
      <c r="W2242" s="4"/>
      <c r="X2242" s="4"/>
      <c r="Y2242" s="4"/>
      <c r="Z2242" s="4"/>
      <c r="AA2242" s="4"/>
      <c r="AB2242" s="380" t="str">
        <f>VLOOKUP($B2242,'D7 - NDB Impacted SPRF''s'!$E$16:$O$9929,4,FALSE)</f>
        <v>Cancelled</v>
      </c>
      <c r="AC2242" s="380" t="str">
        <f>VLOOKUP($B2242,'D7 - NDB Impacted SPRF''s'!$E$16:$O$9929,3,FALSE)</f>
        <v>UnitedHealthcare Employer &amp; Individual</v>
      </c>
      <c r="AD2242" s="380" t="str">
        <f>VLOOKUP($B2242,'D7 - NDB Impacted SPRF''s'!$E$16:$O$9929,5,FALSE)</f>
        <v>HCA - Medica UNET Conversion</v>
      </c>
      <c r="AE2242" s="380" t="str">
        <f>VLOOKUP($B2242,'D7 - NDB Impacted SPRF''s'!$E$16:$O$9929,7,FALSE)</f>
        <v>Diane Schofield</v>
      </c>
      <c r="AF2242" s="380" t="str">
        <f>VLOOKUP($B2242,'D7 - NDB Impacted SPRF''s'!$E$16:$O$9929,6,FALSE)</f>
        <v>Cindy Griggs</v>
      </c>
      <c r="AG2242" s="282"/>
      <c r="AH2242" s="311" t="e">
        <f>INDEX('D5 - Gatekeeper - Projects'!$A$4:$AF$1010,$AM2242, 17)</f>
        <v>#N/A</v>
      </c>
      <c r="AI2242" s="8"/>
      <c r="AJ2242" s="57"/>
      <c r="AK2242" s="105"/>
      <c r="AM2242" s="6" t="e">
        <f>MATCH(D2242,'D5 - Gatekeeper - Projects'!$C$4:$C$1010,0)</f>
        <v>#N/A</v>
      </c>
      <c r="AN2242" s="6" t="b">
        <f t="shared" si="233"/>
        <v>1</v>
      </c>
      <c r="AO2242" s="6" t="str">
        <f t="shared" si="234"/>
        <v>OK</v>
      </c>
      <c r="AQ2242" s="6" t="e">
        <f>MATCH($D2242,'D4 - Provider Council Unsched'!$C$11:$C$234,0)</f>
        <v>#N/A</v>
      </c>
      <c r="AR2242" s="6" t="b">
        <f t="shared" si="235"/>
        <v>1</v>
      </c>
      <c r="AS2242" s="6" t="str">
        <f>IF(AND(H2242="2 - Not Scheduled",AR2242=TRUE,C2242="R1"),"Add","OK")</f>
        <v>OK</v>
      </c>
      <c r="AU2242" s="202"/>
      <c r="AV2242" s="262"/>
      <c r="AW2242" s="274"/>
    </row>
    <row r="2243" spans="1:49" s="13" customFormat="1" ht="22.5" x14ac:dyDescent="0.2">
      <c r="A2243" s="14">
        <v>2219</v>
      </c>
      <c r="B2243" s="14">
        <v>400025075</v>
      </c>
      <c r="C2243" s="8" t="s">
        <v>5197</v>
      </c>
      <c r="D2243" s="4" t="str">
        <f t="shared" si="238"/>
        <v>400025075R1</v>
      </c>
      <c r="E2243" s="309" t="str">
        <f>VLOOKUP($B2243,'D7 - NDB Impacted SPRF''s'!$E$6:$O$9929,2,FALSE)</f>
        <v xml:space="preserve">UBH COSMOS Physician Claims Provider Selection </v>
      </c>
      <c r="F2243" s="8" t="s">
        <v>2114</v>
      </c>
      <c r="G2243" s="8" t="s">
        <v>4758</v>
      </c>
      <c r="H2243" s="8" t="s">
        <v>2870</v>
      </c>
      <c r="I2243" s="20">
        <v>1.07</v>
      </c>
      <c r="J2243" s="8" t="s">
        <v>4862</v>
      </c>
      <c r="K2243" s="182">
        <v>39767</v>
      </c>
      <c r="L2243" s="8" t="s">
        <v>4156</v>
      </c>
      <c r="M2243" s="8" t="s">
        <v>4850</v>
      </c>
      <c r="N2243" s="38" t="s">
        <v>7735</v>
      </c>
      <c r="O2243" s="8" t="s">
        <v>2000</v>
      </c>
      <c r="P2243" s="4" t="str">
        <f>VLOOKUP($B2243,'D7 - NDB Impacted SPRF''s'!$E$16:$O$9929,9,FALSE)</f>
        <v>N</v>
      </c>
      <c r="Q2243" s="4" t="str">
        <f>VLOOKUP($B2243,'D7 - NDB Impacted SPRF''s'!$E$16:$O$9929,10,FALSE)</f>
        <v>N</v>
      </c>
      <c r="R2243" s="4" t="str">
        <f>VLOOKUP($B2243,'D7 - NDB Impacted SPRF''s'!$E$16:$O$9929,11,FALSE)</f>
        <v>N</v>
      </c>
      <c r="S2243" s="8"/>
      <c r="T2243" s="310"/>
      <c r="U2243" s="310"/>
      <c r="V2243" s="4"/>
      <c r="W2243" s="4"/>
      <c r="X2243" s="4"/>
      <c r="Y2243" s="4"/>
      <c r="Z2243" s="4"/>
      <c r="AA2243" s="4"/>
      <c r="AB2243" s="380" t="str">
        <f>VLOOKUP($B2243,'D7 - NDB Impacted SPRF''s'!$E$16:$O$9929,4,FALSE)</f>
        <v>Cancelled</v>
      </c>
      <c r="AC2243" s="380" t="str">
        <f>VLOOKUP($B2243,'D7 - NDB Impacted SPRF''s'!$E$16:$O$9929,3,FALSE)</f>
        <v>OptumHealth</v>
      </c>
      <c r="AD2243" s="380" t="str">
        <f>VLOOKUP($B2243,'D7 - NDB Impacted SPRF''s'!$E$16:$O$9929,5,FALSE)</f>
        <v>Behavioral Solutions</v>
      </c>
      <c r="AE2243" s="380" t="str">
        <f>VLOOKUP($B2243,'D7 - NDB Impacted SPRF''s'!$E$16:$O$9929,7,FALSE)</f>
        <v>Lloyd Dyer</v>
      </c>
      <c r="AF2243" s="380" t="str">
        <f>VLOOKUP($B2243,'D7 - NDB Impacted SPRF''s'!$E$16:$O$9929,6,FALSE)</f>
        <v>Terri Hiller</v>
      </c>
      <c r="AG2243" s="282"/>
      <c r="AH2243" s="311" t="e">
        <f>INDEX('D5 - Gatekeeper - Projects'!$A$4:$AF$1010,$AM2243, 17)</f>
        <v>#N/A</v>
      </c>
      <c r="AI2243" s="8"/>
      <c r="AJ2243" s="57"/>
      <c r="AK2243" s="105"/>
      <c r="AM2243" s="6" t="e">
        <f>MATCH(D2243,'D5 - Gatekeeper - Projects'!$C$4:$C$1010,0)</f>
        <v>#N/A</v>
      </c>
      <c r="AN2243" s="6" t="b">
        <f t="shared" si="233"/>
        <v>1</v>
      </c>
      <c r="AO2243" s="6" t="str">
        <f t="shared" si="234"/>
        <v>OK</v>
      </c>
      <c r="AQ2243" s="6" t="e">
        <f>MATCH($D2243,'D4 - Provider Council Unsched'!$C$11:$C$234,0)</f>
        <v>#N/A</v>
      </c>
      <c r="AR2243" s="6" t="b">
        <f t="shared" si="235"/>
        <v>1</v>
      </c>
      <c r="AS2243" s="6" t="str">
        <f>IF(AND(H2243="2 - Not Scheduled",AR2243=TRUE),"Add","OK")</f>
        <v>OK</v>
      </c>
      <c r="AU2243" s="202"/>
      <c r="AV2243" s="262"/>
      <c r="AW2243" s="274"/>
    </row>
    <row r="2244" spans="1:49" s="13" customFormat="1" x14ac:dyDescent="0.2">
      <c r="A2244" s="14">
        <v>2220</v>
      </c>
      <c r="B2244" s="14" t="s">
        <v>6103</v>
      </c>
      <c r="C2244" s="8" t="s">
        <v>5197</v>
      </c>
      <c r="D2244" s="4" t="str">
        <f t="shared" si="238"/>
        <v>TBDEPDL4R1</v>
      </c>
      <c r="E2244" s="309" t="s">
        <v>7499</v>
      </c>
      <c r="F2244" s="8" t="s">
        <v>2114</v>
      </c>
      <c r="G2244" s="8" t="s">
        <v>4758</v>
      </c>
      <c r="H2244" s="8" t="s">
        <v>2870</v>
      </c>
      <c r="I2244" s="20">
        <v>1.07</v>
      </c>
      <c r="J2244" s="8" t="s">
        <v>7113</v>
      </c>
      <c r="K2244" s="182">
        <v>39767</v>
      </c>
      <c r="L2244" s="8" t="s">
        <v>5743</v>
      </c>
      <c r="M2244" s="8" t="s">
        <v>6007</v>
      </c>
      <c r="N2244" s="38" t="s">
        <v>8112</v>
      </c>
      <c r="O2244" s="8"/>
      <c r="P2244" s="4" t="e">
        <f>VLOOKUP($B2244,'D7 - NDB Impacted SPRF''s'!$E$16:$O$9929,9,FALSE)</f>
        <v>#N/A</v>
      </c>
      <c r="Q2244" s="4" t="e">
        <f>VLOOKUP($B2244,'D7 - NDB Impacted SPRF''s'!$E$16:$O$9929,10,FALSE)</f>
        <v>#N/A</v>
      </c>
      <c r="R2244" s="4" t="e">
        <f>VLOOKUP($B2244,'D7 - NDB Impacted SPRF''s'!$E$16:$O$9929,11,FALSE)</f>
        <v>#N/A</v>
      </c>
      <c r="S2244" s="8"/>
      <c r="T2244" s="310"/>
      <c r="U2244" s="310"/>
      <c r="V2244" s="4"/>
      <c r="W2244" s="4"/>
      <c r="X2244" s="4"/>
      <c r="Y2244" s="4"/>
      <c r="Z2244" s="4"/>
      <c r="AA2244" s="4"/>
      <c r="AB2244" s="380" t="e">
        <f>VLOOKUP($B2244,'D7 - NDB Impacted SPRF''s'!$E$16:$O$9929,4,FALSE)</f>
        <v>#N/A</v>
      </c>
      <c r="AC2244" s="380" t="e">
        <f>VLOOKUP($B2244,'D7 - NDB Impacted SPRF''s'!$E$16:$O$9929,3,FALSE)</f>
        <v>#N/A</v>
      </c>
      <c r="AD2244" s="380" t="e">
        <f>VLOOKUP($B2244,'D7 - NDB Impacted SPRF''s'!$E$16:$O$9929,5,FALSE)</f>
        <v>#N/A</v>
      </c>
      <c r="AE2244" s="380" t="e">
        <f>VLOOKUP($B2244,'D7 - NDB Impacted SPRF''s'!$E$16:$O$9929,7,FALSE)</f>
        <v>#N/A</v>
      </c>
      <c r="AF2244" s="380" t="e">
        <f>VLOOKUP($B2244,'D7 - NDB Impacted SPRF''s'!$E$16:$O$9929,6,FALSE)</f>
        <v>#N/A</v>
      </c>
      <c r="AG2244" s="282"/>
      <c r="AH2244" s="311" t="e">
        <f>INDEX('D5 - Gatekeeper - Projects'!$A$4:$AF$1010,$AM2244, 17)</f>
        <v>#N/A</v>
      </c>
      <c r="AI2244" s="8"/>
      <c r="AJ2244" s="57"/>
      <c r="AK2244" s="105"/>
      <c r="AM2244" s="6" t="e">
        <f>MATCH(D2244,'D5 - Gatekeeper - Projects'!$C$4:$C$1010,0)</f>
        <v>#N/A</v>
      </c>
      <c r="AN2244" s="6" t="b">
        <f t="shared" si="233"/>
        <v>1</v>
      </c>
      <c r="AO2244" s="6" t="str">
        <f t="shared" si="234"/>
        <v>OK</v>
      </c>
      <c r="AQ2244" s="6" t="e">
        <f>MATCH($D2244,'D4 - Provider Council Unsched'!$C$11:$C$234,0)</f>
        <v>#N/A</v>
      </c>
      <c r="AR2244" s="6" t="b">
        <f t="shared" si="235"/>
        <v>1</v>
      </c>
      <c r="AS2244" s="6" t="str">
        <f>IF(AND(H2244="2 - Not Scheduled",AR2244=TRUE,C2244="R1"),"Add","OK")</f>
        <v>OK</v>
      </c>
      <c r="AU2244" s="202"/>
      <c r="AV2244" s="262"/>
      <c r="AW2244" s="274"/>
    </row>
    <row r="2245" spans="1:49" s="13" customFormat="1" x14ac:dyDescent="0.2">
      <c r="A2245" s="14">
        <v>2221</v>
      </c>
      <c r="B2245" s="14" t="s">
        <v>6649</v>
      </c>
      <c r="C2245" s="8" t="s">
        <v>5197</v>
      </c>
      <c r="D2245" s="4" t="str">
        <f t="shared" si="238"/>
        <v>TBDOB23R1</v>
      </c>
      <c r="E2245" s="309" t="s">
        <v>5203</v>
      </c>
      <c r="F2245" s="8" t="s">
        <v>4304</v>
      </c>
      <c r="G2245" s="8" t="s">
        <v>4758</v>
      </c>
      <c r="H2245" s="8" t="s">
        <v>2870</v>
      </c>
      <c r="I2245" s="20">
        <v>1</v>
      </c>
      <c r="J2245" s="8" t="s">
        <v>7113</v>
      </c>
      <c r="K2245" s="182">
        <v>39767</v>
      </c>
      <c r="L2245" s="8" t="s">
        <v>5743</v>
      </c>
      <c r="M2245" s="8" t="s">
        <v>5626</v>
      </c>
      <c r="N2245" s="38" t="s">
        <v>4697</v>
      </c>
      <c r="O2245" s="8" t="s">
        <v>3572</v>
      </c>
      <c r="P2245" s="4" t="e">
        <f>VLOOKUP($B2245,'D7 - NDB Impacted SPRF''s'!$E$16:$O$9929,9,FALSE)</f>
        <v>#N/A</v>
      </c>
      <c r="Q2245" s="4" t="e">
        <f>VLOOKUP($B2245,'D7 - NDB Impacted SPRF''s'!$E$16:$O$9929,10,FALSE)</f>
        <v>#N/A</v>
      </c>
      <c r="R2245" s="4" t="e">
        <f>VLOOKUP($B2245,'D7 - NDB Impacted SPRF''s'!$E$16:$O$9929,11,FALSE)</f>
        <v>#N/A</v>
      </c>
      <c r="S2245" s="8"/>
      <c r="T2245" s="310"/>
      <c r="U2245" s="310"/>
      <c r="V2245" s="4"/>
      <c r="W2245" s="4"/>
      <c r="X2245" s="4"/>
      <c r="Y2245" s="4"/>
      <c r="Z2245" s="4"/>
      <c r="AA2245" s="4"/>
      <c r="AB2245" s="380" t="e">
        <f>VLOOKUP($B2245,'D7 - NDB Impacted SPRF''s'!$E$16:$O$9929,4,FALSE)</f>
        <v>#N/A</v>
      </c>
      <c r="AC2245" s="380" t="e">
        <f>VLOOKUP($B2245,'D7 - NDB Impacted SPRF''s'!$E$16:$O$9929,3,FALSE)</f>
        <v>#N/A</v>
      </c>
      <c r="AD2245" s="380" t="e">
        <f>VLOOKUP($B2245,'D7 - NDB Impacted SPRF''s'!$E$16:$O$9929,5,FALSE)</f>
        <v>#N/A</v>
      </c>
      <c r="AE2245" s="380" t="e">
        <f>VLOOKUP($B2245,'D7 - NDB Impacted SPRF''s'!$E$16:$O$9929,7,FALSE)</f>
        <v>#N/A</v>
      </c>
      <c r="AF2245" s="380" t="e">
        <f>VLOOKUP($B2245,'D7 - NDB Impacted SPRF''s'!$E$16:$O$9929,6,FALSE)</f>
        <v>#N/A</v>
      </c>
      <c r="AG2245" s="282"/>
      <c r="AH2245" s="311" t="e">
        <f>INDEX('D5 - Gatekeeper - Projects'!$A$4:$AF$1010,$AM2245, 17)</f>
        <v>#N/A</v>
      </c>
      <c r="AI2245" s="8"/>
      <c r="AJ2245" s="57"/>
      <c r="AK2245" s="105"/>
      <c r="AM2245" s="6" t="e">
        <f>MATCH(D2245,'D5 - Gatekeeper - Projects'!$C$4:$C$1010,0)</f>
        <v>#N/A</v>
      </c>
      <c r="AN2245" s="6" t="b">
        <f t="shared" si="233"/>
        <v>1</v>
      </c>
      <c r="AO2245" s="6" t="str">
        <f t="shared" si="234"/>
        <v>OK</v>
      </c>
      <c r="AQ2245" s="6" t="e">
        <f>MATCH($D2245,'D4 - Provider Council Unsched'!$C$11:$C$234,0)</f>
        <v>#N/A</v>
      </c>
      <c r="AR2245" s="6" t="b">
        <f t="shared" si="235"/>
        <v>1</v>
      </c>
      <c r="AS2245" s="6" t="str">
        <f>IF(AND(H2245="2 - Not Scheduled",AR2245=TRUE),"Add","OK")</f>
        <v>OK</v>
      </c>
      <c r="AU2245" s="202"/>
      <c r="AV2245" s="262"/>
      <c r="AW2245" s="274"/>
    </row>
    <row r="2246" spans="1:49" s="13" customFormat="1" x14ac:dyDescent="0.2">
      <c r="A2246" s="14">
        <v>2222</v>
      </c>
      <c r="B2246" s="14" t="s">
        <v>6650</v>
      </c>
      <c r="C2246" s="8" t="s">
        <v>5197</v>
      </c>
      <c r="D2246" s="4" t="str">
        <f t="shared" si="238"/>
        <v>TBDOB24R1</v>
      </c>
      <c r="E2246" s="309" t="s">
        <v>5203</v>
      </c>
      <c r="F2246" s="8" t="s">
        <v>4304</v>
      </c>
      <c r="G2246" s="8" t="s">
        <v>4758</v>
      </c>
      <c r="H2246" s="8" t="s">
        <v>2870</v>
      </c>
      <c r="I2246" s="20">
        <v>1</v>
      </c>
      <c r="J2246" s="8" t="s">
        <v>7113</v>
      </c>
      <c r="K2246" s="182">
        <v>39767</v>
      </c>
      <c r="L2246" s="8" t="s">
        <v>5743</v>
      </c>
      <c r="M2246" s="8" t="s">
        <v>5626</v>
      </c>
      <c r="N2246" s="38" t="s">
        <v>4697</v>
      </c>
      <c r="O2246" s="8" t="s">
        <v>3572</v>
      </c>
      <c r="P2246" s="4" t="e">
        <f>VLOOKUP($B2246,'D7 - NDB Impacted SPRF''s'!$E$16:$O$9929,9,FALSE)</f>
        <v>#N/A</v>
      </c>
      <c r="Q2246" s="4" t="e">
        <f>VLOOKUP($B2246,'D7 - NDB Impacted SPRF''s'!$E$16:$O$9929,10,FALSE)</f>
        <v>#N/A</v>
      </c>
      <c r="R2246" s="4" t="e">
        <f>VLOOKUP($B2246,'D7 - NDB Impacted SPRF''s'!$E$16:$O$9929,11,FALSE)</f>
        <v>#N/A</v>
      </c>
      <c r="S2246" s="8"/>
      <c r="T2246" s="310"/>
      <c r="U2246" s="310"/>
      <c r="V2246" s="4"/>
      <c r="W2246" s="4"/>
      <c r="X2246" s="4"/>
      <c r="Y2246" s="4"/>
      <c r="Z2246" s="4"/>
      <c r="AA2246" s="4"/>
      <c r="AB2246" s="380" t="e">
        <f>VLOOKUP($B2246,'D7 - NDB Impacted SPRF''s'!$E$16:$O$9929,4,FALSE)</f>
        <v>#N/A</v>
      </c>
      <c r="AC2246" s="380" t="e">
        <f>VLOOKUP($B2246,'D7 - NDB Impacted SPRF''s'!$E$16:$O$9929,3,FALSE)</f>
        <v>#N/A</v>
      </c>
      <c r="AD2246" s="380" t="e">
        <f>VLOOKUP($B2246,'D7 - NDB Impacted SPRF''s'!$E$16:$O$9929,5,FALSE)</f>
        <v>#N/A</v>
      </c>
      <c r="AE2246" s="380" t="e">
        <f>VLOOKUP($B2246,'D7 - NDB Impacted SPRF''s'!$E$16:$O$9929,7,FALSE)</f>
        <v>#N/A</v>
      </c>
      <c r="AF2246" s="380" t="e">
        <f>VLOOKUP($B2246,'D7 - NDB Impacted SPRF''s'!$E$16:$O$9929,6,FALSE)</f>
        <v>#N/A</v>
      </c>
      <c r="AG2246" s="282"/>
      <c r="AH2246" s="311" t="e">
        <f>INDEX('D5 - Gatekeeper - Projects'!$A$4:$AF$1010,$AM2246, 17)</f>
        <v>#N/A</v>
      </c>
      <c r="AI2246" s="8"/>
      <c r="AJ2246" s="57"/>
      <c r="AK2246" s="105"/>
      <c r="AM2246" s="6" t="e">
        <f>MATCH(D2246,'D5 - Gatekeeper - Projects'!$C$4:$C$1010,0)</f>
        <v>#N/A</v>
      </c>
      <c r="AN2246" s="6" t="b">
        <f t="shared" si="233"/>
        <v>1</v>
      </c>
      <c r="AO2246" s="6" t="str">
        <f t="shared" si="234"/>
        <v>OK</v>
      </c>
      <c r="AQ2246" s="6" t="e">
        <f>MATCH($D2246,'D4 - Provider Council Unsched'!$C$11:$C$234,0)</f>
        <v>#N/A</v>
      </c>
      <c r="AR2246" s="6" t="b">
        <f t="shared" si="235"/>
        <v>1</v>
      </c>
      <c r="AS2246" s="6" t="str">
        <f t="shared" ref="AS2246:AS2256" si="239">IF(AND(H2246="2 - Not Scheduled",AR2246=TRUE,C2246="R1"),"Add","OK")</f>
        <v>OK</v>
      </c>
      <c r="AU2246" s="202"/>
      <c r="AV2246" s="262"/>
      <c r="AW2246" s="274"/>
    </row>
    <row r="2247" spans="1:49" s="13" customFormat="1" x14ac:dyDescent="0.2">
      <c r="A2247" s="14">
        <v>2223</v>
      </c>
      <c r="B2247" s="14" t="s">
        <v>7987</v>
      </c>
      <c r="C2247" s="8" t="s">
        <v>5197</v>
      </c>
      <c r="D2247" s="4" t="str">
        <f t="shared" si="238"/>
        <v>TBDPHS02R1</v>
      </c>
      <c r="E2247" s="309" t="s">
        <v>5537</v>
      </c>
      <c r="F2247" s="8" t="s">
        <v>7763</v>
      </c>
      <c r="G2247" s="8" t="s">
        <v>4758</v>
      </c>
      <c r="H2247" s="8" t="s">
        <v>2870</v>
      </c>
      <c r="I2247" s="20">
        <v>51.95</v>
      </c>
      <c r="J2247" s="8" t="s">
        <v>7113</v>
      </c>
      <c r="K2247" s="182">
        <v>39767</v>
      </c>
      <c r="L2247" s="8" t="s">
        <v>5743</v>
      </c>
      <c r="M2247" s="8" t="s">
        <v>2814</v>
      </c>
      <c r="N2247" s="38"/>
      <c r="O2247" s="8"/>
      <c r="P2247" s="4" t="e">
        <f>VLOOKUP($B2247,'D7 - NDB Impacted SPRF''s'!$E$16:$O$9929,9,FALSE)</f>
        <v>#N/A</v>
      </c>
      <c r="Q2247" s="4" t="e">
        <f>VLOOKUP($B2247,'D7 - NDB Impacted SPRF''s'!$E$16:$O$9929,10,FALSE)</f>
        <v>#N/A</v>
      </c>
      <c r="R2247" s="4" t="e">
        <f>VLOOKUP($B2247,'D7 - NDB Impacted SPRF''s'!$E$16:$O$9929,11,FALSE)</f>
        <v>#N/A</v>
      </c>
      <c r="S2247" s="8"/>
      <c r="T2247" s="310"/>
      <c r="U2247" s="310"/>
      <c r="V2247" s="4"/>
      <c r="W2247" s="4"/>
      <c r="X2247" s="4"/>
      <c r="Y2247" s="4"/>
      <c r="Z2247" s="4"/>
      <c r="AA2247" s="4"/>
      <c r="AB2247" s="380" t="e">
        <f>VLOOKUP($B2247,'D7 - NDB Impacted SPRF''s'!$E$16:$O$9929,4,FALSE)</f>
        <v>#N/A</v>
      </c>
      <c r="AC2247" s="380" t="e">
        <f>VLOOKUP($B2247,'D7 - NDB Impacted SPRF''s'!$E$16:$O$9929,3,FALSE)</f>
        <v>#N/A</v>
      </c>
      <c r="AD2247" s="380" t="e">
        <f>VLOOKUP($B2247,'D7 - NDB Impacted SPRF''s'!$E$16:$O$9929,5,FALSE)</f>
        <v>#N/A</v>
      </c>
      <c r="AE2247" s="380" t="e">
        <f>VLOOKUP($B2247,'D7 - NDB Impacted SPRF''s'!$E$16:$O$9929,7,FALSE)</f>
        <v>#N/A</v>
      </c>
      <c r="AF2247" s="380" t="e">
        <f>VLOOKUP($B2247,'D7 - NDB Impacted SPRF''s'!$E$16:$O$9929,6,FALSE)</f>
        <v>#N/A</v>
      </c>
      <c r="AG2247" s="282"/>
      <c r="AH2247" s="311" t="e">
        <f>INDEX('D5 - Gatekeeper - Projects'!$A$4:$AF$1010,$AM2247, 17)</f>
        <v>#N/A</v>
      </c>
      <c r="AI2247" s="8"/>
      <c r="AJ2247" s="57"/>
      <c r="AK2247" s="105"/>
      <c r="AM2247" s="6" t="e">
        <f>MATCH(D2247,'D5 - Gatekeeper - Projects'!$C$4:$C$1010,0)</f>
        <v>#N/A</v>
      </c>
      <c r="AN2247" s="6" t="b">
        <f t="shared" si="233"/>
        <v>1</v>
      </c>
      <c r="AO2247" s="6" t="str">
        <f t="shared" si="234"/>
        <v>OK</v>
      </c>
      <c r="AQ2247" s="6" t="e">
        <f>MATCH($D2247,'D4 - Provider Council Unsched'!$C$11:$C$234,0)</f>
        <v>#N/A</v>
      </c>
      <c r="AR2247" s="6" t="b">
        <f t="shared" si="235"/>
        <v>1</v>
      </c>
      <c r="AS2247" s="6" t="str">
        <f t="shared" si="239"/>
        <v>OK</v>
      </c>
      <c r="AU2247" s="202"/>
      <c r="AV2247" s="262"/>
      <c r="AW2247" s="274"/>
    </row>
    <row r="2248" spans="1:49" s="13" customFormat="1" x14ac:dyDescent="0.2">
      <c r="A2248" s="14">
        <v>2224</v>
      </c>
      <c r="B2248" s="14" t="s">
        <v>7987</v>
      </c>
      <c r="C2248" s="8" t="s">
        <v>1992</v>
      </c>
      <c r="D2248" s="4" t="str">
        <f t="shared" si="238"/>
        <v>TBDPHS02U1</v>
      </c>
      <c r="E2248" s="309" t="s">
        <v>5537</v>
      </c>
      <c r="F2248" s="8" t="s">
        <v>7763</v>
      </c>
      <c r="G2248" s="8" t="s">
        <v>4758</v>
      </c>
      <c r="H2248" s="8" t="s">
        <v>2870</v>
      </c>
      <c r="I2248" s="20">
        <v>1.07</v>
      </c>
      <c r="J2248" s="8" t="s">
        <v>7113</v>
      </c>
      <c r="K2248" s="182">
        <v>39767</v>
      </c>
      <c r="L2248" s="8" t="s">
        <v>5743</v>
      </c>
      <c r="M2248" s="8" t="s">
        <v>2814</v>
      </c>
      <c r="N2248" s="38"/>
      <c r="O2248" s="8"/>
      <c r="P2248" s="4" t="e">
        <f>VLOOKUP($B2248,'D7 - NDB Impacted SPRF''s'!$E$16:$O$9929,9,FALSE)</f>
        <v>#N/A</v>
      </c>
      <c r="Q2248" s="4" t="e">
        <f>VLOOKUP($B2248,'D7 - NDB Impacted SPRF''s'!$E$16:$O$9929,10,FALSE)</f>
        <v>#N/A</v>
      </c>
      <c r="R2248" s="4" t="e">
        <f>VLOOKUP($B2248,'D7 - NDB Impacted SPRF''s'!$E$16:$O$9929,11,FALSE)</f>
        <v>#N/A</v>
      </c>
      <c r="S2248" s="8"/>
      <c r="T2248" s="310"/>
      <c r="U2248" s="310"/>
      <c r="V2248" s="4"/>
      <c r="W2248" s="4"/>
      <c r="X2248" s="4"/>
      <c r="Y2248" s="4"/>
      <c r="Z2248" s="4"/>
      <c r="AA2248" s="4"/>
      <c r="AB2248" s="380" t="e">
        <f>VLOOKUP($B2248,'D7 - NDB Impacted SPRF''s'!$E$16:$O$9929,4,FALSE)</f>
        <v>#N/A</v>
      </c>
      <c r="AC2248" s="380" t="e">
        <f>VLOOKUP($B2248,'D7 - NDB Impacted SPRF''s'!$E$16:$O$9929,3,FALSE)</f>
        <v>#N/A</v>
      </c>
      <c r="AD2248" s="380" t="e">
        <f>VLOOKUP($B2248,'D7 - NDB Impacted SPRF''s'!$E$16:$O$9929,5,FALSE)</f>
        <v>#N/A</v>
      </c>
      <c r="AE2248" s="380" t="e">
        <f>VLOOKUP($B2248,'D7 - NDB Impacted SPRF''s'!$E$16:$O$9929,7,FALSE)</f>
        <v>#N/A</v>
      </c>
      <c r="AF2248" s="380" t="e">
        <f>VLOOKUP($B2248,'D7 - NDB Impacted SPRF''s'!$E$16:$O$9929,6,FALSE)</f>
        <v>#N/A</v>
      </c>
      <c r="AG2248" s="282"/>
      <c r="AH2248" s="311" t="e">
        <f>INDEX('D5 - Gatekeeper - Projects'!$A$4:$AF$1010,$AM2248, 17)</f>
        <v>#N/A</v>
      </c>
      <c r="AI2248" s="8"/>
      <c r="AJ2248" s="57"/>
      <c r="AK2248" s="105"/>
      <c r="AM2248" s="6" t="e">
        <f>MATCH(D2248,'D5 - Gatekeeper - Projects'!$C$4:$C$1010,0)</f>
        <v>#N/A</v>
      </c>
      <c r="AN2248" s="6" t="b">
        <f t="shared" si="233"/>
        <v>1</v>
      </c>
      <c r="AO2248" s="6" t="str">
        <f t="shared" si="234"/>
        <v>OK</v>
      </c>
      <c r="AQ2248" s="6" t="e">
        <f>MATCH($D2248,'D4 - Provider Council Unsched'!$C$11:$C$234,0)</f>
        <v>#N/A</v>
      </c>
      <c r="AR2248" s="6" t="b">
        <f t="shared" si="235"/>
        <v>1</v>
      </c>
      <c r="AS2248" s="6" t="str">
        <f t="shared" si="239"/>
        <v>OK</v>
      </c>
      <c r="AU2248" s="202"/>
      <c r="AV2248" s="262"/>
      <c r="AW2248" s="274"/>
    </row>
    <row r="2249" spans="1:49" s="13" customFormat="1" ht="22.5" x14ac:dyDescent="0.2">
      <c r="A2249" s="14">
        <v>2225</v>
      </c>
      <c r="B2249" s="14" t="s">
        <v>8051</v>
      </c>
      <c r="C2249" s="8" t="s">
        <v>5197</v>
      </c>
      <c r="D2249" s="4" t="str">
        <f t="shared" si="238"/>
        <v>TBDPHS03R1</v>
      </c>
      <c r="E2249" s="309" t="s">
        <v>8052</v>
      </c>
      <c r="F2249" s="8" t="s">
        <v>6071</v>
      </c>
      <c r="G2249" s="8" t="s">
        <v>4758</v>
      </c>
      <c r="H2249" s="8" t="s">
        <v>2870</v>
      </c>
      <c r="I2249" s="20">
        <v>125.36</v>
      </c>
      <c r="J2249" s="8" t="s">
        <v>7113</v>
      </c>
      <c r="K2249" s="182">
        <v>39767</v>
      </c>
      <c r="L2249" s="8" t="s">
        <v>4156</v>
      </c>
      <c r="M2249" s="8" t="s">
        <v>2814</v>
      </c>
      <c r="N2249" s="38" t="s">
        <v>4140</v>
      </c>
      <c r="O2249" s="8"/>
      <c r="P2249" s="4" t="e">
        <f>VLOOKUP($B2249,'D7 - NDB Impacted SPRF''s'!$E$16:$O$9929,9,FALSE)</f>
        <v>#N/A</v>
      </c>
      <c r="Q2249" s="4" t="e">
        <f>VLOOKUP($B2249,'D7 - NDB Impacted SPRF''s'!$E$16:$O$9929,10,FALSE)</f>
        <v>#N/A</v>
      </c>
      <c r="R2249" s="4" t="e">
        <f>VLOOKUP($B2249,'D7 - NDB Impacted SPRF''s'!$E$16:$O$9929,11,FALSE)</f>
        <v>#N/A</v>
      </c>
      <c r="S2249" s="8"/>
      <c r="T2249" s="310"/>
      <c r="U2249" s="310"/>
      <c r="V2249" s="4"/>
      <c r="W2249" s="4"/>
      <c r="X2249" s="4"/>
      <c r="Y2249" s="4"/>
      <c r="Z2249" s="4"/>
      <c r="AA2249" s="4"/>
      <c r="AB2249" s="380" t="e">
        <f>VLOOKUP($B2249,'D7 - NDB Impacted SPRF''s'!$E$16:$O$9929,4,FALSE)</f>
        <v>#N/A</v>
      </c>
      <c r="AC2249" s="380" t="e">
        <f>VLOOKUP($B2249,'D7 - NDB Impacted SPRF''s'!$E$16:$O$9929,3,FALSE)</f>
        <v>#N/A</v>
      </c>
      <c r="AD2249" s="380" t="e">
        <f>VLOOKUP($B2249,'D7 - NDB Impacted SPRF''s'!$E$16:$O$9929,5,FALSE)</f>
        <v>#N/A</v>
      </c>
      <c r="AE2249" s="380" t="e">
        <f>VLOOKUP($B2249,'D7 - NDB Impacted SPRF''s'!$E$16:$O$9929,7,FALSE)</f>
        <v>#N/A</v>
      </c>
      <c r="AF2249" s="380" t="e">
        <f>VLOOKUP($B2249,'D7 - NDB Impacted SPRF''s'!$E$16:$O$9929,6,FALSE)</f>
        <v>#N/A</v>
      </c>
      <c r="AG2249" s="282"/>
      <c r="AH2249" s="311" t="e">
        <f>INDEX('D5 - Gatekeeper - Projects'!$A$4:$AF$1010,$AM2249, 17)</f>
        <v>#N/A</v>
      </c>
      <c r="AI2249" s="8"/>
      <c r="AJ2249" s="57"/>
      <c r="AK2249" s="105"/>
      <c r="AM2249" s="6" t="e">
        <f>MATCH(D2249,'D5 - Gatekeeper - Projects'!$C$4:$C$1010,0)</f>
        <v>#N/A</v>
      </c>
      <c r="AN2249" s="6" t="b">
        <f t="shared" si="233"/>
        <v>1</v>
      </c>
      <c r="AO2249" s="6" t="str">
        <f t="shared" si="234"/>
        <v>OK</v>
      </c>
      <c r="AQ2249" s="6" t="e">
        <f>MATCH($D2249,'D4 - Provider Council Unsched'!$C$11:$C$234,0)</f>
        <v>#N/A</v>
      </c>
      <c r="AR2249" s="6" t="b">
        <f t="shared" si="235"/>
        <v>1</v>
      </c>
      <c r="AS2249" s="6" t="str">
        <f t="shared" si="239"/>
        <v>OK</v>
      </c>
      <c r="AU2249" s="202"/>
      <c r="AV2249" s="262"/>
      <c r="AW2249" s="274"/>
    </row>
    <row r="2250" spans="1:49" s="13" customFormat="1" x14ac:dyDescent="0.2">
      <c r="A2250" s="14">
        <v>2226</v>
      </c>
      <c r="B2250" s="14" t="s">
        <v>6776</v>
      </c>
      <c r="C2250" s="8" t="s">
        <v>2449</v>
      </c>
      <c r="D2250" s="4" t="str">
        <f t="shared" si="238"/>
        <v>TBDUPCSAR3</v>
      </c>
      <c r="E2250" s="309" t="s">
        <v>6777</v>
      </c>
      <c r="F2250" s="8" t="s">
        <v>4762</v>
      </c>
      <c r="G2250" s="8" t="s">
        <v>4758</v>
      </c>
      <c r="H2250" s="8" t="s">
        <v>2870</v>
      </c>
      <c r="I2250" s="20">
        <v>10</v>
      </c>
      <c r="J2250" s="8" t="s">
        <v>7113</v>
      </c>
      <c r="K2250" s="182">
        <v>39767</v>
      </c>
      <c r="L2250" s="8" t="s">
        <v>4156</v>
      </c>
      <c r="M2250" s="8" t="s">
        <v>6688</v>
      </c>
      <c r="N2250" s="38"/>
      <c r="O2250" s="8"/>
      <c r="P2250" s="4" t="e">
        <f>VLOOKUP($B2250,'D7 - NDB Impacted SPRF''s'!$E$16:$O$9929,9,FALSE)</f>
        <v>#N/A</v>
      </c>
      <c r="Q2250" s="4" t="e">
        <f>VLOOKUP($B2250,'D7 - NDB Impacted SPRF''s'!$E$16:$O$9929,10,FALSE)</f>
        <v>#N/A</v>
      </c>
      <c r="R2250" s="4" t="e">
        <f>VLOOKUP($B2250,'D7 - NDB Impacted SPRF''s'!$E$16:$O$9929,11,FALSE)</f>
        <v>#N/A</v>
      </c>
      <c r="S2250" s="8"/>
      <c r="T2250" s="310"/>
      <c r="U2250" s="310"/>
      <c r="V2250" s="4"/>
      <c r="W2250" s="4"/>
      <c r="X2250" s="4"/>
      <c r="Y2250" s="4"/>
      <c r="Z2250" s="4"/>
      <c r="AA2250" s="4"/>
      <c r="AB2250" s="380" t="e">
        <f>VLOOKUP($B2250,'D7 - NDB Impacted SPRF''s'!$E$16:$O$9929,4,FALSE)</f>
        <v>#N/A</v>
      </c>
      <c r="AC2250" s="380" t="e">
        <f>VLOOKUP($B2250,'D7 - NDB Impacted SPRF''s'!$E$16:$O$9929,3,FALSE)</f>
        <v>#N/A</v>
      </c>
      <c r="AD2250" s="380" t="e">
        <f>VLOOKUP($B2250,'D7 - NDB Impacted SPRF''s'!$E$16:$O$9929,5,FALSE)</f>
        <v>#N/A</v>
      </c>
      <c r="AE2250" s="380" t="e">
        <f>VLOOKUP($B2250,'D7 - NDB Impacted SPRF''s'!$E$16:$O$9929,7,FALSE)</f>
        <v>#N/A</v>
      </c>
      <c r="AF2250" s="380" t="e">
        <f>VLOOKUP($B2250,'D7 - NDB Impacted SPRF''s'!$E$16:$O$9929,6,FALSE)</f>
        <v>#N/A</v>
      </c>
      <c r="AG2250" s="282"/>
      <c r="AH2250" s="311" t="e">
        <f>INDEX('D5 - Gatekeeper - Projects'!$A$4:$AF$1010,$AM2250, 17)</f>
        <v>#N/A</v>
      </c>
      <c r="AI2250" s="8"/>
      <c r="AJ2250" s="57"/>
      <c r="AK2250" s="105"/>
      <c r="AM2250" s="6" t="e">
        <f>MATCH(D2250,'D5 - Gatekeeper - Projects'!$C$4:$C$1010,0)</f>
        <v>#N/A</v>
      </c>
      <c r="AN2250" s="6" t="b">
        <f t="shared" ref="AN2250:AN2313" si="240">ISERROR(AM2250)</f>
        <v>1</v>
      </c>
      <c r="AO2250" s="6" t="str">
        <f t="shared" ref="AO2250:AO2313" si="241">IF(AND(H2250="1 - Scheduled",AN2250=TRUE),"Add","OK")</f>
        <v>OK</v>
      </c>
      <c r="AQ2250" s="6" t="e">
        <f>MATCH($D2250,'D4 - Provider Council Unsched'!$C$11:$C$234,0)</f>
        <v>#N/A</v>
      </c>
      <c r="AR2250" s="6" t="b">
        <f t="shared" ref="AR2250:AR2313" si="242">ISERROR(AQ2250)</f>
        <v>1</v>
      </c>
      <c r="AS2250" s="6" t="str">
        <f t="shared" si="239"/>
        <v>OK</v>
      </c>
      <c r="AU2250" s="202"/>
      <c r="AV2250" s="262"/>
      <c r="AW2250" s="274"/>
    </row>
    <row r="2251" spans="1:49" s="13" customFormat="1" ht="33.75" x14ac:dyDescent="0.2">
      <c r="A2251" s="14">
        <v>2227</v>
      </c>
      <c r="B2251" s="14">
        <v>400020629</v>
      </c>
      <c r="C2251" s="8" t="s">
        <v>2449</v>
      </c>
      <c r="D2251" s="4" t="str">
        <f t="shared" si="238"/>
        <v>400020629R3</v>
      </c>
      <c r="E2251" s="309" t="str">
        <f>VLOOKUP($B2251,'D7 - NDB Impacted SPRF''s'!$E$6:$O$9929,2,FALSE)</f>
        <v xml:space="preserve">Funding Table Redesign </v>
      </c>
      <c r="F2251" s="8" t="s">
        <v>5752</v>
      </c>
      <c r="G2251" s="8" t="s">
        <v>4758</v>
      </c>
      <c r="H2251" s="8" t="s">
        <v>2870</v>
      </c>
      <c r="I2251" s="20"/>
      <c r="J2251" s="8" t="s">
        <v>4862</v>
      </c>
      <c r="K2251" s="182">
        <v>39858</v>
      </c>
      <c r="L2251" s="8" t="s">
        <v>5743</v>
      </c>
      <c r="M2251" s="8" t="s">
        <v>2814</v>
      </c>
      <c r="N2251" s="38" t="s">
        <v>3487</v>
      </c>
      <c r="O2251" s="8" t="s">
        <v>5042</v>
      </c>
      <c r="P2251" s="4" t="str">
        <f>VLOOKUP($B2251,'D7 - NDB Impacted SPRF''s'!$E$16:$O$9929,9,FALSE)</f>
        <v>Y</v>
      </c>
      <c r="Q2251" s="4" t="str">
        <f>VLOOKUP($B2251,'D7 - NDB Impacted SPRF''s'!$E$16:$O$9929,10,FALSE)</f>
        <v>N</v>
      </c>
      <c r="R2251" s="4" t="str">
        <f>VLOOKUP($B2251,'D7 - NDB Impacted SPRF''s'!$E$16:$O$9929,11,FALSE)</f>
        <v>N</v>
      </c>
      <c r="S2251" s="8"/>
      <c r="T2251" s="310"/>
      <c r="U2251" s="310"/>
      <c r="V2251" s="4"/>
      <c r="W2251" s="4"/>
      <c r="X2251" s="4"/>
      <c r="Y2251" s="4"/>
      <c r="Z2251" s="4"/>
      <c r="AA2251" s="4"/>
      <c r="AB2251" s="380" t="str">
        <f>VLOOKUP($B2251,'D7 - NDB Impacted SPRF''s'!$E$16:$O$9929,4,FALSE)</f>
        <v>Completed</v>
      </c>
      <c r="AC2251" s="380" t="str">
        <f>VLOOKUP($B2251,'D7 - NDB Impacted SPRF''s'!$E$16:$O$9929,3,FALSE)</f>
        <v>UnitedHealthcare Employer &amp; Individual</v>
      </c>
      <c r="AD2251" s="380" t="str">
        <f>VLOOKUP($B2251,'D7 - NDB Impacted SPRF''s'!$E$16:$O$9929,5,FALSE)</f>
        <v>Integration Requirements</v>
      </c>
      <c r="AE2251" s="380" t="str">
        <f>VLOOKUP($B2251,'D7 - NDB Impacted SPRF''s'!$E$16:$O$9929,7,FALSE)</f>
        <v>Jim Cronin</v>
      </c>
      <c r="AF2251" s="380" t="str">
        <f>VLOOKUP($B2251,'D7 - NDB Impacted SPRF''s'!$E$16:$O$9929,6,FALSE)</f>
        <v>LETRICIA BEST</v>
      </c>
      <c r="AG2251" s="282"/>
      <c r="AH2251" s="311" t="e">
        <f>INDEX('D5 - Gatekeeper - Projects'!$A$4:$AF$1010,$AM2251, 17)</f>
        <v>#N/A</v>
      </c>
      <c r="AI2251" s="8"/>
      <c r="AJ2251" s="57"/>
      <c r="AK2251" s="105"/>
      <c r="AM2251" s="6" t="e">
        <f>MATCH(D2251,'D5 - Gatekeeper - Projects'!$C$4:$C$1010,0)</f>
        <v>#N/A</v>
      </c>
      <c r="AN2251" s="6" t="b">
        <f t="shared" si="240"/>
        <v>1</v>
      </c>
      <c r="AO2251" s="6" t="str">
        <f t="shared" si="241"/>
        <v>OK</v>
      </c>
      <c r="AQ2251" s="6" t="e">
        <f>MATCH($D2251,'D4 - Provider Council Unsched'!$C$11:$C$234,0)</f>
        <v>#N/A</v>
      </c>
      <c r="AR2251" s="6" t="b">
        <f t="shared" si="242"/>
        <v>1</v>
      </c>
      <c r="AS2251" s="6" t="str">
        <f t="shared" si="239"/>
        <v>OK</v>
      </c>
      <c r="AU2251" s="202"/>
      <c r="AV2251" s="262"/>
      <c r="AW2251" s="274"/>
    </row>
    <row r="2252" spans="1:49" s="13" customFormat="1" ht="33.75" x14ac:dyDescent="0.2">
      <c r="A2252" s="14">
        <v>2228</v>
      </c>
      <c r="B2252" s="14">
        <v>400023629</v>
      </c>
      <c r="C2252" s="8" t="s">
        <v>5197</v>
      </c>
      <c r="D2252" s="4" t="str">
        <f t="shared" si="238"/>
        <v>400023629R1</v>
      </c>
      <c r="E2252" s="309" t="str">
        <f>VLOOKUP($B2252,'D7 - NDB Impacted SPRF''s'!$E$6:$O$9929,2,FALSE)</f>
        <v>Alternative Network Reimbursement-Lab &amp; Cardiology</v>
      </c>
      <c r="F2252" s="8" t="s">
        <v>2114</v>
      </c>
      <c r="G2252" s="8" t="s">
        <v>4758</v>
      </c>
      <c r="H2252" s="8" t="s">
        <v>2870</v>
      </c>
      <c r="I2252" s="20">
        <f>160/150</f>
        <v>1.0666666666666667</v>
      </c>
      <c r="J2252" s="8" t="s">
        <v>4862</v>
      </c>
      <c r="K2252" s="182">
        <v>39858</v>
      </c>
      <c r="L2252" s="8" t="s">
        <v>4156</v>
      </c>
      <c r="M2252" s="8" t="s">
        <v>5626</v>
      </c>
      <c r="N2252" s="38" t="s">
        <v>5793</v>
      </c>
      <c r="O2252" s="8" t="s">
        <v>4599</v>
      </c>
      <c r="P2252" s="4" t="str">
        <f>VLOOKUP($B2252,'D7 - NDB Impacted SPRF''s'!$E$16:$O$9929,9,FALSE)</f>
        <v>Y</v>
      </c>
      <c r="Q2252" s="4" t="str">
        <f>VLOOKUP($B2252,'D7 - NDB Impacted SPRF''s'!$E$16:$O$9929,10,FALSE)</f>
        <v>N</v>
      </c>
      <c r="R2252" s="4" t="str">
        <f>VLOOKUP($B2252,'D7 - NDB Impacted SPRF''s'!$E$16:$O$9929,11,FALSE)</f>
        <v>N</v>
      </c>
      <c r="S2252" s="8"/>
      <c r="T2252" s="310"/>
      <c r="U2252" s="310"/>
      <c r="V2252" s="4"/>
      <c r="W2252" s="4"/>
      <c r="X2252" s="4"/>
      <c r="Y2252" s="4"/>
      <c r="Z2252" s="4"/>
      <c r="AA2252" s="4"/>
      <c r="AB2252" s="380" t="str">
        <f>VLOOKUP($B2252,'D7 - NDB Impacted SPRF''s'!$E$16:$O$9929,4,FALSE)</f>
        <v>Cancelled</v>
      </c>
      <c r="AC2252" s="380" t="str">
        <f>VLOOKUP($B2252,'D7 - NDB Impacted SPRF''s'!$E$16:$O$9929,3,FALSE)</f>
        <v>UnitedHealthcare Employer &amp; Individual</v>
      </c>
      <c r="AD2252" s="380" t="str">
        <f>VLOOKUP($B2252,'D7 - NDB Impacted SPRF''s'!$E$16:$O$9929,5,FALSE)</f>
        <v>Medical Cost Savings Programs</v>
      </c>
      <c r="AE2252" s="380" t="str">
        <f>VLOOKUP($B2252,'D7 - NDB Impacted SPRF''s'!$E$16:$O$9929,7,FALSE)</f>
        <v>John Kohner</v>
      </c>
      <c r="AF2252" s="380" t="str">
        <f>VLOOKUP($B2252,'D7 - NDB Impacted SPRF''s'!$E$16:$O$9929,6,FALSE)</f>
        <v>John Ragland</v>
      </c>
      <c r="AG2252" s="282"/>
      <c r="AH2252" s="311" t="e">
        <f>INDEX('D5 - Gatekeeper - Projects'!$A$4:$AF$1010,$AM2252, 17)</f>
        <v>#N/A</v>
      </c>
      <c r="AI2252" s="8"/>
      <c r="AJ2252" s="57"/>
      <c r="AK2252" s="105"/>
      <c r="AM2252" s="6" t="e">
        <f>MATCH(D2252,'D5 - Gatekeeper - Projects'!$C$4:$C$1010,0)</f>
        <v>#N/A</v>
      </c>
      <c r="AN2252" s="6" t="b">
        <f t="shared" si="240"/>
        <v>1</v>
      </c>
      <c r="AO2252" s="6" t="str">
        <f t="shared" si="241"/>
        <v>OK</v>
      </c>
      <c r="AQ2252" s="6" t="e">
        <f>MATCH($D2252,'D4 - Provider Council Unsched'!$C$11:$C$234,0)</f>
        <v>#N/A</v>
      </c>
      <c r="AR2252" s="6" t="b">
        <f t="shared" si="242"/>
        <v>1</v>
      </c>
      <c r="AS2252" s="6" t="str">
        <f t="shared" si="239"/>
        <v>OK</v>
      </c>
      <c r="AU2252" s="202"/>
      <c r="AV2252" s="262"/>
      <c r="AW2252" s="274"/>
    </row>
    <row r="2253" spans="1:49" s="13" customFormat="1" x14ac:dyDescent="0.2">
      <c r="A2253" s="14">
        <v>2229</v>
      </c>
      <c r="B2253" s="14" t="s">
        <v>7227</v>
      </c>
      <c r="C2253" s="8" t="s">
        <v>5197</v>
      </c>
      <c r="D2253" s="4" t="str">
        <f t="shared" si="238"/>
        <v>CE00036R1</v>
      </c>
      <c r="E2253" s="282" t="s">
        <v>7768</v>
      </c>
      <c r="F2253" s="8" t="s">
        <v>2114</v>
      </c>
      <c r="G2253" s="8" t="s">
        <v>4758</v>
      </c>
      <c r="H2253" s="8" t="s">
        <v>2870</v>
      </c>
      <c r="I2253" s="20"/>
      <c r="J2253" s="8" t="s">
        <v>4862</v>
      </c>
      <c r="K2253" s="182">
        <v>39858</v>
      </c>
      <c r="L2253" s="8" t="s">
        <v>4156</v>
      </c>
      <c r="M2253" s="8" t="s">
        <v>6688</v>
      </c>
      <c r="N2253" s="38"/>
      <c r="O2253" s="8" t="s">
        <v>3572</v>
      </c>
      <c r="P2253" s="4" t="e">
        <f>VLOOKUP($B2253,'D7 - NDB Impacted SPRF''s'!$E$16:$O$9929,9,FALSE)</f>
        <v>#N/A</v>
      </c>
      <c r="Q2253" s="4" t="e">
        <f>VLOOKUP($B2253,'D7 - NDB Impacted SPRF''s'!$E$16:$O$9929,10,FALSE)</f>
        <v>#N/A</v>
      </c>
      <c r="R2253" s="4" t="e">
        <f>VLOOKUP($B2253,'D7 - NDB Impacted SPRF''s'!$E$16:$O$9929,11,FALSE)</f>
        <v>#N/A</v>
      </c>
      <c r="S2253" s="8"/>
      <c r="T2253" s="310"/>
      <c r="U2253" s="310"/>
      <c r="V2253" s="4"/>
      <c r="W2253" s="4"/>
      <c r="X2253" s="4"/>
      <c r="Y2253" s="4"/>
      <c r="Z2253" s="4"/>
      <c r="AA2253" s="4"/>
      <c r="AB2253" s="383" t="e">
        <f>VLOOKUP($B2253,'D7 - NDB Impacted SPRF''s'!$E$16:$O$9929,4,FALSE)</f>
        <v>#N/A</v>
      </c>
      <c r="AC2253" s="380" t="e">
        <f>VLOOKUP($B2253,'D7 - NDB Impacted SPRF''s'!$E$16:$O$9929,3,FALSE)</f>
        <v>#N/A</v>
      </c>
      <c r="AD2253" s="380" t="e">
        <f>VLOOKUP($B2253,'D7 - NDB Impacted SPRF''s'!$E$16:$O$9929,5,FALSE)</f>
        <v>#N/A</v>
      </c>
      <c r="AE2253" s="380" t="e">
        <f>VLOOKUP($B2253,'D7 - NDB Impacted SPRF''s'!$E$16:$O$9929,7,FALSE)</f>
        <v>#N/A</v>
      </c>
      <c r="AF2253" s="380" t="e">
        <f>VLOOKUP($B2253,'D7 - NDB Impacted SPRF''s'!$E$16:$O$9929,6,FALSE)</f>
        <v>#N/A</v>
      </c>
      <c r="AG2253" s="282"/>
      <c r="AH2253" s="311" t="e">
        <f>INDEX('D5 - Gatekeeper - Projects'!$A$4:$AF$1010,$AM2253, 17)</f>
        <v>#N/A</v>
      </c>
      <c r="AI2253" s="8"/>
      <c r="AJ2253" s="57"/>
      <c r="AK2253" s="105"/>
      <c r="AM2253" s="6" t="e">
        <f>MATCH(D2253,'D5 - Gatekeeper - Projects'!$C$4:$C$1010,0)</f>
        <v>#N/A</v>
      </c>
      <c r="AN2253" s="6" t="b">
        <f t="shared" si="240"/>
        <v>1</v>
      </c>
      <c r="AO2253" s="6" t="str">
        <f t="shared" si="241"/>
        <v>OK</v>
      </c>
      <c r="AQ2253" s="6" t="e">
        <f>MATCH($D2253,'D4 - Provider Council Unsched'!$C$11:$C$234,0)</f>
        <v>#N/A</v>
      </c>
      <c r="AR2253" s="6" t="b">
        <f t="shared" si="242"/>
        <v>1</v>
      </c>
      <c r="AS2253" s="6" t="str">
        <f t="shared" si="239"/>
        <v>OK</v>
      </c>
      <c r="AU2253" s="202"/>
      <c r="AV2253" s="262"/>
      <c r="AW2253" s="274"/>
    </row>
    <row r="2254" spans="1:49" s="13" customFormat="1" ht="33.75" x14ac:dyDescent="0.2">
      <c r="A2254" s="14">
        <v>2230</v>
      </c>
      <c r="B2254" s="14">
        <v>400024847</v>
      </c>
      <c r="C2254" s="8" t="s">
        <v>5197</v>
      </c>
      <c r="D2254" s="4" t="str">
        <f t="shared" si="238"/>
        <v>400024847R1</v>
      </c>
      <c r="E2254" s="309" t="str">
        <f>VLOOKUP($B2254,'D7 - NDB Impacted SPRF''s'!$E$6:$O$9929,2,FALSE)</f>
        <v>Ovations Provider Data Management Analysis</v>
      </c>
      <c r="F2254" s="8" t="s">
        <v>5544</v>
      </c>
      <c r="G2254" s="8" t="s">
        <v>4758</v>
      </c>
      <c r="H2254" s="8" t="s">
        <v>2870</v>
      </c>
      <c r="I2254" s="20">
        <v>2.34</v>
      </c>
      <c r="J2254" s="8" t="s">
        <v>4862</v>
      </c>
      <c r="K2254" s="182">
        <v>39886</v>
      </c>
      <c r="L2254" s="8" t="s">
        <v>5743</v>
      </c>
      <c r="M2254" s="8" t="s">
        <v>6688</v>
      </c>
      <c r="N2254" s="38" t="s">
        <v>2931</v>
      </c>
      <c r="O2254" s="8" t="s">
        <v>2875</v>
      </c>
      <c r="P2254" s="4" t="str">
        <f>VLOOKUP($B2254,'D7 - NDB Impacted SPRF''s'!$E$16:$O$9929,9,FALSE)</f>
        <v>Y</v>
      </c>
      <c r="Q2254" s="4" t="str">
        <f>VLOOKUP($B2254,'D7 - NDB Impacted SPRF''s'!$E$16:$O$9929,10,FALSE)</f>
        <v>N</v>
      </c>
      <c r="R2254" s="4" t="str">
        <f>VLOOKUP($B2254,'D7 - NDB Impacted SPRF''s'!$E$16:$O$9929,11,FALSE)</f>
        <v>Y</v>
      </c>
      <c r="S2254" s="8"/>
      <c r="T2254" s="310"/>
      <c r="U2254" s="310"/>
      <c r="V2254" s="4"/>
      <c r="W2254" s="4"/>
      <c r="X2254" s="4"/>
      <c r="Y2254" s="4"/>
      <c r="Z2254" s="4"/>
      <c r="AA2254" s="4"/>
      <c r="AB2254" s="380" t="str">
        <f>VLOOKUP($B2254,'D7 - NDB Impacted SPRF''s'!$E$16:$O$9929,4,FALSE)</f>
        <v>Cancelled</v>
      </c>
      <c r="AC2254" s="380" t="str">
        <f>VLOOKUP($B2254,'D7 - NDB Impacted SPRF''s'!$E$16:$O$9929,3,FALSE)</f>
        <v>UnitedHealthcare Medicare &amp; Retirement</v>
      </c>
      <c r="AD2254" s="380" t="str">
        <f>VLOOKUP($B2254,'D7 - NDB Impacted SPRF''s'!$E$16:$O$9929,5,FALSE)</f>
        <v>Ovations</v>
      </c>
      <c r="AE2254" s="380" t="str">
        <f>VLOOKUP($B2254,'D7 - NDB Impacted SPRF''s'!$E$16:$O$9929,7,FALSE)</f>
        <v>Jill Foucre</v>
      </c>
      <c r="AF2254" s="380" t="str">
        <f>VLOOKUP($B2254,'D7 - NDB Impacted SPRF''s'!$E$16:$O$9929,6,FALSE)</f>
        <v>Alicia Durdahl</v>
      </c>
      <c r="AG2254" s="282"/>
      <c r="AH2254" s="311" t="e">
        <f>INDEX('D5 - Gatekeeper - Projects'!$A$4:$AF$1010,$AM2254, 17)</f>
        <v>#N/A</v>
      </c>
      <c r="AI2254" s="8"/>
      <c r="AJ2254" s="57"/>
      <c r="AK2254" s="105"/>
      <c r="AM2254" s="6" t="e">
        <f>MATCH(D2254,'D5 - Gatekeeper - Projects'!$C$4:$C$1010,0)</f>
        <v>#N/A</v>
      </c>
      <c r="AN2254" s="6" t="b">
        <f t="shared" si="240"/>
        <v>1</v>
      </c>
      <c r="AO2254" s="6" t="str">
        <f t="shared" si="241"/>
        <v>OK</v>
      </c>
      <c r="AQ2254" s="6" t="e">
        <f>MATCH($D2254,'D4 - Provider Council Unsched'!$C$11:$C$234,0)</f>
        <v>#N/A</v>
      </c>
      <c r="AR2254" s="6" t="b">
        <f t="shared" si="242"/>
        <v>1</v>
      </c>
      <c r="AS2254" s="6" t="str">
        <f t="shared" si="239"/>
        <v>OK</v>
      </c>
      <c r="AU2254" s="202"/>
      <c r="AV2254" s="262"/>
      <c r="AW2254" s="274"/>
    </row>
    <row r="2255" spans="1:49" s="13" customFormat="1" ht="33.75" x14ac:dyDescent="0.2">
      <c r="A2255" s="14">
        <v>2231</v>
      </c>
      <c r="B2255" s="14">
        <v>400025286</v>
      </c>
      <c r="C2255" s="8" t="s">
        <v>5197</v>
      </c>
      <c r="D2255" s="4" t="str">
        <f t="shared" si="238"/>
        <v>400025286R1</v>
      </c>
      <c r="E2255" s="340" t="str">
        <f>VLOOKUP($B2255,'D7 - NDB Impacted SPRF''s'!$E$6:$O$9929,2,FALSE)</f>
        <v>Additional DX codes for POA</v>
      </c>
      <c r="F2255" s="8" t="s">
        <v>7955</v>
      </c>
      <c r="G2255" s="8" t="s">
        <v>4758</v>
      </c>
      <c r="H2255" s="8" t="s">
        <v>2870</v>
      </c>
      <c r="I2255" s="20">
        <v>14.63</v>
      </c>
      <c r="J2255" s="8" t="s">
        <v>4862</v>
      </c>
      <c r="K2255" s="182">
        <v>39886</v>
      </c>
      <c r="L2255" s="8" t="s">
        <v>5743</v>
      </c>
      <c r="M2255" s="8" t="s">
        <v>2814</v>
      </c>
      <c r="N2255" s="38" t="s">
        <v>8012</v>
      </c>
      <c r="O2255" s="8"/>
      <c r="P2255" s="4" t="str">
        <f>VLOOKUP($B2255,'D7 - NDB Impacted SPRF''s'!$E$16:$O$9929,9,FALSE)</f>
        <v>Y</v>
      </c>
      <c r="Q2255" s="4" t="str">
        <f>VLOOKUP($B2255,'D7 - NDB Impacted SPRF''s'!$E$16:$O$9929,10,FALSE)</f>
        <v>N</v>
      </c>
      <c r="R2255" s="4" t="str">
        <f>VLOOKUP($B2255,'D7 - NDB Impacted SPRF''s'!$E$16:$O$9929,11,FALSE)</f>
        <v>Y</v>
      </c>
      <c r="S2255" s="8"/>
      <c r="T2255" s="310"/>
      <c r="U2255" s="310"/>
      <c r="V2255" s="4"/>
      <c r="W2255" s="4"/>
      <c r="X2255" s="4"/>
      <c r="Y2255" s="4"/>
      <c r="Z2255" s="4"/>
      <c r="AA2255" s="4"/>
      <c r="AB2255" s="383" t="str">
        <f>VLOOKUP($B2255,'D7 - NDB Impacted SPRF''s'!$E$16:$O$9929,4,FALSE)</f>
        <v>Cancelled</v>
      </c>
      <c r="AC2255" s="380" t="str">
        <f>VLOOKUP($B2255,'D7 - NDB Impacted SPRF''s'!$E$16:$O$9929,3,FALSE)</f>
        <v>UnitedHealthcare Employer &amp; Individual</v>
      </c>
      <c r="AD2255" s="380" t="str">
        <f>VLOOKUP($B2255,'D7 - NDB Impacted SPRF''s'!$E$16:$O$9929,5,FALSE)</f>
        <v>Regulatory / Other</v>
      </c>
      <c r="AE2255" s="380" t="str">
        <f>VLOOKUP($B2255,'D7 - NDB Impacted SPRF''s'!$E$16:$O$9929,7,FALSE)</f>
        <v>Jill Foucre</v>
      </c>
      <c r="AF2255" s="380" t="str">
        <f>VLOOKUP($B2255,'D7 - NDB Impacted SPRF''s'!$E$16:$O$9929,6,FALSE)</f>
        <v>Suzanne Smith</v>
      </c>
      <c r="AG2255" s="282"/>
      <c r="AH2255" s="311" t="e">
        <f>INDEX('D5 - Gatekeeper - Projects'!$A$4:$AF$1010,$AM2255, 17)</f>
        <v>#N/A</v>
      </c>
      <c r="AI2255" s="8"/>
      <c r="AJ2255" s="57"/>
      <c r="AK2255" s="105"/>
      <c r="AM2255" s="6" t="e">
        <f>MATCH(D2255,'D5 - Gatekeeper - Projects'!$C$4:$C$1010,0)</f>
        <v>#N/A</v>
      </c>
      <c r="AN2255" s="6" t="b">
        <f t="shared" si="240"/>
        <v>1</v>
      </c>
      <c r="AO2255" s="6" t="str">
        <f t="shared" si="241"/>
        <v>OK</v>
      </c>
      <c r="AQ2255" s="6" t="e">
        <f>MATCH($D2255,'D4 - Provider Council Unsched'!$C$11:$C$234,0)</f>
        <v>#N/A</v>
      </c>
      <c r="AR2255" s="6" t="b">
        <f t="shared" si="242"/>
        <v>1</v>
      </c>
      <c r="AS2255" s="6" t="str">
        <f t="shared" si="239"/>
        <v>OK</v>
      </c>
      <c r="AU2255" s="202"/>
      <c r="AV2255" s="262"/>
      <c r="AW2255" s="274"/>
    </row>
    <row r="2256" spans="1:49" s="13" customFormat="1" ht="33.75" x14ac:dyDescent="0.2">
      <c r="A2256" s="14">
        <v>2232</v>
      </c>
      <c r="B2256" s="14">
        <v>400026542</v>
      </c>
      <c r="C2256" s="8" t="s">
        <v>3763</v>
      </c>
      <c r="D2256" s="4" t="str">
        <f t="shared" si="238"/>
        <v>400026542R2</v>
      </c>
      <c r="E2256" s="309" t="str">
        <f>VLOOKUP($B2256,'D7 - NDB Impacted SPRF''s'!$E$6:$O$9929,2,FALSE)</f>
        <v>NDB Changes to Support AmeriChoice Providers</v>
      </c>
      <c r="F2256" s="8" t="s">
        <v>2114</v>
      </c>
      <c r="G2256" s="8" t="s">
        <v>4758</v>
      </c>
      <c r="H2256" s="8" t="s">
        <v>2870</v>
      </c>
      <c r="I2256" s="20">
        <f>225/150</f>
        <v>1.5</v>
      </c>
      <c r="J2256" s="8" t="s">
        <v>4862</v>
      </c>
      <c r="K2256" s="182">
        <v>39886</v>
      </c>
      <c r="L2256" s="8" t="s">
        <v>4156</v>
      </c>
      <c r="M2256" s="8" t="s">
        <v>6688</v>
      </c>
      <c r="N2256" s="38" t="s">
        <v>3831</v>
      </c>
      <c r="O2256" s="8"/>
      <c r="P2256" s="4" t="str">
        <f>VLOOKUP($B2256,'D7 - NDB Impacted SPRF''s'!$E$16:$O$9929,9,FALSE)</f>
        <v>N</v>
      </c>
      <c r="Q2256" s="4" t="str">
        <f>VLOOKUP($B2256,'D7 - NDB Impacted SPRF''s'!$E$16:$O$9929,10,FALSE)</f>
        <v>N</v>
      </c>
      <c r="R2256" s="4" t="str">
        <f>VLOOKUP($B2256,'D7 - NDB Impacted SPRF''s'!$E$16:$O$9929,11,FALSE)</f>
        <v>N</v>
      </c>
      <c r="S2256" s="8"/>
      <c r="T2256" s="310"/>
      <c r="U2256" s="310"/>
      <c r="V2256" s="4"/>
      <c r="W2256" s="4"/>
      <c r="X2256" s="4"/>
      <c r="Y2256" s="4"/>
      <c r="Z2256" s="4"/>
      <c r="AA2256" s="4"/>
      <c r="AB2256" s="380" t="str">
        <f>VLOOKUP($B2256,'D7 - NDB Impacted SPRF''s'!$E$16:$O$9929,4,FALSE)</f>
        <v>Completed</v>
      </c>
      <c r="AC2256" s="380" t="str">
        <f>VLOOKUP($B2256,'D7 - NDB Impacted SPRF''s'!$E$16:$O$9929,3,FALSE)</f>
        <v>UnitedHealthcare Medicare &amp; Retirement</v>
      </c>
      <c r="AD2256" s="380" t="str">
        <f>VLOOKUP($B2256,'D7 - NDB Impacted SPRF''s'!$E$16:$O$9929,5,FALSE)</f>
        <v>Enterprise Clinical</v>
      </c>
      <c r="AE2256" s="380" t="str">
        <f>VLOOKUP($B2256,'D7 - NDB Impacted SPRF''s'!$E$16:$O$9929,7,FALSE)</f>
        <v>Cindi Middaugh</v>
      </c>
      <c r="AF2256" s="380" t="str">
        <f>VLOOKUP($B2256,'D7 - NDB Impacted SPRF''s'!$E$16:$O$9929,6,FALSE)</f>
        <v>CHRISTINA MOSHER</v>
      </c>
      <c r="AG2256" s="282"/>
      <c r="AH2256" s="311" t="e">
        <f>INDEX('D5 - Gatekeeper - Projects'!$A$4:$AF$1010,$AM2256, 17)</f>
        <v>#N/A</v>
      </c>
      <c r="AI2256" s="8"/>
      <c r="AJ2256" s="57"/>
      <c r="AK2256" s="105"/>
      <c r="AM2256" s="6" t="e">
        <f>MATCH(D2256,'D5 - Gatekeeper - Projects'!$C$4:$C$1010,0)</f>
        <v>#N/A</v>
      </c>
      <c r="AN2256" s="6" t="b">
        <f t="shared" si="240"/>
        <v>1</v>
      </c>
      <c r="AO2256" s="6" t="str">
        <f t="shared" si="241"/>
        <v>OK</v>
      </c>
      <c r="AQ2256" s="6" t="e">
        <f>MATCH($D2256,'D4 - Provider Council Unsched'!$C$11:$C$234,0)</f>
        <v>#N/A</v>
      </c>
      <c r="AR2256" s="6" t="b">
        <f t="shared" si="242"/>
        <v>1</v>
      </c>
      <c r="AS2256" s="6" t="str">
        <f t="shared" si="239"/>
        <v>OK</v>
      </c>
      <c r="AU2256" s="202"/>
      <c r="AV2256" s="262"/>
      <c r="AW2256" s="274"/>
    </row>
    <row r="2257" spans="1:49" s="13" customFormat="1" ht="33.75" x14ac:dyDescent="0.2">
      <c r="A2257" s="14">
        <v>2233</v>
      </c>
      <c r="B2257" s="14">
        <v>400023212</v>
      </c>
      <c r="C2257" s="8" t="s">
        <v>5197</v>
      </c>
      <c r="D2257" s="4" t="str">
        <f t="shared" si="238"/>
        <v>400023212R1</v>
      </c>
      <c r="E2257" s="309" t="str">
        <f>VLOOKUP($B2257,'D7 - NDB Impacted SPRF''s'!$E$6:$O$9929,2,FALSE)</f>
        <v>CSS - Phase 2 Release 2</v>
      </c>
      <c r="F2257" s="8" t="s">
        <v>2114</v>
      </c>
      <c r="G2257" s="8" t="s">
        <v>4758</v>
      </c>
      <c r="H2257" s="8" t="s">
        <v>2870</v>
      </c>
      <c r="I2257" s="20">
        <f>492/150</f>
        <v>3.28</v>
      </c>
      <c r="J2257" s="8" t="s">
        <v>4862</v>
      </c>
      <c r="K2257" s="182">
        <v>39949</v>
      </c>
      <c r="L2257" s="8" t="s">
        <v>4156</v>
      </c>
      <c r="M2257" s="8" t="s">
        <v>4850</v>
      </c>
      <c r="N2257" s="38"/>
      <c r="O2257" s="8"/>
      <c r="P2257" s="4" t="str">
        <f>VLOOKUP($B2257,'D7 - NDB Impacted SPRF''s'!$E$16:$O$9929,9,FALSE)</f>
        <v>Y</v>
      </c>
      <c r="Q2257" s="4" t="str">
        <f>VLOOKUP($B2257,'D7 - NDB Impacted SPRF''s'!$E$16:$O$9929,10,FALSE)</f>
        <v>N</v>
      </c>
      <c r="R2257" s="4" t="str">
        <f>VLOOKUP($B2257,'D7 - NDB Impacted SPRF''s'!$E$16:$O$9929,11,FALSE)</f>
        <v>N</v>
      </c>
      <c r="S2257" s="8"/>
      <c r="T2257" s="310"/>
      <c r="U2257" s="310"/>
      <c r="V2257" s="4"/>
      <c r="W2257" s="4"/>
      <c r="X2257" s="4"/>
      <c r="Y2257" s="4"/>
      <c r="Z2257" s="4"/>
      <c r="AA2257" s="4"/>
      <c r="AB2257" s="380" t="str">
        <f>VLOOKUP($B2257,'D7 - NDB Impacted SPRF''s'!$E$16:$O$9929,4,FALSE)</f>
        <v>Cancelled</v>
      </c>
      <c r="AC2257" s="380" t="str">
        <f>VLOOKUP($B2257,'D7 - NDB Impacted SPRF''s'!$E$16:$O$9929,3,FALSE)</f>
        <v>UnitedHealthcare Medicare &amp; Retirement</v>
      </c>
      <c r="AD2257" s="380" t="str">
        <f>VLOOKUP($B2257,'D7 - NDB Impacted SPRF''s'!$E$16:$O$9929,5,FALSE)</f>
        <v>Enterprise Clinical</v>
      </c>
      <c r="AE2257" s="380" t="str">
        <f>VLOOKUP($B2257,'D7 - NDB Impacted SPRF''s'!$E$16:$O$9929,7,FALSE)</f>
        <v>Bob Shandley</v>
      </c>
      <c r="AF2257" s="380" t="str">
        <f>VLOOKUP($B2257,'D7 - NDB Impacted SPRF''s'!$E$16:$O$9929,6,FALSE)</f>
        <v>CHRISTINA MOSHER</v>
      </c>
      <c r="AG2257" s="282"/>
      <c r="AH2257" s="311" t="e">
        <f>INDEX('D5 - Gatekeeper - Projects'!$A$4:$AF$1010,$AM2257, 17)</f>
        <v>#N/A</v>
      </c>
      <c r="AI2257" s="8"/>
      <c r="AJ2257" s="57"/>
      <c r="AK2257" s="105"/>
      <c r="AM2257" s="6" t="e">
        <f>MATCH(D2257,'D5 - Gatekeeper - Projects'!$C$4:$C$1010,0)</f>
        <v>#N/A</v>
      </c>
      <c r="AN2257" s="6" t="b">
        <f t="shared" si="240"/>
        <v>1</v>
      </c>
      <c r="AO2257" s="6" t="str">
        <f t="shared" si="241"/>
        <v>OK</v>
      </c>
      <c r="AQ2257" s="6" t="e">
        <f>MATCH($D2257,'D4 - Provider Council Unsched'!$C$11:$C$234,0)</f>
        <v>#N/A</v>
      </c>
      <c r="AR2257" s="6" t="b">
        <f t="shared" si="242"/>
        <v>1</v>
      </c>
      <c r="AS2257" s="6" t="str">
        <f>IF(AND(H2257="2 - Not Scheduled",AR2257=TRUE),"Add","OK")</f>
        <v>OK</v>
      </c>
      <c r="AU2257" s="202"/>
      <c r="AV2257" s="262"/>
      <c r="AW2257" s="274"/>
    </row>
    <row r="2258" spans="1:49" s="13" customFormat="1" ht="33.75" x14ac:dyDescent="0.2">
      <c r="A2258" s="14">
        <v>2234</v>
      </c>
      <c r="B2258" s="14">
        <v>400025896</v>
      </c>
      <c r="C2258" s="8" t="s">
        <v>5197</v>
      </c>
      <c r="D2258" s="4" t="str">
        <f t="shared" si="238"/>
        <v>400025896R1</v>
      </c>
      <c r="E2258" s="309" t="str">
        <f>VLOOKUP($B2258,'D7 - NDB Impacted SPRF''s'!$E$6:$O$9929,2,FALSE)</f>
        <v>Provider Timely Filing for ISET</v>
      </c>
      <c r="F2258" s="8" t="s">
        <v>2114</v>
      </c>
      <c r="G2258" s="8" t="s">
        <v>4758</v>
      </c>
      <c r="H2258" s="8" t="s">
        <v>2870</v>
      </c>
      <c r="I2258" s="20">
        <v>4.74</v>
      </c>
      <c r="J2258" s="8" t="s">
        <v>4862</v>
      </c>
      <c r="K2258" s="182">
        <v>39949</v>
      </c>
      <c r="L2258" s="8" t="s">
        <v>5743</v>
      </c>
      <c r="M2258" s="8" t="s">
        <v>5626</v>
      </c>
      <c r="N2258" s="38"/>
      <c r="O2258" s="8" t="s">
        <v>2875</v>
      </c>
      <c r="P2258" s="4" t="str">
        <f>VLOOKUP($B2258,'D7 - NDB Impacted SPRF''s'!$E$16:$O$9929,9,FALSE)</f>
        <v>Y</v>
      </c>
      <c r="Q2258" s="4" t="str">
        <f>VLOOKUP($B2258,'D7 - NDB Impacted SPRF''s'!$E$16:$O$9929,10,FALSE)</f>
        <v>N</v>
      </c>
      <c r="R2258" s="4" t="str">
        <f>VLOOKUP($B2258,'D7 - NDB Impacted SPRF''s'!$E$16:$O$9929,11,FALSE)</f>
        <v>N</v>
      </c>
      <c r="S2258" s="8"/>
      <c r="T2258" s="310"/>
      <c r="U2258" s="310"/>
      <c r="V2258" s="4"/>
      <c r="W2258" s="4"/>
      <c r="X2258" s="4"/>
      <c r="Y2258" s="4"/>
      <c r="Z2258" s="4"/>
      <c r="AA2258" s="4"/>
      <c r="AB2258" s="380" t="str">
        <f>VLOOKUP($B2258,'D7 - NDB Impacted SPRF''s'!$E$16:$O$9929,4,FALSE)</f>
        <v>Cancelled</v>
      </c>
      <c r="AC2258" s="380" t="str">
        <f>VLOOKUP($B2258,'D7 - NDB Impacted SPRF''s'!$E$16:$O$9929,3,FALSE)</f>
        <v>UnitedHealthcare Employer &amp; Individual</v>
      </c>
      <c r="AD2258" s="380" t="str">
        <f>VLOOKUP($B2258,'D7 - NDB Impacted SPRF''s'!$E$16:$O$9929,5,FALSE)</f>
        <v>Membership Growth / Revenue Programs</v>
      </c>
      <c r="AE2258" s="380" t="str">
        <f>VLOOKUP($B2258,'D7 - NDB Impacted SPRF''s'!$E$16:$O$9929,7,FALSE)</f>
        <v>Roger Wambheim</v>
      </c>
      <c r="AF2258" s="380" t="str">
        <f>VLOOKUP($B2258,'D7 - NDB Impacted SPRF''s'!$E$16:$O$9929,6,FALSE)</f>
        <v>CURTIS ROSENTHAL</v>
      </c>
      <c r="AG2258" s="282"/>
      <c r="AH2258" s="311" t="e">
        <f>INDEX('D5 - Gatekeeper - Projects'!$A$4:$AF$1010,$AM2258, 17)</f>
        <v>#N/A</v>
      </c>
      <c r="AI2258" s="8"/>
      <c r="AJ2258" s="57"/>
      <c r="AK2258" s="105"/>
      <c r="AM2258" s="6" t="e">
        <f>MATCH(D2258,'D5 - Gatekeeper - Projects'!$C$4:$C$1010,0)</f>
        <v>#N/A</v>
      </c>
      <c r="AN2258" s="6" t="b">
        <f t="shared" si="240"/>
        <v>1</v>
      </c>
      <c r="AO2258" s="6" t="str">
        <f t="shared" si="241"/>
        <v>OK</v>
      </c>
      <c r="AQ2258" s="6" t="e">
        <f>MATCH($D2258,'D4 - Provider Council Unsched'!$C$11:$C$234,0)</f>
        <v>#N/A</v>
      </c>
      <c r="AR2258" s="6" t="b">
        <f t="shared" si="242"/>
        <v>1</v>
      </c>
      <c r="AS2258" s="6" t="str">
        <f>IF(AND(H2258="2 - Not Scheduled",AR2258=TRUE,C2258="R1"),"Add","OK")</f>
        <v>OK</v>
      </c>
      <c r="AU2258" s="202"/>
      <c r="AV2258" s="262"/>
      <c r="AW2258" s="274"/>
    </row>
    <row r="2259" spans="1:49" s="13" customFormat="1" x14ac:dyDescent="0.2">
      <c r="A2259" s="14">
        <v>2235</v>
      </c>
      <c r="B2259" s="14">
        <v>400026178</v>
      </c>
      <c r="C2259" s="8" t="s">
        <v>5197</v>
      </c>
      <c r="D2259" s="4" t="str">
        <f t="shared" si="238"/>
        <v>400026178R1</v>
      </c>
      <c r="E2259" s="309" t="str">
        <f>VLOOKUP($B2259,'D7 - NDB Impacted SPRF''s'!$E$6:$O$9929,2,FALSE)</f>
        <v>Hipaa Transaction Set Improvement (B2B)</v>
      </c>
      <c r="F2259" s="8" t="s">
        <v>2114</v>
      </c>
      <c r="G2259" s="8" t="s">
        <v>4758</v>
      </c>
      <c r="H2259" s="8" t="s">
        <v>2870</v>
      </c>
      <c r="I2259" s="20">
        <f>440/150</f>
        <v>2.9333333333333331</v>
      </c>
      <c r="J2259" s="8" t="s">
        <v>4862</v>
      </c>
      <c r="K2259" s="182">
        <v>39949</v>
      </c>
      <c r="L2259" s="8" t="s">
        <v>5743</v>
      </c>
      <c r="M2259" s="8" t="s">
        <v>2814</v>
      </c>
      <c r="N2259" s="38"/>
      <c r="O2259" s="8"/>
      <c r="P2259" s="4" t="str">
        <f>VLOOKUP($B2259,'D7 - NDB Impacted SPRF''s'!$E$16:$O$9929,9,FALSE)</f>
        <v>Y</v>
      </c>
      <c r="Q2259" s="4" t="str">
        <f>VLOOKUP($B2259,'D7 - NDB Impacted SPRF''s'!$E$16:$O$9929,10,FALSE)</f>
        <v>N</v>
      </c>
      <c r="R2259" s="4" t="str">
        <f>VLOOKUP($B2259,'D7 - NDB Impacted SPRF''s'!$E$16:$O$9929,11,FALSE)</f>
        <v>N</v>
      </c>
      <c r="S2259" s="8"/>
      <c r="T2259" s="310"/>
      <c r="U2259" s="310"/>
      <c r="V2259" s="4"/>
      <c r="W2259" s="4"/>
      <c r="X2259" s="4"/>
      <c r="Y2259" s="4"/>
      <c r="Z2259" s="4"/>
      <c r="AA2259" s="4"/>
      <c r="AB2259" s="380" t="str">
        <f>VLOOKUP($B2259,'D7 - NDB Impacted SPRF''s'!$E$16:$O$9929,4,FALSE)</f>
        <v>Cancelled</v>
      </c>
      <c r="AC2259" s="380" t="str">
        <f>VLOOKUP($B2259,'D7 - NDB Impacted SPRF''s'!$E$16:$O$9929,3,FALSE)</f>
        <v>OptumHealth</v>
      </c>
      <c r="AD2259" s="380" t="str">
        <f>VLOOKUP($B2259,'D7 - NDB Impacted SPRF''s'!$E$16:$O$9929,5,FALSE)</f>
        <v>Behavioral Solutions</v>
      </c>
      <c r="AE2259" s="380" t="str">
        <f>VLOOKUP($B2259,'D7 - NDB Impacted SPRF''s'!$E$16:$O$9929,7,FALSE)</f>
        <v>Lloyd Dyer</v>
      </c>
      <c r="AF2259" s="380" t="str">
        <f>VLOOKUP($B2259,'D7 - NDB Impacted SPRF''s'!$E$16:$O$9929,6,FALSE)</f>
        <v>Adrian Sale</v>
      </c>
      <c r="AG2259" s="282"/>
      <c r="AH2259" s="311" t="e">
        <f>INDEX('D5 - Gatekeeper - Projects'!$A$4:$AF$1010,$AM2259, 17)</f>
        <v>#N/A</v>
      </c>
      <c r="AI2259" s="8"/>
      <c r="AJ2259" s="57"/>
      <c r="AK2259" s="105"/>
      <c r="AM2259" s="6" t="e">
        <f>MATCH(D2259,'D5 - Gatekeeper - Projects'!$C$4:$C$1010,0)</f>
        <v>#N/A</v>
      </c>
      <c r="AN2259" s="6" t="b">
        <f t="shared" si="240"/>
        <v>1</v>
      </c>
      <c r="AO2259" s="6" t="str">
        <f t="shared" si="241"/>
        <v>OK</v>
      </c>
      <c r="AQ2259" s="6" t="e">
        <f>MATCH($D2259,'D4 - Provider Council Unsched'!$C$11:$C$234,0)</f>
        <v>#N/A</v>
      </c>
      <c r="AR2259" s="6" t="b">
        <f t="shared" si="242"/>
        <v>1</v>
      </c>
      <c r="AS2259" s="6" t="str">
        <f t="shared" ref="AS2259:AS2278" si="243">IF(AND(H2259="2 - Not Scheduled",AR2259=TRUE),"Add","OK")</f>
        <v>OK</v>
      </c>
      <c r="AU2259" s="202"/>
      <c r="AV2259" s="262"/>
      <c r="AW2259" s="274"/>
    </row>
    <row r="2260" spans="1:49" s="13" customFormat="1" ht="33.75" x14ac:dyDescent="0.2">
      <c r="A2260" s="14">
        <v>2236</v>
      </c>
      <c r="B2260" s="14">
        <v>400019600</v>
      </c>
      <c r="C2260" s="8" t="s">
        <v>5614</v>
      </c>
      <c r="D2260" s="4" t="str">
        <f t="shared" si="238"/>
        <v>400019600R5</v>
      </c>
      <c r="E2260" s="309" t="str">
        <f>VLOOKUP($B2260,'D7 - NDB Impacted SPRF''s'!$E$6:$O$9929,2,FALSE)</f>
        <v>PHS Work Package 1 Release 1 - Install and Admin</v>
      </c>
      <c r="F2260" s="8" t="s">
        <v>4384</v>
      </c>
      <c r="G2260" s="8" t="s">
        <v>4758</v>
      </c>
      <c r="H2260" s="8" t="s">
        <v>2870</v>
      </c>
      <c r="I2260" s="20">
        <f>2686.5/150</f>
        <v>17.91</v>
      </c>
      <c r="J2260" s="8" t="s">
        <v>4862</v>
      </c>
      <c r="K2260" s="182">
        <v>40040</v>
      </c>
      <c r="L2260" s="8" t="s">
        <v>5743</v>
      </c>
      <c r="M2260" s="8" t="s">
        <v>2814</v>
      </c>
      <c r="N2260" s="38"/>
      <c r="O2260" s="8" t="s">
        <v>2547</v>
      </c>
      <c r="P2260" s="4" t="str">
        <f>VLOOKUP($B2260,'D7 - NDB Impacted SPRF''s'!$E$16:$O$9929,9,FALSE)</f>
        <v>Y</v>
      </c>
      <c r="Q2260" s="4" t="str">
        <f>VLOOKUP($B2260,'D7 - NDB Impacted SPRF''s'!$E$16:$O$9929,10,FALSE)</f>
        <v>N</v>
      </c>
      <c r="R2260" s="4" t="str">
        <f>VLOOKUP($B2260,'D7 - NDB Impacted SPRF''s'!$E$16:$O$9929,11,FALSE)</f>
        <v>N</v>
      </c>
      <c r="S2260" s="8"/>
      <c r="T2260" s="310"/>
      <c r="U2260" s="310"/>
      <c r="V2260" s="4"/>
      <c r="W2260" s="4"/>
      <c r="X2260" s="4"/>
      <c r="Y2260" s="4"/>
      <c r="Z2260" s="4"/>
      <c r="AA2260" s="4"/>
      <c r="AB2260" s="380" t="str">
        <f>VLOOKUP($B2260,'D7 - NDB Impacted SPRF''s'!$E$16:$O$9929,4,FALSE)</f>
        <v>Completed</v>
      </c>
      <c r="AC2260" s="380" t="str">
        <f>VLOOKUP($B2260,'D7 - NDB Impacted SPRF''s'!$E$16:$O$9929,3,FALSE)</f>
        <v>UnitedHealthcare Employer &amp; Individual</v>
      </c>
      <c r="AD2260" s="380" t="str">
        <f>VLOOKUP($B2260,'D7 - NDB Impacted SPRF''s'!$E$16:$O$9929,5,FALSE)</f>
        <v>Integration Requirements</v>
      </c>
      <c r="AE2260" s="380" t="str">
        <f>VLOOKUP($B2260,'D7 - NDB Impacted SPRF''s'!$E$16:$O$9929,7,FALSE)</f>
        <v>Diane Schofield</v>
      </c>
      <c r="AF2260" s="380" t="str">
        <f>VLOOKUP($B2260,'D7 - NDB Impacted SPRF''s'!$E$16:$O$9929,6,FALSE)</f>
        <v>Rebecca Gent</v>
      </c>
      <c r="AG2260" s="282"/>
      <c r="AH2260" s="311" t="e">
        <f>INDEX('D5 - Gatekeeper - Projects'!$A$4:$AF$1010,$AM2260, 17)</f>
        <v>#N/A</v>
      </c>
      <c r="AI2260" s="8"/>
      <c r="AJ2260" s="57"/>
      <c r="AK2260" s="105"/>
      <c r="AM2260" s="6" t="e">
        <f>MATCH(D2260,'D5 - Gatekeeper - Projects'!$C$4:$C$1010,0)</f>
        <v>#N/A</v>
      </c>
      <c r="AN2260" s="6" t="b">
        <f t="shared" si="240"/>
        <v>1</v>
      </c>
      <c r="AO2260" s="6" t="str">
        <f t="shared" si="241"/>
        <v>OK</v>
      </c>
      <c r="AQ2260" s="6" t="e">
        <f>MATCH($D2260,'D4 - Provider Council Unsched'!$C$11:$C$234,0)</f>
        <v>#N/A</v>
      </c>
      <c r="AR2260" s="6" t="b">
        <f t="shared" si="242"/>
        <v>1</v>
      </c>
      <c r="AS2260" s="6" t="str">
        <f t="shared" si="243"/>
        <v>OK</v>
      </c>
      <c r="AU2260" s="202"/>
      <c r="AV2260" s="262"/>
      <c r="AW2260" s="274"/>
    </row>
    <row r="2261" spans="1:49" s="13" customFormat="1" ht="33.75" x14ac:dyDescent="0.2">
      <c r="A2261" s="14">
        <v>2237</v>
      </c>
      <c r="B2261" s="14">
        <v>400021517</v>
      </c>
      <c r="C2261" s="8" t="s">
        <v>5197</v>
      </c>
      <c r="D2261" s="4" t="str">
        <f t="shared" si="238"/>
        <v>400021517R1</v>
      </c>
      <c r="E2261" s="309" t="str">
        <f>VLOOKUP($B2261,'D7 - NDB Impacted SPRF''s'!$E$6:$O$9929,2,FALSE)</f>
        <v>Medica GIL Charge Line Codes</v>
      </c>
      <c r="F2261" s="8" t="s">
        <v>5196</v>
      </c>
      <c r="G2261" s="8" t="s">
        <v>4758</v>
      </c>
      <c r="H2261" s="8" t="s">
        <v>2870</v>
      </c>
      <c r="I2261" s="20">
        <f>306/150</f>
        <v>2.04</v>
      </c>
      <c r="J2261" s="8" t="s">
        <v>4862</v>
      </c>
      <c r="K2261" s="182">
        <v>40040</v>
      </c>
      <c r="L2261" s="8" t="s">
        <v>5743</v>
      </c>
      <c r="M2261" s="8" t="s">
        <v>2814</v>
      </c>
      <c r="N2261" s="38"/>
      <c r="O2261" s="8" t="s">
        <v>1998</v>
      </c>
      <c r="P2261" s="4" t="str">
        <f>VLOOKUP($B2261,'D7 - NDB Impacted SPRF''s'!$E$16:$O$9929,9,FALSE)</f>
        <v>N</v>
      </c>
      <c r="Q2261" s="4" t="str">
        <f>VLOOKUP($B2261,'D7 - NDB Impacted SPRF''s'!$E$16:$O$9929,10,FALSE)</f>
        <v>N</v>
      </c>
      <c r="R2261" s="4" t="str">
        <f>VLOOKUP($B2261,'D7 - NDB Impacted SPRF''s'!$E$16:$O$9929,11,FALSE)</f>
        <v>N</v>
      </c>
      <c r="S2261" s="8"/>
      <c r="T2261" s="310"/>
      <c r="U2261" s="310"/>
      <c r="V2261" s="4"/>
      <c r="W2261" s="4"/>
      <c r="X2261" s="4"/>
      <c r="Y2261" s="4"/>
      <c r="Z2261" s="4"/>
      <c r="AA2261" s="4"/>
      <c r="AB2261" s="380" t="str">
        <f>VLOOKUP($B2261,'D7 - NDB Impacted SPRF''s'!$E$16:$O$9929,4,FALSE)</f>
        <v>Cancelled</v>
      </c>
      <c r="AC2261" s="380" t="str">
        <f>VLOOKUP($B2261,'D7 - NDB Impacted SPRF''s'!$E$16:$O$9929,3,FALSE)</f>
        <v>UnitedHealthcare Employer &amp; Individual</v>
      </c>
      <c r="AD2261" s="380" t="str">
        <f>VLOOKUP($B2261,'D7 - NDB Impacted SPRF''s'!$E$16:$O$9929,5,FALSE)</f>
        <v>HCA - Medica UNET Conversion</v>
      </c>
      <c r="AE2261" s="380" t="str">
        <f>VLOOKUP($B2261,'D7 - NDB Impacted SPRF''s'!$E$16:$O$9929,7,FALSE)</f>
        <v>Diane Schofield</v>
      </c>
      <c r="AF2261" s="380" t="str">
        <f>VLOOKUP($B2261,'D7 - NDB Impacted SPRF''s'!$E$16:$O$9929,6,FALSE)</f>
        <v>COOPER PAULA</v>
      </c>
      <c r="AG2261" s="282"/>
      <c r="AH2261" s="311" t="e">
        <f>INDEX('D5 - Gatekeeper - Projects'!$A$4:$AF$1010,$AM2261, 17)</f>
        <v>#N/A</v>
      </c>
      <c r="AI2261" s="8"/>
      <c r="AJ2261" s="57"/>
      <c r="AK2261" s="105"/>
      <c r="AM2261" s="6" t="e">
        <f>MATCH(D2261,'D5 - Gatekeeper - Projects'!$C$4:$C$1010,0)</f>
        <v>#N/A</v>
      </c>
      <c r="AN2261" s="6" t="b">
        <f t="shared" si="240"/>
        <v>1</v>
      </c>
      <c r="AO2261" s="6" t="str">
        <f t="shared" si="241"/>
        <v>OK</v>
      </c>
      <c r="AQ2261" s="6" t="e">
        <f>MATCH($D2261,'D4 - Provider Council Unsched'!$C$11:$C$234,0)</f>
        <v>#N/A</v>
      </c>
      <c r="AR2261" s="6" t="b">
        <f t="shared" si="242"/>
        <v>1</v>
      </c>
      <c r="AS2261" s="6" t="str">
        <f t="shared" si="243"/>
        <v>OK</v>
      </c>
      <c r="AU2261" s="202"/>
      <c r="AV2261" s="262"/>
      <c r="AW2261" s="274"/>
    </row>
    <row r="2262" spans="1:49" s="13" customFormat="1" ht="33.75" x14ac:dyDescent="0.2">
      <c r="A2262" s="14">
        <v>2238</v>
      </c>
      <c r="B2262" s="14">
        <v>400023981</v>
      </c>
      <c r="C2262" s="8" t="s">
        <v>5197</v>
      </c>
      <c r="D2262" s="4" t="str">
        <f t="shared" si="238"/>
        <v>400023981R1</v>
      </c>
      <c r="E2262" s="309" t="str">
        <f>VLOOKUP($B2262,'D7 - NDB Impacted SPRF''s'!$E$6:$O$9929,2,FALSE)</f>
        <v>eODS Enterprise Operational Data Store Development</v>
      </c>
      <c r="F2262" s="8" t="s">
        <v>6071</v>
      </c>
      <c r="G2262" s="8" t="s">
        <v>4758</v>
      </c>
      <c r="H2262" s="8" t="s">
        <v>2870</v>
      </c>
      <c r="I2262" s="20">
        <v>33.33</v>
      </c>
      <c r="J2262" s="8" t="s">
        <v>4862</v>
      </c>
      <c r="K2262" s="182">
        <v>40040</v>
      </c>
      <c r="L2262" s="8" t="s">
        <v>5743</v>
      </c>
      <c r="M2262" s="8" t="s">
        <v>2814</v>
      </c>
      <c r="N2262" s="38" t="s">
        <v>4798</v>
      </c>
      <c r="O2262" s="8"/>
      <c r="P2262" s="4" t="str">
        <f>VLOOKUP($B2262,'D7 - NDB Impacted SPRF''s'!$E$16:$O$9929,9,FALSE)</f>
        <v>Y</v>
      </c>
      <c r="Q2262" s="4" t="str">
        <f>VLOOKUP($B2262,'D7 - NDB Impacted SPRF''s'!$E$16:$O$9929,10,FALSE)</f>
        <v>N</v>
      </c>
      <c r="R2262" s="4" t="str">
        <f>VLOOKUP($B2262,'D7 - NDB Impacted SPRF''s'!$E$16:$O$9929,11,FALSE)</f>
        <v>N</v>
      </c>
      <c r="S2262" s="8"/>
      <c r="T2262" s="310"/>
      <c r="U2262" s="310"/>
      <c r="V2262" s="4"/>
      <c r="W2262" s="4"/>
      <c r="X2262" s="4"/>
      <c r="Y2262" s="4"/>
      <c r="Z2262" s="4"/>
      <c r="AA2262" s="4"/>
      <c r="AB2262" s="380" t="str">
        <f>VLOOKUP($B2262,'D7 - NDB Impacted SPRF''s'!$E$16:$O$9929,4,FALSE)</f>
        <v>Cancelled</v>
      </c>
      <c r="AC2262" s="380" t="str">
        <f>VLOOKUP($B2262,'D7 - NDB Impacted SPRF''s'!$E$16:$O$9929,3,FALSE)</f>
        <v>UnitedHealthcare Employer &amp; Individual</v>
      </c>
      <c r="AD2262" s="380" t="str">
        <f>VLOOKUP($B2262,'D7 - NDB Impacted SPRF''s'!$E$16:$O$9929,5,FALSE)</f>
        <v>Integration Requirements</v>
      </c>
      <c r="AE2262" s="380" t="str">
        <f>VLOOKUP($B2262,'D7 - NDB Impacted SPRF''s'!$E$16:$O$9929,7,FALSE)</f>
        <v>Diane Schofield</v>
      </c>
      <c r="AF2262" s="380" t="str">
        <f>VLOOKUP($B2262,'D7 - NDB Impacted SPRF''s'!$E$16:$O$9929,6,FALSE)</f>
        <v>NANCY GRIMALDI</v>
      </c>
      <c r="AG2262" s="282"/>
      <c r="AH2262" s="311" t="e">
        <f>INDEX('D5 - Gatekeeper - Projects'!$A$4:$AF$1010,$AM2262, 17)</f>
        <v>#N/A</v>
      </c>
      <c r="AI2262" s="8"/>
      <c r="AJ2262" s="57"/>
      <c r="AK2262" s="105"/>
      <c r="AM2262" s="6" t="e">
        <f>MATCH(D2262,'D5 - Gatekeeper - Projects'!$C$4:$C$1010,0)</f>
        <v>#N/A</v>
      </c>
      <c r="AN2262" s="6" t="b">
        <f t="shared" si="240"/>
        <v>1</v>
      </c>
      <c r="AO2262" s="6" t="str">
        <f t="shared" si="241"/>
        <v>OK</v>
      </c>
      <c r="AQ2262" s="6" t="e">
        <f>MATCH($D2262,'D4 - Provider Council Unsched'!$C$11:$C$234,0)</f>
        <v>#N/A</v>
      </c>
      <c r="AR2262" s="6" t="b">
        <f t="shared" si="242"/>
        <v>1</v>
      </c>
      <c r="AS2262" s="6" t="str">
        <f t="shared" si="243"/>
        <v>OK</v>
      </c>
      <c r="AU2262" s="202"/>
      <c r="AV2262" s="262"/>
      <c r="AW2262" s="274"/>
    </row>
    <row r="2263" spans="1:49" s="13" customFormat="1" ht="33.75" x14ac:dyDescent="0.2">
      <c r="A2263" s="14">
        <v>2239</v>
      </c>
      <c r="B2263" s="14">
        <v>400026293</v>
      </c>
      <c r="C2263" s="8" t="s">
        <v>5197</v>
      </c>
      <c r="D2263" s="4" t="str">
        <f t="shared" si="238"/>
        <v>400026293R1</v>
      </c>
      <c r="E2263" s="309" t="str">
        <f>VLOOKUP($B2263,'D7 - NDB Impacted SPRF''s'!$E$6:$O$9929,2,FALSE)</f>
        <v>New Delsys Codes for Sngl Cons Porta/Medica</v>
      </c>
      <c r="F2263" s="8" t="s">
        <v>2114</v>
      </c>
      <c r="G2263" s="8" t="s">
        <v>4758</v>
      </c>
      <c r="H2263" s="8" t="s">
        <v>2870</v>
      </c>
      <c r="I2263" s="20">
        <v>3.31</v>
      </c>
      <c r="J2263" s="8" t="s">
        <v>4862</v>
      </c>
      <c r="K2263" s="182">
        <v>40040</v>
      </c>
      <c r="L2263" s="8" t="s">
        <v>4156</v>
      </c>
      <c r="M2263" s="8" t="s">
        <v>2814</v>
      </c>
      <c r="N2263" s="38" t="s">
        <v>1948</v>
      </c>
      <c r="O2263" s="8"/>
      <c r="P2263" s="4" t="str">
        <f>VLOOKUP($B2263,'D7 - NDB Impacted SPRF''s'!$E$16:$O$9929,9,FALSE)</f>
        <v>N</v>
      </c>
      <c r="Q2263" s="4" t="str">
        <f>VLOOKUP($B2263,'D7 - NDB Impacted SPRF''s'!$E$16:$O$9929,10,FALSE)</f>
        <v>N</v>
      </c>
      <c r="R2263" s="4" t="str">
        <f>VLOOKUP($B2263,'D7 - NDB Impacted SPRF''s'!$E$16:$O$9929,11,FALSE)</f>
        <v>N</v>
      </c>
      <c r="S2263" s="8"/>
      <c r="T2263" s="310"/>
      <c r="U2263" s="310"/>
      <c r="V2263" s="4"/>
      <c r="W2263" s="4"/>
      <c r="X2263" s="4"/>
      <c r="Y2263" s="4"/>
      <c r="Z2263" s="4"/>
      <c r="AA2263" s="4"/>
      <c r="AB2263" s="380" t="str">
        <f>VLOOKUP($B2263,'D7 - NDB Impacted SPRF''s'!$E$16:$O$9929,4,FALSE)</f>
        <v>Cancelled</v>
      </c>
      <c r="AC2263" s="380" t="str">
        <f>VLOOKUP($B2263,'D7 - NDB Impacted SPRF''s'!$E$16:$O$9929,3,FALSE)</f>
        <v>UnitedHealthcare Employer &amp; Individual</v>
      </c>
      <c r="AD2263" s="380" t="str">
        <f>VLOOKUP($B2263,'D7 - NDB Impacted SPRF''s'!$E$16:$O$9929,5,FALSE)</f>
        <v>Membership Growth / Revenue Programs</v>
      </c>
      <c r="AE2263" s="380" t="str">
        <f>VLOOKUP($B2263,'D7 - NDB Impacted SPRF''s'!$E$16:$O$9929,7,FALSE)</f>
        <v>John Ryan</v>
      </c>
      <c r="AF2263" s="380" t="str">
        <f>VLOOKUP($B2263,'D7 - NDB Impacted SPRF''s'!$E$16:$O$9929,6,FALSE)</f>
        <v>Cathy Considine</v>
      </c>
      <c r="AG2263" s="282"/>
      <c r="AH2263" s="311" t="e">
        <f>INDEX('D5 - Gatekeeper - Projects'!$A$4:$AF$1010,$AM2263, 17)</f>
        <v>#N/A</v>
      </c>
      <c r="AI2263" s="8"/>
      <c r="AJ2263" s="57"/>
      <c r="AK2263" s="105"/>
      <c r="AM2263" s="6" t="e">
        <f>MATCH(D2263,'D5 - Gatekeeper - Projects'!$C$4:$C$1010,0)</f>
        <v>#N/A</v>
      </c>
      <c r="AN2263" s="6" t="b">
        <f t="shared" si="240"/>
        <v>1</v>
      </c>
      <c r="AO2263" s="6" t="str">
        <f t="shared" si="241"/>
        <v>OK</v>
      </c>
      <c r="AQ2263" s="6" t="e">
        <f>MATCH($D2263,'D4 - Provider Council Unsched'!$C$11:$C$234,0)</f>
        <v>#N/A</v>
      </c>
      <c r="AR2263" s="6" t="b">
        <f t="shared" si="242"/>
        <v>1</v>
      </c>
      <c r="AS2263" s="6" t="str">
        <f t="shared" si="243"/>
        <v>OK</v>
      </c>
      <c r="AU2263" s="202"/>
      <c r="AV2263" s="262"/>
      <c r="AW2263" s="274"/>
    </row>
    <row r="2264" spans="1:49" s="13" customFormat="1" ht="33.75" x14ac:dyDescent="0.2">
      <c r="A2264" s="14">
        <v>2240</v>
      </c>
      <c r="B2264" s="14">
        <v>400027758</v>
      </c>
      <c r="C2264" s="8" t="s">
        <v>5197</v>
      </c>
      <c r="D2264" s="4" t="str">
        <f t="shared" si="238"/>
        <v>400027758R1</v>
      </c>
      <c r="E2264" s="309" t="str">
        <f>VLOOKUP($B2264,'D7 - NDB Impacted SPRF''s'!$E$6:$O$9929,2,FALSE)</f>
        <v xml:space="preserve">QicLink Non-Par Pricing </v>
      </c>
      <c r="F2264" s="8" t="s">
        <v>2114</v>
      </c>
      <c r="G2264" s="8" t="s">
        <v>4758</v>
      </c>
      <c r="H2264" s="8" t="s">
        <v>2870</v>
      </c>
      <c r="I2264" s="20">
        <v>2.13</v>
      </c>
      <c r="J2264" s="8" t="s">
        <v>4862</v>
      </c>
      <c r="K2264" s="182">
        <v>40040</v>
      </c>
      <c r="L2264" s="8" t="s">
        <v>4156</v>
      </c>
      <c r="M2264" s="8" t="s">
        <v>5626</v>
      </c>
      <c r="N2264" s="38"/>
      <c r="O2264" s="8" t="s">
        <v>2000</v>
      </c>
      <c r="P2264" s="4" t="str">
        <f>VLOOKUP($B2264,'D7 - NDB Impacted SPRF''s'!$E$16:$O$9929,9,FALSE)</f>
        <v>N</v>
      </c>
      <c r="Q2264" s="4" t="str">
        <f>VLOOKUP($B2264,'D7 - NDB Impacted SPRF''s'!$E$16:$O$9929,10,FALSE)</f>
        <v>N</v>
      </c>
      <c r="R2264" s="4" t="str">
        <f>VLOOKUP($B2264,'D7 - NDB Impacted SPRF''s'!$E$16:$O$9929,11,FALSE)</f>
        <v>N</v>
      </c>
      <c r="S2264" s="8"/>
      <c r="T2264" s="310"/>
      <c r="U2264" s="310"/>
      <c r="V2264" s="4"/>
      <c r="W2264" s="4"/>
      <c r="X2264" s="4"/>
      <c r="Y2264" s="4"/>
      <c r="Z2264" s="4"/>
      <c r="AA2264" s="4"/>
      <c r="AB2264" s="380" t="str">
        <f>VLOOKUP($B2264,'D7 - NDB Impacted SPRF''s'!$E$16:$O$9929,4,FALSE)</f>
        <v>Cancelled</v>
      </c>
      <c r="AC2264" s="380" t="str">
        <f>VLOOKUP($B2264,'D7 - NDB Impacted SPRF''s'!$E$16:$O$9929,3,FALSE)</f>
        <v>UnitedHealthcare Employer &amp; Individual</v>
      </c>
      <c r="AD2264" s="380" t="str">
        <f>VLOOKUP($B2264,'D7 - NDB Impacted SPRF''s'!$E$16:$O$9929,5,FALSE)</f>
        <v>Medical Cost Savings Programs</v>
      </c>
      <c r="AE2264" s="380" t="str">
        <f>VLOOKUP($B2264,'D7 - NDB Impacted SPRF''s'!$E$16:$O$9929,7,FALSE)</f>
        <v>John Haben</v>
      </c>
      <c r="AF2264" s="380" t="str">
        <f>VLOOKUP($B2264,'D7 - NDB Impacted SPRF''s'!$E$16:$O$9929,6,FALSE)</f>
        <v>Ellis Miller</v>
      </c>
      <c r="AG2264" s="282"/>
      <c r="AH2264" s="311" t="e">
        <f>INDEX('D5 - Gatekeeper - Projects'!$A$4:$AF$1010,$AM2264, 17)</f>
        <v>#N/A</v>
      </c>
      <c r="AI2264" s="8"/>
      <c r="AJ2264" s="57"/>
      <c r="AK2264" s="105"/>
      <c r="AM2264" s="6" t="e">
        <f>MATCH(D2264,'D5 - Gatekeeper - Projects'!$C$4:$C$1010,0)</f>
        <v>#N/A</v>
      </c>
      <c r="AN2264" s="6" t="b">
        <f t="shared" si="240"/>
        <v>1</v>
      </c>
      <c r="AO2264" s="6" t="str">
        <f t="shared" si="241"/>
        <v>OK</v>
      </c>
      <c r="AQ2264" s="6" t="e">
        <f>MATCH($D2264,'D4 - Provider Council Unsched'!$C$11:$C$234,0)</f>
        <v>#N/A</v>
      </c>
      <c r="AR2264" s="6" t="b">
        <f t="shared" si="242"/>
        <v>1</v>
      </c>
      <c r="AS2264" s="6" t="str">
        <f t="shared" si="243"/>
        <v>OK</v>
      </c>
      <c r="AU2264" s="202"/>
      <c r="AV2264" s="262"/>
      <c r="AW2264" s="274"/>
    </row>
    <row r="2265" spans="1:49" s="13" customFormat="1" ht="45" x14ac:dyDescent="0.2">
      <c r="A2265" s="14">
        <v>2241</v>
      </c>
      <c r="B2265" s="14">
        <v>400027951</v>
      </c>
      <c r="C2265" s="8" t="s">
        <v>5197</v>
      </c>
      <c r="D2265" s="4" t="str">
        <f t="shared" si="238"/>
        <v>400027951R1</v>
      </c>
      <c r="E2265" s="309" t="str">
        <f>VLOOKUP($B2265,'D7 - NDB Impacted SPRF''s'!$E$6:$O$9929,2,FALSE)</f>
        <v>DRG FE Transition Codes</v>
      </c>
      <c r="F2265" s="8" t="s">
        <v>2114</v>
      </c>
      <c r="G2265" s="8" t="s">
        <v>4758</v>
      </c>
      <c r="H2265" s="8" t="s">
        <v>2870</v>
      </c>
      <c r="I2265" s="20">
        <v>1.07</v>
      </c>
      <c r="J2265" s="8" t="s">
        <v>4862</v>
      </c>
      <c r="K2265" s="182">
        <v>40040</v>
      </c>
      <c r="L2265" s="8" t="s">
        <v>4156</v>
      </c>
      <c r="M2265" s="8" t="s">
        <v>5626</v>
      </c>
      <c r="N2265" s="38"/>
      <c r="O2265" s="8" t="s">
        <v>2000</v>
      </c>
      <c r="P2265" s="4" t="str">
        <f>VLOOKUP($B2265,'D7 - NDB Impacted SPRF''s'!$E$16:$O$9929,9,FALSE)</f>
        <v>Y</v>
      </c>
      <c r="Q2265" s="4" t="str">
        <f>VLOOKUP($B2265,'D7 - NDB Impacted SPRF''s'!$E$16:$O$9929,10,FALSE)</f>
        <v>N</v>
      </c>
      <c r="R2265" s="4" t="str">
        <f>VLOOKUP($B2265,'D7 - NDB Impacted SPRF''s'!$E$16:$O$9929,11,FALSE)</f>
        <v>N</v>
      </c>
      <c r="S2265" s="8"/>
      <c r="T2265" s="310"/>
      <c r="U2265" s="310"/>
      <c r="V2265" s="4"/>
      <c r="W2265" s="4"/>
      <c r="X2265" s="4"/>
      <c r="Y2265" s="4"/>
      <c r="Z2265" s="4"/>
      <c r="AA2265" s="4"/>
      <c r="AB2265" s="380" t="str">
        <f>VLOOKUP($B2265,'D7 - NDB Impacted SPRF''s'!$E$16:$O$9929,4,FALSE)</f>
        <v>Cancelled</v>
      </c>
      <c r="AC2265" s="380" t="str">
        <f>VLOOKUP($B2265,'D7 - NDB Impacted SPRF''s'!$E$16:$O$9929,3,FALSE)</f>
        <v>UHG IT - Enterprise Technology Services</v>
      </c>
      <c r="AD2265" s="380" t="str">
        <f>VLOOKUP($B2265,'D7 - NDB Impacted SPRF''s'!$E$16:$O$9929,5,FALSE)</f>
        <v>Strategic Initiatives</v>
      </c>
      <c r="AE2265" s="380" t="str">
        <f>VLOOKUP($B2265,'D7 - NDB Impacted SPRF''s'!$E$16:$O$9929,7,FALSE)</f>
        <v>Jill Fource</v>
      </c>
      <c r="AF2265" s="380" t="str">
        <f>VLOOKUP($B2265,'D7 - NDB Impacted SPRF''s'!$E$16:$O$9929,6,FALSE)</f>
        <v>Suzanne Smith</v>
      </c>
      <c r="AG2265" s="282"/>
      <c r="AH2265" s="311" t="e">
        <f>INDEX('D5 - Gatekeeper - Projects'!$A$4:$AF$1010,$AM2265, 17)</f>
        <v>#N/A</v>
      </c>
      <c r="AI2265" s="8"/>
      <c r="AJ2265" s="57"/>
      <c r="AK2265" s="105"/>
      <c r="AM2265" s="6" t="e">
        <f>MATCH(D2265,'D5 - Gatekeeper - Projects'!$C$4:$C$1010,0)</f>
        <v>#N/A</v>
      </c>
      <c r="AN2265" s="6" t="b">
        <f t="shared" si="240"/>
        <v>1</v>
      </c>
      <c r="AO2265" s="6" t="str">
        <f t="shared" si="241"/>
        <v>OK</v>
      </c>
      <c r="AQ2265" s="6" t="e">
        <f>MATCH($D2265,'D4 - Provider Council Unsched'!$C$11:$C$234,0)</f>
        <v>#N/A</v>
      </c>
      <c r="AR2265" s="6" t="b">
        <f t="shared" si="242"/>
        <v>1</v>
      </c>
      <c r="AS2265" s="6" t="str">
        <f t="shared" si="243"/>
        <v>OK</v>
      </c>
      <c r="AU2265" s="202"/>
      <c r="AV2265" s="262"/>
      <c r="AW2265" s="274"/>
    </row>
    <row r="2266" spans="1:49" s="13" customFormat="1" ht="33.75" x14ac:dyDescent="0.2">
      <c r="A2266" s="14">
        <v>2242</v>
      </c>
      <c r="B2266" s="14">
        <v>400024166</v>
      </c>
      <c r="C2266" s="8" t="s">
        <v>5197</v>
      </c>
      <c r="D2266" s="4" t="str">
        <f t="shared" si="238"/>
        <v>400024166R1</v>
      </c>
      <c r="E2266" s="309" t="str">
        <f>VLOOKUP($B2266,'D7 - NDB Impacted SPRF''s'!$E$6:$O$9929,2,FALSE)</f>
        <v>Auto Assign Correct GHMO IPA with MAHP RAD Area</v>
      </c>
      <c r="F2266" s="8" t="s">
        <v>4168</v>
      </c>
      <c r="G2266" s="8" t="s">
        <v>4758</v>
      </c>
      <c r="H2266" s="8" t="s">
        <v>2870</v>
      </c>
      <c r="I2266" s="20">
        <v>14.09</v>
      </c>
      <c r="J2266" s="8" t="s">
        <v>4862</v>
      </c>
      <c r="K2266" s="182">
        <v>40082</v>
      </c>
      <c r="L2266" s="8" t="s">
        <v>5743</v>
      </c>
      <c r="M2266" s="8" t="s">
        <v>2814</v>
      </c>
      <c r="N2266" s="38" t="s">
        <v>7479</v>
      </c>
      <c r="O2266" s="8"/>
      <c r="P2266" s="4" t="str">
        <f>VLOOKUP($B2266,'D7 - NDB Impacted SPRF''s'!$E$16:$O$9929,9,FALSE)</f>
        <v>Y</v>
      </c>
      <c r="Q2266" s="4" t="str">
        <f>VLOOKUP($B2266,'D7 - NDB Impacted SPRF''s'!$E$16:$O$9929,10,FALSE)</f>
        <v>N</v>
      </c>
      <c r="R2266" s="4" t="str">
        <f>VLOOKUP($B2266,'D7 - NDB Impacted SPRF''s'!$E$16:$O$9929,11,FALSE)</f>
        <v>N</v>
      </c>
      <c r="S2266" s="8"/>
      <c r="T2266" s="310"/>
      <c r="U2266" s="310"/>
      <c r="V2266" s="4"/>
      <c r="W2266" s="4"/>
      <c r="X2266" s="4"/>
      <c r="Y2266" s="4"/>
      <c r="Z2266" s="4"/>
      <c r="AA2266" s="4"/>
      <c r="AB2266" s="380" t="str">
        <f>VLOOKUP($B2266,'D7 - NDB Impacted SPRF''s'!$E$16:$O$9929,4,FALSE)</f>
        <v>Cancelled</v>
      </c>
      <c r="AC2266" s="380" t="str">
        <f>VLOOKUP($B2266,'D7 - NDB Impacted SPRF''s'!$E$16:$O$9929,3,FALSE)</f>
        <v>UnitedHealthcare Employer &amp; Individual</v>
      </c>
      <c r="AD2266" s="380" t="str">
        <f>VLOOKUP($B2266,'D7 - NDB Impacted SPRF''s'!$E$16:$O$9929,5,FALSE)</f>
        <v>Integration Requirements</v>
      </c>
      <c r="AE2266" s="380" t="str">
        <f>VLOOKUP($B2266,'D7 - NDB Impacted SPRF''s'!$E$16:$O$9929,7,FALSE)</f>
        <v>Eileen Dock</v>
      </c>
      <c r="AF2266" s="380" t="str">
        <f>VLOOKUP($B2266,'D7 - NDB Impacted SPRF''s'!$E$16:$O$9929,6,FALSE)</f>
        <v>Eileen Dock</v>
      </c>
      <c r="AG2266" s="282"/>
      <c r="AH2266" s="311" t="e">
        <f>INDEX('D5 - Gatekeeper - Projects'!$A$4:$AF$1010,$AM2266, 17)</f>
        <v>#N/A</v>
      </c>
      <c r="AI2266" s="8"/>
      <c r="AJ2266" s="57"/>
      <c r="AK2266" s="105"/>
      <c r="AM2266" s="6" t="e">
        <f>MATCH(D2266,'D5 - Gatekeeper - Projects'!$C$4:$C$1010,0)</f>
        <v>#N/A</v>
      </c>
      <c r="AN2266" s="6" t="b">
        <f t="shared" si="240"/>
        <v>1</v>
      </c>
      <c r="AO2266" s="6" t="str">
        <f t="shared" si="241"/>
        <v>OK</v>
      </c>
      <c r="AQ2266" s="6" t="e">
        <f>MATCH($D2266,'D4 - Provider Council Unsched'!$C$11:$C$234,0)</f>
        <v>#N/A</v>
      </c>
      <c r="AR2266" s="6" t="b">
        <f t="shared" si="242"/>
        <v>1</v>
      </c>
      <c r="AS2266" s="6" t="str">
        <f t="shared" si="243"/>
        <v>OK</v>
      </c>
      <c r="AU2266" s="202"/>
      <c r="AV2266" s="262"/>
      <c r="AW2266" s="274"/>
    </row>
    <row r="2267" spans="1:49" s="13" customFormat="1" ht="33.75" x14ac:dyDescent="0.2">
      <c r="A2267" s="14">
        <v>2243</v>
      </c>
      <c r="B2267" s="14">
        <v>400030128</v>
      </c>
      <c r="C2267" s="8" t="s">
        <v>5197</v>
      </c>
      <c r="D2267" s="4" t="str">
        <f t="shared" si="238"/>
        <v>400030128R1</v>
      </c>
      <c r="E2267" s="309" t="str">
        <f>VLOOKUP($B2267,'D7 - NDB Impacted SPRF''s'!$E$6:$O$9929,2,FALSE)</f>
        <v>NDM Workflow Process Improvement - NDB Development</v>
      </c>
      <c r="F2267" s="282" t="s">
        <v>4659</v>
      </c>
      <c r="G2267" s="8" t="s">
        <v>4758</v>
      </c>
      <c r="H2267" s="8" t="s">
        <v>2870</v>
      </c>
      <c r="I2267" s="20">
        <v>5.36</v>
      </c>
      <c r="J2267" s="8" t="s">
        <v>4862</v>
      </c>
      <c r="K2267" s="182">
        <v>40082</v>
      </c>
      <c r="L2267" s="8" t="s">
        <v>4156</v>
      </c>
      <c r="M2267" s="8" t="s">
        <v>2814</v>
      </c>
      <c r="N2267" s="38"/>
      <c r="O2267" s="8" t="s">
        <v>2875</v>
      </c>
      <c r="P2267" s="4" t="str">
        <f>VLOOKUP($B2267,'D7 - NDB Impacted SPRF''s'!$E$16:$O$9929,9,FALSE)</f>
        <v>N</v>
      </c>
      <c r="Q2267" s="4" t="str">
        <f>VLOOKUP($B2267,'D7 - NDB Impacted SPRF''s'!$E$16:$O$9929,10,FALSE)</f>
        <v>N</v>
      </c>
      <c r="R2267" s="4" t="str">
        <f>VLOOKUP($B2267,'D7 - NDB Impacted SPRF''s'!$E$16:$O$9929,11,FALSE)</f>
        <v>N</v>
      </c>
      <c r="S2267" s="8"/>
      <c r="T2267" s="310"/>
      <c r="U2267" s="310"/>
      <c r="V2267" s="4"/>
      <c r="W2267" s="4"/>
      <c r="X2267" s="4"/>
      <c r="Y2267" s="4"/>
      <c r="Z2267" s="4"/>
      <c r="AA2267" s="4"/>
      <c r="AB2267" s="380" t="str">
        <f>VLOOKUP($B2267,'D7 - NDB Impacted SPRF''s'!$E$6:$O$9929,4,FALSE)</f>
        <v>Completed</v>
      </c>
      <c r="AC2267" s="380" t="str">
        <f>VLOOKUP($B2267,'D7 - NDB Impacted SPRF''s'!$E$6:$O$9929,3,FALSE)</f>
        <v>UnitedHealthcare Employer &amp; Individual</v>
      </c>
      <c r="AD2267" s="380" t="str">
        <f>VLOOKUP($B2267,'D7 - NDB Impacted SPRF''s'!$E$6:$O$9929,5,FALSE)</f>
        <v>Process Improvement</v>
      </c>
      <c r="AE2267" s="380" t="str">
        <f>VLOOKUP($B2267,'D7 - NDB Impacted SPRF''s'!$E$6:$O$9929,7,FALSE)</f>
        <v>Jill Foucre</v>
      </c>
      <c r="AF2267" s="380" t="str">
        <f>VLOOKUP($B2267,'D7 - NDB Impacted SPRF''s'!$E$6:$O$9929,6,FALSE)</f>
        <v>Gregory Greenwood</v>
      </c>
      <c r="AG2267" s="282"/>
      <c r="AH2267" s="311" t="e">
        <f>INDEX('D5 - Gatekeeper - Projects'!$A$4:$AF$1010,$AM2267, 17)</f>
        <v>#N/A</v>
      </c>
      <c r="AI2267" s="8"/>
      <c r="AJ2267" s="57"/>
      <c r="AK2267" s="105"/>
      <c r="AM2267" s="6" t="e">
        <f>MATCH(D2267,'D5 - Gatekeeper - Projects'!$C$4:$C$1010,0)</f>
        <v>#N/A</v>
      </c>
      <c r="AN2267" s="6" t="b">
        <f t="shared" si="240"/>
        <v>1</v>
      </c>
      <c r="AO2267" s="6" t="str">
        <f t="shared" si="241"/>
        <v>OK</v>
      </c>
      <c r="AQ2267" s="6" t="e">
        <f>MATCH($D2267,'D4 - Provider Council Unsched'!$C$11:$C$234,0)</f>
        <v>#N/A</v>
      </c>
      <c r="AR2267" s="6" t="b">
        <f t="shared" si="242"/>
        <v>1</v>
      </c>
      <c r="AS2267" s="6" t="str">
        <f t="shared" si="243"/>
        <v>OK</v>
      </c>
      <c r="AU2267" s="202"/>
      <c r="AV2267" s="262"/>
      <c r="AW2267" s="274"/>
    </row>
    <row r="2268" spans="1:49" s="13" customFormat="1" ht="33.75" x14ac:dyDescent="0.2">
      <c r="A2268" s="14">
        <v>2244</v>
      </c>
      <c r="B2268" s="14">
        <v>400024666</v>
      </c>
      <c r="C2268" s="8" t="s">
        <v>5664</v>
      </c>
      <c r="D2268" s="4" t="str">
        <f t="shared" si="238"/>
        <v>400024666U4</v>
      </c>
      <c r="E2268" s="309" t="str">
        <f>VLOOKUP($B2268,'D7 - NDB Impacted SPRF''s'!$E$6:$O$9929,2,FALSE)</f>
        <v xml:space="preserve">MPQ Enhancements </v>
      </c>
      <c r="F2268" s="8" t="s">
        <v>2114</v>
      </c>
      <c r="G2268" s="8" t="s">
        <v>4758</v>
      </c>
      <c r="H2268" s="8" t="s">
        <v>2870</v>
      </c>
      <c r="I2268" s="20">
        <v>6.42</v>
      </c>
      <c r="J2268" s="8" t="s">
        <v>4862</v>
      </c>
      <c r="K2268" s="182">
        <v>40131</v>
      </c>
      <c r="L2268" s="8" t="s">
        <v>4156</v>
      </c>
      <c r="M2268" s="8" t="s">
        <v>2814</v>
      </c>
      <c r="N2268" s="38"/>
      <c r="O2268" s="8" t="s">
        <v>4599</v>
      </c>
      <c r="P2268" s="4" t="str">
        <f>VLOOKUP($B2268,'D7 - NDB Impacted SPRF''s'!$E$16:$O$9929,9,FALSE)</f>
        <v>Y</v>
      </c>
      <c r="Q2268" s="4" t="str">
        <f>VLOOKUP($B2268,'D7 - NDB Impacted SPRF''s'!$E$16:$O$9929,10,FALSE)</f>
        <v>N</v>
      </c>
      <c r="R2268" s="4" t="str">
        <f>VLOOKUP($B2268,'D7 - NDB Impacted SPRF''s'!$E$16:$O$9929,11,FALSE)</f>
        <v>Y</v>
      </c>
      <c r="S2268" s="8"/>
      <c r="T2268" s="310"/>
      <c r="U2268" s="310"/>
      <c r="V2268" s="4"/>
      <c r="W2268" s="4"/>
      <c r="X2268" s="4"/>
      <c r="Y2268" s="4"/>
      <c r="Z2268" s="4"/>
      <c r="AA2268" s="4"/>
      <c r="AB2268" s="380" t="str">
        <f>VLOOKUP($B2268,'D7 - NDB Impacted SPRF''s'!$E$16:$O$9929,4,FALSE)</f>
        <v>Completed</v>
      </c>
      <c r="AC2268" s="380" t="str">
        <f>VLOOKUP($B2268,'D7 - NDB Impacted SPRF''s'!$E$16:$O$9929,3,FALSE)</f>
        <v>UnitedHealthcare Employer &amp; Individual</v>
      </c>
      <c r="AD2268" s="380" t="str">
        <f>VLOOKUP($B2268,'D7 - NDB Impacted SPRF''s'!$E$16:$O$9929,5,FALSE)</f>
        <v>Process Improvement</v>
      </c>
      <c r="AE2268" s="380" t="str">
        <f>VLOOKUP($B2268,'D7 - NDB Impacted SPRF''s'!$E$16:$O$9929,7,FALSE)</f>
        <v>Jillian Foucre</v>
      </c>
      <c r="AF2268" s="380" t="str">
        <f>VLOOKUP($B2268,'D7 - NDB Impacted SPRF''s'!$E$16:$O$9929,6,FALSE)</f>
        <v>JOHN HIEBERT</v>
      </c>
      <c r="AG2268" s="282"/>
      <c r="AH2268" s="311" t="e">
        <f>INDEX('D5 - Gatekeeper - Projects'!$A$4:$AF$1010,$AM2268, 17)</f>
        <v>#N/A</v>
      </c>
      <c r="AI2268" s="8"/>
      <c r="AJ2268" s="57"/>
      <c r="AK2268" s="105"/>
      <c r="AM2268" s="6" t="e">
        <f>MATCH(D2268,'D5 - Gatekeeper - Projects'!$C$4:$C$1010,0)</f>
        <v>#N/A</v>
      </c>
      <c r="AN2268" s="6" t="b">
        <f t="shared" si="240"/>
        <v>1</v>
      </c>
      <c r="AO2268" s="6" t="str">
        <f t="shared" si="241"/>
        <v>OK</v>
      </c>
      <c r="AQ2268" s="6" t="e">
        <f>MATCH($D2268,'D4 - Provider Council Unsched'!$C$11:$C$234,0)</f>
        <v>#N/A</v>
      </c>
      <c r="AR2268" s="6" t="b">
        <f t="shared" si="242"/>
        <v>1</v>
      </c>
      <c r="AS2268" s="6" t="str">
        <f t="shared" si="243"/>
        <v>OK</v>
      </c>
      <c r="AU2268" s="202"/>
      <c r="AV2268" s="262"/>
      <c r="AW2268" s="274"/>
    </row>
    <row r="2269" spans="1:49" s="13" customFormat="1" ht="67.5" x14ac:dyDescent="0.2">
      <c r="A2269" s="14">
        <v>2245</v>
      </c>
      <c r="B2269" s="14">
        <v>400027363</v>
      </c>
      <c r="C2269" s="8" t="s">
        <v>5197</v>
      </c>
      <c r="D2269" s="4" t="str">
        <f t="shared" si="238"/>
        <v>400027363R1</v>
      </c>
      <c r="E2269" s="309" t="str">
        <f>VLOOKUP($B2269,'D7 - NDB Impacted SPRF''s'!$E$6:$O$9929,2,FALSE)</f>
        <v>Clinical Self Service Release 3</v>
      </c>
      <c r="F2269" s="8" t="s">
        <v>6401</v>
      </c>
      <c r="G2269" s="8" t="s">
        <v>4758</v>
      </c>
      <c r="H2269" s="8" t="s">
        <v>2870</v>
      </c>
      <c r="I2269" s="20"/>
      <c r="J2269" s="8" t="s">
        <v>4862</v>
      </c>
      <c r="K2269" s="182">
        <v>40131</v>
      </c>
      <c r="L2269" s="8" t="s">
        <v>4156</v>
      </c>
      <c r="M2269" s="8" t="s">
        <v>5626</v>
      </c>
      <c r="N2269" s="38" t="s">
        <v>3251</v>
      </c>
      <c r="O2269" s="8"/>
      <c r="P2269" s="4" t="str">
        <f>VLOOKUP($B2269,'D7 - NDB Impacted SPRF''s'!$E$16:$O$9929,9,FALSE)</f>
        <v>Y</v>
      </c>
      <c r="Q2269" s="4" t="str">
        <f>VLOOKUP($B2269,'D7 - NDB Impacted SPRF''s'!$E$16:$O$9929,10,FALSE)</f>
        <v>N</v>
      </c>
      <c r="R2269" s="4" t="str">
        <f>VLOOKUP($B2269,'D7 - NDB Impacted SPRF''s'!$E$16:$O$9929,11,FALSE)</f>
        <v>N</v>
      </c>
      <c r="S2269" s="8"/>
      <c r="T2269" s="310"/>
      <c r="U2269" s="310"/>
      <c r="V2269" s="4"/>
      <c r="W2269" s="4"/>
      <c r="X2269" s="4"/>
      <c r="Y2269" s="4"/>
      <c r="Z2269" s="4"/>
      <c r="AA2269" s="4"/>
      <c r="AB2269" s="380" t="str">
        <f>VLOOKUP($B2269,'D7 - NDB Impacted SPRF''s'!$E$16:$O$9929,4,FALSE)</f>
        <v>Cancelled</v>
      </c>
      <c r="AC2269" s="380" t="str">
        <f>VLOOKUP($B2269,'D7 - NDB Impacted SPRF''s'!$E$16:$O$9929,3,FALSE)</f>
        <v>UnitedHealthcare Medicare &amp; Retirement</v>
      </c>
      <c r="AD2269" s="380" t="str">
        <f>VLOOKUP($B2269,'D7 - NDB Impacted SPRF''s'!$E$16:$O$9929,5,FALSE)</f>
        <v>Enterprise Clinical</v>
      </c>
      <c r="AE2269" s="380" t="str">
        <f>VLOOKUP($B2269,'D7 - NDB Impacted SPRF''s'!$E$16:$O$9929,7,FALSE)</f>
        <v>Cynthia Middaugh</v>
      </c>
      <c r="AF2269" s="380" t="str">
        <f>VLOOKUP($B2269,'D7 - NDB Impacted SPRF''s'!$E$16:$O$9929,6,FALSE)</f>
        <v>CHRISTINA MOSHER</v>
      </c>
      <c r="AG2269" s="282"/>
      <c r="AH2269" s="311" t="e">
        <f>INDEX('D5 - Gatekeeper - Projects'!$A$4:$AF$1010,$AM2269, 17)</f>
        <v>#N/A</v>
      </c>
      <c r="AI2269" s="8"/>
      <c r="AJ2269" s="57"/>
      <c r="AK2269" s="57"/>
      <c r="AM2269" s="6" t="e">
        <f>MATCH(D2269,'D5 - Gatekeeper - Projects'!$C$4:$C$1010,0)</f>
        <v>#N/A</v>
      </c>
      <c r="AN2269" s="6" t="b">
        <f t="shared" si="240"/>
        <v>1</v>
      </c>
      <c r="AO2269" s="6" t="str">
        <f t="shared" si="241"/>
        <v>OK</v>
      </c>
      <c r="AQ2269" s="6" t="e">
        <f>MATCH($D2269,'D4 - Provider Council Unsched'!$C$11:$C$234,0)</f>
        <v>#N/A</v>
      </c>
      <c r="AR2269" s="6" t="b">
        <f t="shared" si="242"/>
        <v>1</v>
      </c>
      <c r="AS2269" s="6" t="str">
        <f t="shared" si="243"/>
        <v>OK</v>
      </c>
      <c r="AU2269" s="202"/>
      <c r="AV2269" s="262"/>
      <c r="AW2269" s="274"/>
    </row>
    <row r="2270" spans="1:49" s="13" customFormat="1" ht="33.75" x14ac:dyDescent="0.2">
      <c r="A2270" s="14">
        <v>2246</v>
      </c>
      <c r="B2270" s="14">
        <v>400027649</v>
      </c>
      <c r="C2270" s="8" t="s">
        <v>3763</v>
      </c>
      <c r="D2270" s="4" t="str">
        <f t="shared" si="238"/>
        <v>400027649R2</v>
      </c>
      <c r="E2270" s="309" t="str">
        <f>VLOOKUP($B2270,'D7 - NDB Impacted SPRF''s'!$E$6:$O$9929,2,FALSE)</f>
        <v>COSMOS Modernization:  Release 1 - Track 1, 2, &amp; 3</v>
      </c>
      <c r="F2270" s="8" t="s">
        <v>8133</v>
      </c>
      <c r="G2270" s="8" t="s">
        <v>4758</v>
      </c>
      <c r="H2270" s="8" t="s">
        <v>2870</v>
      </c>
      <c r="I2270" s="20">
        <v>90</v>
      </c>
      <c r="J2270" s="8" t="s">
        <v>4862</v>
      </c>
      <c r="K2270" s="182">
        <v>40131</v>
      </c>
      <c r="L2270" s="8" t="s">
        <v>4156</v>
      </c>
      <c r="M2270" s="8" t="s">
        <v>2814</v>
      </c>
      <c r="N2270" s="38" t="s">
        <v>7420</v>
      </c>
      <c r="O2270" s="8" t="s">
        <v>4599</v>
      </c>
      <c r="P2270" s="4" t="str">
        <f>VLOOKUP($B2270,'D7 - NDB Impacted SPRF''s'!$E$16:$O$9929,9,FALSE)</f>
        <v>Y</v>
      </c>
      <c r="Q2270" s="4" t="str">
        <f>VLOOKUP($B2270,'D7 - NDB Impacted SPRF''s'!$E$16:$O$9929,10,FALSE)</f>
        <v>N</v>
      </c>
      <c r="R2270" s="4" t="str">
        <f>VLOOKUP($B2270,'D7 - NDB Impacted SPRF''s'!$E$16:$O$9929,11,FALSE)</f>
        <v>Y</v>
      </c>
      <c r="S2270" s="8"/>
      <c r="T2270" s="310"/>
      <c r="U2270" s="310"/>
      <c r="V2270" s="4"/>
      <c r="W2270" s="4"/>
      <c r="X2270" s="4"/>
      <c r="Y2270" s="4"/>
      <c r="Z2270" s="4"/>
      <c r="AA2270" s="4"/>
      <c r="AB2270" s="380" t="str">
        <f>VLOOKUP($B2270,'D7 - NDB Impacted SPRF''s'!$E$16:$O$9929,4,FALSE)</f>
        <v>Completed</v>
      </c>
      <c r="AC2270" s="380" t="str">
        <f>VLOOKUP($B2270,'D7 - NDB Impacted SPRF''s'!$E$16:$O$9929,3,FALSE)</f>
        <v>UnitedHealthcare Medicare &amp; Retirement</v>
      </c>
      <c r="AD2270" s="380" t="str">
        <f>VLOOKUP($B2270,'D7 - NDB Impacted SPRF''s'!$E$16:$O$9929,5,FALSE)</f>
        <v>Benefit Admin</v>
      </c>
      <c r="AE2270" s="380" t="str">
        <f>VLOOKUP($B2270,'D7 - NDB Impacted SPRF''s'!$E$16:$O$9929,7,FALSE)</f>
        <v>Rich Boyde</v>
      </c>
      <c r="AF2270" s="380" t="str">
        <f>VLOOKUP($B2270,'D7 - NDB Impacted SPRF''s'!$E$16:$O$9929,6,FALSE)</f>
        <v>Jessica Ayers</v>
      </c>
      <c r="AG2270" s="282"/>
      <c r="AH2270" s="311" t="e">
        <f>INDEX('D5 - Gatekeeper - Projects'!$A$4:$AF$1010,$AM2270, 17)</f>
        <v>#N/A</v>
      </c>
      <c r="AI2270" s="8"/>
      <c r="AJ2270" s="57"/>
      <c r="AK2270" s="57"/>
      <c r="AM2270" s="6" t="e">
        <f>MATCH(D2270,'D5 - Gatekeeper - Projects'!$C$4:$C$1010,0)</f>
        <v>#N/A</v>
      </c>
      <c r="AN2270" s="6" t="b">
        <f t="shared" si="240"/>
        <v>1</v>
      </c>
      <c r="AO2270" s="6" t="str">
        <f t="shared" si="241"/>
        <v>OK</v>
      </c>
      <c r="AQ2270" s="6" t="e">
        <f>MATCH($D2270,'D4 - Provider Council Unsched'!$C$11:$C$234,0)</f>
        <v>#N/A</v>
      </c>
      <c r="AR2270" s="6" t="b">
        <f t="shared" si="242"/>
        <v>1</v>
      </c>
      <c r="AS2270" s="6" t="str">
        <f t="shared" si="243"/>
        <v>OK</v>
      </c>
      <c r="AU2270" s="202"/>
      <c r="AV2270" s="262"/>
      <c r="AW2270" s="274"/>
    </row>
    <row r="2271" spans="1:49" s="13" customFormat="1" ht="67.5" x14ac:dyDescent="0.2">
      <c r="A2271" s="14">
        <v>2247</v>
      </c>
      <c r="B2271" s="14">
        <v>400027714</v>
      </c>
      <c r="C2271" s="8" t="s">
        <v>5197</v>
      </c>
      <c r="D2271" s="4" t="str">
        <f t="shared" si="238"/>
        <v>400027714R1</v>
      </c>
      <c r="E2271" s="309" t="str">
        <f>VLOOKUP($B2271,'D7 - NDB Impacted SPRF''s'!$E$6:$O$9929,2,FALSE)</f>
        <v>NDC Pricing - Phase 2</v>
      </c>
      <c r="F2271" s="8" t="s">
        <v>7989</v>
      </c>
      <c r="G2271" s="8" t="s">
        <v>4758</v>
      </c>
      <c r="H2271" s="8" t="s">
        <v>2870</v>
      </c>
      <c r="I2271" s="20">
        <v>27.96</v>
      </c>
      <c r="J2271" s="8" t="s">
        <v>4862</v>
      </c>
      <c r="K2271" s="182">
        <v>40131</v>
      </c>
      <c r="L2271" s="8" t="s">
        <v>4156</v>
      </c>
      <c r="M2271" s="8" t="s">
        <v>2814</v>
      </c>
      <c r="N2271" s="38" t="s">
        <v>5305</v>
      </c>
      <c r="O2271" s="8" t="s">
        <v>2547</v>
      </c>
      <c r="P2271" s="4" t="str">
        <f>VLOOKUP($B2271,'D7 - NDB Impacted SPRF''s'!$E$16:$O$9929,9,FALSE)</f>
        <v>Y</v>
      </c>
      <c r="Q2271" s="4" t="str">
        <f>VLOOKUP($B2271,'D7 - NDB Impacted SPRF''s'!$E$16:$O$9929,10,FALSE)</f>
        <v>N</v>
      </c>
      <c r="R2271" s="4" t="str">
        <f>VLOOKUP($B2271,'D7 - NDB Impacted SPRF''s'!$E$16:$O$9929,11,FALSE)</f>
        <v>Y</v>
      </c>
      <c r="S2271" s="8"/>
      <c r="T2271" s="310"/>
      <c r="U2271" s="310"/>
      <c r="V2271" s="4"/>
      <c r="W2271" s="4"/>
      <c r="X2271" s="4"/>
      <c r="Y2271" s="4"/>
      <c r="Z2271" s="4"/>
      <c r="AA2271" s="4"/>
      <c r="AB2271" s="380" t="str">
        <f>VLOOKUP($B2271,'D7 - NDB Impacted SPRF''s'!$E$16:$O$9929,4,FALSE)</f>
        <v>Cancelled</v>
      </c>
      <c r="AC2271" s="380" t="str">
        <f>VLOOKUP($B2271,'D7 - NDB Impacted SPRF''s'!$E$16:$O$9929,3,FALSE)</f>
        <v>UnitedHealthcare Employer &amp; Individual</v>
      </c>
      <c r="AD2271" s="380" t="str">
        <f>VLOOKUP($B2271,'D7 - NDB Impacted SPRF''s'!$E$16:$O$9929,5,FALSE)</f>
        <v>Medical Cost Savings Programs</v>
      </c>
      <c r="AE2271" s="380" t="str">
        <f>VLOOKUP($B2271,'D7 - NDB Impacted SPRF''s'!$E$16:$O$9929,7,FALSE)</f>
        <v>Randy Falkenrath</v>
      </c>
      <c r="AF2271" s="380" t="str">
        <f>VLOOKUP($B2271,'D7 - NDB Impacted SPRF''s'!$E$16:$O$9929,6,FALSE)</f>
        <v>Burke Claire M</v>
      </c>
      <c r="AG2271" s="282"/>
      <c r="AH2271" s="311" t="e">
        <f>INDEX('D5 - Gatekeeper - Projects'!$A$4:$AF$1010,$AM2271, 17)</f>
        <v>#N/A</v>
      </c>
      <c r="AI2271" s="8"/>
      <c r="AJ2271" s="57"/>
      <c r="AK2271" s="105"/>
      <c r="AM2271" s="6" t="e">
        <f>MATCH(D2271,'D5 - Gatekeeper - Projects'!$C$4:$C$1010,0)</f>
        <v>#N/A</v>
      </c>
      <c r="AN2271" s="6" t="b">
        <f t="shared" si="240"/>
        <v>1</v>
      </c>
      <c r="AO2271" s="6" t="str">
        <f t="shared" si="241"/>
        <v>OK</v>
      </c>
      <c r="AQ2271" s="6" t="e">
        <f>MATCH($D2271,'D4 - Provider Council Unsched'!$C$11:$C$234,0)</f>
        <v>#N/A</v>
      </c>
      <c r="AR2271" s="6" t="b">
        <f t="shared" si="242"/>
        <v>1</v>
      </c>
      <c r="AS2271" s="6" t="str">
        <f t="shared" si="243"/>
        <v>OK</v>
      </c>
      <c r="AU2271" s="202"/>
      <c r="AV2271" s="262"/>
      <c r="AW2271" s="274"/>
    </row>
    <row r="2272" spans="1:49" s="13" customFormat="1" ht="45" x14ac:dyDescent="0.2">
      <c r="A2272" s="14">
        <v>2248</v>
      </c>
      <c r="B2272" s="14">
        <v>400028290</v>
      </c>
      <c r="C2272" s="8" t="s">
        <v>5197</v>
      </c>
      <c r="D2272" s="4" t="str">
        <f t="shared" si="238"/>
        <v>400028290R1</v>
      </c>
      <c r="E2272" s="309" t="str">
        <f>VLOOKUP($B2272,'D7 - NDB Impacted SPRF''s'!$E$6:$O$9929,2,FALSE)</f>
        <v>Provider Demographics &amp; Reimbursement Phase 1</v>
      </c>
      <c r="F2272" s="8" t="s">
        <v>5595</v>
      </c>
      <c r="G2272" s="8" t="s">
        <v>4758</v>
      </c>
      <c r="H2272" s="8" t="s">
        <v>2870</v>
      </c>
      <c r="I2272" s="20">
        <v>188</v>
      </c>
      <c r="J2272" s="8" t="s">
        <v>4862</v>
      </c>
      <c r="K2272" s="182">
        <v>40131</v>
      </c>
      <c r="L2272" s="8" t="s">
        <v>4156</v>
      </c>
      <c r="M2272" s="8" t="s">
        <v>2814</v>
      </c>
      <c r="N2272" s="38"/>
      <c r="O2272" s="8" t="s">
        <v>3572</v>
      </c>
      <c r="P2272" s="4" t="str">
        <f>VLOOKUP($B2272,'D7 - NDB Impacted SPRF''s'!$E$16:$O$9929,9,FALSE)</f>
        <v>Y</v>
      </c>
      <c r="Q2272" s="4" t="str">
        <f>VLOOKUP($B2272,'D7 - NDB Impacted SPRF''s'!$E$16:$O$9929,10,FALSE)</f>
        <v>N</v>
      </c>
      <c r="R2272" s="4" t="str">
        <f>VLOOKUP($B2272,'D7 - NDB Impacted SPRF''s'!$E$16:$O$9929,11,FALSE)</f>
        <v>Y</v>
      </c>
      <c r="S2272" s="8"/>
      <c r="T2272" s="310"/>
      <c r="U2272" s="310"/>
      <c r="V2272" s="4"/>
      <c r="W2272" s="4"/>
      <c r="X2272" s="4"/>
      <c r="Y2272" s="4"/>
      <c r="Z2272" s="4"/>
      <c r="AA2272" s="4"/>
      <c r="AB2272" s="380" t="str">
        <f>VLOOKUP($B2272,'D7 - NDB Impacted SPRF''s'!$E$16:$O$9929,4,FALSE)</f>
        <v>Completed</v>
      </c>
      <c r="AC2272" s="380" t="str">
        <f>VLOOKUP($B2272,'D7 - NDB Impacted SPRF''s'!$E$16:$O$9929,3,FALSE)</f>
        <v>UHG IT - Enterprise Technology Services</v>
      </c>
      <c r="AD2272" s="380" t="str">
        <f>VLOOKUP($B2272,'D7 - NDB Impacted SPRF''s'!$E$16:$O$9929,5,FALSE)</f>
        <v>Strategic Initiatives</v>
      </c>
      <c r="AE2272" s="380" t="str">
        <f>VLOOKUP($B2272,'D7 - NDB Impacted SPRF''s'!$E$16:$O$9929,7,FALSE)</f>
        <v>Dave Wichmann</v>
      </c>
      <c r="AF2272" s="380" t="str">
        <f>VLOOKUP($B2272,'D7 - NDB Impacted SPRF''s'!$E$16:$O$9929,6,FALSE)</f>
        <v>JEFFREY HUXLEY</v>
      </c>
      <c r="AG2272" s="282"/>
      <c r="AH2272" s="311" t="e">
        <f>INDEX('D5 - Gatekeeper - Projects'!$A$4:$AF$1010,$AM2272, 17)</f>
        <v>#N/A</v>
      </c>
      <c r="AI2272" s="8"/>
      <c r="AJ2272" s="57"/>
      <c r="AK2272" s="57"/>
      <c r="AM2272" s="6" t="e">
        <f>MATCH(D2272,'D5 - Gatekeeper - Projects'!$C$4:$C$1010,0)</f>
        <v>#N/A</v>
      </c>
      <c r="AN2272" s="6" t="b">
        <f t="shared" si="240"/>
        <v>1</v>
      </c>
      <c r="AO2272" s="6" t="str">
        <f t="shared" si="241"/>
        <v>OK</v>
      </c>
      <c r="AQ2272" s="6" t="e">
        <f>MATCH($D2272,'D4 - Provider Council Unsched'!$C$11:$C$234,0)</f>
        <v>#N/A</v>
      </c>
      <c r="AR2272" s="6" t="b">
        <f t="shared" si="242"/>
        <v>1</v>
      </c>
      <c r="AS2272" s="6" t="str">
        <f t="shared" si="243"/>
        <v>OK</v>
      </c>
      <c r="AU2272" s="202"/>
      <c r="AV2272" s="262"/>
      <c r="AW2272" s="274"/>
    </row>
    <row r="2273" spans="1:49" s="13" customFormat="1" ht="33.75" x14ac:dyDescent="0.2">
      <c r="A2273" s="14">
        <v>2249</v>
      </c>
      <c r="B2273" s="14">
        <v>400028534</v>
      </c>
      <c r="C2273" s="8" t="s">
        <v>5197</v>
      </c>
      <c r="D2273" s="4" t="str">
        <f t="shared" si="238"/>
        <v>400028534R1</v>
      </c>
      <c r="E2273" s="309" t="str">
        <f>VLOOKUP($B2273,'D7 - NDB Impacted SPRF''s'!$E$6:$O$9929,2,FALSE)</f>
        <v>Empire Plan Choice+Integrated Market Testing</v>
      </c>
      <c r="F2273" s="8" t="s">
        <v>2114</v>
      </c>
      <c r="G2273" s="8" t="s">
        <v>4758</v>
      </c>
      <c r="H2273" s="8" t="s">
        <v>2870</v>
      </c>
      <c r="I2273" s="20">
        <v>1.07</v>
      </c>
      <c r="J2273" s="8" t="s">
        <v>4862</v>
      </c>
      <c r="K2273" s="182">
        <v>40131</v>
      </c>
      <c r="L2273" s="8" t="s">
        <v>5743</v>
      </c>
      <c r="M2273" s="8" t="s">
        <v>5626</v>
      </c>
      <c r="N2273" s="38"/>
      <c r="O2273" s="8" t="s">
        <v>2000</v>
      </c>
      <c r="P2273" s="4" t="str">
        <f>VLOOKUP($B2273,'D7 - NDB Impacted SPRF''s'!$E$16:$O$9929,9,FALSE)</f>
        <v>Y</v>
      </c>
      <c r="Q2273" s="4" t="str">
        <f>VLOOKUP($B2273,'D7 - NDB Impacted SPRF''s'!$E$16:$O$9929,10,FALSE)</f>
        <v>N</v>
      </c>
      <c r="R2273" s="4" t="str">
        <f>VLOOKUP($B2273,'D7 - NDB Impacted SPRF''s'!$E$16:$O$9929,11,FALSE)</f>
        <v>N</v>
      </c>
      <c r="S2273" s="8"/>
      <c r="T2273" s="310"/>
      <c r="U2273" s="310"/>
      <c r="V2273" s="4"/>
      <c r="W2273" s="4"/>
      <c r="X2273" s="4"/>
      <c r="Y2273" s="4"/>
      <c r="Z2273" s="4"/>
      <c r="AA2273" s="4"/>
      <c r="AB2273" s="380" t="str">
        <f>VLOOKUP($B2273,'D7 - NDB Impacted SPRF''s'!$E$16:$O$9929,4,FALSE)</f>
        <v>Cancelled</v>
      </c>
      <c r="AC2273" s="380" t="str">
        <f>VLOOKUP($B2273,'D7 - NDB Impacted SPRF''s'!$E$16:$O$9929,3,FALSE)</f>
        <v>UnitedHealthcare Employer &amp; Individual</v>
      </c>
      <c r="AD2273" s="380" t="str">
        <f>VLOOKUP($B2273,'D7 - NDB Impacted SPRF''s'!$E$16:$O$9929,5,FALSE)</f>
        <v>Membership Growth / Revenue Programs</v>
      </c>
      <c r="AE2273" s="380" t="str">
        <f>VLOOKUP($B2273,'D7 - NDB Impacted SPRF''s'!$E$16:$O$9929,7,FALSE)</f>
        <v>Cliff Ostrom</v>
      </c>
      <c r="AF2273" s="380" t="str">
        <f>VLOOKUP($B2273,'D7 - NDB Impacted SPRF''s'!$E$16:$O$9929,6,FALSE)</f>
        <v>Melinda Dukat</v>
      </c>
      <c r="AG2273" s="282"/>
      <c r="AH2273" s="311" t="e">
        <f>INDEX('D5 - Gatekeeper - Projects'!$A$4:$AF$1010,$AM2273, 17)</f>
        <v>#N/A</v>
      </c>
      <c r="AI2273" s="8"/>
      <c r="AJ2273" s="57"/>
      <c r="AK2273" s="57"/>
      <c r="AM2273" s="6" t="e">
        <f>MATCH(D2273,'D5 - Gatekeeper - Projects'!$C$4:$C$1010,0)</f>
        <v>#N/A</v>
      </c>
      <c r="AN2273" s="6" t="b">
        <f t="shared" si="240"/>
        <v>1</v>
      </c>
      <c r="AO2273" s="6" t="str">
        <f t="shared" si="241"/>
        <v>OK</v>
      </c>
      <c r="AQ2273" s="6" t="e">
        <f>MATCH($D2273,'D4 - Provider Council Unsched'!$C$11:$C$234,0)</f>
        <v>#N/A</v>
      </c>
      <c r="AR2273" s="6" t="b">
        <f t="shared" si="242"/>
        <v>1</v>
      </c>
      <c r="AS2273" s="6" t="str">
        <f t="shared" si="243"/>
        <v>OK</v>
      </c>
      <c r="AU2273" s="202"/>
      <c r="AV2273" s="262"/>
      <c r="AW2273" s="274"/>
    </row>
    <row r="2274" spans="1:49" s="13" customFormat="1" ht="33.75" x14ac:dyDescent="0.2">
      <c r="A2274" s="14">
        <v>2250</v>
      </c>
      <c r="B2274" s="14">
        <v>400031611</v>
      </c>
      <c r="C2274" s="8" t="s">
        <v>5197</v>
      </c>
      <c r="D2274" s="4" t="str">
        <f t="shared" si="238"/>
        <v>400031611R1</v>
      </c>
      <c r="E2274" s="309" t="str">
        <f>VLOOKUP($B2274,'D7 - NDB Impacted SPRF''s'!$E$6:$O$9929,2,FALSE)</f>
        <v>NDB 835 Extract</v>
      </c>
      <c r="F2274" s="8" t="s">
        <v>2114</v>
      </c>
      <c r="G2274" s="8" t="s">
        <v>4758</v>
      </c>
      <c r="H2274" s="8" t="s">
        <v>2870</v>
      </c>
      <c r="I2274" s="20">
        <v>1.07</v>
      </c>
      <c r="J2274" s="8" t="s">
        <v>4862</v>
      </c>
      <c r="K2274" s="182">
        <v>40152</v>
      </c>
      <c r="L2274" s="8" t="s">
        <v>4156</v>
      </c>
      <c r="M2274" s="8" t="s">
        <v>6007</v>
      </c>
      <c r="N2274" s="38"/>
      <c r="O2274" s="8" t="s">
        <v>4019</v>
      </c>
      <c r="P2274" s="4" t="str">
        <f>VLOOKUP($B2274,'D7 - NDB Impacted SPRF''s'!$E$16:$O$9929,9,FALSE)</f>
        <v>N</v>
      </c>
      <c r="Q2274" s="4" t="str">
        <f>VLOOKUP($B2274,'D7 - NDB Impacted SPRF''s'!$E$16:$O$9929,10,FALSE)</f>
        <v>N</v>
      </c>
      <c r="R2274" s="4" t="str">
        <f>VLOOKUP($B2274,'D7 - NDB Impacted SPRF''s'!$E$16:$O$9929,11,FALSE)</f>
        <v>N</v>
      </c>
      <c r="S2274" s="8"/>
      <c r="T2274" s="310"/>
      <c r="U2274" s="310"/>
      <c r="V2274" s="4"/>
      <c r="W2274" s="4"/>
      <c r="X2274" s="4"/>
      <c r="Y2274" s="4"/>
      <c r="Z2274" s="4"/>
      <c r="AA2274" s="4"/>
      <c r="AB2274" s="380" t="str">
        <f>VLOOKUP($B2274,'D7 - NDB Impacted SPRF''s'!$E$6:$O$9929,4,FALSE)</f>
        <v>Cancelled</v>
      </c>
      <c r="AC2274" s="380" t="str">
        <f>VLOOKUP($B2274,'D7 - NDB Impacted SPRF''s'!$E$6:$O$9929,3,FALSE)</f>
        <v>UnitedHealthcare Employer &amp; Individual</v>
      </c>
      <c r="AD2274" s="380" t="str">
        <f>VLOOKUP($B2274,'D7 - NDB Impacted SPRF''s'!$E$6:$O$9929,5,FALSE)</f>
        <v>Operational Requirements</v>
      </c>
      <c r="AE2274" s="380" t="str">
        <f>VLOOKUP($B2274,'D7 - NDB Impacted SPRF''s'!$E$6:$O$9929,7,FALSE)</f>
        <v>Randy Jacob</v>
      </c>
      <c r="AF2274" s="380" t="str">
        <f>VLOOKUP($B2274,'D7 - NDB Impacted SPRF''s'!$E$6:$O$9929,6,FALSE)</f>
        <v>Jensen Michelle</v>
      </c>
      <c r="AG2274" s="282"/>
      <c r="AH2274" s="311" t="e">
        <f>INDEX('D5 - Gatekeeper - Projects'!$A$4:$AF$1010,$AM2274, 17)</f>
        <v>#N/A</v>
      </c>
      <c r="AI2274" s="8"/>
      <c r="AJ2274" s="57"/>
      <c r="AK2274" s="57"/>
      <c r="AM2274" s="6" t="e">
        <f>MATCH(D2274,'D5 - Gatekeeper - Projects'!$C$4:$C$1010,0)</f>
        <v>#N/A</v>
      </c>
      <c r="AN2274" s="6" t="b">
        <f t="shared" si="240"/>
        <v>1</v>
      </c>
      <c r="AO2274" s="6" t="str">
        <f t="shared" si="241"/>
        <v>OK</v>
      </c>
      <c r="AQ2274" s="6" t="e">
        <f>MATCH($D2274,'D4 - Provider Council Unsched'!$C$11:$C$234,0)</f>
        <v>#N/A</v>
      </c>
      <c r="AR2274" s="6" t="b">
        <f t="shared" si="242"/>
        <v>1</v>
      </c>
      <c r="AS2274" s="6" t="str">
        <f t="shared" si="243"/>
        <v>OK</v>
      </c>
      <c r="AU2274" s="202"/>
      <c r="AV2274" s="262"/>
      <c r="AW2274" s="274"/>
    </row>
    <row r="2275" spans="1:49" s="13" customFormat="1" ht="45" x14ac:dyDescent="0.2">
      <c r="A2275" s="14">
        <v>2251</v>
      </c>
      <c r="B2275" s="14">
        <v>400031780</v>
      </c>
      <c r="C2275" s="8" t="s">
        <v>5197</v>
      </c>
      <c r="D2275" s="4" t="str">
        <f t="shared" si="238"/>
        <v>400031780R1</v>
      </c>
      <c r="E2275" s="309" t="str">
        <f>VLOOKUP($B2275,'D7 - NDB Impacted SPRF''s'!$E$6:$O$9929,2,FALSE)</f>
        <v>HIPAA 5010 Program - Common Solutions Analysis</v>
      </c>
      <c r="F2275" s="8" t="s">
        <v>1595</v>
      </c>
      <c r="G2275" s="8" t="s">
        <v>4758</v>
      </c>
      <c r="H2275" s="8" t="s">
        <v>2870</v>
      </c>
      <c r="I2275" s="20">
        <v>1.6</v>
      </c>
      <c r="J2275" s="8" t="s">
        <v>4862</v>
      </c>
      <c r="K2275" s="182">
        <v>40152</v>
      </c>
      <c r="L2275" s="8" t="s">
        <v>4156</v>
      </c>
      <c r="M2275" s="8" t="s">
        <v>6688</v>
      </c>
      <c r="N2275" s="38"/>
      <c r="O2275" s="8"/>
      <c r="P2275" s="4" t="str">
        <f>VLOOKUP($B2275,'D7 - NDB Impacted SPRF''s'!$E$16:$O$9929,9,FALSE)</f>
        <v>N</v>
      </c>
      <c r="Q2275" s="4" t="str">
        <f>VLOOKUP($B2275,'D7 - NDB Impacted SPRF''s'!$E$16:$O$9929,10,FALSE)</f>
        <v>N</v>
      </c>
      <c r="R2275" s="4" t="str">
        <f>VLOOKUP($B2275,'D7 - NDB Impacted SPRF''s'!$E$16:$O$9929,11,FALSE)</f>
        <v>Y</v>
      </c>
      <c r="S2275" s="8"/>
      <c r="T2275" s="310"/>
      <c r="U2275" s="310"/>
      <c r="V2275" s="4"/>
      <c r="W2275" s="4"/>
      <c r="X2275" s="4"/>
      <c r="Y2275" s="4"/>
      <c r="Z2275" s="4"/>
      <c r="AA2275" s="4"/>
      <c r="AB2275" s="380" t="str">
        <f>VLOOKUP($B2275,'D7 - NDB Impacted SPRF''s'!$E$6:$O$9929,4,FALSE)</f>
        <v>Cancelled</v>
      </c>
      <c r="AC2275" s="380" t="str">
        <f>VLOOKUP($B2275,'D7 - NDB Impacted SPRF''s'!$E$6:$O$9929,3,FALSE)</f>
        <v>UHG IT - Enterprise Technology Services</v>
      </c>
      <c r="AD2275" s="380" t="str">
        <f>VLOOKUP($B2275,'D7 - NDB Impacted SPRF''s'!$E$6:$O$9929,5,FALSE)</f>
        <v>Strategic Initiatives</v>
      </c>
      <c r="AE2275" s="380" t="str">
        <f>VLOOKUP($B2275,'D7 - NDB Impacted SPRF''s'!$E$6:$O$9929,7,FALSE)</f>
        <v xml:space="preserve">Jolly Nanda </v>
      </c>
      <c r="AF2275" s="380" t="str">
        <f>VLOOKUP($B2275,'D7 - NDB Impacted SPRF''s'!$E$6:$O$9929,6,FALSE)</f>
        <v>Eileen Cabe</v>
      </c>
      <c r="AG2275" s="282"/>
      <c r="AH2275" s="311" t="e">
        <f>INDEX('D5 - Gatekeeper - Projects'!$A$4:$AF$1010,$AM2275, 17)</f>
        <v>#N/A</v>
      </c>
      <c r="AI2275" s="8"/>
      <c r="AJ2275" s="57"/>
      <c r="AK2275" s="57"/>
      <c r="AM2275" s="6" t="e">
        <f>MATCH(D2275,'D5 - Gatekeeper - Projects'!$C$4:$C$1010,0)</f>
        <v>#N/A</v>
      </c>
      <c r="AN2275" s="6" t="b">
        <f t="shared" si="240"/>
        <v>1</v>
      </c>
      <c r="AO2275" s="6" t="str">
        <f t="shared" si="241"/>
        <v>OK</v>
      </c>
      <c r="AQ2275" s="6" t="e">
        <f>MATCH($D2275,'D4 - Provider Council Unsched'!$C$11:$C$234,0)</f>
        <v>#N/A</v>
      </c>
      <c r="AR2275" s="6" t="b">
        <f t="shared" si="242"/>
        <v>1</v>
      </c>
      <c r="AS2275" s="6" t="str">
        <f t="shared" si="243"/>
        <v>OK</v>
      </c>
      <c r="AU2275" s="202"/>
      <c r="AV2275" s="262"/>
      <c r="AW2275" s="274"/>
    </row>
    <row r="2276" spans="1:49" s="13" customFormat="1" ht="45" x14ac:dyDescent="0.2">
      <c r="A2276" s="14">
        <v>2252</v>
      </c>
      <c r="B2276" s="14">
        <v>400031951</v>
      </c>
      <c r="C2276" s="8" t="s">
        <v>5197</v>
      </c>
      <c r="D2276" s="4" t="str">
        <f t="shared" si="238"/>
        <v>400031951R1</v>
      </c>
      <c r="E2276" s="309" t="str">
        <f>VLOOKUP($B2276,'D7 - NDB Impacted SPRF''s'!$E$6:$O$9929,2,FALSE)</f>
        <v>PDR - Rapid Recovery for Provider Initiate DB</v>
      </c>
      <c r="F2276" s="8" t="s">
        <v>5595</v>
      </c>
      <c r="G2276" s="8" t="s">
        <v>4758</v>
      </c>
      <c r="H2276" s="8" t="s">
        <v>2870</v>
      </c>
      <c r="I2276" s="20">
        <v>0.67</v>
      </c>
      <c r="J2276" s="8" t="s">
        <v>4862</v>
      </c>
      <c r="K2276" s="182">
        <v>40152</v>
      </c>
      <c r="L2276" s="8" t="s">
        <v>4156</v>
      </c>
      <c r="M2276" s="8" t="s">
        <v>6688</v>
      </c>
      <c r="N2276" s="38"/>
      <c r="O2276" s="8" t="s">
        <v>7299</v>
      </c>
      <c r="P2276" s="4" t="str">
        <f>VLOOKUP($B2276,'D7 - NDB Impacted SPRF''s'!$E$16:$O$9929,9,FALSE)</f>
        <v>N</v>
      </c>
      <c r="Q2276" s="4" t="str">
        <f>VLOOKUP($B2276,'D7 - NDB Impacted SPRF''s'!$E$16:$O$9929,10,FALSE)</f>
        <v>N</v>
      </c>
      <c r="R2276" s="4" t="str">
        <f>VLOOKUP($B2276,'D7 - NDB Impacted SPRF''s'!$E$16:$O$9929,11,FALSE)</f>
        <v>N</v>
      </c>
      <c r="S2276" s="8"/>
      <c r="T2276" s="310"/>
      <c r="U2276" s="310"/>
      <c r="V2276" s="4"/>
      <c r="W2276" s="4"/>
      <c r="X2276" s="4"/>
      <c r="Y2276" s="4"/>
      <c r="Z2276" s="4"/>
      <c r="AA2276" s="4"/>
      <c r="AB2276" s="380" t="s">
        <v>4917</v>
      </c>
      <c r="AC2276" s="380" t="str">
        <f>VLOOKUP($B2276,'D7 - NDB Impacted SPRF''s'!$E$6:$O$9929,3,FALSE)</f>
        <v>UHG IT - Enterprise Technology Services</v>
      </c>
      <c r="AD2276" s="380" t="str">
        <f>VLOOKUP($B2276,'D7 - NDB Impacted SPRF''s'!$E$6:$O$9929,5,FALSE)</f>
        <v>Strategic Initiatives</v>
      </c>
      <c r="AE2276" s="380" t="str">
        <f>VLOOKUP($B2276,'D7 - NDB Impacted SPRF''s'!$E$6:$O$9929,7,FALSE)</f>
        <v>Dave Wichmann</v>
      </c>
      <c r="AF2276" s="380" t="str">
        <f>VLOOKUP($B2276,'D7 - NDB Impacted SPRF''s'!$E$6:$O$9929,6,FALSE)</f>
        <v>Nicole Cartwright</v>
      </c>
      <c r="AG2276" s="282"/>
      <c r="AH2276" s="311" t="e">
        <f>INDEX('D5 - Gatekeeper - Projects'!$A$4:$AF$1010,$AM2276, 17)</f>
        <v>#N/A</v>
      </c>
      <c r="AI2276" s="8"/>
      <c r="AJ2276" s="57"/>
      <c r="AK2276" s="57"/>
      <c r="AM2276" s="6" t="e">
        <f>MATCH(D2276,'D5 - Gatekeeper - Projects'!$C$4:$C$1010,0)</f>
        <v>#N/A</v>
      </c>
      <c r="AN2276" s="6" t="b">
        <f t="shared" si="240"/>
        <v>1</v>
      </c>
      <c r="AO2276" s="6" t="str">
        <f t="shared" si="241"/>
        <v>OK</v>
      </c>
      <c r="AQ2276" s="6" t="e">
        <f>MATCH($D2276,'D4 - Provider Council Unsched'!$C$11:$C$234,0)</f>
        <v>#N/A</v>
      </c>
      <c r="AR2276" s="6" t="b">
        <f t="shared" si="242"/>
        <v>1</v>
      </c>
      <c r="AS2276" s="6" t="str">
        <f t="shared" si="243"/>
        <v>OK</v>
      </c>
      <c r="AU2276" s="202"/>
      <c r="AV2276" s="262"/>
      <c r="AW2276" s="274"/>
    </row>
    <row r="2277" spans="1:49" s="13" customFormat="1" ht="45" x14ac:dyDescent="0.2">
      <c r="A2277" s="14">
        <v>2253</v>
      </c>
      <c r="B2277" s="14">
        <v>400030275</v>
      </c>
      <c r="C2277" s="8" t="s">
        <v>5197</v>
      </c>
      <c r="D2277" s="4" t="str">
        <f t="shared" si="238"/>
        <v>400030275R1</v>
      </c>
      <c r="E2277" s="309" t="str">
        <f>VLOOKUP($B2277,'D7 - NDB Impacted SPRF''s'!$E$6:$O$9929,2,FALSE)</f>
        <v>PDR - Operational Data Store</v>
      </c>
      <c r="F2277" s="8" t="s">
        <v>5595</v>
      </c>
      <c r="G2277" s="8" t="s">
        <v>4758</v>
      </c>
      <c r="H2277" s="8" t="s">
        <v>2870</v>
      </c>
      <c r="I2277" s="20">
        <v>59.79</v>
      </c>
      <c r="J2277" s="8" t="s">
        <v>4862</v>
      </c>
      <c r="K2277" s="182">
        <v>40222</v>
      </c>
      <c r="L2277" s="8" t="s">
        <v>4156</v>
      </c>
      <c r="M2277" s="8" t="s">
        <v>2814</v>
      </c>
      <c r="N2277" s="38"/>
      <c r="O2277" s="8" t="s">
        <v>2547</v>
      </c>
      <c r="P2277" s="4" t="str">
        <f>VLOOKUP($B2277,'D7 - NDB Impacted SPRF''s'!$E$16:$O$9929,9,FALSE)</f>
        <v>N</v>
      </c>
      <c r="Q2277" s="4" t="str">
        <f>VLOOKUP($B2277,'D7 - NDB Impacted SPRF''s'!$E$16:$O$9929,10,FALSE)</f>
        <v>N</v>
      </c>
      <c r="R2277" s="4" t="str">
        <f>VLOOKUP($B2277,'D7 - NDB Impacted SPRF''s'!$E$16:$O$9929,11,FALSE)</f>
        <v>N</v>
      </c>
      <c r="S2277" s="8"/>
      <c r="T2277" s="310"/>
      <c r="U2277" s="310"/>
      <c r="V2277" s="4"/>
      <c r="W2277" s="4"/>
      <c r="X2277" s="4"/>
      <c r="Y2277" s="4"/>
      <c r="Z2277" s="4"/>
      <c r="AA2277" s="4"/>
      <c r="AB2277" s="380" t="str">
        <f>VLOOKUP($B2277,'D7 - NDB Impacted SPRF''s'!$E$6:$O$9929,4,FALSE)</f>
        <v>Completed</v>
      </c>
      <c r="AC2277" s="380" t="str">
        <f>VLOOKUP($B2277,'D7 - NDB Impacted SPRF''s'!$E$6:$O$9929,3,FALSE)</f>
        <v>UHG IT - Enterprise Technology Services</v>
      </c>
      <c r="AD2277" s="380" t="str">
        <f>VLOOKUP($B2277,'D7 - NDB Impacted SPRF''s'!$E$6:$O$9929,5,FALSE)</f>
        <v>Strategic Initiatives</v>
      </c>
      <c r="AE2277" s="380" t="str">
        <f>VLOOKUP($B2277,'D7 - NDB Impacted SPRF''s'!$E$6:$O$9929,7,FALSE)</f>
        <v>Dave</v>
      </c>
      <c r="AF2277" s="380" t="str">
        <f>VLOOKUP($B2277,'D7 - NDB Impacted SPRF''s'!$E$6:$O$9929,6,FALSE)</f>
        <v>Nicole Cartwright</v>
      </c>
      <c r="AG2277" s="282"/>
      <c r="AH2277" s="311" t="e">
        <f>INDEX('D5 - Gatekeeper - Projects'!$A$4:$AF$1010,$AM2277, 17)</f>
        <v>#N/A</v>
      </c>
      <c r="AI2277" s="8"/>
      <c r="AJ2277" s="57"/>
      <c r="AK2277" s="105"/>
      <c r="AM2277" s="6" t="e">
        <f>MATCH(D2277,'D5 - Gatekeeper - Projects'!$C$4:$C$1010,0)</f>
        <v>#N/A</v>
      </c>
      <c r="AN2277" s="6" t="b">
        <f t="shared" si="240"/>
        <v>1</v>
      </c>
      <c r="AO2277" s="6" t="str">
        <f t="shared" si="241"/>
        <v>OK</v>
      </c>
      <c r="AQ2277" s="6" t="e">
        <f>MATCH($D2277,'D4 - Provider Council Unsched'!$C$11:$C$234,0)</f>
        <v>#N/A</v>
      </c>
      <c r="AR2277" s="6" t="b">
        <f t="shared" si="242"/>
        <v>1</v>
      </c>
      <c r="AS2277" s="6" t="str">
        <f t="shared" si="243"/>
        <v>OK</v>
      </c>
      <c r="AU2277" s="202"/>
      <c r="AV2277" s="262"/>
      <c r="AW2277" s="274"/>
    </row>
    <row r="2278" spans="1:49" s="13" customFormat="1" ht="45" x14ac:dyDescent="0.2">
      <c r="A2278" s="14">
        <v>2254</v>
      </c>
      <c r="B2278" s="14">
        <v>400030522</v>
      </c>
      <c r="C2278" s="8" t="s">
        <v>5197</v>
      </c>
      <c r="D2278" s="4" t="str">
        <f t="shared" si="238"/>
        <v>400030522R1</v>
      </c>
      <c r="E2278" s="309" t="str">
        <f>VLOOKUP($B2278,'D7 - NDB Impacted SPRF''s'!$E$6:$O$9929,2,FALSE)</f>
        <v>PDR-CPS/ILIAD Provider Data to NDB for Directories</v>
      </c>
      <c r="F2278" s="8" t="s">
        <v>5595</v>
      </c>
      <c r="G2278" s="8" t="s">
        <v>4758</v>
      </c>
      <c r="H2278" s="8" t="s">
        <v>2870</v>
      </c>
      <c r="I2278" s="20">
        <v>3.16</v>
      </c>
      <c r="J2278" s="8" t="s">
        <v>4862</v>
      </c>
      <c r="K2278" s="182">
        <v>40222</v>
      </c>
      <c r="L2278" s="8" t="s">
        <v>4156</v>
      </c>
      <c r="M2278" s="8" t="s">
        <v>6688</v>
      </c>
      <c r="N2278" s="38"/>
      <c r="O2278" s="8" t="s">
        <v>2875</v>
      </c>
      <c r="P2278" s="4" t="str">
        <f>VLOOKUP($B2278,'D7 - NDB Impacted SPRF''s'!$E$16:$O$9929,9,FALSE)</f>
        <v>N</v>
      </c>
      <c r="Q2278" s="4" t="str">
        <f>VLOOKUP($B2278,'D7 - NDB Impacted SPRF''s'!$E$16:$O$9929,10,FALSE)</f>
        <v>N</v>
      </c>
      <c r="R2278" s="4" t="str">
        <f>VLOOKUP($B2278,'D7 - NDB Impacted SPRF''s'!$E$16:$O$9929,11,FALSE)</f>
        <v>N</v>
      </c>
      <c r="S2278" s="8"/>
      <c r="T2278" s="310"/>
      <c r="U2278" s="310"/>
      <c r="V2278" s="4"/>
      <c r="W2278" s="4"/>
      <c r="X2278" s="4"/>
      <c r="Y2278" s="4"/>
      <c r="Z2278" s="4"/>
      <c r="AA2278" s="4"/>
      <c r="AB2278" s="380" t="str">
        <f>VLOOKUP($B2278,'D7 - NDB Impacted SPRF''s'!$E$6:$O$9929,4,FALSE)</f>
        <v>Cancelled</v>
      </c>
      <c r="AC2278" s="380" t="str">
        <f>VLOOKUP($B2278,'D7 - NDB Impacted SPRF''s'!$E$6:$O$9929,3,FALSE)</f>
        <v>UHG IT - Enterprise Technology Services</v>
      </c>
      <c r="AD2278" s="380" t="str">
        <f>VLOOKUP($B2278,'D7 - NDB Impacted SPRF''s'!$E$6:$O$9929,5,FALSE)</f>
        <v>Strategic Initiatives</v>
      </c>
      <c r="AE2278" s="380" t="str">
        <f>VLOOKUP($B2278,'D7 - NDB Impacted SPRF''s'!$E$6:$O$9929,7,FALSE)</f>
        <v>Jim Congleton</v>
      </c>
      <c r="AF2278" s="380" t="str">
        <f>VLOOKUP($B2278,'D7 - NDB Impacted SPRF''s'!$E$6:$O$9929,6,FALSE)</f>
        <v>Jesse Owdom</v>
      </c>
      <c r="AG2278" s="282"/>
      <c r="AH2278" s="311" t="e">
        <f>INDEX('D5 - Gatekeeper - Projects'!$A$4:$AF$1010,$AM2278, 17)</f>
        <v>#N/A</v>
      </c>
      <c r="AI2278" s="8"/>
      <c r="AJ2278" s="57"/>
      <c r="AK2278" s="105"/>
      <c r="AM2278" s="6" t="e">
        <f>MATCH(D2278,'D5 - Gatekeeper - Projects'!$C$4:$C$1010,0)</f>
        <v>#N/A</v>
      </c>
      <c r="AN2278" s="6" t="b">
        <f t="shared" si="240"/>
        <v>1</v>
      </c>
      <c r="AO2278" s="6" t="str">
        <f t="shared" si="241"/>
        <v>OK</v>
      </c>
      <c r="AQ2278" s="6" t="e">
        <f>MATCH($D2278,'D4 - Provider Council Unsched'!$C$11:$C$234,0)</f>
        <v>#N/A</v>
      </c>
      <c r="AR2278" s="6" t="b">
        <f t="shared" si="242"/>
        <v>1</v>
      </c>
      <c r="AS2278" s="6" t="str">
        <f t="shared" si="243"/>
        <v>OK</v>
      </c>
      <c r="AU2278" s="202"/>
      <c r="AV2278" s="262"/>
      <c r="AW2278" s="274"/>
    </row>
    <row r="2279" spans="1:49" s="13" customFormat="1" ht="33.75" x14ac:dyDescent="0.2">
      <c r="A2279" s="14">
        <v>2255</v>
      </c>
      <c r="B2279" s="14">
        <v>400032220</v>
      </c>
      <c r="C2279" s="8" t="s">
        <v>5197</v>
      </c>
      <c r="D2279" s="4" t="str">
        <f t="shared" si="238"/>
        <v>400032220R1</v>
      </c>
      <c r="E2279" s="309" t="str">
        <f>VLOOKUP($B2279,'D7 - NDB Impacted SPRF''s'!$E$6:$O$9929,2,FALSE)</f>
        <v>UHIS - Zenith Implementation</v>
      </c>
      <c r="F2279" s="8" t="s">
        <v>2114</v>
      </c>
      <c r="G2279" s="8" t="s">
        <v>4758</v>
      </c>
      <c r="H2279" s="8" t="s">
        <v>2870</v>
      </c>
      <c r="I2279" s="20">
        <v>0.53</v>
      </c>
      <c r="J2279" s="8" t="s">
        <v>4862</v>
      </c>
      <c r="K2279" s="182">
        <v>40222</v>
      </c>
      <c r="L2279" s="8" t="s">
        <v>4156</v>
      </c>
      <c r="M2279" s="8" t="s">
        <v>5626</v>
      </c>
      <c r="N2279" s="38"/>
      <c r="O2279" s="8"/>
      <c r="P2279" s="4" t="str">
        <f>VLOOKUP($B2279,'D7 - NDB Impacted SPRF''s'!$E$16:$O$9929,9,FALSE)</f>
        <v>N</v>
      </c>
      <c r="Q2279" s="4" t="str">
        <f>VLOOKUP($B2279,'D7 - NDB Impacted SPRF''s'!$E$16:$O$9929,10,FALSE)</f>
        <v>N</v>
      </c>
      <c r="R2279" s="4" t="str">
        <f>VLOOKUP($B2279,'D7 - NDB Impacted SPRF''s'!$E$16:$O$9929,11,FALSE)</f>
        <v>Y</v>
      </c>
      <c r="S2279" s="8"/>
      <c r="T2279" s="310"/>
      <c r="U2279" s="310"/>
      <c r="V2279" s="4"/>
      <c r="W2279" s="4"/>
      <c r="X2279" s="4"/>
      <c r="Y2279" s="4"/>
      <c r="Z2279" s="4"/>
      <c r="AA2279" s="4"/>
      <c r="AB2279" s="380" t="str">
        <f>VLOOKUP($B2279,'D7 - NDB Impacted SPRF''s'!$E$6:$O$9929,4,FALSE)</f>
        <v>Completed</v>
      </c>
      <c r="AC2279" s="380" t="str">
        <f>VLOOKUP($B2279,'D7 - NDB Impacted SPRF''s'!$E$6:$O$9929,3,FALSE)</f>
        <v>UnitedHealthcare Employer &amp; Individual</v>
      </c>
      <c r="AD2279" s="380" t="str">
        <f>VLOOKUP($B2279,'D7 - NDB Impacted SPRF''s'!$E$6:$O$9929,5,FALSE)</f>
        <v>Membership Growth / Revenue Programs</v>
      </c>
      <c r="AE2279" s="380" t="str">
        <f>VLOOKUP($B2279,'D7 - NDB Impacted SPRF''s'!$E$6:$O$9929,7,FALSE)</f>
        <v>Phil Buttress</v>
      </c>
      <c r="AF2279" s="380" t="str">
        <f>VLOOKUP($B2279,'D7 - NDB Impacted SPRF''s'!$E$6:$O$9929,6,FALSE)</f>
        <v>Stephen Maciosek</v>
      </c>
      <c r="AG2279" s="282"/>
      <c r="AH2279" s="311" t="e">
        <f>INDEX('D5 - Gatekeeper - Projects'!$A$4:$AF$1010,$AM2279, 17)</f>
        <v>#N/A</v>
      </c>
      <c r="AI2279" s="8"/>
      <c r="AJ2279" s="57"/>
      <c r="AK2279" s="57"/>
      <c r="AM2279" s="6" t="e">
        <f>MATCH(D2279,'D5 - Gatekeeper - Projects'!$C$4:$C$1010,0)</f>
        <v>#N/A</v>
      </c>
      <c r="AN2279" s="6" t="b">
        <f t="shared" si="240"/>
        <v>1</v>
      </c>
      <c r="AO2279" s="6" t="str">
        <f t="shared" si="241"/>
        <v>OK</v>
      </c>
      <c r="AQ2279" s="6" t="e">
        <f>MATCH($D2279,'D4 - Provider Council Unsched'!$C$11:$C$234,0)</f>
        <v>#N/A</v>
      </c>
      <c r="AR2279" s="6" t="b">
        <f t="shared" si="242"/>
        <v>1</v>
      </c>
      <c r="AS2279" s="6" t="str">
        <f>IF(AND(H2279="2 - Not Scheduled",AR2279=TRUE,C2279="R1"),"Add","OK")</f>
        <v>OK</v>
      </c>
      <c r="AU2279" s="202"/>
      <c r="AV2279" s="262"/>
      <c r="AW2279" s="274"/>
    </row>
    <row r="2280" spans="1:49" s="13" customFormat="1" ht="33.75" x14ac:dyDescent="0.2">
      <c r="A2280" s="14">
        <v>2256</v>
      </c>
      <c r="B2280" s="14">
        <v>400028209</v>
      </c>
      <c r="C2280" s="8" t="s">
        <v>5197</v>
      </c>
      <c r="D2280" s="4" t="str">
        <f t="shared" si="238"/>
        <v>400028209R1</v>
      </c>
      <c r="E2280" s="309" t="str">
        <f>VLOOKUP($B2280,'D7 - NDB Impacted SPRF''s'!$E$6:$O$9929,2,FALSE)</f>
        <v>Correct NDB feed to COSMOS</v>
      </c>
      <c r="F2280" s="8" t="s">
        <v>8133</v>
      </c>
      <c r="G2280" s="8" t="s">
        <v>4758</v>
      </c>
      <c r="H2280" s="8" t="s">
        <v>2870</v>
      </c>
      <c r="I2280" s="20">
        <v>3</v>
      </c>
      <c r="J2280" s="8" t="s">
        <v>4862</v>
      </c>
      <c r="K2280" s="182">
        <v>40250</v>
      </c>
      <c r="L2280" s="8" t="s">
        <v>5743</v>
      </c>
      <c r="M2280" s="8" t="s">
        <v>2814</v>
      </c>
      <c r="N2280" s="38"/>
      <c r="O2280" s="8" t="s">
        <v>4599</v>
      </c>
      <c r="P2280" s="4" t="str">
        <f>VLOOKUP($B2280,'D7 - NDB Impacted SPRF''s'!$E$16:$O$9929,9,FALSE)</f>
        <v>N</v>
      </c>
      <c r="Q2280" s="4" t="str">
        <f>VLOOKUP($B2280,'D7 - NDB Impacted SPRF''s'!$E$16:$O$9929,10,FALSE)</f>
        <v>N</v>
      </c>
      <c r="R2280" s="4" t="str">
        <f>VLOOKUP($B2280,'D7 - NDB Impacted SPRF''s'!$E$16:$O$9929,11,FALSE)</f>
        <v>N</v>
      </c>
      <c r="S2280" s="8"/>
      <c r="T2280" s="310"/>
      <c r="U2280" s="310"/>
      <c r="V2280" s="4"/>
      <c r="W2280" s="4"/>
      <c r="X2280" s="4"/>
      <c r="Y2280" s="4"/>
      <c r="Z2280" s="4"/>
      <c r="AA2280" s="4"/>
      <c r="AB2280" s="380" t="str">
        <f>VLOOKUP($B2280,'D7 - NDB Impacted SPRF''s'!$E$16:$O$9929,4,FALSE)</f>
        <v>Cancelled</v>
      </c>
      <c r="AC2280" s="380" t="str">
        <f>VLOOKUP($B2280,'D7 - NDB Impacted SPRF''s'!$E$16:$O$9929,3,FALSE)</f>
        <v>UnitedHealthcare Community &amp; State</v>
      </c>
      <c r="AD2280" s="380" t="str">
        <f>VLOOKUP($B2280,'D7 - NDB Impacted SPRF''s'!$E$16:$O$9929,5,FALSE)</f>
        <v>Evercare Medicaid</v>
      </c>
      <c r="AE2280" s="380" t="str">
        <f>VLOOKUP($B2280,'D7 - NDB Impacted SPRF''s'!$E$16:$O$9929,7,FALSE)</f>
        <v xml:space="preserve">James Congleton </v>
      </c>
      <c r="AF2280" s="380" t="str">
        <f>VLOOKUP($B2280,'D7 - NDB Impacted SPRF''s'!$E$16:$O$9929,6,FALSE)</f>
        <v>Rosalind Hoagland</v>
      </c>
      <c r="AG2280" s="282"/>
      <c r="AH2280" s="311" t="e">
        <f>INDEX('D5 - Gatekeeper - Projects'!$A$4:$AF$1010,$AM2280, 17)</f>
        <v>#N/A</v>
      </c>
      <c r="AI2280" s="8"/>
      <c r="AJ2280" s="57"/>
      <c r="AK2280" s="57"/>
      <c r="AM2280" s="6" t="e">
        <f>MATCH(D2280,'D5 - Gatekeeper - Projects'!$C$4:$C$1010,0)</f>
        <v>#N/A</v>
      </c>
      <c r="AN2280" s="6" t="b">
        <f t="shared" si="240"/>
        <v>1</v>
      </c>
      <c r="AO2280" s="6" t="str">
        <f t="shared" si="241"/>
        <v>OK</v>
      </c>
      <c r="AQ2280" s="6" t="e">
        <f>MATCH($D2280,'D4 - Provider Council Unsched'!$C$11:$C$234,0)</f>
        <v>#N/A</v>
      </c>
      <c r="AR2280" s="6" t="b">
        <f t="shared" si="242"/>
        <v>1</v>
      </c>
      <c r="AS2280" s="6" t="str">
        <f>IF(AND(H2280="2 - Not Scheduled",AR2280=TRUE,C2280="R1"),"Add","OK")</f>
        <v>OK</v>
      </c>
      <c r="AU2280" s="202"/>
      <c r="AV2280" s="262"/>
      <c r="AW2280" s="274"/>
    </row>
    <row r="2281" spans="1:49" s="13" customFormat="1" ht="33.75" x14ac:dyDescent="0.2">
      <c r="A2281" s="14">
        <v>2257</v>
      </c>
      <c r="B2281" s="14">
        <v>400029931</v>
      </c>
      <c r="C2281" s="8" t="s">
        <v>5197</v>
      </c>
      <c r="D2281" s="4" t="str">
        <f t="shared" si="238"/>
        <v>400029931R1</v>
      </c>
      <c r="E2281" s="309" t="str">
        <f>VLOOKUP($B2281,'D7 - NDB Impacted SPRF''s'!$E$6:$O$9929,2,FALSE)</f>
        <v>GRI Non-Par Pricing for Legacy Platforms</v>
      </c>
      <c r="F2281" s="8" t="s">
        <v>7652</v>
      </c>
      <c r="G2281" s="8" t="s">
        <v>4758</v>
      </c>
      <c r="H2281" s="8" t="s">
        <v>2870</v>
      </c>
      <c r="I2281" s="20">
        <v>1.07</v>
      </c>
      <c r="J2281" s="8" t="s">
        <v>4862</v>
      </c>
      <c r="K2281" s="182">
        <v>40250</v>
      </c>
      <c r="L2281" s="8" t="s">
        <v>5743</v>
      </c>
      <c r="M2281" s="8" t="s">
        <v>5626</v>
      </c>
      <c r="N2281" s="38"/>
      <c r="O2281" s="8" t="s">
        <v>2000</v>
      </c>
      <c r="P2281" s="4" t="str">
        <f>VLOOKUP($B2281,'D7 - NDB Impacted SPRF''s'!$E$16:$O$9929,9,FALSE)</f>
        <v>N</v>
      </c>
      <c r="Q2281" s="4" t="str">
        <f>VLOOKUP($B2281,'D7 - NDB Impacted SPRF''s'!$E$16:$O$9929,10,FALSE)</f>
        <v>N</v>
      </c>
      <c r="R2281" s="4" t="str">
        <f>VLOOKUP($B2281,'D7 - NDB Impacted SPRF''s'!$E$16:$O$9929,11,FALSE)</f>
        <v>N</v>
      </c>
      <c r="S2281" s="8"/>
      <c r="T2281" s="310"/>
      <c r="U2281" s="310"/>
      <c r="V2281" s="4"/>
      <c r="W2281" s="4"/>
      <c r="X2281" s="4"/>
      <c r="Y2281" s="4"/>
      <c r="Z2281" s="4"/>
      <c r="AA2281" s="4"/>
      <c r="AB2281" s="380" t="str">
        <f>VLOOKUP($B2281,'D7 - NDB Impacted SPRF''s'!$E$16:$O$9929,4,FALSE)</f>
        <v>Cancelled</v>
      </c>
      <c r="AC2281" s="380" t="str">
        <f>VLOOKUP($B2281,'D7 - NDB Impacted SPRF''s'!$E$16:$O$9929,3,FALSE)</f>
        <v>UnitedHealthcare Employer &amp; Individual</v>
      </c>
      <c r="AD2281" s="380" t="str">
        <f>VLOOKUP($B2281,'D7 - NDB Impacted SPRF''s'!$E$16:$O$9929,5,FALSE)</f>
        <v>Medical Cost Savings Programs</v>
      </c>
      <c r="AE2281" s="380" t="str">
        <f>VLOOKUP($B2281,'D7 - NDB Impacted SPRF''s'!$E$16:$O$9929,7,FALSE)</f>
        <v>John Haben</v>
      </c>
      <c r="AF2281" s="380" t="str">
        <f>VLOOKUP($B2281,'D7 - NDB Impacted SPRF''s'!$E$16:$O$9929,6,FALSE)</f>
        <v>Ellis Miller</v>
      </c>
      <c r="AG2281" s="282"/>
      <c r="AH2281" s="311" t="e">
        <f>INDEX('D5 - Gatekeeper - Projects'!$A$4:$AF$1010,$AM2281, 17)</f>
        <v>#N/A</v>
      </c>
      <c r="AI2281" s="8"/>
      <c r="AJ2281" s="57"/>
      <c r="AK2281" s="105"/>
      <c r="AM2281" s="6" t="e">
        <f>MATCH(D2281,'D5 - Gatekeeper - Projects'!$C$4:$C$1010,0)</f>
        <v>#N/A</v>
      </c>
      <c r="AN2281" s="6" t="b">
        <f t="shared" si="240"/>
        <v>1</v>
      </c>
      <c r="AO2281" s="6" t="str">
        <f t="shared" si="241"/>
        <v>OK</v>
      </c>
      <c r="AQ2281" s="6" t="e">
        <f>MATCH($D2281,'D4 - Provider Council Unsched'!$C$11:$C$234,0)</f>
        <v>#N/A</v>
      </c>
      <c r="AR2281" s="6" t="b">
        <f t="shared" si="242"/>
        <v>1</v>
      </c>
      <c r="AS2281" s="6" t="str">
        <f>IF(AND(H2281="2 - Not Scheduled",AR2281=TRUE,C2281="R1"),"Add","OK")</f>
        <v>OK</v>
      </c>
      <c r="AU2281" s="202"/>
      <c r="AV2281" s="262"/>
      <c r="AW2281" s="274"/>
    </row>
    <row r="2282" spans="1:49" s="13" customFormat="1" ht="33.75" x14ac:dyDescent="0.2">
      <c r="A2282" s="14">
        <v>2258</v>
      </c>
      <c r="B2282" s="14">
        <v>400032480</v>
      </c>
      <c r="C2282" s="8" t="s">
        <v>5197</v>
      </c>
      <c r="D2282" s="4" t="str">
        <f t="shared" si="238"/>
        <v>400032480R1</v>
      </c>
      <c r="E2282" s="309" t="str">
        <f>VLOOKUP($B2282,'D7 - NDB Impacted SPRF''s'!$E$6:$O$9929,2,FALSE)</f>
        <v>Notification Search Enhancements</v>
      </c>
      <c r="F2282" s="8" t="s">
        <v>2114</v>
      </c>
      <c r="G2282" s="8" t="s">
        <v>4758</v>
      </c>
      <c r="H2282" s="8" t="s">
        <v>2870</v>
      </c>
      <c r="I2282" s="20">
        <v>1.07</v>
      </c>
      <c r="J2282" s="8" t="s">
        <v>4862</v>
      </c>
      <c r="K2282" s="182">
        <v>40250</v>
      </c>
      <c r="L2282" s="8" t="s">
        <v>4156</v>
      </c>
      <c r="M2282" s="8" t="s">
        <v>4850</v>
      </c>
      <c r="N2282" s="38" t="s">
        <v>2866</v>
      </c>
      <c r="O2282" s="8"/>
      <c r="P2282" s="4" t="str">
        <f>VLOOKUP($B2282,'D7 - NDB Impacted SPRF''s'!$E$16:$O$9929,9,FALSE)</f>
        <v>Y</v>
      </c>
      <c r="Q2282" s="4" t="str">
        <f>VLOOKUP($B2282,'D7 - NDB Impacted SPRF''s'!$E$16:$O$9929,10,FALSE)</f>
        <v>N</v>
      </c>
      <c r="R2282" s="4" t="str">
        <f>VLOOKUP($B2282,'D7 - NDB Impacted SPRF''s'!$E$16:$O$9929,11,FALSE)</f>
        <v>N</v>
      </c>
      <c r="S2282" s="8"/>
      <c r="T2282" s="310"/>
      <c r="U2282" s="310"/>
      <c r="V2282" s="4"/>
      <c r="W2282" s="4"/>
      <c r="X2282" s="4"/>
      <c r="Y2282" s="4"/>
      <c r="Z2282" s="4"/>
      <c r="AA2282" s="4"/>
      <c r="AB2282" s="380" t="str">
        <f>VLOOKUP($B2282,'D7 - NDB Impacted SPRF''s'!$E$6:$O$9929,4,FALSE)</f>
        <v>Completed</v>
      </c>
      <c r="AC2282" s="380" t="str">
        <f>VLOOKUP($B2282,'D7 - NDB Impacted SPRF''s'!$E$6:$O$9929,3,FALSE)</f>
        <v>UnitedHealthcare Employer &amp; Individual</v>
      </c>
      <c r="AD2282" s="380" t="str">
        <f>VLOOKUP($B2282,'D7 - NDB Impacted SPRF''s'!$E$6:$O$9929,5,FALSE)</f>
        <v>Membership Growth / Revenue Programs</v>
      </c>
      <c r="AE2282" s="380" t="str">
        <f>VLOOKUP($B2282,'D7 - NDB Impacted SPRF''s'!$E$6:$O$9929,7,FALSE)</f>
        <v>Roger Wambheim</v>
      </c>
      <c r="AF2282" s="380" t="str">
        <f>VLOOKUP($B2282,'D7 - NDB Impacted SPRF''s'!$E$6:$O$9929,6,FALSE)</f>
        <v>Chad Wege</v>
      </c>
      <c r="AG2282" s="282"/>
      <c r="AH2282" s="311" t="e">
        <f>INDEX('D5 - Gatekeeper - Projects'!$A$4:$AF$1010,$AM2282, 17)</f>
        <v>#N/A</v>
      </c>
      <c r="AI2282" s="8"/>
      <c r="AJ2282" s="57"/>
      <c r="AK2282" s="105"/>
      <c r="AM2282" s="6" t="e">
        <f>MATCH(D2282,'D5 - Gatekeeper - Projects'!$C$4:$C$1010,0)</f>
        <v>#N/A</v>
      </c>
      <c r="AN2282" s="6" t="b">
        <f t="shared" si="240"/>
        <v>1</v>
      </c>
      <c r="AO2282" s="6" t="str">
        <f t="shared" si="241"/>
        <v>OK</v>
      </c>
      <c r="AQ2282" s="6" t="e">
        <f>MATCH($D2282,'D4 - Provider Council Unsched'!$C$11:$C$234,0)</f>
        <v>#N/A</v>
      </c>
      <c r="AR2282" s="6" t="b">
        <f t="shared" si="242"/>
        <v>1</v>
      </c>
      <c r="AS2282" s="6" t="str">
        <f>IF(AND(H2282="2 - Not Scheduled",AR2282=TRUE),"Add","OK")</f>
        <v>OK</v>
      </c>
      <c r="AU2282" s="202"/>
      <c r="AV2282" s="262"/>
      <c r="AW2282" s="274"/>
    </row>
    <row r="2283" spans="1:49" s="13" customFormat="1" ht="33.75" x14ac:dyDescent="0.2">
      <c r="A2283" s="14">
        <v>2259</v>
      </c>
      <c r="B2283" s="14">
        <v>400026313</v>
      </c>
      <c r="C2283" s="8" t="s">
        <v>3763</v>
      </c>
      <c r="D2283" s="4" t="str">
        <f t="shared" si="238"/>
        <v>400026313R2</v>
      </c>
      <c r="E2283" s="309" t="str">
        <f>VLOOKUP($B2283,'D7 - NDB Impacted SPRF''s'!$E$6:$O$9929,2,FALSE)</f>
        <v>TX Medicaid Provider Identifiers</v>
      </c>
      <c r="F2283" s="8" t="s">
        <v>2114</v>
      </c>
      <c r="G2283" s="8" t="s">
        <v>4758</v>
      </c>
      <c r="H2283" s="8" t="s">
        <v>2870</v>
      </c>
      <c r="I2283" s="20">
        <v>48.16</v>
      </c>
      <c r="J2283" s="8" t="s">
        <v>4862</v>
      </c>
      <c r="K2283" s="182">
        <v>40313</v>
      </c>
      <c r="L2283" s="8" t="s">
        <v>5743</v>
      </c>
      <c r="M2283" s="8" t="s">
        <v>2814</v>
      </c>
      <c r="N2283" s="38"/>
      <c r="O2283" s="8" t="s">
        <v>2875</v>
      </c>
      <c r="P2283" s="4" t="str">
        <f>VLOOKUP($B2283,'D7 - NDB Impacted SPRF''s'!$E$16:$O$9929,9,FALSE)</f>
        <v>Y</v>
      </c>
      <c r="Q2283" s="4" t="str">
        <f>VLOOKUP($B2283,'D7 - NDB Impacted SPRF''s'!$E$16:$O$9929,10,FALSE)</f>
        <v>N</v>
      </c>
      <c r="R2283" s="4" t="str">
        <f>VLOOKUP($B2283,'D7 - NDB Impacted SPRF''s'!$E$16:$O$9929,11,FALSE)</f>
        <v>Y</v>
      </c>
      <c r="S2283" s="8"/>
      <c r="T2283" s="310"/>
      <c r="U2283" s="310"/>
      <c r="V2283" s="4"/>
      <c r="W2283" s="4"/>
      <c r="X2283" s="4"/>
      <c r="Y2283" s="4"/>
      <c r="Z2283" s="4"/>
      <c r="AA2283" s="4"/>
      <c r="AB2283" s="380" t="str">
        <f>VLOOKUP($B2283,'D7 - NDB Impacted SPRF''s'!$E$16:$O$9929,4,FALSE)</f>
        <v>Completed</v>
      </c>
      <c r="AC2283" s="380" t="str">
        <f>VLOOKUP($B2283,'D7 - NDB Impacted SPRF''s'!$E$16:$O$9929,3,FALSE)</f>
        <v>UnitedHealthcare Community &amp; State</v>
      </c>
      <c r="AD2283" s="380" t="str">
        <f>VLOOKUP($B2283,'D7 - NDB Impacted SPRF''s'!$E$16:$O$9929,5,FALSE)</f>
        <v>Evercare Medicaid</v>
      </c>
      <c r="AE2283" s="380" t="str">
        <f>VLOOKUP($B2283,'D7 - NDB Impacted SPRF''s'!$E$16:$O$9929,7,FALSE)</f>
        <v>Bill Guptail</v>
      </c>
      <c r="AF2283" s="380" t="str">
        <f>VLOOKUP($B2283,'D7 - NDB Impacted SPRF''s'!$E$16:$O$9929,6,FALSE)</f>
        <v>Jessica Ayers</v>
      </c>
      <c r="AG2283" s="282"/>
      <c r="AH2283" s="311" t="e">
        <f>INDEX('D5 - Gatekeeper - Projects'!$A$4:$AF$1010,$AM2283, 17)</f>
        <v>#N/A</v>
      </c>
      <c r="AI2283" s="8"/>
      <c r="AJ2283" s="57"/>
      <c r="AK2283" s="105"/>
      <c r="AM2283" s="6" t="e">
        <f>MATCH(D2283,'D5 - Gatekeeper - Projects'!$C$4:$C$1010,0)</f>
        <v>#N/A</v>
      </c>
      <c r="AN2283" s="6" t="b">
        <f t="shared" si="240"/>
        <v>1</v>
      </c>
      <c r="AO2283" s="6" t="str">
        <f t="shared" si="241"/>
        <v>OK</v>
      </c>
      <c r="AQ2283" s="6" t="e">
        <f>MATCH($D2283,'D4 - Provider Council Unsched'!$C$11:$C$234,0)</f>
        <v>#N/A</v>
      </c>
      <c r="AR2283" s="6" t="b">
        <f t="shared" si="242"/>
        <v>1</v>
      </c>
      <c r="AS2283" s="6" t="str">
        <f>IF(AND(H2283="2 - Not Scheduled",AR2283=TRUE),"Add","OK")</f>
        <v>OK</v>
      </c>
      <c r="AU2283" s="202"/>
      <c r="AV2283" s="262"/>
      <c r="AW2283" s="274"/>
    </row>
    <row r="2284" spans="1:49" s="13" customFormat="1" ht="33.75" x14ac:dyDescent="0.2">
      <c r="A2284" s="14">
        <v>2260</v>
      </c>
      <c r="B2284" s="14">
        <v>400030998</v>
      </c>
      <c r="C2284" s="8" t="s">
        <v>5197</v>
      </c>
      <c r="D2284" s="4" t="str">
        <f t="shared" si="238"/>
        <v>400030998R1</v>
      </c>
      <c r="E2284" s="309" t="str">
        <f>VLOOKUP($B2284,'D7 - NDB Impacted SPRF''s'!$E$6:$O$9929,2,FALSE)</f>
        <v xml:space="preserve">Texas Service Delivery Area (SDA) </v>
      </c>
      <c r="F2284" s="8" t="s">
        <v>2114</v>
      </c>
      <c r="G2284" s="8" t="s">
        <v>4758</v>
      </c>
      <c r="H2284" s="8" t="s">
        <v>2870</v>
      </c>
      <c r="I2284" s="20">
        <v>16.02</v>
      </c>
      <c r="J2284" s="8" t="s">
        <v>4862</v>
      </c>
      <c r="K2284" s="182">
        <v>40404</v>
      </c>
      <c r="L2284" s="8" t="s">
        <v>4156</v>
      </c>
      <c r="M2284" s="8" t="s">
        <v>2814</v>
      </c>
      <c r="N2284" s="38"/>
      <c r="O2284" s="8" t="s">
        <v>2875</v>
      </c>
      <c r="P2284" s="4" t="str">
        <f>VLOOKUP($B2284,'D7 - NDB Impacted SPRF''s'!$E$16:$O$9929,9,FALSE)</f>
        <v>N</v>
      </c>
      <c r="Q2284" s="4" t="str">
        <f>VLOOKUP($B2284,'D7 - NDB Impacted SPRF''s'!$E$16:$O$9929,10,FALSE)</f>
        <v>N</v>
      </c>
      <c r="R2284" s="4" t="str">
        <f>VLOOKUP($B2284,'D7 - NDB Impacted SPRF''s'!$E$16:$O$9929,11,FALSE)</f>
        <v>N</v>
      </c>
      <c r="S2284" s="8"/>
      <c r="T2284" s="310"/>
      <c r="U2284" s="310"/>
      <c r="V2284" s="4"/>
      <c r="W2284" s="4"/>
      <c r="X2284" s="4"/>
      <c r="Y2284" s="4"/>
      <c r="Z2284" s="4"/>
      <c r="AA2284" s="4"/>
      <c r="AB2284" s="380" t="str">
        <f>VLOOKUP($B2284,'D7 - NDB Impacted SPRF''s'!$E$6:$O$9929,4,FALSE)</f>
        <v>Cancelled</v>
      </c>
      <c r="AC2284" s="380" t="str">
        <f>VLOOKUP($B2284,'D7 - NDB Impacted SPRF''s'!$E$6:$O$9929,3,FALSE)</f>
        <v>UnitedHealthcare Medicare &amp; Retirement</v>
      </c>
      <c r="AD2284" s="380" t="str">
        <f>VLOOKUP($B2284,'D7 - NDB Impacted SPRF''s'!$E$6:$O$9929,5,FALSE)</f>
        <v>Health Services</v>
      </c>
      <c r="AE2284" s="380" t="str">
        <f>VLOOKUP($B2284,'D7 - NDB Impacted SPRF''s'!$E$6:$O$9929,7,FALSE)</f>
        <v>Bill Guptail</v>
      </c>
      <c r="AF2284" s="380" t="str">
        <f>VLOOKUP($B2284,'D7 - NDB Impacted SPRF''s'!$E$6:$O$9929,6,FALSE)</f>
        <v>Jessica Tattersall</v>
      </c>
      <c r="AG2284" s="282"/>
      <c r="AH2284" s="311" t="e">
        <f>INDEX('D5 - Gatekeeper - Projects'!$A$4:$AF$1010,$AM2284, 17)</f>
        <v>#N/A</v>
      </c>
      <c r="AI2284" s="8"/>
      <c r="AJ2284" s="57"/>
      <c r="AK2284" s="57"/>
      <c r="AM2284" s="6" t="e">
        <f>MATCH(D2284,'D5 - Gatekeeper - Projects'!$C$4:$C$1010,0)</f>
        <v>#N/A</v>
      </c>
      <c r="AN2284" s="6" t="b">
        <f t="shared" si="240"/>
        <v>1</v>
      </c>
      <c r="AO2284" s="6" t="str">
        <f t="shared" si="241"/>
        <v>OK</v>
      </c>
      <c r="AQ2284" s="6" t="e">
        <f>MATCH($D2284,'D4 - Provider Council Unsched'!$C$11:$C$234,0)</f>
        <v>#N/A</v>
      </c>
      <c r="AR2284" s="6" t="b">
        <f t="shared" si="242"/>
        <v>1</v>
      </c>
      <c r="AS2284" s="6" t="str">
        <f>IF(AND(H2284="2 - Not Scheduled",AR2284=TRUE),"Add","OK")</f>
        <v>OK</v>
      </c>
      <c r="AU2284" s="202"/>
      <c r="AV2284" s="262"/>
      <c r="AW2284" s="274"/>
    </row>
    <row r="2285" spans="1:49" s="13" customFormat="1" x14ac:dyDescent="0.2">
      <c r="A2285" s="14">
        <v>2261</v>
      </c>
      <c r="B2285" s="14">
        <v>400031219</v>
      </c>
      <c r="C2285" s="8" t="s">
        <v>5197</v>
      </c>
      <c r="D2285" s="4" t="str">
        <f t="shared" si="238"/>
        <v>400031219R1</v>
      </c>
      <c r="E2285" s="309" t="str">
        <f>VLOOKUP($B2285,'D7 - NDB Impacted SPRF''s'!$E$6:$O$9929,2,FALSE)</f>
        <v>PBH Migration</v>
      </c>
      <c r="F2285" s="8" t="s">
        <v>2114</v>
      </c>
      <c r="G2285" s="8" t="s">
        <v>4758</v>
      </c>
      <c r="H2285" s="8" t="s">
        <v>2870</v>
      </c>
      <c r="I2285" s="20">
        <v>1.07</v>
      </c>
      <c r="J2285" s="8" t="s">
        <v>4862</v>
      </c>
      <c r="K2285" s="182">
        <v>40404</v>
      </c>
      <c r="L2285" s="8" t="s">
        <v>4156</v>
      </c>
      <c r="M2285" s="8" t="s">
        <v>4850</v>
      </c>
      <c r="N2285" s="38"/>
      <c r="O2285" s="8"/>
      <c r="P2285" s="4" t="str">
        <f>VLOOKUP($B2285,'D7 - NDB Impacted SPRF''s'!$E$16:$O$9929,9,FALSE)</f>
        <v>N</v>
      </c>
      <c r="Q2285" s="4" t="str">
        <f>VLOOKUP($B2285,'D7 - NDB Impacted SPRF''s'!$E$16:$O$9929,10,FALSE)</f>
        <v>N</v>
      </c>
      <c r="R2285" s="4" t="str">
        <f>VLOOKUP($B2285,'D7 - NDB Impacted SPRF''s'!$E$16:$O$9929,11,FALSE)</f>
        <v>N</v>
      </c>
      <c r="S2285" s="8"/>
      <c r="T2285" s="310"/>
      <c r="U2285" s="310"/>
      <c r="V2285" s="4"/>
      <c r="W2285" s="4"/>
      <c r="X2285" s="4"/>
      <c r="Y2285" s="4"/>
      <c r="Z2285" s="4"/>
      <c r="AA2285" s="4"/>
      <c r="AB2285" s="380" t="str">
        <f>VLOOKUP($B2285,'D7 - NDB Impacted SPRF''s'!$E$6:$O$9929,4,FALSE)</f>
        <v>Cancelled</v>
      </c>
      <c r="AC2285" s="380" t="str">
        <f>VLOOKUP($B2285,'D7 - NDB Impacted SPRF''s'!$E$6:$O$9929,3,FALSE)</f>
        <v>OptumHealth</v>
      </c>
      <c r="AD2285" s="380" t="str">
        <f>VLOOKUP($B2285,'D7 - NDB Impacted SPRF''s'!$E$6:$O$9929,5,FALSE)</f>
        <v>Behavioral Solutions</v>
      </c>
      <c r="AE2285" s="380" t="str">
        <f>VLOOKUP($B2285,'D7 - NDB Impacted SPRF''s'!$E$6:$O$9929,7,FALSE)</f>
        <v>Robert Preston</v>
      </c>
      <c r="AF2285" s="380" t="str">
        <f>VLOOKUP($B2285,'D7 - NDB Impacted SPRF''s'!$E$6:$O$9929,6,FALSE)</f>
        <v>Teresa Melchior</v>
      </c>
      <c r="AG2285" s="282"/>
      <c r="AH2285" s="311" t="e">
        <f>INDEX('D5 - Gatekeeper - Projects'!$A$4:$AF$1010,$AM2285, 17)</f>
        <v>#N/A</v>
      </c>
      <c r="AI2285" s="8"/>
      <c r="AJ2285" s="57"/>
      <c r="AK2285" s="57"/>
      <c r="AM2285" s="6" t="e">
        <f>MATCH(D2285,'D5 - Gatekeeper - Projects'!$C$4:$C$1010,0)</f>
        <v>#N/A</v>
      </c>
      <c r="AN2285" s="6" t="b">
        <f t="shared" si="240"/>
        <v>1</v>
      </c>
      <c r="AO2285" s="6" t="str">
        <f t="shared" si="241"/>
        <v>OK</v>
      </c>
      <c r="AQ2285" s="6" t="e">
        <f>MATCH($D2285,'D4 - Provider Council Unsched'!$C$11:$C$234,0)</f>
        <v>#N/A</v>
      </c>
      <c r="AR2285" s="6" t="b">
        <f t="shared" si="242"/>
        <v>1</v>
      </c>
      <c r="AS2285" s="6" t="str">
        <f t="shared" ref="AS2285:AS2290" si="244">IF(AND(H2285="2 - Not Scheduled",AR2285=TRUE,C2285="R1"),"Add","OK")</f>
        <v>OK</v>
      </c>
      <c r="AU2285" s="202"/>
      <c r="AV2285" s="262"/>
      <c r="AW2285" s="274"/>
    </row>
    <row r="2286" spans="1:49" s="13" customFormat="1" ht="45" x14ac:dyDescent="0.2">
      <c r="A2286" s="14">
        <v>2262</v>
      </c>
      <c r="B2286" s="14">
        <v>400032484</v>
      </c>
      <c r="C2286" s="8" t="s">
        <v>5197</v>
      </c>
      <c r="D2286" s="4" t="str">
        <f t="shared" si="238"/>
        <v>400032484R1</v>
      </c>
      <c r="E2286" s="309" t="str">
        <f>VLOOKUP($B2286,'D7 - NDB Impacted SPRF''s'!$E$6:$O$9929,2,FALSE)</f>
        <v>PDR - Integration POC A&amp;D</v>
      </c>
      <c r="F2286" s="8" t="s">
        <v>5595</v>
      </c>
      <c r="G2286" s="8" t="s">
        <v>4758</v>
      </c>
      <c r="H2286" s="8" t="s">
        <v>2870</v>
      </c>
      <c r="I2286" s="20">
        <v>19.78</v>
      </c>
      <c r="J2286" s="8" t="s">
        <v>4862</v>
      </c>
      <c r="K2286" s="182">
        <v>40404</v>
      </c>
      <c r="L2286" s="8" t="s">
        <v>4156</v>
      </c>
      <c r="M2286" s="8" t="s">
        <v>2814</v>
      </c>
      <c r="N2286" s="38"/>
      <c r="O2286" s="8" t="s">
        <v>2875</v>
      </c>
      <c r="P2286" s="4" t="str">
        <f>VLOOKUP($B2286,'D7 - NDB Impacted SPRF''s'!$E$16:$O$9929,9,FALSE)</f>
        <v>N</v>
      </c>
      <c r="Q2286" s="4" t="str">
        <f>VLOOKUP($B2286,'D7 - NDB Impacted SPRF''s'!$E$16:$O$9929,10,FALSE)</f>
        <v>N</v>
      </c>
      <c r="R2286" s="4" t="str">
        <f>VLOOKUP($B2286,'D7 - NDB Impacted SPRF''s'!$E$16:$O$9929,11,FALSE)</f>
        <v>N</v>
      </c>
      <c r="S2286" s="8"/>
      <c r="T2286" s="310"/>
      <c r="U2286" s="310"/>
      <c r="V2286" s="4"/>
      <c r="W2286" s="4"/>
      <c r="X2286" s="4"/>
      <c r="Y2286" s="4"/>
      <c r="Z2286" s="4"/>
      <c r="AA2286" s="4"/>
      <c r="AB2286" s="380" t="str">
        <f>VLOOKUP($B2286,'D7 - NDB Impacted SPRF''s'!$E$6:$O$9929,4,FALSE)</f>
        <v>Completed</v>
      </c>
      <c r="AC2286" s="380" t="str">
        <f>VLOOKUP($B2286,'D7 - NDB Impacted SPRF''s'!$E$6:$O$9929,3,FALSE)</f>
        <v>UHG IT - Enterprise Technology Services</v>
      </c>
      <c r="AD2286" s="380" t="str">
        <f>VLOOKUP($B2286,'D7 - NDB Impacted SPRF''s'!$E$6:$O$9929,5,FALSE)</f>
        <v>Strategic Initiatives</v>
      </c>
      <c r="AE2286" s="380" t="str">
        <f>VLOOKUP($B2286,'D7 - NDB Impacted SPRF''s'!$E$6:$O$9929,7,FALSE)</f>
        <v>Dave Wichmann</v>
      </c>
      <c r="AF2286" s="380" t="str">
        <f>VLOOKUP($B2286,'D7 - NDB Impacted SPRF''s'!$E$6:$O$9929,6,FALSE)</f>
        <v>Nicole Cartwright</v>
      </c>
      <c r="AG2286" s="282"/>
      <c r="AH2286" s="311" t="e">
        <f>INDEX('D5 - Gatekeeper - Projects'!$A$4:$AF$1010,$AM2286, 17)</f>
        <v>#N/A</v>
      </c>
      <c r="AI2286" s="8"/>
      <c r="AJ2286" s="57"/>
      <c r="AK2286" s="105"/>
      <c r="AM2286" s="6" t="e">
        <f>MATCH(D2286,'D5 - Gatekeeper - Projects'!$C$4:$C$1010,0)</f>
        <v>#N/A</v>
      </c>
      <c r="AN2286" s="6" t="b">
        <f t="shared" si="240"/>
        <v>1</v>
      </c>
      <c r="AO2286" s="6" t="str">
        <f t="shared" si="241"/>
        <v>OK</v>
      </c>
      <c r="AQ2286" s="6" t="e">
        <f>MATCH($D2286,'D4 - Provider Council Unsched'!$C$11:$C$234,0)</f>
        <v>#N/A</v>
      </c>
      <c r="AR2286" s="6" t="b">
        <f t="shared" si="242"/>
        <v>1</v>
      </c>
      <c r="AS2286" s="6" t="str">
        <f t="shared" si="244"/>
        <v>OK</v>
      </c>
      <c r="AU2286" s="202"/>
      <c r="AV2286" s="262"/>
      <c r="AW2286" s="274"/>
    </row>
    <row r="2287" spans="1:49" s="13" customFormat="1" ht="45" x14ac:dyDescent="0.2">
      <c r="A2287" s="14">
        <v>2263</v>
      </c>
      <c r="B2287" s="14">
        <v>400032523</v>
      </c>
      <c r="C2287" s="8" t="s">
        <v>5197</v>
      </c>
      <c r="D2287" s="4" t="str">
        <f t="shared" si="238"/>
        <v>400032523R1</v>
      </c>
      <c r="E2287" s="309" t="str">
        <f>VLOOKUP($B2287,'D7 - NDB Impacted SPRF''s'!$E$6:$O$9929,2,FALSE)</f>
        <v>PDR - Contract Maintenance</v>
      </c>
      <c r="F2287" s="8" t="s">
        <v>5595</v>
      </c>
      <c r="G2287" s="8" t="s">
        <v>4758</v>
      </c>
      <c r="H2287" s="8" t="s">
        <v>2870</v>
      </c>
      <c r="I2287" s="20">
        <v>24.58</v>
      </c>
      <c r="J2287" s="8" t="s">
        <v>4862</v>
      </c>
      <c r="K2287" s="182">
        <v>40404</v>
      </c>
      <c r="L2287" s="8" t="s">
        <v>4156</v>
      </c>
      <c r="M2287" s="8" t="s">
        <v>2814</v>
      </c>
      <c r="N2287" s="38"/>
      <c r="O2287" s="8"/>
      <c r="P2287" s="4" t="str">
        <f>VLOOKUP($B2287,'D7 - NDB Impacted SPRF''s'!$E$16:$O$9929,9,FALSE)</f>
        <v>N</v>
      </c>
      <c r="Q2287" s="4" t="str">
        <f>VLOOKUP($B2287,'D7 - NDB Impacted SPRF''s'!$E$16:$O$9929,10,FALSE)</f>
        <v>N</v>
      </c>
      <c r="R2287" s="4" t="str">
        <f>VLOOKUP($B2287,'D7 - NDB Impacted SPRF''s'!$E$16:$O$9929,11,FALSE)</f>
        <v>Y</v>
      </c>
      <c r="S2287" s="8"/>
      <c r="T2287" s="310"/>
      <c r="U2287" s="310"/>
      <c r="V2287" s="4"/>
      <c r="W2287" s="4"/>
      <c r="X2287" s="4"/>
      <c r="Y2287" s="4"/>
      <c r="Z2287" s="4"/>
      <c r="AA2287" s="4"/>
      <c r="AB2287" s="380" t="str">
        <f>VLOOKUP($B2287,'D7 - NDB Impacted SPRF''s'!$E$6:$O$9929,4,FALSE)</f>
        <v>Completed</v>
      </c>
      <c r="AC2287" s="380" t="str">
        <f>VLOOKUP($B2287,'D7 - NDB Impacted SPRF''s'!$E$6:$O$9929,3,FALSE)</f>
        <v>UHG IT - Enterprise Technology Services</v>
      </c>
      <c r="AD2287" s="380" t="str">
        <f>VLOOKUP($B2287,'D7 - NDB Impacted SPRF''s'!$E$6:$O$9929,5,FALSE)</f>
        <v>Strategic Initiatives</v>
      </c>
      <c r="AE2287" s="380" t="str">
        <f>VLOOKUP($B2287,'D7 - NDB Impacted SPRF''s'!$E$6:$O$9929,7,FALSE)</f>
        <v>Dave Wichman</v>
      </c>
      <c r="AF2287" s="380" t="str">
        <f>VLOOKUP($B2287,'D7 - NDB Impacted SPRF''s'!$E$6:$O$9929,6,FALSE)</f>
        <v>MELONY SCHREINER</v>
      </c>
      <c r="AG2287" s="282"/>
      <c r="AH2287" s="311" t="e">
        <f>INDEX('D5 - Gatekeeper - Projects'!$A$4:$AF$1010,$AM2287, 17)</f>
        <v>#N/A</v>
      </c>
      <c r="AI2287" s="8"/>
      <c r="AJ2287" s="57"/>
      <c r="AK2287" s="105"/>
      <c r="AM2287" s="6" t="e">
        <f>MATCH(D2287,'D5 - Gatekeeper - Projects'!$C$4:$C$1010,0)</f>
        <v>#N/A</v>
      </c>
      <c r="AN2287" s="6" t="b">
        <f t="shared" si="240"/>
        <v>1</v>
      </c>
      <c r="AO2287" s="6" t="str">
        <f t="shared" si="241"/>
        <v>OK</v>
      </c>
      <c r="AQ2287" s="6" t="e">
        <f>MATCH($D2287,'D4 - Provider Council Unsched'!$C$11:$C$234,0)</f>
        <v>#N/A</v>
      </c>
      <c r="AR2287" s="6" t="b">
        <f t="shared" si="242"/>
        <v>1</v>
      </c>
      <c r="AS2287" s="6" t="str">
        <f t="shared" si="244"/>
        <v>OK</v>
      </c>
      <c r="AU2287" s="202"/>
      <c r="AV2287" s="262"/>
      <c r="AW2287" s="274"/>
    </row>
    <row r="2288" spans="1:49" s="13" customFormat="1" ht="33.75" x14ac:dyDescent="0.2">
      <c r="A2288" s="14">
        <v>2264</v>
      </c>
      <c r="B2288" s="14">
        <v>400032655</v>
      </c>
      <c r="C2288" s="8" t="s">
        <v>5197</v>
      </c>
      <c r="D2288" s="4" t="str">
        <f t="shared" si="238"/>
        <v>400032655R1</v>
      </c>
      <c r="E2288" s="309" t="str">
        <f>VLOOKUP($B2288,'D7 - NDB Impacted SPRF''s'!$E$6:$O$9929,2,FALSE)</f>
        <v>CSS-B2C 2010B RELEASE- MIGRATIONS FUNDING</v>
      </c>
      <c r="F2288" s="8" t="s">
        <v>2338</v>
      </c>
      <c r="G2288" s="8" t="s">
        <v>4758</v>
      </c>
      <c r="H2288" s="8" t="s">
        <v>2870</v>
      </c>
      <c r="I2288" s="20">
        <v>2.77</v>
      </c>
      <c r="J2288" s="8" t="s">
        <v>4862</v>
      </c>
      <c r="K2288" s="182">
        <v>40404</v>
      </c>
      <c r="L2288" s="8" t="s">
        <v>4156</v>
      </c>
      <c r="M2288" s="8" t="s">
        <v>2814</v>
      </c>
      <c r="N2288" s="38"/>
      <c r="O2288" s="8"/>
      <c r="P2288" s="4" t="str">
        <f>VLOOKUP($B2288,'D7 - NDB Impacted SPRF''s'!$E$16:$O$9929,9,FALSE)</f>
        <v>Y</v>
      </c>
      <c r="Q2288" s="4" t="str">
        <f>VLOOKUP($B2288,'D7 - NDB Impacted SPRF''s'!$E$16:$O$9929,10,FALSE)</f>
        <v>N</v>
      </c>
      <c r="R2288" s="4" t="str">
        <f>VLOOKUP($B2288,'D7 - NDB Impacted SPRF''s'!$E$16:$O$9929,11,FALSE)</f>
        <v>N</v>
      </c>
      <c r="S2288" s="8"/>
      <c r="T2288" s="310"/>
      <c r="U2288" s="310"/>
      <c r="V2288" s="4"/>
      <c r="W2288" s="4"/>
      <c r="X2288" s="4"/>
      <c r="Y2288" s="4"/>
      <c r="Z2288" s="4"/>
      <c r="AA2288" s="4"/>
      <c r="AB2288" s="380" t="str">
        <f>VLOOKUP($B2288,'D7 - NDB Impacted SPRF''s'!$E$6:$O$9929,4,FALSE)</f>
        <v>Completed</v>
      </c>
      <c r="AC2288" s="380" t="str">
        <f>VLOOKUP($B2288,'D7 - NDB Impacted SPRF''s'!$E$6:$O$9929,3,FALSE)</f>
        <v>UnitedHealthcare Medicare &amp; Retirement</v>
      </c>
      <c r="AD2288" s="380" t="str">
        <f>VLOOKUP($B2288,'D7 - NDB Impacted SPRF''s'!$E$6:$O$9929,5,FALSE)</f>
        <v>Enterprise Clinical</v>
      </c>
      <c r="AE2288" s="380" t="str">
        <f>VLOOKUP($B2288,'D7 - NDB Impacted SPRF''s'!$E$6:$O$9929,7,FALSE)</f>
        <v>CYNTHIA MIDDAUGH</v>
      </c>
      <c r="AF2288" s="380" t="str">
        <f>VLOOKUP($B2288,'D7 - NDB Impacted SPRF''s'!$E$6:$O$9929,6,FALSE)</f>
        <v>Mike Flynn</v>
      </c>
      <c r="AG2288" s="282"/>
      <c r="AH2288" s="311" t="e">
        <f>INDEX('D5 - Gatekeeper - Projects'!$A$4:$AF$1010,$AM2288, 17)</f>
        <v>#N/A</v>
      </c>
      <c r="AI2288" s="8"/>
      <c r="AJ2288" s="57"/>
      <c r="AK2288" s="105"/>
      <c r="AM2288" s="6" t="e">
        <f>MATCH(D2288,'D5 - Gatekeeper - Projects'!$C$4:$C$1010,0)</f>
        <v>#N/A</v>
      </c>
      <c r="AN2288" s="6" t="b">
        <f t="shared" si="240"/>
        <v>1</v>
      </c>
      <c r="AO2288" s="6" t="str">
        <f t="shared" si="241"/>
        <v>OK</v>
      </c>
      <c r="AQ2288" s="6" t="e">
        <f>MATCH($D2288,'D4 - Provider Council Unsched'!$C$11:$C$234,0)</f>
        <v>#N/A</v>
      </c>
      <c r="AR2288" s="6" t="b">
        <f t="shared" si="242"/>
        <v>1</v>
      </c>
      <c r="AS2288" s="6" t="str">
        <f t="shared" si="244"/>
        <v>OK</v>
      </c>
      <c r="AU2288" s="202"/>
      <c r="AV2288" s="262"/>
      <c r="AW2288" s="274"/>
    </row>
    <row r="2289" spans="1:49" s="13" customFormat="1" ht="33.75" x14ac:dyDescent="0.2">
      <c r="A2289" s="14">
        <v>2265</v>
      </c>
      <c r="B2289" s="14">
        <v>400032830</v>
      </c>
      <c r="C2289" s="8" t="s">
        <v>5197</v>
      </c>
      <c r="D2289" s="4" t="str">
        <f t="shared" ref="D2289:D2308" si="245">CONCATENATE(B2289,C2289)</f>
        <v>400032830R1</v>
      </c>
      <c r="E2289" s="309" t="str">
        <f>VLOOKUP($B2289,'D7 - NDB Impacted SPRF''s'!$E$6:$O$9929,2,FALSE)</f>
        <v>MAHP migration to Clinical Toolbox- A/D</v>
      </c>
      <c r="F2289" s="8" t="s">
        <v>6401</v>
      </c>
      <c r="G2289" s="8" t="s">
        <v>4758</v>
      </c>
      <c r="H2289" s="8" t="s">
        <v>2870</v>
      </c>
      <c r="I2289" s="20">
        <v>1.82</v>
      </c>
      <c r="J2289" s="8" t="s">
        <v>4862</v>
      </c>
      <c r="K2289" s="182">
        <v>40404</v>
      </c>
      <c r="L2289" s="8" t="s">
        <v>4156</v>
      </c>
      <c r="M2289" s="8" t="s">
        <v>5626</v>
      </c>
      <c r="N2289" s="38"/>
      <c r="O2289" s="8"/>
      <c r="P2289" s="4" t="str">
        <f>VLOOKUP($B2289,'D7 - NDB Impacted SPRF''s'!$E$16:$O$9929,9,FALSE)</f>
        <v>Y</v>
      </c>
      <c r="Q2289" s="4" t="str">
        <f>VLOOKUP($B2289,'D7 - NDB Impacted SPRF''s'!$E$16:$O$9929,10,FALSE)</f>
        <v>N</v>
      </c>
      <c r="R2289" s="4" t="str">
        <f>VLOOKUP($B2289,'D7 - NDB Impacted SPRF''s'!$E$16:$O$9929,11,FALSE)</f>
        <v>N</v>
      </c>
      <c r="S2289" s="8"/>
      <c r="T2289" s="310"/>
      <c r="U2289" s="310"/>
      <c r="V2289" s="4"/>
      <c r="W2289" s="4"/>
      <c r="X2289" s="4"/>
      <c r="Y2289" s="4"/>
      <c r="Z2289" s="4"/>
      <c r="AA2289" s="4"/>
      <c r="AB2289" s="380" t="str">
        <f>VLOOKUP($B2289,'D7 - NDB Impacted SPRF''s'!$E$6:$O$9929,4,FALSE)</f>
        <v>Completed</v>
      </c>
      <c r="AC2289" s="380" t="str">
        <f>VLOOKUP($B2289,'D7 - NDB Impacted SPRF''s'!$E$6:$O$9929,3,FALSE)</f>
        <v>UnitedHealthcare Medicare &amp; Retirement</v>
      </c>
      <c r="AD2289" s="380" t="str">
        <f>VLOOKUP($B2289,'D7 - NDB Impacted SPRF''s'!$E$6:$O$9929,5,FALSE)</f>
        <v>Enterprise Clinical</v>
      </c>
      <c r="AE2289" s="380" t="str">
        <f>VLOOKUP($B2289,'D7 - NDB Impacted SPRF''s'!$E$6:$O$9929,7,FALSE)</f>
        <v>Darcie Corban</v>
      </c>
      <c r="AF2289" s="380" t="str">
        <f>VLOOKUP($B2289,'D7 - NDB Impacted SPRF''s'!$E$6:$O$9929,6,FALSE)</f>
        <v>Jessica Tattersall</v>
      </c>
      <c r="AG2289" s="282"/>
      <c r="AH2289" s="311" t="e">
        <f>INDEX('D5 - Gatekeeper - Projects'!$A$4:$AF$1010,$AM2289, 17)</f>
        <v>#N/A</v>
      </c>
      <c r="AI2289" s="8"/>
      <c r="AJ2289" s="57"/>
      <c r="AK2289" s="105"/>
      <c r="AM2289" s="6" t="e">
        <f>MATCH(D2289,'D5 - Gatekeeper - Projects'!$C$4:$C$1010,0)</f>
        <v>#N/A</v>
      </c>
      <c r="AN2289" s="6" t="b">
        <f t="shared" si="240"/>
        <v>1</v>
      </c>
      <c r="AO2289" s="6" t="str">
        <f t="shared" si="241"/>
        <v>OK</v>
      </c>
      <c r="AQ2289" s="6" t="e">
        <f>MATCH($D2289,'D4 - Provider Council Unsched'!$C$11:$C$234,0)</f>
        <v>#N/A</v>
      </c>
      <c r="AR2289" s="6" t="b">
        <f t="shared" si="242"/>
        <v>1</v>
      </c>
      <c r="AS2289" s="6" t="str">
        <f t="shared" si="244"/>
        <v>OK</v>
      </c>
      <c r="AU2289" s="202"/>
      <c r="AV2289" s="262"/>
      <c r="AW2289" s="274"/>
    </row>
    <row r="2290" spans="1:49" s="13" customFormat="1" ht="33.75" x14ac:dyDescent="0.2">
      <c r="A2290" s="14">
        <v>2266</v>
      </c>
      <c r="B2290" s="14">
        <v>400033008</v>
      </c>
      <c r="C2290" s="8" t="s">
        <v>5197</v>
      </c>
      <c r="D2290" s="4" t="str">
        <f t="shared" si="245"/>
        <v>400033008R1</v>
      </c>
      <c r="E2290" s="309" t="str">
        <f>VLOOKUP($B2290,'D7 - NDB Impacted SPRF''s'!$E$6:$O$9929,2,FALSE)</f>
        <v>ORBIT SOS Report</v>
      </c>
      <c r="F2290" s="8" t="s">
        <v>2114</v>
      </c>
      <c r="G2290" s="8" t="s">
        <v>4758</v>
      </c>
      <c r="H2290" s="8" t="s">
        <v>2870</v>
      </c>
      <c r="I2290" s="20">
        <v>3.49</v>
      </c>
      <c r="J2290" s="8" t="s">
        <v>4862</v>
      </c>
      <c r="K2290" s="182">
        <v>40404</v>
      </c>
      <c r="L2290" s="8" t="s">
        <v>4156</v>
      </c>
      <c r="M2290" s="8" t="s">
        <v>2814</v>
      </c>
      <c r="N2290" s="38"/>
      <c r="O2290" s="8"/>
      <c r="P2290" s="4" t="str">
        <f>VLOOKUP($B2290,'D7 - NDB Impacted SPRF''s'!$E$16:$O$9929,9,FALSE)</f>
        <v>N</v>
      </c>
      <c r="Q2290" s="4" t="str">
        <f>VLOOKUP($B2290,'D7 - NDB Impacted SPRF''s'!$E$16:$O$9929,10,FALSE)</f>
        <v>N</v>
      </c>
      <c r="R2290" s="4" t="str">
        <f>VLOOKUP($B2290,'D7 - NDB Impacted SPRF''s'!$E$16:$O$9929,11,FALSE)</f>
        <v>N</v>
      </c>
      <c r="S2290" s="8"/>
      <c r="T2290" s="310"/>
      <c r="U2290" s="310"/>
      <c r="V2290" s="4"/>
      <c r="W2290" s="4"/>
      <c r="X2290" s="4"/>
      <c r="Y2290" s="4"/>
      <c r="Z2290" s="4"/>
      <c r="AA2290" s="4"/>
      <c r="AB2290" s="380" t="str">
        <f>VLOOKUP($B2290,'D7 - NDB Impacted SPRF''s'!$E$6:$O$9929,4,FALSE)</f>
        <v>Cancelled</v>
      </c>
      <c r="AC2290" s="380" t="str">
        <f>VLOOKUP($B2290,'D7 - NDB Impacted SPRF''s'!$E$6:$O$9929,3,FALSE)</f>
        <v>UnitedHealthcare Employer &amp; Individual</v>
      </c>
      <c r="AD2290" s="380" t="str">
        <f>VLOOKUP($B2290,'D7 - NDB Impacted SPRF''s'!$E$6:$O$9929,5,FALSE)</f>
        <v>HCA - HPHC Operational Support</v>
      </c>
      <c r="AE2290" s="380" t="str">
        <f>VLOOKUP($B2290,'D7 - NDB Impacted SPRF''s'!$E$6:$O$9929,7,FALSE)</f>
        <v>Cobos, Patricio</v>
      </c>
      <c r="AF2290" s="380" t="str">
        <f>VLOOKUP($B2290,'D7 - NDB Impacted SPRF''s'!$E$6:$O$9929,6,FALSE)</f>
        <v>LUND ROSS</v>
      </c>
      <c r="AG2290" s="282"/>
      <c r="AH2290" s="311" t="e">
        <f>INDEX('D5 - Gatekeeper - Projects'!$A$4:$AF$1010,$AM2290, 17)</f>
        <v>#N/A</v>
      </c>
      <c r="AI2290" s="8"/>
      <c r="AJ2290" s="57"/>
      <c r="AK2290" s="105"/>
      <c r="AM2290" s="6" t="e">
        <f>MATCH(D2290,'D5 - Gatekeeper - Projects'!$C$4:$C$1010,0)</f>
        <v>#N/A</v>
      </c>
      <c r="AN2290" s="6" t="b">
        <f t="shared" si="240"/>
        <v>1</v>
      </c>
      <c r="AO2290" s="6" t="str">
        <f t="shared" si="241"/>
        <v>OK</v>
      </c>
      <c r="AQ2290" s="6" t="e">
        <f>MATCH($D2290,'D4 - Provider Council Unsched'!$C$11:$C$234,0)</f>
        <v>#N/A</v>
      </c>
      <c r="AR2290" s="6" t="b">
        <f t="shared" si="242"/>
        <v>1</v>
      </c>
      <c r="AS2290" s="6" t="str">
        <f t="shared" si="244"/>
        <v>OK</v>
      </c>
      <c r="AU2290" s="202"/>
      <c r="AV2290" s="262"/>
      <c r="AW2290" s="274"/>
    </row>
    <row r="2291" spans="1:49" s="13" customFormat="1" ht="45" x14ac:dyDescent="0.2">
      <c r="A2291" s="14">
        <v>2267</v>
      </c>
      <c r="B2291" s="14">
        <v>400033809</v>
      </c>
      <c r="C2291" s="8" t="s">
        <v>1992</v>
      </c>
      <c r="D2291" s="4" t="str">
        <f t="shared" si="245"/>
        <v>400033809U1</v>
      </c>
      <c r="E2291" s="309" t="str">
        <f>VLOOKUP($B2291,'D7 - NDB Impacted SPRF''s'!$E$6:$O$9929,2,FALSE)</f>
        <v>PDR - NDB Data Model Buildout</v>
      </c>
      <c r="F2291" s="8" t="s">
        <v>5595</v>
      </c>
      <c r="G2291" s="8" t="s">
        <v>4758</v>
      </c>
      <c r="H2291" s="8" t="s">
        <v>2870</v>
      </c>
      <c r="I2291" s="20">
        <v>1.46</v>
      </c>
      <c r="J2291" s="8" t="s">
        <v>4862</v>
      </c>
      <c r="K2291" s="182">
        <v>40404</v>
      </c>
      <c r="L2291" s="8" t="s">
        <v>4156</v>
      </c>
      <c r="M2291" s="8" t="s">
        <v>2814</v>
      </c>
      <c r="N2291" s="38" t="s">
        <v>3600</v>
      </c>
      <c r="O2291" s="8"/>
      <c r="P2291" s="4" t="str">
        <f>VLOOKUP($B2291,'D7 - NDB Impacted SPRF''s'!$E$16:$O$9929,9,FALSE)</f>
        <v>Y</v>
      </c>
      <c r="Q2291" s="4" t="str">
        <f>VLOOKUP($B2291,'D7 - NDB Impacted SPRF''s'!$E$16:$O$9929,10,FALSE)</f>
        <v>N</v>
      </c>
      <c r="R2291" s="4" t="str">
        <f>VLOOKUP($B2291,'D7 - NDB Impacted SPRF''s'!$E$16:$O$9929,11,FALSE)</f>
        <v>N</v>
      </c>
      <c r="S2291" s="8"/>
      <c r="T2291" s="310"/>
      <c r="U2291" s="310"/>
      <c r="V2291" s="4"/>
      <c r="W2291" s="4"/>
      <c r="X2291" s="4"/>
      <c r="Y2291" s="4"/>
      <c r="Z2291" s="4"/>
      <c r="AA2291" s="4"/>
      <c r="AB2291" s="380" t="str">
        <f>VLOOKUP($B2291,'D7 - NDB Impacted SPRF''s'!$E$6:$O$9929,4,FALSE)</f>
        <v>Completed</v>
      </c>
      <c r="AC2291" s="380" t="str">
        <f>VLOOKUP($B2291,'D7 - NDB Impacted SPRF''s'!$E$6:$O$9929,3,FALSE)</f>
        <v>UHG IT - Enterprise Technology Services</v>
      </c>
      <c r="AD2291" s="380" t="str">
        <f>VLOOKUP($B2291,'D7 - NDB Impacted SPRF''s'!$E$6:$O$9929,5,FALSE)</f>
        <v>Strategic Initiatives</v>
      </c>
      <c r="AE2291" s="380" t="str">
        <f>VLOOKUP($B2291,'D7 - NDB Impacted SPRF''s'!$E$6:$O$9929,7,FALSE)</f>
        <v>Dave Wichman</v>
      </c>
      <c r="AF2291" s="380" t="str">
        <f>VLOOKUP($B2291,'D7 - NDB Impacted SPRF''s'!$E$6:$O$9929,6,FALSE)</f>
        <v>Brent Graham</v>
      </c>
      <c r="AG2291" s="282"/>
      <c r="AH2291" s="311" t="e">
        <f>INDEX('D5 - Gatekeeper - Projects'!$A$4:$AF$1010,$AM2291, 17)</f>
        <v>#N/A</v>
      </c>
      <c r="AI2291" s="8"/>
      <c r="AJ2291" s="57"/>
      <c r="AK2291" s="105"/>
      <c r="AM2291" s="6" t="e">
        <f>MATCH(D2291,'D5 - Gatekeeper - Projects'!$C$4:$C$1010,0)</f>
        <v>#N/A</v>
      </c>
      <c r="AN2291" s="6" t="b">
        <f t="shared" si="240"/>
        <v>1</v>
      </c>
      <c r="AO2291" s="6" t="str">
        <f t="shared" si="241"/>
        <v>OK</v>
      </c>
      <c r="AQ2291" s="6" t="e">
        <f>MATCH($D2291,'D4 - Provider Council Unsched'!$C$11:$C$234,0)</f>
        <v>#N/A</v>
      </c>
      <c r="AR2291" s="6" t="b">
        <f t="shared" si="242"/>
        <v>1</v>
      </c>
      <c r="AS2291" s="6" t="str">
        <f>IF(AND(H2291="2 - Not Scheduled",AR2291=TRUE),"Add","OK")</f>
        <v>OK</v>
      </c>
      <c r="AU2291" s="202">
        <v>40312</v>
      </c>
      <c r="AV2291" s="262"/>
      <c r="AW2291" s="274"/>
    </row>
    <row r="2292" spans="1:49" s="13" customFormat="1" ht="45" x14ac:dyDescent="0.2">
      <c r="A2292" s="14">
        <v>2268</v>
      </c>
      <c r="B2292" s="14">
        <v>400033842</v>
      </c>
      <c r="C2292" s="8" t="s">
        <v>5197</v>
      </c>
      <c r="D2292" s="4" t="str">
        <f t="shared" si="245"/>
        <v>400033842R1</v>
      </c>
      <c r="E2292" s="309" t="str">
        <f>VLOOKUP($B2292,'D7 - NDB Impacted SPRF''s'!$E$6:$O$9929,2,FALSE)</f>
        <v>PDR - Pulse-URV Pricing via GGMAP (Analysis Only)</v>
      </c>
      <c r="F2292" s="8" t="s">
        <v>5595</v>
      </c>
      <c r="G2292" s="8" t="s">
        <v>4758</v>
      </c>
      <c r="H2292" s="8" t="s">
        <v>2870</v>
      </c>
      <c r="I2292" s="20">
        <v>1.37</v>
      </c>
      <c r="J2292" s="8" t="s">
        <v>4862</v>
      </c>
      <c r="K2292" s="182">
        <v>40404</v>
      </c>
      <c r="L2292" s="8" t="s">
        <v>4156</v>
      </c>
      <c r="M2292" s="8" t="s">
        <v>6688</v>
      </c>
      <c r="N2292" s="38" t="s">
        <v>6447</v>
      </c>
      <c r="O2292" s="8"/>
      <c r="P2292" s="4" t="str">
        <f>VLOOKUP($B2292,'D7 - NDB Impacted SPRF''s'!$E$16:$O$9929,9,FALSE)</f>
        <v>N</v>
      </c>
      <c r="Q2292" s="4" t="str">
        <f>VLOOKUP($B2292,'D7 - NDB Impacted SPRF''s'!$E$16:$O$9929,10,FALSE)</f>
        <v>N</v>
      </c>
      <c r="R2292" s="4" t="str">
        <f>VLOOKUP($B2292,'D7 - NDB Impacted SPRF''s'!$E$16:$O$9929,11,FALSE)</f>
        <v>Y</v>
      </c>
      <c r="S2292" s="8"/>
      <c r="T2292" s="310"/>
      <c r="U2292" s="310"/>
      <c r="V2292" s="4"/>
      <c r="W2292" s="4"/>
      <c r="X2292" s="4"/>
      <c r="Y2292" s="4"/>
      <c r="Z2292" s="4"/>
      <c r="AA2292" s="4"/>
      <c r="AB2292" s="380" t="str">
        <f>VLOOKUP($B2292,'D7 - NDB Impacted SPRF''s'!$E$6:$O$9929,4,FALSE)</f>
        <v>Cancelled</v>
      </c>
      <c r="AC2292" s="380" t="str">
        <f>VLOOKUP($B2292,'D7 - NDB Impacted SPRF''s'!$E$6:$O$9929,3,FALSE)</f>
        <v>UHG IT - Enterprise Technology Services</v>
      </c>
      <c r="AD2292" s="380" t="str">
        <f>VLOOKUP($B2292,'D7 - NDB Impacted SPRF''s'!$E$6:$O$9929,5,FALSE)</f>
        <v>Strategic Initiatives</v>
      </c>
      <c r="AE2292" s="380" t="str">
        <f>VLOOKUP($B2292,'D7 - NDB Impacted SPRF''s'!$E$6:$O$9929,7,FALSE)</f>
        <v>Dave Wichman</v>
      </c>
      <c r="AF2292" s="380" t="str">
        <f>VLOOKUP($B2292,'D7 - NDB Impacted SPRF''s'!$E$6:$O$9929,6,FALSE)</f>
        <v>Brent Graham</v>
      </c>
      <c r="AG2292" s="282"/>
      <c r="AH2292" s="311" t="e">
        <f>INDEX('D5 - Gatekeeper - Projects'!$A$4:$AF$1010,$AM2292, 17)</f>
        <v>#N/A</v>
      </c>
      <c r="AI2292" s="8"/>
      <c r="AJ2292" s="57"/>
      <c r="AK2292" s="105"/>
      <c r="AM2292" s="6" t="e">
        <f>MATCH(D2292,'D5 - Gatekeeper - Projects'!$C$4:$C$1010,0)</f>
        <v>#N/A</v>
      </c>
      <c r="AN2292" s="6" t="b">
        <f t="shared" si="240"/>
        <v>1</v>
      </c>
      <c r="AO2292" s="6" t="str">
        <f t="shared" si="241"/>
        <v>OK</v>
      </c>
      <c r="AQ2292" s="6" t="e">
        <f>MATCH($D2292,'D4 - Provider Council Unsched'!$C$11:$C$234,0)</f>
        <v>#N/A</v>
      </c>
      <c r="AR2292" s="6" t="b">
        <f t="shared" si="242"/>
        <v>1</v>
      </c>
      <c r="AS2292" s="6" t="str">
        <f>IF(AND(H2292="2 - Not Scheduled",AR2292=TRUE),"Add","OK")</f>
        <v>OK</v>
      </c>
      <c r="AU2292" s="202"/>
      <c r="AV2292" s="262"/>
      <c r="AW2292" s="274"/>
    </row>
    <row r="2293" spans="1:49" s="13" customFormat="1" ht="33.75" x14ac:dyDescent="0.2">
      <c r="A2293" s="14">
        <v>2269</v>
      </c>
      <c r="B2293" s="14">
        <v>400033448</v>
      </c>
      <c r="C2293" s="8" t="s">
        <v>5197</v>
      </c>
      <c r="D2293" s="4" t="str">
        <f t="shared" si="245"/>
        <v>400033448R1</v>
      </c>
      <c r="E2293" s="309" t="str">
        <f>VLOOKUP($B2293,'D7 - NDB Impacted SPRF''s'!$E$6:$O$9929,2,FALSE)</f>
        <v>Member Portal Migration to NCP - mymedica</v>
      </c>
      <c r="F2293" s="8"/>
      <c r="G2293" s="8" t="s">
        <v>4758</v>
      </c>
      <c r="H2293" s="8" t="s">
        <v>2870</v>
      </c>
      <c r="I2293" s="20">
        <v>1.07</v>
      </c>
      <c r="J2293" s="8" t="s">
        <v>4862</v>
      </c>
      <c r="K2293" s="182">
        <v>40446</v>
      </c>
      <c r="L2293" s="8" t="s">
        <v>4156</v>
      </c>
      <c r="M2293" s="8" t="s">
        <v>5626</v>
      </c>
      <c r="N2293" s="38"/>
      <c r="O2293" s="8"/>
      <c r="P2293" s="4" t="str">
        <f>VLOOKUP($B2293,'D7 - NDB Impacted SPRF''s'!$E$16:$O$9929,9,FALSE)</f>
        <v>Y</v>
      </c>
      <c r="Q2293" s="4" t="str">
        <f>VLOOKUP($B2293,'D7 - NDB Impacted SPRF''s'!$E$16:$O$9929,10,FALSE)</f>
        <v>N</v>
      </c>
      <c r="R2293" s="4" t="str">
        <f>VLOOKUP($B2293,'D7 - NDB Impacted SPRF''s'!$E$16:$O$9929,11,FALSE)</f>
        <v>N</v>
      </c>
      <c r="S2293" s="8"/>
      <c r="T2293" s="310"/>
      <c r="U2293" s="310"/>
      <c r="V2293" s="4"/>
      <c r="W2293" s="4"/>
      <c r="X2293" s="4"/>
      <c r="Y2293" s="4"/>
      <c r="Z2293" s="4"/>
      <c r="AA2293" s="4"/>
      <c r="AB2293" s="380" t="str">
        <f>VLOOKUP($B2293,'D7 - NDB Impacted SPRF''s'!$E$6:$O$9929,4,FALSE)</f>
        <v>Completed</v>
      </c>
      <c r="AC2293" s="380" t="str">
        <f>VLOOKUP($B2293,'D7 - NDB Impacted SPRF''s'!$E$6:$O$9929,3,FALSE)</f>
        <v>UnitedHealthcare Employer &amp; Individual</v>
      </c>
      <c r="AD2293" s="380" t="str">
        <f>VLOOKUP($B2293,'D7 - NDB Impacted SPRF''s'!$E$6:$O$9929,5,FALSE)</f>
        <v>Integration Requirements</v>
      </c>
      <c r="AE2293" s="380" t="str">
        <f>VLOOKUP($B2293,'D7 - NDB Impacted SPRF''s'!$E$6:$O$9929,7,FALSE)</f>
        <v>Diane Schofield</v>
      </c>
      <c r="AF2293" s="380" t="str">
        <f>VLOOKUP($B2293,'D7 - NDB Impacted SPRF''s'!$E$6:$O$9929,6,FALSE)</f>
        <v>Cathy Hanson</v>
      </c>
      <c r="AG2293" s="282"/>
      <c r="AH2293" s="311" t="e">
        <f>INDEX('D5 - Gatekeeper - Projects'!$A$4:$AF$1010,$AM2293, 17)</f>
        <v>#N/A</v>
      </c>
      <c r="AI2293" s="8"/>
      <c r="AJ2293" s="57"/>
      <c r="AK2293" s="105"/>
      <c r="AM2293" s="6" t="e">
        <f>MATCH(D2293,'D5 - Gatekeeper - Projects'!$C$4:$C$1010,0)</f>
        <v>#N/A</v>
      </c>
      <c r="AN2293" s="6" t="b">
        <f t="shared" si="240"/>
        <v>1</v>
      </c>
      <c r="AO2293" s="6" t="str">
        <f t="shared" si="241"/>
        <v>OK</v>
      </c>
      <c r="AQ2293" s="6" t="e">
        <f>MATCH($D2293,'D4 - Provider Council Unsched'!$C$11:$C$234,0)</f>
        <v>#N/A</v>
      </c>
      <c r="AR2293" s="6" t="b">
        <f t="shared" si="242"/>
        <v>1</v>
      </c>
      <c r="AS2293" s="6" t="str">
        <f t="shared" ref="AS2293:AS2298" si="246">IF(AND(H2293="2 - Not Scheduled",AR2293=TRUE,C2293="R1"),"Add","OK")</f>
        <v>OK</v>
      </c>
      <c r="AU2293" s="202">
        <v>40276</v>
      </c>
      <c r="AV2293" s="262"/>
      <c r="AW2293" s="274"/>
    </row>
    <row r="2294" spans="1:49" s="13" customFormat="1" ht="67.5" x14ac:dyDescent="0.2">
      <c r="A2294" s="14">
        <v>2270</v>
      </c>
      <c r="B2294" s="14">
        <v>400030838</v>
      </c>
      <c r="C2294" s="8" t="s">
        <v>3763</v>
      </c>
      <c r="D2294" s="4" t="str">
        <f t="shared" si="245"/>
        <v>400030838R2</v>
      </c>
      <c r="E2294" s="309" t="str">
        <f>VLOOKUP($B2294,'D7 - NDB Impacted SPRF''s'!$E$6:$O$9929,2,FALSE)</f>
        <v>Add Organization Type to NDB call</v>
      </c>
      <c r="F2294" s="8" t="s">
        <v>2114</v>
      </c>
      <c r="G2294" s="8" t="s">
        <v>4758</v>
      </c>
      <c r="H2294" s="8" t="s">
        <v>2870</v>
      </c>
      <c r="I2294" s="20">
        <v>1</v>
      </c>
      <c r="J2294" s="8" t="s">
        <v>4862</v>
      </c>
      <c r="K2294" s="182">
        <v>40495</v>
      </c>
      <c r="L2294" s="8" t="s">
        <v>4156</v>
      </c>
      <c r="M2294" s="8" t="s">
        <v>2814</v>
      </c>
      <c r="N2294" s="38" t="s">
        <v>5741</v>
      </c>
      <c r="O2294" s="8"/>
      <c r="P2294" s="4" t="str">
        <f>VLOOKUP($B2294,'D7 - NDB Impacted SPRF''s'!$E$16:$O$9929,9,FALSE)</f>
        <v>N</v>
      </c>
      <c r="Q2294" s="4" t="str">
        <f>VLOOKUP($B2294,'D7 - NDB Impacted SPRF''s'!$E$16:$O$9929,10,FALSE)</f>
        <v>N</v>
      </c>
      <c r="R2294" s="4" t="str">
        <f>VLOOKUP($B2294,'D7 - NDB Impacted SPRF''s'!$E$16:$O$9929,11,FALSE)</f>
        <v>N</v>
      </c>
      <c r="S2294" s="8"/>
      <c r="T2294" s="310"/>
      <c r="U2294" s="310"/>
      <c r="V2294" s="4"/>
      <c r="W2294" s="4"/>
      <c r="X2294" s="4"/>
      <c r="Y2294" s="4"/>
      <c r="Z2294" s="4"/>
      <c r="AA2294" s="4"/>
      <c r="AB2294" s="380" t="str">
        <f>VLOOKUP($B2294,'D7 - NDB Impacted SPRF''s'!$E$6:$O$9929,4,FALSE)</f>
        <v>Completed</v>
      </c>
      <c r="AC2294" s="380" t="str">
        <f>VLOOKUP($B2294,'D7 - NDB Impacted SPRF''s'!$E$6:$O$9929,3,FALSE)</f>
        <v>OptumHealth</v>
      </c>
      <c r="AD2294" s="380" t="str">
        <f>VLOOKUP($B2294,'D7 - NDB Impacted SPRF''s'!$E$6:$O$9929,5,FALSE)</f>
        <v>Behavioral Solutions</v>
      </c>
      <c r="AE2294" s="380" t="str">
        <f>VLOOKUP($B2294,'D7 - NDB Impacted SPRF''s'!$E$6:$O$9929,7,FALSE)</f>
        <v>Bob Preston</v>
      </c>
      <c r="AF2294" s="380" t="str">
        <f>VLOOKUP($B2294,'D7 - NDB Impacted SPRF''s'!$E$6:$O$9929,6,FALSE)</f>
        <v>LAUREN HANOVER</v>
      </c>
      <c r="AG2294" s="282"/>
      <c r="AH2294" s="311" t="e">
        <f>INDEX('D5 - Gatekeeper - Projects'!$A$4:$AF$1010,$AM2294, 17)</f>
        <v>#N/A</v>
      </c>
      <c r="AI2294" s="8"/>
      <c r="AJ2294" s="57"/>
      <c r="AK2294" s="57"/>
      <c r="AM2294" s="6" t="e">
        <f>MATCH(D2294,'D5 - Gatekeeper - Projects'!$C$4:$C$1010,0)</f>
        <v>#N/A</v>
      </c>
      <c r="AN2294" s="6" t="b">
        <f t="shared" si="240"/>
        <v>1</v>
      </c>
      <c r="AO2294" s="6" t="str">
        <f t="shared" si="241"/>
        <v>OK</v>
      </c>
      <c r="AQ2294" s="6" t="e">
        <f>MATCH($D2294,'D4 - Provider Council Unsched'!$C$11:$C$234,0)</f>
        <v>#N/A</v>
      </c>
      <c r="AR2294" s="6" t="b">
        <f t="shared" si="242"/>
        <v>1</v>
      </c>
      <c r="AS2294" s="6" t="str">
        <f t="shared" si="246"/>
        <v>OK</v>
      </c>
      <c r="AU2294" s="202">
        <v>40406</v>
      </c>
      <c r="AV2294" s="262"/>
      <c r="AW2294" s="274"/>
    </row>
    <row r="2295" spans="1:49" s="13" customFormat="1" ht="33.75" x14ac:dyDescent="0.2">
      <c r="A2295" s="14">
        <v>2271</v>
      </c>
      <c r="B2295" s="14">
        <v>400032790</v>
      </c>
      <c r="C2295" s="8" t="s">
        <v>3763</v>
      </c>
      <c r="D2295" s="4" t="str">
        <f t="shared" si="245"/>
        <v>400032790R2</v>
      </c>
      <c r="E2295" s="309" t="str">
        <f>VLOOKUP($B2295,'D7 - NDB Impacted SPRF''s'!$E$6:$O$9929,2,FALSE)</f>
        <v>Ovations Provider Pick Improvements</v>
      </c>
      <c r="F2295" s="8" t="s">
        <v>3925</v>
      </c>
      <c r="G2295" s="8" t="s">
        <v>4758</v>
      </c>
      <c r="H2295" s="8" t="s">
        <v>2870</v>
      </c>
      <c r="I2295" s="20">
        <v>4.7699999999999996</v>
      </c>
      <c r="J2295" s="8" t="s">
        <v>4862</v>
      </c>
      <c r="K2295" s="182">
        <v>40495</v>
      </c>
      <c r="L2295" s="8" t="s">
        <v>4156</v>
      </c>
      <c r="M2295" s="8" t="s">
        <v>2814</v>
      </c>
      <c r="N2295" s="38"/>
      <c r="O2295" s="8"/>
      <c r="P2295" s="4" t="str">
        <f>VLOOKUP($B2295,'D7 - NDB Impacted SPRF''s'!$E$16:$O$9929,9,FALSE)</f>
        <v>N</v>
      </c>
      <c r="Q2295" s="4" t="str">
        <f>VLOOKUP($B2295,'D7 - NDB Impacted SPRF''s'!$E$16:$O$9929,10,FALSE)</f>
        <v>N</v>
      </c>
      <c r="R2295" s="4" t="str">
        <f>VLOOKUP($B2295,'D7 - NDB Impacted SPRF''s'!$E$16:$O$9929,11,FALSE)</f>
        <v>N</v>
      </c>
      <c r="S2295" s="8"/>
      <c r="T2295" s="310"/>
      <c r="U2295" s="310"/>
      <c r="V2295" s="4"/>
      <c r="W2295" s="4"/>
      <c r="X2295" s="4"/>
      <c r="Y2295" s="4"/>
      <c r="Z2295" s="4"/>
      <c r="AA2295" s="4"/>
      <c r="AB2295" s="380" t="str">
        <f>VLOOKUP($B2295,'D7 - NDB Impacted SPRF''s'!$E$6:$O$9929,4,FALSE)</f>
        <v>Completed</v>
      </c>
      <c r="AC2295" s="380" t="str">
        <f>VLOOKUP($B2295,'D7 - NDB Impacted SPRF''s'!$E$6:$O$9929,3,FALSE)</f>
        <v>UnitedHealthcare Medicare &amp; Retirement</v>
      </c>
      <c r="AD2295" s="380" t="str">
        <f>VLOOKUP($B2295,'D7 - NDB Impacted SPRF''s'!$E$6:$O$9929,5,FALSE)</f>
        <v>Process Improvement</v>
      </c>
      <c r="AE2295" s="380" t="str">
        <f>VLOOKUP($B2295,'D7 - NDB Impacted SPRF''s'!$E$6:$O$9929,7,FALSE)</f>
        <v>Kelly Gilberston</v>
      </c>
      <c r="AF2295" s="380" t="str">
        <f>VLOOKUP($B2295,'D7 - NDB Impacted SPRF''s'!$E$6:$O$9929,6,FALSE)</f>
        <v>Brian Schimke</v>
      </c>
      <c r="AG2295" s="282"/>
      <c r="AH2295" s="311" t="e">
        <f>INDEX('D5 - Gatekeeper - Projects'!$A$4:$AF$1010,$AM2295, 17)</f>
        <v>#N/A</v>
      </c>
      <c r="AI2295" s="8"/>
      <c r="AJ2295" s="57"/>
      <c r="AK2295" s="105"/>
      <c r="AM2295" s="6" t="e">
        <f>MATCH(D2295,'D5 - Gatekeeper - Projects'!$C$4:$C$1010,0)</f>
        <v>#N/A</v>
      </c>
      <c r="AN2295" s="6" t="b">
        <f t="shared" si="240"/>
        <v>1</v>
      </c>
      <c r="AO2295" s="6" t="str">
        <f t="shared" si="241"/>
        <v>OK</v>
      </c>
      <c r="AQ2295" s="6" t="e">
        <f>MATCH($D2295,'D4 - Provider Council Unsched'!$C$11:$C$234,0)</f>
        <v>#N/A</v>
      </c>
      <c r="AR2295" s="6" t="b">
        <f t="shared" si="242"/>
        <v>1</v>
      </c>
      <c r="AS2295" s="6" t="str">
        <f t="shared" si="246"/>
        <v>OK</v>
      </c>
      <c r="AU2295" s="202"/>
      <c r="AV2295" s="262"/>
      <c r="AW2295" s="274"/>
    </row>
    <row r="2296" spans="1:49" s="13" customFormat="1" ht="33.75" x14ac:dyDescent="0.2">
      <c r="A2296" s="14">
        <v>2272</v>
      </c>
      <c r="B2296" s="14">
        <v>400033126</v>
      </c>
      <c r="C2296" s="8" t="s">
        <v>5197</v>
      </c>
      <c r="D2296" s="4" t="str">
        <f t="shared" si="245"/>
        <v>400033126R1</v>
      </c>
      <c r="E2296" s="309" t="str">
        <f>VLOOKUP($B2296,'D7 - NDB Impacted SPRF''s'!$E$6:$O$9929,2,FALSE)</f>
        <v>HIPAA 5010-UHC-837D Dental Claims</v>
      </c>
      <c r="F2296" s="8" t="s">
        <v>1595</v>
      </c>
      <c r="G2296" s="8" t="s">
        <v>4758</v>
      </c>
      <c r="H2296" s="8" t="s">
        <v>2870</v>
      </c>
      <c r="I2296" s="20">
        <v>8.0500000000000007</v>
      </c>
      <c r="J2296" s="8" t="s">
        <v>4862</v>
      </c>
      <c r="K2296" s="182">
        <v>40495</v>
      </c>
      <c r="L2296" s="8" t="s">
        <v>4156</v>
      </c>
      <c r="M2296" s="8" t="s">
        <v>5626</v>
      </c>
      <c r="N2296" s="38" t="s">
        <v>5552</v>
      </c>
      <c r="O2296" s="8"/>
      <c r="P2296" s="4" t="str">
        <f>VLOOKUP($B2296,'D7 - NDB Impacted SPRF''s'!$E$16:$O$9929,9,FALSE)</f>
        <v>N</v>
      </c>
      <c r="Q2296" s="4" t="str">
        <f>VLOOKUP($B2296,'D7 - NDB Impacted SPRF''s'!$E$16:$O$9929,10,FALSE)</f>
        <v>N</v>
      </c>
      <c r="R2296" s="4" t="str">
        <f>VLOOKUP($B2296,'D7 - NDB Impacted SPRF''s'!$E$16:$O$9929,11,FALSE)</f>
        <v>Y</v>
      </c>
      <c r="S2296" s="8"/>
      <c r="T2296" s="310"/>
      <c r="U2296" s="310"/>
      <c r="V2296" s="4"/>
      <c r="W2296" s="4"/>
      <c r="X2296" s="4"/>
      <c r="Y2296" s="4"/>
      <c r="Z2296" s="4"/>
      <c r="AA2296" s="4"/>
      <c r="AB2296" s="380" t="str">
        <f>VLOOKUP($B2296,'D7 - NDB Impacted SPRF''s'!$E$6:$O$9929,4,FALSE)</f>
        <v>Completed</v>
      </c>
      <c r="AC2296" s="380" t="str">
        <f>VLOOKUP($B2296,'D7 - NDB Impacted SPRF''s'!$E$6:$O$9929,3,FALSE)</f>
        <v>UnitedHealthcare Employer &amp; Individual</v>
      </c>
      <c r="AD2296" s="380" t="str">
        <f>VLOOKUP($B2296,'D7 - NDB Impacted SPRF''s'!$E$6:$O$9929,5,FALSE)</f>
        <v>HIPAA 5010</v>
      </c>
      <c r="AE2296" s="380" t="str">
        <f>VLOOKUP($B2296,'D7 - NDB Impacted SPRF''s'!$E$6:$O$9929,7,FALSE)</f>
        <v>Tim Kaja</v>
      </c>
      <c r="AF2296" s="380" t="str">
        <f>VLOOKUP($B2296,'D7 - NDB Impacted SPRF''s'!$E$6:$O$9929,6,FALSE)</f>
        <v>Delvis Schilling</v>
      </c>
      <c r="AG2296" s="282"/>
      <c r="AH2296" s="311" t="e">
        <f>INDEX('D5 - Gatekeeper - Projects'!$A$4:$AF$1010,$AM2296, 17)</f>
        <v>#N/A</v>
      </c>
      <c r="AI2296" s="8"/>
      <c r="AJ2296" s="57"/>
      <c r="AK2296" s="105"/>
      <c r="AM2296" s="6" t="e">
        <f>MATCH(D2296,'D5 - Gatekeeper - Projects'!$C$4:$C$1010,0)</f>
        <v>#N/A</v>
      </c>
      <c r="AN2296" s="6" t="b">
        <f t="shared" si="240"/>
        <v>1</v>
      </c>
      <c r="AO2296" s="6" t="str">
        <f t="shared" si="241"/>
        <v>OK</v>
      </c>
      <c r="AQ2296" s="6" t="e">
        <f>MATCH($D2296,'D4 - Provider Council Unsched'!$C$11:$C$234,0)</f>
        <v>#N/A</v>
      </c>
      <c r="AR2296" s="6" t="b">
        <f t="shared" si="242"/>
        <v>1</v>
      </c>
      <c r="AS2296" s="6" t="str">
        <f t="shared" si="246"/>
        <v>OK</v>
      </c>
      <c r="AU2296" s="202"/>
      <c r="AV2296" s="262"/>
      <c r="AW2296" s="274"/>
    </row>
    <row r="2297" spans="1:49" s="13" customFormat="1" ht="33.75" x14ac:dyDescent="0.2">
      <c r="A2297" s="14">
        <v>2273</v>
      </c>
      <c r="B2297" s="14">
        <v>400037069</v>
      </c>
      <c r="C2297" s="8" t="s">
        <v>4465</v>
      </c>
      <c r="D2297" s="4" t="str">
        <f t="shared" si="245"/>
        <v>400037069U2</v>
      </c>
      <c r="E2297" s="309" t="str">
        <f>VLOOKUP($B2297,'D7 - NDB Impacted SPRF''s'!$E$6:$O$9929,2,FALSE)</f>
        <v>New Super User Roles for HP</v>
      </c>
      <c r="F2297" s="8"/>
      <c r="G2297" s="8" t="s">
        <v>4758</v>
      </c>
      <c r="H2297" s="8" t="s">
        <v>2870</v>
      </c>
      <c r="I2297" s="20">
        <v>0.48666666666666669</v>
      </c>
      <c r="J2297" s="8" t="s">
        <v>4862</v>
      </c>
      <c r="K2297" s="182">
        <v>40495</v>
      </c>
      <c r="L2297" s="8" t="s">
        <v>4156</v>
      </c>
      <c r="M2297" s="8" t="s">
        <v>6007</v>
      </c>
      <c r="N2297" s="38"/>
      <c r="O2297" s="8"/>
      <c r="P2297" s="4" t="str">
        <f>VLOOKUP($B2297,'D7 - NDB Impacted SPRF''s'!$E$16:$O$9929,9,FALSE)</f>
        <v>N</v>
      </c>
      <c r="Q2297" s="4" t="str">
        <f>VLOOKUP($B2297,'D7 - NDB Impacted SPRF''s'!$E$16:$O$9929,10,FALSE)</f>
        <v>N</v>
      </c>
      <c r="R2297" s="4" t="str">
        <f>VLOOKUP($B2297,'D7 - NDB Impacted SPRF''s'!$E$16:$O$9929,11,FALSE)</f>
        <v>N</v>
      </c>
      <c r="S2297" s="8"/>
      <c r="T2297" s="310"/>
      <c r="U2297" s="310"/>
      <c r="V2297" s="4"/>
      <c r="W2297" s="4"/>
      <c r="X2297" s="4"/>
      <c r="Y2297" s="4"/>
      <c r="Z2297" s="4"/>
      <c r="AA2297" s="4"/>
      <c r="AB2297" s="380" t="str">
        <f>VLOOKUP($B2297,'D7 - NDB Impacted SPRF''s'!$E$6:$O$9929,4,FALSE)</f>
        <v>Completed</v>
      </c>
      <c r="AC2297" s="380" t="str">
        <f>VLOOKUP($B2297,'D7 - NDB Impacted SPRF''s'!$E$6:$O$9929,3,FALSE)</f>
        <v>UnitedHealthcare Employer &amp; Individual</v>
      </c>
      <c r="AD2297" s="380" t="str">
        <f>VLOOKUP($B2297,'D7 - NDB Impacted SPRF''s'!$E$6:$O$9929,5,FALSE)</f>
        <v>HCA - Medica Operational Support</v>
      </c>
      <c r="AE2297" s="380" t="str">
        <f>VLOOKUP($B2297,'D7 - NDB Impacted SPRF''s'!$E$6:$O$9929,7,FALSE)</f>
        <v>Linda Dooley</v>
      </c>
      <c r="AF2297" s="380" t="str">
        <f>VLOOKUP($B2297,'D7 - NDB Impacted SPRF''s'!$E$6:$O$9929,6,FALSE)</f>
        <v>GILDA BURFEIND</v>
      </c>
      <c r="AG2297" s="282"/>
      <c r="AH2297" s="311" t="e">
        <f>INDEX('D5 - Gatekeeper - Projects'!$A$4:$AF$1010,$AM2297, 17)</f>
        <v>#N/A</v>
      </c>
      <c r="AI2297" s="8"/>
      <c r="AJ2297" s="57"/>
      <c r="AK2297" s="105"/>
      <c r="AM2297" s="6" t="e">
        <f>MATCH(D2297,'D5 - Gatekeeper - Projects'!$C$4:$C$1010,0)</f>
        <v>#N/A</v>
      </c>
      <c r="AN2297" s="6" t="b">
        <f t="shared" si="240"/>
        <v>1</v>
      </c>
      <c r="AO2297" s="6" t="str">
        <f t="shared" si="241"/>
        <v>OK</v>
      </c>
      <c r="AQ2297" s="6" t="e">
        <f>MATCH($D2297,'D4 - Provider Council Unsched'!$C$11:$C$234,0)</f>
        <v>#N/A</v>
      </c>
      <c r="AR2297" s="6" t="b">
        <f t="shared" si="242"/>
        <v>1</v>
      </c>
      <c r="AS2297" s="6" t="str">
        <f t="shared" si="246"/>
        <v>OK</v>
      </c>
      <c r="AU2297" s="202"/>
      <c r="AV2297" s="262"/>
      <c r="AW2297" s="274"/>
    </row>
    <row r="2298" spans="1:49" s="13" customFormat="1" ht="33.75" x14ac:dyDescent="0.2">
      <c r="A2298" s="14">
        <v>2274</v>
      </c>
      <c r="B2298" s="14">
        <v>400037965</v>
      </c>
      <c r="C2298" s="8" t="s">
        <v>5197</v>
      </c>
      <c r="D2298" s="4" t="str">
        <f t="shared" si="245"/>
        <v>400037965R1</v>
      </c>
      <c r="E2298" s="309" t="str">
        <f>VLOOKUP($B2298,'D7 - NDB Impacted SPRF''s'!$E$6:$O$9929,2,FALSE)</f>
        <v xml:space="preserve">Enable Notifications for Unison PA on UHC Online </v>
      </c>
      <c r="F2298" s="8"/>
      <c r="G2298" s="8" t="s">
        <v>4758</v>
      </c>
      <c r="H2298" s="8" t="s">
        <v>2870</v>
      </c>
      <c r="I2298" s="20">
        <v>1.07</v>
      </c>
      <c r="J2298" s="8" t="s">
        <v>4862</v>
      </c>
      <c r="K2298" s="182">
        <v>40495</v>
      </c>
      <c r="L2298" s="8" t="s">
        <v>4156</v>
      </c>
      <c r="M2298" s="8" t="s">
        <v>5626</v>
      </c>
      <c r="N2298" s="38" t="s">
        <v>7096</v>
      </c>
      <c r="O2298" s="8"/>
      <c r="P2298" s="4" t="str">
        <f>VLOOKUP($B2298,'D7 - NDB Impacted SPRF''s'!$E$16:$O$9929,9,FALSE)</f>
        <v>N</v>
      </c>
      <c r="Q2298" s="4" t="str">
        <f>VLOOKUP($B2298,'D7 - NDB Impacted SPRF''s'!$E$16:$O$9929,10,FALSE)</f>
        <v>N</v>
      </c>
      <c r="R2298" s="4" t="str">
        <f>VLOOKUP($B2298,'D7 - NDB Impacted SPRF''s'!$E$16:$O$9929,11,FALSE)</f>
        <v>N</v>
      </c>
      <c r="S2298" s="8"/>
      <c r="T2298" s="310"/>
      <c r="U2298" s="310"/>
      <c r="V2298" s="4"/>
      <c r="W2298" s="4"/>
      <c r="X2298" s="4"/>
      <c r="Y2298" s="4"/>
      <c r="Z2298" s="4"/>
      <c r="AA2298" s="4"/>
      <c r="AB2298" s="380" t="str">
        <f>VLOOKUP($B2298,'D7 - NDB Impacted SPRF''s'!$E$6:$O$9929,4,FALSE)</f>
        <v>Cancelled</v>
      </c>
      <c r="AC2298" s="380" t="str">
        <f>VLOOKUP($B2298,'D7 - NDB Impacted SPRF''s'!$E$6:$O$9929,3,FALSE)</f>
        <v>UnitedHealthcare Medicare &amp; Retirement</v>
      </c>
      <c r="AD2298" s="380" t="str">
        <f>VLOOKUP($B2298,'D7 - NDB Impacted SPRF''s'!$E$6:$O$9929,5,FALSE)</f>
        <v>Enterprise Clinical</v>
      </c>
      <c r="AE2298" s="380" t="str">
        <f>VLOOKUP($B2298,'D7 - NDB Impacted SPRF''s'!$E$6:$O$9929,7,FALSE)</f>
        <v>Cindi Middaugh</v>
      </c>
      <c r="AF2298" s="380" t="str">
        <f>VLOOKUP($B2298,'D7 - NDB Impacted SPRF''s'!$E$6:$O$9929,6,FALSE)</f>
        <v>CHRISTINA MOSHER</v>
      </c>
      <c r="AG2298" s="282"/>
      <c r="AH2298" s="311" t="e">
        <f>INDEX('D5 - Gatekeeper - Projects'!$A$4:$AF$1010,$AM2298, 17)</f>
        <v>#N/A</v>
      </c>
      <c r="AI2298" s="8"/>
      <c r="AJ2298" s="57"/>
      <c r="AK2298" s="105"/>
      <c r="AM2298" s="6" t="e">
        <f>MATCH(D2298,'D5 - Gatekeeper - Projects'!$C$4:$C$1010,0)</f>
        <v>#N/A</v>
      </c>
      <c r="AN2298" s="6" t="b">
        <f t="shared" si="240"/>
        <v>1</v>
      </c>
      <c r="AO2298" s="6" t="str">
        <f t="shared" si="241"/>
        <v>OK</v>
      </c>
      <c r="AQ2298" s="6" t="e">
        <f>MATCH($D2298,'D4 - Provider Council Unsched'!$C$11:$C$234,0)</f>
        <v>#N/A</v>
      </c>
      <c r="AR2298" s="6" t="b">
        <f t="shared" si="242"/>
        <v>1</v>
      </c>
      <c r="AS2298" s="6" t="str">
        <f t="shared" si="246"/>
        <v>OK</v>
      </c>
      <c r="AU2298" s="202">
        <v>40413</v>
      </c>
      <c r="AV2298" s="262"/>
      <c r="AW2298" s="274"/>
    </row>
    <row r="2299" spans="1:49" s="13" customFormat="1" ht="45" x14ac:dyDescent="0.2">
      <c r="A2299" s="14">
        <v>2275</v>
      </c>
      <c r="B2299" s="14">
        <v>400033841</v>
      </c>
      <c r="C2299" s="8" t="s">
        <v>5197</v>
      </c>
      <c r="D2299" s="4" t="str">
        <f t="shared" si="245"/>
        <v>400033841R1</v>
      </c>
      <c r="E2299" s="309" t="str">
        <f>VLOOKUP($B2299,'D7 - NDB Impacted SPRF''s'!$E$6:$O$9929,2,FALSE)</f>
        <v>PDR - Pulse-URV Data Load to NDB</v>
      </c>
      <c r="F2299" s="8" t="s">
        <v>5595</v>
      </c>
      <c r="G2299" s="8" t="s">
        <v>4758</v>
      </c>
      <c r="H2299" s="8" t="s">
        <v>2870</v>
      </c>
      <c r="I2299" s="20">
        <v>6.89</v>
      </c>
      <c r="J2299" s="8" t="s">
        <v>4862</v>
      </c>
      <c r="K2299" s="182">
        <v>40586</v>
      </c>
      <c r="L2299" s="8" t="s">
        <v>4156</v>
      </c>
      <c r="M2299" s="8" t="s">
        <v>2814</v>
      </c>
      <c r="N2299" s="38"/>
      <c r="O2299" s="8"/>
      <c r="P2299" s="4" t="str">
        <f>VLOOKUP($B2299,'D7 - NDB Impacted SPRF''s'!$E$16:$O$9929,9,FALSE)</f>
        <v>N</v>
      </c>
      <c r="Q2299" s="4" t="str">
        <f>VLOOKUP($B2299,'D7 - NDB Impacted SPRF''s'!$E$16:$O$9929,10,FALSE)</f>
        <v>N</v>
      </c>
      <c r="R2299" s="4" t="str">
        <f>VLOOKUP($B2299,'D7 - NDB Impacted SPRF''s'!$E$16:$O$9929,11,FALSE)</f>
        <v>N</v>
      </c>
      <c r="S2299" s="8"/>
      <c r="T2299" s="310"/>
      <c r="U2299" s="310"/>
      <c r="V2299" s="4"/>
      <c r="W2299" s="4"/>
      <c r="X2299" s="4"/>
      <c r="Y2299" s="4"/>
      <c r="Z2299" s="4"/>
      <c r="AA2299" s="4"/>
      <c r="AB2299" s="380" t="str">
        <f>VLOOKUP($B2299,'D7 - NDB Impacted SPRF''s'!$E$6:$O$9929,4,FALSE)</f>
        <v>Completed</v>
      </c>
      <c r="AC2299" s="380" t="str">
        <f>VLOOKUP($B2299,'D7 - NDB Impacted SPRF''s'!$E$6:$O$9929,3,FALSE)</f>
        <v>UHG IT - Enterprise Technology Services</v>
      </c>
      <c r="AD2299" s="380" t="str">
        <f>VLOOKUP($B2299,'D7 - NDB Impacted SPRF''s'!$E$6:$O$9929,5,FALSE)</f>
        <v>Strategic Initiatives</v>
      </c>
      <c r="AE2299" s="380" t="str">
        <f>VLOOKUP($B2299,'D7 - NDB Impacted SPRF''s'!$E$6:$O$9929,7,FALSE)</f>
        <v>Dave Wichman</v>
      </c>
      <c r="AF2299" s="380" t="str">
        <f>VLOOKUP($B2299,'D7 - NDB Impacted SPRF''s'!$E$6:$O$9929,6,FALSE)</f>
        <v>Brent Graham</v>
      </c>
      <c r="AG2299" s="282"/>
      <c r="AH2299" s="311" t="e">
        <f>INDEX('D5 - Gatekeeper - Projects'!$A$4:$AF$1010,$AM2299, 17)</f>
        <v>#N/A</v>
      </c>
      <c r="AI2299" s="8"/>
      <c r="AJ2299" s="57"/>
      <c r="AK2299" s="105"/>
      <c r="AM2299" s="6" t="e">
        <f>MATCH(D2299,'D5 - Gatekeeper - Projects'!$C$4:$C$1010,0)</f>
        <v>#N/A</v>
      </c>
      <c r="AN2299" s="6" t="b">
        <f t="shared" si="240"/>
        <v>1</v>
      </c>
      <c r="AO2299" s="6" t="str">
        <f t="shared" si="241"/>
        <v>OK</v>
      </c>
      <c r="AQ2299" s="6" t="e">
        <f>MATCH($D2299,'D4 - Provider Council Unsched'!$C$11:$C$234,0)</f>
        <v>#N/A</v>
      </c>
      <c r="AR2299" s="6" t="b">
        <f t="shared" si="242"/>
        <v>1</v>
      </c>
      <c r="AS2299" s="6" t="str">
        <f>IF(AND(H2299="2 - Not Scheduled",AR2299=TRUE),"Add","OK")</f>
        <v>OK</v>
      </c>
      <c r="AU2299" s="202"/>
      <c r="AV2299" s="262"/>
      <c r="AW2299" s="274"/>
    </row>
    <row r="2300" spans="1:49" s="13" customFormat="1" ht="33.75" x14ac:dyDescent="0.2">
      <c r="A2300" s="14">
        <v>2276</v>
      </c>
      <c r="B2300" s="14">
        <v>400034817</v>
      </c>
      <c r="C2300" s="8" t="s">
        <v>5197</v>
      </c>
      <c r="D2300" s="4" t="str">
        <f t="shared" si="245"/>
        <v>400034817R1</v>
      </c>
      <c r="E2300" s="309" t="str">
        <f>VLOOKUP($B2300,'D7 - NDB Impacted SPRF''s'!$E$6:$O$9929,2,FALSE)</f>
        <v>CSS Gap Analysis for Non-UHC Referrals</v>
      </c>
      <c r="F2300" s="8" t="s">
        <v>2114</v>
      </c>
      <c r="G2300" s="8" t="s">
        <v>4758</v>
      </c>
      <c r="H2300" s="8" t="s">
        <v>2870</v>
      </c>
      <c r="I2300" s="20">
        <v>1.37</v>
      </c>
      <c r="J2300" s="8" t="s">
        <v>4862</v>
      </c>
      <c r="K2300" s="182">
        <v>40586</v>
      </c>
      <c r="L2300" s="8" t="s">
        <v>4156</v>
      </c>
      <c r="M2300" s="8" t="s">
        <v>6688</v>
      </c>
      <c r="N2300" s="38" t="s">
        <v>5331</v>
      </c>
      <c r="O2300" s="8"/>
      <c r="P2300" s="4" t="str">
        <f>VLOOKUP($B2300,'D7 - NDB Impacted SPRF''s'!$E$16:$O$9929,9,FALSE)</f>
        <v>Y</v>
      </c>
      <c r="Q2300" s="4" t="str">
        <f>VLOOKUP($B2300,'D7 - NDB Impacted SPRF''s'!$E$16:$O$9929,10,FALSE)</f>
        <v>N</v>
      </c>
      <c r="R2300" s="4" t="str">
        <f>VLOOKUP($B2300,'D7 - NDB Impacted SPRF''s'!$E$16:$O$9929,11,FALSE)</f>
        <v>N</v>
      </c>
      <c r="S2300" s="8"/>
      <c r="T2300" s="310"/>
      <c r="U2300" s="310"/>
      <c r="V2300" s="4"/>
      <c r="W2300" s="4"/>
      <c r="X2300" s="4"/>
      <c r="Y2300" s="4"/>
      <c r="Z2300" s="4"/>
      <c r="AA2300" s="4"/>
      <c r="AB2300" s="380" t="str">
        <f>VLOOKUP($B2300,'D7 - NDB Impacted SPRF''s'!$E$6:$O$9929,4,FALSE)</f>
        <v>Cancelled</v>
      </c>
      <c r="AC2300" s="380" t="str">
        <f>VLOOKUP($B2300,'D7 - NDB Impacted SPRF''s'!$E$6:$O$9929,3,FALSE)</f>
        <v>UnitedHealthcare Medicare &amp; Retirement</v>
      </c>
      <c r="AD2300" s="380" t="str">
        <f>VLOOKUP($B2300,'D7 - NDB Impacted SPRF''s'!$E$6:$O$9929,5,FALSE)</f>
        <v>Enterprise Clinical</v>
      </c>
      <c r="AE2300" s="380" t="str">
        <f>VLOOKUP($B2300,'D7 - NDB Impacted SPRF''s'!$E$6:$O$9929,7,FALSE)</f>
        <v>Cynthia Middaugh</v>
      </c>
      <c r="AF2300" s="380" t="str">
        <f>VLOOKUP($B2300,'D7 - NDB Impacted SPRF''s'!$E$6:$O$9929,6,FALSE)</f>
        <v>Robert Shandley</v>
      </c>
      <c r="AG2300" s="282"/>
      <c r="AH2300" s="311" t="e">
        <f>INDEX('D5 - Gatekeeper - Projects'!$A$4:$AF$1010,$AM2300, 17)</f>
        <v>#N/A</v>
      </c>
      <c r="AI2300" s="8"/>
      <c r="AJ2300" s="57"/>
      <c r="AK2300" s="105"/>
      <c r="AM2300" s="6" t="e">
        <f>MATCH(D2300,'D5 - Gatekeeper - Projects'!$C$4:$C$1010,0)</f>
        <v>#N/A</v>
      </c>
      <c r="AN2300" s="6" t="b">
        <f t="shared" si="240"/>
        <v>1</v>
      </c>
      <c r="AO2300" s="6" t="str">
        <f t="shared" si="241"/>
        <v>OK</v>
      </c>
      <c r="AQ2300" s="6" t="e">
        <f>MATCH($D2300,'D4 - Provider Council Unsched'!$C$11:$C$234,0)</f>
        <v>#N/A</v>
      </c>
      <c r="AR2300" s="6" t="b">
        <f t="shared" si="242"/>
        <v>1</v>
      </c>
      <c r="AS2300" s="6" t="str">
        <f>IF(AND(H2300="2 - Not Scheduled",AR2300=TRUE,C2300="R1"),"Add","OK")</f>
        <v>OK</v>
      </c>
      <c r="AU2300" s="202"/>
      <c r="AV2300" s="262"/>
      <c r="AW2300" s="274"/>
    </row>
    <row r="2301" spans="1:49" s="13" customFormat="1" ht="45" x14ac:dyDescent="0.2">
      <c r="A2301" s="14">
        <v>2277</v>
      </c>
      <c r="B2301" s="14">
        <v>400036248</v>
      </c>
      <c r="C2301" s="8" t="s">
        <v>5197</v>
      </c>
      <c r="D2301" s="4" t="str">
        <f t="shared" si="245"/>
        <v>400036248R1</v>
      </c>
      <c r="E2301" s="309" t="str">
        <f>VLOOKUP($B2301,'D7 - NDB Impacted SPRF''s'!$E$6:$O$9929,2,FALSE)</f>
        <v>UPCSA - Decoupling from TOPS Phase 2</v>
      </c>
      <c r="F2301" s="8" t="s">
        <v>2114</v>
      </c>
      <c r="G2301" s="8" t="s">
        <v>4758</v>
      </c>
      <c r="H2301" s="8" t="s">
        <v>2870</v>
      </c>
      <c r="I2301" s="20">
        <v>2.13</v>
      </c>
      <c r="J2301" s="8" t="s">
        <v>4862</v>
      </c>
      <c r="K2301" s="182">
        <v>40586</v>
      </c>
      <c r="L2301" s="8" t="s">
        <v>4156</v>
      </c>
      <c r="M2301" s="8" t="s">
        <v>5626</v>
      </c>
      <c r="N2301" s="38" t="s">
        <v>6925</v>
      </c>
      <c r="O2301" s="8"/>
      <c r="P2301" s="4" t="str">
        <f>VLOOKUP($B2301,'D7 - NDB Impacted SPRF''s'!$E$16:$O$9929,9,FALSE)</f>
        <v>Y</v>
      </c>
      <c r="Q2301" s="4" t="str">
        <f>VLOOKUP($B2301,'D7 - NDB Impacted SPRF''s'!$E$16:$O$9929,10,FALSE)</f>
        <v>N</v>
      </c>
      <c r="R2301" s="4" t="str">
        <f>VLOOKUP($B2301,'D7 - NDB Impacted SPRF''s'!$E$16:$O$9929,11,FALSE)</f>
        <v>Y</v>
      </c>
      <c r="S2301" s="8"/>
      <c r="T2301" s="310"/>
      <c r="U2301" s="310"/>
      <c r="V2301" s="4"/>
      <c r="W2301" s="4"/>
      <c r="X2301" s="4"/>
      <c r="Y2301" s="4"/>
      <c r="Z2301" s="4"/>
      <c r="AA2301" s="4"/>
      <c r="AB2301" s="380" t="str">
        <f>VLOOKUP($B2301,'D7 - NDB Impacted SPRF''s'!$E$6:$O$9929,4,FALSE)</f>
        <v>Cancelled</v>
      </c>
      <c r="AC2301" s="380" t="str">
        <f>VLOOKUP($B2301,'D7 - NDB Impacted SPRF''s'!$E$6:$O$9929,3,FALSE)</f>
        <v>UHG IT - Enterprise Technology Services</v>
      </c>
      <c r="AD2301" s="380" t="str">
        <f>VLOOKUP($B2301,'D7 - NDB Impacted SPRF''s'!$E$6:$O$9929,5,FALSE)</f>
        <v>Strategic Initiatives</v>
      </c>
      <c r="AE2301" s="380" t="str">
        <f>VLOOKUP($B2301,'D7 - NDB Impacted SPRF''s'!$E$6:$O$9929,7,FALSE)</f>
        <v>John Doddy</v>
      </c>
      <c r="AF2301" s="380" t="str">
        <f>VLOOKUP($B2301,'D7 - NDB Impacted SPRF''s'!$E$6:$O$9929,6,FALSE)</f>
        <v>CAROL BERCAW</v>
      </c>
      <c r="AG2301" s="282"/>
      <c r="AH2301" s="311" t="e">
        <f>INDEX('D5 - Gatekeeper - Projects'!$A$4:$AF$1010,$AM2301, 17)</f>
        <v>#N/A</v>
      </c>
      <c r="AI2301" s="8"/>
      <c r="AJ2301" s="57"/>
      <c r="AK2301" s="105"/>
      <c r="AM2301" s="6" t="e">
        <f>MATCH(D2301,'D5 - Gatekeeper - Projects'!$C$4:$C$1010,0)</f>
        <v>#N/A</v>
      </c>
      <c r="AN2301" s="6" t="b">
        <f t="shared" si="240"/>
        <v>1</v>
      </c>
      <c r="AO2301" s="6" t="str">
        <f t="shared" si="241"/>
        <v>OK</v>
      </c>
      <c r="AQ2301" s="6" t="e">
        <f>MATCH($D2301,'D4 - Provider Council Unsched'!$C$11:$C$234,0)</f>
        <v>#N/A</v>
      </c>
      <c r="AR2301" s="6" t="b">
        <f t="shared" si="242"/>
        <v>1</v>
      </c>
      <c r="AS2301" s="6" t="str">
        <f>IF(AND(H2301="2 - Not Scheduled",AR2301=TRUE,C2301="R1"),"Add","OK")</f>
        <v>OK</v>
      </c>
      <c r="AU2301" s="202">
        <v>40379</v>
      </c>
      <c r="AV2301" s="262"/>
      <c r="AW2301" s="274"/>
    </row>
    <row r="2302" spans="1:49" s="13" customFormat="1" ht="33.75" x14ac:dyDescent="0.2">
      <c r="A2302" s="14">
        <v>2278</v>
      </c>
      <c r="B2302" s="14">
        <v>400037047</v>
      </c>
      <c r="C2302" s="8" t="s">
        <v>5197</v>
      </c>
      <c r="D2302" s="4" t="str">
        <f t="shared" si="245"/>
        <v>400037047R1</v>
      </c>
      <c r="E2302" s="309" t="str">
        <f>VLOOKUP($B2302,'D7 - NDB Impacted SPRF''s'!$E$6:$O$9929,2,FALSE)</f>
        <v xml:space="preserve">Accept Certain Procedure Codes w/Futuristic Dates </v>
      </c>
      <c r="F2302" s="8"/>
      <c r="G2302" s="8" t="s">
        <v>4758</v>
      </c>
      <c r="H2302" s="8" t="s">
        <v>2870</v>
      </c>
      <c r="I2302" s="20">
        <v>1.67</v>
      </c>
      <c r="J2302" s="8" t="s">
        <v>4862</v>
      </c>
      <c r="K2302" s="182">
        <v>40586</v>
      </c>
      <c r="L2302" s="8" t="s">
        <v>4156</v>
      </c>
      <c r="M2302" s="8" t="s">
        <v>5626</v>
      </c>
      <c r="N2302" s="38"/>
      <c r="O2302" s="8"/>
      <c r="P2302" s="4" t="str">
        <f>VLOOKUP($B2302,'D7 - NDB Impacted SPRF''s'!$E$16:$O$9929,9,FALSE)</f>
        <v>N</v>
      </c>
      <c r="Q2302" s="4" t="str">
        <f>VLOOKUP($B2302,'D7 - NDB Impacted SPRF''s'!$E$16:$O$9929,10,FALSE)</f>
        <v>N</v>
      </c>
      <c r="R2302" s="4" t="str">
        <f>VLOOKUP($B2302,'D7 - NDB Impacted SPRF''s'!$E$16:$O$9929,11,FALSE)</f>
        <v>N</v>
      </c>
      <c r="S2302" s="8"/>
      <c r="T2302" s="310"/>
      <c r="U2302" s="310"/>
      <c r="V2302" s="4"/>
      <c r="W2302" s="4"/>
      <c r="X2302" s="4"/>
      <c r="Y2302" s="4"/>
      <c r="Z2302" s="4"/>
      <c r="AA2302" s="4"/>
      <c r="AB2302" s="380" t="str">
        <f>VLOOKUP($B2302,'D7 - NDB Impacted SPRF''s'!$E$6:$O$9929,4,FALSE)</f>
        <v>Completed</v>
      </c>
      <c r="AC2302" s="380" t="str">
        <f>VLOOKUP($B2302,'D7 - NDB Impacted SPRF''s'!$E$6:$O$9929,3,FALSE)</f>
        <v>UnitedHealthcare Medicare &amp; Retirement</v>
      </c>
      <c r="AD2302" s="380" t="str">
        <f>VLOOKUP($B2302,'D7 - NDB Impacted SPRF''s'!$E$6:$O$9929,5,FALSE)</f>
        <v>Claims Remediation</v>
      </c>
      <c r="AE2302" s="380" t="str">
        <f>VLOOKUP($B2302,'D7 - NDB Impacted SPRF''s'!$E$6:$O$9929,7,FALSE)</f>
        <v>Kelly Gilberston</v>
      </c>
      <c r="AF2302" s="380" t="str">
        <f>VLOOKUP($B2302,'D7 - NDB Impacted SPRF''s'!$E$6:$O$9929,6,FALSE)</f>
        <v>Jessica Tattersall</v>
      </c>
      <c r="AG2302" s="282"/>
      <c r="AH2302" s="311" t="e">
        <f>INDEX('D5 - Gatekeeper - Projects'!$A$4:$AF$1010,$AM2302, 17)</f>
        <v>#N/A</v>
      </c>
      <c r="AI2302" s="8"/>
      <c r="AJ2302" s="57"/>
      <c r="AK2302" s="105"/>
      <c r="AM2302" s="6" t="e">
        <f>MATCH(D2302,'D5 - Gatekeeper - Projects'!$C$4:$C$1010,0)</f>
        <v>#N/A</v>
      </c>
      <c r="AN2302" s="6" t="b">
        <f t="shared" si="240"/>
        <v>1</v>
      </c>
      <c r="AO2302" s="6" t="str">
        <f t="shared" si="241"/>
        <v>OK</v>
      </c>
      <c r="AQ2302" s="6" t="e">
        <f>MATCH($D2302,'D4 - Provider Council Unsched'!$C$11:$C$234,0)</f>
        <v>#N/A</v>
      </c>
      <c r="AR2302" s="6" t="b">
        <f t="shared" si="242"/>
        <v>1</v>
      </c>
      <c r="AS2302" s="6" t="str">
        <f>IF(AND(H2302="2 - Not Scheduled",AR2302=TRUE,C2302="R1"),"Add","OK")</f>
        <v>OK</v>
      </c>
      <c r="AU2302" s="202">
        <v>40470</v>
      </c>
      <c r="AV2302" s="262"/>
      <c r="AW2302" s="274"/>
    </row>
    <row r="2303" spans="1:49" s="13" customFormat="1" ht="33.75" x14ac:dyDescent="0.2">
      <c r="A2303" s="14">
        <v>2279</v>
      </c>
      <c r="B2303" s="8">
        <v>400037882</v>
      </c>
      <c r="C2303" s="8" t="s">
        <v>1447</v>
      </c>
      <c r="D2303" s="4" t="str">
        <f t="shared" si="245"/>
        <v>400037882A</v>
      </c>
      <c r="E2303" s="309" t="str">
        <f>VLOOKUP($B2303,'D7 - NDB Impacted SPRF''s'!$E$6:$O$9929,2,FALSE)</f>
        <v>NDB to Facets for Pittsburgh Facets/ASP</v>
      </c>
      <c r="F2303" s="8"/>
      <c r="G2303" s="8" t="s">
        <v>4758</v>
      </c>
      <c r="H2303" s="8" t="s">
        <v>2870</v>
      </c>
      <c r="I2303" s="20">
        <v>4.9800000000000004</v>
      </c>
      <c r="J2303" s="8" t="s">
        <v>4862</v>
      </c>
      <c r="K2303" s="182">
        <v>40586</v>
      </c>
      <c r="L2303" s="8" t="s">
        <v>4156</v>
      </c>
      <c r="M2303" s="8" t="s">
        <v>5626</v>
      </c>
      <c r="N2303" s="38"/>
      <c r="O2303" s="8"/>
      <c r="P2303" s="4" t="str">
        <f>VLOOKUP($B2303,'D7 - NDB Impacted SPRF''s'!$E$16:$O$9929,9,FALSE)</f>
        <v>N</v>
      </c>
      <c r="Q2303" s="4" t="str">
        <f>VLOOKUP($B2303,'D7 - NDB Impacted SPRF''s'!$E$16:$O$9929,10,FALSE)</f>
        <v>N</v>
      </c>
      <c r="R2303" s="4" t="str">
        <f>VLOOKUP($B2303,'D7 - NDB Impacted SPRF''s'!$E$16:$O$9929,11,FALSE)</f>
        <v>N</v>
      </c>
      <c r="S2303" s="8"/>
      <c r="T2303" s="310"/>
      <c r="U2303" s="310"/>
      <c r="V2303" s="4"/>
      <c r="W2303" s="4"/>
      <c r="X2303" s="4"/>
      <c r="Y2303" s="4"/>
      <c r="Z2303" s="4"/>
      <c r="AA2303" s="4"/>
      <c r="AB2303" s="380" t="str">
        <f>VLOOKUP($B2303,'D7 - NDB Impacted SPRF''s'!$E$6:$O$9929,4,FALSE)</f>
        <v>Completed</v>
      </c>
      <c r="AC2303" s="380" t="str">
        <f>VLOOKUP($B2303,'D7 - NDB Impacted SPRF''s'!$E$6:$O$9929,3,FALSE)</f>
        <v>UnitedHealthcare Community &amp; State</v>
      </c>
      <c r="AD2303" s="380" t="str">
        <f>VLOOKUP($B2303,'D7 - NDB Impacted SPRF''s'!$E$6:$O$9929,5,FALSE)</f>
        <v>AmeriChoice</v>
      </c>
      <c r="AE2303" s="380" t="str">
        <f>VLOOKUP($B2303,'D7 - NDB Impacted SPRF''s'!$E$6:$O$9929,7,FALSE)</f>
        <v>Paul Balthazor</v>
      </c>
      <c r="AF2303" s="380" t="str">
        <f>VLOOKUP($B2303,'D7 - NDB Impacted SPRF''s'!$E$6:$O$9929,6,FALSE)</f>
        <v>Carol Brunetti</v>
      </c>
      <c r="AG2303" s="282"/>
      <c r="AH2303" s="311" t="e">
        <f>INDEX('D5 - Gatekeeper - Projects'!$A$4:$AF$1010,$AM2303, 17)</f>
        <v>#N/A</v>
      </c>
      <c r="AI2303" s="8"/>
      <c r="AJ2303" s="57"/>
      <c r="AK2303" s="105"/>
      <c r="AM2303" s="6" t="e">
        <f>MATCH(D2303,'D5 - Gatekeeper - Projects'!$C$4:$C$1010,0)</f>
        <v>#N/A</v>
      </c>
      <c r="AN2303" s="6" t="b">
        <f t="shared" si="240"/>
        <v>1</v>
      </c>
      <c r="AO2303" s="6" t="str">
        <f t="shared" si="241"/>
        <v>OK</v>
      </c>
      <c r="AQ2303" s="6" t="e">
        <f>MATCH($D2303,'D4 - Provider Council Unsched'!$C$11:$C$234,0)</f>
        <v>#N/A</v>
      </c>
      <c r="AR2303" s="6" t="b">
        <f t="shared" si="242"/>
        <v>1</v>
      </c>
      <c r="AS2303" s="6" t="str">
        <f>IF(AND(H2303="2 - Not Scheduled",AR2303=TRUE,C2303="R1"),"Add","OK")</f>
        <v>OK</v>
      </c>
      <c r="AU2303" s="202">
        <v>40511</v>
      </c>
      <c r="AV2303" s="262"/>
      <c r="AW2303" s="274"/>
    </row>
    <row r="2304" spans="1:49" s="13" customFormat="1" ht="45" x14ac:dyDescent="0.2">
      <c r="A2304" s="14">
        <v>2280</v>
      </c>
      <c r="B2304" s="14">
        <v>400033903</v>
      </c>
      <c r="C2304" s="8" t="s">
        <v>5197</v>
      </c>
      <c r="D2304" s="4" t="str">
        <f t="shared" si="245"/>
        <v>400033903R1</v>
      </c>
      <c r="E2304" s="309" t="str">
        <f>VLOOKUP($B2304,'D7 - NDB Impacted SPRF''s'!$E$6:$O$9929,2,FALSE)</f>
        <v>PDR - NDB Integration Tool - URV-Facets</v>
      </c>
      <c r="F2304" s="8" t="s">
        <v>5595</v>
      </c>
      <c r="G2304" s="8" t="s">
        <v>4758</v>
      </c>
      <c r="H2304" s="8" t="s">
        <v>2870</v>
      </c>
      <c r="I2304" s="20">
        <v>24.18</v>
      </c>
      <c r="J2304" s="8" t="s">
        <v>4862</v>
      </c>
      <c r="K2304" s="182">
        <v>40677</v>
      </c>
      <c r="L2304" s="8" t="s">
        <v>4156</v>
      </c>
      <c r="M2304" s="8" t="s">
        <v>2814</v>
      </c>
      <c r="N2304" s="38"/>
      <c r="O2304" s="8"/>
      <c r="P2304" s="4" t="str">
        <f>VLOOKUP($B2304,'D7 - NDB Impacted SPRF''s'!$E$16:$O$9929,9,FALSE)</f>
        <v>N</v>
      </c>
      <c r="Q2304" s="4" t="str">
        <f>VLOOKUP($B2304,'D7 - NDB Impacted SPRF''s'!$E$16:$O$9929,10,FALSE)</f>
        <v>N</v>
      </c>
      <c r="R2304" s="4" t="str">
        <f>VLOOKUP($B2304,'D7 - NDB Impacted SPRF''s'!$E$16:$O$9929,11,FALSE)</f>
        <v>N</v>
      </c>
      <c r="S2304" s="8"/>
      <c r="T2304" s="310"/>
      <c r="U2304" s="310"/>
      <c r="V2304" s="4"/>
      <c r="W2304" s="4"/>
      <c r="X2304" s="4"/>
      <c r="Y2304" s="4"/>
      <c r="Z2304" s="4"/>
      <c r="AA2304" s="4"/>
      <c r="AB2304" s="380" t="str">
        <f>VLOOKUP($B2304,'D7 - NDB Impacted SPRF''s'!$E$6:$O$9929,4,FALSE)</f>
        <v>Cancelled</v>
      </c>
      <c r="AC2304" s="380" t="str">
        <f>VLOOKUP($B2304,'D7 - NDB Impacted SPRF''s'!$E$6:$O$9929,3,FALSE)</f>
        <v>UHG IT - Enterprise Technology Services</v>
      </c>
      <c r="AD2304" s="380" t="str">
        <f>VLOOKUP($B2304,'D7 - NDB Impacted SPRF''s'!$E$6:$O$9929,5,FALSE)</f>
        <v>Strategic Initiatives</v>
      </c>
      <c r="AE2304" s="380" t="str">
        <f>VLOOKUP($B2304,'D7 - NDB Impacted SPRF''s'!$E$6:$O$9929,7,FALSE)</f>
        <v>Dave Wichman</v>
      </c>
      <c r="AF2304" s="380" t="str">
        <f>VLOOKUP($B2304,'D7 - NDB Impacted SPRF''s'!$E$6:$O$9929,6,FALSE)</f>
        <v>Brent Graham</v>
      </c>
      <c r="AG2304" s="282"/>
      <c r="AH2304" s="311" t="e">
        <f>INDEX('D5 - Gatekeeper - Projects'!$A$4:$AF$1010,$AM2304, 17)</f>
        <v>#N/A</v>
      </c>
      <c r="AI2304" s="8"/>
      <c r="AJ2304" s="57"/>
      <c r="AK2304" s="105"/>
      <c r="AM2304" s="6" t="e">
        <f>MATCH(D2304,'D5 - Gatekeeper - Projects'!$C$4:$C$1010,0)</f>
        <v>#N/A</v>
      </c>
      <c r="AN2304" s="6" t="b">
        <f t="shared" si="240"/>
        <v>1</v>
      </c>
      <c r="AO2304" s="6" t="str">
        <f t="shared" si="241"/>
        <v>OK</v>
      </c>
      <c r="AQ2304" s="6" t="e">
        <f>MATCH($D2304,'D4 - Provider Council Unsched'!$C$11:$C$234,0)</f>
        <v>#N/A</v>
      </c>
      <c r="AR2304" s="6" t="b">
        <f t="shared" si="242"/>
        <v>1</v>
      </c>
      <c r="AS2304" s="6" t="str">
        <f>IF(AND(H2304="2 - Not Scheduled",AR2304=TRUE),"Add","OK")</f>
        <v>OK</v>
      </c>
      <c r="AU2304" s="202">
        <v>40266</v>
      </c>
      <c r="AV2304" s="262"/>
      <c r="AW2304" s="274"/>
    </row>
    <row r="2305" spans="1:49" s="13" customFormat="1" x14ac:dyDescent="0.2">
      <c r="A2305" s="14">
        <v>2281</v>
      </c>
      <c r="B2305" s="14">
        <v>400034915</v>
      </c>
      <c r="C2305" s="8" t="s">
        <v>5197</v>
      </c>
      <c r="D2305" s="4" t="str">
        <f t="shared" si="245"/>
        <v>400034915R1</v>
      </c>
      <c r="E2305" s="309" t="str">
        <f>VLOOKUP($B2305,'D7 - NDB Impacted SPRF''s'!$E$6:$O$9929,2,FALSE)</f>
        <v>Changes to provider functions in COMET</v>
      </c>
      <c r="F2305" s="8" t="s">
        <v>2114</v>
      </c>
      <c r="G2305" s="8" t="s">
        <v>4758</v>
      </c>
      <c r="H2305" s="8" t="s">
        <v>2870</v>
      </c>
      <c r="I2305" s="20">
        <v>1.3</v>
      </c>
      <c r="J2305" s="8" t="s">
        <v>4862</v>
      </c>
      <c r="K2305" s="182">
        <v>40677</v>
      </c>
      <c r="L2305" s="8" t="s">
        <v>4156</v>
      </c>
      <c r="M2305" s="8" t="s">
        <v>5626</v>
      </c>
      <c r="N2305" s="38" t="s">
        <v>1890</v>
      </c>
      <c r="O2305" s="8"/>
      <c r="P2305" s="4" t="str">
        <f>VLOOKUP($B2305,'D7 - NDB Impacted SPRF''s'!$E$16:$O$9929,9,FALSE)</f>
        <v>Y</v>
      </c>
      <c r="Q2305" s="4" t="str">
        <f>VLOOKUP($B2305,'D7 - NDB Impacted SPRF''s'!$E$16:$O$9929,10,FALSE)</f>
        <v>N</v>
      </c>
      <c r="R2305" s="4" t="str">
        <f>VLOOKUP($B2305,'D7 - NDB Impacted SPRF''s'!$E$16:$O$9929,11,FALSE)</f>
        <v>N</v>
      </c>
      <c r="S2305" s="8"/>
      <c r="T2305" s="310"/>
      <c r="U2305" s="310"/>
      <c r="V2305" s="4"/>
      <c r="W2305" s="4"/>
      <c r="X2305" s="4"/>
      <c r="Y2305" s="4"/>
      <c r="Z2305" s="4"/>
      <c r="AA2305" s="4"/>
      <c r="AB2305" s="380" t="str">
        <f>VLOOKUP($B2305,'D7 - NDB Impacted SPRF''s'!$E$6:$O$9929,4,FALSE)</f>
        <v>Completed</v>
      </c>
      <c r="AC2305" s="380" t="str">
        <f>VLOOKUP($B2305,'D7 - NDB Impacted SPRF''s'!$E$6:$O$9929,3,FALSE)</f>
        <v>OptumHealth</v>
      </c>
      <c r="AD2305" s="380" t="str">
        <f>VLOOKUP($B2305,'D7 - NDB Impacted SPRF''s'!$E$6:$O$9929,5,FALSE)</f>
        <v>Behavioral Solutions</v>
      </c>
      <c r="AE2305" s="380" t="str">
        <f>VLOOKUP($B2305,'D7 - NDB Impacted SPRF''s'!$E$6:$O$9929,7,FALSE)</f>
        <v>Bob Preston</v>
      </c>
      <c r="AF2305" s="380" t="str">
        <f>VLOOKUP($B2305,'D7 - NDB Impacted SPRF''s'!$E$6:$O$9929,6,FALSE)</f>
        <v>Rebecca Embry</v>
      </c>
      <c r="AG2305" s="282"/>
      <c r="AH2305" s="311" t="e">
        <f>INDEX('D5 - Gatekeeper - Projects'!$A$4:$AF$1010,$AM2305, 17)</f>
        <v>#N/A</v>
      </c>
      <c r="AI2305" s="8"/>
      <c r="AJ2305" s="57"/>
      <c r="AK2305" s="105"/>
      <c r="AM2305" s="6" t="e">
        <f>MATCH(D2305,'D5 - Gatekeeper - Projects'!$C$4:$C$1010,0)</f>
        <v>#N/A</v>
      </c>
      <c r="AN2305" s="6" t="b">
        <f t="shared" si="240"/>
        <v>1</v>
      </c>
      <c r="AO2305" s="6" t="str">
        <f t="shared" si="241"/>
        <v>OK</v>
      </c>
      <c r="AQ2305" s="6" t="e">
        <f>MATCH($D2305,'D4 - Provider Council Unsched'!$C$11:$C$234,0)</f>
        <v>#N/A</v>
      </c>
      <c r="AR2305" s="6" t="b">
        <f t="shared" si="242"/>
        <v>1</v>
      </c>
      <c r="AS2305" s="6" t="str">
        <f>IF(AND(H2305="2 - Not Scheduled",AR2305=TRUE,C2305="R1"),"Add","OK")</f>
        <v>OK</v>
      </c>
      <c r="AU2305" s="202">
        <v>40420</v>
      </c>
      <c r="AV2305" s="262"/>
      <c r="AW2305" s="274"/>
    </row>
    <row r="2306" spans="1:49" s="13" customFormat="1" ht="33.75" x14ac:dyDescent="0.2">
      <c r="A2306" s="14">
        <v>2282</v>
      </c>
      <c r="B2306" s="8">
        <v>400037882</v>
      </c>
      <c r="C2306" s="8" t="s">
        <v>7290</v>
      </c>
      <c r="D2306" s="4" t="str">
        <f t="shared" si="245"/>
        <v>400037882B</v>
      </c>
      <c r="E2306" s="309" t="str">
        <f>VLOOKUP($B2306,'D7 - NDB Impacted SPRF''s'!$E$6:$O$9929,2,FALSE)</f>
        <v>NDB to Facets for Pittsburgh Facets/ASP</v>
      </c>
      <c r="F2306" s="8"/>
      <c r="G2306" s="8" t="s">
        <v>4758</v>
      </c>
      <c r="H2306" s="8" t="s">
        <v>2870</v>
      </c>
      <c r="I2306" s="20">
        <v>4.9800000000000004</v>
      </c>
      <c r="J2306" s="8" t="s">
        <v>4862</v>
      </c>
      <c r="K2306" s="182">
        <v>40677</v>
      </c>
      <c r="L2306" s="8" t="s">
        <v>4156</v>
      </c>
      <c r="M2306" s="8" t="s">
        <v>5626</v>
      </c>
      <c r="N2306" s="38"/>
      <c r="O2306" s="8"/>
      <c r="P2306" s="4" t="str">
        <f>VLOOKUP($B2306,'D7 - NDB Impacted SPRF''s'!$E$16:$O$9929,9,FALSE)</f>
        <v>N</v>
      </c>
      <c r="Q2306" s="4" t="str">
        <f>VLOOKUP($B2306,'D7 - NDB Impacted SPRF''s'!$E$16:$O$9929,10,FALSE)</f>
        <v>N</v>
      </c>
      <c r="R2306" s="4" t="str">
        <f>VLOOKUP($B2306,'D7 - NDB Impacted SPRF''s'!$E$16:$O$9929,11,FALSE)</f>
        <v>N</v>
      </c>
      <c r="S2306" s="8"/>
      <c r="T2306" s="310"/>
      <c r="U2306" s="310"/>
      <c r="V2306" s="4"/>
      <c r="W2306" s="4"/>
      <c r="X2306" s="4"/>
      <c r="Y2306" s="4"/>
      <c r="Z2306" s="4"/>
      <c r="AA2306" s="4"/>
      <c r="AB2306" s="380" t="str">
        <f>VLOOKUP($B2306,'D7 - NDB Impacted SPRF''s'!$E$6:$O$9929,4,FALSE)</f>
        <v>Completed</v>
      </c>
      <c r="AC2306" s="380" t="str">
        <f>VLOOKUP($B2306,'D7 - NDB Impacted SPRF''s'!$E$6:$O$9929,3,FALSE)</f>
        <v>UnitedHealthcare Community &amp; State</v>
      </c>
      <c r="AD2306" s="380" t="str">
        <f>VLOOKUP($B2306,'D7 - NDB Impacted SPRF''s'!$E$6:$O$9929,5,FALSE)</f>
        <v>AmeriChoice</v>
      </c>
      <c r="AE2306" s="380" t="str">
        <f>VLOOKUP($B2306,'D7 - NDB Impacted SPRF''s'!$E$6:$O$9929,7,FALSE)</f>
        <v>Paul Balthazor</v>
      </c>
      <c r="AF2306" s="380" t="str">
        <f>VLOOKUP($B2306,'D7 - NDB Impacted SPRF''s'!$E$6:$O$9929,6,FALSE)</f>
        <v>Carol Brunetti</v>
      </c>
      <c r="AG2306" s="282"/>
      <c r="AH2306" s="311" t="e">
        <f>INDEX('D5 - Gatekeeper - Projects'!$A$4:$AF$1010,$AM2306, 17)</f>
        <v>#N/A</v>
      </c>
      <c r="AI2306" s="8"/>
      <c r="AJ2306" s="57"/>
      <c r="AK2306" s="105"/>
      <c r="AM2306" s="6" t="e">
        <f>MATCH(D2306,'D5 - Gatekeeper - Projects'!$C$4:$C$1010,0)</f>
        <v>#N/A</v>
      </c>
      <c r="AN2306" s="6" t="b">
        <f t="shared" si="240"/>
        <v>1</v>
      </c>
      <c r="AO2306" s="6" t="str">
        <f t="shared" si="241"/>
        <v>OK</v>
      </c>
      <c r="AQ2306" s="6" t="e">
        <f>MATCH($D2306,'D4 - Provider Council Unsched'!$C$11:$C$234,0)</f>
        <v>#N/A</v>
      </c>
      <c r="AR2306" s="6" t="b">
        <f t="shared" si="242"/>
        <v>1</v>
      </c>
      <c r="AS2306" s="6" t="str">
        <f>IF(AND(H2306="2 - Not Scheduled",AR2306=TRUE,C2306="R1"),"Add","OK")</f>
        <v>OK</v>
      </c>
      <c r="AU2306" s="202"/>
      <c r="AV2306" s="262"/>
      <c r="AW2306" s="274"/>
    </row>
    <row r="2307" spans="1:49" s="13" customFormat="1" ht="33.75" x14ac:dyDescent="0.2">
      <c r="A2307" s="14">
        <v>2283</v>
      </c>
      <c r="B2307" s="8">
        <v>400039510</v>
      </c>
      <c r="C2307" s="8" t="s">
        <v>1447</v>
      </c>
      <c r="D2307" s="4" t="str">
        <f t="shared" si="245"/>
        <v>400039510A</v>
      </c>
      <c r="E2307" s="309" t="str">
        <f>VLOOKUP($B2307,'D7 - NDB Impacted SPRF''s'!$E$6:$O$9929,2,FALSE)</f>
        <v>CSS-B2X 2011B Release</v>
      </c>
      <c r="F2307" s="8"/>
      <c r="G2307" s="8" t="s">
        <v>4758</v>
      </c>
      <c r="H2307" s="8" t="s">
        <v>2870</v>
      </c>
      <c r="I2307" s="20">
        <v>2.08</v>
      </c>
      <c r="J2307" s="8" t="s">
        <v>4862</v>
      </c>
      <c r="K2307" s="182">
        <v>40677</v>
      </c>
      <c r="L2307" s="8" t="s">
        <v>4156</v>
      </c>
      <c r="M2307" s="8" t="s">
        <v>5626</v>
      </c>
      <c r="N2307" s="38"/>
      <c r="O2307" s="8"/>
      <c r="P2307" s="4" t="str">
        <f>VLOOKUP($B2307,'D7 - NDB Impacted SPRF''s'!$E$16:$O$9929,9,FALSE)</f>
        <v>Y</v>
      </c>
      <c r="Q2307" s="4" t="str">
        <f>VLOOKUP($B2307,'D7 - NDB Impacted SPRF''s'!$E$16:$O$9929,10,FALSE)</f>
        <v>N</v>
      </c>
      <c r="R2307" s="4" t="str">
        <f>VLOOKUP($B2307,'D7 - NDB Impacted SPRF''s'!$E$16:$O$9929,11,FALSE)</f>
        <v>N</v>
      </c>
      <c r="S2307" s="8"/>
      <c r="T2307" s="310"/>
      <c r="U2307" s="310"/>
      <c r="V2307" s="4"/>
      <c r="W2307" s="4"/>
      <c r="X2307" s="4"/>
      <c r="Y2307" s="4"/>
      <c r="Z2307" s="4"/>
      <c r="AA2307" s="4"/>
      <c r="AB2307" s="380" t="str">
        <f>VLOOKUP($B2307,'D7 - NDB Impacted SPRF''s'!$E$6:$O$9929,4,FALSE)</f>
        <v>Cancelled</v>
      </c>
      <c r="AC2307" s="380" t="str">
        <f>VLOOKUP($B2307,'D7 - NDB Impacted SPRF''s'!$E$6:$O$9929,3,FALSE)</f>
        <v>UnitedHealthcare Medicare &amp; Retirement</v>
      </c>
      <c r="AD2307" s="380" t="str">
        <f>VLOOKUP($B2307,'D7 - NDB Impacted SPRF''s'!$E$6:$O$9929,5,FALSE)</f>
        <v>Enterprise Clinical</v>
      </c>
      <c r="AE2307" s="380" t="str">
        <f>VLOOKUP($B2307,'D7 - NDB Impacted SPRF''s'!$E$6:$O$9929,7,FALSE)</f>
        <v>Cindi Middaugh</v>
      </c>
      <c r="AF2307" s="380" t="str">
        <f>VLOOKUP($B2307,'D7 - NDB Impacted SPRF''s'!$E$6:$O$9929,6,FALSE)</f>
        <v>CHRISTINA MOSHER</v>
      </c>
      <c r="AG2307" s="282"/>
      <c r="AH2307" s="311" t="e">
        <f>INDEX('D5 - Gatekeeper - Projects'!$A$4:$AF$1010,$AM2307, 17)</f>
        <v>#N/A</v>
      </c>
      <c r="AI2307" s="8"/>
      <c r="AJ2307" s="57"/>
      <c r="AK2307" s="105"/>
      <c r="AM2307" s="6" t="e">
        <f>MATCH(D2307,'D5 - Gatekeeper - Projects'!$C$4:$C$1010,0)</f>
        <v>#N/A</v>
      </c>
      <c r="AN2307" s="6" t="b">
        <f t="shared" si="240"/>
        <v>1</v>
      </c>
      <c r="AO2307" s="6" t="str">
        <f t="shared" si="241"/>
        <v>OK</v>
      </c>
      <c r="AQ2307" s="6" t="e">
        <f>MATCH($D2307,'D4 - Provider Council Unsched'!$C$11:$C$234,0)</f>
        <v>#N/A</v>
      </c>
      <c r="AR2307" s="6" t="b">
        <f t="shared" si="242"/>
        <v>1</v>
      </c>
      <c r="AS2307" s="6" t="str">
        <f>IF(AND(H2307="2 - Not Scheduled",AR2307=TRUE,C2307="R1"),"Add","OK")</f>
        <v>OK</v>
      </c>
      <c r="AU2307" s="202"/>
      <c r="AV2307" s="262"/>
      <c r="AW2307" s="274"/>
    </row>
    <row r="2308" spans="1:49" s="13" customFormat="1" ht="33.75" x14ac:dyDescent="0.2">
      <c r="A2308" s="14">
        <v>2284</v>
      </c>
      <c r="B2308" s="8">
        <v>400040438</v>
      </c>
      <c r="C2308" s="8" t="s">
        <v>1447</v>
      </c>
      <c r="D2308" s="4" t="str">
        <f t="shared" si="245"/>
        <v>400040438A</v>
      </c>
      <c r="E2308" s="309" t="str">
        <f>VLOOKUP($B2308,'D7 - NDB Impacted SPRF''s'!$E$6:$O$9929,2,FALSE)</f>
        <v>Harvard Pilgrim (HPHC) Migration to ISET</v>
      </c>
      <c r="F2308" s="8"/>
      <c r="G2308" s="8" t="s">
        <v>4758</v>
      </c>
      <c r="H2308" s="8" t="s">
        <v>2870</v>
      </c>
      <c r="I2308" s="20">
        <v>1.07</v>
      </c>
      <c r="J2308" s="8" t="s">
        <v>4862</v>
      </c>
      <c r="K2308" s="182">
        <v>40677</v>
      </c>
      <c r="L2308" s="8" t="s">
        <v>4156</v>
      </c>
      <c r="M2308" s="8" t="s">
        <v>5626</v>
      </c>
      <c r="N2308" s="38"/>
      <c r="O2308" s="8"/>
      <c r="P2308" s="4" t="str">
        <f>VLOOKUP($B2308,'D7 - NDB Impacted SPRF''s'!$E$16:$O$9929,9,FALSE)</f>
        <v>Y</v>
      </c>
      <c r="Q2308" s="4" t="str">
        <f>VLOOKUP($B2308,'D7 - NDB Impacted SPRF''s'!$E$16:$O$9929,10,FALSE)</f>
        <v>N</v>
      </c>
      <c r="R2308" s="4" t="str">
        <f>VLOOKUP($B2308,'D7 - NDB Impacted SPRF''s'!$E$16:$O$9929,11,FALSE)</f>
        <v>N</v>
      </c>
      <c r="S2308" s="8"/>
      <c r="T2308" s="310"/>
      <c r="U2308" s="310"/>
      <c r="V2308" s="4"/>
      <c r="W2308" s="4"/>
      <c r="X2308" s="4"/>
      <c r="Y2308" s="4"/>
      <c r="Z2308" s="4"/>
      <c r="AA2308" s="4"/>
      <c r="AB2308" s="380" t="str">
        <f>VLOOKUP($B2308,'D7 - NDB Impacted SPRF''s'!$E$6:$O$9929,4,FALSE)</f>
        <v>Completed</v>
      </c>
      <c r="AC2308" s="380" t="str">
        <f>VLOOKUP($B2308,'D7 - NDB Impacted SPRF''s'!$E$6:$O$9929,3,FALSE)</f>
        <v>UnitedHealthcare Employer &amp; Individual</v>
      </c>
      <c r="AD2308" s="380" t="str">
        <f>VLOOKUP($B2308,'D7 - NDB Impacted SPRF''s'!$E$6:$O$9929,5,FALSE)</f>
        <v>HCA - Operational Requirements</v>
      </c>
      <c r="AE2308" s="380" t="str">
        <f>VLOOKUP($B2308,'D7 - NDB Impacted SPRF''s'!$E$6:$O$9929,7,FALSE)</f>
        <v>Pam Stegora Axberg</v>
      </c>
      <c r="AF2308" s="380" t="str">
        <f>VLOOKUP($B2308,'D7 - NDB Impacted SPRF''s'!$E$6:$O$9929,6,FALSE)</f>
        <v>Chad Wege</v>
      </c>
      <c r="AG2308" s="282"/>
      <c r="AH2308" s="311" t="e">
        <f>INDEX('D5 - Gatekeeper - Projects'!$A$4:$AF$1010,$AM2308, 17)</f>
        <v>#N/A</v>
      </c>
      <c r="AI2308" s="8"/>
      <c r="AJ2308" s="57"/>
      <c r="AK2308" s="105"/>
      <c r="AM2308" s="6" t="e">
        <f>MATCH(D2308,'D5 - Gatekeeper - Projects'!$C$4:$C$1010,0)</f>
        <v>#N/A</v>
      </c>
      <c r="AN2308" s="6" t="b">
        <f t="shared" si="240"/>
        <v>1</v>
      </c>
      <c r="AO2308" s="6" t="str">
        <f t="shared" si="241"/>
        <v>OK</v>
      </c>
      <c r="AQ2308" s="6" t="e">
        <f>MATCH($D2308,'D4 - Provider Council Unsched'!$C$11:$C$234,0)</f>
        <v>#N/A</v>
      </c>
      <c r="AR2308" s="6" t="b">
        <f t="shared" si="242"/>
        <v>1</v>
      </c>
      <c r="AS2308" s="6" t="str">
        <f>IF(AND(H2308="2 - Not Scheduled",AR2308=TRUE,C2308="R1"),"Add","OK")</f>
        <v>OK</v>
      </c>
      <c r="AU2308" s="202"/>
      <c r="AV2308" s="262"/>
      <c r="AW2308" s="274"/>
    </row>
    <row r="2309" spans="1:49" s="13" customFormat="1" ht="22.5" x14ac:dyDescent="0.2">
      <c r="A2309" s="14">
        <v>2285</v>
      </c>
      <c r="B2309" s="14" t="s">
        <v>6033</v>
      </c>
      <c r="C2309" s="8" t="s">
        <v>5197</v>
      </c>
      <c r="D2309" s="4" t="s">
        <v>6034</v>
      </c>
      <c r="E2309" s="342" t="s">
        <v>6035</v>
      </c>
      <c r="F2309" s="8" t="s">
        <v>2114</v>
      </c>
      <c r="G2309" s="8" t="s">
        <v>4758</v>
      </c>
      <c r="H2309" s="8" t="s">
        <v>2870</v>
      </c>
      <c r="I2309" s="20">
        <v>0.56999999999999995</v>
      </c>
      <c r="J2309" s="8" t="s">
        <v>4862</v>
      </c>
      <c r="K2309" s="182">
        <v>40677</v>
      </c>
      <c r="L2309" s="8" t="s">
        <v>5743</v>
      </c>
      <c r="M2309" s="8" t="s">
        <v>6688</v>
      </c>
      <c r="N2309" s="38" t="s">
        <v>3120</v>
      </c>
      <c r="O2309" s="8" t="s">
        <v>3572</v>
      </c>
      <c r="P2309" s="4" t="e">
        <f>VLOOKUP($B2309,'D7 - NDB Impacted SPRF''s'!$E$16:$O$9929,9,FALSE)</f>
        <v>#N/A</v>
      </c>
      <c r="Q2309" s="4" t="e">
        <f>VLOOKUP($B2309,'D7 - NDB Impacted SPRF''s'!$E$16:$O$9929,10,FALSE)</f>
        <v>#N/A</v>
      </c>
      <c r="R2309" s="4" t="e">
        <f>VLOOKUP($B2309,'D7 - NDB Impacted SPRF''s'!$E$16:$O$9929,11,FALSE)</f>
        <v>#N/A</v>
      </c>
      <c r="S2309" s="8"/>
      <c r="T2309" s="310"/>
      <c r="U2309" s="310"/>
      <c r="V2309" s="4"/>
      <c r="W2309" s="4"/>
      <c r="X2309" s="4"/>
      <c r="Y2309" s="4"/>
      <c r="Z2309" s="4"/>
      <c r="AA2309" s="4"/>
      <c r="AB2309" s="383" t="e">
        <f>VLOOKUP($B2309,'D7 - NDB Impacted SPRF''s'!$E$16:$O$9929,4,FALSE)</f>
        <v>#N/A</v>
      </c>
      <c r="AC2309" s="380" t="e">
        <f>VLOOKUP($B2309,'D7 - NDB Impacted SPRF''s'!$E$16:$O$9929,3,FALSE)</f>
        <v>#N/A</v>
      </c>
      <c r="AD2309" s="380" t="e">
        <f>VLOOKUP($B2309,'D7 - NDB Impacted SPRF''s'!$E$16:$O$9929,5,FALSE)</f>
        <v>#N/A</v>
      </c>
      <c r="AE2309" s="380" t="e">
        <f>VLOOKUP($B2309,'D7 - NDB Impacted SPRF''s'!$E$16:$O$9929,7,FALSE)</f>
        <v>#N/A</v>
      </c>
      <c r="AF2309" s="380" t="e">
        <f>VLOOKUP($B2309,'D7 - NDB Impacted SPRF''s'!$E$16:$O$9929,6,FALSE)</f>
        <v>#N/A</v>
      </c>
      <c r="AG2309" s="282"/>
      <c r="AH2309" s="311" t="e">
        <f>INDEX('D5 - Gatekeeper - Projects'!$A$4:$AF$1010,$AM2309, 17)</f>
        <v>#N/A</v>
      </c>
      <c r="AI2309" s="8"/>
      <c r="AJ2309" s="57"/>
      <c r="AK2309" s="105"/>
      <c r="AM2309" s="6" t="e">
        <f>MATCH(D2309,'D5 - Gatekeeper - Projects'!$C$4:$C$1010,0)</f>
        <v>#N/A</v>
      </c>
      <c r="AN2309" s="6" t="b">
        <f t="shared" si="240"/>
        <v>1</v>
      </c>
      <c r="AO2309" s="6" t="str">
        <f t="shared" si="241"/>
        <v>OK</v>
      </c>
      <c r="AQ2309" s="6" t="e">
        <f>MATCH($D2309,'D4 - Provider Council Unsched'!$C$11:$C$234,0)</f>
        <v>#N/A</v>
      </c>
      <c r="AR2309" s="6" t="b">
        <f t="shared" si="242"/>
        <v>1</v>
      </c>
      <c r="AS2309" s="6" t="str">
        <f>IF(AND(H2309="2 - Not Scheduled",AR2309=TRUE),"Add","OK")</f>
        <v>OK</v>
      </c>
      <c r="AU2309" s="202"/>
      <c r="AV2309" s="262"/>
      <c r="AW2309" s="274"/>
    </row>
    <row r="2310" spans="1:49" s="13" customFormat="1" ht="45" x14ac:dyDescent="0.2">
      <c r="A2310" s="14">
        <v>2286</v>
      </c>
      <c r="B2310" s="14" t="s">
        <v>6563</v>
      </c>
      <c r="C2310" s="8" t="s">
        <v>5197</v>
      </c>
      <c r="D2310" s="4" t="s">
        <v>6567</v>
      </c>
      <c r="E2310" s="341" t="s">
        <v>4059</v>
      </c>
      <c r="F2310" s="8" t="s">
        <v>2114</v>
      </c>
      <c r="G2310" s="8" t="s">
        <v>4758</v>
      </c>
      <c r="H2310" s="8" t="s">
        <v>2870</v>
      </c>
      <c r="I2310" s="20">
        <v>4</v>
      </c>
      <c r="J2310" s="8" t="s">
        <v>4862</v>
      </c>
      <c r="K2310" s="182">
        <v>40677</v>
      </c>
      <c r="L2310" s="8" t="s">
        <v>5743</v>
      </c>
      <c r="M2310" s="8" t="s">
        <v>2814</v>
      </c>
      <c r="N2310" s="38" t="s">
        <v>2244</v>
      </c>
      <c r="O2310" s="8" t="s">
        <v>3572</v>
      </c>
      <c r="P2310" s="4" t="e">
        <f>VLOOKUP($B2310,'D7 - NDB Impacted SPRF''s'!$E$16:$O$9929,9,FALSE)</f>
        <v>#N/A</v>
      </c>
      <c r="Q2310" s="4" t="e">
        <f>VLOOKUP($B2310,'D7 - NDB Impacted SPRF''s'!$E$16:$O$9929,10,FALSE)</f>
        <v>#N/A</v>
      </c>
      <c r="R2310" s="4" t="e">
        <f>VLOOKUP($B2310,'D7 - NDB Impacted SPRF''s'!$E$16:$O$9929,11,FALSE)</f>
        <v>#N/A</v>
      </c>
      <c r="S2310" s="8"/>
      <c r="T2310" s="310"/>
      <c r="U2310" s="310"/>
      <c r="V2310" s="4"/>
      <c r="W2310" s="4"/>
      <c r="X2310" s="4"/>
      <c r="Y2310" s="4"/>
      <c r="Z2310" s="4"/>
      <c r="AA2310" s="4"/>
      <c r="AB2310" s="383" t="e">
        <f>VLOOKUP($B2310,'D7 - NDB Impacted SPRF''s'!$E$16:$O$9929,4,FALSE)</f>
        <v>#N/A</v>
      </c>
      <c r="AC2310" s="380" t="e">
        <f>VLOOKUP($B2310,'D7 - NDB Impacted SPRF''s'!$E$16:$O$9929,3,FALSE)</f>
        <v>#N/A</v>
      </c>
      <c r="AD2310" s="380" t="e">
        <f>VLOOKUP($B2310,'D7 - NDB Impacted SPRF''s'!$E$16:$O$9929,5,FALSE)</f>
        <v>#N/A</v>
      </c>
      <c r="AE2310" s="380" t="e">
        <f>VLOOKUP($B2310,'D7 - NDB Impacted SPRF''s'!$E$16:$O$9929,7,FALSE)</f>
        <v>#N/A</v>
      </c>
      <c r="AF2310" s="380" t="e">
        <f>VLOOKUP($B2310,'D7 - NDB Impacted SPRF''s'!$E$16:$O$9929,6,FALSE)</f>
        <v>#N/A</v>
      </c>
      <c r="AG2310" s="282"/>
      <c r="AH2310" s="311" t="e">
        <f>INDEX('D5 - Gatekeeper - Projects'!$A$4:$AF$1010,$AM2310, 17)</f>
        <v>#N/A</v>
      </c>
      <c r="AI2310" s="8"/>
      <c r="AJ2310" s="57"/>
      <c r="AK2310" s="105"/>
      <c r="AM2310" s="6" t="e">
        <f>MATCH(D2310,'D5 - Gatekeeper - Projects'!$C$4:$C$1010,0)</f>
        <v>#N/A</v>
      </c>
      <c r="AN2310" s="6" t="b">
        <f t="shared" si="240"/>
        <v>1</v>
      </c>
      <c r="AO2310" s="6" t="str">
        <f t="shared" si="241"/>
        <v>OK</v>
      </c>
      <c r="AQ2310" s="6" t="e">
        <f>MATCH($D2310,'D4 - Provider Council Unsched'!$C$11:$C$234,0)</f>
        <v>#N/A</v>
      </c>
      <c r="AR2310" s="6" t="b">
        <f t="shared" si="242"/>
        <v>1</v>
      </c>
      <c r="AS2310" s="6" t="str">
        <f>IF(AND(H2310="2 - Not Scheduled",AR2310=TRUE),"Add","OK")</f>
        <v>OK</v>
      </c>
      <c r="AU2310" s="202">
        <v>40288</v>
      </c>
      <c r="AV2310" s="262" t="e">
        <v>#N/A</v>
      </c>
      <c r="AW2310" s="274"/>
    </row>
    <row r="2311" spans="1:49" s="13" customFormat="1" ht="33.75" x14ac:dyDescent="0.2">
      <c r="A2311" s="14">
        <v>2287</v>
      </c>
      <c r="B2311" s="8">
        <v>400039444</v>
      </c>
      <c r="C2311" s="8" t="s">
        <v>1447</v>
      </c>
      <c r="D2311" s="4" t="str">
        <f>CONCATENATE(B2311,C2311)</f>
        <v>400039444A</v>
      </c>
      <c r="E2311" s="309" t="str">
        <f>VLOOKUP($B2311,'D7 - NDB Impacted SPRF''s'!$E$6:$O$9929,2,FALSE)</f>
        <v>Medicaid Reclamation Identification&amp;Timely Filing</v>
      </c>
      <c r="F2311" s="8"/>
      <c r="G2311" s="8" t="s">
        <v>4758</v>
      </c>
      <c r="H2311" s="8" t="s">
        <v>2870</v>
      </c>
      <c r="I2311" s="20">
        <v>0.86</v>
      </c>
      <c r="J2311" s="8" t="s">
        <v>4862</v>
      </c>
      <c r="K2311" s="182">
        <v>40719</v>
      </c>
      <c r="L2311" s="8" t="s">
        <v>4156</v>
      </c>
      <c r="M2311" s="8" t="s">
        <v>5626</v>
      </c>
      <c r="N2311" s="38" t="s">
        <v>1197</v>
      </c>
      <c r="O2311" s="8"/>
      <c r="P2311" s="4" t="str">
        <f>VLOOKUP($B2311,'D7 - NDB Impacted SPRF''s'!$E$16:$O$9929,9,FALSE)</f>
        <v>Y</v>
      </c>
      <c r="Q2311" s="4" t="str">
        <f>VLOOKUP($B2311,'D7 - NDB Impacted SPRF''s'!$E$16:$O$9929,10,FALSE)</f>
        <v>N</v>
      </c>
      <c r="R2311" s="4" t="str">
        <f>VLOOKUP($B2311,'D7 - NDB Impacted SPRF''s'!$E$16:$O$9929,11,FALSE)</f>
        <v>N</v>
      </c>
      <c r="S2311" s="8"/>
      <c r="T2311" s="310"/>
      <c r="U2311" s="310"/>
      <c r="V2311" s="4"/>
      <c r="W2311" s="4"/>
      <c r="X2311" s="4"/>
      <c r="Y2311" s="4"/>
      <c r="Z2311" s="4"/>
      <c r="AA2311" s="4"/>
      <c r="AB2311" s="380" t="str">
        <f>VLOOKUP($B2311,'D7 - NDB Impacted SPRF''s'!$E$6:$O$9929,4,FALSE)</f>
        <v>Completed</v>
      </c>
      <c r="AC2311" s="380" t="str">
        <f>VLOOKUP($B2311,'D7 - NDB Impacted SPRF''s'!$E$6:$O$9929,3,FALSE)</f>
        <v>UnitedHealthcare Employer &amp; Individual</v>
      </c>
      <c r="AD2311" s="380" t="str">
        <f>VLOOKUP($B2311,'D7 - NDB Impacted SPRF''s'!$E$6:$O$9929,5,FALSE)</f>
        <v>Regulatory / Other</v>
      </c>
      <c r="AE2311" s="380" t="str">
        <f>VLOOKUP($B2311,'D7 - NDB Impacted SPRF''s'!$E$6:$O$9929,7,FALSE)</f>
        <v>Tim Kaja</v>
      </c>
      <c r="AF2311" s="380" t="str">
        <f>VLOOKUP($B2311,'D7 - NDB Impacted SPRF''s'!$E$6:$O$9929,6,FALSE)</f>
        <v>CHERYL STAUFFER</v>
      </c>
      <c r="AG2311" s="282"/>
      <c r="AH2311" s="311" t="e">
        <f>INDEX('D5 - Gatekeeper - Projects'!$A$4:$AF$1010,$AM2311, 17)</f>
        <v>#N/A</v>
      </c>
      <c r="AI2311" s="8"/>
      <c r="AJ2311" s="57"/>
      <c r="AK2311" s="105"/>
      <c r="AM2311" s="6" t="e">
        <f>MATCH(D2311,'D5 - Gatekeeper - Projects'!$C$4:$C$1010,0)</f>
        <v>#N/A</v>
      </c>
      <c r="AN2311" s="6" t="b">
        <f t="shared" si="240"/>
        <v>1</v>
      </c>
      <c r="AO2311" s="6" t="str">
        <f t="shared" si="241"/>
        <v>OK</v>
      </c>
      <c r="AQ2311" s="6" t="e">
        <f>MATCH($D2311,'D4 - Provider Council Unsched'!$C$11:$C$234,0)</f>
        <v>#N/A</v>
      </c>
      <c r="AR2311" s="6" t="b">
        <f t="shared" si="242"/>
        <v>1</v>
      </c>
      <c r="AS2311" s="6" t="str">
        <f>IF(AND(H2311="2 - Not Scheduled",AR2311=TRUE,C2311="R1"),"Add","OK")</f>
        <v>OK</v>
      </c>
      <c r="AU2311" s="202"/>
      <c r="AV2311" s="262"/>
      <c r="AW2311" s="274"/>
    </row>
    <row r="2312" spans="1:49" s="13" customFormat="1" ht="33.75" x14ac:dyDescent="0.2">
      <c r="A2312" s="14">
        <v>2288</v>
      </c>
      <c r="B2312" s="8">
        <v>400041808</v>
      </c>
      <c r="C2312" s="8" t="s">
        <v>1447</v>
      </c>
      <c r="D2312" s="4" t="str">
        <f>CONCATENATE(B2312,C2312)</f>
        <v>400041808A</v>
      </c>
      <c r="E2312" s="309" t="str">
        <f>VLOOKUP($B2312,'D7 - NDB Impacted SPRF''s'!$E$6:$O$9929,2,FALSE)</f>
        <v>UNO Q2 2011 Release</v>
      </c>
      <c r="F2312" s="8"/>
      <c r="G2312" s="8" t="s">
        <v>4758</v>
      </c>
      <c r="H2312" s="8" t="s">
        <v>2870</v>
      </c>
      <c r="I2312" s="20">
        <v>1.1599999999999999</v>
      </c>
      <c r="J2312" s="8" t="s">
        <v>4862</v>
      </c>
      <c r="K2312" s="182">
        <v>40719</v>
      </c>
      <c r="L2312" s="8" t="s">
        <v>4156</v>
      </c>
      <c r="M2312" s="8" t="s">
        <v>2814</v>
      </c>
      <c r="N2312" s="38"/>
      <c r="O2312" s="8"/>
      <c r="P2312" s="4" t="str">
        <f>VLOOKUP($B2312,'D7 - NDB Impacted SPRF''s'!$E$16:$O$9929,9,FALSE)</f>
        <v>N</v>
      </c>
      <c r="Q2312" s="4" t="str">
        <f>VLOOKUP($B2312,'D7 - NDB Impacted SPRF''s'!$E$16:$O$9929,10,FALSE)</f>
        <v>N</v>
      </c>
      <c r="R2312" s="4" t="str">
        <f>VLOOKUP($B2312,'D7 - NDB Impacted SPRF''s'!$E$16:$O$9929,11,FALSE)</f>
        <v>N</v>
      </c>
      <c r="S2312" s="8"/>
      <c r="T2312" s="310"/>
      <c r="U2312" s="310"/>
      <c r="V2312" s="4"/>
      <c r="W2312" s="4"/>
      <c r="X2312" s="4"/>
      <c r="Y2312" s="4"/>
      <c r="Z2312" s="4"/>
      <c r="AA2312" s="4"/>
      <c r="AB2312" s="380" t="str">
        <f>VLOOKUP($B2312,'D7 - NDB Impacted SPRF''s'!$E$6:$O$9929,4,FALSE)</f>
        <v>Completed</v>
      </c>
      <c r="AC2312" s="380" t="str">
        <f>VLOOKUP($B2312,'D7 - NDB Impacted SPRF''s'!$E$6:$O$9929,3,FALSE)</f>
        <v>UnitedHealthcare Employer &amp; Individual</v>
      </c>
      <c r="AD2312" s="380" t="str">
        <f>VLOOKUP($B2312,'D7 - NDB Impacted SPRF''s'!$E$6:$O$9929,5,FALSE)</f>
        <v>Operational Requirements</v>
      </c>
      <c r="AE2312" s="380" t="str">
        <f>VLOOKUP($B2312,'D7 - NDB Impacted SPRF''s'!$E$6:$O$9929,7,FALSE)</f>
        <v>Deb Cooledge</v>
      </c>
      <c r="AF2312" s="380" t="str">
        <f>VLOOKUP($B2312,'D7 - NDB Impacted SPRF''s'!$E$6:$O$9929,6,FALSE)</f>
        <v>Robert Wright</v>
      </c>
      <c r="AG2312" s="282"/>
      <c r="AH2312" s="311" t="e">
        <f>INDEX('D5 - Gatekeeper - Projects'!$A$4:$AF$1010,$AM2312, 17)</f>
        <v>#N/A</v>
      </c>
      <c r="AI2312" s="8"/>
      <c r="AJ2312" s="57"/>
      <c r="AK2312" s="105"/>
      <c r="AM2312" s="6" t="e">
        <f>MATCH(D2312,'D5 - Gatekeeper - Projects'!$C$4:$C$1010,0)</f>
        <v>#N/A</v>
      </c>
      <c r="AN2312" s="6" t="b">
        <f t="shared" si="240"/>
        <v>1</v>
      </c>
      <c r="AO2312" s="6" t="str">
        <f t="shared" si="241"/>
        <v>OK</v>
      </c>
      <c r="AQ2312" s="6" t="e">
        <f>MATCH($D2312,'D4 - Provider Council Unsched'!$C$11:$C$234,0)</f>
        <v>#N/A</v>
      </c>
      <c r="AR2312" s="6" t="b">
        <f t="shared" si="242"/>
        <v>1</v>
      </c>
      <c r="AS2312" s="6" t="str">
        <f>IF(AND(H2312="2 - Not Scheduled",AR2312=TRUE,C2312="R1"),"Add","OK")</f>
        <v>OK</v>
      </c>
      <c r="AU2312" s="202"/>
      <c r="AV2312" s="262"/>
      <c r="AW2312" s="274"/>
    </row>
    <row r="2313" spans="1:49" s="13" customFormat="1" x14ac:dyDescent="0.2">
      <c r="A2313" s="14">
        <v>2289</v>
      </c>
      <c r="B2313" s="14" t="s">
        <v>1193</v>
      </c>
      <c r="C2313" s="8" t="s">
        <v>5197</v>
      </c>
      <c r="D2313" s="4" t="s">
        <v>1194</v>
      </c>
      <c r="E2313" s="309" t="s">
        <v>1195</v>
      </c>
      <c r="F2313" s="8" t="s">
        <v>2114</v>
      </c>
      <c r="G2313" s="8" t="s">
        <v>4758</v>
      </c>
      <c r="H2313" s="8" t="s">
        <v>2870</v>
      </c>
      <c r="I2313" s="20">
        <v>2.2000000000000002</v>
      </c>
      <c r="J2313" s="8" t="s">
        <v>4862</v>
      </c>
      <c r="K2313" s="182">
        <v>40719</v>
      </c>
      <c r="L2313" s="8" t="s">
        <v>5743</v>
      </c>
      <c r="M2313" s="8" t="s">
        <v>2814</v>
      </c>
      <c r="N2313" s="38" t="s">
        <v>2243</v>
      </c>
      <c r="O2313" s="8" t="s">
        <v>3572</v>
      </c>
      <c r="P2313" s="4" t="e">
        <f>VLOOKUP($B2313,'D7 - NDB Impacted SPRF''s'!$E$16:$O$9929,9,FALSE)</f>
        <v>#N/A</v>
      </c>
      <c r="Q2313" s="4" t="e">
        <f>VLOOKUP($B2313,'D7 - NDB Impacted SPRF''s'!$E$16:$O$9929,10,FALSE)</f>
        <v>#N/A</v>
      </c>
      <c r="R2313" s="4" t="e">
        <f>VLOOKUP($B2313,'D7 - NDB Impacted SPRF''s'!$E$16:$O$9929,11,FALSE)</f>
        <v>#N/A</v>
      </c>
      <c r="S2313" s="8"/>
      <c r="T2313" s="310"/>
      <c r="U2313" s="310"/>
      <c r="V2313" s="4"/>
      <c r="W2313" s="4"/>
      <c r="X2313" s="4"/>
      <c r="Y2313" s="4"/>
      <c r="Z2313" s="4"/>
      <c r="AA2313" s="4"/>
      <c r="AB2313" s="383" t="e">
        <f>VLOOKUP($B2313,'D7 - NDB Impacted SPRF''s'!$E$16:$O$9929,4,FALSE)</f>
        <v>#N/A</v>
      </c>
      <c r="AC2313" s="380" t="e">
        <f>VLOOKUP($B2313,'D7 - NDB Impacted SPRF''s'!$E$16:$O$9929,3,FALSE)</f>
        <v>#N/A</v>
      </c>
      <c r="AD2313" s="380" t="e">
        <f>VLOOKUP($B2313,'D7 - NDB Impacted SPRF''s'!$E$16:$O$9929,5,FALSE)</f>
        <v>#N/A</v>
      </c>
      <c r="AE2313" s="380" t="e">
        <f>VLOOKUP($B2313,'D7 - NDB Impacted SPRF''s'!$E$16:$O$9929,7,FALSE)</f>
        <v>#N/A</v>
      </c>
      <c r="AF2313" s="380" t="e">
        <f>VLOOKUP($B2313,'D7 - NDB Impacted SPRF''s'!$E$16:$O$9929,6,FALSE)</f>
        <v>#N/A</v>
      </c>
      <c r="AG2313" s="282"/>
      <c r="AH2313" s="311" t="e">
        <f>INDEX('D5 - Gatekeeper - Projects'!$A$4:$AF$1010,$AM2313, 17)</f>
        <v>#N/A</v>
      </c>
      <c r="AI2313" s="8"/>
      <c r="AJ2313" s="57"/>
      <c r="AK2313" s="105"/>
      <c r="AM2313" s="6" t="e">
        <f>MATCH(D2313,'D5 - Gatekeeper - Projects'!$C$4:$C$1010,0)</f>
        <v>#N/A</v>
      </c>
      <c r="AN2313" s="6" t="b">
        <f t="shared" si="240"/>
        <v>1</v>
      </c>
      <c r="AO2313" s="6" t="str">
        <f t="shared" si="241"/>
        <v>OK</v>
      </c>
      <c r="AQ2313" s="6" t="e">
        <f>MATCH($D2313,'D4 - Provider Council Unsched'!$C$11:$C$234,0)</f>
        <v>#N/A</v>
      </c>
      <c r="AR2313" s="6" t="b">
        <f t="shared" si="242"/>
        <v>1</v>
      </c>
      <c r="AS2313" s="6" t="str">
        <f>IF(AND(H2313="2 - Not Scheduled",AR2313=TRUE),"Add","OK")</f>
        <v>OK</v>
      </c>
      <c r="AU2313" s="202">
        <v>40617</v>
      </c>
      <c r="AV2313" s="262" t="e">
        <v>#N/A</v>
      </c>
      <c r="AW2313" s="274"/>
    </row>
    <row r="2314" spans="1:49" s="13" customFormat="1" ht="45" x14ac:dyDescent="0.2">
      <c r="A2314" s="14">
        <v>2290</v>
      </c>
      <c r="B2314" s="14">
        <v>400028342</v>
      </c>
      <c r="C2314" s="8" t="s">
        <v>5197</v>
      </c>
      <c r="D2314" s="4" t="str">
        <f>CONCATENATE(B2314,C2314)</f>
        <v>400028342R1</v>
      </c>
      <c r="E2314" s="309" t="str">
        <f>VLOOKUP($B2314,'D7 - NDB Impacted SPRF''s'!$E$6:$O$9929,2,FALSE)</f>
        <v>CAT project to establish UFE in the Zulu region</v>
      </c>
      <c r="F2314" s="8"/>
      <c r="G2314" s="8" t="s">
        <v>4758</v>
      </c>
      <c r="H2314" s="8" t="s">
        <v>2870</v>
      </c>
      <c r="I2314" s="20">
        <v>4.5</v>
      </c>
      <c r="J2314" s="8" t="s">
        <v>4862</v>
      </c>
      <c r="K2314" s="182">
        <v>40768</v>
      </c>
      <c r="L2314" s="8" t="s">
        <v>4156</v>
      </c>
      <c r="M2314" s="8" t="s">
        <v>4450</v>
      </c>
      <c r="N2314" s="38"/>
      <c r="O2314" s="8"/>
      <c r="P2314" s="4" t="str">
        <f>VLOOKUP($B2314,'D7 - NDB Impacted SPRF''s'!$E$16:$O$9929,9,FALSE)</f>
        <v>Y</v>
      </c>
      <c r="Q2314" s="4" t="str">
        <f>VLOOKUP($B2314,'D7 - NDB Impacted SPRF''s'!$E$16:$O$9929,10,FALSE)</f>
        <v>N</v>
      </c>
      <c r="R2314" s="4" t="str">
        <f>VLOOKUP($B2314,'D7 - NDB Impacted SPRF''s'!$E$16:$O$9929,11,FALSE)</f>
        <v>N</v>
      </c>
      <c r="S2314" s="8"/>
      <c r="T2314" s="310"/>
      <c r="U2314" s="310"/>
      <c r="V2314" s="4"/>
      <c r="W2314" s="4"/>
      <c r="X2314" s="4"/>
      <c r="Y2314" s="4"/>
      <c r="Z2314" s="4"/>
      <c r="AA2314" s="4"/>
      <c r="AB2314" s="380" t="str">
        <f>VLOOKUP($B2314,'D7 - NDB Impacted SPRF''s'!$E$6:$O$9929,4,FALSE)</f>
        <v>Cancelled</v>
      </c>
      <c r="AC2314" s="380" t="str">
        <f>VLOOKUP($B2314,'D7 - NDB Impacted SPRF''s'!$E$6:$O$9929,3,FALSE)</f>
        <v>UHG IT - Enterprise Technology Services</v>
      </c>
      <c r="AD2314" s="380" t="str">
        <f>VLOOKUP($B2314,'D7 - NDB Impacted SPRF''s'!$E$6:$O$9929,5,FALSE)</f>
        <v>ASG</v>
      </c>
      <c r="AE2314" s="380" t="str">
        <f>VLOOKUP($B2314,'D7 - NDB Impacted SPRF''s'!$E$6:$O$9929,7,FALSE)</f>
        <v>Bob Preston</v>
      </c>
      <c r="AF2314" s="380" t="str">
        <f>VLOOKUP($B2314,'D7 - NDB Impacted SPRF''s'!$E$6:$O$9929,6,FALSE)</f>
        <v>EDWARD SIWICKI</v>
      </c>
      <c r="AG2314" s="282"/>
      <c r="AH2314" s="311" t="e">
        <f>INDEX('D5 - Gatekeeper - Projects'!$A$4:$AF$1010,$AM2314, 17)</f>
        <v>#N/A</v>
      </c>
      <c r="AI2314" s="8"/>
      <c r="AJ2314" s="57"/>
      <c r="AK2314" s="105"/>
      <c r="AM2314" s="6" t="e">
        <f>MATCH(D2314,'D5 - Gatekeeper - Projects'!$C$4:$C$1010,0)</f>
        <v>#N/A</v>
      </c>
      <c r="AN2314" s="6" t="b">
        <f t="shared" ref="AN2314:AN2377" si="247">ISERROR(AM2314)</f>
        <v>1</v>
      </c>
      <c r="AO2314" s="6" t="str">
        <f t="shared" ref="AO2314:AO2377" si="248">IF(AND(H2314="1 - Scheduled",AN2314=TRUE),"Add","OK")</f>
        <v>OK</v>
      </c>
      <c r="AQ2314" s="6" t="e">
        <f>MATCH($D2314,'D4 - Provider Council Unsched'!$C$11:$C$234,0)</f>
        <v>#N/A</v>
      </c>
      <c r="AR2314" s="6" t="b">
        <f t="shared" ref="AR2314:AR2377" si="249">ISERROR(AQ2314)</f>
        <v>1</v>
      </c>
      <c r="AS2314" s="6" t="str">
        <f t="shared" ref="AS2314:AS2329" si="250">IF(AND(H2314="2 - Not Scheduled",AR2314=TRUE,C2314="R1"),"Add","OK")</f>
        <v>OK</v>
      </c>
      <c r="AU2314" s="202"/>
      <c r="AV2314" s="262"/>
      <c r="AW2314" s="274"/>
    </row>
    <row r="2315" spans="1:49" s="13" customFormat="1" ht="33.75" x14ac:dyDescent="0.2">
      <c r="A2315" s="14">
        <v>2291</v>
      </c>
      <c r="B2315" s="14">
        <v>400032790</v>
      </c>
      <c r="C2315" s="8" t="s">
        <v>2449</v>
      </c>
      <c r="D2315" s="4" t="str">
        <f>CONCATENATE(B2315,C2315)</f>
        <v>400032790R3</v>
      </c>
      <c r="E2315" s="309" t="str">
        <f>VLOOKUP($B2315,'D7 - NDB Impacted SPRF''s'!$E$6:$O$9929,2,FALSE)</f>
        <v>Ovations Provider Pick Improvements</v>
      </c>
      <c r="F2315" s="8" t="s">
        <v>3925</v>
      </c>
      <c r="G2315" s="8" t="s">
        <v>4758</v>
      </c>
      <c r="H2315" s="8" t="s">
        <v>2870</v>
      </c>
      <c r="I2315" s="20">
        <v>5.333333333333333</v>
      </c>
      <c r="J2315" s="8" t="s">
        <v>4862</v>
      </c>
      <c r="K2315" s="182">
        <v>40768</v>
      </c>
      <c r="L2315" s="8" t="s">
        <v>4156</v>
      </c>
      <c r="M2315" s="8" t="s">
        <v>2814</v>
      </c>
      <c r="N2315" s="38" t="s">
        <v>1556</v>
      </c>
      <c r="O2315" s="8"/>
      <c r="P2315" s="4" t="str">
        <f>VLOOKUP($B2315,'D7 - NDB Impacted SPRF''s'!$E$16:$O$9929,9,FALSE)</f>
        <v>N</v>
      </c>
      <c r="Q2315" s="4" t="str">
        <f>VLOOKUP($B2315,'D7 - NDB Impacted SPRF''s'!$E$16:$O$9929,10,FALSE)</f>
        <v>N</v>
      </c>
      <c r="R2315" s="4" t="str">
        <f>VLOOKUP($B2315,'D7 - NDB Impacted SPRF''s'!$E$16:$O$9929,11,FALSE)</f>
        <v>N</v>
      </c>
      <c r="S2315" s="8"/>
      <c r="T2315" s="310"/>
      <c r="U2315" s="310"/>
      <c r="V2315" s="4"/>
      <c r="W2315" s="4"/>
      <c r="X2315" s="4"/>
      <c r="Y2315" s="4"/>
      <c r="Z2315" s="4"/>
      <c r="AA2315" s="4"/>
      <c r="AB2315" s="380" t="str">
        <f>VLOOKUP($B2315,'D7 - NDB Impacted SPRF''s'!$E$6:$O$9929,4,FALSE)</f>
        <v>Completed</v>
      </c>
      <c r="AC2315" s="380" t="str">
        <f>VLOOKUP($B2315,'D7 - NDB Impacted SPRF''s'!$E$6:$O$9929,3,FALSE)</f>
        <v>UnitedHealthcare Medicare &amp; Retirement</v>
      </c>
      <c r="AD2315" s="380" t="str">
        <f>VLOOKUP($B2315,'D7 - NDB Impacted SPRF''s'!$E$6:$O$9929,5,FALSE)</f>
        <v>Process Improvement</v>
      </c>
      <c r="AE2315" s="380" t="str">
        <f>VLOOKUP($B2315,'D7 - NDB Impacted SPRF''s'!$E$6:$O$9929,7,FALSE)</f>
        <v>Kelly Gilberston</v>
      </c>
      <c r="AF2315" s="380" t="str">
        <f>VLOOKUP($B2315,'D7 - NDB Impacted SPRF''s'!$E$6:$O$9929,6,FALSE)</f>
        <v>Brian Schimke</v>
      </c>
      <c r="AG2315" s="282"/>
      <c r="AH2315" s="311" t="e">
        <f>INDEX('D5 - Gatekeeper - Projects'!$A$4:$AF$1010,$AM2315, 17)</f>
        <v>#N/A</v>
      </c>
      <c r="AI2315" s="8"/>
      <c r="AJ2315" s="57"/>
      <c r="AK2315" s="105"/>
      <c r="AM2315" s="6" t="e">
        <f>MATCH(D2315,'D5 - Gatekeeper - Projects'!$C$4:$C$1010,0)</f>
        <v>#N/A</v>
      </c>
      <c r="AN2315" s="6" t="b">
        <f t="shared" si="247"/>
        <v>1</v>
      </c>
      <c r="AO2315" s="6" t="str">
        <f t="shared" si="248"/>
        <v>OK</v>
      </c>
      <c r="AQ2315" s="6" t="e">
        <f>MATCH($D2315,'D4 - Provider Council Unsched'!$C$11:$C$234,0)</f>
        <v>#N/A</v>
      </c>
      <c r="AR2315" s="6" t="b">
        <f t="shared" si="249"/>
        <v>1</v>
      </c>
      <c r="AS2315" s="6" t="str">
        <f t="shared" si="250"/>
        <v>OK</v>
      </c>
      <c r="AU2315" s="202">
        <v>40343</v>
      </c>
      <c r="AV2315" s="262"/>
      <c r="AW2315" s="274"/>
    </row>
    <row r="2316" spans="1:49" s="13" customFormat="1" ht="33.75" x14ac:dyDescent="0.2">
      <c r="A2316" s="14">
        <v>2292</v>
      </c>
      <c r="B2316" s="8">
        <v>400039254</v>
      </c>
      <c r="C2316" s="8" t="s">
        <v>1447</v>
      </c>
      <c r="D2316" s="4" t="str">
        <f>CONCATENATE(B2316,C2316)</f>
        <v>400039254A</v>
      </c>
      <c r="E2316" s="309" t="str">
        <f>VLOOKUP($B2316,'D7 - NDB Impacted SPRF''s'!$E$6:$O$9929,2,FALSE)</f>
        <v>INT AMC 1151 NDB Roll Out for Facets</v>
      </c>
      <c r="F2316" s="8"/>
      <c r="G2316" s="8" t="s">
        <v>4758</v>
      </c>
      <c r="H2316" s="8" t="s">
        <v>2870</v>
      </c>
      <c r="I2316" s="20">
        <v>2.56</v>
      </c>
      <c r="J2316" s="8" t="s">
        <v>4862</v>
      </c>
      <c r="K2316" s="182">
        <v>40768</v>
      </c>
      <c r="L2316" s="8" t="s">
        <v>4156</v>
      </c>
      <c r="M2316" s="8" t="s">
        <v>5626</v>
      </c>
      <c r="N2316" s="38" t="s">
        <v>1944</v>
      </c>
      <c r="O2316" s="8"/>
      <c r="P2316" s="4" t="str">
        <f>VLOOKUP($B2316,'D7 - NDB Impacted SPRF''s'!$E$16:$O$9929,9,FALSE)</f>
        <v>N</v>
      </c>
      <c r="Q2316" s="4" t="str">
        <f>VLOOKUP($B2316,'D7 - NDB Impacted SPRF''s'!$E$16:$O$9929,10,FALSE)</f>
        <v>N</v>
      </c>
      <c r="R2316" s="4" t="str">
        <f>VLOOKUP($B2316,'D7 - NDB Impacted SPRF''s'!$E$16:$O$9929,11,FALSE)</f>
        <v>N</v>
      </c>
      <c r="S2316" s="8"/>
      <c r="T2316" s="310"/>
      <c r="U2316" s="310"/>
      <c r="V2316" s="4"/>
      <c r="W2316" s="4"/>
      <c r="X2316" s="4"/>
      <c r="Y2316" s="4"/>
      <c r="Z2316" s="4"/>
      <c r="AA2316" s="4"/>
      <c r="AB2316" s="380" t="str">
        <f>VLOOKUP($B2316,'D7 - NDB Impacted SPRF''s'!$E$6:$O$9929,4,FALSE)</f>
        <v>Completed</v>
      </c>
      <c r="AC2316" s="380" t="str">
        <f>VLOOKUP($B2316,'D7 - NDB Impacted SPRF''s'!$E$6:$O$9929,3,FALSE)</f>
        <v>UnitedHealthcare Community &amp; State</v>
      </c>
      <c r="AD2316" s="380" t="str">
        <f>VLOOKUP($B2316,'D7 - NDB Impacted SPRF''s'!$E$6:$O$9929,5,FALSE)</f>
        <v>AmeriChoice</v>
      </c>
      <c r="AE2316" s="380" t="str">
        <f>VLOOKUP($B2316,'D7 - NDB Impacted SPRF''s'!$E$6:$O$9929,7,FALSE)</f>
        <v>Paul Balthazor</v>
      </c>
      <c r="AF2316" s="380" t="str">
        <f>VLOOKUP($B2316,'D7 - NDB Impacted SPRF''s'!$E$6:$O$9929,6,FALSE)</f>
        <v>JOSEPH TISCHIO</v>
      </c>
      <c r="AG2316" s="282"/>
      <c r="AH2316" s="311" t="e">
        <f>INDEX('D5 - Gatekeeper - Projects'!$A$4:$AF$1010,$AM2316, 17)</f>
        <v>#N/A</v>
      </c>
      <c r="AI2316" s="8"/>
      <c r="AJ2316" s="57"/>
      <c r="AK2316" s="105"/>
      <c r="AM2316" s="6" t="e">
        <f>MATCH(D2316,'D5 - Gatekeeper - Projects'!$C$4:$C$1010,0)</f>
        <v>#N/A</v>
      </c>
      <c r="AN2316" s="6" t="b">
        <f t="shared" si="247"/>
        <v>1</v>
      </c>
      <c r="AO2316" s="6" t="str">
        <f t="shared" si="248"/>
        <v>OK</v>
      </c>
      <c r="AQ2316" s="6" t="e">
        <f>MATCH($D2316,'D4 - Provider Council Unsched'!$C$11:$C$234,0)</f>
        <v>#N/A</v>
      </c>
      <c r="AR2316" s="6" t="b">
        <f t="shared" si="249"/>
        <v>1</v>
      </c>
      <c r="AS2316" s="6" t="str">
        <f t="shared" si="250"/>
        <v>OK</v>
      </c>
      <c r="AU2316" s="202">
        <v>40714</v>
      </c>
      <c r="AV2316" s="262"/>
      <c r="AW2316" s="274"/>
    </row>
    <row r="2317" spans="1:49" s="13" customFormat="1" ht="45" x14ac:dyDescent="0.2">
      <c r="A2317" s="14">
        <v>2293</v>
      </c>
      <c r="B2317" s="8">
        <v>400041026</v>
      </c>
      <c r="C2317" s="8" t="s">
        <v>1447</v>
      </c>
      <c r="D2317" s="4" t="str">
        <f>CONCATENATE(B2317,C2317)</f>
        <v>400041026A</v>
      </c>
      <c r="E2317" s="309" t="str">
        <f>VLOOKUP($B2317,'D7 - NDB Impacted SPRF''s'!$E$6:$O$9929,2,FALSE)</f>
        <v>Emptoris v8 Application Upgrade</v>
      </c>
      <c r="F2317" s="8"/>
      <c r="G2317" s="8" t="s">
        <v>4758</v>
      </c>
      <c r="H2317" s="8" t="s">
        <v>2870</v>
      </c>
      <c r="I2317" s="20">
        <v>0.53</v>
      </c>
      <c r="J2317" s="8" t="s">
        <v>4862</v>
      </c>
      <c r="K2317" s="182">
        <v>40768</v>
      </c>
      <c r="L2317" s="8" t="s">
        <v>4156</v>
      </c>
      <c r="M2317" s="8" t="s">
        <v>5626</v>
      </c>
      <c r="N2317" s="38" t="s">
        <v>999</v>
      </c>
      <c r="O2317" s="8"/>
      <c r="P2317" s="4" t="str">
        <f>VLOOKUP($B2317,'D7 - NDB Impacted SPRF''s'!$E$16:$O$9929,9,FALSE)</f>
        <v>N</v>
      </c>
      <c r="Q2317" s="4" t="str">
        <f>VLOOKUP($B2317,'D7 - NDB Impacted SPRF''s'!$E$16:$O$9929,10,FALSE)</f>
        <v>N</v>
      </c>
      <c r="R2317" s="4" t="str">
        <f>VLOOKUP($B2317,'D7 - NDB Impacted SPRF''s'!$E$16:$O$9929,11,FALSE)</f>
        <v>N</v>
      </c>
      <c r="S2317" s="8"/>
      <c r="T2317" s="310"/>
      <c r="U2317" s="310"/>
      <c r="V2317" s="4"/>
      <c r="W2317" s="4"/>
      <c r="X2317" s="4"/>
      <c r="Y2317" s="4"/>
      <c r="Z2317" s="4"/>
      <c r="AA2317" s="4"/>
      <c r="AB2317" s="380" t="str">
        <f>VLOOKUP($B2317,'D7 - NDB Impacted SPRF''s'!$E$6:$O$9929,4,FALSE)</f>
        <v>Completed</v>
      </c>
      <c r="AC2317" s="380" t="str">
        <f>VLOOKUP($B2317,'D7 - NDB Impacted SPRF''s'!$E$6:$O$9929,3,FALSE)</f>
        <v>UnitedHealthcare Employer &amp; Individual</v>
      </c>
      <c r="AD2317" s="380" t="str">
        <f>VLOOKUP($B2317,'D7 - NDB Impacted SPRF''s'!$E$6:$O$9929,5,FALSE)</f>
        <v>Operational Requirements</v>
      </c>
      <c r="AE2317" s="380" t="str">
        <f>VLOOKUP($B2317,'D7 - NDB Impacted SPRF''s'!$E$6:$O$9929,7,FALSE)</f>
        <v>Cheryl Popeck</v>
      </c>
      <c r="AF2317" s="380" t="str">
        <f>VLOOKUP($B2317,'D7 - NDB Impacted SPRF''s'!$E$6:$O$9929,6,FALSE)</f>
        <v>Shelly Heit</v>
      </c>
      <c r="AG2317" s="282"/>
      <c r="AH2317" s="311" t="e">
        <f>INDEX('D5 - Gatekeeper - Projects'!$A$4:$AF$1010,$AM2317, 17)</f>
        <v>#N/A</v>
      </c>
      <c r="AI2317" s="8"/>
      <c r="AJ2317" s="57"/>
      <c r="AK2317" s="105"/>
      <c r="AM2317" s="6" t="e">
        <f>MATCH(D2317,'D5 - Gatekeeper - Projects'!$C$4:$C$1010,0)</f>
        <v>#N/A</v>
      </c>
      <c r="AN2317" s="6" t="b">
        <f t="shared" si="247"/>
        <v>1</v>
      </c>
      <c r="AO2317" s="6" t="str">
        <f t="shared" si="248"/>
        <v>OK</v>
      </c>
      <c r="AQ2317" s="6" t="e">
        <f>MATCH($D2317,'D4 - Provider Council Unsched'!$C$11:$C$234,0)</f>
        <v>#N/A</v>
      </c>
      <c r="AR2317" s="6" t="b">
        <f t="shared" si="249"/>
        <v>1</v>
      </c>
      <c r="AS2317" s="6" t="str">
        <f t="shared" si="250"/>
        <v>OK</v>
      </c>
      <c r="AU2317" s="202"/>
      <c r="AV2317" s="262"/>
      <c r="AW2317" s="274"/>
    </row>
    <row r="2318" spans="1:49" s="13" customFormat="1" ht="90" x14ac:dyDescent="0.2">
      <c r="A2318" s="14">
        <v>2294</v>
      </c>
      <c r="B2318" s="8">
        <v>400041805</v>
      </c>
      <c r="C2318" s="8" t="s">
        <v>8138</v>
      </c>
      <c r="D2318" s="4" t="s">
        <v>1168</v>
      </c>
      <c r="E2318" s="309" t="s">
        <v>1583</v>
      </c>
      <c r="F2318" s="8"/>
      <c r="G2318" s="8" t="s">
        <v>4758</v>
      </c>
      <c r="H2318" s="8" t="s">
        <v>2870</v>
      </c>
      <c r="I2318" s="20">
        <v>1.48</v>
      </c>
      <c r="J2318" s="8" t="s">
        <v>4862</v>
      </c>
      <c r="K2318" s="182">
        <v>40768</v>
      </c>
      <c r="L2318" s="8" t="s">
        <v>4156</v>
      </c>
      <c r="M2318" s="8" t="s">
        <v>2814</v>
      </c>
      <c r="N2318" s="38" t="s">
        <v>2676</v>
      </c>
      <c r="O2318" s="8"/>
      <c r="P2318" s="309" t="s">
        <v>7479</v>
      </c>
      <c r="Q2318" s="309" t="s">
        <v>5324</v>
      </c>
      <c r="R2318" s="309" t="s">
        <v>2476</v>
      </c>
      <c r="S2318" s="309" t="s">
        <v>1584</v>
      </c>
      <c r="T2318" s="309" t="s">
        <v>7476</v>
      </c>
      <c r="U2318" s="282"/>
      <c r="V2318" s="311" t="e">
        <v>#N/A</v>
      </c>
      <c r="W2318" s="57" t="e">
        <v>#N/A</v>
      </c>
      <c r="X2318" s="105" t="e">
        <v>#N/A</v>
      </c>
      <c r="Y2318" s="6"/>
      <c r="Z2318" s="6" t="e">
        <v>#N/A</v>
      </c>
      <c r="AA2318" s="6" t="b">
        <v>1</v>
      </c>
      <c r="AB2318" s="380" t="str">
        <f>VLOOKUP($B2318,'D7 - NDB Impacted SPRF''s'!$E$6:$O$9929,4,FALSE)</f>
        <v>Completed</v>
      </c>
      <c r="AC2318" s="380" t="s">
        <v>5324</v>
      </c>
      <c r="AD2318" s="380" t="str">
        <f>VLOOKUP($B2318,'D7 - NDB Impacted SPRF''s'!$E$6:$O$9929,5,FALSE)</f>
        <v>Medical Cost Savings Programs</v>
      </c>
      <c r="AE2318" s="380" t="str">
        <f>VLOOKUP($B2318,'D7 - NDB Impacted SPRF''s'!$E$6:$O$9929,7,FALSE)</f>
        <v>Kevin Ruth / Dr.Sam Ho</v>
      </c>
      <c r="AF2318" s="380" t="str">
        <f>VLOOKUP($B2318,'D7 - NDB Impacted SPRF''s'!$E$6:$O$9929,6,FALSE)</f>
        <v>ROSS OGDEN</v>
      </c>
      <c r="AG2318" s="282"/>
      <c r="AH2318" s="311" t="e">
        <f>INDEX('D5 - Gatekeeper - Projects'!$A$4:$AF$1010,$AM2318, 17)</f>
        <v>#N/A</v>
      </c>
      <c r="AI2318" s="8"/>
      <c r="AJ2318" s="57"/>
      <c r="AK2318" s="105"/>
      <c r="AM2318" s="6" t="e">
        <f>MATCH(D2318,'D5 - Gatekeeper - Projects'!$C$4:$C$1010,0)</f>
        <v>#N/A</v>
      </c>
      <c r="AN2318" s="6" t="b">
        <f t="shared" si="247"/>
        <v>1</v>
      </c>
      <c r="AO2318" s="6" t="str">
        <f t="shared" si="248"/>
        <v>OK</v>
      </c>
      <c r="AQ2318" s="6" t="e">
        <f>MATCH($D2318,'D4 - Provider Council Unsched'!$C$11:$C$234,0)</f>
        <v>#N/A</v>
      </c>
      <c r="AR2318" s="6" t="b">
        <f t="shared" si="249"/>
        <v>1</v>
      </c>
      <c r="AS2318" s="6" t="str">
        <f t="shared" si="250"/>
        <v>OK</v>
      </c>
      <c r="AU2318" s="202">
        <v>40610</v>
      </c>
      <c r="AV2318" s="262"/>
      <c r="AW2318" s="274"/>
    </row>
    <row r="2319" spans="1:49" s="13" customFormat="1" ht="33.75" x14ac:dyDescent="0.2">
      <c r="A2319" s="14">
        <v>2295</v>
      </c>
      <c r="B2319" s="8">
        <v>400042795</v>
      </c>
      <c r="C2319" s="8" t="s">
        <v>1447</v>
      </c>
      <c r="D2319" s="4" t="str">
        <f t="shared" ref="D2319:D2329" si="251">CONCATENATE(B2319,C2319)</f>
        <v>400042795A</v>
      </c>
      <c r="E2319" s="309" t="str">
        <f>VLOOKUP($B2319,'D7 - NDB Impacted SPRF''s'!$E$6:$O$9929,2,FALSE)</f>
        <v>PDR - EVC Fee Schedule Migration to NDB</v>
      </c>
      <c r="F2319" s="8"/>
      <c r="G2319" s="8" t="s">
        <v>4758</v>
      </c>
      <c r="H2319" s="8" t="s">
        <v>2870</v>
      </c>
      <c r="I2319" s="20">
        <v>3.38</v>
      </c>
      <c r="J2319" s="8" t="s">
        <v>4862</v>
      </c>
      <c r="K2319" s="182">
        <v>40768</v>
      </c>
      <c r="L2319" s="8" t="s">
        <v>4156</v>
      </c>
      <c r="M2319" s="8" t="s">
        <v>2814</v>
      </c>
      <c r="N2319" s="38" t="s">
        <v>3117</v>
      </c>
      <c r="O2319" s="8"/>
      <c r="P2319" s="4" t="str">
        <f>VLOOKUP($B2319,'D7 - NDB Impacted SPRF''s'!$E$16:$O$9929,9,FALSE)</f>
        <v>N</v>
      </c>
      <c r="Q2319" s="4" t="str">
        <f>VLOOKUP($B2319,'D7 - NDB Impacted SPRF''s'!$E$16:$O$9929,10,FALSE)</f>
        <v>N</v>
      </c>
      <c r="R2319" s="4" t="str">
        <f>VLOOKUP($B2319,'D7 - NDB Impacted SPRF''s'!$E$16:$O$9929,11,FALSE)</f>
        <v>Y</v>
      </c>
      <c r="S2319" s="8"/>
      <c r="T2319" s="310"/>
      <c r="U2319" s="310"/>
      <c r="V2319" s="4"/>
      <c r="W2319" s="4"/>
      <c r="X2319" s="4"/>
      <c r="Y2319" s="4"/>
      <c r="Z2319" s="4"/>
      <c r="AA2319" s="4"/>
      <c r="AB2319" s="380" t="str">
        <f>VLOOKUP($B2319,'D7 - NDB Impacted SPRF''s'!$E$6:$O$9929,4,FALSE)</f>
        <v>Completed</v>
      </c>
      <c r="AC2319" s="380" t="s">
        <v>5324</v>
      </c>
      <c r="AD2319" s="380" t="str">
        <f>VLOOKUP($B2319,'D7 - NDB Impacted SPRF''s'!$E$6:$O$9929,5,FALSE)</f>
        <v>Strategic Initiatives</v>
      </c>
      <c r="AE2319" s="380" t="str">
        <f>VLOOKUP($B2319,'D7 - NDB Impacted SPRF''s'!$E$6:$O$9929,7,FALSE)</f>
        <v>Wichmann</v>
      </c>
      <c r="AF2319" s="380" t="str">
        <f>VLOOKUP($B2319,'D7 - NDB Impacted SPRF''s'!$E$6:$O$9929,6,FALSE)</f>
        <v>Joshua Ely</v>
      </c>
      <c r="AG2319" s="282"/>
      <c r="AH2319" s="311" t="e">
        <f>INDEX('D5 - Gatekeeper - Projects'!$A$4:$AF$1010,$AM2319, 17)</f>
        <v>#N/A</v>
      </c>
      <c r="AI2319" s="8"/>
      <c r="AJ2319" s="57"/>
      <c r="AK2319" s="105"/>
      <c r="AM2319" s="6" t="e">
        <f>MATCH(D2319,'D5 - Gatekeeper - Projects'!$C$4:$C$1010,0)</f>
        <v>#N/A</v>
      </c>
      <c r="AN2319" s="6" t="b">
        <f t="shared" si="247"/>
        <v>1</v>
      </c>
      <c r="AO2319" s="6" t="str">
        <f t="shared" si="248"/>
        <v>OK</v>
      </c>
      <c r="AQ2319" s="6" t="e">
        <f>MATCH($D2319,'D4 - Provider Council Unsched'!$C$11:$C$234,0)</f>
        <v>#N/A</v>
      </c>
      <c r="AR2319" s="6" t="b">
        <f t="shared" si="249"/>
        <v>1</v>
      </c>
      <c r="AS2319" s="6" t="str">
        <f t="shared" si="250"/>
        <v>OK</v>
      </c>
      <c r="AU2319" s="202"/>
      <c r="AV2319" s="262"/>
      <c r="AW2319" s="274"/>
    </row>
    <row r="2320" spans="1:49" s="13" customFormat="1" ht="56.25" x14ac:dyDescent="0.2">
      <c r="A2320" s="14">
        <v>2296</v>
      </c>
      <c r="B2320" s="8">
        <v>400039370</v>
      </c>
      <c r="C2320" s="8" t="s">
        <v>1447</v>
      </c>
      <c r="D2320" s="4" t="str">
        <f t="shared" si="251"/>
        <v>400039370A</v>
      </c>
      <c r="E2320" s="309" t="str">
        <f>VLOOKUP($B2320,'D7 - NDB Impacted SPRF''s'!$E$6:$O$9929,2,FALSE)</f>
        <v>Medicare&amp;Retirement (Cosmos) Clinical Migration</v>
      </c>
      <c r="F2320" s="8"/>
      <c r="G2320" s="8" t="s">
        <v>4758</v>
      </c>
      <c r="H2320" s="8" t="s">
        <v>2870</v>
      </c>
      <c r="I2320" s="20">
        <v>0.53</v>
      </c>
      <c r="J2320" s="8" t="s">
        <v>4862</v>
      </c>
      <c r="K2320" s="182">
        <v>40810</v>
      </c>
      <c r="L2320" s="8" t="s">
        <v>4156</v>
      </c>
      <c r="M2320" s="8" t="s">
        <v>5626</v>
      </c>
      <c r="N2320" s="38" t="s">
        <v>635</v>
      </c>
      <c r="O2320" s="8"/>
      <c r="P2320" s="4" t="str">
        <f>VLOOKUP($B2320,'D7 - NDB Impacted SPRF''s'!$E$16:$O$9929,9,FALSE)</f>
        <v>N</v>
      </c>
      <c r="Q2320" s="4" t="str">
        <f>VLOOKUP($B2320,'D7 - NDB Impacted SPRF''s'!$E$16:$O$9929,10,FALSE)</f>
        <v>N</v>
      </c>
      <c r="R2320" s="4" t="str">
        <f>VLOOKUP($B2320,'D7 - NDB Impacted SPRF''s'!$E$16:$O$9929,11,FALSE)</f>
        <v>N</v>
      </c>
      <c r="S2320" s="8"/>
      <c r="T2320" s="310"/>
      <c r="U2320" s="310"/>
      <c r="V2320" s="4"/>
      <c r="W2320" s="4"/>
      <c r="X2320" s="4"/>
      <c r="Y2320" s="4"/>
      <c r="Z2320" s="4"/>
      <c r="AA2320" s="4"/>
      <c r="AB2320" s="380" t="str">
        <f>VLOOKUP($B2320,'D7 - NDB Impacted SPRF''s'!$E$6:$O$9929,4,FALSE)</f>
        <v>Completed</v>
      </c>
      <c r="AC2320" s="380" t="str">
        <f>VLOOKUP($B2320,'D7 - NDB Impacted SPRF''s'!$E$6:$O$9929,3,FALSE)</f>
        <v>UnitedHealthcare Medicare &amp; Retirement</v>
      </c>
      <c r="AD2320" s="380" t="str">
        <f>VLOOKUP($B2320,'D7 - NDB Impacted SPRF''s'!$E$6:$O$9929,5,FALSE)</f>
        <v>Enterprise Clinical</v>
      </c>
      <c r="AE2320" s="380" t="str">
        <f>VLOOKUP($B2320,'D7 - NDB Impacted SPRF''s'!$E$6:$O$9929,7,FALSE)</f>
        <v>Sheila Nelson</v>
      </c>
      <c r="AF2320" s="380" t="str">
        <f>VLOOKUP($B2320,'D7 - NDB Impacted SPRF''s'!$E$6:$O$9929,6,FALSE)</f>
        <v>Daniel Clerkin</v>
      </c>
      <c r="AG2320" s="282"/>
      <c r="AH2320" s="311" t="e">
        <f>INDEX('D5 - Gatekeeper - Projects'!$A$4:$AF$1010,$AM2320, 17)</f>
        <v>#N/A</v>
      </c>
      <c r="AI2320" s="8"/>
      <c r="AJ2320" s="57"/>
      <c r="AK2320" s="105"/>
      <c r="AM2320" s="6" t="e">
        <f>MATCH(D2320,'D5 - Gatekeeper - Projects'!$C$4:$C$1010,0)</f>
        <v>#N/A</v>
      </c>
      <c r="AN2320" s="6" t="b">
        <f t="shared" si="247"/>
        <v>1</v>
      </c>
      <c r="AO2320" s="6" t="str">
        <f t="shared" si="248"/>
        <v>OK</v>
      </c>
      <c r="AQ2320" s="6" t="e">
        <f>MATCH($D2320,'D4 - Provider Council Unsched'!$C$11:$C$234,0)</f>
        <v>#N/A</v>
      </c>
      <c r="AR2320" s="6" t="b">
        <f t="shared" si="249"/>
        <v>1</v>
      </c>
      <c r="AS2320" s="6" t="str">
        <f t="shared" si="250"/>
        <v>OK</v>
      </c>
      <c r="AU2320" s="202">
        <v>40637</v>
      </c>
      <c r="AV2320" s="262"/>
      <c r="AW2320" s="274"/>
    </row>
    <row r="2321" spans="1:49" s="13" customFormat="1" ht="33.75" x14ac:dyDescent="0.2">
      <c r="A2321" s="14">
        <v>2297</v>
      </c>
      <c r="B2321" s="8">
        <v>400039652</v>
      </c>
      <c r="C2321" s="8" t="s">
        <v>1447</v>
      </c>
      <c r="D2321" s="4" t="str">
        <f t="shared" si="251"/>
        <v>400039652A</v>
      </c>
      <c r="E2321" s="309" t="str">
        <f>VLOOKUP($B2321,'D7 - NDB Impacted SPRF''s'!$E$6:$O$9929,2,FALSE)</f>
        <v>FL - Verify Atypical Provider NPI number requireme</v>
      </c>
      <c r="F2321" s="8"/>
      <c r="G2321" s="8" t="s">
        <v>4758</v>
      </c>
      <c r="H2321" s="8" t="s">
        <v>2870</v>
      </c>
      <c r="I2321" s="20">
        <v>0.67</v>
      </c>
      <c r="J2321" s="8" t="s">
        <v>4862</v>
      </c>
      <c r="K2321" s="182">
        <v>40810</v>
      </c>
      <c r="L2321" s="8" t="s">
        <v>4156</v>
      </c>
      <c r="M2321" s="8" t="s">
        <v>6688</v>
      </c>
      <c r="N2321" s="38" t="s">
        <v>546</v>
      </c>
      <c r="O2321" s="8"/>
      <c r="P2321" s="4" t="str">
        <f>VLOOKUP($B2321,'D7 - NDB Impacted SPRF''s'!$E$16:$O$9929,9,FALSE)</f>
        <v>N</v>
      </c>
      <c r="Q2321" s="4" t="str">
        <f>VLOOKUP($B2321,'D7 - NDB Impacted SPRF''s'!$E$16:$O$9929,10,FALSE)</f>
        <v>N</v>
      </c>
      <c r="R2321" s="4" t="str">
        <f>VLOOKUP($B2321,'D7 - NDB Impacted SPRF''s'!$E$16:$O$9929,11,FALSE)</f>
        <v>N</v>
      </c>
      <c r="S2321" s="8"/>
      <c r="T2321" s="310"/>
      <c r="U2321" s="310"/>
      <c r="V2321" s="4"/>
      <c r="W2321" s="4"/>
      <c r="X2321" s="4"/>
      <c r="Y2321" s="4"/>
      <c r="Z2321" s="4"/>
      <c r="AA2321" s="4"/>
      <c r="AB2321" s="380" t="str">
        <f>VLOOKUP($B2321,'D7 - NDB Impacted SPRF''s'!$E$6:$O$9929,4,FALSE)</f>
        <v>Cancelled</v>
      </c>
      <c r="AC2321" s="380" t="str">
        <f>VLOOKUP($B2321,'D7 - NDB Impacted SPRF''s'!$E$6:$O$9929,3,FALSE)</f>
        <v>UnitedHealthcare Community &amp; State</v>
      </c>
      <c r="AD2321" s="380" t="str">
        <f>VLOOKUP($B2321,'D7 - NDB Impacted SPRF''s'!$E$6:$O$9929,5,FALSE)</f>
        <v>Evercare Medicaid</v>
      </c>
      <c r="AE2321" s="380" t="str">
        <f>VLOOKUP($B2321,'D7 - NDB Impacted SPRF''s'!$E$6:$O$9929,7,FALSE)</f>
        <v>Mike Radu</v>
      </c>
      <c r="AF2321" s="380" t="str">
        <f>VLOOKUP($B2321,'D7 - NDB Impacted SPRF''s'!$E$6:$O$9929,6,FALSE)</f>
        <v>Carol Brunetti</v>
      </c>
      <c r="AG2321" s="282"/>
      <c r="AH2321" s="311" t="e">
        <f>INDEX('D5 - Gatekeeper - Projects'!$A$4:$AF$1010,$AM2321, 17)</f>
        <v>#N/A</v>
      </c>
      <c r="AI2321" s="8"/>
      <c r="AJ2321" s="57"/>
      <c r="AK2321" s="105"/>
      <c r="AM2321" s="6" t="e">
        <f>MATCH(D2321,'D5 - Gatekeeper - Projects'!$C$4:$C$1010,0)</f>
        <v>#N/A</v>
      </c>
      <c r="AN2321" s="6" t="b">
        <f t="shared" si="247"/>
        <v>1</v>
      </c>
      <c r="AO2321" s="6" t="str">
        <f t="shared" si="248"/>
        <v>OK</v>
      </c>
      <c r="AQ2321" s="6" t="e">
        <f>MATCH($D2321,'D4 - Provider Council Unsched'!$C$11:$C$234,0)</f>
        <v>#N/A</v>
      </c>
      <c r="AR2321" s="6" t="b">
        <f t="shared" si="249"/>
        <v>1</v>
      </c>
      <c r="AS2321" s="6" t="str">
        <f t="shared" si="250"/>
        <v>OK</v>
      </c>
      <c r="AU2321" s="202"/>
      <c r="AV2321" s="262"/>
      <c r="AW2321" s="274"/>
    </row>
    <row r="2322" spans="1:49" s="13" customFormat="1" ht="33.75" x14ac:dyDescent="0.2">
      <c r="A2322" s="14">
        <v>2298</v>
      </c>
      <c r="B2322" s="8">
        <v>400041596</v>
      </c>
      <c r="C2322" s="8" t="s">
        <v>1447</v>
      </c>
      <c r="D2322" s="4" t="str">
        <f t="shared" si="251"/>
        <v>400041596A</v>
      </c>
      <c r="E2322" s="309" t="str">
        <f>VLOOKUP($B2322,'D7 - NDB Impacted SPRF''s'!$E$6:$O$9929,2,FALSE)</f>
        <v>CSS-B2X 2011C Release</v>
      </c>
      <c r="F2322" s="8"/>
      <c r="G2322" s="8" t="s">
        <v>4758</v>
      </c>
      <c r="H2322" s="8" t="s">
        <v>2870</v>
      </c>
      <c r="I2322" s="20">
        <v>1.56</v>
      </c>
      <c r="J2322" s="8" t="s">
        <v>4862</v>
      </c>
      <c r="K2322" s="182">
        <v>40810</v>
      </c>
      <c r="L2322" s="8" t="s">
        <v>4156</v>
      </c>
      <c r="M2322" s="8" t="s">
        <v>5626</v>
      </c>
      <c r="N2322" s="38" t="s">
        <v>2679</v>
      </c>
      <c r="O2322" s="8"/>
      <c r="P2322" s="4" t="str">
        <f>VLOOKUP($B2322,'D7 - NDB Impacted SPRF''s'!$E$16:$O$9929,9,FALSE)</f>
        <v>Y</v>
      </c>
      <c r="Q2322" s="4" t="str">
        <f>VLOOKUP($B2322,'D7 - NDB Impacted SPRF''s'!$E$16:$O$9929,10,FALSE)</f>
        <v>N</v>
      </c>
      <c r="R2322" s="4" t="str">
        <f>VLOOKUP($B2322,'D7 - NDB Impacted SPRF''s'!$E$16:$O$9929,11,FALSE)</f>
        <v>N</v>
      </c>
      <c r="S2322" s="8"/>
      <c r="T2322" s="310"/>
      <c r="U2322" s="310"/>
      <c r="V2322" s="4"/>
      <c r="W2322" s="4"/>
      <c r="X2322" s="4"/>
      <c r="Y2322" s="4"/>
      <c r="Z2322" s="4"/>
      <c r="AA2322" s="4"/>
      <c r="AB2322" s="380" t="str">
        <f>VLOOKUP($B2322,'D7 - NDB Impacted SPRF''s'!$E$6:$O$9929,4,FALSE)</f>
        <v>Completed</v>
      </c>
      <c r="AC2322" s="380" t="str">
        <f>VLOOKUP($B2322,'D7 - NDB Impacted SPRF''s'!$E$6:$O$9929,3,FALSE)</f>
        <v>UnitedHealthcare Medicare &amp; Retirement</v>
      </c>
      <c r="AD2322" s="380" t="str">
        <f>VLOOKUP($B2322,'D7 - NDB Impacted SPRF''s'!$E$6:$O$9929,5,FALSE)</f>
        <v>Benefit Admin</v>
      </c>
      <c r="AE2322" s="380" t="str">
        <f>VLOOKUP($B2322,'D7 - NDB Impacted SPRF''s'!$E$6:$O$9929,7,FALSE)</f>
        <v>Cynthia Middaugh</v>
      </c>
      <c r="AF2322" s="380" t="str">
        <f>VLOOKUP($B2322,'D7 - NDB Impacted SPRF''s'!$E$6:$O$9929,6,FALSE)</f>
        <v>CHRISTINA MOSHER</v>
      </c>
      <c r="AG2322" s="282"/>
      <c r="AH2322" s="311" t="e">
        <f>INDEX('D5 - Gatekeeper - Projects'!$A$4:$AF$1010,$AM2322, 17)</f>
        <v>#N/A</v>
      </c>
      <c r="AI2322" s="8"/>
      <c r="AJ2322" s="57"/>
      <c r="AK2322" s="105"/>
      <c r="AM2322" s="6" t="e">
        <f>MATCH(D2322,'D5 - Gatekeeper - Projects'!$C$4:$C$1010,0)</f>
        <v>#N/A</v>
      </c>
      <c r="AN2322" s="6" t="b">
        <f t="shared" si="247"/>
        <v>1</v>
      </c>
      <c r="AO2322" s="6" t="str">
        <f t="shared" si="248"/>
        <v>OK</v>
      </c>
      <c r="AQ2322" s="6" t="e">
        <f>MATCH($D2322,'D4 - Provider Council Unsched'!$C$11:$C$234,0)</f>
        <v>#N/A</v>
      </c>
      <c r="AR2322" s="6" t="b">
        <f t="shared" si="249"/>
        <v>1</v>
      </c>
      <c r="AS2322" s="6" t="str">
        <f t="shared" si="250"/>
        <v>OK</v>
      </c>
      <c r="AU2322" s="202">
        <v>40590</v>
      </c>
      <c r="AV2322" s="262"/>
      <c r="AW2322" s="274"/>
    </row>
    <row r="2323" spans="1:49" s="13" customFormat="1" ht="33.75" x14ac:dyDescent="0.2">
      <c r="A2323" s="14">
        <v>2299</v>
      </c>
      <c r="B2323" s="8">
        <v>400033077</v>
      </c>
      <c r="C2323" s="8" t="s">
        <v>1447</v>
      </c>
      <c r="D2323" s="4" t="str">
        <f t="shared" si="251"/>
        <v>400033077A</v>
      </c>
      <c r="E2323" s="309" t="str">
        <f>VLOOKUP($B2323,'D7 - NDB Impacted SPRF''s'!$E$6:$O$9929,2,FALSE)</f>
        <v>UVP - Automated Provider Directory Request</v>
      </c>
      <c r="F2323" s="8"/>
      <c r="G2323" s="8" t="s">
        <v>4758</v>
      </c>
      <c r="H2323" s="8" t="s">
        <v>2870</v>
      </c>
      <c r="I2323" s="20">
        <v>15.87</v>
      </c>
      <c r="J2323" s="8" t="s">
        <v>4862</v>
      </c>
      <c r="K2323" s="182">
        <v>40859</v>
      </c>
      <c r="L2323" s="8" t="s">
        <v>4156</v>
      </c>
      <c r="M2323" s="8" t="s">
        <v>2814</v>
      </c>
      <c r="N2323" s="38" t="s">
        <v>1192</v>
      </c>
      <c r="O2323" s="8"/>
      <c r="P2323" s="4" t="str">
        <f>VLOOKUP($B2323,'D7 - NDB Impacted SPRF''s'!$E$16:$O$9929,9,FALSE)</f>
        <v>N</v>
      </c>
      <c r="Q2323" s="4" t="str">
        <f>VLOOKUP($B2323,'D7 - NDB Impacted SPRF''s'!$E$16:$O$9929,10,FALSE)</f>
        <v>N</v>
      </c>
      <c r="R2323" s="4" t="str">
        <f>VLOOKUP($B2323,'D7 - NDB Impacted SPRF''s'!$E$16:$O$9929,11,FALSE)</f>
        <v>N</v>
      </c>
      <c r="S2323" s="8"/>
      <c r="T2323" s="310"/>
      <c r="U2323" s="310"/>
      <c r="V2323" s="4"/>
      <c r="W2323" s="4"/>
      <c r="X2323" s="4"/>
      <c r="Y2323" s="4"/>
      <c r="Z2323" s="4"/>
      <c r="AA2323" s="4"/>
      <c r="AB2323" s="380" t="str">
        <f>VLOOKUP($B2323,'D7 - NDB Impacted SPRF''s'!$E$6:$O$9929,4,FALSE)</f>
        <v>Cancelled</v>
      </c>
      <c r="AC2323" s="380" t="str">
        <f>VLOOKUP($B2323,'D7 - NDB Impacted SPRF''s'!$E$6:$O$9929,3,FALSE)</f>
        <v>UnitedHealthcare Employer &amp; Individual</v>
      </c>
      <c r="AD2323" s="380" t="str">
        <f>VLOOKUP($B2323,'D7 - NDB Impacted SPRF''s'!$E$6:$O$9929,5,FALSE)</f>
        <v>Process Improvement</v>
      </c>
      <c r="AE2323" s="380" t="str">
        <f>VLOOKUP($B2323,'D7 - NDB Impacted SPRF''s'!$E$6:$O$9929,7,FALSE)</f>
        <v>Brian Schmid</v>
      </c>
      <c r="AF2323" s="380" t="str">
        <f>VLOOKUP($B2323,'D7 - NDB Impacted SPRF''s'!$E$6:$O$9929,6,FALSE)</f>
        <v>LAURIE SCHNEPPMUELLER</v>
      </c>
      <c r="AG2323" s="282"/>
      <c r="AH2323" s="311" t="e">
        <f>INDEX('D5 - Gatekeeper - Projects'!$A$4:$AF$1010,$AM2323, 17)</f>
        <v>#N/A</v>
      </c>
      <c r="AI2323" s="8"/>
      <c r="AJ2323" s="57"/>
      <c r="AK2323" s="105"/>
      <c r="AM2323" s="6" t="e">
        <f>MATCH(D2323,'D5 - Gatekeeper - Projects'!$C$4:$C$1010,0)</f>
        <v>#N/A</v>
      </c>
      <c r="AN2323" s="6" t="b">
        <f t="shared" si="247"/>
        <v>1</v>
      </c>
      <c r="AO2323" s="6" t="str">
        <f t="shared" si="248"/>
        <v>OK</v>
      </c>
      <c r="AQ2323" s="6" t="e">
        <f>MATCH($D2323,'D4 - Provider Council Unsched'!$C$11:$C$234,0)</f>
        <v>#N/A</v>
      </c>
      <c r="AR2323" s="6" t="b">
        <f t="shared" si="249"/>
        <v>1</v>
      </c>
      <c r="AS2323" s="6" t="str">
        <f t="shared" si="250"/>
        <v>OK</v>
      </c>
      <c r="AU2323" s="202"/>
      <c r="AV2323" s="262"/>
      <c r="AW2323" s="274"/>
    </row>
    <row r="2324" spans="1:49" s="13" customFormat="1" ht="33.75" x14ac:dyDescent="0.2">
      <c r="A2324" s="14">
        <v>2300</v>
      </c>
      <c r="B2324" s="8">
        <v>400037882</v>
      </c>
      <c r="C2324" s="8" t="s">
        <v>7289</v>
      </c>
      <c r="D2324" s="4" t="str">
        <f t="shared" si="251"/>
        <v>400037882D</v>
      </c>
      <c r="E2324" s="309" t="str">
        <f>VLOOKUP($B2324,'D7 - NDB Impacted SPRF''s'!$E$6:$O$9929,2,FALSE)</f>
        <v>NDB to Facets for Pittsburgh Facets/ASP</v>
      </c>
      <c r="F2324" s="8"/>
      <c r="G2324" s="8" t="s">
        <v>4758</v>
      </c>
      <c r="H2324" s="8" t="s">
        <v>2870</v>
      </c>
      <c r="I2324" s="20">
        <v>4.9800000000000004</v>
      </c>
      <c r="J2324" s="8" t="s">
        <v>4862</v>
      </c>
      <c r="K2324" s="182">
        <v>40859</v>
      </c>
      <c r="L2324" s="8" t="s">
        <v>4156</v>
      </c>
      <c r="M2324" s="8" t="s">
        <v>5626</v>
      </c>
      <c r="N2324" s="38"/>
      <c r="O2324" s="8"/>
      <c r="P2324" s="4" t="str">
        <f>VLOOKUP($B2324,'D7 - NDB Impacted SPRF''s'!$E$16:$O$9929,9,FALSE)</f>
        <v>N</v>
      </c>
      <c r="Q2324" s="4" t="str">
        <f>VLOOKUP($B2324,'D7 - NDB Impacted SPRF''s'!$E$16:$O$9929,10,FALSE)</f>
        <v>N</v>
      </c>
      <c r="R2324" s="4" t="str">
        <f>VLOOKUP($B2324,'D7 - NDB Impacted SPRF''s'!$E$16:$O$9929,11,FALSE)</f>
        <v>N</v>
      </c>
      <c r="S2324" s="8"/>
      <c r="T2324" s="310"/>
      <c r="U2324" s="310"/>
      <c r="V2324" s="4"/>
      <c r="W2324" s="4"/>
      <c r="X2324" s="4"/>
      <c r="Y2324" s="4"/>
      <c r="Z2324" s="4"/>
      <c r="AA2324" s="4"/>
      <c r="AB2324" s="380" t="str">
        <f>VLOOKUP($B2324,'D7 - NDB Impacted SPRF''s'!$E$6:$O$9929,4,FALSE)</f>
        <v>Completed</v>
      </c>
      <c r="AC2324" s="380" t="str">
        <f>VLOOKUP($B2324,'D7 - NDB Impacted SPRF''s'!$E$6:$O$9929,3,FALSE)</f>
        <v>UnitedHealthcare Community &amp; State</v>
      </c>
      <c r="AD2324" s="380" t="str">
        <f>VLOOKUP($B2324,'D7 - NDB Impacted SPRF''s'!$E$6:$O$9929,5,FALSE)</f>
        <v>AmeriChoice</v>
      </c>
      <c r="AE2324" s="380" t="str">
        <f>VLOOKUP($B2324,'D7 - NDB Impacted SPRF''s'!$E$6:$O$9929,7,FALSE)</f>
        <v>Paul Balthazor</v>
      </c>
      <c r="AF2324" s="380" t="str">
        <f>VLOOKUP($B2324,'D7 - NDB Impacted SPRF''s'!$E$6:$O$9929,6,FALSE)</f>
        <v>Carol Brunetti</v>
      </c>
      <c r="AG2324" s="282"/>
      <c r="AH2324" s="311" t="e">
        <f>INDEX('D5 - Gatekeeper - Projects'!$A$4:$AF$1010,$AM2324, 17)</f>
        <v>#N/A</v>
      </c>
      <c r="AI2324" s="8"/>
      <c r="AJ2324" s="57"/>
      <c r="AK2324" s="105"/>
      <c r="AM2324" s="6" t="e">
        <f>MATCH(D2324,'D5 - Gatekeeper - Projects'!$C$4:$C$1010,0)</f>
        <v>#N/A</v>
      </c>
      <c r="AN2324" s="6" t="b">
        <f t="shared" si="247"/>
        <v>1</v>
      </c>
      <c r="AO2324" s="6" t="str">
        <f t="shared" si="248"/>
        <v>OK</v>
      </c>
      <c r="AQ2324" s="6" t="e">
        <f>MATCH($D2324,'D4 - Provider Council Unsched'!$C$11:$C$234,0)</f>
        <v>#N/A</v>
      </c>
      <c r="AR2324" s="6" t="b">
        <f t="shared" si="249"/>
        <v>1</v>
      </c>
      <c r="AS2324" s="6" t="str">
        <f t="shared" si="250"/>
        <v>OK</v>
      </c>
      <c r="AU2324" s="202"/>
      <c r="AV2324" s="262"/>
      <c r="AW2324" s="274"/>
    </row>
    <row r="2325" spans="1:49" s="13" customFormat="1" ht="45" x14ac:dyDescent="0.2">
      <c r="A2325" s="14">
        <v>2301</v>
      </c>
      <c r="B2325" s="8">
        <v>400041330</v>
      </c>
      <c r="C2325" s="8" t="s">
        <v>7290</v>
      </c>
      <c r="D2325" s="4" t="str">
        <f t="shared" si="251"/>
        <v>400041330B</v>
      </c>
      <c r="E2325" s="309" t="str">
        <f>VLOOKUP($B2325,'D7 - NDB Impacted SPRF''s'!$E$6:$O$9929,2,FALSE)</f>
        <v>HCR - RSA Appeals Provision modifications A&amp;D</v>
      </c>
      <c r="F2325" s="8"/>
      <c r="G2325" s="8" t="s">
        <v>4758</v>
      </c>
      <c r="H2325" s="8" t="s">
        <v>2870</v>
      </c>
      <c r="I2325" s="20">
        <v>14.58</v>
      </c>
      <c r="J2325" s="8" t="s">
        <v>4862</v>
      </c>
      <c r="K2325" s="182">
        <v>40859</v>
      </c>
      <c r="L2325" s="8" t="s">
        <v>4156</v>
      </c>
      <c r="M2325" s="8" t="s">
        <v>2814</v>
      </c>
      <c r="N2325" s="38" t="s">
        <v>3603</v>
      </c>
      <c r="O2325" s="8"/>
      <c r="P2325" s="4" t="str">
        <f>VLOOKUP($B2325,'D7 - NDB Impacted SPRF''s'!$E$16:$O$9929,9,FALSE)</f>
        <v>Y</v>
      </c>
      <c r="Q2325" s="4" t="str">
        <f>VLOOKUP($B2325,'D7 - NDB Impacted SPRF''s'!$E$16:$O$9929,10,FALSE)</f>
        <v>N</v>
      </c>
      <c r="R2325" s="4" t="str">
        <f>VLOOKUP($B2325,'D7 - NDB Impacted SPRF''s'!$E$16:$O$9929,11,FALSE)</f>
        <v>N</v>
      </c>
      <c r="S2325" s="8"/>
      <c r="T2325" s="310"/>
      <c r="U2325" s="310"/>
      <c r="V2325" s="4"/>
      <c r="W2325" s="4"/>
      <c r="X2325" s="4"/>
      <c r="Y2325" s="4"/>
      <c r="Z2325" s="4"/>
      <c r="AA2325" s="4"/>
      <c r="AB2325" s="380" t="str">
        <f>VLOOKUP($B2325,'D7 - NDB Impacted SPRF''s'!$E$6:$O$9929,4,FALSE)</f>
        <v>Completed</v>
      </c>
      <c r="AC2325" s="380" t="str">
        <f>VLOOKUP($B2325,'D7 - NDB Impacted SPRF''s'!$E$6:$O$9929,3,FALSE)</f>
        <v>UnitedHealthcare Employer &amp; Individual</v>
      </c>
      <c r="AD2325" s="380" t="str">
        <f>VLOOKUP($B2325,'D7 - NDB Impacted SPRF''s'!$E$6:$O$9929,5,FALSE)</f>
        <v>Regulatory / Other</v>
      </c>
      <c r="AE2325" s="380" t="str">
        <f>VLOOKUP($B2325,'D7 - NDB Impacted SPRF''s'!$E$6:$O$9929,7,FALSE)</f>
        <v>Regis O'Neil</v>
      </c>
      <c r="AF2325" s="380" t="str">
        <f>VLOOKUP($B2325,'D7 - NDB Impacted SPRF''s'!$E$6:$O$9929,6,FALSE)</f>
        <v>Susan Smith</v>
      </c>
      <c r="AG2325" s="282"/>
      <c r="AH2325" s="311" t="e">
        <f>INDEX('D5 - Gatekeeper - Projects'!$A$4:$AF$1010,$AM2325, 17)</f>
        <v>#N/A</v>
      </c>
      <c r="AI2325" s="8"/>
      <c r="AJ2325" s="57"/>
      <c r="AK2325" s="105"/>
      <c r="AM2325" s="6" t="e">
        <f>MATCH(D2325,'D5 - Gatekeeper - Projects'!$C$4:$C$1010,0)</f>
        <v>#N/A</v>
      </c>
      <c r="AN2325" s="6" t="b">
        <f t="shared" si="247"/>
        <v>1</v>
      </c>
      <c r="AO2325" s="6" t="str">
        <f t="shared" si="248"/>
        <v>OK</v>
      </c>
      <c r="AQ2325" s="6" t="e">
        <f>MATCH($D2325,'D4 - Provider Council Unsched'!$C$11:$C$234,0)</f>
        <v>#N/A</v>
      </c>
      <c r="AR2325" s="6" t="b">
        <f t="shared" si="249"/>
        <v>1</v>
      </c>
      <c r="AS2325" s="6" t="str">
        <f t="shared" si="250"/>
        <v>OK</v>
      </c>
      <c r="AU2325" s="202">
        <v>40680</v>
      </c>
      <c r="AV2325" s="262"/>
      <c r="AW2325" s="274"/>
    </row>
    <row r="2326" spans="1:49" s="13" customFormat="1" ht="33.75" x14ac:dyDescent="0.2">
      <c r="A2326" s="14">
        <v>2302</v>
      </c>
      <c r="B2326" s="8">
        <v>400041330</v>
      </c>
      <c r="C2326" s="8" t="s">
        <v>8138</v>
      </c>
      <c r="D2326" s="4" t="str">
        <f t="shared" si="251"/>
        <v>400041330UA</v>
      </c>
      <c r="E2326" s="309" t="str">
        <f>VLOOKUP($B2326,'D7 - NDB Impacted SPRF''s'!$E$6:$O$9929,2,FALSE)</f>
        <v>HCR - RSA Appeals Provision modifications A&amp;D</v>
      </c>
      <c r="F2326" s="8"/>
      <c r="G2326" s="8" t="s">
        <v>4758</v>
      </c>
      <c r="H2326" s="8" t="s">
        <v>2870</v>
      </c>
      <c r="I2326" s="20">
        <v>1.46</v>
      </c>
      <c r="J2326" s="8" t="s">
        <v>4862</v>
      </c>
      <c r="K2326" s="182">
        <v>40859</v>
      </c>
      <c r="L2326" s="8" t="s">
        <v>4156</v>
      </c>
      <c r="M2326" s="8" t="s">
        <v>2814</v>
      </c>
      <c r="N2326" s="38" t="s">
        <v>3604</v>
      </c>
      <c r="O2326" s="8"/>
      <c r="P2326" s="4" t="str">
        <f>VLOOKUP($B2326,'D7 - NDB Impacted SPRF''s'!$E$16:$O$9929,9,FALSE)</f>
        <v>Y</v>
      </c>
      <c r="Q2326" s="4" t="str">
        <f>VLOOKUP($B2326,'D7 - NDB Impacted SPRF''s'!$E$16:$O$9929,10,FALSE)</f>
        <v>N</v>
      </c>
      <c r="R2326" s="4" t="str">
        <f>VLOOKUP($B2326,'D7 - NDB Impacted SPRF''s'!$E$16:$O$9929,11,FALSE)</f>
        <v>N</v>
      </c>
      <c r="S2326" s="8"/>
      <c r="T2326" s="310"/>
      <c r="U2326" s="310"/>
      <c r="V2326" s="4"/>
      <c r="W2326" s="4"/>
      <c r="X2326" s="4"/>
      <c r="Y2326" s="4"/>
      <c r="Z2326" s="4"/>
      <c r="AA2326" s="4"/>
      <c r="AB2326" s="380" t="str">
        <f>VLOOKUP($B2326,'D7 - NDB Impacted SPRF''s'!$E$6:$O$9929,4,FALSE)</f>
        <v>Completed</v>
      </c>
      <c r="AC2326" s="380" t="str">
        <f>VLOOKUP($B2326,'D7 - NDB Impacted SPRF''s'!$E$6:$O$9929,3,FALSE)</f>
        <v>UnitedHealthcare Employer &amp; Individual</v>
      </c>
      <c r="AD2326" s="380" t="str">
        <f>VLOOKUP($B2326,'D7 - NDB Impacted SPRF''s'!$E$6:$O$9929,5,FALSE)</f>
        <v>Regulatory / Other</v>
      </c>
      <c r="AE2326" s="380" t="str">
        <f>VLOOKUP($B2326,'D7 - NDB Impacted SPRF''s'!$E$6:$O$9929,7,FALSE)</f>
        <v>Regis O'Neil</v>
      </c>
      <c r="AF2326" s="380" t="str">
        <f>VLOOKUP($B2326,'D7 - NDB Impacted SPRF''s'!$E$6:$O$9929,6,FALSE)</f>
        <v>Susan Smith</v>
      </c>
      <c r="AG2326" s="282"/>
      <c r="AH2326" s="311" t="e">
        <f>INDEX('D5 - Gatekeeper - Projects'!$A$4:$AF$1010,$AM2326, 17)</f>
        <v>#N/A</v>
      </c>
      <c r="AI2326" s="8"/>
      <c r="AJ2326" s="57"/>
      <c r="AK2326" s="105"/>
      <c r="AM2326" s="6" t="e">
        <f>MATCH(D2326,'D5 - Gatekeeper - Projects'!$C$4:$C$1010,0)</f>
        <v>#N/A</v>
      </c>
      <c r="AN2326" s="6" t="b">
        <f t="shared" si="247"/>
        <v>1</v>
      </c>
      <c r="AO2326" s="6" t="str">
        <f t="shared" si="248"/>
        <v>OK</v>
      </c>
      <c r="AQ2326" s="6" t="e">
        <f>MATCH($D2326,'D4 - Provider Council Unsched'!$C$11:$C$234,0)</f>
        <v>#N/A</v>
      </c>
      <c r="AR2326" s="6" t="b">
        <f t="shared" si="249"/>
        <v>1</v>
      </c>
      <c r="AS2326" s="6" t="str">
        <f t="shared" si="250"/>
        <v>OK</v>
      </c>
      <c r="AU2326" s="202">
        <v>40680</v>
      </c>
      <c r="AV2326" s="262"/>
      <c r="AW2326" s="274"/>
    </row>
    <row r="2327" spans="1:49" s="13" customFormat="1" ht="67.5" x14ac:dyDescent="0.2">
      <c r="A2327" s="14">
        <v>2303</v>
      </c>
      <c r="B2327" s="8">
        <v>400041805</v>
      </c>
      <c r="C2327" s="8" t="s">
        <v>7292</v>
      </c>
      <c r="D2327" s="4" t="str">
        <f t="shared" si="251"/>
        <v>400041805C</v>
      </c>
      <c r="E2327" s="309" t="str">
        <f>VLOOKUP($B2327,'D7 - NDB Impacted SPRF''s'!$E$6:$O$9929,2,FALSE)</f>
        <v>Medical Necessity-Foundational CoreMed Prior Auth</v>
      </c>
      <c r="F2327" s="8"/>
      <c r="G2327" s="8" t="s">
        <v>4758</v>
      </c>
      <c r="H2327" s="8" t="s">
        <v>2870</v>
      </c>
      <c r="I2327" s="20">
        <v>10.15</v>
      </c>
      <c r="J2327" s="8" t="s">
        <v>4862</v>
      </c>
      <c r="K2327" s="182">
        <v>40859</v>
      </c>
      <c r="L2327" s="8" t="s">
        <v>4156</v>
      </c>
      <c r="M2327" s="8" t="s">
        <v>2814</v>
      </c>
      <c r="N2327" s="38" t="s">
        <v>773</v>
      </c>
      <c r="O2327" s="8"/>
      <c r="P2327" s="4" t="str">
        <f>VLOOKUP($B2327,'D7 - NDB Impacted SPRF''s'!$E$16:$O$9929,9,FALSE)</f>
        <v>Y</v>
      </c>
      <c r="Q2327" s="4" t="str">
        <f>VLOOKUP($B2327,'D7 - NDB Impacted SPRF''s'!$E$16:$O$9929,10,FALSE)</f>
        <v>N</v>
      </c>
      <c r="R2327" s="4" t="str">
        <f>VLOOKUP($B2327,'D7 - NDB Impacted SPRF''s'!$E$16:$O$9929,11,FALSE)</f>
        <v>Y</v>
      </c>
      <c r="S2327" s="8"/>
      <c r="T2327" s="310"/>
      <c r="U2327" s="310"/>
      <c r="V2327" s="4"/>
      <c r="W2327" s="4"/>
      <c r="X2327" s="4"/>
      <c r="Y2327" s="4"/>
      <c r="Z2327" s="4"/>
      <c r="AA2327" s="4"/>
      <c r="AB2327" s="380" t="str">
        <f>VLOOKUP($B2327,'D7 - NDB Impacted SPRF''s'!$E$6:$O$9929,4,FALSE)</f>
        <v>Completed</v>
      </c>
      <c r="AC2327" s="380" t="s">
        <v>5324</v>
      </c>
      <c r="AD2327" s="380" t="str">
        <f>VLOOKUP($B2327,'D7 - NDB Impacted SPRF''s'!$E$6:$O$9929,5,FALSE)</f>
        <v>Medical Cost Savings Programs</v>
      </c>
      <c r="AE2327" s="380" t="str">
        <f>VLOOKUP($B2327,'D7 - NDB Impacted SPRF''s'!$E$6:$O$9929,7,FALSE)</f>
        <v>Kevin Ruth / Dr.Sam Ho</v>
      </c>
      <c r="AF2327" s="380" t="str">
        <f>VLOOKUP($B2327,'D7 - NDB Impacted SPRF''s'!$E$6:$O$9929,6,FALSE)</f>
        <v>ROSS OGDEN</v>
      </c>
      <c r="AG2327" s="282"/>
      <c r="AH2327" s="311" t="e">
        <f>INDEX('D5 - Gatekeeper - Projects'!$A$4:$AF$1010,$AM2327, 17)</f>
        <v>#N/A</v>
      </c>
      <c r="AI2327" s="8"/>
      <c r="AJ2327" s="57"/>
      <c r="AK2327" s="105"/>
      <c r="AM2327" s="6" t="e">
        <f>MATCH(D2327,'D5 - Gatekeeper - Projects'!$C$4:$C$1010,0)</f>
        <v>#N/A</v>
      </c>
      <c r="AN2327" s="6" t="b">
        <f t="shared" si="247"/>
        <v>1</v>
      </c>
      <c r="AO2327" s="6" t="str">
        <f t="shared" si="248"/>
        <v>OK</v>
      </c>
      <c r="AQ2327" s="6" t="e">
        <f>MATCH($D2327,'D4 - Provider Council Unsched'!$C$11:$C$234,0)</f>
        <v>#N/A</v>
      </c>
      <c r="AR2327" s="6" t="b">
        <f t="shared" si="249"/>
        <v>1</v>
      </c>
      <c r="AS2327" s="6" t="str">
        <f t="shared" si="250"/>
        <v>OK</v>
      </c>
      <c r="AU2327" s="202">
        <v>40725</v>
      </c>
      <c r="AV2327" s="262"/>
      <c r="AW2327" s="274"/>
    </row>
    <row r="2328" spans="1:49" s="13" customFormat="1" ht="33.75" x14ac:dyDescent="0.2">
      <c r="A2328" s="14">
        <v>2304</v>
      </c>
      <c r="B2328" s="8">
        <v>400043458</v>
      </c>
      <c r="C2328" s="8" t="s">
        <v>1447</v>
      </c>
      <c r="D2328" s="4" t="str">
        <f t="shared" si="251"/>
        <v>400043458A</v>
      </c>
      <c r="E2328" s="309" t="str">
        <f>VLOOKUP($B2328,'D7 - NDB Impacted SPRF''s'!$E$6:$O$9929,2,FALSE)</f>
        <v>Medical Necessity – CoreMed Prior Auth Phase 2</v>
      </c>
      <c r="F2328" s="8"/>
      <c r="G2328" s="8" t="s">
        <v>4758</v>
      </c>
      <c r="H2328" s="8" t="s">
        <v>2870</v>
      </c>
      <c r="I2328" s="20">
        <v>15.57</v>
      </c>
      <c r="J2328" s="8" t="s">
        <v>4862</v>
      </c>
      <c r="K2328" s="182">
        <v>40859</v>
      </c>
      <c r="L2328" s="8" t="s">
        <v>4156</v>
      </c>
      <c r="M2328" s="8" t="s">
        <v>2814</v>
      </c>
      <c r="N2328" s="38" t="s">
        <v>5379</v>
      </c>
      <c r="O2328" s="8"/>
      <c r="P2328" s="4" t="str">
        <f>VLOOKUP($B2328,'D7 - NDB Impacted SPRF''s'!$E$16:$O$9929,9,FALSE)</f>
        <v>Y</v>
      </c>
      <c r="Q2328" s="4" t="str">
        <f>VLOOKUP($B2328,'D7 - NDB Impacted SPRF''s'!$E$16:$O$9929,10,FALSE)</f>
        <v>N</v>
      </c>
      <c r="R2328" s="4" t="str">
        <f>VLOOKUP($B2328,'D7 - NDB Impacted SPRF''s'!$E$16:$O$9929,11,FALSE)</f>
        <v>Y</v>
      </c>
      <c r="S2328" s="8"/>
      <c r="T2328" s="310"/>
      <c r="U2328" s="310"/>
      <c r="V2328" s="4"/>
      <c r="W2328" s="4"/>
      <c r="X2328" s="4"/>
      <c r="Y2328" s="4"/>
      <c r="Z2328" s="4"/>
      <c r="AA2328" s="4"/>
      <c r="AB2328" s="380" t="str">
        <f>VLOOKUP($B2328,'D7 - NDB Impacted SPRF''s'!$E$6:$O$9929,4,FALSE)</f>
        <v>Completed</v>
      </c>
      <c r="AC2328" s="380" t="str">
        <f>VLOOKUP($B2328,'D7 - NDB Impacted SPRF''s'!$E$6:$O$9929,3,FALSE)</f>
        <v>UnitedHealthcare Employer &amp; Individual</v>
      </c>
      <c r="AD2328" s="380" t="str">
        <f>VLOOKUP($B2328,'D7 - NDB Impacted SPRF''s'!$E$6:$O$9929,5,FALSE)</f>
        <v>Medical Cost Savings Programs</v>
      </c>
      <c r="AE2328" s="380" t="str">
        <f>VLOOKUP($B2328,'D7 - NDB Impacted SPRF''s'!$E$6:$O$9929,7,FALSE)</f>
        <v>Dr Sam Ho/Kevin Ruth</v>
      </c>
      <c r="AF2328" s="380" t="str">
        <f>VLOOKUP($B2328,'D7 - NDB Impacted SPRF''s'!$E$6:$O$9929,6,FALSE)</f>
        <v>ROSS OGDEN</v>
      </c>
      <c r="AG2328" s="282"/>
      <c r="AH2328" s="311" t="e">
        <f>INDEX('D5 - Gatekeeper - Projects'!$A$4:$AF$1010,$AM2328, 17)</f>
        <v>#N/A</v>
      </c>
      <c r="AI2328" s="8"/>
      <c r="AJ2328" s="57"/>
      <c r="AK2328" s="105"/>
      <c r="AM2328" s="6" t="e">
        <f>MATCH(D2328,'D5 - Gatekeeper - Projects'!$C$4:$C$1010,0)</f>
        <v>#N/A</v>
      </c>
      <c r="AN2328" s="6" t="b">
        <f t="shared" si="247"/>
        <v>1</v>
      </c>
      <c r="AO2328" s="6" t="str">
        <f t="shared" si="248"/>
        <v>OK</v>
      </c>
      <c r="AQ2328" s="6" t="e">
        <f>MATCH($D2328,'D4 - Provider Council Unsched'!$C$11:$C$234,0)</f>
        <v>#N/A</v>
      </c>
      <c r="AR2328" s="6" t="b">
        <f t="shared" si="249"/>
        <v>1</v>
      </c>
      <c r="AS2328" s="6" t="str">
        <f t="shared" si="250"/>
        <v>OK</v>
      </c>
      <c r="AU2328" s="202">
        <v>40690</v>
      </c>
      <c r="AV2328" s="262"/>
      <c r="AW2328" s="274"/>
    </row>
    <row r="2329" spans="1:49" s="13" customFormat="1" ht="45" x14ac:dyDescent="0.2">
      <c r="A2329" s="14">
        <v>2305</v>
      </c>
      <c r="B2329" s="8">
        <v>400044755</v>
      </c>
      <c r="C2329" s="8" t="s">
        <v>8138</v>
      </c>
      <c r="D2329" s="4" t="str">
        <f t="shared" si="251"/>
        <v>400044755UA</v>
      </c>
      <c r="E2329" s="309" t="str">
        <f>VLOOKUP($B2329,'D7 - NDB Impacted SPRF''s'!$E$6:$O$9929,2,FALSE)</f>
        <v>2011 EPDL KTLO Shared Provider</v>
      </c>
      <c r="F2329" s="8"/>
      <c r="G2329" s="8" t="s">
        <v>4758</v>
      </c>
      <c r="H2329" s="8" t="s">
        <v>2870</v>
      </c>
      <c r="I2329" s="20">
        <v>1</v>
      </c>
      <c r="J2329" s="8" t="s">
        <v>4862</v>
      </c>
      <c r="K2329" s="182">
        <v>40859</v>
      </c>
      <c r="L2329" s="8" t="s">
        <v>4156</v>
      </c>
      <c r="M2329" s="8" t="s">
        <v>2814</v>
      </c>
      <c r="N2329" s="38" t="s">
        <v>3099</v>
      </c>
      <c r="O2329" s="8"/>
      <c r="P2329" s="4" t="str">
        <f>VLOOKUP($B2329,'D7 - NDB Impacted SPRF''s'!$E$16:$O$9929,9,FALSE)</f>
        <v>N</v>
      </c>
      <c r="Q2329" s="4" t="str">
        <f>VLOOKUP($B2329,'D7 - NDB Impacted SPRF''s'!$E$16:$O$9929,10,FALSE)</f>
        <v>N</v>
      </c>
      <c r="R2329" s="4" t="str">
        <f>VLOOKUP($B2329,'D7 - NDB Impacted SPRF''s'!$E$16:$O$9929,11,FALSE)</f>
        <v>N</v>
      </c>
      <c r="S2329" s="8"/>
      <c r="T2329" s="310"/>
      <c r="U2329" s="310"/>
      <c r="V2329" s="4"/>
      <c r="W2329" s="4"/>
      <c r="X2329" s="4"/>
      <c r="Y2329" s="4"/>
      <c r="Z2329" s="4"/>
      <c r="AA2329" s="4"/>
      <c r="AB2329" s="380" t="str">
        <f>VLOOKUP($B2329,'D7 - NDB Impacted SPRF''s'!$E$6:$O$9929,4,FALSE)</f>
        <v>Completed</v>
      </c>
      <c r="AC2329" s="380" t="str">
        <f>VLOOKUP($B2329,'D7 - NDB Impacted SPRF''s'!$E$6:$O$9929,3,FALSE)</f>
        <v>UHG IT - Enterprise Technology Services</v>
      </c>
      <c r="AD2329" s="380" t="str">
        <f>VLOOKUP($B2329,'D7 - NDB Impacted SPRF''s'!$E$6:$O$9929,5,FALSE)</f>
        <v>Strategic Initiatives</v>
      </c>
      <c r="AE2329" s="380" t="str">
        <f>VLOOKUP($B2329,'D7 - NDB Impacted SPRF''s'!$E$6:$O$9929,7,FALSE)</f>
        <v>Dave Wichmann</v>
      </c>
      <c r="AF2329" s="380" t="str">
        <f>VLOOKUP($B2329,'D7 - NDB Impacted SPRF''s'!$E$6:$O$9929,6,FALSE)</f>
        <v>LINK KAREN</v>
      </c>
      <c r="AG2329" s="282"/>
      <c r="AH2329" s="311" t="e">
        <f>INDEX('D5 - Gatekeeper - Projects'!$A$4:$AF$1010,$AM2329, 17)</f>
        <v>#N/A</v>
      </c>
      <c r="AI2329" s="8"/>
      <c r="AJ2329" s="57"/>
      <c r="AK2329" s="105"/>
      <c r="AM2329" s="6" t="e">
        <f>MATCH(D2329,'D5 - Gatekeeper - Projects'!$C$4:$C$1010,0)</f>
        <v>#N/A</v>
      </c>
      <c r="AN2329" s="6" t="b">
        <f t="shared" si="247"/>
        <v>1</v>
      </c>
      <c r="AO2329" s="6" t="str">
        <f t="shared" si="248"/>
        <v>OK</v>
      </c>
      <c r="AQ2329" s="6" t="e">
        <f>MATCH($D2329,'D4 - Provider Council Unsched'!$C$11:$C$234,0)</f>
        <v>#N/A</v>
      </c>
      <c r="AR2329" s="6" t="b">
        <f t="shared" si="249"/>
        <v>1</v>
      </c>
      <c r="AS2329" s="6" t="str">
        <f t="shared" si="250"/>
        <v>OK</v>
      </c>
      <c r="AU2329" s="202">
        <v>40770</v>
      </c>
      <c r="AV2329" s="262"/>
      <c r="AW2329" s="274"/>
    </row>
    <row r="2330" spans="1:49" s="13" customFormat="1" x14ac:dyDescent="0.2">
      <c r="A2330" s="14">
        <v>2306</v>
      </c>
      <c r="B2330" s="14" t="s">
        <v>3124</v>
      </c>
      <c r="C2330" s="8" t="s">
        <v>5197</v>
      </c>
      <c r="D2330" s="4" t="s">
        <v>3128</v>
      </c>
      <c r="E2330" s="309" t="s">
        <v>2918</v>
      </c>
      <c r="F2330" s="8" t="s">
        <v>2114</v>
      </c>
      <c r="G2330" s="8" t="s">
        <v>4758</v>
      </c>
      <c r="H2330" s="8" t="s">
        <v>2870</v>
      </c>
      <c r="I2330" s="20">
        <v>4</v>
      </c>
      <c r="J2330" s="8" t="s">
        <v>4862</v>
      </c>
      <c r="K2330" s="182">
        <v>40859</v>
      </c>
      <c r="L2330" s="8" t="s">
        <v>5743</v>
      </c>
      <c r="M2330" s="8" t="s">
        <v>2814</v>
      </c>
      <c r="N2330" s="38" t="s">
        <v>1003</v>
      </c>
      <c r="O2330" s="8" t="s">
        <v>3572</v>
      </c>
      <c r="P2330" s="4" t="e">
        <f>VLOOKUP($B2330,'D7 - NDB Impacted SPRF''s'!$E$16:$O$9929,9,FALSE)</f>
        <v>#N/A</v>
      </c>
      <c r="Q2330" s="4" t="e">
        <f>VLOOKUP($B2330,'D7 - NDB Impacted SPRF''s'!$E$16:$O$9929,10,FALSE)</f>
        <v>#N/A</v>
      </c>
      <c r="R2330" s="4" t="e">
        <f>VLOOKUP($B2330,'D7 - NDB Impacted SPRF''s'!$E$16:$O$9929,11,FALSE)</f>
        <v>#N/A</v>
      </c>
      <c r="S2330" s="8"/>
      <c r="T2330" s="310"/>
      <c r="U2330" s="310"/>
      <c r="V2330" s="4"/>
      <c r="W2330" s="4"/>
      <c r="X2330" s="4"/>
      <c r="Y2330" s="4"/>
      <c r="Z2330" s="4"/>
      <c r="AA2330" s="4"/>
      <c r="AB2330" s="383" t="e">
        <f>VLOOKUP($B2330,'D7 - NDB Impacted SPRF''s'!$E$16:$O$9929,4,FALSE)</f>
        <v>#N/A</v>
      </c>
      <c r="AC2330" s="380" t="e">
        <f>VLOOKUP($B2330,'D7 - NDB Impacted SPRF''s'!$E$16:$O$9929,3,FALSE)</f>
        <v>#N/A</v>
      </c>
      <c r="AD2330" s="380" t="e">
        <f>VLOOKUP($B2330,'D7 - NDB Impacted SPRF''s'!$E$16:$O$9929,5,FALSE)</f>
        <v>#N/A</v>
      </c>
      <c r="AE2330" s="380" t="e">
        <f>VLOOKUP($B2330,'D7 - NDB Impacted SPRF''s'!$E$16:$O$9929,7,FALSE)</f>
        <v>#N/A</v>
      </c>
      <c r="AF2330" s="380" t="e">
        <f>VLOOKUP($B2330,'D7 - NDB Impacted SPRF''s'!$E$16:$O$9929,6,FALSE)</f>
        <v>#N/A</v>
      </c>
      <c r="AG2330" s="282"/>
      <c r="AH2330" s="311" t="e">
        <f>INDEX('D5 - Gatekeeper - Projects'!$A$4:$AF$1010,$AM2330, 17)</f>
        <v>#N/A</v>
      </c>
      <c r="AI2330" s="8"/>
      <c r="AJ2330" s="57"/>
      <c r="AK2330" s="105"/>
      <c r="AM2330" s="6" t="e">
        <f>MATCH(D2330,'D5 - Gatekeeper - Projects'!$C$4:$C$1010,0)</f>
        <v>#N/A</v>
      </c>
      <c r="AN2330" s="6" t="b">
        <f t="shared" si="247"/>
        <v>1</v>
      </c>
      <c r="AO2330" s="6" t="str">
        <f t="shared" si="248"/>
        <v>OK</v>
      </c>
      <c r="AQ2330" s="6" t="e">
        <f>MATCH($D2330,'D4 - Provider Council Unsched'!$C$11:$C$234,0)</f>
        <v>#N/A</v>
      </c>
      <c r="AR2330" s="6" t="b">
        <f t="shared" si="249"/>
        <v>1</v>
      </c>
      <c r="AS2330" s="6" t="str">
        <f>IF(AND(H2330="2 - Not Scheduled",AR2330=TRUE),"Add","OK")</f>
        <v>OK</v>
      </c>
      <c r="AU2330" s="202">
        <v>40665</v>
      </c>
      <c r="AV2330" s="262"/>
      <c r="AW2330" s="274"/>
    </row>
    <row r="2331" spans="1:49" s="13" customFormat="1" ht="33.75" x14ac:dyDescent="0.2">
      <c r="A2331" s="14">
        <v>2307</v>
      </c>
      <c r="B2331" s="14">
        <v>400033231</v>
      </c>
      <c r="C2331" s="8" t="s">
        <v>4926</v>
      </c>
      <c r="D2331" s="4" t="str">
        <f t="shared" ref="D2331:D2394" si="252">CONCATENATE(B2331,C2331)</f>
        <v>400033231R4</v>
      </c>
      <c r="E2331" s="309" t="str">
        <f>VLOOKUP($B2331,'D7 - NDB Impacted SPRF''s'!$E$6:$O$9929,2,FALSE)</f>
        <v>HIPAA 5010-UHC-835 RA</v>
      </c>
      <c r="F2331" s="8" t="s">
        <v>1595</v>
      </c>
      <c r="G2331" s="8" t="s">
        <v>4758</v>
      </c>
      <c r="H2331" s="8" t="s">
        <v>2870</v>
      </c>
      <c r="I2331" s="20">
        <v>3.3</v>
      </c>
      <c r="J2331" s="8" t="s">
        <v>4862</v>
      </c>
      <c r="K2331" s="182">
        <v>40950</v>
      </c>
      <c r="L2331" s="8" t="s">
        <v>4156</v>
      </c>
      <c r="M2331" s="8" t="s">
        <v>2814</v>
      </c>
      <c r="N2331" s="38" t="s">
        <v>2210</v>
      </c>
      <c r="O2331" s="8"/>
      <c r="P2331" s="4" t="str">
        <f>VLOOKUP($B2331,'D7 - NDB Impacted SPRF''s'!$E$16:$O$9929,9,FALSE)</f>
        <v>Y</v>
      </c>
      <c r="Q2331" s="4" t="str">
        <f>VLOOKUP($B2331,'D7 - NDB Impacted SPRF''s'!$E$16:$O$9929,10,FALSE)</f>
        <v>N</v>
      </c>
      <c r="R2331" s="4" t="str">
        <f>VLOOKUP($B2331,'D7 - NDB Impacted SPRF''s'!$E$16:$O$9929,11,FALSE)</f>
        <v>Y</v>
      </c>
      <c r="S2331" s="8"/>
      <c r="T2331" s="310"/>
      <c r="U2331" s="310"/>
      <c r="V2331" s="4"/>
      <c r="W2331" s="4"/>
      <c r="X2331" s="4"/>
      <c r="Y2331" s="4"/>
      <c r="Z2331" s="4"/>
      <c r="AA2331" s="4"/>
      <c r="AB2331" s="380" t="str">
        <f>VLOOKUP($B2331,'D7 - NDB Impacted SPRF''s'!$E$6:$O$9929,4,FALSE)</f>
        <v>Completed</v>
      </c>
      <c r="AC2331" s="380" t="str">
        <f>VLOOKUP($B2331,'D7 - NDB Impacted SPRF''s'!$E$6:$O$9929,3,FALSE)</f>
        <v>UnitedHealthcare Employer &amp; Individual</v>
      </c>
      <c r="AD2331" s="380" t="str">
        <f>VLOOKUP($B2331,'D7 - NDB Impacted SPRF''s'!$E$6:$O$9929,5,FALSE)</f>
        <v>HIPAA 5010</v>
      </c>
      <c r="AE2331" s="380" t="str">
        <f>VLOOKUP($B2331,'D7 - NDB Impacted SPRF''s'!$E$6:$O$9929,7,FALSE)</f>
        <v>Tim Kaja</v>
      </c>
      <c r="AF2331" s="380" t="str">
        <f>VLOOKUP($B2331,'D7 - NDB Impacted SPRF''s'!$E$6:$O$9929,6,FALSE)</f>
        <v>MARGARET CONNIFF</v>
      </c>
      <c r="AG2331" s="282"/>
      <c r="AH2331" s="311" t="e">
        <f>INDEX('D5 - Gatekeeper - Projects'!$A$4:$AF$1010,$AM2331, 17)</f>
        <v>#N/A</v>
      </c>
      <c r="AI2331" s="8"/>
      <c r="AJ2331" s="57"/>
      <c r="AK2331" s="105"/>
      <c r="AM2331" s="6" t="e">
        <f>MATCH(D2331,'D5 - Gatekeeper - Projects'!$C$4:$C$1010,0)</f>
        <v>#N/A</v>
      </c>
      <c r="AN2331" s="6" t="b">
        <f t="shared" si="247"/>
        <v>1</v>
      </c>
      <c r="AO2331" s="6" t="str">
        <f t="shared" si="248"/>
        <v>OK</v>
      </c>
      <c r="AQ2331" s="6" t="e">
        <f>MATCH($D2331,'D4 - Provider Council Unsched'!$C$11:$C$234,0)</f>
        <v>#N/A</v>
      </c>
      <c r="AR2331" s="6" t="b">
        <f t="shared" si="249"/>
        <v>1</v>
      </c>
      <c r="AS2331" s="6" t="str">
        <f t="shared" ref="AS2331:AS2371" si="253">IF(AND(H2331="2 - Not Scheduled",AR2331=TRUE,C2331="R1"),"Add","OK")</f>
        <v>OK</v>
      </c>
      <c r="AU2331" s="202">
        <v>40725</v>
      </c>
      <c r="AV2331" s="262"/>
      <c r="AW2331" s="274">
        <v>43609</v>
      </c>
    </row>
    <row r="2332" spans="1:49" s="13" customFormat="1" ht="33.75" x14ac:dyDescent="0.2">
      <c r="A2332" s="14">
        <v>2308</v>
      </c>
      <c r="B2332" s="8">
        <v>400043359</v>
      </c>
      <c r="C2332" s="8" t="s">
        <v>1447</v>
      </c>
      <c r="D2332" s="4" t="str">
        <f t="shared" si="252"/>
        <v>400043359A</v>
      </c>
      <c r="E2332" s="309" t="str">
        <f>VLOOKUP($B2332,'D7 - NDB Impacted SPRF''s'!$E$6:$O$9929,2,FALSE)</f>
        <v>PM&amp;R: Multiple Therapy Procedure Reduction</v>
      </c>
      <c r="F2332" s="8"/>
      <c r="G2332" s="8" t="s">
        <v>4758</v>
      </c>
      <c r="H2332" s="8" t="s">
        <v>2870</v>
      </c>
      <c r="I2332" s="20">
        <v>0.52</v>
      </c>
      <c r="J2332" s="8" t="s">
        <v>4862</v>
      </c>
      <c r="K2332" s="182">
        <v>40950</v>
      </c>
      <c r="L2332" s="8" t="s">
        <v>4156</v>
      </c>
      <c r="M2332" s="8" t="s">
        <v>5626</v>
      </c>
      <c r="N2332" s="38" t="s">
        <v>795</v>
      </c>
      <c r="O2332" s="8"/>
      <c r="P2332" s="4" t="str">
        <f>VLOOKUP($B2332,'D7 - NDB Impacted SPRF''s'!$E$16:$O$9929,9,FALSE)</f>
        <v>Y</v>
      </c>
      <c r="Q2332" s="4" t="str">
        <f>VLOOKUP($B2332,'D7 - NDB Impacted SPRF''s'!$E$16:$O$9929,10,FALSE)</f>
        <v>N</v>
      </c>
      <c r="R2332" s="4" t="str">
        <f>VLOOKUP($B2332,'D7 - NDB Impacted SPRF''s'!$E$16:$O$9929,11,FALSE)</f>
        <v>Y</v>
      </c>
      <c r="S2332" s="8"/>
      <c r="T2332" s="310"/>
      <c r="U2332" s="310"/>
      <c r="V2332" s="4"/>
      <c r="W2332" s="4"/>
      <c r="X2332" s="4"/>
      <c r="Y2332" s="4"/>
      <c r="Z2332" s="4"/>
      <c r="AA2332" s="4"/>
      <c r="AB2332" s="380" t="str">
        <f>VLOOKUP($B2332,'D7 - NDB Impacted SPRF''s'!$E$6:$O$9929,4,FALSE)</f>
        <v>Completed</v>
      </c>
      <c r="AC2332" s="380" t="str">
        <f>VLOOKUP($B2332,'D7 - NDB Impacted SPRF''s'!$E$6:$O$9929,3,FALSE)</f>
        <v>UnitedHealthcare Employer &amp; Individual</v>
      </c>
      <c r="AD2332" s="380" t="str">
        <f>VLOOKUP($B2332,'D7 - NDB Impacted SPRF''s'!$E$6:$O$9929,5,FALSE)</f>
        <v>Medical Cost Savings Programs</v>
      </c>
      <c r="AE2332" s="380" t="str">
        <f>VLOOKUP($B2332,'D7 - NDB Impacted SPRF''s'!$E$6:$O$9929,7,FALSE)</f>
        <v>Lisa McDonnel</v>
      </c>
      <c r="AF2332" s="380" t="str">
        <f>VLOOKUP($B2332,'D7 - NDB Impacted SPRF''s'!$E$6:$O$9929,6,FALSE)</f>
        <v>DAWN BOLLER</v>
      </c>
      <c r="AG2332" s="282"/>
      <c r="AH2332" s="311" t="e">
        <f>INDEX('D5 - Gatekeeper - Projects'!$A$4:$AF$1010,$AM2332, 17)</f>
        <v>#N/A</v>
      </c>
      <c r="AI2332" s="8"/>
      <c r="AJ2332" s="57"/>
      <c r="AK2332" s="105"/>
      <c r="AM2332" s="6" t="e">
        <f>MATCH(D2332,'D5 - Gatekeeper - Projects'!$C$4:$C$1010,0)</f>
        <v>#N/A</v>
      </c>
      <c r="AN2332" s="6" t="b">
        <f t="shared" si="247"/>
        <v>1</v>
      </c>
      <c r="AO2332" s="6" t="str">
        <f t="shared" si="248"/>
        <v>OK</v>
      </c>
      <c r="AQ2332" s="6" t="e">
        <f>MATCH($D2332,'D4 - Provider Council Unsched'!$C$11:$C$234,0)</f>
        <v>#N/A</v>
      </c>
      <c r="AR2332" s="6" t="b">
        <f t="shared" si="249"/>
        <v>1</v>
      </c>
      <c r="AS2332" s="6" t="str">
        <f t="shared" si="253"/>
        <v>OK</v>
      </c>
      <c r="AU2332" s="202">
        <v>40735</v>
      </c>
      <c r="AV2332" s="262"/>
      <c r="AW2332" s="274">
        <v>36192</v>
      </c>
    </row>
    <row r="2333" spans="1:49" s="13" customFormat="1" ht="33.75" x14ac:dyDescent="0.2">
      <c r="A2333" s="14">
        <v>2309</v>
      </c>
      <c r="B2333" s="8">
        <v>400045941</v>
      </c>
      <c r="C2333" s="8" t="s">
        <v>1447</v>
      </c>
      <c r="D2333" s="4" t="str">
        <f t="shared" si="252"/>
        <v>400045941A</v>
      </c>
      <c r="E2333" s="309" t="str">
        <f>VLOOKUP($B2333,'D7 - NDB Impacted SPRF''s'!$E$6:$O$9929,2,FALSE)</f>
        <v>Provider Sanctioning RSA</v>
      </c>
      <c r="F2333" s="8"/>
      <c r="G2333" s="8" t="s">
        <v>4758</v>
      </c>
      <c r="H2333" s="8" t="s">
        <v>2870</v>
      </c>
      <c r="I2333" s="20">
        <v>1.05</v>
      </c>
      <c r="J2333" s="8" t="s">
        <v>4862</v>
      </c>
      <c r="K2333" s="182">
        <v>40999</v>
      </c>
      <c r="L2333" s="8" t="s">
        <v>4156</v>
      </c>
      <c r="M2333" s="8" t="s">
        <v>6688</v>
      </c>
      <c r="N2333" s="38" t="s">
        <v>2227</v>
      </c>
      <c r="O2333" s="8"/>
      <c r="P2333" s="4" t="str">
        <f>VLOOKUP($B2333,'D7 - NDB Impacted SPRF''s'!$E$16:$O$9929,9,FALSE)</f>
        <v>N</v>
      </c>
      <c r="Q2333" s="4" t="str">
        <f>VLOOKUP($B2333,'D7 - NDB Impacted SPRF''s'!$E$16:$O$9929,10,FALSE)</f>
        <v>N</v>
      </c>
      <c r="R2333" s="4" t="str">
        <f>VLOOKUP($B2333,'D7 - NDB Impacted SPRF''s'!$E$16:$O$9929,11,FALSE)</f>
        <v>N</v>
      </c>
      <c r="S2333" s="8"/>
      <c r="T2333" s="310"/>
      <c r="U2333" s="310"/>
      <c r="V2333" s="4"/>
      <c r="W2333" s="4"/>
      <c r="X2333" s="4"/>
      <c r="Y2333" s="4"/>
      <c r="Z2333" s="4"/>
      <c r="AA2333" s="4"/>
      <c r="AB2333" s="380" t="str">
        <f>VLOOKUP($B2333,'D7 - NDB Impacted SPRF''s'!$E$6:$O$9929,4,FALSE)</f>
        <v>Cancelled</v>
      </c>
      <c r="AC2333" s="380" t="str">
        <f>VLOOKUP($B2333,'D7 - NDB Impacted SPRF''s'!$E$6:$O$9929,3,FALSE)</f>
        <v>UnitedHealthcare Medicare &amp; Retirement</v>
      </c>
      <c r="AD2333" s="380" t="str">
        <f>VLOOKUP($B2333,'D7 - NDB Impacted SPRF''s'!$E$6:$O$9929,5,FALSE)</f>
        <v>Regulatory / Other</v>
      </c>
      <c r="AE2333" s="380" t="str">
        <f>VLOOKUP($B2333,'D7 - NDB Impacted SPRF''s'!$E$6:$O$9929,7,FALSE)</f>
        <v>Rhonda Medows</v>
      </c>
      <c r="AF2333" s="380" t="str">
        <f>VLOOKUP($B2333,'D7 - NDB Impacted SPRF''s'!$E$6:$O$9929,6,FALSE)</f>
        <v>Jessica Tattersall</v>
      </c>
      <c r="AG2333" s="282"/>
      <c r="AH2333" s="311" t="e">
        <f>INDEX('D5 - Gatekeeper - Projects'!$A$4:$AF$1010,$AM2333, 17)</f>
        <v>#N/A</v>
      </c>
      <c r="AI2333" s="8"/>
      <c r="AJ2333" s="57"/>
      <c r="AK2333" s="105"/>
      <c r="AM2333" s="6" t="e">
        <f>MATCH(D2333,'D5 - Gatekeeper - Projects'!$C$4:$C$1010,0)</f>
        <v>#N/A</v>
      </c>
      <c r="AN2333" s="6" t="b">
        <f t="shared" si="247"/>
        <v>1</v>
      </c>
      <c r="AO2333" s="6" t="str">
        <f t="shared" si="248"/>
        <v>OK</v>
      </c>
      <c r="AQ2333" s="6" t="e">
        <f>MATCH($D2333,'D4 - Provider Council Unsched'!$C$11:$C$234,0)</f>
        <v>#N/A</v>
      </c>
      <c r="AR2333" s="6" t="b">
        <f t="shared" si="249"/>
        <v>1</v>
      </c>
      <c r="AS2333" s="6" t="str">
        <f t="shared" si="253"/>
        <v>OK</v>
      </c>
      <c r="AU2333" s="202">
        <v>40781</v>
      </c>
      <c r="AV2333" s="262" t="s">
        <v>437</v>
      </c>
      <c r="AW2333" s="274"/>
    </row>
    <row r="2334" spans="1:49" s="13" customFormat="1" ht="78.75" x14ac:dyDescent="0.2">
      <c r="A2334" s="14">
        <v>2310</v>
      </c>
      <c r="B2334" s="8">
        <v>400041460</v>
      </c>
      <c r="C2334" s="8" t="s">
        <v>1447</v>
      </c>
      <c r="D2334" s="4" t="str">
        <f t="shared" si="252"/>
        <v>400041460A</v>
      </c>
      <c r="E2334" s="309" t="str">
        <f>VLOOKUP($B2334,'D7 - NDB Impacted SPRF''s'!$E$6:$O$9929,2,FALSE)</f>
        <v>CDB Backend: ID Cards</v>
      </c>
      <c r="F2334" s="8"/>
      <c r="G2334" s="8" t="s">
        <v>4758</v>
      </c>
      <c r="H2334" s="8" t="s">
        <v>2870</v>
      </c>
      <c r="I2334" s="20">
        <v>0.6</v>
      </c>
      <c r="J2334" s="8" t="s">
        <v>4862</v>
      </c>
      <c r="K2334" s="182">
        <v>41041</v>
      </c>
      <c r="L2334" s="8" t="s">
        <v>4156</v>
      </c>
      <c r="M2334" s="8" t="s">
        <v>5626</v>
      </c>
      <c r="N2334" s="38" t="s">
        <v>259</v>
      </c>
      <c r="O2334" s="8"/>
      <c r="P2334" s="4" t="str">
        <f>VLOOKUP($B2334,'D7 - NDB Impacted SPRF''s'!$E$16:$O$9929,9,FALSE)</f>
        <v>N</v>
      </c>
      <c r="Q2334" s="4" t="str">
        <f>VLOOKUP($B2334,'D7 - NDB Impacted SPRF''s'!$E$16:$O$9929,10,FALSE)</f>
        <v>N</v>
      </c>
      <c r="R2334" s="4" t="str">
        <f>VLOOKUP($B2334,'D7 - NDB Impacted SPRF''s'!$E$16:$O$9929,11,FALSE)</f>
        <v>N</v>
      </c>
      <c r="S2334" s="8"/>
      <c r="T2334" s="310"/>
      <c r="U2334" s="310"/>
      <c r="V2334" s="4"/>
      <c r="W2334" s="4"/>
      <c r="X2334" s="4"/>
      <c r="Y2334" s="4"/>
      <c r="Z2334" s="4"/>
      <c r="AA2334" s="4"/>
      <c r="AB2334" s="380" t="str">
        <f>VLOOKUP($B2334,'D7 - NDB Impacted SPRF''s'!$E$6:$O$9929,4,FALSE)</f>
        <v>Cancelled</v>
      </c>
      <c r="AC2334" s="380" t="str">
        <f>VLOOKUP($B2334,'D7 - NDB Impacted SPRF''s'!$E$6:$O$9929,3,FALSE)</f>
        <v>UHG IT - Enterprise Technology Services</v>
      </c>
      <c r="AD2334" s="380" t="str">
        <f>VLOOKUP($B2334,'D7 - NDB Impacted SPRF''s'!$E$6:$O$9929,5,FALSE)</f>
        <v>Strategic Initiatives</v>
      </c>
      <c r="AE2334" s="380" t="str">
        <f>VLOOKUP($B2334,'D7 - NDB Impacted SPRF''s'!$E$6:$O$9929,7,FALSE)</f>
        <v>Patrick Casey</v>
      </c>
      <c r="AF2334" s="380" t="str">
        <f>VLOOKUP($B2334,'D7 - NDB Impacted SPRF''s'!$E$6:$O$9929,6,FALSE)</f>
        <v>DIANE KOWAL</v>
      </c>
      <c r="AG2334" s="282"/>
      <c r="AH2334" s="311" t="e">
        <f>INDEX('D5 - Gatekeeper - Projects'!$A$4:$AF$1010,$AM2334, 17)</f>
        <v>#N/A</v>
      </c>
      <c r="AI2334" s="8"/>
      <c r="AJ2334" s="57"/>
      <c r="AK2334" s="105"/>
      <c r="AM2334" s="6" t="e">
        <f>MATCH(D2334,'D5 - Gatekeeper - Projects'!$C$4:$C$1010,0)</f>
        <v>#N/A</v>
      </c>
      <c r="AN2334" s="6" t="b">
        <f t="shared" si="247"/>
        <v>1</v>
      </c>
      <c r="AO2334" s="6" t="str">
        <f t="shared" si="248"/>
        <v>OK</v>
      </c>
      <c r="AQ2334" s="6" t="e">
        <f>MATCH($D2334,'D4 - Provider Council Unsched'!$C$11:$C$234,0)</f>
        <v>#N/A</v>
      </c>
      <c r="AR2334" s="6" t="b">
        <f t="shared" si="249"/>
        <v>1</v>
      </c>
      <c r="AS2334" s="6" t="str">
        <f t="shared" si="253"/>
        <v>OK</v>
      </c>
      <c r="AU2334" s="202">
        <v>40641</v>
      </c>
      <c r="AV2334" s="262" t="s">
        <v>2309</v>
      </c>
      <c r="AW2334" s="274">
        <v>30038</v>
      </c>
    </row>
    <row r="2335" spans="1:49" s="13" customFormat="1" ht="33.75" x14ac:dyDescent="0.2">
      <c r="A2335" s="14">
        <v>2311</v>
      </c>
      <c r="B2335" s="8">
        <v>400044969</v>
      </c>
      <c r="C2335" s="8" t="s">
        <v>1447</v>
      </c>
      <c r="D2335" s="4" t="str">
        <f t="shared" si="252"/>
        <v>400044969A</v>
      </c>
      <c r="E2335" s="309" t="str">
        <f>VLOOKUP($B2335,'D7 - NDB Impacted SPRF''s'!$E$6:$O$9929,2,FALSE)</f>
        <v>Medica IFB new market type code</v>
      </c>
      <c r="F2335" s="8"/>
      <c r="G2335" s="8" t="s">
        <v>4758</v>
      </c>
      <c r="H2335" s="8" t="s">
        <v>2870</v>
      </c>
      <c r="I2335" s="20">
        <v>0.8</v>
      </c>
      <c r="J2335" s="8" t="s">
        <v>4862</v>
      </c>
      <c r="K2335" s="182">
        <v>41041</v>
      </c>
      <c r="L2335" s="8" t="s">
        <v>4156</v>
      </c>
      <c r="M2335" s="8" t="s">
        <v>5626</v>
      </c>
      <c r="N2335" s="38" t="s">
        <v>171</v>
      </c>
      <c r="O2335" s="8"/>
      <c r="P2335" s="4" t="str">
        <f>VLOOKUP($B2335,'D7 - NDB Impacted SPRF''s'!$E$16:$O$9929,9,FALSE)</f>
        <v>Y</v>
      </c>
      <c r="Q2335" s="4" t="str">
        <f>VLOOKUP($B2335,'D7 - NDB Impacted SPRF''s'!$E$16:$O$9929,10,FALSE)</f>
        <v>N</v>
      </c>
      <c r="R2335" s="4" t="str">
        <f>VLOOKUP($B2335,'D7 - NDB Impacted SPRF''s'!$E$16:$O$9929,11,FALSE)</f>
        <v>N</v>
      </c>
      <c r="S2335" s="8"/>
      <c r="T2335" s="310"/>
      <c r="U2335" s="310"/>
      <c r="V2335" s="4"/>
      <c r="W2335" s="4"/>
      <c r="X2335" s="4"/>
      <c r="Y2335" s="4"/>
      <c r="Z2335" s="4"/>
      <c r="AA2335" s="4"/>
      <c r="AB2335" s="380" t="str">
        <f>VLOOKUP($B2335,'D7 - NDB Impacted SPRF''s'!$E$6:$O$9929,4,FALSE)</f>
        <v>Cancelled</v>
      </c>
      <c r="AC2335" s="380" t="str">
        <f>VLOOKUP($B2335,'D7 - NDB Impacted SPRF''s'!$E$6:$O$9929,3,FALSE)</f>
        <v>UnitedHealthcare Employer &amp; Individual</v>
      </c>
      <c r="AD2335" s="380" t="str">
        <f>VLOOKUP($B2335,'D7 - NDB Impacted SPRF''s'!$E$6:$O$9929,5,FALSE)</f>
        <v>HCA - Operational Requirements</v>
      </c>
      <c r="AE2335" s="380" t="str">
        <f>VLOOKUP($B2335,'D7 - NDB Impacted SPRF''s'!$E$6:$O$9929,7,FALSE)</f>
        <v>Mimi Taylor</v>
      </c>
      <c r="AF2335" s="380" t="str">
        <f>VLOOKUP($B2335,'D7 - NDB Impacted SPRF''s'!$E$6:$O$9929,6,FALSE)</f>
        <v>Linda Dooley</v>
      </c>
      <c r="AG2335" s="282"/>
      <c r="AH2335" s="311" t="e">
        <f>INDEX('D5 - Gatekeeper - Projects'!$A$4:$AF$1010,$AM2335, 17)</f>
        <v>#N/A</v>
      </c>
      <c r="AI2335" s="8"/>
      <c r="AJ2335" s="57"/>
      <c r="AK2335" s="105"/>
      <c r="AM2335" s="6" t="e">
        <f>MATCH(D2335,'D5 - Gatekeeper - Projects'!$C$4:$C$1010,0)</f>
        <v>#N/A</v>
      </c>
      <c r="AN2335" s="6" t="b">
        <f t="shared" si="247"/>
        <v>1</v>
      </c>
      <c r="AO2335" s="6" t="str">
        <f t="shared" si="248"/>
        <v>OK</v>
      </c>
      <c r="AQ2335" s="6" t="e">
        <f>MATCH($D2335,'D4 - Provider Council Unsched'!$C$11:$C$234,0)</f>
        <v>#N/A</v>
      </c>
      <c r="AR2335" s="6" t="b">
        <f t="shared" si="249"/>
        <v>1</v>
      </c>
      <c r="AS2335" s="6" t="str">
        <f t="shared" si="253"/>
        <v>OK</v>
      </c>
      <c r="AU2335" s="202">
        <v>40802</v>
      </c>
      <c r="AV2335" s="262"/>
      <c r="AW2335" s="274"/>
    </row>
    <row r="2336" spans="1:49" s="13" customFormat="1" ht="33.75" x14ac:dyDescent="0.2">
      <c r="A2336" s="14">
        <v>2312</v>
      </c>
      <c r="B2336" s="8">
        <v>400046205</v>
      </c>
      <c r="C2336" s="8" t="s">
        <v>1447</v>
      </c>
      <c r="D2336" s="4" t="str">
        <f t="shared" si="252"/>
        <v>400046205A</v>
      </c>
      <c r="E2336" s="309" t="str">
        <f>VLOOKUP($B2336,'D7 - NDB Impacted SPRF''s'!$E$6:$O$9929,2,FALSE)</f>
        <v>Lab Benefit Management</v>
      </c>
      <c r="F2336" s="8"/>
      <c r="G2336" s="8" t="s">
        <v>4758</v>
      </c>
      <c r="H2336" s="8" t="s">
        <v>2870</v>
      </c>
      <c r="I2336" s="20">
        <v>0.93</v>
      </c>
      <c r="J2336" s="8" t="s">
        <v>4862</v>
      </c>
      <c r="K2336" s="182">
        <v>41041</v>
      </c>
      <c r="L2336" s="8" t="s">
        <v>4156</v>
      </c>
      <c r="M2336" s="8" t="s">
        <v>6688</v>
      </c>
      <c r="N2336" s="38" t="s">
        <v>783</v>
      </c>
      <c r="O2336" s="8"/>
      <c r="P2336" s="4" t="str">
        <f>VLOOKUP($B2336,'D7 - NDB Impacted SPRF''s'!$E$16:$O$9929,9,FALSE)</f>
        <v>Y</v>
      </c>
      <c r="Q2336" s="4" t="str">
        <f>VLOOKUP($B2336,'D7 - NDB Impacted SPRF''s'!$E$16:$O$9929,10,FALSE)</f>
        <v>N</v>
      </c>
      <c r="R2336" s="4" t="str">
        <f>VLOOKUP($B2336,'D7 - NDB Impacted SPRF''s'!$E$16:$O$9929,11,FALSE)</f>
        <v>Y</v>
      </c>
      <c r="S2336" s="8"/>
      <c r="T2336" s="310"/>
      <c r="U2336" s="310"/>
      <c r="V2336" s="4"/>
      <c r="W2336" s="4"/>
      <c r="X2336" s="4"/>
      <c r="Y2336" s="4"/>
      <c r="Z2336" s="4"/>
      <c r="AA2336" s="4"/>
      <c r="AB2336" s="380" t="str">
        <f>VLOOKUP($B2336,'D7 - NDB Impacted SPRF''s'!$E$6:$O$9929,4,FALSE)</f>
        <v>Completed</v>
      </c>
      <c r="AC2336" s="380" t="str">
        <f>VLOOKUP($B2336,'D7 - NDB Impacted SPRF''s'!$E$6:$O$9929,3,FALSE)</f>
        <v>UnitedHealthcare Employer &amp; Individual</v>
      </c>
      <c r="AD2336" s="380" t="str">
        <f>VLOOKUP($B2336,'D7 - NDB Impacted SPRF''s'!$E$6:$O$9929,5,FALSE)</f>
        <v>Medical Cost Savings Programs</v>
      </c>
      <c r="AE2336" s="380" t="str">
        <f>VLOOKUP($B2336,'D7 - NDB Impacted SPRF''s'!$E$6:$O$9929,7,FALSE)</f>
        <v>Mark T. Allen, Linda Stewart</v>
      </c>
      <c r="AF2336" s="380" t="str">
        <f>VLOOKUP($B2336,'D7 - NDB Impacted SPRF''s'!$E$6:$O$9929,6,FALSE)</f>
        <v>Melanie Lidster</v>
      </c>
      <c r="AG2336" s="282"/>
      <c r="AH2336" s="311" t="e">
        <f>INDEX('D5 - Gatekeeper - Projects'!$A$4:$AF$1010,$AM2336, 17)</f>
        <v>#N/A</v>
      </c>
      <c r="AI2336" s="8"/>
      <c r="AJ2336" s="57"/>
      <c r="AK2336" s="105"/>
      <c r="AM2336" s="6" t="e">
        <f>MATCH(D2336,'D5 - Gatekeeper - Projects'!$C$4:$C$1010,0)</f>
        <v>#N/A</v>
      </c>
      <c r="AN2336" s="6" t="b">
        <f t="shared" si="247"/>
        <v>1</v>
      </c>
      <c r="AO2336" s="6" t="str">
        <f t="shared" si="248"/>
        <v>OK</v>
      </c>
      <c r="AQ2336" s="6" t="e">
        <f>MATCH($D2336,'D4 - Provider Council Unsched'!$C$11:$C$234,0)</f>
        <v>#N/A</v>
      </c>
      <c r="AR2336" s="6" t="b">
        <f t="shared" si="249"/>
        <v>1</v>
      </c>
      <c r="AS2336" s="6" t="str">
        <f t="shared" si="253"/>
        <v>OK</v>
      </c>
      <c r="AU2336" s="202">
        <v>40816</v>
      </c>
      <c r="AV2336" s="262" t="s">
        <v>439</v>
      </c>
      <c r="AW2336" s="274"/>
    </row>
    <row r="2337" spans="1:49" s="13" customFormat="1" x14ac:dyDescent="0.2">
      <c r="A2337" s="14">
        <v>2313</v>
      </c>
      <c r="B2337" s="8">
        <v>400047194</v>
      </c>
      <c r="C2337" s="8" t="s">
        <v>1447</v>
      </c>
      <c r="D2337" s="4" t="str">
        <f t="shared" si="252"/>
        <v>400047194A</v>
      </c>
      <c r="E2337" s="309" t="str">
        <f>VLOOKUP($B2337,'D7 - NDB Impacted SPRF''s'!$E$6:$O$9929,2,FALSE)</f>
        <v>UHN Reporting Replacement for PD Program</v>
      </c>
      <c r="F2337" s="8"/>
      <c r="G2337" s="8" t="s">
        <v>4758</v>
      </c>
      <c r="H2337" s="8" t="s">
        <v>2870</v>
      </c>
      <c r="I2337" s="20">
        <v>1.01</v>
      </c>
      <c r="J2337" s="8" t="s">
        <v>4862</v>
      </c>
      <c r="K2337" s="182">
        <v>41041</v>
      </c>
      <c r="L2337" s="8" t="s">
        <v>4156</v>
      </c>
      <c r="M2337" s="8" t="s">
        <v>6688</v>
      </c>
      <c r="N2337" s="38" t="s">
        <v>254</v>
      </c>
      <c r="O2337" s="8"/>
      <c r="P2337" s="4" t="str">
        <f>VLOOKUP($B2337,'D7 - NDB Impacted SPRF''s'!$E$16:$O$9929,9,FALSE)</f>
        <v>N</v>
      </c>
      <c r="Q2337" s="4" t="str">
        <f>VLOOKUP($B2337,'D7 - NDB Impacted SPRF''s'!$E$16:$O$9929,10,FALSE)</f>
        <v>N</v>
      </c>
      <c r="R2337" s="4" t="str">
        <f>VLOOKUP($B2337,'D7 - NDB Impacted SPRF''s'!$E$16:$O$9929,11,FALSE)</f>
        <v>N</v>
      </c>
      <c r="S2337" s="8"/>
      <c r="T2337" s="310"/>
      <c r="U2337" s="310"/>
      <c r="V2337" s="4"/>
      <c r="W2337" s="4"/>
      <c r="X2337" s="4"/>
      <c r="Y2337" s="4"/>
      <c r="Z2337" s="4"/>
      <c r="AA2337" s="4"/>
      <c r="AB2337" s="380" t="str">
        <f>VLOOKUP($B2337,'D7 - NDB Impacted SPRF''s'!$E$6:$O$9929,4,FALSE)</f>
        <v>Cancelled</v>
      </c>
      <c r="AC2337" s="380" t="str">
        <f>VLOOKUP($B2337,'D7 - NDB Impacted SPRF''s'!$E$6:$O$9929,3,FALSE)</f>
        <v>OptumInsight</v>
      </c>
      <c r="AD2337" s="380" t="str">
        <f>VLOOKUP($B2337,'D7 - NDB Impacted SPRF''s'!$E$6:$O$9929,5,FALSE)</f>
        <v>Ingenix</v>
      </c>
      <c r="AE2337" s="380" t="str">
        <f>VLOOKUP($B2337,'D7 - NDB Impacted SPRF''s'!$E$6:$O$9929,7,FALSE)</f>
        <v>Mike Baker</v>
      </c>
      <c r="AF2337" s="380" t="str">
        <f>VLOOKUP($B2337,'D7 - NDB Impacted SPRF''s'!$E$6:$O$9929,6,FALSE)</f>
        <v>James Rouse</v>
      </c>
      <c r="AG2337" s="282"/>
      <c r="AH2337" s="311" t="e">
        <f>INDEX('D5 - Gatekeeper - Projects'!$A$4:$AF$1010,$AM2337, 17)</f>
        <v>#N/A</v>
      </c>
      <c r="AI2337" s="8"/>
      <c r="AJ2337" s="57"/>
      <c r="AK2337" s="105"/>
      <c r="AM2337" s="6" t="e">
        <f>MATCH(D2337,'D5 - Gatekeeper - Projects'!$C$4:$C$1010,0)</f>
        <v>#N/A</v>
      </c>
      <c r="AN2337" s="6" t="b">
        <f t="shared" si="247"/>
        <v>1</v>
      </c>
      <c r="AO2337" s="6" t="str">
        <f t="shared" si="248"/>
        <v>OK</v>
      </c>
      <c r="AQ2337" s="6" t="e">
        <f>MATCH($D2337,'D4 - Provider Council Unsched'!$C$11:$C$234,0)</f>
        <v>#N/A</v>
      </c>
      <c r="AR2337" s="6" t="b">
        <f t="shared" si="249"/>
        <v>1</v>
      </c>
      <c r="AS2337" s="6" t="str">
        <f t="shared" si="253"/>
        <v>OK</v>
      </c>
      <c r="AU2337" s="202">
        <v>40931</v>
      </c>
      <c r="AV2337" s="262" t="s">
        <v>1091</v>
      </c>
      <c r="AW2337" s="274">
        <v>52310</v>
      </c>
    </row>
    <row r="2338" spans="1:49" s="13" customFormat="1" ht="33.75" x14ac:dyDescent="0.2">
      <c r="A2338" s="14">
        <v>2314</v>
      </c>
      <c r="B2338" s="8">
        <v>400048108</v>
      </c>
      <c r="C2338" s="8" t="s">
        <v>1447</v>
      </c>
      <c r="D2338" s="4" t="str">
        <f t="shared" si="252"/>
        <v>400048108A</v>
      </c>
      <c r="E2338" s="309" t="str">
        <f>VLOOKUP($B2338,'D7 - NDB Impacted SPRF''s'!$E$6:$O$9929,2,FALSE)</f>
        <v>TX RFP Innovation Implementation</v>
      </c>
      <c r="F2338" s="8"/>
      <c r="G2338" s="8" t="s">
        <v>4758</v>
      </c>
      <c r="H2338" s="8" t="s">
        <v>2870</v>
      </c>
      <c r="I2338" s="20">
        <v>2.81</v>
      </c>
      <c r="J2338" s="8" t="s">
        <v>4862</v>
      </c>
      <c r="K2338" s="182">
        <v>41041</v>
      </c>
      <c r="L2338" s="8" t="s">
        <v>4156</v>
      </c>
      <c r="M2338" s="8" t="s">
        <v>2814</v>
      </c>
      <c r="N2338" s="38" t="s">
        <v>780</v>
      </c>
      <c r="O2338" s="8"/>
      <c r="P2338" s="4" t="str">
        <f>VLOOKUP($B2338,'D7 - NDB Impacted SPRF''s'!$E$16:$O$9929,9,FALSE)</f>
        <v>N</v>
      </c>
      <c r="Q2338" s="4" t="str">
        <f>VLOOKUP($B2338,'D7 - NDB Impacted SPRF''s'!$E$16:$O$9929,10,FALSE)</f>
        <v>N</v>
      </c>
      <c r="R2338" s="4" t="str">
        <f>VLOOKUP($B2338,'D7 - NDB Impacted SPRF''s'!$E$16:$O$9929,11,FALSE)</f>
        <v>Y</v>
      </c>
      <c r="S2338" s="8"/>
      <c r="T2338" s="310"/>
      <c r="U2338" s="310"/>
      <c r="V2338" s="4"/>
      <c r="W2338" s="4"/>
      <c r="X2338" s="4"/>
      <c r="Y2338" s="4"/>
      <c r="Z2338" s="4"/>
      <c r="AA2338" s="4"/>
      <c r="AB2338" s="380" t="str">
        <f>VLOOKUP($B2338,'D7 - NDB Impacted SPRF''s'!$E$6:$O$9929,4,FALSE)</f>
        <v>Completed</v>
      </c>
      <c r="AC2338" s="380" t="str">
        <f>VLOOKUP($B2338,'D7 - NDB Impacted SPRF''s'!$E$6:$O$9929,3,FALSE)</f>
        <v>UnitedHealthcare Community &amp; State</v>
      </c>
      <c r="AD2338" s="380" t="str">
        <f>VLOOKUP($B2338,'D7 - NDB Impacted SPRF''s'!$E$6:$O$9929,5,FALSE)</f>
        <v>Membership Growth / Revenue Programs</v>
      </c>
      <c r="AE2338" s="380" t="str">
        <f>VLOOKUP($B2338,'D7 - NDB Impacted SPRF''s'!$E$6:$O$9929,7,FALSE)</f>
        <v>Kara Rios</v>
      </c>
      <c r="AF2338" s="380" t="str">
        <f>VLOOKUP($B2338,'D7 - NDB Impacted SPRF''s'!$E$6:$O$9929,6,FALSE)</f>
        <v>KELLY LEONARD</v>
      </c>
      <c r="AG2338" s="282"/>
      <c r="AH2338" s="311" t="e">
        <f>INDEX('D5 - Gatekeeper - Projects'!$A$4:$AF$1010,$AM2338, 17)</f>
        <v>#N/A</v>
      </c>
      <c r="AI2338" s="8"/>
      <c r="AJ2338" s="57"/>
      <c r="AK2338" s="105"/>
      <c r="AM2338" s="6" t="e">
        <f>MATCH(D2338,'D5 - Gatekeeper - Projects'!$C$4:$C$1010,0)</f>
        <v>#N/A</v>
      </c>
      <c r="AN2338" s="6" t="b">
        <f t="shared" si="247"/>
        <v>1</v>
      </c>
      <c r="AO2338" s="6" t="str">
        <f t="shared" si="248"/>
        <v>OK</v>
      </c>
      <c r="AQ2338" s="6" t="e">
        <f>MATCH($D2338,'D4 - Provider Council Unsched'!$C$11:$C$234,0)</f>
        <v>#N/A</v>
      </c>
      <c r="AR2338" s="6" t="b">
        <f t="shared" si="249"/>
        <v>1</v>
      </c>
      <c r="AS2338" s="6" t="str">
        <f t="shared" si="253"/>
        <v>OK</v>
      </c>
      <c r="AU2338" s="202">
        <v>40987</v>
      </c>
      <c r="AV2338" s="262" t="s">
        <v>2307</v>
      </c>
      <c r="AW2338" s="274">
        <v>51090</v>
      </c>
    </row>
    <row r="2339" spans="1:49" s="13" customFormat="1" ht="33.75" x14ac:dyDescent="0.2">
      <c r="A2339" s="14">
        <v>2315</v>
      </c>
      <c r="B2339" s="8">
        <v>400049239</v>
      </c>
      <c r="C2339" s="8" t="s">
        <v>1447</v>
      </c>
      <c r="D2339" s="4" t="str">
        <f t="shared" si="252"/>
        <v>400049239A</v>
      </c>
      <c r="E2339" s="309" t="str">
        <f>VLOOKUP($B2339,'D7 - NDB Impacted SPRF''s'!$E$6:$O$9929,2,FALSE)</f>
        <v xml:space="preserve">WOQ2 NDB OI 00245 Change Display on NDB Addr Scrn </v>
      </c>
      <c r="F2339" s="8"/>
      <c r="G2339" s="8" t="s">
        <v>4758</v>
      </c>
      <c r="H2339" s="8" t="s">
        <v>2870</v>
      </c>
      <c r="I2339" s="20">
        <v>3.29</v>
      </c>
      <c r="J2339" s="8" t="s">
        <v>4862</v>
      </c>
      <c r="K2339" s="182">
        <v>41041</v>
      </c>
      <c r="L2339" s="8" t="s">
        <v>4156</v>
      </c>
      <c r="M2339" s="8" t="s">
        <v>6007</v>
      </c>
      <c r="N2339" s="38"/>
      <c r="O2339" s="8"/>
      <c r="P2339" s="4" t="str">
        <f>VLOOKUP($B2339,'D7 - NDB Impacted SPRF''s'!$E$16:$O$9929,9,FALSE)</f>
        <v>N</v>
      </c>
      <c r="Q2339" s="4" t="str">
        <f>VLOOKUP($B2339,'D7 - NDB Impacted SPRF''s'!$E$16:$O$9929,10,FALSE)</f>
        <v>N</v>
      </c>
      <c r="R2339" s="4" t="str">
        <f>VLOOKUP($B2339,'D7 - NDB Impacted SPRF''s'!$E$16:$O$9929,11,FALSE)</f>
        <v>N</v>
      </c>
      <c r="S2339" s="8"/>
      <c r="T2339" s="310"/>
      <c r="U2339" s="310"/>
      <c r="V2339" s="4"/>
      <c r="W2339" s="4"/>
      <c r="X2339" s="4"/>
      <c r="Y2339" s="4"/>
      <c r="Z2339" s="4"/>
      <c r="AA2339" s="4"/>
      <c r="AB2339" s="380" t="str">
        <f>VLOOKUP($B2339,'D7 - NDB Impacted SPRF''s'!$E$6:$O$9929,4,FALSE)</f>
        <v>Cancelled</v>
      </c>
      <c r="AC2339" s="380" t="str">
        <f>VLOOKUP($B2339,'D7 - NDB Impacted SPRF''s'!$E$6:$O$9929,3,FALSE)</f>
        <v>UnitedHealthcare Employer &amp; Individual</v>
      </c>
      <c r="AD2339" s="380" t="str">
        <f>VLOOKUP($B2339,'D7 - NDB Impacted SPRF''s'!$E$6:$O$9929,5,FALSE)</f>
        <v>Operational Requirements</v>
      </c>
      <c r="AE2339" s="380" t="str">
        <f>VLOOKUP($B2339,'D7 - NDB Impacted SPRF''s'!$E$6:$O$9929,7,FALSE)</f>
        <v>Eileen Dock</v>
      </c>
      <c r="AF2339" s="380" t="str">
        <f>VLOOKUP($B2339,'D7 - NDB Impacted SPRF''s'!$E$6:$O$9929,6,FALSE)</f>
        <v>Robert Wright</v>
      </c>
      <c r="AG2339" s="282"/>
      <c r="AH2339" s="311" t="e">
        <f>INDEX('D5 - Gatekeeper - Projects'!$A$4:$AF$1010,$AM2339, 17)</f>
        <v>#N/A</v>
      </c>
      <c r="AI2339" s="8"/>
      <c r="AJ2339" s="57"/>
      <c r="AK2339" s="105"/>
      <c r="AM2339" s="6" t="e">
        <f>MATCH(D2339,'D5 - Gatekeeper - Projects'!$C$4:$C$1010,0)</f>
        <v>#N/A</v>
      </c>
      <c r="AN2339" s="6" t="b">
        <f t="shared" si="247"/>
        <v>1</v>
      </c>
      <c r="AO2339" s="6" t="str">
        <f t="shared" si="248"/>
        <v>OK</v>
      </c>
      <c r="AQ2339" s="6" t="e">
        <f>MATCH($D2339,'D4 - Provider Council Unsched'!$C$11:$C$234,0)</f>
        <v>#N/A</v>
      </c>
      <c r="AR2339" s="6" t="b">
        <f t="shared" si="249"/>
        <v>1</v>
      </c>
      <c r="AS2339" s="6" t="str">
        <f t="shared" si="253"/>
        <v>OK</v>
      </c>
      <c r="AU2339" s="202"/>
      <c r="AV2339" s="262" t="s">
        <v>444</v>
      </c>
      <c r="AW2339" s="274"/>
    </row>
    <row r="2340" spans="1:49" s="13" customFormat="1" ht="67.5" x14ac:dyDescent="0.2">
      <c r="A2340" s="14">
        <v>2316</v>
      </c>
      <c r="B2340" s="8">
        <v>400046538</v>
      </c>
      <c r="C2340" s="8" t="s">
        <v>7290</v>
      </c>
      <c r="D2340" s="4" t="str">
        <f t="shared" si="252"/>
        <v>400046538B</v>
      </c>
      <c r="E2340" s="309" t="str">
        <f>VLOOKUP($B2340,'D7 - NDB Impacted SPRF''s'!$E$6:$O$9929,2,FALSE)</f>
        <v>Transparency: OHBS Members CS-UHC Consumer Trans</v>
      </c>
      <c r="F2340" s="8"/>
      <c r="G2340" s="8" t="s">
        <v>4758</v>
      </c>
      <c r="H2340" s="8" t="s">
        <v>2870</v>
      </c>
      <c r="I2340" s="20">
        <v>16.61</v>
      </c>
      <c r="J2340" s="8" t="s">
        <v>4862</v>
      </c>
      <c r="K2340" s="182">
        <v>41042</v>
      </c>
      <c r="L2340" s="8" t="s">
        <v>4156</v>
      </c>
      <c r="M2340" s="8" t="s">
        <v>2814</v>
      </c>
      <c r="N2340" s="38" t="s">
        <v>366</v>
      </c>
      <c r="O2340" s="8"/>
      <c r="P2340" s="4" t="str">
        <f>VLOOKUP($B2340,'D7 - NDB Impacted SPRF''s'!$E$16:$O$9929,9,FALSE)</f>
        <v>Y</v>
      </c>
      <c r="Q2340" s="4" t="str">
        <f>VLOOKUP($B2340,'D7 - NDB Impacted SPRF''s'!$E$16:$O$9929,10,FALSE)</f>
        <v>N</v>
      </c>
      <c r="R2340" s="4" t="str">
        <f>VLOOKUP($B2340,'D7 - NDB Impacted SPRF''s'!$E$16:$O$9929,11,FALSE)</f>
        <v>Y</v>
      </c>
      <c r="S2340" s="8"/>
      <c r="T2340" s="310"/>
      <c r="U2340" s="310"/>
      <c r="V2340" s="4"/>
      <c r="W2340" s="4"/>
      <c r="X2340" s="4"/>
      <c r="Y2340" s="4"/>
      <c r="Z2340" s="4"/>
      <c r="AA2340" s="4"/>
      <c r="AB2340" s="380" t="str">
        <f>VLOOKUP($B2340,'D7 - NDB Impacted SPRF''s'!$E$6:$O$9929,4,FALSE)</f>
        <v>Cancelled</v>
      </c>
      <c r="AC2340" s="380" t="str">
        <f>VLOOKUP($B2340,'D7 - NDB Impacted SPRF''s'!$E$6:$O$9929,3,FALSE)</f>
        <v>OptumHealth</v>
      </c>
      <c r="AD2340" s="380" t="str">
        <f>VLOOKUP($B2340,'D7 - NDB Impacted SPRF''s'!$E$6:$O$9929,5,FALSE)</f>
        <v>Behavioral Solutions</v>
      </c>
      <c r="AE2340" s="380" t="str">
        <f>VLOOKUP($B2340,'D7 - NDB Impacted SPRF''s'!$E$6:$O$9929,7,FALSE)</f>
        <v>Jann Dodd</v>
      </c>
      <c r="AF2340" s="380" t="str">
        <f>VLOOKUP($B2340,'D7 - NDB Impacted SPRF''s'!$E$6:$O$9929,6,FALSE)</f>
        <v>STACY BURDEAU</v>
      </c>
      <c r="AG2340" s="282"/>
      <c r="AH2340" s="311" t="e">
        <f>INDEX('D5 - Gatekeeper - Projects'!$A$4:$AF$1010,$AM2340, 17)</f>
        <v>#N/A</v>
      </c>
      <c r="AI2340" s="8"/>
      <c r="AJ2340" s="57"/>
      <c r="AK2340" s="105"/>
      <c r="AM2340" s="6" t="e">
        <f>MATCH(D2340,'D5 - Gatekeeper - Projects'!$C$4:$C$1010,0)</f>
        <v>#N/A</v>
      </c>
      <c r="AN2340" s="6" t="b">
        <f t="shared" si="247"/>
        <v>1</v>
      </c>
      <c r="AO2340" s="6" t="str">
        <f t="shared" si="248"/>
        <v>OK</v>
      </c>
      <c r="AQ2340" s="6" t="e">
        <f>MATCH($D2340,'D4 - Provider Council Unsched'!$C$11:$C$234,0)</f>
        <v>#N/A</v>
      </c>
      <c r="AR2340" s="6" t="b">
        <f t="shared" si="249"/>
        <v>1</v>
      </c>
      <c r="AS2340" s="6" t="str">
        <f t="shared" si="253"/>
        <v>OK</v>
      </c>
      <c r="AU2340" s="202">
        <v>40907</v>
      </c>
      <c r="AV2340" s="262" t="s">
        <v>462</v>
      </c>
      <c r="AW2340" s="274">
        <v>53577</v>
      </c>
    </row>
    <row r="2341" spans="1:49" s="13" customFormat="1" ht="90" x14ac:dyDescent="0.2">
      <c r="A2341" s="14">
        <v>2317</v>
      </c>
      <c r="B2341" s="8">
        <v>400043230</v>
      </c>
      <c r="C2341" s="8" t="s">
        <v>1447</v>
      </c>
      <c r="D2341" s="4" t="str">
        <f t="shared" si="252"/>
        <v>400043230A</v>
      </c>
      <c r="E2341" s="309" t="str">
        <f>VLOOKUP($B2341,'D7 - NDB Impacted SPRF''s'!$E$6:$O$9929,2,FALSE)</f>
        <v>Consumer Transparency 2011</v>
      </c>
      <c r="F2341" s="8"/>
      <c r="G2341" s="8" t="s">
        <v>4758</v>
      </c>
      <c r="H2341" s="8" t="s">
        <v>2870</v>
      </c>
      <c r="I2341" s="20">
        <v>51.77</v>
      </c>
      <c r="J2341" s="8" t="s">
        <v>4862</v>
      </c>
      <c r="K2341" s="182">
        <v>41083</v>
      </c>
      <c r="L2341" s="8" t="s">
        <v>4156</v>
      </c>
      <c r="M2341" s="8" t="s">
        <v>2814</v>
      </c>
      <c r="N2341" s="38" t="s">
        <v>1365</v>
      </c>
      <c r="O2341" s="8"/>
      <c r="P2341" s="4" t="str">
        <f>VLOOKUP($B2341,'D7 - NDB Impacted SPRF''s'!$E$16:$O$9929,9,FALSE)</f>
        <v>Y</v>
      </c>
      <c r="Q2341" s="4" t="str">
        <f>VLOOKUP($B2341,'D7 - NDB Impacted SPRF''s'!$E$16:$O$9929,10,FALSE)</f>
        <v>N</v>
      </c>
      <c r="R2341" s="4" t="str">
        <f>VLOOKUP($B2341,'D7 - NDB Impacted SPRF''s'!$E$16:$O$9929,11,FALSE)</f>
        <v>Y</v>
      </c>
      <c r="S2341" s="8"/>
      <c r="T2341" s="310"/>
      <c r="U2341" s="310"/>
      <c r="V2341" s="4"/>
      <c r="W2341" s="4"/>
      <c r="X2341" s="4"/>
      <c r="Y2341" s="4"/>
      <c r="Z2341" s="4"/>
      <c r="AA2341" s="4"/>
      <c r="AB2341" s="380" t="str">
        <f>VLOOKUP($B2341,'D7 - NDB Impacted SPRF''s'!$E$6:$O$9929,4,FALSE)</f>
        <v>Cancelled</v>
      </c>
      <c r="AC2341" s="380" t="str">
        <f>VLOOKUP($B2341,'D7 - NDB Impacted SPRF''s'!$E$6:$O$9929,3,FALSE)</f>
        <v>OptumHealth</v>
      </c>
      <c r="AD2341" s="380" t="str">
        <f>VLOOKUP($B2341,'D7 - NDB Impacted SPRF''s'!$E$6:$O$9929,5,FALSE)</f>
        <v>OptumHealth Care Solutions</v>
      </c>
      <c r="AE2341" s="380" t="str">
        <f>VLOOKUP($B2341,'D7 - NDB Impacted SPRF''s'!$E$6:$O$9929,7,FALSE)</f>
        <v>Karl Ulfers</v>
      </c>
      <c r="AF2341" s="380" t="str">
        <f>VLOOKUP($B2341,'D7 - NDB Impacted SPRF''s'!$E$6:$O$9929,6,FALSE)</f>
        <v>Kari Mclarty</v>
      </c>
      <c r="AG2341" s="282"/>
      <c r="AH2341" s="311" t="e">
        <f>INDEX('D5 - Gatekeeper - Projects'!$A$4:$AF$1010,$AM2341, 17)</f>
        <v>#N/A</v>
      </c>
      <c r="AI2341" s="8"/>
      <c r="AJ2341" s="57"/>
      <c r="AK2341" s="105"/>
      <c r="AM2341" s="6" t="e">
        <f>MATCH(D2341,'D5 - Gatekeeper - Projects'!$C$4:$C$1010,0)</f>
        <v>#N/A</v>
      </c>
      <c r="AN2341" s="6" t="b">
        <f t="shared" si="247"/>
        <v>1</v>
      </c>
      <c r="AO2341" s="6" t="str">
        <f t="shared" si="248"/>
        <v>OK</v>
      </c>
      <c r="AQ2341" s="6" t="e">
        <f>MATCH($D2341,'D4 - Provider Council Unsched'!$C$11:$C$234,0)</f>
        <v>#N/A</v>
      </c>
      <c r="AR2341" s="6" t="b">
        <f t="shared" si="249"/>
        <v>1</v>
      </c>
      <c r="AS2341" s="6" t="str">
        <f t="shared" si="253"/>
        <v>OK</v>
      </c>
      <c r="AU2341" s="202">
        <v>40826</v>
      </c>
      <c r="AV2341" s="262" t="s">
        <v>434</v>
      </c>
      <c r="AW2341" s="274"/>
    </row>
    <row r="2342" spans="1:49" s="13" customFormat="1" ht="33.75" x14ac:dyDescent="0.2">
      <c r="A2342" s="14">
        <v>2318</v>
      </c>
      <c r="B2342" s="8">
        <v>400049243</v>
      </c>
      <c r="C2342" s="8" t="s">
        <v>1447</v>
      </c>
      <c r="D2342" s="4" t="str">
        <f t="shared" si="252"/>
        <v>400049243A</v>
      </c>
      <c r="E2342" s="309" t="str">
        <f>VLOOKUP($B2342,'D7 - NDB Impacted SPRF''s'!$E$6:$O$9929,2,FALSE)</f>
        <v>WOQ2 NDB OI 00262 EPDI Tbl access &amp; query ability</v>
      </c>
      <c r="F2342" s="8"/>
      <c r="G2342" s="8" t="s">
        <v>4758</v>
      </c>
      <c r="H2342" s="8" t="s">
        <v>2870</v>
      </c>
      <c r="I2342" s="20">
        <v>3.19</v>
      </c>
      <c r="J2342" s="8" t="s">
        <v>4862</v>
      </c>
      <c r="K2342" s="182">
        <v>41083</v>
      </c>
      <c r="L2342" s="8" t="s">
        <v>4156</v>
      </c>
      <c r="M2342" s="8" t="s">
        <v>6007</v>
      </c>
      <c r="N2342" s="38" t="s">
        <v>1122</v>
      </c>
      <c r="O2342" s="8"/>
      <c r="P2342" s="4" t="str">
        <f>VLOOKUP($B2342,'D7 - NDB Impacted SPRF''s'!$E$16:$O$9929,9,FALSE)</f>
        <v>N</v>
      </c>
      <c r="Q2342" s="4" t="str">
        <f>VLOOKUP($B2342,'D7 - NDB Impacted SPRF''s'!$E$16:$O$9929,10,FALSE)</f>
        <v>N</v>
      </c>
      <c r="R2342" s="4" t="str">
        <f>VLOOKUP($B2342,'D7 - NDB Impacted SPRF''s'!$E$16:$O$9929,11,FALSE)</f>
        <v>N</v>
      </c>
      <c r="S2342" s="8"/>
      <c r="T2342" s="310"/>
      <c r="U2342" s="310"/>
      <c r="V2342" s="4"/>
      <c r="W2342" s="4"/>
      <c r="X2342" s="4"/>
      <c r="Y2342" s="4"/>
      <c r="Z2342" s="4"/>
      <c r="AA2342" s="4"/>
      <c r="AB2342" s="380" t="str">
        <f>VLOOKUP($B2342,'D7 - NDB Impacted SPRF''s'!$E$6:$O$9929,4,FALSE)</f>
        <v>Cancelled</v>
      </c>
      <c r="AC2342" s="380" t="str">
        <f>VLOOKUP($B2342,'D7 - NDB Impacted SPRF''s'!$E$6:$O$9929,3,FALSE)</f>
        <v>UnitedHealthcare Employer &amp; Individual</v>
      </c>
      <c r="AD2342" s="380" t="str">
        <f>VLOOKUP($B2342,'D7 - NDB Impacted SPRF''s'!$E$6:$O$9929,5,FALSE)</f>
        <v>Operational Requirements</v>
      </c>
      <c r="AE2342" s="380" t="str">
        <f>VLOOKUP($B2342,'D7 - NDB Impacted SPRF''s'!$E$6:$O$9929,7,FALSE)</f>
        <v>Eileen Dock</v>
      </c>
      <c r="AF2342" s="380" t="str">
        <f>VLOOKUP($B2342,'D7 - NDB Impacted SPRF''s'!$E$6:$O$9929,6,FALSE)</f>
        <v>Robert Wright</v>
      </c>
      <c r="AG2342" s="282"/>
      <c r="AH2342" s="311" t="e">
        <f>INDEX('D5 - Gatekeeper - Projects'!$A$4:$AF$1010,$AM2342, 17)</f>
        <v>#N/A</v>
      </c>
      <c r="AI2342" s="8"/>
      <c r="AJ2342" s="57"/>
      <c r="AK2342" s="105"/>
      <c r="AM2342" s="6" t="e">
        <f>MATCH(D2342,'D5 - Gatekeeper - Projects'!$C$4:$C$1010,0)</f>
        <v>#N/A</v>
      </c>
      <c r="AN2342" s="6" t="b">
        <f t="shared" si="247"/>
        <v>1</v>
      </c>
      <c r="AO2342" s="6" t="str">
        <f t="shared" si="248"/>
        <v>OK</v>
      </c>
      <c r="AQ2342" s="6" t="e">
        <f>MATCH($D2342,'D4 - Provider Council Unsched'!$C$11:$C$234,0)</f>
        <v>#N/A</v>
      </c>
      <c r="AR2342" s="6" t="b">
        <f t="shared" si="249"/>
        <v>1</v>
      </c>
      <c r="AS2342" s="6" t="str">
        <f t="shared" si="253"/>
        <v>OK</v>
      </c>
      <c r="AU2342" s="202"/>
      <c r="AV2342" s="262" t="s">
        <v>444</v>
      </c>
      <c r="AW2342" s="274"/>
    </row>
    <row r="2343" spans="1:49" s="13" customFormat="1" ht="67.5" x14ac:dyDescent="0.2">
      <c r="A2343" s="14">
        <v>2319</v>
      </c>
      <c r="B2343" s="8">
        <v>400040360</v>
      </c>
      <c r="C2343" s="8" t="s">
        <v>8138</v>
      </c>
      <c r="D2343" s="4" t="str">
        <f t="shared" si="252"/>
        <v>400040360UA</v>
      </c>
      <c r="E2343" s="309" t="str">
        <f>VLOOKUP($B2343,'D7 - NDB Impacted SPRF''s'!$E$6:$O$9929,2,FALSE)</f>
        <v>Medical Necessity ICM</v>
      </c>
      <c r="F2343" s="8"/>
      <c r="G2343" s="8" t="s">
        <v>4758</v>
      </c>
      <c r="H2343" s="8" t="s">
        <v>2870</v>
      </c>
      <c r="I2343" s="20">
        <v>1.45</v>
      </c>
      <c r="J2343" s="8" t="s">
        <v>4862</v>
      </c>
      <c r="K2343" s="182">
        <v>41132</v>
      </c>
      <c r="L2343" s="8" t="s">
        <v>4156</v>
      </c>
      <c r="M2343" s="8" t="s">
        <v>2814</v>
      </c>
      <c r="N2343" s="38" t="s">
        <v>2228</v>
      </c>
      <c r="O2343" s="8"/>
      <c r="P2343" s="4" t="str">
        <f>VLOOKUP($B2343,'D7 - NDB Impacted SPRF''s'!$E$16:$O$9929,9,FALSE)</f>
        <v>Y</v>
      </c>
      <c r="Q2343" s="4" t="str">
        <f>VLOOKUP($B2343,'D7 - NDB Impacted SPRF''s'!$E$16:$O$9929,10,FALSE)</f>
        <v>N</v>
      </c>
      <c r="R2343" s="4" t="str">
        <f>VLOOKUP($B2343,'D7 - NDB Impacted SPRF''s'!$E$16:$O$9929,11,FALSE)</f>
        <v>Y</v>
      </c>
      <c r="S2343" s="8"/>
      <c r="T2343" s="310"/>
      <c r="U2343" s="310"/>
      <c r="V2343" s="4"/>
      <c r="W2343" s="4"/>
      <c r="X2343" s="4"/>
      <c r="Y2343" s="4"/>
      <c r="Z2343" s="4"/>
      <c r="AA2343" s="4"/>
      <c r="AB2343" s="380" t="str">
        <f>VLOOKUP($B2343,'D7 - NDB Impacted SPRF''s'!$E$6:$O$9929,4,FALSE)</f>
        <v>Scheduled</v>
      </c>
      <c r="AC2343" s="380" t="str">
        <f>VLOOKUP($B2343,'D7 - NDB Impacted SPRF''s'!$E$6:$O$9929,3,FALSE)</f>
        <v>UnitedHealthcare Employer &amp; Individual</v>
      </c>
      <c r="AD2343" s="380" t="str">
        <f>VLOOKUP($B2343,'D7 - NDB Impacted SPRF''s'!$E$6:$O$9929,5,FALSE)</f>
        <v>Medical Cost Savings Programs</v>
      </c>
      <c r="AE2343" s="380" t="str">
        <f>VLOOKUP($B2343,'D7 - NDB Impacted SPRF''s'!$E$6:$O$9929,7,FALSE)</f>
        <v>Dr. Sam Ho / Kevin Ruth</v>
      </c>
      <c r="AF2343" s="380" t="str">
        <f>VLOOKUP($B2343,'D7 - NDB Impacted SPRF''s'!$E$6:$O$9929,6,FALSE)</f>
        <v>ROSS OGDEN</v>
      </c>
      <c r="AG2343" s="282"/>
      <c r="AH2343" s="311" t="e">
        <f>INDEX('D5 - Gatekeeper - Projects'!$A$4:$AF$1010,$AM2343, 17)</f>
        <v>#N/A</v>
      </c>
      <c r="AI2343" s="8"/>
      <c r="AJ2343" s="57"/>
      <c r="AK2343" s="105"/>
      <c r="AM2343" s="6" t="e">
        <f>MATCH(D2343,'D5 - Gatekeeper - Projects'!$C$4:$C$1010,0)</f>
        <v>#N/A</v>
      </c>
      <c r="AN2343" s="6" t="b">
        <f t="shared" si="247"/>
        <v>1</v>
      </c>
      <c r="AO2343" s="6" t="str">
        <f t="shared" si="248"/>
        <v>OK</v>
      </c>
      <c r="AQ2343" s="6" t="e">
        <f>MATCH($D2343,'D4 - Provider Council Unsched'!$C$11:$C$234,0)</f>
        <v>#N/A</v>
      </c>
      <c r="AR2343" s="6" t="b">
        <f t="shared" si="249"/>
        <v>1</v>
      </c>
      <c r="AS2343" s="6" t="str">
        <f t="shared" si="253"/>
        <v>OK</v>
      </c>
      <c r="AU2343" s="202">
        <v>40826</v>
      </c>
      <c r="AV2343" s="262" t="s">
        <v>1042</v>
      </c>
      <c r="AW2343" s="274"/>
    </row>
    <row r="2344" spans="1:49" s="13" customFormat="1" ht="33.75" x14ac:dyDescent="0.2">
      <c r="A2344" s="14">
        <v>2320</v>
      </c>
      <c r="B2344" s="8">
        <v>400045745</v>
      </c>
      <c r="C2344" s="8" t="s">
        <v>1447</v>
      </c>
      <c r="D2344" s="4" t="str">
        <f t="shared" si="252"/>
        <v>400045745A</v>
      </c>
      <c r="E2344" s="309" t="str">
        <f>VLOOKUP($B2344,'D7 - NDB Impacted SPRF''s'!$E$6:$O$9929,2,FALSE)</f>
        <v>HPHC Pricing for United Platform Based Business</v>
      </c>
      <c r="F2344" s="8"/>
      <c r="G2344" s="8" t="s">
        <v>4758</v>
      </c>
      <c r="H2344" s="8" t="s">
        <v>2870</v>
      </c>
      <c r="I2344" s="20">
        <v>0.61</v>
      </c>
      <c r="J2344" s="8" t="s">
        <v>4862</v>
      </c>
      <c r="K2344" s="182">
        <v>41132</v>
      </c>
      <c r="L2344" s="8" t="s">
        <v>4156</v>
      </c>
      <c r="M2344" s="8" t="s">
        <v>6688</v>
      </c>
      <c r="N2344" s="38" t="s">
        <v>900</v>
      </c>
      <c r="O2344" s="8"/>
      <c r="P2344" s="4" t="str">
        <f>VLOOKUP($B2344,'D7 - NDB Impacted SPRF''s'!$E$16:$O$9929,9,FALSE)</f>
        <v>Y</v>
      </c>
      <c r="Q2344" s="4" t="str">
        <f>VLOOKUP($B2344,'D7 - NDB Impacted SPRF''s'!$E$16:$O$9929,10,FALSE)</f>
        <v>N</v>
      </c>
      <c r="R2344" s="4" t="str">
        <f>VLOOKUP($B2344,'D7 - NDB Impacted SPRF''s'!$E$16:$O$9929,11,FALSE)</f>
        <v>N</v>
      </c>
      <c r="S2344" s="8"/>
      <c r="T2344" s="310"/>
      <c r="U2344" s="310"/>
      <c r="V2344" s="4"/>
      <c r="W2344" s="4"/>
      <c r="X2344" s="4"/>
      <c r="Y2344" s="4"/>
      <c r="Z2344" s="4"/>
      <c r="AA2344" s="4"/>
      <c r="AB2344" s="380" t="str">
        <f>VLOOKUP($B2344,'D7 - NDB Impacted SPRF''s'!$E$6:$O$9929,4,FALSE)</f>
        <v>Cancelled</v>
      </c>
      <c r="AC2344" s="380" t="str">
        <f>VLOOKUP($B2344,'D7 - NDB Impacted SPRF''s'!$E$6:$O$9929,3,FALSE)</f>
        <v>UnitedHealthcare Employer &amp; Individual</v>
      </c>
      <c r="AD2344" s="380" t="str">
        <f>VLOOKUP($B2344,'D7 - NDB Impacted SPRF''s'!$E$6:$O$9929,5,FALSE)</f>
        <v>Customer Requirements</v>
      </c>
      <c r="AE2344" s="380" t="str">
        <f>VLOOKUP($B2344,'D7 - NDB Impacted SPRF''s'!$E$6:$O$9929,7,FALSE)</f>
        <v>Pam Stegora-Axberg</v>
      </c>
      <c r="AF2344" s="380" t="str">
        <f>VLOOKUP($B2344,'D7 - NDB Impacted SPRF''s'!$E$6:$O$9929,6,FALSE)</f>
        <v>Ryan Anderson</v>
      </c>
      <c r="AG2344" s="282"/>
      <c r="AH2344" s="311" t="e">
        <f>INDEX('D5 - Gatekeeper - Projects'!$A$4:$AF$1010,$AM2344, 17)</f>
        <v>#N/A</v>
      </c>
      <c r="AI2344" s="8"/>
      <c r="AJ2344" s="57"/>
      <c r="AK2344" s="105"/>
      <c r="AM2344" s="6" t="e">
        <f>MATCH(D2344,'D5 - Gatekeeper - Projects'!$C$4:$C$1010,0)</f>
        <v>#N/A</v>
      </c>
      <c r="AN2344" s="6" t="b">
        <f t="shared" si="247"/>
        <v>1</v>
      </c>
      <c r="AO2344" s="6" t="str">
        <f t="shared" si="248"/>
        <v>OK</v>
      </c>
      <c r="AQ2344" s="6" t="e">
        <f>MATCH($D2344,'D4 - Provider Council Unsched'!$C$11:$C$234,0)</f>
        <v>#N/A</v>
      </c>
      <c r="AR2344" s="6" t="b">
        <f t="shared" si="249"/>
        <v>1</v>
      </c>
      <c r="AS2344" s="6" t="str">
        <f t="shared" si="253"/>
        <v>OK</v>
      </c>
      <c r="AU2344" s="202">
        <v>40892</v>
      </c>
      <c r="AV2344" s="262" t="s">
        <v>461</v>
      </c>
      <c r="AW2344" s="274">
        <v>43009</v>
      </c>
    </row>
    <row r="2345" spans="1:49" s="13" customFormat="1" ht="45" x14ac:dyDescent="0.2">
      <c r="A2345" s="14">
        <v>2321</v>
      </c>
      <c r="B2345" s="8">
        <v>400048659</v>
      </c>
      <c r="C2345" s="8" t="s">
        <v>1447</v>
      </c>
      <c r="D2345" s="4" t="str">
        <f t="shared" si="252"/>
        <v>400048659A</v>
      </c>
      <c r="E2345" s="309" t="str">
        <f>VLOOKUP($B2345,'D7 - NDB Impacted SPRF''s'!$E$6:$O$9929,2,FALSE)</f>
        <v>NDB COSMOS Demo SOT-Medica</v>
      </c>
      <c r="F2345" s="8"/>
      <c r="G2345" s="8" t="s">
        <v>4758</v>
      </c>
      <c r="H2345" s="8" t="s">
        <v>2870</v>
      </c>
      <c r="I2345" s="20">
        <v>1.03</v>
      </c>
      <c r="J2345" s="8" t="s">
        <v>4862</v>
      </c>
      <c r="K2345" s="182">
        <v>41132</v>
      </c>
      <c r="L2345" s="8" t="s">
        <v>4156</v>
      </c>
      <c r="M2345" s="8" t="s">
        <v>6688</v>
      </c>
      <c r="N2345" s="38" t="s">
        <v>2317</v>
      </c>
      <c r="O2345" s="8"/>
      <c r="P2345" s="4" t="str">
        <f>VLOOKUP($B2345,'D7 - NDB Impacted SPRF''s'!$E$16:$O$9929,9,FALSE)</f>
        <v>N</v>
      </c>
      <c r="Q2345" s="4" t="str">
        <f>VLOOKUP($B2345,'D7 - NDB Impacted SPRF''s'!$E$16:$O$9929,10,FALSE)</f>
        <v>N</v>
      </c>
      <c r="R2345" s="4" t="str">
        <f>VLOOKUP($B2345,'D7 - NDB Impacted SPRF''s'!$E$16:$O$9929,11,FALSE)</f>
        <v>N</v>
      </c>
      <c r="S2345" s="8"/>
      <c r="T2345" s="310"/>
      <c r="U2345" s="310"/>
      <c r="V2345" s="4"/>
      <c r="W2345" s="4"/>
      <c r="X2345" s="4"/>
      <c r="Y2345" s="4"/>
      <c r="Z2345" s="4"/>
      <c r="AA2345" s="4"/>
      <c r="AB2345" s="380" t="str">
        <f>VLOOKUP($B2345,'D7 - NDB Impacted SPRF''s'!$E$6:$O$9929,4,FALSE)</f>
        <v>Cancelled</v>
      </c>
      <c r="AC2345" s="380" t="str">
        <f>VLOOKUP($B2345,'D7 - NDB Impacted SPRF''s'!$E$6:$O$9929,3,FALSE)</f>
        <v>UHG IT - Enterprise Technology Services</v>
      </c>
      <c r="AD2345" s="380" t="str">
        <f>VLOOKUP($B2345,'D7 - NDB Impacted SPRF''s'!$E$6:$O$9929,5,FALSE)</f>
        <v>Strategic Initiatives</v>
      </c>
      <c r="AE2345" s="380" t="str">
        <f>VLOOKUP($B2345,'D7 - NDB Impacted SPRF''s'!$E$6:$O$9929,7,FALSE)</f>
        <v>Tim Kaja</v>
      </c>
      <c r="AF2345" s="380" t="str">
        <f>VLOOKUP($B2345,'D7 - NDB Impacted SPRF''s'!$E$6:$O$9929,6,FALSE)</f>
        <v>SUSAN HINES</v>
      </c>
      <c r="AG2345" s="282"/>
      <c r="AH2345" s="311" t="e">
        <f>INDEX('D5 - Gatekeeper - Projects'!$A$4:$AF$1010,$AM2345, 17)</f>
        <v>#N/A</v>
      </c>
      <c r="AI2345" s="8"/>
      <c r="AJ2345" s="57"/>
      <c r="AK2345" s="105"/>
      <c r="AM2345" s="6" t="e">
        <f>MATCH(D2345,'D5 - Gatekeeper - Projects'!$C$4:$C$1010,0)</f>
        <v>#N/A</v>
      </c>
      <c r="AN2345" s="6" t="b">
        <f t="shared" si="247"/>
        <v>1</v>
      </c>
      <c r="AO2345" s="6" t="str">
        <f t="shared" si="248"/>
        <v>OK</v>
      </c>
      <c r="AQ2345" s="6" t="e">
        <f>MATCH($D2345,'D4 - Provider Council Unsched'!$C$11:$C$234,0)</f>
        <v>#N/A</v>
      </c>
      <c r="AR2345" s="6" t="b">
        <f t="shared" si="249"/>
        <v>1</v>
      </c>
      <c r="AS2345" s="6" t="str">
        <f t="shared" si="253"/>
        <v>OK</v>
      </c>
      <c r="AU2345" s="202">
        <v>41082</v>
      </c>
      <c r="AV2345" s="262" t="s">
        <v>2754</v>
      </c>
      <c r="AW2345" s="274">
        <v>54263</v>
      </c>
    </row>
    <row r="2346" spans="1:49" s="13" customFormat="1" ht="67.5" x14ac:dyDescent="0.2">
      <c r="A2346" s="14">
        <v>2322</v>
      </c>
      <c r="B2346" s="8">
        <v>400051359</v>
      </c>
      <c r="C2346" s="8" t="s">
        <v>1447</v>
      </c>
      <c r="D2346" s="4" t="str">
        <f t="shared" si="252"/>
        <v>400051359A</v>
      </c>
      <c r="E2346" s="309" t="str">
        <f>VLOOKUP($B2346,'D7 - NDB Impacted SPRF''s'!$E$6:$O$9929,2,FALSE)</f>
        <v>Send claims direct to ppoONE PR for CPS/UHSS</v>
      </c>
      <c r="F2346" s="8"/>
      <c r="G2346" s="8" t="s">
        <v>4758</v>
      </c>
      <c r="H2346" s="8" t="s">
        <v>2870</v>
      </c>
      <c r="I2346" s="20">
        <v>0.56999999999999995</v>
      </c>
      <c r="J2346" s="8" t="s">
        <v>4862</v>
      </c>
      <c r="K2346" s="182">
        <v>41132</v>
      </c>
      <c r="L2346" s="8" t="s">
        <v>4156</v>
      </c>
      <c r="M2346" s="8" t="s">
        <v>6688</v>
      </c>
      <c r="N2346" s="38" t="s">
        <v>256</v>
      </c>
      <c r="O2346" s="8"/>
      <c r="P2346" s="4" t="str">
        <f>VLOOKUP($B2346,'D7 - NDB Impacted SPRF''s'!$E$16:$O$9929,9,FALSE)</f>
        <v>N</v>
      </c>
      <c r="Q2346" s="4" t="str">
        <f>VLOOKUP($B2346,'D7 - NDB Impacted SPRF''s'!$E$16:$O$9929,10,FALSE)</f>
        <v>N</v>
      </c>
      <c r="R2346" s="4" t="str">
        <f>VLOOKUP($B2346,'D7 - NDB Impacted SPRF''s'!$E$16:$O$9929,11,FALSE)</f>
        <v>Y</v>
      </c>
      <c r="S2346" s="8"/>
      <c r="T2346" s="310"/>
      <c r="U2346" s="310"/>
      <c r="V2346" s="4"/>
      <c r="W2346" s="4"/>
      <c r="X2346" s="4"/>
      <c r="Y2346" s="4"/>
      <c r="Z2346" s="4"/>
      <c r="AA2346" s="4"/>
      <c r="AB2346" s="380" t="str">
        <f>VLOOKUP($B2346,'D7 - NDB Impacted SPRF''s'!$E$6:$O$9929,4,FALSE)</f>
        <v>Cancelled</v>
      </c>
      <c r="AC2346" s="380" t="str">
        <f>VLOOKUP($B2346,'D7 - NDB Impacted SPRF''s'!$E$6:$O$9929,3,FALSE)</f>
        <v>UnitedHealthcare Employer &amp; Individual</v>
      </c>
      <c r="AD2346" s="380" t="str">
        <f>VLOOKUP($B2346,'D7 - NDB Impacted SPRF''s'!$E$6:$O$9929,5,FALSE)</f>
        <v>Customer Requirements</v>
      </c>
      <c r="AE2346" s="380" t="str">
        <f>VLOOKUP($B2346,'D7 - NDB Impacted SPRF''s'!$E$6:$O$9929,7,FALSE)</f>
        <v>Kriofsky, Michael J</v>
      </c>
      <c r="AF2346" s="380" t="str">
        <f>VLOOKUP($B2346,'D7 - NDB Impacted SPRF''s'!$E$6:$O$9929,6,FALSE)</f>
        <v>Sue Thompson</v>
      </c>
      <c r="AG2346" s="282"/>
      <c r="AH2346" s="311" t="e">
        <f>INDEX('D5 - Gatekeeper - Projects'!$A$4:$AF$1010,$AM2346, 17)</f>
        <v>#N/A</v>
      </c>
      <c r="AI2346" s="8"/>
      <c r="AJ2346" s="57"/>
      <c r="AK2346" s="105"/>
      <c r="AM2346" s="6" t="e">
        <f>MATCH(D2346,'D5 - Gatekeeper - Projects'!$C$4:$C$1010,0)</f>
        <v>#N/A</v>
      </c>
      <c r="AN2346" s="6" t="b">
        <f t="shared" si="247"/>
        <v>1</v>
      </c>
      <c r="AO2346" s="6" t="str">
        <f t="shared" si="248"/>
        <v>OK</v>
      </c>
      <c r="AQ2346" s="6" t="e">
        <f>MATCH($D2346,'D4 - Provider Council Unsched'!$C$11:$C$234,0)</f>
        <v>#N/A</v>
      </c>
      <c r="AR2346" s="6" t="b">
        <f t="shared" si="249"/>
        <v>1</v>
      </c>
      <c r="AS2346" s="6" t="str">
        <f t="shared" si="253"/>
        <v>OK</v>
      </c>
      <c r="AU2346" s="202">
        <v>41054</v>
      </c>
      <c r="AV2346" s="262" t="s">
        <v>489</v>
      </c>
      <c r="AW2346" s="274" t="s">
        <v>3572</v>
      </c>
    </row>
    <row r="2347" spans="1:49" s="13" customFormat="1" ht="45" x14ac:dyDescent="0.2">
      <c r="A2347" s="14">
        <v>2323</v>
      </c>
      <c r="B2347" s="8">
        <v>400049966</v>
      </c>
      <c r="C2347" s="8" t="s">
        <v>1447</v>
      </c>
      <c r="D2347" s="4" t="str">
        <f t="shared" si="252"/>
        <v>400049966A</v>
      </c>
      <c r="E2347" s="309" t="str">
        <f>VLOOKUP($B2347,'D7 - NDB Impacted SPRF''s'!$E$6:$O$9929,2,FALSE)</f>
        <v>NDB Cosmos Demo SOT _ Optum Physical Health</v>
      </c>
      <c r="F2347" s="8"/>
      <c r="G2347" s="8" t="s">
        <v>4758</v>
      </c>
      <c r="H2347" s="8" t="s">
        <v>2870</v>
      </c>
      <c r="I2347" s="20">
        <v>0.68</v>
      </c>
      <c r="J2347" s="8" t="s">
        <v>4862</v>
      </c>
      <c r="K2347" s="182">
        <v>41174</v>
      </c>
      <c r="L2347" s="8" t="s">
        <v>4156</v>
      </c>
      <c r="M2347" s="8" t="s">
        <v>6688</v>
      </c>
      <c r="N2347" s="38" t="s">
        <v>257</v>
      </c>
      <c r="O2347" s="8"/>
      <c r="P2347" s="4" t="str">
        <f>VLOOKUP($B2347,'D7 - NDB Impacted SPRF''s'!$E$16:$O$9929,9,FALSE)</f>
        <v>N</v>
      </c>
      <c r="Q2347" s="4" t="str">
        <f>VLOOKUP($B2347,'D7 - NDB Impacted SPRF''s'!$E$16:$O$9929,10,FALSE)</f>
        <v>N</v>
      </c>
      <c r="R2347" s="4" t="str">
        <f>VLOOKUP($B2347,'D7 - NDB Impacted SPRF''s'!$E$16:$O$9929,11,FALSE)</f>
        <v>N</v>
      </c>
      <c r="S2347" s="8"/>
      <c r="T2347" s="310"/>
      <c r="U2347" s="310"/>
      <c r="V2347" s="4"/>
      <c r="W2347" s="4"/>
      <c r="X2347" s="4"/>
      <c r="Y2347" s="4"/>
      <c r="Z2347" s="4"/>
      <c r="AA2347" s="4"/>
      <c r="AB2347" s="380" t="str">
        <f>VLOOKUP($B2347,'D7 - NDB Impacted SPRF''s'!$E$6:$O$9929,4,FALSE)</f>
        <v>Cancelled</v>
      </c>
      <c r="AC2347" s="380" t="str">
        <f>VLOOKUP($B2347,'D7 - NDB Impacted SPRF''s'!$E$6:$O$9929,3,FALSE)</f>
        <v>UHG IT - Enterprise Technology Services</v>
      </c>
      <c r="AD2347" s="380" t="str">
        <f>VLOOKUP($B2347,'D7 - NDB Impacted SPRF''s'!$E$6:$O$9929,5,FALSE)</f>
        <v>Strategic Initiatives</v>
      </c>
      <c r="AE2347" s="380" t="str">
        <f>VLOOKUP($B2347,'D7 - NDB Impacted SPRF''s'!$E$6:$O$9929,7,FALSE)</f>
        <v>Kaja</v>
      </c>
      <c r="AF2347" s="380" t="str">
        <f>VLOOKUP($B2347,'D7 - NDB Impacted SPRF''s'!$E$6:$O$9929,6,FALSE)</f>
        <v>SUSAN HINES</v>
      </c>
      <c r="AG2347" s="282"/>
      <c r="AH2347" s="311" t="e">
        <f>INDEX('D5 - Gatekeeper - Projects'!$A$4:$AF$1010,$AM2347, 17)</f>
        <v>#N/A</v>
      </c>
      <c r="AI2347" s="8"/>
      <c r="AJ2347" s="57"/>
      <c r="AK2347" s="105"/>
      <c r="AM2347" s="6" t="e">
        <f>MATCH(D2347,'D5 - Gatekeeper - Projects'!$C$4:$C$1010,0)</f>
        <v>#N/A</v>
      </c>
      <c r="AN2347" s="6" t="b">
        <f t="shared" si="247"/>
        <v>1</v>
      </c>
      <c r="AO2347" s="6" t="str">
        <f t="shared" si="248"/>
        <v>OK</v>
      </c>
      <c r="AQ2347" s="6" t="e">
        <f>MATCH($D2347,'D4 - Provider Council Unsched'!$C$11:$C$234,0)</f>
        <v>#N/A</v>
      </c>
      <c r="AR2347" s="6" t="b">
        <f t="shared" si="249"/>
        <v>1</v>
      </c>
      <c r="AS2347" s="6" t="str">
        <f t="shared" si="253"/>
        <v>OK</v>
      </c>
      <c r="AU2347" s="202">
        <v>41082</v>
      </c>
      <c r="AV2347" s="262" t="s">
        <v>2754</v>
      </c>
      <c r="AW2347" s="274">
        <v>56511</v>
      </c>
    </row>
    <row r="2348" spans="1:49" s="13" customFormat="1" ht="33.75" x14ac:dyDescent="0.2">
      <c r="A2348" s="14">
        <v>2324</v>
      </c>
      <c r="B2348" s="8">
        <v>400040360</v>
      </c>
      <c r="C2348" s="8" t="s">
        <v>2330</v>
      </c>
      <c r="D2348" s="4" t="str">
        <f t="shared" si="252"/>
        <v>400040360H</v>
      </c>
      <c r="E2348" s="309" t="str">
        <f>VLOOKUP($B2348,'D7 - NDB Impacted SPRF''s'!$E$6:$O$9929,2,FALSE)</f>
        <v>Medical Necessity ICM</v>
      </c>
      <c r="F2348" s="8"/>
      <c r="G2348" s="8" t="s">
        <v>4758</v>
      </c>
      <c r="H2348" s="8" t="s">
        <v>2870</v>
      </c>
      <c r="I2348" s="20">
        <v>0.28000000000000003</v>
      </c>
      <c r="J2348" s="8" t="s">
        <v>4862</v>
      </c>
      <c r="K2348" s="182">
        <v>41223</v>
      </c>
      <c r="L2348" s="8" t="s">
        <v>4156</v>
      </c>
      <c r="M2348" s="8" t="s">
        <v>5626</v>
      </c>
      <c r="N2348" s="38" t="s">
        <v>957</v>
      </c>
      <c r="O2348" s="8"/>
      <c r="P2348" s="4" t="str">
        <f>VLOOKUP($B2348,'D7 - NDB Impacted SPRF''s'!$E$16:$O$9929,9,FALSE)</f>
        <v>Y</v>
      </c>
      <c r="Q2348" s="4" t="str">
        <f>VLOOKUP($B2348,'D7 - NDB Impacted SPRF''s'!$E$16:$O$9929,10,FALSE)</f>
        <v>N</v>
      </c>
      <c r="R2348" s="4" t="str">
        <f>VLOOKUP($B2348,'D7 - NDB Impacted SPRF''s'!$E$16:$O$9929,11,FALSE)</f>
        <v>Y</v>
      </c>
      <c r="S2348" s="8"/>
      <c r="T2348" s="310"/>
      <c r="U2348" s="310"/>
      <c r="V2348" s="4"/>
      <c r="W2348" s="4"/>
      <c r="X2348" s="4"/>
      <c r="Y2348" s="4"/>
      <c r="Z2348" s="4"/>
      <c r="AA2348" s="4"/>
      <c r="AB2348" s="380" t="str">
        <f>VLOOKUP($B2348,'D7 - NDB Impacted SPRF''s'!$E$6:$O$9929,4,FALSE)</f>
        <v>Scheduled</v>
      </c>
      <c r="AC2348" s="380" t="str">
        <f>VLOOKUP($B2348,'D7 - NDB Impacted SPRF''s'!$E$6:$O$9929,3,FALSE)</f>
        <v>UnitedHealthcare Employer &amp; Individual</v>
      </c>
      <c r="AD2348" s="380" t="str">
        <f>VLOOKUP($B2348,'D7 - NDB Impacted SPRF''s'!$E$6:$O$9929,5,FALSE)</f>
        <v>Medical Cost Savings Programs</v>
      </c>
      <c r="AE2348" s="380" t="str">
        <f>VLOOKUP($B2348,'D7 - NDB Impacted SPRF''s'!$E$6:$O$9929,7,FALSE)</f>
        <v>Dr. Sam Ho / Kevin Ruth</v>
      </c>
      <c r="AF2348" s="380" t="str">
        <f>VLOOKUP($B2348,'D7 - NDB Impacted SPRF''s'!$E$6:$O$9929,6,FALSE)</f>
        <v>ROSS OGDEN</v>
      </c>
      <c r="AG2348" s="282"/>
      <c r="AH2348" s="311" t="e">
        <f>INDEX('D5 - Gatekeeper - Projects'!$A$4:$AF$1010,$AM2348, 17)</f>
        <v>#N/A</v>
      </c>
      <c r="AI2348" s="8"/>
      <c r="AJ2348" s="57"/>
      <c r="AK2348" s="105"/>
      <c r="AM2348" s="6" t="e">
        <f>MATCH(D2348,'D5 - Gatekeeper - Projects'!$C$4:$C$1010,0)</f>
        <v>#N/A</v>
      </c>
      <c r="AN2348" s="6" t="b">
        <f t="shared" si="247"/>
        <v>1</v>
      </c>
      <c r="AO2348" s="6" t="str">
        <f t="shared" si="248"/>
        <v>OK</v>
      </c>
      <c r="AQ2348" s="6" t="e">
        <f>MATCH($D2348,'D4 - Provider Council Unsched'!$C$11:$C$234,0)</f>
        <v>#N/A</v>
      </c>
      <c r="AR2348" s="6" t="b">
        <f t="shared" si="249"/>
        <v>1</v>
      </c>
      <c r="AS2348" s="6" t="str">
        <f t="shared" si="253"/>
        <v>OK</v>
      </c>
      <c r="AU2348" s="202">
        <v>41103</v>
      </c>
      <c r="AV2348" s="262" t="s">
        <v>1042</v>
      </c>
      <c r="AW2348" s="274">
        <v>57328</v>
      </c>
    </row>
    <row r="2349" spans="1:49" s="13" customFormat="1" ht="33.75" x14ac:dyDescent="0.2">
      <c r="A2349" s="14">
        <v>2325</v>
      </c>
      <c r="B2349" s="8">
        <v>400044781</v>
      </c>
      <c r="C2349" s="8" t="s">
        <v>7290</v>
      </c>
      <c r="D2349" s="4" t="str">
        <f t="shared" si="252"/>
        <v>400044781B</v>
      </c>
      <c r="E2349" s="309" t="str">
        <f>VLOOKUP($B2349,'D7 - NDB Impacted SPRF''s'!$E$6:$O$9929,2,FALSE)</f>
        <v>TBS Provider Data Quality - Bridge NDB Gaps</v>
      </c>
      <c r="F2349" s="8"/>
      <c r="G2349" s="8" t="s">
        <v>4758</v>
      </c>
      <c r="H2349" s="8" t="s">
        <v>2870</v>
      </c>
      <c r="I2349" s="20">
        <v>13</v>
      </c>
      <c r="J2349" s="8" t="s">
        <v>4862</v>
      </c>
      <c r="K2349" s="182">
        <v>41223</v>
      </c>
      <c r="L2349" s="8" t="s">
        <v>4156</v>
      </c>
      <c r="M2349" s="8" t="s">
        <v>2814</v>
      </c>
      <c r="N2349" s="38" t="s">
        <v>1730</v>
      </c>
      <c r="O2349" s="8"/>
      <c r="P2349" s="4" t="str">
        <f>VLOOKUP($B2349,'D7 - NDB Impacted SPRF''s'!$E$16:$O$9929,9,FALSE)</f>
        <v>N</v>
      </c>
      <c r="Q2349" s="4" t="str">
        <f>VLOOKUP($B2349,'D7 - NDB Impacted SPRF''s'!$E$16:$O$9929,10,FALSE)</f>
        <v>N</v>
      </c>
      <c r="R2349" s="4" t="str">
        <f>VLOOKUP($B2349,'D7 - NDB Impacted SPRF''s'!$E$16:$O$9929,11,FALSE)</f>
        <v>N</v>
      </c>
      <c r="S2349" s="8"/>
      <c r="T2349" s="310"/>
      <c r="U2349" s="310"/>
      <c r="V2349" s="4"/>
      <c r="W2349" s="4"/>
      <c r="X2349" s="4"/>
      <c r="Y2349" s="4"/>
      <c r="Z2349" s="4"/>
      <c r="AA2349" s="4"/>
      <c r="AB2349" s="380" t="str">
        <f>VLOOKUP($B2349,'D7 - NDB Impacted SPRF''s'!$E$6:$O$9929,4,FALSE)</f>
        <v>Completed</v>
      </c>
      <c r="AC2349" s="380" t="str">
        <f>VLOOKUP($B2349,'D7 - NDB Impacted SPRF''s'!$E$6:$O$9929,3,FALSE)</f>
        <v>OptumHealth</v>
      </c>
      <c r="AD2349" s="380" t="str">
        <f>VLOOKUP($B2349,'D7 - NDB Impacted SPRF''s'!$E$6:$O$9929,5,FALSE)</f>
        <v>Behavioral Solutions</v>
      </c>
      <c r="AE2349" s="380" t="str">
        <f>VLOOKUP($B2349,'D7 - NDB Impacted SPRF''s'!$E$6:$O$9929,7,FALSE)</f>
        <v>Deb Adler</v>
      </c>
      <c r="AF2349" s="380" t="str">
        <f>VLOOKUP($B2349,'D7 - NDB Impacted SPRF''s'!$E$6:$O$9929,6,FALSE)</f>
        <v>Stephanie Logan</v>
      </c>
      <c r="AG2349" s="282"/>
      <c r="AH2349" s="311" t="e">
        <f>INDEX('D5 - Gatekeeper - Projects'!$A$4:$AF$1010,$AM2349, 17)</f>
        <v>#N/A</v>
      </c>
      <c r="AI2349" s="8"/>
      <c r="AJ2349" s="57"/>
      <c r="AK2349" s="105"/>
      <c r="AM2349" s="6" t="e">
        <f>MATCH(D2349,'D5 - Gatekeeper - Projects'!$C$4:$C$1010,0)</f>
        <v>#N/A</v>
      </c>
      <c r="AN2349" s="6" t="b">
        <f t="shared" si="247"/>
        <v>1</v>
      </c>
      <c r="AO2349" s="6" t="str">
        <f t="shared" si="248"/>
        <v>OK</v>
      </c>
      <c r="AQ2349" s="6" t="e">
        <f>MATCH($D2349,'D4 - Provider Council Unsched'!$C$11:$C$234,0)</f>
        <v>#N/A</v>
      </c>
      <c r="AR2349" s="6" t="b">
        <f t="shared" si="249"/>
        <v>1</v>
      </c>
      <c r="AS2349" s="6" t="str">
        <f t="shared" si="253"/>
        <v>OK</v>
      </c>
      <c r="AU2349" s="202">
        <v>40973</v>
      </c>
      <c r="AV2349" s="262" t="s">
        <v>2300</v>
      </c>
      <c r="AW2349" s="274">
        <v>44537</v>
      </c>
    </row>
    <row r="2350" spans="1:49" s="13" customFormat="1" ht="45" x14ac:dyDescent="0.2">
      <c r="A2350" s="14">
        <v>2326</v>
      </c>
      <c r="B2350" s="8">
        <v>400047776</v>
      </c>
      <c r="C2350" s="8" t="s">
        <v>7292</v>
      </c>
      <c r="D2350" s="4" t="str">
        <f t="shared" si="252"/>
        <v>400047776C</v>
      </c>
      <c r="E2350" s="309" t="str">
        <f>VLOOKUP($B2350,'D7 - NDB Impacted SPRF''s'!$E$6:$O$9929,2,FALSE)</f>
        <v>NDB Cosmos Demo SoT - Facility Panels</v>
      </c>
      <c r="F2350" s="8"/>
      <c r="G2350" s="8" t="s">
        <v>4758</v>
      </c>
      <c r="H2350" s="8" t="s">
        <v>2870</v>
      </c>
      <c r="I2350" s="20">
        <v>45</v>
      </c>
      <c r="J2350" s="8" t="s">
        <v>4862</v>
      </c>
      <c r="K2350" s="182">
        <v>41223</v>
      </c>
      <c r="L2350" s="8" t="s">
        <v>4156</v>
      </c>
      <c r="M2350" s="8" t="s">
        <v>2814</v>
      </c>
      <c r="N2350" s="38" t="s">
        <v>514</v>
      </c>
      <c r="O2350" s="8"/>
      <c r="P2350" s="4" t="str">
        <f>VLOOKUP($B2350,'D7 - NDB Impacted SPRF''s'!$E$16:$O$9929,9,FALSE)</f>
        <v>N</v>
      </c>
      <c r="Q2350" s="4" t="str">
        <f>VLOOKUP($B2350,'D7 - NDB Impacted SPRF''s'!$E$16:$O$9929,10,FALSE)</f>
        <v>N</v>
      </c>
      <c r="R2350" s="4" t="str">
        <f>VLOOKUP($B2350,'D7 - NDB Impacted SPRF''s'!$E$16:$O$9929,11,FALSE)</f>
        <v>Y</v>
      </c>
      <c r="S2350" s="8"/>
      <c r="T2350" s="310"/>
      <c r="U2350" s="310"/>
      <c r="V2350" s="4"/>
      <c r="W2350" s="4"/>
      <c r="X2350" s="4"/>
      <c r="Y2350" s="4"/>
      <c r="Z2350" s="4"/>
      <c r="AA2350" s="4"/>
      <c r="AB2350" s="380" t="str">
        <f>VLOOKUP($B2350,'D7 - NDB Impacted SPRF''s'!$E$6:$O$9929,4,FALSE)</f>
        <v>Completed</v>
      </c>
      <c r="AC2350" s="380" t="str">
        <f>VLOOKUP($B2350,'D7 - NDB Impacted SPRF''s'!$E$6:$O$9929,3,FALSE)</f>
        <v>UHG IT - Enterprise Technology Services</v>
      </c>
      <c r="AD2350" s="380" t="str">
        <f>VLOOKUP($B2350,'D7 - NDB Impacted SPRF''s'!$E$6:$O$9929,5,FALSE)</f>
        <v>Strategic Initiatives</v>
      </c>
      <c r="AE2350" s="380" t="str">
        <f>VLOOKUP($B2350,'D7 - NDB Impacted SPRF''s'!$E$6:$O$9929,7,FALSE)</f>
        <v>Kaja,</v>
      </c>
      <c r="AF2350" s="380" t="str">
        <f>VLOOKUP($B2350,'D7 - NDB Impacted SPRF''s'!$E$6:$O$9929,6,FALSE)</f>
        <v>SUSAN HINES</v>
      </c>
      <c r="AG2350" s="282"/>
      <c r="AH2350" s="311" t="e">
        <f>INDEX('D5 - Gatekeeper - Projects'!$A$4:$AF$1010,$AM2350, 17)</f>
        <v>#N/A</v>
      </c>
      <c r="AI2350" s="8"/>
      <c r="AJ2350" s="57"/>
      <c r="AK2350" s="105"/>
      <c r="AM2350" s="6" t="e">
        <f>MATCH(D2350,'D5 - Gatekeeper - Projects'!$C$4:$C$1010,0)</f>
        <v>#N/A</v>
      </c>
      <c r="AN2350" s="6" t="b">
        <f t="shared" si="247"/>
        <v>1</v>
      </c>
      <c r="AO2350" s="6" t="str">
        <f t="shared" si="248"/>
        <v>OK</v>
      </c>
      <c r="AQ2350" s="6" t="e">
        <f>MATCH($D2350,'D4 - Provider Council Unsched'!$C$11:$C$234,0)</f>
        <v>#N/A</v>
      </c>
      <c r="AR2350" s="6" t="b">
        <f t="shared" si="249"/>
        <v>1</v>
      </c>
      <c r="AS2350" s="6" t="str">
        <f t="shared" si="253"/>
        <v>OK</v>
      </c>
      <c r="AU2350" s="202">
        <v>40956</v>
      </c>
      <c r="AV2350" s="262" t="s">
        <v>2754</v>
      </c>
      <c r="AW2350" s="274">
        <v>60863</v>
      </c>
    </row>
    <row r="2351" spans="1:49" s="13" customFormat="1" ht="45" x14ac:dyDescent="0.2">
      <c r="A2351" s="14">
        <v>2327</v>
      </c>
      <c r="B2351" s="8">
        <v>400047776</v>
      </c>
      <c r="C2351" s="8" t="s">
        <v>7291</v>
      </c>
      <c r="D2351" s="4" t="str">
        <f t="shared" si="252"/>
        <v>400047776E</v>
      </c>
      <c r="E2351" s="309" t="str">
        <f>VLOOKUP($B2351,'D7 - NDB Impacted SPRF''s'!$E$6:$O$9929,2,FALSE)</f>
        <v>NDB Cosmos Demo SoT - Facility Panels</v>
      </c>
      <c r="F2351" s="8"/>
      <c r="G2351" s="8" t="s">
        <v>4758</v>
      </c>
      <c r="H2351" s="8" t="s">
        <v>2870</v>
      </c>
      <c r="I2351" s="20">
        <v>10.27</v>
      </c>
      <c r="J2351" s="8" t="s">
        <v>4862</v>
      </c>
      <c r="K2351" s="182">
        <v>41223</v>
      </c>
      <c r="L2351" s="8" t="s">
        <v>4156</v>
      </c>
      <c r="M2351" s="8" t="s">
        <v>2814</v>
      </c>
      <c r="N2351" s="38" t="s">
        <v>777</v>
      </c>
      <c r="O2351" s="8"/>
      <c r="P2351" s="4" t="str">
        <f>VLOOKUP($B2351,'D7 - NDB Impacted SPRF''s'!$E$16:$O$9929,9,FALSE)</f>
        <v>N</v>
      </c>
      <c r="Q2351" s="4" t="str">
        <f>VLOOKUP($B2351,'D7 - NDB Impacted SPRF''s'!$E$16:$O$9929,10,FALSE)</f>
        <v>N</v>
      </c>
      <c r="R2351" s="4" t="str">
        <f>VLOOKUP($B2351,'D7 - NDB Impacted SPRF''s'!$E$16:$O$9929,11,FALSE)</f>
        <v>Y</v>
      </c>
      <c r="S2351" s="8"/>
      <c r="T2351" s="310"/>
      <c r="U2351" s="310"/>
      <c r="V2351" s="4"/>
      <c r="W2351" s="4"/>
      <c r="X2351" s="4"/>
      <c r="Y2351" s="4"/>
      <c r="Z2351" s="4"/>
      <c r="AA2351" s="4"/>
      <c r="AB2351" s="380" t="str">
        <f>VLOOKUP($B2351,'D7 - NDB Impacted SPRF''s'!$E$6:$O$9929,4,FALSE)</f>
        <v>Completed</v>
      </c>
      <c r="AC2351" s="380" t="str">
        <f>VLOOKUP($B2351,'D7 - NDB Impacted SPRF''s'!$E$6:$O$9929,3,FALSE)</f>
        <v>UHG IT - Enterprise Technology Services</v>
      </c>
      <c r="AD2351" s="380" t="str">
        <f>VLOOKUP($B2351,'D7 - NDB Impacted SPRF''s'!$E$6:$O$9929,5,FALSE)</f>
        <v>Strategic Initiatives</v>
      </c>
      <c r="AE2351" s="380" t="str">
        <f>VLOOKUP($B2351,'D7 - NDB Impacted SPRF''s'!$E$6:$O$9929,7,FALSE)</f>
        <v>Kaja,</v>
      </c>
      <c r="AF2351" s="380" t="str">
        <f>VLOOKUP($B2351,'D7 - NDB Impacted SPRF''s'!$E$6:$O$9929,6,FALSE)</f>
        <v>SUSAN HINES</v>
      </c>
      <c r="AG2351" s="282"/>
      <c r="AH2351" s="311" t="e">
        <f>INDEX('D5 - Gatekeeper - Projects'!$A$4:$AF$1010,$AM2351, 17)</f>
        <v>#N/A</v>
      </c>
      <c r="AI2351" s="8"/>
      <c r="AJ2351" s="57"/>
      <c r="AK2351" s="105"/>
      <c r="AM2351" s="6" t="e">
        <f>MATCH(D2351,'D5 - Gatekeeper - Projects'!$C$4:$C$1010,0)</f>
        <v>#N/A</v>
      </c>
      <c r="AN2351" s="6" t="b">
        <f t="shared" si="247"/>
        <v>1</v>
      </c>
      <c r="AO2351" s="6" t="str">
        <f t="shared" si="248"/>
        <v>OK</v>
      </c>
      <c r="AQ2351" s="6" t="e">
        <f>MATCH($D2351,'D4 - Provider Council Unsched'!$C$11:$C$234,0)</f>
        <v>#N/A</v>
      </c>
      <c r="AR2351" s="6" t="b">
        <f t="shared" si="249"/>
        <v>1</v>
      </c>
      <c r="AS2351" s="6" t="str">
        <f t="shared" si="253"/>
        <v>OK</v>
      </c>
      <c r="AU2351" s="202">
        <v>41029</v>
      </c>
      <c r="AV2351" s="262" t="s">
        <v>2754</v>
      </c>
      <c r="AW2351" s="274"/>
    </row>
    <row r="2352" spans="1:49" s="13" customFormat="1" ht="135" x14ac:dyDescent="0.2">
      <c r="A2352" s="14">
        <v>2328</v>
      </c>
      <c r="B2352" s="8">
        <v>400052217</v>
      </c>
      <c r="C2352" s="8" t="s">
        <v>1447</v>
      </c>
      <c r="D2352" s="4" t="str">
        <f t="shared" si="252"/>
        <v>400052217A</v>
      </c>
      <c r="E2352" s="309" t="str">
        <f>VLOOKUP($B2352,'D7 - NDB Impacted SPRF''s'!$E$6:$O$9929,2,FALSE)</f>
        <v>TBS Provider DQ Bridge NDB Gaps Nov 2012 Release</v>
      </c>
      <c r="F2352" s="8"/>
      <c r="G2352" s="8" t="s">
        <v>4758</v>
      </c>
      <c r="H2352" s="8" t="s">
        <v>2870</v>
      </c>
      <c r="I2352" s="20">
        <v>24.42</v>
      </c>
      <c r="J2352" s="8" t="s">
        <v>4862</v>
      </c>
      <c r="K2352" s="182">
        <v>41223</v>
      </c>
      <c r="L2352" s="8" t="s">
        <v>4156</v>
      </c>
      <c r="M2352" s="8" t="s">
        <v>2814</v>
      </c>
      <c r="N2352" s="38" t="s">
        <v>255</v>
      </c>
      <c r="O2352" s="8"/>
      <c r="P2352" s="4" t="str">
        <f>VLOOKUP($B2352,'D7 - NDB Impacted SPRF''s'!$E$16:$O$9929,9,FALSE)</f>
        <v>N</v>
      </c>
      <c r="Q2352" s="4" t="str">
        <f>VLOOKUP($B2352,'D7 - NDB Impacted SPRF''s'!$E$16:$O$9929,10,FALSE)</f>
        <v>N</v>
      </c>
      <c r="R2352" s="4" t="str">
        <f>VLOOKUP($B2352,'D7 - NDB Impacted SPRF''s'!$E$16:$O$9929,11,FALSE)</f>
        <v>N</v>
      </c>
      <c r="S2352" s="8"/>
      <c r="T2352" s="310"/>
      <c r="U2352" s="310"/>
      <c r="V2352" s="4"/>
      <c r="W2352" s="4"/>
      <c r="X2352" s="4"/>
      <c r="Y2352" s="4"/>
      <c r="Z2352" s="4"/>
      <c r="AA2352" s="4"/>
      <c r="AB2352" s="380" t="str">
        <f>VLOOKUP($B2352,'D7 - NDB Impacted SPRF''s'!$E$6:$O$9929,4,FALSE)</f>
        <v>Cancelled</v>
      </c>
      <c r="AC2352" s="380" t="str">
        <f>VLOOKUP($B2352,'D7 - NDB Impacted SPRF''s'!$E$6:$O$9929,3,FALSE)</f>
        <v>OptumHealth</v>
      </c>
      <c r="AD2352" s="380" t="str">
        <f>VLOOKUP($B2352,'D7 - NDB Impacted SPRF''s'!$E$6:$O$9929,5,FALSE)</f>
        <v>Behavioral Solutions</v>
      </c>
      <c r="AE2352" s="380" t="str">
        <f>VLOOKUP($B2352,'D7 - NDB Impacted SPRF''s'!$E$6:$O$9929,7,FALSE)</f>
        <v>Deb Adler</v>
      </c>
      <c r="AF2352" s="380" t="str">
        <f>VLOOKUP($B2352,'D7 - NDB Impacted SPRF''s'!$E$6:$O$9929,6,FALSE)</f>
        <v>Stephanie Moore</v>
      </c>
      <c r="AG2352" s="282"/>
      <c r="AH2352" s="311" t="e">
        <f>INDEX('D5 - Gatekeeper - Projects'!$A$4:$AF$1010,$AM2352, 17)</f>
        <v>#N/A</v>
      </c>
      <c r="AI2352" s="8"/>
      <c r="AJ2352" s="57"/>
      <c r="AK2352" s="105"/>
      <c r="AM2352" s="6" t="e">
        <f>MATCH(D2352,'D5 - Gatekeeper - Projects'!$C$4:$C$1010,0)</f>
        <v>#N/A</v>
      </c>
      <c r="AN2352" s="6" t="b">
        <f t="shared" si="247"/>
        <v>1</v>
      </c>
      <c r="AO2352" s="6" t="str">
        <f t="shared" si="248"/>
        <v>OK</v>
      </c>
      <c r="AQ2352" s="6" t="e">
        <f>MATCH($D2352,'D4 - Provider Council Unsched'!$C$11:$C$234,0)</f>
        <v>#N/A</v>
      </c>
      <c r="AR2352" s="6" t="b">
        <f t="shared" si="249"/>
        <v>1</v>
      </c>
      <c r="AS2352" s="6" t="str">
        <f t="shared" si="253"/>
        <v>OK</v>
      </c>
      <c r="AU2352" s="202">
        <v>41082</v>
      </c>
      <c r="AV2352" s="262" t="s">
        <v>2300</v>
      </c>
      <c r="AW2352" s="274">
        <v>62466</v>
      </c>
    </row>
    <row r="2353" spans="1:49" s="13" customFormat="1" ht="45" x14ac:dyDescent="0.2">
      <c r="A2353" s="14">
        <v>2329</v>
      </c>
      <c r="B2353" s="8">
        <v>400052357</v>
      </c>
      <c r="C2353" s="8" t="s">
        <v>1447</v>
      </c>
      <c r="D2353" s="4" t="str">
        <f t="shared" si="252"/>
        <v>400052357A</v>
      </c>
      <c r="E2353" s="309" t="str">
        <f>VLOOKUP($B2353,'D7 - NDB Impacted SPRF''s'!$E$6:$O$9929,2,FALSE)</f>
        <v>MA MME</v>
      </c>
      <c r="F2353" s="8"/>
      <c r="G2353" s="8" t="s">
        <v>4758</v>
      </c>
      <c r="H2353" s="8" t="s">
        <v>2870</v>
      </c>
      <c r="I2353" s="20">
        <v>0.14000000000000001</v>
      </c>
      <c r="J2353" s="8" t="s">
        <v>4862</v>
      </c>
      <c r="K2353" s="182">
        <v>41223</v>
      </c>
      <c r="L2353" s="8" t="s">
        <v>4156</v>
      </c>
      <c r="M2353" s="8" t="s">
        <v>5626</v>
      </c>
      <c r="N2353" s="38" t="s">
        <v>836</v>
      </c>
      <c r="O2353" s="8"/>
      <c r="P2353" s="4" t="str">
        <f>VLOOKUP($B2353,'D7 - NDB Impacted SPRF''s'!$E$16:$O$9929,9,FALSE)</f>
        <v>N</v>
      </c>
      <c r="Q2353" s="4" t="str">
        <f>VLOOKUP($B2353,'D7 - NDB Impacted SPRF''s'!$E$16:$O$9929,10,FALSE)</f>
        <v>N</v>
      </c>
      <c r="R2353" s="4" t="str">
        <f>VLOOKUP($B2353,'D7 - NDB Impacted SPRF''s'!$E$16:$O$9929,11,FALSE)</f>
        <v>Y</v>
      </c>
      <c r="S2353" s="8"/>
      <c r="T2353" s="310"/>
      <c r="U2353" s="310"/>
      <c r="V2353" s="4"/>
      <c r="W2353" s="4"/>
      <c r="X2353" s="4"/>
      <c r="Y2353" s="4"/>
      <c r="Z2353" s="4"/>
      <c r="AA2353" s="4"/>
      <c r="AB2353" s="380" t="str">
        <f>VLOOKUP($B2353,'D7 - NDB Impacted SPRF''s'!$E$6:$O$9929,4,FALSE)</f>
        <v>Cancelled</v>
      </c>
      <c r="AC2353" s="380" t="str">
        <f>VLOOKUP($B2353,'D7 - NDB Impacted SPRF''s'!$E$6:$O$9929,3,FALSE)</f>
        <v>UnitedHealthcare Community &amp; State</v>
      </c>
      <c r="AD2353" s="380" t="str">
        <f>VLOOKUP($B2353,'D7 - NDB Impacted SPRF''s'!$E$6:$O$9929,5,FALSE)</f>
        <v>Membership Growth / Revenue Programs</v>
      </c>
      <c r="AE2353" s="380" t="str">
        <f>VLOOKUP($B2353,'D7 - NDB Impacted SPRF''s'!$E$6:$O$9929,7,FALSE)</f>
        <v>Michele Lepore</v>
      </c>
      <c r="AF2353" s="380" t="str">
        <f>VLOOKUP($B2353,'D7 - NDB Impacted SPRF''s'!$E$6:$O$9929,6,FALSE)</f>
        <v>Diane Perry</v>
      </c>
      <c r="AG2353" s="282"/>
      <c r="AH2353" s="311" t="e">
        <f>INDEX('D5 - Gatekeeper - Projects'!$A$4:$AF$1010,$AM2353, 17)</f>
        <v>#N/A</v>
      </c>
      <c r="AI2353" s="8"/>
      <c r="AJ2353" s="57"/>
      <c r="AK2353" s="105"/>
      <c r="AM2353" s="6" t="e">
        <f>MATCH(D2353,'D5 - Gatekeeper - Projects'!$C$4:$C$1010,0)</f>
        <v>#N/A</v>
      </c>
      <c r="AN2353" s="6" t="b">
        <f t="shared" si="247"/>
        <v>1</v>
      </c>
      <c r="AO2353" s="6" t="str">
        <f t="shared" si="248"/>
        <v>OK</v>
      </c>
      <c r="AQ2353" s="6" t="e">
        <f>MATCH($D2353,'D4 - Provider Council Unsched'!$C$11:$C$234,0)</f>
        <v>#N/A</v>
      </c>
      <c r="AR2353" s="6" t="b">
        <f t="shared" si="249"/>
        <v>1</v>
      </c>
      <c r="AS2353" s="6" t="str">
        <f t="shared" si="253"/>
        <v>OK</v>
      </c>
      <c r="AU2353" s="202">
        <v>41186</v>
      </c>
      <c r="AV2353" s="323" t="s">
        <v>938</v>
      </c>
      <c r="AW2353" s="274" t="s">
        <v>3572</v>
      </c>
    </row>
    <row r="2354" spans="1:49" s="13" customFormat="1" ht="56.25" x14ac:dyDescent="0.2">
      <c r="A2354" s="14">
        <v>2330</v>
      </c>
      <c r="B2354" s="8">
        <v>400053873</v>
      </c>
      <c r="C2354" s="8" t="s">
        <v>1447</v>
      </c>
      <c r="D2354" s="4" t="str">
        <f t="shared" si="252"/>
        <v>400053873A</v>
      </c>
      <c r="E2354" s="309" t="str">
        <f>VLOOKUP($B2354,'D7 - NDB Impacted SPRF''s'!$E$6:$O$9929,2,FALSE)</f>
        <v>Enhanced myuhc Claim Display &amp; Payment Capability</v>
      </c>
      <c r="F2354" s="8"/>
      <c r="G2354" s="8" t="s">
        <v>4758</v>
      </c>
      <c r="H2354" s="8" t="s">
        <v>2870</v>
      </c>
      <c r="I2354" s="20">
        <v>0.2</v>
      </c>
      <c r="J2354" s="8" t="s">
        <v>4862</v>
      </c>
      <c r="K2354" s="182">
        <v>41223</v>
      </c>
      <c r="L2354" s="8" t="s">
        <v>4156</v>
      </c>
      <c r="M2354" s="8" t="s">
        <v>5626</v>
      </c>
      <c r="N2354" s="38" t="s">
        <v>2616</v>
      </c>
      <c r="O2354" s="8"/>
      <c r="P2354" s="4" t="str">
        <f>VLOOKUP($B2354,'D7 - NDB Impacted SPRF''s'!$E$16:$O$9929,9,FALSE)</f>
        <v>Y</v>
      </c>
      <c r="Q2354" s="4" t="str">
        <f>VLOOKUP($B2354,'D7 - NDB Impacted SPRF''s'!$E$16:$O$9929,10,FALSE)</f>
        <v>N</v>
      </c>
      <c r="R2354" s="4" t="str">
        <f>VLOOKUP($B2354,'D7 - NDB Impacted SPRF''s'!$E$16:$O$9929,11,FALSE)</f>
        <v>N</v>
      </c>
      <c r="S2354" s="8"/>
      <c r="T2354" s="310"/>
      <c r="U2354" s="310"/>
      <c r="V2354" s="4"/>
      <c r="W2354" s="4"/>
      <c r="X2354" s="4"/>
      <c r="Y2354" s="4"/>
      <c r="Z2354" s="4"/>
      <c r="AA2354" s="4"/>
      <c r="AB2354" s="380" t="str">
        <f>VLOOKUP($B2354,'D7 - NDB Impacted SPRF''s'!$E$6:$O$9929,4,FALSE)</f>
        <v>Completed</v>
      </c>
      <c r="AC2354" s="380" t="str">
        <f>VLOOKUP($B2354,'D7 - NDB Impacted SPRF''s'!$E$6:$O$9929,3,FALSE)</f>
        <v>UnitedHealthcare Employer &amp; Individual</v>
      </c>
      <c r="AD2354" s="380" t="str">
        <f>VLOOKUP($B2354,'D7 - NDB Impacted SPRF''s'!$E$6:$O$9929,5,FALSE)</f>
        <v>Membership Growth / Revenue Programs</v>
      </c>
      <c r="AE2354" s="380" t="str">
        <f>VLOOKUP($B2354,'D7 - NDB Impacted SPRF''s'!$E$6:$O$9929,7,FALSE)</f>
        <v>Yasmine Winkler</v>
      </c>
      <c r="AF2354" s="380" t="str">
        <f>VLOOKUP($B2354,'D7 - NDB Impacted SPRF''s'!$E$6:$O$9929,6,FALSE)</f>
        <v>Barbara Tooley</v>
      </c>
      <c r="AG2354" s="282"/>
      <c r="AH2354" s="311" t="e">
        <f>INDEX('D5 - Gatekeeper - Projects'!$A$4:$AF$1010,$AM2354, 17)</f>
        <v>#N/A</v>
      </c>
      <c r="AI2354" s="8"/>
      <c r="AJ2354" s="57"/>
      <c r="AK2354" s="105"/>
      <c r="AM2354" s="6" t="e">
        <f>MATCH(D2354,'D5 - Gatekeeper - Projects'!$C$4:$C$1010,0)</f>
        <v>#N/A</v>
      </c>
      <c r="AN2354" s="6" t="b">
        <f t="shared" si="247"/>
        <v>1</v>
      </c>
      <c r="AO2354" s="6" t="str">
        <f t="shared" si="248"/>
        <v>OK</v>
      </c>
      <c r="AQ2354" s="6" t="e">
        <f>MATCH($D2354,'D4 - Provider Council Unsched'!$C$11:$C$234,0)</f>
        <v>#N/A</v>
      </c>
      <c r="AR2354" s="6" t="b">
        <f t="shared" si="249"/>
        <v>1</v>
      </c>
      <c r="AS2354" s="6" t="str">
        <f t="shared" si="253"/>
        <v>OK</v>
      </c>
      <c r="AU2354" s="202">
        <v>41162</v>
      </c>
      <c r="AV2354" s="262" t="s">
        <v>3512</v>
      </c>
      <c r="AW2354" s="274">
        <v>66494</v>
      </c>
    </row>
    <row r="2355" spans="1:49" s="13" customFormat="1" x14ac:dyDescent="0.2">
      <c r="A2355" s="14">
        <v>2331</v>
      </c>
      <c r="B2355" s="8">
        <v>400043000</v>
      </c>
      <c r="C2355" s="8" t="s">
        <v>1447</v>
      </c>
      <c r="D2355" s="4" t="str">
        <f t="shared" si="252"/>
        <v>400043000A</v>
      </c>
      <c r="E2355" s="309" t="str">
        <f>VLOOKUP($B2355,'D7 - NDB Impacted SPRF''s'!$E$6:$O$9929,2,FALSE)</f>
        <v xml:space="preserve">PBH Facets Migration - PacifiCare Shared Health </v>
      </c>
      <c r="F2355" s="8"/>
      <c r="G2355" s="8" t="s">
        <v>4758</v>
      </c>
      <c r="H2355" s="8" t="s">
        <v>2870</v>
      </c>
      <c r="I2355" s="20">
        <v>0.6</v>
      </c>
      <c r="J2355" s="8" t="s">
        <v>4862</v>
      </c>
      <c r="K2355" s="182">
        <v>41321</v>
      </c>
      <c r="L2355" s="8" t="s">
        <v>4156</v>
      </c>
      <c r="M2355" s="8" t="s">
        <v>5626</v>
      </c>
      <c r="N2355" s="38" t="s">
        <v>9460</v>
      </c>
      <c r="O2355" s="8"/>
      <c r="P2355" s="4" t="str">
        <f>VLOOKUP($B2355,'D7 - NDB Impacted SPRF''s'!$E$16:$O$9929,9,FALSE)</f>
        <v>N</v>
      </c>
      <c r="Q2355" s="4" t="str">
        <f>VLOOKUP($B2355,'D7 - NDB Impacted SPRF''s'!$E$16:$O$9929,10,FALSE)</f>
        <v>N</v>
      </c>
      <c r="R2355" s="4" t="str">
        <f>VLOOKUP($B2355,'D7 - NDB Impacted SPRF''s'!$E$16:$O$9929,11,FALSE)</f>
        <v>N</v>
      </c>
      <c r="S2355" s="8"/>
      <c r="T2355" s="310"/>
      <c r="U2355" s="310"/>
      <c r="V2355" s="4"/>
      <c r="W2355" s="4"/>
      <c r="X2355" s="4"/>
      <c r="Y2355" s="4"/>
      <c r="Z2355" s="4"/>
      <c r="AA2355" s="4"/>
      <c r="AB2355" s="380" t="str">
        <f>VLOOKUP($B2355,'D7 - NDB Impacted SPRF''s'!$E$6:$O$9929,4,FALSE)</f>
        <v>Cancelled</v>
      </c>
      <c r="AC2355" s="380" t="str">
        <f>VLOOKUP($B2355,'D7 - NDB Impacted SPRF''s'!$E$6:$O$9929,3,FALSE)</f>
        <v>OptumHealth</v>
      </c>
      <c r="AD2355" s="380" t="str">
        <f>VLOOKUP($B2355,'D7 - NDB Impacted SPRF''s'!$E$6:$O$9929,5,FALSE)</f>
        <v>Behavioral Solutions</v>
      </c>
      <c r="AE2355" s="380" t="str">
        <f>VLOOKUP($B2355,'D7 - NDB Impacted SPRF''s'!$E$6:$O$9929,7,FALSE)</f>
        <v>Lloyd Dyer</v>
      </c>
      <c r="AF2355" s="380" t="str">
        <f>VLOOKUP($B2355,'D7 - NDB Impacted SPRF''s'!$E$6:$O$9929,6,FALSE)</f>
        <v>Jennifer Weed</v>
      </c>
      <c r="AG2355" s="282"/>
      <c r="AH2355" s="311" t="e">
        <f>INDEX('D5 - Gatekeeper - Projects'!$A$4:$AF$1010,$AM2355, 17)</f>
        <v>#N/A</v>
      </c>
      <c r="AI2355" s="8"/>
      <c r="AJ2355" s="57"/>
      <c r="AK2355" s="105"/>
      <c r="AM2355" s="6" t="e">
        <f>MATCH(D2355,'D5 - Gatekeeper - Projects'!$C$4:$C$1010,0)</f>
        <v>#N/A</v>
      </c>
      <c r="AN2355" s="6" t="b">
        <f t="shared" si="247"/>
        <v>1</v>
      </c>
      <c r="AO2355" s="6" t="str">
        <f t="shared" si="248"/>
        <v>OK</v>
      </c>
      <c r="AQ2355" s="6" t="e">
        <f>MATCH($D2355,'D4 - Provider Council Unsched'!$C$11:$C$234,0)</f>
        <v>#N/A</v>
      </c>
      <c r="AR2355" s="6" t="b">
        <f t="shared" si="249"/>
        <v>1</v>
      </c>
      <c r="AS2355" s="6" t="str">
        <f t="shared" si="253"/>
        <v>OK</v>
      </c>
      <c r="AU2355" s="202"/>
      <c r="AV2355" s="262" t="s">
        <v>1077</v>
      </c>
      <c r="AW2355" s="274" t="s">
        <v>4027</v>
      </c>
    </row>
    <row r="2356" spans="1:49" s="13" customFormat="1" ht="67.5" x14ac:dyDescent="0.2">
      <c r="A2356" s="14">
        <v>2332</v>
      </c>
      <c r="B2356" s="8">
        <v>400048140</v>
      </c>
      <c r="C2356" s="8" t="s">
        <v>7290</v>
      </c>
      <c r="D2356" s="4" t="str">
        <f t="shared" si="252"/>
        <v>400048140B</v>
      </c>
      <c r="E2356" s="309" t="str">
        <f>VLOOKUP($B2356,'D7 - NDB Impacted SPRF''s'!$E$6:$O$9929,2,FALSE)</f>
        <v>ICD-10 E&amp; I Code Loading</v>
      </c>
      <c r="F2356" s="8"/>
      <c r="G2356" s="8" t="s">
        <v>4758</v>
      </c>
      <c r="H2356" s="8" t="s">
        <v>2870</v>
      </c>
      <c r="I2356" s="20">
        <v>46.4</v>
      </c>
      <c r="J2356" s="8" t="s">
        <v>4862</v>
      </c>
      <c r="K2356" s="182">
        <v>41321</v>
      </c>
      <c r="L2356" s="8" t="s">
        <v>4156</v>
      </c>
      <c r="M2356" s="8" t="s">
        <v>2814</v>
      </c>
      <c r="N2356" s="38" t="s">
        <v>429</v>
      </c>
      <c r="O2356" s="8"/>
      <c r="P2356" s="4" t="str">
        <f>VLOOKUP($B2356,'D7 - NDB Impacted SPRF''s'!$E$16:$O$9929,9,FALSE)</f>
        <v>Y</v>
      </c>
      <c r="Q2356" s="4" t="str">
        <f>VLOOKUP($B2356,'D7 - NDB Impacted SPRF''s'!$E$16:$O$9929,10,FALSE)</f>
        <v>N</v>
      </c>
      <c r="R2356" s="4" t="str">
        <f>VLOOKUP($B2356,'D7 - NDB Impacted SPRF''s'!$E$16:$O$9929,11,FALSE)</f>
        <v>Y</v>
      </c>
      <c r="S2356" s="8"/>
      <c r="T2356" s="310"/>
      <c r="U2356" s="310"/>
      <c r="V2356" s="4"/>
      <c r="W2356" s="4"/>
      <c r="X2356" s="4"/>
      <c r="Y2356" s="4"/>
      <c r="Z2356" s="4"/>
      <c r="AA2356" s="4"/>
      <c r="AB2356" s="380" t="str">
        <f>VLOOKUP($B2356,'D7 - NDB Impacted SPRF''s'!$E$6:$O$9929,4,FALSE)</f>
        <v>Scheduled</v>
      </c>
      <c r="AC2356" s="380" t="str">
        <f>VLOOKUP($B2356,'D7 - NDB Impacted SPRF''s'!$E$6:$O$9929,3,FALSE)</f>
        <v>UnitedHealthcare Employer &amp; Individual</v>
      </c>
      <c r="AD2356" s="380" t="str">
        <f>VLOOKUP($B2356,'D7 - NDB Impacted SPRF''s'!$E$6:$O$9929,5,FALSE)</f>
        <v>Regulatory / Other</v>
      </c>
      <c r="AE2356" s="380" t="str">
        <f>VLOOKUP($B2356,'D7 - NDB Impacted SPRF''s'!$E$6:$O$9929,7,FALSE)</f>
        <v>Tim Kaja</v>
      </c>
      <c r="AF2356" s="380" t="str">
        <f>VLOOKUP($B2356,'D7 - NDB Impacted SPRF''s'!$E$6:$O$9929,6,FALSE)</f>
        <v>Delvis Schilling</v>
      </c>
      <c r="AG2356" s="282"/>
      <c r="AH2356" s="311" t="e">
        <f>INDEX('D5 - Gatekeeper - Projects'!$A$4:$AF$1010,$AM2356, 17)</f>
        <v>#N/A</v>
      </c>
      <c r="AI2356" s="8"/>
      <c r="AJ2356" s="57"/>
      <c r="AK2356" s="105"/>
      <c r="AM2356" s="6" t="e">
        <f>MATCH(D2356,'D5 - Gatekeeper - Projects'!$C$4:$C$1010,0)</f>
        <v>#N/A</v>
      </c>
      <c r="AN2356" s="6" t="b">
        <f t="shared" si="247"/>
        <v>1</v>
      </c>
      <c r="AO2356" s="6" t="str">
        <f t="shared" si="248"/>
        <v>OK</v>
      </c>
      <c r="AQ2356" s="6" t="e">
        <f>MATCH($D2356,'D4 - Provider Council Unsched'!$C$11:$C$234,0)</f>
        <v>#N/A</v>
      </c>
      <c r="AR2356" s="6" t="b">
        <f t="shared" si="249"/>
        <v>1</v>
      </c>
      <c r="AS2356" s="6" t="str">
        <f t="shared" si="253"/>
        <v>OK</v>
      </c>
      <c r="AU2356" s="202">
        <v>41047</v>
      </c>
      <c r="AV2356" s="262" t="s">
        <v>2299</v>
      </c>
      <c r="AW2356" s="274">
        <v>60883</v>
      </c>
    </row>
    <row r="2357" spans="1:49" s="13" customFormat="1" ht="33.75" x14ac:dyDescent="0.2">
      <c r="A2357" s="14">
        <v>2333</v>
      </c>
      <c r="B2357" s="8">
        <v>400048214</v>
      </c>
      <c r="C2357" s="8" t="s">
        <v>1447</v>
      </c>
      <c r="D2357" s="4" t="str">
        <f t="shared" si="252"/>
        <v>400048214A</v>
      </c>
      <c r="E2357" s="309" t="str">
        <f>VLOOKUP($B2357,'D7 - NDB Impacted SPRF''s'!$E$6:$O$9929,2,FALSE)</f>
        <v>Multiple Procedure Payment Reduction for therapy</v>
      </c>
      <c r="F2357" s="8"/>
      <c r="G2357" s="8" t="s">
        <v>4758</v>
      </c>
      <c r="H2357" s="8" t="s">
        <v>2870</v>
      </c>
      <c r="I2357" s="20">
        <v>17.71</v>
      </c>
      <c r="J2357" s="8" t="s">
        <v>4862</v>
      </c>
      <c r="K2357" s="182">
        <v>41321</v>
      </c>
      <c r="L2357" s="8" t="s">
        <v>4156</v>
      </c>
      <c r="M2357" s="8" t="s">
        <v>2814</v>
      </c>
      <c r="N2357" s="38" t="s">
        <v>1722</v>
      </c>
      <c r="O2357" s="8"/>
      <c r="P2357" s="4" t="str">
        <f>VLOOKUP($B2357,'D7 - NDB Impacted SPRF''s'!$E$16:$O$9929,9,FALSE)</f>
        <v>N</v>
      </c>
      <c r="Q2357" s="4" t="str">
        <f>VLOOKUP($B2357,'D7 - NDB Impacted SPRF''s'!$E$16:$O$9929,10,FALSE)</f>
        <v>N</v>
      </c>
      <c r="R2357" s="4" t="str">
        <f>VLOOKUP($B2357,'D7 - NDB Impacted SPRF''s'!$E$16:$O$9929,11,FALSE)</f>
        <v>N</v>
      </c>
      <c r="S2357" s="8"/>
      <c r="T2357" s="310"/>
      <c r="U2357" s="310"/>
      <c r="V2357" s="4"/>
      <c r="W2357" s="4"/>
      <c r="X2357" s="4"/>
      <c r="Y2357" s="4"/>
      <c r="Z2357" s="4"/>
      <c r="AA2357" s="4"/>
      <c r="AB2357" s="380" t="str">
        <f>VLOOKUP($B2357,'D7 - NDB Impacted SPRF''s'!$E$6:$O$9929,4,FALSE)</f>
        <v>Cancelled</v>
      </c>
      <c r="AC2357" s="380" t="str">
        <f>VLOOKUP($B2357,'D7 - NDB Impacted SPRF''s'!$E$6:$O$9929,3,FALSE)</f>
        <v>UnitedHealthcare Medicare &amp; Retirement</v>
      </c>
      <c r="AD2357" s="380" t="str">
        <f>VLOOKUP($B2357,'D7 - NDB Impacted SPRF''s'!$E$6:$O$9929,5,FALSE)</f>
        <v>Process Improvement</v>
      </c>
      <c r="AE2357" s="380" t="str">
        <f>VLOOKUP($B2357,'D7 - NDB Impacted SPRF''s'!$E$6:$O$9929,7,FALSE)</f>
        <v>Lloyd Wright</v>
      </c>
      <c r="AF2357" s="380" t="str">
        <f>VLOOKUP($B2357,'D7 - NDB Impacted SPRF''s'!$E$6:$O$9929,6,FALSE)</f>
        <v>Paul Mcgahan</v>
      </c>
      <c r="AG2357" s="282"/>
      <c r="AH2357" s="311" t="e">
        <f>INDEX('D5 - Gatekeeper - Projects'!$A$4:$AF$1010,$AM2357, 17)</f>
        <v>#N/A</v>
      </c>
      <c r="AI2357" s="8"/>
      <c r="AJ2357" s="57"/>
      <c r="AK2357" s="105"/>
      <c r="AM2357" s="6" t="e">
        <f>MATCH(D2357,'D5 - Gatekeeper - Projects'!$C$4:$C$1010,0)</f>
        <v>#N/A</v>
      </c>
      <c r="AN2357" s="6" t="b">
        <f t="shared" si="247"/>
        <v>1</v>
      </c>
      <c r="AO2357" s="6" t="str">
        <f t="shared" si="248"/>
        <v>OK</v>
      </c>
      <c r="AQ2357" s="6" t="e">
        <f>MATCH($D2357,'D4 - Provider Council Unsched'!$C$11:$C$234,0)</f>
        <v>#N/A</v>
      </c>
      <c r="AR2357" s="6" t="b">
        <f t="shared" si="249"/>
        <v>1</v>
      </c>
      <c r="AS2357" s="6" t="str">
        <f t="shared" si="253"/>
        <v>OK</v>
      </c>
      <c r="AU2357" s="202"/>
      <c r="AV2357" s="262" t="s">
        <v>486</v>
      </c>
      <c r="AW2357" s="274">
        <v>53855</v>
      </c>
    </row>
    <row r="2358" spans="1:49" s="13" customFormat="1" ht="33.75" x14ac:dyDescent="0.2">
      <c r="A2358" s="14">
        <v>2334</v>
      </c>
      <c r="B2358" s="8">
        <v>400048416</v>
      </c>
      <c r="C2358" s="8" t="s">
        <v>7290</v>
      </c>
      <c r="D2358" s="4" t="str">
        <f t="shared" si="252"/>
        <v>400048416B</v>
      </c>
      <c r="E2358" s="309" t="str">
        <f>VLOOKUP($B2358,'D7 - NDB Impacted SPRF''s'!$E$6:$O$9929,2,FALSE)</f>
        <v>OnLine Referral Capability for Gatekeeper Products</v>
      </c>
      <c r="F2358" s="8"/>
      <c r="G2358" s="8" t="s">
        <v>4758</v>
      </c>
      <c r="H2358" s="8" t="s">
        <v>2870</v>
      </c>
      <c r="I2358" s="20">
        <v>4.49</v>
      </c>
      <c r="J2358" s="8" t="s">
        <v>4862</v>
      </c>
      <c r="K2358" s="182">
        <v>41321</v>
      </c>
      <c r="L2358" s="8" t="s">
        <v>4156</v>
      </c>
      <c r="M2358" s="8" t="s">
        <v>2814</v>
      </c>
      <c r="N2358" s="38" t="s">
        <v>199</v>
      </c>
      <c r="O2358" s="8"/>
      <c r="P2358" s="4" t="str">
        <f>VLOOKUP($B2358,'D7 - NDB Impacted SPRF''s'!$E$16:$O$9929,9,FALSE)</f>
        <v>Y</v>
      </c>
      <c r="Q2358" s="4" t="str">
        <f>VLOOKUP($B2358,'D7 - NDB Impacted SPRF''s'!$E$16:$O$9929,10,FALSE)</f>
        <v>N</v>
      </c>
      <c r="R2358" s="4" t="str">
        <f>VLOOKUP($B2358,'D7 - NDB Impacted SPRF''s'!$E$16:$O$9929,11,FALSE)</f>
        <v>N</v>
      </c>
      <c r="S2358" s="8"/>
      <c r="T2358" s="310"/>
      <c r="U2358" s="310"/>
      <c r="V2358" s="4"/>
      <c r="W2358" s="4"/>
      <c r="X2358" s="4"/>
      <c r="Y2358" s="4"/>
      <c r="Z2358" s="4"/>
      <c r="AA2358" s="4"/>
      <c r="AB2358" s="380" t="str">
        <f>VLOOKUP($B2358,'D7 - NDB Impacted SPRF''s'!$E$6:$O$9929,4,FALSE)</f>
        <v>Scheduled</v>
      </c>
      <c r="AC2358" s="380" t="str">
        <f>VLOOKUP($B2358,'D7 - NDB Impacted SPRF''s'!$E$6:$O$9929,3,FALSE)</f>
        <v>UnitedHealthcare Medicare &amp; Retirement</v>
      </c>
      <c r="AD2358" s="380" t="str">
        <f>VLOOKUP($B2358,'D7 - NDB Impacted SPRF''s'!$E$6:$O$9929,5,FALSE)</f>
        <v>Customer Requirements</v>
      </c>
      <c r="AE2358" s="380" t="str">
        <f>VLOOKUP($B2358,'D7 - NDB Impacted SPRF''s'!$E$6:$O$9929,7,FALSE)</f>
        <v>Michael Donovan</v>
      </c>
      <c r="AF2358" s="380" t="str">
        <f>VLOOKUP($B2358,'D7 - NDB Impacted SPRF''s'!$E$6:$O$9929,6,FALSE)</f>
        <v>Brendan Dolan</v>
      </c>
      <c r="AG2358" s="282"/>
      <c r="AH2358" s="311" t="e">
        <f>INDEX('D5 - Gatekeeper - Projects'!$A$4:$AF$1010,$AM2358, 17)</f>
        <v>#N/A</v>
      </c>
      <c r="AI2358" s="8"/>
      <c r="AJ2358" s="57"/>
      <c r="AK2358" s="105"/>
      <c r="AM2358" s="6" t="e">
        <f>MATCH(D2358,'D5 - Gatekeeper - Projects'!$C$4:$C$1010,0)</f>
        <v>#N/A</v>
      </c>
      <c r="AN2358" s="6" t="b">
        <f t="shared" si="247"/>
        <v>1</v>
      </c>
      <c r="AO2358" s="6" t="str">
        <f t="shared" si="248"/>
        <v>OK</v>
      </c>
      <c r="AQ2358" s="6" t="e">
        <f>MATCH($D2358,'D4 - Provider Council Unsched'!$C$11:$C$234,0)</f>
        <v>#N/A</v>
      </c>
      <c r="AR2358" s="6" t="b">
        <f t="shared" si="249"/>
        <v>1</v>
      </c>
      <c r="AS2358" s="6" t="str">
        <f t="shared" si="253"/>
        <v>OK</v>
      </c>
      <c r="AU2358" s="202">
        <v>41047</v>
      </c>
      <c r="AV2358" s="262" t="s">
        <v>1131</v>
      </c>
      <c r="AW2358" s="274">
        <v>53803</v>
      </c>
    </row>
    <row r="2359" spans="1:49" s="13" customFormat="1" ht="78.75" x14ac:dyDescent="0.2">
      <c r="A2359" s="14">
        <v>2335</v>
      </c>
      <c r="B2359" s="8">
        <v>400048702</v>
      </c>
      <c r="C2359" s="8" t="s">
        <v>1447</v>
      </c>
      <c r="D2359" s="4" t="str">
        <f t="shared" si="252"/>
        <v>400048702A</v>
      </c>
      <c r="E2359" s="309" t="str">
        <f>VLOOKUP($B2359,'D7 - NDB Impacted SPRF''s'!$E$6:$O$9929,2,FALSE)</f>
        <v>CMC - Risk Carve Out</v>
      </c>
      <c r="F2359" s="8"/>
      <c r="G2359" s="8" t="s">
        <v>4758</v>
      </c>
      <c r="H2359" s="8" t="s">
        <v>2870</v>
      </c>
      <c r="I2359" s="20">
        <v>20.85</v>
      </c>
      <c r="J2359" s="8" t="s">
        <v>4862</v>
      </c>
      <c r="K2359" s="182">
        <v>41321</v>
      </c>
      <c r="L2359" s="8" t="s">
        <v>4156</v>
      </c>
      <c r="M2359" s="8" t="s">
        <v>2814</v>
      </c>
      <c r="N2359" s="38" t="s">
        <v>108</v>
      </c>
      <c r="O2359" s="8"/>
      <c r="P2359" s="4" t="str">
        <f>VLOOKUP($B2359,'D7 - NDB Impacted SPRF''s'!$E$16:$O$9929,9,FALSE)</f>
        <v>N</v>
      </c>
      <c r="Q2359" s="4" t="str">
        <f>VLOOKUP($B2359,'D7 - NDB Impacted SPRF''s'!$E$16:$O$9929,10,FALSE)</f>
        <v>N</v>
      </c>
      <c r="R2359" s="4" t="str">
        <f>VLOOKUP($B2359,'D7 - NDB Impacted SPRF''s'!$E$16:$O$9929,11,FALSE)</f>
        <v>N</v>
      </c>
      <c r="S2359" s="8"/>
      <c r="T2359" s="310"/>
      <c r="U2359" s="310"/>
      <c r="V2359" s="4"/>
      <c r="W2359" s="4"/>
      <c r="X2359" s="4"/>
      <c r="Y2359" s="4"/>
      <c r="Z2359" s="4"/>
      <c r="AA2359" s="4"/>
      <c r="AB2359" s="380" t="str">
        <f>VLOOKUP($B2359,'D7 - NDB Impacted SPRF''s'!$E$6:$O$9929,4,FALSE)</f>
        <v>Completed</v>
      </c>
      <c r="AC2359" s="380" t="str">
        <f>VLOOKUP($B2359,'D7 - NDB Impacted SPRF''s'!$E$6:$O$9929,3,FALSE)</f>
        <v>OptumHealth</v>
      </c>
      <c r="AD2359" s="380" t="str">
        <f>VLOOKUP($B2359,'D7 - NDB Impacted SPRF''s'!$E$6:$O$9929,5,FALSE)</f>
        <v>OptumHealth Care Solutions</v>
      </c>
      <c r="AE2359" s="380" t="str">
        <f>VLOOKUP($B2359,'D7 - NDB Impacted SPRF''s'!$E$6:$O$9929,7,FALSE)</f>
        <v>Chris Pricco</v>
      </c>
      <c r="AF2359" s="380" t="str">
        <f>VLOOKUP($B2359,'D7 - NDB Impacted SPRF''s'!$E$6:$O$9929,6,FALSE)</f>
        <v>Kari Buck</v>
      </c>
      <c r="AG2359" s="282"/>
      <c r="AH2359" s="311" t="e">
        <f>INDEX('D5 - Gatekeeper - Projects'!$A$4:$AF$1010,$AM2359, 17)</f>
        <v>#N/A</v>
      </c>
      <c r="AI2359" s="8"/>
      <c r="AJ2359" s="57"/>
      <c r="AK2359" s="105"/>
      <c r="AM2359" s="6" t="e">
        <f>MATCH(D2359,'D5 - Gatekeeper - Projects'!$C$4:$C$1010,0)</f>
        <v>#N/A</v>
      </c>
      <c r="AN2359" s="6" t="b">
        <f t="shared" si="247"/>
        <v>1</v>
      </c>
      <c r="AO2359" s="6" t="str">
        <f t="shared" si="248"/>
        <v>OK</v>
      </c>
      <c r="AQ2359" s="6" t="e">
        <f>MATCH($D2359,'D4 - Provider Council Unsched'!$C$11:$C$234,0)</f>
        <v>#N/A</v>
      </c>
      <c r="AR2359" s="6" t="b">
        <f t="shared" si="249"/>
        <v>1</v>
      </c>
      <c r="AS2359" s="6" t="str">
        <f t="shared" si="253"/>
        <v>OK</v>
      </c>
      <c r="AU2359" s="202">
        <v>41033</v>
      </c>
      <c r="AV2359" s="262" t="s">
        <v>2233</v>
      </c>
      <c r="AW2359" s="274">
        <v>53003</v>
      </c>
    </row>
    <row r="2360" spans="1:49" s="13" customFormat="1" ht="67.5" x14ac:dyDescent="0.2">
      <c r="A2360" s="14">
        <v>2336</v>
      </c>
      <c r="B2360" s="8">
        <v>400053058</v>
      </c>
      <c r="C2360" s="8" t="s">
        <v>1447</v>
      </c>
      <c r="D2360" s="4" t="str">
        <f t="shared" si="252"/>
        <v>400053058A</v>
      </c>
      <c r="E2360" s="309" t="str">
        <f>VLOOKUP($B2360,'D7 - NDB Impacted SPRF''s'!$E$6:$O$9929,2,FALSE)</f>
        <v>Medica Commercial Business - COSMOS New DIV</v>
      </c>
      <c r="F2360" s="8"/>
      <c r="G2360" s="8" t="s">
        <v>4758</v>
      </c>
      <c r="H2360" s="8" t="s">
        <v>2870</v>
      </c>
      <c r="I2360" s="20">
        <v>5.31</v>
      </c>
      <c r="J2360" s="8" t="s">
        <v>4862</v>
      </c>
      <c r="K2360" s="182">
        <v>41321</v>
      </c>
      <c r="L2360" s="8" t="s">
        <v>4156</v>
      </c>
      <c r="M2360" s="8" t="s">
        <v>2814</v>
      </c>
      <c r="N2360" s="38" t="s">
        <v>325</v>
      </c>
      <c r="O2360" s="8"/>
      <c r="P2360" s="4" t="str">
        <f>VLOOKUP($B2360,'D7 - NDB Impacted SPRF''s'!$E$16:$O$9929,9,FALSE)</f>
        <v>Y</v>
      </c>
      <c r="Q2360" s="4" t="str">
        <f>VLOOKUP($B2360,'D7 - NDB Impacted SPRF''s'!$E$16:$O$9929,10,FALSE)</f>
        <v>N</v>
      </c>
      <c r="R2360" s="4" t="str">
        <f>VLOOKUP($B2360,'D7 - NDB Impacted SPRF''s'!$E$16:$O$9929,11,FALSE)</f>
        <v>Y</v>
      </c>
      <c r="S2360" s="8"/>
      <c r="T2360" s="310"/>
      <c r="U2360" s="310"/>
      <c r="V2360" s="4"/>
      <c r="W2360" s="4"/>
      <c r="X2360" s="4"/>
      <c r="Y2360" s="4"/>
      <c r="Z2360" s="4"/>
      <c r="AA2360" s="4"/>
      <c r="AB2360" s="380" t="str">
        <f>VLOOKUP($B2360,'D7 - NDB Impacted SPRF''s'!$E$6:$O$9929,4,FALSE)</f>
        <v>Scheduled</v>
      </c>
      <c r="AC2360" s="380" t="str">
        <f>VLOOKUP($B2360,'D7 - NDB Impacted SPRF''s'!$E$6:$O$9929,3,FALSE)</f>
        <v>UHG IT - Shared Services</v>
      </c>
      <c r="AD2360" s="380" t="str">
        <f>VLOOKUP($B2360,'D7 - NDB Impacted SPRF''s'!$E$6:$O$9929,5,FALSE)</f>
        <v>Medica Funded</v>
      </c>
      <c r="AE2360" s="380" t="str">
        <f>VLOOKUP($B2360,'D7 - NDB Impacted SPRF''s'!$E$6:$O$9929,7,FALSE)</f>
        <v>Mimi Taylor</v>
      </c>
      <c r="AF2360" s="380" t="str">
        <f>VLOOKUP($B2360,'D7 - NDB Impacted SPRF''s'!$E$6:$O$9929,6,FALSE)</f>
        <v>JOY EBANKS</v>
      </c>
      <c r="AG2360" s="282"/>
      <c r="AH2360" s="311" t="e">
        <f>INDEX('D5 - Gatekeeper - Projects'!$A$4:$AF$1010,$AM2360, 17)</f>
        <v>#N/A</v>
      </c>
      <c r="AI2360" s="8"/>
      <c r="AJ2360" s="57"/>
      <c r="AK2360" s="105"/>
      <c r="AM2360" s="6" t="e">
        <f>MATCH(D2360,'D5 - Gatekeeper - Projects'!$C$4:$C$1010,0)</f>
        <v>#N/A</v>
      </c>
      <c r="AN2360" s="6" t="b">
        <f t="shared" si="247"/>
        <v>1</v>
      </c>
      <c r="AO2360" s="6" t="str">
        <f t="shared" si="248"/>
        <v>OK</v>
      </c>
      <c r="AQ2360" s="6" t="e">
        <f>MATCH($D2360,'D4 - Provider Council Unsched'!$C$11:$C$234,0)</f>
        <v>#N/A</v>
      </c>
      <c r="AR2360" s="6" t="b">
        <f t="shared" si="249"/>
        <v>1</v>
      </c>
      <c r="AS2360" s="6" t="str">
        <f t="shared" si="253"/>
        <v>OK</v>
      </c>
      <c r="AU2360" s="202">
        <v>41186</v>
      </c>
      <c r="AV2360" s="262" t="s">
        <v>2236</v>
      </c>
      <c r="AW2360" s="274">
        <v>64970</v>
      </c>
    </row>
    <row r="2361" spans="1:49" s="13" customFormat="1" ht="33.75" x14ac:dyDescent="0.2">
      <c r="A2361" s="14">
        <v>2337</v>
      </c>
      <c r="B2361" s="8">
        <v>400050155</v>
      </c>
      <c r="C2361" s="8" t="s">
        <v>7289</v>
      </c>
      <c r="D2361" s="4" t="str">
        <f t="shared" si="252"/>
        <v>400050155D</v>
      </c>
      <c r="E2361" s="309" t="str">
        <f>VLOOKUP($B2361,'D7 - NDB Impacted SPRF''s'!$E$6:$O$9929,2,FALSE)</f>
        <v>Health Care Cost Estimator  Release 2.2</v>
      </c>
      <c r="F2361" s="8"/>
      <c r="G2361" s="8" t="s">
        <v>4758</v>
      </c>
      <c r="H2361" s="8" t="s">
        <v>2870</v>
      </c>
      <c r="I2361" s="20">
        <v>5.7</v>
      </c>
      <c r="J2361" s="8" t="s">
        <v>4862</v>
      </c>
      <c r="K2361" s="182">
        <v>41356</v>
      </c>
      <c r="L2361" s="8" t="s">
        <v>4156</v>
      </c>
      <c r="M2361" s="8" t="s">
        <v>2814</v>
      </c>
      <c r="N2361" s="364" t="s">
        <v>7215</v>
      </c>
      <c r="O2361" s="8"/>
      <c r="P2361" s="4" t="str">
        <f>VLOOKUP($B2361,'D7 - NDB Impacted SPRF''s'!$E$16:$O$9929,9,FALSE)</f>
        <v>Y</v>
      </c>
      <c r="Q2361" s="4" t="str">
        <f>VLOOKUP($B2361,'D7 - NDB Impacted SPRF''s'!$E$16:$O$9929,10,FALSE)</f>
        <v>N</v>
      </c>
      <c r="R2361" s="4" t="str">
        <f>VLOOKUP($B2361,'D7 - NDB Impacted SPRF''s'!$E$16:$O$9929,11,FALSE)</f>
        <v>N</v>
      </c>
      <c r="S2361" s="8"/>
      <c r="T2361" s="310"/>
      <c r="U2361" s="310"/>
      <c r="V2361" s="4"/>
      <c r="W2361" s="4"/>
      <c r="X2361" s="4"/>
      <c r="Y2361" s="4"/>
      <c r="Z2361" s="4"/>
      <c r="AA2361" s="4"/>
      <c r="AB2361" s="380" t="str">
        <f>VLOOKUP($B2361,'D7 - NDB Impacted SPRF''s'!$E$6:$O$9929,4,FALSE)</f>
        <v>Scheduled</v>
      </c>
      <c r="AC2361" s="380" t="str">
        <f>VLOOKUP($B2361,'D7 - NDB Impacted SPRF''s'!$E$6:$O$9929,3,FALSE)</f>
        <v>UnitedHealthcare Employer &amp; Individual</v>
      </c>
      <c r="AD2361" s="380" t="str">
        <f>VLOOKUP($B2361,'D7 - NDB Impacted SPRF''s'!$E$6:$O$9929,5,FALSE)</f>
        <v>Membership Growth / Revenue Programs</v>
      </c>
      <c r="AE2361" s="380" t="str">
        <f>VLOOKUP($B2361,'D7 - NDB Impacted SPRF''s'!$E$6:$O$9929,7,FALSE)</f>
        <v>Victoria Bogatyrenko</v>
      </c>
      <c r="AF2361" s="380" t="str">
        <f>VLOOKUP($B2361,'D7 - NDB Impacted SPRF''s'!$E$6:$O$9929,6,FALSE)</f>
        <v>Kari Mclarty</v>
      </c>
      <c r="AG2361" s="282"/>
      <c r="AH2361" s="311" t="e">
        <f>INDEX('D5 - Gatekeeper - Projects'!$A$4:$AF$1010,$AM2361, 17)</f>
        <v>#N/A</v>
      </c>
      <c r="AI2361" s="8"/>
      <c r="AJ2361" s="57"/>
      <c r="AK2361" s="105"/>
      <c r="AM2361" s="6" t="e">
        <f>MATCH(D2361,'D5 - Gatekeeper - Projects'!$C$4:$C$1010,0)</f>
        <v>#N/A</v>
      </c>
      <c r="AN2361" s="6" t="b">
        <f t="shared" si="247"/>
        <v>1</v>
      </c>
      <c r="AO2361" s="6" t="str">
        <f t="shared" si="248"/>
        <v>OK</v>
      </c>
      <c r="AQ2361" s="6" t="e">
        <f>MATCH($D2361,'D4 - Provider Council Unsched'!$C$11:$C$234,0)</f>
        <v>#N/A</v>
      </c>
      <c r="AR2361" s="6" t="b">
        <f t="shared" si="249"/>
        <v>1</v>
      </c>
      <c r="AS2361" s="6" t="str">
        <f t="shared" si="253"/>
        <v>OK</v>
      </c>
      <c r="AU2361" s="202">
        <v>41276</v>
      </c>
      <c r="AV2361" s="262" t="s">
        <v>932</v>
      </c>
      <c r="AW2361" s="274">
        <v>56214</v>
      </c>
    </row>
    <row r="2362" spans="1:49" s="13" customFormat="1" ht="22.5" x14ac:dyDescent="0.2">
      <c r="A2362" s="14">
        <v>2338</v>
      </c>
      <c r="B2362" s="8">
        <v>400056810</v>
      </c>
      <c r="C2362" s="8" t="s">
        <v>1447</v>
      </c>
      <c r="D2362" s="4" t="str">
        <f t="shared" si="252"/>
        <v>400056810A</v>
      </c>
      <c r="E2362" s="309" t="str">
        <f>VLOOKUP($B2362,'D7 - NDB Impacted SPRF''s'!$E$6:$O$9929,2,FALSE)</f>
        <v>Out of Network Facility Payment Methodology</v>
      </c>
      <c r="F2362" s="8"/>
      <c r="G2362" s="8" t="s">
        <v>4758</v>
      </c>
      <c r="H2362" s="8" t="s">
        <v>2870</v>
      </c>
      <c r="I2362" s="20">
        <v>1.01</v>
      </c>
      <c r="J2362" s="8" t="s">
        <v>4862</v>
      </c>
      <c r="K2362" s="182">
        <v>41356</v>
      </c>
      <c r="L2362" s="8" t="s">
        <v>4156</v>
      </c>
      <c r="M2362" s="8" t="s">
        <v>6688</v>
      </c>
      <c r="N2362" s="38" t="s">
        <v>8</v>
      </c>
      <c r="O2362" s="8"/>
      <c r="P2362" s="4" t="str">
        <f>VLOOKUP($B2362,'D7 - NDB Impacted SPRF''s'!$E$16:$O$9929,9,FALSE)</f>
        <v>Y</v>
      </c>
      <c r="Q2362" s="4" t="str">
        <f>VLOOKUP($B2362,'D7 - NDB Impacted SPRF''s'!$E$16:$O$9929,10,FALSE)</f>
        <v>N</v>
      </c>
      <c r="R2362" s="4" t="str">
        <f>VLOOKUP($B2362,'D7 - NDB Impacted SPRF''s'!$E$16:$O$9929,11,FALSE)</f>
        <v>N</v>
      </c>
      <c r="S2362" s="8"/>
      <c r="T2362" s="310"/>
      <c r="U2362" s="310"/>
      <c r="V2362" s="4"/>
      <c r="W2362" s="4"/>
      <c r="X2362" s="4"/>
      <c r="Y2362" s="4"/>
      <c r="Z2362" s="4"/>
      <c r="AA2362" s="4"/>
      <c r="AB2362" s="380" t="str">
        <f>VLOOKUP($B2362,'D7 - NDB Impacted SPRF''s'!$E$6:$O$9929,4,FALSE)</f>
        <v>Cancelled</v>
      </c>
      <c r="AC2362" s="380" t="str">
        <f>VLOOKUP($B2362,'D7 - NDB Impacted SPRF''s'!$E$6:$O$9929,3,FALSE)</f>
        <v>OptumHealth</v>
      </c>
      <c r="AD2362" s="380" t="str">
        <f>VLOOKUP($B2362,'D7 - NDB Impacted SPRF''s'!$E$6:$O$9929,5,FALSE)</f>
        <v>Behavioral Solutions</v>
      </c>
      <c r="AE2362" s="380" t="str">
        <f>VLOOKUP($B2362,'D7 - NDB Impacted SPRF''s'!$E$6:$O$9929,7,FALSE)</f>
        <v>Deborah J. Adler</v>
      </c>
      <c r="AF2362" s="380" t="str">
        <f>VLOOKUP($B2362,'D7 - NDB Impacted SPRF''s'!$E$6:$O$9929,6,FALSE)</f>
        <v>Dani Hochleutner</v>
      </c>
      <c r="AG2362" s="282"/>
      <c r="AH2362" s="311" t="e">
        <f>INDEX('D5 - Gatekeeper - Projects'!$A$4:$AF$1010,$AM2362, 17)</f>
        <v>#N/A</v>
      </c>
      <c r="AI2362" s="8"/>
      <c r="AJ2362" s="57"/>
      <c r="AK2362" s="105"/>
      <c r="AM2362" s="6" t="e">
        <f>MATCH(D2362,'D5 - Gatekeeper - Projects'!$C$4:$C$1010,0)</f>
        <v>#N/A</v>
      </c>
      <c r="AN2362" s="6" t="b">
        <f t="shared" si="247"/>
        <v>1</v>
      </c>
      <c r="AO2362" s="6" t="str">
        <f t="shared" si="248"/>
        <v>OK</v>
      </c>
      <c r="AQ2362" s="6" t="e">
        <f>MATCH($D2362,'D4 - Provider Council Unsched'!$C$11:$C$234,0)</f>
        <v>#N/A</v>
      </c>
      <c r="AR2362" s="6" t="b">
        <f t="shared" si="249"/>
        <v>1</v>
      </c>
      <c r="AS2362" s="6" t="str">
        <f t="shared" si="253"/>
        <v>OK</v>
      </c>
      <c r="AU2362" s="202">
        <v>41298</v>
      </c>
      <c r="AV2362" s="327" t="s">
        <v>7503</v>
      </c>
      <c r="AW2362" s="274"/>
    </row>
    <row r="2363" spans="1:49" s="13" customFormat="1" ht="33.75" x14ac:dyDescent="0.2">
      <c r="A2363" s="14">
        <v>2339</v>
      </c>
      <c r="B2363" s="8">
        <v>400058001</v>
      </c>
      <c r="C2363" s="8" t="s">
        <v>1447</v>
      </c>
      <c r="D2363" s="4" t="str">
        <f t="shared" si="252"/>
        <v>400058001A</v>
      </c>
      <c r="E2363" s="309" t="str">
        <f>VLOOKUP($B2363,'D7 - NDB Impacted SPRF''s'!$E$6:$O$9929,2,FALSE)</f>
        <v>Accolade/TWC/HP - myuhc Super User Access Level</v>
      </c>
      <c r="F2363" s="8"/>
      <c r="G2363" s="8" t="s">
        <v>4758</v>
      </c>
      <c r="H2363" s="8" t="s">
        <v>2870</v>
      </c>
      <c r="I2363" s="20">
        <v>1.03</v>
      </c>
      <c r="J2363" s="8" t="s">
        <v>4862</v>
      </c>
      <c r="K2363" s="182">
        <v>41356</v>
      </c>
      <c r="L2363" s="8" t="s">
        <v>4156</v>
      </c>
      <c r="M2363" s="8" t="s">
        <v>6007</v>
      </c>
      <c r="N2363" s="38" t="s">
        <v>9026</v>
      </c>
      <c r="O2363" s="8"/>
      <c r="P2363" s="4" t="str">
        <f>VLOOKUP($B2363,'D7 - NDB Impacted SPRF''s'!$E$16:$O$9929,9,FALSE)</f>
        <v>N</v>
      </c>
      <c r="Q2363" s="4" t="str">
        <f>VLOOKUP($B2363,'D7 - NDB Impacted SPRF''s'!$E$16:$O$9929,10,FALSE)</f>
        <v>N</v>
      </c>
      <c r="R2363" s="4" t="str">
        <f>VLOOKUP($B2363,'D7 - NDB Impacted SPRF''s'!$E$16:$O$9929,11,FALSE)</f>
        <v>N</v>
      </c>
      <c r="S2363" s="8"/>
      <c r="T2363" s="310"/>
      <c r="U2363" s="310"/>
      <c r="V2363" s="4"/>
      <c r="W2363" s="4"/>
      <c r="X2363" s="4"/>
      <c r="Y2363" s="4"/>
      <c r="Z2363" s="4"/>
      <c r="AA2363" s="4"/>
      <c r="AB2363" s="380" t="str">
        <f>VLOOKUP($B2363,'D7 - NDB Impacted SPRF''s'!$E$6:$O$9929,4,FALSE)</f>
        <v>Cancelled</v>
      </c>
      <c r="AC2363" s="380" t="str">
        <f>VLOOKUP($B2363,'D7 - NDB Impacted SPRF''s'!$E$6:$O$9929,3,FALSE)</f>
        <v>UnitedHealthcare Employer &amp; Individual</v>
      </c>
      <c r="AD2363" s="380" t="str">
        <f>VLOOKUP($B2363,'D7 - NDB Impacted SPRF''s'!$E$6:$O$9929,5,FALSE)</f>
        <v>Customer Requirements</v>
      </c>
      <c r="AE2363" s="380" t="str">
        <f>VLOOKUP($B2363,'D7 - NDB Impacted SPRF''s'!$E$6:$O$9929,7,FALSE)</f>
        <v>Mike Capeles</v>
      </c>
      <c r="AF2363" s="380" t="str">
        <f>VLOOKUP($B2363,'D7 - NDB Impacted SPRF''s'!$E$6:$O$9929,6,FALSE)</f>
        <v>Loren Rohrer</v>
      </c>
      <c r="AG2363" s="282"/>
      <c r="AH2363" s="311" t="e">
        <f>INDEX('D5 - Gatekeeper - Projects'!$A$4:$AF$1010,$AM2363, 17)</f>
        <v>#N/A</v>
      </c>
      <c r="AI2363" s="8"/>
      <c r="AJ2363" s="57"/>
      <c r="AK2363" s="105"/>
      <c r="AM2363" s="6" t="e">
        <f>MATCH(D2363,'D5 - Gatekeeper - Projects'!$C$4:$C$1010,0)</f>
        <v>#N/A</v>
      </c>
      <c r="AN2363" s="6" t="b">
        <f t="shared" si="247"/>
        <v>1</v>
      </c>
      <c r="AO2363" s="6" t="str">
        <f t="shared" si="248"/>
        <v>OK</v>
      </c>
      <c r="AQ2363" s="6" t="e">
        <f>MATCH($D2363,'D4 - Provider Council Unsched'!$C$11:$C$234,0)</f>
        <v>#N/A</v>
      </c>
      <c r="AR2363" s="6" t="b">
        <f t="shared" si="249"/>
        <v>1</v>
      </c>
      <c r="AS2363" s="6" t="str">
        <f t="shared" si="253"/>
        <v>OK</v>
      </c>
      <c r="AU2363" s="202">
        <v>41334</v>
      </c>
      <c r="AV2363" s="394" t="s">
        <v>484</v>
      </c>
      <c r="AW2363" s="274"/>
    </row>
    <row r="2364" spans="1:49" s="13" customFormat="1" ht="56.25" x14ac:dyDescent="0.2">
      <c r="A2364" s="14">
        <v>2340</v>
      </c>
      <c r="B2364" s="8">
        <v>400046538</v>
      </c>
      <c r="C2364" s="8" t="s">
        <v>1447</v>
      </c>
      <c r="D2364" s="4" t="str">
        <f t="shared" si="252"/>
        <v>400046538A</v>
      </c>
      <c r="E2364" s="309" t="str">
        <f>VLOOKUP($B2364,'D7 - NDB Impacted SPRF''s'!$E$6:$O$9929,2,FALSE)</f>
        <v>Transparency: OHBS Members CS-UHC Consumer Trans</v>
      </c>
      <c r="F2364" s="8"/>
      <c r="G2364" s="8" t="s">
        <v>4758</v>
      </c>
      <c r="H2364" s="8" t="s">
        <v>2870</v>
      </c>
      <c r="I2364" s="20">
        <v>11.99</v>
      </c>
      <c r="J2364" s="8" t="s">
        <v>4862</v>
      </c>
      <c r="K2364" s="182">
        <v>41405</v>
      </c>
      <c r="L2364" s="8" t="s">
        <v>4156</v>
      </c>
      <c r="M2364" s="8" t="s">
        <v>2814</v>
      </c>
      <c r="N2364" s="38" t="s">
        <v>367</v>
      </c>
      <c r="O2364" s="8"/>
      <c r="P2364" s="4" t="str">
        <f>VLOOKUP($B2364,'D7 - NDB Impacted SPRF''s'!$E$16:$O$9929,9,FALSE)</f>
        <v>Y</v>
      </c>
      <c r="Q2364" s="4" t="str">
        <f>VLOOKUP($B2364,'D7 - NDB Impacted SPRF''s'!$E$16:$O$9929,10,FALSE)</f>
        <v>N</v>
      </c>
      <c r="R2364" s="4" t="str">
        <f>VLOOKUP($B2364,'D7 - NDB Impacted SPRF''s'!$E$16:$O$9929,11,FALSE)</f>
        <v>Y</v>
      </c>
      <c r="S2364" s="8"/>
      <c r="T2364" s="310"/>
      <c r="U2364" s="310"/>
      <c r="V2364" s="4"/>
      <c r="W2364" s="4"/>
      <c r="X2364" s="4"/>
      <c r="Y2364" s="4"/>
      <c r="Z2364" s="4"/>
      <c r="AA2364" s="4"/>
      <c r="AB2364" s="380" t="str">
        <f>VLOOKUP($B2364,'D7 - NDB Impacted SPRF''s'!$E$6:$O$9929,4,FALSE)</f>
        <v>Cancelled</v>
      </c>
      <c r="AC2364" s="380" t="str">
        <f>VLOOKUP($B2364,'D7 - NDB Impacted SPRF''s'!$E$6:$O$9929,3,FALSE)</f>
        <v>OptumHealth</v>
      </c>
      <c r="AD2364" s="380" t="str">
        <f>VLOOKUP($B2364,'D7 - NDB Impacted SPRF''s'!$E$6:$O$9929,5,FALSE)</f>
        <v>Behavioral Solutions</v>
      </c>
      <c r="AE2364" s="380" t="str">
        <f>VLOOKUP($B2364,'D7 - NDB Impacted SPRF''s'!$E$6:$O$9929,7,FALSE)</f>
        <v>Jann Dodd</v>
      </c>
      <c r="AF2364" s="380" t="str">
        <f>VLOOKUP($B2364,'D7 - NDB Impacted SPRF''s'!$E$6:$O$9929,6,FALSE)</f>
        <v>STACY BURDEAU</v>
      </c>
      <c r="AG2364" s="282"/>
      <c r="AH2364" s="311" t="e">
        <f>INDEX('D5 - Gatekeeper - Projects'!$A$4:$AF$1010,$AM2364, 17)</f>
        <v>#N/A</v>
      </c>
      <c r="AI2364" s="8"/>
      <c r="AJ2364" s="57"/>
      <c r="AK2364" s="105"/>
      <c r="AM2364" s="6" t="e">
        <f>MATCH(D2364,'D5 - Gatekeeper - Projects'!$C$4:$C$1010,0)</f>
        <v>#N/A</v>
      </c>
      <c r="AN2364" s="6" t="b">
        <f t="shared" si="247"/>
        <v>1</v>
      </c>
      <c r="AO2364" s="6" t="str">
        <f t="shared" si="248"/>
        <v>OK</v>
      </c>
      <c r="AQ2364" s="6" t="e">
        <f>MATCH($D2364,'D4 - Provider Council Unsched'!$C$11:$C$234,0)</f>
        <v>#N/A</v>
      </c>
      <c r="AR2364" s="6" t="b">
        <f t="shared" si="249"/>
        <v>1</v>
      </c>
      <c r="AS2364" s="6" t="str">
        <f t="shared" si="253"/>
        <v>OK</v>
      </c>
      <c r="AU2364" s="202">
        <v>40907</v>
      </c>
      <c r="AV2364" s="262" t="s">
        <v>462</v>
      </c>
      <c r="AW2364" s="274">
        <v>46686</v>
      </c>
    </row>
    <row r="2365" spans="1:49" s="13" customFormat="1" ht="90" x14ac:dyDescent="0.2">
      <c r="A2365" s="14">
        <v>2341</v>
      </c>
      <c r="B2365" s="8">
        <v>400040360</v>
      </c>
      <c r="C2365" s="8" t="s">
        <v>2207</v>
      </c>
      <c r="D2365" s="4" t="str">
        <f t="shared" si="252"/>
        <v>400040360G</v>
      </c>
      <c r="E2365" s="309" t="str">
        <f>VLOOKUP($B2365,'D7 - NDB Impacted SPRF''s'!$E$6:$O$9929,2,FALSE)</f>
        <v>Medical Necessity ICM</v>
      </c>
      <c r="F2365" s="8"/>
      <c r="G2365" s="8" t="s">
        <v>4758</v>
      </c>
      <c r="H2365" s="8" t="s">
        <v>2870</v>
      </c>
      <c r="I2365" s="20">
        <v>18.059999999999999</v>
      </c>
      <c r="J2365" s="8" t="s">
        <v>4862</v>
      </c>
      <c r="K2365" s="182">
        <v>41412</v>
      </c>
      <c r="L2365" s="8" t="s">
        <v>4156</v>
      </c>
      <c r="M2365" s="8" t="s">
        <v>2814</v>
      </c>
      <c r="N2365" s="38" t="s">
        <v>320</v>
      </c>
      <c r="O2365" s="8"/>
      <c r="P2365" s="4" t="str">
        <f>VLOOKUP($B2365,'D7 - NDB Impacted SPRF''s'!$E$16:$O$9929,9,FALSE)</f>
        <v>Y</v>
      </c>
      <c r="Q2365" s="4" t="str">
        <f>VLOOKUP($B2365,'D7 - NDB Impacted SPRF''s'!$E$16:$O$9929,10,FALSE)</f>
        <v>N</v>
      </c>
      <c r="R2365" s="4" t="str">
        <f>VLOOKUP($B2365,'D7 - NDB Impacted SPRF''s'!$E$16:$O$9929,11,FALSE)</f>
        <v>Y</v>
      </c>
      <c r="S2365" s="8"/>
      <c r="T2365" s="310"/>
      <c r="U2365" s="310"/>
      <c r="V2365" s="4"/>
      <c r="W2365" s="4"/>
      <c r="X2365" s="4"/>
      <c r="Y2365" s="4"/>
      <c r="Z2365" s="4"/>
      <c r="AA2365" s="4"/>
      <c r="AB2365" s="380" t="str">
        <f>VLOOKUP($B2365,'D7 - NDB Impacted SPRF''s'!$E$6:$O$9929,4,FALSE)</f>
        <v>Scheduled</v>
      </c>
      <c r="AC2365" s="380" t="str">
        <f>VLOOKUP($B2365,'D7 - NDB Impacted SPRF''s'!$E$6:$O$9929,3,FALSE)</f>
        <v>UnitedHealthcare Employer &amp; Individual</v>
      </c>
      <c r="AD2365" s="380" t="str">
        <f>VLOOKUP($B2365,'D7 - NDB Impacted SPRF''s'!$E$6:$O$9929,5,FALSE)</f>
        <v>Medical Cost Savings Programs</v>
      </c>
      <c r="AE2365" s="380" t="str">
        <f>VLOOKUP($B2365,'D7 - NDB Impacted SPRF''s'!$E$6:$O$9929,7,FALSE)</f>
        <v>Dr. Sam Ho / Kevin Ruth</v>
      </c>
      <c r="AF2365" s="380" t="str">
        <f>VLOOKUP($B2365,'D7 - NDB Impacted SPRF''s'!$E$6:$O$9929,6,FALSE)</f>
        <v>ROSS OGDEN</v>
      </c>
      <c r="AG2365" s="282"/>
      <c r="AH2365" s="311" t="e">
        <f>INDEX('D5 - Gatekeeper - Projects'!$A$4:$AF$1010,$AM2365, 17)</f>
        <v>#N/A</v>
      </c>
      <c r="AI2365" s="8"/>
      <c r="AJ2365" s="57"/>
      <c r="AK2365" s="105"/>
      <c r="AM2365" s="6" t="e">
        <f>MATCH(D2365,'D5 - Gatekeeper - Projects'!$C$4:$C$1010,0)</f>
        <v>#N/A</v>
      </c>
      <c r="AN2365" s="6" t="b">
        <f t="shared" si="247"/>
        <v>1</v>
      </c>
      <c r="AO2365" s="6" t="str">
        <f t="shared" si="248"/>
        <v>OK</v>
      </c>
      <c r="AQ2365" s="6" t="e">
        <f>MATCH($D2365,'D4 - Provider Council Unsched'!$C$11:$C$234,0)</f>
        <v>#N/A</v>
      </c>
      <c r="AR2365" s="6" t="b">
        <f t="shared" si="249"/>
        <v>1</v>
      </c>
      <c r="AS2365" s="6" t="str">
        <f t="shared" si="253"/>
        <v>OK</v>
      </c>
      <c r="AU2365" s="202">
        <v>41103</v>
      </c>
      <c r="AV2365" s="262" t="s">
        <v>1042</v>
      </c>
      <c r="AW2365" s="274">
        <v>57328</v>
      </c>
    </row>
    <row r="2366" spans="1:49" s="13" customFormat="1" ht="67.5" x14ac:dyDescent="0.2">
      <c r="A2366" s="14">
        <v>2342</v>
      </c>
      <c r="B2366" s="8">
        <v>400048140</v>
      </c>
      <c r="C2366" s="8" t="s">
        <v>7292</v>
      </c>
      <c r="D2366" s="4" t="str">
        <f t="shared" si="252"/>
        <v>400048140C</v>
      </c>
      <c r="E2366" s="309" t="str">
        <f>VLOOKUP($B2366,'D7 - NDB Impacted SPRF''s'!$E$6:$O$9929,2,FALSE)</f>
        <v>ICD-10 E&amp; I Code Loading</v>
      </c>
      <c r="F2366" s="8"/>
      <c r="G2366" s="8" t="s">
        <v>4758</v>
      </c>
      <c r="H2366" s="8" t="s">
        <v>2870</v>
      </c>
      <c r="I2366" s="20">
        <v>45</v>
      </c>
      <c r="J2366" s="8" t="s">
        <v>4862</v>
      </c>
      <c r="K2366" s="182">
        <v>41412</v>
      </c>
      <c r="L2366" s="8" t="s">
        <v>4156</v>
      </c>
      <c r="M2366" s="8" t="s">
        <v>2814</v>
      </c>
      <c r="N2366" s="38" t="s">
        <v>876</v>
      </c>
      <c r="O2366" s="8"/>
      <c r="P2366" s="4" t="str">
        <f>VLOOKUP($B2366,'D7 - NDB Impacted SPRF''s'!$E$16:$O$9929,9,FALSE)</f>
        <v>Y</v>
      </c>
      <c r="Q2366" s="4" t="str">
        <f>VLOOKUP($B2366,'D7 - NDB Impacted SPRF''s'!$E$16:$O$9929,10,FALSE)</f>
        <v>N</v>
      </c>
      <c r="R2366" s="4" t="str">
        <f>VLOOKUP($B2366,'D7 - NDB Impacted SPRF''s'!$E$16:$O$9929,11,FALSE)</f>
        <v>Y</v>
      </c>
      <c r="S2366" s="8"/>
      <c r="T2366" s="310"/>
      <c r="U2366" s="310"/>
      <c r="V2366" s="4"/>
      <c r="W2366" s="4"/>
      <c r="X2366" s="4"/>
      <c r="Y2366" s="4"/>
      <c r="Z2366" s="4"/>
      <c r="AA2366" s="4"/>
      <c r="AB2366" s="380" t="str">
        <f>VLOOKUP($B2366,'D7 - NDB Impacted SPRF''s'!$E$6:$O$9929,4,FALSE)</f>
        <v>Scheduled</v>
      </c>
      <c r="AC2366" s="380" t="str">
        <f>VLOOKUP($B2366,'D7 - NDB Impacted SPRF''s'!$E$6:$O$9929,3,FALSE)</f>
        <v>UnitedHealthcare Employer &amp; Individual</v>
      </c>
      <c r="AD2366" s="380" t="str">
        <f>VLOOKUP($B2366,'D7 - NDB Impacted SPRF''s'!$E$6:$O$9929,5,FALSE)</f>
        <v>Regulatory / Other</v>
      </c>
      <c r="AE2366" s="380" t="str">
        <f>VLOOKUP($B2366,'D7 - NDB Impacted SPRF''s'!$E$6:$O$9929,7,FALSE)</f>
        <v>Tim Kaja</v>
      </c>
      <c r="AF2366" s="380" t="str">
        <f>VLOOKUP($B2366,'D7 - NDB Impacted SPRF''s'!$E$6:$O$9929,6,FALSE)</f>
        <v>Delvis Schilling</v>
      </c>
      <c r="AG2366" s="282"/>
      <c r="AH2366" s="311" t="s">
        <v>4599</v>
      </c>
      <c r="AI2366" s="8"/>
      <c r="AJ2366" s="57"/>
      <c r="AK2366" s="105"/>
      <c r="AM2366" s="6" t="e">
        <f>MATCH(D2366,'D5 - Gatekeeper - Projects'!$C$4:$C$1010,0)</f>
        <v>#N/A</v>
      </c>
      <c r="AN2366" s="6" t="b">
        <f t="shared" si="247"/>
        <v>1</v>
      </c>
      <c r="AO2366" s="6" t="str">
        <f t="shared" si="248"/>
        <v>OK</v>
      </c>
      <c r="AQ2366" s="6" t="e">
        <f>MATCH($D2366,'D4 - Provider Council Unsched'!$C$11:$C$234,0)</f>
        <v>#N/A</v>
      </c>
      <c r="AR2366" s="6" t="b">
        <f t="shared" si="249"/>
        <v>1</v>
      </c>
      <c r="AS2366" s="6" t="str">
        <f t="shared" si="253"/>
        <v>OK</v>
      </c>
      <c r="AU2366" s="202">
        <v>41047</v>
      </c>
      <c r="AV2366" s="262" t="s">
        <v>2299</v>
      </c>
      <c r="AW2366" s="274">
        <v>55241</v>
      </c>
    </row>
    <row r="2367" spans="1:49" s="13" customFormat="1" ht="11.25" customHeight="1" x14ac:dyDescent="0.2">
      <c r="A2367" s="14">
        <v>2343</v>
      </c>
      <c r="B2367" s="8">
        <v>400054607</v>
      </c>
      <c r="C2367" s="8" t="s">
        <v>1447</v>
      </c>
      <c r="D2367" s="4" t="str">
        <f t="shared" si="252"/>
        <v>400054607A</v>
      </c>
      <c r="E2367" s="309" t="str">
        <f>VLOOKUP($B2367,'D7 - NDB Impacted SPRF''s'!$E$6:$O$9929,2,FALSE)</f>
        <v>C&amp;S Q1 MME Interface Enhancements</v>
      </c>
      <c r="F2367" s="8"/>
      <c r="G2367" s="8" t="s">
        <v>4758</v>
      </c>
      <c r="H2367" s="8" t="s">
        <v>2870</v>
      </c>
      <c r="I2367" s="20">
        <v>13.08</v>
      </c>
      <c r="J2367" s="8" t="s">
        <v>4862</v>
      </c>
      <c r="K2367" s="182">
        <v>41412</v>
      </c>
      <c r="L2367" s="8" t="s">
        <v>4156</v>
      </c>
      <c r="M2367" s="8" t="s">
        <v>2814</v>
      </c>
      <c r="N2367" s="38" t="s">
        <v>7217</v>
      </c>
      <c r="O2367" s="8"/>
      <c r="P2367" s="4" t="str">
        <f>VLOOKUP($B2367,'D7 - NDB Impacted SPRF''s'!$E$16:$O$9929,9,FALSE)</f>
        <v>N</v>
      </c>
      <c r="Q2367" s="4" t="str">
        <f>VLOOKUP($B2367,'D7 - NDB Impacted SPRF''s'!$E$16:$O$9929,10,FALSE)</f>
        <v>N</v>
      </c>
      <c r="R2367" s="4" t="str">
        <f>VLOOKUP($B2367,'D7 - NDB Impacted SPRF''s'!$E$16:$O$9929,11,FALSE)</f>
        <v>N</v>
      </c>
      <c r="S2367" s="8"/>
      <c r="T2367" s="310"/>
      <c r="U2367" s="310"/>
      <c r="V2367" s="4"/>
      <c r="W2367" s="4"/>
      <c r="X2367" s="4"/>
      <c r="Y2367" s="4"/>
      <c r="Z2367" s="4"/>
      <c r="AA2367" s="4"/>
      <c r="AB2367" s="380" t="str">
        <f>VLOOKUP($B2367,'D7 - NDB Impacted SPRF''s'!$E$6:$O$9929,4,FALSE)</f>
        <v>Scheduled</v>
      </c>
      <c r="AC2367" s="380" t="str">
        <f>VLOOKUP($B2367,'D7 - NDB Impacted SPRF''s'!$E$6:$O$9929,3,FALSE)</f>
        <v>UnitedHealthcare Community &amp; State</v>
      </c>
      <c r="AD2367" s="380" t="str">
        <f>VLOOKUP($B2367,'D7 - NDB Impacted SPRF''s'!$E$6:$O$9929,5,FALSE)</f>
        <v>Membership Growth / Revenue Programs</v>
      </c>
      <c r="AE2367" s="380" t="str">
        <f>VLOOKUP($B2367,'D7 - NDB Impacted SPRF''s'!$E$6:$O$9929,7,FALSE)</f>
        <v>Barb Walker</v>
      </c>
      <c r="AF2367" s="380" t="str">
        <f>VLOOKUP($B2367,'D7 - NDB Impacted SPRF''s'!$E$6:$O$9929,6,FALSE)</f>
        <v>Rebecca Stelter</v>
      </c>
      <c r="AG2367" s="282"/>
      <c r="AH2367" s="311" t="e">
        <f>INDEX('D5 - Gatekeeper - Projects'!$A$4:$AF$1010,$AM2367, 17)</f>
        <v>#N/A</v>
      </c>
      <c r="AI2367" s="8"/>
      <c r="AJ2367" s="57"/>
      <c r="AK2367" s="105"/>
      <c r="AM2367" s="6" t="e">
        <f>MATCH(D2367,'D5 - Gatekeeper - Projects'!$C$4:$C$1010,0)</f>
        <v>#N/A</v>
      </c>
      <c r="AN2367" s="6" t="b">
        <f t="shared" si="247"/>
        <v>1</v>
      </c>
      <c r="AO2367" s="6" t="str">
        <f t="shared" si="248"/>
        <v>OK</v>
      </c>
      <c r="AQ2367" s="6" t="e">
        <f>MATCH($D2367,'D4 - Provider Council Unsched'!$C$11:$C$234,0)</f>
        <v>#N/A</v>
      </c>
      <c r="AR2367" s="6" t="b">
        <f t="shared" si="249"/>
        <v>1</v>
      </c>
      <c r="AS2367" s="6" t="str">
        <f t="shared" si="253"/>
        <v>OK</v>
      </c>
      <c r="AU2367" s="202">
        <v>41256</v>
      </c>
      <c r="AV2367" s="323" t="s">
        <v>952</v>
      </c>
      <c r="AW2367" s="274"/>
    </row>
    <row r="2368" spans="1:49" s="13" customFormat="1" ht="56.25" x14ac:dyDescent="0.2">
      <c r="A2368" s="14">
        <v>2344</v>
      </c>
      <c r="B2368" s="8">
        <v>400050503</v>
      </c>
      <c r="C2368" s="8" t="s">
        <v>1447</v>
      </c>
      <c r="D2368" s="4" t="str">
        <f t="shared" si="252"/>
        <v>400050503A</v>
      </c>
      <c r="E2368" s="309" t="str">
        <f>VLOOKUP($B2368,'D7 - NDB Impacted SPRF''s'!$E$6:$O$9929,2,FALSE)</f>
        <v>Upd. "Find a Doc" Directories for NCQA Compliance</v>
      </c>
      <c r="F2368" s="8"/>
      <c r="G2368" s="8" t="s">
        <v>4758</v>
      </c>
      <c r="H2368" s="8" t="s">
        <v>2870</v>
      </c>
      <c r="I2368" s="20">
        <v>5.12</v>
      </c>
      <c r="J2368" s="8" t="s">
        <v>4862</v>
      </c>
      <c r="K2368" s="182">
        <v>41510</v>
      </c>
      <c r="L2368" s="8" t="s">
        <v>4156</v>
      </c>
      <c r="M2368" s="8" t="s">
        <v>2814</v>
      </c>
      <c r="N2368" s="38" t="s">
        <v>9161</v>
      </c>
      <c r="O2368" s="8"/>
      <c r="P2368" s="4" t="str">
        <f>VLOOKUP($B2368,'D7 - NDB Impacted SPRF''s'!$E$16:$O$9929,9,FALSE)</f>
        <v>N</v>
      </c>
      <c r="Q2368" s="4" t="str">
        <f>VLOOKUP($B2368,'D7 - NDB Impacted SPRF''s'!$E$16:$O$9929,10,FALSE)</f>
        <v>N</v>
      </c>
      <c r="R2368" s="4" t="str">
        <f>VLOOKUP($B2368,'D7 - NDB Impacted SPRF''s'!$E$16:$O$9929,11,FALSE)</f>
        <v>N</v>
      </c>
      <c r="S2368" s="8"/>
      <c r="T2368" s="310"/>
      <c r="U2368" s="310"/>
      <c r="V2368" s="4"/>
      <c r="W2368" s="4"/>
      <c r="X2368" s="4"/>
      <c r="Y2368" s="4"/>
      <c r="Z2368" s="4"/>
      <c r="AA2368" s="4"/>
      <c r="AB2368" s="380" t="str">
        <f>VLOOKUP($B2368,'D7 - NDB Impacted SPRF''s'!$E$6:$O$9929,4,FALSE)</f>
        <v>Completed</v>
      </c>
      <c r="AC2368" s="380" t="str">
        <f>VLOOKUP($B2368,'D7 - NDB Impacted SPRF''s'!$E$6:$O$9929,3,FALSE)</f>
        <v>UnitedHealthcare Community &amp; State</v>
      </c>
      <c r="AD2368" s="380" t="str">
        <f>VLOOKUP($B2368,'D7 - NDB Impacted SPRF''s'!$E$6:$O$9929,5,FALSE)</f>
        <v>Regulatory / Other</v>
      </c>
      <c r="AE2368" s="380" t="str">
        <f>VLOOKUP($B2368,'D7 - NDB Impacted SPRF''s'!$E$6:$O$9929,7,FALSE)</f>
        <v>Kimberly S. Johnston</v>
      </c>
      <c r="AF2368" s="380" t="str">
        <f>VLOOKUP($B2368,'D7 - NDB Impacted SPRF''s'!$E$6:$O$9929,6,FALSE)</f>
        <v>Christine Vall</v>
      </c>
      <c r="AG2368" s="282"/>
      <c r="AH2368" s="311" t="e">
        <f>INDEX('D5 - Gatekeeper - Projects'!$A$4:$AF$1010,$AM2368, 17)</f>
        <v>#N/A</v>
      </c>
      <c r="AI2368" s="8"/>
      <c r="AJ2368" s="57"/>
      <c r="AK2368" s="105"/>
      <c r="AM2368" s="6" t="e">
        <f>MATCH(D2368,'D5 - Gatekeeper - Projects'!$C$4:$C$1010,0)</f>
        <v>#N/A</v>
      </c>
      <c r="AN2368" s="6" t="b">
        <f t="shared" si="247"/>
        <v>1</v>
      </c>
      <c r="AO2368" s="6" t="str">
        <f t="shared" si="248"/>
        <v>OK</v>
      </c>
      <c r="AQ2368" s="6" t="e">
        <f>MATCH($D2368,'D4 - Provider Council Unsched'!$C$11:$C$234,0)</f>
        <v>#N/A</v>
      </c>
      <c r="AR2368" s="6" t="b">
        <f t="shared" si="249"/>
        <v>1</v>
      </c>
      <c r="AS2368" s="6" t="str">
        <f t="shared" si="253"/>
        <v>OK</v>
      </c>
      <c r="AU2368" s="202">
        <v>41347</v>
      </c>
      <c r="AV2368" s="323" t="s">
        <v>1076</v>
      </c>
      <c r="AW2368" s="274"/>
    </row>
    <row r="2369" spans="1:49" s="13" customFormat="1" ht="90" x14ac:dyDescent="0.2">
      <c r="A2369" s="14">
        <v>2345</v>
      </c>
      <c r="B2369" s="8">
        <v>400052854</v>
      </c>
      <c r="C2369" s="8" t="s">
        <v>1447</v>
      </c>
      <c r="D2369" s="4" t="str">
        <f t="shared" si="252"/>
        <v>400052854A</v>
      </c>
      <c r="E2369" s="309" t="str">
        <f>VLOOKUP($B2369,'D7 - NDB Impacted SPRF''s'!$E$6:$O$9929,2,FALSE)</f>
        <v>Provider Issues - NDB Changes - Q1 2013</v>
      </c>
      <c r="F2369" s="8"/>
      <c r="G2369" s="8" t="s">
        <v>4758</v>
      </c>
      <c r="H2369" s="8" t="s">
        <v>2870</v>
      </c>
      <c r="I2369" s="20">
        <v>71.19</v>
      </c>
      <c r="J2369" s="8" t="s">
        <v>4862</v>
      </c>
      <c r="K2369" s="182">
        <v>41510</v>
      </c>
      <c r="L2369" s="8" t="s">
        <v>4156</v>
      </c>
      <c r="M2369" s="8" t="s">
        <v>2814</v>
      </c>
      <c r="N2369" s="38" t="s">
        <v>7680</v>
      </c>
      <c r="O2369" s="8"/>
      <c r="P2369" s="4" t="str">
        <f>VLOOKUP($B2369,'D7 - NDB Impacted SPRF''s'!$E$16:$O$9929,9,FALSE)</f>
        <v>N</v>
      </c>
      <c r="Q2369" s="4" t="str">
        <f>VLOOKUP($B2369,'D7 - NDB Impacted SPRF''s'!$E$16:$O$9929,10,FALSE)</f>
        <v>N</v>
      </c>
      <c r="R2369" s="4" t="str">
        <f>VLOOKUP($B2369,'D7 - NDB Impacted SPRF''s'!$E$16:$O$9929,11,FALSE)</f>
        <v>N</v>
      </c>
      <c r="S2369" s="8"/>
      <c r="T2369" s="310"/>
      <c r="U2369" s="310"/>
      <c r="V2369" s="4"/>
      <c r="W2369" s="4"/>
      <c r="X2369" s="4"/>
      <c r="Y2369" s="4"/>
      <c r="Z2369" s="4"/>
      <c r="AA2369" s="4"/>
      <c r="AB2369" s="380" t="str">
        <f>VLOOKUP($B2369,'D7 - NDB Impacted SPRF''s'!$E$6:$O$9929,4,FALSE)</f>
        <v>Cancelled</v>
      </c>
      <c r="AC2369" s="380" t="str">
        <f>VLOOKUP($B2369,'D7 - NDB Impacted SPRF''s'!$E$6:$O$9929,3,FALSE)</f>
        <v>UnitedHealthcare Employer &amp; Individual</v>
      </c>
      <c r="AD2369" s="380" t="str">
        <f>VLOOKUP($B2369,'D7 - NDB Impacted SPRF''s'!$E$6:$O$9929,5,FALSE)</f>
        <v>Medical Cost Savings Programs</v>
      </c>
      <c r="AE2369" s="380" t="str">
        <f>VLOOKUP($B2369,'D7 - NDB Impacted SPRF''s'!$E$6:$O$9929,7,FALSE)</f>
        <v>Nelson, Sheila M</v>
      </c>
      <c r="AF2369" s="380" t="str">
        <f>VLOOKUP($B2369,'D7 - NDB Impacted SPRF''s'!$E$6:$O$9929,6,FALSE)</f>
        <v>Manoj Viswanathan</v>
      </c>
      <c r="AG2369" s="282"/>
      <c r="AH2369" s="311" t="e">
        <f>INDEX('D5 - Gatekeeper - Projects'!$A$4:$AF$1010,$AM2369, 17)</f>
        <v>#N/A</v>
      </c>
      <c r="AI2369" s="8"/>
      <c r="AJ2369" s="57"/>
      <c r="AK2369" s="105"/>
      <c r="AM2369" s="6" t="e">
        <f>MATCH(D2369,'D5 - Gatekeeper - Projects'!$C$4:$C$1010,0)</f>
        <v>#N/A</v>
      </c>
      <c r="AN2369" s="6" t="b">
        <f t="shared" si="247"/>
        <v>1</v>
      </c>
      <c r="AO2369" s="6" t="str">
        <f t="shared" si="248"/>
        <v>OK</v>
      </c>
      <c r="AQ2369" s="6" t="e">
        <f>MATCH($D2369,'D4 - Provider Council Unsched'!$C$11:$C$234,0)</f>
        <v>#N/A</v>
      </c>
      <c r="AR2369" s="6" t="b">
        <f t="shared" si="249"/>
        <v>1</v>
      </c>
      <c r="AS2369" s="6" t="str">
        <f t="shared" si="253"/>
        <v>OK</v>
      </c>
      <c r="AU2369" s="202">
        <v>41145</v>
      </c>
      <c r="AV2369" s="262" t="s">
        <v>1080</v>
      </c>
      <c r="AW2369" s="274">
        <v>64849</v>
      </c>
    </row>
    <row r="2370" spans="1:49" s="13" customFormat="1" ht="11.25" customHeight="1" x14ac:dyDescent="0.2">
      <c r="A2370" s="14">
        <v>2346</v>
      </c>
      <c r="B2370" s="8">
        <v>400055976</v>
      </c>
      <c r="C2370" s="8" t="s">
        <v>7290</v>
      </c>
      <c r="D2370" s="4" t="str">
        <f t="shared" si="252"/>
        <v>400055976B</v>
      </c>
      <c r="E2370" s="309" t="str">
        <f>VLOOKUP($B2370,'D7 - NDB Impacted SPRF''s'!$E$6:$O$9929,2,FALSE)</f>
        <v>Navigate2 Product Network Clone</v>
      </c>
      <c r="F2370" s="8"/>
      <c r="G2370" s="8" t="s">
        <v>4758</v>
      </c>
      <c r="H2370" s="8" t="s">
        <v>2870</v>
      </c>
      <c r="I2370" s="20">
        <v>1.52</v>
      </c>
      <c r="J2370" s="8" t="s">
        <v>4862</v>
      </c>
      <c r="K2370" s="182">
        <v>41510</v>
      </c>
      <c r="L2370" s="8" t="s">
        <v>4156</v>
      </c>
      <c r="M2370" s="8" t="s">
        <v>2814</v>
      </c>
      <c r="N2370" s="38" t="s">
        <v>591</v>
      </c>
      <c r="O2370" s="8"/>
      <c r="P2370" s="4" t="str">
        <f>VLOOKUP($B2370,'D7 - NDB Impacted SPRF''s'!$E$16:$O$9929,9,FALSE)</f>
        <v>Y</v>
      </c>
      <c r="Q2370" s="4" t="str">
        <f>VLOOKUP($B2370,'D7 - NDB Impacted SPRF''s'!$E$16:$O$9929,10,FALSE)</f>
        <v>N</v>
      </c>
      <c r="R2370" s="4" t="str">
        <f>VLOOKUP($B2370,'D7 - NDB Impacted SPRF''s'!$E$16:$O$9929,11,FALSE)</f>
        <v>Y</v>
      </c>
      <c r="S2370" s="8"/>
      <c r="T2370" s="310"/>
      <c r="U2370" s="310"/>
      <c r="V2370" s="4"/>
      <c r="W2370" s="4"/>
      <c r="X2370" s="4"/>
      <c r="Y2370" s="4"/>
      <c r="Z2370" s="4"/>
      <c r="AA2370" s="4"/>
      <c r="AB2370" s="380" t="str">
        <f>VLOOKUP($B2370,'D7 - NDB Impacted SPRF''s'!$E$6:$O$9929,4,FALSE)</f>
        <v>In Strategy Council</v>
      </c>
      <c r="AC2370" s="380" t="str">
        <f>VLOOKUP($B2370,'D7 - NDB Impacted SPRF''s'!$E$6:$O$9929,3,FALSE)</f>
        <v>UnitedHealthcare Employer &amp; Individual</v>
      </c>
      <c r="AD2370" s="380" t="str">
        <f>VLOOKUP($B2370,'D7 - NDB Impacted SPRF''s'!$E$6:$O$9929,5,FALSE)</f>
        <v>Membership Growth / Revenue Programs</v>
      </c>
      <c r="AE2370" s="380" t="str">
        <f>VLOOKUP($B2370,'D7 - NDB Impacted SPRF''s'!$E$6:$O$9929,7,FALSE)</f>
        <v>Denise Mount</v>
      </c>
      <c r="AF2370" s="380" t="str">
        <f>VLOOKUP($B2370,'D7 - NDB Impacted SPRF''s'!$E$6:$O$9929,6,FALSE)</f>
        <v>Cynthia Kollars</v>
      </c>
      <c r="AG2370" s="282"/>
      <c r="AH2370" s="311" t="e">
        <f>INDEX('D5 - Gatekeeper - Projects'!$A$4:$AF$1010,$AM2370, 17)</f>
        <v>#N/A</v>
      </c>
      <c r="AI2370" s="8"/>
      <c r="AJ2370" s="57"/>
      <c r="AK2370" s="105"/>
      <c r="AM2370" s="6" t="e">
        <f>MATCH(D2370,'D5 - Gatekeeper - Projects'!$C$4:$C$1010,0)</f>
        <v>#N/A</v>
      </c>
      <c r="AN2370" s="6" t="b">
        <f t="shared" si="247"/>
        <v>1</v>
      </c>
      <c r="AO2370" s="6" t="str">
        <f t="shared" si="248"/>
        <v>OK</v>
      </c>
      <c r="AQ2370" s="6" t="e">
        <f>MATCH($D2370,'D4 - Provider Council Unsched'!$C$11:$C$234,0)</f>
        <v>#N/A</v>
      </c>
      <c r="AR2370" s="6" t="b">
        <f t="shared" si="249"/>
        <v>1</v>
      </c>
      <c r="AS2370" s="6" t="str">
        <f t="shared" si="253"/>
        <v>OK</v>
      </c>
      <c r="AU2370" s="202">
        <v>41256</v>
      </c>
      <c r="AV2370" s="329" t="s">
        <v>1130</v>
      </c>
      <c r="AW2370" s="274"/>
    </row>
    <row r="2371" spans="1:49" s="13" customFormat="1" ht="45" x14ac:dyDescent="0.2">
      <c r="A2371" s="14">
        <v>2347</v>
      </c>
      <c r="B2371" s="8">
        <v>400058611</v>
      </c>
      <c r="C2371" s="8" t="s">
        <v>1447</v>
      </c>
      <c r="D2371" s="4" t="str">
        <f t="shared" si="252"/>
        <v>400058611A</v>
      </c>
      <c r="E2371" s="309" t="str">
        <f>VLOOKUP($B2371,'D7 - NDB Impacted SPRF''s'!$E$6:$O$9929,2,FALSE)</f>
        <v>Ga Dept of Comm Health - Remote Access to Data</v>
      </c>
      <c r="F2371" s="8"/>
      <c r="G2371" s="8" t="s">
        <v>4758</v>
      </c>
      <c r="H2371" s="8" t="s">
        <v>2870</v>
      </c>
      <c r="I2371" s="20">
        <v>38.1</v>
      </c>
      <c r="J2371" s="8" t="s">
        <v>4862</v>
      </c>
      <c r="K2371" s="182">
        <v>41594</v>
      </c>
      <c r="L2371" s="8" t="s">
        <v>4156</v>
      </c>
      <c r="M2371" s="8" t="s">
        <v>2814</v>
      </c>
      <c r="N2371" s="38" t="s">
        <v>9375</v>
      </c>
      <c r="O2371" s="8"/>
      <c r="P2371" s="4" t="str">
        <f>VLOOKUP($B2371,'D7 - NDB Impacted SPRF''s'!$E$16:$O$9929,9,FALSE)</f>
        <v>Y</v>
      </c>
      <c r="Q2371" s="4" t="str">
        <f>VLOOKUP($B2371,'D7 - NDB Impacted SPRF''s'!$E$16:$O$9929,10,FALSE)</f>
        <v>N</v>
      </c>
      <c r="R2371" s="4" t="str">
        <f>VLOOKUP($B2371,'D7 - NDB Impacted SPRF''s'!$E$16:$O$9929,11,FALSE)</f>
        <v>N</v>
      </c>
      <c r="S2371" s="8"/>
      <c r="T2371" s="310"/>
      <c r="U2371" s="310"/>
      <c r="V2371" s="4"/>
      <c r="W2371" s="4"/>
      <c r="X2371" s="4"/>
      <c r="Y2371" s="4"/>
      <c r="Z2371" s="4"/>
      <c r="AA2371" s="4"/>
      <c r="AB2371" s="380" t="str">
        <f>VLOOKUP($B2371,'D7 - NDB Impacted SPRF''s'!$E$6:$O$9929,4,FALSE)</f>
        <v>Cancelled</v>
      </c>
      <c r="AC2371" s="380" t="str">
        <f>VLOOKUP($B2371,'D7 - NDB Impacted SPRF''s'!$E$6:$O$9929,3,FALSE)</f>
        <v>UnitedHealthcare Employer &amp; Individual</v>
      </c>
      <c r="AD2371" s="380" t="str">
        <f>VLOOKUP($B2371,'D7 - NDB Impacted SPRF''s'!$E$6:$O$9929,5,FALSE)</f>
        <v>Customer Requirements</v>
      </c>
      <c r="AE2371" s="380" t="str">
        <f>VLOOKUP($B2371,'D7 - NDB Impacted SPRF''s'!$E$6:$O$9929,7,FALSE)</f>
        <v>Laurie Wasserstein</v>
      </c>
      <c r="AF2371" s="380" t="str">
        <f>VLOOKUP($B2371,'D7 - NDB Impacted SPRF''s'!$E$6:$O$9929,6,FALSE)</f>
        <v>Rodney Joe</v>
      </c>
      <c r="AG2371" s="282"/>
      <c r="AH2371" s="311" t="e">
        <f>INDEX('D5 - Gatekeeper - Projects'!$A$4:$AF$1010,$AM2371, 17)</f>
        <v>#N/A</v>
      </c>
      <c r="AI2371" s="8"/>
      <c r="AJ2371" s="57"/>
      <c r="AK2371" s="105"/>
      <c r="AM2371" s="6" t="e">
        <f>MATCH(D2371,'D5 - Gatekeeper - Projects'!$C$4:$C$1010,0)</f>
        <v>#N/A</v>
      </c>
      <c r="AN2371" s="6" t="b">
        <f t="shared" si="247"/>
        <v>1</v>
      </c>
      <c r="AO2371" s="6" t="str">
        <f t="shared" si="248"/>
        <v>OK</v>
      </c>
      <c r="AQ2371" s="6" t="e">
        <f>MATCH($D2371,'D4 - Provider Council Unsched'!$C$11:$C$234,0)</f>
        <v>#N/A</v>
      </c>
      <c r="AR2371" s="6" t="b">
        <f t="shared" si="249"/>
        <v>1</v>
      </c>
      <c r="AS2371" s="6" t="str">
        <f t="shared" si="253"/>
        <v>OK</v>
      </c>
      <c r="AU2371" s="202">
        <v>41352</v>
      </c>
      <c r="AV2371" s="394" t="s">
        <v>2157</v>
      </c>
      <c r="AW2371" s="274"/>
    </row>
    <row r="2372" spans="1:49" s="13" customFormat="1" ht="33.75" x14ac:dyDescent="0.2">
      <c r="A2372" s="14">
        <v>2348</v>
      </c>
      <c r="B2372" s="14">
        <v>110311056</v>
      </c>
      <c r="C2372" s="8" t="s">
        <v>5197</v>
      </c>
      <c r="D2372" s="4" t="str">
        <f t="shared" si="252"/>
        <v>110311056R1</v>
      </c>
      <c r="E2372" s="309" t="str">
        <f>VLOOKUP($B2372,'D7 - NDB Impacted SPRF''s'!$E$6:$O$9929,2,FALSE)</f>
        <v>Check Suppression</v>
      </c>
      <c r="F2372" s="8"/>
      <c r="G2372" s="8" t="s">
        <v>4758</v>
      </c>
      <c r="H2372" s="8" t="s">
        <v>2870</v>
      </c>
      <c r="I2372" s="20"/>
      <c r="J2372" s="8"/>
      <c r="K2372" s="182"/>
      <c r="L2372" s="8" t="s">
        <v>4156</v>
      </c>
      <c r="M2372" s="8" t="s">
        <v>2814</v>
      </c>
      <c r="N2372" s="367" t="s">
        <v>3840</v>
      </c>
      <c r="O2372" s="8"/>
      <c r="P2372" s="4" t="str">
        <f>VLOOKUP($B2372,'D7 - NDB Impacted SPRF''s'!$E$16:$O$9929,9,FALSE)</f>
        <v>Y</v>
      </c>
      <c r="Q2372" s="4" t="str">
        <f>VLOOKUP($B2372,'D7 - NDB Impacted SPRF''s'!$E$16:$O$9929,10,FALSE)</f>
        <v>N</v>
      </c>
      <c r="R2372" s="4" t="str">
        <f>VLOOKUP($B2372,'D7 - NDB Impacted SPRF''s'!$E$16:$O$9929,11,FALSE)</f>
        <v>N</v>
      </c>
      <c r="S2372" s="8"/>
      <c r="T2372" s="310"/>
      <c r="U2372" s="310"/>
      <c r="V2372" s="4"/>
      <c r="W2372" s="4"/>
      <c r="X2372" s="4"/>
      <c r="Y2372" s="4"/>
      <c r="Z2372" s="4"/>
      <c r="AA2372" s="4"/>
      <c r="AB2372" s="380" t="str">
        <f>VLOOKUP($B2372,'D7 - NDB Impacted SPRF''s'!$E$16:$O$9929,4,FALSE)</f>
        <v>Completed</v>
      </c>
      <c r="AC2372" s="380" t="str">
        <f>VLOOKUP($B2372,'D7 - NDB Impacted SPRF''s'!$E$16:$O$9929,3,FALSE)</f>
        <v>UnitedHealthcare Employer &amp; Individual</v>
      </c>
      <c r="AD2372" s="380" t="str">
        <f>VLOOKUP($B2372,'D7 - NDB Impacted SPRF''s'!$E$16:$O$9929,5,FALSE)</f>
        <v>Medical Cost Savings Programs</v>
      </c>
      <c r="AE2372" s="380" t="str">
        <f>VLOOKUP($B2372,'D7 - NDB Impacted SPRF''s'!$E$16:$O$9929,7,FALSE)</f>
        <v>John Cravero</v>
      </c>
      <c r="AF2372" s="380" t="str">
        <f>VLOOKUP($B2372,'D7 - NDB Impacted SPRF''s'!$E$16:$O$9929,6,FALSE)</f>
        <v>Jason Greenberg</v>
      </c>
      <c r="AG2372" s="282"/>
      <c r="AH2372" s="311" t="e">
        <f>INDEX('D5 - Gatekeeper - Projects'!$A$4:$AF$1010,$AM2372, 17)</f>
        <v>#N/A</v>
      </c>
      <c r="AI2372" s="8"/>
      <c r="AJ2372" s="57"/>
      <c r="AK2372" s="105"/>
      <c r="AM2372" s="6" t="e">
        <f>MATCH(D2372,'D5 - Gatekeeper - Projects'!$C$4:$C$1010,0)</f>
        <v>#N/A</v>
      </c>
      <c r="AN2372" s="6" t="b">
        <f t="shared" si="247"/>
        <v>1</v>
      </c>
      <c r="AO2372" s="6" t="str">
        <f t="shared" si="248"/>
        <v>OK</v>
      </c>
      <c r="AQ2372" s="6" t="e">
        <f>MATCH($D2372,'D4 - Provider Council Unsched'!$C$11:$C$234,0)</f>
        <v>#N/A</v>
      </c>
      <c r="AR2372" s="6" t="b">
        <f t="shared" si="249"/>
        <v>1</v>
      </c>
      <c r="AS2372" s="6" t="str">
        <f t="shared" ref="AS2372:AS2435" si="254">IF(AND(H2372="2 - Not Scheduled",AR2372=TRUE),"Add","OK")</f>
        <v>OK</v>
      </c>
      <c r="AU2372" s="202"/>
      <c r="AV2372" s="262"/>
      <c r="AW2372" s="274"/>
    </row>
    <row r="2373" spans="1:49" s="13" customFormat="1" ht="22.5" x14ac:dyDescent="0.2">
      <c r="A2373" s="14">
        <v>2349</v>
      </c>
      <c r="B2373" s="14">
        <v>208201234</v>
      </c>
      <c r="C2373" s="8" t="s">
        <v>5197</v>
      </c>
      <c r="D2373" s="4" t="str">
        <f t="shared" si="252"/>
        <v>208201234R1</v>
      </c>
      <c r="E2373" s="309" t="str">
        <f>VLOOKUP($B2373,'D7 - NDB Impacted SPRF''s'!$E$6:$O$9929,2,FALSE)</f>
        <v>Place Of Service 20 UNET</v>
      </c>
      <c r="F2373" s="8" t="s">
        <v>2114</v>
      </c>
      <c r="G2373" s="8" t="s">
        <v>4758</v>
      </c>
      <c r="H2373" s="8" t="s">
        <v>2870</v>
      </c>
      <c r="I2373" s="20">
        <v>4</v>
      </c>
      <c r="J2373" s="8" t="s">
        <v>7113</v>
      </c>
      <c r="K2373" s="182"/>
      <c r="L2373" s="8" t="s">
        <v>4156</v>
      </c>
      <c r="M2373" s="8" t="s">
        <v>2814</v>
      </c>
      <c r="N2373" s="367" t="s">
        <v>5190</v>
      </c>
      <c r="O2373" s="8"/>
      <c r="P2373" s="4" t="str">
        <f>VLOOKUP($B2373,'D7 - NDB Impacted SPRF''s'!$E$16:$O$9929,9,FALSE)</f>
        <v>Y</v>
      </c>
      <c r="Q2373" s="4" t="str">
        <f>VLOOKUP($B2373,'D7 - NDB Impacted SPRF''s'!$E$16:$O$9929,10,FALSE)</f>
        <v>N</v>
      </c>
      <c r="R2373" s="4" t="str">
        <f>VLOOKUP($B2373,'D7 - NDB Impacted SPRF''s'!$E$16:$O$9929,11,FALSE)</f>
        <v>N</v>
      </c>
      <c r="S2373" s="8"/>
      <c r="T2373" s="310"/>
      <c r="U2373" s="310"/>
      <c r="V2373" s="4"/>
      <c r="W2373" s="4"/>
      <c r="X2373" s="4"/>
      <c r="Y2373" s="4"/>
      <c r="Z2373" s="4"/>
      <c r="AA2373" s="4"/>
      <c r="AB2373" s="380" t="str">
        <f>VLOOKUP($B2373,'D7 - NDB Impacted SPRF''s'!$E$16:$O$9929,4,FALSE)</f>
        <v>Cancelled</v>
      </c>
      <c r="AC2373" s="380" t="str">
        <f>VLOOKUP($B2373,'D7 - NDB Impacted SPRF''s'!$E$16:$O$9929,3,FALSE)</f>
        <v>Uniprise</v>
      </c>
      <c r="AD2373" s="380" t="str">
        <f>VLOOKUP($B2373,'D7 - NDB Impacted SPRF''s'!$E$16:$O$9929,5,FALSE)</f>
        <v>Uniprise Operations - Capital Projects</v>
      </c>
      <c r="AE2373" s="380" t="str">
        <f>VLOOKUP($B2373,'D7 - NDB Impacted SPRF''s'!$E$16:$O$9929,7,FALSE)</f>
        <v>Donna McCart</v>
      </c>
      <c r="AF2373" s="380" t="str">
        <f>VLOOKUP($B2373,'D7 - NDB Impacted SPRF''s'!$E$16:$O$9929,6,FALSE)</f>
        <v>Janet Wright</v>
      </c>
      <c r="AG2373" s="282" t="s">
        <v>7755</v>
      </c>
      <c r="AH2373" s="311" t="e">
        <f>INDEX('D5 - Gatekeeper - Projects'!$A$4:$AF$1010,$AM2373, 17)</f>
        <v>#N/A</v>
      </c>
      <c r="AI2373" s="8"/>
      <c r="AJ2373" s="57"/>
      <c r="AK2373" s="105"/>
      <c r="AM2373" s="6" t="e">
        <f>MATCH(D2373,'D5 - Gatekeeper - Projects'!$C$4:$C$1010,0)</f>
        <v>#N/A</v>
      </c>
      <c r="AN2373" s="6" t="b">
        <f t="shared" si="247"/>
        <v>1</v>
      </c>
      <c r="AO2373" s="6" t="str">
        <f t="shared" si="248"/>
        <v>OK</v>
      </c>
      <c r="AQ2373" s="6" t="e">
        <f>MATCH($D2373,'D4 - Provider Council Unsched'!$C$11:$C$234,0)</f>
        <v>#N/A</v>
      </c>
      <c r="AR2373" s="6" t="b">
        <f t="shared" si="249"/>
        <v>1</v>
      </c>
      <c r="AS2373" s="6" t="str">
        <f t="shared" si="254"/>
        <v>OK</v>
      </c>
      <c r="AU2373" s="202"/>
      <c r="AV2373" s="262"/>
      <c r="AW2373" s="274"/>
    </row>
    <row r="2374" spans="1:49" s="13" customFormat="1" ht="33.75" x14ac:dyDescent="0.2">
      <c r="A2374" s="14">
        <v>2350</v>
      </c>
      <c r="B2374" s="14">
        <v>211011229</v>
      </c>
      <c r="C2374" s="8" t="s">
        <v>5197</v>
      </c>
      <c r="D2374" s="4" t="str">
        <f t="shared" si="252"/>
        <v>211011229R1</v>
      </c>
      <c r="E2374" s="309" t="str">
        <f>VLOOKUP($B2374,'D7 - NDB Impacted SPRF''s'!$E$6:$O$9929,2,FALSE)</f>
        <v>SPI Benefit Maximums</v>
      </c>
      <c r="F2374" s="8"/>
      <c r="G2374" s="8" t="s">
        <v>4758</v>
      </c>
      <c r="H2374" s="8" t="s">
        <v>2870</v>
      </c>
      <c r="I2374" s="20"/>
      <c r="J2374" s="8"/>
      <c r="K2374" s="182"/>
      <c r="L2374" s="8" t="s">
        <v>4156</v>
      </c>
      <c r="M2374" s="8" t="s">
        <v>2814</v>
      </c>
      <c r="N2374" s="367" t="s">
        <v>3840</v>
      </c>
      <c r="O2374" s="8"/>
      <c r="P2374" s="4" t="str">
        <f>VLOOKUP($B2374,'D7 - NDB Impacted SPRF''s'!$E$16:$O$9929,9,FALSE)</f>
        <v>Y</v>
      </c>
      <c r="Q2374" s="4" t="str">
        <f>VLOOKUP($B2374,'D7 - NDB Impacted SPRF''s'!$E$16:$O$9929,10,FALSE)</f>
        <v>N</v>
      </c>
      <c r="R2374" s="4" t="str">
        <f>VLOOKUP($B2374,'D7 - NDB Impacted SPRF''s'!$E$16:$O$9929,11,FALSE)</f>
        <v>N</v>
      </c>
      <c r="S2374" s="8"/>
      <c r="T2374" s="310"/>
      <c r="U2374" s="310"/>
      <c r="V2374" s="4"/>
      <c r="W2374" s="4"/>
      <c r="X2374" s="4"/>
      <c r="Y2374" s="4"/>
      <c r="Z2374" s="4"/>
      <c r="AA2374" s="4"/>
      <c r="AB2374" s="380" t="str">
        <f>VLOOKUP($B2374,'D7 - NDB Impacted SPRF''s'!$E$16:$O$9929,4,FALSE)</f>
        <v>Cancelled</v>
      </c>
      <c r="AC2374" s="380" t="str">
        <f>VLOOKUP($B2374,'D7 - NDB Impacted SPRF''s'!$E$16:$O$9929,3,FALSE)</f>
        <v>UnitedHealthcare Employer &amp; Individual</v>
      </c>
      <c r="AD2374" s="380" t="str">
        <f>VLOOKUP($B2374,'D7 - NDB Impacted SPRF''s'!$E$16:$O$9929,5,FALSE)</f>
        <v>Operational Requirements</v>
      </c>
      <c r="AE2374" s="380" t="str">
        <f>VLOOKUP($B2374,'D7 - NDB Impacted SPRF''s'!$E$16:$O$9929,7,FALSE)</f>
        <v>Mary Leszuk</v>
      </c>
      <c r="AF2374" s="380" t="str">
        <f>VLOOKUP($B2374,'D7 - NDB Impacted SPRF''s'!$E$16:$O$9929,6,FALSE)</f>
        <v>Greg Benat</v>
      </c>
      <c r="AG2374" s="282"/>
      <c r="AH2374" s="311" t="e">
        <f>INDEX('D5 - Gatekeeper - Projects'!$A$4:$AF$1010,$AM2374, 17)</f>
        <v>#N/A</v>
      </c>
      <c r="AI2374" s="8"/>
      <c r="AJ2374" s="57"/>
      <c r="AK2374" s="105"/>
      <c r="AM2374" s="6" t="e">
        <f>MATCH(D2374,'D5 - Gatekeeper - Projects'!$C$4:$C$1010,0)</f>
        <v>#N/A</v>
      </c>
      <c r="AN2374" s="6" t="b">
        <f t="shared" si="247"/>
        <v>1</v>
      </c>
      <c r="AO2374" s="6" t="str">
        <f t="shared" si="248"/>
        <v>OK</v>
      </c>
      <c r="AQ2374" s="6" t="e">
        <f>MATCH($D2374,'D4 - Provider Council Unsched'!$C$11:$C$234,0)</f>
        <v>#N/A</v>
      </c>
      <c r="AR2374" s="6" t="b">
        <f t="shared" si="249"/>
        <v>1</v>
      </c>
      <c r="AS2374" s="6" t="str">
        <f t="shared" si="254"/>
        <v>OK</v>
      </c>
      <c r="AU2374" s="202"/>
      <c r="AV2374" s="262"/>
      <c r="AW2374" s="274"/>
    </row>
    <row r="2375" spans="1:49" s="13" customFormat="1" ht="22.5" x14ac:dyDescent="0.2">
      <c r="A2375" s="14">
        <v>2351</v>
      </c>
      <c r="B2375" s="14">
        <v>303111044</v>
      </c>
      <c r="C2375" s="8" t="s">
        <v>5197</v>
      </c>
      <c r="D2375" s="4" t="str">
        <f t="shared" si="252"/>
        <v>303111044R1</v>
      </c>
      <c r="E2375" s="309" t="str">
        <f>VLOOKUP($B2375,'D7 - NDB Impacted SPRF''s'!$E$6:$O$9929,2,FALSE)</f>
        <v>CPT Category III Codes</v>
      </c>
      <c r="F2375" s="8" t="s">
        <v>6633</v>
      </c>
      <c r="G2375" s="8" t="s">
        <v>4758</v>
      </c>
      <c r="H2375" s="8" t="s">
        <v>2870</v>
      </c>
      <c r="I2375" s="20">
        <v>5.6</v>
      </c>
      <c r="J2375" s="8" t="s">
        <v>7113</v>
      </c>
      <c r="K2375" s="182"/>
      <c r="L2375" s="8" t="s">
        <v>4156</v>
      </c>
      <c r="M2375" s="8" t="s">
        <v>2814</v>
      </c>
      <c r="N2375" s="368" t="s">
        <v>5190</v>
      </c>
      <c r="O2375" s="8"/>
      <c r="P2375" s="4" t="str">
        <f>VLOOKUP($B2375,'D7 - NDB Impacted SPRF''s'!$E$16:$O$9929,9,FALSE)</f>
        <v>Y</v>
      </c>
      <c r="Q2375" s="4" t="str">
        <f>VLOOKUP($B2375,'D7 - NDB Impacted SPRF''s'!$E$16:$O$9929,10,FALSE)</f>
        <v>N</v>
      </c>
      <c r="R2375" s="4" t="str">
        <f>VLOOKUP($B2375,'D7 - NDB Impacted SPRF''s'!$E$16:$O$9929,11,FALSE)</f>
        <v>N</v>
      </c>
      <c r="S2375" s="8"/>
      <c r="T2375" s="310"/>
      <c r="U2375" s="310"/>
      <c r="V2375" s="4"/>
      <c r="W2375" s="4"/>
      <c r="X2375" s="4"/>
      <c r="Y2375" s="4"/>
      <c r="Z2375" s="4"/>
      <c r="AA2375" s="4"/>
      <c r="AB2375" s="380" t="str">
        <f>VLOOKUP($B2375,'D7 - NDB Impacted SPRF''s'!$E$16:$O$9929,4,FALSE)</f>
        <v>Cancelled</v>
      </c>
      <c r="AC2375" s="380" t="str">
        <f>VLOOKUP($B2375,'D7 - NDB Impacted SPRF''s'!$E$16:$O$9929,3,FALSE)</f>
        <v>Uniprise</v>
      </c>
      <c r="AD2375" s="380" t="str">
        <f>VLOOKUP($B2375,'D7 - NDB Impacted SPRF''s'!$E$16:$O$9929,5,FALSE)</f>
        <v>Uniprise Operations - DDC</v>
      </c>
      <c r="AE2375" s="380" t="str">
        <f>VLOOKUP($B2375,'D7 - NDB Impacted SPRF''s'!$E$16:$O$9929,7,FALSE)</f>
        <v>Tim Kaja</v>
      </c>
      <c r="AF2375" s="380" t="str">
        <f>VLOOKUP($B2375,'D7 - NDB Impacted SPRF''s'!$E$16:$O$9929,6,FALSE)</f>
        <v>Darla Uylaky-McKee</v>
      </c>
      <c r="AG2375" s="282" t="s">
        <v>7755</v>
      </c>
      <c r="AH2375" s="311" t="e">
        <f>INDEX('D5 - Gatekeeper - Projects'!$A$4:$AF$1010,$AM2375, 17)</f>
        <v>#N/A</v>
      </c>
      <c r="AI2375" s="8"/>
      <c r="AJ2375" s="57"/>
      <c r="AK2375" s="105"/>
      <c r="AM2375" s="6" t="e">
        <f>MATCH(D2375,'D5 - Gatekeeper - Projects'!$C$4:$C$1010,0)</f>
        <v>#N/A</v>
      </c>
      <c r="AN2375" s="6" t="b">
        <f t="shared" si="247"/>
        <v>1</v>
      </c>
      <c r="AO2375" s="6" t="str">
        <f t="shared" si="248"/>
        <v>OK</v>
      </c>
      <c r="AQ2375" s="6" t="e">
        <f>MATCH($D2375,'D4 - Provider Council Unsched'!$C$11:$C$234,0)</f>
        <v>#N/A</v>
      </c>
      <c r="AR2375" s="6" t="b">
        <f t="shared" si="249"/>
        <v>1</v>
      </c>
      <c r="AS2375" s="6" t="str">
        <f t="shared" si="254"/>
        <v>OK</v>
      </c>
      <c r="AU2375" s="202"/>
      <c r="AV2375" s="262"/>
      <c r="AW2375" s="274"/>
    </row>
    <row r="2376" spans="1:49" s="13" customFormat="1" x14ac:dyDescent="0.2">
      <c r="A2376" s="14">
        <v>2352</v>
      </c>
      <c r="B2376" s="14">
        <v>400000134</v>
      </c>
      <c r="C2376" s="8" t="s">
        <v>5197</v>
      </c>
      <c r="D2376" s="4" t="str">
        <f t="shared" si="252"/>
        <v>400000134R1</v>
      </c>
      <c r="E2376" s="309" t="str">
        <f>VLOOKUP($B2376,'D7 - NDB Impacted SPRF''s'!$E$6:$O$9929,2,FALSE)</f>
        <v>Unified Testing Phase I</v>
      </c>
      <c r="F2376" s="8"/>
      <c r="G2376" s="8" t="s">
        <v>4758</v>
      </c>
      <c r="H2376" s="8" t="s">
        <v>2870</v>
      </c>
      <c r="I2376" s="20"/>
      <c r="J2376" s="8"/>
      <c r="K2376" s="182"/>
      <c r="L2376" s="8" t="s">
        <v>6164</v>
      </c>
      <c r="M2376" s="8" t="s">
        <v>2814</v>
      </c>
      <c r="N2376" s="367"/>
      <c r="O2376" s="8"/>
      <c r="P2376" s="4" t="str">
        <f>VLOOKUP($B2376,'D7 - NDB Impacted SPRF''s'!$E$16:$O$9929,9,FALSE)</f>
        <v>Y</v>
      </c>
      <c r="Q2376" s="4" t="str">
        <f>VLOOKUP($B2376,'D7 - NDB Impacted SPRF''s'!$E$16:$O$9929,10,FALSE)</f>
        <v>N</v>
      </c>
      <c r="R2376" s="4" t="str">
        <f>VLOOKUP($B2376,'D7 - NDB Impacted SPRF''s'!$E$16:$O$9929,11,FALSE)</f>
        <v>N</v>
      </c>
      <c r="S2376" s="8"/>
      <c r="T2376" s="310"/>
      <c r="U2376" s="310"/>
      <c r="V2376" s="4"/>
      <c r="W2376" s="4"/>
      <c r="X2376" s="4"/>
      <c r="Y2376" s="4"/>
      <c r="Z2376" s="4"/>
      <c r="AA2376" s="4"/>
      <c r="AB2376" s="380" t="str">
        <f>VLOOKUP($B2376,'D7 - NDB Impacted SPRF''s'!$E$16:$O$9929,4,FALSE)</f>
        <v>Cancelled</v>
      </c>
      <c r="AC2376" s="380" t="str">
        <f>VLOOKUP($B2376,'D7 - NDB Impacted SPRF''s'!$E$16:$O$9929,3,FALSE)</f>
        <v>Uniprise</v>
      </c>
      <c r="AD2376" s="380" t="str">
        <f>VLOOKUP($B2376,'D7 - NDB Impacted SPRF''s'!$E$16:$O$9929,5,FALSE)</f>
        <v>Uniprise Unassigned</v>
      </c>
      <c r="AE2376" s="380" t="str">
        <f>VLOOKUP($B2376,'D7 - NDB Impacted SPRF''s'!$E$16:$O$9929,7,FALSE)</f>
        <v>John Donkersloot</v>
      </c>
      <c r="AF2376" s="380" t="str">
        <f>VLOOKUP($B2376,'D7 - NDB Impacted SPRF''s'!$E$16:$O$9929,6,FALSE)</f>
        <v>Marilyn Rath</v>
      </c>
      <c r="AG2376" s="282"/>
      <c r="AH2376" s="311" t="e">
        <f>INDEX('D5 - Gatekeeper - Projects'!$A$4:$AF$1010,$AM2376, 17)</f>
        <v>#N/A</v>
      </c>
      <c r="AI2376" s="8"/>
      <c r="AJ2376" s="57"/>
      <c r="AK2376" s="105"/>
      <c r="AM2376" s="6" t="e">
        <f>MATCH(D2376,'D5 - Gatekeeper - Projects'!$C$4:$C$1010,0)</f>
        <v>#N/A</v>
      </c>
      <c r="AN2376" s="6" t="b">
        <f t="shared" si="247"/>
        <v>1</v>
      </c>
      <c r="AO2376" s="6" t="str">
        <f t="shared" si="248"/>
        <v>OK</v>
      </c>
      <c r="AQ2376" s="6" t="e">
        <f>MATCH($D2376,'D4 - Provider Council Unsched'!$C$11:$C$234,0)</f>
        <v>#N/A</v>
      </c>
      <c r="AR2376" s="6" t="b">
        <f t="shared" si="249"/>
        <v>1</v>
      </c>
      <c r="AS2376" s="6" t="str">
        <f t="shared" si="254"/>
        <v>OK</v>
      </c>
      <c r="AU2376" s="202"/>
      <c r="AV2376" s="262"/>
      <c r="AW2376" s="274"/>
    </row>
    <row r="2377" spans="1:49" s="13" customFormat="1" ht="33.75" x14ac:dyDescent="0.2">
      <c r="A2377" s="14">
        <v>2353</v>
      </c>
      <c r="B2377" s="14">
        <v>400000143</v>
      </c>
      <c r="C2377" s="8" t="s">
        <v>5197</v>
      </c>
      <c r="D2377" s="4" t="str">
        <f t="shared" si="252"/>
        <v>400000143R1</v>
      </c>
      <c r="E2377" s="309" t="str">
        <f>VLOOKUP($B2377,'D7 - NDB Impacted SPRF''s'!$E$6:$O$9929,2,FALSE)</f>
        <v>UHC Online - Midwest Team Resets</v>
      </c>
      <c r="F2377" s="8" t="s">
        <v>5536</v>
      </c>
      <c r="G2377" s="8" t="s">
        <v>4758</v>
      </c>
      <c r="H2377" s="8" t="s">
        <v>2870</v>
      </c>
      <c r="I2377" s="20"/>
      <c r="J2377" s="8"/>
      <c r="K2377" s="182"/>
      <c r="L2377" s="8" t="s">
        <v>6164</v>
      </c>
      <c r="M2377" s="8" t="s">
        <v>2814</v>
      </c>
      <c r="N2377" s="367"/>
      <c r="O2377" s="8"/>
      <c r="P2377" s="4" t="str">
        <f>VLOOKUP($B2377,'D7 - NDB Impacted SPRF''s'!$E$16:$O$9929,9,FALSE)</f>
        <v>N</v>
      </c>
      <c r="Q2377" s="4" t="str">
        <f>VLOOKUP($B2377,'D7 - NDB Impacted SPRF''s'!$E$16:$O$9929,10,FALSE)</f>
        <v>N</v>
      </c>
      <c r="R2377" s="4" t="str">
        <f>VLOOKUP($B2377,'D7 - NDB Impacted SPRF''s'!$E$16:$O$9929,11,FALSE)</f>
        <v>N</v>
      </c>
      <c r="S2377" s="8"/>
      <c r="T2377" s="310"/>
      <c r="U2377" s="310"/>
      <c r="V2377" s="4"/>
      <c r="W2377" s="4"/>
      <c r="X2377" s="4"/>
      <c r="Y2377" s="4"/>
      <c r="Z2377" s="4"/>
      <c r="AA2377" s="4"/>
      <c r="AB2377" s="380" t="str">
        <f>VLOOKUP($B2377,'D7 - NDB Impacted SPRF''s'!$E$16:$O$9929,4,FALSE)</f>
        <v>Cancelled</v>
      </c>
      <c r="AC2377" s="380" t="str">
        <f>VLOOKUP($B2377,'D7 - NDB Impacted SPRF''s'!$E$16:$O$9929,3,FALSE)</f>
        <v>UnitedHealthcare Employer &amp; Individual</v>
      </c>
      <c r="AD2377" s="380" t="str">
        <f>VLOOKUP($B2377,'D7 - NDB Impacted SPRF''s'!$E$16:$O$9929,5,FALSE)</f>
        <v>Operations Group</v>
      </c>
      <c r="AE2377" s="380" t="str">
        <f>VLOOKUP($B2377,'D7 - NDB Impacted SPRF''s'!$E$16:$O$9929,7,FALSE)</f>
        <v>Thomas Rekart</v>
      </c>
      <c r="AF2377" s="380" t="str">
        <f>VLOOKUP($B2377,'D7 - NDB Impacted SPRF''s'!$E$16:$O$9929,6,FALSE)</f>
        <v>Kelly Moyer</v>
      </c>
      <c r="AG2377" s="282"/>
      <c r="AH2377" s="311" t="e">
        <f>INDEX('D5 - Gatekeeper - Projects'!$A$4:$AF$1010,$AM2377, 17)</f>
        <v>#N/A</v>
      </c>
      <c r="AI2377" s="8"/>
      <c r="AJ2377" s="57"/>
      <c r="AK2377" s="105"/>
      <c r="AM2377" s="6" t="e">
        <f>MATCH(D2377,'D5 - Gatekeeper - Projects'!$C$4:$C$1010,0)</f>
        <v>#N/A</v>
      </c>
      <c r="AN2377" s="6" t="b">
        <f t="shared" si="247"/>
        <v>1</v>
      </c>
      <c r="AO2377" s="6" t="str">
        <f t="shared" si="248"/>
        <v>OK</v>
      </c>
      <c r="AQ2377" s="6" t="e">
        <f>MATCH($D2377,'D4 - Provider Council Unsched'!$C$11:$C$234,0)</f>
        <v>#N/A</v>
      </c>
      <c r="AR2377" s="6" t="b">
        <f t="shared" si="249"/>
        <v>1</v>
      </c>
      <c r="AS2377" s="6" t="str">
        <f t="shared" si="254"/>
        <v>OK</v>
      </c>
      <c r="AU2377" s="202"/>
      <c r="AV2377" s="262"/>
      <c r="AW2377" s="274"/>
    </row>
    <row r="2378" spans="1:49" s="13" customFormat="1" ht="33.75" x14ac:dyDescent="0.2">
      <c r="A2378" s="14">
        <v>2354</v>
      </c>
      <c r="B2378" s="14">
        <v>400000163</v>
      </c>
      <c r="C2378" s="8" t="s">
        <v>5197</v>
      </c>
      <c r="D2378" s="4" t="str">
        <f t="shared" si="252"/>
        <v>400000163R1</v>
      </c>
      <c r="E2378" s="309" t="str">
        <f>VLOOKUP($B2378,'D7 - NDB Impacted SPRF''s'!$E$6:$O$9929,2,FALSE)</f>
        <v>Network Mgt/H.P. Access to NDB Phy.Dem. Info</v>
      </c>
      <c r="F2378" s="8"/>
      <c r="G2378" s="8" t="s">
        <v>4758</v>
      </c>
      <c r="H2378" s="8" t="s">
        <v>2870</v>
      </c>
      <c r="I2378" s="20"/>
      <c r="J2378" s="8"/>
      <c r="K2378" s="182"/>
      <c r="L2378" s="8" t="s">
        <v>6164</v>
      </c>
      <c r="M2378" s="8" t="s">
        <v>2814</v>
      </c>
      <c r="N2378" s="367"/>
      <c r="O2378" s="8"/>
      <c r="P2378" s="4" t="str">
        <f>VLOOKUP($B2378,'D7 - NDB Impacted SPRF''s'!$E$16:$O$9929,9,FALSE)</f>
        <v>N</v>
      </c>
      <c r="Q2378" s="4" t="str">
        <f>VLOOKUP($B2378,'D7 - NDB Impacted SPRF''s'!$E$16:$O$9929,10,FALSE)</f>
        <v>N</v>
      </c>
      <c r="R2378" s="4" t="str">
        <f>VLOOKUP($B2378,'D7 - NDB Impacted SPRF''s'!$E$16:$O$9929,11,FALSE)</f>
        <v>N</v>
      </c>
      <c r="S2378" s="8"/>
      <c r="T2378" s="310"/>
      <c r="U2378" s="310"/>
      <c r="V2378" s="4"/>
      <c r="W2378" s="4"/>
      <c r="X2378" s="4"/>
      <c r="Y2378" s="4"/>
      <c r="Z2378" s="4"/>
      <c r="AA2378" s="4"/>
      <c r="AB2378" s="380" t="str">
        <f>VLOOKUP($B2378,'D7 - NDB Impacted SPRF''s'!$E$16:$O$9929,4,FALSE)</f>
        <v>Cancelled</v>
      </c>
      <c r="AC2378" s="380" t="str">
        <f>VLOOKUP($B2378,'D7 - NDB Impacted SPRF''s'!$E$16:$O$9929,3,FALSE)</f>
        <v>UnitedHealthcare Employer &amp; Individual</v>
      </c>
      <c r="AD2378" s="380" t="str">
        <f>VLOOKUP($B2378,'D7 - NDB Impacted SPRF''s'!$E$16:$O$9929,5,FALSE)</f>
        <v>United Health Networks</v>
      </c>
      <c r="AE2378" s="380" t="str">
        <f>VLOOKUP($B2378,'D7 - NDB Impacted SPRF''s'!$E$16:$O$9929,7,FALSE)</f>
        <v>Peter Bompane</v>
      </c>
      <c r="AF2378" s="380" t="str">
        <f>VLOOKUP($B2378,'D7 - NDB Impacted SPRF''s'!$E$16:$O$9929,6,FALSE)</f>
        <v>Kelly Moyer</v>
      </c>
      <c r="AG2378" s="282"/>
      <c r="AH2378" s="311" t="e">
        <f>INDEX('D5 - Gatekeeper - Projects'!$A$4:$AF$1010,$AM2378, 17)</f>
        <v>#N/A</v>
      </c>
      <c r="AI2378" s="8"/>
      <c r="AJ2378" s="57"/>
      <c r="AK2378" s="105"/>
      <c r="AM2378" s="6" t="e">
        <f>MATCH(D2378,'D5 - Gatekeeper - Projects'!$C$4:$C$1010,0)</f>
        <v>#N/A</v>
      </c>
      <c r="AN2378" s="6" t="b">
        <f t="shared" ref="AN2378:AN2441" si="255">ISERROR(AM2378)</f>
        <v>1</v>
      </c>
      <c r="AO2378" s="6" t="str">
        <f t="shared" ref="AO2378:AO2441" si="256">IF(AND(H2378="1 - Scheduled",AN2378=TRUE),"Add","OK")</f>
        <v>OK</v>
      </c>
      <c r="AQ2378" s="6" t="e">
        <f>MATCH($D2378,'D4 - Provider Council Unsched'!$C$11:$C$234,0)</f>
        <v>#N/A</v>
      </c>
      <c r="AR2378" s="6" t="b">
        <f t="shared" ref="AR2378:AR2441" si="257">ISERROR(AQ2378)</f>
        <v>1</v>
      </c>
      <c r="AS2378" s="6" t="str">
        <f t="shared" si="254"/>
        <v>OK</v>
      </c>
      <c r="AU2378" s="202"/>
      <c r="AV2378" s="262"/>
      <c r="AW2378" s="274"/>
    </row>
    <row r="2379" spans="1:49" s="13" customFormat="1" ht="33.75" x14ac:dyDescent="0.2">
      <c r="A2379" s="14">
        <v>2355</v>
      </c>
      <c r="B2379" s="14">
        <v>400000171</v>
      </c>
      <c r="C2379" s="8" t="s">
        <v>5197</v>
      </c>
      <c r="D2379" s="4" t="str">
        <f t="shared" si="252"/>
        <v>400000171R1</v>
      </c>
      <c r="E2379" s="309" t="str">
        <f>VLOOKUP($B2379,'D7 - NDB Impacted SPRF''s'!$E$6:$O$9929,2,FALSE)</f>
        <v>iCES to UNET - Release 5.0</v>
      </c>
      <c r="F2379" s="8" t="s">
        <v>6964</v>
      </c>
      <c r="G2379" s="8" t="s">
        <v>4758</v>
      </c>
      <c r="H2379" s="8" t="s">
        <v>2870</v>
      </c>
      <c r="I2379" s="20"/>
      <c r="J2379" s="8"/>
      <c r="K2379" s="182"/>
      <c r="L2379" s="8" t="s">
        <v>6164</v>
      </c>
      <c r="M2379" s="8" t="s">
        <v>2814</v>
      </c>
      <c r="N2379" s="367"/>
      <c r="O2379" s="8"/>
      <c r="P2379" s="4" t="str">
        <f>VLOOKUP($B2379,'D7 - NDB Impacted SPRF''s'!$E$16:$O$9929,9,FALSE)</f>
        <v>Y</v>
      </c>
      <c r="Q2379" s="4" t="str">
        <f>VLOOKUP($B2379,'D7 - NDB Impacted SPRF''s'!$E$16:$O$9929,10,FALSE)</f>
        <v>N</v>
      </c>
      <c r="R2379" s="4" t="str">
        <f>VLOOKUP($B2379,'D7 - NDB Impacted SPRF''s'!$E$16:$O$9929,11,FALSE)</f>
        <v>N</v>
      </c>
      <c r="S2379" s="8"/>
      <c r="T2379" s="310"/>
      <c r="U2379" s="310"/>
      <c r="V2379" s="4"/>
      <c r="W2379" s="4"/>
      <c r="X2379" s="4"/>
      <c r="Y2379" s="4"/>
      <c r="Z2379" s="4"/>
      <c r="AA2379" s="4"/>
      <c r="AB2379" s="380" t="str">
        <f>VLOOKUP($B2379,'D7 - NDB Impacted SPRF''s'!$E$16:$O$9929,4,FALSE)</f>
        <v>Cancelled</v>
      </c>
      <c r="AC2379" s="380" t="str">
        <f>VLOOKUP($B2379,'D7 - NDB Impacted SPRF''s'!$E$16:$O$9929,3,FALSE)</f>
        <v>UnitedHealthcare Employer &amp; Individual</v>
      </c>
      <c r="AD2379" s="380" t="str">
        <f>VLOOKUP($B2379,'D7 - NDB Impacted SPRF''s'!$E$16:$O$9929,5,FALSE)</f>
        <v>Key Initiatives Group</v>
      </c>
      <c r="AE2379" s="380" t="str">
        <f>VLOOKUP($B2379,'D7 - NDB Impacted SPRF''s'!$E$16:$O$9929,7,FALSE)</f>
        <v>Timothy Kaja</v>
      </c>
      <c r="AF2379" s="380" t="str">
        <f>VLOOKUP($B2379,'D7 - NDB Impacted SPRF''s'!$E$16:$O$9929,6,FALSE)</f>
        <v>Janet Wright</v>
      </c>
      <c r="AG2379" s="282"/>
      <c r="AH2379" s="311" t="e">
        <f>INDEX('D5 - Gatekeeper - Projects'!$A$4:$AF$1010,$AM2379, 17)</f>
        <v>#N/A</v>
      </c>
      <c r="AI2379" s="8"/>
      <c r="AJ2379" s="57"/>
      <c r="AK2379" s="105"/>
      <c r="AM2379" s="6" t="e">
        <f>MATCH(D2379,'D5 - Gatekeeper - Projects'!$C$4:$C$1010,0)</f>
        <v>#N/A</v>
      </c>
      <c r="AN2379" s="6" t="b">
        <f t="shared" si="255"/>
        <v>1</v>
      </c>
      <c r="AO2379" s="6" t="str">
        <f t="shared" si="256"/>
        <v>OK</v>
      </c>
      <c r="AQ2379" s="6" t="e">
        <f>MATCH($D2379,'D4 - Provider Council Unsched'!$C$11:$C$234,0)</f>
        <v>#N/A</v>
      </c>
      <c r="AR2379" s="6" t="b">
        <f t="shared" si="257"/>
        <v>1</v>
      </c>
      <c r="AS2379" s="6" t="str">
        <f t="shared" si="254"/>
        <v>OK</v>
      </c>
      <c r="AU2379" s="202"/>
      <c r="AV2379" s="262"/>
      <c r="AW2379" s="274"/>
    </row>
    <row r="2380" spans="1:49" s="13" customFormat="1" ht="33.75" x14ac:dyDescent="0.2">
      <c r="A2380" s="14">
        <v>2356</v>
      </c>
      <c r="B2380" s="14">
        <v>400000234</v>
      </c>
      <c r="C2380" s="8" t="s">
        <v>5197</v>
      </c>
      <c r="D2380" s="4" t="str">
        <f t="shared" si="252"/>
        <v>400000234R1</v>
      </c>
      <c r="E2380" s="309" t="str">
        <f>VLOOKUP($B2380,'D7 - NDB Impacted SPRF''s'!$E$6:$O$9929,2,FALSE)</f>
        <v>Gold Card Status Indicator - NDB/EPD</v>
      </c>
      <c r="F2380" s="8" t="s">
        <v>5536</v>
      </c>
      <c r="G2380" s="8" t="s">
        <v>4758</v>
      </c>
      <c r="H2380" s="8" t="s">
        <v>2870</v>
      </c>
      <c r="I2380" s="20"/>
      <c r="J2380" s="8"/>
      <c r="K2380" s="182"/>
      <c r="L2380" s="8" t="s">
        <v>6164</v>
      </c>
      <c r="M2380" s="8" t="s">
        <v>2814</v>
      </c>
      <c r="N2380" s="367"/>
      <c r="O2380" s="8"/>
      <c r="P2380" s="4" t="str">
        <f>VLOOKUP($B2380,'D7 - NDB Impacted SPRF''s'!$E$16:$O$9929,9,FALSE)</f>
        <v>N</v>
      </c>
      <c r="Q2380" s="4" t="str">
        <f>VLOOKUP($B2380,'D7 - NDB Impacted SPRF''s'!$E$16:$O$9929,10,FALSE)</f>
        <v>N</v>
      </c>
      <c r="R2380" s="4" t="str">
        <f>VLOOKUP($B2380,'D7 - NDB Impacted SPRF''s'!$E$16:$O$9929,11,FALSE)</f>
        <v>N</v>
      </c>
      <c r="S2380" s="8"/>
      <c r="T2380" s="310"/>
      <c r="U2380" s="310"/>
      <c r="V2380" s="4"/>
      <c r="W2380" s="4"/>
      <c r="X2380" s="4"/>
      <c r="Y2380" s="4"/>
      <c r="Z2380" s="4"/>
      <c r="AA2380" s="4"/>
      <c r="AB2380" s="380" t="str">
        <f>VLOOKUP($B2380,'D7 - NDB Impacted SPRF''s'!$E$16:$O$9929,4,FALSE)</f>
        <v>Cancelled</v>
      </c>
      <c r="AC2380" s="380" t="str">
        <f>VLOOKUP($B2380,'D7 - NDB Impacted SPRF''s'!$E$16:$O$9929,3,FALSE)</f>
        <v>UnitedHealthcare Employer &amp; Individual</v>
      </c>
      <c r="AD2380" s="380" t="str">
        <f>VLOOKUP($B2380,'D7 - NDB Impacted SPRF''s'!$E$16:$O$9929,5,FALSE)</f>
        <v>Operations Group</v>
      </c>
      <c r="AE2380" s="380" t="str">
        <f>VLOOKUP($B2380,'D7 - NDB Impacted SPRF''s'!$E$16:$O$9929,7,FALSE)</f>
        <v>Thomas Rekart</v>
      </c>
      <c r="AF2380" s="380" t="str">
        <f>VLOOKUP($B2380,'D7 - NDB Impacted SPRF''s'!$E$16:$O$9929,6,FALSE)</f>
        <v>Tracy Hall</v>
      </c>
      <c r="AG2380" s="282"/>
      <c r="AH2380" s="311" t="e">
        <f>INDEX('D5 - Gatekeeper - Projects'!$A$4:$AF$1010,$AM2380, 17)</f>
        <v>#N/A</v>
      </c>
      <c r="AI2380" s="8"/>
      <c r="AJ2380" s="57"/>
      <c r="AK2380" s="105"/>
      <c r="AM2380" s="6" t="e">
        <f>MATCH(D2380,'D5 - Gatekeeper - Projects'!$C$4:$C$1010,0)</f>
        <v>#N/A</v>
      </c>
      <c r="AN2380" s="6" t="b">
        <f t="shared" si="255"/>
        <v>1</v>
      </c>
      <c r="AO2380" s="6" t="str">
        <f t="shared" si="256"/>
        <v>OK</v>
      </c>
      <c r="AQ2380" s="6" t="e">
        <f>MATCH($D2380,'D4 - Provider Council Unsched'!$C$11:$C$234,0)</f>
        <v>#N/A</v>
      </c>
      <c r="AR2380" s="6" t="b">
        <f t="shared" si="257"/>
        <v>1</v>
      </c>
      <c r="AS2380" s="6" t="str">
        <f t="shared" si="254"/>
        <v>OK</v>
      </c>
      <c r="AU2380" s="202"/>
      <c r="AV2380" s="262"/>
      <c r="AW2380" s="274"/>
    </row>
    <row r="2381" spans="1:49" s="13" customFormat="1" ht="22.5" x14ac:dyDescent="0.2">
      <c r="A2381" s="14">
        <v>2357</v>
      </c>
      <c r="B2381" s="14">
        <v>400000303</v>
      </c>
      <c r="C2381" s="8" t="s">
        <v>5197</v>
      </c>
      <c r="D2381" s="4" t="str">
        <f t="shared" si="252"/>
        <v>400000303R1</v>
      </c>
      <c r="E2381" s="309" t="str">
        <f>VLOOKUP($B2381,'D7 - NDB Impacted SPRF''s'!$E$6:$O$9929,2,FALSE)</f>
        <v>myuhc link to Geoaccess for provider search</v>
      </c>
      <c r="F2381" s="8" t="s">
        <v>5536</v>
      </c>
      <c r="G2381" s="8" t="s">
        <v>4758</v>
      </c>
      <c r="H2381" s="8" t="s">
        <v>2870</v>
      </c>
      <c r="I2381" s="20"/>
      <c r="J2381" s="8"/>
      <c r="K2381" s="182"/>
      <c r="L2381" s="8" t="s">
        <v>6164</v>
      </c>
      <c r="M2381" s="8" t="s">
        <v>2814</v>
      </c>
      <c r="N2381" s="367"/>
      <c r="O2381" s="8"/>
      <c r="P2381" s="4" t="str">
        <f>VLOOKUP($B2381,'D7 - NDB Impacted SPRF''s'!$E$16:$O$9929,9,FALSE)</f>
        <v>N</v>
      </c>
      <c r="Q2381" s="4" t="str">
        <f>VLOOKUP($B2381,'D7 - NDB Impacted SPRF''s'!$E$16:$O$9929,10,FALSE)</f>
        <v>N</v>
      </c>
      <c r="R2381" s="4" t="str">
        <f>VLOOKUP($B2381,'D7 - NDB Impacted SPRF''s'!$E$16:$O$9929,11,FALSE)</f>
        <v>N</v>
      </c>
      <c r="S2381" s="8"/>
      <c r="T2381" s="310"/>
      <c r="U2381" s="310"/>
      <c r="V2381" s="4"/>
      <c r="W2381" s="4"/>
      <c r="X2381" s="4"/>
      <c r="Y2381" s="4"/>
      <c r="Z2381" s="4"/>
      <c r="AA2381" s="4"/>
      <c r="AB2381" s="380" t="str">
        <f>VLOOKUP($B2381,'D7 - NDB Impacted SPRF''s'!$E$16:$O$9929,4,FALSE)</f>
        <v>Cancelled</v>
      </c>
      <c r="AC2381" s="380" t="str">
        <f>VLOOKUP($B2381,'D7 - NDB Impacted SPRF''s'!$E$16:$O$9929,3,FALSE)</f>
        <v>Uniprise</v>
      </c>
      <c r="AD2381" s="380" t="str">
        <f>VLOOKUP($B2381,'D7 - NDB Impacted SPRF''s'!$E$16:$O$9929,5,FALSE)</f>
        <v>MYUHC</v>
      </c>
      <c r="AE2381" s="380" t="str">
        <f>VLOOKUP($B2381,'D7 - NDB Impacted SPRF''s'!$E$16:$O$9929,7,FALSE)</f>
        <v>Carl Bilter</v>
      </c>
      <c r="AF2381" s="380" t="str">
        <f>VLOOKUP($B2381,'D7 - NDB Impacted SPRF''s'!$E$16:$O$9929,6,FALSE)</f>
        <v>Jonathan Schmidt</v>
      </c>
      <c r="AG2381" s="282"/>
      <c r="AH2381" s="311" t="e">
        <f>INDEX('D5 - Gatekeeper - Projects'!$A$4:$AF$1010,$AM2381, 17)</f>
        <v>#N/A</v>
      </c>
      <c r="AI2381" s="8"/>
      <c r="AJ2381" s="57"/>
      <c r="AK2381" s="105"/>
      <c r="AM2381" s="6" t="e">
        <f>MATCH(D2381,'D5 - Gatekeeper - Projects'!$C$4:$C$1010,0)</f>
        <v>#N/A</v>
      </c>
      <c r="AN2381" s="6" t="b">
        <f t="shared" si="255"/>
        <v>1</v>
      </c>
      <c r="AO2381" s="6" t="str">
        <f t="shared" si="256"/>
        <v>OK</v>
      </c>
      <c r="AQ2381" s="6" t="e">
        <f>MATCH($D2381,'D4 - Provider Council Unsched'!$C$11:$C$234,0)</f>
        <v>#N/A</v>
      </c>
      <c r="AR2381" s="6" t="b">
        <f t="shared" si="257"/>
        <v>1</v>
      </c>
      <c r="AS2381" s="6" t="str">
        <f t="shared" si="254"/>
        <v>OK</v>
      </c>
      <c r="AU2381" s="202"/>
      <c r="AV2381" s="262"/>
      <c r="AW2381" s="274"/>
    </row>
    <row r="2382" spans="1:49" s="13" customFormat="1" ht="33.75" x14ac:dyDescent="0.2">
      <c r="A2382" s="14">
        <v>2358</v>
      </c>
      <c r="B2382" s="14">
        <v>400000371</v>
      </c>
      <c r="C2382" s="8" t="s">
        <v>5197</v>
      </c>
      <c r="D2382" s="4" t="str">
        <f t="shared" si="252"/>
        <v>400000371R1</v>
      </c>
      <c r="E2382" s="309" t="str">
        <f>VLOOKUP($B2382,'D7 - NDB Impacted SPRF''s'!$E$6:$O$9929,2,FALSE)</f>
        <v>Modify static text on Notifications</v>
      </c>
      <c r="F2382" s="8"/>
      <c r="G2382" s="8" t="s">
        <v>4758</v>
      </c>
      <c r="H2382" s="8" t="s">
        <v>2870</v>
      </c>
      <c r="I2382" s="20"/>
      <c r="J2382" s="8"/>
      <c r="K2382" s="182"/>
      <c r="L2382" s="8" t="s">
        <v>6164</v>
      </c>
      <c r="M2382" s="8" t="s">
        <v>2814</v>
      </c>
      <c r="N2382" s="367"/>
      <c r="O2382" s="8"/>
      <c r="P2382" s="4" t="str">
        <f>VLOOKUP($B2382,'D7 - NDB Impacted SPRF''s'!$E$16:$O$9929,9,FALSE)</f>
        <v>N</v>
      </c>
      <c r="Q2382" s="4" t="str">
        <f>VLOOKUP($B2382,'D7 - NDB Impacted SPRF''s'!$E$16:$O$9929,10,FALSE)</f>
        <v>N</v>
      </c>
      <c r="R2382" s="4" t="str">
        <f>VLOOKUP($B2382,'D7 - NDB Impacted SPRF''s'!$E$16:$O$9929,11,FALSE)</f>
        <v>N</v>
      </c>
      <c r="S2382" s="8"/>
      <c r="T2382" s="310"/>
      <c r="U2382" s="310"/>
      <c r="V2382" s="4"/>
      <c r="W2382" s="4"/>
      <c r="X2382" s="4"/>
      <c r="Y2382" s="4"/>
      <c r="Z2382" s="4"/>
      <c r="AA2382" s="4"/>
      <c r="AB2382" s="380" t="str">
        <f>VLOOKUP($B2382,'D7 - NDB Impacted SPRF''s'!$E$16:$O$9929,4,FALSE)</f>
        <v>Cancelled</v>
      </c>
      <c r="AC2382" s="380" t="str">
        <f>VLOOKUP($B2382,'D7 - NDB Impacted SPRF''s'!$E$16:$O$9929,3,FALSE)</f>
        <v>UnitedHealthcare Employer &amp; Individual</v>
      </c>
      <c r="AD2382" s="380" t="str">
        <f>VLOOKUP($B2382,'D7 - NDB Impacted SPRF''s'!$E$16:$O$9929,5,FALSE)</f>
        <v>United Health Networks</v>
      </c>
      <c r="AE2382" s="380" t="str">
        <f>VLOOKUP($B2382,'D7 - NDB Impacted SPRF''s'!$E$16:$O$9929,7,FALSE)</f>
        <v>Tom Rekart</v>
      </c>
      <c r="AF2382" s="380" t="str">
        <f>VLOOKUP($B2382,'D7 - NDB Impacted SPRF''s'!$E$16:$O$9929,6,FALSE)</f>
        <v>Tracy Hall</v>
      </c>
      <c r="AG2382" s="282"/>
      <c r="AH2382" s="311" t="e">
        <f>INDEX('D5 - Gatekeeper - Projects'!$A$4:$AF$1010,$AM2382, 17)</f>
        <v>#N/A</v>
      </c>
      <c r="AI2382" s="8"/>
      <c r="AJ2382" s="57"/>
      <c r="AK2382" s="105"/>
      <c r="AM2382" s="6" t="e">
        <f>MATCH(D2382,'D5 - Gatekeeper - Projects'!$C$4:$C$1010,0)</f>
        <v>#N/A</v>
      </c>
      <c r="AN2382" s="6" t="b">
        <f t="shared" si="255"/>
        <v>1</v>
      </c>
      <c r="AO2382" s="6" t="str">
        <f t="shared" si="256"/>
        <v>OK</v>
      </c>
      <c r="AQ2382" s="6" t="e">
        <f>MATCH($D2382,'D4 - Provider Council Unsched'!$C$11:$C$234,0)</f>
        <v>#N/A</v>
      </c>
      <c r="AR2382" s="6" t="b">
        <f t="shared" si="257"/>
        <v>1</v>
      </c>
      <c r="AS2382" s="6" t="str">
        <f t="shared" si="254"/>
        <v>OK</v>
      </c>
      <c r="AU2382" s="202"/>
      <c r="AV2382" s="262"/>
      <c r="AW2382" s="274"/>
    </row>
    <row r="2383" spans="1:49" s="13" customFormat="1" ht="22.5" x14ac:dyDescent="0.2">
      <c r="A2383" s="14">
        <v>2359</v>
      </c>
      <c r="B2383" s="14">
        <v>400000406</v>
      </c>
      <c r="C2383" s="8" t="s">
        <v>5197</v>
      </c>
      <c r="D2383" s="4" t="str">
        <f t="shared" si="252"/>
        <v>400000406R1</v>
      </c>
      <c r="E2383" s="309" t="str">
        <f>VLOOKUP($B2383,'D7 - NDB Impacted SPRF''s'!$E$6:$O$9929,2,FALSE)</f>
        <v>Data feed for Provider Search redesign</v>
      </c>
      <c r="F2383" s="8" t="s">
        <v>5536</v>
      </c>
      <c r="G2383" s="8" t="s">
        <v>4758</v>
      </c>
      <c r="H2383" s="8" t="s">
        <v>2870</v>
      </c>
      <c r="I2383" s="20"/>
      <c r="J2383" s="8"/>
      <c r="K2383" s="182"/>
      <c r="L2383" s="8" t="s">
        <v>6164</v>
      </c>
      <c r="M2383" s="8" t="s">
        <v>2814</v>
      </c>
      <c r="N2383" s="367"/>
      <c r="O2383" s="8"/>
      <c r="P2383" s="4" t="str">
        <f>VLOOKUP($B2383,'D7 - NDB Impacted SPRF''s'!$E$16:$O$9929,9,FALSE)</f>
        <v>N</v>
      </c>
      <c r="Q2383" s="4" t="str">
        <f>VLOOKUP($B2383,'D7 - NDB Impacted SPRF''s'!$E$16:$O$9929,10,FALSE)</f>
        <v>N</v>
      </c>
      <c r="R2383" s="4" t="str">
        <f>VLOOKUP($B2383,'D7 - NDB Impacted SPRF''s'!$E$16:$O$9929,11,FALSE)</f>
        <v>N</v>
      </c>
      <c r="S2383" s="8"/>
      <c r="T2383" s="310"/>
      <c r="U2383" s="310"/>
      <c r="V2383" s="4"/>
      <c r="W2383" s="4"/>
      <c r="X2383" s="4"/>
      <c r="Y2383" s="4"/>
      <c r="Z2383" s="4"/>
      <c r="AA2383" s="4"/>
      <c r="AB2383" s="380" t="str">
        <f>VLOOKUP($B2383,'D7 - NDB Impacted SPRF''s'!$E$16:$O$9929,4,FALSE)</f>
        <v>Cancelled</v>
      </c>
      <c r="AC2383" s="380" t="str">
        <f>VLOOKUP($B2383,'D7 - NDB Impacted SPRF''s'!$E$16:$O$9929,3,FALSE)</f>
        <v>Uniprise</v>
      </c>
      <c r="AD2383" s="380" t="str">
        <f>VLOOKUP($B2383,'D7 - NDB Impacted SPRF''s'!$E$16:$O$9929,5,FALSE)</f>
        <v>MYUHC</v>
      </c>
      <c r="AE2383" s="380" t="str">
        <f>VLOOKUP($B2383,'D7 - NDB Impacted SPRF''s'!$E$16:$O$9929,7,FALSE)</f>
        <v>Carl Bilter</v>
      </c>
      <c r="AF2383" s="380" t="str">
        <f>VLOOKUP($B2383,'D7 - NDB Impacted SPRF''s'!$E$16:$O$9929,6,FALSE)</f>
        <v>Jonathan Schmidt</v>
      </c>
      <c r="AG2383" s="282"/>
      <c r="AH2383" s="311" t="e">
        <f>INDEX('D5 - Gatekeeper - Projects'!$A$4:$AF$1010,$AM2383, 17)</f>
        <v>#N/A</v>
      </c>
      <c r="AI2383" s="8"/>
      <c r="AJ2383" s="57"/>
      <c r="AK2383" s="105"/>
      <c r="AM2383" s="6" t="e">
        <f>MATCH(D2383,'D5 - Gatekeeper - Projects'!$C$4:$C$1010,0)</f>
        <v>#N/A</v>
      </c>
      <c r="AN2383" s="6" t="b">
        <f t="shared" si="255"/>
        <v>1</v>
      </c>
      <c r="AO2383" s="6" t="str">
        <f t="shared" si="256"/>
        <v>OK</v>
      </c>
      <c r="AQ2383" s="6" t="e">
        <f>MATCH($D2383,'D4 - Provider Council Unsched'!$C$11:$C$234,0)</f>
        <v>#N/A</v>
      </c>
      <c r="AR2383" s="6" t="b">
        <f t="shared" si="257"/>
        <v>1</v>
      </c>
      <c r="AS2383" s="6" t="str">
        <f t="shared" si="254"/>
        <v>OK</v>
      </c>
      <c r="AU2383" s="202"/>
      <c r="AV2383" s="262"/>
      <c r="AW2383" s="274"/>
    </row>
    <row r="2384" spans="1:49" s="13" customFormat="1" ht="22.5" x14ac:dyDescent="0.2">
      <c r="A2384" s="14">
        <v>2360</v>
      </c>
      <c r="B2384" s="14">
        <v>400000407</v>
      </c>
      <c r="C2384" s="8" t="s">
        <v>5197</v>
      </c>
      <c r="D2384" s="4" t="str">
        <f t="shared" si="252"/>
        <v>400000407R1</v>
      </c>
      <c r="E2384" s="309" t="str">
        <f>VLOOKUP($B2384,'D7 - NDB Impacted SPRF''s'!$E$6:$O$9929,2,FALSE)</f>
        <v>Redesign Provider Search for myuhc.com</v>
      </c>
      <c r="F2384" s="8" t="s">
        <v>5536</v>
      </c>
      <c r="G2384" s="8" t="s">
        <v>4758</v>
      </c>
      <c r="H2384" s="8" t="s">
        <v>2870</v>
      </c>
      <c r="I2384" s="20"/>
      <c r="J2384" s="8"/>
      <c r="K2384" s="182"/>
      <c r="L2384" s="8" t="s">
        <v>6164</v>
      </c>
      <c r="M2384" s="8" t="s">
        <v>2814</v>
      </c>
      <c r="N2384" s="367"/>
      <c r="O2384" s="8"/>
      <c r="P2384" s="4" t="str">
        <f>VLOOKUP($B2384,'D7 - NDB Impacted SPRF''s'!$E$16:$O$9929,9,FALSE)</f>
        <v>N</v>
      </c>
      <c r="Q2384" s="4" t="str">
        <f>VLOOKUP($B2384,'D7 - NDB Impacted SPRF''s'!$E$16:$O$9929,10,FALSE)</f>
        <v>N</v>
      </c>
      <c r="R2384" s="4" t="str">
        <f>VLOOKUP($B2384,'D7 - NDB Impacted SPRF''s'!$E$16:$O$9929,11,FALSE)</f>
        <v>N</v>
      </c>
      <c r="S2384" s="8"/>
      <c r="T2384" s="310"/>
      <c r="U2384" s="310"/>
      <c r="V2384" s="4"/>
      <c r="W2384" s="4"/>
      <c r="X2384" s="4"/>
      <c r="Y2384" s="4"/>
      <c r="Z2384" s="4"/>
      <c r="AA2384" s="4"/>
      <c r="AB2384" s="380" t="str">
        <f>VLOOKUP($B2384,'D7 - NDB Impacted SPRF''s'!$E$16:$O$9929,4,FALSE)</f>
        <v>Cancelled</v>
      </c>
      <c r="AC2384" s="380" t="str">
        <f>VLOOKUP($B2384,'D7 - NDB Impacted SPRF''s'!$E$16:$O$9929,3,FALSE)</f>
        <v>Uniprise</v>
      </c>
      <c r="AD2384" s="380" t="str">
        <f>VLOOKUP($B2384,'D7 - NDB Impacted SPRF''s'!$E$16:$O$9929,5,FALSE)</f>
        <v>MYUHC</v>
      </c>
      <c r="AE2384" s="380" t="str">
        <f>VLOOKUP($B2384,'D7 - NDB Impacted SPRF''s'!$E$16:$O$9929,7,FALSE)</f>
        <v>Carl Bilter</v>
      </c>
      <c r="AF2384" s="380" t="str">
        <f>VLOOKUP($B2384,'D7 - NDB Impacted SPRF''s'!$E$16:$O$9929,6,FALSE)</f>
        <v>Jonathan Schmidt</v>
      </c>
      <c r="AG2384" s="282"/>
      <c r="AH2384" s="311" t="e">
        <f>INDEX('D5 - Gatekeeper - Projects'!$A$4:$AF$1010,$AM2384, 17)</f>
        <v>#N/A</v>
      </c>
      <c r="AI2384" s="8"/>
      <c r="AJ2384" s="57"/>
      <c r="AK2384" s="105"/>
      <c r="AM2384" s="6" t="e">
        <f>MATCH(D2384,'D5 - Gatekeeper - Projects'!$C$4:$C$1010,0)</f>
        <v>#N/A</v>
      </c>
      <c r="AN2384" s="6" t="b">
        <f t="shared" si="255"/>
        <v>1</v>
      </c>
      <c r="AO2384" s="6" t="str">
        <f t="shared" si="256"/>
        <v>OK</v>
      </c>
      <c r="AQ2384" s="6" t="e">
        <f>MATCH($D2384,'D4 - Provider Council Unsched'!$C$11:$C$234,0)</f>
        <v>#N/A</v>
      </c>
      <c r="AR2384" s="6" t="b">
        <f t="shared" si="257"/>
        <v>1</v>
      </c>
      <c r="AS2384" s="6" t="str">
        <f t="shared" si="254"/>
        <v>OK</v>
      </c>
      <c r="AU2384" s="202"/>
      <c r="AV2384" s="262"/>
      <c r="AW2384" s="274"/>
    </row>
    <row r="2385" spans="1:49" s="13" customFormat="1" ht="33.75" x14ac:dyDescent="0.2">
      <c r="A2385" s="14">
        <v>2361</v>
      </c>
      <c r="B2385" s="14">
        <v>400000515</v>
      </c>
      <c r="C2385" s="8" t="s">
        <v>5197</v>
      </c>
      <c r="D2385" s="4" t="str">
        <f t="shared" si="252"/>
        <v>400000515R1</v>
      </c>
      <c r="E2385" s="309" t="str">
        <f>VLOOKUP($B2385,'D7 - NDB Impacted SPRF''s'!$E$6:$O$9929,2,FALSE)</f>
        <v>Non Par Access Phase II - UHCOL B2C</v>
      </c>
      <c r="F2385" s="8" t="s">
        <v>5536</v>
      </c>
      <c r="G2385" s="8" t="s">
        <v>4758</v>
      </c>
      <c r="H2385" s="8" t="s">
        <v>2870</v>
      </c>
      <c r="I2385" s="20"/>
      <c r="J2385" s="8"/>
      <c r="K2385" s="182"/>
      <c r="L2385" s="8" t="s">
        <v>6164</v>
      </c>
      <c r="M2385" s="8" t="s">
        <v>2814</v>
      </c>
      <c r="N2385" s="367"/>
      <c r="O2385" s="8"/>
      <c r="P2385" s="4" t="str">
        <f>VLOOKUP($B2385,'D7 - NDB Impacted SPRF''s'!$E$16:$O$9929,9,FALSE)</f>
        <v>N</v>
      </c>
      <c r="Q2385" s="4" t="str">
        <f>VLOOKUP($B2385,'D7 - NDB Impacted SPRF''s'!$E$16:$O$9929,10,FALSE)</f>
        <v>N</v>
      </c>
      <c r="R2385" s="4" t="str">
        <f>VLOOKUP($B2385,'D7 - NDB Impacted SPRF''s'!$E$16:$O$9929,11,FALSE)</f>
        <v>N</v>
      </c>
      <c r="S2385" s="8"/>
      <c r="T2385" s="310"/>
      <c r="U2385" s="310"/>
      <c r="V2385" s="4"/>
      <c r="W2385" s="4"/>
      <c r="X2385" s="4"/>
      <c r="Y2385" s="4"/>
      <c r="Z2385" s="4"/>
      <c r="AA2385" s="4"/>
      <c r="AB2385" s="380" t="str">
        <f>VLOOKUP($B2385,'D7 - NDB Impacted SPRF''s'!$E$16:$O$9929,4,FALSE)</f>
        <v>Cancelled</v>
      </c>
      <c r="AC2385" s="380" t="str">
        <f>VLOOKUP($B2385,'D7 - NDB Impacted SPRF''s'!$E$16:$O$9929,3,FALSE)</f>
        <v>UnitedHealthcare Employer &amp; Individual</v>
      </c>
      <c r="AD2385" s="380" t="str">
        <f>VLOOKUP($B2385,'D7 - NDB Impacted SPRF''s'!$E$16:$O$9929,5,FALSE)</f>
        <v>United Health Networks</v>
      </c>
      <c r="AE2385" s="380" t="str">
        <f>VLOOKUP($B2385,'D7 - NDB Impacted SPRF''s'!$E$16:$O$9929,7,FALSE)</f>
        <v>Tom Rekart</v>
      </c>
      <c r="AF2385" s="380" t="str">
        <f>VLOOKUP($B2385,'D7 - NDB Impacted SPRF''s'!$E$16:$O$9929,6,FALSE)</f>
        <v>Daniel Peters</v>
      </c>
      <c r="AG2385" s="282"/>
      <c r="AH2385" s="311" t="e">
        <f>INDEX('D5 - Gatekeeper - Projects'!$A$4:$AF$1010,$AM2385, 17)</f>
        <v>#N/A</v>
      </c>
      <c r="AI2385" s="8"/>
      <c r="AJ2385" s="57"/>
      <c r="AK2385" s="105"/>
      <c r="AM2385" s="6" t="e">
        <f>MATCH(D2385,'D5 - Gatekeeper - Projects'!$C$4:$C$1010,0)</f>
        <v>#N/A</v>
      </c>
      <c r="AN2385" s="6" t="b">
        <f t="shared" si="255"/>
        <v>1</v>
      </c>
      <c r="AO2385" s="6" t="str">
        <f t="shared" si="256"/>
        <v>OK</v>
      </c>
      <c r="AQ2385" s="6" t="e">
        <f>MATCH($D2385,'D4 - Provider Council Unsched'!$C$11:$C$234,0)</f>
        <v>#N/A</v>
      </c>
      <c r="AR2385" s="6" t="b">
        <f t="shared" si="257"/>
        <v>1</v>
      </c>
      <c r="AS2385" s="6" t="str">
        <f t="shared" si="254"/>
        <v>OK</v>
      </c>
      <c r="AU2385" s="202"/>
      <c r="AV2385" s="262"/>
      <c r="AW2385" s="274"/>
    </row>
    <row r="2386" spans="1:49" s="13" customFormat="1" ht="33.75" x14ac:dyDescent="0.2">
      <c r="A2386" s="14">
        <v>2362</v>
      </c>
      <c r="B2386" s="14">
        <v>400000520</v>
      </c>
      <c r="C2386" s="8" t="s">
        <v>5197</v>
      </c>
      <c r="D2386" s="4" t="str">
        <f t="shared" si="252"/>
        <v>400000520R1</v>
      </c>
      <c r="E2386" s="309" t="str">
        <f>VLOOKUP($B2386,'D7 - NDB Impacted SPRF''s'!$E$6:$O$9929,2,FALSE)</f>
        <v>myuhc.com for SRS</v>
      </c>
      <c r="F2386" s="8" t="s">
        <v>5536</v>
      </c>
      <c r="G2386" s="8" t="s">
        <v>4758</v>
      </c>
      <c r="H2386" s="8" t="s">
        <v>2870</v>
      </c>
      <c r="I2386" s="20"/>
      <c r="J2386" s="8"/>
      <c r="K2386" s="182"/>
      <c r="L2386" s="8" t="s">
        <v>6164</v>
      </c>
      <c r="M2386" s="8" t="s">
        <v>2814</v>
      </c>
      <c r="N2386" s="367"/>
      <c r="O2386" s="8"/>
      <c r="P2386" s="4" t="str">
        <f>VLOOKUP($B2386,'D7 - NDB Impacted SPRF''s'!$E$16:$O$9929,9,FALSE)</f>
        <v>N</v>
      </c>
      <c r="Q2386" s="4" t="str">
        <f>VLOOKUP($B2386,'D7 - NDB Impacted SPRF''s'!$E$16:$O$9929,10,FALSE)</f>
        <v>N</v>
      </c>
      <c r="R2386" s="4" t="str">
        <f>VLOOKUP($B2386,'D7 - NDB Impacted SPRF''s'!$E$16:$O$9929,11,FALSE)</f>
        <v>N</v>
      </c>
      <c r="S2386" s="8"/>
      <c r="T2386" s="310"/>
      <c r="U2386" s="310"/>
      <c r="V2386" s="4"/>
      <c r="W2386" s="4"/>
      <c r="X2386" s="4"/>
      <c r="Y2386" s="4"/>
      <c r="Z2386" s="4"/>
      <c r="AA2386" s="4"/>
      <c r="AB2386" s="380" t="str">
        <f>VLOOKUP($B2386,'D7 - NDB Impacted SPRF''s'!$E$16:$O$9929,4,FALSE)</f>
        <v>Cancelled</v>
      </c>
      <c r="AC2386" s="380" t="str">
        <f>VLOOKUP($B2386,'D7 - NDB Impacted SPRF''s'!$E$16:$O$9929,3,FALSE)</f>
        <v>UnitedHealthcare Medicare &amp; Retirement</v>
      </c>
      <c r="AD2386" s="380" t="str">
        <f>VLOOKUP($B2386,'D7 - NDB Impacted SPRF''s'!$E$16:$O$9929,5,FALSE)</f>
        <v xml:space="preserve">xxOvations </v>
      </c>
      <c r="AE2386" s="380" t="str">
        <f>VLOOKUP($B2386,'D7 - NDB Impacted SPRF''s'!$E$16:$O$9929,7,FALSE)</f>
        <v>Lisa Graikowski</v>
      </c>
      <c r="AF2386" s="380" t="str">
        <f>VLOOKUP($B2386,'D7 - NDB Impacted SPRF''s'!$E$16:$O$9929,6,FALSE)</f>
        <v>Brian Davis</v>
      </c>
      <c r="AG2386" s="282"/>
      <c r="AH2386" s="311" t="e">
        <f>INDEX('D5 - Gatekeeper - Projects'!$A$4:$AF$1010,$AM2386, 17)</f>
        <v>#N/A</v>
      </c>
      <c r="AI2386" s="8"/>
      <c r="AJ2386" s="57"/>
      <c r="AK2386" s="105"/>
      <c r="AM2386" s="6" t="e">
        <f>MATCH(D2386,'D5 - Gatekeeper - Projects'!$C$4:$C$1010,0)</f>
        <v>#N/A</v>
      </c>
      <c r="AN2386" s="6" t="b">
        <f t="shared" si="255"/>
        <v>1</v>
      </c>
      <c r="AO2386" s="6" t="str">
        <f t="shared" si="256"/>
        <v>OK</v>
      </c>
      <c r="AQ2386" s="6" t="e">
        <f>MATCH($D2386,'D4 - Provider Council Unsched'!$C$11:$C$234,0)</f>
        <v>#N/A</v>
      </c>
      <c r="AR2386" s="6" t="b">
        <f t="shared" si="257"/>
        <v>1</v>
      </c>
      <c r="AS2386" s="6" t="str">
        <f t="shared" si="254"/>
        <v>OK</v>
      </c>
      <c r="AU2386" s="202"/>
      <c r="AV2386" s="262"/>
      <c r="AW2386" s="274"/>
    </row>
    <row r="2387" spans="1:49" s="13" customFormat="1" ht="22.5" x14ac:dyDescent="0.2">
      <c r="A2387" s="14">
        <v>2363</v>
      </c>
      <c r="B2387" s="14">
        <v>400000528</v>
      </c>
      <c r="C2387" s="8" t="s">
        <v>5197</v>
      </c>
      <c r="D2387" s="4" t="str">
        <f t="shared" si="252"/>
        <v>400000528R1</v>
      </c>
      <c r="E2387" s="309" t="str">
        <f>VLOOKUP($B2387,'D7 - NDB Impacted SPRF''s'!$E$6:$O$9929,2,FALSE)</f>
        <v>Redirect epd internet feed to geoaccess</v>
      </c>
      <c r="F2387" s="8" t="s">
        <v>5054</v>
      </c>
      <c r="G2387" s="8" t="s">
        <v>4758</v>
      </c>
      <c r="H2387" s="8" t="s">
        <v>2870</v>
      </c>
      <c r="I2387" s="20"/>
      <c r="J2387" s="8"/>
      <c r="K2387" s="182"/>
      <c r="L2387" s="8" t="s">
        <v>6164</v>
      </c>
      <c r="M2387" s="8" t="s">
        <v>2814</v>
      </c>
      <c r="N2387" s="367"/>
      <c r="O2387" s="8"/>
      <c r="P2387" s="4" t="str">
        <f>VLOOKUP($B2387,'D7 - NDB Impacted SPRF''s'!$E$16:$O$9929,9,FALSE)</f>
        <v>N</v>
      </c>
      <c r="Q2387" s="4" t="str">
        <f>VLOOKUP($B2387,'D7 - NDB Impacted SPRF''s'!$E$16:$O$9929,10,FALSE)</f>
        <v>N</v>
      </c>
      <c r="R2387" s="4" t="str">
        <f>VLOOKUP($B2387,'D7 - NDB Impacted SPRF''s'!$E$16:$O$9929,11,FALSE)</f>
        <v>N</v>
      </c>
      <c r="S2387" s="8"/>
      <c r="T2387" s="310"/>
      <c r="U2387" s="310"/>
      <c r="V2387" s="4"/>
      <c r="W2387" s="4"/>
      <c r="X2387" s="4"/>
      <c r="Y2387" s="4"/>
      <c r="Z2387" s="4"/>
      <c r="AA2387" s="4"/>
      <c r="AB2387" s="380" t="str">
        <f>VLOOKUP($B2387,'D7 - NDB Impacted SPRF''s'!$E$16:$O$9929,4,FALSE)</f>
        <v>Cancelled</v>
      </c>
      <c r="AC2387" s="380" t="str">
        <f>VLOOKUP($B2387,'D7 - NDB Impacted SPRF''s'!$E$16:$O$9929,3,FALSE)</f>
        <v>Uniprise</v>
      </c>
      <c r="AD2387" s="380" t="str">
        <f>VLOOKUP($B2387,'D7 - NDB Impacted SPRF''s'!$E$16:$O$9929,5,FALSE)</f>
        <v>MYUHC</v>
      </c>
      <c r="AE2387" s="380" t="str">
        <f>VLOOKUP($B2387,'D7 - NDB Impacted SPRF''s'!$E$16:$O$9929,7,FALSE)</f>
        <v>Jon Schmidt</v>
      </c>
      <c r="AF2387" s="380" t="str">
        <f>VLOOKUP($B2387,'D7 - NDB Impacted SPRF''s'!$E$16:$O$9929,6,FALSE)</f>
        <v>Jonathan Schmidt</v>
      </c>
      <c r="AG2387" s="282"/>
      <c r="AH2387" s="311" t="e">
        <f>INDEX('D5 - Gatekeeper - Projects'!$A$4:$AF$1010,$AM2387, 17)</f>
        <v>#N/A</v>
      </c>
      <c r="AI2387" s="8"/>
      <c r="AJ2387" s="57"/>
      <c r="AK2387" s="105"/>
      <c r="AM2387" s="6" t="e">
        <f>MATCH(D2387,'D5 - Gatekeeper - Projects'!$C$4:$C$1010,0)</f>
        <v>#N/A</v>
      </c>
      <c r="AN2387" s="6" t="b">
        <f t="shared" si="255"/>
        <v>1</v>
      </c>
      <c r="AO2387" s="6" t="str">
        <f t="shared" si="256"/>
        <v>OK</v>
      </c>
      <c r="AQ2387" s="6" t="e">
        <f>MATCH($D2387,'D4 - Provider Council Unsched'!$C$11:$C$234,0)</f>
        <v>#N/A</v>
      </c>
      <c r="AR2387" s="6" t="b">
        <f t="shared" si="257"/>
        <v>1</v>
      </c>
      <c r="AS2387" s="6" t="str">
        <f t="shared" si="254"/>
        <v>OK</v>
      </c>
      <c r="AU2387" s="202"/>
      <c r="AV2387" s="262"/>
      <c r="AW2387" s="274"/>
    </row>
    <row r="2388" spans="1:49" s="13" customFormat="1" ht="33.75" x14ac:dyDescent="0.2">
      <c r="A2388" s="14">
        <v>2364</v>
      </c>
      <c r="B2388" s="14">
        <v>400000579</v>
      </c>
      <c r="C2388" s="8" t="s">
        <v>5197</v>
      </c>
      <c r="D2388" s="4" t="str">
        <f t="shared" si="252"/>
        <v>400000579R1</v>
      </c>
      <c r="E2388" s="309" t="str">
        <f>VLOOKUP($B2388,'D7 - NDB Impacted SPRF''s'!$E$6:$O$9929,2,FALSE)</f>
        <v>Regional Contracting for Ancillary Services</v>
      </c>
      <c r="F2388" s="8" t="s">
        <v>6633</v>
      </c>
      <c r="G2388" s="8" t="s">
        <v>4758</v>
      </c>
      <c r="H2388" s="8" t="s">
        <v>2870</v>
      </c>
      <c r="I2388" s="20">
        <v>1.5</v>
      </c>
      <c r="J2388" s="8" t="s">
        <v>4862</v>
      </c>
      <c r="K2388" s="182"/>
      <c r="L2388" s="8" t="s">
        <v>5743</v>
      </c>
      <c r="M2388" s="8" t="s">
        <v>2814</v>
      </c>
      <c r="N2388" s="38" t="s">
        <v>5190</v>
      </c>
      <c r="O2388" s="8"/>
      <c r="P2388" s="4" t="str">
        <f>VLOOKUP($B2388,'D7 - NDB Impacted SPRF''s'!$E$16:$O$9929,9,FALSE)</f>
        <v>Y</v>
      </c>
      <c r="Q2388" s="4" t="str">
        <f>VLOOKUP($B2388,'D7 - NDB Impacted SPRF''s'!$E$16:$O$9929,10,FALSE)</f>
        <v>N</v>
      </c>
      <c r="R2388" s="4" t="str">
        <f>VLOOKUP($B2388,'D7 - NDB Impacted SPRF''s'!$E$16:$O$9929,11,FALSE)</f>
        <v>N</v>
      </c>
      <c r="S2388" s="8"/>
      <c r="T2388" s="310"/>
      <c r="U2388" s="310"/>
      <c r="V2388" s="4"/>
      <c r="W2388" s="4"/>
      <c r="X2388" s="4"/>
      <c r="Y2388" s="4"/>
      <c r="Z2388" s="4"/>
      <c r="AA2388" s="4"/>
      <c r="AB2388" s="380" t="str">
        <f>VLOOKUP($B2388,'D7 - NDB Impacted SPRF''s'!$E$16:$O$9929,4,FALSE)</f>
        <v>Cancelled</v>
      </c>
      <c r="AC2388" s="380" t="str">
        <f>VLOOKUP($B2388,'D7 - NDB Impacted SPRF''s'!$E$16:$O$9929,3,FALSE)</f>
        <v>UnitedHealthcare Employer &amp; Individual</v>
      </c>
      <c r="AD2388" s="380" t="str">
        <f>VLOOKUP($B2388,'D7 - NDB Impacted SPRF''s'!$E$16:$O$9929,5,FALSE)</f>
        <v>Operations Group</v>
      </c>
      <c r="AE2388" s="380" t="str">
        <f>VLOOKUP($B2388,'D7 - NDB Impacted SPRF''s'!$E$16:$O$9929,7,FALSE)</f>
        <v>James Bogdan/Dan Sherred</v>
      </c>
      <c r="AF2388" s="380" t="str">
        <f>VLOOKUP($B2388,'D7 - NDB Impacted SPRF''s'!$E$16:$O$9929,6,FALSE)</f>
        <v>Nancy Turner</v>
      </c>
      <c r="AG2388" s="282"/>
      <c r="AH2388" s="311" t="e">
        <f>INDEX('D5 - Gatekeeper - Projects'!$A$4:$AF$1010,$AM2388, 17)</f>
        <v>#N/A</v>
      </c>
      <c r="AI2388" s="8"/>
      <c r="AJ2388" s="57"/>
      <c r="AK2388" s="105"/>
      <c r="AM2388" s="6" t="e">
        <f>MATCH(D2388,'D5 - Gatekeeper - Projects'!$C$4:$C$1010,0)</f>
        <v>#N/A</v>
      </c>
      <c r="AN2388" s="6" t="b">
        <f t="shared" si="255"/>
        <v>1</v>
      </c>
      <c r="AO2388" s="6" t="str">
        <f t="shared" si="256"/>
        <v>OK</v>
      </c>
      <c r="AQ2388" s="6" t="e">
        <f>MATCH($D2388,'D4 - Provider Council Unsched'!$C$11:$C$234,0)</f>
        <v>#N/A</v>
      </c>
      <c r="AR2388" s="6" t="b">
        <f t="shared" si="257"/>
        <v>1</v>
      </c>
      <c r="AS2388" s="6" t="str">
        <f t="shared" si="254"/>
        <v>OK</v>
      </c>
      <c r="AU2388" s="202"/>
      <c r="AV2388" s="262"/>
      <c r="AW2388" s="274"/>
    </row>
    <row r="2389" spans="1:49" s="13" customFormat="1" ht="33.75" x14ac:dyDescent="0.2">
      <c r="A2389" s="14">
        <v>2365</v>
      </c>
      <c r="B2389" s="14">
        <v>400000594</v>
      </c>
      <c r="C2389" s="8" t="s">
        <v>5197</v>
      </c>
      <c r="D2389" s="4" t="str">
        <f t="shared" si="252"/>
        <v>400000594R1</v>
      </c>
      <c r="E2389" s="309" t="str">
        <f>VLOOKUP($B2389,'D7 - NDB Impacted SPRF''s'!$E$6:$O$9929,2,FALSE)</f>
        <v>Feasibility Study for CES Return of PCP/RV Stop Dt</v>
      </c>
      <c r="F2389" s="8"/>
      <c r="G2389" s="8" t="s">
        <v>4758</v>
      </c>
      <c r="H2389" s="8" t="s">
        <v>2870</v>
      </c>
      <c r="I2389" s="20"/>
      <c r="J2389" s="8"/>
      <c r="K2389" s="182"/>
      <c r="L2389" s="8" t="s">
        <v>6164</v>
      </c>
      <c r="M2389" s="8" t="s">
        <v>2814</v>
      </c>
      <c r="N2389" s="367"/>
      <c r="O2389" s="8"/>
      <c r="P2389" s="4" t="str">
        <f>VLOOKUP($B2389,'D7 - NDB Impacted SPRF''s'!$E$16:$O$9929,9,FALSE)</f>
        <v>N</v>
      </c>
      <c r="Q2389" s="4" t="str">
        <f>VLOOKUP($B2389,'D7 - NDB Impacted SPRF''s'!$E$16:$O$9929,10,FALSE)</f>
        <v>N</v>
      </c>
      <c r="R2389" s="4" t="str">
        <f>VLOOKUP($B2389,'D7 - NDB Impacted SPRF''s'!$E$16:$O$9929,11,FALSE)</f>
        <v>N</v>
      </c>
      <c r="S2389" s="8"/>
      <c r="T2389" s="310"/>
      <c r="U2389" s="310"/>
      <c r="V2389" s="4"/>
      <c r="W2389" s="4"/>
      <c r="X2389" s="4"/>
      <c r="Y2389" s="4"/>
      <c r="Z2389" s="4"/>
      <c r="AA2389" s="4"/>
      <c r="AB2389" s="380" t="str">
        <f>VLOOKUP($B2389,'D7 - NDB Impacted SPRF''s'!$E$16:$O$9929,4,FALSE)</f>
        <v>Cancelled</v>
      </c>
      <c r="AC2389" s="380" t="str">
        <f>VLOOKUP($B2389,'D7 - NDB Impacted SPRF''s'!$E$16:$O$9929,3,FALSE)</f>
        <v>UnitedHealthcare Employer &amp; Individual</v>
      </c>
      <c r="AD2389" s="380" t="str">
        <f>VLOOKUP($B2389,'D7 - NDB Impacted SPRF''s'!$E$16:$O$9929,5,FALSE)</f>
        <v>Key Accounts</v>
      </c>
      <c r="AE2389" s="380" t="str">
        <f>VLOOKUP($B2389,'D7 - NDB Impacted SPRF''s'!$E$16:$O$9929,7,FALSE)</f>
        <v>Steve Auerbach</v>
      </c>
      <c r="AF2389" s="380" t="str">
        <f>VLOOKUP($B2389,'D7 - NDB Impacted SPRF''s'!$E$16:$O$9929,6,FALSE)</f>
        <v>Joan Koehler</v>
      </c>
      <c r="AG2389" s="282"/>
      <c r="AH2389" s="311" t="e">
        <f>INDEX('D5 - Gatekeeper - Projects'!$A$4:$AF$1010,$AM2389, 17)</f>
        <v>#N/A</v>
      </c>
      <c r="AI2389" s="8"/>
      <c r="AJ2389" s="57"/>
      <c r="AK2389" s="105"/>
      <c r="AM2389" s="6" t="e">
        <f>MATCH(D2389,'D5 - Gatekeeper - Projects'!$C$4:$C$1010,0)</f>
        <v>#N/A</v>
      </c>
      <c r="AN2389" s="6" t="b">
        <f t="shared" si="255"/>
        <v>1</v>
      </c>
      <c r="AO2389" s="6" t="str">
        <f t="shared" si="256"/>
        <v>OK</v>
      </c>
      <c r="AQ2389" s="6" t="e">
        <f>MATCH($D2389,'D4 - Provider Council Unsched'!$C$11:$C$234,0)</f>
        <v>#N/A</v>
      </c>
      <c r="AR2389" s="6" t="b">
        <f t="shared" si="257"/>
        <v>1</v>
      </c>
      <c r="AS2389" s="6" t="str">
        <f t="shared" si="254"/>
        <v>OK</v>
      </c>
      <c r="AU2389" s="202"/>
      <c r="AV2389" s="262"/>
      <c r="AW2389" s="274"/>
    </row>
    <row r="2390" spans="1:49" s="13" customFormat="1" ht="22.5" x14ac:dyDescent="0.2">
      <c r="A2390" s="14">
        <v>2366</v>
      </c>
      <c r="B2390" s="14">
        <v>400000635</v>
      </c>
      <c r="C2390" s="8" t="s">
        <v>5197</v>
      </c>
      <c r="D2390" s="4" t="str">
        <f t="shared" si="252"/>
        <v>400000635R1</v>
      </c>
      <c r="E2390" s="309" t="str">
        <f>VLOOKUP($B2390,'D7 - NDB Impacted SPRF''s'!$E$6:$O$9929,2,FALSE)</f>
        <v>In-Network status for claims</v>
      </c>
      <c r="F2390" s="8"/>
      <c r="G2390" s="8" t="s">
        <v>4758</v>
      </c>
      <c r="H2390" s="8" t="s">
        <v>2870</v>
      </c>
      <c r="I2390" s="20"/>
      <c r="J2390" s="8"/>
      <c r="K2390" s="182"/>
      <c r="L2390" s="8" t="s">
        <v>6164</v>
      </c>
      <c r="M2390" s="8" t="s">
        <v>2814</v>
      </c>
      <c r="N2390" s="367"/>
      <c r="O2390" s="8"/>
      <c r="P2390" s="4" t="str">
        <f>VLOOKUP($B2390,'D7 - NDB Impacted SPRF''s'!$E$16:$O$9929,9,FALSE)</f>
        <v>N</v>
      </c>
      <c r="Q2390" s="4" t="str">
        <f>VLOOKUP($B2390,'D7 - NDB Impacted SPRF''s'!$E$16:$O$9929,10,FALSE)</f>
        <v>N</v>
      </c>
      <c r="R2390" s="4" t="str">
        <f>VLOOKUP($B2390,'D7 - NDB Impacted SPRF''s'!$E$16:$O$9929,11,FALSE)</f>
        <v>N</v>
      </c>
      <c r="S2390" s="8"/>
      <c r="T2390" s="310"/>
      <c r="U2390" s="310"/>
      <c r="V2390" s="4"/>
      <c r="W2390" s="4"/>
      <c r="X2390" s="4"/>
      <c r="Y2390" s="4"/>
      <c r="Z2390" s="4"/>
      <c r="AA2390" s="4"/>
      <c r="AB2390" s="380" t="str">
        <f>VLOOKUP($B2390,'D7 - NDB Impacted SPRF''s'!$E$16:$O$9929,4,FALSE)</f>
        <v>Cancelled</v>
      </c>
      <c r="AC2390" s="380" t="str">
        <f>VLOOKUP($B2390,'D7 - NDB Impacted SPRF''s'!$E$16:$O$9929,3,FALSE)</f>
        <v>Uniprise</v>
      </c>
      <c r="AD2390" s="380" t="str">
        <f>VLOOKUP($B2390,'D7 - NDB Impacted SPRF''s'!$E$16:$O$9929,5,FALSE)</f>
        <v>MYUHC</v>
      </c>
      <c r="AE2390" s="380" t="str">
        <f>VLOOKUP($B2390,'D7 - NDB Impacted SPRF''s'!$E$16:$O$9929,7,FALSE)</f>
        <v>Carl Bilter</v>
      </c>
      <c r="AF2390" s="380" t="str">
        <f>VLOOKUP($B2390,'D7 - NDB Impacted SPRF''s'!$E$16:$O$9929,6,FALSE)</f>
        <v>Caryn Zange-Josephson</v>
      </c>
      <c r="AG2390" s="282"/>
      <c r="AH2390" s="311" t="e">
        <f>INDEX('D5 - Gatekeeper - Projects'!$A$4:$AF$1010,$AM2390, 17)</f>
        <v>#N/A</v>
      </c>
      <c r="AI2390" s="8"/>
      <c r="AJ2390" s="57"/>
      <c r="AK2390" s="105"/>
      <c r="AM2390" s="6" t="e">
        <f>MATCH(D2390,'D5 - Gatekeeper - Projects'!$C$4:$C$1010,0)</f>
        <v>#N/A</v>
      </c>
      <c r="AN2390" s="6" t="b">
        <f t="shared" si="255"/>
        <v>1</v>
      </c>
      <c r="AO2390" s="6" t="str">
        <f t="shared" si="256"/>
        <v>OK</v>
      </c>
      <c r="AQ2390" s="6" t="e">
        <f>MATCH($D2390,'D4 - Provider Council Unsched'!$C$11:$C$234,0)</f>
        <v>#N/A</v>
      </c>
      <c r="AR2390" s="6" t="b">
        <f t="shared" si="257"/>
        <v>1</v>
      </c>
      <c r="AS2390" s="6" t="str">
        <f t="shared" si="254"/>
        <v>OK</v>
      </c>
      <c r="AU2390" s="202"/>
      <c r="AV2390" s="262"/>
      <c r="AW2390" s="274"/>
    </row>
    <row r="2391" spans="1:49" s="13" customFormat="1" ht="33.75" x14ac:dyDescent="0.2">
      <c r="A2391" s="14">
        <v>2367</v>
      </c>
      <c r="B2391" s="14">
        <v>400000639</v>
      </c>
      <c r="C2391" s="8" t="s">
        <v>5197</v>
      </c>
      <c r="D2391" s="4" t="str">
        <f t="shared" si="252"/>
        <v>400000639R1</v>
      </c>
      <c r="E2391" s="309" t="str">
        <f>VLOOKUP($B2391,'D7 - NDB Impacted SPRF''s'!$E$6:$O$9929,2,FALSE)</f>
        <v>NDB / Diamond provider/credentialing interface dev</v>
      </c>
      <c r="F2391" s="8"/>
      <c r="G2391" s="8" t="s">
        <v>4758</v>
      </c>
      <c r="H2391" s="8" t="s">
        <v>2870</v>
      </c>
      <c r="I2391" s="20"/>
      <c r="J2391" s="8"/>
      <c r="K2391" s="182"/>
      <c r="L2391" s="8" t="s">
        <v>6164</v>
      </c>
      <c r="M2391" s="8" t="s">
        <v>2814</v>
      </c>
      <c r="N2391" s="367"/>
      <c r="O2391" s="8"/>
      <c r="P2391" s="4" t="str">
        <f>VLOOKUP($B2391,'D7 - NDB Impacted SPRF''s'!$E$16:$O$9929,9,FALSE)</f>
        <v>N</v>
      </c>
      <c r="Q2391" s="4" t="str">
        <f>VLOOKUP($B2391,'D7 - NDB Impacted SPRF''s'!$E$16:$O$9929,10,FALSE)</f>
        <v>N</v>
      </c>
      <c r="R2391" s="4" t="str">
        <f>VLOOKUP($B2391,'D7 - NDB Impacted SPRF''s'!$E$16:$O$9929,11,FALSE)</f>
        <v>N</v>
      </c>
      <c r="S2391" s="8"/>
      <c r="T2391" s="310"/>
      <c r="U2391" s="310"/>
      <c r="V2391" s="4"/>
      <c r="W2391" s="4"/>
      <c r="X2391" s="4"/>
      <c r="Y2391" s="4"/>
      <c r="Z2391" s="4"/>
      <c r="AA2391" s="4"/>
      <c r="AB2391" s="380" t="str">
        <f>VLOOKUP($B2391,'D7 - NDB Impacted SPRF''s'!$E$16:$O$9929,4,FALSE)</f>
        <v>Cancelled</v>
      </c>
      <c r="AC2391" s="380" t="str">
        <f>VLOOKUP($B2391,'D7 - NDB Impacted SPRF''s'!$E$16:$O$9929,3,FALSE)</f>
        <v>UnitedHealthcare Community &amp; State</v>
      </c>
      <c r="AD2391" s="380" t="str">
        <f>VLOOKUP($B2391,'D7 - NDB Impacted SPRF''s'!$E$16:$O$9929,5,FALSE)</f>
        <v>AmeriChoice</v>
      </c>
      <c r="AE2391" s="380" t="str">
        <f>VLOOKUP($B2391,'D7 - NDB Impacted SPRF''s'!$E$16:$O$9929,7,FALSE)</f>
        <v>Dave Decker</v>
      </c>
      <c r="AF2391" s="380" t="str">
        <f>VLOOKUP($B2391,'D7 - NDB Impacted SPRF''s'!$E$16:$O$9929,6,FALSE)</f>
        <v>Paula Bloodhart</v>
      </c>
      <c r="AG2391" s="282"/>
      <c r="AH2391" s="311" t="e">
        <f>INDEX('D5 - Gatekeeper - Projects'!$A$4:$AF$1010,$AM2391, 17)</f>
        <v>#N/A</v>
      </c>
      <c r="AI2391" s="8"/>
      <c r="AJ2391" s="57"/>
      <c r="AK2391" s="105"/>
      <c r="AM2391" s="6" t="e">
        <f>MATCH(D2391,'D5 - Gatekeeper - Projects'!$C$4:$C$1010,0)</f>
        <v>#N/A</v>
      </c>
      <c r="AN2391" s="6" t="b">
        <f t="shared" si="255"/>
        <v>1</v>
      </c>
      <c r="AO2391" s="6" t="str">
        <f t="shared" si="256"/>
        <v>OK</v>
      </c>
      <c r="AQ2391" s="6" t="e">
        <f>MATCH($D2391,'D4 - Provider Council Unsched'!$C$11:$C$234,0)</f>
        <v>#N/A</v>
      </c>
      <c r="AR2391" s="6" t="b">
        <f t="shared" si="257"/>
        <v>1</v>
      </c>
      <c r="AS2391" s="6" t="str">
        <f t="shared" si="254"/>
        <v>OK</v>
      </c>
      <c r="AU2391" s="202"/>
      <c r="AV2391" s="262"/>
      <c r="AW2391" s="274"/>
    </row>
    <row r="2392" spans="1:49" s="13" customFormat="1" ht="33.75" x14ac:dyDescent="0.2">
      <c r="A2392" s="14">
        <v>2368</v>
      </c>
      <c r="B2392" s="14">
        <v>400000770</v>
      </c>
      <c r="C2392" s="8" t="s">
        <v>5197</v>
      </c>
      <c r="D2392" s="4" t="str">
        <f t="shared" si="252"/>
        <v>400000770R1</v>
      </c>
      <c r="E2392" s="309" t="str">
        <f>VLOOKUP($B2392,'D7 - NDB Impacted SPRF''s'!$E$6:$O$9929,2,FALSE)</f>
        <v>Improper Non Par Provider Setup Reports</v>
      </c>
      <c r="F2392" s="8" t="s">
        <v>3235</v>
      </c>
      <c r="G2392" s="8" t="s">
        <v>4758</v>
      </c>
      <c r="H2392" s="8" t="s">
        <v>2870</v>
      </c>
      <c r="I2392" s="20"/>
      <c r="J2392" s="8"/>
      <c r="K2392" s="182"/>
      <c r="L2392" s="8" t="s">
        <v>6164</v>
      </c>
      <c r="M2392" s="8" t="s">
        <v>2814</v>
      </c>
      <c r="N2392" s="367"/>
      <c r="O2392" s="8"/>
      <c r="P2392" s="4" t="str">
        <f>VLOOKUP($B2392,'D7 - NDB Impacted SPRF''s'!$E$16:$O$9929,9,FALSE)</f>
        <v>N</v>
      </c>
      <c r="Q2392" s="4" t="str">
        <f>VLOOKUP($B2392,'D7 - NDB Impacted SPRF''s'!$E$16:$O$9929,10,FALSE)</f>
        <v>N</v>
      </c>
      <c r="R2392" s="4" t="str">
        <f>VLOOKUP($B2392,'D7 - NDB Impacted SPRF''s'!$E$16:$O$9929,11,FALSE)</f>
        <v>N</v>
      </c>
      <c r="S2392" s="8"/>
      <c r="T2392" s="310"/>
      <c r="U2392" s="310"/>
      <c r="V2392" s="4"/>
      <c r="W2392" s="4"/>
      <c r="X2392" s="4"/>
      <c r="Y2392" s="4"/>
      <c r="Z2392" s="4"/>
      <c r="AA2392" s="4"/>
      <c r="AB2392" s="380" t="str">
        <f>VLOOKUP($B2392,'D7 - NDB Impacted SPRF''s'!$E$16:$O$9929,4,FALSE)</f>
        <v>Cancelled</v>
      </c>
      <c r="AC2392" s="380" t="str">
        <f>VLOOKUP($B2392,'D7 - NDB Impacted SPRF''s'!$E$16:$O$9929,3,FALSE)</f>
        <v>UnitedHealthcare Employer &amp; Individual</v>
      </c>
      <c r="AD2392" s="380" t="str">
        <f>VLOOKUP($B2392,'D7 - NDB Impacted SPRF''s'!$E$16:$O$9929,5,FALSE)</f>
        <v>United Health Networks</v>
      </c>
      <c r="AE2392" s="380" t="str">
        <f>VLOOKUP($B2392,'D7 - NDB Impacted SPRF''s'!$E$16:$O$9929,7,FALSE)</f>
        <v>Peter Bompane</v>
      </c>
      <c r="AF2392" s="380" t="str">
        <f>VLOOKUP($B2392,'D7 - NDB Impacted SPRF''s'!$E$16:$O$9929,6,FALSE)</f>
        <v>Tracy Hall</v>
      </c>
      <c r="AG2392" s="282"/>
      <c r="AH2392" s="311" t="e">
        <f>INDEX('D5 - Gatekeeper - Projects'!$A$4:$AF$1010,$AM2392, 17)</f>
        <v>#N/A</v>
      </c>
      <c r="AI2392" s="8"/>
      <c r="AJ2392" s="57"/>
      <c r="AK2392" s="105"/>
      <c r="AM2392" s="6" t="e">
        <f>MATCH(D2392,'D5 - Gatekeeper - Projects'!$C$4:$C$1010,0)</f>
        <v>#N/A</v>
      </c>
      <c r="AN2392" s="6" t="b">
        <f t="shared" si="255"/>
        <v>1</v>
      </c>
      <c r="AO2392" s="6" t="str">
        <f t="shared" si="256"/>
        <v>OK</v>
      </c>
      <c r="AQ2392" s="6" t="e">
        <f>MATCH($D2392,'D4 - Provider Council Unsched'!$C$11:$C$234,0)</f>
        <v>#N/A</v>
      </c>
      <c r="AR2392" s="6" t="b">
        <f t="shared" si="257"/>
        <v>1</v>
      </c>
      <c r="AS2392" s="6" t="str">
        <f t="shared" si="254"/>
        <v>OK</v>
      </c>
      <c r="AU2392" s="202"/>
      <c r="AV2392" s="262"/>
      <c r="AW2392" s="274"/>
    </row>
    <row r="2393" spans="1:49" s="13" customFormat="1" ht="33.75" x14ac:dyDescent="0.2">
      <c r="A2393" s="14">
        <v>2369</v>
      </c>
      <c r="B2393" s="14">
        <v>400000805</v>
      </c>
      <c r="C2393" s="8" t="s">
        <v>5197</v>
      </c>
      <c r="D2393" s="4" t="str">
        <f t="shared" si="252"/>
        <v>400000805R1</v>
      </c>
      <c r="E2393" s="309" t="str">
        <f>VLOOKUP($B2393,'D7 - NDB Impacted SPRF''s'!$E$6:$O$9929,2,FALSE)</f>
        <v>NDB Recycling of TOPS TIN Prefix/Suffix</v>
      </c>
      <c r="F2393" s="8" t="s">
        <v>6632</v>
      </c>
      <c r="G2393" s="8" t="s">
        <v>4758</v>
      </c>
      <c r="H2393" s="8" t="s">
        <v>2870</v>
      </c>
      <c r="I2393" s="20"/>
      <c r="J2393" s="8"/>
      <c r="K2393" s="182"/>
      <c r="L2393" s="8" t="s">
        <v>6164</v>
      </c>
      <c r="M2393" s="8" t="s">
        <v>2814</v>
      </c>
      <c r="N2393" s="367"/>
      <c r="O2393" s="8"/>
      <c r="P2393" s="4" t="str">
        <f>VLOOKUP($B2393,'D7 - NDB Impacted SPRF''s'!$E$16:$O$9929,9,FALSE)</f>
        <v>N</v>
      </c>
      <c r="Q2393" s="4" t="str">
        <f>VLOOKUP($B2393,'D7 - NDB Impacted SPRF''s'!$E$16:$O$9929,10,FALSE)</f>
        <v>N</v>
      </c>
      <c r="R2393" s="4" t="str">
        <f>VLOOKUP($B2393,'D7 - NDB Impacted SPRF''s'!$E$16:$O$9929,11,FALSE)</f>
        <v>N</v>
      </c>
      <c r="S2393" s="8"/>
      <c r="T2393" s="310"/>
      <c r="U2393" s="310"/>
      <c r="V2393" s="4"/>
      <c r="W2393" s="4"/>
      <c r="X2393" s="4"/>
      <c r="Y2393" s="4"/>
      <c r="Z2393" s="4"/>
      <c r="AA2393" s="4"/>
      <c r="AB2393" s="380" t="str">
        <f>VLOOKUP($B2393,'D7 - NDB Impacted SPRF''s'!$E$16:$O$9929,4,FALSE)</f>
        <v>Cancelled</v>
      </c>
      <c r="AC2393" s="380" t="str">
        <f>VLOOKUP($B2393,'D7 - NDB Impacted SPRF''s'!$E$16:$O$9929,3,FALSE)</f>
        <v>UnitedHealthcare Employer &amp; Individual</v>
      </c>
      <c r="AD2393" s="380" t="str">
        <f>VLOOKUP($B2393,'D7 - NDB Impacted SPRF''s'!$E$16:$O$9929,5,FALSE)</f>
        <v>United Health Networks</v>
      </c>
      <c r="AE2393" s="380" t="str">
        <f>VLOOKUP($B2393,'D7 - NDB Impacted SPRF''s'!$E$16:$O$9929,7,FALSE)</f>
        <v>Peter Bompane</v>
      </c>
      <c r="AF2393" s="380" t="str">
        <f>VLOOKUP($B2393,'D7 - NDB Impacted SPRF''s'!$E$16:$O$9929,6,FALSE)</f>
        <v>Jeff Huxley</v>
      </c>
      <c r="AG2393" s="282"/>
      <c r="AH2393" s="311" t="e">
        <f>INDEX('D5 - Gatekeeper - Projects'!$A$4:$AF$1010,$AM2393, 17)</f>
        <v>#N/A</v>
      </c>
      <c r="AI2393" s="8"/>
      <c r="AJ2393" s="57"/>
      <c r="AK2393" s="105"/>
      <c r="AM2393" s="6" t="e">
        <f>MATCH(D2393,'D5 - Gatekeeper - Projects'!$C$4:$C$1010,0)</f>
        <v>#N/A</v>
      </c>
      <c r="AN2393" s="6" t="b">
        <f t="shared" si="255"/>
        <v>1</v>
      </c>
      <c r="AO2393" s="6" t="str">
        <f t="shared" si="256"/>
        <v>OK</v>
      </c>
      <c r="AQ2393" s="6" t="e">
        <f>MATCH($D2393,'D4 - Provider Council Unsched'!$C$11:$C$234,0)</f>
        <v>#N/A</v>
      </c>
      <c r="AR2393" s="6" t="b">
        <f t="shared" si="257"/>
        <v>1</v>
      </c>
      <c r="AS2393" s="6" t="str">
        <f t="shared" si="254"/>
        <v>OK</v>
      </c>
      <c r="AU2393" s="202"/>
      <c r="AV2393" s="262"/>
      <c r="AW2393" s="274"/>
    </row>
    <row r="2394" spans="1:49" s="13" customFormat="1" ht="33.75" x14ac:dyDescent="0.2">
      <c r="A2394" s="14">
        <v>2370</v>
      </c>
      <c r="B2394" s="14">
        <v>400000866</v>
      </c>
      <c r="C2394" s="8" t="s">
        <v>5197</v>
      </c>
      <c r="D2394" s="4" t="str">
        <f t="shared" si="252"/>
        <v>400000866R1</v>
      </c>
      <c r="E2394" s="309" t="str">
        <f>VLOOKUP($B2394,'D7 - NDB Impacted SPRF''s'!$E$6:$O$9929,2,FALSE)</f>
        <v>Provider Directory Lookup for Claimlynx - B2B</v>
      </c>
      <c r="F2394" s="8" t="s">
        <v>5536</v>
      </c>
      <c r="G2394" s="8" t="s">
        <v>4758</v>
      </c>
      <c r="H2394" s="8" t="s">
        <v>2870</v>
      </c>
      <c r="I2394" s="20"/>
      <c r="J2394" s="8"/>
      <c r="K2394" s="182"/>
      <c r="L2394" s="8" t="s">
        <v>6164</v>
      </c>
      <c r="M2394" s="8" t="s">
        <v>2814</v>
      </c>
      <c r="N2394" s="367"/>
      <c r="O2394" s="8"/>
      <c r="P2394" s="4" t="str">
        <f>VLOOKUP($B2394,'D7 - NDB Impacted SPRF''s'!$E$16:$O$9929,9,FALSE)</f>
        <v>N</v>
      </c>
      <c r="Q2394" s="4" t="str">
        <f>VLOOKUP($B2394,'D7 - NDB Impacted SPRF''s'!$E$16:$O$9929,10,FALSE)</f>
        <v>N</v>
      </c>
      <c r="R2394" s="4" t="str">
        <f>VLOOKUP($B2394,'D7 - NDB Impacted SPRF''s'!$E$16:$O$9929,11,FALSE)</f>
        <v>N</v>
      </c>
      <c r="S2394" s="8"/>
      <c r="T2394" s="310"/>
      <c r="U2394" s="310"/>
      <c r="V2394" s="4"/>
      <c r="W2394" s="4"/>
      <c r="X2394" s="4"/>
      <c r="Y2394" s="4"/>
      <c r="Z2394" s="4"/>
      <c r="AA2394" s="4"/>
      <c r="AB2394" s="380" t="str">
        <f>VLOOKUP($B2394,'D7 - NDB Impacted SPRF''s'!$E$16:$O$9929,4,FALSE)</f>
        <v>Cancelled</v>
      </c>
      <c r="AC2394" s="380" t="str">
        <f>VLOOKUP($B2394,'D7 - NDB Impacted SPRF''s'!$E$16:$O$9929,3,FALSE)</f>
        <v>UnitedHealthcare Employer &amp; Individual</v>
      </c>
      <c r="AD2394" s="380" t="str">
        <f>VLOOKUP($B2394,'D7 - NDB Impacted SPRF''s'!$E$16:$O$9929,5,FALSE)</f>
        <v>United Health Networks</v>
      </c>
      <c r="AE2394" s="380" t="str">
        <f>VLOOKUP($B2394,'D7 - NDB Impacted SPRF''s'!$E$16:$O$9929,7,FALSE)</f>
        <v>Tom Rekart</v>
      </c>
      <c r="AF2394" s="380" t="str">
        <f>VLOOKUP($B2394,'D7 - NDB Impacted SPRF''s'!$E$16:$O$9929,6,FALSE)</f>
        <v>Daniel Peters</v>
      </c>
      <c r="AG2394" s="282"/>
      <c r="AH2394" s="311" t="e">
        <f>INDEX('D5 - Gatekeeper - Projects'!$A$4:$AF$1010,$AM2394, 17)</f>
        <v>#N/A</v>
      </c>
      <c r="AI2394" s="8"/>
      <c r="AJ2394" s="57"/>
      <c r="AK2394" s="105"/>
      <c r="AM2394" s="6" t="e">
        <f>MATCH(D2394,'D5 - Gatekeeper - Projects'!$C$4:$C$1010,0)</f>
        <v>#N/A</v>
      </c>
      <c r="AN2394" s="6" t="b">
        <f t="shared" si="255"/>
        <v>1</v>
      </c>
      <c r="AO2394" s="6" t="str">
        <f t="shared" si="256"/>
        <v>OK</v>
      </c>
      <c r="AQ2394" s="6" t="e">
        <f>MATCH($D2394,'D4 - Provider Council Unsched'!$C$11:$C$234,0)</f>
        <v>#N/A</v>
      </c>
      <c r="AR2394" s="6" t="b">
        <f t="shared" si="257"/>
        <v>1</v>
      </c>
      <c r="AS2394" s="6" t="str">
        <f t="shared" si="254"/>
        <v>OK</v>
      </c>
      <c r="AU2394" s="202"/>
      <c r="AV2394" s="262"/>
      <c r="AW2394" s="274"/>
    </row>
    <row r="2395" spans="1:49" s="13" customFormat="1" ht="33.75" x14ac:dyDescent="0.2">
      <c r="A2395" s="14">
        <v>2371</v>
      </c>
      <c r="B2395" s="14">
        <v>400000878</v>
      </c>
      <c r="C2395" s="8" t="s">
        <v>5197</v>
      </c>
      <c r="D2395" s="4" t="str">
        <f t="shared" ref="D2395:D2458" si="258">CONCATENATE(B2395,C2395)</f>
        <v>400000878R1</v>
      </c>
      <c r="E2395" s="309" t="str">
        <f>VLOOKUP($B2395,'D7 - NDB Impacted SPRF''s'!$E$6:$O$9929,2,FALSE)</f>
        <v>Additional Routing Identifier for 835's</v>
      </c>
      <c r="F2395" s="8"/>
      <c r="G2395" s="8" t="s">
        <v>4758</v>
      </c>
      <c r="H2395" s="8" t="s">
        <v>2870</v>
      </c>
      <c r="I2395" s="20"/>
      <c r="J2395" s="8"/>
      <c r="K2395" s="182"/>
      <c r="L2395" s="8" t="s">
        <v>6164</v>
      </c>
      <c r="M2395" s="8" t="s">
        <v>2814</v>
      </c>
      <c r="N2395" s="367"/>
      <c r="O2395" s="8"/>
      <c r="P2395" s="4" t="str">
        <f>VLOOKUP($B2395,'D7 - NDB Impacted SPRF''s'!$E$16:$O$9929,9,FALSE)</f>
        <v>N</v>
      </c>
      <c r="Q2395" s="4" t="str">
        <f>VLOOKUP($B2395,'D7 - NDB Impacted SPRF''s'!$E$16:$O$9929,10,FALSE)</f>
        <v>N</v>
      </c>
      <c r="R2395" s="4" t="str">
        <f>VLOOKUP($B2395,'D7 - NDB Impacted SPRF''s'!$E$16:$O$9929,11,FALSE)</f>
        <v>N</v>
      </c>
      <c r="S2395" s="8"/>
      <c r="T2395" s="310"/>
      <c r="U2395" s="310"/>
      <c r="V2395" s="4"/>
      <c r="W2395" s="4"/>
      <c r="X2395" s="4"/>
      <c r="Y2395" s="4"/>
      <c r="Z2395" s="4"/>
      <c r="AA2395" s="4"/>
      <c r="AB2395" s="380" t="str">
        <f>VLOOKUP($B2395,'D7 - NDB Impacted SPRF''s'!$E$16:$O$9929,4,FALSE)</f>
        <v>Cancelled</v>
      </c>
      <c r="AC2395" s="380" t="str">
        <f>VLOOKUP($B2395,'D7 - NDB Impacted SPRF''s'!$E$16:$O$9929,3,FALSE)</f>
        <v>UnitedHealthcare Employer &amp; Individual</v>
      </c>
      <c r="AD2395" s="380" t="str">
        <f>VLOOKUP($B2395,'D7 - NDB Impacted SPRF''s'!$E$16:$O$9929,5,FALSE)</f>
        <v>Operations Group</v>
      </c>
      <c r="AE2395" s="380" t="str">
        <f>VLOOKUP($B2395,'D7 - NDB Impacted SPRF''s'!$E$16:$O$9929,7,FALSE)</f>
        <v>Thomas Rekart</v>
      </c>
      <c r="AF2395" s="380" t="str">
        <f>VLOOKUP($B2395,'D7 - NDB Impacted SPRF''s'!$E$16:$O$9929,6,FALSE)</f>
        <v>Terri Cook</v>
      </c>
      <c r="AG2395" s="282"/>
      <c r="AH2395" s="311" t="e">
        <f>INDEX('D5 - Gatekeeper - Projects'!$A$4:$AF$1010,$AM2395, 17)</f>
        <v>#N/A</v>
      </c>
      <c r="AI2395" s="8"/>
      <c r="AJ2395" s="57"/>
      <c r="AK2395" s="105"/>
      <c r="AM2395" s="6" t="e">
        <f>MATCH(D2395,'D5 - Gatekeeper - Projects'!$C$4:$C$1010,0)</f>
        <v>#N/A</v>
      </c>
      <c r="AN2395" s="6" t="b">
        <f t="shared" si="255"/>
        <v>1</v>
      </c>
      <c r="AO2395" s="6" t="str">
        <f t="shared" si="256"/>
        <v>OK</v>
      </c>
      <c r="AQ2395" s="6" t="e">
        <f>MATCH($D2395,'D4 - Provider Council Unsched'!$C$11:$C$234,0)</f>
        <v>#N/A</v>
      </c>
      <c r="AR2395" s="6" t="b">
        <f t="shared" si="257"/>
        <v>1</v>
      </c>
      <c r="AS2395" s="6" t="str">
        <f t="shared" si="254"/>
        <v>OK</v>
      </c>
      <c r="AU2395" s="202"/>
      <c r="AV2395" s="262"/>
      <c r="AW2395" s="274"/>
    </row>
    <row r="2396" spans="1:49" s="13" customFormat="1" x14ac:dyDescent="0.2">
      <c r="A2396" s="14">
        <v>2372</v>
      </c>
      <c r="B2396" s="14">
        <v>400000896</v>
      </c>
      <c r="C2396" s="8" t="s">
        <v>5197</v>
      </c>
      <c r="D2396" s="4" t="str">
        <f t="shared" si="258"/>
        <v>400000896R1</v>
      </c>
      <c r="E2396" s="309" t="str">
        <f>VLOOKUP($B2396,'D7 - NDB Impacted SPRF''s'!$E$6:$O$9929,2,FALSE)</f>
        <v>custom directory splash page 2004</v>
      </c>
      <c r="F2396" s="8" t="s">
        <v>5054</v>
      </c>
      <c r="G2396" s="8" t="s">
        <v>4758</v>
      </c>
      <c r="H2396" s="8" t="s">
        <v>2870</v>
      </c>
      <c r="I2396" s="20"/>
      <c r="J2396" s="8"/>
      <c r="K2396" s="182"/>
      <c r="L2396" s="8" t="s">
        <v>6164</v>
      </c>
      <c r="M2396" s="8" t="s">
        <v>2814</v>
      </c>
      <c r="N2396" s="367"/>
      <c r="O2396" s="8"/>
      <c r="P2396" s="4" t="str">
        <f>VLOOKUP($B2396,'D7 - NDB Impacted SPRF''s'!$E$16:$O$9929,9,FALSE)</f>
        <v>N</v>
      </c>
      <c r="Q2396" s="4" t="str">
        <f>VLOOKUP($B2396,'D7 - NDB Impacted SPRF''s'!$E$16:$O$9929,10,FALSE)</f>
        <v>N</v>
      </c>
      <c r="R2396" s="4" t="str">
        <f>VLOOKUP($B2396,'D7 - NDB Impacted SPRF''s'!$E$16:$O$9929,11,FALSE)</f>
        <v>N</v>
      </c>
      <c r="S2396" s="8"/>
      <c r="T2396" s="310"/>
      <c r="U2396" s="310"/>
      <c r="V2396" s="4"/>
      <c r="W2396" s="4"/>
      <c r="X2396" s="4"/>
      <c r="Y2396" s="4"/>
      <c r="Z2396" s="4"/>
      <c r="AA2396" s="4"/>
      <c r="AB2396" s="380" t="str">
        <f>VLOOKUP($B2396,'D7 - NDB Impacted SPRF''s'!$E$16:$O$9929,4,FALSE)</f>
        <v>Cancelled</v>
      </c>
      <c r="AC2396" s="380" t="str">
        <f>VLOOKUP($B2396,'D7 - NDB Impacted SPRF''s'!$E$16:$O$9929,3,FALSE)</f>
        <v>Uniprise</v>
      </c>
      <c r="AD2396" s="380" t="str">
        <f>VLOOKUP($B2396,'D7 - NDB Impacted SPRF''s'!$E$16:$O$9929,5,FALSE)</f>
        <v>MYUHC</v>
      </c>
      <c r="AE2396" s="380" t="str">
        <f>VLOOKUP($B2396,'D7 - NDB Impacted SPRF''s'!$E$16:$O$9929,7,FALSE)</f>
        <v>Carl Bilter</v>
      </c>
      <c r="AF2396" s="380" t="str">
        <f>VLOOKUP($B2396,'D7 - NDB Impacted SPRF''s'!$E$16:$O$9929,6,FALSE)</f>
        <v>Inga Borggreve</v>
      </c>
      <c r="AG2396" s="282"/>
      <c r="AH2396" s="311" t="e">
        <f>INDEX('D5 - Gatekeeper - Projects'!$A$4:$AF$1010,$AM2396, 17)</f>
        <v>#N/A</v>
      </c>
      <c r="AI2396" s="8"/>
      <c r="AJ2396" s="57"/>
      <c r="AK2396" s="105"/>
      <c r="AM2396" s="6" t="e">
        <f>MATCH(D2396,'D5 - Gatekeeper - Projects'!$C$4:$C$1010,0)</f>
        <v>#N/A</v>
      </c>
      <c r="AN2396" s="6" t="b">
        <f t="shared" si="255"/>
        <v>1</v>
      </c>
      <c r="AO2396" s="6" t="str">
        <f t="shared" si="256"/>
        <v>OK</v>
      </c>
      <c r="AQ2396" s="6" t="e">
        <f>MATCH($D2396,'D4 - Provider Council Unsched'!$C$11:$C$234,0)</f>
        <v>#N/A</v>
      </c>
      <c r="AR2396" s="6" t="b">
        <f t="shared" si="257"/>
        <v>1</v>
      </c>
      <c r="AS2396" s="6" t="str">
        <f t="shared" si="254"/>
        <v>OK</v>
      </c>
      <c r="AU2396" s="202"/>
      <c r="AV2396" s="262"/>
      <c r="AW2396" s="274"/>
    </row>
    <row r="2397" spans="1:49" s="13" customFormat="1" ht="22.5" x14ac:dyDescent="0.2">
      <c r="A2397" s="14">
        <v>2373</v>
      </c>
      <c r="B2397" s="14">
        <v>400000923</v>
      </c>
      <c r="C2397" s="8" t="s">
        <v>5197</v>
      </c>
      <c r="D2397" s="4" t="str">
        <f t="shared" si="258"/>
        <v>400000923R1</v>
      </c>
      <c r="E2397" s="309" t="str">
        <f>VLOOKUP($B2397,'D7 - NDB Impacted SPRF''s'!$E$6:$O$9929,2,FALSE)</f>
        <v>Long Term Compliance Solutions</v>
      </c>
      <c r="F2397" s="8" t="s">
        <v>6797</v>
      </c>
      <c r="G2397" s="8" t="s">
        <v>4758</v>
      </c>
      <c r="H2397" s="8" t="s">
        <v>2870</v>
      </c>
      <c r="I2397" s="20"/>
      <c r="J2397" s="8"/>
      <c r="K2397" s="182"/>
      <c r="L2397" s="8" t="s">
        <v>6164</v>
      </c>
      <c r="M2397" s="8" t="s">
        <v>2814</v>
      </c>
      <c r="N2397" s="367"/>
      <c r="O2397" s="8"/>
      <c r="P2397" s="4" t="str">
        <f>VLOOKUP($B2397,'D7 - NDB Impacted SPRF''s'!$E$16:$O$9929,9,FALSE)</f>
        <v>Y</v>
      </c>
      <c r="Q2397" s="4" t="str">
        <f>VLOOKUP($B2397,'D7 - NDB Impacted SPRF''s'!$E$16:$O$9929,10,FALSE)</f>
        <v>N</v>
      </c>
      <c r="R2397" s="4" t="str">
        <f>VLOOKUP($B2397,'D7 - NDB Impacted SPRF''s'!$E$16:$O$9929,11,FALSE)</f>
        <v>N</v>
      </c>
      <c r="S2397" s="8"/>
      <c r="T2397" s="310"/>
      <c r="U2397" s="310"/>
      <c r="V2397" s="4"/>
      <c r="W2397" s="4"/>
      <c r="X2397" s="4"/>
      <c r="Y2397" s="4"/>
      <c r="Z2397" s="4"/>
      <c r="AA2397" s="4"/>
      <c r="AB2397" s="380" t="str">
        <f>VLOOKUP($B2397,'D7 - NDB Impacted SPRF''s'!$E$16:$O$9929,4,FALSE)</f>
        <v>Cancelled</v>
      </c>
      <c r="AC2397" s="380" t="str">
        <f>VLOOKUP($B2397,'D7 - NDB Impacted SPRF''s'!$E$16:$O$9929,3,FALSE)</f>
        <v>Uniprise</v>
      </c>
      <c r="AD2397" s="380" t="str">
        <f>VLOOKUP($B2397,'D7 - NDB Impacted SPRF''s'!$E$16:$O$9929,5,FALSE)</f>
        <v>Legal/Compliance - Capital Projects</v>
      </c>
      <c r="AE2397" s="380" t="str">
        <f>VLOOKUP($B2397,'D7 - NDB Impacted SPRF''s'!$E$16:$O$9929,7,FALSE)</f>
        <v>Lisa Stimson</v>
      </c>
      <c r="AF2397" s="380" t="str">
        <f>VLOOKUP($B2397,'D7 - NDB Impacted SPRF''s'!$E$16:$O$9929,6,FALSE)</f>
        <v>Lisa Stimson</v>
      </c>
      <c r="AG2397" s="282"/>
      <c r="AH2397" s="311" t="e">
        <f>INDEX('D5 - Gatekeeper - Projects'!$A$4:$AF$1010,$AM2397, 17)</f>
        <v>#N/A</v>
      </c>
      <c r="AI2397" s="8"/>
      <c r="AJ2397" s="57"/>
      <c r="AK2397" s="105"/>
      <c r="AM2397" s="6" t="e">
        <f>MATCH(D2397,'D5 - Gatekeeper - Projects'!$C$4:$C$1010,0)</f>
        <v>#N/A</v>
      </c>
      <c r="AN2397" s="6" t="b">
        <f t="shared" si="255"/>
        <v>1</v>
      </c>
      <c r="AO2397" s="6" t="str">
        <f t="shared" si="256"/>
        <v>OK</v>
      </c>
      <c r="AQ2397" s="6" t="e">
        <f>MATCH($D2397,'D4 - Provider Council Unsched'!$C$11:$C$234,0)</f>
        <v>#N/A</v>
      </c>
      <c r="AR2397" s="6" t="b">
        <f t="shared" si="257"/>
        <v>1</v>
      </c>
      <c r="AS2397" s="6" t="str">
        <f t="shared" si="254"/>
        <v>OK</v>
      </c>
      <c r="AU2397" s="202"/>
      <c r="AV2397" s="262"/>
      <c r="AW2397" s="274"/>
    </row>
    <row r="2398" spans="1:49" s="13" customFormat="1" ht="33.75" x14ac:dyDescent="0.2">
      <c r="A2398" s="14">
        <v>2374</v>
      </c>
      <c r="B2398" s="14">
        <v>400000944</v>
      </c>
      <c r="C2398" s="8" t="s">
        <v>5197</v>
      </c>
      <c r="D2398" s="4" t="str">
        <f t="shared" si="258"/>
        <v>400000944R1</v>
      </c>
      <c r="E2398" s="309" t="str">
        <f>VLOOKUP($B2398,'D7 - NDB Impacted SPRF''s'!$E$6:$O$9929,2,FALSE)</f>
        <v>SSP Vendor's Newly Contracted Phys - File Compare</v>
      </c>
      <c r="F2398" s="8"/>
      <c r="G2398" s="8" t="s">
        <v>4758</v>
      </c>
      <c r="H2398" s="8" t="s">
        <v>2870</v>
      </c>
      <c r="I2398" s="20"/>
      <c r="J2398" s="8"/>
      <c r="K2398" s="182"/>
      <c r="L2398" s="8" t="s">
        <v>6164</v>
      </c>
      <c r="M2398" s="8" t="s">
        <v>2814</v>
      </c>
      <c r="N2398" s="367"/>
      <c r="O2398" s="8"/>
      <c r="P2398" s="4" t="str">
        <f>VLOOKUP($B2398,'D7 - NDB Impacted SPRF''s'!$E$16:$O$9929,9,FALSE)</f>
        <v>N</v>
      </c>
      <c r="Q2398" s="4" t="str">
        <f>VLOOKUP($B2398,'D7 - NDB Impacted SPRF''s'!$E$16:$O$9929,10,FALSE)</f>
        <v>N</v>
      </c>
      <c r="R2398" s="4" t="str">
        <f>VLOOKUP($B2398,'D7 - NDB Impacted SPRF''s'!$E$16:$O$9929,11,FALSE)</f>
        <v>N</v>
      </c>
      <c r="S2398" s="8"/>
      <c r="T2398" s="310"/>
      <c r="U2398" s="310"/>
      <c r="V2398" s="4"/>
      <c r="W2398" s="4"/>
      <c r="X2398" s="4"/>
      <c r="Y2398" s="4"/>
      <c r="Z2398" s="4"/>
      <c r="AA2398" s="4"/>
      <c r="AB2398" s="380" t="str">
        <f>VLOOKUP($B2398,'D7 - NDB Impacted SPRF''s'!$E$16:$O$9929,4,FALSE)</f>
        <v>Cancelled</v>
      </c>
      <c r="AC2398" s="380" t="str">
        <f>VLOOKUP($B2398,'D7 - NDB Impacted SPRF''s'!$E$16:$O$9929,3,FALSE)</f>
        <v>UnitedHealthcare Employer &amp; Individual</v>
      </c>
      <c r="AD2398" s="380" t="str">
        <f>VLOOKUP($B2398,'D7 - NDB Impacted SPRF''s'!$E$16:$O$9929,5,FALSE)</f>
        <v>United Health Networks</v>
      </c>
      <c r="AE2398" s="380" t="str">
        <f>VLOOKUP($B2398,'D7 - NDB Impacted SPRF''s'!$E$16:$O$9929,7,FALSE)</f>
        <v>John Haben</v>
      </c>
      <c r="AF2398" s="380" t="str">
        <f>VLOOKUP($B2398,'D7 - NDB Impacted SPRF''s'!$E$16:$O$9929,6,FALSE)</f>
        <v>John Haben</v>
      </c>
      <c r="AG2398" s="282"/>
      <c r="AH2398" s="311" t="e">
        <f>INDEX('D5 - Gatekeeper - Projects'!$A$4:$AF$1010,$AM2398, 17)</f>
        <v>#N/A</v>
      </c>
      <c r="AI2398" s="8"/>
      <c r="AJ2398" s="57"/>
      <c r="AK2398" s="105"/>
      <c r="AM2398" s="6" t="e">
        <f>MATCH(D2398,'D5 - Gatekeeper - Projects'!$C$4:$C$1010,0)</f>
        <v>#N/A</v>
      </c>
      <c r="AN2398" s="6" t="b">
        <f t="shared" si="255"/>
        <v>1</v>
      </c>
      <c r="AO2398" s="6" t="str">
        <f t="shared" si="256"/>
        <v>OK</v>
      </c>
      <c r="AQ2398" s="6" t="e">
        <f>MATCH($D2398,'D4 - Provider Council Unsched'!$C$11:$C$234,0)</f>
        <v>#N/A</v>
      </c>
      <c r="AR2398" s="6" t="b">
        <f t="shared" si="257"/>
        <v>1</v>
      </c>
      <c r="AS2398" s="6" t="str">
        <f t="shared" si="254"/>
        <v>OK</v>
      </c>
      <c r="AU2398" s="202"/>
      <c r="AV2398" s="262"/>
      <c r="AW2398" s="274"/>
    </row>
    <row r="2399" spans="1:49" s="13" customFormat="1" ht="33.75" x14ac:dyDescent="0.2">
      <c r="A2399" s="14">
        <v>2375</v>
      </c>
      <c r="B2399" s="14">
        <v>400000974</v>
      </c>
      <c r="C2399" s="8" t="s">
        <v>5197</v>
      </c>
      <c r="D2399" s="4" t="str">
        <f t="shared" si="258"/>
        <v>400000974R1</v>
      </c>
      <c r="E2399" s="309" t="str">
        <f>VLOOKUP($B2399,'D7 - NDB Impacted SPRF''s'!$E$6:$O$9929,2,FALSE)</f>
        <v>Online Registration for UHC Online</v>
      </c>
      <c r="F2399" s="8" t="s">
        <v>5536</v>
      </c>
      <c r="G2399" s="8" t="s">
        <v>4758</v>
      </c>
      <c r="H2399" s="8" t="s">
        <v>2870</v>
      </c>
      <c r="I2399" s="20"/>
      <c r="J2399" s="8"/>
      <c r="K2399" s="182"/>
      <c r="L2399" s="8" t="s">
        <v>6164</v>
      </c>
      <c r="M2399" s="8" t="s">
        <v>2814</v>
      </c>
      <c r="N2399" s="367"/>
      <c r="O2399" s="8"/>
      <c r="P2399" s="4" t="str">
        <f>VLOOKUP($B2399,'D7 - NDB Impacted SPRF''s'!$E$16:$O$9929,9,FALSE)</f>
        <v>N</v>
      </c>
      <c r="Q2399" s="4" t="str">
        <f>VLOOKUP($B2399,'D7 - NDB Impacted SPRF''s'!$E$16:$O$9929,10,FALSE)</f>
        <v>N</v>
      </c>
      <c r="R2399" s="4" t="str">
        <f>VLOOKUP($B2399,'D7 - NDB Impacted SPRF''s'!$E$16:$O$9929,11,FALSE)</f>
        <v>N</v>
      </c>
      <c r="S2399" s="8"/>
      <c r="T2399" s="310"/>
      <c r="U2399" s="310"/>
      <c r="V2399" s="4"/>
      <c r="W2399" s="4"/>
      <c r="X2399" s="4"/>
      <c r="Y2399" s="4"/>
      <c r="Z2399" s="4"/>
      <c r="AA2399" s="4"/>
      <c r="AB2399" s="380" t="str">
        <f>VLOOKUP($B2399,'D7 - NDB Impacted SPRF''s'!$E$16:$O$9929,4,FALSE)</f>
        <v>Cancelled</v>
      </c>
      <c r="AC2399" s="380" t="str">
        <f>VLOOKUP($B2399,'D7 - NDB Impacted SPRF''s'!$E$16:$O$9929,3,FALSE)</f>
        <v>UnitedHealthcare Employer &amp; Individual</v>
      </c>
      <c r="AD2399" s="380" t="str">
        <f>VLOOKUP($B2399,'D7 - NDB Impacted SPRF''s'!$E$16:$O$9929,5,FALSE)</f>
        <v>Operations Group</v>
      </c>
      <c r="AE2399" s="380" t="str">
        <f>VLOOKUP($B2399,'D7 - NDB Impacted SPRF''s'!$E$16:$O$9929,7,FALSE)</f>
        <v>Tom Rekart</v>
      </c>
      <c r="AF2399" s="380" t="str">
        <f>VLOOKUP($B2399,'D7 - NDB Impacted SPRF''s'!$E$16:$O$9929,6,FALSE)</f>
        <v>Daniel Peters</v>
      </c>
      <c r="AG2399" s="282"/>
      <c r="AH2399" s="311" t="e">
        <f>INDEX('D5 - Gatekeeper - Projects'!$A$4:$AF$1010,$AM2399, 17)</f>
        <v>#N/A</v>
      </c>
      <c r="AI2399" s="8"/>
      <c r="AJ2399" s="57"/>
      <c r="AK2399" s="105"/>
      <c r="AM2399" s="6" t="e">
        <f>MATCH(D2399,'D5 - Gatekeeper - Projects'!$C$4:$C$1010,0)</f>
        <v>#N/A</v>
      </c>
      <c r="AN2399" s="6" t="b">
        <f t="shared" si="255"/>
        <v>1</v>
      </c>
      <c r="AO2399" s="6" t="str">
        <f t="shared" si="256"/>
        <v>OK</v>
      </c>
      <c r="AQ2399" s="6" t="e">
        <f>MATCH($D2399,'D4 - Provider Council Unsched'!$C$11:$C$234,0)</f>
        <v>#N/A</v>
      </c>
      <c r="AR2399" s="6" t="b">
        <f t="shared" si="257"/>
        <v>1</v>
      </c>
      <c r="AS2399" s="6" t="str">
        <f t="shared" si="254"/>
        <v>OK</v>
      </c>
      <c r="AU2399" s="202"/>
      <c r="AV2399" s="262"/>
      <c r="AW2399" s="274"/>
    </row>
    <row r="2400" spans="1:49" s="13" customFormat="1" ht="33.75" x14ac:dyDescent="0.2">
      <c r="A2400" s="14">
        <v>2376</v>
      </c>
      <c r="B2400" s="14">
        <v>400001084</v>
      </c>
      <c r="C2400" s="8" t="s">
        <v>5197</v>
      </c>
      <c r="D2400" s="4" t="str">
        <f t="shared" si="258"/>
        <v>400001084R1</v>
      </c>
      <c r="E2400" s="309" t="str">
        <f>VLOOKUP($B2400,'D7 - NDB Impacted SPRF''s'!$E$6:$O$9929,2,FALSE)</f>
        <v>P/F Data - Add Address Sequence # for UHCOL</v>
      </c>
      <c r="F2400" s="8" t="s">
        <v>5536</v>
      </c>
      <c r="G2400" s="8" t="s">
        <v>4758</v>
      </c>
      <c r="H2400" s="8" t="s">
        <v>2870</v>
      </c>
      <c r="I2400" s="20"/>
      <c r="J2400" s="8"/>
      <c r="K2400" s="182"/>
      <c r="L2400" s="8" t="s">
        <v>6164</v>
      </c>
      <c r="M2400" s="8" t="s">
        <v>2814</v>
      </c>
      <c r="N2400" s="367"/>
      <c r="O2400" s="8"/>
      <c r="P2400" s="4" t="str">
        <f>VLOOKUP($B2400,'D7 - NDB Impacted SPRF''s'!$E$16:$O$9929,9,FALSE)</f>
        <v>N</v>
      </c>
      <c r="Q2400" s="4" t="str">
        <f>VLOOKUP($B2400,'D7 - NDB Impacted SPRF''s'!$E$16:$O$9929,10,FALSE)</f>
        <v>N</v>
      </c>
      <c r="R2400" s="4" t="str">
        <f>VLOOKUP($B2400,'D7 - NDB Impacted SPRF''s'!$E$16:$O$9929,11,FALSE)</f>
        <v>N</v>
      </c>
      <c r="S2400" s="8"/>
      <c r="T2400" s="310"/>
      <c r="U2400" s="310"/>
      <c r="V2400" s="4"/>
      <c r="W2400" s="4"/>
      <c r="X2400" s="4"/>
      <c r="Y2400" s="4"/>
      <c r="Z2400" s="4"/>
      <c r="AA2400" s="4"/>
      <c r="AB2400" s="380" t="str">
        <f>VLOOKUP($B2400,'D7 - NDB Impacted SPRF''s'!$E$16:$O$9929,4,FALSE)</f>
        <v>Cancelled</v>
      </c>
      <c r="AC2400" s="380" t="str">
        <f>VLOOKUP($B2400,'D7 - NDB Impacted SPRF''s'!$E$16:$O$9929,3,FALSE)</f>
        <v>UnitedHealthcare Employer &amp; Individual</v>
      </c>
      <c r="AD2400" s="380" t="str">
        <f>VLOOKUP($B2400,'D7 - NDB Impacted SPRF''s'!$E$16:$O$9929,5,FALSE)</f>
        <v>Operations Group</v>
      </c>
      <c r="AE2400" s="380" t="str">
        <f>VLOOKUP($B2400,'D7 - NDB Impacted SPRF''s'!$E$16:$O$9929,7,FALSE)</f>
        <v>Dirk McMahon</v>
      </c>
      <c r="AF2400" s="380" t="str">
        <f>VLOOKUP($B2400,'D7 - NDB Impacted SPRF''s'!$E$16:$O$9929,6,FALSE)</f>
        <v>Daniel Peters</v>
      </c>
      <c r="AG2400" s="282"/>
      <c r="AH2400" s="311" t="e">
        <f>INDEX('D5 - Gatekeeper - Projects'!$A$4:$AF$1010,$AM2400, 17)</f>
        <v>#N/A</v>
      </c>
      <c r="AI2400" s="8"/>
      <c r="AJ2400" s="57"/>
      <c r="AK2400" s="105"/>
      <c r="AM2400" s="6" t="e">
        <f>MATCH(D2400,'D5 - Gatekeeper - Projects'!$C$4:$C$1010,0)</f>
        <v>#N/A</v>
      </c>
      <c r="AN2400" s="6" t="b">
        <f t="shared" si="255"/>
        <v>1</v>
      </c>
      <c r="AO2400" s="6" t="str">
        <f t="shared" si="256"/>
        <v>OK</v>
      </c>
      <c r="AQ2400" s="6" t="e">
        <f>MATCH($D2400,'D4 - Provider Council Unsched'!$C$11:$C$234,0)</f>
        <v>#N/A</v>
      </c>
      <c r="AR2400" s="6" t="b">
        <f t="shared" si="257"/>
        <v>1</v>
      </c>
      <c r="AS2400" s="6" t="str">
        <f t="shared" si="254"/>
        <v>OK</v>
      </c>
      <c r="AU2400" s="202"/>
      <c r="AV2400" s="262"/>
      <c r="AW2400" s="274"/>
    </row>
    <row r="2401" spans="1:49" s="13" customFormat="1" ht="33.75" x14ac:dyDescent="0.2">
      <c r="A2401" s="14">
        <v>2377</v>
      </c>
      <c r="B2401" s="14">
        <v>400001165</v>
      </c>
      <c r="C2401" s="8" t="s">
        <v>5197</v>
      </c>
      <c r="D2401" s="4" t="str">
        <f t="shared" si="258"/>
        <v>400001165R1</v>
      </c>
      <c r="E2401" s="309" t="str">
        <f>VLOOKUP($B2401,'D7 - NDB Impacted SPRF''s'!$E$6:$O$9929,2,FALSE)</f>
        <v>Provider Network File Extraction</v>
      </c>
      <c r="F2401" s="8" t="s">
        <v>3235</v>
      </c>
      <c r="G2401" s="8" t="s">
        <v>4758</v>
      </c>
      <c r="H2401" s="8" t="s">
        <v>2870</v>
      </c>
      <c r="I2401" s="20"/>
      <c r="J2401" s="8"/>
      <c r="K2401" s="182"/>
      <c r="L2401" s="8" t="s">
        <v>6164</v>
      </c>
      <c r="M2401" s="8" t="s">
        <v>2814</v>
      </c>
      <c r="N2401" s="367"/>
      <c r="O2401" s="8"/>
      <c r="P2401" s="4" t="str">
        <f>VLOOKUP($B2401,'D7 - NDB Impacted SPRF''s'!$E$16:$O$9929,9,FALSE)</f>
        <v>N</v>
      </c>
      <c r="Q2401" s="4" t="str">
        <f>VLOOKUP($B2401,'D7 - NDB Impacted SPRF''s'!$E$16:$O$9929,10,FALSE)</f>
        <v>N</v>
      </c>
      <c r="R2401" s="4" t="str">
        <f>VLOOKUP($B2401,'D7 - NDB Impacted SPRF''s'!$E$16:$O$9929,11,FALSE)</f>
        <v>N</v>
      </c>
      <c r="S2401" s="8"/>
      <c r="T2401" s="310"/>
      <c r="U2401" s="310"/>
      <c r="V2401" s="4"/>
      <c r="W2401" s="4"/>
      <c r="X2401" s="4"/>
      <c r="Y2401" s="4"/>
      <c r="Z2401" s="4"/>
      <c r="AA2401" s="4"/>
      <c r="AB2401" s="380" t="str">
        <f>VLOOKUP($B2401,'D7 - NDB Impacted SPRF''s'!$E$16:$O$9929,4,FALSE)</f>
        <v>Cancelled</v>
      </c>
      <c r="AC2401" s="380" t="str">
        <f>VLOOKUP($B2401,'D7 - NDB Impacted SPRF''s'!$E$16:$O$9929,3,FALSE)</f>
        <v>UnitedHealthcare Employer &amp; Individual</v>
      </c>
      <c r="AD2401" s="380" t="str">
        <f>VLOOKUP($B2401,'D7 - NDB Impacted SPRF''s'!$E$16:$O$9929,5,FALSE)</f>
        <v>United Health Networks</v>
      </c>
      <c r="AE2401" s="380" t="str">
        <f>VLOOKUP($B2401,'D7 - NDB Impacted SPRF''s'!$E$16:$O$9929,7,FALSE)</f>
        <v>Joe Ricci</v>
      </c>
      <c r="AF2401" s="380" t="str">
        <f>VLOOKUP($B2401,'D7 - NDB Impacted SPRF''s'!$E$16:$O$9929,6,FALSE)</f>
        <v>MICHAEL SWEET</v>
      </c>
      <c r="AG2401" s="282"/>
      <c r="AH2401" s="311" t="e">
        <f>INDEX('D5 - Gatekeeper - Projects'!$A$4:$AF$1010,$AM2401, 17)</f>
        <v>#N/A</v>
      </c>
      <c r="AI2401" s="8"/>
      <c r="AJ2401" s="57"/>
      <c r="AK2401" s="105"/>
      <c r="AM2401" s="6" t="e">
        <f>MATCH(D2401,'D5 - Gatekeeper - Projects'!$C$4:$C$1010,0)</f>
        <v>#N/A</v>
      </c>
      <c r="AN2401" s="6" t="b">
        <f t="shared" si="255"/>
        <v>1</v>
      </c>
      <c r="AO2401" s="6" t="str">
        <f t="shared" si="256"/>
        <v>OK</v>
      </c>
      <c r="AQ2401" s="6" t="e">
        <f>MATCH($D2401,'D4 - Provider Council Unsched'!$C$11:$C$234,0)</f>
        <v>#N/A</v>
      </c>
      <c r="AR2401" s="6" t="b">
        <f t="shared" si="257"/>
        <v>1</v>
      </c>
      <c r="AS2401" s="6" t="str">
        <f t="shared" si="254"/>
        <v>OK</v>
      </c>
      <c r="AU2401" s="202"/>
      <c r="AV2401" s="262"/>
      <c r="AW2401" s="274"/>
    </row>
    <row r="2402" spans="1:49" s="13" customFormat="1" ht="33.75" x14ac:dyDescent="0.2">
      <c r="A2402" s="14">
        <v>2378</v>
      </c>
      <c r="B2402" s="14">
        <v>400001183</v>
      </c>
      <c r="C2402" s="8" t="s">
        <v>5197</v>
      </c>
      <c r="D2402" s="4" t="str">
        <f t="shared" si="258"/>
        <v>400001183R1</v>
      </c>
      <c r="E2402" s="309" t="str">
        <f>VLOOKUP($B2402,'D7 - NDB Impacted SPRF''s'!$E$6:$O$9929,2,FALSE)</f>
        <v>Site of service</v>
      </c>
      <c r="F2402" s="8"/>
      <c r="G2402" s="8" t="s">
        <v>4758</v>
      </c>
      <c r="H2402" s="8" t="s">
        <v>2870</v>
      </c>
      <c r="I2402" s="20"/>
      <c r="J2402" s="8"/>
      <c r="K2402" s="182"/>
      <c r="L2402" s="8" t="s">
        <v>6164</v>
      </c>
      <c r="M2402" s="8" t="s">
        <v>2814</v>
      </c>
      <c r="N2402" s="367"/>
      <c r="O2402" s="8"/>
      <c r="P2402" s="4" t="str">
        <f>VLOOKUP($B2402,'D7 - NDB Impacted SPRF''s'!$E$16:$O$9929,9,FALSE)</f>
        <v>Y</v>
      </c>
      <c r="Q2402" s="4" t="str">
        <f>VLOOKUP($B2402,'D7 - NDB Impacted SPRF''s'!$E$16:$O$9929,10,FALSE)</f>
        <v>N</v>
      </c>
      <c r="R2402" s="4" t="str">
        <f>VLOOKUP($B2402,'D7 - NDB Impacted SPRF''s'!$E$16:$O$9929,11,FALSE)</f>
        <v>N</v>
      </c>
      <c r="S2402" s="8"/>
      <c r="T2402" s="310"/>
      <c r="U2402" s="310"/>
      <c r="V2402" s="4"/>
      <c r="W2402" s="4"/>
      <c r="X2402" s="4"/>
      <c r="Y2402" s="4"/>
      <c r="Z2402" s="4"/>
      <c r="AA2402" s="4"/>
      <c r="AB2402" s="380" t="str">
        <f>VLOOKUP($B2402,'D7 - NDB Impacted SPRF''s'!$E$16:$O$9929,4,FALSE)</f>
        <v>Cancelled</v>
      </c>
      <c r="AC2402" s="380" t="str">
        <f>VLOOKUP($B2402,'D7 - NDB Impacted SPRF''s'!$E$16:$O$9929,3,FALSE)</f>
        <v>UnitedHealthcare Employer &amp; Individual</v>
      </c>
      <c r="AD2402" s="380" t="str">
        <f>VLOOKUP($B2402,'D7 - NDB Impacted SPRF''s'!$E$16:$O$9929,5,FALSE)</f>
        <v>Operations Group</v>
      </c>
      <c r="AE2402" s="380" t="str">
        <f>VLOOKUP($B2402,'D7 - NDB Impacted SPRF''s'!$E$16:$O$9929,7,FALSE)</f>
        <v>Edward Novinski</v>
      </c>
      <c r="AF2402" s="380" t="str">
        <f>VLOOKUP($B2402,'D7 - NDB Impacted SPRF''s'!$E$16:$O$9929,6,FALSE)</f>
        <v>BRAHMBHATT LIBBY</v>
      </c>
      <c r="AG2402" s="282"/>
      <c r="AH2402" s="311" t="e">
        <f>INDEX('D5 - Gatekeeper - Projects'!$A$4:$AF$1010,$AM2402, 17)</f>
        <v>#N/A</v>
      </c>
      <c r="AI2402" s="8"/>
      <c r="AJ2402" s="57"/>
      <c r="AK2402" s="105"/>
      <c r="AM2402" s="6" t="e">
        <f>MATCH(D2402,'D5 - Gatekeeper - Projects'!$C$4:$C$1010,0)</f>
        <v>#N/A</v>
      </c>
      <c r="AN2402" s="6" t="b">
        <f t="shared" si="255"/>
        <v>1</v>
      </c>
      <c r="AO2402" s="6" t="str">
        <f t="shared" si="256"/>
        <v>OK</v>
      </c>
      <c r="AQ2402" s="6" t="e">
        <f>MATCH($D2402,'D4 - Provider Council Unsched'!$C$11:$C$234,0)</f>
        <v>#N/A</v>
      </c>
      <c r="AR2402" s="6" t="b">
        <f t="shared" si="257"/>
        <v>1</v>
      </c>
      <c r="AS2402" s="6" t="str">
        <f t="shared" si="254"/>
        <v>OK</v>
      </c>
      <c r="AU2402" s="202"/>
      <c r="AV2402" s="262"/>
      <c r="AW2402" s="274"/>
    </row>
    <row r="2403" spans="1:49" s="13" customFormat="1" ht="33.75" x14ac:dyDescent="0.2">
      <c r="A2403" s="14">
        <v>2379</v>
      </c>
      <c r="B2403" s="14">
        <v>400001189</v>
      </c>
      <c r="C2403" s="8" t="s">
        <v>5197</v>
      </c>
      <c r="D2403" s="4" t="str">
        <f t="shared" si="258"/>
        <v>400001189R1</v>
      </c>
      <c r="E2403" s="309" t="str">
        <f>VLOOKUP($B2403,'D7 - NDB Impacted SPRF''s'!$E$6:$O$9929,2,FALSE)</f>
        <v>Extending/Modifying TOPS TIN Suffix</v>
      </c>
      <c r="F2403" s="8" t="s">
        <v>6632</v>
      </c>
      <c r="G2403" s="8" t="s">
        <v>4758</v>
      </c>
      <c r="H2403" s="8" t="s">
        <v>2870</v>
      </c>
      <c r="I2403" s="20"/>
      <c r="J2403" s="8"/>
      <c r="K2403" s="182"/>
      <c r="L2403" s="8" t="s">
        <v>6164</v>
      </c>
      <c r="M2403" s="8" t="s">
        <v>2814</v>
      </c>
      <c r="N2403" s="367"/>
      <c r="O2403" s="8"/>
      <c r="P2403" s="4" t="str">
        <f>VLOOKUP($B2403,'D7 - NDB Impacted SPRF''s'!$E$16:$O$9929,9,FALSE)</f>
        <v>Y</v>
      </c>
      <c r="Q2403" s="4" t="str">
        <f>VLOOKUP($B2403,'D7 - NDB Impacted SPRF''s'!$E$16:$O$9929,10,FALSE)</f>
        <v>N</v>
      </c>
      <c r="R2403" s="4" t="str">
        <f>VLOOKUP($B2403,'D7 - NDB Impacted SPRF''s'!$E$16:$O$9929,11,FALSE)</f>
        <v>N</v>
      </c>
      <c r="S2403" s="8"/>
      <c r="T2403" s="310"/>
      <c r="U2403" s="310"/>
      <c r="V2403" s="4"/>
      <c r="W2403" s="4"/>
      <c r="X2403" s="4"/>
      <c r="Y2403" s="4"/>
      <c r="Z2403" s="4"/>
      <c r="AA2403" s="4"/>
      <c r="AB2403" s="380" t="str">
        <f>VLOOKUP($B2403,'D7 - NDB Impacted SPRF''s'!$E$16:$O$9929,4,FALSE)</f>
        <v>Cancelled</v>
      </c>
      <c r="AC2403" s="380" t="str">
        <f>VLOOKUP($B2403,'D7 - NDB Impacted SPRF''s'!$E$16:$O$9929,3,FALSE)</f>
        <v>UnitedHealthcare Employer &amp; Individual</v>
      </c>
      <c r="AD2403" s="380" t="str">
        <f>VLOOKUP($B2403,'D7 - NDB Impacted SPRF''s'!$E$16:$O$9929,5,FALSE)</f>
        <v>Operations Group</v>
      </c>
      <c r="AE2403" s="380" t="str">
        <f>VLOOKUP($B2403,'D7 - NDB Impacted SPRF''s'!$E$16:$O$9929,7,FALSE)</f>
        <v>Peter Bompane</v>
      </c>
      <c r="AF2403" s="380" t="str">
        <f>VLOOKUP($B2403,'D7 - NDB Impacted SPRF''s'!$E$16:$O$9929,6,FALSE)</f>
        <v>Jeff Huxley</v>
      </c>
      <c r="AG2403" s="282"/>
      <c r="AH2403" s="311" t="e">
        <f>INDEX('D5 - Gatekeeper - Projects'!$A$4:$AF$1010,$AM2403, 17)</f>
        <v>#N/A</v>
      </c>
      <c r="AI2403" s="8"/>
      <c r="AJ2403" s="57"/>
      <c r="AK2403" s="105"/>
      <c r="AM2403" s="6" t="e">
        <f>MATCH(D2403,'D5 - Gatekeeper - Projects'!$C$4:$C$1010,0)</f>
        <v>#N/A</v>
      </c>
      <c r="AN2403" s="6" t="b">
        <f t="shared" si="255"/>
        <v>1</v>
      </c>
      <c r="AO2403" s="6" t="str">
        <f t="shared" si="256"/>
        <v>OK</v>
      </c>
      <c r="AQ2403" s="6" t="e">
        <f>MATCH($D2403,'D4 - Provider Council Unsched'!$C$11:$C$234,0)</f>
        <v>#N/A</v>
      </c>
      <c r="AR2403" s="6" t="b">
        <f t="shared" si="257"/>
        <v>1</v>
      </c>
      <c r="AS2403" s="6" t="str">
        <f t="shared" si="254"/>
        <v>OK</v>
      </c>
      <c r="AU2403" s="202"/>
      <c r="AV2403" s="262"/>
      <c r="AW2403" s="274"/>
    </row>
    <row r="2404" spans="1:49" s="13" customFormat="1" ht="33.75" x14ac:dyDescent="0.2">
      <c r="A2404" s="14">
        <v>2380</v>
      </c>
      <c r="B2404" s="14">
        <v>400001413</v>
      </c>
      <c r="C2404" s="8" t="s">
        <v>5197</v>
      </c>
      <c r="D2404" s="4" t="str">
        <f t="shared" si="258"/>
        <v>400001413R1</v>
      </c>
      <c r="E2404" s="309" t="str">
        <f>VLOOKUP($B2404,'D7 - NDB Impacted SPRF''s'!$E$6:$O$9929,2,FALSE)</f>
        <v>Modify NDB Reactivation Logic</v>
      </c>
      <c r="F2404" s="8" t="s">
        <v>6632</v>
      </c>
      <c r="G2404" s="8" t="s">
        <v>4758</v>
      </c>
      <c r="H2404" s="8" t="s">
        <v>2870</v>
      </c>
      <c r="I2404" s="20"/>
      <c r="J2404" s="8"/>
      <c r="K2404" s="182"/>
      <c r="L2404" s="8" t="s">
        <v>6164</v>
      </c>
      <c r="M2404" s="8" t="s">
        <v>2814</v>
      </c>
      <c r="N2404" s="367"/>
      <c r="O2404" s="8"/>
      <c r="P2404" s="4" t="str">
        <f>VLOOKUP($B2404,'D7 - NDB Impacted SPRF''s'!$E$16:$O$9929,9,FALSE)</f>
        <v>N</v>
      </c>
      <c r="Q2404" s="4" t="str">
        <f>VLOOKUP($B2404,'D7 - NDB Impacted SPRF''s'!$E$16:$O$9929,10,FALSE)</f>
        <v>N</v>
      </c>
      <c r="R2404" s="4" t="str">
        <f>VLOOKUP($B2404,'D7 - NDB Impacted SPRF''s'!$E$16:$O$9929,11,FALSE)</f>
        <v>N</v>
      </c>
      <c r="S2404" s="8"/>
      <c r="T2404" s="310"/>
      <c r="U2404" s="310"/>
      <c r="V2404" s="4"/>
      <c r="W2404" s="4"/>
      <c r="X2404" s="4"/>
      <c r="Y2404" s="4"/>
      <c r="Z2404" s="4"/>
      <c r="AA2404" s="4"/>
      <c r="AB2404" s="380" t="str">
        <f>VLOOKUP($B2404,'D7 - NDB Impacted SPRF''s'!$E$16:$O$9929,4,FALSE)</f>
        <v>Cancelled</v>
      </c>
      <c r="AC2404" s="380" t="str">
        <f>VLOOKUP($B2404,'D7 - NDB Impacted SPRF''s'!$E$16:$O$9929,3,FALSE)</f>
        <v>UnitedHealthcare Employer &amp; Individual</v>
      </c>
      <c r="AD2404" s="380" t="str">
        <f>VLOOKUP($B2404,'D7 - NDB Impacted SPRF''s'!$E$16:$O$9929,5,FALSE)</f>
        <v>Operations Group</v>
      </c>
      <c r="AE2404" s="380" t="str">
        <f>VLOOKUP($B2404,'D7 - NDB Impacted SPRF''s'!$E$16:$O$9929,7,FALSE)</f>
        <v>Peter Bompane</v>
      </c>
      <c r="AF2404" s="380" t="str">
        <f>VLOOKUP($B2404,'D7 - NDB Impacted SPRF''s'!$E$16:$O$9929,6,FALSE)</f>
        <v>Jeff Huxley</v>
      </c>
      <c r="AG2404" s="282"/>
      <c r="AH2404" s="311" t="e">
        <f>INDEX('D5 - Gatekeeper - Projects'!$A$4:$AF$1010,$AM2404, 17)</f>
        <v>#N/A</v>
      </c>
      <c r="AI2404" s="8"/>
      <c r="AJ2404" s="57"/>
      <c r="AK2404" s="105"/>
      <c r="AM2404" s="6" t="e">
        <f>MATCH(D2404,'D5 - Gatekeeper - Projects'!$C$4:$C$1010,0)</f>
        <v>#N/A</v>
      </c>
      <c r="AN2404" s="6" t="b">
        <f t="shared" si="255"/>
        <v>1</v>
      </c>
      <c r="AO2404" s="6" t="str">
        <f t="shared" si="256"/>
        <v>OK</v>
      </c>
      <c r="AQ2404" s="6" t="e">
        <f>MATCH($D2404,'D4 - Provider Council Unsched'!$C$11:$C$234,0)</f>
        <v>#N/A</v>
      </c>
      <c r="AR2404" s="6" t="b">
        <f t="shared" si="257"/>
        <v>1</v>
      </c>
      <c r="AS2404" s="6" t="str">
        <f t="shared" si="254"/>
        <v>OK</v>
      </c>
      <c r="AU2404" s="202"/>
      <c r="AV2404" s="262"/>
      <c r="AW2404" s="274"/>
    </row>
    <row r="2405" spans="1:49" s="13" customFormat="1" ht="33.75" x14ac:dyDescent="0.2">
      <c r="A2405" s="14">
        <v>2381</v>
      </c>
      <c r="B2405" s="14">
        <v>400001444</v>
      </c>
      <c r="C2405" s="8" t="s">
        <v>5197</v>
      </c>
      <c r="D2405" s="4" t="str">
        <f t="shared" si="258"/>
        <v>400001444R1</v>
      </c>
      <c r="E2405" s="309" t="str">
        <f>VLOOKUP($B2405,'D7 - NDB Impacted SPRF''s'!$E$6:$O$9929,2,FALSE)</f>
        <v>UHC Online Kick out reports</v>
      </c>
      <c r="F2405" s="8" t="s">
        <v>4069</v>
      </c>
      <c r="G2405" s="8" t="s">
        <v>4758</v>
      </c>
      <c r="H2405" s="8" t="s">
        <v>2870</v>
      </c>
      <c r="I2405" s="20"/>
      <c r="J2405" s="8"/>
      <c r="K2405" s="182"/>
      <c r="L2405" s="8" t="s">
        <v>6164</v>
      </c>
      <c r="M2405" s="8" t="s">
        <v>2814</v>
      </c>
      <c r="N2405" s="367"/>
      <c r="O2405" s="8"/>
      <c r="P2405" s="4" t="str">
        <f>VLOOKUP($B2405,'D7 - NDB Impacted SPRF''s'!$E$16:$O$9929,9,FALSE)</f>
        <v>N</v>
      </c>
      <c r="Q2405" s="4" t="str">
        <f>VLOOKUP($B2405,'D7 - NDB Impacted SPRF''s'!$E$16:$O$9929,10,FALSE)</f>
        <v>N</v>
      </c>
      <c r="R2405" s="4" t="str">
        <f>VLOOKUP($B2405,'D7 - NDB Impacted SPRF''s'!$E$16:$O$9929,11,FALSE)</f>
        <v>N</v>
      </c>
      <c r="S2405" s="8"/>
      <c r="T2405" s="310"/>
      <c r="U2405" s="310"/>
      <c r="V2405" s="4"/>
      <c r="W2405" s="4"/>
      <c r="X2405" s="4"/>
      <c r="Y2405" s="4"/>
      <c r="Z2405" s="4"/>
      <c r="AA2405" s="4"/>
      <c r="AB2405" s="380" t="str">
        <f>VLOOKUP($B2405,'D7 - NDB Impacted SPRF''s'!$E$16:$O$9929,4,FALSE)</f>
        <v>Cancelled</v>
      </c>
      <c r="AC2405" s="380" t="str">
        <f>VLOOKUP($B2405,'D7 - NDB Impacted SPRF''s'!$E$16:$O$9929,3,FALSE)</f>
        <v>UnitedHealthcare Employer &amp; Individual</v>
      </c>
      <c r="AD2405" s="380" t="str">
        <f>VLOOKUP($B2405,'D7 - NDB Impacted SPRF''s'!$E$16:$O$9929,5,FALSE)</f>
        <v>Operations Group</v>
      </c>
      <c r="AE2405" s="380" t="str">
        <f>VLOOKUP($B2405,'D7 - NDB Impacted SPRF''s'!$E$16:$O$9929,7,FALSE)</f>
        <v>Peter Bompane</v>
      </c>
      <c r="AF2405" s="380" t="str">
        <f>VLOOKUP($B2405,'D7 - NDB Impacted SPRF''s'!$E$16:$O$9929,6,FALSE)</f>
        <v>Patrick Schwartz</v>
      </c>
      <c r="AG2405" s="282"/>
      <c r="AH2405" s="311" t="e">
        <f>INDEX('D5 - Gatekeeper - Projects'!$A$4:$AF$1010,$AM2405, 17)</f>
        <v>#N/A</v>
      </c>
      <c r="AI2405" s="8"/>
      <c r="AJ2405" s="57"/>
      <c r="AK2405" s="105"/>
      <c r="AM2405" s="6" t="e">
        <f>MATCH(D2405,'D5 - Gatekeeper - Projects'!$C$4:$C$1010,0)</f>
        <v>#N/A</v>
      </c>
      <c r="AN2405" s="6" t="b">
        <f t="shared" si="255"/>
        <v>1</v>
      </c>
      <c r="AO2405" s="6" t="str">
        <f t="shared" si="256"/>
        <v>OK</v>
      </c>
      <c r="AQ2405" s="6" t="e">
        <f>MATCH($D2405,'D4 - Provider Council Unsched'!$C$11:$C$234,0)</f>
        <v>#N/A</v>
      </c>
      <c r="AR2405" s="6" t="b">
        <f t="shared" si="257"/>
        <v>1</v>
      </c>
      <c r="AS2405" s="6" t="str">
        <f t="shared" si="254"/>
        <v>OK</v>
      </c>
      <c r="AU2405" s="202"/>
      <c r="AV2405" s="262"/>
      <c r="AW2405" s="274"/>
    </row>
    <row r="2406" spans="1:49" s="13" customFormat="1" ht="33.75" x14ac:dyDescent="0.2">
      <c r="A2406" s="14">
        <v>2382</v>
      </c>
      <c r="B2406" s="14">
        <v>400001451</v>
      </c>
      <c r="C2406" s="8" t="s">
        <v>5197</v>
      </c>
      <c r="D2406" s="4" t="str">
        <f t="shared" si="258"/>
        <v>400001451R1</v>
      </c>
      <c r="E2406" s="309" t="str">
        <f>VLOOKUP($B2406,'D7 - NDB Impacted SPRF''s'!$E$6:$O$9929,2,FALSE)</f>
        <v>Modify EMCCF Logic - Utilize NDB Claim Runout Date</v>
      </c>
      <c r="F2406" s="8" t="s">
        <v>6632</v>
      </c>
      <c r="G2406" s="8" t="s">
        <v>4758</v>
      </c>
      <c r="H2406" s="8" t="s">
        <v>2870</v>
      </c>
      <c r="I2406" s="20">
        <v>1.75</v>
      </c>
      <c r="J2406" s="8" t="s">
        <v>7113</v>
      </c>
      <c r="K2406" s="182"/>
      <c r="L2406" s="8" t="s">
        <v>4156</v>
      </c>
      <c r="M2406" s="8" t="s">
        <v>2814</v>
      </c>
      <c r="N2406" s="367" t="s">
        <v>4653</v>
      </c>
      <c r="O2406" s="8"/>
      <c r="P2406" s="4" t="str">
        <f>VLOOKUP($B2406,'D7 - NDB Impacted SPRF''s'!$E$16:$O$9929,9,FALSE)</f>
        <v>N</v>
      </c>
      <c r="Q2406" s="4" t="str">
        <f>VLOOKUP($B2406,'D7 - NDB Impacted SPRF''s'!$E$16:$O$9929,10,FALSE)</f>
        <v>N</v>
      </c>
      <c r="R2406" s="4" t="str">
        <f>VLOOKUP($B2406,'D7 - NDB Impacted SPRF''s'!$E$16:$O$9929,11,FALSE)</f>
        <v>N</v>
      </c>
      <c r="S2406" s="8"/>
      <c r="T2406" s="310"/>
      <c r="U2406" s="310"/>
      <c r="V2406" s="4"/>
      <c r="W2406" s="4"/>
      <c r="X2406" s="4"/>
      <c r="Y2406" s="4"/>
      <c r="Z2406" s="4"/>
      <c r="AA2406" s="4"/>
      <c r="AB2406" s="380" t="str">
        <f>VLOOKUP($B2406,'D7 - NDB Impacted SPRF''s'!$E$16:$O$9929,4,FALSE)</f>
        <v>Cancelled</v>
      </c>
      <c r="AC2406" s="380" t="str">
        <f>VLOOKUP($B2406,'D7 - NDB Impacted SPRF''s'!$E$16:$O$9929,3,FALSE)</f>
        <v>UnitedHealthcare Employer &amp; Individual</v>
      </c>
      <c r="AD2406" s="380" t="str">
        <f>VLOOKUP($B2406,'D7 - NDB Impacted SPRF''s'!$E$16:$O$9929,5,FALSE)</f>
        <v>Operations Group</v>
      </c>
      <c r="AE2406" s="380" t="str">
        <f>VLOOKUP($B2406,'D7 - NDB Impacted SPRF''s'!$E$16:$O$9929,7,FALSE)</f>
        <v>Peter Bompane</v>
      </c>
      <c r="AF2406" s="380" t="str">
        <f>VLOOKUP($B2406,'D7 - NDB Impacted SPRF''s'!$E$16:$O$9929,6,FALSE)</f>
        <v>JEFFREY HUXLEY</v>
      </c>
      <c r="AG2406" s="282" t="s">
        <v>6682</v>
      </c>
      <c r="AH2406" s="311" t="e">
        <f>INDEX('D5 - Gatekeeper - Projects'!$A$4:$AF$1010,$AM2406, 17)</f>
        <v>#N/A</v>
      </c>
      <c r="AI2406" s="8"/>
      <c r="AJ2406" s="57"/>
      <c r="AK2406" s="105"/>
      <c r="AM2406" s="6" t="e">
        <f>MATCH(D2406,'D5 - Gatekeeper - Projects'!$C$4:$C$1010,0)</f>
        <v>#N/A</v>
      </c>
      <c r="AN2406" s="6" t="b">
        <f t="shared" si="255"/>
        <v>1</v>
      </c>
      <c r="AO2406" s="6" t="str">
        <f t="shared" si="256"/>
        <v>OK</v>
      </c>
      <c r="AQ2406" s="6" t="e">
        <f>MATCH($D2406,'D4 - Provider Council Unsched'!$C$11:$C$234,0)</f>
        <v>#N/A</v>
      </c>
      <c r="AR2406" s="6" t="b">
        <f t="shared" si="257"/>
        <v>1</v>
      </c>
      <c r="AS2406" s="6" t="str">
        <f t="shared" si="254"/>
        <v>OK</v>
      </c>
      <c r="AU2406" s="202"/>
      <c r="AV2406" s="262"/>
      <c r="AW2406" s="274"/>
    </row>
    <row r="2407" spans="1:49" s="13" customFormat="1" ht="33.75" x14ac:dyDescent="0.2">
      <c r="A2407" s="14">
        <v>2383</v>
      </c>
      <c r="B2407" s="14">
        <v>400001489</v>
      </c>
      <c r="C2407" s="8" t="s">
        <v>5197</v>
      </c>
      <c r="D2407" s="4" t="str">
        <f t="shared" si="258"/>
        <v>400001489R1</v>
      </c>
      <c r="E2407" s="309" t="str">
        <f>VLOOKUP($B2407,'D7 - NDB Impacted SPRF''s'!$E$6:$O$9929,2,FALSE)</f>
        <v>TellMe Phase 1 -- Routing and Basic Eligibility</v>
      </c>
      <c r="F2407" s="8"/>
      <c r="G2407" s="8" t="s">
        <v>4758</v>
      </c>
      <c r="H2407" s="8" t="s">
        <v>2870</v>
      </c>
      <c r="I2407" s="20"/>
      <c r="J2407" s="8"/>
      <c r="K2407" s="182"/>
      <c r="L2407" s="8" t="s">
        <v>6164</v>
      </c>
      <c r="M2407" s="8" t="s">
        <v>2814</v>
      </c>
      <c r="N2407" s="367"/>
      <c r="O2407" s="8"/>
      <c r="P2407" s="4" t="str">
        <f>VLOOKUP($B2407,'D7 - NDB Impacted SPRF''s'!$E$16:$O$9929,9,FALSE)</f>
        <v>N</v>
      </c>
      <c r="Q2407" s="4" t="str">
        <f>VLOOKUP($B2407,'D7 - NDB Impacted SPRF''s'!$E$16:$O$9929,10,FALSE)</f>
        <v>N</v>
      </c>
      <c r="R2407" s="4" t="str">
        <f>VLOOKUP($B2407,'D7 - NDB Impacted SPRF''s'!$E$16:$O$9929,11,FALSE)</f>
        <v>N</v>
      </c>
      <c r="S2407" s="8"/>
      <c r="T2407" s="310"/>
      <c r="U2407" s="310"/>
      <c r="V2407" s="4"/>
      <c r="W2407" s="4"/>
      <c r="X2407" s="4"/>
      <c r="Y2407" s="4"/>
      <c r="Z2407" s="4"/>
      <c r="AA2407" s="4"/>
      <c r="AB2407" s="380" t="str">
        <f>VLOOKUP($B2407,'D7 - NDB Impacted SPRF''s'!$E$16:$O$9929,4,FALSE)</f>
        <v>Cancelled</v>
      </c>
      <c r="AC2407" s="380" t="str">
        <f>VLOOKUP($B2407,'D7 - NDB Impacted SPRF''s'!$E$16:$O$9929,3,FALSE)</f>
        <v>UnitedHealthcare Community &amp; State</v>
      </c>
      <c r="AD2407" s="380" t="str">
        <f>VLOOKUP($B2407,'D7 - NDB Impacted SPRF''s'!$E$16:$O$9929,5,FALSE)</f>
        <v>AmeriChoice</v>
      </c>
      <c r="AE2407" s="380" t="str">
        <f>VLOOKUP($B2407,'D7 - NDB Impacted SPRF''s'!$E$16:$O$9929,7,FALSE)</f>
        <v>Bill Hagan</v>
      </c>
      <c r="AF2407" s="380" t="str">
        <f>VLOOKUP($B2407,'D7 - NDB Impacted SPRF''s'!$E$16:$O$9929,6,FALSE)</f>
        <v>MICHAEL CANTOR</v>
      </c>
      <c r="AG2407" s="282"/>
      <c r="AH2407" s="311" t="e">
        <f>INDEX('D5 - Gatekeeper - Projects'!$A$4:$AF$1010,$AM2407, 17)</f>
        <v>#N/A</v>
      </c>
      <c r="AI2407" s="8"/>
      <c r="AJ2407" s="57"/>
      <c r="AK2407" s="105"/>
      <c r="AM2407" s="6" t="e">
        <f>MATCH(D2407,'D5 - Gatekeeper - Projects'!$C$4:$C$1010,0)</f>
        <v>#N/A</v>
      </c>
      <c r="AN2407" s="6" t="b">
        <f t="shared" si="255"/>
        <v>1</v>
      </c>
      <c r="AO2407" s="6" t="str">
        <f t="shared" si="256"/>
        <v>OK</v>
      </c>
      <c r="AQ2407" s="6" t="e">
        <f>MATCH($D2407,'D4 - Provider Council Unsched'!$C$11:$C$234,0)</f>
        <v>#N/A</v>
      </c>
      <c r="AR2407" s="6" t="b">
        <f t="shared" si="257"/>
        <v>1</v>
      </c>
      <c r="AS2407" s="6" t="str">
        <f t="shared" si="254"/>
        <v>OK</v>
      </c>
      <c r="AU2407" s="202"/>
      <c r="AV2407" s="262"/>
      <c r="AW2407" s="274"/>
    </row>
    <row r="2408" spans="1:49" s="13" customFormat="1" ht="33.75" x14ac:dyDescent="0.2">
      <c r="A2408" s="14">
        <v>2384</v>
      </c>
      <c r="B2408" s="14">
        <v>400001531</v>
      </c>
      <c r="C2408" s="8" t="s">
        <v>5197</v>
      </c>
      <c r="D2408" s="4" t="str">
        <f t="shared" si="258"/>
        <v>400001531R1</v>
      </c>
      <c r="E2408" s="309" t="str">
        <f>VLOOKUP($B2408,'D7 - NDB Impacted SPRF''s'!$E$6:$O$9929,2,FALSE)</f>
        <v>Online Provider Directory - Future Effective Dates</v>
      </c>
      <c r="F2408" s="8" t="s">
        <v>5536</v>
      </c>
      <c r="G2408" s="8" t="s">
        <v>4758</v>
      </c>
      <c r="H2408" s="8" t="s">
        <v>2870</v>
      </c>
      <c r="I2408" s="20"/>
      <c r="J2408" s="8"/>
      <c r="K2408" s="182"/>
      <c r="L2408" s="8" t="s">
        <v>6164</v>
      </c>
      <c r="M2408" s="8" t="s">
        <v>2814</v>
      </c>
      <c r="N2408" s="367"/>
      <c r="O2408" s="8"/>
      <c r="P2408" s="4" t="str">
        <f>VLOOKUP($B2408,'D7 - NDB Impacted SPRF''s'!$E$16:$O$9929,9,FALSE)</f>
        <v>N</v>
      </c>
      <c r="Q2408" s="4" t="str">
        <f>VLOOKUP($B2408,'D7 - NDB Impacted SPRF''s'!$E$16:$O$9929,10,FALSE)</f>
        <v>N</v>
      </c>
      <c r="R2408" s="4" t="str">
        <f>VLOOKUP($B2408,'D7 - NDB Impacted SPRF''s'!$E$16:$O$9929,11,FALSE)</f>
        <v>N</v>
      </c>
      <c r="S2408" s="8"/>
      <c r="T2408" s="310"/>
      <c r="U2408" s="310"/>
      <c r="V2408" s="4"/>
      <c r="W2408" s="4"/>
      <c r="X2408" s="4"/>
      <c r="Y2408" s="4"/>
      <c r="Z2408" s="4"/>
      <c r="AA2408" s="4"/>
      <c r="AB2408" s="380" t="str">
        <f>VLOOKUP($B2408,'D7 - NDB Impacted SPRF''s'!$E$16:$O$9929,4,FALSE)</f>
        <v>Cancelled</v>
      </c>
      <c r="AC2408" s="380" t="str">
        <f>VLOOKUP($B2408,'D7 - NDB Impacted SPRF''s'!$E$16:$O$9929,3,FALSE)</f>
        <v>UnitedHealthcare Employer &amp; Individual</v>
      </c>
      <c r="AD2408" s="380" t="str">
        <f>VLOOKUP($B2408,'D7 - NDB Impacted SPRF''s'!$E$16:$O$9929,5,FALSE)</f>
        <v>Operations Group</v>
      </c>
      <c r="AE2408" s="380" t="str">
        <f>VLOOKUP($B2408,'D7 - NDB Impacted SPRF''s'!$E$16:$O$9929,7,FALSE)</f>
        <v>John Cravero</v>
      </c>
      <c r="AF2408" s="380" t="str">
        <f>VLOOKUP($B2408,'D7 - NDB Impacted SPRF''s'!$E$16:$O$9929,6,FALSE)</f>
        <v>OLIVA MARGARET</v>
      </c>
      <c r="AG2408" s="282"/>
      <c r="AH2408" s="311" t="e">
        <f>INDEX('D5 - Gatekeeper - Projects'!$A$4:$AF$1010,$AM2408, 17)</f>
        <v>#N/A</v>
      </c>
      <c r="AI2408" s="8"/>
      <c r="AJ2408" s="57"/>
      <c r="AK2408" s="105"/>
      <c r="AM2408" s="6" t="e">
        <f>MATCH(D2408,'D5 - Gatekeeper - Projects'!$C$4:$C$1010,0)</f>
        <v>#N/A</v>
      </c>
      <c r="AN2408" s="6" t="b">
        <f t="shared" si="255"/>
        <v>1</v>
      </c>
      <c r="AO2408" s="6" t="str">
        <f t="shared" si="256"/>
        <v>OK</v>
      </c>
      <c r="AQ2408" s="6" t="e">
        <f>MATCH($D2408,'D4 - Provider Council Unsched'!$C$11:$C$234,0)</f>
        <v>#N/A</v>
      </c>
      <c r="AR2408" s="6" t="b">
        <f t="shared" si="257"/>
        <v>1</v>
      </c>
      <c r="AS2408" s="6" t="str">
        <f t="shared" si="254"/>
        <v>OK</v>
      </c>
      <c r="AU2408" s="202"/>
      <c r="AV2408" s="262"/>
      <c r="AW2408" s="274"/>
    </row>
    <row r="2409" spans="1:49" s="13" customFormat="1" ht="33.75" x14ac:dyDescent="0.2">
      <c r="A2409" s="14">
        <v>2385</v>
      </c>
      <c r="B2409" s="14">
        <v>400001692</v>
      </c>
      <c r="C2409" s="8" t="s">
        <v>5197</v>
      </c>
      <c r="D2409" s="4" t="str">
        <f t="shared" si="258"/>
        <v>400001692R1</v>
      </c>
      <c r="E2409" s="309" t="str">
        <f>VLOOKUP($B2409,'D7 - NDB Impacted SPRF''s'!$E$6:$O$9929,2,FALSE)</f>
        <v>NDB Auto-Archive of Provider Data</v>
      </c>
      <c r="F2409" s="8" t="s">
        <v>6632</v>
      </c>
      <c r="G2409" s="8" t="s">
        <v>4758</v>
      </c>
      <c r="H2409" s="8" t="s">
        <v>2870</v>
      </c>
      <c r="I2409" s="20"/>
      <c r="J2409" s="8"/>
      <c r="K2409" s="182"/>
      <c r="L2409" s="8" t="s">
        <v>6164</v>
      </c>
      <c r="M2409" s="8" t="s">
        <v>2814</v>
      </c>
      <c r="N2409" s="367"/>
      <c r="O2409" s="8"/>
      <c r="P2409" s="4" t="str">
        <f>VLOOKUP($B2409,'D7 - NDB Impacted SPRF''s'!$E$16:$O$9929,9,FALSE)</f>
        <v>N</v>
      </c>
      <c r="Q2409" s="4" t="str">
        <f>VLOOKUP($B2409,'D7 - NDB Impacted SPRF''s'!$E$16:$O$9929,10,FALSE)</f>
        <v>N</v>
      </c>
      <c r="R2409" s="4" t="str">
        <f>VLOOKUP($B2409,'D7 - NDB Impacted SPRF''s'!$E$16:$O$9929,11,FALSE)</f>
        <v>N</v>
      </c>
      <c r="S2409" s="8"/>
      <c r="T2409" s="310"/>
      <c r="U2409" s="310"/>
      <c r="V2409" s="4"/>
      <c r="W2409" s="4"/>
      <c r="X2409" s="4"/>
      <c r="Y2409" s="4"/>
      <c r="Z2409" s="4"/>
      <c r="AA2409" s="4"/>
      <c r="AB2409" s="380" t="str">
        <f>VLOOKUP($B2409,'D7 - NDB Impacted SPRF''s'!$E$16:$O$9929,4,FALSE)</f>
        <v>Cancelled</v>
      </c>
      <c r="AC2409" s="380" t="str">
        <f>VLOOKUP($B2409,'D7 - NDB Impacted SPRF''s'!$E$16:$O$9929,3,FALSE)</f>
        <v>UnitedHealthcare Employer &amp; Individual</v>
      </c>
      <c r="AD2409" s="380" t="str">
        <f>VLOOKUP($B2409,'D7 - NDB Impacted SPRF''s'!$E$16:$O$9929,5,FALSE)</f>
        <v>Operations Group</v>
      </c>
      <c r="AE2409" s="380" t="str">
        <f>VLOOKUP($B2409,'D7 - NDB Impacted SPRF''s'!$E$16:$O$9929,7,FALSE)</f>
        <v>Peter Bompane</v>
      </c>
      <c r="AF2409" s="380" t="str">
        <f>VLOOKUP($B2409,'D7 - NDB Impacted SPRF''s'!$E$16:$O$9929,6,FALSE)</f>
        <v>Matthew E Johnson</v>
      </c>
      <c r="AG2409" s="282"/>
      <c r="AH2409" s="311" t="e">
        <f>INDEX('D5 - Gatekeeper - Projects'!$A$4:$AF$1010,$AM2409, 17)</f>
        <v>#N/A</v>
      </c>
      <c r="AI2409" s="8"/>
      <c r="AJ2409" s="57"/>
      <c r="AK2409" s="105"/>
      <c r="AM2409" s="6" t="e">
        <f>MATCH(D2409,'D5 - Gatekeeper - Projects'!$C$4:$C$1010,0)</f>
        <v>#N/A</v>
      </c>
      <c r="AN2409" s="6" t="b">
        <f t="shared" si="255"/>
        <v>1</v>
      </c>
      <c r="AO2409" s="6" t="str">
        <f t="shared" si="256"/>
        <v>OK</v>
      </c>
      <c r="AQ2409" s="6" t="e">
        <f>MATCH($D2409,'D4 - Provider Council Unsched'!$C$11:$C$234,0)</f>
        <v>#N/A</v>
      </c>
      <c r="AR2409" s="6" t="b">
        <f t="shared" si="257"/>
        <v>1</v>
      </c>
      <c r="AS2409" s="6" t="str">
        <f t="shared" si="254"/>
        <v>OK</v>
      </c>
      <c r="AU2409" s="202"/>
      <c r="AV2409" s="262"/>
      <c r="AW2409" s="274"/>
    </row>
    <row r="2410" spans="1:49" s="13" customFormat="1" ht="33.75" x14ac:dyDescent="0.2">
      <c r="A2410" s="14">
        <v>2386</v>
      </c>
      <c r="B2410" s="14">
        <v>400001693</v>
      </c>
      <c r="C2410" s="8" t="s">
        <v>5197</v>
      </c>
      <c r="D2410" s="4" t="str">
        <f t="shared" si="258"/>
        <v>400001693R1</v>
      </c>
      <c r="E2410" s="309" t="str">
        <f>VLOOKUP($B2410,'D7 - NDB Impacted SPRF''s'!$E$6:$O$9929,2,FALSE)</f>
        <v>COE enhancements to Myuhc.com</v>
      </c>
      <c r="F2410" s="8" t="s">
        <v>7242</v>
      </c>
      <c r="G2410" s="8" t="s">
        <v>4758</v>
      </c>
      <c r="H2410" s="8" t="s">
        <v>2870</v>
      </c>
      <c r="I2410" s="20"/>
      <c r="J2410" s="8"/>
      <c r="K2410" s="182"/>
      <c r="L2410" s="8" t="s">
        <v>6164</v>
      </c>
      <c r="M2410" s="8" t="s">
        <v>2814</v>
      </c>
      <c r="N2410" s="367"/>
      <c r="O2410" s="8"/>
      <c r="P2410" s="4" t="str">
        <f>VLOOKUP($B2410,'D7 - NDB Impacted SPRF''s'!$E$16:$O$9929,9,FALSE)</f>
        <v>N</v>
      </c>
      <c r="Q2410" s="4" t="str">
        <f>VLOOKUP($B2410,'D7 - NDB Impacted SPRF''s'!$E$16:$O$9929,10,FALSE)</f>
        <v>N</v>
      </c>
      <c r="R2410" s="4" t="str">
        <f>VLOOKUP($B2410,'D7 - NDB Impacted SPRF''s'!$E$16:$O$9929,11,FALSE)</f>
        <v>N</v>
      </c>
      <c r="S2410" s="8"/>
      <c r="T2410" s="310"/>
      <c r="U2410" s="310"/>
      <c r="V2410" s="4"/>
      <c r="W2410" s="4"/>
      <c r="X2410" s="4"/>
      <c r="Y2410" s="4"/>
      <c r="Z2410" s="4"/>
      <c r="AA2410" s="4"/>
      <c r="AB2410" s="380" t="str">
        <f>VLOOKUP($B2410,'D7 - NDB Impacted SPRF''s'!$E$16:$O$9929,4,FALSE)</f>
        <v>Cancelled</v>
      </c>
      <c r="AC2410" s="380" t="str">
        <f>VLOOKUP($B2410,'D7 - NDB Impacted SPRF''s'!$E$16:$O$9929,3,FALSE)</f>
        <v>UnitedHealthcare Employer &amp; Individual</v>
      </c>
      <c r="AD2410" s="380" t="str">
        <f>VLOOKUP($B2410,'D7 - NDB Impacted SPRF''s'!$E$16:$O$9929,5,FALSE)</f>
        <v>Portfolio Management</v>
      </c>
      <c r="AE2410" s="380" t="str">
        <f>VLOOKUP($B2410,'D7 - NDB Impacted SPRF''s'!$E$16:$O$9929,7,FALSE)</f>
        <v>Bill Whitely</v>
      </c>
      <c r="AF2410" s="380" t="str">
        <f>VLOOKUP($B2410,'D7 - NDB Impacted SPRF''s'!$E$16:$O$9929,6,FALSE)</f>
        <v>Joel Brey</v>
      </c>
      <c r="AG2410" s="282"/>
      <c r="AH2410" s="311" t="e">
        <f>INDEX('D5 - Gatekeeper - Projects'!$A$4:$AF$1010,$AM2410, 17)</f>
        <v>#N/A</v>
      </c>
      <c r="AI2410" s="8"/>
      <c r="AJ2410" s="57"/>
      <c r="AK2410" s="105"/>
      <c r="AM2410" s="6" t="e">
        <f>MATCH(D2410,'D5 - Gatekeeper - Projects'!$C$4:$C$1010,0)</f>
        <v>#N/A</v>
      </c>
      <c r="AN2410" s="6" t="b">
        <f t="shared" si="255"/>
        <v>1</v>
      </c>
      <c r="AO2410" s="6" t="str">
        <f t="shared" si="256"/>
        <v>OK</v>
      </c>
      <c r="AQ2410" s="6" t="e">
        <f>MATCH($D2410,'D4 - Provider Council Unsched'!$C$11:$C$234,0)</f>
        <v>#N/A</v>
      </c>
      <c r="AR2410" s="6" t="b">
        <f t="shared" si="257"/>
        <v>1</v>
      </c>
      <c r="AS2410" s="6" t="str">
        <f t="shared" si="254"/>
        <v>OK</v>
      </c>
      <c r="AU2410" s="202"/>
      <c r="AV2410" s="262"/>
      <c r="AW2410" s="274"/>
    </row>
    <row r="2411" spans="1:49" s="13" customFormat="1" ht="33.75" x14ac:dyDescent="0.2">
      <c r="A2411" s="14">
        <v>2387</v>
      </c>
      <c r="B2411" s="14">
        <v>400001696</v>
      </c>
      <c r="C2411" s="8" t="s">
        <v>5197</v>
      </c>
      <c r="D2411" s="4" t="str">
        <f t="shared" si="258"/>
        <v>400001696R1</v>
      </c>
      <c r="E2411" s="309" t="str">
        <f>VLOOKUP($B2411,'D7 - NDB Impacted SPRF''s'!$E$6:$O$9929,2,FALSE)</f>
        <v>NDB Data Cleanup to help UFE Selection</v>
      </c>
      <c r="F2411" s="8" t="s">
        <v>6632</v>
      </c>
      <c r="G2411" s="8" t="s">
        <v>4758</v>
      </c>
      <c r="H2411" s="8" t="s">
        <v>2870</v>
      </c>
      <c r="I2411" s="20"/>
      <c r="J2411" s="8"/>
      <c r="K2411" s="182"/>
      <c r="L2411" s="8" t="s">
        <v>6164</v>
      </c>
      <c r="M2411" s="8" t="s">
        <v>2814</v>
      </c>
      <c r="N2411" s="367"/>
      <c r="O2411" s="8"/>
      <c r="P2411" s="4" t="str">
        <f>VLOOKUP($B2411,'D7 - NDB Impacted SPRF''s'!$E$16:$O$9929,9,FALSE)</f>
        <v>N</v>
      </c>
      <c r="Q2411" s="4" t="str">
        <f>VLOOKUP($B2411,'D7 - NDB Impacted SPRF''s'!$E$16:$O$9929,10,FALSE)</f>
        <v>N</v>
      </c>
      <c r="R2411" s="4" t="str">
        <f>VLOOKUP($B2411,'D7 - NDB Impacted SPRF''s'!$E$16:$O$9929,11,FALSE)</f>
        <v>N</v>
      </c>
      <c r="S2411" s="8"/>
      <c r="T2411" s="310"/>
      <c r="U2411" s="310"/>
      <c r="V2411" s="4"/>
      <c r="W2411" s="4"/>
      <c r="X2411" s="4"/>
      <c r="Y2411" s="4"/>
      <c r="Z2411" s="4"/>
      <c r="AA2411" s="4"/>
      <c r="AB2411" s="380" t="str">
        <f>VLOOKUP($B2411,'D7 - NDB Impacted SPRF''s'!$E$16:$O$9929,4,FALSE)</f>
        <v>Cancelled</v>
      </c>
      <c r="AC2411" s="380" t="str">
        <f>VLOOKUP($B2411,'D7 - NDB Impacted SPRF''s'!$E$16:$O$9929,3,FALSE)</f>
        <v>UnitedHealthcare Employer &amp; Individual</v>
      </c>
      <c r="AD2411" s="380" t="str">
        <f>VLOOKUP($B2411,'D7 - NDB Impacted SPRF''s'!$E$16:$O$9929,5,FALSE)</f>
        <v>Operations Group</v>
      </c>
      <c r="AE2411" s="380" t="str">
        <f>VLOOKUP($B2411,'D7 - NDB Impacted SPRF''s'!$E$16:$O$9929,7,FALSE)</f>
        <v>Peter Bompane</v>
      </c>
      <c r="AF2411" s="380" t="str">
        <f>VLOOKUP($B2411,'D7 - NDB Impacted SPRF''s'!$E$16:$O$9929,6,FALSE)</f>
        <v>Matthew E Johnson</v>
      </c>
      <c r="AG2411" s="282"/>
      <c r="AH2411" s="311" t="e">
        <f>INDEX('D5 - Gatekeeper - Projects'!$A$4:$AF$1010,$AM2411, 17)</f>
        <v>#N/A</v>
      </c>
      <c r="AI2411" s="8"/>
      <c r="AJ2411" s="57"/>
      <c r="AK2411" s="105"/>
      <c r="AM2411" s="6" t="e">
        <f>MATCH(D2411,'D5 - Gatekeeper - Projects'!$C$4:$C$1010,0)</f>
        <v>#N/A</v>
      </c>
      <c r="AN2411" s="6" t="b">
        <f t="shared" si="255"/>
        <v>1</v>
      </c>
      <c r="AO2411" s="6" t="str">
        <f t="shared" si="256"/>
        <v>OK</v>
      </c>
      <c r="AQ2411" s="6" t="e">
        <f>MATCH($D2411,'D4 - Provider Council Unsched'!$C$11:$C$234,0)</f>
        <v>#N/A</v>
      </c>
      <c r="AR2411" s="6" t="b">
        <f t="shared" si="257"/>
        <v>1</v>
      </c>
      <c r="AS2411" s="6" t="str">
        <f t="shared" si="254"/>
        <v>OK</v>
      </c>
      <c r="AU2411" s="202"/>
      <c r="AV2411" s="262"/>
      <c r="AW2411" s="274"/>
    </row>
    <row r="2412" spans="1:49" s="13" customFormat="1" ht="33.75" x14ac:dyDescent="0.2">
      <c r="A2412" s="14">
        <v>2388</v>
      </c>
      <c r="B2412" s="14">
        <v>400001697</v>
      </c>
      <c r="C2412" s="8" t="s">
        <v>5197</v>
      </c>
      <c r="D2412" s="4" t="str">
        <f t="shared" si="258"/>
        <v>400001697R1</v>
      </c>
      <c r="E2412" s="309" t="str">
        <f>VLOOKUP($B2412,'D7 - NDB Impacted SPRF''s'!$E$6:$O$9929,2,FALSE)</f>
        <v>NDB New Provider Deactivation/Reactivation Edits</v>
      </c>
      <c r="F2412" s="8" t="s">
        <v>6632</v>
      </c>
      <c r="G2412" s="8" t="s">
        <v>4758</v>
      </c>
      <c r="H2412" s="8" t="s">
        <v>2870</v>
      </c>
      <c r="I2412" s="20"/>
      <c r="J2412" s="8"/>
      <c r="K2412" s="182"/>
      <c r="L2412" s="8" t="s">
        <v>6164</v>
      </c>
      <c r="M2412" s="8" t="s">
        <v>2814</v>
      </c>
      <c r="N2412" s="367"/>
      <c r="O2412" s="8"/>
      <c r="P2412" s="4" t="str">
        <f>VLOOKUP($B2412,'D7 - NDB Impacted SPRF''s'!$E$16:$O$9929,9,FALSE)</f>
        <v>N</v>
      </c>
      <c r="Q2412" s="4" t="str">
        <f>VLOOKUP($B2412,'D7 - NDB Impacted SPRF''s'!$E$16:$O$9929,10,FALSE)</f>
        <v>N</v>
      </c>
      <c r="R2412" s="4" t="str">
        <f>VLOOKUP($B2412,'D7 - NDB Impacted SPRF''s'!$E$16:$O$9929,11,FALSE)</f>
        <v>N</v>
      </c>
      <c r="S2412" s="8"/>
      <c r="T2412" s="310"/>
      <c r="U2412" s="310"/>
      <c r="V2412" s="4"/>
      <c r="W2412" s="4"/>
      <c r="X2412" s="4"/>
      <c r="Y2412" s="4"/>
      <c r="Z2412" s="4"/>
      <c r="AA2412" s="4"/>
      <c r="AB2412" s="380" t="str">
        <f>VLOOKUP($B2412,'D7 - NDB Impacted SPRF''s'!$E$16:$O$9929,4,FALSE)</f>
        <v>Cancelled</v>
      </c>
      <c r="AC2412" s="380" t="str">
        <f>VLOOKUP($B2412,'D7 - NDB Impacted SPRF''s'!$E$16:$O$9929,3,FALSE)</f>
        <v>UnitedHealthcare Employer &amp; Individual</v>
      </c>
      <c r="AD2412" s="380" t="str">
        <f>VLOOKUP($B2412,'D7 - NDB Impacted SPRF''s'!$E$16:$O$9929,5,FALSE)</f>
        <v>Operations Group</v>
      </c>
      <c r="AE2412" s="380" t="str">
        <f>VLOOKUP($B2412,'D7 - NDB Impacted SPRF''s'!$E$16:$O$9929,7,FALSE)</f>
        <v>Peter Bompane</v>
      </c>
      <c r="AF2412" s="380" t="str">
        <f>VLOOKUP($B2412,'D7 - NDB Impacted SPRF''s'!$E$16:$O$9929,6,FALSE)</f>
        <v>Matthew E Johnson</v>
      </c>
      <c r="AG2412" s="282"/>
      <c r="AH2412" s="311" t="e">
        <f>INDEX('D5 - Gatekeeper - Projects'!$A$4:$AF$1010,$AM2412, 17)</f>
        <v>#N/A</v>
      </c>
      <c r="AI2412" s="8"/>
      <c r="AJ2412" s="57"/>
      <c r="AK2412" s="105"/>
      <c r="AM2412" s="6" t="e">
        <f>MATCH(D2412,'D5 - Gatekeeper - Projects'!$C$4:$C$1010,0)</f>
        <v>#N/A</v>
      </c>
      <c r="AN2412" s="6" t="b">
        <f t="shared" si="255"/>
        <v>1</v>
      </c>
      <c r="AO2412" s="6" t="str">
        <f t="shared" si="256"/>
        <v>OK</v>
      </c>
      <c r="AQ2412" s="6" t="e">
        <f>MATCH($D2412,'D4 - Provider Council Unsched'!$C$11:$C$234,0)</f>
        <v>#N/A</v>
      </c>
      <c r="AR2412" s="6" t="b">
        <f t="shared" si="257"/>
        <v>1</v>
      </c>
      <c r="AS2412" s="6" t="str">
        <f t="shared" si="254"/>
        <v>OK</v>
      </c>
      <c r="AU2412" s="202"/>
      <c r="AV2412" s="262"/>
      <c r="AW2412" s="274"/>
    </row>
    <row r="2413" spans="1:49" s="13" customFormat="1" ht="33.75" x14ac:dyDescent="0.2">
      <c r="A2413" s="14">
        <v>2389</v>
      </c>
      <c r="B2413" s="14">
        <v>400001764</v>
      </c>
      <c r="C2413" s="8" t="s">
        <v>5197</v>
      </c>
      <c r="D2413" s="4" t="str">
        <f t="shared" si="258"/>
        <v>400001764R1</v>
      </c>
      <c r="E2413" s="309" t="str">
        <f>VLOOKUP($B2413,'D7 - NDB Impacted SPRF''s'!$E$6:$O$9929,2,FALSE)</f>
        <v>multiple provider update- UHC Online</v>
      </c>
      <c r="F2413" s="8" t="s">
        <v>5536</v>
      </c>
      <c r="G2413" s="8" t="s">
        <v>4758</v>
      </c>
      <c r="H2413" s="8" t="s">
        <v>2870</v>
      </c>
      <c r="I2413" s="20"/>
      <c r="J2413" s="8"/>
      <c r="K2413" s="182"/>
      <c r="L2413" s="8" t="s">
        <v>6164</v>
      </c>
      <c r="M2413" s="8" t="s">
        <v>2814</v>
      </c>
      <c r="N2413" s="367"/>
      <c r="O2413" s="8"/>
      <c r="P2413" s="4" t="str">
        <f>VLOOKUP($B2413,'D7 - NDB Impacted SPRF''s'!$E$16:$O$9929,9,FALSE)</f>
        <v>N</v>
      </c>
      <c r="Q2413" s="4" t="str">
        <f>VLOOKUP($B2413,'D7 - NDB Impacted SPRF''s'!$E$16:$O$9929,10,FALSE)</f>
        <v>N</v>
      </c>
      <c r="R2413" s="4" t="str">
        <f>VLOOKUP($B2413,'D7 - NDB Impacted SPRF''s'!$E$16:$O$9929,11,FALSE)</f>
        <v>N</v>
      </c>
      <c r="S2413" s="8"/>
      <c r="T2413" s="310"/>
      <c r="U2413" s="310"/>
      <c r="V2413" s="4"/>
      <c r="W2413" s="4"/>
      <c r="X2413" s="4"/>
      <c r="Y2413" s="4"/>
      <c r="Z2413" s="4"/>
      <c r="AA2413" s="4"/>
      <c r="AB2413" s="380" t="str">
        <f>VLOOKUP($B2413,'D7 - NDB Impacted SPRF''s'!$E$16:$O$9929,4,FALSE)</f>
        <v>Cancelled</v>
      </c>
      <c r="AC2413" s="380" t="str">
        <f>VLOOKUP($B2413,'D7 - NDB Impacted SPRF''s'!$E$16:$O$9929,3,FALSE)</f>
        <v>UnitedHealthcare Employer &amp; Individual</v>
      </c>
      <c r="AD2413" s="380" t="str">
        <f>VLOOKUP($B2413,'D7 - NDB Impacted SPRF''s'!$E$16:$O$9929,5,FALSE)</f>
        <v>Operations Group</v>
      </c>
      <c r="AE2413" s="380" t="str">
        <f>VLOOKUP($B2413,'D7 - NDB Impacted SPRF''s'!$E$16:$O$9929,7,FALSE)</f>
        <v>Anita Bachmann</v>
      </c>
      <c r="AF2413" s="380" t="str">
        <f>VLOOKUP($B2413,'D7 - NDB Impacted SPRF''s'!$E$16:$O$9929,6,FALSE)</f>
        <v>Patrick Schwartz</v>
      </c>
      <c r="AG2413" s="282"/>
      <c r="AH2413" s="311" t="e">
        <f>INDEX('D5 - Gatekeeper - Projects'!$A$4:$AF$1010,$AM2413, 17)</f>
        <v>#N/A</v>
      </c>
      <c r="AI2413" s="8"/>
      <c r="AJ2413" s="57"/>
      <c r="AK2413" s="105"/>
      <c r="AM2413" s="6" t="e">
        <f>MATCH(D2413,'D5 - Gatekeeper - Projects'!$C$4:$C$1010,0)</f>
        <v>#N/A</v>
      </c>
      <c r="AN2413" s="6" t="b">
        <f t="shared" si="255"/>
        <v>1</v>
      </c>
      <c r="AO2413" s="6" t="str">
        <f t="shared" si="256"/>
        <v>OK</v>
      </c>
      <c r="AQ2413" s="6" t="e">
        <f>MATCH($D2413,'D4 - Provider Council Unsched'!$C$11:$C$234,0)</f>
        <v>#N/A</v>
      </c>
      <c r="AR2413" s="6" t="b">
        <f t="shared" si="257"/>
        <v>1</v>
      </c>
      <c r="AS2413" s="6" t="str">
        <f t="shared" si="254"/>
        <v>OK</v>
      </c>
      <c r="AU2413" s="202"/>
      <c r="AV2413" s="262"/>
      <c r="AW2413" s="274"/>
    </row>
    <row r="2414" spans="1:49" s="13" customFormat="1" ht="33.75" x14ac:dyDescent="0.2">
      <c r="A2414" s="14">
        <v>2390</v>
      </c>
      <c r="B2414" s="14">
        <v>400001839</v>
      </c>
      <c r="C2414" s="8" t="s">
        <v>5197</v>
      </c>
      <c r="D2414" s="4" t="str">
        <f t="shared" si="258"/>
        <v>400001839R1</v>
      </c>
      <c r="E2414" s="309" t="str">
        <f>VLOOKUP($B2414,'D7 - NDB Impacted SPRF''s'!$E$6:$O$9929,2,FALSE)</f>
        <v>Center of Excellence (COE) indicator in NDB</v>
      </c>
      <c r="F2414" s="8" t="s">
        <v>7242</v>
      </c>
      <c r="G2414" s="8" t="s">
        <v>4758</v>
      </c>
      <c r="H2414" s="8" t="s">
        <v>2870</v>
      </c>
      <c r="I2414" s="20"/>
      <c r="J2414" s="8"/>
      <c r="K2414" s="182"/>
      <c r="L2414" s="8" t="s">
        <v>6164</v>
      </c>
      <c r="M2414" s="8" t="s">
        <v>2814</v>
      </c>
      <c r="N2414" s="367"/>
      <c r="O2414" s="8"/>
      <c r="P2414" s="4" t="str">
        <f>VLOOKUP($B2414,'D7 - NDB Impacted SPRF''s'!$E$16:$O$9929,9,FALSE)</f>
        <v>N</v>
      </c>
      <c r="Q2414" s="4" t="str">
        <f>VLOOKUP($B2414,'D7 - NDB Impacted SPRF''s'!$E$16:$O$9929,10,FALSE)</f>
        <v>N</v>
      </c>
      <c r="R2414" s="4" t="str">
        <f>VLOOKUP($B2414,'D7 - NDB Impacted SPRF''s'!$E$16:$O$9929,11,FALSE)</f>
        <v>N</v>
      </c>
      <c r="S2414" s="8"/>
      <c r="T2414" s="310"/>
      <c r="U2414" s="310"/>
      <c r="V2414" s="4"/>
      <c r="W2414" s="4"/>
      <c r="X2414" s="4"/>
      <c r="Y2414" s="4"/>
      <c r="Z2414" s="4"/>
      <c r="AA2414" s="4"/>
      <c r="AB2414" s="380" t="str">
        <f>VLOOKUP($B2414,'D7 - NDB Impacted SPRF''s'!$E$16:$O$9929,4,FALSE)</f>
        <v>Cancelled</v>
      </c>
      <c r="AC2414" s="380" t="str">
        <f>VLOOKUP($B2414,'D7 - NDB Impacted SPRF''s'!$E$16:$O$9929,3,FALSE)</f>
        <v>UnitedHealthcare Employer &amp; Individual</v>
      </c>
      <c r="AD2414" s="380" t="str">
        <f>VLOOKUP($B2414,'D7 - NDB Impacted SPRF''s'!$E$16:$O$9929,5,FALSE)</f>
        <v>United Health Networks</v>
      </c>
      <c r="AE2414" s="380" t="str">
        <f>VLOOKUP($B2414,'D7 - NDB Impacted SPRF''s'!$E$16:$O$9929,7,FALSE)</f>
        <v>kirk stapleton/EdNovinksy</v>
      </c>
      <c r="AF2414" s="380" t="str">
        <f>VLOOKUP($B2414,'D7 - NDB Impacted SPRF''s'!$E$16:$O$9929,6,FALSE)</f>
        <v>Patrick Schwartz</v>
      </c>
      <c r="AG2414" s="282"/>
      <c r="AH2414" s="311" t="e">
        <f>INDEX('D5 - Gatekeeper - Projects'!$A$4:$AF$1010,$AM2414, 17)</f>
        <v>#N/A</v>
      </c>
      <c r="AI2414" s="8"/>
      <c r="AJ2414" s="57"/>
      <c r="AK2414" s="105"/>
      <c r="AM2414" s="6" t="e">
        <f>MATCH(D2414,'D5 - Gatekeeper - Projects'!$C$4:$C$1010,0)</f>
        <v>#N/A</v>
      </c>
      <c r="AN2414" s="6" t="b">
        <f t="shared" si="255"/>
        <v>1</v>
      </c>
      <c r="AO2414" s="6" t="str">
        <f t="shared" si="256"/>
        <v>OK</v>
      </c>
      <c r="AQ2414" s="6" t="e">
        <f>MATCH($D2414,'D4 - Provider Council Unsched'!$C$11:$C$234,0)</f>
        <v>#N/A</v>
      </c>
      <c r="AR2414" s="6" t="b">
        <f t="shared" si="257"/>
        <v>1</v>
      </c>
      <c r="AS2414" s="6" t="str">
        <f t="shared" si="254"/>
        <v>OK</v>
      </c>
      <c r="AU2414" s="202"/>
      <c r="AV2414" s="262"/>
      <c r="AW2414" s="274"/>
    </row>
    <row r="2415" spans="1:49" s="13" customFormat="1" ht="33.75" x14ac:dyDescent="0.2">
      <c r="A2415" s="14">
        <v>2391</v>
      </c>
      <c r="B2415" s="14">
        <v>400001970</v>
      </c>
      <c r="C2415" s="8" t="s">
        <v>5197</v>
      </c>
      <c r="D2415" s="4" t="str">
        <f t="shared" si="258"/>
        <v>400001970R1</v>
      </c>
      <c r="E2415" s="309" t="str">
        <f>VLOOKUP($B2415,'D7 - NDB Impacted SPRF''s'!$E$6:$O$9929,2,FALSE)</f>
        <v>NDB Views into Web Application</v>
      </c>
      <c r="F2415" s="8" t="s">
        <v>6632</v>
      </c>
      <c r="G2415" s="8" t="s">
        <v>4758</v>
      </c>
      <c r="H2415" s="8" t="s">
        <v>2870</v>
      </c>
      <c r="I2415" s="20"/>
      <c r="J2415" s="8"/>
      <c r="K2415" s="182"/>
      <c r="L2415" s="8" t="s">
        <v>6164</v>
      </c>
      <c r="M2415" s="8" t="s">
        <v>2814</v>
      </c>
      <c r="N2415" s="367"/>
      <c r="O2415" s="8"/>
      <c r="P2415" s="4" t="str">
        <f>VLOOKUP($B2415,'D7 - NDB Impacted SPRF''s'!$E$16:$O$9929,9,FALSE)</f>
        <v>N</v>
      </c>
      <c r="Q2415" s="4" t="str">
        <f>VLOOKUP($B2415,'D7 - NDB Impacted SPRF''s'!$E$16:$O$9929,10,FALSE)</f>
        <v>N</v>
      </c>
      <c r="R2415" s="4" t="str">
        <f>VLOOKUP($B2415,'D7 - NDB Impacted SPRF''s'!$E$16:$O$9929,11,FALSE)</f>
        <v>N</v>
      </c>
      <c r="S2415" s="8"/>
      <c r="T2415" s="310"/>
      <c r="U2415" s="310"/>
      <c r="V2415" s="4"/>
      <c r="W2415" s="4"/>
      <c r="X2415" s="4"/>
      <c r="Y2415" s="4"/>
      <c r="Z2415" s="4"/>
      <c r="AA2415" s="4"/>
      <c r="AB2415" s="380" t="str">
        <f>VLOOKUP($B2415,'D7 - NDB Impacted SPRF''s'!$E$16:$O$9929,4,FALSE)</f>
        <v>Cancelled</v>
      </c>
      <c r="AC2415" s="380" t="str">
        <f>VLOOKUP($B2415,'D7 - NDB Impacted SPRF''s'!$E$16:$O$9929,3,FALSE)</f>
        <v>UnitedHealthcare Employer &amp; Individual</v>
      </c>
      <c r="AD2415" s="380" t="str">
        <f>VLOOKUP($B2415,'D7 - NDB Impacted SPRF''s'!$E$16:$O$9929,5,FALSE)</f>
        <v>Operations Group</v>
      </c>
      <c r="AE2415" s="380" t="str">
        <f>VLOOKUP($B2415,'D7 - NDB Impacted SPRF''s'!$E$16:$O$9929,7,FALSE)</f>
        <v>Tim Kaja/James Handlan/Bryan Morgenthaler</v>
      </c>
      <c r="AF2415" s="380" t="str">
        <f>VLOOKUP($B2415,'D7 - NDB Impacted SPRF''s'!$E$16:$O$9929,6,FALSE)</f>
        <v>Laura Burroughs</v>
      </c>
      <c r="AG2415" s="282"/>
      <c r="AH2415" s="311" t="e">
        <f>INDEX('D5 - Gatekeeper - Projects'!$A$4:$AF$1010,$AM2415, 17)</f>
        <v>#N/A</v>
      </c>
      <c r="AI2415" s="8"/>
      <c r="AJ2415" s="57"/>
      <c r="AK2415" s="105"/>
      <c r="AM2415" s="6" t="e">
        <f>MATCH(D2415,'D5 - Gatekeeper - Projects'!$C$4:$C$1010,0)</f>
        <v>#N/A</v>
      </c>
      <c r="AN2415" s="6" t="b">
        <f t="shared" si="255"/>
        <v>1</v>
      </c>
      <c r="AO2415" s="6" t="str">
        <f t="shared" si="256"/>
        <v>OK</v>
      </c>
      <c r="AQ2415" s="6" t="e">
        <f>MATCH($D2415,'D4 - Provider Council Unsched'!$C$11:$C$234,0)</f>
        <v>#N/A</v>
      </c>
      <c r="AR2415" s="6" t="b">
        <f t="shared" si="257"/>
        <v>1</v>
      </c>
      <c r="AS2415" s="6" t="str">
        <f t="shared" si="254"/>
        <v>OK</v>
      </c>
      <c r="AU2415" s="202"/>
      <c r="AV2415" s="262"/>
      <c r="AW2415" s="274"/>
    </row>
    <row r="2416" spans="1:49" s="13" customFormat="1" ht="33.75" x14ac:dyDescent="0.2">
      <c r="A2416" s="14">
        <v>2392</v>
      </c>
      <c r="B2416" s="14">
        <v>400002029</v>
      </c>
      <c r="C2416" s="8" t="s">
        <v>5197</v>
      </c>
      <c r="D2416" s="4" t="str">
        <f t="shared" si="258"/>
        <v>400002029R1</v>
      </c>
      <c r="E2416" s="309" t="str">
        <f>VLOOKUP($B2416,'D7 - NDB Impacted SPRF''s'!$E$6:$O$9929,2,FALSE)</f>
        <v>Alert Notification HL7 Feed</v>
      </c>
      <c r="F2416" s="8" t="s">
        <v>7410</v>
      </c>
      <c r="G2416" s="8" t="s">
        <v>4758</v>
      </c>
      <c r="H2416" s="8" t="s">
        <v>2870</v>
      </c>
      <c r="I2416" s="20"/>
      <c r="J2416" s="8"/>
      <c r="K2416" s="182"/>
      <c r="L2416" s="8" t="s">
        <v>6164</v>
      </c>
      <c r="M2416" s="8" t="s">
        <v>2814</v>
      </c>
      <c r="N2416" s="367"/>
      <c r="O2416" s="8"/>
      <c r="P2416" s="4" t="str">
        <f>VLOOKUP($B2416,'D7 - NDB Impacted SPRF''s'!$E$16:$O$9929,9,FALSE)</f>
        <v>N</v>
      </c>
      <c r="Q2416" s="4" t="str">
        <f>VLOOKUP($B2416,'D7 - NDB Impacted SPRF''s'!$E$16:$O$9929,10,FALSE)</f>
        <v>N</v>
      </c>
      <c r="R2416" s="4" t="str">
        <f>VLOOKUP($B2416,'D7 - NDB Impacted SPRF''s'!$E$16:$O$9929,11,FALSE)</f>
        <v>N</v>
      </c>
      <c r="S2416" s="8"/>
      <c r="T2416" s="310"/>
      <c r="U2416" s="310"/>
      <c r="V2416" s="4"/>
      <c r="W2416" s="4"/>
      <c r="X2416" s="4"/>
      <c r="Y2416" s="4"/>
      <c r="Z2416" s="4"/>
      <c r="AA2416" s="4"/>
      <c r="AB2416" s="380" t="str">
        <f>VLOOKUP($B2416,'D7 - NDB Impacted SPRF''s'!$E$16:$O$9929,4,FALSE)</f>
        <v>Cancelled</v>
      </c>
      <c r="AC2416" s="380" t="str">
        <f>VLOOKUP($B2416,'D7 - NDB Impacted SPRF''s'!$E$16:$O$9929,3,FALSE)</f>
        <v>UnitedHealthcare Employer &amp; Individual</v>
      </c>
      <c r="AD2416" s="380" t="str">
        <f>VLOOKUP($B2416,'D7 - NDB Impacted SPRF''s'!$E$16:$O$9929,5,FALSE)</f>
        <v>Operations Group</v>
      </c>
      <c r="AE2416" s="380" t="str">
        <f>VLOOKUP($B2416,'D7 - NDB Impacted SPRF''s'!$E$16:$O$9929,7,FALSE)</f>
        <v>Stephan Rodgers</v>
      </c>
      <c r="AF2416" s="380" t="str">
        <f>VLOOKUP($B2416,'D7 - NDB Impacted SPRF''s'!$E$16:$O$9929,6,FALSE)</f>
        <v>MICHAEL SWEET</v>
      </c>
      <c r="AG2416" s="282"/>
      <c r="AH2416" s="311" t="e">
        <f>INDEX('D5 - Gatekeeper - Projects'!$A$4:$AF$1010,$AM2416, 17)</f>
        <v>#N/A</v>
      </c>
      <c r="AI2416" s="8"/>
      <c r="AJ2416" s="57"/>
      <c r="AK2416" s="105"/>
      <c r="AM2416" s="6" t="e">
        <f>MATCH(D2416,'D5 - Gatekeeper - Projects'!$C$4:$C$1010,0)</f>
        <v>#N/A</v>
      </c>
      <c r="AN2416" s="6" t="b">
        <f t="shared" si="255"/>
        <v>1</v>
      </c>
      <c r="AO2416" s="6" t="str">
        <f t="shared" si="256"/>
        <v>OK</v>
      </c>
      <c r="AQ2416" s="6" t="e">
        <f>MATCH($D2416,'D4 - Provider Council Unsched'!$C$11:$C$234,0)</f>
        <v>#N/A</v>
      </c>
      <c r="AR2416" s="6" t="b">
        <f t="shared" si="257"/>
        <v>1</v>
      </c>
      <c r="AS2416" s="6" t="str">
        <f t="shared" si="254"/>
        <v>OK</v>
      </c>
      <c r="AU2416" s="202"/>
      <c r="AV2416" s="262"/>
      <c r="AW2416" s="274"/>
    </row>
    <row r="2417" spans="1:49" s="13" customFormat="1" x14ac:dyDescent="0.2">
      <c r="A2417" s="14">
        <v>2393</v>
      </c>
      <c r="B2417" s="14">
        <v>400002074</v>
      </c>
      <c r="C2417" s="8" t="s">
        <v>5197</v>
      </c>
      <c r="D2417" s="4" t="str">
        <f t="shared" si="258"/>
        <v>400002074R1</v>
      </c>
      <c r="E2417" s="309" t="str">
        <f>VLOOKUP($B2417,'D7 - NDB Impacted SPRF''s'!$E$6:$O$9929,2,FALSE)</f>
        <v>Notifications - Provider Search Contract Indicator</v>
      </c>
      <c r="F2417" s="8"/>
      <c r="G2417" s="8" t="s">
        <v>4758</v>
      </c>
      <c r="H2417" s="8" t="s">
        <v>2870</v>
      </c>
      <c r="I2417" s="20"/>
      <c r="J2417" s="8"/>
      <c r="K2417" s="182"/>
      <c r="L2417" s="8" t="s">
        <v>6164</v>
      </c>
      <c r="M2417" s="8" t="s">
        <v>2814</v>
      </c>
      <c r="N2417" s="367"/>
      <c r="O2417" s="8"/>
      <c r="P2417" s="4" t="str">
        <f>VLOOKUP($B2417,'D7 - NDB Impacted SPRF''s'!$E$16:$O$9929,9,FALSE)</f>
        <v>N</v>
      </c>
      <c r="Q2417" s="4" t="str">
        <f>VLOOKUP($B2417,'D7 - NDB Impacted SPRF''s'!$E$16:$O$9929,10,FALSE)</f>
        <v>N</v>
      </c>
      <c r="R2417" s="4" t="str">
        <f>VLOOKUP($B2417,'D7 - NDB Impacted SPRF''s'!$E$16:$O$9929,11,FALSE)</f>
        <v>N</v>
      </c>
      <c r="S2417" s="8"/>
      <c r="T2417" s="310"/>
      <c r="U2417" s="310"/>
      <c r="V2417" s="4"/>
      <c r="W2417" s="4"/>
      <c r="X2417" s="4"/>
      <c r="Y2417" s="4"/>
      <c r="Z2417" s="4"/>
      <c r="AA2417" s="4"/>
      <c r="AB2417" s="380" t="str">
        <f>VLOOKUP($B2417,'D7 - NDB Impacted SPRF''s'!$E$16:$O$9929,4,FALSE)</f>
        <v>Cancelled</v>
      </c>
      <c r="AC2417" s="380" t="str">
        <f>VLOOKUP($B2417,'D7 - NDB Impacted SPRF''s'!$E$16:$O$9929,3,FALSE)</f>
        <v>OptumHealth</v>
      </c>
      <c r="AD2417" s="380" t="str">
        <f>VLOOKUP($B2417,'D7 - NDB Impacted SPRF''s'!$E$16:$O$9929,5,FALSE)</f>
        <v>Optum</v>
      </c>
      <c r="AE2417" s="380" t="str">
        <f>VLOOKUP($B2417,'D7 - NDB Impacted SPRF''s'!$E$16:$O$9929,7,FALSE)</f>
        <v>Larry Schear</v>
      </c>
      <c r="AF2417" s="380" t="str">
        <f>VLOOKUP($B2417,'D7 - NDB Impacted SPRF''s'!$E$16:$O$9929,6,FALSE)</f>
        <v>Leslie Pitchford</v>
      </c>
      <c r="AG2417" s="282"/>
      <c r="AH2417" s="311" t="e">
        <f>INDEX('D5 - Gatekeeper - Projects'!$A$4:$AF$1010,$AM2417, 17)</f>
        <v>#N/A</v>
      </c>
      <c r="AI2417" s="8"/>
      <c r="AJ2417" s="57"/>
      <c r="AK2417" s="105"/>
      <c r="AM2417" s="6" t="e">
        <f>MATCH(D2417,'D5 - Gatekeeper - Projects'!$C$4:$C$1010,0)</f>
        <v>#N/A</v>
      </c>
      <c r="AN2417" s="6" t="b">
        <f t="shared" si="255"/>
        <v>1</v>
      </c>
      <c r="AO2417" s="6" t="str">
        <f t="shared" si="256"/>
        <v>OK</v>
      </c>
      <c r="AQ2417" s="6" t="e">
        <f>MATCH($D2417,'D4 - Provider Council Unsched'!$C$11:$C$234,0)</f>
        <v>#N/A</v>
      </c>
      <c r="AR2417" s="6" t="b">
        <f t="shared" si="257"/>
        <v>1</v>
      </c>
      <c r="AS2417" s="6" t="str">
        <f t="shared" si="254"/>
        <v>OK</v>
      </c>
      <c r="AU2417" s="202"/>
      <c r="AV2417" s="262"/>
      <c r="AW2417" s="274"/>
    </row>
    <row r="2418" spans="1:49" s="13" customFormat="1" x14ac:dyDescent="0.2">
      <c r="A2418" s="14">
        <v>2394</v>
      </c>
      <c r="B2418" s="14">
        <v>400002075</v>
      </c>
      <c r="C2418" s="8" t="s">
        <v>5197</v>
      </c>
      <c r="D2418" s="4" t="str">
        <f t="shared" si="258"/>
        <v>400002075R1</v>
      </c>
      <c r="E2418" s="309" t="str">
        <f>VLOOKUP($B2418,'D7 - NDB Impacted SPRF''s'!$E$6:$O$9929,2,FALSE)</f>
        <v>Notifications - Provider Search Favorites List</v>
      </c>
      <c r="F2418" s="8"/>
      <c r="G2418" s="8" t="s">
        <v>4758</v>
      </c>
      <c r="H2418" s="8" t="s">
        <v>2870</v>
      </c>
      <c r="I2418" s="20"/>
      <c r="J2418" s="8"/>
      <c r="K2418" s="182"/>
      <c r="L2418" s="8" t="s">
        <v>6164</v>
      </c>
      <c r="M2418" s="8" t="s">
        <v>2814</v>
      </c>
      <c r="N2418" s="367"/>
      <c r="O2418" s="8"/>
      <c r="P2418" s="4" t="str">
        <f>VLOOKUP($B2418,'D7 - NDB Impacted SPRF''s'!$E$16:$O$9929,9,FALSE)</f>
        <v>N</v>
      </c>
      <c r="Q2418" s="4" t="str">
        <f>VLOOKUP($B2418,'D7 - NDB Impacted SPRF''s'!$E$16:$O$9929,10,FALSE)</f>
        <v>N</v>
      </c>
      <c r="R2418" s="4" t="str">
        <f>VLOOKUP($B2418,'D7 - NDB Impacted SPRF''s'!$E$16:$O$9929,11,FALSE)</f>
        <v>N</v>
      </c>
      <c r="S2418" s="8"/>
      <c r="T2418" s="310"/>
      <c r="U2418" s="310"/>
      <c r="V2418" s="4"/>
      <c r="W2418" s="4"/>
      <c r="X2418" s="4"/>
      <c r="Y2418" s="4"/>
      <c r="Z2418" s="4"/>
      <c r="AA2418" s="4"/>
      <c r="AB2418" s="380" t="str">
        <f>VLOOKUP($B2418,'D7 - NDB Impacted SPRF''s'!$E$16:$O$9929,4,FALSE)</f>
        <v>Cancelled</v>
      </c>
      <c r="AC2418" s="380" t="str">
        <f>VLOOKUP($B2418,'D7 - NDB Impacted SPRF''s'!$E$16:$O$9929,3,FALSE)</f>
        <v>OptumHealth</v>
      </c>
      <c r="AD2418" s="380" t="str">
        <f>VLOOKUP($B2418,'D7 - NDB Impacted SPRF''s'!$E$16:$O$9929,5,FALSE)</f>
        <v>SCS</v>
      </c>
      <c r="AE2418" s="380" t="str">
        <f>VLOOKUP($B2418,'D7 - NDB Impacted SPRF''s'!$E$16:$O$9929,7,FALSE)</f>
        <v>Larry Schear</v>
      </c>
      <c r="AF2418" s="380" t="str">
        <f>VLOOKUP($B2418,'D7 - NDB Impacted SPRF''s'!$E$16:$O$9929,6,FALSE)</f>
        <v>Leslie Pitchford</v>
      </c>
      <c r="AG2418" s="282"/>
      <c r="AH2418" s="311" t="e">
        <f>INDEX('D5 - Gatekeeper - Projects'!$A$4:$AF$1010,$AM2418, 17)</f>
        <v>#N/A</v>
      </c>
      <c r="AI2418" s="8"/>
      <c r="AJ2418" s="57"/>
      <c r="AK2418" s="105"/>
      <c r="AM2418" s="6" t="e">
        <f>MATCH(D2418,'D5 - Gatekeeper - Projects'!$C$4:$C$1010,0)</f>
        <v>#N/A</v>
      </c>
      <c r="AN2418" s="6" t="b">
        <f t="shared" si="255"/>
        <v>1</v>
      </c>
      <c r="AO2418" s="6" t="str">
        <f t="shared" si="256"/>
        <v>OK</v>
      </c>
      <c r="AQ2418" s="6" t="e">
        <f>MATCH($D2418,'D4 - Provider Council Unsched'!$C$11:$C$234,0)</f>
        <v>#N/A</v>
      </c>
      <c r="AR2418" s="6" t="b">
        <f t="shared" si="257"/>
        <v>1</v>
      </c>
      <c r="AS2418" s="6" t="str">
        <f t="shared" si="254"/>
        <v>OK</v>
      </c>
      <c r="AU2418" s="202"/>
      <c r="AV2418" s="262"/>
      <c r="AW2418" s="274"/>
    </row>
    <row r="2419" spans="1:49" s="13" customFormat="1" ht="33.75" x14ac:dyDescent="0.2">
      <c r="A2419" s="14">
        <v>2395</v>
      </c>
      <c r="B2419" s="14">
        <v>400002407</v>
      </c>
      <c r="C2419" s="8" t="s">
        <v>5197</v>
      </c>
      <c r="D2419" s="4" t="str">
        <f t="shared" si="258"/>
        <v>400002407R1</v>
      </c>
      <c r="E2419" s="309" t="str">
        <f>VLOOKUP($B2419,'D7 - NDB Impacted SPRF''s'!$E$6:$O$9929,2,FALSE)</f>
        <v>Anesthesia Policy Changes</v>
      </c>
      <c r="F2419" s="8"/>
      <c r="G2419" s="8" t="s">
        <v>4758</v>
      </c>
      <c r="H2419" s="8" t="s">
        <v>2870</v>
      </c>
      <c r="I2419" s="20"/>
      <c r="J2419" s="8"/>
      <c r="K2419" s="182"/>
      <c r="L2419" s="8" t="s">
        <v>6164</v>
      </c>
      <c r="M2419" s="8" t="s">
        <v>2814</v>
      </c>
      <c r="N2419" s="367"/>
      <c r="O2419" s="8"/>
      <c r="P2419" s="4" t="str">
        <f>VLOOKUP($B2419,'D7 - NDB Impacted SPRF''s'!$E$16:$O$9929,9,FALSE)</f>
        <v>N</v>
      </c>
      <c r="Q2419" s="4" t="str">
        <f>VLOOKUP($B2419,'D7 - NDB Impacted SPRF''s'!$E$16:$O$9929,10,FALSE)</f>
        <v>N</v>
      </c>
      <c r="R2419" s="4" t="str">
        <f>VLOOKUP($B2419,'D7 - NDB Impacted SPRF''s'!$E$16:$O$9929,11,FALSE)</f>
        <v>N</v>
      </c>
      <c r="S2419" s="8"/>
      <c r="T2419" s="310"/>
      <c r="U2419" s="310"/>
      <c r="V2419" s="4"/>
      <c r="W2419" s="4"/>
      <c r="X2419" s="4"/>
      <c r="Y2419" s="4"/>
      <c r="Z2419" s="4"/>
      <c r="AA2419" s="4"/>
      <c r="AB2419" s="380" t="str">
        <f>VLOOKUP($B2419,'D7 - NDB Impacted SPRF''s'!$E$16:$O$9929,4,FALSE)</f>
        <v>Cancelled</v>
      </c>
      <c r="AC2419" s="380" t="str">
        <f>VLOOKUP($B2419,'D7 - NDB Impacted SPRF''s'!$E$16:$O$9929,3,FALSE)</f>
        <v>UnitedHealthcare Employer &amp; Individual</v>
      </c>
      <c r="AD2419" s="380" t="str">
        <f>VLOOKUP($B2419,'D7 - NDB Impacted SPRF''s'!$E$16:$O$9929,5,FALSE)</f>
        <v>United Health Networks</v>
      </c>
      <c r="AE2419" s="380" t="str">
        <f>VLOOKUP($B2419,'D7 - NDB Impacted SPRF''s'!$E$16:$O$9929,7,FALSE)</f>
        <v>Paul Karazija</v>
      </c>
      <c r="AF2419" s="380" t="str">
        <f>VLOOKUP($B2419,'D7 - NDB Impacted SPRF''s'!$E$16:$O$9929,6,FALSE)</f>
        <v>LORI POMROY</v>
      </c>
      <c r="AG2419" s="282"/>
      <c r="AH2419" s="311" t="e">
        <f>INDEX('D5 - Gatekeeper - Projects'!$A$4:$AF$1010,$AM2419, 17)</f>
        <v>#N/A</v>
      </c>
      <c r="AI2419" s="8"/>
      <c r="AJ2419" s="57"/>
      <c r="AK2419" s="105"/>
      <c r="AM2419" s="6" t="e">
        <f>MATCH(D2419,'D5 - Gatekeeper - Projects'!$C$4:$C$1010,0)</f>
        <v>#N/A</v>
      </c>
      <c r="AN2419" s="6" t="b">
        <f t="shared" si="255"/>
        <v>1</v>
      </c>
      <c r="AO2419" s="6" t="str">
        <f t="shared" si="256"/>
        <v>OK</v>
      </c>
      <c r="AQ2419" s="6" t="e">
        <f>MATCH($D2419,'D4 - Provider Council Unsched'!$C$11:$C$234,0)</f>
        <v>#N/A</v>
      </c>
      <c r="AR2419" s="6" t="b">
        <f t="shared" si="257"/>
        <v>1</v>
      </c>
      <c r="AS2419" s="6" t="str">
        <f t="shared" si="254"/>
        <v>OK</v>
      </c>
      <c r="AU2419" s="202"/>
      <c r="AV2419" s="262"/>
      <c r="AW2419" s="274"/>
    </row>
    <row r="2420" spans="1:49" s="13" customFormat="1" ht="33.75" x14ac:dyDescent="0.2">
      <c r="A2420" s="14">
        <v>2396</v>
      </c>
      <c r="B2420" s="14">
        <v>400002450</v>
      </c>
      <c r="C2420" s="8" t="s">
        <v>5197</v>
      </c>
      <c r="D2420" s="4" t="str">
        <f t="shared" si="258"/>
        <v>400002450R1</v>
      </c>
      <c r="E2420" s="309" t="str">
        <f>VLOOKUP($B2420,'D7 - NDB Impacted SPRF''s'!$E$6:$O$9929,2,FALSE)</f>
        <v>NDB R2 - Queue Consolidation &amp; Management</v>
      </c>
      <c r="F2420" s="8" t="s">
        <v>5125</v>
      </c>
      <c r="G2420" s="8" t="s">
        <v>4758</v>
      </c>
      <c r="H2420" s="8" t="s">
        <v>2870</v>
      </c>
      <c r="I2420" s="20"/>
      <c r="J2420" s="8"/>
      <c r="K2420" s="182"/>
      <c r="L2420" s="8" t="s">
        <v>6164</v>
      </c>
      <c r="M2420" s="8" t="s">
        <v>2814</v>
      </c>
      <c r="N2420" s="367"/>
      <c r="O2420" s="8"/>
      <c r="P2420" s="4" t="str">
        <f>VLOOKUP($B2420,'D7 - NDB Impacted SPRF''s'!$E$16:$O$9929,9,FALSE)</f>
        <v>Y</v>
      </c>
      <c r="Q2420" s="4" t="str">
        <f>VLOOKUP($B2420,'D7 - NDB Impacted SPRF''s'!$E$16:$O$9929,10,FALSE)</f>
        <v>N</v>
      </c>
      <c r="R2420" s="4" t="str">
        <f>VLOOKUP($B2420,'D7 - NDB Impacted SPRF''s'!$E$16:$O$9929,11,FALSE)</f>
        <v>N</v>
      </c>
      <c r="S2420" s="8"/>
      <c r="T2420" s="310"/>
      <c r="U2420" s="310"/>
      <c r="V2420" s="4"/>
      <c r="W2420" s="4"/>
      <c r="X2420" s="4"/>
      <c r="Y2420" s="4"/>
      <c r="Z2420" s="4"/>
      <c r="AA2420" s="4"/>
      <c r="AB2420" s="380" t="str">
        <f>VLOOKUP($B2420,'D7 - NDB Impacted SPRF''s'!$E$16:$O$9929,4,FALSE)</f>
        <v>Cancelled</v>
      </c>
      <c r="AC2420" s="380" t="str">
        <f>VLOOKUP($B2420,'D7 - NDB Impacted SPRF''s'!$E$16:$O$9929,3,FALSE)</f>
        <v>UnitedHealthcare Employer &amp; Individual</v>
      </c>
      <c r="AD2420" s="380" t="str">
        <f>VLOOKUP($B2420,'D7 - NDB Impacted SPRF''s'!$E$16:$O$9929,5,FALSE)</f>
        <v>Operations Group</v>
      </c>
      <c r="AE2420" s="380" t="str">
        <f>VLOOKUP($B2420,'D7 - NDB Impacted SPRF''s'!$E$16:$O$9929,7,FALSE)</f>
        <v>Peter Bompane</v>
      </c>
      <c r="AF2420" s="380" t="str">
        <f>VLOOKUP($B2420,'D7 - NDB Impacted SPRF''s'!$E$16:$O$9929,6,FALSE)</f>
        <v>Matthew E Johnson</v>
      </c>
      <c r="AG2420" s="282"/>
      <c r="AH2420" s="311" t="e">
        <f>INDEX('D5 - Gatekeeper - Projects'!$A$4:$AF$1010,$AM2420, 17)</f>
        <v>#N/A</v>
      </c>
      <c r="AI2420" s="8"/>
      <c r="AJ2420" s="57"/>
      <c r="AK2420" s="105"/>
      <c r="AM2420" s="6" t="e">
        <f>MATCH(D2420,'D5 - Gatekeeper - Projects'!$C$4:$C$1010,0)</f>
        <v>#N/A</v>
      </c>
      <c r="AN2420" s="6" t="b">
        <f t="shared" si="255"/>
        <v>1</v>
      </c>
      <c r="AO2420" s="6" t="str">
        <f t="shared" si="256"/>
        <v>OK</v>
      </c>
      <c r="AQ2420" s="6" t="e">
        <f>MATCH($D2420,'D4 - Provider Council Unsched'!$C$11:$C$234,0)</f>
        <v>#N/A</v>
      </c>
      <c r="AR2420" s="6" t="b">
        <f t="shared" si="257"/>
        <v>1</v>
      </c>
      <c r="AS2420" s="6" t="str">
        <f t="shared" si="254"/>
        <v>OK</v>
      </c>
      <c r="AU2420" s="202"/>
      <c r="AV2420" s="262"/>
      <c r="AW2420" s="274"/>
    </row>
    <row r="2421" spans="1:49" s="13" customFormat="1" ht="33.75" x14ac:dyDescent="0.2">
      <c r="A2421" s="14">
        <v>2397</v>
      </c>
      <c r="B2421" s="14">
        <v>400002454</v>
      </c>
      <c r="C2421" s="8" t="s">
        <v>5197</v>
      </c>
      <c r="D2421" s="4" t="str">
        <f t="shared" si="258"/>
        <v>400002454R1</v>
      </c>
      <c r="E2421" s="309" t="str">
        <f>VLOOKUP($B2421,'D7 - NDB Impacted SPRF''s'!$E$6:$O$9929,2,FALSE)</f>
        <v>NDB R2 - Contracting Front End</v>
      </c>
      <c r="F2421" s="8" t="s">
        <v>5125</v>
      </c>
      <c r="G2421" s="8" t="s">
        <v>4758</v>
      </c>
      <c r="H2421" s="8" t="s">
        <v>2870</v>
      </c>
      <c r="I2421" s="20"/>
      <c r="J2421" s="8"/>
      <c r="K2421" s="182"/>
      <c r="L2421" s="8" t="s">
        <v>6164</v>
      </c>
      <c r="M2421" s="8" t="s">
        <v>2814</v>
      </c>
      <c r="N2421" s="367"/>
      <c r="O2421" s="8"/>
      <c r="P2421" s="4" t="str">
        <f>VLOOKUP($B2421,'D7 - NDB Impacted SPRF''s'!$E$16:$O$9929,9,FALSE)</f>
        <v>N</v>
      </c>
      <c r="Q2421" s="4" t="str">
        <f>VLOOKUP($B2421,'D7 - NDB Impacted SPRF''s'!$E$16:$O$9929,10,FALSE)</f>
        <v>N</v>
      </c>
      <c r="R2421" s="4" t="str">
        <f>VLOOKUP($B2421,'D7 - NDB Impacted SPRF''s'!$E$16:$O$9929,11,FALSE)</f>
        <v>N</v>
      </c>
      <c r="S2421" s="8"/>
      <c r="T2421" s="310"/>
      <c r="U2421" s="310"/>
      <c r="V2421" s="4"/>
      <c r="W2421" s="4"/>
      <c r="X2421" s="4"/>
      <c r="Y2421" s="4"/>
      <c r="Z2421" s="4"/>
      <c r="AA2421" s="4"/>
      <c r="AB2421" s="380" t="str">
        <f>VLOOKUP($B2421,'D7 - NDB Impacted SPRF''s'!$E$16:$O$9929,4,FALSE)</f>
        <v>Cancelled</v>
      </c>
      <c r="AC2421" s="380" t="str">
        <f>VLOOKUP($B2421,'D7 - NDB Impacted SPRF''s'!$E$16:$O$9929,3,FALSE)</f>
        <v>UnitedHealthcare Employer &amp; Individual</v>
      </c>
      <c r="AD2421" s="380" t="str">
        <f>VLOOKUP($B2421,'D7 - NDB Impacted SPRF''s'!$E$16:$O$9929,5,FALSE)</f>
        <v>Operations Group</v>
      </c>
      <c r="AE2421" s="380" t="str">
        <f>VLOOKUP($B2421,'D7 - NDB Impacted SPRF''s'!$E$16:$O$9929,7,FALSE)</f>
        <v>Peter Bompane</v>
      </c>
      <c r="AF2421" s="380" t="str">
        <f>VLOOKUP($B2421,'D7 - NDB Impacted SPRF''s'!$E$16:$O$9929,6,FALSE)</f>
        <v>Matthew E Johnson</v>
      </c>
      <c r="AG2421" s="282"/>
      <c r="AH2421" s="311" t="e">
        <f>INDEX('D5 - Gatekeeper - Projects'!$A$4:$AF$1010,$AM2421, 17)</f>
        <v>#N/A</v>
      </c>
      <c r="AI2421" s="8"/>
      <c r="AJ2421" s="57"/>
      <c r="AK2421" s="105"/>
      <c r="AM2421" s="6" t="e">
        <f>MATCH(D2421,'D5 - Gatekeeper - Projects'!$C$4:$C$1010,0)</f>
        <v>#N/A</v>
      </c>
      <c r="AN2421" s="6" t="b">
        <f t="shared" si="255"/>
        <v>1</v>
      </c>
      <c r="AO2421" s="6" t="str">
        <f t="shared" si="256"/>
        <v>OK</v>
      </c>
      <c r="AQ2421" s="6" t="e">
        <f>MATCH($D2421,'D4 - Provider Council Unsched'!$C$11:$C$234,0)</f>
        <v>#N/A</v>
      </c>
      <c r="AR2421" s="6" t="b">
        <f t="shared" si="257"/>
        <v>1</v>
      </c>
      <c r="AS2421" s="6" t="str">
        <f t="shared" si="254"/>
        <v>OK</v>
      </c>
      <c r="AU2421" s="202"/>
      <c r="AV2421" s="262"/>
      <c r="AW2421" s="274"/>
    </row>
    <row r="2422" spans="1:49" s="13" customFormat="1" ht="33.75" x14ac:dyDescent="0.2">
      <c r="A2422" s="14">
        <v>2398</v>
      </c>
      <c r="B2422" s="14">
        <v>400002461</v>
      </c>
      <c r="C2422" s="8" t="s">
        <v>5197</v>
      </c>
      <c r="D2422" s="4" t="str">
        <f t="shared" si="258"/>
        <v>400002461R1</v>
      </c>
      <c r="E2422" s="309" t="str">
        <f>VLOOKUP($B2422,'D7 - NDB Impacted SPRF''s'!$E$6:$O$9929,2,FALSE)</f>
        <v>Code One Online and Batch Enhancement Project</v>
      </c>
      <c r="F2422" s="8" t="s">
        <v>6632</v>
      </c>
      <c r="G2422" s="8" t="s">
        <v>4758</v>
      </c>
      <c r="H2422" s="8" t="s">
        <v>2870</v>
      </c>
      <c r="I2422" s="20">
        <v>12.75</v>
      </c>
      <c r="J2422" s="8" t="s">
        <v>7113</v>
      </c>
      <c r="K2422" s="182"/>
      <c r="L2422" s="8" t="s">
        <v>4156</v>
      </c>
      <c r="M2422" s="8" t="s">
        <v>2814</v>
      </c>
      <c r="N2422" s="367" t="s">
        <v>4653</v>
      </c>
      <c r="O2422" s="8"/>
      <c r="P2422" s="4" t="str">
        <f>VLOOKUP($B2422,'D7 - NDB Impacted SPRF''s'!$E$16:$O$9929,9,FALSE)</f>
        <v>N</v>
      </c>
      <c r="Q2422" s="4" t="str">
        <f>VLOOKUP($B2422,'D7 - NDB Impacted SPRF''s'!$E$16:$O$9929,10,FALSE)</f>
        <v>N</v>
      </c>
      <c r="R2422" s="4" t="str">
        <f>VLOOKUP($B2422,'D7 - NDB Impacted SPRF''s'!$E$16:$O$9929,11,FALSE)</f>
        <v>N</v>
      </c>
      <c r="S2422" s="8"/>
      <c r="T2422" s="310"/>
      <c r="U2422" s="310"/>
      <c r="V2422" s="4"/>
      <c r="W2422" s="4"/>
      <c r="X2422" s="4"/>
      <c r="Y2422" s="4"/>
      <c r="Z2422" s="4"/>
      <c r="AA2422" s="4"/>
      <c r="AB2422" s="380" t="str">
        <f>VLOOKUP($B2422,'D7 - NDB Impacted SPRF''s'!$E$16:$O$9929,4,FALSE)</f>
        <v>Cancelled</v>
      </c>
      <c r="AC2422" s="380" t="str">
        <f>VLOOKUP($B2422,'D7 - NDB Impacted SPRF''s'!$E$16:$O$9929,3,FALSE)</f>
        <v>UnitedHealthcare Employer &amp; Individual</v>
      </c>
      <c r="AD2422" s="380" t="str">
        <f>VLOOKUP($B2422,'D7 - NDB Impacted SPRF''s'!$E$16:$O$9929,5,FALSE)</f>
        <v>Operations Group</v>
      </c>
      <c r="AE2422" s="380" t="str">
        <f>VLOOKUP($B2422,'D7 - NDB Impacted SPRF''s'!$E$16:$O$9929,7,FALSE)</f>
        <v>Peter Bompane</v>
      </c>
      <c r="AF2422" s="380" t="str">
        <f>VLOOKUP($B2422,'D7 - NDB Impacted SPRF''s'!$E$16:$O$9929,6,FALSE)</f>
        <v>Patrick Schwartz</v>
      </c>
      <c r="AG2422" s="282" t="s">
        <v>6682</v>
      </c>
      <c r="AH2422" s="311" t="e">
        <f>INDEX('D5 - Gatekeeper - Projects'!$A$4:$AF$1010,$AM2422, 17)</f>
        <v>#N/A</v>
      </c>
      <c r="AI2422" s="8"/>
      <c r="AJ2422" s="57"/>
      <c r="AK2422" s="105"/>
      <c r="AM2422" s="6" t="e">
        <f>MATCH(D2422,'D5 - Gatekeeper - Projects'!$C$4:$C$1010,0)</f>
        <v>#N/A</v>
      </c>
      <c r="AN2422" s="6" t="b">
        <f t="shared" si="255"/>
        <v>1</v>
      </c>
      <c r="AO2422" s="6" t="str">
        <f t="shared" si="256"/>
        <v>OK</v>
      </c>
      <c r="AQ2422" s="6" t="e">
        <f>MATCH($D2422,'D4 - Provider Council Unsched'!$C$11:$C$234,0)</f>
        <v>#N/A</v>
      </c>
      <c r="AR2422" s="6" t="b">
        <f t="shared" si="257"/>
        <v>1</v>
      </c>
      <c r="AS2422" s="6" t="str">
        <f t="shared" si="254"/>
        <v>OK</v>
      </c>
      <c r="AU2422" s="202"/>
      <c r="AV2422" s="262"/>
      <c r="AW2422" s="274"/>
    </row>
    <row r="2423" spans="1:49" s="13" customFormat="1" ht="33.75" x14ac:dyDescent="0.2">
      <c r="A2423" s="14">
        <v>2399</v>
      </c>
      <c r="B2423" s="14">
        <v>400002467</v>
      </c>
      <c r="C2423" s="8" t="s">
        <v>5197</v>
      </c>
      <c r="D2423" s="4" t="str">
        <f t="shared" si="258"/>
        <v>400002467R1</v>
      </c>
      <c r="E2423" s="309" t="str">
        <f>VLOOKUP($B2423,'D7 - NDB Impacted SPRF''s'!$E$6:$O$9929,2,FALSE)</f>
        <v>diCarta Validation Engine</v>
      </c>
      <c r="F2423" s="8" t="s">
        <v>4695</v>
      </c>
      <c r="G2423" s="8" t="s">
        <v>4758</v>
      </c>
      <c r="H2423" s="8" t="s">
        <v>2870</v>
      </c>
      <c r="I2423" s="20"/>
      <c r="J2423" s="8"/>
      <c r="K2423" s="182"/>
      <c r="L2423" s="8" t="s">
        <v>6164</v>
      </c>
      <c r="M2423" s="8" t="s">
        <v>2814</v>
      </c>
      <c r="N2423" s="367"/>
      <c r="O2423" s="8"/>
      <c r="P2423" s="4" t="str">
        <f>VLOOKUP($B2423,'D7 - NDB Impacted SPRF''s'!$E$16:$O$9929,9,FALSE)</f>
        <v>N</v>
      </c>
      <c r="Q2423" s="4" t="str">
        <f>VLOOKUP($B2423,'D7 - NDB Impacted SPRF''s'!$E$16:$O$9929,10,FALSE)</f>
        <v>N</v>
      </c>
      <c r="R2423" s="4" t="str">
        <f>VLOOKUP($B2423,'D7 - NDB Impacted SPRF''s'!$E$16:$O$9929,11,FALSE)</f>
        <v>N</v>
      </c>
      <c r="S2423" s="8"/>
      <c r="T2423" s="310"/>
      <c r="U2423" s="310"/>
      <c r="V2423" s="4"/>
      <c r="W2423" s="4"/>
      <c r="X2423" s="4"/>
      <c r="Y2423" s="4"/>
      <c r="Z2423" s="4"/>
      <c r="AA2423" s="4"/>
      <c r="AB2423" s="380" t="str">
        <f>VLOOKUP($B2423,'D7 - NDB Impacted SPRF''s'!$E$16:$O$9929,4,FALSE)</f>
        <v>Cancelled</v>
      </c>
      <c r="AC2423" s="380" t="str">
        <f>VLOOKUP($B2423,'D7 - NDB Impacted SPRF''s'!$E$16:$O$9929,3,FALSE)</f>
        <v>UnitedHealthcare Employer &amp; Individual</v>
      </c>
      <c r="AD2423" s="380" t="str">
        <f>VLOOKUP($B2423,'D7 - NDB Impacted SPRF''s'!$E$16:$O$9929,5,FALSE)</f>
        <v>Operations Group</v>
      </c>
      <c r="AE2423" s="380" t="str">
        <f>VLOOKUP($B2423,'D7 - NDB Impacted SPRF''s'!$E$16:$O$9929,7,FALSE)</f>
        <v>Peter Bompane</v>
      </c>
      <c r="AF2423" s="380" t="str">
        <f>VLOOKUP($B2423,'D7 - NDB Impacted SPRF''s'!$E$16:$O$9929,6,FALSE)</f>
        <v>MICHAEL LUCAS</v>
      </c>
      <c r="AG2423" s="282"/>
      <c r="AH2423" s="311" t="e">
        <f>INDEX('D5 - Gatekeeper - Projects'!$A$4:$AF$1010,$AM2423, 17)</f>
        <v>#N/A</v>
      </c>
      <c r="AI2423" s="8"/>
      <c r="AJ2423" s="57"/>
      <c r="AK2423" s="105"/>
      <c r="AM2423" s="6" t="e">
        <f>MATCH(D2423,'D5 - Gatekeeper - Projects'!$C$4:$C$1010,0)</f>
        <v>#N/A</v>
      </c>
      <c r="AN2423" s="6" t="b">
        <f t="shared" si="255"/>
        <v>1</v>
      </c>
      <c r="AO2423" s="6" t="str">
        <f t="shared" si="256"/>
        <v>OK</v>
      </c>
      <c r="AQ2423" s="6" t="e">
        <f>MATCH($D2423,'D4 - Provider Council Unsched'!$C$11:$C$234,0)</f>
        <v>#N/A</v>
      </c>
      <c r="AR2423" s="6" t="b">
        <f t="shared" si="257"/>
        <v>1</v>
      </c>
      <c r="AS2423" s="6" t="str">
        <f t="shared" si="254"/>
        <v>OK</v>
      </c>
      <c r="AU2423" s="202"/>
      <c r="AV2423" s="262"/>
      <c r="AW2423" s="274"/>
    </row>
    <row r="2424" spans="1:49" s="13" customFormat="1" ht="33.75" x14ac:dyDescent="0.2">
      <c r="A2424" s="14">
        <v>2400</v>
      </c>
      <c r="B2424" s="14">
        <v>400002468</v>
      </c>
      <c r="C2424" s="8" t="s">
        <v>5197</v>
      </c>
      <c r="D2424" s="4" t="str">
        <f t="shared" si="258"/>
        <v>400002468R1</v>
      </c>
      <c r="E2424" s="309" t="str">
        <f>VLOOKUP($B2424,'D7 - NDB Impacted SPRF''s'!$E$6:$O$9929,2,FALSE)</f>
        <v>Contract Load Feedback Loop</v>
      </c>
      <c r="F2424" s="8" t="s">
        <v>4695</v>
      </c>
      <c r="G2424" s="8" t="s">
        <v>4758</v>
      </c>
      <c r="H2424" s="8" t="s">
        <v>2870</v>
      </c>
      <c r="I2424" s="20"/>
      <c r="J2424" s="8"/>
      <c r="K2424" s="182"/>
      <c r="L2424" s="8" t="s">
        <v>6164</v>
      </c>
      <c r="M2424" s="8" t="s">
        <v>2814</v>
      </c>
      <c r="N2424" s="367"/>
      <c r="O2424" s="8"/>
      <c r="P2424" s="4" t="str">
        <f>VLOOKUP($B2424,'D7 - NDB Impacted SPRF''s'!$E$16:$O$9929,9,FALSE)</f>
        <v>N</v>
      </c>
      <c r="Q2424" s="4" t="str">
        <f>VLOOKUP($B2424,'D7 - NDB Impacted SPRF''s'!$E$16:$O$9929,10,FALSE)</f>
        <v>N</v>
      </c>
      <c r="R2424" s="4" t="str">
        <f>VLOOKUP($B2424,'D7 - NDB Impacted SPRF''s'!$E$16:$O$9929,11,FALSE)</f>
        <v>N</v>
      </c>
      <c r="S2424" s="8"/>
      <c r="T2424" s="310"/>
      <c r="U2424" s="310"/>
      <c r="V2424" s="4"/>
      <c r="W2424" s="4"/>
      <c r="X2424" s="4"/>
      <c r="Y2424" s="4"/>
      <c r="Z2424" s="4"/>
      <c r="AA2424" s="4"/>
      <c r="AB2424" s="380" t="str">
        <f>VLOOKUP($B2424,'D7 - NDB Impacted SPRF''s'!$E$16:$O$9929,4,FALSE)</f>
        <v>Cancelled</v>
      </c>
      <c r="AC2424" s="380" t="str">
        <f>VLOOKUP($B2424,'D7 - NDB Impacted SPRF''s'!$E$16:$O$9929,3,FALSE)</f>
        <v>UnitedHealthcare Employer &amp; Individual</v>
      </c>
      <c r="AD2424" s="380" t="str">
        <f>VLOOKUP($B2424,'D7 - NDB Impacted SPRF''s'!$E$16:$O$9929,5,FALSE)</f>
        <v>Operations Group</v>
      </c>
      <c r="AE2424" s="380" t="str">
        <f>VLOOKUP($B2424,'D7 - NDB Impacted SPRF''s'!$E$16:$O$9929,7,FALSE)</f>
        <v>Peter Bompane</v>
      </c>
      <c r="AF2424" s="380" t="str">
        <f>VLOOKUP($B2424,'D7 - NDB Impacted SPRF''s'!$E$16:$O$9929,6,FALSE)</f>
        <v>MICHAEL LUCAS</v>
      </c>
      <c r="AG2424" s="282"/>
      <c r="AH2424" s="311" t="e">
        <f>INDEX('D5 - Gatekeeper - Projects'!$A$4:$AF$1010,$AM2424, 17)</f>
        <v>#N/A</v>
      </c>
      <c r="AI2424" s="8"/>
      <c r="AJ2424" s="57"/>
      <c r="AK2424" s="105"/>
      <c r="AM2424" s="6" t="e">
        <f>MATCH(D2424,'D5 - Gatekeeper - Projects'!$C$4:$C$1010,0)</f>
        <v>#N/A</v>
      </c>
      <c r="AN2424" s="6" t="b">
        <f t="shared" si="255"/>
        <v>1</v>
      </c>
      <c r="AO2424" s="6" t="str">
        <f t="shared" si="256"/>
        <v>OK</v>
      </c>
      <c r="AQ2424" s="6" t="e">
        <f>MATCH($D2424,'D4 - Provider Council Unsched'!$C$11:$C$234,0)</f>
        <v>#N/A</v>
      </c>
      <c r="AR2424" s="6" t="b">
        <f t="shared" si="257"/>
        <v>1</v>
      </c>
      <c r="AS2424" s="6" t="str">
        <f t="shared" si="254"/>
        <v>OK</v>
      </c>
      <c r="AU2424" s="202"/>
      <c r="AV2424" s="262"/>
      <c r="AW2424" s="274"/>
    </row>
    <row r="2425" spans="1:49" s="13" customFormat="1" ht="33.75" x14ac:dyDescent="0.2">
      <c r="A2425" s="14">
        <v>2401</v>
      </c>
      <c r="B2425" s="14">
        <v>400002493</v>
      </c>
      <c r="C2425" s="8" t="s">
        <v>5197</v>
      </c>
      <c r="D2425" s="4" t="str">
        <f t="shared" si="258"/>
        <v>400002493R1</v>
      </c>
      <c r="E2425" s="309" t="str">
        <f>VLOOKUP($B2425,'D7 - NDB Impacted SPRF''s'!$E$6:$O$9929,2,FALSE)</f>
        <v>Automated Customer Installation - Release 1</v>
      </c>
      <c r="F2425" s="8" t="s">
        <v>2698</v>
      </c>
      <c r="G2425" s="8" t="s">
        <v>4758</v>
      </c>
      <c r="H2425" s="8" t="s">
        <v>2870</v>
      </c>
      <c r="I2425" s="20"/>
      <c r="J2425" s="8"/>
      <c r="K2425" s="182"/>
      <c r="L2425" s="8" t="s">
        <v>6164</v>
      </c>
      <c r="M2425" s="8" t="s">
        <v>2814</v>
      </c>
      <c r="N2425" s="367"/>
      <c r="O2425" s="8"/>
      <c r="P2425" s="4" t="str">
        <f>VLOOKUP($B2425,'D7 - NDB Impacted SPRF''s'!$E$16:$O$9929,9,FALSE)</f>
        <v>Y</v>
      </c>
      <c r="Q2425" s="4" t="str">
        <f>VLOOKUP($B2425,'D7 - NDB Impacted SPRF''s'!$E$16:$O$9929,10,FALSE)</f>
        <v>N</v>
      </c>
      <c r="R2425" s="4" t="str">
        <f>VLOOKUP($B2425,'D7 - NDB Impacted SPRF''s'!$E$16:$O$9929,11,FALSE)</f>
        <v>N</v>
      </c>
      <c r="S2425" s="8"/>
      <c r="T2425" s="310"/>
      <c r="U2425" s="310"/>
      <c r="V2425" s="4"/>
      <c r="W2425" s="4"/>
      <c r="X2425" s="4"/>
      <c r="Y2425" s="4"/>
      <c r="Z2425" s="4"/>
      <c r="AA2425" s="4"/>
      <c r="AB2425" s="380" t="str">
        <f>VLOOKUP($B2425,'D7 - NDB Impacted SPRF''s'!$E$16:$O$9929,4,FALSE)</f>
        <v>Cancelled</v>
      </c>
      <c r="AC2425" s="380" t="str">
        <f>VLOOKUP($B2425,'D7 - NDB Impacted SPRF''s'!$E$16:$O$9929,3,FALSE)</f>
        <v>UnitedHealthcare Employer &amp; Individual</v>
      </c>
      <c r="AD2425" s="380" t="str">
        <f>VLOOKUP($B2425,'D7 - NDB Impacted SPRF''s'!$E$16:$O$9929,5,FALSE)</f>
        <v>Operations Group</v>
      </c>
      <c r="AE2425" s="380" t="str">
        <f>VLOOKUP($B2425,'D7 - NDB Impacted SPRF''s'!$E$16:$O$9929,7,FALSE)</f>
        <v>Stevan Garcia</v>
      </c>
      <c r="AF2425" s="380" t="str">
        <f>VLOOKUP($B2425,'D7 - NDB Impacted SPRF''s'!$E$16:$O$9929,6,FALSE)</f>
        <v>WILLIAM REBOUL</v>
      </c>
      <c r="AG2425" s="282"/>
      <c r="AH2425" s="311" t="e">
        <f>INDEX('D5 - Gatekeeper - Projects'!$A$4:$AF$1010,$AM2425, 17)</f>
        <v>#N/A</v>
      </c>
      <c r="AI2425" s="8"/>
      <c r="AJ2425" s="57"/>
      <c r="AK2425" s="105"/>
      <c r="AM2425" s="6" t="e">
        <f>MATCH(D2425,'D5 - Gatekeeper - Projects'!$C$4:$C$1010,0)</f>
        <v>#N/A</v>
      </c>
      <c r="AN2425" s="6" t="b">
        <f t="shared" si="255"/>
        <v>1</v>
      </c>
      <c r="AO2425" s="6" t="str">
        <f t="shared" si="256"/>
        <v>OK</v>
      </c>
      <c r="AQ2425" s="6" t="e">
        <f>MATCH($D2425,'D4 - Provider Council Unsched'!$C$11:$C$234,0)</f>
        <v>#N/A</v>
      </c>
      <c r="AR2425" s="6" t="b">
        <f t="shared" si="257"/>
        <v>1</v>
      </c>
      <c r="AS2425" s="6" t="str">
        <f t="shared" si="254"/>
        <v>OK</v>
      </c>
      <c r="AU2425" s="202"/>
      <c r="AV2425" s="262"/>
      <c r="AW2425" s="274"/>
    </row>
    <row r="2426" spans="1:49" s="13" customFormat="1" ht="33.75" x14ac:dyDescent="0.2">
      <c r="A2426" s="14">
        <v>2402</v>
      </c>
      <c r="B2426" s="14">
        <v>400002497</v>
      </c>
      <c r="C2426" s="8" t="s">
        <v>5197</v>
      </c>
      <c r="D2426" s="4" t="str">
        <f t="shared" si="258"/>
        <v>400002497R1</v>
      </c>
      <c r="E2426" s="309" t="str">
        <f>VLOOKUP($B2426,'D7 - NDB Impacted SPRF''s'!$E$6:$O$9929,2,FALSE)</f>
        <v>Enable phone number to be same digits in NDB</v>
      </c>
      <c r="F2426" s="8" t="s">
        <v>6632</v>
      </c>
      <c r="G2426" s="8" t="s">
        <v>4758</v>
      </c>
      <c r="H2426" s="8" t="s">
        <v>2870</v>
      </c>
      <c r="I2426" s="20">
        <v>1.25</v>
      </c>
      <c r="J2426" s="8" t="s">
        <v>7113</v>
      </c>
      <c r="K2426" s="182"/>
      <c r="L2426" s="8" t="s">
        <v>4156</v>
      </c>
      <c r="M2426" s="8" t="s">
        <v>2814</v>
      </c>
      <c r="N2426" s="367" t="s">
        <v>4653</v>
      </c>
      <c r="O2426" s="8"/>
      <c r="P2426" s="4" t="str">
        <f>VLOOKUP($B2426,'D7 - NDB Impacted SPRF''s'!$E$16:$O$9929,9,FALSE)</f>
        <v>N</v>
      </c>
      <c r="Q2426" s="4" t="str">
        <f>VLOOKUP($B2426,'D7 - NDB Impacted SPRF''s'!$E$16:$O$9929,10,FALSE)</f>
        <v>N</v>
      </c>
      <c r="R2426" s="4" t="str">
        <f>VLOOKUP($B2426,'D7 - NDB Impacted SPRF''s'!$E$16:$O$9929,11,FALSE)</f>
        <v>N</v>
      </c>
      <c r="S2426" s="8"/>
      <c r="T2426" s="310"/>
      <c r="U2426" s="310"/>
      <c r="V2426" s="4"/>
      <c r="W2426" s="4"/>
      <c r="X2426" s="4"/>
      <c r="Y2426" s="4"/>
      <c r="Z2426" s="4"/>
      <c r="AA2426" s="4"/>
      <c r="AB2426" s="380" t="str">
        <f>VLOOKUP($B2426,'D7 - NDB Impacted SPRF''s'!$E$16:$O$9929,4,FALSE)</f>
        <v>Cancelled</v>
      </c>
      <c r="AC2426" s="380" t="str">
        <f>VLOOKUP($B2426,'D7 - NDB Impacted SPRF''s'!$E$16:$O$9929,3,FALSE)</f>
        <v>UnitedHealthcare Employer &amp; Individual</v>
      </c>
      <c r="AD2426" s="380" t="str">
        <f>VLOOKUP($B2426,'D7 - NDB Impacted SPRF''s'!$E$16:$O$9929,5,FALSE)</f>
        <v>Operations Group</v>
      </c>
      <c r="AE2426" s="380" t="str">
        <f>VLOOKUP($B2426,'D7 - NDB Impacted SPRF''s'!$E$16:$O$9929,7,FALSE)</f>
        <v>Peter Bompane</v>
      </c>
      <c r="AF2426" s="380" t="str">
        <f>VLOOKUP($B2426,'D7 - NDB Impacted SPRF''s'!$E$16:$O$9929,6,FALSE)</f>
        <v>Patrick Schwartz</v>
      </c>
      <c r="AG2426" s="282" t="s">
        <v>6682</v>
      </c>
      <c r="AH2426" s="311" t="e">
        <f>INDEX('D5 - Gatekeeper - Projects'!$A$4:$AF$1010,$AM2426, 17)</f>
        <v>#N/A</v>
      </c>
      <c r="AI2426" s="8"/>
      <c r="AJ2426" s="57"/>
      <c r="AK2426" s="105"/>
      <c r="AM2426" s="6" t="e">
        <f>MATCH(D2426,'D5 - Gatekeeper - Projects'!$C$4:$C$1010,0)</f>
        <v>#N/A</v>
      </c>
      <c r="AN2426" s="6" t="b">
        <f t="shared" si="255"/>
        <v>1</v>
      </c>
      <c r="AO2426" s="6" t="str">
        <f t="shared" si="256"/>
        <v>OK</v>
      </c>
      <c r="AQ2426" s="6" t="e">
        <f>MATCH($D2426,'D4 - Provider Council Unsched'!$C$11:$C$234,0)</f>
        <v>#N/A</v>
      </c>
      <c r="AR2426" s="6" t="b">
        <f t="shared" si="257"/>
        <v>1</v>
      </c>
      <c r="AS2426" s="6" t="str">
        <f t="shared" si="254"/>
        <v>OK</v>
      </c>
      <c r="AU2426" s="202"/>
      <c r="AV2426" s="262"/>
      <c r="AW2426" s="274"/>
    </row>
    <row r="2427" spans="1:49" s="13" customFormat="1" ht="33.75" x14ac:dyDescent="0.2">
      <c r="A2427" s="14">
        <v>2403</v>
      </c>
      <c r="B2427" s="14">
        <v>400002621</v>
      </c>
      <c r="C2427" s="8" t="s">
        <v>5197</v>
      </c>
      <c r="D2427" s="4" t="str">
        <f t="shared" si="258"/>
        <v>400002621R1</v>
      </c>
      <c r="E2427" s="309" t="str">
        <f>VLOOKUP($B2427,'D7 - NDB Impacted SPRF''s'!$E$6:$O$9929,2,FALSE)</f>
        <v>UHCOnline Request for Reconsideration Enhancements</v>
      </c>
      <c r="F2427" s="8" t="s">
        <v>5536</v>
      </c>
      <c r="G2427" s="8" t="s">
        <v>4758</v>
      </c>
      <c r="H2427" s="8" t="s">
        <v>2870</v>
      </c>
      <c r="I2427" s="20"/>
      <c r="J2427" s="8"/>
      <c r="K2427" s="182"/>
      <c r="L2427" s="8" t="s">
        <v>6164</v>
      </c>
      <c r="M2427" s="8" t="s">
        <v>2814</v>
      </c>
      <c r="N2427" s="367"/>
      <c r="O2427" s="8"/>
      <c r="P2427" s="4" t="str">
        <f>VLOOKUP($B2427,'D7 - NDB Impacted SPRF''s'!$E$16:$O$9929,9,FALSE)</f>
        <v>Y</v>
      </c>
      <c r="Q2427" s="4" t="str">
        <f>VLOOKUP($B2427,'D7 - NDB Impacted SPRF''s'!$E$16:$O$9929,10,FALSE)</f>
        <v>N</v>
      </c>
      <c r="R2427" s="4" t="str">
        <f>VLOOKUP($B2427,'D7 - NDB Impacted SPRF''s'!$E$16:$O$9929,11,FALSE)</f>
        <v>N</v>
      </c>
      <c r="S2427" s="8"/>
      <c r="T2427" s="310"/>
      <c r="U2427" s="310"/>
      <c r="V2427" s="4"/>
      <c r="W2427" s="4"/>
      <c r="X2427" s="4"/>
      <c r="Y2427" s="4"/>
      <c r="Z2427" s="4"/>
      <c r="AA2427" s="4"/>
      <c r="AB2427" s="380" t="str">
        <f>VLOOKUP($B2427,'D7 - NDB Impacted SPRF''s'!$E$16:$O$9929,4,FALSE)</f>
        <v>Cancelled</v>
      </c>
      <c r="AC2427" s="380" t="str">
        <f>VLOOKUP($B2427,'D7 - NDB Impacted SPRF''s'!$E$16:$O$9929,3,FALSE)</f>
        <v>UnitedHealthcare Employer &amp; Individual</v>
      </c>
      <c r="AD2427" s="380" t="str">
        <f>VLOOKUP($B2427,'D7 - NDB Impacted SPRF''s'!$E$16:$O$9929,5,FALSE)</f>
        <v>Operations Group</v>
      </c>
      <c r="AE2427" s="380" t="str">
        <f>VLOOKUP($B2427,'D7 - NDB Impacted SPRF''s'!$E$16:$O$9929,7,FALSE)</f>
        <v>Dirk McMahon</v>
      </c>
      <c r="AF2427" s="380" t="str">
        <f>VLOOKUP($B2427,'D7 - NDB Impacted SPRF''s'!$E$16:$O$9929,6,FALSE)</f>
        <v>MICHEAU CAROL</v>
      </c>
      <c r="AG2427" s="282"/>
      <c r="AH2427" s="311" t="e">
        <f>INDEX('D5 - Gatekeeper - Projects'!$A$4:$AF$1010,$AM2427, 17)</f>
        <v>#N/A</v>
      </c>
      <c r="AI2427" s="8"/>
      <c r="AJ2427" s="57"/>
      <c r="AK2427" s="105"/>
      <c r="AM2427" s="6" t="e">
        <f>MATCH(D2427,'D5 - Gatekeeper - Projects'!$C$4:$C$1010,0)</f>
        <v>#N/A</v>
      </c>
      <c r="AN2427" s="6" t="b">
        <f t="shared" si="255"/>
        <v>1</v>
      </c>
      <c r="AO2427" s="6" t="str">
        <f t="shared" si="256"/>
        <v>OK</v>
      </c>
      <c r="AQ2427" s="6" t="e">
        <f>MATCH($D2427,'D4 - Provider Council Unsched'!$C$11:$C$234,0)</f>
        <v>#N/A</v>
      </c>
      <c r="AR2427" s="6" t="b">
        <f t="shared" si="257"/>
        <v>1</v>
      </c>
      <c r="AS2427" s="6" t="str">
        <f t="shared" si="254"/>
        <v>OK</v>
      </c>
      <c r="AU2427" s="202"/>
      <c r="AV2427" s="262"/>
      <c r="AW2427" s="274"/>
    </row>
    <row r="2428" spans="1:49" s="13" customFormat="1" ht="22.5" x14ac:dyDescent="0.2">
      <c r="A2428" s="14">
        <v>2404</v>
      </c>
      <c r="B2428" s="14">
        <v>400002643</v>
      </c>
      <c r="C2428" s="8" t="s">
        <v>5197</v>
      </c>
      <c r="D2428" s="4" t="str">
        <f t="shared" si="258"/>
        <v>400002643R1</v>
      </c>
      <c r="E2428" s="309" t="str">
        <f>VLOOKUP($B2428,'D7 - NDB Impacted SPRF''s'!$E$6:$O$9929,2,FALSE)</f>
        <v>PIT- UNET Medicare CrossOver MH claim underpayment</v>
      </c>
      <c r="F2428" s="8" t="s">
        <v>6633</v>
      </c>
      <c r="G2428" s="8" t="s">
        <v>4758</v>
      </c>
      <c r="H2428" s="8" t="s">
        <v>2870</v>
      </c>
      <c r="I2428" s="20">
        <v>2.4300000000000002</v>
      </c>
      <c r="J2428" s="8" t="s">
        <v>4862</v>
      </c>
      <c r="K2428" s="182"/>
      <c r="L2428" s="8" t="s">
        <v>4156</v>
      </c>
      <c r="M2428" s="8" t="s">
        <v>2814</v>
      </c>
      <c r="N2428" s="367" t="s">
        <v>6806</v>
      </c>
      <c r="O2428" s="8"/>
      <c r="P2428" s="4" t="str">
        <f>VLOOKUP($B2428,'D7 - NDB Impacted SPRF''s'!$E$16:$O$9929,9,FALSE)</f>
        <v>Y</v>
      </c>
      <c r="Q2428" s="4" t="str">
        <f>VLOOKUP($B2428,'D7 - NDB Impacted SPRF''s'!$E$16:$O$9929,10,FALSE)</f>
        <v>N</v>
      </c>
      <c r="R2428" s="4" t="str">
        <f>VLOOKUP($B2428,'D7 - NDB Impacted SPRF''s'!$E$16:$O$9929,11,FALSE)</f>
        <v>N</v>
      </c>
      <c r="S2428" s="8"/>
      <c r="T2428" s="310"/>
      <c r="U2428" s="310"/>
      <c r="V2428" s="4"/>
      <c r="W2428" s="4"/>
      <c r="X2428" s="4"/>
      <c r="Y2428" s="4"/>
      <c r="Z2428" s="4"/>
      <c r="AA2428" s="4"/>
      <c r="AB2428" s="380" t="str">
        <f>VLOOKUP($B2428,'D7 - NDB Impacted SPRF''s'!$E$16:$O$9929,4,FALSE)</f>
        <v>Cancelled</v>
      </c>
      <c r="AC2428" s="380" t="str">
        <f>VLOOKUP($B2428,'D7 - NDB Impacted SPRF''s'!$E$16:$O$9929,3,FALSE)</f>
        <v>Uniprise</v>
      </c>
      <c r="AD2428" s="380" t="str">
        <f>VLOOKUP($B2428,'D7 - NDB Impacted SPRF''s'!$E$16:$O$9929,5,FALSE)</f>
        <v>Uniprise Operations - DDC</v>
      </c>
      <c r="AE2428" s="380" t="str">
        <f>VLOOKUP($B2428,'D7 - NDB Impacted SPRF''s'!$E$16:$O$9929,7,FALSE)</f>
        <v>Donna McCart</v>
      </c>
      <c r="AF2428" s="380" t="str">
        <f>VLOOKUP($B2428,'D7 - NDB Impacted SPRF''s'!$E$16:$O$9929,6,FALSE)</f>
        <v>MaryAnn Taylor</v>
      </c>
      <c r="AG2428" s="282" t="s">
        <v>7755</v>
      </c>
      <c r="AH2428" s="311" t="e">
        <f>INDEX('D5 - Gatekeeper - Projects'!$A$4:$AF$1010,$AM2428, 17)</f>
        <v>#N/A</v>
      </c>
      <c r="AI2428" s="8"/>
      <c r="AJ2428" s="57"/>
      <c r="AK2428" s="105"/>
      <c r="AM2428" s="6" t="e">
        <f>MATCH(D2428,'D5 - Gatekeeper - Projects'!$C$4:$C$1010,0)</f>
        <v>#N/A</v>
      </c>
      <c r="AN2428" s="6" t="b">
        <f t="shared" si="255"/>
        <v>1</v>
      </c>
      <c r="AO2428" s="6" t="str">
        <f t="shared" si="256"/>
        <v>OK</v>
      </c>
      <c r="AQ2428" s="6" t="e">
        <f>MATCH($D2428,'D4 - Provider Council Unsched'!$C$11:$C$234,0)</f>
        <v>#N/A</v>
      </c>
      <c r="AR2428" s="6" t="b">
        <f t="shared" si="257"/>
        <v>1</v>
      </c>
      <c r="AS2428" s="6" t="str">
        <f t="shared" si="254"/>
        <v>OK</v>
      </c>
      <c r="AU2428" s="202"/>
      <c r="AV2428" s="262"/>
      <c r="AW2428" s="274"/>
    </row>
    <row r="2429" spans="1:49" s="13" customFormat="1" ht="33.75" x14ac:dyDescent="0.2">
      <c r="A2429" s="14">
        <v>2405</v>
      </c>
      <c r="B2429" s="14">
        <v>400002644</v>
      </c>
      <c r="C2429" s="8" t="s">
        <v>5197</v>
      </c>
      <c r="D2429" s="4" t="str">
        <f t="shared" si="258"/>
        <v>400002644R1</v>
      </c>
      <c r="E2429" s="309" t="str">
        <f>VLOOKUP($B2429,'D7 - NDB Impacted SPRF''s'!$E$6:$O$9929,2,FALSE)</f>
        <v>GeoAccess/Ingenix Directory Integration - Phase 1</v>
      </c>
      <c r="F2429" s="8" t="s">
        <v>5054</v>
      </c>
      <c r="G2429" s="8" t="s">
        <v>4758</v>
      </c>
      <c r="H2429" s="8" t="s">
        <v>2870</v>
      </c>
      <c r="I2429" s="20"/>
      <c r="J2429" s="8"/>
      <c r="K2429" s="182"/>
      <c r="L2429" s="8" t="s">
        <v>6164</v>
      </c>
      <c r="M2429" s="8" t="s">
        <v>2814</v>
      </c>
      <c r="N2429" s="367"/>
      <c r="O2429" s="8"/>
      <c r="P2429" s="4" t="str">
        <f>VLOOKUP($B2429,'D7 - NDB Impacted SPRF''s'!$E$16:$O$9929,9,FALSE)</f>
        <v>N</v>
      </c>
      <c r="Q2429" s="4" t="str">
        <f>VLOOKUP($B2429,'D7 - NDB Impacted SPRF''s'!$E$16:$O$9929,10,FALSE)</f>
        <v>N</v>
      </c>
      <c r="R2429" s="4" t="str">
        <f>VLOOKUP($B2429,'D7 - NDB Impacted SPRF''s'!$E$16:$O$9929,11,FALSE)</f>
        <v>N</v>
      </c>
      <c r="S2429" s="8"/>
      <c r="T2429" s="310"/>
      <c r="U2429" s="310"/>
      <c r="V2429" s="4"/>
      <c r="W2429" s="4"/>
      <c r="X2429" s="4"/>
      <c r="Y2429" s="4"/>
      <c r="Z2429" s="4"/>
      <c r="AA2429" s="4"/>
      <c r="AB2429" s="380" t="str">
        <f>VLOOKUP($B2429,'D7 - NDB Impacted SPRF''s'!$E$16:$O$9929,4,FALSE)</f>
        <v>Cancelled</v>
      </c>
      <c r="AC2429" s="380" t="str">
        <f>VLOOKUP($B2429,'D7 - NDB Impacted SPRF''s'!$E$16:$O$9929,3,FALSE)</f>
        <v>UnitedHealthcare Employer &amp; Individual</v>
      </c>
      <c r="AD2429" s="380" t="str">
        <f>VLOOKUP($B2429,'D7 - NDB Impacted SPRF''s'!$E$16:$O$9929,5,FALSE)</f>
        <v>Operations Group</v>
      </c>
      <c r="AE2429" s="380" t="str">
        <f>VLOOKUP($B2429,'D7 - NDB Impacted SPRF''s'!$E$16:$O$9929,7,FALSE)</f>
        <v>John Cravero</v>
      </c>
      <c r="AF2429" s="380" t="str">
        <f>VLOOKUP($B2429,'D7 - NDB Impacted SPRF''s'!$E$16:$O$9929,6,FALSE)</f>
        <v>Amy Clatterbuck</v>
      </c>
      <c r="AG2429" s="282"/>
      <c r="AH2429" s="311" t="e">
        <f>INDEX('D5 - Gatekeeper - Projects'!$A$4:$AF$1010,$AM2429, 17)</f>
        <v>#N/A</v>
      </c>
      <c r="AI2429" s="8"/>
      <c r="AJ2429" s="57"/>
      <c r="AK2429" s="105"/>
      <c r="AM2429" s="6" t="e">
        <f>MATCH(D2429,'D5 - Gatekeeper - Projects'!$C$4:$C$1010,0)</f>
        <v>#N/A</v>
      </c>
      <c r="AN2429" s="6" t="b">
        <f t="shared" si="255"/>
        <v>1</v>
      </c>
      <c r="AO2429" s="6" t="str">
        <f t="shared" si="256"/>
        <v>OK</v>
      </c>
      <c r="AQ2429" s="6" t="e">
        <f>MATCH($D2429,'D4 - Provider Council Unsched'!$C$11:$C$234,0)</f>
        <v>#N/A</v>
      </c>
      <c r="AR2429" s="6" t="b">
        <f t="shared" si="257"/>
        <v>1</v>
      </c>
      <c r="AS2429" s="6" t="str">
        <f t="shared" si="254"/>
        <v>OK</v>
      </c>
      <c r="AU2429" s="202"/>
      <c r="AV2429" s="262"/>
      <c r="AW2429" s="274"/>
    </row>
    <row r="2430" spans="1:49" s="13" customFormat="1" ht="22.5" x14ac:dyDescent="0.2">
      <c r="A2430" s="14">
        <v>2406</v>
      </c>
      <c r="B2430" s="14">
        <v>400002704</v>
      </c>
      <c r="C2430" s="8" t="s">
        <v>5197</v>
      </c>
      <c r="D2430" s="4" t="str">
        <f t="shared" si="258"/>
        <v>400002704R1</v>
      </c>
      <c r="E2430" s="309" t="str">
        <f>VLOOKUP($B2430,'D7 - NDB Impacted SPRF''s'!$E$6:$O$9929,2,FALSE)</f>
        <v>Pass Network Status to Hospital Comparison Tool</v>
      </c>
      <c r="F2430" s="8"/>
      <c r="G2430" s="8" t="s">
        <v>4758</v>
      </c>
      <c r="H2430" s="8" t="s">
        <v>2870</v>
      </c>
      <c r="I2430" s="20"/>
      <c r="J2430" s="8"/>
      <c r="K2430" s="182"/>
      <c r="L2430" s="8" t="s">
        <v>6164</v>
      </c>
      <c r="M2430" s="8" t="s">
        <v>2814</v>
      </c>
      <c r="N2430" s="367"/>
      <c r="O2430" s="8"/>
      <c r="P2430" s="4" t="str">
        <f>VLOOKUP($B2430,'D7 - NDB Impacted SPRF''s'!$E$16:$O$9929,9,FALSE)</f>
        <v>N</v>
      </c>
      <c r="Q2430" s="4" t="str">
        <f>VLOOKUP($B2430,'D7 - NDB Impacted SPRF''s'!$E$16:$O$9929,10,FALSE)</f>
        <v>N</v>
      </c>
      <c r="R2430" s="4" t="str">
        <f>VLOOKUP($B2430,'D7 - NDB Impacted SPRF''s'!$E$16:$O$9929,11,FALSE)</f>
        <v>N</v>
      </c>
      <c r="S2430" s="8"/>
      <c r="T2430" s="310"/>
      <c r="U2430" s="310"/>
      <c r="V2430" s="4"/>
      <c r="W2430" s="4"/>
      <c r="X2430" s="4"/>
      <c r="Y2430" s="4"/>
      <c r="Z2430" s="4"/>
      <c r="AA2430" s="4"/>
      <c r="AB2430" s="380" t="str">
        <f>VLOOKUP($B2430,'D7 - NDB Impacted SPRF''s'!$E$16:$O$9929,4,FALSE)</f>
        <v>Cancelled</v>
      </c>
      <c r="AC2430" s="380" t="str">
        <f>VLOOKUP($B2430,'D7 - NDB Impacted SPRF''s'!$E$16:$O$9929,3,FALSE)</f>
        <v>Uniprise</v>
      </c>
      <c r="AD2430" s="380" t="str">
        <f>VLOOKUP($B2430,'D7 - NDB Impacted SPRF''s'!$E$16:$O$9929,5,FALSE)</f>
        <v>Consumer Solutions - Capital Projects</v>
      </c>
      <c r="AE2430" s="380" t="str">
        <f>VLOOKUP($B2430,'D7 - NDB Impacted SPRF''s'!$E$16:$O$9929,7,FALSE)</f>
        <v>Carl Bilter</v>
      </c>
      <c r="AF2430" s="380" t="str">
        <f>VLOOKUP($B2430,'D7 - NDB Impacted SPRF''s'!$E$16:$O$9929,6,FALSE)</f>
        <v>Jill ZZZZZBerg</v>
      </c>
      <c r="AG2430" s="282"/>
      <c r="AH2430" s="311" t="e">
        <f>INDEX('D5 - Gatekeeper - Projects'!$A$4:$AF$1010,$AM2430, 17)</f>
        <v>#N/A</v>
      </c>
      <c r="AI2430" s="8"/>
      <c r="AJ2430" s="57"/>
      <c r="AK2430" s="105"/>
      <c r="AM2430" s="6" t="e">
        <f>MATCH(D2430,'D5 - Gatekeeper - Projects'!$C$4:$C$1010,0)</f>
        <v>#N/A</v>
      </c>
      <c r="AN2430" s="6" t="b">
        <f t="shared" si="255"/>
        <v>1</v>
      </c>
      <c r="AO2430" s="6" t="str">
        <f t="shared" si="256"/>
        <v>OK</v>
      </c>
      <c r="AQ2430" s="6" t="e">
        <f>MATCH($D2430,'D4 - Provider Council Unsched'!$C$11:$C$234,0)</f>
        <v>#N/A</v>
      </c>
      <c r="AR2430" s="6" t="b">
        <f t="shared" si="257"/>
        <v>1</v>
      </c>
      <c r="AS2430" s="6" t="str">
        <f t="shared" si="254"/>
        <v>OK</v>
      </c>
      <c r="AU2430" s="202"/>
      <c r="AV2430" s="262"/>
      <c r="AW2430" s="274"/>
    </row>
    <row r="2431" spans="1:49" s="13" customFormat="1" ht="33.75" x14ac:dyDescent="0.2">
      <c r="A2431" s="14">
        <v>2407</v>
      </c>
      <c r="B2431" s="14">
        <v>400002737</v>
      </c>
      <c r="C2431" s="8" t="s">
        <v>5197</v>
      </c>
      <c r="D2431" s="4" t="str">
        <f t="shared" si="258"/>
        <v>400002737R1</v>
      </c>
      <c r="E2431" s="309" t="str">
        <f>VLOOKUP($B2431,'D7 - NDB Impacted SPRF''s'!$E$6:$O$9929,2,FALSE)</f>
        <v>Alliance Data File Generation</v>
      </c>
      <c r="F2431" s="8" t="s">
        <v>3235</v>
      </c>
      <c r="G2431" s="8" t="s">
        <v>4758</v>
      </c>
      <c r="H2431" s="8" t="s">
        <v>2870</v>
      </c>
      <c r="I2431" s="20"/>
      <c r="J2431" s="8"/>
      <c r="K2431" s="182"/>
      <c r="L2431" s="8" t="s">
        <v>6164</v>
      </c>
      <c r="M2431" s="8" t="s">
        <v>2814</v>
      </c>
      <c r="N2431" s="367"/>
      <c r="O2431" s="8"/>
      <c r="P2431" s="4" t="str">
        <f>VLOOKUP($B2431,'D7 - NDB Impacted SPRF''s'!$E$16:$O$9929,9,FALSE)</f>
        <v>N</v>
      </c>
      <c r="Q2431" s="4" t="str">
        <f>VLOOKUP($B2431,'D7 - NDB Impacted SPRF''s'!$E$16:$O$9929,10,FALSE)</f>
        <v>N</v>
      </c>
      <c r="R2431" s="4" t="str">
        <f>VLOOKUP($B2431,'D7 - NDB Impacted SPRF''s'!$E$16:$O$9929,11,FALSE)</f>
        <v>N</v>
      </c>
      <c r="S2431" s="8"/>
      <c r="T2431" s="310"/>
      <c r="U2431" s="310"/>
      <c r="V2431" s="4"/>
      <c r="W2431" s="4"/>
      <c r="X2431" s="4"/>
      <c r="Y2431" s="4"/>
      <c r="Z2431" s="4"/>
      <c r="AA2431" s="4"/>
      <c r="AB2431" s="380" t="str">
        <f>VLOOKUP($B2431,'D7 - NDB Impacted SPRF''s'!$E$16:$O$9929,4,FALSE)</f>
        <v>Cancelled</v>
      </c>
      <c r="AC2431" s="380" t="str">
        <f>VLOOKUP($B2431,'D7 - NDB Impacted SPRF''s'!$E$16:$O$9929,3,FALSE)</f>
        <v>UnitedHealthcare Employer &amp; Individual</v>
      </c>
      <c r="AD2431" s="380" t="str">
        <f>VLOOKUP($B2431,'D7 - NDB Impacted SPRF''s'!$E$16:$O$9929,5,FALSE)</f>
        <v>Operations Group</v>
      </c>
      <c r="AE2431" s="380" t="str">
        <f>VLOOKUP($B2431,'D7 - NDB Impacted SPRF''s'!$E$16:$O$9929,7,FALSE)</f>
        <v>Peter Bompane</v>
      </c>
      <c r="AF2431" s="380" t="str">
        <f>VLOOKUP($B2431,'D7 - NDB Impacted SPRF''s'!$E$16:$O$9929,6,FALSE)</f>
        <v>MICHAEL SWEET</v>
      </c>
      <c r="AG2431" s="282"/>
      <c r="AH2431" s="311" t="e">
        <f>INDEX('D5 - Gatekeeper - Projects'!$A$4:$AF$1010,$AM2431, 17)</f>
        <v>#N/A</v>
      </c>
      <c r="AI2431" s="8"/>
      <c r="AJ2431" s="57"/>
      <c r="AK2431" s="105"/>
      <c r="AM2431" s="6" t="e">
        <f>MATCH(D2431,'D5 - Gatekeeper - Projects'!$C$4:$C$1010,0)</f>
        <v>#N/A</v>
      </c>
      <c r="AN2431" s="6" t="b">
        <f t="shared" si="255"/>
        <v>1</v>
      </c>
      <c r="AO2431" s="6" t="str">
        <f t="shared" si="256"/>
        <v>OK</v>
      </c>
      <c r="AQ2431" s="6" t="e">
        <f>MATCH($D2431,'D4 - Provider Council Unsched'!$C$11:$C$234,0)</f>
        <v>#N/A</v>
      </c>
      <c r="AR2431" s="6" t="b">
        <f t="shared" si="257"/>
        <v>1</v>
      </c>
      <c r="AS2431" s="6" t="str">
        <f t="shared" si="254"/>
        <v>OK</v>
      </c>
      <c r="AU2431" s="202"/>
      <c r="AV2431" s="262"/>
      <c r="AW2431" s="274"/>
    </row>
    <row r="2432" spans="1:49" s="13" customFormat="1" ht="33.75" x14ac:dyDescent="0.2">
      <c r="A2432" s="14">
        <v>2408</v>
      </c>
      <c r="B2432" s="14">
        <v>400002762</v>
      </c>
      <c r="C2432" s="8" t="s">
        <v>5197</v>
      </c>
      <c r="D2432" s="4" t="str">
        <f t="shared" si="258"/>
        <v>400002762R1</v>
      </c>
      <c r="E2432" s="309" t="str">
        <f>VLOOKUP($B2432,'D7 - NDB Impacted SPRF''s'!$E$6:$O$9929,2,FALSE)</f>
        <v>50-64 PPO Batch directory processing interface</v>
      </c>
      <c r="F2432" s="8" t="s">
        <v>5054</v>
      </c>
      <c r="G2432" s="8" t="s">
        <v>4758</v>
      </c>
      <c r="H2432" s="8" t="s">
        <v>2870</v>
      </c>
      <c r="I2432" s="20"/>
      <c r="J2432" s="8"/>
      <c r="K2432" s="182"/>
      <c r="L2432" s="8" t="s">
        <v>6164</v>
      </c>
      <c r="M2432" s="8" t="s">
        <v>2814</v>
      </c>
      <c r="N2432" s="367"/>
      <c r="O2432" s="8"/>
      <c r="P2432" s="4" t="str">
        <f>VLOOKUP($B2432,'D7 - NDB Impacted SPRF''s'!$E$16:$O$9929,9,FALSE)</f>
        <v>N</v>
      </c>
      <c r="Q2432" s="4" t="str">
        <f>VLOOKUP($B2432,'D7 - NDB Impacted SPRF''s'!$E$16:$O$9929,10,FALSE)</f>
        <v>N</v>
      </c>
      <c r="R2432" s="4" t="str">
        <f>VLOOKUP($B2432,'D7 - NDB Impacted SPRF''s'!$E$16:$O$9929,11,FALSE)</f>
        <v>N</v>
      </c>
      <c r="S2432" s="8"/>
      <c r="T2432" s="310"/>
      <c r="U2432" s="310"/>
      <c r="V2432" s="4"/>
      <c r="W2432" s="4"/>
      <c r="X2432" s="4"/>
      <c r="Y2432" s="4"/>
      <c r="Z2432" s="4"/>
      <c r="AA2432" s="4"/>
      <c r="AB2432" s="380" t="str">
        <f>VLOOKUP($B2432,'D7 - NDB Impacted SPRF''s'!$E$16:$O$9929,4,FALSE)</f>
        <v>Cancelled</v>
      </c>
      <c r="AC2432" s="380" t="str">
        <f>VLOOKUP($B2432,'D7 - NDB Impacted SPRF''s'!$E$16:$O$9929,3,FALSE)</f>
        <v>UnitedHealthcare Medicare &amp; Retirement</v>
      </c>
      <c r="AD2432" s="380" t="str">
        <f>VLOOKUP($B2432,'D7 - NDB Impacted SPRF''s'!$E$16:$O$9929,5,FALSE)</f>
        <v>XXNon-COG</v>
      </c>
      <c r="AE2432" s="380" t="str">
        <f>VLOOKUP($B2432,'D7 - NDB Impacted SPRF''s'!$E$16:$O$9929,7,FALSE)</f>
        <v>Thomas Sinkewicz/Oscar Vance</v>
      </c>
      <c r="AF2432" s="380" t="str">
        <f>VLOOKUP($B2432,'D7 - NDB Impacted SPRF''s'!$E$16:$O$9929,6,FALSE)</f>
        <v>MICHAEL FLIPPING</v>
      </c>
      <c r="AG2432" s="282"/>
      <c r="AH2432" s="311" t="e">
        <f>INDEX('D5 - Gatekeeper - Projects'!$A$4:$AF$1010,$AM2432, 17)</f>
        <v>#N/A</v>
      </c>
      <c r="AI2432" s="8"/>
      <c r="AJ2432" s="57"/>
      <c r="AK2432" s="105"/>
      <c r="AM2432" s="6" t="e">
        <f>MATCH(D2432,'D5 - Gatekeeper - Projects'!$C$4:$C$1010,0)</f>
        <v>#N/A</v>
      </c>
      <c r="AN2432" s="6" t="b">
        <f t="shared" si="255"/>
        <v>1</v>
      </c>
      <c r="AO2432" s="6" t="str">
        <f t="shared" si="256"/>
        <v>OK</v>
      </c>
      <c r="AQ2432" s="6" t="e">
        <f>MATCH($D2432,'D4 - Provider Council Unsched'!$C$11:$C$234,0)</f>
        <v>#N/A</v>
      </c>
      <c r="AR2432" s="6" t="b">
        <f t="shared" si="257"/>
        <v>1</v>
      </c>
      <c r="AS2432" s="6" t="str">
        <f t="shared" si="254"/>
        <v>OK</v>
      </c>
      <c r="AU2432" s="202"/>
      <c r="AV2432" s="262"/>
      <c r="AW2432" s="274"/>
    </row>
    <row r="2433" spans="1:49" s="13" customFormat="1" ht="33.75" x14ac:dyDescent="0.2">
      <c r="A2433" s="14">
        <v>2409</v>
      </c>
      <c r="B2433" s="14">
        <v>400002843</v>
      </c>
      <c r="C2433" s="8" t="s">
        <v>5197</v>
      </c>
      <c r="D2433" s="4" t="str">
        <f t="shared" si="258"/>
        <v>400002843R1</v>
      </c>
      <c r="E2433" s="309" t="str">
        <f>VLOOKUP($B2433,'D7 - NDB Impacted SPRF''s'!$E$6:$O$9929,2,FALSE)</f>
        <v>diCarta Doc ID One Shot for Converted Contracts</v>
      </c>
      <c r="F2433" s="8" t="s">
        <v>4695</v>
      </c>
      <c r="G2433" s="8" t="s">
        <v>4758</v>
      </c>
      <c r="H2433" s="8" t="s">
        <v>2870</v>
      </c>
      <c r="I2433" s="20"/>
      <c r="J2433" s="8"/>
      <c r="K2433" s="182"/>
      <c r="L2433" s="8" t="s">
        <v>6164</v>
      </c>
      <c r="M2433" s="8" t="s">
        <v>2814</v>
      </c>
      <c r="N2433" s="367"/>
      <c r="O2433" s="8"/>
      <c r="P2433" s="4" t="str">
        <f>VLOOKUP($B2433,'D7 - NDB Impacted SPRF''s'!$E$16:$O$9929,9,FALSE)</f>
        <v>N</v>
      </c>
      <c r="Q2433" s="4" t="str">
        <f>VLOOKUP($B2433,'D7 - NDB Impacted SPRF''s'!$E$16:$O$9929,10,FALSE)</f>
        <v>N</v>
      </c>
      <c r="R2433" s="4" t="str">
        <f>VLOOKUP($B2433,'D7 - NDB Impacted SPRF''s'!$E$16:$O$9929,11,FALSE)</f>
        <v>N</v>
      </c>
      <c r="S2433" s="8"/>
      <c r="T2433" s="310"/>
      <c r="U2433" s="310"/>
      <c r="V2433" s="4"/>
      <c r="W2433" s="4"/>
      <c r="X2433" s="4"/>
      <c r="Y2433" s="4"/>
      <c r="Z2433" s="4"/>
      <c r="AA2433" s="4"/>
      <c r="AB2433" s="380" t="str">
        <f>VLOOKUP($B2433,'D7 - NDB Impacted SPRF''s'!$E$16:$O$9929,4,FALSE)</f>
        <v>Cancelled</v>
      </c>
      <c r="AC2433" s="380" t="str">
        <f>VLOOKUP($B2433,'D7 - NDB Impacted SPRF''s'!$E$16:$O$9929,3,FALSE)</f>
        <v>UnitedHealthcare Employer &amp; Individual</v>
      </c>
      <c r="AD2433" s="380" t="str">
        <f>VLOOKUP($B2433,'D7 - NDB Impacted SPRF''s'!$E$16:$O$9929,5,FALSE)</f>
        <v>Operations Group</v>
      </c>
      <c r="AE2433" s="380" t="str">
        <f>VLOOKUP($B2433,'D7 - NDB Impacted SPRF''s'!$E$16:$O$9929,7,FALSE)</f>
        <v>Peter Bompane</v>
      </c>
      <c r="AF2433" s="380" t="str">
        <f>VLOOKUP($B2433,'D7 - NDB Impacted SPRF''s'!$E$16:$O$9929,6,FALSE)</f>
        <v>MICHAEL LUCAS</v>
      </c>
      <c r="AG2433" s="282"/>
      <c r="AH2433" s="311" t="e">
        <f>INDEX('D5 - Gatekeeper - Projects'!$A$4:$AF$1010,$AM2433, 17)</f>
        <v>#N/A</v>
      </c>
      <c r="AI2433" s="8"/>
      <c r="AJ2433" s="57"/>
      <c r="AK2433" s="105"/>
      <c r="AM2433" s="6" t="e">
        <f>MATCH(D2433,'D5 - Gatekeeper - Projects'!$C$4:$C$1010,0)</f>
        <v>#N/A</v>
      </c>
      <c r="AN2433" s="6" t="b">
        <f t="shared" si="255"/>
        <v>1</v>
      </c>
      <c r="AO2433" s="6" t="str">
        <f t="shared" si="256"/>
        <v>OK</v>
      </c>
      <c r="AQ2433" s="6" t="e">
        <f>MATCH($D2433,'D4 - Provider Council Unsched'!$C$11:$C$234,0)</f>
        <v>#N/A</v>
      </c>
      <c r="AR2433" s="6" t="b">
        <f t="shared" si="257"/>
        <v>1</v>
      </c>
      <c r="AS2433" s="6" t="str">
        <f t="shared" si="254"/>
        <v>OK</v>
      </c>
      <c r="AU2433" s="202"/>
      <c r="AV2433" s="262"/>
      <c r="AW2433" s="274"/>
    </row>
    <row r="2434" spans="1:49" s="13" customFormat="1" ht="33.75" x14ac:dyDescent="0.2">
      <c r="A2434" s="14">
        <v>2410</v>
      </c>
      <c r="B2434" s="14">
        <v>400002886</v>
      </c>
      <c r="C2434" s="8" t="s">
        <v>5197</v>
      </c>
      <c r="D2434" s="4" t="str">
        <f t="shared" si="258"/>
        <v>400002886R1</v>
      </c>
      <c r="E2434" s="309" t="str">
        <f>VLOOKUP($B2434,'D7 - NDB Impacted SPRF''s'!$E$6:$O$9929,2,FALSE)</f>
        <v>Component Metrics Reporting</v>
      </c>
      <c r="F2434" s="8"/>
      <c r="G2434" s="8" t="s">
        <v>4758</v>
      </c>
      <c r="H2434" s="8" t="s">
        <v>2870</v>
      </c>
      <c r="I2434" s="20"/>
      <c r="J2434" s="8"/>
      <c r="K2434" s="182"/>
      <c r="L2434" s="8" t="s">
        <v>6164</v>
      </c>
      <c r="M2434" s="8" t="s">
        <v>2814</v>
      </c>
      <c r="N2434" s="367"/>
      <c r="O2434" s="8"/>
      <c r="P2434" s="4" t="str">
        <f>VLOOKUP($B2434,'D7 - NDB Impacted SPRF''s'!$E$16:$O$9929,9,FALSE)</f>
        <v>N</v>
      </c>
      <c r="Q2434" s="4" t="str">
        <f>VLOOKUP($B2434,'D7 - NDB Impacted SPRF''s'!$E$16:$O$9929,10,FALSE)</f>
        <v>N</v>
      </c>
      <c r="R2434" s="4" t="str">
        <f>VLOOKUP($B2434,'D7 - NDB Impacted SPRF''s'!$E$16:$O$9929,11,FALSE)</f>
        <v>N</v>
      </c>
      <c r="S2434" s="8"/>
      <c r="T2434" s="310"/>
      <c r="U2434" s="310"/>
      <c r="V2434" s="4"/>
      <c r="W2434" s="4"/>
      <c r="X2434" s="4"/>
      <c r="Y2434" s="4"/>
      <c r="Z2434" s="4"/>
      <c r="AA2434" s="4"/>
      <c r="AB2434" s="380" t="str">
        <f>VLOOKUP($B2434,'D7 - NDB Impacted SPRF''s'!$E$16:$O$9929,4,FALSE)</f>
        <v>Cancelled</v>
      </c>
      <c r="AC2434" s="380" t="str">
        <f>VLOOKUP($B2434,'D7 - NDB Impacted SPRF''s'!$E$16:$O$9929,3,FALSE)</f>
        <v>UnitedHealthcare Employer &amp; Individual</v>
      </c>
      <c r="AD2434" s="380" t="str">
        <f>VLOOKUP($B2434,'D7 - NDB Impacted SPRF''s'!$E$16:$O$9929,5,FALSE)</f>
        <v>Operations Group</v>
      </c>
      <c r="AE2434" s="380" t="str">
        <f>VLOOKUP($B2434,'D7 - NDB Impacted SPRF''s'!$E$16:$O$9929,7,FALSE)</f>
        <v>Pete Bompane</v>
      </c>
      <c r="AF2434" s="380" t="str">
        <f>VLOOKUP($B2434,'D7 - NDB Impacted SPRF''s'!$E$16:$O$9929,6,FALSE)</f>
        <v>MICHAEL SWEET</v>
      </c>
      <c r="AG2434" s="282"/>
      <c r="AH2434" s="311" t="e">
        <f>INDEX('D5 - Gatekeeper - Projects'!$A$4:$AF$1010,$AM2434, 17)</f>
        <v>#N/A</v>
      </c>
      <c r="AI2434" s="8"/>
      <c r="AJ2434" s="57"/>
      <c r="AK2434" s="105"/>
      <c r="AM2434" s="6" t="e">
        <f>MATCH(D2434,'D5 - Gatekeeper - Projects'!$C$4:$C$1010,0)</f>
        <v>#N/A</v>
      </c>
      <c r="AN2434" s="6" t="b">
        <f t="shared" si="255"/>
        <v>1</v>
      </c>
      <c r="AO2434" s="6" t="str">
        <f t="shared" si="256"/>
        <v>OK</v>
      </c>
      <c r="AQ2434" s="6" t="e">
        <f>MATCH($D2434,'D4 - Provider Council Unsched'!$C$11:$C$234,0)</f>
        <v>#N/A</v>
      </c>
      <c r="AR2434" s="6" t="b">
        <f t="shared" si="257"/>
        <v>1</v>
      </c>
      <c r="AS2434" s="6" t="str">
        <f t="shared" si="254"/>
        <v>OK</v>
      </c>
      <c r="AU2434" s="202"/>
      <c r="AV2434" s="262"/>
      <c r="AW2434" s="274"/>
    </row>
    <row r="2435" spans="1:49" s="13" customFormat="1" ht="33.75" x14ac:dyDescent="0.2">
      <c r="A2435" s="14">
        <v>2411</v>
      </c>
      <c r="B2435" s="14">
        <v>400002893</v>
      </c>
      <c r="C2435" s="8" t="s">
        <v>5197</v>
      </c>
      <c r="D2435" s="4" t="str">
        <f t="shared" si="258"/>
        <v>400002893R1</v>
      </c>
      <c r="E2435" s="309" t="str">
        <f>VLOOKUP($B2435,'D7 - NDB Impacted SPRF''s'!$E$6:$O$9929,2,FALSE)</f>
        <v>Recred accreditation non-compliance reasons.</v>
      </c>
      <c r="F2435" s="8" t="s">
        <v>7410</v>
      </c>
      <c r="G2435" s="8" t="s">
        <v>4758</v>
      </c>
      <c r="H2435" s="8" t="s">
        <v>2870</v>
      </c>
      <c r="I2435" s="20"/>
      <c r="J2435" s="8"/>
      <c r="K2435" s="182"/>
      <c r="L2435" s="8" t="s">
        <v>6164</v>
      </c>
      <c r="M2435" s="8" t="s">
        <v>2814</v>
      </c>
      <c r="N2435" s="367"/>
      <c r="O2435" s="8"/>
      <c r="P2435" s="4" t="str">
        <f>VLOOKUP($B2435,'D7 - NDB Impacted SPRF''s'!$E$16:$O$9929,9,FALSE)</f>
        <v>N</v>
      </c>
      <c r="Q2435" s="4" t="str">
        <f>VLOOKUP($B2435,'D7 - NDB Impacted SPRF''s'!$E$16:$O$9929,10,FALSE)</f>
        <v>N</v>
      </c>
      <c r="R2435" s="4" t="str">
        <f>VLOOKUP($B2435,'D7 - NDB Impacted SPRF''s'!$E$16:$O$9929,11,FALSE)</f>
        <v>N</v>
      </c>
      <c r="S2435" s="8"/>
      <c r="T2435" s="310"/>
      <c r="U2435" s="310"/>
      <c r="V2435" s="4"/>
      <c r="W2435" s="4"/>
      <c r="X2435" s="4"/>
      <c r="Y2435" s="4"/>
      <c r="Z2435" s="4"/>
      <c r="AA2435" s="4"/>
      <c r="AB2435" s="380" t="str">
        <f>VLOOKUP($B2435,'D7 - NDB Impacted SPRF''s'!$E$16:$O$9929,4,FALSE)</f>
        <v>Cancelled</v>
      </c>
      <c r="AC2435" s="380" t="str">
        <f>VLOOKUP($B2435,'D7 - NDB Impacted SPRF''s'!$E$16:$O$9929,3,FALSE)</f>
        <v>UnitedHealthcare Employer &amp; Individual</v>
      </c>
      <c r="AD2435" s="380" t="str">
        <f>VLOOKUP($B2435,'D7 - NDB Impacted SPRF''s'!$E$16:$O$9929,5,FALSE)</f>
        <v>Operations Group</v>
      </c>
      <c r="AE2435" s="380" t="str">
        <f>VLOOKUP($B2435,'D7 - NDB Impacted SPRF''s'!$E$16:$O$9929,7,FALSE)</f>
        <v>Pete Bompane</v>
      </c>
      <c r="AF2435" s="380" t="str">
        <f>VLOOKUP($B2435,'D7 - NDB Impacted SPRF''s'!$E$16:$O$9929,6,FALSE)</f>
        <v>MICHAEL SWEET</v>
      </c>
      <c r="AG2435" s="282"/>
      <c r="AH2435" s="311" t="e">
        <f>INDEX('D5 - Gatekeeper - Projects'!$A$4:$AF$1010,$AM2435, 17)</f>
        <v>#N/A</v>
      </c>
      <c r="AI2435" s="8"/>
      <c r="AJ2435" s="57"/>
      <c r="AK2435" s="105"/>
      <c r="AM2435" s="6" t="e">
        <f>MATCH(D2435,'D5 - Gatekeeper - Projects'!$C$4:$C$1010,0)</f>
        <v>#N/A</v>
      </c>
      <c r="AN2435" s="6" t="b">
        <f t="shared" si="255"/>
        <v>1</v>
      </c>
      <c r="AO2435" s="6" t="str">
        <f t="shared" si="256"/>
        <v>OK</v>
      </c>
      <c r="AQ2435" s="6" t="e">
        <f>MATCH($D2435,'D4 - Provider Council Unsched'!$C$11:$C$234,0)</f>
        <v>#N/A</v>
      </c>
      <c r="AR2435" s="6" t="b">
        <f t="shared" si="257"/>
        <v>1</v>
      </c>
      <c r="AS2435" s="6" t="str">
        <f t="shared" si="254"/>
        <v>OK</v>
      </c>
      <c r="AU2435" s="202"/>
      <c r="AV2435" s="262"/>
      <c r="AW2435" s="274"/>
    </row>
    <row r="2436" spans="1:49" s="13" customFormat="1" ht="33.75" x14ac:dyDescent="0.2">
      <c r="A2436" s="14">
        <v>2412</v>
      </c>
      <c r="B2436" s="14">
        <v>400002904</v>
      </c>
      <c r="C2436" s="8" t="s">
        <v>5197</v>
      </c>
      <c r="D2436" s="4" t="str">
        <f t="shared" si="258"/>
        <v>400002904R1</v>
      </c>
      <c r="E2436" s="309" t="str">
        <f>VLOOKUP($B2436,'D7 - NDB Impacted SPRF''s'!$E$6:$O$9929,2,FALSE)</f>
        <v>EPDL OP ID</v>
      </c>
      <c r="F2436" s="8" t="s">
        <v>4069</v>
      </c>
      <c r="G2436" s="8" t="s">
        <v>4758</v>
      </c>
      <c r="H2436" s="8" t="s">
        <v>2870</v>
      </c>
      <c r="I2436" s="20"/>
      <c r="J2436" s="8"/>
      <c r="K2436" s="182"/>
      <c r="L2436" s="8" t="s">
        <v>6164</v>
      </c>
      <c r="M2436" s="8" t="s">
        <v>2814</v>
      </c>
      <c r="N2436" s="367"/>
      <c r="O2436" s="8"/>
      <c r="P2436" s="4" t="str">
        <f>VLOOKUP($B2436,'D7 - NDB Impacted SPRF''s'!$E$16:$O$9929,9,FALSE)</f>
        <v>N</v>
      </c>
      <c r="Q2436" s="4" t="str">
        <f>VLOOKUP($B2436,'D7 - NDB Impacted SPRF''s'!$E$16:$O$9929,10,FALSE)</f>
        <v>N</v>
      </c>
      <c r="R2436" s="4" t="str">
        <f>VLOOKUP($B2436,'D7 - NDB Impacted SPRF''s'!$E$16:$O$9929,11,FALSE)</f>
        <v>N</v>
      </c>
      <c r="S2436" s="8"/>
      <c r="T2436" s="310"/>
      <c r="U2436" s="310"/>
      <c r="V2436" s="4"/>
      <c r="W2436" s="4"/>
      <c r="X2436" s="4"/>
      <c r="Y2436" s="4"/>
      <c r="Z2436" s="4"/>
      <c r="AA2436" s="4"/>
      <c r="AB2436" s="380" t="str">
        <f>VLOOKUP($B2436,'D7 - NDB Impacted SPRF''s'!$E$16:$O$9929,4,FALSE)</f>
        <v>Cancelled</v>
      </c>
      <c r="AC2436" s="380" t="str">
        <f>VLOOKUP($B2436,'D7 - NDB Impacted SPRF''s'!$E$16:$O$9929,3,FALSE)</f>
        <v>UnitedHealthcare Employer &amp; Individual</v>
      </c>
      <c r="AD2436" s="380" t="str">
        <f>VLOOKUP($B2436,'D7 - NDB Impacted SPRF''s'!$E$16:$O$9929,5,FALSE)</f>
        <v>Operations Group</v>
      </c>
      <c r="AE2436" s="380" t="str">
        <f>VLOOKUP($B2436,'D7 - NDB Impacted SPRF''s'!$E$16:$O$9929,7,FALSE)</f>
        <v>Peter Bompane</v>
      </c>
      <c r="AF2436" s="380" t="str">
        <f>VLOOKUP($B2436,'D7 - NDB Impacted SPRF''s'!$E$16:$O$9929,6,FALSE)</f>
        <v>Barbara Dickson</v>
      </c>
      <c r="AG2436" s="282"/>
      <c r="AH2436" s="311" t="e">
        <f>INDEX('D5 - Gatekeeper - Projects'!$A$4:$AF$1010,$AM2436, 17)</f>
        <v>#N/A</v>
      </c>
      <c r="AI2436" s="8"/>
      <c r="AJ2436" s="57"/>
      <c r="AK2436" s="105"/>
      <c r="AM2436" s="6" t="e">
        <f>MATCH(D2436,'D5 - Gatekeeper - Projects'!$C$4:$C$1010,0)</f>
        <v>#N/A</v>
      </c>
      <c r="AN2436" s="6" t="b">
        <f t="shared" si="255"/>
        <v>1</v>
      </c>
      <c r="AO2436" s="6" t="str">
        <f t="shared" si="256"/>
        <v>OK</v>
      </c>
      <c r="AQ2436" s="6" t="e">
        <f>MATCH($D2436,'D4 - Provider Council Unsched'!$C$11:$C$234,0)</f>
        <v>#N/A</v>
      </c>
      <c r="AR2436" s="6" t="b">
        <f t="shared" si="257"/>
        <v>1</v>
      </c>
      <c r="AS2436" s="6" t="str">
        <f t="shared" ref="AS2436:AS2499" si="259">IF(AND(H2436="2 - Not Scheduled",AR2436=TRUE),"Add","OK")</f>
        <v>OK</v>
      </c>
      <c r="AU2436" s="202"/>
      <c r="AV2436" s="262"/>
      <c r="AW2436" s="274"/>
    </row>
    <row r="2437" spans="1:49" s="13" customFormat="1" ht="33.75" x14ac:dyDescent="0.2">
      <c r="A2437" s="14">
        <v>2413</v>
      </c>
      <c r="B2437" s="14">
        <v>400002907</v>
      </c>
      <c r="C2437" s="8" t="s">
        <v>5197</v>
      </c>
      <c r="D2437" s="4" t="str">
        <f t="shared" si="258"/>
        <v>400002907R1</v>
      </c>
      <c r="E2437" s="309" t="str">
        <f>VLOOKUP($B2437,'D7 - NDB Impacted SPRF''s'!$E$6:$O$9929,2,FALSE)</f>
        <v>Orbit Report for COSMOS PCP Directories</v>
      </c>
      <c r="F2437" s="8" t="s">
        <v>3235</v>
      </c>
      <c r="G2437" s="8" t="s">
        <v>4758</v>
      </c>
      <c r="H2437" s="8" t="s">
        <v>2870</v>
      </c>
      <c r="I2437" s="20"/>
      <c r="J2437" s="8"/>
      <c r="K2437" s="182"/>
      <c r="L2437" s="8" t="s">
        <v>6164</v>
      </c>
      <c r="M2437" s="8" t="s">
        <v>2814</v>
      </c>
      <c r="N2437" s="367"/>
      <c r="O2437" s="8"/>
      <c r="P2437" s="4" t="str">
        <f>VLOOKUP($B2437,'D7 - NDB Impacted SPRF''s'!$E$16:$O$9929,9,FALSE)</f>
        <v>N</v>
      </c>
      <c r="Q2437" s="4" t="str">
        <f>VLOOKUP($B2437,'D7 - NDB Impacted SPRF''s'!$E$16:$O$9929,10,FALSE)</f>
        <v>N</v>
      </c>
      <c r="R2437" s="4" t="str">
        <f>VLOOKUP($B2437,'D7 - NDB Impacted SPRF''s'!$E$16:$O$9929,11,FALSE)</f>
        <v>N</v>
      </c>
      <c r="S2437" s="8"/>
      <c r="T2437" s="310"/>
      <c r="U2437" s="310"/>
      <c r="V2437" s="4"/>
      <c r="W2437" s="4"/>
      <c r="X2437" s="4"/>
      <c r="Y2437" s="4"/>
      <c r="Z2437" s="4"/>
      <c r="AA2437" s="4"/>
      <c r="AB2437" s="380" t="str">
        <f>VLOOKUP($B2437,'D7 - NDB Impacted SPRF''s'!$E$16:$O$9929,4,FALSE)</f>
        <v>Cancelled</v>
      </c>
      <c r="AC2437" s="380" t="str">
        <f>VLOOKUP($B2437,'D7 - NDB Impacted SPRF''s'!$E$16:$O$9929,3,FALSE)</f>
        <v>UnitedHealthcare Employer &amp; Individual</v>
      </c>
      <c r="AD2437" s="380" t="str">
        <f>VLOOKUP($B2437,'D7 - NDB Impacted SPRF''s'!$E$16:$O$9929,5,FALSE)</f>
        <v>Operations Group</v>
      </c>
      <c r="AE2437" s="380" t="str">
        <f>VLOOKUP($B2437,'D7 - NDB Impacted SPRF''s'!$E$16:$O$9929,7,FALSE)</f>
        <v>Peter Bompane</v>
      </c>
      <c r="AF2437" s="380" t="str">
        <f>VLOOKUP($B2437,'D7 - NDB Impacted SPRF''s'!$E$16:$O$9929,6,FALSE)</f>
        <v>HUBER ALLISON</v>
      </c>
      <c r="AG2437" s="282"/>
      <c r="AH2437" s="311" t="e">
        <f>INDEX('D5 - Gatekeeper - Projects'!$A$4:$AF$1010,$AM2437, 17)</f>
        <v>#N/A</v>
      </c>
      <c r="AI2437" s="8"/>
      <c r="AJ2437" s="57"/>
      <c r="AK2437" s="105"/>
      <c r="AM2437" s="6" t="e">
        <f>MATCH(D2437,'D5 - Gatekeeper - Projects'!$C$4:$C$1010,0)</f>
        <v>#N/A</v>
      </c>
      <c r="AN2437" s="6" t="b">
        <f t="shared" si="255"/>
        <v>1</v>
      </c>
      <c r="AO2437" s="6" t="str">
        <f t="shared" si="256"/>
        <v>OK</v>
      </c>
      <c r="AQ2437" s="6" t="e">
        <f>MATCH($D2437,'D4 - Provider Council Unsched'!$C$11:$C$234,0)</f>
        <v>#N/A</v>
      </c>
      <c r="AR2437" s="6" t="b">
        <f t="shared" si="257"/>
        <v>1</v>
      </c>
      <c r="AS2437" s="6" t="str">
        <f t="shared" si="259"/>
        <v>OK</v>
      </c>
      <c r="AU2437" s="202"/>
      <c r="AV2437" s="262"/>
      <c r="AW2437" s="274"/>
    </row>
    <row r="2438" spans="1:49" s="13" customFormat="1" ht="33.75" x14ac:dyDescent="0.2">
      <c r="A2438" s="14">
        <v>2414</v>
      </c>
      <c r="B2438" s="14">
        <v>400002917</v>
      </c>
      <c r="C2438" s="8" t="s">
        <v>5197</v>
      </c>
      <c r="D2438" s="4" t="str">
        <f t="shared" si="258"/>
        <v>400002917R1</v>
      </c>
      <c r="E2438" s="309" t="str">
        <f>VLOOKUP($B2438,'D7 - NDB Impacted SPRF''s'!$E$6:$O$9929,2,FALSE)</f>
        <v>Orbit Report for COSMOS Specialists Directories</v>
      </c>
      <c r="F2438" s="8" t="s">
        <v>3235</v>
      </c>
      <c r="G2438" s="8" t="s">
        <v>4758</v>
      </c>
      <c r="H2438" s="8" t="s">
        <v>2870</v>
      </c>
      <c r="I2438" s="20"/>
      <c r="J2438" s="8"/>
      <c r="K2438" s="182"/>
      <c r="L2438" s="8" t="s">
        <v>6164</v>
      </c>
      <c r="M2438" s="8" t="s">
        <v>2814</v>
      </c>
      <c r="N2438" s="367"/>
      <c r="O2438" s="8"/>
      <c r="P2438" s="4" t="str">
        <f>VLOOKUP($B2438,'D7 - NDB Impacted SPRF''s'!$E$16:$O$9929,9,FALSE)</f>
        <v>N</v>
      </c>
      <c r="Q2438" s="4" t="str">
        <f>VLOOKUP($B2438,'D7 - NDB Impacted SPRF''s'!$E$16:$O$9929,10,FALSE)</f>
        <v>N</v>
      </c>
      <c r="R2438" s="4" t="str">
        <f>VLOOKUP($B2438,'D7 - NDB Impacted SPRF''s'!$E$16:$O$9929,11,FALSE)</f>
        <v>N</v>
      </c>
      <c r="S2438" s="8"/>
      <c r="T2438" s="310"/>
      <c r="U2438" s="310"/>
      <c r="V2438" s="4"/>
      <c r="W2438" s="4"/>
      <c r="X2438" s="4"/>
      <c r="Y2438" s="4"/>
      <c r="Z2438" s="4"/>
      <c r="AA2438" s="4"/>
      <c r="AB2438" s="380" t="str">
        <f>VLOOKUP($B2438,'D7 - NDB Impacted SPRF''s'!$E$16:$O$9929,4,FALSE)</f>
        <v>Cancelled</v>
      </c>
      <c r="AC2438" s="380" t="str">
        <f>VLOOKUP($B2438,'D7 - NDB Impacted SPRF''s'!$E$16:$O$9929,3,FALSE)</f>
        <v>UnitedHealthcare Employer &amp; Individual</v>
      </c>
      <c r="AD2438" s="380" t="str">
        <f>VLOOKUP($B2438,'D7 - NDB Impacted SPRF''s'!$E$16:$O$9929,5,FALSE)</f>
        <v>Operations Group</v>
      </c>
      <c r="AE2438" s="380" t="str">
        <f>VLOOKUP($B2438,'D7 - NDB Impacted SPRF''s'!$E$16:$O$9929,7,FALSE)</f>
        <v>Peter Bompane</v>
      </c>
      <c r="AF2438" s="380" t="str">
        <f>VLOOKUP($B2438,'D7 - NDB Impacted SPRF''s'!$E$16:$O$9929,6,FALSE)</f>
        <v>HUBER ALLISON</v>
      </c>
      <c r="AG2438" s="282"/>
      <c r="AH2438" s="311" t="e">
        <f>INDEX('D5 - Gatekeeper - Projects'!$A$4:$AF$1010,$AM2438, 17)</f>
        <v>#N/A</v>
      </c>
      <c r="AI2438" s="8"/>
      <c r="AJ2438" s="57"/>
      <c r="AK2438" s="105"/>
      <c r="AM2438" s="6" t="e">
        <f>MATCH(D2438,'D5 - Gatekeeper - Projects'!$C$4:$C$1010,0)</f>
        <v>#N/A</v>
      </c>
      <c r="AN2438" s="6" t="b">
        <f t="shared" si="255"/>
        <v>1</v>
      </c>
      <c r="AO2438" s="6" t="str">
        <f t="shared" si="256"/>
        <v>OK</v>
      </c>
      <c r="AQ2438" s="6" t="e">
        <f>MATCH($D2438,'D4 - Provider Council Unsched'!$C$11:$C$234,0)</f>
        <v>#N/A</v>
      </c>
      <c r="AR2438" s="6" t="b">
        <f t="shared" si="257"/>
        <v>1</v>
      </c>
      <c r="AS2438" s="6" t="str">
        <f t="shared" si="259"/>
        <v>OK</v>
      </c>
      <c r="AU2438" s="202"/>
      <c r="AV2438" s="262"/>
      <c r="AW2438" s="274"/>
    </row>
    <row r="2439" spans="1:49" s="13" customFormat="1" ht="33.75" x14ac:dyDescent="0.2">
      <c r="A2439" s="14">
        <v>2415</v>
      </c>
      <c r="B2439" s="14">
        <v>400002932</v>
      </c>
      <c r="C2439" s="8" t="s">
        <v>5197</v>
      </c>
      <c r="D2439" s="4" t="str">
        <f t="shared" si="258"/>
        <v>400002932R1</v>
      </c>
      <c r="E2439" s="309" t="str">
        <f>VLOOKUP($B2439,'D7 - NDB Impacted SPRF''s'!$E$6:$O$9929,2,FALSE)</f>
        <v>Orbit Report for COSMOS Facility Directories</v>
      </c>
      <c r="F2439" s="8" t="s">
        <v>3235</v>
      </c>
      <c r="G2439" s="8" t="s">
        <v>4758</v>
      </c>
      <c r="H2439" s="8" t="s">
        <v>2870</v>
      </c>
      <c r="I2439" s="20"/>
      <c r="J2439" s="8"/>
      <c r="K2439" s="182"/>
      <c r="L2439" s="8" t="s">
        <v>6164</v>
      </c>
      <c r="M2439" s="8" t="s">
        <v>2814</v>
      </c>
      <c r="N2439" s="367"/>
      <c r="O2439" s="8"/>
      <c r="P2439" s="4" t="str">
        <f>VLOOKUP($B2439,'D7 - NDB Impacted SPRF''s'!$E$16:$O$9929,9,FALSE)</f>
        <v>N</v>
      </c>
      <c r="Q2439" s="4" t="str">
        <f>VLOOKUP($B2439,'D7 - NDB Impacted SPRF''s'!$E$16:$O$9929,10,FALSE)</f>
        <v>N</v>
      </c>
      <c r="R2439" s="4" t="str">
        <f>VLOOKUP($B2439,'D7 - NDB Impacted SPRF''s'!$E$16:$O$9929,11,FALSE)</f>
        <v>N</v>
      </c>
      <c r="S2439" s="8"/>
      <c r="T2439" s="310"/>
      <c r="U2439" s="310"/>
      <c r="V2439" s="4"/>
      <c r="W2439" s="4"/>
      <c r="X2439" s="4"/>
      <c r="Y2439" s="4"/>
      <c r="Z2439" s="4"/>
      <c r="AA2439" s="4"/>
      <c r="AB2439" s="380" t="str">
        <f>VLOOKUP($B2439,'D7 - NDB Impacted SPRF''s'!$E$16:$O$9929,4,FALSE)</f>
        <v>Cancelled</v>
      </c>
      <c r="AC2439" s="380" t="str">
        <f>VLOOKUP($B2439,'D7 - NDB Impacted SPRF''s'!$E$16:$O$9929,3,FALSE)</f>
        <v>UnitedHealthcare Employer &amp; Individual</v>
      </c>
      <c r="AD2439" s="380" t="str">
        <f>VLOOKUP($B2439,'D7 - NDB Impacted SPRF''s'!$E$16:$O$9929,5,FALSE)</f>
        <v>Operations Group</v>
      </c>
      <c r="AE2439" s="380" t="str">
        <f>VLOOKUP($B2439,'D7 - NDB Impacted SPRF''s'!$E$16:$O$9929,7,FALSE)</f>
        <v>Peter Bompane</v>
      </c>
      <c r="AF2439" s="380" t="str">
        <f>VLOOKUP($B2439,'D7 - NDB Impacted SPRF''s'!$E$16:$O$9929,6,FALSE)</f>
        <v>HUBER ALLISON</v>
      </c>
      <c r="AG2439" s="282"/>
      <c r="AH2439" s="311" t="e">
        <f>INDEX('D5 - Gatekeeper - Projects'!$A$4:$AF$1010,$AM2439, 17)</f>
        <v>#N/A</v>
      </c>
      <c r="AI2439" s="8"/>
      <c r="AJ2439" s="57"/>
      <c r="AK2439" s="105"/>
      <c r="AM2439" s="6" t="e">
        <f>MATCH(D2439,'D5 - Gatekeeper - Projects'!$C$4:$C$1010,0)</f>
        <v>#N/A</v>
      </c>
      <c r="AN2439" s="6" t="b">
        <f t="shared" si="255"/>
        <v>1</v>
      </c>
      <c r="AO2439" s="6" t="str">
        <f t="shared" si="256"/>
        <v>OK</v>
      </c>
      <c r="AQ2439" s="6" t="e">
        <f>MATCH($D2439,'D4 - Provider Council Unsched'!$C$11:$C$234,0)</f>
        <v>#N/A</v>
      </c>
      <c r="AR2439" s="6" t="b">
        <f t="shared" si="257"/>
        <v>1</v>
      </c>
      <c r="AS2439" s="6" t="str">
        <f t="shared" si="259"/>
        <v>OK</v>
      </c>
      <c r="AU2439" s="202"/>
      <c r="AV2439" s="262"/>
      <c r="AW2439" s="274"/>
    </row>
    <row r="2440" spans="1:49" s="13" customFormat="1" ht="33.75" x14ac:dyDescent="0.2">
      <c r="A2440" s="14">
        <v>2416</v>
      </c>
      <c r="B2440" s="14">
        <v>400002934</v>
      </c>
      <c r="C2440" s="8" t="s">
        <v>5197</v>
      </c>
      <c r="D2440" s="4" t="str">
        <f t="shared" si="258"/>
        <v>400002934R1</v>
      </c>
      <c r="E2440" s="309" t="str">
        <f>VLOOKUP($B2440,'D7 - NDB Impacted SPRF''s'!$E$6:$O$9929,2,FALSE)</f>
        <v>Orbit- Provider by DIV/panel, additional fields</v>
      </c>
      <c r="F2440" s="8" t="s">
        <v>3235</v>
      </c>
      <c r="G2440" s="8" t="s">
        <v>4758</v>
      </c>
      <c r="H2440" s="8" t="s">
        <v>2870</v>
      </c>
      <c r="I2440" s="20"/>
      <c r="J2440" s="8"/>
      <c r="K2440" s="182"/>
      <c r="L2440" s="8" t="s">
        <v>6164</v>
      </c>
      <c r="M2440" s="8" t="s">
        <v>2814</v>
      </c>
      <c r="N2440" s="367"/>
      <c r="O2440" s="8"/>
      <c r="P2440" s="4" t="str">
        <f>VLOOKUP($B2440,'D7 - NDB Impacted SPRF''s'!$E$16:$O$9929,9,FALSE)</f>
        <v>N</v>
      </c>
      <c r="Q2440" s="4" t="str">
        <f>VLOOKUP($B2440,'D7 - NDB Impacted SPRF''s'!$E$16:$O$9929,10,FALSE)</f>
        <v>N</v>
      </c>
      <c r="R2440" s="4" t="str">
        <f>VLOOKUP($B2440,'D7 - NDB Impacted SPRF''s'!$E$16:$O$9929,11,FALSE)</f>
        <v>N</v>
      </c>
      <c r="S2440" s="8"/>
      <c r="T2440" s="310"/>
      <c r="U2440" s="310"/>
      <c r="V2440" s="4"/>
      <c r="W2440" s="4"/>
      <c r="X2440" s="4"/>
      <c r="Y2440" s="4"/>
      <c r="Z2440" s="4"/>
      <c r="AA2440" s="4"/>
      <c r="AB2440" s="380" t="str">
        <f>VLOOKUP($B2440,'D7 - NDB Impacted SPRF''s'!$E$16:$O$9929,4,FALSE)</f>
        <v>Cancelled</v>
      </c>
      <c r="AC2440" s="380" t="str">
        <f>VLOOKUP($B2440,'D7 - NDB Impacted SPRF''s'!$E$16:$O$9929,3,FALSE)</f>
        <v>UnitedHealthcare Employer &amp; Individual</v>
      </c>
      <c r="AD2440" s="380" t="str">
        <f>VLOOKUP($B2440,'D7 - NDB Impacted SPRF''s'!$E$16:$O$9929,5,FALSE)</f>
        <v>Operations Group</v>
      </c>
      <c r="AE2440" s="380" t="str">
        <f>VLOOKUP($B2440,'D7 - NDB Impacted SPRF''s'!$E$16:$O$9929,7,FALSE)</f>
        <v>Peter Bompane</v>
      </c>
      <c r="AF2440" s="380" t="str">
        <f>VLOOKUP($B2440,'D7 - NDB Impacted SPRF''s'!$E$16:$O$9929,6,FALSE)</f>
        <v>HUBER ALLISON</v>
      </c>
      <c r="AG2440" s="282"/>
      <c r="AH2440" s="311" t="e">
        <f>INDEX('D5 - Gatekeeper - Projects'!$A$4:$AF$1010,$AM2440, 17)</f>
        <v>#N/A</v>
      </c>
      <c r="AI2440" s="8"/>
      <c r="AJ2440" s="57"/>
      <c r="AK2440" s="105"/>
      <c r="AM2440" s="6" t="e">
        <f>MATCH(D2440,'D5 - Gatekeeper - Projects'!$C$4:$C$1010,0)</f>
        <v>#N/A</v>
      </c>
      <c r="AN2440" s="6" t="b">
        <f t="shared" si="255"/>
        <v>1</v>
      </c>
      <c r="AO2440" s="6" t="str">
        <f t="shared" si="256"/>
        <v>OK</v>
      </c>
      <c r="AQ2440" s="6" t="e">
        <f>MATCH($D2440,'D4 - Provider Council Unsched'!$C$11:$C$234,0)</f>
        <v>#N/A</v>
      </c>
      <c r="AR2440" s="6" t="b">
        <f t="shared" si="257"/>
        <v>1</v>
      </c>
      <c r="AS2440" s="6" t="str">
        <f t="shared" si="259"/>
        <v>OK</v>
      </c>
      <c r="AU2440" s="202"/>
      <c r="AV2440" s="262"/>
      <c r="AW2440" s="274"/>
    </row>
    <row r="2441" spans="1:49" s="13" customFormat="1" ht="33.75" x14ac:dyDescent="0.2">
      <c r="A2441" s="14">
        <v>2417</v>
      </c>
      <c r="B2441" s="14">
        <v>400002977</v>
      </c>
      <c r="C2441" s="8" t="s">
        <v>5197</v>
      </c>
      <c r="D2441" s="4" t="str">
        <f t="shared" si="258"/>
        <v>400002977R1</v>
      </c>
      <c r="E2441" s="309" t="str">
        <f>VLOOKUP($B2441,'D7 - NDB Impacted SPRF''s'!$E$6:$O$9929,2,FALSE)</f>
        <v>load NCOA address corrections</v>
      </c>
      <c r="F2441" s="8" t="s">
        <v>6632</v>
      </c>
      <c r="G2441" s="8" t="s">
        <v>4758</v>
      </c>
      <c r="H2441" s="8" t="s">
        <v>2870</v>
      </c>
      <c r="I2441" s="20"/>
      <c r="J2441" s="8"/>
      <c r="K2441" s="182"/>
      <c r="L2441" s="8" t="s">
        <v>6164</v>
      </c>
      <c r="M2441" s="8" t="s">
        <v>2814</v>
      </c>
      <c r="N2441" s="367"/>
      <c r="O2441" s="8"/>
      <c r="P2441" s="4" t="str">
        <f>VLOOKUP($B2441,'D7 - NDB Impacted SPRF''s'!$E$16:$O$9929,9,FALSE)</f>
        <v>N</v>
      </c>
      <c r="Q2441" s="4" t="str">
        <f>VLOOKUP($B2441,'D7 - NDB Impacted SPRF''s'!$E$16:$O$9929,10,FALSE)</f>
        <v>N</v>
      </c>
      <c r="R2441" s="4" t="str">
        <f>VLOOKUP($B2441,'D7 - NDB Impacted SPRF''s'!$E$16:$O$9929,11,FALSE)</f>
        <v>N</v>
      </c>
      <c r="S2441" s="8"/>
      <c r="T2441" s="310"/>
      <c r="U2441" s="310"/>
      <c r="V2441" s="4"/>
      <c r="W2441" s="4"/>
      <c r="X2441" s="4"/>
      <c r="Y2441" s="4"/>
      <c r="Z2441" s="4"/>
      <c r="AA2441" s="4"/>
      <c r="AB2441" s="380" t="str">
        <f>VLOOKUP($B2441,'D7 - NDB Impacted SPRF''s'!$E$16:$O$9929,4,FALSE)</f>
        <v>Cancelled</v>
      </c>
      <c r="AC2441" s="380" t="str">
        <f>VLOOKUP($B2441,'D7 - NDB Impacted SPRF''s'!$E$16:$O$9929,3,FALSE)</f>
        <v>UnitedHealthcare Employer &amp; Individual</v>
      </c>
      <c r="AD2441" s="380" t="str">
        <f>VLOOKUP($B2441,'D7 - NDB Impacted SPRF''s'!$E$16:$O$9929,5,FALSE)</f>
        <v>Operations Group</v>
      </c>
      <c r="AE2441" s="380" t="str">
        <f>VLOOKUP($B2441,'D7 - NDB Impacted SPRF''s'!$E$16:$O$9929,7,FALSE)</f>
        <v>Peter Bompane</v>
      </c>
      <c r="AF2441" s="380" t="str">
        <f>VLOOKUP($B2441,'D7 - NDB Impacted SPRF''s'!$E$16:$O$9929,6,FALSE)</f>
        <v>Patrick Schwartz</v>
      </c>
      <c r="AG2441" s="282"/>
      <c r="AH2441" s="311" t="e">
        <f>INDEX('D5 - Gatekeeper - Projects'!$A$4:$AF$1010,$AM2441, 17)</f>
        <v>#N/A</v>
      </c>
      <c r="AI2441" s="8"/>
      <c r="AJ2441" s="57"/>
      <c r="AK2441" s="105"/>
      <c r="AM2441" s="6" t="e">
        <f>MATCH(D2441,'D5 - Gatekeeper - Projects'!$C$4:$C$1010,0)</f>
        <v>#N/A</v>
      </c>
      <c r="AN2441" s="6" t="b">
        <f t="shared" si="255"/>
        <v>1</v>
      </c>
      <c r="AO2441" s="6" t="str">
        <f t="shared" si="256"/>
        <v>OK</v>
      </c>
      <c r="AQ2441" s="6" t="e">
        <f>MATCH($D2441,'D4 - Provider Council Unsched'!$C$11:$C$234,0)</f>
        <v>#N/A</v>
      </c>
      <c r="AR2441" s="6" t="b">
        <f t="shared" si="257"/>
        <v>1</v>
      </c>
      <c r="AS2441" s="6" t="str">
        <f t="shared" si="259"/>
        <v>OK</v>
      </c>
      <c r="AU2441" s="202"/>
      <c r="AV2441" s="262"/>
      <c r="AW2441" s="274"/>
    </row>
    <row r="2442" spans="1:49" s="13" customFormat="1" ht="33.75" x14ac:dyDescent="0.2">
      <c r="A2442" s="14">
        <v>2418</v>
      </c>
      <c r="B2442" s="14">
        <v>400003028</v>
      </c>
      <c r="C2442" s="8" t="s">
        <v>5197</v>
      </c>
      <c r="D2442" s="4" t="str">
        <f t="shared" si="258"/>
        <v>400003028R1</v>
      </c>
      <c r="E2442" s="309" t="str">
        <f>VLOOKUP($B2442,'D7 - NDB Impacted SPRF''s'!$E$6:$O$9929,2,FALSE)</f>
        <v>Empire Metrics Reporting</v>
      </c>
      <c r="F2442" s="8" t="s">
        <v>2391</v>
      </c>
      <c r="G2442" s="8" t="s">
        <v>4758</v>
      </c>
      <c r="H2442" s="8" t="s">
        <v>2870</v>
      </c>
      <c r="I2442" s="20"/>
      <c r="J2442" s="8"/>
      <c r="K2442" s="182"/>
      <c r="L2442" s="8" t="s">
        <v>6164</v>
      </c>
      <c r="M2442" s="8" t="s">
        <v>2814</v>
      </c>
      <c r="N2442" s="367"/>
      <c r="O2442" s="8"/>
      <c r="P2442" s="4" t="str">
        <f>VLOOKUP($B2442,'D7 - NDB Impacted SPRF''s'!$E$16:$O$9929,9,FALSE)</f>
        <v>N</v>
      </c>
      <c r="Q2442" s="4" t="str">
        <f>VLOOKUP($B2442,'D7 - NDB Impacted SPRF''s'!$E$16:$O$9929,10,FALSE)</f>
        <v>N</v>
      </c>
      <c r="R2442" s="4" t="str">
        <f>VLOOKUP($B2442,'D7 - NDB Impacted SPRF''s'!$E$16:$O$9929,11,FALSE)</f>
        <v>N</v>
      </c>
      <c r="S2442" s="8"/>
      <c r="T2442" s="310"/>
      <c r="U2442" s="310"/>
      <c r="V2442" s="4"/>
      <c r="W2442" s="4"/>
      <c r="X2442" s="4"/>
      <c r="Y2442" s="4"/>
      <c r="Z2442" s="4"/>
      <c r="AA2442" s="4"/>
      <c r="AB2442" s="380" t="str">
        <f>VLOOKUP($B2442,'D7 - NDB Impacted SPRF''s'!$E$16:$O$9929,4,FALSE)</f>
        <v>Cancelled</v>
      </c>
      <c r="AC2442" s="380" t="str">
        <f>VLOOKUP($B2442,'D7 - NDB Impacted SPRF''s'!$E$16:$O$9929,3,FALSE)</f>
        <v>UnitedHealthcare Employer &amp; Individual</v>
      </c>
      <c r="AD2442" s="380" t="str">
        <f>VLOOKUP($B2442,'D7 - NDB Impacted SPRF''s'!$E$16:$O$9929,5,FALSE)</f>
        <v>Operations Group</v>
      </c>
      <c r="AE2442" s="380" t="str">
        <f>VLOOKUP($B2442,'D7 - NDB Impacted SPRF''s'!$E$16:$O$9929,7,FALSE)</f>
        <v>Pete Bompane</v>
      </c>
      <c r="AF2442" s="380" t="str">
        <f>VLOOKUP($B2442,'D7 - NDB Impacted SPRF''s'!$E$16:$O$9929,6,FALSE)</f>
        <v>MICHAEL SWEET</v>
      </c>
      <c r="AG2442" s="282"/>
      <c r="AH2442" s="311" t="e">
        <f>INDEX('D5 - Gatekeeper - Projects'!$A$4:$AF$1010,$AM2442, 17)</f>
        <v>#N/A</v>
      </c>
      <c r="AI2442" s="8"/>
      <c r="AJ2442" s="57"/>
      <c r="AK2442" s="105"/>
      <c r="AM2442" s="6" t="e">
        <f>MATCH(D2442,'D5 - Gatekeeper - Projects'!$C$4:$C$1010,0)</f>
        <v>#N/A</v>
      </c>
      <c r="AN2442" s="6" t="b">
        <f t="shared" ref="AN2442:AN2505" si="260">ISERROR(AM2442)</f>
        <v>1</v>
      </c>
      <c r="AO2442" s="6" t="str">
        <f t="shared" ref="AO2442:AO2505" si="261">IF(AND(H2442="1 - Scheduled",AN2442=TRUE),"Add","OK")</f>
        <v>OK</v>
      </c>
      <c r="AQ2442" s="6" t="e">
        <f>MATCH($D2442,'D4 - Provider Council Unsched'!$C$11:$C$234,0)</f>
        <v>#N/A</v>
      </c>
      <c r="AR2442" s="6" t="b">
        <f t="shared" ref="AR2442:AR2505" si="262">ISERROR(AQ2442)</f>
        <v>1</v>
      </c>
      <c r="AS2442" s="6" t="str">
        <f t="shared" si="259"/>
        <v>OK</v>
      </c>
      <c r="AU2442" s="202"/>
      <c r="AV2442" s="262"/>
      <c r="AW2442" s="274"/>
    </row>
    <row r="2443" spans="1:49" s="13" customFormat="1" x14ac:dyDescent="0.2">
      <c r="A2443" s="14">
        <v>2419</v>
      </c>
      <c r="B2443" s="14">
        <v>400003061</v>
      </c>
      <c r="C2443" s="8" t="s">
        <v>5197</v>
      </c>
      <c r="D2443" s="4" t="str">
        <f t="shared" si="258"/>
        <v>400003061R1</v>
      </c>
      <c r="E2443" s="309" t="str">
        <f>VLOOKUP($B2443,'D7 - NDB Impacted SPRF''s'!$E$6:$O$9929,2,FALSE)</f>
        <v>GE specific 1500 broker file</v>
      </c>
      <c r="F2443" s="8"/>
      <c r="G2443" s="8" t="s">
        <v>4758</v>
      </c>
      <c r="H2443" s="8" t="s">
        <v>2870</v>
      </c>
      <c r="I2443" s="20"/>
      <c r="J2443" s="8"/>
      <c r="K2443" s="182"/>
      <c r="L2443" s="8" t="s">
        <v>6164</v>
      </c>
      <c r="M2443" s="8" t="s">
        <v>2814</v>
      </c>
      <c r="N2443" s="367"/>
      <c r="O2443" s="8"/>
      <c r="P2443" s="4" t="str">
        <f>VLOOKUP($B2443,'D7 - NDB Impacted SPRF''s'!$E$16:$O$9929,9,FALSE)</f>
        <v>N</v>
      </c>
      <c r="Q2443" s="4" t="str">
        <f>VLOOKUP($B2443,'D7 - NDB Impacted SPRF''s'!$E$16:$O$9929,10,FALSE)</f>
        <v>N</v>
      </c>
      <c r="R2443" s="4" t="str">
        <f>VLOOKUP($B2443,'D7 - NDB Impacted SPRF''s'!$E$16:$O$9929,11,FALSE)</f>
        <v>N</v>
      </c>
      <c r="S2443" s="8"/>
      <c r="T2443" s="310"/>
      <c r="U2443" s="310"/>
      <c r="V2443" s="4"/>
      <c r="W2443" s="4"/>
      <c r="X2443" s="4"/>
      <c r="Y2443" s="4"/>
      <c r="Z2443" s="4"/>
      <c r="AA2443" s="4"/>
      <c r="AB2443" s="380" t="str">
        <f>VLOOKUP($B2443,'D7 - NDB Impacted SPRF''s'!$E$16:$O$9929,4,FALSE)</f>
        <v>Cancelled</v>
      </c>
      <c r="AC2443" s="380" t="str">
        <f>VLOOKUP($B2443,'D7 - NDB Impacted SPRF''s'!$E$16:$O$9929,3,FALSE)</f>
        <v>Uniprise</v>
      </c>
      <c r="AD2443" s="380" t="str">
        <f>VLOOKUP($B2443,'D7 - NDB Impacted SPRF''s'!$E$16:$O$9929,5,FALSE)</f>
        <v>USS - Capital Projects</v>
      </c>
      <c r="AE2443" s="380" t="str">
        <f>VLOOKUP($B2443,'D7 - NDB Impacted SPRF''s'!$E$16:$O$9929,7,FALSE)</f>
        <v>Gloria Callari</v>
      </c>
      <c r="AF2443" s="380" t="str">
        <f>VLOOKUP($B2443,'D7 - NDB Impacted SPRF''s'!$E$16:$O$9929,6,FALSE)</f>
        <v>Callari Gloria</v>
      </c>
      <c r="AG2443" s="282"/>
      <c r="AH2443" s="311" t="e">
        <f>INDEX('D5 - Gatekeeper - Projects'!$A$4:$AF$1010,$AM2443, 17)</f>
        <v>#N/A</v>
      </c>
      <c r="AI2443" s="8"/>
      <c r="AJ2443" s="57"/>
      <c r="AK2443" s="105"/>
      <c r="AM2443" s="6" t="e">
        <f>MATCH(D2443,'D5 - Gatekeeper - Projects'!$C$4:$C$1010,0)</f>
        <v>#N/A</v>
      </c>
      <c r="AN2443" s="6" t="b">
        <f t="shared" si="260"/>
        <v>1</v>
      </c>
      <c r="AO2443" s="6" t="str">
        <f t="shared" si="261"/>
        <v>OK</v>
      </c>
      <c r="AQ2443" s="6" t="e">
        <f>MATCH($D2443,'D4 - Provider Council Unsched'!$C$11:$C$234,0)</f>
        <v>#N/A</v>
      </c>
      <c r="AR2443" s="6" t="b">
        <f t="shared" si="262"/>
        <v>1</v>
      </c>
      <c r="AS2443" s="6" t="str">
        <f t="shared" si="259"/>
        <v>OK</v>
      </c>
      <c r="AU2443" s="202"/>
      <c r="AV2443" s="262"/>
      <c r="AW2443" s="274"/>
    </row>
    <row r="2444" spans="1:49" s="13" customFormat="1" ht="33.75" x14ac:dyDescent="0.2">
      <c r="A2444" s="14">
        <v>2420</v>
      </c>
      <c r="B2444" s="14">
        <v>400003074</v>
      </c>
      <c r="C2444" s="8" t="s">
        <v>5197</v>
      </c>
      <c r="D2444" s="4" t="str">
        <f t="shared" si="258"/>
        <v>400003074R1</v>
      </c>
      <c r="E2444" s="309" t="str">
        <f>VLOOKUP($B2444,'D7 - NDB Impacted SPRF''s'!$E$6:$O$9929,2,FALSE)</f>
        <v>Orbit - Provider Rep Specialty Report</v>
      </c>
      <c r="F2444" s="8" t="s">
        <v>3235</v>
      </c>
      <c r="G2444" s="8" t="s">
        <v>4758</v>
      </c>
      <c r="H2444" s="8" t="s">
        <v>2870</v>
      </c>
      <c r="I2444" s="20"/>
      <c r="J2444" s="8"/>
      <c r="K2444" s="182"/>
      <c r="L2444" s="8" t="s">
        <v>6164</v>
      </c>
      <c r="M2444" s="8" t="s">
        <v>2814</v>
      </c>
      <c r="N2444" s="367"/>
      <c r="O2444" s="8"/>
      <c r="P2444" s="4" t="str">
        <f>VLOOKUP($B2444,'D7 - NDB Impacted SPRF''s'!$E$16:$O$9929,9,FALSE)</f>
        <v>N</v>
      </c>
      <c r="Q2444" s="4" t="str">
        <f>VLOOKUP($B2444,'D7 - NDB Impacted SPRF''s'!$E$16:$O$9929,10,FALSE)</f>
        <v>N</v>
      </c>
      <c r="R2444" s="4" t="str">
        <f>VLOOKUP($B2444,'D7 - NDB Impacted SPRF''s'!$E$16:$O$9929,11,FALSE)</f>
        <v>N</v>
      </c>
      <c r="S2444" s="8"/>
      <c r="T2444" s="310"/>
      <c r="U2444" s="310"/>
      <c r="V2444" s="4"/>
      <c r="W2444" s="4"/>
      <c r="X2444" s="4"/>
      <c r="Y2444" s="4"/>
      <c r="Z2444" s="4"/>
      <c r="AA2444" s="4"/>
      <c r="AB2444" s="380" t="str">
        <f>VLOOKUP($B2444,'D7 - NDB Impacted SPRF''s'!$E$16:$O$9929,4,FALSE)</f>
        <v>Cancelled</v>
      </c>
      <c r="AC2444" s="380" t="str">
        <f>VLOOKUP($B2444,'D7 - NDB Impacted SPRF''s'!$E$16:$O$9929,3,FALSE)</f>
        <v>UnitedHealthcare Employer &amp; Individual</v>
      </c>
      <c r="AD2444" s="380" t="str">
        <f>VLOOKUP($B2444,'D7 - NDB Impacted SPRF''s'!$E$16:$O$9929,5,FALSE)</f>
        <v>Operations Group</v>
      </c>
      <c r="AE2444" s="380" t="str">
        <f>VLOOKUP($B2444,'D7 - NDB Impacted SPRF''s'!$E$16:$O$9929,7,FALSE)</f>
        <v>Peter Bompane</v>
      </c>
      <c r="AF2444" s="380" t="str">
        <f>VLOOKUP($B2444,'D7 - NDB Impacted SPRF''s'!$E$16:$O$9929,6,FALSE)</f>
        <v>HUBER ALLISON</v>
      </c>
      <c r="AG2444" s="282"/>
      <c r="AH2444" s="311" t="e">
        <f>INDEX('D5 - Gatekeeper - Projects'!$A$4:$AF$1010,$AM2444, 17)</f>
        <v>#N/A</v>
      </c>
      <c r="AI2444" s="8"/>
      <c r="AJ2444" s="57"/>
      <c r="AK2444" s="105"/>
      <c r="AM2444" s="6" t="e">
        <f>MATCH(D2444,'D5 - Gatekeeper - Projects'!$C$4:$C$1010,0)</f>
        <v>#N/A</v>
      </c>
      <c r="AN2444" s="6" t="b">
        <f t="shared" si="260"/>
        <v>1</v>
      </c>
      <c r="AO2444" s="6" t="str">
        <f t="shared" si="261"/>
        <v>OK</v>
      </c>
      <c r="AQ2444" s="6" t="e">
        <f>MATCH($D2444,'D4 - Provider Council Unsched'!$C$11:$C$234,0)</f>
        <v>#N/A</v>
      </c>
      <c r="AR2444" s="6" t="b">
        <f t="shared" si="262"/>
        <v>1</v>
      </c>
      <c r="AS2444" s="6" t="str">
        <f t="shared" si="259"/>
        <v>OK</v>
      </c>
      <c r="AU2444" s="202"/>
      <c r="AV2444" s="262"/>
      <c r="AW2444" s="274"/>
    </row>
    <row r="2445" spans="1:49" s="13" customFormat="1" ht="33.75" x14ac:dyDescent="0.2">
      <c r="A2445" s="14">
        <v>2421</v>
      </c>
      <c r="B2445" s="14">
        <v>400003080</v>
      </c>
      <c r="C2445" s="8" t="s">
        <v>5197</v>
      </c>
      <c r="D2445" s="4" t="str">
        <f t="shared" si="258"/>
        <v>400003080R1</v>
      </c>
      <c r="E2445" s="309" t="str">
        <f>VLOOKUP($B2445,'D7 - NDB Impacted SPRF''s'!$E$6:$O$9929,2,FALSE)</f>
        <v>COG Preparation: Conversion to Diamond Analysis</v>
      </c>
      <c r="F2445" s="8" t="s">
        <v>5544</v>
      </c>
      <c r="G2445" s="8" t="s">
        <v>4758</v>
      </c>
      <c r="H2445" s="8" t="s">
        <v>2870</v>
      </c>
      <c r="I2445" s="20"/>
      <c r="J2445" s="8"/>
      <c r="K2445" s="182"/>
      <c r="L2445" s="8" t="s">
        <v>6164</v>
      </c>
      <c r="M2445" s="8" t="s">
        <v>2814</v>
      </c>
      <c r="N2445" s="367"/>
      <c r="O2445" s="8"/>
      <c r="P2445" s="4" t="str">
        <f>VLOOKUP($B2445,'D7 - NDB Impacted SPRF''s'!$E$16:$O$9929,9,FALSE)</f>
        <v>N</v>
      </c>
      <c r="Q2445" s="4" t="str">
        <f>VLOOKUP($B2445,'D7 - NDB Impacted SPRF''s'!$E$16:$O$9929,10,FALSE)</f>
        <v>N</v>
      </c>
      <c r="R2445" s="4" t="str">
        <f>VLOOKUP($B2445,'D7 - NDB Impacted SPRF''s'!$E$16:$O$9929,11,FALSE)</f>
        <v>N</v>
      </c>
      <c r="S2445" s="8"/>
      <c r="T2445" s="310"/>
      <c r="U2445" s="310"/>
      <c r="V2445" s="4"/>
      <c r="W2445" s="4"/>
      <c r="X2445" s="4"/>
      <c r="Y2445" s="4"/>
      <c r="Z2445" s="4"/>
      <c r="AA2445" s="4"/>
      <c r="AB2445" s="380" t="str">
        <f>VLOOKUP($B2445,'D7 - NDB Impacted SPRF''s'!$E$16:$O$9929,4,FALSE)</f>
        <v>Cancelled</v>
      </c>
      <c r="AC2445" s="380" t="str">
        <f>VLOOKUP($B2445,'D7 - NDB Impacted SPRF''s'!$E$16:$O$9929,3,FALSE)</f>
        <v>UnitedHealthcare Medicare &amp; Retirement</v>
      </c>
      <c r="AD2445" s="380" t="str">
        <f>VLOOKUP($B2445,'D7 - NDB Impacted SPRF''s'!$E$16:$O$9929,5,FALSE)</f>
        <v xml:space="preserve">xxOvations </v>
      </c>
      <c r="AE2445" s="380" t="str">
        <f>VLOOKUP($B2445,'D7 - NDB Impacted SPRF''s'!$E$16:$O$9929,7,FALSE)</f>
        <v>Mike Cautin/Jerry Knutson</v>
      </c>
      <c r="AF2445" s="380" t="str">
        <f>VLOOKUP($B2445,'D7 - NDB Impacted SPRF''s'!$E$16:$O$9929,6,FALSE)</f>
        <v>Patti Hallback</v>
      </c>
      <c r="AG2445" s="282"/>
      <c r="AH2445" s="311" t="e">
        <f>INDEX('D5 - Gatekeeper - Projects'!$A$4:$AF$1010,$AM2445, 17)</f>
        <v>#N/A</v>
      </c>
      <c r="AI2445" s="8"/>
      <c r="AJ2445" s="57"/>
      <c r="AK2445" s="105"/>
      <c r="AM2445" s="6" t="e">
        <f>MATCH(D2445,'D5 - Gatekeeper - Projects'!$C$4:$C$1010,0)</f>
        <v>#N/A</v>
      </c>
      <c r="AN2445" s="6" t="b">
        <f t="shared" si="260"/>
        <v>1</v>
      </c>
      <c r="AO2445" s="6" t="str">
        <f t="shared" si="261"/>
        <v>OK</v>
      </c>
      <c r="AQ2445" s="6" t="e">
        <f>MATCH($D2445,'D4 - Provider Council Unsched'!$C$11:$C$234,0)</f>
        <v>#N/A</v>
      </c>
      <c r="AR2445" s="6" t="b">
        <f t="shared" si="262"/>
        <v>1</v>
      </c>
      <c r="AS2445" s="6" t="str">
        <f t="shared" si="259"/>
        <v>OK</v>
      </c>
      <c r="AU2445" s="202"/>
      <c r="AV2445" s="262"/>
      <c r="AW2445" s="274"/>
    </row>
    <row r="2446" spans="1:49" s="13" customFormat="1" ht="33.75" x14ac:dyDescent="0.2">
      <c r="A2446" s="14">
        <v>2422</v>
      </c>
      <c r="B2446" s="14">
        <v>400003239</v>
      </c>
      <c r="C2446" s="8" t="s">
        <v>5197</v>
      </c>
      <c r="D2446" s="4" t="str">
        <f t="shared" si="258"/>
        <v>400003239R1</v>
      </c>
      <c r="E2446" s="309" t="str">
        <f>VLOOKUP($B2446,'D7 - NDB Impacted SPRF''s'!$E$6:$O$9929,2,FALSE)</f>
        <v>enable ordering of stand alone site surveys</v>
      </c>
      <c r="F2446" s="8" t="s">
        <v>7410</v>
      </c>
      <c r="G2446" s="8" t="s">
        <v>4758</v>
      </c>
      <c r="H2446" s="8" t="s">
        <v>2870</v>
      </c>
      <c r="I2446" s="20">
        <v>2.42</v>
      </c>
      <c r="J2446" s="8" t="s">
        <v>7113</v>
      </c>
      <c r="K2446" s="182"/>
      <c r="L2446" s="8" t="s">
        <v>4156</v>
      </c>
      <c r="M2446" s="8" t="s">
        <v>2814</v>
      </c>
      <c r="N2446" s="367" t="s">
        <v>4653</v>
      </c>
      <c r="O2446" s="8"/>
      <c r="P2446" s="4" t="str">
        <f>VLOOKUP($B2446,'D7 - NDB Impacted SPRF''s'!$E$16:$O$9929,9,FALSE)</f>
        <v>N</v>
      </c>
      <c r="Q2446" s="4" t="str">
        <f>VLOOKUP($B2446,'D7 - NDB Impacted SPRF''s'!$E$16:$O$9929,10,FALSE)</f>
        <v>N</v>
      </c>
      <c r="R2446" s="4" t="str">
        <f>VLOOKUP($B2446,'D7 - NDB Impacted SPRF''s'!$E$16:$O$9929,11,FALSE)</f>
        <v>N</v>
      </c>
      <c r="S2446" s="8"/>
      <c r="T2446" s="310"/>
      <c r="U2446" s="310"/>
      <c r="V2446" s="4"/>
      <c r="W2446" s="4"/>
      <c r="X2446" s="4"/>
      <c r="Y2446" s="4"/>
      <c r="Z2446" s="4"/>
      <c r="AA2446" s="4"/>
      <c r="AB2446" s="380" t="str">
        <f>VLOOKUP($B2446,'D7 - NDB Impacted SPRF''s'!$E$16:$O$9929,4,FALSE)</f>
        <v>Cancelled</v>
      </c>
      <c r="AC2446" s="380" t="str">
        <f>VLOOKUP($B2446,'D7 - NDB Impacted SPRF''s'!$E$16:$O$9929,3,FALSE)</f>
        <v>UnitedHealthcare Employer &amp; Individual</v>
      </c>
      <c r="AD2446" s="380" t="str">
        <f>VLOOKUP($B2446,'D7 - NDB Impacted SPRF''s'!$E$16:$O$9929,5,FALSE)</f>
        <v>Operations Group</v>
      </c>
      <c r="AE2446" s="380" t="str">
        <f>VLOOKUP($B2446,'D7 - NDB Impacted SPRF''s'!$E$16:$O$9929,7,FALSE)</f>
        <v>Peter Bompane</v>
      </c>
      <c r="AF2446" s="380" t="str">
        <f>VLOOKUP($B2446,'D7 - NDB Impacted SPRF''s'!$E$16:$O$9929,6,FALSE)</f>
        <v>Patrick Schwartz</v>
      </c>
      <c r="AG2446" s="282" t="s">
        <v>6682</v>
      </c>
      <c r="AH2446" s="311" t="e">
        <f>INDEX('D5 - Gatekeeper - Projects'!$A$4:$AF$1010,$AM2446, 17)</f>
        <v>#N/A</v>
      </c>
      <c r="AI2446" s="8"/>
      <c r="AJ2446" s="57"/>
      <c r="AK2446" s="105"/>
      <c r="AM2446" s="6" t="e">
        <f>MATCH(D2446,'D5 - Gatekeeper - Projects'!$C$4:$C$1010,0)</f>
        <v>#N/A</v>
      </c>
      <c r="AN2446" s="6" t="b">
        <f t="shared" si="260"/>
        <v>1</v>
      </c>
      <c r="AO2446" s="6" t="str">
        <f t="shared" si="261"/>
        <v>OK</v>
      </c>
      <c r="AQ2446" s="6" t="e">
        <f>MATCH($D2446,'D4 - Provider Council Unsched'!$C$11:$C$234,0)</f>
        <v>#N/A</v>
      </c>
      <c r="AR2446" s="6" t="b">
        <f t="shared" si="262"/>
        <v>1</v>
      </c>
      <c r="AS2446" s="6" t="str">
        <f t="shared" si="259"/>
        <v>OK</v>
      </c>
      <c r="AU2446" s="202"/>
      <c r="AV2446" s="262"/>
      <c r="AW2446" s="274"/>
    </row>
    <row r="2447" spans="1:49" s="13" customFormat="1" ht="33.75" x14ac:dyDescent="0.2">
      <c r="A2447" s="14">
        <v>2423</v>
      </c>
      <c r="B2447" s="14">
        <v>400003265</v>
      </c>
      <c r="C2447" s="8" t="s">
        <v>5197</v>
      </c>
      <c r="D2447" s="4" t="str">
        <f t="shared" si="258"/>
        <v>400003265R1</v>
      </c>
      <c r="E2447" s="309" t="str">
        <f>VLOOKUP($B2447,'D7 - NDB Impacted SPRF''s'!$E$6:$O$9929,2,FALSE)</f>
        <v>UHC Online Address Deactivation Resolution</v>
      </c>
      <c r="F2447" s="8" t="s">
        <v>5536</v>
      </c>
      <c r="G2447" s="8" t="s">
        <v>4758</v>
      </c>
      <c r="H2447" s="8" t="s">
        <v>2870</v>
      </c>
      <c r="I2447" s="20"/>
      <c r="J2447" s="8"/>
      <c r="K2447" s="182"/>
      <c r="L2447" s="8" t="s">
        <v>6164</v>
      </c>
      <c r="M2447" s="8" t="s">
        <v>2814</v>
      </c>
      <c r="N2447" s="367"/>
      <c r="O2447" s="8"/>
      <c r="P2447" s="4" t="str">
        <f>VLOOKUP($B2447,'D7 - NDB Impacted SPRF''s'!$E$16:$O$9929,9,FALSE)</f>
        <v>N</v>
      </c>
      <c r="Q2447" s="4" t="str">
        <f>VLOOKUP($B2447,'D7 - NDB Impacted SPRF''s'!$E$16:$O$9929,10,FALSE)</f>
        <v>N</v>
      </c>
      <c r="R2447" s="4" t="str">
        <f>VLOOKUP($B2447,'D7 - NDB Impacted SPRF''s'!$E$16:$O$9929,11,FALSE)</f>
        <v>N</v>
      </c>
      <c r="S2447" s="8"/>
      <c r="T2447" s="310"/>
      <c r="U2447" s="310"/>
      <c r="V2447" s="4"/>
      <c r="W2447" s="4"/>
      <c r="X2447" s="4"/>
      <c r="Y2447" s="4"/>
      <c r="Z2447" s="4"/>
      <c r="AA2447" s="4"/>
      <c r="AB2447" s="380" t="str">
        <f>VLOOKUP($B2447,'D7 - NDB Impacted SPRF''s'!$E$16:$O$9929,4,FALSE)</f>
        <v>Cancelled</v>
      </c>
      <c r="AC2447" s="380" t="str">
        <f>VLOOKUP($B2447,'D7 - NDB Impacted SPRF''s'!$E$16:$O$9929,3,FALSE)</f>
        <v>UnitedHealthcare Employer &amp; Individual</v>
      </c>
      <c r="AD2447" s="380" t="str">
        <f>VLOOKUP($B2447,'D7 - NDB Impacted SPRF''s'!$E$16:$O$9929,5,FALSE)</f>
        <v>Operations Group</v>
      </c>
      <c r="AE2447" s="380" t="str">
        <f>VLOOKUP($B2447,'D7 - NDB Impacted SPRF''s'!$E$16:$O$9929,7,FALSE)</f>
        <v>Derek Pederson</v>
      </c>
      <c r="AF2447" s="380" t="str">
        <f>VLOOKUP($B2447,'D7 - NDB Impacted SPRF''s'!$E$16:$O$9929,6,FALSE)</f>
        <v>LISA DUNNE</v>
      </c>
      <c r="AG2447" s="282"/>
      <c r="AH2447" s="311" t="e">
        <f>INDEX('D5 - Gatekeeper - Projects'!$A$4:$AF$1010,$AM2447, 17)</f>
        <v>#N/A</v>
      </c>
      <c r="AI2447" s="8"/>
      <c r="AJ2447" s="57"/>
      <c r="AK2447" s="105"/>
      <c r="AM2447" s="6" t="e">
        <f>MATCH(D2447,'D5 - Gatekeeper - Projects'!$C$4:$C$1010,0)</f>
        <v>#N/A</v>
      </c>
      <c r="AN2447" s="6" t="b">
        <f t="shared" si="260"/>
        <v>1</v>
      </c>
      <c r="AO2447" s="6" t="str">
        <f t="shared" si="261"/>
        <v>OK</v>
      </c>
      <c r="AQ2447" s="6" t="e">
        <f>MATCH($D2447,'D4 - Provider Council Unsched'!$C$11:$C$234,0)</f>
        <v>#N/A</v>
      </c>
      <c r="AR2447" s="6" t="b">
        <f t="shared" si="262"/>
        <v>1</v>
      </c>
      <c r="AS2447" s="6" t="str">
        <f t="shared" si="259"/>
        <v>OK</v>
      </c>
      <c r="AU2447" s="202"/>
      <c r="AV2447" s="262"/>
      <c r="AW2447" s="274"/>
    </row>
    <row r="2448" spans="1:49" s="13" customFormat="1" x14ac:dyDescent="0.2">
      <c r="A2448" s="14">
        <v>2424</v>
      </c>
      <c r="B2448" s="14">
        <v>400003272</v>
      </c>
      <c r="C2448" s="8" t="s">
        <v>5197</v>
      </c>
      <c r="D2448" s="4" t="str">
        <f t="shared" si="258"/>
        <v>400003272R1</v>
      </c>
      <c r="E2448" s="309" t="str">
        <f>VLOOKUP($B2448,'D7 - NDB Impacted SPRF''s'!$E$6:$O$9929,2,FALSE)</f>
        <v>Add Hospitalist and Neonatology Groups to Search</v>
      </c>
      <c r="F2448" s="8"/>
      <c r="G2448" s="8" t="s">
        <v>4758</v>
      </c>
      <c r="H2448" s="8" t="s">
        <v>2870</v>
      </c>
      <c r="I2448" s="20"/>
      <c r="J2448" s="8"/>
      <c r="K2448" s="182"/>
      <c r="L2448" s="8" t="s">
        <v>6164</v>
      </c>
      <c r="M2448" s="8" t="s">
        <v>2814</v>
      </c>
      <c r="N2448" s="367"/>
      <c r="O2448" s="8"/>
      <c r="P2448" s="4" t="str">
        <f>VLOOKUP($B2448,'D7 - NDB Impacted SPRF''s'!$E$16:$O$9929,9,FALSE)</f>
        <v>N</v>
      </c>
      <c r="Q2448" s="4" t="str">
        <f>VLOOKUP($B2448,'D7 - NDB Impacted SPRF''s'!$E$16:$O$9929,10,FALSE)</f>
        <v>N</v>
      </c>
      <c r="R2448" s="4" t="str">
        <f>VLOOKUP($B2448,'D7 - NDB Impacted SPRF''s'!$E$16:$O$9929,11,FALSE)</f>
        <v>N</v>
      </c>
      <c r="S2448" s="8"/>
      <c r="T2448" s="310"/>
      <c r="U2448" s="310"/>
      <c r="V2448" s="4"/>
      <c r="W2448" s="4"/>
      <c r="X2448" s="4"/>
      <c r="Y2448" s="4"/>
      <c r="Z2448" s="4"/>
      <c r="AA2448" s="4"/>
      <c r="AB2448" s="380" t="str">
        <f>VLOOKUP($B2448,'D7 - NDB Impacted SPRF''s'!$E$16:$O$9929,4,FALSE)</f>
        <v>Cancelled</v>
      </c>
      <c r="AC2448" s="380" t="str">
        <f>VLOOKUP($B2448,'D7 - NDB Impacted SPRF''s'!$E$16:$O$9929,3,FALSE)</f>
        <v>OptumHealth</v>
      </c>
      <c r="AD2448" s="380" t="str">
        <f>VLOOKUP($B2448,'D7 - NDB Impacted SPRF''s'!$E$16:$O$9929,5,FALSE)</f>
        <v>SCS</v>
      </c>
      <c r="AE2448" s="380" t="str">
        <f>VLOOKUP($B2448,'D7 - NDB Impacted SPRF''s'!$E$16:$O$9929,7,FALSE)</f>
        <v>Julie Foster</v>
      </c>
      <c r="AF2448" s="380" t="str">
        <f>VLOOKUP($B2448,'D7 - NDB Impacted SPRF''s'!$E$16:$O$9929,6,FALSE)</f>
        <v>Leslie Pitchford</v>
      </c>
      <c r="AG2448" s="282"/>
      <c r="AH2448" s="311" t="e">
        <f>INDEX('D5 - Gatekeeper - Projects'!$A$4:$AF$1010,$AM2448, 17)</f>
        <v>#N/A</v>
      </c>
      <c r="AI2448" s="8"/>
      <c r="AJ2448" s="57"/>
      <c r="AK2448" s="105"/>
      <c r="AM2448" s="6" t="e">
        <f>MATCH(D2448,'D5 - Gatekeeper - Projects'!$C$4:$C$1010,0)</f>
        <v>#N/A</v>
      </c>
      <c r="AN2448" s="6" t="b">
        <f t="shared" si="260"/>
        <v>1</v>
      </c>
      <c r="AO2448" s="6" t="str">
        <f t="shared" si="261"/>
        <v>OK</v>
      </c>
      <c r="AQ2448" s="6" t="e">
        <f>MATCH($D2448,'D4 - Provider Council Unsched'!$C$11:$C$234,0)</f>
        <v>#N/A</v>
      </c>
      <c r="AR2448" s="6" t="b">
        <f t="shared" si="262"/>
        <v>1</v>
      </c>
      <c r="AS2448" s="6" t="str">
        <f t="shared" si="259"/>
        <v>OK</v>
      </c>
      <c r="AU2448" s="202"/>
      <c r="AV2448" s="262"/>
      <c r="AW2448" s="274"/>
    </row>
    <row r="2449" spans="1:49" s="13" customFormat="1" ht="33.75" x14ac:dyDescent="0.2">
      <c r="A2449" s="14">
        <v>2425</v>
      </c>
      <c r="B2449" s="14">
        <v>400003326</v>
      </c>
      <c r="C2449" s="8" t="s">
        <v>5197</v>
      </c>
      <c r="D2449" s="4" t="str">
        <f t="shared" si="258"/>
        <v>400003326R1</v>
      </c>
      <c r="E2449" s="309" t="str">
        <f>VLOOKUP($B2449,'D7 - NDB Impacted SPRF''s'!$E$6:$O$9929,2,FALSE)</f>
        <v>Add Empire providers to the Par Hospital report.</v>
      </c>
      <c r="F2449" s="8" t="s">
        <v>3235</v>
      </c>
      <c r="G2449" s="8" t="s">
        <v>4758</v>
      </c>
      <c r="H2449" s="8" t="s">
        <v>2870</v>
      </c>
      <c r="I2449" s="20"/>
      <c r="J2449" s="8"/>
      <c r="K2449" s="182"/>
      <c r="L2449" s="8" t="s">
        <v>6164</v>
      </c>
      <c r="M2449" s="8" t="s">
        <v>2814</v>
      </c>
      <c r="N2449" s="367"/>
      <c r="O2449" s="8"/>
      <c r="P2449" s="4" t="str">
        <f>VLOOKUP($B2449,'D7 - NDB Impacted SPRF''s'!$E$16:$O$9929,9,FALSE)</f>
        <v>N</v>
      </c>
      <c r="Q2449" s="4" t="str">
        <f>VLOOKUP($B2449,'D7 - NDB Impacted SPRF''s'!$E$16:$O$9929,10,FALSE)</f>
        <v>N</v>
      </c>
      <c r="R2449" s="4" t="str">
        <f>VLOOKUP($B2449,'D7 - NDB Impacted SPRF''s'!$E$16:$O$9929,11,FALSE)</f>
        <v>N</v>
      </c>
      <c r="S2449" s="8"/>
      <c r="T2449" s="310"/>
      <c r="U2449" s="310"/>
      <c r="V2449" s="4"/>
      <c r="W2449" s="4"/>
      <c r="X2449" s="4"/>
      <c r="Y2449" s="4"/>
      <c r="Z2449" s="4"/>
      <c r="AA2449" s="4"/>
      <c r="AB2449" s="380" t="str">
        <f>VLOOKUP($B2449,'D7 - NDB Impacted SPRF''s'!$E$16:$O$9929,4,FALSE)</f>
        <v>Cancelled</v>
      </c>
      <c r="AC2449" s="380" t="str">
        <f>VLOOKUP($B2449,'D7 - NDB Impacted SPRF''s'!$E$16:$O$9929,3,FALSE)</f>
        <v>UnitedHealthcare Employer &amp; Individual</v>
      </c>
      <c r="AD2449" s="380" t="str">
        <f>VLOOKUP($B2449,'D7 - NDB Impacted SPRF''s'!$E$16:$O$9929,5,FALSE)</f>
        <v>Operations Group</v>
      </c>
      <c r="AE2449" s="380" t="str">
        <f>VLOOKUP($B2449,'D7 - NDB Impacted SPRF''s'!$E$16:$O$9929,7,FALSE)</f>
        <v>Peter Bompane</v>
      </c>
      <c r="AF2449" s="380" t="str">
        <f>VLOOKUP($B2449,'D7 - NDB Impacted SPRF''s'!$E$16:$O$9929,6,FALSE)</f>
        <v>MICHAEL SWEET</v>
      </c>
      <c r="AG2449" s="282"/>
      <c r="AH2449" s="311" t="e">
        <f>INDEX('D5 - Gatekeeper - Projects'!$A$4:$AF$1010,$AM2449, 17)</f>
        <v>#N/A</v>
      </c>
      <c r="AI2449" s="8"/>
      <c r="AJ2449" s="57"/>
      <c r="AK2449" s="105"/>
      <c r="AM2449" s="6" t="e">
        <f>MATCH(D2449,'D5 - Gatekeeper - Projects'!$C$4:$C$1010,0)</f>
        <v>#N/A</v>
      </c>
      <c r="AN2449" s="6" t="b">
        <f t="shared" si="260"/>
        <v>1</v>
      </c>
      <c r="AO2449" s="6" t="str">
        <f t="shared" si="261"/>
        <v>OK</v>
      </c>
      <c r="AQ2449" s="6" t="e">
        <f>MATCH($D2449,'D4 - Provider Council Unsched'!$C$11:$C$234,0)</f>
        <v>#N/A</v>
      </c>
      <c r="AR2449" s="6" t="b">
        <f t="shared" si="262"/>
        <v>1</v>
      </c>
      <c r="AS2449" s="6" t="str">
        <f t="shared" si="259"/>
        <v>OK</v>
      </c>
      <c r="AU2449" s="202"/>
      <c r="AV2449" s="262"/>
      <c r="AW2449" s="274"/>
    </row>
    <row r="2450" spans="1:49" s="13" customFormat="1" ht="33.75" x14ac:dyDescent="0.2">
      <c r="A2450" s="14">
        <v>2426</v>
      </c>
      <c r="B2450" s="14">
        <v>400003402</v>
      </c>
      <c r="C2450" s="8" t="s">
        <v>5197</v>
      </c>
      <c r="D2450" s="4" t="str">
        <f t="shared" si="258"/>
        <v>400003402R1</v>
      </c>
      <c r="E2450" s="309" t="str">
        <f>VLOOKUP($B2450,'D7 - NDB Impacted SPRF''s'!$E$6:$O$9929,2,FALSE)</f>
        <v xml:space="preserve">List of Ancillaries w/Schedules per NDB Org Type </v>
      </c>
      <c r="F2450" s="8" t="s">
        <v>3235</v>
      </c>
      <c r="G2450" s="8" t="s">
        <v>4758</v>
      </c>
      <c r="H2450" s="8" t="s">
        <v>2870</v>
      </c>
      <c r="I2450" s="20"/>
      <c r="J2450" s="8"/>
      <c r="K2450" s="182"/>
      <c r="L2450" s="8" t="s">
        <v>6164</v>
      </c>
      <c r="M2450" s="8" t="s">
        <v>2814</v>
      </c>
      <c r="N2450" s="367"/>
      <c r="O2450" s="8"/>
      <c r="P2450" s="4" t="str">
        <f>VLOOKUP($B2450,'D7 - NDB Impacted SPRF''s'!$E$16:$O$9929,9,FALSE)</f>
        <v>N</v>
      </c>
      <c r="Q2450" s="4" t="str">
        <f>VLOOKUP($B2450,'D7 - NDB Impacted SPRF''s'!$E$16:$O$9929,10,FALSE)</f>
        <v>N</v>
      </c>
      <c r="R2450" s="4" t="str">
        <f>VLOOKUP($B2450,'D7 - NDB Impacted SPRF''s'!$E$16:$O$9929,11,FALSE)</f>
        <v>N</v>
      </c>
      <c r="S2450" s="8"/>
      <c r="T2450" s="310"/>
      <c r="U2450" s="310"/>
      <c r="V2450" s="4"/>
      <c r="W2450" s="4"/>
      <c r="X2450" s="4"/>
      <c r="Y2450" s="4"/>
      <c r="Z2450" s="4"/>
      <c r="AA2450" s="4"/>
      <c r="AB2450" s="380" t="str">
        <f>VLOOKUP($B2450,'D7 - NDB Impacted SPRF''s'!$E$16:$O$9929,4,FALSE)</f>
        <v>Cancelled</v>
      </c>
      <c r="AC2450" s="380" t="str">
        <f>VLOOKUP($B2450,'D7 - NDB Impacted SPRF''s'!$E$16:$O$9929,3,FALSE)</f>
        <v>UnitedHealthcare Employer &amp; Individual</v>
      </c>
      <c r="AD2450" s="380" t="str">
        <f>VLOOKUP($B2450,'D7 - NDB Impacted SPRF''s'!$E$16:$O$9929,5,FALSE)</f>
        <v>Operations Group</v>
      </c>
      <c r="AE2450" s="380" t="str">
        <f>VLOOKUP($B2450,'D7 - NDB Impacted SPRF''s'!$E$16:$O$9929,7,FALSE)</f>
        <v>Peter Bompane</v>
      </c>
      <c r="AF2450" s="380" t="str">
        <f>VLOOKUP($B2450,'D7 - NDB Impacted SPRF''s'!$E$16:$O$9929,6,FALSE)</f>
        <v>HUBER ALLISON</v>
      </c>
      <c r="AG2450" s="282"/>
      <c r="AH2450" s="311" t="e">
        <f>INDEX('D5 - Gatekeeper - Projects'!$A$4:$AF$1010,$AM2450, 17)</f>
        <v>#N/A</v>
      </c>
      <c r="AI2450" s="8"/>
      <c r="AJ2450" s="57"/>
      <c r="AK2450" s="105"/>
      <c r="AM2450" s="6" t="e">
        <f>MATCH(D2450,'D5 - Gatekeeper - Projects'!$C$4:$C$1010,0)</f>
        <v>#N/A</v>
      </c>
      <c r="AN2450" s="6" t="b">
        <f t="shared" si="260"/>
        <v>1</v>
      </c>
      <c r="AO2450" s="6" t="str">
        <f t="shared" si="261"/>
        <v>OK</v>
      </c>
      <c r="AQ2450" s="6" t="e">
        <f>MATCH($D2450,'D4 - Provider Council Unsched'!$C$11:$C$234,0)</f>
        <v>#N/A</v>
      </c>
      <c r="AR2450" s="6" t="b">
        <f t="shared" si="262"/>
        <v>1</v>
      </c>
      <c r="AS2450" s="6" t="str">
        <f t="shared" si="259"/>
        <v>OK</v>
      </c>
      <c r="AU2450" s="202"/>
      <c r="AV2450" s="262"/>
      <c r="AW2450" s="274"/>
    </row>
    <row r="2451" spans="1:49" s="13" customFormat="1" ht="33.75" x14ac:dyDescent="0.2">
      <c r="A2451" s="14">
        <v>2427</v>
      </c>
      <c r="B2451" s="14">
        <v>400003414</v>
      </c>
      <c r="C2451" s="8" t="s">
        <v>5197</v>
      </c>
      <c r="D2451" s="4" t="str">
        <f t="shared" si="258"/>
        <v>400003414R1</v>
      </c>
      <c r="E2451" s="309" t="str">
        <f>VLOOKUP($B2451,'D7 - NDB Impacted SPRF''s'!$E$6:$O$9929,2,FALSE)</f>
        <v>Orbit Rpt for Hospital / Ancillary List by County</v>
      </c>
      <c r="F2451" s="8" t="s">
        <v>3235</v>
      </c>
      <c r="G2451" s="8" t="s">
        <v>4758</v>
      </c>
      <c r="H2451" s="8" t="s">
        <v>2870</v>
      </c>
      <c r="I2451" s="20"/>
      <c r="J2451" s="8"/>
      <c r="K2451" s="182"/>
      <c r="L2451" s="8" t="s">
        <v>6164</v>
      </c>
      <c r="M2451" s="8" t="s">
        <v>2814</v>
      </c>
      <c r="N2451" s="367"/>
      <c r="O2451" s="8"/>
      <c r="P2451" s="4" t="str">
        <f>VLOOKUP($B2451,'D7 - NDB Impacted SPRF''s'!$E$16:$O$9929,9,FALSE)</f>
        <v>N</v>
      </c>
      <c r="Q2451" s="4" t="str">
        <f>VLOOKUP($B2451,'D7 - NDB Impacted SPRF''s'!$E$16:$O$9929,10,FALSE)</f>
        <v>N</v>
      </c>
      <c r="R2451" s="4" t="str">
        <f>VLOOKUP($B2451,'D7 - NDB Impacted SPRF''s'!$E$16:$O$9929,11,FALSE)</f>
        <v>N</v>
      </c>
      <c r="S2451" s="8"/>
      <c r="T2451" s="310"/>
      <c r="U2451" s="310"/>
      <c r="V2451" s="4"/>
      <c r="W2451" s="4"/>
      <c r="X2451" s="4"/>
      <c r="Y2451" s="4"/>
      <c r="Z2451" s="4"/>
      <c r="AA2451" s="4"/>
      <c r="AB2451" s="380" t="str">
        <f>VLOOKUP($B2451,'D7 - NDB Impacted SPRF''s'!$E$16:$O$9929,4,FALSE)</f>
        <v>Cancelled</v>
      </c>
      <c r="AC2451" s="380" t="str">
        <f>VLOOKUP($B2451,'D7 - NDB Impacted SPRF''s'!$E$16:$O$9929,3,FALSE)</f>
        <v>UnitedHealthcare Employer &amp; Individual</v>
      </c>
      <c r="AD2451" s="380" t="str">
        <f>VLOOKUP($B2451,'D7 - NDB Impacted SPRF''s'!$E$16:$O$9929,5,FALSE)</f>
        <v>Operations Group</v>
      </c>
      <c r="AE2451" s="380" t="str">
        <f>VLOOKUP($B2451,'D7 - NDB Impacted SPRF''s'!$E$16:$O$9929,7,FALSE)</f>
        <v>Peter Bompane</v>
      </c>
      <c r="AF2451" s="380" t="str">
        <f>VLOOKUP($B2451,'D7 - NDB Impacted SPRF''s'!$E$16:$O$9929,6,FALSE)</f>
        <v>HUBER ALLISON</v>
      </c>
      <c r="AG2451" s="282"/>
      <c r="AH2451" s="311" t="e">
        <f>INDEX('D5 - Gatekeeper - Projects'!$A$4:$AF$1010,$AM2451, 17)</f>
        <v>#N/A</v>
      </c>
      <c r="AI2451" s="8"/>
      <c r="AJ2451" s="57"/>
      <c r="AK2451" s="105"/>
      <c r="AM2451" s="6" t="e">
        <f>MATCH(D2451,'D5 - Gatekeeper - Projects'!$C$4:$C$1010,0)</f>
        <v>#N/A</v>
      </c>
      <c r="AN2451" s="6" t="b">
        <f t="shared" si="260"/>
        <v>1</v>
      </c>
      <c r="AO2451" s="6" t="str">
        <f t="shared" si="261"/>
        <v>OK</v>
      </c>
      <c r="AQ2451" s="6" t="e">
        <f>MATCH($D2451,'D4 - Provider Council Unsched'!$C$11:$C$234,0)</f>
        <v>#N/A</v>
      </c>
      <c r="AR2451" s="6" t="b">
        <f t="shared" si="262"/>
        <v>1</v>
      </c>
      <c r="AS2451" s="6" t="str">
        <f t="shared" si="259"/>
        <v>OK</v>
      </c>
      <c r="AU2451" s="202"/>
      <c r="AV2451" s="262"/>
      <c r="AW2451" s="274"/>
    </row>
    <row r="2452" spans="1:49" s="13" customFormat="1" ht="33.75" x14ac:dyDescent="0.2">
      <c r="A2452" s="14">
        <v>2428</v>
      </c>
      <c r="B2452" s="14">
        <v>400003460</v>
      </c>
      <c r="C2452" s="8" t="s">
        <v>5197</v>
      </c>
      <c r="D2452" s="4" t="str">
        <f t="shared" si="258"/>
        <v>400003460R1</v>
      </c>
      <c r="E2452" s="309" t="str">
        <f>VLOOKUP($B2452,'D7 - NDB Impacted SPRF''s'!$E$6:$O$9929,2,FALSE)</f>
        <v>Cred Open Inventory Aging Detail</v>
      </c>
      <c r="F2452" s="8" t="s">
        <v>7410</v>
      </c>
      <c r="G2452" s="8" t="s">
        <v>4758</v>
      </c>
      <c r="H2452" s="8" t="s">
        <v>2870</v>
      </c>
      <c r="I2452" s="20"/>
      <c r="J2452" s="8"/>
      <c r="K2452" s="182"/>
      <c r="L2452" s="8" t="s">
        <v>6164</v>
      </c>
      <c r="M2452" s="8" t="s">
        <v>2814</v>
      </c>
      <c r="N2452" s="367"/>
      <c r="O2452" s="8"/>
      <c r="P2452" s="4" t="str">
        <f>VLOOKUP($B2452,'D7 - NDB Impacted SPRF''s'!$E$16:$O$9929,9,FALSE)</f>
        <v>N</v>
      </c>
      <c r="Q2452" s="4" t="str">
        <f>VLOOKUP($B2452,'D7 - NDB Impacted SPRF''s'!$E$16:$O$9929,10,FALSE)</f>
        <v>N</v>
      </c>
      <c r="R2452" s="4" t="str">
        <f>VLOOKUP($B2452,'D7 - NDB Impacted SPRF''s'!$E$16:$O$9929,11,FALSE)</f>
        <v>N</v>
      </c>
      <c r="S2452" s="8"/>
      <c r="T2452" s="310"/>
      <c r="U2452" s="310"/>
      <c r="V2452" s="4"/>
      <c r="W2452" s="4"/>
      <c r="X2452" s="4"/>
      <c r="Y2452" s="4"/>
      <c r="Z2452" s="4"/>
      <c r="AA2452" s="4"/>
      <c r="AB2452" s="380" t="str">
        <f>VLOOKUP($B2452,'D7 - NDB Impacted SPRF''s'!$E$16:$O$9929,4,FALSE)</f>
        <v>Cancelled</v>
      </c>
      <c r="AC2452" s="380" t="str">
        <f>VLOOKUP($B2452,'D7 - NDB Impacted SPRF''s'!$E$16:$O$9929,3,FALSE)</f>
        <v>UnitedHealthcare Employer &amp; Individual</v>
      </c>
      <c r="AD2452" s="380" t="str">
        <f>VLOOKUP($B2452,'D7 - NDB Impacted SPRF''s'!$E$16:$O$9929,5,FALSE)</f>
        <v>Operations Group</v>
      </c>
      <c r="AE2452" s="380" t="str">
        <f>VLOOKUP($B2452,'D7 - NDB Impacted SPRF''s'!$E$16:$O$9929,7,FALSE)</f>
        <v>Peter Bompane</v>
      </c>
      <c r="AF2452" s="380" t="str">
        <f>VLOOKUP($B2452,'D7 - NDB Impacted SPRF''s'!$E$16:$O$9929,6,FALSE)</f>
        <v>MICHAEL SWEET</v>
      </c>
      <c r="AG2452" s="282"/>
      <c r="AH2452" s="311" t="e">
        <f>INDEX('D5 - Gatekeeper - Projects'!$A$4:$AF$1010,$AM2452, 17)</f>
        <v>#N/A</v>
      </c>
      <c r="AI2452" s="8"/>
      <c r="AJ2452" s="57"/>
      <c r="AK2452" s="105"/>
      <c r="AM2452" s="6" t="e">
        <f>MATCH(D2452,'D5 - Gatekeeper - Projects'!$C$4:$C$1010,0)</f>
        <v>#N/A</v>
      </c>
      <c r="AN2452" s="6" t="b">
        <f t="shared" si="260"/>
        <v>1</v>
      </c>
      <c r="AO2452" s="6" t="str">
        <f t="shared" si="261"/>
        <v>OK</v>
      </c>
      <c r="AQ2452" s="6" t="e">
        <f>MATCH($D2452,'D4 - Provider Council Unsched'!$C$11:$C$234,0)</f>
        <v>#N/A</v>
      </c>
      <c r="AR2452" s="6" t="b">
        <f t="shared" si="262"/>
        <v>1</v>
      </c>
      <c r="AS2452" s="6" t="str">
        <f t="shared" si="259"/>
        <v>OK</v>
      </c>
      <c r="AU2452" s="202"/>
      <c r="AV2452" s="262"/>
      <c r="AW2452" s="274"/>
    </row>
    <row r="2453" spans="1:49" s="13" customFormat="1" ht="33.75" x14ac:dyDescent="0.2">
      <c r="A2453" s="14">
        <v>2429</v>
      </c>
      <c r="B2453" s="14">
        <v>400003461</v>
      </c>
      <c r="C2453" s="8" t="s">
        <v>5197</v>
      </c>
      <c r="D2453" s="4" t="str">
        <f t="shared" si="258"/>
        <v>400003461R1</v>
      </c>
      <c r="E2453" s="309" t="str">
        <f>VLOOKUP($B2453,'D7 - NDB Impacted SPRF''s'!$E$6:$O$9929,2,FALSE)</f>
        <v>Credentialing Committee Grid</v>
      </c>
      <c r="F2453" s="8" t="s">
        <v>7410</v>
      </c>
      <c r="G2453" s="8" t="s">
        <v>4758</v>
      </c>
      <c r="H2453" s="8" t="s">
        <v>2870</v>
      </c>
      <c r="I2453" s="20"/>
      <c r="J2453" s="8"/>
      <c r="K2453" s="182"/>
      <c r="L2453" s="8" t="s">
        <v>6164</v>
      </c>
      <c r="M2453" s="8" t="s">
        <v>2814</v>
      </c>
      <c r="N2453" s="367"/>
      <c r="O2453" s="8"/>
      <c r="P2453" s="4" t="str">
        <f>VLOOKUP($B2453,'D7 - NDB Impacted SPRF''s'!$E$16:$O$9929,9,FALSE)</f>
        <v>N</v>
      </c>
      <c r="Q2453" s="4" t="str">
        <f>VLOOKUP($B2453,'D7 - NDB Impacted SPRF''s'!$E$16:$O$9929,10,FALSE)</f>
        <v>N</v>
      </c>
      <c r="R2453" s="4" t="str">
        <f>VLOOKUP($B2453,'D7 - NDB Impacted SPRF''s'!$E$16:$O$9929,11,FALSE)</f>
        <v>N</v>
      </c>
      <c r="S2453" s="8"/>
      <c r="T2453" s="310"/>
      <c r="U2453" s="310"/>
      <c r="V2453" s="4"/>
      <c r="W2453" s="4"/>
      <c r="X2453" s="4"/>
      <c r="Y2453" s="4"/>
      <c r="Z2453" s="4"/>
      <c r="AA2453" s="4"/>
      <c r="AB2453" s="380" t="str">
        <f>VLOOKUP($B2453,'D7 - NDB Impacted SPRF''s'!$E$16:$O$9929,4,FALSE)</f>
        <v>Cancelled</v>
      </c>
      <c r="AC2453" s="380" t="str">
        <f>VLOOKUP($B2453,'D7 - NDB Impacted SPRF''s'!$E$16:$O$9929,3,FALSE)</f>
        <v>UnitedHealthcare Employer &amp; Individual</v>
      </c>
      <c r="AD2453" s="380" t="str">
        <f>VLOOKUP($B2453,'D7 - NDB Impacted SPRF''s'!$E$16:$O$9929,5,FALSE)</f>
        <v>Operations Group</v>
      </c>
      <c r="AE2453" s="380" t="str">
        <f>VLOOKUP($B2453,'D7 - NDB Impacted SPRF''s'!$E$16:$O$9929,7,FALSE)</f>
        <v>Peter Bompane</v>
      </c>
      <c r="AF2453" s="380" t="str">
        <f>VLOOKUP($B2453,'D7 - NDB Impacted SPRF''s'!$E$16:$O$9929,6,FALSE)</f>
        <v>MICHAEL SWEET</v>
      </c>
      <c r="AG2453" s="282"/>
      <c r="AH2453" s="311" t="e">
        <f>INDEX('D5 - Gatekeeper - Projects'!$A$4:$AF$1010,$AM2453, 17)</f>
        <v>#N/A</v>
      </c>
      <c r="AI2453" s="8"/>
      <c r="AJ2453" s="57"/>
      <c r="AK2453" s="105"/>
      <c r="AM2453" s="6" t="e">
        <f>MATCH(D2453,'D5 - Gatekeeper - Projects'!$C$4:$C$1010,0)</f>
        <v>#N/A</v>
      </c>
      <c r="AN2453" s="6" t="b">
        <f t="shared" si="260"/>
        <v>1</v>
      </c>
      <c r="AO2453" s="6" t="str">
        <f t="shared" si="261"/>
        <v>OK</v>
      </c>
      <c r="AQ2453" s="6" t="e">
        <f>MATCH($D2453,'D4 - Provider Council Unsched'!$C$11:$C$234,0)</f>
        <v>#N/A</v>
      </c>
      <c r="AR2453" s="6" t="b">
        <f t="shared" si="262"/>
        <v>1</v>
      </c>
      <c r="AS2453" s="6" t="str">
        <f t="shared" si="259"/>
        <v>OK</v>
      </c>
      <c r="AU2453" s="202"/>
      <c r="AV2453" s="262"/>
      <c r="AW2453" s="274"/>
    </row>
    <row r="2454" spans="1:49" s="13" customFormat="1" ht="33.75" x14ac:dyDescent="0.2">
      <c r="A2454" s="14">
        <v>2430</v>
      </c>
      <c r="B2454" s="14">
        <v>400003462</v>
      </c>
      <c r="C2454" s="8" t="s">
        <v>5197</v>
      </c>
      <c r="D2454" s="4" t="str">
        <f t="shared" si="258"/>
        <v>400003462R1</v>
      </c>
      <c r="E2454" s="309" t="str">
        <f>VLOOKUP($B2454,'D7 - NDB Impacted SPRF''s'!$E$6:$O$9929,2,FALSE)</f>
        <v>Daily Mail Order Report</v>
      </c>
      <c r="F2454" s="8" t="s">
        <v>7410</v>
      </c>
      <c r="G2454" s="8" t="s">
        <v>4758</v>
      </c>
      <c r="H2454" s="8" t="s">
        <v>2870</v>
      </c>
      <c r="I2454" s="20"/>
      <c r="J2454" s="8"/>
      <c r="K2454" s="182"/>
      <c r="L2454" s="8" t="s">
        <v>6164</v>
      </c>
      <c r="M2454" s="8" t="s">
        <v>2814</v>
      </c>
      <c r="N2454" s="367"/>
      <c r="O2454" s="8"/>
      <c r="P2454" s="4" t="str">
        <f>VLOOKUP($B2454,'D7 - NDB Impacted SPRF''s'!$E$16:$O$9929,9,FALSE)</f>
        <v>N</v>
      </c>
      <c r="Q2454" s="4" t="str">
        <f>VLOOKUP($B2454,'D7 - NDB Impacted SPRF''s'!$E$16:$O$9929,10,FALSE)</f>
        <v>N</v>
      </c>
      <c r="R2454" s="4" t="str">
        <f>VLOOKUP($B2454,'D7 - NDB Impacted SPRF''s'!$E$16:$O$9929,11,FALSE)</f>
        <v>N</v>
      </c>
      <c r="S2454" s="8"/>
      <c r="T2454" s="310"/>
      <c r="U2454" s="310"/>
      <c r="V2454" s="4"/>
      <c r="W2454" s="4"/>
      <c r="X2454" s="4"/>
      <c r="Y2454" s="4"/>
      <c r="Z2454" s="4"/>
      <c r="AA2454" s="4"/>
      <c r="AB2454" s="380" t="str">
        <f>VLOOKUP($B2454,'D7 - NDB Impacted SPRF''s'!$E$16:$O$9929,4,FALSE)</f>
        <v>Cancelled</v>
      </c>
      <c r="AC2454" s="380" t="str">
        <f>VLOOKUP($B2454,'D7 - NDB Impacted SPRF''s'!$E$16:$O$9929,3,FALSE)</f>
        <v>UnitedHealthcare Employer &amp; Individual</v>
      </c>
      <c r="AD2454" s="380" t="str">
        <f>VLOOKUP($B2454,'D7 - NDB Impacted SPRF''s'!$E$16:$O$9929,5,FALSE)</f>
        <v>Operations Group</v>
      </c>
      <c r="AE2454" s="380" t="str">
        <f>VLOOKUP($B2454,'D7 - NDB Impacted SPRF''s'!$E$16:$O$9929,7,FALSE)</f>
        <v>Peter Bompane</v>
      </c>
      <c r="AF2454" s="380" t="str">
        <f>VLOOKUP($B2454,'D7 - NDB Impacted SPRF''s'!$E$16:$O$9929,6,FALSE)</f>
        <v>MICHAEL SWEET</v>
      </c>
      <c r="AG2454" s="282"/>
      <c r="AH2454" s="311" t="e">
        <f>INDEX('D5 - Gatekeeper - Projects'!$A$4:$AF$1010,$AM2454, 17)</f>
        <v>#N/A</v>
      </c>
      <c r="AI2454" s="8"/>
      <c r="AJ2454" s="57"/>
      <c r="AK2454" s="105"/>
      <c r="AM2454" s="6" t="e">
        <f>MATCH(D2454,'D5 - Gatekeeper - Projects'!$C$4:$C$1010,0)</f>
        <v>#N/A</v>
      </c>
      <c r="AN2454" s="6" t="b">
        <f t="shared" si="260"/>
        <v>1</v>
      </c>
      <c r="AO2454" s="6" t="str">
        <f t="shared" si="261"/>
        <v>OK</v>
      </c>
      <c r="AQ2454" s="6" t="e">
        <f>MATCH($D2454,'D4 - Provider Council Unsched'!$C$11:$C$234,0)</f>
        <v>#N/A</v>
      </c>
      <c r="AR2454" s="6" t="b">
        <f t="shared" si="262"/>
        <v>1</v>
      </c>
      <c r="AS2454" s="6" t="str">
        <f t="shared" si="259"/>
        <v>OK</v>
      </c>
      <c r="AU2454" s="202"/>
      <c r="AV2454" s="262"/>
      <c r="AW2454" s="274"/>
    </row>
    <row r="2455" spans="1:49" s="13" customFormat="1" ht="33.75" x14ac:dyDescent="0.2">
      <c r="A2455" s="14">
        <v>2431</v>
      </c>
      <c r="B2455" s="14">
        <v>400003463</v>
      </c>
      <c r="C2455" s="8" t="s">
        <v>5197</v>
      </c>
      <c r="D2455" s="4" t="str">
        <f t="shared" si="258"/>
        <v>400003463R1</v>
      </c>
      <c r="E2455" s="309" t="str">
        <f>VLOOKUP($B2455,'D7 - NDB Impacted SPRF''s'!$E$6:$O$9929,2,FALSE)</f>
        <v>NCQA Audit Report</v>
      </c>
      <c r="F2455" s="8" t="s">
        <v>7410</v>
      </c>
      <c r="G2455" s="8" t="s">
        <v>4758</v>
      </c>
      <c r="H2455" s="8" t="s">
        <v>2870</v>
      </c>
      <c r="I2455" s="20"/>
      <c r="J2455" s="8"/>
      <c r="K2455" s="182"/>
      <c r="L2455" s="8" t="s">
        <v>6164</v>
      </c>
      <c r="M2455" s="8" t="s">
        <v>2814</v>
      </c>
      <c r="N2455" s="367"/>
      <c r="O2455" s="8"/>
      <c r="P2455" s="4" t="str">
        <f>VLOOKUP($B2455,'D7 - NDB Impacted SPRF''s'!$E$16:$O$9929,9,FALSE)</f>
        <v>N</v>
      </c>
      <c r="Q2455" s="4" t="str">
        <f>VLOOKUP($B2455,'D7 - NDB Impacted SPRF''s'!$E$16:$O$9929,10,FALSE)</f>
        <v>N</v>
      </c>
      <c r="R2455" s="4" t="str">
        <f>VLOOKUP($B2455,'D7 - NDB Impacted SPRF''s'!$E$16:$O$9929,11,FALSE)</f>
        <v>N</v>
      </c>
      <c r="S2455" s="8"/>
      <c r="T2455" s="310"/>
      <c r="U2455" s="310"/>
      <c r="V2455" s="4"/>
      <c r="W2455" s="4"/>
      <c r="X2455" s="4"/>
      <c r="Y2455" s="4"/>
      <c r="Z2455" s="4"/>
      <c r="AA2455" s="4"/>
      <c r="AB2455" s="380" t="str">
        <f>VLOOKUP($B2455,'D7 - NDB Impacted SPRF''s'!$E$16:$O$9929,4,FALSE)</f>
        <v>Cancelled</v>
      </c>
      <c r="AC2455" s="380" t="str">
        <f>VLOOKUP($B2455,'D7 - NDB Impacted SPRF''s'!$E$16:$O$9929,3,FALSE)</f>
        <v>UnitedHealthcare Employer &amp; Individual</v>
      </c>
      <c r="AD2455" s="380" t="str">
        <f>VLOOKUP($B2455,'D7 - NDB Impacted SPRF''s'!$E$16:$O$9929,5,FALSE)</f>
        <v>Operations Group</v>
      </c>
      <c r="AE2455" s="380" t="str">
        <f>VLOOKUP($B2455,'D7 - NDB Impacted SPRF''s'!$E$16:$O$9929,7,FALSE)</f>
        <v>Peter Bompane</v>
      </c>
      <c r="AF2455" s="380" t="str">
        <f>VLOOKUP($B2455,'D7 - NDB Impacted SPRF''s'!$E$16:$O$9929,6,FALSE)</f>
        <v>MICHAEL SWEET</v>
      </c>
      <c r="AG2455" s="282"/>
      <c r="AH2455" s="311" t="e">
        <f>INDEX('D5 - Gatekeeper - Projects'!$A$4:$AF$1010,$AM2455, 17)</f>
        <v>#N/A</v>
      </c>
      <c r="AI2455" s="8"/>
      <c r="AJ2455" s="57"/>
      <c r="AK2455" s="105"/>
      <c r="AM2455" s="6" t="e">
        <f>MATCH(D2455,'D5 - Gatekeeper - Projects'!$C$4:$C$1010,0)</f>
        <v>#N/A</v>
      </c>
      <c r="AN2455" s="6" t="b">
        <f t="shared" si="260"/>
        <v>1</v>
      </c>
      <c r="AO2455" s="6" t="str">
        <f t="shared" si="261"/>
        <v>OK</v>
      </c>
      <c r="AQ2455" s="6" t="e">
        <f>MATCH($D2455,'D4 - Provider Council Unsched'!$C$11:$C$234,0)</f>
        <v>#N/A</v>
      </c>
      <c r="AR2455" s="6" t="b">
        <f t="shared" si="262"/>
        <v>1</v>
      </c>
      <c r="AS2455" s="6" t="str">
        <f t="shared" si="259"/>
        <v>OK</v>
      </c>
      <c r="AU2455" s="202"/>
      <c r="AV2455" s="262"/>
      <c r="AW2455" s="274"/>
    </row>
    <row r="2456" spans="1:49" s="13" customFormat="1" ht="33.75" x14ac:dyDescent="0.2">
      <c r="A2456" s="14">
        <v>2432</v>
      </c>
      <c r="B2456" s="14">
        <v>400003464</v>
      </c>
      <c r="C2456" s="8" t="s">
        <v>5197</v>
      </c>
      <c r="D2456" s="4" t="str">
        <f t="shared" si="258"/>
        <v>400003464R1</v>
      </c>
      <c r="E2456" s="309" t="str">
        <f>VLOOKUP($B2456,'D7 - NDB Impacted SPRF''s'!$E$6:$O$9929,2,FALSE)</f>
        <v>Recred Order List</v>
      </c>
      <c r="F2456" s="8" t="s">
        <v>7410</v>
      </c>
      <c r="G2456" s="8" t="s">
        <v>4758</v>
      </c>
      <c r="H2456" s="8" t="s">
        <v>2870</v>
      </c>
      <c r="I2456" s="20"/>
      <c r="J2456" s="8"/>
      <c r="K2456" s="182"/>
      <c r="L2456" s="8" t="s">
        <v>6164</v>
      </c>
      <c r="M2456" s="8" t="s">
        <v>2814</v>
      </c>
      <c r="N2456" s="367"/>
      <c r="O2456" s="8"/>
      <c r="P2456" s="4" t="str">
        <f>VLOOKUP($B2456,'D7 - NDB Impacted SPRF''s'!$E$16:$O$9929,9,FALSE)</f>
        <v>N</v>
      </c>
      <c r="Q2456" s="4" t="str">
        <f>VLOOKUP($B2456,'D7 - NDB Impacted SPRF''s'!$E$16:$O$9929,10,FALSE)</f>
        <v>N</v>
      </c>
      <c r="R2456" s="4" t="str">
        <f>VLOOKUP($B2456,'D7 - NDB Impacted SPRF''s'!$E$16:$O$9929,11,FALSE)</f>
        <v>N</v>
      </c>
      <c r="S2456" s="8"/>
      <c r="T2456" s="310"/>
      <c r="U2456" s="310"/>
      <c r="V2456" s="4"/>
      <c r="W2456" s="4"/>
      <c r="X2456" s="4"/>
      <c r="Y2456" s="4"/>
      <c r="Z2456" s="4"/>
      <c r="AA2456" s="4"/>
      <c r="AB2456" s="380" t="str">
        <f>VLOOKUP($B2456,'D7 - NDB Impacted SPRF''s'!$E$16:$O$9929,4,FALSE)</f>
        <v>Cancelled</v>
      </c>
      <c r="AC2456" s="380" t="str">
        <f>VLOOKUP($B2456,'D7 - NDB Impacted SPRF''s'!$E$16:$O$9929,3,FALSE)</f>
        <v>UnitedHealthcare Employer &amp; Individual</v>
      </c>
      <c r="AD2456" s="380" t="str">
        <f>VLOOKUP($B2456,'D7 - NDB Impacted SPRF''s'!$E$16:$O$9929,5,FALSE)</f>
        <v>Operations Group</v>
      </c>
      <c r="AE2456" s="380" t="str">
        <f>VLOOKUP($B2456,'D7 - NDB Impacted SPRF''s'!$E$16:$O$9929,7,FALSE)</f>
        <v>Peter Bompane</v>
      </c>
      <c r="AF2456" s="380" t="str">
        <f>VLOOKUP($B2456,'D7 - NDB Impacted SPRF''s'!$E$16:$O$9929,6,FALSE)</f>
        <v>MICHAEL SWEET</v>
      </c>
      <c r="AG2456" s="282"/>
      <c r="AH2456" s="311" t="e">
        <f>INDEX('D5 - Gatekeeper - Projects'!$A$4:$AF$1010,$AM2456, 17)</f>
        <v>#N/A</v>
      </c>
      <c r="AI2456" s="8"/>
      <c r="AJ2456" s="57"/>
      <c r="AK2456" s="105"/>
      <c r="AM2456" s="6" t="e">
        <f>MATCH(D2456,'D5 - Gatekeeper - Projects'!$C$4:$C$1010,0)</f>
        <v>#N/A</v>
      </c>
      <c r="AN2456" s="6" t="b">
        <f t="shared" si="260"/>
        <v>1</v>
      </c>
      <c r="AO2456" s="6" t="str">
        <f t="shared" si="261"/>
        <v>OK</v>
      </c>
      <c r="AQ2456" s="6" t="e">
        <f>MATCH($D2456,'D4 - Provider Council Unsched'!$C$11:$C$234,0)</f>
        <v>#N/A</v>
      </c>
      <c r="AR2456" s="6" t="b">
        <f t="shared" si="262"/>
        <v>1</v>
      </c>
      <c r="AS2456" s="6" t="str">
        <f t="shared" si="259"/>
        <v>OK</v>
      </c>
      <c r="AU2456" s="202"/>
      <c r="AV2456" s="262"/>
      <c r="AW2456" s="274"/>
    </row>
    <row r="2457" spans="1:49" s="13" customFormat="1" ht="33.75" x14ac:dyDescent="0.2">
      <c r="A2457" s="14">
        <v>2433</v>
      </c>
      <c r="B2457" s="14">
        <v>400003545</v>
      </c>
      <c r="C2457" s="8" t="s">
        <v>5197</v>
      </c>
      <c r="D2457" s="4" t="str">
        <f t="shared" si="258"/>
        <v>400003545R1</v>
      </c>
      <c r="E2457" s="309" t="str">
        <f>VLOOKUP($B2457,'D7 - NDB Impacted SPRF''s'!$E$6:$O$9929,2,FALSE)</f>
        <v>Capture and Display UB/HCFA Contract CLaim Informa</v>
      </c>
      <c r="F2457" s="8" t="s">
        <v>6633</v>
      </c>
      <c r="G2457" s="8" t="s">
        <v>4758</v>
      </c>
      <c r="H2457" s="8" t="s">
        <v>2870</v>
      </c>
      <c r="I2457" s="20">
        <v>5.55</v>
      </c>
      <c r="J2457" s="8" t="s">
        <v>4862</v>
      </c>
      <c r="K2457" s="182"/>
      <c r="L2457" s="8" t="s">
        <v>4156</v>
      </c>
      <c r="M2457" s="8" t="s">
        <v>2814</v>
      </c>
      <c r="N2457" s="367" t="s">
        <v>4382</v>
      </c>
      <c r="O2457" s="8"/>
      <c r="P2457" s="4" t="str">
        <f>VLOOKUP($B2457,'D7 - NDB Impacted SPRF''s'!$E$16:$O$9929,9,FALSE)</f>
        <v>Y</v>
      </c>
      <c r="Q2457" s="4" t="str">
        <f>VLOOKUP($B2457,'D7 - NDB Impacted SPRF''s'!$E$16:$O$9929,10,FALSE)</f>
        <v>N</v>
      </c>
      <c r="R2457" s="4" t="str">
        <f>VLOOKUP($B2457,'D7 - NDB Impacted SPRF''s'!$E$16:$O$9929,11,FALSE)</f>
        <v>Y</v>
      </c>
      <c r="S2457" s="8"/>
      <c r="T2457" s="310"/>
      <c r="U2457" s="310"/>
      <c r="V2457" s="4"/>
      <c r="W2457" s="4"/>
      <c r="X2457" s="4"/>
      <c r="Y2457" s="4"/>
      <c r="Z2457" s="4"/>
      <c r="AA2457" s="4"/>
      <c r="AB2457" s="380" t="str">
        <f>VLOOKUP($B2457,'D7 - NDB Impacted SPRF''s'!$E$16:$O$9929,4,FALSE)</f>
        <v>Cancelled</v>
      </c>
      <c r="AC2457" s="380" t="str">
        <f>VLOOKUP($B2457,'D7 - NDB Impacted SPRF''s'!$E$16:$O$9929,3,FALSE)</f>
        <v>UnitedHealthcare Employer &amp; Individual</v>
      </c>
      <c r="AD2457" s="380" t="str">
        <f>VLOOKUP($B2457,'D7 - NDB Impacted SPRF''s'!$E$16:$O$9929,5,FALSE)</f>
        <v>Medical Cost Savings Programs</v>
      </c>
      <c r="AE2457" s="380" t="str">
        <f>VLOOKUP($B2457,'D7 - NDB Impacted SPRF''s'!$E$16:$O$9929,7,FALSE)</f>
        <v>Debi Streb</v>
      </c>
      <c r="AF2457" s="380" t="str">
        <f>VLOOKUP($B2457,'D7 - NDB Impacted SPRF''s'!$E$16:$O$9929,6,FALSE)</f>
        <v>CHERYL STAUFFER</v>
      </c>
      <c r="AG2457" s="282" t="s">
        <v>7755</v>
      </c>
      <c r="AH2457" s="311" t="e">
        <f>INDEX('D5 - Gatekeeper - Projects'!$A$4:$AF$1010,$AM2457, 17)</f>
        <v>#N/A</v>
      </c>
      <c r="AI2457" s="8"/>
      <c r="AJ2457" s="57"/>
      <c r="AK2457" s="105"/>
      <c r="AM2457" s="6" t="e">
        <f>MATCH(D2457,'D5 - Gatekeeper - Projects'!$C$4:$C$1010,0)</f>
        <v>#N/A</v>
      </c>
      <c r="AN2457" s="6" t="b">
        <f t="shared" si="260"/>
        <v>1</v>
      </c>
      <c r="AO2457" s="6" t="str">
        <f t="shared" si="261"/>
        <v>OK</v>
      </c>
      <c r="AQ2457" s="6" t="e">
        <f>MATCH($D2457,'D4 - Provider Council Unsched'!$C$11:$C$234,0)</f>
        <v>#N/A</v>
      </c>
      <c r="AR2457" s="6" t="b">
        <f t="shared" si="262"/>
        <v>1</v>
      </c>
      <c r="AS2457" s="6" t="str">
        <f t="shared" si="259"/>
        <v>OK</v>
      </c>
      <c r="AU2457" s="202"/>
      <c r="AV2457" s="262"/>
      <c r="AW2457" s="274"/>
    </row>
    <row r="2458" spans="1:49" s="13" customFormat="1" ht="33.75" x14ac:dyDescent="0.2">
      <c r="A2458" s="14">
        <v>2434</v>
      </c>
      <c r="B2458" s="14">
        <v>400003614</v>
      </c>
      <c r="C2458" s="8" t="s">
        <v>3286</v>
      </c>
      <c r="D2458" s="4" t="str">
        <f t="shared" si="258"/>
        <v>400003614CC02</v>
      </c>
      <c r="E2458" s="309" t="str">
        <f>VLOOKUP($B2458,'D7 - NDB Impacted SPRF''s'!$E$6:$O$9929,2,FALSE)</f>
        <v>User Maintained Table for the Specialty Crosswalk</v>
      </c>
      <c r="F2458" s="8" t="s">
        <v>6632</v>
      </c>
      <c r="G2458" s="8" t="s">
        <v>4758</v>
      </c>
      <c r="H2458" s="8" t="s">
        <v>2870</v>
      </c>
      <c r="I2458" s="20"/>
      <c r="J2458" s="8"/>
      <c r="K2458" s="182"/>
      <c r="L2458" s="8" t="s">
        <v>6164</v>
      </c>
      <c r="M2458" s="8" t="s">
        <v>2814</v>
      </c>
      <c r="N2458" s="367"/>
      <c r="O2458" s="8"/>
      <c r="P2458" s="4" t="str">
        <f>VLOOKUP($B2458,'D7 - NDB Impacted SPRF''s'!$E$16:$O$9929,9,FALSE)</f>
        <v>Y</v>
      </c>
      <c r="Q2458" s="4" t="str">
        <f>VLOOKUP($B2458,'D7 - NDB Impacted SPRF''s'!$E$16:$O$9929,10,FALSE)</f>
        <v>N</v>
      </c>
      <c r="R2458" s="4" t="str">
        <f>VLOOKUP($B2458,'D7 - NDB Impacted SPRF''s'!$E$16:$O$9929,11,FALSE)</f>
        <v>N</v>
      </c>
      <c r="S2458" s="8"/>
      <c r="T2458" s="310"/>
      <c r="U2458" s="310"/>
      <c r="V2458" s="4"/>
      <c r="W2458" s="4"/>
      <c r="X2458" s="4"/>
      <c r="Y2458" s="4"/>
      <c r="Z2458" s="4"/>
      <c r="AA2458" s="4"/>
      <c r="AB2458" s="380" t="str">
        <f>VLOOKUP($B2458,'D7 - NDB Impacted SPRF''s'!$E$16:$O$9929,4,FALSE)</f>
        <v>Cancelled</v>
      </c>
      <c r="AC2458" s="380" t="str">
        <f>VLOOKUP($B2458,'D7 - NDB Impacted SPRF''s'!$E$16:$O$9929,3,FALSE)</f>
        <v>UnitedHealthcare Employer &amp; Individual</v>
      </c>
      <c r="AD2458" s="380" t="str">
        <f>VLOOKUP($B2458,'D7 - NDB Impacted SPRF''s'!$E$16:$O$9929,5,FALSE)</f>
        <v>Operations Group</v>
      </c>
      <c r="AE2458" s="380" t="str">
        <f>VLOOKUP($B2458,'D7 - NDB Impacted SPRF''s'!$E$16:$O$9929,7,FALSE)</f>
        <v>Shannon Nelson</v>
      </c>
      <c r="AF2458" s="380" t="str">
        <f>VLOOKUP($B2458,'D7 - NDB Impacted SPRF''s'!$E$16:$O$9929,6,FALSE)</f>
        <v>Janet Wright</v>
      </c>
      <c r="AG2458" s="282"/>
      <c r="AH2458" s="311" t="e">
        <f>INDEX('D5 - Gatekeeper - Projects'!$A$4:$AF$1010,$AM2458, 17)</f>
        <v>#N/A</v>
      </c>
      <c r="AI2458" s="8"/>
      <c r="AJ2458" s="57"/>
      <c r="AK2458" s="105"/>
      <c r="AM2458" s="6" t="e">
        <f>MATCH(D2458,'D5 - Gatekeeper - Projects'!$C$4:$C$1010,0)</f>
        <v>#N/A</v>
      </c>
      <c r="AN2458" s="6" t="b">
        <f t="shared" si="260"/>
        <v>1</v>
      </c>
      <c r="AO2458" s="6" t="str">
        <f t="shared" si="261"/>
        <v>OK</v>
      </c>
      <c r="AQ2458" s="6" t="e">
        <f>MATCH($D2458,'D4 - Provider Council Unsched'!$C$11:$C$234,0)</f>
        <v>#N/A</v>
      </c>
      <c r="AR2458" s="6" t="b">
        <f t="shared" si="262"/>
        <v>1</v>
      </c>
      <c r="AS2458" s="6" t="str">
        <f t="shared" si="259"/>
        <v>OK</v>
      </c>
      <c r="AU2458" s="202"/>
      <c r="AV2458" s="262"/>
      <c r="AW2458" s="274"/>
    </row>
    <row r="2459" spans="1:49" s="13" customFormat="1" ht="33.75" x14ac:dyDescent="0.2">
      <c r="A2459" s="14">
        <v>2435</v>
      </c>
      <c r="B2459" s="14">
        <v>400003614</v>
      </c>
      <c r="C2459" s="8" t="s">
        <v>5106</v>
      </c>
      <c r="D2459" s="4" t="str">
        <f t="shared" ref="D2459:D2522" si="263">CONCATENATE(B2459,C2459)</f>
        <v>400003614CC02U</v>
      </c>
      <c r="E2459" s="309" t="str">
        <f>VLOOKUP($B2459,'D7 - NDB Impacted SPRF''s'!$E$6:$O$9929,2,FALSE)</f>
        <v>User Maintained Table for the Specialty Crosswalk</v>
      </c>
      <c r="F2459" s="8" t="s">
        <v>6632</v>
      </c>
      <c r="G2459" s="8" t="s">
        <v>4758</v>
      </c>
      <c r="H2459" s="8" t="s">
        <v>2870</v>
      </c>
      <c r="I2459" s="20"/>
      <c r="J2459" s="8"/>
      <c r="K2459" s="182"/>
      <c r="L2459" s="8" t="s">
        <v>6164</v>
      </c>
      <c r="M2459" s="8" t="s">
        <v>2814</v>
      </c>
      <c r="N2459" s="367"/>
      <c r="O2459" s="8"/>
      <c r="P2459" s="4" t="str">
        <f>VLOOKUP($B2459,'D7 - NDB Impacted SPRF''s'!$E$16:$O$9929,9,FALSE)</f>
        <v>Y</v>
      </c>
      <c r="Q2459" s="4" t="str">
        <f>VLOOKUP($B2459,'D7 - NDB Impacted SPRF''s'!$E$16:$O$9929,10,FALSE)</f>
        <v>N</v>
      </c>
      <c r="R2459" s="4" t="str">
        <f>VLOOKUP($B2459,'D7 - NDB Impacted SPRF''s'!$E$16:$O$9929,11,FALSE)</f>
        <v>N</v>
      </c>
      <c r="S2459" s="8"/>
      <c r="T2459" s="310"/>
      <c r="U2459" s="310"/>
      <c r="V2459" s="4"/>
      <c r="W2459" s="4"/>
      <c r="X2459" s="4"/>
      <c r="Y2459" s="4"/>
      <c r="Z2459" s="4"/>
      <c r="AA2459" s="4"/>
      <c r="AB2459" s="380" t="str">
        <f>VLOOKUP($B2459,'D7 - NDB Impacted SPRF''s'!$E$16:$O$9929,4,FALSE)</f>
        <v>Cancelled</v>
      </c>
      <c r="AC2459" s="380" t="str">
        <f>VLOOKUP($B2459,'D7 - NDB Impacted SPRF''s'!$E$16:$O$9929,3,FALSE)</f>
        <v>UnitedHealthcare Employer &amp; Individual</v>
      </c>
      <c r="AD2459" s="380" t="str">
        <f>VLOOKUP($B2459,'D7 - NDB Impacted SPRF''s'!$E$16:$O$9929,5,FALSE)</f>
        <v>Operations Group</v>
      </c>
      <c r="AE2459" s="380" t="str">
        <f>VLOOKUP($B2459,'D7 - NDB Impacted SPRF''s'!$E$16:$O$9929,7,FALSE)</f>
        <v>Shannon Nelson</v>
      </c>
      <c r="AF2459" s="380" t="str">
        <f>VLOOKUP($B2459,'D7 - NDB Impacted SPRF''s'!$E$16:$O$9929,6,FALSE)</f>
        <v>Janet Wright</v>
      </c>
      <c r="AG2459" s="282"/>
      <c r="AH2459" s="311" t="e">
        <f>INDEX('D5 - Gatekeeper - Projects'!$A$4:$AF$1010,$AM2459, 17)</f>
        <v>#N/A</v>
      </c>
      <c r="AI2459" s="8"/>
      <c r="AJ2459" s="57"/>
      <c r="AK2459" s="105"/>
      <c r="AM2459" s="6" t="e">
        <f>MATCH(D2459,'D5 - Gatekeeper - Projects'!$C$4:$C$1010,0)</f>
        <v>#N/A</v>
      </c>
      <c r="AN2459" s="6" t="b">
        <f t="shared" si="260"/>
        <v>1</v>
      </c>
      <c r="AO2459" s="6" t="str">
        <f t="shared" si="261"/>
        <v>OK</v>
      </c>
      <c r="AQ2459" s="6" t="e">
        <f>MATCH($D2459,'D4 - Provider Council Unsched'!$C$11:$C$234,0)</f>
        <v>#N/A</v>
      </c>
      <c r="AR2459" s="6" t="b">
        <f t="shared" si="262"/>
        <v>1</v>
      </c>
      <c r="AS2459" s="6" t="str">
        <f t="shared" si="259"/>
        <v>OK</v>
      </c>
      <c r="AU2459" s="202"/>
      <c r="AV2459" s="262"/>
      <c r="AW2459" s="274"/>
    </row>
    <row r="2460" spans="1:49" s="13" customFormat="1" ht="33.75" x14ac:dyDescent="0.2">
      <c r="A2460" s="14">
        <v>2436</v>
      </c>
      <c r="B2460" s="14">
        <v>400003616</v>
      </c>
      <c r="C2460" s="8" t="s">
        <v>5197</v>
      </c>
      <c r="D2460" s="4" t="str">
        <f t="shared" si="263"/>
        <v>400003616R1</v>
      </c>
      <c r="E2460" s="309" t="str">
        <f>VLOOKUP($B2460,'D7 - NDB Impacted SPRF''s'!$E$6:$O$9929,2,FALSE)</f>
        <v>Revision to Orbit Report</v>
      </c>
      <c r="F2460" s="8" t="s">
        <v>3235</v>
      </c>
      <c r="G2460" s="8" t="s">
        <v>4758</v>
      </c>
      <c r="H2460" s="8" t="s">
        <v>2870</v>
      </c>
      <c r="I2460" s="20"/>
      <c r="J2460" s="8"/>
      <c r="K2460" s="182"/>
      <c r="L2460" s="8" t="s">
        <v>6164</v>
      </c>
      <c r="M2460" s="8" t="s">
        <v>2814</v>
      </c>
      <c r="N2460" s="367"/>
      <c r="O2460" s="8"/>
      <c r="P2460" s="4" t="str">
        <f>VLOOKUP($B2460,'D7 - NDB Impacted SPRF''s'!$E$16:$O$9929,9,FALSE)</f>
        <v>N</v>
      </c>
      <c r="Q2460" s="4" t="str">
        <f>VLOOKUP($B2460,'D7 - NDB Impacted SPRF''s'!$E$16:$O$9929,10,FALSE)</f>
        <v>N</v>
      </c>
      <c r="R2460" s="4" t="str">
        <f>VLOOKUP($B2460,'D7 - NDB Impacted SPRF''s'!$E$16:$O$9929,11,FALSE)</f>
        <v>N</v>
      </c>
      <c r="S2460" s="8"/>
      <c r="T2460" s="310"/>
      <c r="U2460" s="310"/>
      <c r="V2460" s="4"/>
      <c r="W2460" s="4"/>
      <c r="X2460" s="4"/>
      <c r="Y2460" s="4"/>
      <c r="Z2460" s="4"/>
      <c r="AA2460" s="4"/>
      <c r="AB2460" s="380" t="str">
        <f>VLOOKUP($B2460,'D7 - NDB Impacted SPRF''s'!$E$16:$O$9929,4,FALSE)</f>
        <v>Cancelled</v>
      </c>
      <c r="AC2460" s="380" t="str">
        <f>VLOOKUP($B2460,'D7 - NDB Impacted SPRF''s'!$E$16:$O$9929,3,FALSE)</f>
        <v>UnitedHealthcare Employer &amp; Individual</v>
      </c>
      <c r="AD2460" s="380" t="str">
        <f>VLOOKUP($B2460,'D7 - NDB Impacted SPRF''s'!$E$16:$O$9929,5,FALSE)</f>
        <v>Operations Group</v>
      </c>
      <c r="AE2460" s="380" t="str">
        <f>VLOOKUP($B2460,'D7 - NDB Impacted SPRF''s'!$E$16:$O$9929,7,FALSE)</f>
        <v>Derek Pederson</v>
      </c>
      <c r="AF2460" s="380" t="str">
        <f>VLOOKUP($B2460,'D7 - NDB Impacted SPRF''s'!$E$16:$O$9929,6,FALSE)</f>
        <v>Derek Pederson</v>
      </c>
      <c r="AG2460" s="282"/>
      <c r="AH2460" s="311" t="e">
        <f>INDEX('D5 - Gatekeeper - Projects'!$A$4:$AF$1010,$AM2460, 17)</f>
        <v>#N/A</v>
      </c>
      <c r="AI2460" s="8"/>
      <c r="AJ2460" s="57"/>
      <c r="AK2460" s="105"/>
      <c r="AM2460" s="6" t="e">
        <f>MATCH(D2460,'D5 - Gatekeeper - Projects'!$C$4:$C$1010,0)</f>
        <v>#N/A</v>
      </c>
      <c r="AN2460" s="6" t="b">
        <f t="shared" si="260"/>
        <v>1</v>
      </c>
      <c r="AO2460" s="6" t="str">
        <f t="shared" si="261"/>
        <v>OK</v>
      </c>
      <c r="AQ2460" s="6" t="e">
        <f>MATCH($D2460,'D4 - Provider Council Unsched'!$C$11:$C$234,0)</f>
        <v>#N/A</v>
      </c>
      <c r="AR2460" s="6" t="b">
        <f t="shared" si="262"/>
        <v>1</v>
      </c>
      <c r="AS2460" s="6" t="str">
        <f t="shared" si="259"/>
        <v>OK</v>
      </c>
      <c r="AU2460" s="202"/>
      <c r="AV2460" s="262"/>
      <c r="AW2460" s="274"/>
    </row>
    <row r="2461" spans="1:49" s="13" customFormat="1" ht="33.75" x14ac:dyDescent="0.2">
      <c r="A2461" s="14">
        <v>2437</v>
      </c>
      <c r="B2461" s="14">
        <v>400003669</v>
      </c>
      <c r="C2461" s="8" t="s">
        <v>5197</v>
      </c>
      <c r="D2461" s="4" t="str">
        <f t="shared" si="263"/>
        <v>400003669R1</v>
      </c>
      <c r="E2461" s="309" t="str">
        <f>VLOOKUP($B2461,'D7 - NDB Impacted SPRF''s'!$E$6:$O$9929,2,FALSE)</f>
        <v>Time-lined Procedure Code File</v>
      </c>
      <c r="F2461" s="8"/>
      <c r="G2461" s="8" t="s">
        <v>4758</v>
      </c>
      <c r="H2461" s="8" t="s">
        <v>2870</v>
      </c>
      <c r="I2461" s="20"/>
      <c r="J2461" s="8"/>
      <c r="K2461" s="182"/>
      <c r="L2461" s="8" t="s">
        <v>6164</v>
      </c>
      <c r="M2461" s="8" t="s">
        <v>2814</v>
      </c>
      <c r="N2461" s="367"/>
      <c r="O2461" s="8"/>
      <c r="P2461" s="4" t="str">
        <f>VLOOKUP($B2461,'D7 - NDB Impacted SPRF''s'!$E$16:$O$9929,9,FALSE)</f>
        <v>N</v>
      </c>
      <c r="Q2461" s="4" t="str">
        <f>VLOOKUP($B2461,'D7 - NDB Impacted SPRF''s'!$E$16:$O$9929,10,FALSE)</f>
        <v>N</v>
      </c>
      <c r="R2461" s="4" t="str">
        <f>VLOOKUP($B2461,'D7 - NDB Impacted SPRF''s'!$E$16:$O$9929,11,FALSE)</f>
        <v>N</v>
      </c>
      <c r="S2461" s="8"/>
      <c r="T2461" s="310"/>
      <c r="U2461" s="310"/>
      <c r="V2461" s="4"/>
      <c r="W2461" s="4"/>
      <c r="X2461" s="4"/>
      <c r="Y2461" s="4"/>
      <c r="Z2461" s="4"/>
      <c r="AA2461" s="4"/>
      <c r="AB2461" s="380" t="str">
        <f>VLOOKUP($B2461,'D7 - NDB Impacted SPRF''s'!$E$16:$O$9929,4,FALSE)</f>
        <v>Cancelled</v>
      </c>
      <c r="AC2461" s="380" t="str">
        <f>VLOOKUP($B2461,'D7 - NDB Impacted SPRF''s'!$E$16:$O$9929,3,FALSE)</f>
        <v>UnitedHealthcare Employer &amp; Individual</v>
      </c>
      <c r="AD2461" s="380" t="str">
        <f>VLOOKUP($B2461,'D7 - NDB Impacted SPRF''s'!$E$16:$O$9929,5,FALSE)</f>
        <v>Operations Group</v>
      </c>
      <c r="AE2461" s="380" t="str">
        <f>VLOOKUP($B2461,'D7 - NDB Impacted SPRF''s'!$E$16:$O$9929,7,FALSE)</f>
        <v>Derek Pederson</v>
      </c>
      <c r="AF2461" s="380" t="str">
        <f>VLOOKUP($B2461,'D7 - NDB Impacted SPRF''s'!$E$16:$O$9929,6,FALSE)</f>
        <v>LISA DUNNE</v>
      </c>
      <c r="AG2461" s="282"/>
      <c r="AH2461" s="311" t="e">
        <f>INDEX('D5 - Gatekeeper - Projects'!$A$4:$AF$1010,$AM2461, 17)</f>
        <v>#N/A</v>
      </c>
      <c r="AI2461" s="8"/>
      <c r="AJ2461" s="57"/>
      <c r="AK2461" s="105"/>
      <c r="AM2461" s="6" t="e">
        <f>MATCH(D2461,'D5 - Gatekeeper - Projects'!$C$4:$C$1010,0)</f>
        <v>#N/A</v>
      </c>
      <c r="AN2461" s="6" t="b">
        <f t="shared" si="260"/>
        <v>1</v>
      </c>
      <c r="AO2461" s="6" t="str">
        <f t="shared" si="261"/>
        <v>OK</v>
      </c>
      <c r="AQ2461" s="6" t="e">
        <f>MATCH($D2461,'D4 - Provider Council Unsched'!$C$11:$C$234,0)</f>
        <v>#N/A</v>
      </c>
      <c r="AR2461" s="6" t="b">
        <f t="shared" si="262"/>
        <v>1</v>
      </c>
      <c r="AS2461" s="6" t="str">
        <f t="shared" si="259"/>
        <v>OK</v>
      </c>
      <c r="AU2461" s="202"/>
      <c r="AV2461" s="262"/>
      <c r="AW2461" s="274"/>
    </row>
    <row r="2462" spans="1:49" s="13" customFormat="1" ht="33.75" x14ac:dyDescent="0.2">
      <c r="A2462" s="14">
        <v>2438</v>
      </c>
      <c r="B2462" s="14">
        <v>400003683</v>
      </c>
      <c r="C2462" s="8" t="s">
        <v>5197</v>
      </c>
      <c r="D2462" s="4" t="str">
        <f t="shared" si="263"/>
        <v>400003683R1</v>
      </c>
      <c r="E2462" s="309" t="str">
        <f>VLOOKUP($B2462,'D7 - NDB Impacted SPRF''s'!$E$6:$O$9929,2,FALSE)</f>
        <v>LaborCare EPDL Testing</v>
      </c>
      <c r="F2462" s="8" t="s">
        <v>4069</v>
      </c>
      <c r="G2462" s="8" t="s">
        <v>4758</v>
      </c>
      <c r="H2462" s="8" t="s">
        <v>2870</v>
      </c>
      <c r="I2462" s="20"/>
      <c r="J2462" s="8"/>
      <c r="K2462" s="182"/>
      <c r="L2462" s="8" t="s">
        <v>6164</v>
      </c>
      <c r="M2462" s="8" t="s">
        <v>2814</v>
      </c>
      <c r="N2462" s="367"/>
      <c r="O2462" s="8"/>
      <c r="P2462" s="4" t="str">
        <f>VLOOKUP($B2462,'D7 - NDB Impacted SPRF''s'!$E$16:$O$9929,9,FALSE)</f>
        <v>N</v>
      </c>
      <c r="Q2462" s="4" t="str">
        <f>VLOOKUP($B2462,'D7 - NDB Impacted SPRF''s'!$E$16:$O$9929,10,FALSE)</f>
        <v>N</v>
      </c>
      <c r="R2462" s="4" t="str">
        <f>VLOOKUP($B2462,'D7 - NDB Impacted SPRF''s'!$E$16:$O$9929,11,FALSE)</f>
        <v>N</v>
      </c>
      <c r="S2462" s="8"/>
      <c r="T2462" s="310"/>
      <c r="U2462" s="310"/>
      <c r="V2462" s="4"/>
      <c r="W2462" s="4"/>
      <c r="X2462" s="4"/>
      <c r="Y2462" s="4"/>
      <c r="Z2462" s="4"/>
      <c r="AA2462" s="4"/>
      <c r="AB2462" s="380" t="str">
        <f>VLOOKUP($B2462,'D7 - NDB Impacted SPRF''s'!$E$16:$O$9929,4,FALSE)</f>
        <v>Cancelled</v>
      </c>
      <c r="AC2462" s="380" t="str">
        <f>VLOOKUP($B2462,'D7 - NDB Impacted SPRF''s'!$E$16:$O$9929,3,FALSE)</f>
        <v>UnitedHealthcare Employer &amp; Individual</v>
      </c>
      <c r="AD2462" s="380" t="str">
        <f>VLOOKUP($B2462,'D7 - NDB Impacted SPRF''s'!$E$16:$O$9929,5,FALSE)</f>
        <v>Operations Group</v>
      </c>
      <c r="AE2462" s="380" t="str">
        <f>VLOOKUP($B2462,'D7 - NDB Impacted SPRF''s'!$E$16:$O$9929,7,FALSE)</f>
        <v>Peter Bompane</v>
      </c>
      <c r="AF2462" s="380" t="str">
        <f>VLOOKUP($B2462,'D7 - NDB Impacted SPRF''s'!$E$16:$O$9929,6,FALSE)</f>
        <v>Barbara Dickson</v>
      </c>
      <c r="AG2462" s="282"/>
      <c r="AH2462" s="311" t="e">
        <f>INDEX('D5 - Gatekeeper - Projects'!$A$4:$AF$1010,$AM2462, 17)</f>
        <v>#N/A</v>
      </c>
      <c r="AI2462" s="8"/>
      <c r="AJ2462" s="57"/>
      <c r="AK2462" s="105"/>
      <c r="AM2462" s="6" t="e">
        <f>MATCH(D2462,'D5 - Gatekeeper - Projects'!$C$4:$C$1010,0)</f>
        <v>#N/A</v>
      </c>
      <c r="AN2462" s="6" t="b">
        <f t="shared" si="260"/>
        <v>1</v>
      </c>
      <c r="AO2462" s="6" t="str">
        <f t="shared" si="261"/>
        <v>OK</v>
      </c>
      <c r="AQ2462" s="6" t="e">
        <f>MATCH($D2462,'D4 - Provider Council Unsched'!$C$11:$C$234,0)</f>
        <v>#N/A</v>
      </c>
      <c r="AR2462" s="6" t="b">
        <f t="shared" si="262"/>
        <v>1</v>
      </c>
      <c r="AS2462" s="6" t="str">
        <f t="shared" si="259"/>
        <v>OK</v>
      </c>
      <c r="AU2462" s="202"/>
      <c r="AV2462" s="262"/>
      <c r="AW2462" s="274"/>
    </row>
    <row r="2463" spans="1:49" s="13" customFormat="1" ht="33.75" x14ac:dyDescent="0.2">
      <c r="A2463" s="14">
        <v>2439</v>
      </c>
      <c r="B2463" s="14">
        <v>400003731</v>
      </c>
      <c r="C2463" s="8" t="s">
        <v>5197</v>
      </c>
      <c r="D2463" s="4" t="str">
        <f t="shared" si="263"/>
        <v>400003731R1</v>
      </c>
      <c r="E2463" s="309" t="str">
        <f>VLOOKUP($B2463,'D7 - NDB Impacted SPRF''s'!$E$6:$O$9929,2,FALSE)</f>
        <v xml:space="preserve">NDB Provider Future Effective/Termination Dates </v>
      </c>
      <c r="F2463" s="8" t="s">
        <v>6632</v>
      </c>
      <c r="G2463" s="8" t="s">
        <v>4758</v>
      </c>
      <c r="H2463" s="8" t="s">
        <v>2870</v>
      </c>
      <c r="I2463" s="20">
        <v>1.35</v>
      </c>
      <c r="J2463" s="8" t="s">
        <v>7113</v>
      </c>
      <c r="K2463" s="182"/>
      <c r="L2463" s="8" t="s">
        <v>4156</v>
      </c>
      <c r="M2463" s="8" t="s">
        <v>2814</v>
      </c>
      <c r="N2463" s="367" t="s">
        <v>5190</v>
      </c>
      <c r="O2463" s="8"/>
      <c r="P2463" s="4" t="str">
        <f>VLOOKUP($B2463,'D7 - NDB Impacted SPRF''s'!$E$16:$O$9929,9,FALSE)</f>
        <v>N</v>
      </c>
      <c r="Q2463" s="4" t="str">
        <f>VLOOKUP($B2463,'D7 - NDB Impacted SPRF''s'!$E$16:$O$9929,10,FALSE)</f>
        <v>N</v>
      </c>
      <c r="R2463" s="4" t="str">
        <f>VLOOKUP($B2463,'D7 - NDB Impacted SPRF''s'!$E$16:$O$9929,11,FALSE)</f>
        <v>N</v>
      </c>
      <c r="S2463" s="8"/>
      <c r="T2463" s="310"/>
      <c r="U2463" s="310"/>
      <c r="V2463" s="4"/>
      <c r="W2463" s="4"/>
      <c r="X2463" s="4"/>
      <c r="Y2463" s="4"/>
      <c r="Z2463" s="4"/>
      <c r="AA2463" s="4"/>
      <c r="AB2463" s="380" t="str">
        <f>VLOOKUP($B2463,'D7 - NDB Impacted SPRF''s'!$E$16:$O$9929,4,FALSE)</f>
        <v>Cancelled</v>
      </c>
      <c r="AC2463" s="380" t="str">
        <f>VLOOKUP($B2463,'D7 - NDB Impacted SPRF''s'!$E$16:$O$9929,3,FALSE)</f>
        <v>UnitedHealthcare Employer &amp; Individual</v>
      </c>
      <c r="AD2463" s="380" t="str">
        <f>VLOOKUP($B2463,'D7 - NDB Impacted SPRF''s'!$E$16:$O$9929,5,FALSE)</f>
        <v>Operations Group</v>
      </c>
      <c r="AE2463" s="380" t="str">
        <f>VLOOKUP($B2463,'D7 - NDB Impacted SPRF''s'!$E$16:$O$9929,7,FALSE)</f>
        <v>John Cravero</v>
      </c>
      <c r="AF2463" s="380" t="str">
        <f>VLOOKUP($B2463,'D7 - NDB Impacted SPRF''s'!$E$16:$O$9929,6,FALSE)</f>
        <v>OLIVA MARGARET</v>
      </c>
      <c r="AG2463" s="282" t="s">
        <v>6682</v>
      </c>
      <c r="AH2463" s="311" t="e">
        <f>INDEX('D5 - Gatekeeper - Projects'!$A$4:$AF$1010,$AM2463, 17)</f>
        <v>#N/A</v>
      </c>
      <c r="AI2463" s="8"/>
      <c r="AJ2463" s="57"/>
      <c r="AK2463" s="105"/>
      <c r="AM2463" s="6" t="e">
        <f>MATCH(D2463,'D5 - Gatekeeper - Projects'!$C$4:$C$1010,0)</f>
        <v>#N/A</v>
      </c>
      <c r="AN2463" s="6" t="b">
        <f t="shared" si="260"/>
        <v>1</v>
      </c>
      <c r="AO2463" s="6" t="str">
        <f t="shared" si="261"/>
        <v>OK</v>
      </c>
      <c r="AQ2463" s="6" t="e">
        <f>MATCH($D2463,'D4 - Provider Council Unsched'!$C$11:$C$234,0)</f>
        <v>#N/A</v>
      </c>
      <c r="AR2463" s="6" t="b">
        <f t="shared" si="262"/>
        <v>1</v>
      </c>
      <c r="AS2463" s="6" t="str">
        <f t="shared" si="259"/>
        <v>OK</v>
      </c>
      <c r="AU2463" s="202"/>
      <c r="AV2463" s="262"/>
      <c r="AW2463" s="274"/>
    </row>
    <row r="2464" spans="1:49" s="13" customFormat="1" ht="33.75" x14ac:dyDescent="0.2">
      <c r="A2464" s="14">
        <v>2440</v>
      </c>
      <c r="B2464" s="14">
        <v>400003749</v>
      </c>
      <c r="C2464" s="8" t="s">
        <v>5197</v>
      </c>
      <c r="D2464" s="4" t="str">
        <f t="shared" si="263"/>
        <v>400003749R1</v>
      </c>
      <c r="E2464" s="309" t="str">
        <f>VLOOKUP($B2464,'D7 - NDB Impacted SPRF''s'!$E$6:$O$9929,2,FALSE)</f>
        <v>Update 835 routing IDs</v>
      </c>
      <c r="F2464" s="8"/>
      <c r="G2464" s="8" t="s">
        <v>4758</v>
      </c>
      <c r="H2464" s="8" t="s">
        <v>2870</v>
      </c>
      <c r="I2464" s="20"/>
      <c r="J2464" s="8"/>
      <c r="K2464" s="182"/>
      <c r="L2464" s="8" t="s">
        <v>6164</v>
      </c>
      <c r="M2464" s="8" t="s">
        <v>2814</v>
      </c>
      <c r="N2464" s="367"/>
      <c r="O2464" s="8"/>
      <c r="P2464" s="4" t="str">
        <f>VLOOKUP($B2464,'D7 - NDB Impacted SPRF''s'!$E$16:$O$9929,9,FALSE)</f>
        <v>N</v>
      </c>
      <c r="Q2464" s="4" t="str">
        <f>VLOOKUP($B2464,'D7 - NDB Impacted SPRF''s'!$E$16:$O$9929,10,FALSE)</f>
        <v>N</v>
      </c>
      <c r="R2464" s="4" t="str">
        <f>VLOOKUP($B2464,'D7 - NDB Impacted SPRF''s'!$E$16:$O$9929,11,FALSE)</f>
        <v>N</v>
      </c>
      <c r="S2464" s="8"/>
      <c r="T2464" s="310"/>
      <c r="U2464" s="310"/>
      <c r="V2464" s="4"/>
      <c r="W2464" s="4"/>
      <c r="X2464" s="4"/>
      <c r="Y2464" s="4"/>
      <c r="Z2464" s="4"/>
      <c r="AA2464" s="4"/>
      <c r="AB2464" s="380" t="str">
        <f>VLOOKUP($B2464,'D7 - NDB Impacted SPRF''s'!$E$16:$O$9929,4,FALSE)</f>
        <v>Cancelled</v>
      </c>
      <c r="AC2464" s="380" t="str">
        <f>VLOOKUP($B2464,'D7 - NDB Impacted SPRF''s'!$E$16:$O$9929,3,FALSE)</f>
        <v>UnitedHealthcare Employer &amp; Individual</v>
      </c>
      <c r="AD2464" s="380" t="str">
        <f>VLOOKUP($B2464,'D7 - NDB Impacted SPRF''s'!$E$16:$O$9929,5,FALSE)</f>
        <v>Operations Group</v>
      </c>
      <c r="AE2464" s="380" t="str">
        <f>VLOOKUP($B2464,'D7 - NDB Impacted SPRF''s'!$E$16:$O$9929,7,FALSE)</f>
        <v>Derek Pederson</v>
      </c>
      <c r="AF2464" s="380" t="str">
        <f>VLOOKUP($B2464,'D7 - NDB Impacted SPRF''s'!$E$16:$O$9929,6,FALSE)</f>
        <v>Derek Pederson</v>
      </c>
      <c r="AG2464" s="282"/>
      <c r="AH2464" s="311" t="e">
        <f>INDEX('D5 - Gatekeeper - Projects'!$A$4:$AF$1010,$AM2464, 17)</f>
        <v>#N/A</v>
      </c>
      <c r="AI2464" s="8"/>
      <c r="AJ2464" s="57"/>
      <c r="AK2464" s="105"/>
      <c r="AM2464" s="6" t="e">
        <f>MATCH(D2464,'D5 - Gatekeeper - Projects'!$C$4:$C$1010,0)</f>
        <v>#N/A</v>
      </c>
      <c r="AN2464" s="6" t="b">
        <f t="shared" si="260"/>
        <v>1</v>
      </c>
      <c r="AO2464" s="6" t="str">
        <f t="shared" si="261"/>
        <v>OK</v>
      </c>
      <c r="AQ2464" s="6" t="e">
        <f>MATCH($D2464,'D4 - Provider Council Unsched'!$C$11:$C$234,0)</f>
        <v>#N/A</v>
      </c>
      <c r="AR2464" s="6" t="b">
        <f t="shared" si="262"/>
        <v>1</v>
      </c>
      <c r="AS2464" s="6" t="str">
        <f t="shared" si="259"/>
        <v>OK</v>
      </c>
      <c r="AU2464" s="202"/>
      <c r="AV2464" s="262"/>
      <c r="AW2464" s="274"/>
    </row>
    <row r="2465" spans="1:49" s="13" customFormat="1" ht="33.75" x14ac:dyDescent="0.2">
      <c r="A2465" s="14">
        <v>2441</v>
      </c>
      <c r="B2465" s="14">
        <v>400003768</v>
      </c>
      <c r="C2465" s="8" t="s">
        <v>5197</v>
      </c>
      <c r="D2465" s="4" t="str">
        <f t="shared" si="263"/>
        <v>400003768R1</v>
      </c>
      <c r="E2465" s="309" t="str">
        <f>VLOOKUP($B2465,'D7 - NDB Impacted SPRF''s'!$E$6:$O$9929,2,FALSE)</f>
        <v xml:space="preserve">APM Phase One; Lab Services Online  </v>
      </c>
      <c r="F2465" s="8" t="s">
        <v>1067</v>
      </c>
      <c r="G2465" s="8" t="s">
        <v>4758</v>
      </c>
      <c r="H2465" s="8" t="s">
        <v>2870</v>
      </c>
      <c r="I2465" s="20"/>
      <c r="J2465" s="8"/>
      <c r="K2465" s="182"/>
      <c r="L2465" s="8" t="s">
        <v>6164</v>
      </c>
      <c r="M2465" s="8" t="s">
        <v>2814</v>
      </c>
      <c r="N2465" s="367"/>
      <c r="O2465" s="8"/>
      <c r="P2465" s="4" t="str">
        <f>VLOOKUP($B2465,'D7 - NDB Impacted SPRF''s'!$E$16:$O$9929,9,FALSE)</f>
        <v>N</v>
      </c>
      <c r="Q2465" s="4" t="str">
        <f>VLOOKUP($B2465,'D7 - NDB Impacted SPRF''s'!$E$16:$O$9929,10,FALSE)</f>
        <v>N</v>
      </c>
      <c r="R2465" s="4" t="str">
        <f>VLOOKUP($B2465,'D7 - NDB Impacted SPRF''s'!$E$16:$O$9929,11,FALSE)</f>
        <v>N</v>
      </c>
      <c r="S2465" s="8"/>
      <c r="T2465" s="310"/>
      <c r="U2465" s="310"/>
      <c r="V2465" s="4"/>
      <c r="W2465" s="4"/>
      <c r="X2465" s="4"/>
      <c r="Y2465" s="4"/>
      <c r="Z2465" s="4"/>
      <c r="AA2465" s="4"/>
      <c r="AB2465" s="380" t="str">
        <f>VLOOKUP($B2465,'D7 - NDB Impacted SPRF''s'!$E$16:$O$9929,4,FALSE)</f>
        <v>Cancelled</v>
      </c>
      <c r="AC2465" s="380" t="str">
        <f>VLOOKUP($B2465,'D7 - NDB Impacted SPRF''s'!$E$16:$O$9929,3,FALSE)</f>
        <v>UnitedHealthcare Employer &amp; Individual</v>
      </c>
      <c r="AD2465" s="380" t="str">
        <f>VLOOKUP($B2465,'D7 - NDB Impacted SPRF''s'!$E$16:$O$9929,5,FALSE)</f>
        <v>Operations Group</v>
      </c>
      <c r="AE2465" s="380" t="str">
        <f>VLOOKUP($B2465,'D7 - NDB Impacted SPRF''s'!$E$16:$O$9929,7,FALSE)</f>
        <v>James Bogdan</v>
      </c>
      <c r="AF2465" s="380" t="str">
        <f>VLOOKUP($B2465,'D7 - NDB Impacted SPRF''s'!$E$16:$O$9929,6,FALSE)</f>
        <v>Jennifer Steffens</v>
      </c>
      <c r="AG2465" s="282"/>
      <c r="AH2465" s="311" t="e">
        <f>INDEX('D5 - Gatekeeper - Projects'!$A$4:$AF$1010,$AM2465, 17)</f>
        <v>#N/A</v>
      </c>
      <c r="AI2465" s="8"/>
      <c r="AJ2465" s="57"/>
      <c r="AK2465" s="105"/>
      <c r="AM2465" s="6" t="e">
        <f>MATCH(D2465,'D5 - Gatekeeper - Projects'!$C$4:$C$1010,0)</f>
        <v>#N/A</v>
      </c>
      <c r="AN2465" s="6" t="b">
        <f t="shared" si="260"/>
        <v>1</v>
      </c>
      <c r="AO2465" s="6" t="str">
        <f t="shared" si="261"/>
        <v>OK</v>
      </c>
      <c r="AQ2465" s="6" t="e">
        <f>MATCH($D2465,'D4 - Provider Council Unsched'!$C$11:$C$234,0)</f>
        <v>#N/A</v>
      </c>
      <c r="AR2465" s="6" t="b">
        <f t="shared" si="262"/>
        <v>1</v>
      </c>
      <c r="AS2465" s="6" t="str">
        <f t="shared" si="259"/>
        <v>OK</v>
      </c>
      <c r="AU2465" s="202"/>
      <c r="AV2465" s="262"/>
      <c r="AW2465" s="274"/>
    </row>
    <row r="2466" spans="1:49" s="13" customFormat="1" ht="33.75" x14ac:dyDescent="0.2">
      <c r="A2466" s="14">
        <v>2442</v>
      </c>
      <c r="B2466" s="14">
        <v>400003768</v>
      </c>
      <c r="C2466" s="8" t="s">
        <v>3793</v>
      </c>
      <c r="D2466" s="4" t="str">
        <f t="shared" si="263"/>
        <v>400003768U</v>
      </c>
      <c r="E2466" s="309" t="str">
        <f>VLOOKUP($B2466,'D7 - NDB Impacted SPRF''s'!$E$6:$O$9929,2,FALSE)</f>
        <v xml:space="preserve">APM Phase One; Lab Services Online  </v>
      </c>
      <c r="F2466" s="8" t="s">
        <v>1067</v>
      </c>
      <c r="G2466" s="8" t="s">
        <v>4758</v>
      </c>
      <c r="H2466" s="8" t="s">
        <v>2870</v>
      </c>
      <c r="I2466" s="20"/>
      <c r="J2466" s="8"/>
      <c r="K2466" s="182"/>
      <c r="L2466" s="8" t="s">
        <v>6164</v>
      </c>
      <c r="M2466" s="8" t="s">
        <v>2814</v>
      </c>
      <c r="N2466" s="367"/>
      <c r="O2466" s="8"/>
      <c r="P2466" s="4" t="str">
        <f>VLOOKUP($B2466,'D7 - NDB Impacted SPRF''s'!$E$16:$O$9929,9,FALSE)</f>
        <v>N</v>
      </c>
      <c r="Q2466" s="4" t="str">
        <f>VLOOKUP($B2466,'D7 - NDB Impacted SPRF''s'!$E$16:$O$9929,10,FALSE)</f>
        <v>N</v>
      </c>
      <c r="R2466" s="4" t="str">
        <f>VLOOKUP($B2466,'D7 - NDB Impacted SPRF''s'!$E$16:$O$9929,11,FALSE)</f>
        <v>N</v>
      </c>
      <c r="S2466" s="8"/>
      <c r="T2466" s="310"/>
      <c r="U2466" s="310"/>
      <c r="V2466" s="4"/>
      <c r="W2466" s="4"/>
      <c r="X2466" s="4"/>
      <c r="Y2466" s="4"/>
      <c r="Z2466" s="4"/>
      <c r="AA2466" s="4"/>
      <c r="AB2466" s="380" t="str">
        <f>VLOOKUP($B2466,'D7 - NDB Impacted SPRF''s'!$E$16:$O$9929,4,FALSE)</f>
        <v>Cancelled</v>
      </c>
      <c r="AC2466" s="380" t="str">
        <f>VLOOKUP($B2466,'D7 - NDB Impacted SPRF''s'!$E$16:$O$9929,3,FALSE)</f>
        <v>UnitedHealthcare Employer &amp; Individual</v>
      </c>
      <c r="AD2466" s="380" t="str">
        <f>VLOOKUP($B2466,'D7 - NDB Impacted SPRF''s'!$E$16:$O$9929,5,FALSE)</f>
        <v>Operations Group</v>
      </c>
      <c r="AE2466" s="380" t="str">
        <f>VLOOKUP($B2466,'D7 - NDB Impacted SPRF''s'!$E$16:$O$9929,7,FALSE)</f>
        <v>James Bogdan</v>
      </c>
      <c r="AF2466" s="380" t="str">
        <f>VLOOKUP($B2466,'D7 - NDB Impacted SPRF''s'!$E$16:$O$9929,6,FALSE)</f>
        <v>Jennifer Steffens</v>
      </c>
      <c r="AG2466" s="282"/>
      <c r="AH2466" s="311" t="e">
        <f>INDEX('D5 - Gatekeeper - Projects'!$A$4:$AF$1010,$AM2466, 17)</f>
        <v>#N/A</v>
      </c>
      <c r="AI2466" s="8"/>
      <c r="AJ2466" s="57"/>
      <c r="AK2466" s="105"/>
      <c r="AM2466" s="6" t="e">
        <f>MATCH(D2466,'D5 - Gatekeeper - Projects'!$C$4:$C$1010,0)</f>
        <v>#N/A</v>
      </c>
      <c r="AN2466" s="6" t="b">
        <f t="shared" si="260"/>
        <v>1</v>
      </c>
      <c r="AO2466" s="6" t="str">
        <f t="shared" si="261"/>
        <v>OK</v>
      </c>
      <c r="AQ2466" s="6" t="e">
        <f>MATCH($D2466,'D4 - Provider Council Unsched'!$C$11:$C$234,0)</f>
        <v>#N/A</v>
      </c>
      <c r="AR2466" s="6" t="b">
        <f t="shared" si="262"/>
        <v>1</v>
      </c>
      <c r="AS2466" s="6" t="str">
        <f t="shared" si="259"/>
        <v>OK</v>
      </c>
      <c r="AU2466" s="202"/>
      <c r="AV2466" s="262"/>
      <c r="AW2466" s="274"/>
    </row>
    <row r="2467" spans="1:49" s="13" customFormat="1" ht="33.75" x14ac:dyDescent="0.2">
      <c r="A2467" s="14">
        <v>2443</v>
      </c>
      <c r="B2467" s="14">
        <v>400003873</v>
      </c>
      <c r="C2467" s="8" t="s">
        <v>5197</v>
      </c>
      <c r="D2467" s="4" t="str">
        <f t="shared" si="263"/>
        <v>400003873R1</v>
      </c>
      <c r="E2467" s="309" t="str">
        <f>VLOOKUP($B2467,'D7 - NDB Impacted SPRF''s'!$E$6:$O$9929,2,FALSE)</f>
        <v>Allow Cancel of Manually Loaded Contracts</v>
      </c>
      <c r="F2467" s="8" t="s">
        <v>4695</v>
      </c>
      <c r="G2467" s="8" t="s">
        <v>4758</v>
      </c>
      <c r="H2467" s="8" t="s">
        <v>2870</v>
      </c>
      <c r="I2467" s="20"/>
      <c r="J2467" s="8"/>
      <c r="K2467" s="182"/>
      <c r="L2467" s="8" t="s">
        <v>6164</v>
      </c>
      <c r="M2467" s="8" t="s">
        <v>2814</v>
      </c>
      <c r="N2467" s="367"/>
      <c r="O2467" s="8"/>
      <c r="P2467" s="4" t="str">
        <f>VLOOKUP($B2467,'D7 - NDB Impacted SPRF''s'!$E$16:$O$9929,9,FALSE)</f>
        <v>N</v>
      </c>
      <c r="Q2467" s="4" t="str">
        <f>VLOOKUP($B2467,'D7 - NDB Impacted SPRF''s'!$E$16:$O$9929,10,FALSE)</f>
        <v>N</v>
      </c>
      <c r="R2467" s="4" t="str">
        <f>VLOOKUP($B2467,'D7 - NDB Impacted SPRF''s'!$E$16:$O$9929,11,FALSE)</f>
        <v>N</v>
      </c>
      <c r="S2467" s="8"/>
      <c r="T2467" s="310"/>
      <c r="U2467" s="310"/>
      <c r="V2467" s="4"/>
      <c r="W2467" s="4"/>
      <c r="X2467" s="4"/>
      <c r="Y2467" s="4"/>
      <c r="Z2467" s="4"/>
      <c r="AA2467" s="4"/>
      <c r="AB2467" s="380" t="str">
        <f>VLOOKUP($B2467,'D7 - NDB Impacted SPRF''s'!$E$16:$O$9929,4,FALSE)</f>
        <v>Cancelled</v>
      </c>
      <c r="AC2467" s="380" t="str">
        <f>VLOOKUP($B2467,'D7 - NDB Impacted SPRF''s'!$E$16:$O$9929,3,FALSE)</f>
        <v>UnitedHealthcare Employer &amp; Individual</v>
      </c>
      <c r="AD2467" s="380" t="str">
        <f>VLOOKUP($B2467,'D7 - NDB Impacted SPRF''s'!$E$16:$O$9929,5,FALSE)</f>
        <v>Operations Group</v>
      </c>
      <c r="AE2467" s="380" t="str">
        <f>VLOOKUP($B2467,'D7 - NDB Impacted SPRF''s'!$E$16:$O$9929,7,FALSE)</f>
        <v>Peter Bompane</v>
      </c>
      <c r="AF2467" s="380" t="str">
        <f>VLOOKUP($B2467,'D7 - NDB Impacted SPRF''s'!$E$16:$O$9929,6,FALSE)</f>
        <v>ELIZABETH Young</v>
      </c>
      <c r="AG2467" s="282"/>
      <c r="AH2467" s="311" t="e">
        <f>INDEX('D5 - Gatekeeper - Projects'!$A$4:$AF$1010,$AM2467, 17)</f>
        <v>#N/A</v>
      </c>
      <c r="AI2467" s="8"/>
      <c r="AJ2467" s="57"/>
      <c r="AK2467" s="105"/>
      <c r="AM2467" s="6" t="e">
        <f>MATCH(D2467,'D5 - Gatekeeper - Projects'!$C$4:$C$1010,0)</f>
        <v>#N/A</v>
      </c>
      <c r="AN2467" s="6" t="b">
        <f t="shared" si="260"/>
        <v>1</v>
      </c>
      <c r="AO2467" s="6" t="str">
        <f t="shared" si="261"/>
        <v>OK</v>
      </c>
      <c r="AQ2467" s="6" t="e">
        <f>MATCH($D2467,'D4 - Provider Council Unsched'!$C$11:$C$234,0)</f>
        <v>#N/A</v>
      </c>
      <c r="AR2467" s="6" t="b">
        <f t="shared" si="262"/>
        <v>1</v>
      </c>
      <c r="AS2467" s="6" t="str">
        <f t="shared" si="259"/>
        <v>OK</v>
      </c>
      <c r="AU2467" s="202"/>
      <c r="AV2467" s="262"/>
      <c r="AW2467" s="274"/>
    </row>
    <row r="2468" spans="1:49" s="13" customFormat="1" ht="33.75" x14ac:dyDescent="0.2">
      <c r="A2468" s="14">
        <v>2444</v>
      </c>
      <c r="B2468" s="14">
        <v>400003876</v>
      </c>
      <c r="C2468" s="8" t="s">
        <v>5197</v>
      </c>
      <c r="D2468" s="4" t="str">
        <f t="shared" si="263"/>
        <v>400003876R1</v>
      </c>
      <c r="E2468" s="309" t="str">
        <f>VLOOKUP($B2468,'D7 - NDB Impacted SPRF''s'!$E$6:$O$9929,2,FALSE)</f>
        <v>Update Mass Maintenance to Allow diCarta Values</v>
      </c>
      <c r="F2468" s="8" t="s">
        <v>4695</v>
      </c>
      <c r="G2468" s="8" t="s">
        <v>4758</v>
      </c>
      <c r="H2468" s="8" t="s">
        <v>2870</v>
      </c>
      <c r="I2468" s="20"/>
      <c r="J2468" s="8"/>
      <c r="K2468" s="182"/>
      <c r="L2468" s="8" t="s">
        <v>6164</v>
      </c>
      <c r="M2468" s="8" t="s">
        <v>2814</v>
      </c>
      <c r="N2468" s="367"/>
      <c r="O2468" s="8"/>
      <c r="P2468" s="4" t="str">
        <f>VLOOKUP($B2468,'D7 - NDB Impacted SPRF''s'!$E$16:$O$9929,9,FALSE)</f>
        <v>N</v>
      </c>
      <c r="Q2468" s="4" t="str">
        <f>VLOOKUP($B2468,'D7 - NDB Impacted SPRF''s'!$E$16:$O$9929,10,FALSE)</f>
        <v>N</v>
      </c>
      <c r="R2468" s="4" t="str">
        <f>VLOOKUP($B2468,'D7 - NDB Impacted SPRF''s'!$E$16:$O$9929,11,FALSE)</f>
        <v>N</v>
      </c>
      <c r="S2468" s="8"/>
      <c r="T2468" s="310"/>
      <c r="U2468" s="310"/>
      <c r="V2468" s="4"/>
      <c r="W2468" s="4"/>
      <c r="X2468" s="4"/>
      <c r="Y2468" s="4"/>
      <c r="Z2468" s="4"/>
      <c r="AA2468" s="4"/>
      <c r="AB2468" s="380" t="str">
        <f>VLOOKUP($B2468,'D7 - NDB Impacted SPRF''s'!$E$16:$O$9929,4,FALSE)</f>
        <v>Cancelled</v>
      </c>
      <c r="AC2468" s="380" t="str">
        <f>VLOOKUP($B2468,'D7 - NDB Impacted SPRF''s'!$E$16:$O$9929,3,FALSE)</f>
        <v>UnitedHealthcare Employer &amp; Individual</v>
      </c>
      <c r="AD2468" s="380" t="str">
        <f>VLOOKUP($B2468,'D7 - NDB Impacted SPRF''s'!$E$16:$O$9929,5,FALSE)</f>
        <v>Operations Group</v>
      </c>
      <c r="AE2468" s="380" t="str">
        <f>VLOOKUP($B2468,'D7 - NDB Impacted SPRF''s'!$E$16:$O$9929,7,FALSE)</f>
        <v>Peter Bompane</v>
      </c>
      <c r="AF2468" s="380" t="str">
        <f>VLOOKUP($B2468,'D7 - NDB Impacted SPRF''s'!$E$16:$O$9929,6,FALSE)</f>
        <v>ELIZABETH Young</v>
      </c>
      <c r="AG2468" s="282"/>
      <c r="AH2468" s="311" t="e">
        <f>INDEX('D5 - Gatekeeper - Projects'!$A$4:$AF$1010,$AM2468, 17)</f>
        <v>#N/A</v>
      </c>
      <c r="AI2468" s="8"/>
      <c r="AJ2468" s="57"/>
      <c r="AK2468" s="105"/>
      <c r="AM2468" s="6" t="e">
        <f>MATCH(D2468,'D5 - Gatekeeper - Projects'!$C$4:$C$1010,0)</f>
        <v>#N/A</v>
      </c>
      <c r="AN2468" s="6" t="b">
        <f t="shared" si="260"/>
        <v>1</v>
      </c>
      <c r="AO2468" s="6" t="str">
        <f t="shared" si="261"/>
        <v>OK</v>
      </c>
      <c r="AQ2468" s="6" t="e">
        <f>MATCH($D2468,'D4 - Provider Council Unsched'!$C$11:$C$234,0)</f>
        <v>#N/A</v>
      </c>
      <c r="AR2468" s="6" t="b">
        <f t="shared" si="262"/>
        <v>1</v>
      </c>
      <c r="AS2468" s="6" t="str">
        <f t="shared" si="259"/>
        <v>OK</v>
      </c>
      <c r="AU2468" s="202"/>
      <c r="AV2468" s="262"/>
      <c r="AW2468" s="274"/>
    </row>
    <row r="2469" spans="1:49" s="13" customFormat="1" ht="22.5" x14ac:dyDescent="0.2">
      <c r="A2469" s="14">
        <v>2445</v>
      </c>
      <c r="B2469" s="14">
        <v>400003918</v>
      </c>
      <c r="C2469" s="8" t="s">
        <v>5197</v>
      </c>
      <c r="D2469" s="4" t="str">
        <f t="shared" si="263"/>
        <v>400003918R1</v>
      </c>
      <c r="E2469" s="309" t="str">
        <f>VLOOKUP($B2469,'D7 - NDB Impacted SPRF''s'!$E$6:$O$9929,2,FALSE)</f>
        <v>HIPAA Security-U3,6- UDP Enhancement</v>
      </c>
      <c r="F2469" s="8"/>
      <c r="G2469" s="8" t="s">
        <v>4758</v>
      </c>
      <c r="H2469" s="8" t="s">
        <v>2870</v>
      </c>
      <c r="I2469" s="20"/>
      <c r="J2469" s="8"/>
      <c r="K2469" s="182"/>
      <c r="L2469" s="8" t="s">
        <v>6164</v>
      </c>
      <c r="M2469" s="8" t="s">
        <v>2814</v>
      </c>
      <c r="N2469" s="367"/>
      <c r="O2469" s="8"/>
      <c r="P2469" s="4" t="str">
        <f>VLOOKUP($B2469,'D7 - NDB Impacted SPRF''s'!$E$16:$O$9929,9,FALSE)</f>
        <v>N</v>
      </c>
      <c r="Q2469" s="4" t="str">
        <f>VLOOKUP($B2469,'D7 - NDB Impacted SPRF''s'!$E$16:$O$9929,10,FALSE)</f>
        <v>N</v>
      </c>
      <c r="R2469" s="4" t="str">
        <f>VLOOKUP($B2469,'D7 - NDB Impacted SPRF''s'!$E$16:$O$9929,11,FALSE)</f>
        <v>N</v>
      </c>
      <c r="S2469" s="8"/>
      <c r="T2469" s="310"/>
      <c r="U2469" s="310"/>
      <c r="V2469" s="4"/>
      <c r="W2469" s="4"/>
      <c r="X2469" s="4"/>
      <c r="Y2469" s="4"/>
      <c r="Z2469" s="4"/>
      <c r="AA2469" s="4"/>
      <c r="AB2469" s="380" t="str">
        <f>VLOOKUP($B2469,'D7 - NDB Impacted SPRF''s'!$E$16:$O$9929,4,FALSE)</f>
        <v>Cancelled</v>
      </c>
      <c r="AC2469" s="380" t="str">
        <f>VLOOKUP($B2469,'D7 - NDB Impacted SPRF''s'!$E$16:$O$9929,3,FALSE)</f>
        <v>Uniprise</v>
      </c>
      <c r="AD2469" s="380" t="str">
        <f>VLOOKUP($B2469,'D7 - NDB Impacted SPRF''s'!$E$16:$O$9929,5,FALSE)</f>
        <v>Legal/Compliance - Capital Projects</v>
      </c>
      <c r="AE2469" s="380" t="str">
        <f>VLOOKUP($B2469,'D7 - NDB Impacted SPRF''s'!$E$16:$O$9929,7,FALSE)</f>
        <v>Lisa Stimson</v>
      </c>
      <c r="AF2469" s="380" t="str">
        <f>VLOOKUP($B2469,'D7 - NDB Impacted SPRF''s'!$E$16:$O$9929,6,FALSE)</f>
        <v>Pete Anderson</v>
      </c>
      <c r="AG2469" s="282"/>
      <c r="AH2469" s="311" t="e">
        <f>INDEX('D5 - Gatekeeper - Projects'!$A$4:$AF$1010,$AM2469, 17)</f>
        <v>#N/A</v>
      </c>
      <c r="AI2469" s="8"/>
      <c r="AJ2469" s="57"/>
      <c r="AK2469" s="105"/>
      <c r="AM2469" s="6" t="e">
        <f>MATCH(D2469,'D5 - Gatekeeper - Projects'!$C$4:$C$1010,0)</f>
        <v>#N/A</v>
      </c>
      <c r="AN2469" s="6" t="b">
        <f t="shared" si="260"/>
        <v>1</v>
      </c>
      <c r="AO2469" s="6" t="str">
        <f t="shared" si="261"/>
        <v>OK</v>
      </c>
      <c r="AQ2469" s="6" t="e">
        <f>MATCH($D2469,'D4 - Provider Council Unsched'!$C$11:$C$234,0)</f>
        <v>#N/A</v>
      </c>
      <c r="AR2469" s="6" t="b">
        <f t="shared" si="262"/>
        <v>1</v>
      </c>
      <c r="AS2469" s="6" t="str">
        <f t="shared" si="259"/>
        <v>OK</v>
      </c>
      <c r="AU2469" s="202"/>
      <c r="AV2469" s="262"/>
      <c r="AW2469" s="274"/>
    </row>
    <row r="2470" spans="1:49" s="13" customFormat="1" ht="33.75" x14ac:dyDescent="0.2">
      <c r="A2470" s="14">
        <v>2446</v>
      </c>
      <c r="B2470" s="14">
        <v>400004049</v>
      </c>
      <c r="C2470" s="8" t="s">
        <v>5197</v>
      </c>
      <c r="D2470" s="4" t="str">
        <f t="shared" si="263"/>
        <v>400004049R1</v>
      </c>
      <c r="E2470" s="309" t="str">
        <f>VLOOKUP($B2470,'D7 - NDB Impacted SPRF''s'!$E$6:$O$9929,2,FALSE)</f>
        <v xml:space="preserve">New Provider Wkly Mailing - Change to ret address </v>
      </c>
      <c r="F2470" s="8"/>
      <c r="G2470" s="8" t="s">
        <v>4758</v>
      </c>
      <c r="H2470" s="8" t="s">
        <v>2870</v>
      </c>
      <c r="I2470" s="20"/>
      <c r="J2470" s="8"/>
      <c r="K2470" s="182"/>
      <c r="L2470" s="8" t="s">
        <v>6164</v>
      </c>
      <c r="M2470" s="8" t="s">
        <v>2814</v>
      </c>
      <c r="N2470" s="367"/>
      <c r="O2470" s="8"/>
      <c r="P2470" s="4" t="str">
        <f>VLOOKUP($B2470,'D7 - NDB Impacted SPRF''s'!$E$16:$O$9929,9,FALSE)</f>
        <v>N</v>
      </c>
      <c r="Q2470" s="4" t="str">
        <f>VLOOKUP($B2470,'D7 - NDB Impacted SPRF''s'!$E$16:$O$9929,10,FALSE)</f>
        <v>N</v>
      </c>
      <c r="R2470" s="4" t="str">
        <f>VLOOKUP($B2470,'D7 - NDB Impacted SPRF''s'!$E$16:$O$9929,11,FALSE)</f>
        <v>N</v>
      </c>
      <c r="S2470" s="8"/>
      <c r="T2470" s="310"/>
      <c r="U2470" s="310"/>
      <c r="V2470" s="4"/>
      <c r="W2470" s="4"/>
      <c r="X2470" s="4"/>
      <c r="Y2470" s="4"/>
      <c r="Z2470" s="4"/>
      <c r="AA2470" s="4"/>
      <c r="AB2470" s="380" t="str">
        <f>VLOOKUP($B2470,'D7 - NDB Impacted SPRF''s'!$E$16:$O$9929,4,FALSE)</f>
        <v>Cancelled</v>
      </c>
      <c r="AC2470" s="380" t="str">
        <f>VLOOKUP($B2470,'D7 - NDB Impacted SPRF''s'!$E$16:$O$9929,3,FALSE)</f>
        <v>UnitedHealthcare Employer &amp; Individual</v>
      </c>
      <c r="AD2470" s="380" t="str">
        <f>VLOOKUP($B2470,'D7 - NDB Impacted SPRF''s'!$E$16:$O$9929,5,FALSE)</f>
        <v>Operations Group</v>
      </c>
      <c r="AE2470" s="380" t="str">
        <f>VLOOKUP($B2470,'D7 - NDB Impacted SPRF''s'!$E$16:$O$9929,7,FALSE)</f>
        <v>Steven Morelli</v>
      </c>
      <c r="AF2470" s="380" t="str">
        <f>VLOOKUP($B2470,'D7 - NDB Impacted SPRF''s'!$E$16:$O$9929,6,FALSE)</f>
        <v>Laura Gilchrist</v>
      </c>
      <c r="AG2470" s="282"/>
      <c r="AH2470" s="311" t="e">
        <f>INDEX('D5 - Gatekeeper - Projects'!$A$4:$AF$1010,$AM2470, 17)</f>
        <v>#N/A</v>
      </c>
      <c r="AI2470" s="8"/>
      <c r="AJ2470" s="57"/>
      <c r="AK2470" s="105"/>
      <c r="AM2470" s="6" t="e">
        <f>MATCH(D2470,'D5 - Gatekeeper - Projects'!$C$4:$C$1010,0)</f>
        <v>#N/A</v>
      </c>
      <c r="AN2470" s="6" t="b">
        <f t="shared" si="260"/>
        <v>1</v>
      </c>
      <c r="AO2470" s="6" t="str">
        <f t="shared" si="261"/>
        <v>OK</v>
      </c>
      <c r="AQ2470" s="6" t="e">
        <f>MATCH($D2470,'D4 - Provider Council Unsched'!$C$11:$C$234,0)</f>
        <v>#N/A</v>
      </c>
      <c r="AR2470" s="6" t="b">
        <f t="shared" si="262"/>
        <v>1</v>
      </c>
      <c r="AS2470" s="6" t="str">
        <f t="shared" si="259"/>
        <v>OK</v>
      </c>
      <c r="AU2470" s="202"/>
      <c r="AV2470" s="262"/>
      <c r="AW2470" s="274"/>
    </row>
    <row r="2471" spans="1:49" s="13" customFormat="1" ht="22.5" x14ac:dyDescent="0.2">
      <c r="A2471" s="14">
        <v>2447</v>
      </c>
      <c r="B2471" s="14">
        <v>400004055</v>
      </c>
      <c r="C2471" s="8" t="s">
        <v>5197</v>
      </c>
      <c r="D2471" s="4" t="str">
        <f t="shared" si="263"/>
        <v>400004055R1</v>
      </c>
      <c r="E2471" s="309" t="str">
        <f>VLOOKUP($B2471,'D7 - NDB Impacted SPRF''s'!$E$6:$O$9929,2,FALSE)</f>
        <v xml:space="preserve">HIPAA Security-U4-RACF Entitlement Review </v>
      </c>
      <c r="F2471" s="8" t="s">
        <v>5589</v>
      </c>
      <c r="G2471" s="8" t="s">
        <v>4758</v>
      </c>
      <c r="H2471" s="8" t="s">
        <v>2870</v>
      </c>
      <c r="I2471" s="20"/>
      <c r="J2471" s="8"/>
      <c r="K2471" s="182"/>
      <c r="L2471" s="8" t="s">
        <v>6164</v>
      </c>
      <c r="M2471" s="8" t="s">
        <v>2814</v>
      </c>
      <c r="N2471" s="367"/>
      <c r="O2471" s="8"/>
      <c r="P2471" s="4" t="str">
        <f>VLOOKUP($B2471,'D7 - NDB Impacted SPRF''s'!$E$16:$O$9929,9,FALSE)</f>
        <v>Y</v>
      </c>
      <c r="Q2471" s="4" t="str">
        <f>VLOOKUP($B2471,'D7 - NDB Impacted SPRF''s'!$E$16:$O$9929,10,FALSE)</f>
        <v>N</v>
      </c>
      <c r="R2471" s="4" t="str">
        <f>VLOOKUP($B2471,'D7 - NDB Impacted SPRF''s'!$E$16:$O$9929,11,FALSE)</f>
        <v>N</v>
      </c>
      <c r="S2471" s="8"/>
      <c r="T2471" s="310"/>
      <c r="U2471" s="310"/>
      <c r="V2471" s="4"/>
      <c r="W2471" s="4"/>
      <c r="X2471" s="4"/>
      <c r="Y2471" s="4"/>
      <c r="Z2471" s="4"/>
      <c r="AA2471" s="4"/>
      <c r="AB2471" s="380" t="str">
        <f>VLOOKUP($B2471,'D7 - NDB Impacted SPRF''s'!$E$16:$O$9929,4,FALSE)</f>
        <v>Cancelled</v>
      </c>
      <c r="AC2471" s="380" t="str">
        <f>VLOOKUP($B2471,'D7 - NDB Impacted SPRF''s'!$E$16:$O$9929,3,FALSE)</f>
        <v>Uniprise</v>
      </c>
      <c r="AD2471" s="380" t="str">
        <f>VLOOKUP($B2471,'D7 - NDB Impacted SPRF''s'!$E$16:$O$9929,5,FALSE)</f>
        <v>Legal/Compliance - Capital Projects</v>
      </c>
      <c r="AE2471" s="380" t="str">
        <f>VLOOKUP($B2471,'D7 - NDB Impacted SPRF''s'!$E$16:$O$9929,7,FALSE)</f>
        <v>Lisa Stimson</v>
      </c>
      <c r="AF2471" s="380" t="str">
        <f>VLOOKUP($B2471,'D7 - NDB Impacted SPRF''s'!$E$16:$O$9929,6,FALSE)</f>
        <v>BRYAN SHEEHAN</v>
      </c>
      <c r="AG2471" s="282"/>
      <c r="AH2471" s="311" t="e">
        <f>INDEX('D5 - Gatekeeper - Projects'!$A$4:$AF$1010,$AM2471, 17)</f>
        <v>#N/A</v>
      </c>
      <c r="AI2471" s="8"/>
      <c r="AJ2471" s="57"/>
      <c r="AK2471" s="105"/>
      <c r="AM2471" s="6" t="e">
        <f>MATCH(D2471,'D5 - Gatekeeper - Projects'!$C$4:$C$1010,0)</f>
        <v>#N/A</v>
      </c>
      <c r="AN2471" s="6" t="b">
        <f t="shared" si="260"/>
        <v>1</v>
      </c>
      <c r="AO2471" s="6" t="str">
        <f t="shared" si="261"/>
        <v>OK</v>
      </c>
      <c r="AQ2471" s="6" t="e">
        <f>MATCH($D2471,'D4 - Provider Council Unsched'!$C$11:$C$234,0)</f>
        <v>#N/A</v>
      </c>
      <c r="AR2471" s="6" t="b">
        <f t="shared" si="262"/>
        <v>1</v>
      </c>
      <c r="AS2471" s="6" t="str">
        <f t="shared" si="259"/>
        <v>OK</v>
      </c>
      <c r="AU2471" s="202"/>
      <c r="AV2471" s="262"/>
      <c r="AW2471" s="274"/>
    </row>
    <row r="2472" spans="1:49" s="13" customFormat="1" ht="22.5" x14ac:dyDescent="0.2">
      <c r="A2472" s="14">
        <v>2448</v>
      </c>
      <c r="B2472" s="14">
        <v>400004056</v>
      </c>
      <c r="C2472" s="8" t="s">
        <v>5197</v>
      </c>
      <c r="D2472" s="4" t="str">
        <f t="shared" si="263"/>
        <v>400004056R1</v>
      </c>
      <c r="E2472" s="309" t="str">
        <f>VLOOKUP($B2472,'D7 - NDB Impacted SPRF''s'!$E$6:$O$9929,2,FALSE)</f>
        <v>HIPAA Security-U1- Transactional Services Security</v>
      </c>
      <c r="F2472" s="8" t="s">
        <v>5589</v>
      </c>
      <c r="G2472" s="8" t="s">
        <v>4758</v>
      </c>
      <c r="H2472" s="8" t="s">
        <v>2870</v>
      </c>
      <c r="I2472" s="20"/>
      <c r="J2472" s="8"/>
      <c r="K2472" s="182"/>
      <c r="L2472" s="8" t="s">
        <v>6164</v>
      </c>
      <c r="M2472" s="8" t="s">
        <v>2814</v>
      </c>
      <c r="N2472" s="367"/>
      <c r="O2472" s="8"/>
      <c r="P2472" s="4" t="str">
        <f>VLOOKUP($B2472,'D7 - NDB Impacted SPRF''s'!$E$16:$O$9929,9,FALSE)</f>
        <v>Y</v>
      </c>
      <c r="Q2472" s="4" t="str">
        <f>VLOOKUP($B2472,'D7 - NDB Impacted SPRF''s'!$E$16:$O$9929,10,FALSE)</f>
        <v>N</v>
      </c>
      <c r="R2472" s="4" t="str">
        <f>VLOOKUP($B2472,'D7 - NDB Impacted SPRF''s'!$E$16:$O$9929,11,FALSE)</f>
        <v>N</v>
      </c>
      <c r="S2472" s="8"/>
      <c r="T2472" s="310"/>
      <c r="U2472" s="310"/>
      <c r="V2472" s="4"/>
      <c r="W2472" s="4"/>
      <c r="X2472" s="4"/>
      <c r="Y2472" s="4"/>
      <c r="Z2472" s="4"/>
      <c r="AA2472" s="4"/>
      <c r="AB2472" s="380" t="str">
        <f>VLOOKUP($B2472,'D7 - NDB Impacted SPRF''s'!$E$16:$O$9929,4,FALSE)</f>
        <v>Cancelled</v>
      </c>
      <c r="AC2472" s="380" t="str">
        <f>VLOOKUP($B2472,'D7 - NDB Impacted SPRF''s'!$E$16:$O$9929,3,FALSE)</f>
        <v>Uniprise</v>
      </c>
      <c r="AD2472" s="380" t="str">
        <f>VLOOKUP($B2472,'D7 - NDB Impacted SPRF''s'!$E$16:$O$9929,5,FALSE)</f>
        <v>Legal/Compliance - Capital Projects</v>
      </c>
      <c r="AE2472" s="380" t="str">
        <f>VLOOKUP($B2472,'D7 - NDB Impacted SPRF''s'!$E$16:$O$9929,7,FALSE)</f>
        <v>Lisa Stimson</v>
      </c>
      <c r="AF2472" s="380" t="str">
        <f>VLOOKUP($B2472,'D7 - NDB Impacted SPRF''s'!$E$16:$O$9929,6,FALSE)</f>
        <v>BRYAN SHEEHAN</v>
      </c>
      <c r="AG2472" s="282"/>
      <c r="AH2472" s="311" t="e">
        <f>INDEX('D5 - Gatekeeper - Projects'!$A$4:$AF$1010,$AM2472, 17)</f>
        <v>#N/A</v>
      </c>
      <c r="AI2472" s="8"/>
      <c r="AJ2472" s="57"/>
      <c r="AK2472" s="105"/>
      <c r="AM2472" s="6" t="e">
        <f>MATCH(D2472,'D5 - Gatekeeper - Projects'!$C$4:$C$1010,0)</f>
        <v>#N/A</v>
      </c>
      <c r="AN2472" s="6" t="b">
        <f t="shared" si="260"/>
        <v>1</v>
      </c>
      <c r="AO2472" s="6" t="str">
        <f t="shared" si="261"/>
        <v>OK</v>
      </c>
      <c r="AQ2472" s="6" t="e">
        <f>MATCH($D2472,'D4 - Provider Council Unsched'!$C$11:$C$234,0)</f>
        <v>#N/A</v>
      </c>
      <c r="AR2472" s="6" t="b">
        <f t="shared" si="262"/>
        <v>1</v>
      </c>
      <c r="AS2472" s="6" t="str">
        <f t="shared" si="259"/>
        <v>OK</v>
      </c>
      <c r="AU2472" s="202"/>
      <c r="AV2472" s="262"/>
      <c r="AW2472" s="274"/>
    </row>
    <row r="2473" spans="1:49" s="13" customFormat="1" ht="22.5" x14ac:dyDescent="0.2">
      <c r="A2473" s="14">
        <v>2449</v>
      </c>
      <c r="B2473" s="14">
        <v>400004112</v>
      </c>
      <c r="C2473" s="8" t="s">
        <v>5197</v>
      </c>
      <c r="D2473" s="4" t="str">
        <f t="shared" si="263"/>
        <v>400004112R1</v>
      </c>
      <c r="E2473" s="309" t="str">
        <f>VLOOKUP($B2473,'D7 - NDB Impacted SPRF''s'!$E$6:$O$9929,2,FALSE)</f>
        <v>PHP MI - WAN/LAN Infrastructure Migration</v>
      </c>
      <c r="F2473" s="8" t="s">
        <v>5228</v>
      </c>
      <c r="G2473" s="8" t="s">
        <v>4758</v>
      </c>
      <c r="H2473" s="8" t="s">
        <v>2870</v>
      </c>
      <c r="I2473" s="20"/>
      <c r="J2473" s="8"/>
      <c r="K2473" s="182"/>
      <c r="L2473" s="8" t="s">
        <v>6164</v>
      </c>
      <c r="M2473" s="8" t="s">
        <v>2814</v>
      </c>
      <c r="N2473" s="367"/>
      <c r="O2473" s="8"/>
      <c r="P2473" s="4" t="str">
        <f>VLOOKUP($B2473,'D7 - NDB Impacted SPRF''s'!$E$16:$O$9929,9,FALSE)</f>
        <v>N</v>
      </c>
      <c r="Q2473" s="4" t="str">
        <f>VLOOKUP($B2473,'D7 - NDB Impacted SPRF''s'!$E$16:$O$9929,10,FALSE)</f>
        <v>N</v>
      </c>
      <c r="R2473" s="4" t="str">
        <f>VLOOKUP($B2473,'D7 - NDB Impacted SPRF''s'!$E$16:$O$9929,11,FALSE)</f>
        <v>N</v>
      </c>
      <c r="S2473" s="8"/>
      <c r="T2473" s="310"/>
      <c r="U2473" s="310"/>
      <c r="V2473" s="4"/>
      <c r="W2473" s="4"/>
      <c r="X2473" s="4"/>
      <c r="Y2473" s="4"/>
      <c r="Z2473" s="4"/>
      <c r="AA2473" s="4"/>
      <c r="AB2473" s="380" t="str">
        <f>VLOOKUP($B2473,'D7 - NDB Impacted SPRF''s'!$E$16:$O$9929,4,FALSE)</f>
        <v>Cancelled</v>
      </c>
      <c r="AC2473" s="380" t="str">
        <f>VLOOKUP($B2473,'D7 - NDB Impacted SPRF''s'!$E$16:$O$9929,3,FALSE)</f>
        <v>Uniprise</v>
      </c>
      <c r="AD2473" s="380" t="str">
        <f>VLOOKUP($B2473,'D7 - NDB Impacted SPRF''s'!$E$16:$O$9929,5,FALSE)</f>
        <v>DDC - Managed Plans</v>
      </c>
      <c r="AE2473" s="380" t="str">
        <f>VLOOKUP($B2473,'D7 - NDB Impacted SPRF''s'!$E$16:$O$9929,7,FALSE)</f>
        <v>Joanne Houck</v>
      </c>
      <c r="AF2473" s="380" t="str">
        <f>VLOOKUP($B2473,'D7 - NDB Impacted SPRF''s'!$E$16:$O$9929,6,FALSE)</f>
        <v>RONALD RODER</v>
      </c>
      <c r="AG2473" s="282"/>
      <c r="AH2473" s="311" t="e">
        <f>INDEX('D5 - Gatekeeper - Projects'!$A$4:$AF$1010,$AM2473, 17)</f>
        <v>#N/A</v>
      </c>
      <c r="AI2473" s="8"/>
      <c r="AJ2473" s="57"/>
      <c r="AK2473" s="105"/>
      <c r="AM2473" s="6" t="e">
        <f>MATCH(D2473,'D5 - Gatekeeper - Projects'!$C$4:$C$1010,0)</f>
        <v>#N/A</v>
      </c>
      <c r="AN2473" s="6" t="b">
        <f t="shared" si="260"/>
        <v>1</v>
      </c>
      <c r="AO2473" s="6" t="str">
        <f t="shared" si="261"/>
        <v>OK</v>
      </c>
      <c r="AQ2473" s="6" t="e">
        <f>MATCH($D2473,'D4 - Provider Council Unsched'!$C$11:$C$234,0)</f>
        <v>#N/A</v>
      </c>
      <c r="AR2473" s="6" t="b">
        <f t="shared" si="262"/>
        <v>1</v>
      </c>
      <c r="AS2473" s="6" t="str">
        <f t="shared" si="259"/>
        <v>OK</v>
      </c>
      <c r="AU2473" s="202"/>
      <c r="AV2473" s="262"/>
      <c r="AW2473" s="274"/>
    </row>
    <row r="2474" spans="1:49" s="13" customFormat="1" ht="33.75" x14ac:dyDescent="0.2">
      <c r="A2474" s="14">
        <v>2450</v>
      </c>
      <c r="B2474" s="14">
        <v>400004129</v>
      </c>
      <c r="C2474" s="8" t="s">
        <v>5197</v>
      </c>
      <c r="D2474" s="4" t="str">
        <f t="shared" si="263"/>
        <v>400004129R1</v>
      </c>
      <c r="E2474" s="309" t="str">
        <f>VLOOKUP($B2474,'D7 - NDB Impacted SPRF''s'!$E$6:$O$9929,2,FALSE)</f>
        <v>Non-par provider access to uhconline.com</v>
      </c>
      <c r="F2474" s="8" t="s">
        <v>5536</v>
      </c>
      <c r="G2474" s="8" t="s">
        <v>4758</v>
      </c>
      <c r="H2474" s="8" t="s">
        <v>2870</v>
      </c>
      <c r="I2474" s="20"/>
      <c r="J2474" s="8"/>
      <c r="K2474" s="182"/>
      <c r="L2474" s="8" t="s">
        <v>6164</v>
      </c>
      <c r="M2474" s="8" t="s">
        <v>2814</v>
      </c>
      <c r="N2474" s="367"/>
      <c r="O2474" s="8"/>
      <c r="P2474" s="4" t="str">
        <f>VLOOKUP($B2474,'D7 - NDB Impacted SPRF''s'!$E$16:$O$9929,9,FALSE)</f>
        <v>N</v>
      </c>
      <c r="Q2474" s="4" t="str">
        <f>VLOOKUP($B2474,'D7 - NDB Impacted SPRF''s'!$E$16:$O$9929,10,FALSE)</f>
        <v>N</v>
      </c>
      <c r="R2474" s="4" t="str">
        <f>VLOOKUP($B2474,'D7 - NDB Impacted SPRF''s'!$E$16:$O$9929,11,FALSE)</f>
        <v>N</v>
      </c>
      <c r="S2474" s="8"/>
      <c r="T2474" s="310"/>
      <c r="U2474" s="310"/>
      <c r="V2474" s="4"/>
      <c r="W2474" s="4"/>
      <c r="X2474" s="4"/>
      <c r="Y2474" s="4"/>
      <c r="Z2474" s="4"/>
      <c r="AA2474" s="4"/>
      <c r="AB2474" s="380" t="str">
        <f>VLOOKUP($B2474,'D7 - NDB Impacted SPRF''s'!$E$16:$O$9929,4,FALSE)</f>
        <v>Cancelled</v>
      </c>
      <c r="AC2474" s="380" t="str">
        <f>VLOOKUP($B2474,'D7 - NDB Impacted SPRF''s'!$E$16:$O$9929,3,FALSE)</f>
        <v>UnitedHealthcare Employer &amp; Individual</v>
      </c>
      <c r="AD2474" s="380" t="str">
        <f>VLOOKUP($B2474,'D7 - NDB Impacted SPRF''s'!$E$16:$O$9929,5,FALSE)</f>
        <v>Operations Group</v>
      </c>
      <c r="AE2474" s="380" t="str">
        <f>VLOOKUP($B2474,'D7 - NDB Impacted SPRF''s'!$E$16:$O$9929,7,FALSE)</f>
        <v>Derek Pederson</v>
      </c>
      <c r="AF2474" s="380" t="str">
        <f>VLOOKUP($B2474,'D7 - NDB Impacted SPRF''s'!$E$16:$O$9929,6,FALSE)</f>
        <v>Derek Pederson</v>
      </c>
      <c r="AG2474" s="282"/>
      <c r="AH2474" s="311" t="e">
        <f>INDEX('D5 - Gatekeeper - Projects'!$A$4:$AF$1010,$AM2474, 17)</f>
        <v>#N/A</v>
      </c>
      <c r="AI2474" s="8"/>
      <c r="AJ2474" s="57"/>
      <c r="AK2474" s="105"/>
      <c r="AM2474" s="6" t="e">
        <f>MATCH(D2474,'D5 - Gatekeeper - Projects'!$C$4:$C$1010,0)</f>
        <v>#N/A</v>
      </c>
      <c r="AN2474" s="6" t="b">
        <f t="shared" si="260"/>
        <v>1</v>
      </c>
      <c r="AO2474" s="6" t="str">
        <f t="shared" si="261"/>
        <v>OK</v>
      </c>
      <c r="AQ2474" s="6" t="e">
        <f>MATCH($D2474,'D4 - Provider Council Unsched'!$C$11:$C$234,0)</f>
        <v>#N/A</v>
      </c>
      <c r="AR2474" s="6" t="b">
        <f t="shared" si="262"/>
        <v>1</v>
      </c>
      <c r="AS2474" s="6" t="str">
        <f t="shared" si="259"/>
        <v>OK</v>
      </c>
      <c r="AU2474" s="202"/>
      <c r="AV2474" s="262"/>
      <c r="AW2474" s="274"/>
    </row>
    <row r="2475" spans="1:49" s="13" customFormat="1" ht="33.75" x14ac:dyDescent="0.2">
      <c r="A2475" s="14">
        <v>2451</v>
      </c>
      <c r="B2475" s="14">
        <v>400004188</v>
      </c>
      <c r="C2475" s="8" t="s">
        <v>5197</v>
      </c>
      <c r="D2475" s="4" t="str">
        <f t="shared" si="263"/>
        <v>400004188R1</v>
      </c>
      <c r="E2475" s="309" t="str">
        <f>VLOOKUP($B2475,'D7 - NDB Impacted SPRF''s'!$E$6:$O$9929,2,FALSE)</f>
        <v>Resource from NDB needed to assist Galaxy SOW 623</v>
      </c>
      <c r="F2475" s="8" t="s">
        <v>3235</v>
      </c>
      <c r="G2475" s="8" t="s">
        <v>4758</v>
      </c>
      <c r="H2475" s="8" t="s">
        <v>2870</v>
      </c>
      <c r="I2475" s="20">
        <v>12.34</v>
      </c>
      <c r="J2475" s="8" t="s">
        <v>7113</v>
      </c>
      <c r="K2475" s="182"/>
      <c r="L2475" s="8" t="s">
        <v>4156</v>
      </c>
      <c r="M2475" s="8" t="s">
        <v>2814</v>
      </c>
      <c r="N2475" s="367" t="s">
        <v>5190</v>
      </c>
      <c r="O2475" s="8"/>
      <c r="P2475" s="4" t="str">
        <f>VLOOKUP($B2475,'D7 - NDB Impacted SPRF''s'!$E$16:$O$9929,9,FALSE)</f>
        <v>N</v>
      </c>
      <c r="Q2475" s="4" t="str">
        <f>VLOOKUP($B2475,'D7 - NDB Impacted SPRF''s'!$E$16:$O$9929,10,FALSE)</f>
        <v>N</v>
      </c>
      <c r="R2475" s="4" t="str">
        <f>VLOOKUP($B2475,'D7 - NDB Impacted SPRF''s'!$E$16:$O$9929,11,FALSE)</f>
        <v>N</v>
      </c>
      <c r="S2475" s="8"/>
      <c r="T2475" s="310"/>
      <c r="U2475" s="310"/>
      <c r="V2475" s="4"/>
      <c r="W2475" s="4"/>
      <c r="X2475" s="4"/>
      <c r="Y2475" s="4"/>
      <c r="Z2475" s="4"/>
      <c r="AA2475" s="4"/>
      <c r="AB2475" s="380" t="str">
        <f>VLOOKUP($B2475,'D7 - NDB Impacted SPRF''s'!$E$16:$O$9929,4,FALSE)</f>
        <v>Cancelled</v>
      </c>
      <c r="AC2475" s="380" t="str">
        <f>VLOOKUP($B2475,'D7 - NDB Impacted SPRF''s'!$E$16:$O$9929,3,FALSE)</f>
        <v>UnitedHealthcare Employer &amp; Individual</v>
      </c>
      <c r="AD2475" s="380" t="str">
        <f>VLOOKUP($B2475,'D7 - NDB Impacted SPRF''s'!$E$16:$O$9929,5,FALSE)</f>
        <v>Operations Group</v>
      </c>
      <c r="AE2475" s="380" t="str">
        <f>VLOOKUP($B2475,'D7 - NDB Impacted SPRF''s'!$E$16:$O$9929,7,FALSE)</f>
        <v>Debi Streb</v>
      </c>
      <c r="AF2475" s="380" t="str">
        <f>VLOOKUP($B2475,'D7 - NDB Impacted SPRF''s'!$E$16:$O$9929,6,FALSE)</f>
        <v>Jennifer Steffens</v>
      </c>
      <c r="AG2475" s="282"/>
      <c r="AH2475" s="311" t="e">
        <f>INDEX('D5 - Gatekeeper - Projects'!$A$4:$AF$1010,$AM2475, 17)</f>
        <v>#N/A</v>
      </c>
      <c r="AI2475" s="8"/>
      <c r="AJ2475" s="57"/>
      <c r="AK2475" s="105"/>
      <c r="AM2475" s="6" t="e">
        <f>MATCH(D2475,'D5 - Gatekeeper - Projects'!$C$4:$C$1010,0)</f>
        <v>#N/A</v>
      </c>
      <c r="AN2475" s="6" t="b">
        <f t="shared" si="260"/>
        <v>1</v>
      </c>
      <c r="AO2475" s="6" t="str">
        <f t="shared" si="261"/>
        <v>OK</v>
      </c>
      <c r="AQ2475" s="6" t="e">
        <f>MATCH($D2475,'D4 - Provider Council Unsched'!$C$11:$C$234,0)</f>
        <v>#N/A</v>
      </c>
      <c r="AR2475" s="6" t="b">
        <f t="shared" si="262"/>
        <v>1</v>
      </c>
      <c r="AS2475" s="6" t="str">
        <f t="shared" si="259"/>
        <v>OK</v>
      </c>
      <c r="AU2475" s="202"/>
      <c r="AV2475" s="262"/>
      <c r="AW2475" s="274"/>
    </row>
    <row r="2476" spans="1:49" s="13" customFormat="1" x14ac:dyDescent="0.2">
      <c r="A2476" s="14">
        <v>2452</v>
      </c>
      <c r="B2476" s="14">
        <v>400004240</v>
      </c>
      <c r="C2476" s="8" t="s">
        <v>5197</v>
      </c>
      <c r="D2476" s="4" t="str">
        <f t="shared" si="263"/>
        <v>400004240R1</v>
      </c>
      <c r="E2476" s="309" t="str">
        <f>VLOOKUP($B2476,'D7 - NDB Impacted SPRF''s'!$E$6:$O$9929,2,FALSE)</f>
        <v>Refinement of CCS Provider Search Tool</v>
      </c>
      <c r="F2476" s="8"/>
      <c r="G2476" s="8" t="s">
        <v>4758</v>
      </c>
      <c r="H2476" s="8" t="s">
        <v>2870</v>
      </c>
      <c r="I2476" s="20"/>
      <c r="J2476" s="8"/>
      <c r="K2476" s="182"/>
      <c r="L2476" s="8" t="s">
        <v>6164</v>
      </c>
      <c r="M2476" s="8" t="s">
        <v>2814</v>
      </c>
      <c r="N2476" s="367"/>
      <c r="O2476" s="8"/>
      <c r="P2476" s="4" t="str">
        <f>VLOOKUP($B2476,'D7 - NDB Impacted SPRF''s'!$E$16:$O$9929,9,FALSE)</f>
        <v>N</v>
      </c>
      <c r="Q2476" s="4" t="str">
        <f>VLOOKUP($B2476,'D7 - NDB Impacted SPRF''s'!$E$16:$O$9929,10,FALSE)</f>
        <v>N</v>
      </c>
      <c r="R2476" s="4" t="str">
        <f>VLOOKUP($B2476,'D7 - NDB Impacted SPRF''s'!$E$16:$O$9929,11,FALSE)</f>
        <v>N</v>
      </c>
      <c r="S2476" s="8"/>
      <c r="T2476" s="310"/>
      <c r="U2476" s="310"/>
      <c r="V2476" s="4"/>
      <c r="W2476" s="4"/>
      <c r="X2476" s="4"/>
      <c r="Y2476" s="4"/>
      <c r="Z2476" s="4"/>
      <c r="AA2476" s="4"/>
      <c r="AB2476" s="380" t="str">
        <f>VLOOKUP($B2476,'D7 - NDB Impacted SPRF''s'!$E$16:$O$9929,4,FALSE)</f>
        <v>Cancelled</v>
      </c>
      <c r="AC2476" s="380" t="str">
        <f>VLOOKUP($B2476,'D7 - NDB Impacted SPRF''s'!$E$16:$O$9929,3,FALSE)</f>
        <v>OptumHealth</v>
      </c>
      <c r="AD2476" s="380" t="str">
        <f>VLOOKUP($B2476,'D7 - NDB Impacted SPRF''s'!$E$16:$O$9929,5,FALSE)</f>
        <v>SCS</v>
      </c>
      <c r="AE2476" s="380" t="str">
        <f>VLOOKUP($B2476,'D7 - NDB Impacted SPRF''s'!$E$16:$O$9929,7,FALSE)</f>
        <v>Michel Daley, Allison Miller</v>
      </c>
      <c r="AF2476" s="380" t="str">
        <f>VLOOKUP($B2476,'D7 - NDB Impacted SPRF''s'!$E$16:$O$9929,6,FALSE)</f>
        <v>Dave Farrington</v>
      </c>
      <c r="AG2476" s="282"/>
      <c r="AH2476" s="311" t="e">
        <f>INDEX('D5 - Gatekeeper - Projects'!$A$4:$AF$1010,$AM2476, 17)</f>
        <v>#N/A</v>
      </c>
      <c r="AI2476" s="8"/>
      <c r="AJ2476" s="57"/>
      <c r="AK2476" s="105"/>
      <c r="AM2476" s="6" t="e">
        <f>MATCH(D2476,'D5 - Gatekeeper - Projects'!$C$4:$C$1010,0)</f>
        <v>#N/A</v>
      </c>
      <c r="AN2476" s="6" t="b">
        <f t="shared" si="260"/>
        <v>1</v>
      </c>
      <c r="AO2476" s="6" t="str">
        <f t="shared" si="261"/>
        <v>OK</v>
      </c>
      <c r="AQ2476" s="6" t="e">
        <f>MATCH($D2476,'D4 - Provider Council Unsched'!$C$11:$C$234,0)</f>
        <v>#N/A</v>
      </c>
      <c r="AR2476" s="6" t="b">
        <f t="shared" si="262"/>
        <v>1</v>
      </c>
      <c r="AS2476" s="6" t="str">
        <f t="shared" si="259"/>
        <v>OK</v>
      </c>
      <c r="AU2476" s="202"/>
      <c r="AV2476" s="262"/>
      <c r="AW2476" s="274"/>
    </row>
    <row r="2477" spans="1:49" s="13" customFormat="1" ht="33.75" x14ac:dyDescent="0.2">
      <c r="A2477" s="14">
        <v>2453</v>
      </c>
      <c r="B2477" s="14">
        <v>400004283</v>
      </c>
      <c r="C2477" s="8" t="s">
        <v>3763</v>
      </c>
      <c r="D2477" s="4" t="str">
        <f t="shared" si="263"/>
        <v>400004283R2</v>
      </c>
      <c r="E2477" s="309" t="str">
        <f>VLOOKUP($B2477,'D7 - NDB Impacted SPRF''s'!$E$6:$O$9929,2,FALSE)</f>
        <v>Add email address to HL7 feed.</v>
      </c>
      <c r="F2477" s="8" t="s">
        <v>2114</v>
      </c>
      <c r="G2477" s="8" t="s">
        <v>4758</v>
      </c>
      <c r="H2477" s="8" t="s">
        <v>2870</v>
      </c>
      <c r="I2477" s="20">
        <v>1.07</v>
      </c>
      <c r="J2477" s="8" t="s">
        <v>4862</v>
      </c>
      <c r="K2477" s="182"/>
      <c r="L2477" s="8" t="s">
        <v>4156</v>
      </c>
      <c r="M2477" s="8" t="s">
        <v>2814</v>
      </c>
      <c r="N2477" s="367" t="s">
        <v>5789</v>
      </c>
      <c r="O2477" s="8"/>
      <c r="P2477" s="4" t="str">
        <f>VLOOKUP($B2477,'D7 - NDB Impacted SPRF''s'!$E$16:$O$9929,9,FALSE)</f>
        <v>N</v>
      </c>
      <c r="Q2477" s="4" t="str">
        <f>VLOOKUP($B2477,'D7 - NDB Impacted SPRF''s'!$E$16:$O$9929,10,FALSE)</f>
        <v>N</v>
      </c>
      <c r="R2477" s="4" t="str">
        <f>VLOOKUP($B2477,'D7 - NDB Impacted SPRF''s'!$E$16:$O$9929,11,FALSE)</f>
        <v>N</v>
      </c>
      <c r="S2477" s="8"/>
      <c r="T2477" s="310"/>
      <c r="U2477" s="310"/>
      <c r="V2477" s="4"/>
      <c r="W2477" s="4"/>
      <c r="X2477" s="4"/>
      <c r="Y2477" s="4"/>
      <c r="Z2477" s="4"/>
      <c r="AA2477" s="4"/>
      <c r="AB2477" s="380" t="str">
        <f>VLOOKUP($B2477,'D7 - NDB Impacted SPRF''s'!$E$16:$O$9929,4,FALSE)</f>
        <v>Cancelled</v>
      </c>
      <c r="AC2477" s="380" t="str">
        <f>VLOOKUP($B2477,'D7 - NDB Impacted SPRF''s'!$E$16:$O$9929,3,FALSE)</f>
        <v>UnitedHealthcare Employer &amp; Individual</v>
      </c>
      <c r="AD2477" s="380" t="str">
        <f>VLOOKUP($B2477,'D7 - NDB Impacted SPRF''s'!$E$16:$O$9929,5,FALSE)</f>
        <v>Process Improvement</v>
      </c>
      <c r="AE2477" s="380" t="str">
        <f>VLOOKUP($B2477,'D7 - NDB Impacted SPRF''s'!$E$16:$O$9929,7,FALSE)</f>
        <v>Peter Bompane</v>
      </c>
      <c r="AF2477" s="380" t="str">
        <f>VLOOKUP($B2477,'D7 - NDB Impacted SPRF''s'!$E$16:$O$9929,6,FALSE)</f>
        <v>BRYAN ANDERSON</v>
      </c>
      <c r="AG2477" s="282" t="s">
        <v>6682</v>
      </c>
      <c r="AH2477" s="311" t="e">
        <f>INDEX('D5 - Gatekeeper - Projects'!$A$4:$AF$1010,$AM2477, 17)</f>
        <v>#N/A</v>
      </c>
      <c r="AI2477" s="8"/>
      <c r="AJ2477" s="57"/>
      <c r="AK2477" s="105"/>
      <c r="AM2477" s="6" t="e">
        <f>MATCH(D2477,'D5 - Gatekeeper - Projects'!$C$4:$C$1010,0)</f>
        <v>#N/A</v>
      </c>
      <c r="AN2477" s="6" t="b">
        <f t="shared" si="260"/>
        <v>1</v>
      </c>
      <c r="AO2477" s="6" t="str">
        <f t="shared" si="261"/>
        <v>OK</v>
      </c>
      <c r="AQ2477" s="6" t="e">
        <f>MATCH($D2477,'D4 - Provider Council Unsched'!$C$11:$C$234,0)</f>
        <v>#N/A</v>
      </c>
      <c r="AR2477" s="6" t="b">
        <f t="shared" si="262"/>
        <v>1</v>
      </c>
      <c r="AS2477" s="6" t="str">
        <f t="shared" si="259"/>
        <v>OK</v>
      </c>
      <c r="AU2477" s="202"/>
      <c r="AV2477" s="262"/>
      <c r="AW2477" s="274"/>
    </row>
    <row r="2478" spans="1:49" s="13" customFormat="1" x14ac:dyDescent="0.2">
      <c r="A2478" s="14">
        <v>2454</v>
      </c>
      <c r="B2478" s="14">
        <v>400004294</v>
      </c>
      <c r="C2478" s="8" t="s">
        <v>5197</v>
      </c>
      <c r="D2478" s="4" t="str">
        <f t="shared" si="263"/>
        <v>400004294R1</v>
      </c>
      <c r="E2478" s="309" t="str">
        <f>VLOOKUP($B2478,'D7 - NDB Impacted SPRF''s'!$E$6:$O$9929,2,FALSE)</f>
        <v>Handicap Access Field for Paper Directories</v>
      </c>
      <c r="F2478" s="8" t="s">
        <v>5054</v>
      </c>
      <c r="G2478" s="8" t="s">
        <v>4758</v>
      </c>
      <c r="H2478" s="8" t="s">
        <v>2870</v>
      </c>
      <c r="I2478" s="20"/>
      <c r="J2478" s="8"/>
      <c r="K2478" s="182"/>
      <c r="L2478" s="8" t="s">
        <v>6164</v>
      </c>
      <c r="M2478" s="8" t="s">
        <v>2814</v>
      </c>
      <c r="N2478" s="367"/>
      <c r="O2478" s="8"/>
      <c r="P2478" s="4" t="str">
        <f>VLOOKUP($B2478,'D7 - NDB Impacted SPRF''s'!$E$16:$O$9929,9,FALSE)</f>
        <v>N</v>
      </c>
      <c r="Q2478" s="4" t="str">
        <f>VLOOKUP($B2478,'D7 - NDB Impacted SPRF''s'!$E$16:$O$9929,10,FALSE)</f>
        <v>N</v>
      </c>
      <c r="R2478" s="4" t="str">
        <f>VLOOKUP($B2478,'D7 - NDB Impacted SPRF''s'!$E$16:$O$9929,11,FALSE)</f>
        <v>N</v>
      </c>
      <c r="S2478" s="8"/>
      <c r="T2478" s="310"/>
      <c r="U2478" s="310"/>
      <c r="V2478" s="4"/>
      <c r="W2478" s="4"/>
      <c r="X2478" s="4"/>
      <c r="Y2478" s="4"/>
      <c r="Z2478" s="4"/>
      <c r="AA2478" s="4"/>
      <c r="AB2478" s="380" t="str">
        <f>VLOOKUP($B2478,'D7 - NDB Impacted SPRF''s'!$E$16:$O$9929,4,FALSE)</f>
        <v>Cancelled</v>
      </c>
      <c r="AC2478" s="380" t="str">
        <f>VLOOKUP($B2478,'D7 - NDB Impacted SPRF''s'!$E$16:$O$9929,3,FALSE)</f>
        <v>Uniprise</v>
      </c>
      <c r="AD2478" s="380" t="str">
        <f>VLOOKUP($B2478,'D7 - NDB Impacted SPRF''s'!$E$16:$O$9929,5,FALSE)</f>
        <v>Exante</v>
      </c>
      <c r="AE2478" s="380" t="str">
        <f>VLOOKUP($B2478,'D7 - NDB Impacted SPRF''s'!$E$16:$O$9929,7,FALSE)</f>
        <v>Caryn Asklar</v>
      </c>
      <c r="AF2478" s="380" t="str">
        <f>VLOOKUP($B2478,'D7 - NDB Impacted SPRF''s'!$E$16:$O$9929,6,FALSE)</f>
        <v>Barbara Kallay</v>
      </c>
      <c r="AG2478" s="282"/>
      <c r="AH2478" s="311" t="e">
        <f>INDEX('D5 - Gatekeeper - Projects'!$A$4:$AF$1010,$AM2478, 17)</f>
        <v>#N/A</v>
      </c>
      <c r="AI2478" s="8"/>
      <c r="AJ2478" s="57"/>
      <c r="AK2478" s="105"/>
      <c r="AM2478" s="6" t="e">
        <f>MATCH(D2478,'D5 - Gatekeeper - Projects'!$C$4:$C$1010,0)</f>
        <v>#N/A</v>
      </c>
      <c r="AN2478" s="6" t="b">
        <f t="shared" si="260"/>
        <v>1</v>
      </c>
      <c r="AO2478" s="6" t="str">
        <f t="shared" si="261"/>
        <v>OK</v>
      </c>
      <c r="AQ2478" s="6" t="e">
        <f>MATCH($D2478,'D4 - Provider Council Unsched'!$C$11:$C$234,0)</f>
        <v>#N/A</v>
      </c>
      <c r="AR2478" s="6" t="b">
        <f t="shared" si="262"/>
        <v>1</v>
      </c>
      <c r="AS2478" s="6" t="str">
        <f t="shared" si="259"/>
        <v>OK</v>
      </c>
      <c r="AU2478" s="202"/>
      <c r="AV2478" s="262"/>
      <c r="AW2478" s="274"/>
    </row>
    <row r="2479" spans="1:49" s="13" customFormat="1" ht="33.75" x14ac:dyDescent="0.2">
      <c r="A2479" s="14">
        <v>2455</v>
      </c>
      <c r="B2479" s="14">
        <v>400004311</v>
      </c>
      <c r="C2479" s="8" t="s">
        <v>5197</v>
      </c>
      <c r="D2479" s="4" t="str">
        <f t="shared" si="263"/>
        <v>400004311R1</v>
      </c>
      <c r="E2479" s="309" t="str">
        <f>VLOOKUP($B2479,'D7 - NDB Impacted SPRF''s'!$E$6:$O$9929,2,FALSE)</f>
        <v>Payto Individual (PTI) Cleanup Reports</v>
      </c>
      <c r="F2479" s="8" t="s">
        <v>5587</v>
      </c>
      <c r="G2479" s="8" t="s">
        <v>4758</v>
      </c>
      <c r="H2479" s="8" t="s">
        <v>2870</v>
      </c>
      <c r="I2479" s="20">
        <v>1.07</v>
      </c>
      <c r="J2479" s="8" t="s">
        <v>4862</v>
      </c>
      <c r="K2479" s="182"/>
      <c r="L2479" s="8" t="s">
        <v>5743</v>
      </c>
      <c r="M2479" s="8" t="s">
        <v>2814</v>
      </c>
      <c r="N2479" s="367" t="s">
        <v>2638</v>
      </c>
      <c r="O2479" s="8"/>
      <c r="P2479" s="4" t="str">
        <f>VLOOKUP($B2479,'D7 - NDB Impacted SPRF''s'!$E$16:$O$9929,9,FALSE)</f>
        <v>N</v>
      </c>
      <c r="Q2479" s="4" t="str">
        <f>VLOOKUP($B2479,'D7 - NDB Impacted SPRF''s'!$E$16:$O$9929,10,FALSE)</f>
        <v>N</v>
      </c>
      <c r="R2479" s="4" t="str">
        <f>VLOOKUP($B2479,'D7 - NDB Impacted SPRF''s'!$E$16:$O$9929,11,FALSE)</f>
        <v>N</v>
      </c>
      <c r="S2479" s="8"/>
      <c r="T2479" s="310"/>
      <c r="U2479" s="310"/>
      <c r="V2479" s="4"/>
      <c r="W2479" s="4"/>
      <c r="X2479" s="4"/>
      <c r="Y2479" s="4"/>
      <c r="Z2479" s="4"/>
      <c r="AA2479" s="4"/>
      <c r="AB2479" s="380" t="str">
        <f>VLOOKUP($B2479,'D7 - NDB Impacted SPRF''s'!$E$16:$O$9929,4,FALSE)</f>
        <v>Cancelled</v>
      </c>
      <c r="AC2479" s="380" t="str">
        <f>VLOOKUP($B2479,'D7 - NDB Impacted SPRF''s'!$E$16:$O$9929,3,FALSE)</f>
        <v>UnitedHealthcare Employer &amp; Individual</v>
      </c>
      <c r="AD2479" s="380" t="str">
        <f>VLOOKUP($B2479,'D7 - NDB Impacted SPRF''s'!$E$16:$O$9929,5,FALSE)</f>
        <v>Operations Group</v>
      </c>
      <c r="AE2479" s="380" t="str">
        <f>VLOOKUP($B2479,'D7 - NDB Impacted SPRF''s'!$E$16:$O$9929,7,FALSE)</f>
        <v>Peter Bompane</v>
      </c>
      <c r="AF2479" s="380" t="str">
        <f>VLOOKUP($B2479,'D7 - NDB Impacted SPRF''s'!$E$16:$O$9929,6,FALSE)</f>
        <v>Susan Neal</v>
      </c>
      <c r="AG2479" s="282"/>
      <c r="AH2479" s="311" t="e">
        <f>INDEX('D5 - Gatekeeper - Projects'!$A$4:$AF$1010,$AM2479, 17)</f>
        <v>#N/A</v>
      </c>
      <c r="AI2479" s="8"/>
      <c r="AJ2479" s="57"/>
      <c r="AK2479" s="105"/>
      <c r="AM2479" s="6" t="e">
        <f>MATCH(D2479,'D5 - Gatekeeper - Projects'!$C$4:$C$1010,0)</f>
        <v>#N/A</v>
      </c>
      <c r="AN2479" s="6" t="b">
        <f t="shared" si="260"/>
        <v>1</v>
      </c>
      <c r="AO2479" s="6" t="str">
        <f t="shared" si="261"/>
        <v>OK</v>
      </c>
      <c r="AQ2479" s="6" t="e">
        <f>MATCH($D2479,'D4 - Provider Council Unsched'!$C$11:$C$234,0)</f>
        <v>#N/A</v>
      </c>
      <c r="AR2479" s="6" t="b">
        <f t="shared" si="262"/>
        <v>1</v>
      </c>
      <c r="AS2479" s="6" t="str">
        <f t="shared" si="259"/>
        <v>OK</v>
      </c>
      <c r="AU2479" s="202"/>
      <c r="AV2479" s="262"/>
      <c r="AW2479" s="274"/>
    </row>
    <row r="2480" spans="1:49" s="13" customFormat="1" ht="33.75" x14ac:dyDescent="0.2">
      <c r="A2480" s="14">
        <v>2456</v>
      </c>
      <c r="B2480" s="14">
        <v>400004347</v>
      </c>
      <c r="C2480" s="8" t="s">
        <v>5197</v>
      </c>
      <c r="D2480" s="4" t="str">
        <f t="shared" si="263"/>
        <v>400004347R1</v>
      </c>
      <c r="E2480" s="309" t="str">
        <f>VLOOKUP($B2480,'D7 - NDB Impacted SPRF''s'!$E$6:$O$9929,2,FALSE)</f>
        <v>Use prov. term date to determine uhconline access</v>
      </c>
      <c r="F2480" s="8" t="s">
        <v>5536</v>
      </c>
      <c r="G2480" s="8" t="s">
        <v>4758</v>
      </c>
      <c r="H2480" s="8" t="s">
        <v>2870</v>
      </c>
      <c r="I2480" s="20"/>
      <c r="J2480" s="8"/>
      <c r="K2480" s="182"/>
      <c r="L2480" s="8" t="s">
        <v>6164</v>
      </c>
      <c r="M2480" s="8" t="s">
        <v>2814</v>
      </c>
      <c r="N2480" s="367"/>
      <c r="O2480" s="8"/>
      <c r="P2480" s="4" t="str">
        <f>VLOOKUP($B2480,'D7 - NDB Impacted SPRF''s'!$E$16:$O$9929,9,FALSE)</f>
        <v>N</v>
      </c>
      <c r="Q2480" s="4" t="str">
        <f>VLOOKUP($B2480,'D7 - NDB Impacted SPRF''s'!$E$16:$O$9929,10,FALSE)</f>
        <v>N</v>
      </c>
      <c r="R2480" s="4" t="str">
        <f>VLOOKUP($B2480,'D7 - NDB Impacted SPRF''s'!$E$16:$O$9929,11,FALSE)</f>
        <v>N</v>
      </c>
      <c r="S2480" s="8"/>
      <c r="T2480" s="310"/>
      <c r="U2480" s="310"/>
      <c r="V2480" s="4"/>
      <c r="W2480" s="4"/>
      <c r="X2480" s="4"/>
      <c r="Y2480" s="4"/>
      <c r="Z2480" s="4"/>
      <c r="AA2480" s="4"/>
      <c r="AB2480" s="380" t="str">
        <f>VLOOKUP($B2480,'D7 - NDB Impacted SPRF''s'!$E$16:$O$9929,4,FALSE)</f>
        <v>Cancelled</v>
      </c>
      <c r="AC2480" s="380" t="str">
        <f>VLOOKUP($B2480,'D7 - NDB Impacted SPRF''s'!$E$16:$O$9929,3,FALSE)</f>
        <v>UnitedHealthcare Employer &amp; Individual</v>
      </c>
      <c r="AD2480" s="380" t="str">
        <f>VLOOKUP($B2480,'D7 - NDB Impacted SPRF''s'!$E$16:$O$9929,5,FALSE)</f>
        <v>Operations Group</v>
      </c>
      <c r="AE2480" s="380" t="str">
        <f>VLOOKUP($B2480,'D7 - NDB Impacted SPRF''s'!$E$16:$O$9929,7,FALSE)</f>
        <v>Derek Pederson</v>
      </c>
      <c r="AF2480" s="380" t="str">
        <f>VLOOKUP($B2480,'D7 - NDB Impacted SPRF''s'!$E$16:$O$9929,6,FALSE)</f>
        <v>Derek Pederson</v>
      </c>
      <c r="AG2480" s="282"/>
      <c r="AH2480" s="311" t="e">
        <f>INDEX('D5 - Gatekeeper - Projects'!$A$4:$AF$1010,$AM2480, 17)</f>
        <v>#N/A</v>
      </c>
      <c r="AI2480" s="8"/>
      <c r="AJ2480" s="57"/>
      <c r="AK2480" s="105"/>
      <c r="AM2480" s="6" t="e">
        <f>MATCH(D2480,'D5 - Gatekeeper - Projects'!$C$4:$C$1010,0)</f>
        <v>#N/A</v>
      </c>
      <c r="AN2480" s="6" t="b">
        <f t="shared" si="260"/>
        <v>1</v>
      </c>
      <c r="AO2480" s="6" t="str">
        <f t="shared" si="261"/>
        <v>OK</v>
      </c>
      <c r="AQ2480" s="6" t="e">
        <f>MATCH($D2480,'D4 - Provider Council Unsched'!$C$11:$C$234,0)</f>
        <v>#N/A</v>
      </c>
      <c r="AR2480" s="6" t="b">
        <f t="shared" si="262"/>
        <v>1</v>
      </c>
      <c r="AS2480" s="6" t="str">
        <f t="shared" si="259"/>
        <v>OK</v>
      </c>
      <c r="AU2480" s="202"/>
      <c r="AV2480" s="262"/>
      <c r="AW2480" s="274"/>
    </row>
    <row r="2481" spans="1:49" s="13" customFormat="1" x14ac:dyDescent="0.2">
      <c r="A2481" s="14">
        <v>2457</v>
      </c>
      <c r="B2481" s="14">
        <v>400004350</v>
      </c>
      <c r="C2481" s="8" t="s">
        <v>5197</v>
      </c>
      <c r="D2481" s="4" t="str">
        <f t="shared" si="263"/>
        <v>400004350R1</v>
      </c>
      <c r="E2481" s="309" t="str">
        <f>VLOOKUP($B2481,'D7 - NDB Impacted SPRF''s'!$E$6:$O$9929,2,FALSE)</f>
        <v>Medica Electronic Payments &amp; Statements (EPS)</v>
      </c>
      <c r="F2481" s="8" t="s">
        <v>3884</v>
      </c>
      <c r="G2481" s="8" t="s">
        <v>4758</v>
      </c>
      <c r="H2481" s="8" t="s">
        <v>2870</v>
      </c>
      <c r="I2481" s="20"/>
      <c r="J2481" s="8"/>
      <c r="K2481" s="182"/>
      <c r="L2481" s="8" t="s">
        <v>6164</v>
      </c>
      <c r="M2481" s="8" t="s">
        <v>2814</v>
      </c>
      <c r="N2481" s="367"/>
      <c r="O2481" s="8"/>
      <c r="P2481" s="4" t="str">
        <f>VLOOKUP($B2481,'D7 - NDB Impacted SPRF''s'!$E$16:$O$9929,9,FALSE)</f>
        <v>N</v>
      </c>
      <c r="Q2481" s="4" t="str">
        <f>VLOOKUP($B2481,'D7 - NDB Impacted SPRF''s'!$E$16:$O$9929,10,FALSE)</f>
        <v>N</v>
      </c>
      <c r="R2481" s="4" t="str">
        <f>VLOOKUP($B2481,'D7 - NDB Impacted SPRF''s'!$E$16:$O$9929,11,FALSE)</f>
        <v>N</v>
      </c>
      <c r="S2481" s="8"/>
      <c r="T2481" s="310"/>
      <c r="U2481" s="310"/>
      <c r="V2481" s="4"/>
      <c r="W2481" s="4"/>
      <c r="X2481" s="4"/>
      <c r="Y2481" s="4"/>
      <c r="Z2481" s="4"/>
      <c r="AA2481" s="4"/>
      <c r="AB2481" s="380" t="str">
        <f>VLOOKUP($B2481,'D7 - NDB Impacted SPRF''s'!$E$16:$O$9929,4,FALSE)</f>
        <v>Cancelled</v>
      </c>
      <c r="AC2481" s="380" t="str">
        <f>VLOOKUP($B2481,'D7 - NDB Impacted SPRF''s'!$E$16:$O$9929,3,FALSE)</f>
        <v>Uniprise</v>
      </c>
      <c r="AD2481" s="380" t="str">
        <f>VLOOKUP($B2481,'D7 - NDB Impacted SPRF''s'!$E$16:$O$9929,5,FALSE)</f>
        <v>UOS - DDC</v>
      </c>
      <c r="AE2481" s="380" t="str">
        <f>VLOOKUP($B2481,'D7 - NDB Impacted SPRF''s'!$E$16:$O$9929,7,FALSE)</f>
        <v>Joanne Houck</v>
      </c>
      <c r="AF2481" s="380" t="str">
        <f>VLOOKUP($B2481,'D7 - NDB Impacted SPRF''s'!$E$16:$O$9929,6,FALSE)</f>
        <v>Flo Hebert</v>
      </c>
      <c r="AG2481" s="282"/>
      <c r="AH2481" s="311" t="e">
        <f>INDEX('D5 - Gatekeeper - Projects'!$A$4:$AF$1010,$AM2481, 17)</f>
        <v>#N/A</v>
      </c>
      <c r="AI2481" s="8"/>
      <c r="AJ2481" s="57"/>
      <c r="AK2481" s="105"/>
      <c r="AM2481" s="6" t="e">
        <f>MATCH(D2481,'D5 - Gatekeeper - Projects'!$C$4:$C$1010,0)</f>
        <v>#N/A</v>
      </c>
      <c r="AN2481" s="6" t="b">
        <f t="shared" si="260"/>
        <v>1</v>
      </c>
      <c r="AO2481" s="6" t="str">
        <f t="shared" si="261"/>
        <v>OK</v>
      </c>
      <c r="AQ2481" s="6" t="e">
        <f>MATCH($D2481,'D4 - Provider Council Unsched'!$C$11:$C$234,0)</f>
        <v>#N/A</v>
      </c>
      <c r="AR2481" s="6" t="b">
        <f t="shared" si="262"/>
        <v>1</v>
      </c>
      <c r="AS2481" s="6" t="str">
        <f t="shared" si="259"/>
        <v>OK</v>
      </c>
      <c r="AU2481" s="202"/>
      <c r="AV2481" s="262"/>
      <c r="AW2481" s="274"/>
    </row>
    <row r="2482" spans="1:49" s="13" customFormat="1" x14ac:dyDescent="0.2">
      <c r="A2482" s="14">
        <v>2458</v>
      </c>
      <c r="B2482" s="14">
        <v>400004379</v>
      </c>
      <c r="C2482" s="8" t="s">
        <v>5197</v>
      </c>
      <c r="D2482" s="4" t="str">
        <f t="shared" si="263"/>
        <v>400004379R1</v>
      </c>
      <c r="E2482" s="309" t="str">
        <f>VLOOKUP($B2482,'D7 - NDB Impacted SPRF''s'!$E$6:$O$9929,2,FALSE)</f>
        <v>EFS Electronic Payments &amp; Statements Phase IV</v>
      </c>
      <c r="F2482" s="8"/>
      <c r="G2482" s="8" t="s">
        <v>4758</v>
      </c>
      <c r="H2482" s="8" t="s">
        <v>2870</v>
      </c>
      <c r="I2482" s="20"/>
      <c r="J2482" s="8"/>
      <c r="K2482" s="182"/>
      <c r="L2482" s="8" t="s">
        <v>6164</v>
      </c>
      <c r="M2482" s="8" t="s">
        <v>2814</v>
      </c>
      <c r="N2482" s="367"/>
      <c r="O2482" s="8"/>
      <c r="P2482" s="4" t="str">
        <f>VLOOKUP($B2482,'D7 - NDB Impacted SPRF''s'!$E$16:$O$9929,9,FALSE)</f>
        <v>N</v>
      </c>
      <c r="Q2482" s="4" t="str">
        <f>VLOOKUP($B2482,'D7 - NDB Impacted SPRF''s'!$E$16:$O$9929,10,FALSE)</f>
        <v>N</v>
      </c>
      <c r="R2482" s="4" t="str">
        <f>VLOOKUP($B2482,'D7 - NDB Impacted SPRF''s'!$E$16:$O$9929,11,FALSE)</f>
        <v>N</v>
      </c>
      <c r="S2482" s="8"/>
      <c r="T2482" s="310"/>
      <c r="U2482" s="310"/>
      <c r="V2482" s="4"/>
      <c r="W2482" s="4"/>
      <c r="X2482" s="4"/>
      <c r="Y2482" s="4"/>
      <c r="Z2482" s="4"/>
      <c r="AA2482" s="4"/>
      <c r="AB2482" s="380" t="str">
        <f>VLOOKUP($B2482,'D7 - NDB Impacted SPRF''s'!$E$16:$O$9929,4,FALSE)</f>
        <v>Cancelled</v>
      </c>
      <c r="AC2482" s="380" t="str">
        <f>VLOOKUP($B2482,'D7 - NDB Impacted SPRF''s'!$E$16:$O$9929,3,FALSE)</f>
        <v>Uniprise</v>
      </c>
      <c r="AD2482" s="380" t="str">
        <f>VLOOKUP($B2482,'D7 - NDB Impacted SPRF''s'!$E$16:$O$9929,5,FALSE)</f>
        <v>Exante</v>
      </c>
      <c r="AE2482" s="380" t="str">
        <f>VLOOKUP($B2482,'D7 - NDB Impacted SPRF''s'!$E$16:$O$9929,7,FALSE)</f>
        <v>Ragui Selwanes</v>
      </c>
      <c r="AF2482" s="380" t="str">
        <f>VLOOKUP($B2482,'D7 - NDB Impacted SPRF''s'!$E$16:$O$9929,6,FALSE)</f>
        <v>Jennifer Daigle</v>
      </c>
      <c r="AG2482" s="282"/>
      <c r="AH2482" s="311" t="e">
        <f>INDEX('D5 - Gatekeeper - Projects'!$A$4:$AF$1010,$AM2482, 17)</f>
        <v>#N/A</v>
      </c>
      <c r="AI2482" s="8"/>
      <c r="AJ2482" s="57"/>
      <c r="AK2482" s="105"/>
      <c r="AM2482" s="6" t="e">
        <f>MATCH(D2482,'D5 - Gatekeeper - Projects'!$C$4:$C$1010,0)</f>
        <v>#N/A</v>
      </c>
      <c r="AN2482" s="6" t="b">
        <f t="shared" si="260"/>
        <v>1</v>
      </c>
      <c r="AO2482" s="6" t="str">
        <f t="shared" si="261"/>
        <v>OK</v>
      </c>
      <c r="AQ2482" s="6" t="e">
        <f>MATCH($D2482,'D4 - Provider Council Unsched'!$C$11:$C$234,0)</f>
        <v>#N/A</v>
      </c>
      <c r="AR2482" s="6" t="b">
        <f t="shared" si="262"/>
        <v>1</v>
      </c>
      <c r="AS2482" s="6" t="str">
        <f t="shared" si="259"/>
        <v>OK</v>
      </c>
      <c r="AU2482" s="202"/>
      <c r="AV2482" s="262"/>
      <c r="AW2482" s="274"/>
    </row>
    <row r="2483" spans="1:49" s="13" customFormat="1" x14ac:dyDescent="0.2">
      <c r="A2483" s="14">
        <v>2459</v>
      </c>
      <c r="B2483" s="14">
        <v>400004401</v>
      </c>
      <c r="C2483" s="8" t="s">
        <v>6725</v>
      </c>
      <c r="D2483" s="4" t="str">
        <f t="shared" si="263"/>
        <v>400004401CC01</v>
      </c>
      <c r="E2483" s="309" t="str">
        <f>VLOOKUP($B2483,'D7 - NDB Impacted SPRF''s'!$E$6:$O$9929,2,FALSE)</f>
        <v>CICS 2.3 Upgrade</v>
      </c>
      <c r="F2483" s="8" t="s">
        <v>8133</v>
      </c>
      <c r="G2483" s="8" t="s">
        <v>4758</v>
      </c>
      <c r="H2483" s="8" t="s">
        <v>2870</v>
      </c>
      <c r="I2483" s="20"/>
      <c r="J2483" s="8"/>
      <c r="K2483" s="182"/>
      <c r="L2483" s="8" t="s">
        <v>6164</v>
      </c>
      <c r="M2483" s="8" t="s">
        <v>2814</v>
      </c>
      <c r="N2483" s="367"/>
      <c r="O2483" s="8"/>
      <c r="P2483" s="4" t="str">
        <f>VLOOKUP($B2483,'D7 - NDB Impacted SPRF''s'!$E$16:$O$9929,9,FALSE)</f>
        <v>N</v>
      </c>
      <c r="Q2483" s="4" t="str">
        <f>VLOOKUP($B2483,'D7 - NDB Impacted SPRF''s'!$E$16:$O$9929,10,FALSE)</f>
        <v>N</v>
      </c>
      <c r="R2483" s="4" t="str">
        <f>VLOOKUP($B2483,'D7 - NDB Impacted SPRF''s'!$E$16:$O$9929,11,FALSE)</f>
        <v>N</v>
      </c>
      <c r="S2483" s="8"/>
      <c r="T2483" s="310"/>
      <c r="U2483" s="310"/>
      <c r="V2483" s="4"/>
      <c r="W2483" s="4"/>
      <c r="X2483" s="4"/>
      <c r="Y2483" s="4"/>
      <c r="Z2483" s="4"/>
      <c r="AA2483" s="4"/>
      <c r="AB2483" s="380" t="str">
        <f>VLOOKUP($B2483,'D7 - NDB Impacted SPRF''s'!$E$16:$O$9929,4,FALSE)</f>
        <v>Cancelled</v>
      </c>
      <c r="AC2483" s="380" t="str">
        <f>VLOOKUP($B2483,'D7 - NDB Impacted SPRF''s'!$E$16:$O$9929,3,FALSE)</f>
        <v>Uniprise</v>
      </c>
      <c r="AD2483" s="380" t="str">
        <f>VLOOKUP($B2483,'D7 - NDB Impacted SPRF''s'!$E$16:$O$9929,5,FALSE)</f>
        <v>Uniprise Technologies - DDC</v>
      </c>
      <c r="AE2483" s="380" t="str">
        <f>VLOOKUP($B2483,'D7 - NDB Impacted SPRF''s'!$E$16:$O$9929,7,FALSE)</f>
        <v>Roger Faber</v>
      </c>
      <c r="AF2483" s="380" t="str">
        <f>VLOOKUP($B2483,'D7 - NDB Impacted SPRF''s'!$E$16:$O$9929,6,FALSE)</f>
        <v>ROGER FABER</v>
      </c>
      <c r="AG2483" s="282"/>
      <c r="AH2483" s="311" t="e">
        <f>INDEX('D5 - Gatekeeper - Projects'!$A$4:$AF$1010,$AM2483, 17)</f>
        <v>#N/A</v>
      </c>
      <c r="AI2483" s="8"/>
      <c r="AJ2483" s="57"/>
      <c r="AK2483" s="105"/>
      <c r="AM2483" s="6" t="e">
        <f>MATCH(D2483,'D5 - Gatekeeper - Projects'!$C$4:$C$1010,0)</f>
        <v>#N/A</v>
      </c>
      <c r="AN2483" s="6" t="b">
        <f t="shared" si="260"/>
        <v>1</v>
      </c>
      <c r="AO2483" s="6" t="str">
        <f t="shared" si="261"/>
        <v>OK</v>
      </c>
      <c r="AQ2483" s="6" t="e">
        <f>MATCH($D2483,'D4 - Provider Council Unsched'!$C$11:$C$234,0)</f>
        <v>#N/A</v>
      </c>
      <c r="AR2483" s="6" t="b">
        <f t="shared" si="262"/>
        <v>1</v>
      </c>
      <c r="AS2483" s="6" t="str">
        <f t="shared" si="259"/>
        <v>OK</v>
      </c>
      <c r="AU2483" s="202"/>
      <c r="AV2483" s="262"/>
      <c r="AW2483" s="274"/>
    </row>
    <row r="2484" spans="1:49" s="13" customFormat="1" x14ac:dyDescent="0.2">
      <c r="A2484" s="14">
        <v>2460</v>
      </c>
      <c r="B2484" s="14">
        <v>400004401</v>
      </c>
      <c r="C2484" s="8" t="s">
        <v>5197</v>
      </c>
      <c r="D2484" s="4" t="str">
        <f t="shared" si="263"/>
        <v>400004401R1</v>
      </c>
      <c r="E2484" s="309" t="str">
        <f>VLOOKUP($B2484,'D7 - NDB Impacted SPRF''s'!$E$6:$O$9929,2,FALSE)</f>
        <v>CICS 2.3 Upgrade</v>
      </c>
      <c r="F2484" s="8" t="s">
        <v>8133</v>
      </c>
      <c r="G2484" s="8" t="s">
        <v>4758</v>
      </c>
      <c r="H2484" s="8" t="s">
        <v>2870</v>
      </c>
      <c r="I2484" s="20"/>
      <c r="J2484" s="8"/>
      <c r="K2484" s="182"/>
      <c r="L2484" s="8" t="s">
        <v>6164</v>
      </c>
      <c r="M2484" s="8" t="s">
        <v>2814</v>
      </c>
      <c r="N2484" s="367"/>
      <c r="O2484" s="8"/>
      <c r="P2484" s="4" t="str">
        <f>VLOOKUP($B2484,'D7 - NDB Impacted SPRF''s'!$E$16:$O$9929,9,FALSE)</f>
        <v>N</v>
      </c>
      <c r="Q2484" s="4" t="str">
        <f>VLOOKUP($B2484,'D7 - NDB Impacted SPRF''s'!$E$16:$O$9929,10,FALSE)</f>
        <v>N</v>
      </c>
      <c r="R2484" s="4" t="str">
        <f>VLOOKUP($B2484,'D7 - NDB Impacted SPRF''s'!$E$16:$O$9929,11,FALSE)</f>
        <v>N</v>
      </c>
      <c r="S2484" s="8"/>
      <c r="T2484" s="310"/>
      <c r="U2484" s="310"/>
      <c r="V2484" s="4"/>
      <c r="W2484" s="4"/>
      <c r="X2484" s="4"/>
      <c r="Y2484" s="4"/>
      <c r="Z2484" s="4"/>
      <c r="AA2484" s="4"/>
      <c r="AB2484" s="380" t="str">
        <f>VLOOKUP($B2484,'D7 - NDB Impacted SPRF''s'!$E$16:$O$9929,4,FALSE)</f>
        <v>Cancelled</v>
      </c>
      <c r="AC2484" s="380" t="str">
        <f>VLOOKUP($B2484,'D7 - NDB Impacted SPRF''s'!$E$16:$O$9929,3,FALSE)</f>
        <v>Uniprise</v>
      </c>
      <c r="AD2484" s="380" t="str">
        <f>VLOOKUP($B2484,'D7 - NDB Impacted SPRF''s'!$E$16:$O$9929,5,FALSE)</f>
        <v>Uniprise Technologies - DDC</v>
      </c>
      <c r="AE2484" s="380" t="str">
        <f>VLOOKUP($B2484,'D7 - NDB Impacted SPRF''s'!$E$16:$O$9929,7,FALSE)</f>
        <v>Roger Faber</v>
      </c>
      <c r="AF2484" s="380" t="str">
        <f>VLOOKUP($B2484,'D7 - NDB Impacted SPRF''s'!$E$16:$O$9929,6,FALSE)</f>
        <v>ROGER FABER</v>
      </c>
      <c r="AG2484" s="282"/>
      <c r="AH2484" s="311" t="e">
        <f>INDEX('D5 - Gatekeeper - Projects'!$A$4:$AF$1010,$AM2484, 17)</f>
        <v>#N/A</v>
      </c>
      <c r="AI2484" s="8"/>
      <c r="AJ2484" s="57"/>
      <c r="AK2484" s="105"/>
      <c r="AM2484" s="6" t="e">
        <f>MATCH(D2484,'D5 - Gatekeeper - Projects'!$C$4:$C$1010,0)</f>
        <v>#N/A</v>
      </c>
      <c r="AN2484" s="6" t="b">
        <f t="shared" si="260"/>
        <v>1</v>
      </c>
      <c r="AO2484" s="6" t="str">
        <f t="shared" si="261"/>
        <v>OK</v>
      </c>
      <c r="AQ2484" s="6" t="e">
        <f>MATCH($D2484,'D4 - Provider Council Unsched'!$C$11:$C$234,0)</f>
        <v>#N/A</v>
      </c>
      <c r="AR2484" s="6" t="b">
        <f t="shared" si="262"/>
        <v>1</v>
      </c>
      <c r="AS2484" s="6" t="str">
        <f t="shared" si="259"/>
        <v>OK</v>
      </c>
      <c r="AU2484" s="202"/>
      <c r="AV2484" s="262"/>
      <c r="AW2484" s="274"/>
    </row>
    <row r="2485" spans="1:49" s="13" customFormat="1" ht="33.75" x14ac:dyDescent="0.2">
      <c r="A2485" s="14">
        <v>2461</v>
      </c>
      <c r="B2485" s="14">
        <v>400004407</v>
      </c>
      <c r="C2485" s="8" t="s">
        <v>5197</v>
      </c>
      <c r="D2485" s="4" t="str">
        <f t="shared" si="263"/>
        <v>400004407R1</v>
      </c>
      <c r="E2485" s="309" t="str">
        <f>VLOOKUP($B2485,'D7 - NDB Impacted SPRF''s'!$E$6:$O$9929,2,FALSE)</f>
        <v>Network Gap with Care Coordination</v>
      </c>
      <c r="F2485" s="8"/>
      <c r="G2485" s="8" t="s">
        <v>4758</v>
      </c>
      <c r="H2485" s="8" t="s">
        <v>2870</v>
      </c>
      <c r="I2485" s="20"/>
      <c r="J2485" s="8"/>
      <c r="K2485" s="182"/>
      <c r="L2485" s="8" t="s">
        <v>6164</v>
      </c>
      <c r="M2485" s="8" t="s">
        <v>2814</v>
      </c>
      <c r="N2485" s="367"/>
      <c r="O2485" s="8"/>
      <c r="P2485" s="4" t="str">
        <f>VLOOKUP($B2485,'D7 - NDB Impacted SPRF''s'!$E$16:$O$9929,9,FALSE)</f>
        <v>N</v>
      </c>
      <c r="Q2485" s="4" t="str">
        <f>VLOOKUP($B2485,'D7 - NDB Impacted SPRF''s'!$E$16:$O$9929,10,FALSE)</f>
        <v>N</v>
      </c>
      <c r="R2485" s="4" t="str">
        <f>VLOOKUP($B2485,'D7 - NDB Impacted SPRF''s'!$E$16:$O$9929,11,FALSE)</f>
        <v>N</v>
      </c>
      <c r="S2485" s="8"/>
      <c r="T2485" s="310"/>
      <c r="U2485" s="310"/>
      <c r="V2485" s="4"/>
      <c r="W2485" s="4"/>
      <c r="X2485" s="4"/>
      <c r="Y2485" s="4"/>
      <c r="Z2485" s="4"/>
      <c r="AA2485" s="4"/>
      <c r="AB2485" s="380" t="str">
        <f>VLOOKUP($B2485,'D7 - NDB Impacted SPRF''s'!$E$16:$O$9929,4,FALSE)</f>
        <v>Cancelled</v>
      </c>
      <c r="AC2485" s="380" t="str">
        <f>VLOOKUP($B2485,'D7 - NDB Impacted SPRF''s'!$E$16:$O$9929,3,FALSE)</f>
        <v>UnitedHealthcare Employer &amp; Individual</v>
      </c>
      <c r="AD2485" s="380" t="str">
        <f>VLOOKUP($B2485,'D7 - NDB Impacted SPRF''s'!$E$16:$O$9929,5,FALSE)</f>
        <v>Operations Group</v>
      </c>
      <c r="AE2485" s="380" t="str">
        <f>VLOOKUP($B2485,'D7 - NDB Impacted SPRF''s'!$E$16:$O$9929,7,FALSE)</f>
        <v>John Haben</v>
      </c>
      <c r="AF2485" s="380" t="str">
        <f>VLOOKUP($B2485,'D7 - NDB Impacted SPRF''s'!$E$16:$O$9929,6,FALSE)</f>
        <v>SARAH PETERSON</v>
      </c>
      <c r="AG2485" s="282"/>
      <c r="AH2485" s="311" t="e">
        <f>INDEX('D5 - Gatekeeper - Projects'!$A$4:$AF$1010,$AM2485, 17)</f>
        <v>#N/A</v>
      </c>
      <c r="AI2485" s="8"/>
      <c r="AJ2485" s="57"/>
      <c r="AK2485" s="105"/>
      <c r="AM2485" s="6" t="e">
        <f>MATCH(D2485,'D5 - Gatekeeper - Projects'!$C$4:$C$1010,0)</f>
        <v>#N/A</v>
      </c>
      <c r="AN2485" s="6" t="b">
        <f t="shared" si="260"/>
        <v>1</v>
      </c>
      <c r="AO2485" s="6" t="str">
        <f t="shared" si="261"/>
        <v>OK</v>
      </c>
      <c r="AQ2485" s="6" t="e">
        <f>MATCH($D2485,'D4 - Provider Council Unsched'!$C$11:$C$234,0)</f>
        <v>#N/A</v>
      </c>
      <c r="AR2485" s="6" t="b">
        <f t="shared" si="262"/>
        <v>1</v>
      </c>
      <c r="AS2485" s="6" t="str">
        <f t="shared" si="259"/>
        <v>OK</v>
      </c>
      <c r="AU2485" s="202"/>
      <c r="AV2485" s="262"/>
      <c r="AW2485" s="274"/>
    </row>
    <row r="2486" spans="1:49" s="13" customFormat="1" ht="33.75" x14ac:dyDescent="0.2">
      <c r="A2486" s="14">
        <v>2462</v>
      </c>
      <c r="B2486" s="14">
        <v>400004412</v>
      </c>
      <c r="C2486" s="8" t="s">
        <v>5197</v>
      </c>
      <c r="D2486" s="4" t="str">
        <f t="shared" si="263"/>
        <v>400004412R1</v>
      </c>
      <c r="E2486" s="309" t="str">
        <f>VLOOKUP($B2486,'D7 - NDB Impacted SPRF''s'!$E$6:$O$9929,2,FALSE)</f>
        <v>Unet 835 Release Date Change</v>
      </c>
      <c r="F2486" s="8"/>
      <c r="G2486" s="8" t="s">
        <v>4758</v>
      </c>
      <c r="H2486" s="8" t="s">
        <v>2870</v>
      </c>
      <c r="I2486" s="20"/>
      <c r="J2486" s="8"/>
      <c r="K2486" s="182"/>
      <c r="L2486" s="8" t="s">
        <v>6164</v>
      </c>
      <c r="M2486" s="8" t="s">
        <v>2814</v>
      </c>
      <c r="N2486" s="367"/>
      <c r="O2486" s="8"/>
      <c r="P2486" s="4" t="str">
        <f>VLOOKUP($B2486,'D7 - NDB Impacted SPRF''s'!$E$16:$O$9929,9,FALSE)</f>
        <v>N</v>
      </c>
      <c r="Q2486" s="4" t="str">
        <f>VLOOKUP($B2486,'D7 - NDB Impacted SPRF''s'!$E$16:$O$9929,10,FALSE)</f>
        <v>N</v>
      </c>
      <c r="R2486" s="4" t="str">
        <f>VLOOKUP($B2486,'D7 - NDB Impacted SPRF''s'!$E$16:$O$9929,11,FALSE)</f>
        <v>N</v>
      </c>
      <c r="S2486" s="8"/>
      <c r="T2486" s="310"/>
      <c r="U2486" s="310"/>
      <c r="V2486" s="4"/>
      <c r="W2486" s="4"/>
      <c r="X2486" s="4"/>
      <c r="Y2486" s="4"/>
      <c r="Z2486" s="4"/>
      <c r="AA2486" s="4"/>
      <c r="AB2486" s="380" t="str">
        <f>VLOOKUP($B2486,'D7 - NDB Impacted SPRF''s'!$E$16:$O$9929,4,FALSE)</f>
        <v>Cancelled</v>
      </c>
      <c r="AC2486" s="380" t="str">
        <f>VLOOKUP($B2486,'D7 - NDB Impacted SPRF''s'!$E$16:$O$9929,3,FALSE)</f>
        <v>UnitedHealthcare Employer &amp; Individual</v>
      </c>
      <c r="AD2486" s="380" t="str">
        <f>VLOOKUP($B2486,'D7 - NDB Impacted SPRF''s'!$E$16:$O$9929,5,FALSE)</f>
        <v>Operations Group</v>
      </c>
      <c r="AE2486" s="380" t="str">
        <f>VLOOKUP($B2486,'D7 - NDB Impacted SPRF''s'!$E$16:$O$9929,7,FALSE)</f>
        <v>Peggy Doud</v>
      </c>
      <c r="AF2486" s="380" t="str">
        <f>VLOOKUP($B2486,'D7 - NDB Impacted SPRF''s'!$E$16:$O$9929,6,FALSE)</f>
        <v>Terri Cook</v>
      </c>
      <c r="AG2486" s="282"/>
      <c r="AH2486" s="311" t="e">
        <f>INDEX('D5 - Gatekeeper - Projects'!$A$4:$AF$1010,$AM2486, 17)</f>
        <v>#N/A</v>
      </c>
      <c r="AI2486" s="8"/>
      <c r="AJ2486" s="57"/>
      <c r="AK2486" s="105"/>
      <c r="AM2486" s="6" t="e">
        <f>MATCH(D2486,'D5 - Gatekeeper - Projects'!$C$4:$C$1010,0)</f>
        <v>#N/A</v>
      </c>
      <c r="AN2486" s="6" t="b">
        <f t="shared" si="260"/>
        <v>1</v>
      </c>
      <c r="AO2486" s="6" t="str">
        <f t="shared" si="261"/>
        <v>OK</v>
      </c>
      <c r="AQ2486" s="6" t="e">
        <f>MATCH($D2486,'D4 - Provider Council Unsched'!$C$11:$C$234,0)</f>
        <v>#N/A</v>
      </c>
      <c r="AR2486" s="6" t="b">
        <f t="shared" si="262"/>
        <v>1</v>
      </c>
      <c r="AS2486" s="6" t="str">
        <f t="shared" si="259"/>
        <v>OK</v>
      </c>
      <c r="AU2486" s="202"/>
      <c r="AV2486" s="262"/>
      <c r="AW2486" s="274"/>
    </row>
    <row r="2487" spans="1:49" s="13" customFormat="1" ht="90" x14ac:dyDescent="0.2">
      <c r="A2487" s="14">
        <v>2463</v>
      </c>
      <c r="B2487" s="14">
        <v>400004581</v>
      </c>
      <c r="C2487" s="8" t="s">
        <v>5197</v>
      </c>
      <c r="D2487" s="4" t="str">
        <f t="shared" si="263"/>
        <v>400004581R1</v>
      </c>
      <c r="E2487" s="309" t="str">
        <f>VLOOKUP($B2487,'D7 - NDB Impacted SPRF''s'!$E$6:$O$9929,2,FALSE)</f>
        <v>Opx - NCQA Recognition IDT Program Search</v>
      </c>
      <c r="F2487" s="8" t="s">
        <v>5222</v>
      </c>
      <c r="G2487" s="8" t="s">
        <v>4758</v>
      </c>
      <c r="H2487" s="8" t="s">
        <v>2870</v>
      </c>
      <c r="I2487" s="20">
        <v>11</v>
      </c>
      <c r="J2487" s="8" t="s">
        <v>7113</v>
      </c>
      <c r="K2487" s="182"/>
      <c r="L2487" s="8" t="s">
        <v>4156</v>
      </c>
      <c r="M2487" s="8" t="s">
        <v>2814</v>
      </c>
      <c r="N2487" s="367" t="s">
        <v>6287</v>
      </c>
      <c r="O2487" s="8"/>
      <c r="P2487" s="4" t="str">
        <f>VLOOKUP($B2487,'D7 - NDB Impacted SPRF''s'!$E$16:$O$9929,9,FALSE)</f>
        <v>N</v>
      </c>
      <c r="Q2487" s="4" t="str">
        <f>VLOOKUP($B2487,'D7 - NDB Impacted SPRF''s'!$E$16:$O$9929,10,FALSE)</f>
        <v>N</v>
      </c>
      <c r="R2487" s="4" t="str">
        <f>VLOOKUP($B2487,'D7 - NDB Impacted SPRF''s'!$E$16:$O$9929,11,FALSE)</f>
        <v>N</v>
      </c>
      <c r="S2487" s="8"/>
      <c r="T2487" s="310"/>
      <c r="U2487" s="310"/>
      <c r="V2487" s="4"/>
      <c r="W2487" s="4"/>
      <c r="X2487" s="4"/>
      <c r="Y2487" s="4"/>
      <c r="Z2487" s="4"/>
      <c r="AA2487" s="4"/>
      <c r="AB2487" s="380" t="str">
        <f>VLOOKUP($B2487,'D7 - NDB Impacted SPRF''s'!$E$16:$O$9929,4,FALSE)</f>
        <v>Cancelled</v>
      </c>
      <c r="AC2487" s="380" t="str">
        <f>VLOOKUP($B2487,'D7 - NDB Impacted SPRF''s'!$E$16:$O$9929,3,FALSE)</f>
        <v>UnitedHealthcare Employer &amp; Individual</v>
      </c>
      <c r="AD2487" s="380" t="str">
        <f>VLOOKUP($B2487,'D7 - NDB Impacted SPRF''s'!$E$16:$O$9929,5,FALSE)</f>
        <v>Operations Group</v>
      </c>
      <c r="AE2487" s="380" t="str">
        <f>VLOOKUP($B2487,'D7 - NDB Impacted SPRF''s'!$E$16:$O$9929,7,FALSE)</f>
        <v>Dawn Bazarko</v>
      </c>
      <c r="AF2487" s="380" t="str">
        <f>VLOOKUP($B2487,'D7 - NDB Impacted SPRF''s'!$E$16:$O$9929,6,FALSE)</f>
        <v>RITTEN KIMBERLY</v>
      </c>
      <c r="AG2487" s="282" t="s">
        <v>6602</v>
      </c>
      <c r="AH2487" s="311" t="e">
        <f>INDEX('D5 - Gatekeeper - Projects'!$A$4:$AF$1010,$AM2487, 17)</f>
        <v>#N/A</v>
      </c>
      <c r="AI2487" s="8"/>
      <c r="AJ2487" s="57"/>
      <c r="AK2487" s="105"/>
      <c r="AM2487" s="6" t="e">
        <f>MATCH(D2487,'D5 - Gatekeeper - Projects'!$C$4:$C$1010,0)</f>
        <v>#N/A</v>
      </c>
      <c r="AN2487" s="6" t="b">
        <f t="shared" si="260"/>
        <v>1</v>
      </c>
      <c r="AO2487" s="6" t="str">
        <f t="shared" si="261"/>
        <v>OK</v>
      </c>
      <c r="AQ2487" s="6" t="e">
        <f>MATCH($D2487,'D4 - Provider Council Unsched'!$C$11:$C$234,0)</f>
        <v>#N/A</v>
      </c>
      <c r="AR2487" s="6" t="b">
        <f t="shared" si="262"/>
        <v>1</v>
      </c>
      <c r="AS2487" s="6" t="str">
        <f t="shared" si="259"/>
        <v>OK</v>
      </c>
      <c r="AU2487" s="202"/>
      <c r="AV2487" s="262"/>
      <c r="AW2487" s="274"/>
    </row>
    <row r="2488" spans="1:49" s="13" customFormat="1" x14ac:dyDescent="0.2">
      <c r="A2488" s="14">
        <v>2464</v>
      </c>
      <c r="B2488" s="14">
        <v>400004590</v>
      </c>
      <c r="C2488" s="8" t="s">
        <v>5197</v>
      </c>
      <c r="D2488" s="4" t="str">
        <f t="shared" si="263"/>
        <v>400004590R1</v>
      </c>
      <c r="E2488" s="309" t="str">
        <f>VLOOKUP($B2488,'D7 - NDB Impacted SPRF''s'!$E$6:$O$9929,2,FALSE)</f>
        <v>Empire Plan-Utilize Ingenix data i/o Redbook Data</v>
      </c>
      <c r="F2488" s="8" t="s">
        <v>2391</v>
      </c>
      <c r="G2488" s="8" t="s">
        <v>4758</v>
      </c>
      <c r="H2488" s="8" t="s">
        <v>2870</v>
      </c>
      <c r="I2488" s="20"/>
      <c r="J2488" s="8"/>
      <c r="K2488" s="182"/>
      <c r="L2488" s="8" t="s">
        <v>6164</v>
      </c>
      <c r="M2488" s="8" t="s">
        <v>2814</v>
      </c>
      <c r="N2488" s="367"/>
      <c r="O2488" s="8"/>
      <c r="P2488" s="4" t="str">
        <f>VLOOKUP($B2488,'D7 - NDB Impacted SPRF''s'!$E$16:$O$9929,9,FALSE)</f>
        <v>Y</v>
      </c>
      <c r="Q2488" s="4" t="str">
        <f>VLOOKUP($B2488,'D7 - NDB Impacted SPRF''s'!$E$16:$O$9929,10,FALSE)</f>
        <v>N</v>
      </c>
      <c r="R2488" s="4" t="str">
        <f>VLOOKUP($B2488,'D7 - NDB Impacted SPRF''s'!$E$16:$O$9929,11,FALSE)</f>
        <v>N</v>
      </c>
      <c r="S2488" s="8"/>
      <c r="T2488" s="310"/>
      <c r="U2488" s="310"/>
      <c r="V2488" s="4"/>
      <c r="W2488" s="4"/>
      <c r="X2488" s="4"/>
      <c r="Y2488" s="4"/>
      <c r="Z2488" s="4"/>
      <c r="AA2488" s="4"/>
      <c r="AB2488" s="380" t="str">
        <f>VLOOKUP($B2488,'D7 - NDB Impacted SPRF''s'!$E$16:$O$9929,4,FALSE)</f>
        <v>Cancelled</v>
      </c>
      <c r="AC2488" s="380" t="str">
        <f>VLOOKUP($B2488,'D7 - NDB Impacted SPRF''s'!$E$16:$O$9929,3,FALSE)</f>
        <v>Uniprise</v>
      </c>
      <c r="AD2488" s="380" t="str">
        <f>VLOOKUP($B2488,'D7 - NDB Impacted SPRF''s'!$E$16:$O$9929,5,FALSE)</f>
        <v>USS - DDC</v>
      </c>
      <c r="AE2488" s="380" t="str">
        <f>VLOOKUP($B2488,'D7 - NDB Impacted SPRF''s'!$E$16:$O$9929,7,FALSE)</f>
        <v>Carl Mattson</v>
      </c>
      <c r="AF2488" s="380" t="str">
        <f>VLOOKUP($B2488,'D7 - NDB Impacted SPRF''s'!$E$16:$O$9929,6,FALSE)</f>
        <v>Laurie Torres</v>
      </c>
      <c r="AG2488" s="282"/>
      <c r="AH2488" s="311" t="e">
        <f>INDEX('D5 - Gatekeeper - Projects'!$A$4:$AF$1010,$AM2488, 17)</f>
        <v>#N/A</v>
      </c>
      <c r="AI2488" s="8"/>
      <c r="AJ2488" s="57"/>
      <c r="AK2488" s="105"/>
      <c r="AM2488" s="6" t="e">
        <f>MATCH(D2488,'D5 - Gatekeeper - Projects'!$C$4:$C$1010,0)</f>
        <v>#N/A</v>
      </c>
      <c r="AN2488" s="6" t="b">
        <f t="shared" si="260"/>
        <v>1</v>
      </c>
      <c r="AO2488" s="6" t="str">
        <f t="shared" si="261"/>
        <v>OK</v>
      </c>
      <c r="AQ2488" s="6" t="e">
        <f>MATCH($D2488,'D4 - Provider Council Unsched'!$C$11:$C$234,0)</f>
        <v>#N/A</v>
      </c>
      <c r="AR2488" s="6" t="b">
        <f t="shared" si="262"/>
        <v>1</v>
      </c>
      <c r="AS2488" s="6" t="str">
        <f t="shared" si="259"/>
        <v>OK</v>
      </c>
      <c r="AU2488" s="202"/>
      <c r="AV2488" s="262"/>
      <c r="AW2488" s="274"/>
    </row>
    <row r="2489" spans="1:49" s="13" customFormat="1" ht="33.75" x14ac:dyDescent="0.2">
      <c r="A2489" s="14">
        <v>2465</v>
      </c>
      <c r="B2489" s="14">
        <v>400004603</v>
      </c>
      <c r="C2489" s="8" t="s">
        <v>5197</v>
      </c>
      <c r="D2489" s="4" t="str">
        <f t="shared" si="263"/>
        <v>400004603R1</v>
      </c>
      <c r="E2489" s="309" t="str">
        <f>VLOOKUP($B2489,'D7 - NDB Impacted SPRF''s'!$E$6:$O$9929,2,FALSE)</f>
        <v xml:space="preserve">Daily data feeds to Thedacare  </v>
      </c>
      <c r="F2489" s="8" t="s">
        <v>3235</v>
      </c>
      <c r="G2489" s="8" t="s">
        <v>4758</v>
      </c>
      <c r="H2489" s="8" t="s">
        <v>2870</v>
      </c>
      <c r="I2489" s="20"/>
      <c r="J2489" s="8"/>
      <c r="K2489" s="182"/>
      <c r="L2489" s="8" t="s">
        <v>6164</v>
      </c>
      <c r="M2489" s="8" t="s">
        <v>2814</v>
      </c>
      <c r="N2489" s="367"/>
      <c r="O2489" s="8"/>
      <c r="P2489" s="4" t="str">
        <f>VLOOKUP($B2489,'D7 - NDB Impacted SPRF''s'!$E$16:$O$9929,9,FALSE)</f>
        <v>N</v>
      </c>
      <c r="Q2489" s="4" t="str">
        <f>VLOOKUP($B2489,'D7 - NDB Impacted SPRF''s'!$E$16:$O$9929,10,FALSE)</f>
        <v>N</v>
      </c>
      <c r="R2489" s="4" t="str">
        <f>VLOOKUP($B2489,'D7 - NDB Impacted SPRF''s'!$E$16:$O$9929,11,FALSE)</f>
        <v>N</v>
      </c>
      <c r="S2489" s="8"/>
      <c r="T2489" s="310"/>
      <c r="U2489" s="310"/>
      <c r="V2489" s="4"/>
      <c r="W2489" s="4"/>
      <c r="X2489" s="4"/>
      <c r="Y2489" s="4"/>
      <c r="Z2489" s="4"/>
      <c r="AA2489" s="4"/>
      <c r="AB2489" s="380" t="str">
        <f>VLOOKUP($B2489,'D7 - NDB Impacted SPRF''s'!$E$16:$O$9929,4,FALSE)</f>
        <v>Cancelled</v>
      </c>
      <c r="AC2489" s="380" t="str">
        <f>VLOOKUP($B2489,'D7 - NDB Impacted SPRF''s'!$E$16:$O$9929,3,FALSE)</f>
        <v>UnitedHealthcare Employer &amp; Individual</v>
      </c>
      <c r="AD2489" s="380" t="str">
        <f>VLOOKUP($B2489,'D7 - NDB Impacted SPRF''s'!$E$16:$O$9929,5,FALSE)</f>
        <v>Operations Group</v>
      </c>
      <c r="AE2489" s="380" t="str">
        <f>VLOOKUP($B2489,'D7 - NDB Impacted SPRF''s'!$E$16:$O$9929,7,FALSE)</f>
        <v>Bob Jacqmin</v>
      </c>
      <c r="AF2489" s="380" t="str">
        <f>VLOOKUP($B2489,'D7 - NDB Impacted SPRF''s'!$E$16:$O$9929,6,FALSE)</f>
        <v>Marie Rahn</v>
      </c>
      <c r="AG2489" s="282"/>
      <c r="AH2489" s="311" t="e">
        <f>INDEX('D5 - Gatekeeper - Projects'!$A$4:$AF$1010,$AM2489, 17)</f>
        <v>#N/A</v>
      </c>
      <c r="AI2489" s="8"/>
      <c r="AJ2489" s="57"/>
      <c r="AK2489" s="105"/>
      <c r="AM2489" s="6" t="e">
        <f>MATCH(D2489,'D5 - Gatekeeper - Projects'!$C$4:$C$1010,0)</f>
        <v>#N/A</v>
      </c>
      <c r="AN2489" s="6" t="b">
        <f t="shared" si="260"/>
        <v>1</v>
      </c>
      <c r="AO2489" s="6" t="str">
        <f t="shared" si="261"/>
        <v>OK</v>
      </c>
      <c r="AQ2489" s="6" t="e">
        <f>MATCH($D2489,'D4 - Provider Council Unsched'!$C$11:$C$234,0)</f>
        <v>#N/A</v>
      </c>
      <c r="AR2489" s="6" t="b">
        <f t="shared" si="262"/>
        <v>1</v>
      </c>
      <c r="AS2489" s="6" t="str">
        <f t="shared" si="259"/>
        <v>OK</v>
      </c>
      <c r="AU2489" s="202"/>
      <c r="AV2489" s="262"/>
      <c r="AW2489" s="274"/>
    </row>
    <row r="2490" spans="1:49" s="13" customFormat="1" ht="33.75" x14ac:dyDescent="0.2">
      <c r="A2490" s="14">
        <v>2466</v>
      </c>
      <c r="B2490" s="14">
        <v>400004641</v>
      </c>
      <c r="C2490" s="8" t="s">
        <v>5197</v>
      </c>
      <c r="D2490" s="4" t="str">
        <f t="shared" si="263"/>
        <v>400004641R1</v>
      </c>
      <c r="E2490" s="309" t="str">
        <f>VLOOKUP($B2490,'D7 - NDB Impacted SPRF''s'!$E$6:$O$9929,2,FALSE)</f>
        <v>UnitedHealth Allies Participant Indicator</v>
      </c>
      <c r="F2490" s="8"/>
      <c r="G2490" s="8" t="s">
        <v>4758</v>
      </c>
      <c r="H2490" s="8" t="s">
        <v>2870</v>
      </c>
      <c r="I2490" s="20"/>
      <c r="J2490" s="8"/>
      <c r="K2490" s="182"/>
      <c r="L2490" s="8" t="s">
        <v>6164</v>
      </c>
      <c r="M2490" s="8" t="s">
        <v>2814</v>
      </c>
      <c r="N2490" s="367"/>
      <c r="O2490" s="8"/>
      <c r="P2490" s="4" t="str">
        <f>VLOOKUP($B2490,'D7 - NDB Impacted SPRF''s'!$E$16:$O$9929,9,FALSE)</f>
        <v>N</v>
      </c>
      <c r="Q2490" s="4" t="str">
        <f>VLOOKUP($B2490,'D7 - NDB Impacted SPRF''s'!$E$16:$O$9929,10,FALSE)</f>
        <v>N</v>
      </c>
      <c r="R2490" s="4" t="str">
        <f>VLOOKUP($B2490,'D7 - NDB Impacted SPRF''s'!$E$16:$O$9929,11,FALSE)</f>
        <v>N</v>
      </c>
      <c r="S2490" s="8"/>
      <c r="T2490" s="310"/>
      <c r="U2490" s="310"/>
      <c r="V2490" s="4"/>
      <c r="W2490" s="4"/>
      <c r="X2490" s="4"/>
      <c r="Y2490" s="4"/>
      <c r="Z2490" s="4"/>
      <c r="AA2490" s="4"/>
      <c r="AB2490" s="380" t="str">
        <f>VLOOKUP($B2490,'D7 - NDB Impacted SPRF''s'!$E$16:$O$9929,4,FALSE)</f>
        <v>Cancelled</v>
      </c>
      <c r="AC2490" s="380" t="str">
        <f>VLOOKUP($B2490,'D7 - NDB Impacted SPRF''s'!$E$16:$O$9929,3,FALSE)</f>
        <v>UnitedHealthcare Employer &amp; Individual</v>
      </c>
      <c r="AD2490" s="380" t="str">
        <f>VLOOKUP($B2490,'D7 - NDB Impacted SPRF''s'!$E$16:$O$9929,5,FALSE)</f>
        <v>Operations Group</v>
      </c>
      <c r="AE2490" s="380" t="str">
        <f>VLOOKUP($B2490,'D7 - NDB Impacted SPRF''s'!$E$16:$O$9929,7,FALSE)</f>
        <v>Ed Novinski</v>
      </c>
      <c r="AF2490" s="380" t="str">
        <f>VLOOKUP($B2490,'D7 - NDB Impacted SPRF''s'!$E$16:$O$9929,6,FALSE)</f>
        <v>RANDY FARBER</v>
      </c>
      <c r="AG2490" s="282"/>
      <c r="AH2490" s="311" t="e">
        <f>INDEX('D5 - Gatekeeper - Projects'!$A$4:$AF$1010,$AM2490, 17)</f>
        <v>#N/A</v>
      </c>
      <c r="AI2490" s="8"/>
      <c r="AJ2490" s="57"/>
      <c r="AK2490" s="105"/>
      <c r="AM2490" s="6" t="e">
        <f>MATCH(D2490,'D5 - Gatekeeper - Projects'!$C$4:$C$1010,0)</f>
        <v>#N/A</v>
      </c>
      <c r="AN2490" s="6" t="b">
        <f t="shared" si="260"/>
        <v>1</v>
      </c>
      <c r="AO2490" s="6" t="str">
        <f t="shared" si="261"/>
        <v>OK</v>
      </c>
      <c r="AQ2490" s="6" t="e">
        <f>MATCH($D2490,'D4 - Provider Council Unsched'!$C$11:$C$234,0)</f>
        <v>#N/A</v>
      </c>
      <c r="AR2490" s="6" t="b">
        <f t="shared" si="262"/>
        <v>1</v>
      </c>
      <c r="AS2490" s="6" t="str">
        <f t="shared" si="259"/>
        <v>OK</v>
      </c>
      <c r="AU2490" s="202"/>
      <c r="AV2490" s="262"/>
      <c r="AW2490" s="274"/>
    </row>
    <row r="2491" spans="1:49" s="13" customFormat="1" ht="22.5" x14ac:dyDescent="0.2">
      <c r="A2491" s="14">
        <v>2467</v>
      </c>
      <c r="B2491" s="14">
        <v>400004788</v>
      </c>
      <c r="C2491" s="8" t="s">
        <v>5197</v>
      </c>
      <c r="D2491" s="4" t="str">
        <f t="shared" si="263"/>
        <v>400004788R1</v>
      </c>
      <c r="E2491" s="309" t="str">
        <f>VLOOKUP($B2491,'D7 - NDB Impacted SPRF''s'!$E$6:$O$9929,2,FALSE)</f>
        <v>SOX Compliance Superuser reporting/certification</v>
      </c>
      <c r="F2491" s="8" t="s">
        <v>5589</v>
      </c>
      <c r="G2491" s="8" t="s">
        <v>4758</v>
      </c>
      <c r="H2491" s="8" t="s">
        <v>2870</v>
      </c>
      <c r="I2491" s="20"/>
      <c r="J2491" s="8"/>
      <c r="K2491" s="182"/>
      <c r="L2491" s="8" t="s">
        <v>6164</v>
      </c>
      <c r="M2491" s="8" t="s">
        <v>2814</v>
      </c>
      <c r="N2491" s="367"/>
      <c r="O2491" s="8"/>
      <c r="P2491" s="4" t="str">
        <f>VLOOKUP($B2491,'D7 - NDB Impacted SPRF''s'!$E$16:$O$9929,9,FALSE)</f>
        <v>N</v>
      </c>
      <c r="Q2491" s="4" t="str">
        <f>VLOOKUP($B2491,'D7 - NDB Impacted SPRF''s'!$E$16:$O$9929,10,FALSE)</f>
        <v>N</v>
      </c>
      <c r="R2491" s="4" t="str">
        <f>VLOOKUP($B2491,'D7 - NDB Impacted SPRF''s'!$E$16:$O$9929,11,FALSE)</f>
        <v>N</v>
      </c>
      <c r="S2491" s="8"/>
      <c r="T2491" s="310"/>
      <c r="U2491" s="310"/>
      <c r="V2491" s="4"/>
      <c r="W2491" s="4"/>
      <c r="X2491" s="4"/>
      <c r="Y2491" s="4"/>
      <c r="Z2491" s="4"/>
      <c r="AA2491" s="4"/>
      <c r="AB2491" s="380" t="str">
        <f>VLOOKUP($B2491,'D7 - NDB Impacted SPRF''s'!$E$16:$O$9929,4,FALSE)</f>
        <v>Cancelled</v>
      </c>
      <c r="AC2491" s="380" t="str">
        <f>VLOOKUP($B2491,'D7 - NDB Impacted SPRF''s'!$E$16:$O$9929,3,FALSE)</f>
        <v>Uniprise</v>
      </c>
      <c r="AD2491" s="380" t="str">
        <f>VLOOKUP($B2491,'D7 - NDB Impacted SPRF''s'!$E$16:$O$9929,5,FALSE)</f>
        <v>Definity - DDC</v>
      </c>
      <c r="AE2491" s="380" t="str">
        <f>VLOOKUP($B2491,'D7 - NDB Impacted SPRF''s'!$E$16:$O$9929,7,FALSE)</f>
        <v>Carl Bilter</v>
      </c>
      <c r="AF2491" s="380" t="str">
        <f>VLOOKUP($B2491,'D7 - NDB Impacted SPRF''s'!$E$16:$O$9929,6,FALSE)</f>
        <v>MARILYNN KING</v>
      </c>
      <c r="AG2491" s="282"/>
      <c r="AH2491" s="311" t="e">
        <f>INDEX('D5 - Gatekeeper - Projects'!$A$4:$AF$1010,$AM2491, 17)</f>
        <v>#N/A</v>
      </c>
      <c r="AI2491" s="8"/>
      <c r="AJ2491" s="57"/>
      <c r="AK2491" s="105"/>
      <c r="AM2491" s="6" t="e">
        <f>MATCH(D2491,'D5 - Gatekeeper - Projects'!$C$4:$C$1010,0)</f>
        <v>#N/A</v>
      </c>
      <c r="AN2491" s="6" t="b">
        <f t="shared" si="260"/>
        <v>1</v>
      </c>
      <c r="AO2491" s="6" t="str">
        <f t="shared" si="261"/>
        <v>OK</v>
      </c>
      <c r="AQ2491" s="6" t="e">
        <f>MATCH($D2491,'D4 - Provider Council Unsched'!$C$11:$C$234,0)</f>
        <v>#N/A</v>
      </c>
      <c r="AR2491" s="6" t="b">
        <f t="shared" si="262"/>
        <v>1</v>
      </c>
      <c r="AS2491" s="6" t="str">
        <f t="shared" si="259"/>
        <v>OK</v>
      </c>
      <c r="AU2491" s="202"/>
      <c r="AV2491" s="262"/>
      <c r="AW2491" s="274"/>
    </row>
    <row r="2492" spans="1:49" s="13" customFormat="1" x14ac:dyDescent="0.2">
      <c r="A2492" s="14">
        <v>2468</v>
      </c>
      <c r="B2492" s="14">
        <v>400004856</v>
      </c>
      <c r="C2492" s="8" t="s">
        <v>5197</v>
      </c>
      <c r="D2492" s="4" t="str">
        <f t="shared" si="263"/>
        <v>400004856R1</v>
      </c>
      <c r="E2492" s="309" t="str">
        <f>VLOOKUP($B2492,'D7 - NDB Impacted SPRF''s'!$E$6:$O$9929,2,FALSE)</f>
        <v>NDB Data Feed</v>
      </c>
      <c r="F2492" s="8" t="s">
        <v>3235</v>
      </c>
      <c r="G2492" s="8" t="s">
        <v>4758</v>
      </c>
      <c r="H2492" s="8" t="s">
        <v>2870</v>
      </c>
      <c r="I2492" s="20"/>
      <c r="J2492" s="8"/>
      <c r="K2492" s="182"/>
      <c r="L2492" s="8" t="s">
        <v>6164</v>
      </c>
      <c r="M2492" s="8" t="s">
        <v>2814</v>
      </c>
      <c r="N2492" s="367"/>
      <c r="O2492" s="8"/>
      <c r="P2492" s="4" t="str">
        <f>VLOOKUP($B2492,'D7 - NDB Impacted SPRF''s'!$E$16:$O$9929,9,FALSE)</f>
        <v>N</v>
      </c>
      <c r="Q2492" s="4" t="str">
        <f>VLOOKUP($B2492,'D7 - NDB Impacted SPRF''s'!$E$16:$O$9929,10,FALSE)</f>
        <v>N</v>
      </c>
      <c r="R2492" s="4" t="str">
        <f>VLOOKUP($B2492,'D7 - NDB Impacted SPRF''s'!$E$16:$O$9929,11,FALSE)</f>
        <v>N</v>
      </c>
      <c r="S2492" s="8"/>
      <c r="T2492" s="310"/>
      <c r="U2492" s="310"/>
      <c r="V2492" s="4"/>
      <c r="W2492" s="4"/>
      <c r="X2492" s="4"/>
      <c r="Y2492" s="4"/>
      <c r="Z2492" s="4"/>
      <c r="AA2492" s="4"/>
      <c r="AB2492" s="380" t="str">
        <f>VLOOKUP($B2492,'D7 - NDB Impacted SPRF''s'!$E$16:$O$9929,4,FALSE)</f>
        <v>Cancelled</v>
      </c>
      <c r="AC2492" s="380" t="str">
        <f>VLOOKUP($B2492,'D7 - NDB Impacted SPRF''s'!$E$16:$O$9929,3,FALSE)</f>
        <v>Uniprise</v>
      </c>
      <c r="AD2492" s="380" t="str">
        <f>VLOOKUP($B2492,'D7 - NDB Impacted SPRF''s'!$E$16:$O$9929,5,FALSE)</f>
        <v>UOS - DDC</v>
      </c>
      <c r="AE2492" s="380" t="str">
        <f>VLOOKUP($B2492,'D7 - NDB Impacted SPRF''s'!$E$16:$O$9929,7,FALSE)</f>
        <v>Joanne Houck</v>
      </c>
      <c r="AF2492" s="380" t="str">
        <f>VLOOKUP($B2492,'D7 - NDB Impacted SPRF''s'!$E$16:$O$9929,6,FALSE)</f>
        <v>Flo Hebert</v>
      </c>
      <c r="AG2492" s="282"/>
      <c r="AH2492" s="311" t="e">
        <f>INDEX('D5 - Gatekeeper - Projects'!$A$4:$AF$1010,$AM2492, 17)</f>
        <v>#N/A</v>
      </c>
      <c r="AI2492" s="8"/>
      <c r="AJ2492" s="57"/>
      <c r="AK2492" s="105"/>
      <c r="AM2492" s="6" t="e">
        <f>MATCH(D2492,'D5 - Gatekeeper - Projects'!$C$4:$C$1010,0)</f>
        <v>#N/A</v>
      </c>
      <c r="AN2492" s="6" t="b">
        <f t="shared" si="260"/>
        <v>1</v>
      </c>
      <c r="AO2492" s="6" t="str">
        <f t="shared" si="261"/>
        <v>OK</v>
      </c>
      <c r="AQ2492" s="6" t="e">
        <f>MATCH($D2492,'D4 - Provider Council Unsched'!$C$11:$C$234,0)</f>
        <v>#N/A</v>
      </c>
      <c r="AR2492" s="6" t="b">
        <f t="shared" si="262"/>
        <v>1</v>
      </c>
      <c r="AS2492" s="6" t="str">
        <f t="shared" si="259"/>
        <v>OK</v>
      </c>
      <c r="AU2492" s="202"/>
      <c r="AV2492" s="262"/>
      <c r="AW2492" s="274"/>
    </row>
    <row r="2493" spans="1:49" s="13" customFormat="1" x14ac:dyDescent="0.2">
      <c r="A2493" s="14">
        <v>2469</v>
      </c>
      <c r="B2493" s="14">
        <v>400004891</v>
      </c>
      <c r="C2493" s="8" t="s">
        <v>5197</v>
      </c>
      <c r="D2493" s="4" t="str">
        <f t="shared" si="263"/>
        <v>400004891R1</v>
      </c>
      <c r="E2493" s="309" t="str">
        <f>VLOOKUP($B2493,'D7 - NDB Impacted SPRF''s'!$E$6:$O$9929,2,FALSE)</f>
        <v>Medica End-State Model/Target System Architecture</v>
      </c>
      <c r="F2493" s="8" t="s">
        <v>3884</v>
      </c>
      <c r="G2493" s="8" t="s">
        <v>4758</v>
      </c>
      <c r="H2493" s="8" t="s">
        <v>2870</v>
      </c>
      <c r="I2493" s="20"/>
      <c r="J2493" s="8"/>
      <c r="K2493" s="182"/>
      <c r="L2493" s="8" t="s">
        <v>6164</v>
      </c>
      <c r="M2493" s="8" t="s">
        <v>2814</v>
      </c>
      <c r="N2493" s="367"/>
      <c r="O2493" s="8"/>
      <c r="P2493" s="4" t="str">
        <f>VLOOKUP($B2493,'D7 - NDB Impacted SPRF''s'!$E$16:$O$9929,9,FALSE)</f>
        <v>Y</v>
      </c>
      <c r="Q2493" s="4" t="str">
        <f>VLOOKUP($B2493,'D7 - NDB Impacted SPRF''s'!$E$16:$O$9929,10,FALSE)</f>
        <v>N</v>
      </c>
      <c r="R2493" s="4" t="str">
        <f>VLOOKUP($B2493,'D7 - NDB Impacted SPRF''s'!$E$16:$O$9929,11,FALSE)</f>
        <v>N</v>
      </c>
      <c r="S2493" s="8"/>
      <c r="T2493" s="310"/>
      <c r="U2493" s="310"/>
      <c r="V2493" s="4"/>
      <c r="W2493" s="4"/>
      <c r="X2493" s="4"/>
      <c r="Y2493" s="4"/>
      <c r="Z2493" s="4"/>
      <c r="AA2493" s="4"/>
      <c r="AB2493" s="380" t="str">
        <f>VLOOKUP($B2493,'D7 - NDB Impacted SPRF''s'!$E$16:$O$9929,4,FALSE)</f>
        <v>Cancelled</v>
      </c>
      <c r="AC2493" s="380" t="str">
        <f>VLOOKUP($B2493,'D7 - NDB Impacted SPRF''s'!$E$16:$O$9929,3,FALSE)</f>
        <v>Uniprise</v>
      </c>
      <c r="AD2493" s="380" t="str">
        <f>VLOOKUP($B2493,'D7 - NDB Impacted SPRF''s'!$E$16:$O$9929,5,FALSE)</f>
        <v>UOS - DDC</v>
      </c>
      <c r="AE2493" s="380" t="str">
        <f>VLOOKUP($B2493,'D7 - NDB Impacted SPRF''s'!$E$16:$O$9929,7,FALSE)</f>
        <v>Joanne Houck</v>
      </c>
      <c r="AF2493" s="380" t="str">
        <f>VLOOKUP($B2493,'D7 - NDB Impacted SPRF''s'!$E$16:$O$9929,6,FALSE)</f>
        <v>Joanne Houck</v>
      </c>
      <c r="AG2493" s="282"/>
      <c r="AH2493" s="311" t="e">
        <f>INDEX('D5 - Gatekeeper - Projects'!$A$4:$AF$1010,$AM2493, 17)</f>
        <v>#N/A</v>
      </c>
      <c r="AI2493" s="8"/>
      <c r="AJ2493" s="57"/>
      <c r="AK2493" s="105"/>
      <c r="AM2493" s="6" t="e">
        <f>MATCH(D2493,'D5 - Gatekeeper - Projects'!$C$4:$C$1010,0)</f>
        <v>#N/A</v>
      </c>
      <c r="AN2493" s="6" t="b">
        <f t="shared" si="260"/>
        <v>1</v>
      </c>
      <c r="AO2493" s="6" t="str">
        <f t="shared" si="261"/>
        <v>OK</v>
      </c>
      <c r="AQ2493" s="6" t="e">
        <f>MATCH($D2493,'D4 - Provider Council Unsched'!$C$11:$C$234,0)</f>
        <v>#N/A</v>
      </c>
      <c r="AR2493" s="6" t="b">
        <f t="shared" si="262"/>
        <v>1</v>
      </c>
      <c r="AS2493" s="6" t="str">
        <f t="shared" si="259"/>
        <v>OK</v>
      </c>
      <c r="AU2493" s="202"/>
      <c r="AV2493" s="262"/>
      <c r="AW2493" s="274"/>
    </row>
    <row r="2494" spans="1:49" s="13" customFormat="1" ht="33.75" x14ac:dyDescent="0.2">
      <c r="A2494" s="14">
        <v>2470</v>
      </c>
      <c r="B2494" s="14">
        <v>400004898</v>
      </c>
      <c r="C2494" s="8" t="s">
        <v>5197</v>
      </c>
      <c r="D2494" s="4" t="str">
        <f t="shared" si="263"/>
        <v>400004898R1</v>
      </c>
      <c r="E2494" s="309" t="str">
        <f>VLOOKUP($B2494,'D7 - NDB Impacted SPRF''s'!$E$6:$O$9929,2,FALSE)</f>
        <v>Fee Schedule Load Enhancements - Phase II</v>
      </c>
      <c r="F2494" s="8" t="s">
        <v>5742</v>
      </c>
      <c r="G2494" s="8" t="s">
        <v>4758</v>
      </c>
      <c r="H2494" s="8" t="s">
        <v>2870</v>
      </c>
      <c r="I2494" s="20"/>
      <c r="J2494" s="8"/>
      <c r="K2494" s="182"/>
      <c r="L2494" s="8" t="s">
        <v>6164</v>
      </c>
      <c r="M2494" s="8" t="s">
        <v>2814</v>
      </c>
      <c r="N2494" s="367"/>
      <c r="O2494" s="8"/>
      <c r="P2494" s="4" t="str">
        <f>VLOOKUP($B2494,'D7 - NDB Impacted SPRF''s'!$E$16:$O$9929,9,FALSE)</f>
        <v>Y</v>
      </c>
      <c r="Q2494" s="4" t="str">
        <f>VLOOKUP($B2494,'D7 - NDB Impacted SPRF''s'!$E$16:$O$9929,10,FALSE)</f>
        <v>N</v>
      </c>
      <c r="R2494" s="4" t="str">
        <f>VLOOKUP($B2494,'D7 - NDB Impacted SPRF''s'!$E$16:$O$9929,11,FALSE)</f>
        <v>N</v>
      </c>
      <c r="S2494" s="8"/>
      <c r="T2494" s="310"/>
      <c r="U2494" s="310"/>
      <c r="V2494" s="4"/>
      <c r="W2494" s="4"/>
      <c r="X2494" s="4"/>
      <c r="Y2494" s="4"/>
      <c r="Z2494" s="4"/>
      <c r="AA2494" s="4"/>
      <c r="AB2494" s="380" t="str">
        <f>VLOOKUP($B2494,'D7 - NDB Impacted SPRF''s'!$E$16:$O$9929,4,FALSE)</f>
        <v>Cancelled</v>
      </c>
      <c r="AC2494" s="380" t="str">
        <f>VLOOKUP($B2494,'D7 - NDB Impacted SPRF''s'!$E$16:$O$9929,3,FALSE)</f>
        <v>UnitedHealthcare Employer &amp; Individual</v>
      </c>
      <c r="AD2494" s="380" t="str">
        <f>VLOOKUP($B2494,'D7 - NDB Impacted SPRF''s'!$E$16:$O$9929,5,FALSE)</f>
        <v>Operations Group</v>
      </c>
      <c r="AE2494" s="380" t="str">
        <f>VLOOKUP($B2494,'D7 - NDB Impacted SPRF''s'!$E$16:$O$9929,7,FALSE)</f>
        <v>Peter Bompane</v>
      </c>
      <c r="AF2494" s="380" t="str">
        <f>VLOOKUP($B2494,'D7 - NDB Impacted SPRF''s'!$E$16:$O$9929,6,FALSE)</f>
        <v>Matthew E Johnson</v>
      </c>
      <c r="AG2494" s="282"/>
      <c r="AH2494" s="311" t="e">
        <f>INDEX('D5 - Gatekeeper - Projects'!$A$4:$AF$1010,$AM2494, 17)</f>
        <v>#N/A</v>
      </c>
      <c r="AI2494" s="8"/>
      <c r="AJ2494" s="57"/>
      <c r="AK2494" s="105"/>
      <c r="AM2494" s="6" t="e">
        <f>MATCH(D2494,'D5 - Gatekeeper - Projects'!$C$4:$C$1010,0)</f>
        <v>#N/A</v>
      </c>
      <c r="AN2494" s="6" t="b">
        <f t="shared" si="260"/>
        <v>1</v>
      </c>
      <c r="AO2494" s="6" t="str">
        <f t="shared" si="261"/>
        <v>OK</v>
      </c>
      <c r="AQ2494" s="6" t="e">
        <f>MATCH($D2494,'D4 - Provider Council Unsched'!$C$11:$C$234,0)</f>
        <v>#N/A</v>
      </c>
      <c r="AR2494" s="6" t="b">
        <f t="shared" si="262"/>
        <v>1</v>
      </c>
      <c r="AS2494" s="6" t="str">
        <f t="shared" si="259"/>
        <v>OK</v>
      </c>
      <c r="AU2494" s="202"/>
      <c r="AV2494" s="262"/>
      <c r="AW2494" s="274"/>
    </row>
    <row r="2495" spans="1:49" s="13" customFormat="1" x14ac:dyDescent="0.2">
      <c r="A2495" s="14">
        <v>2471</v>
      </c>
      <c r="B2495" s="14">
        <v>400004939</v>
      </c>
      <c r="C2495" s="8" t="s">
        <v>5197</v>
      </c>
      <c r="D2495" s="4" t="str">
        <f t="shared" si="263"/>
        <v>400004939R1</v>
      </c>
      <c r="E2495" s="309" t="str">
        <f>VLOOKUP($B2495,'D7 - NDB Impacted SPRF''s'!$E$6:$O$9929,2,FALSE)</f>
        <v>Medica NPI HIPAA Implementation</v>
      </c>
      <c r="F2495" s="8" t="s">
        <v>3884</v>
      </c>
      <c r="G2495" s="8" t="s">
        <v>4758</v>
      </c>
      <c r="H2495" s="8" t="s">
        <v>2870</v>
      </c>
      <c r="I2495" s="20"/>
      <c r="J2495" s="8"/>
      <c r="K2495" s="182"/>
      <c r="L2495" s="8" t="s">
        <v>6164</v>
      </c>
      <c r="M2495" s="8" t="s">
        <v>2814</v>
      </c>
      <c r="N2495" s="367"/>
      <c r="O2495" s="8"/>
      <c r="P2495" s="4" t="str">
        <f>VLOOKUP($B2495,'D7 - NDB Impacted SPRF''s'!$E$16:$O$9929,9,FALSE)</f>
        <v>N</v>
      </c>
      <c r="Q2495" s="4" t="str">
        <f>VLOOKUP($B2495,'D7 - NDB Impacted SPRF''s'!$E$16:$O$9929,10,FALSE)</f>
        <v>N</v>
      </c>
      <c r="R2495" s="4" t="str">
        <f>VLOOKUP($B2495,'D7 - NDB Impacted SPRF''s'!$E$16:$O$9929,11,FALSE)</f>
        <v>N</v>
      </c>
      <c r="S2495" s="8"/>
      <c r="T2495" s="310"/>
      <c r="U2495" s="310"/>
      <c r="V2495" s="4"/>
      <c r="W2495" s="4"/>
      <c r="X2495" s="4"/>
      <c r="Y2495" s="4"/>
      <c r="Z2495" s="4"/>
      <c r="AA2495" s="4"/>
      <c r="AB2495" s="380" t="str">
        <f>VLOOKUP($B2495,'D7 - NDB Impacted SPRF''s'!$E$16:$O$9929,4,FALSE)</f>
        <v>Cancelled</v>
      </c>
      <c r="AC2495" s="380" t="str">
        <f>VLOOKUP($B2495,'D7 - NDB Impacted SPRF''s'!$E$16:$O$9929,3,FALSE)</f>
        <v>Uniprise</v>
      </c>
      <c r="AD2495" s="380" t="str">
        <f>VLOOKUP($B2495,'D7 - NDB Impacted SPRF''s'!$E$16:$O$9929,5,FALSE)</f>
        <v>UOS - DDC</v>
      </c>
      <c r="AE2495" s="380" t="str">
        <f>VLOOKUP($B2495,'D7 - NDB Impacted SPRF''s'!$E$16:$O$9929,7,FALSE)</f>
        <v>Joanne Houck</v>
      </c>
      <c r="AF2495" s="380" t="str">
        <f>VLOOKUP($B2495,'D7 - NDB Impacted SPRF''s'!$E$16:$O$9929,6,FALSE)</f>
        <v>KURT SHERA</v>
      </c>
      <c r="AG2495" s="282"/>
      <c r="AH2495" s="311" t="e">
        <f>INDEX('D5 - Gatekeeper - Projects'!$A$4:$AF$1010,$AM2495, 17)</f>
        <v>#N/A</v>
      </c>
      <c r="AI2495" s="8"/>
      <c r="AJ2495" s="57"/>
      <c r="AK2495" s="105"/>
      <c r="AM2495" s="6" t="e">
        <f>MATCH(D2495,'D5 - Gatekeeper - Projects'!$C$4:$C$1010,0)</f>
        <v>#N/A</v>
      </c>
      <c r="AN2495" s="6" t="b">
        <f t="shared" si="260"/>
        <v>1</v>
      </c>
      <c r="AO2495" s="6" t="str">
        <f t="shared" si="261"/>
        <v>OK</v>
      </c>
      <c r="AQ2495" s="6" t="e">
        <f>MATCH($D2495,'D4 - Provider Council Unsched'!$C$11:$C$234,0)</f>
        <v>#N/A</v>
      </c>
      <c r="AR2495" s="6" t="b">
        <f t="shared" si="262"/>
        <v>1</v>
      </c>
      <c r="AS2495" s="6" t="str">
        <f t="shared" si="259"/>
        <v>OK</v>
      </c>
      <c r="AU2495" s="202"/>
      <c r="AV2495" s="262"/>
      <c r="AW2495" s="274"/>
    </row>
    <row r="2496" spans="1:49" s="13" customFormat="1" ht="33.75" x14ac:dyDescent="0.2">
      <c r="A2496" s="14">
        <v>2472</v>
      </c>
      <c r="B2496" s="14">
        <v>400004982</v>
      </c>
      <c r="C2496" s="8" t="s">
        <v>5197</v>
      </c>
      <c r="D2496" s="4" t="str">
        <f t="shared" si="263"/>
        <v>400004982R1</v>
      </c>
      <c r="E2496" s="309" t="str">
        <f>VLOOKUP($B2496,'D7 - NDB Impacted SPRF''s'!$E$6:$O$9929,2,FALSE)</f>
        <v>ACM/National Ancillary Claim Pricing</v>
      </c>
      <c r="F2496" s="8"/>
      <c r="G2496" s="8" t="s">
        <v>4758</v>
      </c>
      <c r="H2496" s="8" t="s">
        <v>2870</v>
      </c>
      <c r="I2496" s="20"/>
      <c r="J2496" s="8"/>
      <c r="K2496" s="182"/>
      <c r="L2496" s="8" t="s">
        <v>6164</v>
      </c>
      <c r="M2496" s="8" t="s">
        <v>2814</v>
      </c>
      <c r="N2496" s="367"/>
      <c r="O2496" s="8"/>
      <c r="P2496" s="4" t="str">
        <f>VLOOKUP($B2496,'D7 - NDB Impacted SPRF''s'!$E$16:$O$9929,9,FALSE)</f>
        <v>N</v>
      </c>
      <c r="Q2496" s="4" t="str">
        <f>VLOOKUP($B2496,'D7 - NDB Impacted SPRF''s'!$E$16:$O$9929,10,FALSE)</f>
        <v>N</v>
      </c>
      <c r="R2496" s="4" t="str">
        <f>VLOOKUP($B2496,'D7 - NDB Impacted SPRF''s'!$E$16:$O$9929,11,FALSE)</f>
        <v>N</v>
      </c>
      <c r="S2496" s="8"/>
      <c r="T2496" s="310"/>
      <c r="U2496" s="310"/>
      <c r="V2496" s="4"/>
      <c r="W2496" s="4"/>
      <c r="X2496" s="4"/>
      <c r="Y2496" s="4"/>
      <c r="Z2496" s="4"/>
      <c r="AA2496" s="4"/>
      <c r="AB2496" s="380" t="str">
        <f>VLOOKUP($B2496,'D7 - NDB Impacted SPRF''s'!$E$16:$O$9929,4,FALSE)</f>
        <v>Cancelled</v>
      </c>
      <c r="AC2496" s="380" t="str">
        <f>VLOOKUP($B2496,'D7 - NDB Impacted SPRF''s'!$E$16:$O$9929,3,FALSE)</f>
        <v>UnitedHealthcare Employer &amp; Individual</v>
      </c>
      <c r="AD2496" s="380" t="str">
        <f>VLOOKUP($B2496,'D7 - NDB Impacted SPRF''s'!$E$16:$O$9929,5,FALSE)</f>
        <v>Operations Group</v>
      </c>
      <c r="AE2496" s="380" t="str">
        <f>VLOOKUP($B2496,'D7 - NDB Impacted SPRF''s'!$E$16:$O$9929,7,FALSE)</f>
        <v>Patrick Kennedy</v>
      </c>
      <c r="AF2496" s="380" t="str">
        <f>VLOOKUP($B2496,'D7 - NDB Impacted SPRF''s'!$E$16:$O$9929,6,FALSE)</f>
        <v>Tammy Hausken</v>
      </c>
      <c r="AG2496" s="282"/>
      <c r="AH2496" s="311" t="e">
        <f>INDEX('D5 - Gatekeeper - Projects'!$A$4:$AF$1010,$AM2496, 17)</f>
        <v>#N/A</v>
      </c>
      <c r="AI2496" s="8"/>
      <c r="AJ2496" s="57"/>
      <c r="AK2496" s="105"/>
      <c r="AM2496" s="6" t="e">
        <f>MATCH(D2496,'D5 - Gatekeeper - Projects'!$C$4:$C$1010,0)</f>
        <v>#N/A</v>
      </c>
      <c r="AN2496" s="6" t="b">
        <f t="shared" si="260"/>
        <v>1</v>
      </c>
      <c r="AO2496" s="6" t="str">
        <f t="shared" si="261"/>
        <v>OK</v>
      </c>
      <c r="AQ2496" s="6" t="e">
        <f>MATCH($D2496,'D4 - Provider Council Unsched'!$C$11:$C$234,0)</f>
        <v>#N/A</v>
      </c>
      <c r="AR2496" s="6" t="b">
        <f t="shared" si="262"/>
        <v>1</v>
      </c>
      <c r="AS2496" s="6" t="str">
        <f t="shared" si="259"/>
        <v>OK</v>
      </c>
      <c r="AU2496" s="202"/>
      <c r="AV2496" s="262"/>
      <c r="AW2496" s="274"/>
    </row>
    <row r="2497" spans="1:49" s="13" customFormat="1" ht="33.75" x14ac:dyDescent="0.2">
      <c r="A2497" s="14">
        <v>2473</v>
      </c>
      <c r="B2497" s="14">
        <v>400005051</v>
      </c>
      <c r="C2497" s="8" t="s">
        <v>5197</v>
      </c>
      <c r="D2497" s="4" t="str">
        <f t="shared" si="263"/>
        <v>400005051R1</v>
      </c>
      <c r="E2497" s="309" t="str">
        <f>VLOOKUP($B2497,'D7 - NDB Impacted SPRF''s'!$E$6:$O$9929,2,FALSE)</f>
        <v>diCarta Phy Load - Exclusion Table</v>
      </c>
      <c r="F2497" s="8" t="s">
        <v>4695</v>
      </c>
      <c r="G2497" s="8" t="s">
        <v>4758</v>
      </c>
      <c r="H2497" s="8" t="s">
        <v>2870</v>
      </c>
      <c r="I2497" s="20"/>
      <c r="J2497" s="8"/>
      <c r="K2497" s="182"/>
      <c r="L2497" s="8" t="s">
        <v>6164</v>
      </c>
      <c r="M2497" s="8" t="s">
        <v>2814</v>
      </c>
      <c r="N2497" s="367"/>
      <c r="O2497" s="8"/>
      <c r="P2497" s="4" t="str">
        <f>VLOOKUP($B2497,'D7 - NDB Impacted SPRF''s'!$E$16:$O$9929,9,FALSE)</f>
        <v>N</v>
      </c>
      <c r="Q2497" s="4" t="str">
        <f>VLOOKUP($B2497,'D7 - NDB Impacted SPRF''s'!$E$16:$O$9929,10,FALSE)</f>
        <v>N</v>
      </c>
      <c r="R2497" s="4" t="str">
        <f>VLOOKUP($B2497,'D7 - NDB Impacted SPRF''s'!$E$16:$O$9929,11,FALSE)</f>
        <v>N</v>
      </c>
      <c r="S2497" s="8"/>
      <c r="T2497" s="310"/>
      <c r="U2497" s="310"/>
      <c r="V2497" s="4"/>
      <c r="W2497" s="4"/>
      <c r="X2497" s="4"/>
      <c r="Y2497" s="4"/>
      <c r="Z2497" s="4"/>
      <c r="AA2497" s="4"/>
      <c r="AB2497" s="380" t="str">
        <f>VLOOKUP($B2497,'D7 - NDB Impacted SPRF''s'!$E$16:$O$9929,4,FALSE)</f>
        <v>Cancelled</v>
      </c>
      <c r="AC2497" s="380" t="str">
        <f>VLOOKUP($B2497,'D7 - NDB Impacted SPRF''s'!$E$16:$O$9929,3,FALSE)</f>
        <v>UnitedHealthcare Employer &amp; Individual</v>
      </c>
      <c r="AD2497" s="380" t="str">
        <f>VLOOKUP($B2497,'D7 - NDB Impacted SPRF''s'!$E$16:$O$9929,5,FALSE)</f>
        <v>Operations Group</v>
      </c>
      <c r="AE2497" s="380" t="str">
        <f>VLOOKUP($B2497,'D7 - NDB Impacted SPRF''s'!$E$16:$O$9929,7,FALSE)</f>
        <v>Peter Bompane</v>
      </c>
      <c r="AF2497" s="380" t="str">
        <f>VLOOKUP($B2497,'D7 - NDB Impacted SPRF''s'!$E$16:$O$9929,6,FALSE)</f>
        <v>JEFFREY HUXLEY</v>
      </c>
      <c r="AG2497" s="282"/>
      <c r="AH2497" s="311" t="e">
        <f>INDEX('D5 - Gatekeeper - Projects'!$A$4:$AF$1010,$AM2497, 17)</f>
        <v>#N/A</v>
      </c>
      <c r="AI2497" s="8"/>
      <c r="AJ2497" s="57"/>
      <c r="AK2497" s="105"/>
      <c r="AM2497" s="6" t="e">
        <f>MATCH(D2497,'D5 - Gatekeeper - Projects'!$C$4:$C$1010,0)</f>
        <v>#N/A</v>
      </c>
      <c r="AN2497" s="6" t="b">
        <f t="shared" si="260"/>
        <v>1</v>
      </c>
      <c r="AO2497" s="6" t="str">
        <f t="shared" si="261"/>
        <v>OK</v>
      </c>
      <c r="AQ2497" s="6" t="e">
        <f>MATCH($D2497,'D4 - Provider Council Unsched'!$C$11:$C$234,0)</f>
        <v>#N/A</v>
      </c>
      <c r="AR2497" s="6" t="b">
        <f t="shared" si="262"/>
        <v>1</v>
      </c>
      <c r="AS2497" s="6" t="str">
        <f t="shared" si="259"/>
        <v>OK</v>
      </c>
      <c r="AU2497" s="202"/>
      <c r="AV2497" s="262"/>
      <c r="AW2497" s="274"/>
    </row>
    <row r="2498" spans="1:49" s="13" customFormat="1" x14ac:dyDescent="0.2">
      <c r="A2498" s="14">
        <v>2474</v>
      </c>
      <c r="B2498" s="14">
        <v>400005241</v>
      </c>
      <c r="C2498" s="8" t="s">
        <v>5197</v>
      </c>
      <c r="D2498" s="4" t="str">
        <f t="shared" si="263"/>
        <v>400005241R1</v>
      </c>
      <c r="E2498" s="309" t="str">
        <f>VLOOKUP($B2498,'D7 - NDB Impacted SPRF''s'!$E$6:$O$9929,2,FALSE)</f>
        <v>Hercules Server Project - Q1 2005</v>
      </c>
      <c r="F2498" s="8" t="s">
        <v>8133</v>
      </c>
      <c r="G2498" s="8" t="s">
        <v>4758</v>
      </c>
      <c r="H2498" s="8" t="s">
        <v>2870</v>
      </c>
      <c r="I2498" s="20"/>
      <c r="J2498" s="8"/>
      <c r="K2498" s="182"/>
      <c r="L2498" s="8" t="s">
        <v>6164</v>
      </c>
      <c r="M2498" s="8" t="s">
        <v>2814</v>
      </c>
      <c r="N2498" s="367"/>
      <c r="O2498" s="8"/>
      <c r="P2498" s="4" t="str">
        <f>VLOOKUP($B2498,'D7 - NDB Impacted SPRF''s'!$E$16:$O$9929,9,FALSE)</f>
        <v>N</v>
      </c>
      <c r="Q2498" s="4" t="str">
        <f>VLOOKUP($B2498,'D7 - NDB Impacted SPRF''s'!$E$16:$O$9929,10,FALSE)</f>
        <v>N</v>
      </c>
      <c r="R2498" s="4" t="str">
        <f>VLOOKUP($B2498,'D7 - NDB Impacted SPRF''s'!$E$16:$O$9929,11,FALSE)</f>
        <v>N</v>
      </c>
      <c r="S2498" s="8"/>
      <c r="T2498" s="310"/>
      <c r="U2498" s="310"/>
      <c r="V2498" s="4"/>
      <c r="W2498" s="4"/>
      <c r="X2498" s="4"/>
      <c r="Y2498" s="4"/>
      <c r="Z2498" s="4"/>
      <c r="AA2498" s="4"/>
      <c r="AB2498" s="380" t="str">
        <f>VLOOKUP($B2498,'D7 - NDB Impacted SPRF''s'!$E$16:$O$9929,4,FALSE)</f>
        <v>Cancelled</v>
      </c>
      <c r="AC2498" s="380" t="str">
        <f>VLOOKUP($B2498,'D7 - NDB Impacted SPRF''s'!$E$16:$O$9929,3,FALSE)</f>
        <v>Uniprise</v>
      </c>
      <c r="AD2498" s="380" t="str">
        <f>VLOOKUP($B2498,'D7 - NDB Impacted SPRF''s'!$E$16:$O$9929,5,FALSE)</f>
        <v>Uniprise Technologies - DDC</v>
      </c>
      <c r="AE2498" s="380" t="str">
        <f>VLOOKUP($B2498,'D7 - NDB Impacted SPRF''s'!$E$16:$O$9929,7,FALSE)</f>
        <v>Mike Marchetti</v>
      </c>
      <c r="AF2498" s="380" t="str">
        <f>VLOOKUP($B2498,'D7 - NDB Impacted SPRF''s'!$E$16:$O$9929,6,FALSE)</f>
        <v>Laura Celentano</v>
      </c>
      <c r="AG2498" s="282"/>
      <c r="AH2498" s="311" t="e">
        <f>INDEX('D5 - Gatekeeper - Projects'!$A$4:$AF$1010,$AM2498, 17)</f>
        <v>#N/A</v>
      </c>
      <c r="AI2498" s="8"/>
      <c r="AJ2498" s="57"/>
      <c r="AK2498" s="105"/>
      <c r="AM2498" s="6" t="e">
        <f>MATCH(D2498,'D5 - Gatekeeper - Projects'!$C$4:$C$1010,0)</f>
        <v>#N/A</v>
      </c>
      <c r="AN2498" s="6" t="b">
        <f t="shared" si="260"/>
        <v>1</v>
      </c>
      <c r="AO2498" s="6" t="str">
        <f t="shared" si="261"/>
        <v>OK</v>
      </c>
      <c r="AQ2498" s="6" t="e">
        <f>MATCH($D2498,'D4 - Provider Council Unsched'!$C$11:$C$234,0)</f>
        <v>#N/A</v>
      </c>
      <c r="AR2498" s="6" t="b">
        <f t="shared" si="262"/>
        <v>1</v>
      </c>
      <c r="AS2498" s="6" t="str">
        <f t="shared" si="259"/>
        <v>OK</v>
      </c>
      <c r="AU2498" s="202"/>
      <c r="AV2498" s="262"/>
      <c r="AW2498" s="274"/>
    </row>
    <row r="2499" spans="1:49" s="13" customFormat="1" ht="33.75" x14ac:dyDescent="0.2">
      <c r="A2499" s="14">
        <v>2475</v>
      </c>
      <c r="B2499" s="14">
        <v>400005333</v>
      </c>
      <c r="C2499" s="8" t="s">
        <v>5197</v>
      </c>
      <c r="D2499" s="4" t="str">
        <f t="shared" si="263"/>
        <v>400005333R1</v>
      </c>
      <c r="E2499" s="309" t="str">
        <f>VLOOKUP($B2499,'D7 - NDB Impacted SPRF''s'!$E$6:$O$9929,2,FALSE)</f>
        <v>3 Tier Benefit Plans Project - Phase 3</v>
      </c>
      <c r="F2499" s="8"/>
      <c r="G2499" s="8" t="s">
        <v>4758</v>
      </c>
      <c r="H2499" s="8" t="s">
        <v>2870</v>
      </c>
      <c r="I2499" s="20"/>
      <c r="J2499" s="8"/>
      <c r="K2499" s="182"/>
      <c r="L2499" s="8" t="s">
        <v>6164</v>
      </c>
      <c r="M2499" s="8" t="s">
        <v>2814</v>
      </c>
      <c r="N2499" s="367"/>
      <c r="O2499" s="8"/>
      <c r="P2499" s="4" t="str">
        <f>VLOOKUP($B2499,'D7 - NDB Impacted SPRF''s'!$E$16:$O$9929,9,FALSE)</f>
        <v>Y</v>
      </c>
      <c r="Q2499" s="4" t="str">
        <f>VLOOKUP($B2499,'D7 - NDB Impacted SPRF''s'!$E$16:$O$9929,10,FALSE)</f>
        <v>N</v>
      </c>
      <c r="R2499" s="4" t="str">
        <f>VLOOKUP($B2499,'D7 - NDB Impacted SPRF''s'!$E$16:$O$9929,11,FALSE)</f>
        <v>N</v>
      </c>
      <c r="S2499" s="8"/>
      <c r="T2499" s="310"/>
      <c r="U2499" s="310"/>
      <c r="V2499" s="4"/>
      <c r="W2499" s="4"/>
      <c r="X2499" s="4"/>
      <c r="Y2499" s="4"/>
      <c r="Z2499" s="4"/>
      <c r="AA2499" s="4"/>
      <c r="AB2499" s="380" t="str">
        <f>VLOOKUP($B2499,'D7 - NDB Impacted SPRF''s'!$E$16:$O$9929,4,FALSE)</f>
        <v>Cancelled</v>
      </c>
      <c r="AC2499" s="380" t="str">
        <f>VLOOKUP($B2499,'D7 - NDB Impacted SPRF''s'!$E$16:$O$9929,3,FALSE)</f>
        <v>UnitedHealthcare Employer &amp; Individual</v>
      </c>
      <c r="AD2499" s="380" t="str">
        <f>VLOOKUP($B2499,'D7 - NDB Impacted SPRF''s'!$E$16:$O$9929,5,FALSE)</f>
        <v>Operations Group</v>
      </c>
      <c r="AE2499" s="380" t="str">
        <f>VLOOKUP($B2499,'D7 - NDB Impacted SPRF''s'!$E$16:$O$9929,7,FALSE)</f>
        <v>John Cravero</v>
      </c>
      <c r="AF2499" s="380" t="str">
        <f>VLOOKUP($B2499,'D7 - NDB Impacted SPRF''s'!$E$16:$O$9929,6,FALSE)</f>
        <v>Angela Ravasz</v>
      </c>
      <c r="AG2499" s="282"/>
      <c r="AH2499" s="311" t="e">
        <f>INDEX('D5 - Gatekeeper - Projects'!$A$4:$AF$1010,$AM2499, 17)</f>
        <v>#N/A</v>
      </c>
      <c r="AI2499" s="8"/>
      <c r="AJ2499" s="57"/>
      <c r="AK2499" s="105"/>
      <c r="AM2499" s="6" t="e">
        <f>MATCH(D2499,'D5 - Gatekeeper - Projects'!$C$4:$C$1010,0)</f>
        <v>#N/A</v>
      </c>
      <c r="AN2499" s="6" t="b">
        <f t="shared" si="260"/>
        <v>1</v>
      </c>
      <c r="AO2499" s="6" t="str">
        <f t="shared" si="261"/>
        <v>OK</v>
      </c>
      <c r="AQ2499" s="6" t="e">
        <f>MATCH($D2499,'D4 - Provider Council Unsched'!$C$11:$C$234,0)</f>
        <v>#N/A</v>
      </c>
      <c r="AR2499" s="6" t="b">
        <f t="shared" si="262"/>
        <v>1</v>
      </c>
      <c r="AS2499" s="6" t="str">
        <f t="shared" si="259"/>
        <v>OK</v>
      </c>
      <c r="AU2499" s="202"/>
      <c r="AV2499" s="262"/>
      <c r="AW2499" s="274"/>
    </row>
    <row r="2500" spans="1:49" s="13" customFormat="1" ht="33.75" x14ac:dyDescent="0.2">
      <c r="A2500" s="14">
        <v>2476</v>
      </c>
      <c r="B2500" s="14">
        <v>400005337</v>
      </c>
      <c r="C2500" s="8" t="s">
        <v>5197</v>
      </c>
      <c r="D2500" s="4" t="str">
        <f t="shared" si="263"/>
        <v>400005337R1</v>
      </c>
      <c r="E2500" s="309" t="str">
        <f>VLOOKUP($B2500,'D7 - NDB Impacted SPRF''s'!$E$6:$O$9929,2,FALSE)</f>
        <v>Claim Repricing Orbit report change for MAMSI</v>
      </c>
      <c r="F2500" s="8" t="s">
        <v>5752</v>
      </c>
      <c r="G2500" s="8" t="s">
        <v>4758</v>
      </c>
      <c r="H2500" s="8" t="s">
        <v>2870</v>
      </c>
      <c r="I2500" s="20"/>
      <c r="J2500" s="8"/>
      <c r="K2500" s="182"/>
      <c r="L2500" s="8" t="s">
        <v>6164</v>
      </c>
      <c r="M2500" s="8" t="s">
        <v>2814</v>
      </c>
      <c r="N2500" s="367"/>
      <c r="O2500" s="8"/>
      <c r="P2500" s="4" t="str">
        <f>VLOOKUP($B2500,'D7 - NDB Impacted SPRF''s'!$E$16:$O$9929,9,FALSE)</f>
        <v>N</v>
      </c>
      <c r="Q2500" s="4" t="str">
        <f>VLOOKUP($B2500,'D7 - NDB Impacted SPRF''s'!$E$16:$O$9929,10,FALSE)</f>
        <v>N</v>
      </c>
      <c r="R2500" s="4" t="str">
        <f>VLOOKUP($B2500,'D7 - NDB Impacted SPRF''s'!$E$16:$O$9929,11,FALSE)</f>
        <v>N</v>
      </c>
      <c r="S2500" s="8"/>
      <c r="T2500" s="310"/>
      <c r="U2500" s="310"/>
      <c r="V2500" s="4"/>
      <c r="W2500" s="4"/>
      <c r="X2500" s="4"/>
      <c r="Y2500" s="4"/>
      <c r="Z2500" s="4"/>
      <c r="AA2500" s="4"/>
      <c r="AB2500" s="380" t="str">
        <f>VLOOKUP($B2500,'D7 - NDB Impacted SPRF''s'!$E$16:$O$9929,4,FALSE)</f>
        <v>Cancelled</v>
      </c>
      <c r="AC2500" s="380" t="str">
        <f>VLOOKUP($B2500,'D7 - NDB Impacted SPRF''s'!$E$16:$O$9929,3,FALSE)</f>
        <v>UnitedHealthcare Employer &amp; Individual</v>
      </c>
      <c r="AD2500" s="380" t="str">
        <f>VLOOKUP($B2500,'D7 - NDB Impacted SPRF''s'!$E$16:$O$9929,5,FALSE)</f>
        <v>Operations Group</v>
      </c>
      <c r="AE2500" s="380" t="str">
        <f>VLOOKUP($B2500,'D7 - NDB Impacted SPRF''s'!$E$16:$O$9929,7,FALSE)</f>
        <v>Scott Cutlip</v>
      </c>
      <c r="AF2500" s="380" t="str">
        <f>VLOOKUP($B2500,'D7 - NDB Impacted SPRF''s'!$E$16:$O$9929,6,FALSE)</f>
        <v>RUTH HOLMBERG</v>
      </c>
      <c r="AG2500" s="282"/>
      <c r="AH2500" s="311" t="e">
        <f>INDEX('D5 - Gatekeeper - Projects'!$A$4:$AF$1010,$AM2500, 17)</f>
        <v>#N/A</v>
      </c>
      <c r="AI2500" s="8"/>
      <c r="AJ2500" s="57"/>
      <c r="AK2500" s="105"/>
      <c r="AM2500" s="6" t="e">
        <f>MATCH(D2500,'D5 - Gatekeeper - Projects'!$C$4:$C$1010,0)</f>
        <v>#N/A</v>
      </c>
      <c r="AN2500" s="6" t="b">
        <f t="shared" si="260"/>
        <v>1</v>
      </c>
      <c r="AO2500" s="6" t="str">
        <f t="shared" si="261"/>
        <v>OK</v>
      </c>
      <c r="AQ2500" s="6" t="e">
        <f>MATCH($D2500,'D4 - Provider Council Unsched'!$C$11:$C$234,0)</f>
        <v>#N/A</v>
      </c>
      <c r="AR2500" s="6" t="b">
        <f t="shared" si="262"/>
        <v>1</v>
      </c>
      <c r="AS2500" s="6" t="str">
        <f t="shared" ref="AS2500:AS2563" si="264">IF(AND(H2500="2 - Not Scheduled",AR2500=TRUE),"Add","OK")</f>
        <v>OK</v>
      </c>
      <c r="AU2500" s="202"/>
      <c r="AV2500" s="262"/>
      <c r="AW2500" s="274"/>
    </row>
    <row r="2501" spans="1:49" s="13" customFormat="1" ht="22.5" x14ac:dyDescent="0.2">
      <c r="A2501" s="14">
        <v>2477</v>
      </c>
      <c r="B2501" s="14">
        <v>400005358</v>
      </c>
      <c r="C2501" s="8" t="s">
        <v>5197</v>
      </c>
      <c r="D2501" s="4" t="str">
        <f t="shared" si="263"/>
        <v>400005358R1</v>
      </c>
      <c r="E2501" s="309" t="str">
        <f>VLOOKUP($B2501,'D7 - NDB Impacted SPRF''s'!$E$6:$O$9929,2,FALSE)</f>
        <v>Split routing and sub-accounts for 835</v>
      </c>
      <c r="F2501" s="8"/>
      <c r="G2501" s="8" t="s">
        <v>4758</v>
      </c>
      <c r="H2501" s="8" t="s">
        <v>2870</v>
      </c>
      <c r="I2501" s="20"/>
      <c r="J2501" s="8"/>
      <c r="K2501" s="182"/>
      <c r="L2501" s="8" t="s">
        <v>6164</v>
      </c>
      <c r="M2501" s="8" t="s">
        <v>2814</v>
      </c>
      <c r="N2501" s="367"/>
      <c r="O2501" s="8"/>
      <c r="P2501" s="4" t="str">
        <f>VLOOKUP($B2501,'D7 - NDB Impacted SPRF''s'!$E$16:$O$9929,9,FALSE)</f>
        <v>Y</v>
      </c>
      <c r="Q2501" s="4" t="str">
        <f>VLOOKUP($B2501,'D7 - NDB Impacted SPRF''s'!$E$16:$O$9929,10,FALSE)</f>
        <v>N</v>
      </c>
      <c r="R2501" s="4" t="str">
        <f>VLOOKUP($B2501,'D7 - NDB Impacted SPRF''s'!$E$16:$O$9929,11,FALSE)</f>
        <v>N</v>
      </c>
      <c r="S2501" s="8"/>
      <c r="T2501" s="310"/>
      <c r="U2501" s="310"/>
      <c r="V2501" s="4"/>
      <c r="W2501" s="4"/>
      <c r="X2501" s="4"/>
      <c r="Y2501" s="4"/>
      <c r="Z2501" s="4"/>
      <c r="AA2501" s="4"/>
      <c r="AB2501" s="380" t="str">
        <f>VLOOKUP($B2501,'D7 - NDB Impacted SPRF''s'!$E$16:$O$9929,4,FALSE)</f>
        <v>Cancelled</v>
      </c>
      <c r="AC2501" s="380" t="str">
        <f>VLOOKUP($B2501,'D7 - NDB Impacted SPRF''s'!$E$16:$O$9929,3,FALSE)</f>
        <v>Uniprise</v>
      </c>
      <c r="AD2501" s="380" t="str">
        <f>VLOOKUP($B2501,'D7 - NDB Impacted SPRF''s'!$E$16:$O$9929,5,FALSE)</f>
        <v>Exante</v>
      </c>
      <c r="AE2501" s="380" t="str">
        <f>VLOOKUP($B2501,'D7 - NDB Impacted SPRF''s'!$E$16:$O$9929,7,FALSE)</f>
        <v>Ragui Selwanes</v>
      </c>
      <c r="AF2501" s="380" t="str">
        <f>VLOOKUP($B2501,'D7 - NDB Impacted SPRF''s'!$E$16:$O$9929,6,FALSE)</f>
        <v>STACIE NABEDRICK</v>
      </c>
      <c r="AG2501" s="282"/>
      <c r="AH2501" s="311" t="e">
        <f>INDEX('D5 - Gatekeeper - Projects'!$A$4:$AF$1010,$AM2501, 17)</f>
        <v>#N/A</v>
      </c>
      <c r="AI2501" s="8"/>
      <c r="AJ2501" s="57"/>
      <c r="AK2501" s="105"/>
      <c r="AM2501" s="6" t="e">
        <f>MATCH(D2501,'D5 - Gatekeeper - Projects'!$C$4:$C$1010,0)</f>
        <v>#N/A</v>
      </c>
      <c r="AN2501" s="6" t="b">
        <f t="shared" si="260"/>
        <v>1</v>
      </c>
      <c r="AO2501" s="6" t="str">
        <f t="shared" si="261"/>
        <v>OK</v>
      </c>
      <c r="AQ2501" s="6" t="e">
        <f>MATCH($D2501,'D4 - Provider Council Unsched'!$C$11:$C$234,0)</f>
        <v>#N/A</v>
      </c>
      <c r="AR2501" s="6" t="b">
        <f t="shared" si="262"/>
        <v>1</v>
      </c>
      <c r="AS2501" s="6" t="str">
        <f t="shared" si="264"/>
        <v>OK</v>
      </c>
      <c r="AU2501" s="202"/>
      <c r="AV2501" s="262"/>
      <c r="AW2501" s="274"/>
    </row>
    <row r="2502" spans="1:49" s="13" customFormat="1" ht="33.75" x14ac:dyDescent="0.2">
      <c r="A2502" s="14">
        <v>2478</v>
      </c>
      <c r="B2502" s="14">
        <v>400005410</v>
      </c>
      <c r="C2502" s="8" t="s">
        <v>5197</v>
      </c>
      <c r="D2502" s="4" t="str">
        <f t="shared" si="263"/>
        <v>400005410R1</v>
      </c>
      <c r="E2502" s="309" t="str">
        <f>VLOOKUP($B2502,'D7 - NDB Impacted SPRF''s'!$E$6:$O$9929,2,FALSE)</f>
        <v>Premium Cardiac Disease State Change</v>
      </c>
      <c r="F2502" s="8" t="s">
        <v>7242</v>
      </c>
      <c r="G2502" s="8" t="s">
        <v>4758</v>
      </c>
      <c r="H2502" s="8" t="s">
        <v>2870</v>
      </c>
      <c r="I2502" s="20"/>
      <c r="J2502" s="8"/>
      <c r="K2502" s="182"/>
      <c r="L2502" s="8" t="s">
        <v>6164</v>
      </c>
      <c r="M2502" s="8" t="s">
        <v>2814</v>
      </c>
      <c r="N2502" s="367"/>
      <c r="O2502" s="8"/>
      <c r="P2502" s="4" t="str">
        <f>VLOOKUP($B2502,'D7 - NDB Impacted SPRF''s'!$E$16:$O$9929,9,FALSE)</f>
        <v>N</v>
      </c>
      <c r="Q2502" s="4" t="str">
        <f>VLOOKUP($B2502,'D7 - NDB Impacted SPRF''s'!$E$16:$O$9929,10,FALSE)</f>
        <v>N</v>
      </c>
      <c r="R2502" s="4" t="str">
        <f>VLOOKUP($B2502,'D7 - NDB Impacted SPRF''s'!$E$16:$O$9929,11,FALSE)</f>
        <v>N</v>
      </c>
      <c r="S2502" s="8"/>
      <c r="T2502" s="310"/>
      <c r="U2502" s="310"/>
      <c r="V2502" s="4"/>
      <c r="W2502" s="4"/>
      <c r="X2502" s="4"/>
      <c r="Y2502" s="4"/>
      <c r="Z2502" s="4"/>
      <c r="AA2502" s="4"/>
      <c r="AB2502" s="380" t="str">
        <f>VLOOKUP($B2502,'D7 - NDB Impacted SPRF''s'!$E$16:$O$9929,4,FALSE)</f>
        <v>Cancelled</v>
      </c>
      <c r="AC2502" s="380" t="str">
        <f>VLOOKUP($B2502,'D7 - NDB Impacted SPRF''s'!$E$16:$O$9929,3,FALSE)</f>
        <v>UnitedHealthcare Employer &amp; Individual</v>
      </c>
      <c r="AD2502" s="380" t="str">
        <f>VLOOKUP($B2502,'D7 - NDB Impacted SPRF''s'!$E$16:$O$9929,5,FALSE)</f>
        <v>Key Initiatives Group</v>
      </c>
      <c r="AE2502" s="380" t="str">
        <f>VLOOKUP($B2502,'D7 - NDB Impacted SPRF''s'!$E$16:$O$9929,7,FALSE)</f>
        <v>Stephanie Rich</v>
      </c>
      <c r="AF2502" s="380" t="str">
        <f>VLOOKUP($B2502,'D7 - NDB Impacted SPRF''s'!$E$16:$O$9929,6,FALSE)</f>
        <v>THOMAS VOGEL</v>
      </c>
      <c r="AG2502" s="282"/>
      <c r="AH2502" s="311" t="e">
        <f>INDEX('D5 - Gatekeeper - Projects'!$A$4:$AF$1010,$AM2502, 17)</f>
        <v>#N/A</v>
      </c>
      <c r="AI2502" s="8"/>
      <c r="AJ2502" s="57"/>
      <c r="AK2502" s="105"/>
      <c r="AM2502" s="6" t="e">
        <f>MATCH(D2502,'D5 - Gatekeeper - Projects'!$C$4:$C$1010,0)</f>
        <v>#N/A</v>
      </c>
      <c r="AN2502" s="6" t="b">
        <f t="shared" si="260"/>
        <v>1</v>
      </c>
      <c r="AO2502" s="6" t="str">
        <f t="shared" si="261"/>
        <v>OK</v>
      </c>
      <c r="AQ2502" s="6" t="e">
        <f>MATCH($D2502,'D4 - Provider Council Unsched'!$C$11:$C$234,0)</f>
        <v>#N/A</v>
      </c>
      <c r="AR2502" s="6" t="b">
        <f t="shared" si="262"/>
        <v>1</v>
      </c>
      <c r="AS2502" s="6" t="str">
        <f t="shared" si="264"/>
        <v>OK</v>
      </c>
      <c r="AU2502" s="202"/>
      <c r="AV2502" s="262"/>
      <c r="AW2502" s="274"/>
    </row>
    <row r="2503" spans="1:49" s="13" customFormat="1" ht="33.75" x14ac:dyDescent="0.2">
      <c r="A2503" s="14">
        <v>2479</v>
      </c>
      <c r="B2503" s="14">
        <v>400005461</v>
      </c>
      <c r="C2503" s="8" t="s">
        <v>5197</v>
      </c>
      <c r="D2503" s="4" t="str">
        <f t="shared" si="263"/>
        <v>400005461R1</v>
      </c>
      <c r="E2503" s="309" t="str">
        <f>VLOOKUP($B2503,'D7 - NDB Impacted SPRF''s'!$E$6:$O$9929,2,FALSE)</f>
        <v>Enhancement to NDB provider feed for NSD</v>
      </c>
      <c r="F2503" s="8" t="s">
        <v>3235</v>
      </c>
      <c r="G2503" s="8" t="s">
        <v>4758</v>
      </c>
      <c r="H2503" s="8" t="s">
        <v>2870</v>
      </c>
      <c r="I2503" s="20">
        <v>1.6</v>
      </c>
      <c r="J2503" s="8" t="s">
        <v>7113</v>
      </c>
      <c r="K2503" s="182"/>
      <c r="L2503" s="8" t="s">
        <v>4156</v>
      </c>
      <c r="M2503" s="8" t="s">
        <v>2814</v>
      </c>
      <c r="N2503" s="367" t="s">
        <v>8073</v>
      </c>
      <c r="O2503" s="8"/>
      <c r="P2503" s="4" t="str">
        <f>VLOOKUP($B2503,'D7 - NDB Impacted SPRF''s'!$E$16:$O$9929,9,FALSE)</f>
        <v>N</v>
      </c>
      <c r="Q2503" s="4" t="str">
        <f>VLOOKUP($B2503,'D7 - NDB Impacted SPRF''s'!$E$16:$O$9929,10,FALSE)</f>
        <v>N</v>
      </c>
      <c r="R2503" s="4" t="str">
        <f>VLOOKUP($B2503,'D7 - NDB Impacted SPRF''s'!$E$16:$O$9929,11,FALSE)</f>
        <v>N</v>
      </c>
      <c r="S2503" s="8"/>
      <c r="T2503" s="310"/>
      <c r="U2503" s="310"/>
      <c r="V2503" s="4"/>
      <c r="W2503" s="4"/>
      <c r="X2503" s="4"/>
      <c r="Y2503" s="4"/>
      <c r="Z2503" s="4"/>
      <c r="AA2503" s="4"/>
      <c r="AB2503" s="380" t="str">
        <f>VLOOKUP($B2503,'D7 - NDB Impacted SPRF''s'!$E$16:$O$9929,4,FALSE)</f>
        <v>Cancelled</v>
      </c>
      <c r="AC2503" s="380" t="str">
        <f>VLOOKUP($B2503,'D7 - NDB Impacted SPRF''s'!$E$16:$O$9929,3,FALSE)</f>
        <v>UnitedHealthcare Employer &amp; Individual</v>
      </c>
      <c r="AD2503" s="380" t="str">
        <f>VLOOKUP($B2503,'D7 - NDB Impacted SPRF''s'!$E$16:$O$9929,5,FALSE)</f>
        <v>Membership Growth / Revenue Programs</v>
      </c>
      <c r="AE2503" s="380" t="str">
        <f>VLOOKUP($B2503,'D7 - NDB Impacted SPRF''s'!$E$16:$O$9929,7,FALSE)</f>
        <v>Mary Higgins</v>
      </c>
      <c r="AF2503" s="380" t="str">
        <f>VLOOKUP($B2503,'D7 - NDB Impacted SPRF''s'!$E$16:$O$9929,6,FALSE)</f>
        <v>Dorman Sarah</v>
      </c>
      <c r="AG2503" s="282" t="s">
        <v>5094</v>
      </c>
      <c r="AH2503" s="311" t="e">
        <f>INDEX('D5 - Gatekeeper - Projects'!$A$4:$AF$1010,$AM2503, 17)</f>
        <v>#N/A</v>
      </c>
      <c r="AI2503" s="8"/>
      <c r="AJ2503" s="57"/>
      <c r="AK2503" s="105"/>
      <c r="AM2503" s="6" t="e">
        <f>MATCH(D2503,'D5 - Gatekeeper - Projects'!$C$4:$C$1010,0)</f>
        <v>#N/A</v>
      </c>
      <c r="AN2503" s="6" t="b">
        <f t="shared" si="260"/>
        <v>1</v>
      </c>
      <c r="AO2503" s="6" t="str">
        <f t="shared" si="261"/>
        <v>OK</v>
      </c>
      <c r="AQ2503" s="6" t="e">
        <f>MATCH($D2503,'D4 - Provider Council Unsched'!$C$11:$C$234,0)</f>
        <v>#N/A</v>
      </c>
      <c r="AR2503" s="6" t="b">
        <f t="shared" si="262"/>
        <v>1</v>
      </c>
      <c r="AS2503" s="6" t="str">
        <f t="shared" si="264"/>
        <v>OK</v>
      </c>
      <c r="AU2503" s="202"/>
      <c r="AV2503" s="262"/>
      <c r="AW2503" s="274"/>
    </row>
    <row r="2504" spans="1:49" s="13" customFormat="1" ht="33.75" x14ac:dyDescent="0.2">
      <c r="A2504" s="14">
        <v>2480</v>
      </c>
      <c r="B2504" s="14">
        <v>400005534</v>
      </c>
      <c r="C2504" s="8" t="s">
        <v>5197</v>
      </c>
      <c r="D2504" s="4" t="str">
        <f t="shared" si="263"/>
        <v>400005534R1</v>
      </c>
      <c r="E2504" s="309" t="str">
        <f>VLOOKUP($B2504,'D7 - NDB Impacted SPRF''s'!$E$6:$O$9929,2,FALSE)</f>
        <v>Claims Repricing Release 4 - ppoONE</v>
      </c>
      <c r="F2504" s="8" t="s">
        <v>4304</v>
      </c>
      <c r="G2504" s="8" t="s">
        <v>4758</v>
      </c>
      <c r="H2504" s="8" t="s">
        <v>2870</v>
      </c>
      <c r="I2504" s="20">
        <v>12</v>
      </c>
      <c r="J2504" s="8" t="s">
        <v>4862</v>
      </c>
      <c r="K2504" s="182"/>
      <c r="L2504" s="8" t="s">
        <v>4156</v>
      </c>
      <c r="M2504" s="8" t="s">
        <v>2814</v>
      </c>
      <c r="N2504" s="38" t="s">
        <v>4202</v>
      </c>
      <c r="O2504" s="8"/>
      <c r="P2504" s="4" t="str">
        <f>VLOOKUP($B2504,'D7 - NDB Impacted SPRF''s'!$E$16:$O$9929,9,FALSE)</f>
        <v>N</v>
      </c>
      <c r="Q2504" s="4" t="str">
        <f>VLOOKUP($B2504,'D7 - NDB Impacted SPRF''s'!$E$16:$O$9929,10,FALSE)</f>
        <v>N</v>
      </c>
      <c r="R2504" s="4" t="str">
        <f>VLOOKUP($B2504,'D7 - NDB Impacted SPRF''s'!$E$16:$O$9929,11,FALSE)</f>
        <v>Y</v>
      </c>
      <c r="S2504" s="8"/>
      <c r="T2504" s="310"/>
      <c r="U2504" s="310"/>
      <c r="V2504" s="4"/>
      <c r="W2504" s="4"/>
      <c r="X2504" s="4"/>
      <c r="Y2504" s="4"/>
      <c r="Z2504" s="4"/>
      <c r="AA2504" s="4"/>
      <c r="AB2504" s="380" t="str">
        <f>VLOOKUP($B2504,'D7 - NDB Impacted SPRF''s'!$E$16:$O$9929,4,FALSE)</f>
        <v>Completed</v>
      </c>
      <c r="AC2504" s="380" t="str">
        <f>VLOOKUP($B2504,'D7 - NDB Impacted SPRF''s'!$E$16:$O$9929,3,FALSE)</f>
        <v>UnitedHealthcare Employer &amp; Individual</v>
      </c>
      <c r="AD2504" s="380" t="str">
        <f>VLOOKUP($B2504,'D7 - NDB Impacted SPRF''s'!$E$16:$O$9929,5,FALSE)</f>
        <v>Medical Cost Savings Programs</v>
      </c>
      <c r="AE2504" s="380" t="str">
        <f>VLOOKUP($B2504,'D7 - NDB Impacted SPRF''s'!$E$16:$O$9929,7,FALSE)</f>
        <v>Mike Mikan, Dirk McMahon</v>
      </c>
      <c r="AF2504" s="380" t="str">
        <f>VLOOKUP($B2504,'D7 - NDB Impacted SPRF''s'!$E$16:$O$9929,6,FALSE)</f>
        <v>JAMES SHELTON</v>
      </c>
      <c r="AG2504" s="282" t="s">
        <v>6162</v>
      </c>
      <c r="AH2504" s="311" t="e">
        <f>INDEX('D5 - Gatekeeper - Projects'!$A$4:$AF$1010,$AM2504, 17)</f>
        <v>#N/A</v>
      </c>
      <c r="AI2504" s="8"/>
      <c r="AJ2504" s="57"/>
      <c r="AK2504" s="105"/>
      <c r="AM2504" s="6" t="e">
        <f>MATCH(D2504,'D5 - Gatekeeper - Projects'!$C$4:$C$1010,0)</f>
        <v>#N/A</v>
      </c>
      <c r="AN2504" s="6" t="b">
        <f t="shared" si="260"/>
        <v>1</v>
      </c>
      <c r="AO2504" s="6" t="str">
        <f t="shared" si="261"/>
        <v>OK</v>
      </c>
      <c r="AQ2504" s="6" t="e">
        <f>MATCH($D2504,'D4 - Provider Council Unsched'!$C$11:$C$234,0)</f>
        <v>#N/A</v>
      </c>
      <c r="AR2504" s="6" t="b">
        <f t="shared" si="262"/>
        <v>1</v>
      </c>
      <c r="AS2504" s="6" t="str">
        <f t="shared" si="264"/>
        <v>OK</v>
      </c>
      <c r="AU2504" s="202"/>
      <c r="AV2504" s="262"/>
      <c r="AW2504" s="274"/>
    </row>
    <row r="2505" spans="1:49" s="13" customFormat="1" ht="33.75" x14ac:dyDescent="0.2">
      <c r="A2505" s="14">
        <v>2481</v>
      </c>
      <c r="B2505" s="14">
        <v>400005741</v>
      </c>
      <c r="C2505" s="8" t="s">
        <v>5197</v>
      </c>
      <c r="D2505" s="4" t="str">
        <f t="shared" si="263"/>
        <v>400005741R1</v>
      </c>
      <c r="E2505" s="309" t="str">
        <f>VLOOKUP($B2505,'D7 - NDB Impacted SPRF''s'!$E$6:$O$9929,2,FALSE)</f>
        <v>NDB Search Change Request</v>
      </c>
      <c r="F2505" s="8" t="s">
        <v>6632</v>
      </c>
      <c r="G2505" s="8" t="s">
        <v>4758</v>
      </c>
      <c r="H2505" s="8" t="s">
        <v>2870</v>
      </c>
      <c r="I2505" s="20">
        <v>1.6</v>
      </c>
      <c r="J2505" s="8" t="s">
        <v>7113</v>
      </c>
      <c r="K2505" s="182"/>
      <c r="L2505" s="8" t="s">
        <v>4156</v>
      </c>
      <c r="M2505" s="8" t="s">
        <v>2814</v>
      </c>
      <c r="N2505" s="367" t="s">
        <v>5190</v>
      </c>
      <c r="O2505" s="8"/>
      <c r="P2505" s="4" t="str">
        <f>VLOOKUP($B2505,'D7 - NDB Impacted SPRF''s'!$E$16:$O$9929,9,FALSE)</f>
        <v>N</v>
      </c>
      <c r="Q2505" s="4" t="str">
        <f>VLOOKUP($B2505,'D7 - NDB Impacted SPRF''s'!$E$16:$O$9929,10,FALSE)</f>
        <v>N</v>
      </c>
      <c r="R2505" s="4" t="str">
        <f>VLOOKUP($B2505,'D7 - NDB Impacted SPRF''s'!$E$16:$O$9929,11,FALSE)</f>
        <v>N</v>
      </c>
      <c r="S2505" s="8"/>
      <c r="T2505" s="310"/>
      <c r="U2505" s="310"/>
      <c r="V2505" s="4"/>
      <c r="W2505" s="4"/>
      <c r="X2505" s="4"/>
      <c r="Y2505" s="4"/>
      <c r="Z2505" s="4"/>
      <c r="AA2505" s="4"/>
      <c r="AB2505" s="380" t="str">
        <f>VLOOKUP($B2505,'D7 - NDB Impacted SPRF''s'!$E$16:$O$9929,4,FALSE)</f>
        <v>Cancelled</v>
      </c>
      <c r="AC2505" s="380" t="str">
        <f>VLOOKUP($B2505,'D7 - NDB Impacted SPRF''s'!$E$16:$O$9929,3,FALSE)</f>
        <v>UnitedHealthcare Employer &amp; Individual</v>
      </c>
      <c r="AD2505" s="380" t="str">
        <f>VLOOKUP($B2505,'D7 - NDB Impacted SPRF''s'!$E$16:$O$9929,5,FALSE)</f>
        <v>Operations Group</v>
      </c>
      <c r="AE2505" s="380" t="str">
        <f>VLOOKUP($B2505,'D7 - NDB Impacted SPRF''s'!$E$16:$O$9929,7,FALSE)</f>
        <v>Mary Ann Clacko</v>
      </c>
      <c r="AF2505" s="380" t="str">
        <f>VLOOKUP($B2505,'D7 - NDB Impacted SPRF''s'!$E$16:$O$9929,6,FALSE)</f>
        <v>SHAUNA ARGENTO</v>
      </c>
      <c r="AG2505" s="282"/>
      <c r="AH2505" s="311" t="e">
        <f>INDEX('D5 - Gatekeeper - Projects'!$A$4:$AF$1010,$AM2505, 17)</f>
        <v>#N/A</v>
      </c>
      <c r="AI2505" s="8"/>
      <c r="AJ2505" s="57"/>
      <c r="AK2505" s="105"/>
      <c r="AM2505" s="6" t="e">
        <f>MATCH(D2505,'D5 - Gatekeeper - Projects'!$C$4:$C$1010,0)</f>
        <v>#N/A</v>
      </c>
      <c r="AN2505" s="6" t="b">
        <f t="shared" si="260"/>
        <v>1</v>
      </c>
      <c r="AO2505" s="6" t="str">
        <f t="shared" si="261"/>
        <v>OK</v>
      </c>
      <c r="AQ2505" s="6" t="e">
        <f>MATCH($D2505,'D4 - Provider Council Unsched'!$C$11:$C$234,0)</f>
        <v>#N/A</v>
      </c>
      <c r="AR2505" s="6" t="b">
        <f t="shared" si="262"/>
        <v>1</v>
      </c>
      <c r="AS2505" s="6" t="str">
        <f t="shared" si="264"/>
        <v>OK</v>
      </c>
      <c r="AU2505" s="202"/>
      <c r="AV2505" s="262"/>
      <c r="AW2505" s="274"/>
    </row>
    <row r="2506" spans="1:49" s="13" customFormat="1" ht="33.75" x14ac:dyDescent="0.2">
      <c r="A2506" s="14">
        <v>2482</v>
      </c>
      <c r="B2506" s="14">
        <v>400005800</v>
      </c>
      <c r="C2506" s="8" t="s">
        <v>5197</v>
      </c>
      <c r="D2506" s="4" t="str">
        <f t="shared" si="263"/>
        <v>400005800R1</v>
      </c>
      <c r="E2506" s="309" t="str">
        <f>VLOOKUP($B2506,'D7 - NDB Impacted SPRF''s'!$E$6:$O$9929,2,FALSE)</f>
        <v>Contract Arrangement Acknowledgement File</v>
      </c>
      <c r="F2506" s="8" t="s">
        <v>4695</v>
      </c>
      <c r="G2506" s="8" t="s">
        <v>4758</v>
      </c>
      <c r="H2506" s="8" t="s">
        <v>2870</v>
      </c>
      <c r="I2506" s="20"/>
      <c r="J2506" s="8"/>
      <c r="K2506" s="182"/>
      <c r="L2506" s="8" t="s">
        <v>6164</v>
      </c>
      <c r="M2506" s="8" t="s">
        <v>2814</v>
      </c>
      <c r="N2506" s="367"/>
      <c r="O2506" s="8"/>
      <c r="P2506" s="4" t="str">
        <f>VLOOKUP($B2506,'D7 - NDB Impacted SPRF''s'!$E$16:$O$9929,9,FALSE)</f>
        <v>N</v>
      </c>
      <c r="Q2506" s="4" t="str">
        <f>VLOOKUP($B2506,'D7 - NDB Impacted SPRF''s'!$E$16:$O$9929,10,FALSE)</f>
        <v>N</v>
      </c>
      <c r="R2506" s="4" t="str">
        <f>VLOOKUP($B2506,'D7 - NDB Impacted SPRF''s'!$E$16:$O$9929,11,FALSE)</f>
        <v>N</v>
      </c>
      <c r="S2506" s="8"/>
      <c r="T2506" s="310"/>
      <c r="U2506" s="310"/>
      <c r="V2506" s="4"/>
      <c r="W2506" s="4"/>
      <c r="X2506" s="4"/>
      <c r="Y2506" s="4"/>
      <c r="Z2506" s="4"/>
      <c r="AA2506" s="4"/>
      <c r="AB2506" s="380" t="str">
        <f>VLOOKUP($B2506,'D7 - NDB Impacted SPRF''s'!$E$16:$O$9929,4,FALSE)</f>
        <v>Cancelled</v>
      </c>
      <c r="AC2506" s="380" t="str">
        <f>VLOOKUP($B2506,'D7 - NDB Impacted SPRF''s'!$E$16:$O$9929,3,FALSE)</f>
        <v>UnitedHealthcare Employer &amp; Individual</v>
      </c>
      <c r="AD2506" s="380" t="str">
        <f>VLOOKUP($B2506,'D7 - NDB Impacted SPRF''s'!$E$16:$O$9929,5,FALSE)</f>
        <v>Operations Group</v>
      </c>
      <c r="AE2506" s="380" t="str">
        <f>VLOOKUP($B2506,'D7 - NDB Impacted SPRF''s'!$E$16:$O$9929,7,FALSE)</f>
        <v>Peter Bompane</v>
      </c>
      <c r="AF2506" s="380" t="str">
        <f>VLOOKUP($B2506,'D7 - NDB Impacted SPRF''s'!$E$16:$O$9929,6,FALSE)</f>
        <v>JOSHUA WOODRUM</v>
      </c>
      <c r="AG2506" s="282"/>
      <c r="AH2506" s="311" t="e">
        <f>INDEX('D5 - Gatekeeper - Projects'!$A$4:$AF$1010,$AM2506, 17)</f>
        <v>#N/A</v>
      </c>
      <c r="AI2506" s="8"/>
      <c r="AJ2506" s="57"/>
      <c r="AK2506" s="105"/>
      <c r="AM2506" s="6" t="e">
        <f>MATCH(D2506,'D5 - Gatekeeper - Projects'!$C$4:$C$1010,0)</f>
        <v>#N/A</v>
      </c>
      <c r="AN2506" s="6" t="b">
        <f t="shared" ref="AN2506:AN2569" si="265">ISERROR(AM2506)</f>
        <v>1</v>
      </c>
      <c r="AO2506" s="6" t="str">
        <f t="shared" ref="AO2506:AO2569" si="266">IF(AND(H2506="1 - Scheduled",AN2506=TRUE),"Add","OK")</f>
        <v>OK</v>
      </c>
      <c r="AQ2506" s="6" t="e">
        <f>MATCH($D2506,'D4 - Provider Council Unsched'!$C$11:$C$234,0)</f>
        <v>#N/A</v>
      </c>
      <c r="AR2506" s="6" t="b">
        <f t="shared" ref="AR2506:AR2569" si="267">ISERROR(AQ2506)</f>
        <v>1</v>
      </c>
      <c r="AS2506" s="6" t="str">
        <f t="shared" si="264"/>
        <v>OK</v>
      </c>
      <c r="AU2506" s="202"/>
      <c r="AV2506" s="262"/>
      <c r="AW2506" s="274"/>
    </row>
    <row r="2507" spans="1:49" s="13" customFormat="1" ht="33.75" x14ac:dyDescent="0.2">
      <c r="A2507" s="14">
        <v>2483</v>
      </c>
      <c r="B2507" s="14">
        <v>400005873</v>
      </c>
      <c r="C2507" s="8" t="s">
        <v>5197</v>
      </c>
      <c r="D2507" s="4" t="str">
        <f t="shared" si="263"/>
        <v>400005873R1</v>
      </c>
      <c r="E2507" s="309" t="str">
        <f>VLOOKUP($B2507,'D7 - NDB Impacted SPRF''s'!$E$6:$O$9929,2,FALSE)</f>
        <v>APP Release 2</v>
      </c>
      <c r="F2507" s="8"/>
      <c r="G2507" s="8" t="s">
        <v>4758</v>
      </c>
      <c r="H2507" s="8" t="s">
        <v>2870</v>
      </c>
      <c r="I2507" s="20"/>
      <c r="J2507" s="8"/>
      <c r="K2507" s="182"/>
      <c r="L2507" s="8" t="s">
        <v>6164</v>
      </c>
      <c r="M2507" s="8" t="s">
        <v>2814</v>
      </c>
      <c r="N2507" s="367"/>
      <c r="O2507" s="8"/>
      <c r="P2507" s="4" t="str">
        <f>VLOOKUP($B2507,'D7 - NDB Impacted SPRF''s'!$E$16:$O$9929,9,FALSE)</f>
        <v>N</v>
      </c>
      <c r="Q2507" s="4" t="str">
        <f>VLOOKUP($B2507,'D7 - NDB Impacted SPRF''s'!$E$16:$O$9929,10,FALSE)</f>
        <v>N</v>
      </c>
      <c r="R2507" s="4" t="str">
        <f>VLOOKUP($B2507,'D7 - NDB Impacted SPRF''s'!$E$16:$O$9929,11,FALSE)</f>
        <v>N</v>
      </c>
      <c r="S2507" s="8"/>
      <c r="T2507" s="310"/>
      <c r="U2507" s="310"/>
      <c r="V2507" s="4"/>
      <c r="W2507" s="4"/>
      <c r="X2507" s="4"/>
      <c r="Y2507" s="4"/>
      <c r="Z2507" s="4"/>
      <c r="AA2507" s="4"/>
      <c r="AB2507" s="380" t="str">
        <f>VLOOKUP($B2507,'D7 - NDB Impacted SPRF''s'!$E$16:$O$9929,4,FALSE)</f>
        <v>Cancelled</v>
      </c>
      <c r="AC2507" s="380" t="str">
        <f>VLOOKUP($B2507,'D7 - NDB Impacted SPRF''s'!$E$16:$O$9929,3,FALSE)</f>
        <v>UnitedHealthcare Employer &amp; Individual</v>
      </c>
      <c r="AD2507" s="380" t="str">
        <f>VLOOKUP($B2507,'D7 - NDB Impacted SPRF''s'!$E$16:$O$9929,5,FALSE)</f>
        <v>Operations Group</v>
      </c>
      <c r="AE2507" s="380" t="str">
        <f>VLOOKUP($B2507,'D7 - NDB Impacted SPRF''s'!$E$16:$O$9929,7,FALSE)</f>
        <v>Dirk McMahon</v>
      </c>
      <c r="AF2507" s="380" t="str">
        <f>VLOOKUP($B2507,'D7 - NDB Impacted SPRF''s'!$E$16:$O$9929,6,FALSE)</f>
        <v>Anita Bachmann</v>
      </c>
      <c r="AG2507" s="282"/>
      <c r="AH2507" s="311" t="e">
        <f>INDEX('D5 - Gatekeeper - Projects'!$A$4:$AF$1010,$AM2507, 17)</f>
        <v>#N/A</v>
      </c>
      <c r="AI2507" s="8"/>
      <c r="AJ2507" s="57"/>
      <c r="AK2507" s="105"/>
      <c r="AM2507" s="6" t="e">
        <f>MATCH(D2507,'D5 - Gatekeeper - Projects'!$C$4:$C$1010,0)</f>
        <v>#N/A</v>
      </c>
      <c r="AN2507" s="6" t="b">
        <f t="shared" si="265"/>
        <v>1</v>
      </c>
      <c r="AO2507" s="6" t="str">
        <f t="shared" si="266"/>
        <v>OK</v>
      </c>
      <c r="AQ2507" s="6" t="e">
        <f>MATCH($D2507,'D4 - Provider Council Unsched'!$C$11:$C$234,0)</f>
        <v>#N/A</v>
      </c>
      <c r="AR2507" s="6" t="b">
        <f t="shared" si="267"/>
        <v>1</v>
      </c>
      <c r="AS2507" s="6" t="str">
        <f t="shared" si="264"/>
        <v>OK</v>
      </c>
      <c r="AU2507" s="202"/>
      <c r="AV2507" s="262"/>
      <c r="AW2507" s="274"/>
    </row>
    <row r="2508" spans="1:49" s="13" customFormat="1" ht="33.75" x14ac:dyDescent="0.2">
      <c r="A2508" s="14">
        <v>2484</v>
      </c>
      <c r="B2508" s="14">
        <v>400006063</v>
      </c>
      <c r="C2508" s="8" t="s">
        <v>5197</v>
      </c>
      <c r="D2508" s="4" t="str">
        <f t="shared" si="263"/>
        <v>400006063R1</v>
      </c>
      <c r="E2508" s="309" t="str">
        <f>VLOOKUP($B2508,'D7 - NDB Impacted SPRF''s'!$E$6:$O$9929,2,FALSE)</f>
        <v>Invalid Market Number and IPA Combination Report</v>
      </c>
      <c r="F2508" s="8" t="s">
        <v>3274</v>
      </c>
      <c r="G2508" s="8" t="s">
        <v>4758</v>
      </c>
      <c r="H2508" s="8" t="s">
        <v>2870</v>
      </c>
      <c r="I2508" s="20">
        <v>0.4</v>
      </c>
      <c r="J2508" s="8" t="s">
        <v>7113</v>
      </c>
      <c r="K2508" s="182"/>
      <c r="L2508" s="8" t="s">
        <v>4156</v>
      </c>
      <c r="M2508" s="8" t="s">
        <v>2814</v>
      </c>
      <c r="N2508" s="367" t="s">
        <v>5190</v>
      </c>
      <c r="O2508" s="8"/>
      <c r="P2508" s="4" t="str">
        <f>VLOOKUP($B2508,'D7 - NDB Impacted SPRF''s'!$E$16:$O$9929,9,FALSE)</f>
        <v>Y</v>
      </c>
      <c r="Q2508" s="4" t="str">
        <f>VLOOKUP($B2508,'D7 - NDB Impacted SPRF''s'!$E$16:$O$9929,10,FALSE)</f>
        <v>N</v>
      </c>
      <c r="R2508" s="4" t="str">
        <f>VLOOKUP($B2508,'D7 - NDB Impacted SPRF''s'!$E$16:$O$9929,11,FALSE)</f>
        <v>N</v>
      </c>
      <c r="S2508" s="8"/>
      <c r="T2508" s="310"/>
      <c r="U2508" s="310"/>
      <c r="V2508" s="4"/>
      <c r="W2508" s="4"/>
      <c r="X2508" s="4"/>
      <c r="Y2508" s="4"/>
      <c r="Z2508" s="4"/>
      <c r="AA2508" s="4"/>
      <c r="AB2508" s="380" t="str">
        <f>VLOOKUP($B2508,'D7 - NDB Impacted SPRF''s'!$E$16:$O$9929,4,FALSE)</f>
        <v>Cancelled</v>
      </c>
      <c r="AC2508" s="380" t="str">
        <f>VLOOKUP($B2508,'D7 - NDB Impacted SPRF''s'!$E$16:$O$9929,3,FALSE)</f>
        <v>UnitedHealthcare Employer &amp; Individual</v>
      </c>
      <c r="AD2508" s="380" t="str">
        <f>VLOOKUP($B2508,'D7 - NDB Impacted SPRF''s'!$E$16:$O$9929,5,FALSE)</f>
        <v>Operations Group</v>
      </c>
      <c r="AE2508" s="380" t="str">
        <f>VLOOKUP($B2508,'D7 - NDB Impacted SPRF''s'!$E$16:$O$9929,7,FALSE)</f>
        <v>Tim Kaja</v>
      </c>
      <c r="AF2508" s="380" t="str">
        <f>VLOOKUP($B2508,'D7 - NDB Impacted SPRF''s'!$E$16:$O$9929,6,FALSE)</f>
        <v>Rigina Stewart</v>
      </c>
      <c r="AG2508" s="282" t="s">
        <v>7755</v>
      </c>
      <c r="AH2508" s="311" t="e">
        <f>INDEX('D5 - Gatekeeper - Projects'!$A$4:$AF$1010,$AM2508, 17)</f>
        <v>#N/A</v>
      </c>
      <c r="AI2508" s="8"/>
      <c r="AJ2508" s="57"/>
      <c r="AK2508" s="105"/>
      <c r="AM2508" s="6" t="e">
        <f>MATCH(D2508,'D5 - Gatekeeper - Projects'!$C$4:$C$1010,0)</f>
        <v>#N/A</v>
      </c>
      <c r="AN2508" s="6" t="b">
        <f t="shared" si="265"/>
        <v>1</v>
      </c>
      <c r="AO2508" s="6" t="str">
        <f t="shared" si="266"/>
        <v>OK</v>
      </c>
      <c r="AQ2508" s="6" t="e">
        <f>MATCH($D2508,'D4 - Provider Council Unsched'!$C$11:$C$234,0)</f>
        <v>#N/A</v>
      </c>
      <c r="AR2508" s="6" t="b">
        <f t="shared" si="267"/>
        <v>1</v>
      </c>
      <c r="AS2508" s="6" t="str">
        <f t="shared" si="264"/>
        <v>OK</v>
      </c>
      <c r="AU2508" s="202"/>
      <c r="AV2508" s="262"/>
      <c r="AW2508" s="274"/>
    </row>
    <row r="2509" spans="1:49" s="13" customFormat="1" ht="33.75" x14ac:dyDescent="0.2">
      <c r="A2509" s="14">
        <v>2485</v>
      </c>
      <c r="B2509" s="14">
        <v>400006064</v>
      </c>
      <c r="C2509" s="8" t="s">
        <v>5197</v>
      </c>
      <c r="D2509" s="4" t="str">
        <f t="shared" si="263"/>
        <v>400006064R1</v>
      </c>
      <c r="E2509" s="309" t="str">
        <f>VLOOKUP($B2509,'D7 - NDB Impacted SPRF''s'!$E$6:$O$9929,2,FALSE)</f>
        <v>Invalid Group Table Number Report</v>
      </c>
      <c r="F2509" s="8" t="s">
        <v>3235</v>
      </c>
      <c r="G2509" s="8" t="s">
        <v>4758</v>
      </c>
      <c r="H2509" s="8" t="s">
        <v>2870</v>
      </c>
      <c r="I2509" s="20"/>
      <c r="J2509" s="8"/>
      <c r="K2509" s="182"/>
      <c r="L2509" s="8" t="s">
        <v>6164</v>
      </c>
      <c r="M2509" s="8" t="s">
        <v>2814</v>
      </c>
      <c r="N2509" s="367"/>
      <c r="O2509" s="8"/>
      <c r="P2509" s="4" t="str">
        <f>VLOOKUP($B2509,'D7 - NDB Impacted SPRF''s'!$E$16:$O$9929,9,FALSE)</f>
        <v>Y</v>
      </c>
      <c r="Q2509" s="4" t="str">
        <f>VLOOKUP($B2509,'D7 - NDB Impacted SPRF''s'!$E$16:$O$9929,10,FALSE)</f>
        <v>N</v>
      </c>
      <c r="R2509" s="4" t="str">
        <f>VLOOKUP($B2509,'D7 - NDB Impacted SPRF''s'!$E$16:$O$9929,11,FALSE)</f>
        <v>N</v>
      </c>
      <c r="S2509" s="8"/>
      <c r="T2509" s="310"/>
      <c r="U2509" s="310"/>
      <c r="V2509" s="4"/>
      <c r="W2509" s="4"/>
      <c r="X2509" s="4"/>
      <c r="Y2509" s="4"/>
      <c r="Z2509" s="4"/>
      <c r="AA2509" s="4"/>
      <c r="AB2509" s="380" t="str">
        <f>VLOOKUP($B2509,'D7 - NDB Impacted SPRF''s'!$E$16:$O$9929,4,FALSE)</f>
        <v>Cancelled</v>
      </c>
      <c r="AC2509" s="380" t="str">
        <f>VLOOKUP($B2509,'D7 - NDB Impacted SPRF''s'!$E$16:$O$9929,3,FALSE)</f>
        <v>UnitedHealthcare Employer &amp; Individual</v>
      </c>
      <c r="AD2509" s="380" t="str">
        <f>VLOOKUP($B2509,'D7 - NDB Impacted SPRF''s'!$E$16:$O$9929,5,FALSE)</f>
        <v>Operations Group</v>
      </c>
      <c r="AE2509" s="380" t="str">
        <f>VLOOKUP($B2509,'D7 - NDB Impacted SPRF''s'!$E$16:$O$9929,7,FALSE)</f>
        <v>Tim Kaja</v>
      </c>
      <c r="AF2509" s="380" t="str">
        <f>VLOOKUP($B2509,'D7 - NDB Impacted SPRF''s'!$E$16:$O$9929,6,FALSE)</f>
        <v>Rigina Stewart</v>
      </c>
      <c r="AG2509" s="282"/>
      <c r="AH2509" s="311" t="e">
        <f>INDEX('D5 - Gatekeeper - Projects'!$A$4:$AF$1010,$AM2509, 17)</f>
        <v>#N/A</v>
      </c>
      <c r="AI2509" s="8"/>
      <c r="AJ2509" s="57"/>
      <c r="AK2509" s="105"/>
      <c r="AM2509" s="6" t="e">
        <f>MATCH(D2509,'D5 - Gatekeeper - Projects'!$C$4:$C$1010,0)</f>
        <v>#N/A</v>
      </c>
      <c r="AN2509" s="6" t="b">
        <f t="shared" si="265"/>
        <v>1</v>
      </c>
      <c r="AO2509" s="6" t="str">
        <f t="shared" si="266"/>
        <v>OK</v>
      </c>
      <c r="AQ2509" s="6" t="e">
        <f>MATCH($D2509,'D4 - Provider Council Unsched'!$C$11:$C$234,0)</f>
        <v>#N/A</v>
      </c>
      <c r="AR2509" s="6" t="b">
        <f t="shared" si="267"/>
        <v>1</v>
      </c>
      <c r="AS2509" s="6" t="str">
        <f t="shared" si="264"/>
        <v>OK</v>
      </c>
      <c r="AU2509" s="202"/>
      <c r="AV2509" s="262"/>
      <c r="AW2509" s="274"/>
    </row>
    <row r="2510" spans="1:49" s="13" customFormat="1" ht="33.75" x14ac:dyDescent="0.2">
      <c r="A2510" s="14">
        <v>2486</v>
      </c>
      <c r="B2510" s="14">
        <v>400006065</v>
      </c>
      <c r="C2510" s="8" t="s">
        <v>5197</v>
      </c>
      <c r="D2510" s="4" t="str">
        <f t="shared" si="263"/>
        <v>400006065R1</v>
      </c>
      <c r="E2510" s="309" t="str">
        <f>VLOOKUP($B2510,'D7 - NDB Impacted SPRF''s'!$E$6:$O$9929,2,FALSE)</f>
        <v>Invalid Fee Schedule Report</v>
      </c>
      <c r="F2510" s="8" t="s">
        <v>3274</v>
      </c>
      <c r="G2510" s="8" t="s">
        <v>4758</v>
      </c>
      <c r="H2510" s="8" t="s">
        <v>2870</v>
      </c>
      <c r="I2510" s="20">
        <v>0.35</v>
      </c>
      <c r="J2510" s="8" t="s">
        <v>7113</v>
      </c>
      <c r="K2510" s="182"/>
      <c r="L2510" s="8" t="s">
        <v>4156</v>
      </c>
      <c r="M2510" s="8" t="s">
        <v>2814</v>
      </c>
      <c r="N2510" s="367" t="s">
        <v>5190</v>
      </c>
      <c r="O2510" s="8"/>
      <c r="P2510" s="4" t="str">
        <f>VLOOKUP($B2510,'D7 - NDB Impacted SPRF''s'!$E$16:$O$9929,9,FALSE)</f>
        <v>Y</v>
      </c>
      <c r="Q2510" s="4" t="str">
        <f>VLOOKUP($B2510,'D7 - NDB Impacted SPRF''s'!$E$16:$O$9929,10,FALSE)</f>
        <v>N</v>
      </c>
      <c r="R2510" s="4" t="str">
        <f>VLOOKUP($B2510,'D7 - NDB Impacted SPRF''s'!$E$16:$O$9929,11,FALSE)</f>
        <v>N</v>
      </c>
      <c r="S2510" s="8"/>
      <c r="T2510" s="310"/>
      <c r="U2510" s="310"/>
      <c r="V2510" s="4"/>
      <c r="W2510" s="4"/>
      <c r="X2510" s="4"/>
      <c r="Y2510" s="4"/>
      <c r="Z2510" s="4"/>
      <c r="AA2510" s="4"/>
      <c r="AB2510" s="380" t="str">
        <f>VLOOKUP($B2510,'D7 - NDB Impacted SPRF''s'!$E$16:$O$9929,4,FALSE)</f>
        <v>Cancelled</v>
      </c>
      <c r="AC2510" s="380" t="str">
        <f>VLOOKUP($B2510,'D7 - NDB Impacted SPRF''s'!$E$16:$O$9929,3,FALSE)</f>
        <v>UnitedHealthcare Employer &amp; Individual</v>
      </c>
      <c r="AD2510" s="380" t="str">
        <f>VLOOKUP($B2510,'D7 - NDB Impacted SPRF''s'!$E$16:$O$9929,5,FALSE)</f>
        <v>Operations Group</v>
      </c>
      <c r="AE2510" s="380" t="str">
        <f>VLOOKUP($B2510,'D7 - NDB Impacted SPRF''s'!$E$16:$O$9929,7,FALSE)</f>
        <v>Tim Kaja</v>
      </c>
      <c r="AF2510" s="380" t="str">
        <f>VLOOKUP($B2510,'D7 - NDB Impacted SPRF''s'!$E$16:$O$9929,6,FALSE)</f>
        <v>Rigina Stewart</v>
      </c>
      <c r="AG2510" s="282" t="s">
        <v>7755</v>
      </c>
      <c r="AH2510" s="311" t="e">
        <f>INDEX('D5 - Gatekeeper - Projects'!$A$4:$AF$1010,$AM2510, 17)</f>
        <v>#N/A</v>
      </c>
      <c r="AI2510" s="8"/>
      <c r="AJ2510" s="57"/>
      <c r="AK2510" s="105"/>
      <c r="AM2510" s="6" t="e">
        <f>MATCH(D2510,'D5 - Gatekeeper - Projects'!$C$4:$C$1010,0)</f>
        <v>#N/A</v>
      </c>
      <c r="AN2510" s="6" t="b">
        <f t="shared" si="265"/>
        <v>1</v>
      </c>
      <c r="AO2510" s="6" t="str">
        <f t="shared" si="266"/>
        <v>OK</v>
      </c>
      <c r="AQ2510" s="6" t="e">
        <f>MATCH($D2510,'D4 - Provider Council Unsched'!$C$11:$C$234,0)</f>
        <v>#N/A</v>
      </c>
      <c r="AR2510" s="6" t="b">
        <f t="shared" si="267"/>
        <v>1</v>
      </c>
      <c r="AS2510" s="6" t="str">
        <f t="shared" si="264"/>
        <v>OK</v>
      </c>
      <c r="AU2510" s="202"/>
      <c r="AV2510" s="262"/>
      <c r="AW2510" s="274"/>
    </row>
    <row r="2511" spans="1:49" s="13" customFormat="1" ht="33.75" x14ac:dyDescent="0.2">
      <c r="A2511" s="14">
        <v>2487</v>
      </c>
      <c r="B2511" s="14">
        <v>400006066</v>
      </c>
      <c r="C2511" s="8" t="s">
        <v>5197</v>
      </c>
      <c r="D2511" s="4" t="str">
        <f t="shared" si="263"/>
        <v>400006066R1</v>
      </c>
      <c r="E2511" s="309" t="str">
        <f>VLOOKUP($B2511,'D7 - NDB Impacted SPRF''s'!$E$6:$O$9929,2,FALSE)</f>
        <v>Inactive Markets One-Shot</v>
      </c>
      <c r="F2511" s="8" t="s">
        <v>3274</v>
      </c>
      <c r="G2511" s="8" t="s">
        <v>4758</v>
      </c>
      <c r="H2511" s="8" t="s">
        <v>2870</v>
      </c>
      <c r="I2511" s="20">
        <v>1.07</v>
      </c>
      <c r="J2511" s="8" t="s">
        <v>7113</v>
      </c>
      <c r="K2511" s="182"/>
      <c r="L2511" s="8" t="s">
        <v>4156</v>
      </c>
      <c r="M2511" s="8" t="s">
        <v>2814</v>
      </c>
      <c r="N2511" s="367" t="s">
        <v>5190</v>
      </c>
      <c r="O2511" s="8"/>
      <c r="P2511" s="4" t="str">
        <f>VLOOKUP($B2511,'D7 - NDB Impacted SPRF''s'!$E$16:$O$9929,9,FALSE)</f>
        <v>Y</v>
      </c>
      <c r="Q2511" s="4" t="str">
        <f>VLOOKUP($B2511,'D7 - NDB Impacted SPRF''s'!$E$16:$O$9929,10,FALSE)</f>
        <v>N</v>
      </c>
      <c r="R2511" s="4" t="str">
        <f>VLOOKUP($B2511,'D7 - NDB Impacted SPRF''s'!$E$16:$O$9929,11,FALSE)</f>
        <v>N</v>
      </c>
      <c r="S2511" s="8"/>
      <c r="T2511" s="310"/>
      <c r="U2511" s="310"/>
      <c r="V2511" s="4"/>
      <c r="W2511" s="4"/>
      <c r="X2511" s="4"/>
      <c r="Y2511" s="4"/>
      <c r="Z2511" s="4"/>
      <c r="AA2511" s="4"/>
      <c r="AB2511" s="380" t="str">
        <f>VLOOKUP($B2511,'D7 - NDB Impacted SPRF''s'!$E$16:$O$9929,4,FALSE)</f>
        <v>Cancelled</v>
      </c>
      <c r="AC2511" s="380" t="str">
        <f>VLOOKUP($B2511,'D7 - NDB Impacted SPRF''s'!$E$16:$O$9929,3,FALSE)</f>
        <v>UnitedHealthcare Employer &amp; Individual</v>
      </c>
      <c r="AD2511" s="380" t="str">
        <f>VLOOKUP($B2511,'D7 - NDB Impacted SPRF''s'!$E$16:$O$9929,5,FALSE)</f>
        <v>Operations Group</v>
      </c>
      <c r="AE2511" s="380" t="str">
        <f>VLOOKUP($B2511,'D7 - NDB Impacted SPRF''s'!$E$16:$O$9929,7,FALSE)</f>
        <v>Tim Kaja</v>
      </c>
      <c r="AF2511" s="380" t="str">
        <f>VLOOKUP($B2511,'D7 - NDB Impacted SPRF''s'!$E$16:$O$9929,6,FALSE)</f>
        <v>Rigina Stewart</v>
      </c>
      <c r="AG2511" s="282" t="s">
        <v>7755</v>
      </c>
      <c r="AH2511" s="311" t="e">
        <f>INDEX('D5 - Gatekeeper - Projects'!$A$4:$AF$1010,$AM2511, 17)</f>
        <v>#N/A</v>
      </c>
      <c r="AI2511" s="8"/>
      <c r="AJ2511" s="57"/>
      <c r="AK2511" s="105"/>
      <c r="AM2511" s="6" t="e">
        <f>MATCH(D2511,'D5 - Gatekeeper - Projects'!$C$4:$C$1010,0)</f>
        <v>#N/A</v>
      </c>
      <c r="AN2511" s="6" t="b">
        <f t="shared" si="265"/>
        <v>1</v>
      </c>
      <c r="AO2511" s="6" t="str">
        <f t="shared" si="266"/>
        <v>OK</v>
      </c>
      <c r="AQ2511" s="6" t="e">
        <f>MATCH($D2511,'D4 - Provider Council Unsched'!$C$11:$C$234,0)</f>
        <v>#N/A</v>
      </c>
      <c r="AR2511" s="6" t="b">
        <f t="shared" si="267"/>
        <v>1</v>
      </c>
      <c r="AS2511" s="6" t="str">
        <f t="shared" si="264"/>
        <v>OK</v>
      </c>
      <c r="AU2511" s="202"/>
      <c r="AV2511" s="262"/>
      <c r="AW2511" s="274"/>
    </row>
    <row r="2512" spans="1:49" s="13" customFormat="1" ht="33.75" x14ac:dyDescent="0.2">
      <c r="A2512" s="14">
        <v>2488</v>
      </c>
      <c r="B2512" s="14">
        <v>400006067</v>
      </c>
      <c r="C2512" s="8" t="s">
        <v>5197</v>
      </c>
      <c r="D2512" s="4" t="str">
        <f t="shared" si="263"/>
        <v>400006067R1</v>
      </c>
      <c r="E2512" s="309" t="str">
        <f>VLOOKUP($B2512,'D7 - NDB Impacted SPRF''s'!$E$6:$O$9929,2,FALSE)</f>
        <v>Market Offering Tble &amp; TOPS Invalid Match One-Shot</v>
      </c>
      <c r="F2512" s="8" t="s">
        <v>3274</v>
      </c>
      <c r="G2512" s="8" t="s">
        <v>4758</v>
      </c>
      <c r="H2512" s="8" t="s">
        <v>2870</v>
      </c>
      <c r="I2512" s="20">
        <v>1.07</v>
      </c>
      <c r="J2512" s="8" t="s">
        <v>7113</v>
      </c>
      <c r="K2512" s="182"/>
      <c r="L2512" s="8" t="s">
        <v>4156</v>
      </c>
      <c r="M2512" s="8" t="s">
        <v>2814</v>
      </c>
      <c r="N2512" s="367" t="s">
        <v>5190</v>
      </c>
      <c r="O2512" s="8"/>
      <c r="P2512" s="4" t="str">
        <f>VLOOKUP($B2512,'D7 - NDB Impacted SPRF''s'!$E$16:$O$9929,9,FALSE)</f>
        <v>Y</v>
      </c>
      <c r="Q2512" s="4" t="str">
        <f>VLOOKUP($B2512,'D7 - NDB Impacted SPRF''s'!$E$16:$O$9929,10,FALSE)</f>
        <v>N</v>
      </c>
      <c r="R2512" s="4" t="str">
        <f>VLOOKUP($B2512,'D7 - NDB Impacted SPRF''s'!$E$16:$O$9929,11,FALSE)</f>
        <v>N</v>
      </c>
      <c r="S2512" s="8"/>
      <c r="T2512" s="310"/>
      <c r="U2512" s="310"/>
      <c r="V2512" s="4"/>
      <c r="W2512" s="4"/>
      <c r="X2512" s="4"/>
      <c r="Y2512" s="4"/>
      <c r="Z2512" s="4"/>
      <c r="AA2512" s="4"/>
      <c r="AB2512" s="380" t="str">
        <f>VLOOKUP($B2512,'D7 - NDB Impacted SPRF''s'!$E$16:$O$9929,4,FALSE)</f>
        <v>Cancelled</v>
      </c>
      <c r="AC2512" s="380" t="str">
        <f>VLOOKUP($B2512,'D7 - NDB Impacted SPRF''s'!$E$16:$O$9929,3,FALSE)</f>
        <v>UnitedHealthcare Employer &amp; Individual</v>
      </c>
      <c r="AD2512" s="380" t="str">
        <f>VLOOKUP($B2512,'D7 - NDB Impacted SPRF''s'!$E$16:$O$9929,5,FALSE)</f>
        <v>Operations Group</v>
      </c>
      <c r="AE2512" s="380" t="str">
        <f>VLOOKUP($B2512,'D7 - NDB Impacted SPRF''s'!$E$16:$O$9929,7,FALSE)</f>
        <v>Tim Kaja</v>
      </c>
      <c r="AF2512" s="380" t="str">
        <f>VLOOKUP($B2512,'D7 - NDB Impacted SPRF''s'!$E$16:$O$9929,6,FALSE)</f>
        <v>Rigina Stewart</v>
      </c>
      <c r="AG2512" s="282" t="s">
        <v>7755</v>
      </c>
      <c r="AH2512" s="311" t="e">
        <f>INDEX('D5 - Gatekeeper - Projects'!$A$4:$AF$1010,$AM2512, 17)</f>
        <v>#N/A</v>
      </c>
      <c r="AI2512" s="8"/>
      <c r="AJ2512" s="57"/>
      <c r="AK2512" s="105"/>
      <c r="AM2512" s="6" t="e">
        <f>MATCH(D2512,'D5 - Gatekeeper - Projects'!$C$4:$C$1010,0)</f>
        <v>#N/A</v>
      </c>
      <c r="AN2512" s="6" t="b">
        <f t="shared" si="265"/>
        <v>1</v>
      </c>
      <c r="AO2512" s="6" t="str">
        <f t="shared" si="266"/>
        <v>OK</v>
      </c>
      <c r="AQ2512" s="6" t="e">
        <f>MATCH($D2512,'D4 - Provider Council Unsched'!$C$11:$C$234,0)</f>
        <v>#N/A</v>
      </c>
      <c r="AR2512" s="6" t="b">
        <f t="shared" si="267"/>
        <v>1</v>
      </c>
      <c r="AS2512" s="6" t="str">
        <f t="shared" si="264"/>
        <v>OK</v>
      </c>
      <c r="AU2512" s="202"/>
      <c r="AV2512" s="262"/>
      <c r="AW2512" s="274"/>
    </row>
    <row r="2513" spans="1:49" s="13" customFormat="1" ht="33.75" x14ac:dyDescent="0.2">
      <c r="A2513" s="14">
        <v>2489</v>
      </c>
      <c r="B2513" s="14">
        <v>400006077</v>
      </c>
      <c r="C2513" s="8" t="s">
        <v>5197</v>
      </c>
      <c r="D2513" s="4" t="str">
        <f t="shared" si="263"/>
        <v>400006077R1</v>
      </c>
      <c r="E2513" s="309" t="str">
        <f>VLOOKUP($B2513,'D7 - NDB Impacted SPRF''s'!$E$6:$O$9929,2,FALSE)</f>
        <v xml:space="preserve">Identify Fee Schedule/Market # w/o Master PPI </v>
      </c>
      <c r="F2513" s="8" t="s">
        <v>3274</v>
      </c>
      <c r="G2513" s="8" t="s">
        <v>4758</v>
      </c>
      <c r="H2513" s="8" t="s">
        <v>2870</v>
      </c>
      <c r="I2513" s="20">
        <v>0.35</v>
      </c>
      <c r="J2513" s="8" t="s">
        <v>7113</v>
      </c>
      <c r="K2513" s="182"/>
      <c r="L2513" s="8" t="s">
        <v>4156</v>
      </c>
      <c r="M2513" s="8" t="s">
        <v>2814</v>
      </c>
      <c r="N2513" s="367" t="s">
        <v>5190</v>
      </c>
      <c r="O2513" s="8"/>
      <c r="P2513" s="4" t="str">
        <f>VLOOKUP($B2513,'D7 - NDB Impacted SPRF''s'!$E$16:$O$9929,9,FALSE)</f>
        <v>Y</v>
      </c>
      <c r="Q2513" s="4" t="str">
        <f>VLOOKUP($B2513,'D7 - NDB Impacted SPRF''s'!$E$16:$O$9929,10,FALSE)</f>
        <v>N</v>
      </c>
      <c r="R2513" s="4" t="str">
        <f>VLOOKUP($B2513,'D7 - NDB Impacted SPRF''s'!$E$16:$O$9929,11,FALSE)</f>
        <v>N</v>
      </c>
      <c r="S2513" s="8"/>
      <c r="T2513" s="310"/>
      <c r="U2513" s="310"/>
      <c r="V2513" s="4"/>
      <c r="W2513" s="4"/>
      <c r="X2513" s="4"/>
      <c r="Y2513" s="4"/>
      <c r="Z2513" s="4"/>
      <c r="AA2513" s="4"/>
      <c r="AB2513" s="380" t="str">
        <f>VLOOKUP($B2513,'D7 - NDB Impacted SPRF''s'!$E$16:$O$9929,4,FALSE)</f>
        <v>Cancelled</v>
      </c>
      <c r="AC2513" s="380" t="str">
        <f>VLOOKUP($B2513,'D7 - NDB Impacted SPRF''s'!$E$16:$O$9929,3,FALSE)</f>
        <v>UnitedHealthcare Employer &amp; Individual</v>
      </c>
      <c r="AD2513" s="380" t="str">
        <f>VLOOKUP($B2513,'D7 - NDB Impacted SPRF''s'!$E$16:$O$9929,5,FALSE)</f>
        <v>Operations Group</v>
      </c>
      <c r="AE2513" s="380" t="str">
        <f>VLOOKUP($B2513,'D7 - NDB Impacted SPRF''s'!$E$16:$O$9929,7,FALSE)</f>
        <v>Tim Kaja</v>
      </c>
      <c r="AF2513" s="380" t="str">
        <f>VLOOKUP($B2513,'D7 - NDB Impacted SPRF''s'!$E$16:$O$9929,6,FALSE)</f>
        <v>Rigina Stewart</v>
      </c>
      <c r="AG2513" s="282" t="s">
        <v>7755</v>
      </c>
      <c r="AH2513" s="311" t="e">
        <f>INDEX('D5 - Gatekeeper - Projects'!$A$4:$AF$1010,$AM2513, 17)</f>
        <v>#N/A</v>
      </c>
      <c r="AI2513" s="8"/>
      <c r="AJ2513" s="57"/>
      <c r="AK2513" s="105"/>
      <c r="AM2513" s="6" t="e">
        <f>MATCH(D2513,'D5 - Gatekeeper - Projects'!$C$4:$C$1010,0)</f>
        <v>#N/A</v>
      </c>
      <c r="AN2513" s="6" t="b">
        <f t="shared" si="265"/>
        <v>1</v>
      </c>
      <c r="AO2513" s="6" t="str">
        <f t="shared" si="266"/>
        <v>OK</v>
      </c>
      <c r="AQ2513" s="6" t="e">
        <f>MATCH($D2513,'D4 - Provider Council Unsched'!$C$11:$C$234,0)</f>
        <v>#N/A</v>
      </c>
      <c r="AR2513" s="6" t="b">
        <f t="shared" si="267"/>
        <v>1</v>
      </c>
      <c r="AS2513" s="6" t="str">
        <f t="shared" si="264"/>
        <v>OK</v>
      </c>
      <c r="AU2513" s="202"/>
      <c r="AV2513" s="262"/>
      <c r="AW2513" s="274"/>
    </row>
    <row r="2514" spans="1:49" s="13" customFormat="1" ht="22.5" x14ac:dyDescent="0.2">
      <c r="A2514" s="14">
        <v>2490</v>
      </c>
      <c r="B2514" s="14">
        <v>400006132</v>
      </c>
      <c r="C2514" s="8" t="s">
        <v>5197</v>
      </c>
      <c r="D2514" s="4" t="str">
        <f t="shared" si="263"/>
        <v>400006132R1</v>
      </c>
      <c r="E2514" s="309" t="str">
        <f>VLOOKUP($B2514,'D7 - NDB Impacted SPRF''s'!$E$6:$O$9929,2,FALSE)</f>
        <v>Comet - Concurrent Development Environments</v>
      </c>
      <c r="F2514" s="8" t="s">
        <v>2114</v>
      </c>
      <c r="G2514" s="8" t="s">
        <v>4758</v>
      </c>
      <c r="H2514" s="8" t="s">
        <v>2870</v>
      </c>
      <c r="I2514" s="20">
        <v>0.53</v>
      </c>
      <c r="J2514" s="8" t="s">
        <v>7113</v>
      </c>
      <c r="K2514" s="182"/>
      <c r="L2514" s="8" t="s">
        <v>4156</v>
      </c>
      <c r="M2514" s="8" t="s">
        <v>2814</v>
      </c>
      <c r="N2514" s="368" t="s">
        <v>5190</v>
      </c>
      <c r="O2514" s="8"/>
      <c r="P2514" s="4" t="str">
        <f>VLOOKUP($B2514,'D7 - NDB Impacted SPRF''s'!$E$16:$O$9929,9,FALSE)</f>
        <v>Y</v>
      </c>
      <c r="Q2514" s="4" t="str">
        <f>VLOOKUP($B2514,'D7 - NDB Impacted SPRF''s'!$E$16:$O$9929,10,FALSE)</f>
        <v>N</v>
      </c>
      <c r="R2514" s="4" t="str">
        <f>VLOOKUP($B2514,'D7 - NDB Impacted SPRF''s'!$E$16:$O$9929,11,FALSE)</f>
        <v>N</v>
      </c>
      <c r="S2514" s="8"/>
      <c r="T2514" s="310"/>
      <c r="U2514" s="310"/>
      <c r="V2514" s="4"/>
      <c r="W2514" s="4"/>
      <c r="X2514" s="4"/>
      <c r="Y2514" s="4"/>
      <c r="Z2514" s="4"/>
      <c r="AA2514" s="4"/>
      <c r="AB2514" s="380" t="str">
        <f>VLOOKUP($B2514,'D7 - NDB Impacted SPRF''s'!$E$16:$O$9929,4,FALSE)</f>
        <v>Cancelled</v>
      </c>
      <c r="AC2514" s="380" t="str">
        <f>VLOOKUP($B2514,'D7 - NDB Impacted SPRF''s'!$E$16:$O$9929,3,FALSE)</f>
        <v>Uniprise</v>
      </c>
      <c r="AD2514" s="380" t="str">
        <f>VLOOKUP($B2514,'D7 - NDB Impacted SPRF''s'!$E$16:$O$9929,5,FALSE)</f>
        <v>Uniprise Operations - Capital Projects</v>
      </c>
      <c r="AE2514" s="380" t="str">
        <f>VLOOKUP($B2514,'D7 - NDB Impacted SPRF''s'!$E$16:$O$9929,7,FALSE)</f>
        <v>Perry Stein</v>
      </c>
      <c r="AF2514" s="380" t="str">
        <f>VLOOKUP($B2514,'D7 - NDB Impacted SPRF''s'!$E$16:$O$9929,6,FALSE)</f>
        <v>Jim Kimmel</v>
      </c>
      <c r="AG2514" s="282" t="s">
        <v>7755</v>
      </c>
      <c r="AH2514" s="311" t="e">
        <f>INDEX('D5 - Gatekeeper - Projects'!$A$4:$AF$1010,$AM2514, 17)</f>
        <v>#N/A</v>
      </c>
      <c r="AI2514" s="8"/>
      <c r="AJ2514" s="57"/>
      <c r="AK2514" s="105"/>
      <c r="AM2514" s="6" t="e">
        <f>MATCH(D2514,'D5 - Gatekeeper - Projects'!$C$4:$C$1010,0)</f>
        <v>#N/A</v>
      </c>
      <c r="AN2514" s="6" t="b">
        <f t="shared" si="265"/>
        <v>1</v>
      </c>
      <c r="AO2514" s="6" t="str">
        <f t="shared" si="266"/>
        <v>OK</v>
      </c>
      <c r="AQ2514" s="6" t="e">
        <f>MATCH($D2514,'D4 - Provider Council Unsched'!$C$11:$C$234,0)</f>
        <v>#N/A</v>
      </c>
      <c r="AR2514" s="6" t="b">
        <f t="shared" si="267"/>
        <v>1</v>
      </c>
      <c r="AS2514" s="6" t="str">
        <f t="shared" si="264"/>
        <v>OK</v>
      </c>
      <c r="AU2514" s="202"/>
      <c r="AV2514" s="262"/>
      <c r="AW2514" s="274"/>
    </row>
    <row r="2515" spans="1:49" s="13" customFormat="1" ht="33.75" x14ac:dyDescent="0.2">
      <c r="A2515" s="14">
        <v>2491</v>
      </c>
      <c r="B2515" s="14">
        <v>400006288</v>
      </c>
      <c r="C2515" s="8" t="s">
        <v>5197</v>
      </c>
      <c r="D2515" s="4" t="str">
        <f t="shared" si="263"/>
        <v>400006288R1</v>
      </c>
      <c r="E2515" s="309" t="str">
        <f>VLOOKUP($B2515,'D7 - NDB Impacted SPRF''s'!$E$6:$O$9929,2,FALSE)</f>
        <v>Daily UNET Letter file to Attachment Vendors</v>
      </c>
      <c r="F2515" s="8"/>
      <c r="G2515" s="8" t="s">
        <v>4758</v>
      </c>
      <c r="H2515" s="8" t="s">
        <v>2870</v>
      </c>
      <c r="I2515" s="20"/>
      <c r="J2515" s="8"/>
      <c r="K2515" s="182"/>
      <c r="L2515" s="8" t="s">
        <v>6164</v>
      </c>
      <c r="M2515" s="8" t="s">
        <v>2814</v>
      </c>
      <c r="N2515" s="367"/>
      <c r="O2515" s="8"/>
      <c r="P2515" s="4" t="str">
        <f>VLOOKUP($B2515,'D7 - NDB Impacted SPRF''s'!$E$16:$O$9929,9,FALSE)</f>
        <v>Y</v>
      </c>
      <c r="Q2515" s="4" t="str">
        <f>VLOOKUP($B2515,'D7 - NDB Impacted SPRF''s'!$E$16:$O$9929,10,FALSE)</f>
        <v>N</v>
      </c>
      <c r="R2515" s="4" t="str">
        <f>VLOOKUP($B2515,'D7 - NDB Impacted SPRF''s'!$E$16:$O$9929,11,FALSE)</f>
        <v>N</v>
      </c>
      <c r="S2515" s="8"/>
      <c r="T2515" s="310"/>
      <c r="U2515" s="310"/>
      <c r="V2515" s="4"/>
      <c r="W2515" s="4"/>
      <c r="X2515" s="4"/>
      <c r="Y2515" s="4"/>
      <c r="Z2515" s="4"/>
      <c r="AA2515" s="4"/>
      <c r="AB2515" s="380" t="str">
        <f>VLOOKUP($B2515,'D7 - NDB Impacted SPRF''s'!$E$16:$O$9929,4,FALSE)</f>
        <v>Cancelled</v>
      </c>
      <c r="AC2515" s="380" t="str">
        <f>VLOOKUP($B2515,'D7 - NDB Impacted SPRF''s'!$E$16:$O$9929,3,FALSE)</f>
        <v>UnitedHealthcare Employer &amp; Individual</v>
      </c>
      <c r="AD2515" s="380" t="str">
        <f>VLOOKUP($B2515,'D7 - NDB Impacted SPRF''s'!$E$16:$O$9929,5,FALSE)</f>
        <v>Operations Group</v>
      </c>
      <c r="AE2515" s="380" t="str">
        <f>VLOOKUP($B2515,'D7 - NDB Impacted SPRF''s'!$E$16:$O$9929,7,FALSE)</f>
        <v>Peggy Doud</v>
      </c>
      <c r="AF2515" s="380" t="str">
        <f>VLOOKUP($B2515,'D7 - NDB Impacted SPRF''s'!$E$16:$O$9929,6,FALSE)</f>
        <v>Kim Koch</v>
      </c>
      <c r="AG2515" s="282"/>
      <c r="AH2515" s="311" t="e">
        <f>INDEX('D5 - Gatekeeper - Projects'!$A$4:$AF$1010,$AM2515, 17)</f>
        <v>#N/A</v>
      </c>
      <c r="AI2515" s="8"/>
      <c r="AJ2515" s="57"/>
      <c r="AK2515" s="105"/>
      <c r="AM2515" s="6" t="e">
        <f>MATCH(D2515,'D5 - Gatekeeper - Projects'!$C$4:$C$1010,0)</f>
        <v>#N/A</v>
      </c>
      <c r="AN2515" s="6" t="b">
        <f t="shared" si="265"/>
        <v>1</v>
      </c>
      <c r="AO2515" s="6" t="str">
        <f t="shared" si="266"/>
        <v>OK</v>
      </c>
      <c r="AQ2515" s="6" t="e">
        <f>MATCH($D2515,'D4 - Provider Council Unsched'!$C$11:$C$234,0)</f>
        <v>#N/A</v>
      </c>
      <c r="AR2515" s="6" t="b">
        <f t="shared" si="267"/>
        <v>1</v>
      </c>
      <c r="AS2515" s="6" t="str">
        <f t="shared" si="264"/>
        <v>OK</v>
      </c>
      <c r="AU2515" s="202"/>
      <c r="AV2515" s="262"/>
      <c r="AW2515" s="274"/>
    </row>
    <row r="2516" spans="1:49" s="13" customFormat="1" ht="33.75" x14ac:dyDescent="0.2">
      <c r="A2516" s="14">
        <v>2492</v>
      </c>
      <c r="B2516" s="14">
        <v>400006365</v>
      </c>
      <c r="C2516" s="8" t="s">
        <v>5197</v>
      </c>
      <c r="D2516" s="4" t="str">
        <f t="shared" si="263"/>
        <v>400006365R1</v>
      </c>
      <c r="E2516" s="309" t="str">
        <f>VLOOKUP($B2516,'D7 - NDB Impacted SPRF''s'!$E$6:$O$9929,2,FALSE)</f>
        <v xml:space="preserve">UHC Online Redesign - 20 plus claims </v>
      </c>
      <c r="F2516" s="8" t="s">
        <v>5536</v>
      </c>
      <c r="G2516" s="8" t="s">
        <v>4758</v>
      </c>
      <c r="H2516" s="8" t="s">
        <v>2870</v>
      </c>
      <c r="I2516" s="20"/>
      <c r="J2516" s="8"/>
      <c r="K2516" s="182"/>
      <c r="L2516" s="8" t="s">
        <v>6164</v>
      </c>
      <c r="M2516" s="8" t="s">
        <v>2814</v>
      </c>
      <c r="N2516" s="367"/>
      <c r="O2516" s="8"/>
      <c r="P2516" s="4" t="str">
        <f>VLOOKUP($B2516,'D7 - NDB Impacted SPRF''s'!$E$16:$O$9929,9,FALSE)</f>
        <v>N</v>
      </c>
      <c r="Q2516" s="4" t="str">
        <f>VLOOKUP($B2516,'D7 - NDB Impacted SPRF''s'!$E$16:$O$9929,10,FALSE)</f>
        <v>N</v>
      </c>
      <c r="R2516" s="4" t="str">
        <f>VLOOKUP($B2516,'D7 - NDB Impacted SPRF''s'!$E$16:$O$9929,11,FALSE)</f>
        <v>N</v>
      </c>
      <c r="S2516" s="8"/>
      <c r="T2516" s="310"/>
      <c r="U2516" s="310"/>
      <c r="V2516" s="4"/>
      <c r="W2516" s="4"/>
      <c r="X2516" s="4"/>
      <c r="Y2516" s="4"/>
      <c r="Z2516" s="4"/>
      <c r="AA2516" s="4"/>
      <c r="AB2516" s="380" t="str">
        <f>VLOOKUP($B2516,'D7 - NDB Impacted SPRF''s'!$E$16:$O$9929,4,FALSE)</f>
        <v>Cancelled</v>
      </c>
      <c r="AC2516" s="380" t="str">
        <f>VLOOKUP($B2516,'D7 - NDB Impacted SPRF''s'!$E$16:$O$9929,3,FALSE)</f>
        <v>UnitedHealthcare Employer &amp; Individual</v>
      </c>
      <c r="AD2516" s="380" t="str">
        <f>VLOOKUP($B2516,'D7 - NDB Impacted SPRF''s'!$E$16:$O$9929,5,FALSE)</f>
        <v>Operations Group</v>
      </c>
      <c r="AE2516" s="380" t="str">
        <f>VLOOKUP($B2516,'D7 - NDB Impacted SPRF''s'!$E$16:$O$9929,7,FALSE)</f>
        <v xml:space="preserve">Todd Berkley </v>
      </c>
      <c r="AF2516" s="380" t="str">
        <f>VLOOKUP($B2516,'D7 - NDB Impacted SPRF''s'!$E$16:$O$9929,6,FALSE)</f>
        <v>TRICIA ANDERSON</v>
      </c>
      <c r="AG2516" s="282"/>
      <c r="AH2516" s="311" t="e">
        <f>INDEX('D5 - Gatekeeper - Projects'!$A$4:$AF$1010,$AM2516, 17)</f>
        <v>#N/A</v>
      </c>
      <c r="AI2516" s="8"/>
      <c r="AJ2516" s="57"/>
      <c r="AK2516" s="105"/>
      <c r="AM2516" s="6" t="e">
        <f>MATCH(D2516,'D5 - Gatekeeper - Projects'!$C$4:$C$1010,0)</f>
        <v>#N/A</v>
      </c>
      <c r="AN2516" s="6" t="b">
        <f t="shared" si="265"/>
        <v>1</v>
      </c>
      <c r="AO2516" s="6" t="str">
        <f t="shared" si="266"/>
        <v>OK</v>
      </c>
      <c r="AQ2516" s="6" t="e">
        <f>MATCH($D2516,'D4 - Provider Council Unsched'!$C$11:$C$234,0)</f>
        <v>#N/A</v>
      </c>
      <c r="AR2516" s="6" t="b">
        <f t="shared" si="267"/>
        <v>1</v>
      </c>
      <c r="AS2516" s="6" t="str">
        <f t="shared" si="264"/>
        <v>OK</v>
      </c>
      <c r="AU2516" s="202"/>
      <c r="AV2516" s="262"/>
      <c r="AW2516" s="274"/>
    </row>
    <row r="2517" spans="1:49" s="13" customFormat="1" ht="22.5" x14ac:dyDescent="0.2">
      <c r="A2517" s="14">
        <v>2493</v>
      </c>
      <c r="B2517" s="14">
        <v>400006407</v>
      </c>
      <c r="C2517" s="8" t="s">
        <v>5197</v>
      </c>
      <c r="D2517" s="4" t="str">
        <f t="shared" si="263"/>
        <v>400006407R1</v>
      </c>
      <c r="E2517" s="309" t="str">
        <f>VLOOKUP($B2517,'D7 - NDB Impacted SPRF''s'!$E$6:$O$9929,2,FALSE)</f>
        <v>PIT-835 Error Avoidance</v>
      </c>
      <c r="F2517" s="8" t="s">
        <v>2114</v>
      </c>
      <c r="G2517" s="8" t="s">
        <v>4758</v>
      </c>
      <c r="H2517" s="8" t="s">
        <v>2870</v>
      </c>
      <c r="I2517" s="20">
        <v>0.33</v>
      </c>
      <c r="J2517" s="8" t="s">
        <v>7113</v>
      </c>
      <c r="K2517" s="182"/>
      <c r="L2517" s="8" t="s">
        <v>4156</v>
      </c>
      <c r="M2517" s="8" t="s">
        <v>2814</v>
      </c>
      <c r="N2517" s="367" t="s">
        <v>6345</v>
      </c>
      <c r="O2517" s="8"/>
      <c r="P2517" s="4" t="str">
        <f>VLOOKUP($B2517,'D7 - NDB Impacted SPRF''s'!$E$16:$O$9929,9,FALSE)</f>
        <v>Y</v>
      </c>
      <c r="Q2517" s="4" t="str">
        <f>VLOOKUP($B2517,'D7 - NDB Impacted SPRF''s'!$E$16:$O$9929,10,FALSE)</f>
        <v>N</v>
      </c>
      <c r="R2517" s="4" t="str">
        <f>VLOOKUP($B2517,'D7 - NDB Impacted SPRF''s'!$E$16:$O$9929,11,FALSE)</f>
        <v>N</v>
      </c>
      <c r="S2517" s="8"/>
      <c r="T2517" s="310"/>
      <c r="U2517" s="310"/>
      <c r="V2517" s="4"/>
      <c r="W2517" s="4"/>
      <c r="X2517" s="4"/>
      <c r="Y2517" s="4"/>
      <c r="Z2517" s="4"/>
      <c r="AA2517" s="4"/>
      <c r="AB2517" s="380" t="str">
        <f>VLOOKUP($B2517,'D7 - NDB Impacted SPRF''s'!$E$16:$O$9929,4,FALSE)</f>
        <v>Completed</v>
      </c>
      <c r="AC2517" s="380" t="str">
        <f>VLOOKUP($B2517,'D7 - NDB Impacted SPRF''s'!$E$16:$O$9929,3,FALSE)</f>
        <v>Uniprise</v>
      </c>
      <c r="AD2517" s="380" t="str">
        <f>VLOOKUP($B2517,'D7 - NDB Impacted SPRF''s'!$E$16:$O$9929,5,FALSE)</f>
        <v>Exante</v>
      </c>
      <c r="AE2517" s="380" t="str">
        <f>VLOOKUP($B2517,'D7 - NDB Impacted SPRF''s'!$E$16:$O$9929,7,FALSE)</f>
        <v>Donna McCart</v>
      </c>
      <c r="AF2517" s="380" t="str">
        <f>VLOOKUP($B2517,'D7 - NDB Impacted SPRF''s'!$E$16:$O$9929,6,FALSE)</f>
        <v>NINA THOMPSON</v>
      </c>
      <c r="AG2517" s="282"/>
      <c r="AH2517" s="311" t="e">
        <f>INDEX('D5 - Gatekeeper - Projects'!$A$4:$AF$1010,$AM2517, 17)</f>
        <v>#N/A</v>
      </c>
      <c r="AI2517" s="8"/>
      <c r="AJ2517" s="57"/>
      <c r="AK2517" s="105"/>
      <c r="AM2517" s="6" t="e">
        <f>MATCH(D2517,'D5 - Gatekeeper - Projects'!$C$4:$C$1010,0)</f>
        <v>#N/A</v>
      </c>
      <c r="AN2517" s="6" t="b">
        <f t="shared" si="265"/>
        <v>1</v>
      </c>
      <c r="AO2517" s="6" t="str">
        <f t="shared" si="266"/>
        <v>OK</v>
      </c>
      <c r="AQ2517" s="6" t="e">
        <f>MATCH($D2517,'D4 - Provider Council Unsched'!$C$11:$C$234,0)</f>
        <v>#N/A</v>
      </c>
      <c r="AR2517" s="6" t="b">
        <f t="shared" si="267"/>
        <v>1</v>
      </c>
      <c r="AS2517" s="6" t="str">
        <f t="shared" si="264"/>
        <v>OK</v>
      </c>
      <c r="AU2517" s="202"/>
      <c r="AV2517" s="262"/>
      <c r="AW2517" s="274"/>
    </row>
    <row r="2518" spans="1:49" s="13" customFormat="1" ht="33.75" x14ac:dyDescent="0.2">
      <c r="A2518" s="14">
        <v>2494</v>
      </c>
      <c r="B2518" s="14">
        <v>400006511</v>
      </c>
      <c r="C2518" s="8" t="s">
        <v>5197</v>
      </c>
      <c r="D2518" s="4" t="str">
        <f t="shared" si="263"/>
        <v>400006511R1</v>
      </c>
      <c r="E2518" s="309" t="str">
        <f>VLOOKUP($B2518,'D7 - NDB Impacted SPRF''s'!$E$6:$O$9929,2,FALSE)</f>
        <v>Requesting Monthly Physician Data</v>
      </c>
      <c r="F2518" s="8" t="s">
        <v>3235</v>
      </c>
      <c r="G2518" s="8" t="s">
        <v>4758</v>
      </c>
      <c r="H2518" s="8" t="s">
        <v>2870</v>
      </c>
      <c r="I2518" s="20"/>
      <c r="J2518" s="8"/>
      <c r="K2518" s="182"/>
      <c r="L2518" s="8" t="s">
        <v>6164</v>
      </c>
      <c r="M2518" s="8" t="s">
        <v>2814</v>
      </c>
      <c r="N2518" s="367"/>
      <c r="O2518" s="8"/>
      <c r="P2518" s="4" t="str">
        <f>VLOOKUP($B2518,'D7 - NDB Impacted SPRF''s'!$E$16:$O$9929,9,FALSE)</f>
        <v>N</v>
      </c>
      <c r="Q2518" s="4" t="str">
        <f>VLOOKUP($B2518,'D7 - NDB Impacted SPRF''s'!$E$16:$O$9929,10,FALSE)</f>
        <v>N</v>
      </c>
      <c r="R2518" s="4" t="str">
        <f>VLOOKUP($B2518,'D7 - NDB Impacted SPRF''s'!$E$16:$O$9929,11,FALSE)</f>
        <v>N</v>
      </c>
      <c r="S2518" s="8"/>
      <c r="T2518" s="310"/>
      <c r="U2518" s="310"/>
      <c r="V2518" s="4"/>
      <c r="W2518" s="4"/>
      <c r="X2518" s="4"/>
      <c r="Y2518" s="4"/>
      <c r="Z2518" s="4"/>
      <c r="AA2518" s="4"/>
      <c r="AB2518" s="380" t="str">
        <f>VLOOKUP($B2518,'D7 - NDB Impacted SPRF''s'!$E$16:$O$9929,4,FALSE)</f>
        <v>Cancelled</v>
      </c>
      <c r="AC2518" s="380" t="str">
        <f>VLOOKUP($B2518,'D7 - NDB Impacted SPRF''s'!$E$16:$O$9929,3,FALSE)</f>
        <v>UnitedHealthcare Employer &amp; Individual</v>
      </c>
      <c r="AD2518" s="380" t="str">
        <f>VLOOKUP($B2518,'D7 - NDB Impacted SPRF''s'!$E$16:$O$9929,5,FALSE)</f>
        <v>Operations Group</v>
      </c>
      <c r="AE2518" s="380" t="str">
        <f>VLOOKUP($B2518,'D7 - NDB Impacted SPRF''s'!$E$16:$O$9929,7,FALSE)</f>
        <v>Derek Pederson</v>
      </c>
      <c r="AF2518" s="380" t="str">
        <f>VLOOKUP($B2518,'D7 - NDB Impacted SPRF''s'!$E$16:$O$9929,6,FALSE)</f>
        <v>MIKE KIL</v>
      </c>
      <c r="AG2518" s="282"/>
      <c r="AH2518" s="311" t="e">
        <f>INDEX('D5 - Gatekeeper - Projects'!$A$4:$AF$1010,$AM2518, 17)</f>
        <v>#N/A</v>
      </c>
      <c r="AI2518" s="8"/>
      <c r="AJ2518" s="57"/>
      <c r="AK2518" s="105"/>
      <c r="AM2518" s="6" t="e">
        <f>MATCH(D2518,'D5 - Gatekeeper - Projects'!$C$4:$C$1010,0)</f>
        <v>#N/A</v>
      </c>
      <c r="AN2518" s="6" t="b">
        <f t="shared" si="265"/>
        <v>1</v>
      </c>
      <c r="AO2518" s="6" t="str">
        <f t="shared" si="266"/>
        <v>OK</v>
      </c>
      <c r="AQ2518" s="6" t="e">
        <f>MATCH($D2518,'D4 - Provider Council Unsched'!$C$11:$C$234,0)</f>
        <v>#N/A</v>
      </c>
      <c r="AR2518" s="6" t="b">
        <f t="shared" si="267"/>
        <v>1</v>
      </c>
      <c r="AS2518" s="6" t="str">
        <f t="shared" si="264"/>
        <v>OK</v>
      </c>
      <c r="AU2518" s="202"/>
      <c r="AV2518" s="262"/>
      <c r="AW2518" s="274"/>
    </row>
    <row r="2519" spans="1:49" s="13" customFormat="1" ht="33.75" x14ac:dyDescent="0.2">
      <c r="A2519" s="14">
        <v>2495</v>
      </c>
      <c r="B2519" s="14">
        <v>400006591</v>
      </c>
      <c r="C2519" s="8" t="s">
        <v>5197</v>
      </c>
      <c r="D2519" s="4" t="str">
        <f t="shared" si="263"/>
        <v>400006591R1</v>
      </c>
      <c r="E2519" s="309" t="str">
        <f>VLOOKUP($B2519,'D7 - NDB Impacted SPRF''s'!$E$6:$O$9929,2,FALSE)</f>
        <v>Generic Provider Portal</v>
      </c>
      <c r="F2519" s="8" t="s">
        <v>7420</v>
      </c>
      <c r="G2519" s="8" t="s">
        <v>4758</v>
      </c>
      <c r="H2519" s="8" t="s">
        <v>2870</v>
      </c>
      <c r="I2519" s="20"/>
      <c r="J2519" s="8"/>
      <c r="K2519" s="182"/>
      <c r="L2519" s="8" t="s">
        <v>6164</v>
      </c>
      <c r="M2519" s="8" t="s">
        <v>2814</v>
      </c>
      <c r="N2519" s="367"/>
      <c r="O2519" s="8"/>
      <c r="P2519" s="4" t="str">
        <f>VLOOKUP($B2519,'D7 - NDB Impacted SPRF''s'!$E$16:$O$9929,9,FALSE)</f>
        <v>N</v>
      </c>
      <c r="Q2519" s="4" t="str">
        <f>VLOOKUP($B2519,'D7 - NDB Impacted SPRF''s'!$E$16:$O$9929,10,FALSE)</f>
        <v>N</v>
      </c>
      <c r="R2519" s="4" t="str">
        <f>VLOOKUP($B2519,'D7 - NDB Impacted SPRF''s'!$E$16:$O$9929,11,FALSE)</f>
        <v>N</v>
      </c>
      <c r="S2519" s="8"/>
      <c r="T2519" s="310"/>
      <c r="U2519" s="310"/>
      <c r="V2519" s="4"/>
      <c r="W2519" s="4"/>
      <c r="X2519" s="4"/>
      <c r="Y2519" s="4"/>
      <c r="Z2519" s="4"/>
      <c r="AA2519" s="4"/>
      <c r="AB2519" s="380" t="str">
        <f>VLOOKUP($B2519,'D7 - NDB Impacted SPRF''s'!$E$16:$O$9929,4,FALSE)</f>
        <v>Cancelled</v>
      </c>
      <c r="AC2519" s="380" t="str">
        <f>VLOOKUP($B2519,'D7 - NDB Impacted SPRF''s'!$E$16:$O$9929,3,FALSE)</f>
        <v>UnitedHealthcare Employer &amp; Individual</v>
      </c>
      <c r="AD2519" s="380" t="str">
        <f>VLOOKUP($B2519,'D7 - NDB Impacted SPRF''s'!$E$16:$O$9929,5,FALSE)</f>
        <v>Operations Group</v>
      </c>
      <c r="AE2519" s="380" t="str">
        <f>VLOOKUP($B2519,'D7 - NDB Impacted SPRF''s'!$E$16:$O$9929,7,FALSE)</f>
        <v>Steve Auerbach</v>
      </c>
      <c r="AF2519" s="380" t="str">
        <f>VLOOKUP($B2519,'D7 - NDB Impacted SPRF''s'!$E$16:$O$9929,6,FALSE)</f>
        <v>Derek Pederson</v>
      </c>
      <c r="AG2519" s="282"/>
      <c r="AH2519" s="311" t="e">
        <f>INDEX('D5 - Gatekeeper - Projects'!$A$4:$AF$1010,$AM2519, 17)</f>
        <v>#N/A</v>
      </c>
      <c r="AI2519" s="8"/>
      <c r="AJ2519" s="57"/>
      <c r="AK2519" s="105"/>
      <c r="AM2519" s="6" t="e">
        <f>MATCH(D2519,'D5 - Gatekeeper - Projects'!$C$4:$C$1010,0)</f>
        <v>#N/A</v>
      </c>
      <c r="AN2519" s="6" t="b">
        <f t="shared" si="265"/>
        <v>1</v>
      </c>
      <c r="AO2519" s="6" t="str">
        <f t="shared" si="266"/>
        <v>OK</v>
      </c>
      <c r="AQ2519" s="6" t="e">
        <f>MATCH($D2519,'D4 - Provider Council Unsched'!$C$11:$C$234,0)</f>
        <v>#N/A</v>
      </c>
      <c r="AR2519" s="6" t="b">
        <f t="shared" si="267"/>
        <v>1</v>
      </c>
      <c r="AS2519" s="6" t="str">
        <f t="shared" si="264"/>
        <v>OK</v>
      </c>
      <c r="AU2519" s="202"/>
      <c r="AV2519" s="262"/>
      <c r="AW2519" s="274"/>
    </row>
    <row r="2520" spans="1:49" s="13" customFormat="1" x14ac:dyDescent="0.2">
      <c r="A2520" s="14">
        <v>2496</v>
      </c>
      <c r="B2520" s="14">
        <v>400006738</v>
      </c>
      <c r="C2520" s="8" t="s">
        <v>5197</v>
      </c>
      <c r="D2520" s="4" t="str">
        <f t="shared" si="263"/>
        <v>400006738R1</v>
      </c>
      <c r="E2520" s="309" t="str">
        <f>VLOOKUP($B2520,'D7 - NDB Impacted SPRF''s'!$E$6:$O$9929,2,FALSE)</f>
        <v>EFS NDB Directory Codes</v>
      </c>
      <c r="F2520" s="8" t="s">
        <v>5054</v>
      </c>
      <c r="G2520" s="8" t="s">
        <v>4758</v>
      </c>
      <c r="H2520" s="8" t="s">
        <v>2870</v>
      </c>
      <c r="I2520" s="20">
        <v>1.07</v>
      </c>
      <c r="J2520" s="8" t="s">
        <v>4862</v>
      </c>
      <c r="K2520" s="182"/>
      <c r="L2520" s="8" t="s">
        <v>4156</v>
      </c>
      <c r="M2520" s="8" t="s">
        <v>2814</v>
      </c>
      <c r="N2520" s="367" t="s">
        <v>5190</v>
      </c>
      <c r="O2520" s="8"/>
      <c r="P2520" s="4" t="str">
        <f>VLOOKUP($B2520,'D7 - NDB Impacted SPRF''s'!$E$16:$O$9929,9,FALSE)</f>
        <v>N</v>
      </c>
      <c r="Q2520" s="4" t="str">
        <f>VLOOKUP($B2520,'D7 - NDB Impacted SPRF''s'!$E$16:$O$9929,10,FALSE)</f>
        <v>N</v>
      </c>
      <c r="R2520" s="4" t="str">
        <f>VLOOKUP($B2520,'D7 - NDB Impacted SPRF''s'!$E$16:$O$9929,11,FALSE)</f>
        <v>N</v>
      </c>
      <c r="S2520" s="8"/>
      <c r="T2520" s="310"/>
      <c r="U2520" s="310"/>
      <c r="V2520" s="4"/>
      <c r="W2520" s="4"/>
      <c r="X2520" s="4"/>
      <c r="Y2520" s="4"/>
      <c r="Z2520" s="4"/>
      <c r="AA2520" s="4"/>
      <c r="AB2520" s="380" t="str">
        <f>VLOOKUP($B2520,'D7 - NDB Impacted SPRF''s'!$E$16:$O$9929,4,FALSE)</f>
        <v>Cancelled</v>
      </c>
      <c r="AC2520" s="380" t="str">
        <f>VLOOKUP($B2520,'D7 - NDB Impacted SPRF''s'!$E$16:$O$9929,3,FALSE)</f>
        <v>Uniprise</v>
      </c>
      <c r="AD2520" s="380" t="str">
        <f>VLOOKUP($B2520,'D7 - NDB Impacted SPRF''s'!$E$16:$O$9929,5,FALSE)</f>
        <v>Exante - DDC</v>
      </c>
      <c r="AE2520" s="380" t="str">
        <f>VLOOKUP($B2520,'D7 - NDB Impacted SPRF''s'!$E$16:$O$9929,7,FALSE)</f>
        <v>Thomas Watson</v>
      </c>
      <c r="AF2520" s="380" t="str">
        <f>VLOOKUP($B2520,'D7 - NDB Impacted SPRF''s'!$E$16:$O$9929,6,FALSE)</f>
        <v>Pasini Liz</v>
      </c>
      <c r="AG2520" s="282" t="s">
        <v>7755</v>
      </c>
      <c r="AH2520" s="311" t="e">
        <f>INDEX('D5 - Gatekeeper - Projects'!$A$4:$AF$1010,$AM2520, 17)</f>
        <v>#N/A</v>
      </c>
      <c r="AI2520" s="8"/>
      <c r="AJ2520" s="57"/>
      <c r="AK2520" s="105"/>
      <c r="AM2520" s="6" t="e">
        <f>MATCH(D2520,'D5 - Gatekeeper - Projects'!$C$4:$C$1010,0)</f>
        <v>#N/A</v>
      </c>
      <c r="AN2520" s="6" t="b">
        <f t="shared" si="265"/>
        <v>1</v>
      </c>
      <c r="AO2520" s="6" t="str">
        <f t="shared" si="266"/>
        <v>OK</v>
      </c>
      <c r="AQ2520" s="6" t="e">
        <f>MATCH($D2520,'D4 - Provider Council Unsched'!$C$11:$C$234,0)</f>
        <v>#N/A</v>
      </c>
      <c r="AR2520" s="6" t="b">
        <f t="shared" si="267"/>
        <v>1</v>
      </c>
      <c r="AS2520" s="6" t="str">
        <f t="shared" si="264"/>
        <v>OK</v>
      </c>
      <c r="AU2520" s="202"/>
      <c r="AV2520" s="262"/>
      <c r="AW2520" s="274"/>
    </row>
    <row r="2521" spans="1:49" s="13" customFormat="1" ht="22.5" x14ac:dyDescent="0.2">
      <c r="A2521" s="14">
        <v>2497</v>
      </c>
      <c r="B2521" s="14">
        <v>400006775</v>
      </c>
      <c r="C2521" s="8" t="s">
        <v>5197</v>
      </c>
      <c r="D2521" s="4" t="str">
        <f t="shared" si="263"/>
        <v>400006775R1</v>
      </c>
      <c r="E2521" s="309" t="str">
        <f>VLOOKUP($B2521,'D7 - NDB Impacted SPRF''s'!$E$6:$O$9929,2,FALSE)</f>
        <v>NASC LT Enhancement Addendum - Provider Search</v>
      </c>
      <c r="F2521" s="8"/>
      <c r="G2521" s="8" t="s">
        <v>4758</v>
      </c>
      <c r="H2521" s="8" t="s">
        <v>2870</v>
      </c>
      <c r="I2521" s="20"/>
      <c r="J2521" s="8"/>
      <c r="K2521" s="182"/>
      <c r="L2521" s="8" t="s">
        <v>6164</v>
      </c>
      <c r="M2521" s="8" t="s">
        <v>2814</v>
      </c>
      <c r="N2521" s="367"/>
      <c r="O2521" s="8"/>
      <c r="P2521" s="4" t="str">
        <f>VLOOKUP($B2521,'D7 - NDB Impacted SPRF''s'!$E$16:$O$9929,9,FALSE)</f>
        <v>N</v>
      </c>
      <c r="Q2521" s="4" t="str">
        <f>VLOOKUP($B2521,'D7 - NDB Impacted SPRF''s'!$E$16:$O$9929,10,FALSE)</f>
        <v>N</v>
      </c>
      <c r="R2521" s="4" t="str">
        <f>VLOOKUP($B2521,'D7 - NDB Impacted SPRF''s'!$E$16:$O$9929,11,FALSE)</f>
        <v>N</v>
      </c>
      <c r="S2521" s="8"/>
      <c r="T2521" s="310"/>
      <c r="U2521" s="310"/>
      <c r="V2521" s="4"/>
      <c r="W2521" s="4"/>
      <c r="X2521" s="4"/>
      <c r="Y2521" s="4"/>
      <c r="Z2521" s="4"/>
      <c r="AA2521" s="4"/>
      <c r="AB2521" s="380" t="str">
        <f>VLOOKUP($B2521,'D7 - NDB Impacted SPRF''s'!$E$16:$O$9929,4,FALSE)</f>
        <v>Cancelled</v>
      </c>
      <c r="AC2521" s="380" t="str">
        <f>VLOOKUP($B2521,'D7 - NDB Impacted SPRF''s'!$E$16:$O$9929,3,FALSE)</f>
        <v>Uniprise</v>
      </c>
      <c r="AD2521" s="380" t="str">
        <f>VLOOKUP($B2521,'D7 - NDB Impacted SPRF''s'!$E$16:$O$9929,5,FALSE)</f>
        <v>Uniprise Operations - Capital Projects</v>
      </c>
      <c r="AE2521" s="380" t="str">
        <f>VLOOKUP($B2521,'D7 - NDB Impacted SPRF''s'!$E$16:$O$9929,7,FALSE)</f>
        <v>Richard Lahrman</v>
      </c>
      <c r="AF2521" s="380" t="str">
        <f>VLOOKUP($B2521,'D7 - NDB Impacted SPRF''s'!$E$16:$O$9929,6,FALSE)</f>
        <v>Robert Hilke Jr.</v>
      </c>
      <c r="AG2521" s="282"/>
      <c r="AH2521" s="311" t="e">
        <f>INDEX('D5 - Gatekeeper - Projects'!$A$4:$AF$1010,$AM2521, 17)</f>
        <v>#N/A</v>
      </c>
      <c r="AI2521" s="8"/>
      <c r="AJ2521" s="57"/>
      <c r="AK2521" s="105"/>
      <c r="AM2521" s="6" t="e">
        <f>MATCH(D2521,'D5 - Gatekeeper - Projects'!$C$4:$C$1010,0)</f>
        <v>#N/A</v>
      </c>
      <c r="AN2521" s="6" t="b">
        <f t="shared" si="265"/>
        <v>1</v>
      </c>
      <c r="AO2521" s="6" t="str">
        <f t="shared" si="266"/>
        <v>OK</v>
      </c>
      <c r="AQ2521" s="6" t="e">
        <f>MATCH($D2521,'D4 - Provider Council Unsched'!$C$11:$C$234,0)</f>
        <v>#N/A</v>
      </c>
      <c r="AR2521" s="6" t="b">
        <f t="shared" si="267"/>
        <v>1</v>
      </c>
      <c r="AS2521" s="6" t="str">
        <f t="shared" si="264"/>
        <v>OK</v>
      </c>
      <c r="AU2521" s="202"/>
      <c r="AV2521" s="262"/>
      <c r="AW2521" s="274"/>
    </row>
    <row r="2522" spans="1:49" s="13" customFormat="1" ht="22.5" x14ac:dyDescent="0.2">
      <c r="A2522" s="14">
        <v>2498</v>
      </c>
      <c r="B2522" s="14">
        <v>400006806</v>
      </c>
      <c r="C2522" s="8" t="s">
        <v>5197</v>
      </c>
      <c r="D2522" s="4" t="str">
        <f t="shared" si="263"/>
        <v>400006806R1</v>
      </c>
      <c r="E2522" s="309" t="str">
        <f>VLOOKUP($B2522,'D7 - NDB Impacted SPRF''s'!$E$6:$O$9929,2,FALSE)</f>
        <v>Optum Care Management - VETSS 3.0</v>
      </c>
      <c r="F2522" s="8" t="s">
        <v>7420</v>
      </c>
      <c r="G2522" s="8" t="s">
        <v>4758</v>
      </c>
      <c r="H2522" s="8" t="s">
        <v>2870</v>
      </c>
      <c r="I2522" s="20"/>
      <c r="J2522" s="8"/>
      <c r="K2522" s="182"/>
      <c r="L2522" s="8" t="s">
        <v>6164</v>
      </c>
      <c r="M2522" s="8" t="s">
        <v>2814</v>
      </c>
      <c r="N2522" s="367"/>
      <c r="O2522" s="8"/>
      <c r="P2522" s="4" t="str">
        <f>VLOOKUP($B2522,'D7 - NDB Impacted SPRF''s'!$E$16:$O$9929,9,FALSE)</f>
        <v>N</v>
      </c>
      <c r="Q2522" s="4" t="str">
        <f>VLOOKUP($B2522,'D7 - NDB Impacted SPRF''s'!$E$16:$O$9929,10,FALSE)</f>
        <v>N</v>
      </c>
      <c r="R2522" s="4" t="str">
        <f>VLOOKUP($B2522,'D7 - NDB Impacted SPRF''s'!$E$16:$O$9929,11,FALSE)</f>
        <v>N</v>
      </c>
      <c r="S2522" s="8"/>
      <c r="T2522" s="310"/>
      <c r="U2522" s="310"/>
      <c r="V2522" s="4"/>
      <c r="W2522" s="4"/>
      <c r="X2522" s="4"/>
      <c r="Y2522" s="4"/>
      <c r="Z2522" s="4"/>
      <c r="AA2522" s="4"/>
      <c r="AB2522" s="380" t="str">
        <f>VLOOKUP($B2522,'D7 - NDB Impacted SPRF''s'!$E$16:$O$9929,4,FALSE)</f>
        <v>Cancelled</v>
      </c>
      <c r="AC2522" s="380" t="str">
        <f>VLOOKUP($B2522,'D7 - NDB Impacted SPRF''s'!$E$16:$O$9929,3,FALSE)</f>
        <v>OptumHealth</v>
      </c>
      <c r="AD2522" s="380" t="str">
        <f>VLOOKUP($B2522,'D7 - NDB Impacted SPRF''s'!$E$16:$O$9929,5,FALSE)</f>
        <v>Optum</v>
      </c>
      <c r="AE2522" s="380" t="str">
        <f>VLOOKUP($B2522,'D7 - NDB Impacted SPRF''s'!$E$16:$O$9929,7,FALSE)</f>
        <v>Scott Ireland &amp; Robert Kendrick</v>
      </c>
      <c r="AF2522" s="380" t="str">
        <f>VLOOKUP($B2522,'D7 - NDB Impacted SPRF''s'!$E$16:$O$9929,6,FALSE)</f>
        <v>KENNETH KULUS</v>
      </c>
      <c r="AG2522" s="282"/>
      <c r="AH2522" s="311" t="e">
        <f>INDEX('D5 - Gatekeeper - Projects'!$A$4:$AF$1010,$AM2522, 17)</f>
        <v>#N/A</v>
      </c>
      <c r="AI2522" s="8"/>
      <c r="AJ2522" s="57"/>
      <c r="AK2522" s="105"/>
      <c r="AM2522" s="6" t="e">
        <f>MATCH(D2522,'D5 - Gatekeeper - Projects'!$C$4:$C$1010,0)</f>
        <v>#N/A</v>
      </c>
      <c r="AN2522" s="6" t="b">
        <f t="shared" si="265"/>
        <v>1</v>
      </c>
      <c r="AO2522" s="6" t="str">
        <f t="shared" si="266"/>
        <v>OK</v>
      </c>
      <c r="AQ2522" s="6" t="e">
        <f>MATCH($D2522,'D4 - Provider Council Unsched'!$C$11:$C$234,0)</f>
        <v>#N/A</v>
      </c>
      <c r="AR2522" s="6" t="b">
        <f t="shared" si="267"/>
        <v>1</v>
      </c>
      <c r="AS2522" s="6" t="str">
        <f t="shared" si="264"/>
        <v>OK</v>
      </c>
      <c r="AU2522" s="202"/>
      <c r="AV2522" s="262"/>
      <c r="AW2522" s="274"/>
    </row>
    <row r="2523" spans="1:49" s="13" customFormat="1" ht="33.75" x14ac:dyDescent="0.2">
      <c r="A2523" s="14">
        <v>2499</v>
      </c>
      <c r="B2523" s="14">
        <v>400006992</v>
      </c>
      <c r="C2523" s="8" t="s">
        <v>5197</v>
      </c>
      <c r="D2523" s="4" t="str">
        <f t="shared" ref="D2523:D2586" si="268">CONCATENATE(B2523,C2523)</f>
        <v>400006992R1</v>
      </c>
      <c r="E2523" s="309" t="str">
        <f>VLOOKUP($B2523,'D7 - NDB Impacted SPRF''s'!$E$6:$O$9929,2,FALSE)</f>
        <v>835 - All records set up in NDB</v>
      </c>
      <c r="F2523" s="8"/>
      <c r="G2523" s="8" t="s">
        <v>4758</v>
      </c>
      <c r="H2523" s="8" t="s">
        <v>2870</v>
      </c>
      <c r="I2523" s="20"/>
      <c r="J2523" s="8"/>
      <c r="K2523" s="182"/>
      <c r="L2523" s="8" t="s">
        <v>6164</v>
      </c>
      <c r="M2523" s="8" t="s">
        <v>2814</v>
      </c>
      <c r="N2523" s="367"/>
      <c r="O2523" s="8"/>
      <c r="P2523" s="4" t="str">
        <f>VLOOKUP($B2523,'D7 - NDB Impacted SPRF''s'!$E$16:$O$9929,9,FALSE)</f>
        <v>Y</v>
      </c>
      <c r="Q2523" s="4" t="str">
        <f>VLOOKUP($B2523,'D7 - NDB Impacted SPRF''s'!$E$16:$O$9929,10,FALSE)</f>
        <v>N</v>
      </c>
      <c r="R2523" s="4" t="str">
        <f>VLOOKUP($B2523,'D7 - NDB Impacted SPRF''s'!$E$16:$O$9929,11,FALSE)</f>
        <v>N</v>
      </c>
      <c r="S2523" s="8"/>
      <c r="T2523" s="310"/>
      <c r="U2523" s="310"/>
      <c r="V2523" s="4"/>
      <c r="W2523" s="4"/>
      <c r="X2523" s="4"/>
      <c r="Y2523" s="4"/>
      <c r="Z2523" s="4"/>
      <c r="AA2523" s="4"/>
      <c r="AB2523" s="380" t="str">
        <f>VLOOKUP($B2523,'D7 - NDB Impacted SPRF''s'!$E$16:$O$9929,4,FALSE)</f>
        <v>Cancelled</v>
      </c>
      <c r="AC2523" s="380" t="str">
        <f>VLOOKUP($B2523,'D7 - NDB Impacted SPRF''s'!$E$16:$O$9929,3,FALSE)</f>
        <v>UnitedHealthcare Employer &amp; Individual</v>
      </c>
      <c r="AD2523" s="380" t="str">
        <f>VLOOKUP($B2523,'D7 - NDB Impacted SPRF''s'!$E$16:$O$9929,5,FALSE)</f>
        <v>Operations Group</v>
      </c>
      <c r="AE2523" s="380" t="str">
        <f>VLOOKUP($B2523,'D7 - NDB Impacted SPRF''s'!$E$16:$O$9929,7,FALSE)</f>
        <v>Derek Peterson</v>
      </c>
      <c r="AF2523" s="380" t="str">
        <f>VLOOKUP($B2523,'D7 - NDB Impacted SPRF''s'!$E$16:$O$9929,6,FALSE)</f>
        <v>Terri Cook</v>
      </c>
      <c r="AG2523" s="282"/>
      <c r="AH2523" s="311" t="e">
        <f>INDEX('D5 - Gatekeeper - Projects'!$A$4:$AF$1010,$AM2523, 17)</f>
        <v>#N/A</v>
      </c>
      <c r="AI2523" s="8"/>
      <c r="AJ2523" s="57"/>
      <c r="AK2523" s="105"/>
      <c r="AM2523" s="6" t="e">
        <f>MATCH(D2523,'D5 - Gatekeeper - Projects'!$C$4:$C$1010,0)</f>
        <v>#N/A</v>
      </c>
      <c r="AN2523" s="6" t="b">
        <f t="shared" si="265"/>
        <v>1</v>
      </c>
      <c r="AO2523" s="6" t="str">
        <f t="shared" si="266"/>
        <v>OK</v>
      </c>
      <c r="AQ2523" s="6" t="e">
        <f>MATCH($D2523,'D4 - Provider Council Unsched'!$C$11:$C$234,0)</f>
        <v>#N/A</v>
      </c>
      <c r="AR2523" s="6" t="b">
        <f t="shared" si="267"/>
        <v>1</v>
      </c>
      <c r="AS2523" s="6" t="str">
        <f t="shared" si="264"/>
        <v>OK</v>
      </c>
      <c r="AU2523" s="202"/>
      <c r="AV2523" s="262"/>
      <c r="AW2523" s="274"/>
    </row>
    <row r="2524" spans="1:49" s="13" customFormat="1" ht="33.75" x14ac:dyDescent="0.2">
      <c r="A2524" s="14">
        <v>2500</v>
      </c>
      <c r="B2524" s="14">
        <v>400007031</v>
      </c>
      <c r="C2524" s="8" t="s">
        <v>5197</v>
      </c>
      <c r="D2524" s="4" t="str">
        <f t="shared" si="268"/>
        <v>400007031R1</v>
      </c>
      <c r="E2524" s="309" t="str">
        <f>VLOOKUP($B2524,'D7 - NDB Impacted SPRF''s'!$E$6:$O$9929,2,FALSE)</f>
        <v>Modify NDB Deactivation/Reactivation Logic &amp; Edits</v>
      </c>
      <c r="F2524" s="8" t="s">
        <v>6632</v>
      </c>
      <c r="G2524" s="8" t="s">
        <v>4758</v>
      </c>
      <c r="H2524" s="8" t="s">
        <v>2870</v>
      </c>
      <c r="I2524" s="20">
        <v>9.93</v>
      </c>
      <c r="J2524" s="8" t="s">
        <v>4862</v>
      </c>
      <c r="K2524" s="182"/>
      <c r="L2524" s="8" t="s">
        <v>4156</v>
      </c>
      <c r="M2524" s="8" t="s">
        <v>2814</v>
      </c>
      <c r="N2524" s="367" t="s">
        <v>7028</v>
      </c>
      <c r="O2524" s="8"/>
      <c r="P2524" s="4" t="str">
        <f>VLOOKUP($B2524,'D7 - NDB Impacted SPRF''s'!$E$16:$O$9929,9,FALSE)</f>
        <v>N</v>
      </c>
      <c r="Q2524" s="4" t="str">
        <f>VLOOKUP($B2524,'D7 - NDB Impacted SPRF''s'!$E$16:$O$9929,10,FALSE)</f>
        <v>N</v>
      </c>
      <c r="R2524" s="4" t="str">
        <f>VLOOKUP($B2524,'D7 - NDB Impacted SPRF''s'!$E$16:$O$9929,11,FALSE)</f>
        <v>N</v>
      </c>
      <c r="S2524" s="8"/>
      <c r="T2524" s="310"/>
      <c r="U2524" s="310"/>
      <c r="V2524" s="4"/>
      <c r="W2524" s="4"/>
      <c r="X2524" s="4"/>
      <c r="Y2524" s="4"/>
      <c r="Z2524" s="4"/>
      <c r="AA2524" s="4"/>
      <c r="AB2524" s="380" t="str">
        <f>VLOOKUP($B2524,'D7 - NDB Impacted SPRF''s'!$E$16:$O$9929,4,FALSE)</f>
        <v>Cancelled</v>
      </c>
      <c r="AC2524" s="380" t="str">
        <f>VLOOKUP($B2524,'D7 - NDB Impacted SPRF''s'!$E$16:$O$9929,3,FALSE)</f>
        <v>UnitedHealthcare Employer &amp; Individual</v>
      </c>
      <c r="AD2524" s="380" t="str">
        <f>VLOOKUP($B2524,'D7 - NDB Impacted SPRF''s'!$E$16:$O$9929,5,FALSE)</f>
        <v>Network Growth / Enhancements</v>
      </c>
      <c r="AE2524" s="380" t="str">
        <f>VLOOKUP($B2524,'D7 - NDB Impacted SPRF''s'!$E$16:$O$9929,7,FALSE)</f>
        <v>Peter Bompane</v>
      </c>
      <c r="AF2524" s="380" t="str">
        <f>VLOOKUP($B2524,'D7 - NDB Impacted SPRF''s'!$E$16:$O$9929,6,FALSE)</f>
        <v>ELIZABETH Young</v>
      </c>
      <c r="AG2524" s="282" t="s">
        <v>6682</v>
      </c>
      <c r="AH2524" s="311" t="e">
        <f>INDEX('D5 - Gatekeeper - Projects'!$A$4:$AF$1010,$AM2524, 17)</f>
        <v>#N/A</v>
      </c>
      <c r="AI2524" s="8"/>
      <c r="AJ2524" s="57"/>
      <c r="AK2524" s="105"/>
      <c r="AM2524" s="6" t="e">
        <f>MATCH(D2524,'D5 - Gatekeeper - Projects'!$C$4:$C$1010,0)</f>
        <v>#N/A</v>
      </c>
      <c r="AN2524" s="6" t="b">
        <f t="shared" si="265"/>
        <v>1</v>
      </c>
      <c r="AO2524" s="6" t="str">
        <f t="shared" si="266"/>
        <v>OK</v>
      </c>
      <c r="AQ2524" s="6" t="e">
        <f>MATCH($D2524,'D4 - Provider Council Unsched'!$C$11:$C$234,0)</f>
        <v>#N/A</v>
      </c>
      <c r="AR2524" s="6" t="b">
        <f t="shared" si="267"/>
        <v>1</v>
      </c>
      <c r="AS2524" s="6" t="str">
        <f t="shared" si="264"/>
        <v>OK</v>
      </c>
      <c r="AU2524" s="202"/>
      <c r="AV2524" s="262"/>
      <c r="AW2524" s="274"/>
    </row>
    <row r="2525" spans="1:49" s="13" customFormat="1" ht="33.75" x14ac:dyDescent="0.2">
      <c r="A2525" s="14">
        <v>2501</v>
      </c>
      <c r="B2525" s="14">
        <v>400007077</v>
      </c>
      <c r="C2525" s="8" t="s">
        <v>5197</v>
      </c>
      <c r="D2525" s="4" t="str">
        <f t="shared" si="268"/>
        <v>400007077R1</v>
      </c>
      <c r="E2525" s="309" t="str">
        <f>VLOOKUP($B2525,'D7 - NDB Impacted SPRF''s'!$E$6:$O$9929,2,FALSE)</f>
        <v>Periodic Provider File Transfer Via FTP to Aon</v>
      </c>
      <c r="F2525" s="8" t="s">
        <v>3235</v>
      </c>
      <c r="G2525" s="8" t="s">
        <v>4758</v>
      </c>
      <c r="H2525" s="8" t="s">
        <v>2870</v>
      </c>
      <c r="I2525" s="20"/>
      <c r="J2525" s="8"/>
      <c r="K2525" s="182"/>
      <c r="L2525" s="8" t="s">
        <v>6164</v>
      </c>
      <c r="M2525" s="8" t="s">
        <v>2814</v>
      </c>
      <c r="N2525" s="367"/>
      <c r="O2525" s="8"/>
      <c r="P2525" s="4" t="str">
        <f>VLOOKUP($B2525,'D7 - NDB Impacted SPRF''s'!$E$16:$O$9929,9,FALSE)</f>
        <v>N</v>
      </c>
      <c r="Q2525" s="4" t="str">
        <f>VLOOKUP($B2525,'D7 - NDB Impacted SPRF''s'!$E$16:$O$9929,10,FALSE)</f>
        <v>N</v>
      </c>
      <c r="R2525" s="4" t="str">
        <f>VLOOKUP($B2525,'D7 - NDB Impacted SPRF''s'!$E$16:$O$9929,11,FALSE)</f>
        <v>N</v>
      </c>
      <c r="S2525" s="8"/>
      <c r="T2525" s="310"/>
      <c r="U2525" s="310"/>
      <c r="V2525" s="4"/>
      <c r="W2525" s="4"/>
      <c r="X2525" s="4"/>
      <c r="Y2525" s="4"/>
      <c r="Z2525" s="4"/>
      <c r="AA2525" s="4"/>
      <c r="AB2525" s="380" t="str">
        <f>VLOOKUP($B2525,'D7 - NDB Impacted SPRF''s'!$E$16:$O$9929,4,FALSE)</f>
        <v>Cancelled</v>
      </c>
      <c r="AC2525" s="380" t="str">
        <f>VLOOKUP($B2525,'D7 - NDB Impacted SPRF''s'!$E$16:$O$9929,3,FALSE)</f>
        <v>UnitedHealthcare Employer &amp; Individual</v>
      </c>
      <c r="AD2525" s="380" t="str">
        <f>VLOOKUP($B2525,'D7 - NDB Impacted SPRF''s'!$E$16:$O$9929,5,FALSE)</f>
        <v>Operations Group</v>
      </c>
      <c r="AE2525" s="380" t="str">
        <f>VLOOKUP($B2525,'D7 - NDB Impacted SPRF''s'!$E$16:$O$9929,7,FALSE)</f>
        <v xml:space="preserve">SUSAN D SCHICK </v>
      </c>
      <c r="AF2525" s="380" t="str">
        <f>VLOOKUP($B2525,'D7 - NDB Impacted SPRF''s'!$E$16:$O$9929,6,FALSE)</f>
        <v>FRANKLIN BEARSS</v>
      </c>
      <c r="AG2525" s="282"/>
      <c r="AH2525" s="311" t="e">
        <f>INDEX('D5 - Gatekeeper - Projects'!$A$4:$AF$1010,$AM2525, 17)</f>
        <v>#N/A</v>
      </c>
      <c r="AI2525" s="8"/>
      <c r="AJ2525" s="57"/>
      <c r="AK2525" s="105"/>
      <c r="AM2525" s="6" t="e">
        <f>MATCH(D2525,'D5 - Gatekeeper - Projects'!$C$4:$C$1010,0)</f>
        <v>#N/A</v>
      </c>
      <c r="AN2525" s="6" t="b">
        <f t="shared" si="265"/>
        <v>1</v>
      </c>
      <c r="AO2525" s="6" t="str">
        <f t="shared" si="266"/>
        <v>OK</v>
      </c>
      <c r="AQ2525" s="6" t="e">
        <f>MATCH($D2525,'D4 - Provider Council Unsched'!$C$11:$C$234,0)</f>
        <v>#N/A</v>
      </c>
      <c r="AR2525" s="6" t="b">
        <f t="shared" si="267"/>
        <v>1</v>
      </c>
      <c r="AS2525" s="6" t="str">
        <f t="shared" si="264"/>
        <v>OK</v>
      </c>
      <c r="AU2525" s="202"/>
      <c r="AV2525" s="262"/>
      <c r="AW2525" s="274"/>
    </row>
    <row r="2526" spans="1:49" s="13" customFormat="1" ht="22.5" x14ac:dyDescent="0.2">
      <c r="A2526" s="14">
        <v>2502</v>
      </c>
      <c r="B2526" s="14">
        <v>400007100</v>
      </c>
      <c r="C2526" s="8" t="s">
        <v>5197</v>
      </c>
      <c r="D2526" s="4" t="str">
        <f t="shared" si="268"/>
        <v>400007100R1</v>
      </c>
      <c r="E2526" s="309" t="str">
        <f>VLOOKUP($B2526,'D7 - NDB Impacted SPRF''s'!$E$6:$O$9929,2,FALSE)</f>
        <v>Update NC feed to incl alliance/chg date logic</v>
      </c>
      <c r="F2526" s="8" t="s">
        <v>3235</v>
      </c>
      <c r="G2526" s="8" t="s">
        <v>4758</v>
      </c>
      <c r="H2526" s="8" t="s">
        <v>2870</v>
      </c>
      <c r="I2526" s="20">
        <v>2.5299999999999998</v>
      </c>
      <c r="J2526" s="8" t="s">
        <v>7113</v>
      </c>
      <c r="K2526" s="182"/>
      <c r="L2526" s="8" t="s">
        <v>4156</v>
      </c>
      <c r="M2526" s="8" t="s">
        <v>2814</v>
      </c>
      <c r="N2526" s="367" t="s">
        <v>5190</v>
      </c>
      <c r="O2526" s="8"/>
      <c r="P2526" s="4" t="str">
        <f>VLOOKUP($B2526,'D7 - NDB Impacted SPRF''s'!$E$16:$O$9929,9,FALSE)</f>
        <v>N</v>
      </c>
      <c r="Q2526" s="4" t="str">
        <f>VLOOKUP($B2526,'D7 - NDB Impacted SPRF''s'!$E$16:$O$9929,10,FALSE)</f>
        <v>N</v>
      </c>
      <c r="R2526" s="4" t="str">
        <f>VLOOKUP($B2526,'D7 - NDB Impacted SPRF''s'!$E$16:$O$9929,11,FALSE)</f>
        <v>N</v>
      </c>
      <c r="S2526" s="8"/>
      <c r="T2526" s="310"/>
      <c r="U2526" s="310"/>
      <c r="V2526" s="4"/>
      <c r="W2526" s="4"/>
      <c r="X2526" s="4"/>
      <c r="Y2526" s="4"/>
      <c r="Z2526" s="4"/>
      <c r="AA2526" s="4"/>
      <c r="AB2526" s="380" t="str">
        <f>VLOOKUP($B2526,'D7 - NDB Impacted SPRF''s'!$E$16:$O$9929,4,FALSE)</f>
        <v>Cancelled</v>
      </c>
      <c r="AC2526" s="380" t="str">
        <f>VLOOKUP($B2526,'D7 - NDB Impacted SPRF''s'!$E$16:$O$9929,3,FALSE)</f>
        <v>Uniprise</v>
      </c>
      <c r="AD2526" s="380" t="str">
        <f>VLOOKUP($B2526,'D7 - NDB Impacted SPRF''s'!$E$16:$O$9929,5,FALSE)</f>
        <v>Group Services - Capital Projects</v>
      </c>
      <c r="AE2526" s="380" t="str">
        <f>VLOOKUP($B2526,'D7 - NDB Impacted SPRF''s'!$E$16:$O$9929,7,FALSE)</f>
        <v>Joe Chalastra</v>
      </c>
      <c r="AF2526" s="380" t="str">
        <f>VLOOKUP($B2526,'D7 - NDB Impacted SPRF''s'!$E$16:$O$9929,6,FALSE)</f>
        <v>MARGARET GRIFFIN</v>
      </c>
      <c r="AG2526" s="282" t="s">
        <v>7755</v>
      </c>
      <c r="AH2526" s="311" t="e">
        <f>INDEX('D5 - Gatekeeper - Projects'!$A$4:$AF$1010,$AM2526, 17)</f>
        <v>#N/A</v>
      </c>
      <c r="AI2526" s="8"/>
      <c r="AJ2526" s="57"/>
      <c r="AK2526" s="105"/>
      <c r="AM2526" s="6" t="e">
        <f>MATCH(D2526,'D5 - Gatekeeper - Projects'!$C$4:$C$1010,0)</f>
        <v>#N/A</v>
      </c>
      <c r="AN2526" s="6" t="b">
        <f t="shared" si="265"/>
        <v>1</v>
      </c>
      <c r="AO2526" s="6" t="str">
        <f t="shared" si="266"/>
        <v>OK</v>
      </c>
      <c r="AQ2526" s="6" t="e">
        <f>MATCH($D2526,'D4 - Provider Council Unsched'!$C$11:$C$234,0)</f>
        <v>#N/A</v>
      </c>
      <c r="AR2526" s="6" t="b">
        <f t="shared" si="267"/>
        <v>1</v>
      </c>
      <c r="AS2526" s="6" t="str">
        <f t="shared" si="264"/>
        <v>OK</v>
      </c>
      <c r="AU2526" s="202"/>
      <c r="AV2526" s="262"/>
      <c r="AW2526" s="274"/>
    </row>
    <row r="2527" spans="1:49" s="13" customFormat="1" x14ac:dyDescent="0.2">
      <c r="A2527" s="14">
        <v>2503</v>
      </c>
      <c r="B2527" s="14">
        <v>400007182</v>
      </c>
      <c r="C2527" s="8" t="s">
        <v>5197</v>
      </c>
      <c r="D2527" s="4" t="str">
        <f t="shared" si="268"/>
        <v>400007182R1</v>
      </c>
      <c r="E2527" s="309" t="str">
        <f>VLOOKUP($B2527,'D7 - NDB Impacted SPRF''s'!$E$6:$O$9929,2,FALSE)</f>
        <v>EFS Paper Directory Service Area Logic Change</v>
      </c>
      <c r="F2527" s="8" t="s">
        <v>2114</v>
      </c>
      <c r="G2527" s="8" t="s">
        <v>4758</v>
      </c>
      <c r="H2527" s="8" t="s">
        <v>2870</v>
      </c>
      <c r="I2527" s="20">
        <v>3.2</v>
      </c>
      <c r="J2527" s="8" t="s">
        <v>7113</v>
      </c>
      <c r="K2527" s="182"/>
      <c r="L2527" s="8" t="s">
        <v>4156</v>
      </c>
      <c r="M2527" s="8" t="s">
        <v>2814</v>
      </c>
      <c r="N2527" s="367" t="s">
        <v>5190</v>
      </c>
      <c r="O2527" s="8"/>
      <c r="P2527" s="4" t="str">
        <f>VLOOKUP($B2527,'D7 - NDB Impacted SPRF''s'!$E$16:$O$9929,9,FALSE)</f>
        <v>N</v>
      </c>
      <c r="Q2527" s="4" t="str">
        <f>VLOOKUP($B2527,'D7 - NDB Impacted SPRF''s'!$E$16:$O$9929,10,FALSE)</f>
        <v>N</v>
      </c>
      <c r="R2527" s="4" t="str">
        <f>VLOOKUP($B2527,'D7 - NDB Impacted SPRF''s'!$E$16:$O$9929,11,FALSE)</f>
        <v>N</v>
      </c>
      <c r="S2527" s="8"/>
      <c r="T2527" s="310"/>
      <c r="U2527" s="310"/>
      <c r="V2527" s="4"/>
      <c r="W2527" s="4"/>
      <c r="X2527" s="4"/>
      <c r="Y2527" s="4"/>
      <c r="Z2527" s="4"/>
      <c r="AA2527" s="4"/>
      <c r="AB2527" s="380" t="str">
        <f>VLOOKUP($B2527,'D7 - NDB Impacted SPRF''s'!$E$16:$O$9929,4,FALSE)</f>
        <v>Cancelled</v>
      </c>
      <c r="AC2527" s="380" t="str">
        <f>VLOOKUP($B2527,'D7 - NDB Impacted SPRF''s'!$E$16:$O$9929,3,FALSE)</f>
        <v>Uniprise</v>
      </c>
      <c r="AD2527" s="380" t="str">
        <f>VLOOKUP($B2527,'D7 - NDB Impacted SPRF''s'!$E$16:$O$9929,5,FALSE)</f>
        <v>Exante - DDC</v>
      </c>
      <c r="AE2527" s="380" t="str">
        <f>VLOOKUP($B2527,'D7 - NDB Impacted SPRF''s'!$E$16:$O$9929,7,FALSE)</f>
        <v>Thomas Watson</v>
      </c>
      <c r="AF2527" s="380" t="str">
        <f>VLOOKUP($B2527,'D7 - NDB Impacted SPRF''s'!$E$16:$O$9929,6,FALSE)</f>
        <v>Pasini Liz</v>
      </c>
      <c r="AG2527" s="282" t="s">
        <v>7755</v>
      </c>
      <c r="AH2527" s="311" t="e">
        <f>INDEX('D5 - Gatekeeper - Projects'!$A$4:$AF$1010,$AM2527, 17)</f>
        <v>#N/A</v>
      </c>
      <c r="AI2527" s="8"/>
      <c r="AJ2527" s="57"/>
      <c r="AK2527" s="105"/>
      <c r="AM2527" s="6" t="e">
        <f>MATCH(D2527,'D5 - Gatekeeper - Projects'!$C$4:$C$1010,0)</f>
        <v>#N/A</v>
      </c>
      <c r="AN2527" s="6" t="b">
        <f t="shared" si="265"/>
        <v>1</v>
      </c>
      <c r="AO2527" s="6" t="str">
        <f t="shared" si="266"/>
        <v>OK</v>
      </c>
      <c r="AQ2527" s="6" t="e">
        <f>MATCH($D2527,'D4 - Provider Council Unsched'!$C$11:$C$234,0)</f>
        <v>#N/A</v>
      </c>
      <c r="AR2527" s="6" t="b">
        <f t="shared" si="267"/>
        <v>1</v>
      </c>
      <c r="AS2527" s="6" t="str">
        <f t="shared" si="264"/>
        <v>OK</v>
      </c>
      <c r="AU2527" s="202"/>
      <c r="AV2527" s="262"/>
      <c r="AW2527" s="274"/>
    </row>
    <row r="2528" spans="1:49" s="13" customFormat="1" x14ac:dyDescent="0.2">
      <c r="A2528" s="14">
        <v>2504</v>
      </c>
      <c r="B2528" s="14">
        <v>400007296</v>
      </c>
      <c r="C2528" s="8" t="s">
        <v>5197</v>
      </c>
      <c r="D2528" s="4" t="str">
        <f t="shared" si="268"/>
        <v>400007296R1</v>
      </c>
      <c r="E2528" s="309" t="str">
        <f>VLOOKUP($B2528,'D7 - NDB Impacted SPRF''s'!$E$6:$O$9929,2,FALSE)</f>
        <v xml:space="preserve">HCAC Enhanced Functionality and Combined ID Cards </v>
      </c>
      <c r="F2528" s="8"/>
      <c r="G2528" s="8" t="s">
        <v>4758</v>
      </c>
      <c r="H2528" s="8" t="s">
        <v>2870</v>
      </c>
      <c r="I2528" s="20"/>
      <c r="J2528" s="8"/>
      <c r="K2528" s="182"/>
      <c r="L2528" s="8" t="s">
        <v>6164</v>
      </c>
      <c r="M2528" s="8" t="s">
        <v>2814</v>
      </c>
      <c r="N2528" s="367"/>
      <c r="O2528" s="8"/>
      <c r="P2528" s="4" t="str">
        <f>VLOOKUP($B2528,'D7 - NDB Impacted SPRF''s'!$E$16:$O$9929,9,FALSE)</f>
        <v>Y</v>
      </c>
      <c r="Q2528" s="4" t="str">
        <f>VLOOKUP($B2528,'D7 - NDB Impacted SPRF''s'!$E$16:$O$9929,10,FALSE)</f>
        <v>N</v>
      </c>
      <c r="R2528" s="4" t="str">
        <f>VLOOKUP($B2528,'D7 - NDB Impacted SPRF''s'!$E$16:$O$9929,11,FALSE)</f>
        <v>N</v>
      </c>
      <c r="S2528" s="8"/>
      <c r="T2528" s="310"/>
      <c r="U2528" s="310"/>
      <c r="V2528" s="4"/>
      <c r="W2528" s="4"/>
      <c r="X2528" s="4"/>
      <c r="Y2528" s="4"/>
      <c r="Z2528" s="4"/>
      <c r="AA2528" s="4"/>
      <c r="AB2528" s="380" t="str">
        <f>VLOOKUP($B2528,'D7 - NDB Impacted SPRF''s'!$E$16:$O$9929,4,FALSE)</f>
        <v>Cancelled</v>
      </c>
      <c r="AC2528" s="380" t="str">
        <f>VLOOKUP($B2528,'D7 - NDB Impacted SPRF''s'!$E$16:$O$9929,3,FALSE)</f>
        <v>Uniprise</v>
      </c>
      <c r="AD2528" s="380" t="str">
        <f>VLOOKUP($B2528,'D7 - NDB Impacted SPRF''s'!$E$16:$O$9929,5,FALSE)</f>
        <v>Exante - DDC</v>
      </c>
      <c r="AE2528" s="380" t="str">
        <f>VLOOKUP($B2528,'D7 - NDB Impacted SPRF''s'!$E$16:$O$9929,7,FALSE)</f>
        <v>Ragui Selwanes</v>
      </c>
      <c r="AF2528" s="380" t="str">
        <f>VLOOKUP($B2528,'D7 - NDB Impacted SPRF''s'!$E$16:$O$9929,6,FALSE)</f>
        <v>LISA ROONEY</v>
      </c>
      <c r="AG2528" s="282"/>
      <c r="AH2528" s="311" t="e">
        <f>INDEX('D5 - Gatekeeper - Projects'!$A$4:$AF$1010,$AM2528, 17)</f>
        <v>#N/A</v>
      </c>
      <c r="AI2528" s="8"/>
      <c r="AJ2528" s="57"/>
      <c r="AK2528" s="105"/>
      <c r="AM2528" s="6" t="e">
        <f>MATCH(D2528,'D5 - Gatekeeper - Projects'!$C$4:$C$1010,0)</f>
        <v>#N/A</v>
      </c>
      <c r="AN2528" s="6" t="b">
        <f t="shared" si="265"/>
        <v>1</v>
      </c>
      <c r="AO2528" s="6" t="str">
        <f t="shared" si="266"/>
        <v>OK</v>
      </c>
      <c r="AQ2528" s="6" t="e">
        <f>MATCH($D2528,'D4 - Provider Council Unsched'!$C$11:$C$234,0)</f>
        <v>#N/A</v>
      </c>
      <c r="AR2528" s="6" t="b">
        <f t="shared" si="267"/>
        <v>1</v>
      </c>
      <c r="AS2528" s="6" t="str">
        <f t="shared" si="264"/>
        <v>OK</v>
      </c>
      <c r="AU2528" s="202"/>
      <c r="AV2528" s="262"/>
      <c r="AW2528" s="274"/>
    </row>
    <row r="2529" spans="1:49" s="13" customFormat="1" ht="33.75" x14ac:dyDescent="0.2">
      <c r="A2529" s="14">
        <v>2505</v>
      </c>
      <c r="B2529" s="14">
        <v>400007336</v>
      </c>
      <c r="C2529" s="8" t="s">
        <v>5197</v>
      </c>
      <c r="D2529" s="4" t="str">
        <f t="shared" si="268"/>
        <v>400007336R1</v>
      </c>
      <c r="E2529" s="309" t="str">
        <f>VLOOKUP($B2529,'D7 - NDB Impacted SPRF''s'!$E$6:$O$9929,2,FALSE)</f>
        <v>PRIME 21 - Consumer Driven Healthcare Products</v>
      </c>
      <c r="F2529" s="8" t="s">
        <v>5475</v>
      </c>
      <c r="G2529" s="8" t="s">
        <v>4758</v>
      </c>
      <c r="H2529" s="8" t="s">
        <v>2870</v>
      </c>
      <c r="I2529" s="20">
        <v>0.21</v>
      </c>
      <c r="J2529" s="8" t="s">
        <v>7113</v>
      </c>
      <c r="K2529" s="182"/>
      <c r="L2529" s="8" t="s">
        <v>4156</v>
      </c>
      <c r="M2529" s="8" t="s">
        <v>2814</v>
      </c>
      <c r="N2529" s="368" t="s">
        <v>4414</v>
      </c>
      <c r="O2529" s="8"/>
      <c r="P2529" s="4" t="str">
        <f>VLOOKUP($B2529,'D7 - NDB Impacted SPRF''s'!$E$16:$O$9929,9,FALSE)</f>
        <v>Y</v>
      </c>
      <c r="Q2529" s="4" t="str">
        <f>VLOOKUP($B2529,'D7 - NDB Impacted SPRF''s'!$E$16:$O$9929,10,FALSE)</f>
        <v>N</v>
      </c>
      <c r="R2529" s="4" t="str">
        <f>VLOOKUP($B2529,'D7 - NDB Impacted SPRF''s'!$E$16:$O$9929,11,FALSE)</f>
        <v>N</v>
      </c>
      <c r="S2529" s="8"/>
      <c r="T2529" s="310"/>
      <c r="U2529" s="310"/>
      <c r="V2529" s="4"/>
      <c r="W2529" s="4"/>
      <c r="X2529" s="4"/>
      <c r="Y2529" s="4"/>
      <c r="Z2529" s="4"/>
      <c r="AA2529" s="4"/>
      <c r="AB2529" s="380" t="str">
        <f>VLOOKUP($B2529,'D7 - NDB Impacted SPRF''s'!$E$16:$O$9929,4,FALSE)</f>
        <v>Completed</v>
      </c>
      <c r="AC2529" s="380" t="str">
        <f>VLOOKUP($B2529,'D7 - NDB Impacted SPRF''s'!$E$16:$O$9929,3,FALSE)</f>
        <v>UnitedHealthcare Employer &amp; Individual</v>
      </c>
      <c r="AD2529" s="380" t="str">
        <f>VLOOKUP($B2529,'D7 - NDB Impacted SPRF''s'!$E$16:$O$9929,5,FALSE)</f>
        <v>Key Initiatives Group</v>
      </c>
      <c r="AE2529" s="380" t="str">
        <f>VLOOKUP($B2529,'D7 - NDB Impacted SPRF''s'!$E$16:$O$9929,7,FALSE)</f>
        <v>Dirk McMahon</v>
      </c>
      <c r="AF2529" s="380" t="str">
        <f>VLOOKUP($B2529,'D7 - NDB Impacted SPRF''s'!$E$16:$O$9929,6,FALSE)</f>
        <v>Kimberly Wolson</v>
      </c>
      <c r="AG2529" s="282"/>
      <c r="AH2529" s="311" t="e">
        <f>INDEX('D5 - Gatekeeper - Projects'!$A$4:$AF$1010,$AM2529, 17)</f>
        <v>#N/A</v>
      </c>
      <c r="AI2529" s="8"/>
      <c r="AJ2529" s="57"/>
      <c r="AK2529" s="105"/>
      <c r="AM2529" s="6" t="e">
        <f>MATCH(D2529,'D5 - Gatekeeper - Projects'!$C$4:$C$1010,0)</f>
        <v>#N/A</v>
      </c>
      <c r="AN2529" s="6" t="b">
        <f t="shared" si="265"/>
        <v>1</v>
      </c>
      <c r="AO2529" s="6" t="str">
        <f t="shared" si="266"/>
        <v>OK</v>
      </c>
      <c r="AQ2529" s="6" t="e">
        <f>MATCH($D2529,'D4 - Provider Council Unsched'!$C$11:$C$234,0)</f>
        <v>#N/A</v>
      </c>
      <c r="AR2529" s="6" t="b">
        <f t="shared" si="267"/>
        <v>1</v>
      </c>
      <c r="AS2529" s="6" t="str">
        <f t="shared" si="264"/>
        <v>OK</v>
      </c>
      <c r="AU2529" s="202"/>
      <c r="AV2529" s="262"/>
      <c r="AW2529" s="274"/>
    </row>
    <row r="2530" spans="1:49" s="13" customFormat="1" ht="33.75" x14ac:dyDescent="0.2">
      <c r="A2530" s="14">
        <v>2506</v>
      </c>
      <c r="B2530" s="14">
        <v>400007362</v>
      </c>
      <c r="C2530" s="8" t="s">
        <v>5197</v>
      </c>
      <c r="D2530" s="4" t="str">
        <f t="shared" si="268"/>
        <v>400007362R1</v>
      </c>
      <c r="E2530" s="309" t="str">
        <f>VLOOKUP($B2530,'D7 - NDB Impacted SPRF''s'!$E$6:$O$9929,2,FALSE)</f>
        <v>PRIME 21 - Individual Purchasers</v>
      </c>
      <c r="F2530" s="8" t="s">
        <v>5475</v>
      </c>
      <c r="G2530" s="8" t="s">
        <v>4758</v>
      </c>
      <c r="H2530" s="8" t="s">
        <v>2870</v>
      </c>
      <c r="I2530" s="20">
        <v>0.21</v>
      </c>
      <c r="J2530" s="8" t="s">
        <v>7113</v>
      </c>
      <c r="K2530" s="182"/>
      <c r="L2530" s="8" t="s">
        <v>4156</v>
      </c>
      <c r="M2530" s="8" t="s">
        <v>2814</v>
      </c>
      <c r="N2530" s="368" t="s">
        <v>7120</v>
      </c>
      <c r="O2530" s="8"/>
      <c r="P2530" s="4" t="str">
        <f>VLOOKUP($B2530,'D7 - NDB Impacted SPRF''s'!$E$16:$O$9929,9,FALSE)</f>
        <v>Y</v>
      </c>
      <c r="Q2530" s="4" t="str">
        <f>VLOOKUP($B2530,'D7 - NDB Impacted SPRF''s'!$E$16:$O$9929,10,FALSE)</f>
        <v>N</v>
      </c>
      <c r="R2530" s="4" t="str">
        <f>VLOOKUP($B2530,'D7 - NDB Impacted SPRF''s'!$E$16:$O$9929,11,FALSE)</f>
        <v>N</v>
      </c>
      <c r="S2530" s="8"/>
      <c r="T2530" s="310"/>
      <c r="U2530" s="310"/>
      <c r="V2530" s="4"/>
      <c r="W2530" s="4"/>
      <c r="X2530" s="4"/>
      <c r="Y2530" s="4"/>
      <c r="Z2530" s="4"/>
      <c r="AA2530" s="4"/>
      <c r="AB2530" s="380" t="str">
        <f>VLOOKUP($B2530,'D7 - NDB Impacted SPRF''s'!$E$16:$O$9929,4,FALSE)</f>
        <v>Completed</v>
      </c>
      <c r="AC2530" s="380" t="str">
        <f>VLOOKUP($B2530,'D7 - NDB Impacted SPRF''s'!$E$16:$O$9929,3,FALSE)</f>
        <v>UnitedHealthcare Employer &amp; Individual</v>
      </c>
      <c r="AD2530" s="380" t="str">
        <f>VLOOKUP($B2530,'D7 - NDB Impacted SPRF''s'!$E$16:$O$9929,5,FALSE)</f>
        <v>Key Initiatives Group</v>
      </c>
      <c r="AE2530" s="380" t="str">
        <f>VLOOKUP($B2530,'D7 - NDB Impacted SPRF''s'!$E$16:$O$9929,7,FALSE)</f>
        <v>Dirk McMahon</v>
      </c>
      <c r="AF2530" s="380" t="str">
        <f>VLOOKUP($B2530,'D7 - NDB Impacted SPRF''s'!$E$16:$O$9929,6,FALSE)</f>
        <v>Kimberly Wolson</v>
      </c>
      <c r="AG2530" s="282"/>
      <c r="AH2530" s="311" t="e">
        <f>INDEX('D5 - Gatekeeper - Projects'!$A$4:$AF$1010,$AM2530, 17)</f>
        <v>#N/A</v>
      </c>
      <c r="AI2530" s="8"/>
      <c r="AJ2530" s="57"/>
      <c r="AK2530" s="105"/>
      <c r="AM2530" s="6" t="e">
        <f>MATCH(D2530,'D5 - Gatekeeper - Projects'!$C$4:$C$1010,0)</f>
        <v>#N/A</v>
      </c>
      <c r="AN2530" s="6" t="b">
        <f t="shared" si="265"/>
        <v>1</v>
      </c>
      <c r="AO2530" s="6" t="str">
        <f t="shared" si="266"/>
        <v>OK</v>
      </c>
      <c r="AQ2530" s="6" t="e">
        <f>MATCH($D2530,'D4 - Provider Council Unsched'!$C$11:$C$234,0)</f>
        <v>#N/A</v>
      </c>
      <c r="AR2530" s="6" t="b">
        <f t="shared" si="267"/>
        <v>1</v>
      </c>
      <c r="AS2530" s="6" t="str">
        <f t="shared" si="264"/>
        <v>OK</v>
      </c>
      <c r="AU2530" s="202"/>
      <c r="AV2530" s="262"/>
      <c r="AW2530" s="274"/>
    </row>
    <row r="2531" spans="1:49" s="13" customFormat="1" ht="33.75" x14ac:dyDescent="0.2">
      <c r="A2531" s="14">
        <v>2507</v>
      </c>
      <c r="B2531" s="14">
        <v>400007365</v>
      </c>
      <c r="C2531" s="8" t="s">
        <v>5197</v>
      </c>
      <c r="D2531" s="4" t="str">
        <f t="shared" si="268"/>
        <v>400007365R1</v>
      </c>
      <c r="E2531" s="309" t="str">
        <f>VLOOKUP($B2531,'D7 - NDB Impacted SPRF''s'!$E$6:$O$9929,2,FALSE)</f>
        <v>PRIME 21 - Acquisition, Alliance, TPA business</v>
      </c>
      <c r="F2531" s="8" t="s">
        <v>5475</v>
      </c>
      <c r="G2531" s="8" t="s">
        <v>4758</v>
      </c>
      <c r="H2531" s="8" t="s">
        <v>2870</v>
      </c>
      <c r="I2531" s="20">
        <v>0.21</v>
      </c>
      <c r="J2531" s="8" t="s">
        <v>7113</v>
      </c>
      <c r="K2531" s="182"/>
      <c r="L2531" s="8" t="s">
        <v>4156</v>
      </c>
      <c r="M2531" s="8" t="s">
        <v>2814</v>
      </c>
      <c r="N2531" s="368" t="s">
        <v>1655</v>
      </c>
      <c r="O2531" s="8"/>
      <c r="P2531" s="4" t="str">
        <f>VLOOKUP($B2531,'D7 - NDB Impacted SPRF''s'!$E$16:$O$9929,9,FALSE)</f>
        <v>Y</v>
      </c>
      <c r="Q2531" s="4" t="str">
        <f>VLOOKUP($B2531,'D7 - NDB Impacted SPRF''s'!$E$16:$O$9929,10,FALSE)</f>
        <v>N</v>
      </c>
      <c r="R2531" s="4" t="str">
        <f>VLOOKUP($B2531,'D7 - NDB Impacted SPRF''s'!$E$16:$O$9929,11,FALSE)</f>
        <v>N</v>
      </c>
      <c r="S2531" s="8"/>
      <c r="T2531" s="310"/>
      <c r="U2531" s="310"/>
      <c r="V2531" s="4"/>
      <c r="W2531" s="4"/>
      <c r="X2531" s="4"/>
      <c r="Y2531" s="4"/>
      <c r="Z2531" s="4"/>
      <c r="AA2531" s="4"/>
      <c r="AB2531" s="380" t="str">
        <f>VLOOKUP($B2531,'D7 - NDB Impacted SPRF''s'!$E$16:$O$9929,4,FALSE)</f>
        <v>Completed</v>
      </c>
      <c r="AC2531" s="380" t="str">
        <f>VLOOKUP($B2531,'D7 - NDB Impacted SPRF''s'!$E$16:$O$9929,3,FALSE)</f>
        <v>UnitedHealthcare Employer &amp; Individual</v>
      </c>
      <c r="AD2531" s="380" t="str">
        <f>VLOOKUP($B2531,'D7 - NDB Impacted SPRF''s'!$E$16:$O$9929,5,FALSE)</f>
        <v>Key Initiatives Group</v>
      </c>
      <c r="AE2531" s="380" t="str">
        <f>VLOOKUP($B2531,'D7 - NDB Impacted SPRF''s'!$E$16:$O$9929,7,FALSE)</f>
        <v>Dirk McMahon</v>
      </c>
      <c r="AF2531" s="380" t="str">
        <f>VLOOKUP($B2531,'D7 - NDB Impacted SPRF''s'!$E$16:$O$9929,6,FALSE)</f>
        <v>Kimberly Wolson</v>
      </c>
      <c r="AG2531" s="282"/>
      <c r="AH2531" s="311" t="e">
        <f>INDEX('D5 - Gatekeeper - Projects'!$A$4:$AF$1010,$AM2531, 17)</f>
        <v>#N/A</v>
      </c>
      <c r="AI2531" s="8"/>
      <c r="AJ2531" s="57"/>
      <c r="AK2531" s="105"/>
      <c r="AM2531" s="6" t="e">
        <f>MATCH(D2531,'D5 - Gatekeeper - Projects'!$C$4:$C$1010,0)</f>
        <v>#N/A</v>
      </c>
      <c r="AN2531" s="6" t="b">
        <f t="shared" si="265"/>
        <v>1</v>
      </c>
      <c r="AO2531" s="6" t="str">
        <f t="shared" si="266"/>
        <v>OK</v>
      </c>
      <c r="AQ2531" s="6" t="e">
        <f>MATCH($D2531,'D4 - Provider Council Unsched'!$C$11:$C$234,0)</f>
        <v>#N/A</v>
      </c>
      <c r="AR2531" s="6" t="b">
        <f t="shared" si="267"/>
        <v>1</v>
      </c>
      <c r="AS2531" s="6" t="str">
        <f t="shared" si="264"/>
        <v>OK</v>
      </c>
      <c r="AU2531" s="202"/>
      <c r="AV2531" s="262"/>
      <c r="AW2531" s="274"/>
    </row>
    <row r="2532" spans="1:49" s="13" customFormat="1" ht="33.75" x14ac:dyDescent="0.2">
      <c r="A2532" s="14">
        <v>2508</v>
      </c>
      <c r="B2532" s="14">
        <v>400007366</v>
      </c>
      <c r="C2532" s="8" t="s">
        <v>5197</v>
      </c>
      <c r="D2532" s="4" t="str">
        <f t="shared" si="268"/>
        <v>400007366R1</v>
      </c>
      <c r="E2532" s="309" t="str">
        <f>VLOOKUP($B2532,'D7 - NDB Impacted SPRF''s'!$E$6:$O$9929,2,FALSE)</f>
        <v>PRIME 21 - Infrastructure Self / Split Funded Prod</v>
      </c>
      <c r="F2532" s="8" t="s">
        <v>5475</v>
      </c>
      <c r="G2532" s="8" t="s">
        <v>4758</v>
      </c>
      <c r="H2532" s="8" t="s">
        <v>2870</v>
      </c>
      <c r="I2532" s="20"/>
      <c r="J2532" s="8"/>
      <c r="K2532" s="182"/>
      <c r="L2532" s="8" t="s">
        <v>6164</v>
      </c>
      <c r="M2532" s="8" t="s">
        <v>2814</v>
      </c>
      <c r="N2532" s="367"/>
      <c r="O2532" s="8"/>
      <c r="P2532" s="4" t="str">
        <f>VLOOKUP($B2532,'D7 - NDB Impacted SPRF''s'!$E$16:$O$9929,9,FALSE)</f>
        <v>Y</v>
      </c>
      <c r="Q2532" s="4" t="str">
        <f>VLOOKUP($B2532,'D7 - NDB Impacted SPRF''s'!$E$16:$O$9929,10,FALSE)</f>
        <v>N</v>
      </c>
      <c r="R2532" s="4" t="str">
        <f>VLOOKUP($B2532,'D7 - NDB Impacted SPRF''s'!$E$16:$O$9929,11,FALSE)</f>
        <v>N</v>
      </c>
      <c r="S2532" s="8"/>
      <c r="T2532" s="310"/>
      <c r="U2532" s="310"/>
      <c r="V2532" s="4"/>
      <c r="W2532" s="4"/>
      <c r="X2532" s="4"/>
      <c r="Y2532" s="4"/>
      <c r="Z2532" s="4"/>
      <c r="AA2532" s="4"/>
      <c r="AB2532" s="380" t="str">
        <f>VLOOKUP($B2532,'D7 - NDB Impacted SPRF''s'!$E$16:$O$9929,4,FALSE)</f>
        <v>Cancelled</v>
      </c>
      <c r="AC2532" s="380" t="str">
        <f>VLOOKUP($B2532,'D7 - NDB Impacted SPRF''s'!$E$16:$O$9929,3,FALSE)</f>
        <v>UnitedHealthcare Employer &amp; Individual</v>
      </c>
      <c r="AD2532" s="380" t="str">
        <f>VLOOKUP($B2532,'D7 - NDB Impacted SPRF''s'!$E$16:$O$9929,5,FALSE)</f>
        <v>Key Initiatives Group</v>
      </c>
      <c r="AE2532" s="380" t="str">
        <f>VLOOKUP($B2532,'D7 - NDB Impacted SPRF''s'!$E$16:$O$9929,7,FALSE)</f>
        <v>Dirk McMahon</v>
      </c>
      <c r="AF2532" s="380" t="str">
        <f>VLOOKUP($B2532,'D7 - NDB Impacted SPRF''s'!$E$16:$O$9929,6,FALSE)</f>
        <v>Kimberly Wolson</v>
      </c>
      <c r="AG2532" s="282"/>
      <c r="AH2532" s="311" t="e">
        <f>INDEX('D5 - Gatekeeper - Projects'!$A$4:$AF$1010,$AM2532, 17)</f>
        <v>#N/A</v>
      </c>
      <c r="AI2532" s="8"/>
      <c r="AJ2532" s="57"/>
      <c r="AK2532" s="105"/>
      <c r="AM2532" s="6" t="e">
        <f>MATCH(D2532,'D5 - Gatekeeper - Projects'!$C$4:$C$1010,0)</f>
        <v>#N/A</v>
      </c>
      <c r="AN2532" s="6" t="b">
        <f t="shared" si="265"/>
        <v>1</v>
      </c>
      <c r="AO2532" s="6" t="str">
        <f t="shared" si="266"/>
        <v>OK</v>
      </c>
      <c r="AQ2532" s="6" t="e">
        <f>MATCH($D2532,'D4 - Provider Council Unsched'!$C$11:$C$234,0)</f>
        <v>#N/A</v>
      </c>
      <c r="AR2532" s="6" t="b">
        <f t="shared" si="267"/>
        <v>1</v>
      </c>
      <c r="AS2532" s="6" t="str">
        <f t="shared" si="264"/>
        <v>OK</v>
      </c>
      <c r="AU2532" s="202"/>
      <c r="AV2532" s="262"/>
      <c r="AW2532" s="274"/>
    </row>
    <row r="2533" spans="1:49" s="13" customFormat="1" ht="33.75" x14ac:dyDescent="0.2">
      <c r="A2533" s="14">
        <v>2509</v>
      </c>
      <c r="B2533" s="14">
        <v>400007367</v>
      </c>
      <c r="C2533" s="8" t="s">
        <v>5197</v>
      </c>
      <c r="D2533" s="4" t="str">
        <f t="shared" si="268"/>
        <v>400007367R1</v>
      </c>
      <c r="E2533" s="309" t="str">
        <f>VLOOKUP($B2533,'D7 - NDB Impacted SPRF''s'!$E$6:$O$9929,2,FALSE)</f>
        <v>PRIME 21 - Multi-Site / Multi-Option</v>
      </c>
      <c r="F2533" s="8" t="s">
        <v>5475</v>
      </c>
      <c r="G2533" s="8" t="s">
        <v>4758</v>
      </c>
      <c r="H2533" s="8" t="s">
        <v>2870</v>
      </c>
      <c r="I2533" s="20"/>
      <c r="J2533" s="8"/>
      <c r="K2533" s="182"/>
      <c r="L2533" s="8" t="s">
        <v>6164</v>
      </c>
      <c r="M2533" s="8" t="s">
        <v>2814</v>
      </c>
      <c r="N2533" s="367" t="s">
        <v>6290</v>
      </c>
      <c r="O2533" s="8"/>
      <c r="P2533" s="4" t="str">
        <f>VLOOKUP($B2533,'D7 - NDB Impacted SPRF''s'!$E$16:$O$9929,9,FALSE)</f>
        <v>Y</v>
      </c>
      <c r="Q2533" s="4" t="str">
        <f>VLOOKUP($B2533,'D7 - NDB Impacted SPRF''s'!$E$16:$O$9929,10,FALSE)</f>
        <v>N</v>
      </c>
      <c r="R2533" s="4" t="str">
        <f>VLOOKUP($B2533,'D7 - NDB Impacted SPRF''s'!$E$16:$O$9929,11,FALSE)</f>
        <v>N</v>
      </c>
      <c r="S2533" s="8"/>
      <c r="T2533" s="310"/>
      <c r="U2533" s="310"/>
      <c r="V2533" s="4"/>
      <c r="W2533" s="4"/>
      <c r="X2533" s="4"/>
      <c r="Y2533" s="4"/>
      <c r="Z2533" s="4"/>
      <c r="AA2533" s="4"/>
      <c r="AB2533" s="380" t="str">
        <f>VLOOKUP($B2533,'D7 - NDB Impacted SPRF''s'!$E$16:$O$9929,4,FALSE)</f>
        <v>Cancelled</v>
      </c>
      <c r="AC2533" s="380" t="str">
        <f>VLOOKUP($B2533,'D7 - NDB Impacted SPRF''s'!$E$16:$O$9929,3,FALSE)</f>
        <v>UnitedHealthcare Employer &amp; Individual</v>
      </c>
      <c r="AD2533" s="380" t="str">
        <f>VLOOKUP($B2533,'D7 - NDB Impacted SPRF''s'!$E$16:$O$9929,5,FALSE)</f>
        <v>Key Initiatives Group</v>
      </c>
      <c r="AE2533" s="380" t="str">
        <f>VLOOKUP($B2533,'D7 - NDB Impacted SPRF''s'!$E$16:$O$9929,7,FALSE)</f>
        <v>Dirk McMahon</v>
      </c>
      <c r="AF2533" s="380" t="str">
        <f>VLOOKUP($B2533,'D7 - NDB Impacted SPRF''s'!$E$16:$O$9929,6,FALSE)</f>
        <v>Kimberly Wolson</v>
      </c>
      <c r="AG2533" s="282"/>
      <c r="AH2533" s="311" t="e">
        <f>INDEX('D5 - Gatekeeper - Projects'!$A$4:$AF$1010,$AM2533, 17)</f>
        <v>#N/A</v>
      </c>
      <c r="AI2533" s="8"/>
      <c r="AJ2533" s="57"/>
      <c r="AK2533" s="105"/>
      <c r="AM2533" s="6" t="e">
        <f>MATCH(D2533,'D5 - Gatekeeper - Projects'!$C$4:$C$1010,0)</f>
        <v>#N/A</v>
      </c>
      <c r="AN2533" s="6" t="b">
        <f t="shared" si="265"/>
        <v>1</v>
      </c>
      <c r="AO2533" s="6" t="str">
        <f t="shared" si="266"/>
        <v>OK</v>
      </c>
      <c r="AQ2533" s="6" t="e">
        <f>MATCH($D2533,'D4 - Provider Council Unsched'!$C$11:$C$234,0)</f>
        <v>#N/A</v>
      </c>
      <c r="AR2533" s="6" t="b">
        <f t="shared" si="267"/>
        <v>1</v>
      </c>
      <c r="AS2533" s="6" t="str">
        <f t="shared" si="264"/>
        <v>OK</v>
      </c>
      <c r="AU2533" s="202"/>
      <c r="AV2533" s="262"/>
      <c r="AW2533" s="274"/>
    </row>
    <row r="2534" spans="1:49" s="13" customFormat="1" x14ac:dyDescent="0.2">
      <c r="A2534" s="14">
        <v>2510</v>
      </c>
      <c r="B2534" s="14">
        <v>400007459</v>
      </c>
      <c r="C2534" s="8" t="s">
        <v>5197</v>
      </c>
      <c r="D2534" s="4" t="str">
        <f t="shared" si="268"/>
        <v>400007459R1</v>
      </c>
      <c r="E2534" s="309" t="str">
        <f>VLOOKUP($B2534,'D7 - NDB Impacted SPRF''s'!$E$6:$O$9929,2,FALSE)</f>
        <v>SBC MNRP Default %</v>
      </c>
      <c r="F2534" s="8"/>
      <c r="G2534" s="8" t="s">
        <v>4758</v>
      </c>
      <c r="H2534" s="8" t="s">
        <v>2870</v>
      </c>
      <c r="I2534" s="20"/>
      <c r="J2534" s="8"/>
      <c r="K2534" s="182"/>
      <c r="L2534" s="8" t="s">
        <v>6164</v>
      </c>
      <c r="M2534" s="8" t="s">
        <v>2814</v>
      </c>
      <c r="N2534" s="367"/>
      <c r="O2534" s="8"/>
      <c r="P2534" s="4" t="str">
        <f>VLOOKUP($B2534,'D7 - NDB Impacted SPRF''s'!$E$16:$O$9929,9,FALSE)</f>
        <v>Y</v>
      </c>
      <c r="Q2534" s="4" t="str">
        <f>VLOOKUP($B2534,'D7 - NDB Impacted SPRF''s'!$E$16:$O$9929,10,FALSE)</f>
        <v>N</v>
      </c>
      <c r="R2534" s="4" t="str">
        <f>VLOOKUP($B2534,'D7 - NDB Impacted SPRF''s'!$E$16:$O$9929,11,FALSE)</f>
        <v>N</v>
      </c>
      <c r="S2534" s="8"/>
      <c r="T2534" s="310"/>
      <c r="U2534" s="310"/>
      <c r="V2534" s="4"/>
      <c r="W2534" s="4"/>
      <c r="X2534" s="4"/>
      <c r="Y2534" s="4"/>
      <c r="Z2534" s="4"/>
      <c r="AA2534" s="4"/>
      <c r="AB2534" s="380" t="str">
        <f>VLOOKUP($B2534,'D7 - NDB Impacted SPRF''s'!$E$16:$O$9929,4,FALSE)</f>
        <v>Cancelled</v>
      </c>
      <c r="AC2534" s="380" t="str">
        <f>VLOOKUP($B2534,'D7 - NDB Impacted SPRF''s'!$E$16:$O$9929,3,FALSE)</f>
        <v>Uniprise</v>
      </c>
      <c r="AD2534" s="380" t="str">
        <f>VLOOKUP($B2534,'D7 - NDB Impacted SPRF''s'!$E$16:$O$9929,5,FALSE)</f>
        <v>USS - DDC</v>
      </c>
      <c r="AE2534" s="380" t="str">
        <f>VLOOKUP($B2534,'D7 - NDB Impacted SPRF''s'!$E$16:$O$9929,7,FALSE)</f>
        <v>Melissa Tessier</v>
      </c>
      <c r="AF2534" s="380" t="str">
        <f>VLOOKUP($B2534,'D7 - NDB Impacted SPRF''s'!$E$16:$O$9929,6,FALSE)</f>
        <v>Christine Cone</v>
      </c>
      <c r="AG2534" s="282"/>
      <c r="AH2534" s="311" t="e">
        <f>INDEX('D5 - Gatekeeper - Projects'!$A$4:$AF$1010,$AM2534, 17)</f>
        <v>#N/A</v>
      </c>
      <c r="AI2534" s="8"/>
      <c r="AJ2534" s="57"/>
      <c r="AK2534" s="105"/>
      <c r="AM2534" s="6" t="e">
        <f>MATCH(D2534,'D5 - Gatekeeper - Projects'!$C$4:$C$1010,0)</f>
        <v>#N/A</v>
      </c>
      <c r="AN2534" s="6" t="b">
        <f t="shared" si="265"/>
        <v>1</v>
      </c>
      <c r="AO2534" s="6" t="str">
        <f t="shared" si="266"/>
        <v>OK</v>
      </c>
      <c r="AQ2534" s="6" t="e">
        <f>MATCH($D2534,'D4 - Provider Council Unsched'!$C$11:$C$234,0)</f>
        <v>#N/A</v>
      </c>
      <c r="AR2534" s="6" t="b">
        <f t="shared" si="267"/>
        <v>1</v>
      </c>
      <c r="AS2534" s="6" t="str">
        <f t="shared" si="264"/>
        <v>OK</v>
      </c>
      <c r="AU2534" s="202"/>
      <c r="AV2534" s="262"/>
      <c r="AW2534" s="274"/>
    </row>
    <row r="2535" spans="1:49" s="13" customFormat="1" x14ac:dyDescent="0.2">
      <c r="A2535" s="14">
        <v>2511</v>
      </c>
      <c r="B2535" s="14">
        <v>400007553</v>
      </c>
      <c r="C2535" s="8" t="s">
        <v>5197</v>
      </c>
      <c r="D2535" s="4" t="str">
        <f t="shared" si="268"/>
        <v>400007553R1</v>
      </c>
      <c r="E2535" s="309" t="str">
        <f>VLOOKUP($B2535,'D7 - NDB Impacted SPRF''s'!$E$6:$O$9929,2,FALSE)</f>
        <v>IDT Integration With UBH Facets</v>
      </c>
      <c r="F2535" s="8" t="s">
        <v>3764</v>
      </c>
      <c r="G2535" s="8" t="s">
        <v>4758</v>
      </c>
      <c r="H2535" s="8" t="s">
        <v>2870</v>
      </c>
      <c r="I2535" s="20">
        <v>0</v>
      </c>
      <c r="J2535" s="8"/>
      <c r="K2535" s="182"/>
      <c r="L2535" s="8" t="s">
        <v>4156</v>
      </c>
      <c r="M2535" s="8" t="s">
        <v>2814</v>
      </c>
      <c r="N2535" s="367" t="s">
        <v>6345</v>
      </c>
      <c r="O2535" s="8"/>
      <c r="P2535" s="4" t="str">
        <f>VLOOKUP($B2535,'D7 - NDB Impacted SPRF''s'!$E$16:$O$9929,9,FALSE)</f>
        <v>N</v>
      </c>
      <c r="Q2535" s="4" t="str">
        <f>VLOOKUP($B2535,'D7 - NDB Impacted SPRF''s'!$E$16:$O$9929,10,FALSE)</f>
        <v>N</v>
      </c>
      <c r="R2535" s="4" t="str">
        <f>VLOOKUP($B2535,'D7 - NDB Impacted SPRF''s'!$E$16:$O$9929,11,FALSE)</f>
        <v>N</v>
      </c>
      <c r="S2535" s="8"/>
      <c r="T2535" s="310"/>
      <c r="U2535" s="310"/>
      <c r="V2535" s="4"/>
      <c r="W2535" s="4"/>
      <c r="X2535" s="4"/>
      <c r="Y2535" s="4"/>
      <c r="Z2535" s="4"/>
      <c r="AA2535" s="4"/>
      <c r="AB2535" s="380" t="str">
        <f>VLOOKUP($B2535,'D7 - NDB Impacted SPRF''s'!$E$16:$O$9929,4,FALSE)</f>
        <v>Completed</v>
      </c>
      <c r="AC2535" s="380" t="str">
        <f>VLOOKUP($B2535,'D7 - NDB Impacted SPRF''s'!$E$16:$O$9929,3,FALSE)</f>
        <v>OptumHealth</v>
      </c>
      <c r="AD2535" s="380" t="str">
        <f>VLOOKUP($B2535,'D7 - NDB Impacted SPRF''s'!$E$16:$O$9929,5,FALSE)</f>
        <v>UBH</v>
      </c>
      <c r="AE2535" s="380" t="str">
        <f>VLOOKUP($B2535,'D7 - NDB Impacted SPRF''s'!$E$16:$O$9929,7,FALSE)</f>
        <v>Brian Murray / Brigid Bonner</v>
      </c>
      <c r="AF2535" s="380" t="str">
        <f>VLOOKUP($B2535,'D7 - NDB Impacted SPRF''s'!$E$16:$O$9929,6,FALSE)</f>
        <v>Don Tierney</v>
      </c>
      <c r="AG2535" s="282"/>
      <c r="AH2535" s="311" t="e">
        <f>INDEX('D5 - Gatekeeper - Projects'!$A$4:$AF$1010,$AM2535, 17)</f>
        <v>#N/A</v>
      </c>
      <c r="AI2535" s="8"/>
      <c r="AJ2535" s="57"/>
      <c r="AK2535" s="105"/>
      <c r="AM2535" s="6" t="e">
        <f>MATCH(D2535,'D5 - Gatekeeper - Projects'!$C$4:$C$1010,0)</f>
        <v>#N/A</v>
      </c>
      <c r="AN2535" s="6" t="b">
        <f t="shared" si="265"/>
        <v>1</v>
      </c>
      <c r="AO2535" s="6" t="str">
        <f t="shared" si="266"/>
        <v>OK</v>
      </c>
      <c r="AQ2535" s="6" t="e">
        <f>MATCH($D2535,'D4 - Provider Council Unsched'!$C$11:$C$234,0)</f>
        <v>#N/A</v>
      </c>
      <c r="AR2535" s="6" t="b">
        <f t="shared" si="267"/>
        <v>1</v>
      </c>
      <c r="AS2535" s="6" t="str">
        <f t="shared" si="264"/>
        <v>OK</v>
      </c>
      <c r="AU2535" s="202"/>
      <c r="AV2535" s="262"/>
      <c r="AW2535" s="274"/>
    </row>
    <row r="2536" spans="1:49" s="13" customFormat="1" ht="33.75" x14ac:dyDescent="0.2">
      <c r="A2536" s="14">
        <v>2512</v>
      </c>
      <c r="B2536" s="14">
        <v>400007554</v>
      </c>
      <c r="C2536" s="8" t="s">
        <v>5197</v>
      </c>
      <c r="D2536" s="4" t="str">
        <f t="shared" si="268"/>
        <v>400007554R1</v>
      </c>
      <c r="E2536" s="309" t="str">
        <f>VLOOKUP($B2536,'D7 - NDB Impacted SPRF''s'!$E$6:$O$9929,2,FALSE)</f>
        <v>Correct COE Hospital Directory Display (FRED)</v>
      </c>
      <c r="F2536" s="8" t="s">
        <v>7242</v>
      </c>
      <c r="G2536" s="8" t="s">
        <v>4758</v>
      </c>
      <c r="H2536" s="8" t="s">
        <v>2870</v>
      </c>
      <c r="I2536" s="20"/>
      <c r="J2536" s="8"/>
      <c r="K2536" s="182"/>
      <c r="L2536" s="8" t="s">
        <v>6164</v>
      </c>
      <c r="M2536" s="8" t="s">
        <v>2814</v>
      </c>
      <c r="N2536" s="367"/>
      <c r="O2536" s="8"/>
      <c r="P2536" s="4" t="str">
        <f>VLOOKUP($B2536,'D7 - NDB Impacted SPRF''s'!$E$16:$O$9929,9,FALSE)</f>
        <v>N</v>
      </c>
      <c r="Q2536" s="4" t="str">
        <f>VLOOKUP($B2536,'D7 - NDB Impacted SPRF''s'!$E$16:$O$9929,10,FALSE)</f>
        <v>N</v>
      </c>
      <c r="R2536" s="4" t="str">
        <f>VLOOKUP($B2536,'D7 - NDB Impacted SPRF''s'!$E$16:$O$9929,11,FALSE)</f>
        <v>N</v>
      </c>
      <c r="S2536" s="8"/>
      <c r="T2536" s="310"/>
      <c r="U2536" s="310"/>
      <c r="V2536" s="4"/>
      <c r="W2536" s="4"/>
      <c r="X2536" s="4"/>
      <c r="Y2536" s="4"/>
      <c r="Z2536" s="4"/>
      <c r="AA2536" s="4"/>
      <c r="AB2536" s="380" t="str">
        <f>VLOOKUP($B2536,'D7 - NDB Impacted SPRF''s'!$E$16:$O$9929,4,FALSE)</f>
        <v>Cancelled</v>
      </c>
      <c r="AC2536" s="380" t="str">
        <f>VLOOKUP($B2536,'D7 - NDB Impacted SPRF''s'!$E$16:$O$9929,3,FALSE)</f>
        <v>UnitedHealthcare Employer &amp; Individual</v>
      </c>
      <c r="AD2536" s="380" t="str">
        <f>VLOOKUP($B2536,'D7 - NDB Impacted SPRF''s'!$E$16:$O$9929,5,FALSE)</f>
        <v>Operations Group</v>
      </c>
      <c r="AE2536" s="380" t="str">
        <f>VLOOKUP($B2536,'D7 - NDB Impacted SPRF''s'!$E$16:$O$9929,7,FALSE)</f>
        <v>Kirk Stapleton</v>
      </c>
      <c r="AF2536" s="380" t="str">
        <f>VLOOKUP($B2536,'D7 - NDB Impacted SPRF''s'!$E$16:$O$9929,6,FALSE)</f>
        <v>RANDY LENTZ</v>
      </c>
      <c r="AG2536" s="282"/>
      <c r="AH2536" s="311" t="e">
        <f>INDEX('D5 - Gatekeeper - Projects'!$A$4:$AF$1010,$AM2536, 17)</f>
        <v>#N/A</v>
      </c>
      <c r="AI2536" s="8"/>
      <c r="AJ2536" s="57"/>
      <c r="AK2536" s="105"/>
      <c r="AM2536" s="6" t="e">
        <f>MATCH(D2536,'D5 - Gatekeeper - Projects'!$C$4:$C$1010,0)</f>
        <v>#N/A</v>
      </c>
      <c r="AN2536" s="6" t="b">
        <f t="shared" si="265"/>
        <v>1</v>
      </c>
      <c r="AO2536" s="6" t="str">
        <f t="shared" si="266"/>
        <v>OK</v>
      </c>
      <c r="AQ2536" s="6" t="e">
        <f>MATCH($D2536,'D4 - Provider Council Unsched'!$C$11:$C$234,0)</f>
        <v>#N/A</v>
      </c>
      <c r="AR2536" s="6" t="b">
        <f t="shared" si="267"/>
        <v>1</v>
      </c>
      <c r="AS2536" s="6" t="str">
        <f t="shared" si="264"/>
        <v>OK</v>
      </c>
      <c r="AU2536" s="202"/>
      <c r="AV2536" s="262"/>
      <c r="AW2536" s="274"/>
    </row>
    <row r="2537" spans="1:49" s="13" customFormat="1" x14ac:dyDescent="0.2">
      <c r="A2537" s="14">
        <v>2513</v>
      </c>
      <c r="B2537" s="14">
        <v>400007579</v>
      </c>
      <c r="C2537" s="8" t="s">
        <v>5197</v>
      </c>
      <c r="D2537" s="4" t="str">
        <f t="shared" si="268"/>
        <v>400007579R1</v>
      </c>
      <c r="E2537" s="309" t="str">
        <f>VLOOKUP($B2537,'D7 - NDB Impacted SPRF''s'!$E$6:$O$9929,2,FALSE)</f>
        <v>CORP1-ConvTools-Corporate BPO Analysis</v>
      </c>
      <c r="F2537" s="8" t="s">
        <v>5196</v>
      </c>
      <c r="G2537" s="8" t="s">
        <v>4758</v>
      </c>
      <c r="H2537" s="8" t="s">
        <v>2870</v>
      </c>
      <c r="I2537" s="20">
        <v>0.7</v>
      </c>
      <c r="J2537" s="8" t="s">
        <v>4862</v>
      </c>
      <c r="K2537" s="182"/>
      <c r="L2537" s="8" t="s">
        <v>4156</v>
      </c>
      <c r="M2537" s="8" t="s">
        <v>2814</v>
      </c>
      <c r="N2537" s="367"/>
      <c r="O2537" s="8"/>
      <c r="P2537" s="4" t="str">
        <f>VLOOKUP($B2537,'D7 - NDB Impacted SPRF''s'!$E$16:$O$9929,9,FALSE)</f>
        <v>Y</v>
      </c>
      <c r="Q2537" s="4" t="str">
        <f>VLOOKUP($B2537,'D7 - NDB Impacted SPRF''s'!$E$16:$O$9929,10,FALSE)</f>
        <v>N</v>
      </c>
      <c r="R2537" s="4" t="str">
        <f>VLOOKUP($B2537,'D7 - NDB Impacted SPRF''s'!$E$16:$O$9929,11,FALSE)</f>
        <v>N</v>
      </c>
      <c r="S2537" s="8"/>
      <c r="T2537" s="310"/>
      <c r="U2537" s="310"/>
      <c r="V2537" s="4"/>
      <c r="W2537" s="4"/>
      <c r="X2537" s="4"/>
      <c r="Y2537" s="4"/>
      <c r="Z2537" s="4"/>
      <c r="AA2537" s="4"/>
      <c r="AB2537" s="380" t="str">
        <f>VLOOKUP($B2537,'D7 - NDB Impacted SPRF''s'!$E$16:$O$9929,4,FALSE)</f>
        <v>Cancelled</v>
      </c>
      <c r="AC2537" s="380" t="str">
        <f>VLOOKUP($B2537,'D7 - NDB Impacted SPRF''s'!$E$16:$O$9929,3,FALSE)</f>
        <v>UHG Corporate</v>
      </c>
      <c r="AD2537" s="380" t="str">
        <f>VLOOKUP($B2537,'D7 - NDB Impacted SPRF''s'!$E$16:$O$9929,5,FALSE)</f>
        <v>Corporate Service Alliance</v>
      </c>
      <c r="AE2537" s="380" t="str">
        <f>VLOOKUP($B2537,'D7 - NDB Impacted SPRF''s'!$E$16:$O$9929,7,FALSE)</f>
        <v>Diane Schofield</v>
      </c>
      <c r="AF2537" s="380" t="str">
        <f>VLOOKUP($B2537,'D7 - NDB Impacted SPRF''s'!$E$16:$O$9929,6,FALSE)</f>
        <v>Brenda Keith</v>
      </c>
      <c r="AG2537" s="282"/>
      <c r="AH2537" s="311" t="e">
        <f>INDEX('D5 - Gatekeeper - Projects'!$A$4:$AF$1010,$AM2537, 17)</f>
        <v>#N/A</v>
      </c>
      <c r="AI2537" s="8"/>
      <c r="AJ2537" s="57"/>
      <c r="AK2537" s="105"/>
      <c r="AM2537" s="6" t="e">
        <f>MATCH(D2537,'D5 - Gatekeeper - Projects'!$C$4:$C$1010,0)</f>
        <v>#N/A</v>
      </c>
      <c r="AN2537" s="6" t="b">
        <f t="shared" si="265"/>
        <v>1</v>
      </c>
      <c r="AO2537" s="6" t="str">
        <f t="shared" si="266"/>
        <v>OK</v>
      </c>
      <c r="AQ2537" s="6" t="e">
        <f>MATCH($D2537,'D4 - Provider Council Unsched'!$C$11:$C$234,0)</f>
        <v>#N/A</v>
      </c>
      <c r="AR2537" s="6" t="b">
        <f t="shared" si="267"/>
        <v>1</v>
      </c>
      <c r="AS2537" s="6" t="str">
        <f t="shared" si="264"/>
        <v>OK</v>
      </c>
      <c r="AU2537" s="202"/>
      <c r="AV2537" s="262"/>
      <c r="AW2537" s="274"/>
    </row>
    <row r="2538" spans="1:49" s="13" customFormat="1" ht="45" x14ac:dyDescent="0.2">
      <c r="A2538" s="14">
        <v>2514</v>
      </c>
      <c r="B2538" s="14">
        <v>400007597</v>
      </c>
      <c r="C2538" s="8" t="s">
        <v>5197</v>
      </c>
      <c r="D2538" s="4" t="str">
        <f t="shared" si="268"/>
        <v>400007597R1</v>
      </c>
      <c r="E2538" s="309" t="str">
        <f>VLOOKUP($B2538,'D7 - NDB Impacted SPRF''s'!$E$6:$O$9929,2,FALSE)</f>
        <v>NDB Parallel Sysplex</v>
      </c>
      <c r="F2538" s="8" t="s">
        <v>8133</v>
      </c>
      <c r="G2538" s="8" t="s">
        <v>4758</v>
      </c>
      <c r="H2538" s="8" t="s">
        <v>2870</v>
      </c>
      <c r="I2538" s="20">
        <v>7.44</v>
      </c>
      <c r="J2538" s="8" t="s">
        <v>4862</v>
      </c>
      <c r="K2538" s="182"/>
      <c r="L2538" s="8" t="s">
        <v>6919</v>
      </c>
      <c r="M2538" s="8" t="s">
        <v>2814</v>
      </c>
      <c r="N2538" s="38" t="s">
        <v>4015</v>
      </c>
      <c r="O2538" s="8"/>
      <c r="P2538" s="4" t="str">
        <f>VLOOKUP($B2538,'D7 - NDB Impacted SPRF''s'!$E$16:$O$9929,9,FALSE)</f>
        <v>N</v>
      </c>
      <c r="Q2538" s="4" t="str">
        <f>VLOOKUP($B2538,'D7 - NDB Impacted SPRF''s'!$E$16:$O$9929,10,FALSE)</f>
        <v>N</v>
      </c>
      <c r="R2538" s="4" t="str">
        <f>VLOOKUP($B2538,'D7 - NDB Impacted SPRF''s'!$E$16:$O$9929,11,FALSE)</f>
        <v>N</v>
      </c>
      <c r="S2538" s="8"/>
      <c r="T2538" s="310"/>
      <c r="U2538" s="310"/>
      <c r="V2538" s="4"/>
      <c r="W2538" s="4"/>
      <c r="X2538" s="4"/>
      <c r="Y2538" s="4"/>
      <c r="Z2538" s="4"/>
      <c r="AA2538" s="4"/>
      <c r="AB2538" s="380" t="str">
        <f>VLOOKUP($B2538,'D7 - NDB Impacted SPRF''s'!$E$16:$O$9929,4,FALSE)</f>
        <v>Cancelled</v>
      </c>
      <c r="AC2538" s="380" t="str">
        <f>VLOOKUP($B2538,'D7 - NDB Impacted SPRF''s'!$E$16:$O$9929,3,FALSE)</f>
        <v>Uniprise</v>
      </c>
      <c r="AD2538" s="380" t="str">
        <f>VLOOKUP($B2538,'D7 - NDB Impacted SPRF''s'!$E$16:$O$9929,5,FALSE)</f>
        <v>Uniprise Technologies - Capital Projects</v>
      </c>
      <c r="AE2538" s="380" t="str">
        <f>VLOOKUP($B2538,'D7 - NDB Impacted SPRF''s'!$E$16:$O$9929,7,FALSE)</f>
        <v>Kathi Norman</v>
      </c>
      <c r="AF2538" s="380" t="str">
        <f>VLOOKUP($B2538,'D7 - NDB Impacted SPRF''s'!$E$16:$O$9929,6,FALSE)</f>
        <v>TASHA LEDDY</v>
      </c>
      <c r="AG2538" s="282" t="s">
        <v>7755</v>
      </c>
      <c r="AH2538" s="311" t="e">
        <f>INDEX('D5 - Gatekeeper - Projects'!$A$4:$AF$1010,$AM2538, 17)</f>
        <v>#N/A</v>
      </c>
      <c r="AI2538" s="8"/>
      <c r="AJ2538" s="57"/>
      <c r="AK2538" s="105"/>
      <c r="AL2538" s="216"/>
      <c r="AM2538" s="6" t="e">
        <f>MATCH(D2538,'D5 - Gatekeeper - Projects'!$C$4:$C$1010,0)</f>
        <v>#N/A</v>
      </c>
      <c r="AN2538" s="6" t="b">
        <f t="shared" si="265"/>
        <v>1</v>
      </c>
      <c r="AO2538" s="6" t="str">
        <f t="shared" si="266"/>
        <v>OK</v>
      </c>
      <c r="AQ2538" s="6" t="e">
        <f>MATCH($D2538,'D4 - Provider Council Unsched'!$C$11:$C$234,0)</f>
        <v>#N/A</v>
      </c>
      <c r="AR2538" s="6" t="b">
        <f t="shared" si="267"/>
        <v>1</v>
      </c>
      <c r="AS2538" s="6" t="str">
        <f t="shared" si="264"/>
        <v>OK</v>
      </c>
      <c r="AU2538" s="202"/>
      <c r="AV2538" s="262"/>
      <c r="AW2538" s="274"/>
    </row>
    <row r="2539" spans="1:49" s="13" customFormat="1" ht="45" x14ac:dyDescent="0.2">
      <c r="A2539" s="14">
        <v>2515</v>
      </c>
      <c r="B2539" s="14">
        <v>400007597</v>
      </c>
      <c r="C2539" s="8" t="s">
        <v>3793</v>
      </c>
      <c r="D2539" s="4" t="str">
        <f t="shared" si="268"/>
        <v>400007597U</v>
      </c>
      <c r="E2539" s="309" t="str">
        <f>VLOOKUP($B2539,'D7 - NDB Impacted SPRF''s'!$E$6:$O$9929,2,FALSE)</f>
        <v>NDB Parallel Sysplex</v>
      </c>
      <c r="F2539" s="8" t="s">
        <v>8133</v>
      </c>
      <c r="G2539" s="8" t="s">
        <v>4758</v>
      </c>
      <c r="H2539" s="8" t="s">
        <v>2870</v>
      </c>
      <c r="I2539" s="20">
        <v>11.07</v>
      </c>
      <c r="J2539" s="8" t="s">
        <v>4862</v>
      </c>
      <c r="K2539" s="182"/>
      <c r="L2539" s="8" t="s">
        <v>6919</v>
      </c>
      <c r="M2539" s="8" t="s">
        <v>2814</v>
      </c>
      <c r="N2539" s="38" t="s">
        <v>4015</v>
      </c>
      <c r="O2539" s="8"/>
      <c r="P2539" s="4" t="str">
        <f>VLOOKUP($B2539,'D7 - NDB Impacted SPRF''s'!$E$16:$O$9929,9,FALSE)</f>
        <v>N</v>
      </c>
      <c r="Q2539" s="4" t="str">
        <f>VLOOKUP($B2539,'D7 - NDB Impacted SPRF''s'!$E$16:$O$9929,10,FALSE)</f>
        <v>N</v>
      </c>
      <c r="R2539" s="4" t="str">
        <f>VLOOKUP($B2539,'D7 - NDB Impacted SPRF''s'!$E$16:$O$9929,11,FALSE)</f>
        <v>N</v>
      </c>
      <c r="S2539" s="8"/>
      <c r="T2539" s="310"/>
      <c r="U2539" s="310"/>
      <c r="V2539" s="4"/>
      <c r="W2539" s="4"/>
      <c r="X2539" s="4"/>
      <c r="Y2539" s="4"/>
      <c r="Z2539" s="4"/>
      <c r="AA2539" s="4"/>
      <c r="AB2539" s="380" t="str">
        <f>VLOOKUP($B2539,'D7 - NDB Impacted SPRF''s'!$E$16:$O$9929,4,FALSE)</f>
        <v>Cancelled</v>
      </c>
      <c r="AC2539" s="380" t="str">
        <f>VLOOKUP($B2539,'D7 - NDB Impacted SPRF''s'!$E$16:$O$9929,3,FALSE)</f>
        <v>Uniprise</v>
      </c>
      <c r="AD2539" s="380" t="str">
        <f>VLOOKUP($B2539,'D7 - NDB Impacted SPRF''s'!$E$16:$O$9929,5,FALSE)</f>
        <v>Uniprise Technologies - Capital Projects</v>
      </c>
      <c r="AE2539" s="380" t="str">
        <f>VLOOKUP($B2539,'D7 - NDB Impacted SPRF''s'!$E$16:$O$9929,7,FALSE)</f>
        <v>Kathi Norman</v>
      </c>
      <c r="AF2539" s="380" t="str">
        <f>VLOOKUP($B2539,'D7 - NDB Impacted SPRF''s'!$E$16:$O$9929,6,FALSE)</f>
        <v>TASHA LEDDY</v>
      </c>
      <c r="AG2539" s="282" t="s">
        <v>7755</v>
      </c>
      <c r="AH2539" s="311" t="e">
        <f>INDEX('D5 - Gatekeeper - Projects'!$A$4:$AF$1010,$AM2539, 17)</f>
        <v>#N/A</v>
      </c>
      <c r="AI2539" s="8"/>
      <c r="AJ2539" s="57"/>
      <c r="AK2539" s="105"/>
      <c r="AM2539" s="6" t="e">
        <f>MATCH(D2539,'D5 - Gatekeeper - Projects'!$C$4:$C$1010,0)</f>
        <v>#N/A</v>
      </c>
      <c r="AN2539" s="6" t="b">
        <f t="shared" si="265"/>
        <v>1</v>
      </c>
      <c r="AO2539" s="6" t="str">
        <f t="shared" si="266"/>
        <v>OK</v>
      </c>
      <c r="AQ2539" s="6" t="e">
        <f>MATCH($D2539,'D4 - Provider Council Unsched'!$C$11:$C$234,0)</f>
        <v>#N/A</v>
      </c>
      <c r="AR2539" s="6" t="b">
        <f t="shared" si="267"/>
        <v>1</v>
      </c>
      <c r="AS2539" s="6" t="str">
        <f t="shared" si="264"/>
        <v>OK</v>
      </c>
      <c r="AU2539" s="202"/>
      <c r="AV2539" s="262"/>
      <c r="AW2539" s="274"/>
    </row>
    <row r="2540" spans="1:49" s="13" customFormat="1" ht="22.5" x14ac:dyDescent="0.2">
      <c r="A2540" s="14">
        <v>2516</v>
      </c>
      <c r="B2540" s="14">
        <v>400007650</v>
      </c>
      <c r="C2540" s="8" t="s">
        <v>5197</v>
      </c>
      <c r="D2540" s="4" t="str">
        <f t="shared" si="268"/>
        <v>400007650R1</v>
      </c>
      <c r="E2540" s="309" t="str">
        <f>VLOOKUP($B2540,'D7 - NDB Impacted SPRF''s'!$E$6:$O$9929,2,FALSE)</f>
        <v>SL Modifier Enhancement</v>
      </c>
      <c r="F2540" s="8"/>
      <c r="G2540" s="8" t="s">
        <v>4758</v>
      </c>
      <c r="H2540" s="8" t="s">
        <v>2870</v>
      </c>
      <c r="I2540" s="20"/>
      <c r="J2540" s="8"/>
      <c r="K2540" s="182"/>
      <c r="L2540" s="8" t="s">
        <v>6164</v>
      </c>
      <c r="M2540" s="8" t="s">
        <v>2814</v>
      </c>
      <c r="N2540" s="367"/>
      <c r="O2540" s="8"/>
      <c r="P2540" s="4" t="str">
        <f>VLOOKUP($B2540,'D7 - NDB Impacted SPRF''s'!$E$16:$O$9929,9,FALSE)</f>
        <v>Y</v>
      </c>
      <c r="Q2540" s="4" t="str">
        <f>VLOOKUP($B2540,'D7 - NDB Impacted SPRF''s'!$E$16:$O$9929,10,FALSE)</f>
        <v>N</v>
      </c>
      <c r="R2540" s="4" t="str">
        <f>VLOOKUP($B2540,'D7 - NDB Impacted SPRF''s'!$E$16:$O$9929,11,FALSE)</f>
        <v>N</v>
      </c>
      <c r="S2540" s="8"/>
      <c r="T2540" s="310"/>
      <c r="U2540" s="310"/>
      <c r="V2540" s="4"/>
      <c r="W2540" s="4"/>
      <c r="X2540" s="4"/>
      <c r="Y2540" s="4"/>
      <c r="Z2540" s="4"/>
      <c r="AA2540" s="4"/>
      <c r="AB2540" s="380" t="str">
        <f>VLOOKUP($B2540,'D7 - NDB Impacted SPRF''s'!$E$16:$O$9929,4,FALSE)</f>
        <v>Cancelled</v>
      </c>
      <c r="AC2540" s="380" t="str">
        <f>VLOOKUP($B2540,'D7 - NDB Impacted SPRF''s'!$E$16:$O$9929,3,FALSE)</f>
        <v>UHG Corporate</v>
      </c>
      <c r="AD2540" s="380" t="str">
        <f>VLOOKUP($B2540,'D7 - NDB Impacted SPRF''s'!$E$16:$O$9929,5,FALSE)</f>
        <v>Harvard Pilgrim - UHG Passport Alliance</v>
      </c>
      <c r="AE2540" s="380" t="str">
        <f>VLOOKUP($B2540,'D7 - NDB Impacted SPRF''s'!$E$16:$O$9929,7,FALSE)</f>
        <v>Peter Bompane</v>
      </c>
      <c r="AF2540" s="380" t="str">
        <f>VLOOKUP($B2540,'D7 - NDB Impacted SPRF''s'!$E$16:$O$9929,6,FALSE)</f>
        <v>SEAN WATKINS</v>
      </c>
      <c r="AG2540" s="282"/>
      <c r="AH2540" s="311" t="e">
        <f>INDEX('D5 - Gatekeeper - Projects'!$A$4:$AF$1010,$AM2540, 17)</f>
        <v>#N/A</v>
      </c>
      <c r="AI2540" s="8"/>
      <c r="AJ2540" s="57"/>
      <c r="AK2540" s="105"/>
      <c r="AM2540" s="6" t="e">
        <f>MATCH(D2540,'D5 - Gatekeeper - Projects'!$C$4:$C$1010,0)</f>
        <v>#N/A</v>
      </c>
      <c r="AN2540" s="6" t="b">
        <f t="shared" si="265"/>
        <v>1</v>
      </c>
      <c r="AO2540" s="6" t="str">
        <f t="shared" si="266"/>
        <v>OK</v>
      </c>
      <c r="AQ2540" s="6" t="e">
        <f>MATCH($D2540,'D4 - Provider Council Unsched'!$C$11:$C$234,0)</f>
        <v>#N/A</v>
      </c>
      <c r="AR2540" s="6" t="b">
        <f t="shared" si="267"/>
        <v>1</v>
      </c>
      <c r="AS2540" s="6" t="str">
        <f t="shared" si="264"/>
        <v>OK</v>
      </c>
      <c r="AU2540" s="202"/>
      <c r="AV2540" s="262"/>
      <c r="AW2540" s="274"/>
    </row>
    <row r="2541" spans="1:49" s="13" customFormat="1" ht="22.5" x14ac:dyDescent="0.2">
      <c r="A2541" s="14">
        <v>2517</v>
      </c>
      <c r="B2541" s="14">
        <v>400007651</v>
      </c>
      <c r="C2541" s="8" t="s">
        <v>5197</v>
      </c>
      <c r="D2541" s="4" t="str">
        <f t="shared" si="268"/>
        <v>400007651R1</v>
      </c>
      <c r="E2541" s="309" t="str">
        <f>VLOOKUP($B2541,'D7 - NDB Impacted SPRF''s'!$E$6:$O$9929,2,FALSE)</f>
        <v>CICTCE1 System Test Region</v>
      </c>
      <c r="F2541" s="8" t="s">
        <v>8133</v>
      </c>
      <c r="G2541" s="8" t="s">
        <v>4758</v>
      </c>
      <c r="H2541" s="8" t="s">
        <v>2870</v>
      </c>
      <c r="I2541" s="20"/>
      <c r="J2541" s="8"/>
      <c r="K2541" s="182"/>
      <c r="L2541" s="8" t="s">
        <v>6164</v>
      </c>
      <c r="M2541" s="8" t="s">
        <v>2814</v>
      </c>
      <c r="N2541" s="367"/>
      <c r="O2541" s="8"/>
      <c r="P2541" s="4" t="str">
        <f>VLOOKUP($B2541,'D7 - NDB Impacted SPRF''s'!$E$16:$O$9929,9,FALSE)</f>
        <v>Y</v>
      </c>
      <c r="Q2541" s="4" t="str">
        <f>VLOOKUP($B2541,'D7 - NDB Impacted SPRF''s'!$E$16:$O$9929,10,FALSE)</f>
        <v>N</v>
      </c>
      <c r="R2541" s="4" t="str">
        <f>VLOOKUP($B2541,'D7 - NDB Impacted SPRF''s'!$E$16:$O$9929,11,FALSE)</f>
        <v>N</v>
      </c>
      <c r="S2541" s="8"/>
      <c r="T2541" s="310"/>
      <c r="U2541" s="310"/>
      <c r="V2541" s="4"/>
      <c r="W2541" s="4"/>
      <c r="X2541" s="4"/>
      <c r="Y2541" s="4"/>
      <c r="Z2541" s="4"/>
      <c r="AA2541" s="4"/>
      <c r="AB2541" s="380" t="str">
        <f>VLOOKUP($B2541,'D7 - NDB Impacted SPRF''s'!$E$16:$O$9929,4,FALSE)</f>
        <v>Cancelled</v>
      </c>
      <c r="AC2541" s="380" t="str">
        <f>VLOOKUP($B2541,'D7 - NDB Impacted SPRF''s'!$E$16:$O$9929,3,FALSE)</f>
        <v>Uniprise</v>
      </c>
      <c r="AD2541" s="380" t="str">
        <f>VLOOKUP($B2541,'D7 - NDB Impacted SPRF''s'!$E$16:$O$9929,5,FALSE)</f>
        <v>Uniprise Technologies - DDC</v>
      </c>
      <c r="AE2541" s="380" t="str">
        <f>VLOOKUP($B2541,'D7 - NDB Impacted SPRF''s'!$E$16:$O$9929,7,FALSE)</f>
        <v>Pat Casey</v>
      </c>
      <c r="AF2541" s="380" t="str">
        <f>VLOOKUP($B2541,'D7 - NDB Impacted SPRF''s'!$E$16:$O$9929,6,FALSE)</f>
        <v>CATHERINE DUMAS</v>
      </c>
      <c r="AG2541" s="282"/>
      <c r="AH2541" s="311" t="e">
        <f>INDEX('D5 - Gatekeeper - Projects'!$A$4:$AF$1010,$AM2541, 17)</f>
        <v>#N/A</v>
      </c>
      <c r="AI2541" s="8"/>
      <c r="AJ2541" s="57"/>
      <c r="AK2541" s="105"/>
      <c r="AM2541" s="6" t="e">
        <f>MATCH(D2541,'D5 - Gatekeeper - Projects'!$C$4:$C$1010,0)</f>
        <v>#N/A</v>
      </c>
      <c r="AN2541" s="6" t="b">
        <f t="shared" si="265"/>
        <v>1</v>
      </c>
      <c r="AO2541" s="6" t="str">
        <f t="shared" si="266"/>
        <v>OK</v>
      </c>
      <c r="AQ2541" s="6" t="e">
        <f>MATCH($D2541,'D4 - Provider Council Unsched'!$C$11:$C$234,0)</f>
        <v>#N/A</v>
      </c>
      <c r="AR2541" s="6" t="b">
        <f t="shared" si="267"/>
        <v>1</v>
      </c>
      <c r="AS2541" s="6" t="str">
        <f t="shared" si="264"/>
        <v>OK</v>
      </c>
      <c r="AU2541" s="202"/>
      <c r="AV2541" s="262"/>
      <c r="AW2541" s="274"/>
    </row>
    <row r="2542" spans="1:49" s="13" customFormat="1" ht="33.75" x14ac:dyDescent="0.2">
      <c r="A2542" s="14">
        <v>2518</v>
      </c>
      <c r="B2542" s="14">
        <v>400007711</v>
      </c>
      <c r="C2542" s="8" t="s">
        <v>5197</v>
      </c>
      <c r="D2542" s="4" t="str">
        <f t="shared" si="268"/>
        <v>400007711R1</v>
      </c>
      <c r="E2542" s="309" t="str">
        <f>VLOOKUP($B2542,'D7 - NDB Impacted SPRF''s'!$E$6:$O$9929,2,FALSE)</f>
        <v>OTS Phases 2 and 3</v>
      </c>
      <c r="F2542" s="8" t="s">
        <v>5096</v>
      </c>
      <c r="G2542" s="8" t="s">
        <v>4758</v>
      </c>
      <c r="H2542" s="8" t="s">
        <v>2870</v>
      </c>
      <c r="I2542" s="20">
        <v>11.07</v>
      </c>
      <c r="J2542" s="8" t="s">
        <v>4862</v>
      </c>
      <c r="K2542" s="182"/>
      <c r="L2542" s="8" t="s">
        <v>4156</v>
      </c>
      <c r="M2542" s="8" t="s">
        <v>2814</v>
      </c>
      <c r="N2542" s="367" t="s">
        <v>5190</v>
      </c>
      <c r="O2542" s="8"/>
      <c r="P2542" s="4" t="str">
        <f>VLOOKUP($B2542,'D7 - NDB Impacted SPRF''s'!$E$16:$O$9929,9,FALSE)</f>
        <v>Y</v>
      </c>
      <c r="Q2542" s="4" t="str">
        <f>VLOOKUP($B2542,'D7 - NDB Impacted SPRF''s'!$E$16:$O$9929,10,FALSE)</f>
        <v>N</v>
      </c>
      <c r="R2542" s="4" t="str">
        <f>VLOOKUP($B2542,'D7 - NDB Impacted SPRF''s'!$E$16:$O$9929,11,FALSE)</f>
        <v>N</v>
      </c>
      <c r="S2542" s="8"/>
      <c r="T2542" s="310"/>
      <c r="U2542" s="310"/>
      <c r="V2542" s="4"/>
      <c r="W2542" s="4"/>
      <c r="X2542" s="4"/>
      <c r="Y2542" s="4"/>
      <c r="Z2542" s="4"/>
      <c r="AA2542" s="4"/>
      <c r="AB2542" s="380" t="str">
        <f>VLOOKUP($B2542,'D7 - NDB Impacted SPRF''s'!$E$16:$O$9929,4,FALSE)</f>
        <v>Cancelled</v>
      </c>
      <c r="AC2542" s="380" t="str">
        <f>VLOOKUP($B2542,'D7 - NDB Impacted SPRF''s'!$E$16:$O$9929,3,FALSE)</f>
        <v>UnitedHealthcare Employer &amp; Individual</v>
      </c>
      <c r="AD2542" s="380" t="str">
        <f>VLOOKUP($B2542,'D7 - NDB Impacted SPRF''s'!$E$16:$O$9929,5,FALSE)</f>
        <v>Key Initiatives Group</v>
      </c>
      <c r="AE2542" s="380" t="str">
        <f>VLOOKUP($B2542,'D7 - NDB Impacted SPRF''s'!$E$16:$O$9929,7,FALSE)</f>
        <v>Tim Kaja</v>
      </c>
      <c r="AF2542" s="380" t="str">
        <f>VLOOKUP($B2542,'D7 - NDB Impacted SPRF''s'!$E$16:$O$9929,6,FALSE)</f>
        <v>Robert Starman</v>
      </c>
      <c r="AG2542" s="282"/>
      <c r="AH2542" s="311" t="e">
        <f>INDEX('D5 - Gatekeeper - Projects'!$A$4:$AF$1010,$AM2542, 17)</f>
        <v>#N/A</v>
      </c>
      <c r="AI2542" s="8"/>
      <c r="AJ2542" s="57"/>
      <c r="AK2542" s="105"/>
      <c r="AM2542" s="6" t="e">
        <f>MATCH(D2542,'D5 - Gatekeeper - Projects'!$C$4:$C$1010,0)</f>
        <v>#N/A</v>
      </c>
      <c r="AN2542" s="6" t="b">
        <f t="shared" si="265"/>
        <v>1</v>
      </c>
      <c r="AO2542" s="6" t="str">
        <f t="shared" si="266"/>
        <v>OK</v>
      </c>
      <c r="AQ2542" s="6" t="e">
        <f>MATCH($D2542,'D4 - Provider Council Unsched'!$C$11:$C$234,0)</f>
        <v>#N/A</v>
      </c>
      <c r="AR2542" s="6" t="b">
        <f t="shared" si="267"/>
        <v>1</v>
      </c>
      <c r="AS2542" s="6" t="str">
        <f t="shared" si="264"/>
        <v>OK</v>
      </c>
      <c r="AU2542" s="202"/>
      <c r="AV2542" s="262"/>
      <c r="AW2542" s="274"/>
    </row>
    <row r="2543" spans="1:49" s="13" customFormat="1" ht="33.75" x14ac:dyDescent="0.2">
      <c r="A2543" s="14">
        <v>2519</v>
      </c>
      <c r="B2543" s="14">
        <v>400007745</v>
      </c>
      <c r="C2543" s="8" t="s">
        <v>5197</v>
      </c>
      <c r="D2543" s="4" t="str">
        <f t="shared" si="268"/>
        <v>400007745R1</v>
      </c>
      <c r="E2543" s="309" t="str">
        <f>VLOOKUP($B2543,'D7 - NDB Impacted SPRF''s'!$E$6:$O$9929,2,FALSE)</f>
        <v>Modify ORBIT Fee Schedule Code and Dollar List Rpt</v>
      </c>
      <c r="F2543" s="8"/>
      <c r="G2543" s="8" t="s">
        <v>4758</v>
      </c>
      <c r="H2543" s="8" t="s">
        <v>2870</v>
      </c>
      <c r="I2543" s="20"/>
      <c r="J2543" s="8"/>
      <c r="K2543" s="182"/>
      <c r="L2543" s="8" t="s">
        <v>6164</v>
      </c>
      <c r="M2543" s="8" t="s">
        <v>2814</v>
      </c>
      <c r="N2543" s="367"/>
      <c r="O2543" s="8"/>
      <c r="P2543" s="4" t="str">
        <f>VLOOKUP($B2543,'D7 - NDB Impacted SPRF''s'!$E$16:$O$9929,9,FALSE)</f>
        <v>N</v>
      </c>
      <c r="Q2543" s="4" t="str">
        <f>VLOOKUP($B2543,'D7 - NDB Impacted SPRF''s'!$E$16:$O$9929,10,FALSE)</f>
        <v>N</v>
      </c>
      <c r="R2543" s="4" t="str">
        <f>VLOOKUP($B2543,'D7 - NDB Impacted SPRF''s'!$E$16:$O$9929,11,FALSE)</f>
        <v>N</v>
      </c>
      <c r="S2543" s="8"/>
      <c r="T2543" s="310"/>
      <c r="U2543" s="310"/>
      <c r="V2543" s="4"/>
      <c r="W2543" s="4"/>
      <c r="X2543" s="4"/>
      <c r="Y2543" s="4"/>
      <c r="Z2543" s="4"/>
      <c r="AA2543" s="4"/>
      <c r="AB2543" s="380" t="str">
        <f>VLOOKUP($B2543,'D7 - NDB Impacted SPRF''s'!$E$16:$O$9929,4,FALSE)</f>
        <v>Cancelled</v>
      </c>
      <c r="AC2543" s="380" t="str">
        <f>VLOOKUP($B2543,'D7 - NDB Impacted SPRF''s'!$E$16:$O$9929,3,FALSE)</f>
        <v>UnitedHealthcare Employer &amp; Individual</v>
      </c>
      <c r="AD2543" s="380" t="str">
        <f>VLOOKUP($B2543,'D7 - NDB Impacted SPRF''s'!$E$16:$O$9929,5,FALSE)</f>
        <v>Operations Group</v>
      </c>
      <c r="AE2543" s="380" t="str">
        <f>VLOOKUP($B2543,'D7 - NDB Impacted SPRF''s'!$E$16:$O$9929,7,FALSE)</f>
        <v>Peter Bompane</v>
      </c>
      <c r="AF2543" s="380" t="str">
        <f>VLOOKUP($B2543,'D7 - NDB Impacted SPRF''s'!$E$16:$O$9929,6,FALSE)</f>
        <v>ELIZABETH Young</v>
      </c>
      <c r="AG2543" s="282"/>
      <c r="AH2543" s="311" t="e">
        <f>INDEX('D5 - Gatekeeper - Projects'!$A$4:$AF$1010,$AM2543, 17)</f>
        <v>#N/A</v>
      </c>
      <c r="AI2543" s="8"/>
      <c r="AJ2543" s="57"/>
      <c r="AK2543" s="105"/>
      <c r="AM2543" s="6" t="e">
        <f>MATCH(D2543,'D5 - Gatekeeper - Projects'!$C$4:$C$1010,0)</f>
        <v>#N/A</v>
      </c>
      <c r="AN2543" s="6" t="b">
        <f t="shared" si="265"/>
        <v>1</v>
      </c>
      <c r="AO2543" s="6" t="str">
        <f t="shared" si="266"/>
        <v>OK</v>
      </c>
      <c r="AQ2543" s="6" t="e">
        <f>MATCH($D2543,'D4 - Provider Council Unsched'!$C$11:$C$234,0)</f>
        <v>#N/A</v>
      </c>
      <c r="AR2543" s="6" t="b">
        <f t="shared" si="267"/>
        <v>1</v>
      </c>
      <c r="AS2543" s="6" t="str">
        <f t="shared" si="264"/>
        <v>OK</v>
      </c>
      <c r="AU2543" s="202"/>
      <c r="AV2543" s="262"/>
      <c r="AW2543" s="274"/>
    </row>
    <row r="2544" spans="1:49" s="13" customFormat="1" ht="33.75" x14ac:dyDescent="0.2">
      <c r="A2544" s="14">
        <v>2520</v>
      </c>
      <c r="B2544" s="14">
        <v>400007796</v>
      </c>
      <c r="C2544" s="8" t="s">
        <v>5197</v>
      </c>
      <c r="D2544" s="4" t="str">
        <f t="shared" si="268"/>
        <v>400007796R1</v>
      </c>
      <c r="E2544" s="309" t="str">
        <f>VLOOKUP($B2544,'D7 - NDB Impacted SPRF''s'!$E$6:$O$9929,2,FALSE)</f>
        <v>develop "single screen concept" of NDB</v>
      </c>
      <c r="F2544" s="8" t="s">
        <v>6632</v>
      </c>
      <c r="G2544" s="8" t="s">
        <v>4758</v>
      </c>
      <c r="H2544" s="8" t="s">
        <v>2870</v>
      </c>
      <c r="I2544" s="20"/>
      <c r="J2544" s="8"/>
      <c r="K2544" s="182"/>
      <c r="L2544" s="8" t="s">
        <v>6164</v>
      </c>
      <c r="M2544" s="8" t="s">
        <v>2814</v>
      </c>
      <c r="N2544" s="367"/>
      <c r="O2544" s="8"/>
      <c r="P2544" s="4" t="str">
        <f>VLOOKUP($B2544,'D7 - NDB Impacted SPRF''s'!$E$16:$O$9929,9,FALSE)</f>
        <v>Y</v>
      </c>
      <c r="Q2544" s="4" t="str">
        <f>VLOOKUP($B2544,'D7 - NDB Impacted SPRF''s'!$E$16:$O$9929,10,FALSE)</f>
        <v>N</v>
      </c>
      <c r="R2544" s="4" t="str">
        <f>VLOOKUP($B2544,'D7 - NDB Impacted SPRF''s'!$E$16:$O$9929,11,FALSE)</f>
        <v>N</v>
      </c>
      <c r="S2544" s="8"/>
      <c r="T2544" s="310"/>
      <c r="U2544" s="310"/>
      <c r="V2544" s="4"/>
      <c r="W2544" s="4"/>
      <c r="X2544" s="4"/>
      <c r="Y2544" s="4"/>
      <c r="Z2544" s="4"/>
      <c r="AA2544" s="4"/>
      <c r="AB2544" s="380" t="str">
        <f>VLOOKUP($B2544,'D7 - NDB Impacted SPRF''s'!$E$16:$O$9929,4,FALSE)</f>
        <v>Cancelled</v>
      </c>
      <c r="AC2544" s="380" t="str">
        <f>VLOOKUP($B2544,'D7 - NDB Impacted SPRF''s'!$E$16:$O$9929,3,FALSE)</f>
        <v>UnitedHealthcare Employer &amp; Individual</v>
      </c>
      <c r="AD2544" s="380" t="str">
        <f>VLOOKUP($B2544,'D7 - NDB Impacted SPRF''s'!$E$16:$O$9929,5,FALSE)</f>
        <v>Operations Group</v>
      </c>
      <c r="AE2544" s="380" t="str">
        <f>VLOOKUP($B2544,'D7 - NDB Impacted SPRF''s'!$E$16:$O$9929,7,FALSE)</f>
        <v>peter bompane</v>
      </c>
      <c r="AF2544" s="380" t="str">
        <f>VLOOKUP($B2544,'D7 - NDB Impacted SPRF''s'!$E$16:$O$9929,6,FALSE)</f>
        <v>Patrick Schwartz</v>
      </c>
      <c r="AG2544" s="282"/>
      <c r="AH2544" s="311" t="e">
        <f>INDEX('D5 - Gatekeeper - Projects'!$A$4:$AF$1010,$AM2544, 17)</f>
        <v>#N/A</v>
      </c>
      <c r="AI2544" s="8"/>
      <c r="AJ2544" s="57"/>
      <c r="AK2544" s="105"/>
      <c r="AM2544" s="6" t="e">
        <f>MATCH(D2544,'D5 - Gatekeeper - Projects'!$C$4:$C$1010,0)</f>
        <v>#N/A</v>
      </c>
      <c r="AN2544" s="6" t="b">
        <f t="shared" si="265"/>
        <v>1</v>
      </c>
      <c r="AO2544" s="6" t="str">
        <f t="shared" si="266"/>
        <v>OK</v>
      </c>
      <c r="AQ2544" s="6" t="e">
        <f>MATCH($D2544,'D4 - Provider Council Unsched'!$C$11:$C$234,0)</f>
        <v>#N/A</v>
      </c>
      <c r="AR2544" s="6" t="b">
        <f t="shared" si="267"/>
        <v>1</v>
      </c>
      <c r="AS2544" s="6" t="str">
        <f t="shared" si="264"/>
        <v>OK</v>
      </c>
      <c r="AU2544" s="202"/>
      <c r="AV2544" s="262"/>
      <c r="AW2544" s="274"/>
    </row>
    <row r="2545" spans="1:49" s="13" customFormat="1" ht="22.5" x14ac:dyDescent="0.2">
      <c r="A2545" s="14">
        <v>2521</v>
      </c>
      <c r="B2545" s="14">
        <v>400007827</v>
      </c>
      <c r="C2545" s="8" t="s">
        <v>5197</v>
      </c>
      <c r="D2545" s="4" t="str">
        <f t="shared" si="268"/>
        <v>400007827R1</v>
      </c>
      <c r="E2545" s="309" t="str">
        <f>VLOOKUP($B2545,'D7 - NDB Impacted SPRF''s'!$E$6:$O$9929,2,FALSE)</f>
        <v>UDP Adoption</v>
      </c>
      <c r="F2545" s="8"/>
      <c r="G2545" s="8" t="s">
        <v>4758</v>
      </c>
      <c r="H2545" s="8" t="s">
        <v>2870</v>
      </c>
      <c r="I2545" s="20"/>
      <c r="J2545" s="8"/>
      <c r="K2545" s="182"/>
      <c r="L2545" s="8" t="s">
        <v>6164</v>
      </c>
      <c r="M2545" s="8" t="s">
        <v>2814</v>
      </c>
      <c r="N2545" s="367"/>
      <c r="O2545" s="8"/>
      <c r="P2545" s="4" t="str">
        <f>VLOOKUP($B2545,'D7 - NDB Impacted SPRF''s'!$E$16:$O$9929,9,FALSE)</f>
        <v>Y</v>
      </c>
      <c r="Q2545" s="4" t="str">
        <f>VLOOKUP($B2545,'D7 - NDB Impacted SPRF''s'!$E$16:$O$9929,10,FALSE)</f>
        <v>N</v>
      </c>
      <c r="R2545" s="4" t="str">
        <f>VLOOKUP($B2545,'D7 - NDB Impacted SPRF''s'!$E$16:$O$9929,11,FALSE)</f>
        <v>N</v>
      </c>
      <c r="S2545" s="8"/>
      <c r="T2545" s="310"/>
      <c r="U2545" s="310"/>
      <c r="V2545" s="4"/>
      <c r="W2545" s="4"/>
      <c r="X2545" s="4"/>
      <c r="Y2545" s="4"/>
      <c r="Z2545" s="4"/>
      <c r="AA2545" s="4"/>
      <c r="AB2545" s="380" t="str">
        <f>VLOOKUP($B2545,'D7 - NDB Impacted SPRF''s'!$E$16:$O$9929,4,FALSE)</f>
        <v>Cancelled</v>
      </c>
      <c r="AC2545" s="380" t="str">
        <f>VLOOKUP($B2545,'D7 - NDB Impacted SPRF''s'!$E$16:$O$9929,3,FALSE)</f>
        <v>Uniprise</v>
      </c>
      <c r="AD2545" s="380" t="str">
        <f>VLOOKUP($B2545,'D7 - NDB Impacted SPRF''s'!$E$16:$O$9929,5,FALSE)</f>
        <v>Uniprise Technologies - Capital Projects</v>
      </c>
      <c r="AE2545" s="380" t="str">
        <f>VLOOKUP($B2545,'D7 - NDB Impacted SPRF''s'!$E$16:$O$9929,7,FALSE)</f>
        <v>Kelly Clark</v>
      </c>
      <c r="AF2545" s="380" t="str">
        <f>VLOOKUP($B2545,'D7 - NDB Impacted SPRF''s'!$E$16:$O$9929,6,FALSE)</f>
        <v>MARY COVART</v>
      </c>
      <c r="AG2545" s="282"/>
      <c r="AH2545" s="311" t="e">
        <f>INDEX('D5 - Gatekeeper - Projects'!$A$4:$AF$1010,$AM2545, 17)</f>
        <v>#N/A</v>
      </c>
      <c r="AI2545" s="8"/>
      <c r="AJ2545" s="57"/>
      <c r="AK2545" s="105"/>
      <c r="AM2545" s="6" t="e">
        <f>MATCH(D2545,'D5 - Gatekeeper - Projects'!$C$4:$C$1010,0)</f>
        <v>#N/A</v>
      </c>
      <c r="AN2545" s="6" t="b">
        <f t="shared" si="265"/>
        <v>1</v>
      </c>
      <c r="AO2545" s="6" t="str">
        <f t="shared" si="266"/>
        <v>OK</v>
      </c>
      <c r="AQ2545" s="6" t="e">
        <f>MATCH($D2545,'D4 - Provider Council Unsched'!$C$11:$C$234,0)</f>
        <v>#N/A</v>
      </c>
      <c r="AR2545" s="6" t="b">
        <f t="shared" si="267"/>
        <v>1</v>
      </c>
      <c r="AS2545" s="6" t="str">
        <f t="shared" si="264"/>
        <v>OK</v>
      </c>
      <c r="AU2545" s="202"/>
      <c r="AV2545" s="262"/>
      <c r="AW2545" s="274"/>
    </row>
    <row r="2546" spans="1:49" s="13" customFormat="1" ht="33.75" x14ac:dyDescent="0.2">
      <c r="A2546" s="14">
        <v>2522</v>
      </c>
      <c r="B2546" s="14">
        <v>400007836</v>
      </c>
      <c r="C2546" s="8" t="s">
        <v>5197</v>
      </c>
      <c r="D2546" s="4" t="str">
        <f t="shared" si="268"/>
        <v>400007836R1</v>
      </c>
      <c r="E2546" s="309" t="str">
        <f>VLOOKUP($B2546,'D7 - NDB Impacted SPRF''s'!$E$6:$O$9929,2,FALSE)</f>
        <v>EPDL Pay to Individual Values</v>
      </c>
      <c r="F2546" s="8" t="s">
        <v>4069</v>
      </c>
      <c r="G2546" s="8" t="s">
        <v>4758</v>
      </c>
      <c r="H2546" s="8" t="s">
        <v>2870</v>
      </c>
      <c r="I2546" s="20"/>
      <c r="J2546" s="8"/>
      <c r="K2546" s="182"/>
      <c r="L2546" s="8" t="s">
        <v>6164</v>
      </c>
      <c r="M2546" s="8" t="s">
        <v>2814</v>
      </c>
      <c r="N2546" s="367"/>
      <c r="O2546" s="8"/>
      <c r="P2546" s="4" t="str">
        <f>VLOOKUP($B2546,'D7 - NDB Impacted SPRF''s'!$E$16:$O$9929,9,FALSE)</f>
        <v>N</v>
      </c>
      <c r="Q2546" s="4" t="str">
        <f>VLOOKUP($B2546,'D7 - NDB Impacted SPRF''s'!$E$16:$O$9929,10,FALSE)</f>
        <v>N</v>
      </c>
      <c r="R2546" s="4" t="str">
        <f>VLOOKUP($B2546,'D7 - NDB Impacted SPRF''s'!$E$16:$O$9929,11,FALSE)</f>
        <v>N</v>
      </c>
      <c r="S2546" s="8"/>
      <c r="T2546" s="310"/>
      <c r="U2546" s="310"/>
      <c r="V2546" s="4"/>
      <c r="W2546" s="4"/>
      <c r="X2546" s="4"/>
      <c r="Y2546" s="4"/>
      <c r="Z2546" s="4"/>
      <c r="AA2546" s="4"/>
      <c r="AB2546" s="380" t="str">
        <f>VLOOKUP($B2546,'D7 - NDB Impacted SPRF''s'!$E$16:$O$9929,4,FALSE)</f>
        <v>Cancelled</v>
      </c>
      <c r="AC2546" s="380" t="str">
        <f>VLOOKUP($B2546,'D7 - NDB Impacted SPRF''s'!$E$16:$O$9929,3,FALSE)</f>
        <v>UnitedHealthcare Employer &amp; Individual</v>
      </c>
      <c r="AD2546" s="380" t="str">
        <f>VLOOKUP($B2546,'D7 - NDB Impacted SPRF''s'!$E$16:$O$9929,5,FALSE)</f>
        <v>Operations Group</v>
      </c>
      <c r="AE2546" s="380" t="str">
        <f>VLOOKUP($B2546,'D7 - NDB Impacted SPRF''s'!$E$16:$O$9929,7,FALSE)</f>
        <v>Peter Bompane</v>
      </c>
      <c r="AF2546" s="380" t="str">
        <f>VLOOKUP($B2546,'D7 - NDB Impacted SPRF''s'!$E$16:$O$9929,6,FALSE)</f>
        <v>Barbara Dickson</v>
      </c>
      <c r="AG2546" s="282"/>
      <c r="AH2546" s="311" t="e">
        <f>INDEX('D5 - Gatekeeper - Projects'!$A$4:$AF$1010,$AM2546, 17)</f>
        <v>#N/A</v>
      </c>
      <c r="AI2546" s="8"/>
      <c r="AJ2546" s="57"/>
      <c r="AK2546" s="105"/>
      <c r="AM2546" s="6" t="e">
        <f>MATCH(D2546,'D5 - Gatekeeper - Projects'!$C$4:$C$1010,0)</f>
        <v>#N/A</v>
      </c>
      <c r="AN2546" s="6" t="b">
        <f t="shared" si="265"/>
        <v>1</v>
      </c>
      <c r="AO2546" s="6" t="str">
        <f t="shared" si="266"/>
        <v>OK</v>
      </c>
      <c r="AQ2546" s="6" t="e">
        <f>MATCH($D2546,'D4 - Provider Council Unsched'!$C$11:$C$234,0)</f>
        <v>#N/A</v>
      </c>
      <c r="AR2546" s="6" t="b">
        <f t="shared" si="267"/>
        <v>1</v>
      </c>
      <c r="AS2546" s="6" t="str">
        <f t="shared" si="264"/>
        <v>OK</v>
      </c>
      <c r="AU2546" s="202"/>
      <c r="AV2546" s="262"/>
      <c r="AW2546" s="274"/>
    </row>
    <row r="2547" spans="1:49" s="13" customFormat="1" x14ac:dyDescent="0.2">
      <c r="A2547" s="14">
        <v>2523</v>
      </c>
      <c r="B2547" s="14">
        <v>400007994</v>
      </c>
      <c r="C2547" s="8" t="s">
        <v>5197</v>
      </c>
      <c r="D2547" s="4" t="str">
        <f t="shared" si="268"/>
        <v>400007994R1</v>
      </c>
      <c r="E2547" s="309" t="str">
        <f>VLOOKUP($B2547,'D7 - NDB Impacted SPRF''s'!$E$6:$O$9929,2,FALSE)</f>
        <v>PHP of MI - Claims Repricer</v>
      </c>
      <c r="F2547" s="8" t="s">
        <v>5228</v>
      </c>
      <c r="G2547" s="8" t="s">
        <v>4758</v>
      </c>
      <c r="H2547" s="8" t="s">
        <v>2870</v>
      </c>
      <c r="I2547" s="20"/>
      <c r="J2547" s="8"/>
      <c r="K2547" s="182"/>
      <c r="L2547" s="8" t="s">
        <v>6164</v>
      </c>
      <c r="M2547" s="8" t="s">
        <v>2814</v>
      </c>
      <c r="N2547" s="367"/>
      <c r="O2547" s="8"/>
      <c r="P2547" s="4" t="str">
        <f>VLOOKUP($B2547,'D7 - NDB Impacted SPRF''s'!$E$16:$O$9929,9,FALSE)</f>
        <v>N</v>
      </c>
      <c r="Q2547" s="4" t="str">
        <f>VLOOKUP($B2547,'D7 - NDB Impacted SPRF''s'!$E$16:$O$9929,10,FALSE)</f>
        <v>N</v>
      </c>
      <c r="R2547" s="4" t="str">
        <f>VLOOKUP($B2547,'D7 - NDB Impacted SPRF''s'!$E$16:$O$9929,11,FALSE)</f>
        <v>N</v>
      </c>
      <c r="S2547" s="8"/>
      <c r="T2547" s="310"/>
      <c r="U2547" s="310"/>
      <c r="V2547" s="4"/>
      <c r="W2547" s="4"/>
      <c r="X2547" s="4"/>
      <c r="Y2547" s="4"/>
      <c r="Z2547" s="4"/>
      <c r="AA2547" s="4"/>
      <c r="AB2547" s="380" t="str">
        <f>VLOOKUP($B2547,'D7 - NDB Impacted SPRF''s'!$E$16:$O$9929,4,FALSE)</f>
        <v>Cancelled</v>
      </c>
      <c r="AC2547" s="380" t="str">
        <f>VLOOKUP($B2547,'D7 - NDB Impacted SPRF''s'!$E$16:$O$9929,3,FALSE)</f>
        <v>Uniprise</v>
      </c>
      <c r="AD2547" s="380" t="str">
        <f>VLOOKUP($B2547,'D7 - NDB Impacted SPRF''s'!$E$16:$O$9929,5,FALSE)</f>
        <v>UOS - DDC</v>
      </c>
      <c r="AE2547" s="380" t="str">
        <f>VLOOKUP($B2547,'D7 - NDB Impacted SPRF''s'!$E$16:$O$9929,7,FALSE)</f>
        <v>Joanne Houck</v>
      </c>
      <c r="AF2547" s="380" t="str">
        <f>VLOOKUP($B2547,'D7 - NDB Impacted SPRF''s'!$E$16:$O$9929,6,FALSE)</f>
        <v>KURT SHERA</v>
      </c>
      <c r="AG2547" s="282"/>
      <c r="AH2547" s="311" t="e">
        <f>INDEX('D5 - Gatekeeper - Projects'!$A$4:$AF$1010,$AM2547, 17)</f>
        <v>#N/A</v>
      </c>
      <c r="AI2547" s="8"/>
      <c r="AJ2547" s="57"/>
      <c r="AK2547" s="105"/>
      <c r="AM2547" s="6" t="e">
        <f>MATCH(D2547,'D5 - Gatekeeper - Projects'!$C$4:$C$1010,0)</f>
        <v>#N/A</v>
      </c>
      <c r="AN2547" s="6" t="b">
        <f t="shared" si="265"/>
        <v>1</v>
      </c>
      <c r="AO2547" s="6" t="str">
        <f t="shared" si="266"/>
        <v>OK</v>
      </c>
      <c r="AQ2547" s="6" t="e">
        <f>MATCH($D2547,'D4 - Provider Council Unsched'!$C$11:$C$234,0)</f>
        <v>#N/A</v>
      </c>
      <c r="AR2547" s="6" t="b">
        <f t="shared" si="267"/>
        <v>1</v>
      </c>
      <c r="AS2547" s="6" t="str">
        <f t="shared" si="264"/>
        <v>OK</v>
      </c>
      <c r="AU2547" s="202"/>
      <c r="AV2547" s="262"/>
      <c r="AW2547" s="274"/>
    </row>
    <row r="2548" spans="1:49" s="13" customFormat="1" x14ac:dyDescent="0.2">
      <c r="A2548" s="14">
        <v>2524</v>
      </c>
      <c r="B2548" s="14">
        <v>400008015</v>
      </c>
      <c r="C2548" s="8" t="s">
        <v>5197</v>
      </c>
      <c r="D2548" s="4" t="str">
        <f t="shared" si="268"/>
        <v>400008015R1</v>
      </c>
      <c r="E2548" s="309" t="e">
        <f>VLOOKUP($B2548,'D7 - NDB Impacted SPRF''s'!$E$6:$O$9929,2,FALSE)</f>
        <v>#N/A</v>
      </c>
      <c r="F2548" s="8" t="s">
        <v>5196</v>
      </c>
      <c r="G2548" s="8" t="s">
        <v>4758</v>
      </c>
      <c r="H2548" s="8" t="s">
        <v>2870</v>
      </c>
      <c r="I2548" s="20">
        <v>0</v>
      </c>
      <c r="J2548" s="8" t="s">
        <v>7113</v>
      </c>
      <c r="K2548" s="182"/>
      <c r="L2548" s="8" t="s">
        <v>4156</v>
      </c>
      <c r="M2548" s="8" t="s">
        <v>2814</v>
      </c>
      <c r="N2548" s="367" t="s">
        <v>5176</v>
      </c>
      <c r="O2548" s="8"/>
      <c r="P2548" s="4" t="e">
        <f>VLOOKUP($B2548,'D7 - NDB Impacted SPRF''s'!$E$16:$O$9929,9,FALSE)</f>
        <v>#N/A</v>
      </c>
      <c r="Q2548" s="4" t="e">
        <f>VLOOKUP($B2548,'D7 - NDB Impacted SPRF''s'!$E$16:$O$9929,10,FALSE)</f>
        <v>#N/A</v>
      </c>
      <c r="R2548" s="4" t="e">
        <f>VLOOKUP($B2548,'D7 - NDB Impacted SPRF''s'!$E$16:$O$9929,11,FALSE)</f>
        <v>#N/A</v>
      </c>
      <c r="S2548" s="8"/>
      <c r="T2548" s="310"/>
      <c r="U2548" s="310"/>
      <c r="V2548" s="4"/>
      <c r="W2548" s="4"/>
      <c r="X2548" s="4"/>
      <c r="Y2548" s="4"/>
      <c r="Z2548" s="4"/>
      <c r="AA2548" s="4"/>
      <c r="AB2548" s="380" t="e">
        <f>VLOOKUP($B2548,'D7 - NDB Impacted SPRF''s'!$E$16:$O$9929,4,FALSE)</f>
        <v>#N/A</v>
      </c>
      <c r="AC2548" s="380" t="e">
        <f>VLOOKUP($B2548,'D7 - NDB Impacted SPRF''s'!$E$16:$O$9929,3,FALSE)</f>
        <v>#N/A</v>
      </c>
      <c r="AD2548" s="380" t="e">
        <f>VLOOKUP($B2548,'D7 - NDB Impacted SPRF''s'!$E$16:$O$9929,5,FALSE)</f>
        <v>#N/A</v>
      </c>
      <c r="AE2548" s="380" t="e">
        <f>VLOOKUP($B2548,'D7 - NDB Impacted SPRF''s'!$E$16:$O$9929,7,FALSE)</f>
        <v>#N/A</v>
      </c>
      <c r="AF2548" s="380" t="e">
        <f>VLOOKUP($B2548,'D7 - NDB Impacted SPRF''s'!$E$16:$O$9929,6,FALSE)</f>
        <v>#N/A</v>
      </c>
      <c r="AG2548" s="282" t="s">
        <v>6682</v>
      </c>
      <c r="AH2548" s="311" t="e">
        <f>INDEX('D5 - Gatekeeper - Projects'!$A$4:$AF$1010,$AM2548, 17)</f>
        <v>#N/A</v>
      </c>
      <c r="AI2548" s="8"/>
      <c r="AJ2548" s="57"/>
      <c r="AK2548" s="105"/>
      <c r="AM2548" s="6" t="e">
        <f>MATCH(D2548,'D5 - Gatekeeper - Projects'!$C$4:$C$1010,0)</f>
        <v>#N/A</v>
      </c>
      <c r="AN2548" s="6" t="b">
        <f t="shared" si="265"/>
        <v>1</v>
      </c>
      <c r="AO2548" s="6" t="str">
        <f t="shared" si="266"/>
        <v>OK</v>
      </c>
      <c r="AQ2548" s="6" t="e">
        <f>MATCH($D2548,'D4 - Provider Council Unsched'!$C$11:$C$234,0)</f>
        <v>#N/A</v>
      </c>
      <c r="AR2548" s="6" t="b">
        <f t="shared" si="267"/>
        <v>1</v>
      </c>
      <c r="AS2548" s="6" t="str">
        <f t="shared" si="264"/>
        <v>OK</v>
      </c>
      <c r="AU2548" s="202"/>
      <c r="AV2548" s="262"/>
      <c r="AW2548" s="274"/>
    </row>
    <row r="2549" spans="1:49" s="13" customFormat="1" ht="45" x14ac:dyDescent="0.2">
      <c r="A2549" s="14">
        <v>2525</v>
      </c>
      <c r="B2549" s="14">
        <v>400008016</v>
      </c>
      <c r="C2549" s="8" t="s">
        <v>5197</v>
      </c>
      <c r="D2549" s="4" t="str">
        <f t="shared" si="268"/>
        <v>400008016R1</v>
      </c>
      <c r="E2549" s="309" t="str">
        <f>VLOOKUP($B2549,'D7 - NDB Impacted SPRF''s'!$E$6:$O$9929,2,FALSE)</f>
        <v>CORP1-Security-Outward Facing &amp; Sens. App Security</v>
      </c>
      <c r="F2549" s="8" t="s">
        <v>5196</v>
      </c>
      <c r="G2549" s="8" t="s">
        <v>4758</v>
      </c>
      <c r="H2549" s="8" t="s">
        <v>2870</v>
      </c>
      <c r="I2549" s="20">
        <v>105.44</v>
      </c>
      <c r="J2549" s="8" t="s">
        <v>4862</v>
      </c>
      <c r="K2549" s="182"/>
      <c r="L2549" s="8" t="s">
        <v>4156</v>
      </c>
      <c r="M2549" s="8" t="s">
        <v>2814</v>
      </c>
      <c r="N2549" s="367" t="s">
        <v>2873</v>
      </c>
      <c r="O2549" s="8"/>
      <c r="P2549" s="4" t="str">
        <f>VLOOKUP($B2549,'D7 - NDB Impacted SPRF''s'!$E$16:$O$9929,9,FALSE)</f>
        <v>Y</v>
      </c>
      <c r="Q2549" s="4" t="str">
        <f>VLOOKUP($B2549,'D7 - NDB Impacted SPRF''s'!$E$16:$O$9929,10,FALSE)</f>
        <v>N</v>
      </c>
      <c r="R2549" s="4" t="str">
        <f>VLOOKUP($B2549,'D7 - NDB Impacted SPRF''s'!$E$16:$O$9929,11,FALSE)</f>
        <v>N</v>
      </c>
      <c r="S2549" s="8"/>
      <c r="T2549" s="310"/>
      <c r="U2549" s="310"/>
      <c r="V2549" s="4"/>
      <c r="W2549" s="4"/>
      <c r="X2549" s="4"/>
      <c r="Y2549" s="4"/>
      <c r="Z2549" s="4"/>
      <c r="AA2549" s="4"/>
      <c r="AB2549" s="380" t="str">
        <f>VLOOKUP($B2549,'D7 - NDB Impacted SPRF''s'!$E$16:$O$9929,4,FALSE)</f>
        <v>Completed</v>
      </c>
      <c r="AC2549" s="380" t="str">
        <f>VLOOKUP($B2549,'D7 - NDB Impacted SPRF''s'!$E$16:$O$9929,3,FALSE)</f>
        <v>UnitedHealthcare Employer &amp; Individual</v>
      </c>
      <c r="AD2549" s="380" t="str">
        <f>VLOOKUP($B2549,'D7 - NDB Impacted SPRF''s'!$E$16:$O$9929,5,FALSE)</f>
        <v>Healthcare Service Alliance</v>
      </c>
      <c r="AE2549" s="380" t="str">
        <f>VLOOKUP($B2549,'D7 - NDB Impacted SPRF''s'!$E$16:$O$9929,7,FALSE)</f>
        <v>Bev Nyce</v>
      </c>
      <c r="AF2549" s="380" t="str">
        <f>VLOOKUP($B2549,'D7 - NDB Impacted SPRF''s'!$E$16:$O$9929,6,FALSE)</f>
        <v>Elaine Begen</v>
      </c>
      <c r="AG2549" s="282"/>
      <c r="AH2549" s="311" t="e">
        <f>INDEX('D5 - Gatekeeper - Projects'!$A$4:$AF$1010,$AM2549, 17)</f>
        <v>#N/A</v>
      </c>
      <c r="AI2549" s="8"/>
      <c r="AJ2549" s="57"/>
      <c r="AK2549" s="105"/>
      <c r="AM2549" s="6" t="e">
        <f>MATCH(D2549,'D5 - Gatekeeper - Projects'!$C$4:$C$1010,0)</f>
        <v>#N/A</v>
      </c>
      <c r="AN2549" s="6" t="b">
        <f t="shared" si="265"/>
        <v>1</v>
      </c>
      <c r="AO2549" s="6" t="str">
        <f t="shared" si="266"/>
        <v>OK</v>
      </c>
      <c r="AQ2549" s="6" t="e">
        <f>MATCH($D2549,'D4 - Provider Council Unsched'!$C$11:$C$234,0)</f>
        <v>#N/A</v>
      </c>
      <c r="AR2549" s="6" t="b">
        <f t="shared" si="267"/>
        <v>1</v>
      </c>
      <c r="AS2549" s="6" t="str">
        <f t="shared" si="264"/>
        <v>OK</v>
      </c>
      <c r="AU2549" s="202"/>
      <c r="AV2549" s="262"/>
      <c r="AW2549" s="274"/>
    </row>
    <row r="2550" spans="1:49" s="13" customFormat="1" ht="33.75" x14ac:dyDescent="0.2">
      <c r="A2550" s="14">
        <v>2526</v>
      </c>
      <c r="B2550" s="14">
        <v>400008023</v>
      </c>
      <c r="C2550" s="8" t="s">
        <v>5197</v>
      </c>
      <c r="D2550" s="4" t="str">
        <f t="shared" si="268"/>
        <v>400008023R1</v>
      </c>
      <c r="E2550" s="309" t="str">
        <f>VLOOKUP($B2550,'D7 - NDB Impacted SPRF''s'!$E$6:$O$9929,2,FALSE)</f>
        <v>CORP1-Infrastructure-Optimal App. Connectivity</v>
      </c>
      <c r="F2550" s="8" t="s">
        <v>5196</v>
      </c>
      <c r="G2550" s="8" t="s">
        <v>4758</v>
      </c>
      <c r="H2550" s="8" t="s">
        <v>2870</v>
      </c>
      <c r="I2550" s="20">
        <v>0.53</v>
      </c>
      <c r="J2550" s="8" t="s">
        <v>7113</v>
      </c>
      <c r="K2550" s="182"/>
      <c r="L2550" s="8" t="s">
        <v>4156</v>
      </c>
      <c r="M2550" s="8" t="s">
        <v>2814</v>
      </c>
      <c r="N2550" s="367" t="s">
        <v>5189</v>
      </c>
      <c r="O2550" s="8"/>
      <c r="P2550" s="4" t="str">
        <f>VLOOKUP($B2550,'D7 - NDB Impacted SPRF''s'!$E$16:$O$9929,9,FALSE)</f>
        <v>Y</v>
      </c>
      <c r="Q2550" s="4" t="str">
        <f>VLOOKUP($B2550,'D7 - NDB Impacted SPRF''s'!$E$16:$O$9929,10,FALSE)</f>
        <v>N</v>
      </c>
      <c r="R2550" s="4" t="str">
        <f>VLOOKUP($B2550,'D7 - NDB Impacted SPRF''s'!$E$16:$O$9929,11,FALSE)</f>
        <v>N</v>
      </c>
      <c r="S2550" s="8"/>
      <c r="T2550" s="310"/>
      <c r="U2550" s="310"/>
      <c r="V2550" s="4"/>
      <c r="W2550" s="4"/>
      <c r="X2550" s="4"/>
      <c r="Y2550" s="4"/>
      <c r="Z2550" s="4"/>
      <c r="AA2550" s="4"/>
      <c r="AB2550" s="380" t="str">
        <f>VLOOKUP($B2550,'D7 - NDB Impacted SPRF''s'!$E$16:$O$9929,4,FALSE)</f>
        <v>Completed</v>
      </c>
      <c r="AC2550" s="380" t="str">
        <f>VLOOKUP($B2550,'D7 - NDB Impacted SPRF''s'!$E$16:$O$9929,3,FALSE)</f>
        <v>UnitedHealthcare Employer &amp; Individual</v>
      </c>
      <c r="AD2550" s="380" t="str">
        <f>VLOOKUP($B2550,'D7 - NDB Impacted SPRF''s'!$E$16:$O$9929,5,FALSE)</f>
        <v>Healthcare Service Alliance</v>
      </c>
      <c r="AE2550" s="380" t="str">
        <f>VLOOKUP($B2550,'D7 - NDB Impacted SPRF''s'!$E$16:$O$9929,7,FALSE)</f>
        <v>Bev Nyce</v>
      </c>
      <c r="AF2550" s="380" t="str">
        <f>VLOOKUP($B2550,'D7 - NDB Impacted SPRF''s'!$E$16:$O$9929,6,FALSE)</f>
        <v>ALBERT PETRUNTI</v>
      </c>
      <c r="AG2550" s="282"/>
      <c r="AH2550" s="311" t="e">
        <f>INDEX('D5 - Gatekeeper - Projects'!$A$4:$AF$1010,$AM2550, 17)</f>
        <v>#N/A</v>
      </c>
      <c r="AI2550" s="8"/>
      <c r="AJ2550" s="57"/>
      <c r="AK2550" s="105"/>
      <c r="AM2550" s="6" t="e">
        <f>MATCH(D2550,'D5 - Gatekeeper - Projects'!$C$4:$C$1010,0)</f>
        <v>#N/A</v>
      </c>
      <c r="AN2550" s="6" t="b">
        <f t="shared" si="265"/>
        <v>1</v>
      </c>
      <c r="AO2550" s="6" t="str">
        <f t="shared" si="266"/>
        <v>OK</v>
      </c>
      <c r="AQ2550" s="6" t="e">
        <f>MATCH($D2550,'D4 - Provider Council Unsched'!$C$11:$C$234,0)</f>
        <v>#N/A</v>
      </c>
      <c r="AR2550" s="6" t="b">
        <f t="shared" si="267"/>
        <v>1</v>
      </c>
      <c r="AS2550" s="6" t="str">
        <f t="shared" si="264"/>
        <v>OK</v>
      </c>
      <c r="AU2550" s="202"/>
      <c r="AV2550" s="262"/>
      <c r="AW2550" s="274"/>
    </row>
    <row r="2551" spans="1:49" s="13" customFormat="1" ht="45" x14ac:dyDescent="0.2">
      <c r="A2551" s="14">
        <v>2527</v>
      </c>
      <c r="B2551" s="14">
        <v>400008054</v>
      </c>
      <c r="C2551" s="8" t="s">
        <v>6723</v>
      </c>
      <c r="D2551" s="4" t="str">
        <f t="shared" si="268"/>
        <v>400008054CC09</v>
      </c>
      <c r="E2551" s="309" t="str">
        <f>VLOOKUP($B2551,'D7 - NDB Impacted SPRF''s'!$E$6:$O$9929,2,FALSE)</f>
        <v>Queue Consolidation and Management</v>
      </c>
      <c r="F2551" s="8" t="s">
        <v>4961</v>
      </c>
      <c r="G2551" s="8" t="s">
        <v>4758</v>
      </c>
      <c r="H2551" s="8" t="s">
        <v>2870</v>
      </c>
      <c r="I2551" s="20"/>
      <c r="J2551" s="8" t="s">
        <v>7113</v>
      </c>
      <c r="K2551" s="182"/>
      <c r="L2551" s="8" t="s">
        <v>4156</v>
      </c>
      <c r="M2551" s="8" t="s">
        <v>2814</v>
      </c>
      <c r="N2551" s="38" t="s">
        <v>6858</v>
      </c>
      <c r="O2551" s="8"/>
      <c r="P2551" s="4" t="str">
        <f>VLOOKUP($B2551,'D7 - NDB Impacted SPRF''s'!$E$16:$O$9929,9,FALSE)</f>
        <v>Y</v>
      </c>
      <c r="Q2551" s="4" t="str">
        <f>VLOOKUP($B2551,'D7 - NDB Impacted SPRF''s'!$E$16:$O$9929,10,FALSE)</f>
        <v>N</v>
      </c>
      <c r="R2551" s="4" t="str">
        <f>VLOOKUP($B2551,'D7 - NDB Impacted SPRF''s'!$E$16:$O$9929,11,FALSE)</f>
        <v>Y</v>
      </c>
      <c r="S2551" s="8"/>
      <c r="T2551" s="310"/>
      <c r="U2551" s="310"/>
      <c r="V2551" s="4"/>
      <c r="W2551" s="4"/>
      <c r="X2551" s="4"/>
      <c r="Y2551" s="4"/>
      <c r="Z2551" s="4"/>
      <c r="AA2551" s="4"/>
      <c r="AB2551" s="380" t="str">
        <f>VLOOKUP($B2551,'D7 - NDB Impacted SPRF''s'!$E$16:$O$9929,4,FALSE)</f>
        <v>Completed</v>
      </c>
      <c r="AC2551" s="380" t="str">
        <f>VLOOKUP($B2551,'D7 - NDB Impacted SPRF''s'!$E$16:$O$9929,3,FALSE)</f>
        <v>UnitedHealthcare Employer &amp; Individual</v>
      </c>
      <c r="AD2551" s="380" t="str">
        <f>VLOOKUP($B2551,'D7 - NDB Impacted SPRF''s'!$E$16:$O$9929,5,FALSE)</f>
        <v>Network Growth / Enhancements</v>
      </c>
      <c r="AE2551" s="380" t="str">
        <f>VLOOKUP($B2551,'D7 - NDB Impacted SPRF''s'!$E$16:$O$9929,7,FALSE)</f>
        <v>Peter Bompane</v>
      </c>
      <c r="AF2551" s="380" t="str">
        <f>VLOOKUP($B2551,'D7 - NDB Impacted SPRF''s'!$E$16:$O$9929,6,FALSE)</f>
        <v>ELIZABETH Young</v>
      </c>
      <c r="AG2551" s="282"/>
      <c r="AH2551" s="311" t="e">
        <f>INDEX('D5 - Gatekeeper - Projects'!$A$4:$AF$1010,$AM2551, 17)</f>
        <v>#N/A</v>
      </c>
      <c r="AI2551" s="8"/>
      <c r="AJ2551" s="57"/>
      <c r="AK2551" s="105"/>
      <c r="AM2551" s="6" t="e">
        <f>MATCH(D2551,'D5 - Gatekeeper - Projects'!$C$4:$C$1010,0)</f>
        <v>#N/A</v>
      </c>
      <c r="AN2551" s="6" t="b">
        <f t="shared" si="265"/>
        <v>1</v>
      </c>
      <c r="AO2551" s="6" t="str">
        <f t="shared" si="266"/>
        <v>OK</v>
      </c>
      <c r="AQ2551" s="6" t="e">
        <f>MATCH($D2551,'D4 - Provider Council Unsched'!$C$11:$C$234,0)</f>
        <v>#N/A</v>
      </c>
      <c r="AR2551" s="6" t="b">
        <f t="shared" si="267"/>
        <v>1</v>
      </c>
      <c r="AS2551" s="6" t="str">
        <f t="shared" si="264"/>
        <v>OK</v>
      </c>
      <c r="AU2551" s="202"/>
      <c r="AV2551" s="262"/>
      <c r="AW2551" s="274"/>
    </row>
    <row r="2552" spans="1:49" s="13" customFormat="1" ht="67.5" x14ac:dyDescent="0.2">
      <c r="A2552" s="14">
        <v>2528</v>
      </c>
      <c r="B2552" s="14">
        <v>400008075</v>
      </c>
      <c r="C2552" s="8" t="s">
        <v>5197</v>
      </c>
      <c r="D2552" s="4" t="str">
        <f t="shared" si="268"/>
        <v>400008075R1</v>
      </c>
      <c r="E2552" s="309" t="e">
        <f>VLOOKUP($B2552,'D7 - NDB Impacted SPRF''s'!$E$6:$O$9929,2,FALSE)</f>
        <v>#N/A</v>
      </c>
      <c r="F2552" s="8" t="s">
        <v>5196</v>
      </c>
      <c r="G2552" s="8" t="s">
        <v>4758</v>
      </c>
      <c r="H2552" s="8" t="s">
        <v>2870</v>
      </c>
      <c r="I2552" s="20"/>
      <c r="J2552" s="8"/>
      <c r="K2552" s="182"/>
      <c r="L2552" s="8" t="s">
        <v>4156</v>
      </c>
      <c r="M2552" s="8" t="s">
        <v>2814</v>
      </c>
      <c r="N2552" s="367" t="s">
        <v>6525</v>
      </c>
      <c r="O2552" s="8"/>
      <c r="P2552" s="4" t="e">
        <f>VLOOKUP($B2552,'D7 - NDB Impacted SPRF''s'!$E$16:$O$9929,9,FALSE)</f>
        <v>#N/A</v>
      </c>
      <c r="Q2552" s="4" t="e">
        <f>VLOOKUP($B2552,'D7 - NDB Impacted SPRF''s'!$E$16:$O$9929,10,FALSE)</f>
        <v>#N/A</v>
      </c>
      <c r="R2552" s="4" t="e">
        <f>VLOOKUP($B2552,'D7 - NDB Impacted SPRF''s'!$E$16:$O$9929,11,FALSE)</f>
        <v>#N/A</v>
      </c>
      <c r="S2552" s="8"/>
      <c r="T2552" s="310"/>
      <c r="U2552" s="310"/>
      <c r="V2552" s="4"/>
      <c r="W2552" s="4"/>
      <c r="X2552" s="4"/>
      <c r="Y2552" s="4"/>
      <c r="Z2552" s="4"/>
      <c r="AA2552" s="4"/>
      <c r="AB2552" s="380" t="e">
        <f>VLOOKUP($B2552,'D7 - NDB Impacted SPRF''s'!$E$16:$O$9929,4,FALSE)</f>
        <v>#N/A</v>
      </c>
      <c r="AC2552" s="380" t="e">
        <f>VLOOKUP($B2552,'D7 - NDB Impacted SPRF''s'!$E$16:$O$9929,3,FALSE)</f>
        <v>#N/A</v>
      </c>
      <c r="AD2552" s="380" t="e">
        <f>VLOOKUP($B2552,'D7 - NDB Impacted SPRF''s'!$E$16:$O$9929,5,FALSE)</f>
        <v>#N/A</v>
      </c>
      <c r="AE2552" s="380" t="e">
        <f>VLOOKUP($B2552,'D7 - NDB Impacted SPRF''s'!$E$16:$O$9929,7,FALSE)</f>
        <v>#N/A</v>
      </c>
      <c r="AF2552" s="380" t="e">
        <f>VLOOKUP($B2552,'D7 - NDB Impacted SPRF''s'!$E$16:$O$9929,6,FALSE)</f>
        <v>#N/A</v>
      </c>
      <c r="AG2552" s="282"/>
      <c r="AH2552" s="311" t="e">
        <f>INDEX('D5 - Gatekeeper - Projects'!$A$4:$AF$1010,$AM2552, 17)</f>
        <v>#N/A</v>
      </c>
      <c r="AI2552" s="8"/>
      <c r="AJ2552" s="57"/>
      <c r="AK2552" s="105"/>
      <c r="AM2552" s="6" t="e">
        <f>MATCH(D2552,'D5 - Gatekeeper - Projects'!$C$4:$C$1010,0)</f>
        <v>#N/A</v>
      </c>
      <c r="AN2552" s="6" t="b">
        <f t="shared" si="265"/>
        <v>1</v>
      </c>
      <c r="AO2552" s="6" t="str">
        <f t="shared" si="266"/>
        <v>OK</v>
      </c>
      <c r="AQ2552" s="6" t="e">
        <f>MATCH($D2552,'D4 - Provider Council Unsched'!$C$11:$C$234,0)</f>
        <v>#N/A</v>
      </c>
      <c r="AR2552" s="6" t="b">
        <f t="shared" si="267"/>
        <v>1</v>
      </c>
      <c r="AS2552" s="6" t="str">
        <f t="shared" si="264"/>
        <v>OK</v>
      </c>
      <c r="AU2552" s="202"/>
      <c r="AV2552" s="262"/>
      <c r="AW2552" s="274"/>
    </row>
    <row r="2553" spans="1:49" s="13" customFormat="1" ht="22.5" x14ac:dyDescent="0.2">
      <c r="A2553" s="14">
        <v>2529</v>
      </c>
      <c r="B2553" s="14">
        <v>400008103</v>
      </c>
      <c r="C2553" s="8" t="s">
        <v>5197</v>
      </c>
      <c r="D2553" s="4" t="str">
        <f t="shared" si="268"/>
        <v>400008103R1</v>
      </c>
      <c r="E2553" s="309" t="str">
        <f>VLOOKUP($B2553,'D7 - NDB Impacted SPRF''s'!$E$6:$O$9929,2,FALSE)</f>
        <v>myuhc Object Models - Consumer and Provider</v>
      </c>
      <c r="F2553" s="8" t="s">
        <v>5536</v>
      </c>
      <c r="G2553" s="8" t="s">
        <v>4758</v>
      </c>
      <c r="H2553" s="8" t="s">
        <v>2870</v>
      </c>
      <c r="I2553" s="20"/>
      <c r="J2553" s="8"/>
      <c r="K2553" s="182"/>
      <c r="L2553" s="8" t="s">
        <v>6164</v>
      </c>
      <c r="M2553" s="8" t="s">
        <v>2814</v>
      </c>
      <c r="N2553" s="367"/>
      <c r="O2553" s="8"/>
      <c r="P2553" s="4" t="str">
        <f>VLOOKUP($B2553,'D7 - NDB Impacted SPRF''s'!$E$16:$O$9929,9,FALSE)</f>
        <v>N</v>
      </c>
      <c r="Q2553" s="4" t="str">
        <f>VLOOKUP($B2553,'D7 - NDB Impacted SPRF''s'!$E$16:$O$9929,10,FALSE)</f>
        <v>N</v>
      </c>
      <c r="R2553" s="4" t="str">
        <f>VLOOKUP($B2553,'D7 - NDB Impacted SPRF''s'!$E$16:$O$9929,11,FALSE)</f>
        <v>N</v>
      </c>
      <c r="S2553" s="8"/>
      <c r="T2553" s="310"/>
      <c r="U2553" s="310"/>
      <c r="V2553" s="4"/>
      <c r="W2553" s="4"/>
      <c r="X2553" s="4"/>
      <c r="Y2553" s="4"/>
      <c r="Z2553" s="4"/>
      <c r="AA2553" s="4"/>
      <c r="AB2553" s="380" t="str">
        <f>VLOOKUP($B2553,'D7 - NDB Impacted SPRF''s'!$E$16:$O$9929,4,FALSE)</f>
        <v>Cancelled</v>
      </c>
      <c r="AC2553" s="380" t="str">
        <f>VLOOKUP($B2553,'D7 - NDB Impacted SPRF''s'!$E$16:$O$9929,3,FALSE)</f>
        <v>Uniprise</v>
      </c>
      <c r="AD2553" s="380" t="str">
        <f>VLOOKUP($B2553,'D7 - NDB Impacted SPRF''s'!$E$16:$O$9929,5,FALSE)</f>
        <v>Definity - Capital Projects</v>
      </c>
      <c r="AE2553" s="380" t="str">
        <f>VLOOKUP($B2553,'D7 - NDB Impacted SPRF''s'!$E$16:$O$9929,7,FALSE)</f>
        <v>Margaret Rush</v>
      </c>
      <c r="AF2553" s="380" t="str">
        <f>VLOOKUP($B2553,'D7 - NDB Impacted SPRF''s'!$E$16:$O$9929,6,FALSE)</f>
        <v>GEOFFREY BRUNKHORST</v>
      </c>
      <c r="AG2553" s="282"/>
      <c r="AH2553" s="311" t="e">
        <f>INDEX('D5 - Gatekeeper - Projects'!$A$4:$AF$1010,$AM2553, 17)</f>
        <v>#N/A</v>
      </c>
      <c r="AI2553" s="8"/>
      <c r="AJ2553" s="57"/>
      <c r="AK2553" s="105"/>
      <c r="AM2553" s="6" t="e">
        <f>MATCH(D2553,'D5 - Gatekeeper - Projects'!$C$4:$C$1010,0)</f>
        <v>#N/A</v>
      </c>
      <c r="AN2553" s="6" t="b">
        <f t="shared" si="265"/>
        <v>1</v>
      </c>
      <c r="AO2553" s="6" t="str">
        <f t="shared" si="266"/>
        <v>OK</v>
      </c>
      <c r="AQ2553" s="6" t="e">
        <f>MATCH($D2553,'D4 - Provider Council Unsched'!$C$11:$C$234,0)</f>
        <v>#N/A</v>
      </c>
      <c r="AR2553" s="6" t="b">
        <f t="shared" si="267"/>
        <v>1</v>
      </c>
      <c r="AS2553" s="6" t="str">
        <f t="shared" si="264"/>
        <v>OK</v>
      </c>
      <c r="AU2553" s="202"/>
      <c r="AV2553" s="262"/>
      <c r="AW2553" s="274"/>
    </row>
    <row r="2554" spans="1:49" s="13" customFormat="1" ht="22.5" x14ac:dyDescent="0.2">
      <c r="A2554" s="14">
        <v>2530</v>
      </c>
      <c r="B2554" s="14">
        <v>400008105</v>
      </c>
      <c r="C2554" s="8" t="s">
        <v>5197</v>
      </c>
      <c r="D2554" s="4" t="str">
        <f t="shared" si="268"/>
        <v>400008105R1</v>
      </c>
      <c r="E2554" s="309" t="str">
        <f>VLOOKUP($B2554,'D7 - NDB Impacted SPRF''s'!$E$6:$O$9929,2,FALSE)</f>
        <v>Corp-Benefits Svc Allnce Benefit Config - TOPS SCs</v>
      </c>
      <c r="F2554" s="8" t="s">
        <v>5196</v>
      </c>
      <c r="G2554" s="8" t="s">
        <v>4758</v>
      </c>
      <c r="H2554" s="8" t="s">
        <v>2870</v>
      </c>
      <c r="I2554" s="20"/>
      <c r="J2554" s="8"/>
      <c r="K2554" s="182"/>
      <c r="L2554" s="8" t="s">
        <v>4156</v>
      </c>
      <c r="M2554" s="8" t="s">
        <v>2814</v>
      </c>
      <c r="N2554" s="367" t="s">
        <v>2510</v>
      </c>
      <c r="O2554" s="8"/>
      <c r="P2554" s="4" t="str">
        <f>VLOOKUP($B2554,'D7 - NDB Impacted SPRF''s'!$E$16:$O$9929,9,FALSE)</f>
        <v>Y</v>
      </c>
      <c r="Q2554" s="4" t="str">
        <f>VLOOKUP($B2554,'D7 - NDB Impacted SPRF''s'!$E$16:$O$9929,10,FALSE)</f>
        <v>N</v>
      </c>
      <c r="R2554" s="4" t="str">
        <f>VLOOKUP($B2554,'D7 - NDB Impacted SPRF''s'!$E$16:$O$9929,11,FALSE)</f>
        <v>N</v>
      </c>
      <c r="S2554" s="8"/>
      <c r="T2554" s="310"/>
      <c r="U2554" s="310"/>
      <c r="V2554" s="4"/>
      <c r="W2554" s="4"/>
      <c r="X2554" s="4"/>
      <c r="Y2554" s="4"/>
      <c r="Z2554" s="4"/>
      <c r="AA2554" s="4"/>
      <c r="AB2554" s="380" t="str">
        <f>VLOOKUP($B2554,'D7 - NDB Impacted SPRF''s'!$E$16:$O$9929,4,FALSE)</f>
        <v>Completed</v>
      </c>
      <c r="AC2554" s="380" t="str">
        <f>VLOOKUP($B2554,'D7 - NDB Impacted SPRF''s'!$E$16:$O$9929,3,FALSE)</f>
        <v>Alliance</v>
      </c>
      <c r="AD2554" s="380" t="str">
        <f>VLOOKUP($B2554,'D7 - NDB Impacted SPRF''s'!$E$16:$O$9929,5,FALSE)</f>
        <v>Healthcare Service Alliance</v>
      </c>
      <c r="AE2554" s="380" t="str">
        <f>VLOOKUP($B2554,'D7 - NDB Impacted SPRF''s'!$E$16:$O$9929,7,FALSE)</f>
        <v>Bev Nyce</v>
      </c>
      <c r="AF2554" s="380" t="str">
        <f>VLOOKUP($B2554,'D7 - NDB Impacted SPRF''s'!$E$16:$O$9929,6,FALSE)</f>
        <v>Elizabeth Zadrozny-DNU</v>
      </c>
      <c r="AG2554" s="282"/>
      <c r="AH2554" s="311" t="e">
        <f>INDEX('D5 - Gatekeeper - Projects'!$A$4:$AF$1010,$AM2554, 17)</f>
        <v>#N/A</v>
      </c>
      <c r="AI2554" s="8"/>
      <c r="AJ2554" s="57"/>
      <c r="AK2554" s="105"/>
      <c r="AM2554" s="6" t="e">
        <f>MATCH(D2554,'D5 - Gatekeeper - Projects'!$C$4:$C$1010,0)</f>
        <v>#N/A</v>
      </c>
      <c r="AN2554" s="6" t="b">
        <f t="shared" si="265"/>
        <v>1</v>
      </c>
      <c r="AO2554" s="6" t="str">
        <f t="shared" si="266"/>
        <v>OK</v>
      </c>
      <c r="AQ2554" s="6" t="e">
        <f>MATCH($D2554,'D4 - Provider Council Unsched'!$C$11:$C$234,0)</f>
        <v>#N/A</v>
      </c>
      <c r="AR2554" s="6" t="b">
        <f t="shared" si="267"/>
        <v>1</v>
      </c>
      <c r="AS2554" s="6" t="str">
        <f t="shared" si="264"/>
        <v>OK</v>
      </c>
      <c r="AU2554" s="202"/>
      <c r="AV2554" s="262"/>
      <c r="AW2554" s="274"/>
    </row>
    <row r="2555" spans="1:49" s="13" customFormat="1" ht="33.75" x14ac:dyDescent="0.2">
      <c r="A2555" s="14">
        <v>2531</v>
      </c>
      <c r="B2555" s="14">
        <v>400008254</v>
      </c>
      <c r="C2555" s="8" t="s">
        <v>5197</v>
      </c>
      <c r="D2555" s="4" t="str">
        <f t="shared" si="268"/>
        <v>400008254R1</v>
      </c>
      <c r="E2555" s="309" t="str">
        <f>VLOOKUP($B2555,'D7 - NDB Impacted SPRF''s'!$E$6:$O$9929,2,FALSE)</f>
        <v>Provider VETSS II and III CUS0010</v>
      </c>
      <c r="F2555" s="8" t="s">
        <v>2114</v>
      </c>
      <c r="G2555" s="8" t="s">
        <v>4758</v>
      </c>
      <c r="H2555" s="8" t="s">
        <v>2870</v>
      </c>
      <c r="I2555" s="20"/>
      <c r="J2555" s="8"/>
      <c r="K2555" s="182"/>
      <c r="L2555" s="8" t="s">
        <v>4156</v>
      </c>
      <c r="M2555" s="8" t="s">
        <v>2814</v>
      </c>
      <c r="N2555" s="38" t="s">
        <v>2887</v>
      </c>
      <c r="O2555" s="8"/>
      <c r="P2555" s="4" t="str">
        <f>VLOOKUP($B2555,'D7 - NDB Impacted SPRF''s'!$E$16:$O$9929,9,FALSE)</f>
        <v>N</v>
      </c>
      <c r="Q2555" s="4" t="str">
        <f>VLOOKUP($B2555,'D7 - NDB Impacted SPRF''s'!$E$16:$O$9929,10,FALSE)</f>
        <v>N</v>
      </c>
      <c r="R2555" s="4" t="str">
        <f>VLOOKUP($B2555,'D7 - NDB Impacted SPRF''s'!$E$16:$O$9929,11,FALSE)</f>
        <v>N</v>
      </c>
      <c r="S2555" s="8"/>
      <c r="T2555" s="310"/>
      <c r="U2555" s="310"/>
      <c r="V2555" s="4"/>
      <c r="W2555" s="4"/>
      <c r="X2555" s="4"/>
      <c r="Y2555" s="4"/>
      <c r="Z2555" s="4"/>
      <c r="AA2555" s="4"/>
      <c r="AB2555" s="380" t="str">
        <f>VLOOKUP($B2555,'D7 - NDB Impacted SPRF''s'!$E$16:$O$9929,4,FALSE)</f>
        <v>Completed</v>
      </c>
      <c r="AC2555" s="380" t="str">
        <f>VLOOKUP($B2555,'D7 - NDB Impacted SPRF''s'!$E$16:$O$9929,3,FALSE)</f>
        <v>UnitedHealthcare Employer &amp; Individual</v>
      </c>
      <c r="AD2555" s="380" t="str">
        <f>VLOOKUP($B2555,'D7 - NDB Impacted SPRF''s'!$E$16:$O$9929,5,FALSE)</f>
        <v>Integration Requirements</v>
      </c>
      <c r="AE2555" s="380" t="str">
        <f>VLOOKUP($B2555,'D7 - NDB Impacted SPRF''s'!$E$16:$O$9929,7,FALSE)</f>
        <v xml:space="preserve">Doug Smith / Betty Scott </v>
      </c>
      <c r="AF2555" s="380" t="str">
        <f>VLOOKUP($B2555,'D7 - NDB Impacted SPRF''s'!$E$16:$O$9929,6,FALSE)</f>
        <v>Scott Steinkirchner</v>
      </c>
      <c r="AG2555" s="282"/>
      <c r="AH2555" s="311" t="e">
        <f>INDEX('D5 - Gatekeeper - Projects'!$A$4:$AF$1010,$AM2555, 17)</f>
        <v>#N/A</v>
      </c>
      <c r="AI2555" s="8"/>
      <c r="AJ2555" s="57"/>
      <c r="AK2555" s="105"/>
      <c r="AM2555" s="6" t="e">
        <f>MATCH(D2555,'D5 - Gatekeeper - Projects'!$C$4:$C$1010,0)</f>
        <v>#N/A</v>
      </c>
      <c r="AN2555" s="6" t="b">
        <f t="shared" si="265"/>
        <v>1</v>
      </c>
      <c r="AO2555" s="6" t="str">
        <f t="shared" si="266"/>
        <v>OK</v>
      </c>
      <c r="AQ2555" s="6" t="e">
        <f>MATCH($D2555,'D4 - Provider Council Unsched'!$C$11:$C$234,0)</f>
        <v>#N/A</v>
      </c>
      <c r="AR2555" s="6" t="b">
        <f t="shared" si="267"/>
        <v>1</v>
      </c>
      <c r="AS2555" s="6" t="str">
        <f t="shared" si="264"/>
        <v>OK</v>
      </c>
      <c r="AU2555" s="202"/>
      <c r="AV2555" s="262"/>
      <c r="AW2555" s="274"/>
    </row>
    <row r="2556" spans="1:49" s="13" customFormat="1" ht="33.75" x14ac:dyDescent="0.2">
      <c r="A2556" s="14">
        <v>2532</v>
      </c>
      <c r="B2556" s="14">
        <v>400008380</v>
      </c>
      <c r="C2556" s="8" t="s">
        <v>5197</v>
      </c>
      <c r="D2556" s="4" t="str">
        <f t="shared" si="268"/>
        <v>400008380R1</v>
      </c>
      <c r="E2556" s="309" t="str">
        <f>VLOOKUP($B2556,'D7 - NDB Impacted SPRF''s'!$E$6:$O$9929,2,FALSE)</f>
        <v>Provider Extract-Evercare fields</v>
      </c>
      <c r="F2556" s="8" t="s">
        <v>3235</v>
      </c>
      <c r="G2556" s="8" t="s">
        <v>4758</v>
      </c>
      <c r="H2556" s="8" t="s">
        <v>2870</v>
      </c>
      <c r="I2556" s="20"/>
      <c r="J2556" s="8"/>
      <c r="K2556" s="182"/>
      <c r="L2556" s="8" t="s">
        <v>6164</v>
      </c>
      <c r="M2556" s="8" t="s">
        <v>2814</v>
      </c>
      <c r="N2556" s="367"/>
      <c r="O2556" s="8"/>
      <c r="P2556" s="4" t="str">
        <f>VLOOKUP($B2556,'D7 - NDB Impacted SPRF''s'!$E$16:$O$9929,9,FALSE)</f>
        <v>N</v>
      </c>
      <c r="Q2556" s="4" t="str">
        <f>VLOOKUP($B2556,'D7 - NDB Impacted SPRF''s'!$E$16:$O$9929,10,FALSE)</f>
        <v>N</v>
      </c>
      <c r="R2556" s="4" t="str">
        <f>VLOOKUP($B2556,'D7 - NDB Impacted SPRF''s'!$E$16:$O$9929,11,FALSE)</f>
        <v>N</v>
      </c>
      <c r="S2556" s="8"/>
      <c r="T2556" s="310"/>
      <c r="U2556" s="310"/>
      <c r="V2556" s="4"/>
      <c r="W2556" s="4"/>
      <c r="X2556" s="4"/>
      <c r="Y2556" s="4"/>
      <c r="Z2556" s="4"/>
      <c r="AA2556" s="4"/>
      <c r="AB2556" s="380" t="str">
        <f>VLOOKUP($B2556,'D7 - NDB Impacted SPRF''s'!$E$16:$O$9929,4,FALSE)</f>
        <v>Cancelled</v>
      </c>
      <c r="AC2556" s="380" t="str">
        <f>VLOOKUP($B2556,'D7 - NDB Impacted SPRF''s'!$E$16:$O$9929,3,FALSE)</f>
        <v>UnitedHealthcare Medicare &amp; Retirement</v>
      </c>
      <c r="AD2556" s="380" t="str">
        <f>VLOOKUP($B2556,'D7 - NDB Impacted SPRF''s'!$E$16:$O$9929,5,FALSE)</f>
        <v>XXNon-COG</v>
      </c>
      <c r="AE2556" s="380" t="str">
        <f>VLOOKUP($B2556,'D7 - NDB Impacted SPRF''s'!$E$16:$O$9929,7,FALSE)</f>
        <v>Lisa Graikowski</v>
      </c>
      <c r="AF2556" s="380" t="str">
        <f>VLOOKUP($B2556,'D7 - NDB Impacted SPRF''s'!$E$16:$O$9929,6,FALSE)</f>
        <v>Susan Gruwell</v>
      </c>
      <c r="AG2556" s="282"/>
      <c r="AH2556" s="311" t="e">
        <f>INDEX('D5 - Gatekeeper - Projects'!$A$4:$AF$1010,$AM2556, 17)</f>
        <v>#N/A</v>
      </c>
      <c r="AI2556" s="8"/>
      <c r="AJ2556" s="57"/>
      <c r="AK2556" s="105"/>
      <c r="AM2556" s="6" t="e">
        <f>MATCH(D2556,'D5 - Gatekeeper - Projects'!$C$4:$C$1010,0)</f>
        <v>#N/A</v>
      </c>
      <c r="AN2556" s="6" t="b">
        <f t="shared" si="265"/>
        <v>1</v>
      </c>
      <c r="AO2556" s="6" t="str">
        <f t="shared" si="266"/>
        <v>OK</v>
      </c>
      <c r="AQ2556" s="6" t="e">
        <f>MATCH($D2556,'D4 - Provider Council Unsched'!$C$11:$C$234,0)</f>
        <v>#N/A</v>
      </c>
      <c r="AR2556" s="6" t="b">
        <f t="shared" si="267"/>
        <v>1</v>
      </c>
      <c r="AS2556" s="6" t="str">
        <f t="shared" si="264"/>
        <v>OK</v>
      </c>
      <c r="AU2556" s="202"/>
      <c r="AV2556" s="262"/>
      <c r="AW2556" s="274"/>
    </row>
    <row r="2557" spans="1:49" s="13" customFormat="1" ht="33.75" x14ac:dyDescent="0.2">
      <c r="A2557" s="14">
        <v>2533</v>
      </c>
      <c r="B2557" s="14">
        <v>400008422</v>
      </c>
      <c r="C2557" s="8" t="s">
        <v>5197</v>
      </c>
      <c r="D2557" s="4" t="str">
        <f t="shared" si="268"/>
        <v>400008422R1</v>
      </c>
      <c r="E2557" s="309" t="str">
        <f>VLOOKUP($B2557,'D7 - NDB Impacted SPRF''s'!$E$6:$O$9929,2,FALSE)</f>
        <v>Alliance PPO: Phase I, NDB Provider Extract/Counts</v>
      </c>
      <c r="F2557" s="8" t="s">
        <v>1931</v>
      </c>
      <c r="G2557" s="8" t="s">
        <v>4758</v>
      </c>
      <c r="H2557" s="8" t="s">
        <v>2870</v>
      </c>
      <c r="I2557" s="20"/>
      <c r="J2557" s="8"/>
      <c r="K2557" s="182"/>
      <c r="L2557" s="8" t="s">
        <v>6164</v>
      </c>
      <c r="M2557" s="8" t="s">
        <v>2814</v>
      </c>
      <c r="N2557" s="367"/>
      <c r="O2557" s="8"/>
      <c r="P2557" s="4" t="str">
        <f>VLOOKUP($B2557,'D7 - NDB Impacted SPRF''s'!$E$16:$O$9929,9,FALSE)</f>
        <v>N</v>
      </c>
      <c r="Q2557" s="4" t="str">
        <f>VLOOKUP($B2557,'D7 - NDB Impacted SPRF''s'!$E$16:$O$9929,10,FALSE)</f>
        <v>N</v>
      </c>
      <c r="R2557" s="4" t="str">
        <f>VLOOKUP($B2557,'D7 - NDB Impacted SPRF''s'!$E$16:$O$9929,11,FALSE)</f>
        <v>N</v>
      </c>
      <c r="S2557" s="8"/>
      <c r="T2557" s="310"/>
      <c r="U2557" s="310"/>
      <c r="V2557" s="4"/>
      <c r="W2557" s="4"/>
      <c r="X2557" s="4"/>
      <c r="Y2557" s="4"/>
      <c r="Z2557" s="4"/>
      <c r="AA2557" s="4"/>
      <c r="AB2557" s="380" t="str">
        <f>VLOOKUP($B2557,'D7 - NDB Impacted SPRF''s'!$E$16:$O$9929,4,FALSE)</f>
        <v>Cancelled</v>
      </c>
      <c r="AC2557" s="380" t="str">
        <f>VLOOKUP($B2557,'D7 - NDB Impacted SPRF''s'!$E$16:$O$9929,3,FALSE)</f>
        <v>UnitedHealthcare Employer &amp; Individual</v>
      </c>
      <c r="AD2557" s="380" t="str">
        <f>VLOOKUP($B2557,'D7 - NDB Impacted SPRF''s'!$E$16:$O$9929,5,FALSE)</f>
        <v>Key Initiatives Group</v>
      </c>
      <c r="AE2557" s="380" t="str">
        <f>VLOOKUP($B2557,'D7 - NDB Impacted SPRF''s'!$E$16:$O$9929,7,FALSE)</f>
        <v>Mike Mikan</v>
      </c>
      <c r="AF2557" s="380" t="str">
        <f>VLOOKUP($B2557,'D7 - NDB Impacted SPRF''s'!$E$16:$O$9929,6,FALSE)</f>
        <v>KELLY HARRISON</v>
      </c>
      <c r="AG2557" s="282"/>
      <c r="AH2557" s="311" t="e">
        <f>INDEX('D5 - Gatekeeper - Projects'!$A$4:$AF$1010,$AM2557, 17)</f>
        <v>#N/A</v>
      </c>
      <c r="AI2557" s="8"/>
      <c r="AJ2557" s="57"/>
      <c r="AK2557" s="105"/>
      <c r="AM2557" s="6" t="e">
        <f>MATCH(D2557,'D5 - Gatekeeper - Projects'!$C$4:$C$1010,0)</f>
        <v>#N/A</v>
      </c>
      <c r="AN2557" s="6" t="b">
        <f t="shared" si="265"/>
        <v>1</v>
      </c>
      <c r="AO2557" s="6" t="str">
        <f t="shared" si="266"/>
        <v>OK</v>
      </c>
      <c r="AQ2557" s="6" t="e">
        <f>MATCH($D2557,'D4 - Provider Council Unsched'!$C$11:$C$234,0)</f>
        <v>#N/A</v>
      </c>
      <c r="AR2557" s="6" t="b">
        <f t="shared" si="267"/>
        <v>1</v>
      </c>
      <c r="AS2557" s="6" t="str">
        <f t="shared" si="264"/>
        <v>OK</v>
      </c>
      <c r="AU2557" s="202"/>
      <c r="AV2557" s="262"/>
      <c r="AW2557" s="274"/>
    </row>
    <row r="2558" spans="1:49" s="13" customFormat="1" x14ac:dyDescent="0.2">
      <c r="A2558" s="14">
        <v>2534</v>
      </c>
      <c r="B2558" s="14">
        <v>400008434</v>
      </c>
      <c r="C2558" s="8" t="s">
        <v>5197</v>
      </c>
      <c r="D2558" s="4" t="str">
        <f t="shared" si="268"/>
        <v>400008434R1</v>
      </c>
      <c r="E2558" s="309" t="str">
        <f>VLOOKUP($B2558,'D7 - NDB Impacted SPRF''s'!$E$6:$O$9929,2,FALSE)</f>
        <v>2005 Plymouth Data Center Test/Dev DR Exercise</v>
      </c>
      <c r="F2558" s="8" t="s">
        <v>8133</v>
      </c>
      <c r="G2558" s="8" t="s">
        <v>4758</v>
      </c>
      <c r="H2558" s="8" t="s">
        <v>2870</v>
      </c>
      <c r="I2558" s="20"/>
      <c r="J2558" s="8"/>
      <c r="K2558" s="182"/>
      <c r="L2558" s="8" t="s">
        <v>6164</v>
      </c>
      <c r="M2558" s="8" t="s">
        <v>2814</v>
      </c>
      <c r="N2558" s="367"/>
      <c r="O2558" s="8"/>
      <c r="P2558" s="4" t="str">
        <f>VLOOKUP($B2558,'D7 - NDB Impacted SPRF''s'!$E$16:$O$9929,9,FALSE)</f>
        <v>Y</v>
      </c>
      <c r="Q2558" s="4" t="str">
        <f>VLOOKUP($B2558,'D7 - NDB Impacted SPRF''s'!$E$16:$O$9929,10,FALSE)</f>
        <v>N</v>
      </c>
      <c r="R2558" s="4" t="str">
        <f>VLOOKUP($B2558,'D7 - NDB Impacted SPRF''s'!$E$16:$O$9929,11,FALSE)</f>
        <v>N</v>
      </c>
      <c r="S2558" s="8"/>
      <c r="T2558" s="310"/>
      <c r="U2558" s="310"/>
      <c r="V2558" s="4"/>
      <c r="W2558" s="4"/>
      <c r="X2558" s="4"/>
      <c r="Y2558" s="4"/>
      <c r="Z2558" s="4"/>
      <c r="AA2558" s="4"/>
      <c r="AB2558" s="380" t="str">
        <f>VLOOKUP($B2558,'D7 - NDB Impacted SPRF''s'!$E$16:$O$9929,4,FALSE)</f>
        <v>Cancelled</v>
      </c>
      <c r="AC2558" s="380" t="str">
        <f>VLOOKUP($B2558,'D7 - NDB Impacted SPRF''s'!$E$16:$O$9929,3,FALSE)</f>
        <v>Uniprise</v>
      </c>
      <c r="AD2558" s="380" t="str">
        <f>VLOOKUP($B2558,'D7 - NDB Impacted SPRF''s'!$E$16:$O$9929,5,FALSE)</f>
        <v>Uniprise Technologies - DDC</v>
      </c>
      <c r="AE2558" s="380" t="str">
        <f>VLOOKUP($B2558,'D7 - NDB Impacted SPRF''s'!$E$16:$O$9929,7,FALSE)</f>
        <v>John Santelli</v>
      </c>
      <c r="AF2558" s="380" t="str">
        <f>VLOOKUP($B2558,'D7 - NDB Impacted SPRF''s'!$E$16:$O$9929,6,FALSE)</f>
        <v>Ron Bakowski</v>
      </c>
      <c r="AG2558" s="282"/>
      <c r="AH2558" s="311" t="e">
        <f>INDEX('D5 - Gatekeeper - Projects'!$A$4:$AF$1010,$AM2558, 17)</f>
        <v>#N/A</v>
      </c>
      <c r="AI2558" s="8"/>
      <c r="AJ2558" s="57"/>
      <c r="AK2558" s="105"/>
      <c r="AM2558" s="6" t="e">
        <f>MATCH(D2558,'D5 - Gatekeeper - Projects'!$C$4:$C$1010,0)</f>
        <v>#N/A</v>
      </c>
      <c r="AN2558" s="6" t="b">
        <f t="shared" si="265"/>
        <v>1</v>
      </c>
      <c r="AO2558" s="6" t="str">
        <f t="shared" si="266"/>
        <v>OK</v>
      </c>
      <c r="AQ2558" s="6" t="e">
        <f>MATCH($D2558,'D4 - Provider Council Unsched'!$C$11:$C$234,0)</f>
        <v>#N/A</v>
      </c>
      <c r="AR2558" s="6" t="b">
        <f t="shared" si="267"/>
        <v>1</v>
      </c>
      <c r="AS2558" s="6" t="str">
        <f t="shared" si="264"/>
        <v>OK</v>
      </c>
      <c r="AU2558" s="202"/>
      <c r="AV2558" s="262"/>
      <c r="AW2558" s="274"/>
    </row>
    <row r="2559" spans="1:49" s="13" customFormat="1" ht="33.75" x14ac:dyDescent="0.2">
      <c r="A2559" s="14">
        <v>2535</v>
      </c>
      <c r="B2559" s="14">
        <v>400008551</v>
      </c>
      <c r="C2559" s="8" t="s">
        <v>5197</v>
      </c>
      <c r="D2559" s="4" t="str">
        <f t="shared" si="268"/>
        <v>400008551R1</v>
      </c>
      <c r="E2559" s="309" t="str">
        <f>VLOOKUP($B2559,'D7 - NDB Impacted SPRF''s'!$E$6:$O$9929,2,FALSE)</f>
        <v>Fee Schedule Extraction</v>
      </c>
      <c r="F2559" s="8" t="s">
        <v>5742</v>
      </c>
      <c r="G2559" s="8" t="s">
        <v>4758</v>
      </c>
      <c r="H2559" s="8" t="s">
        <v>2870</v>
      </c>
      <c r="I2559" s="20"/>
      <c r="J2559" s="8"/>
      <c r="K2559" s="182"/>
      <c r="L2559" s="8" t="s">
        <v>6164</v>
      </c>
      <c r="M2559" s="8" t="s">
        <v>2814</v>
      </c>
      <c r="N2559" s="367"/>
      <c r="O2559" s="8"/>
      <c r="P2559" s="4" t="str">
        <f>VLOOKUP($B2559,'D7 - NDB Impacted SPRF''s'!$E$16:$O$9929,9,FALSE)</f>
        <v>N</v>
      </c>
      <c r="Q2559" s="4" t="str">
        <f>VLOOKUP($B2559,'D7 - NDB Impacted SPRF''s'!$E$16:$O$9929,10,FALSE)</f>
        <v>N</v>
      </c>
      <c r="R2559" s="4" t="str">
        <f>VLOOKUP($B2559,'D7 - NDB Impacted SPRF''s'!$E$16:$O$9929,11,FALSE)</f>
        <v>N</v>
      </c>
      <c r="S2559" s="8"/>
      <c r="T2559" s="310"/>
      <c r="U2559" s="310"/>
      <c r="V2559" s="4"/>
      <c r="W2559" s="4"/>
      <c r="X2559" s="4"/>
      <c r="Y2559" s="4"/>
      <c r="Z2559" s="4"/>
      <c r="AA2559" s="4"/>
      <c r="AB2559" s="380" t="str">
        <f>VLOOKUP($B2559,'D7 - NDB Impacted SPRF''s'!$E$16:$O$9929,4,FALSE)</f>
        <v>Cancelled</v>
      </c>
      <c r="AC2559" s="380" t="str">
        <f>VLOOKUP($B2559,'D7 - NDB Impacted SPRF''s'!$E$16:$O$9929,3,FALSE)</f>
        <v>UnitedHealthcare Employer &amp; Individual</v>
      </c>
      <c r="AD2559" s="380" t="str">
        <f>VLOOKUP($B2559,'D7 - NDB Impacted SPRF''s'!$E$16:$O$9929,5,FALSE)</f>
        <v>Operations Group</v>
      </c>
      <c r="AE2559" s="380" t="str">
        <f>VLOOKUP($B2559,'D7 - NDB Impacted SPRF''s'!$E$16:$O$9929,7,FALSE)</f>
        <v>Gary Simmons</v>
      </c>
      <c r="AF2559" s="380" t="str">
        <f>VLOOKUP($B2559,'D7 - NDB Impacted SPRF''s'!$E$16:$O$9929,6,FALSE)</f>
        <v>SCOTT PIETAK</v>
      </c>
      <c r="AG2559" s="282"/>
      <c r="AH2559" s="311" t="e">
        <f>INDEX('D5 - Gatekeeper - Projects'!$A$4:$AF$1010,$AM2559, 17)</f>
        <v>#N/A</v>
      </c>
      <c r="AI2559" s="8"/>
      <c r="AJ2559" s="57"/>
      <c r="AK2559" s="105"/>
      <c r="AM2559" s="6" t="e">
        <f>MATCH(D2559,'D5 - Gatekeeper - Projects'!$C$4:$C$1010,0)</f>
        <v>#N/A</v>
      </c>
      <c r="AN2559" s="6" t="b">
        <f t="shared" si="265"/>
        <v>1</v>
      </c>
      <c r="AO2559" s="6" t="str">
        <f t="shared" si="266"/>
        <v>OK</v>
      </c>
      <c r="AQ2559" s="6" t="e">
        <f>MATCH($D2559,'D4 - Provider Council Unsched'!$C$11:$C$234,0)</f>
        <v>#N/A</v>
      </c>
      <c r="AR2559" s="6" t="b">
        <f t="shared" si="267"/>
        <v>1</v>
      </c>
      <c r="AS2559" s="6" t="str">
        <f t="shared" si="264"/>
        <v>OK</v>
      </c>
      <c r="AU2559" s="202"/>
      <c r="AV2559" s="262"/>
      <c r="AW2559" s="274"/>
    </row>
    <row r="2560" spans="1:49" s="13" customFormat="1" ht="33.75" x14ac:dyDescent="0.2">
      <c r="A2560" s="14">
        <v>2536</v>
      </c>
      <c r="B2560" s="14">
        <v>400008727</v>
      </c>
      <c r="C2560" s="8" t="s">
        <v>5197</v>
      </c>
      <c r="D2560" s="4" t="str">
        <f t="shared" si="268"/>
        <v>400008727R1</v>
      </c>
      <c r="E2560" s="309" t="str">
        <f>VLOOKUP($B2560,'D7 - NDB Impacted SPRF''s'!$E$6:$O$9929,2,FALSE)</f>
        <v>Modify DEA Edit</v>
      </c>
      <c r="F2560" s="8" t="s">
        <v>2114</v>
      </c>
      <c r="G2560" s="8" t="s">
        <v>4758</v>
      </c>
      <c r="H2560" s="8" t="s">
        <v>2870</v>
      </c>
      <c r="I2560" s="20">
        <v>4</v>
      </c>
      <c r="J2560" s="8" t="s">
        <v>4862</v>
      </c>
      <c r="K2560" s="182"/>
      <c r="L2560" s="8" t="s">
        <v>4156</v>
      </c>
      <c r="M2560" s="8" t="s">
        <v>2814</v>
      </c>
      <c r="N2560" s="367" t="s">
        <v>5190</v>
      </c>
      <c r="O2560" s="8"/>
      <c r="P2560" s="4" t="str">
        <f>VLOOKUP($B2560,'D7 - NDB Impacted SPRF''s'!$E$16:$O$9929,9,FALSE)</f>
        <v>N</v>
      </c>
      <c r="Q2560" s="4" t="str">
        <f>VLOOKUP($B2560,'D7 - NDB Impacted SPRF''s'!$E$16:$O$9929,10,FALSE)</f>
        <v>N</v>
      </c>
      <c r="R2560" s="4" t="str">
        <f>VLOOKUP($B2560,'D7 - NDB Impacted SPRF''s'!$E$16:$O$9929,11,FALSE)</f>
        <v>N</v>
      </c>
      <c r="S2560" s="8"/>
      <c r="T2560" s="310"/>
      <c r="U2560" s="310"/>
      <c r="V2560" s="4"/>
      <c r="W2560" s="4"/>
      <c r="X2560" s="4"/>
      <c r="Y2560" s="4"/>
      <c r="Z2560" s="4"/>
      <c r="AA2560" s="4"/>
      <c r="AB2560" s="380" t="str">
        <f>VLOOKUP($B2560,'D7 - NDB Impacted SPRF''s'!$E$16:$O$9929,4,FALSE)</f>
        <v>Cancelled</v>
      </c>
      <c r="AC2560" s="380" t="str">
        <f>VLOOKUP($B2560,'D7 - NDB Impacted SPRF''s'!$E$16:$O$9929,3,FALSE)</f>
        <v>UnitedHealthcare Employer &amp; Individual</v>
      </c>
      <c r="AD2560" s="380" t="str">
        <f>VLOOKUP($B2560,'D7 - NDB Impacted SPRF''s'!$E$16:$O$9929,5,FALSE)</f>
        <v>Operations Group</v>
      </c>
      <c r="AE2560" s="380" t="str">
        <f>VLOOKUP($B2560,'D7 - NDB Impacted SPRF''s'!$E$16:$O$9929,7,FALSE)</f>
        <v>Peter Bompane</v>
      </c>
      <c r="AF2560" s="380" t="str">
        <f>VLOOKUP($B2560,'D7 - NDB Impacted SPRF''s'!$E$16:$O$9929,6,FALSE)</f>
        <v>ELIZABETH Young</v>
      </c>
      <c r="AG2560" s="282"/>
      <c r="AH2560" s="311" t="e">
        <f>INDEX('D5 - Gatekeeper - Projects'!$A$4:$AF$1010,$AM2560, 17)</f>
        <v>#N/A</v>
      </c>
      <c r="AI2560" s="8"/>
      <c r="AJ2560" s="57"/>
      <c r="AK2560" s="105"/>
      <c r="AM2560" s="6" t="e">
        <f>MATCH(D2560,'D5 - Gatekeeper - Projects'!$C$4:$C$1010,0)</f>
        <v>#N/A</v>
      </c>
      <c r="AN2560" s="6" t="b">
        <f t="shared" si="265"/>
        <v>1</v>
      </c>
      <c r="AO2560" s="6" t="str">
        <f t="shared" si="266"/>
        <v>OK</v>
      </c>
      <c r="AQ2560" s="6" t="e">
        <f>MATCH($D2560,'D4 - Provider Council Unsched'!$C$11:$C$234,0)</f>
        <v>#N/A</v>
      </c>
      <c r="AR2560" s="6" t="b">
        <f t="shared" si="267"/>
        <v>1</v>
      </c>
      <c r="AS2560" s="6" t="str">
        <f t="shared" si="264"/>
        <v>OK</v>
      </c>
      <c r="AU2560" s="202"/>
      <c r="AV2560" s="262"/>
      <c r="AW2560" s="274"/>
    </row>
    <row r="2561" spans="1:49" s="13" customFormat="1" ht="33.75" x14ac:dyDescent="0.2">
      <c r="A2561" s="14">
        <v>2537</v>
      </c>
      <c r="B2561" s="14">
        <v>400008776</v>
      </c>
      <c r="C2561" s="8" t="s">
        <v>5197</v>
      </c>
      <c r="D2561" s="4" t="str">
        <f t="shared" si="268"/>
        <v>400008776R1</v>
      </c>
      <c r="E2561" s="309" t="str">
        <f>VLOOKUP($B2561,'D7 - NDB Impacted SPRF''s'!$E$6:$O$9929,2,FALSE)</f>
        <v>PTI G Report Change</v>
      </c>
      <c r="F2561" s="8" t="s">
        <v>3235</v>
      </c>
      <c r="G2561" s="8" t="s">
        <v>4758</v>
      </c>
      <c r="H2561" s="8" t="s">
        <v>2870</v>
      </c>
      <c r="I2561" s="20">
        <v>0.53</v>
      </c>
      <c r="J2561" s="8" t="s">
        <v>4862</v>
      </c>
      <c r="K2561" s="182"/>
      <c r="L2561" s="8" t="s">
        <v>5743</v>
      </c>
      <c r="M2561" s="8" t="s">
        <v>2814</v>
      </c>
      <c r="N2561" s="367" t="s">
        <v>7795</v>
      </c>
      <c r="O2561" s="8"/>
      <c r="P2561" s="4" t="str">
        <f>VLOOKUP($B2561,'D7 - NDB Impacted SPRF''s'!$E$16:$O$9929,9,FALSE)</f>
        <v>N</v>
      </c>
      <c r="Q2561" s="4" t="str">
        <f>VLOOKUP($B2561,'D7 - NDB Impacted SPRF''s'!$E$16:$O$9929,10,FALSE)</f>
        <v>N</v>
      </c>
      <c r="R2561" s="4" t="str">
        <f>VLOOKUP($B2561,'D7 - NDB Impacted SPRF''s'!$E$16:$O$9929,11,FALSE)</f>
        <v>N</v>
      </c>
      <c r="S2561" s="8"/>
      <c r="T2561" s="310"/>
      <c r="U2561" s="310"/>
      <c r="V2561" s="4"/>
      <c r="W2561" s="4"/>
      <c r="X2561" s="4"/>
      <c r="Y2561" s="4"/>
      <c r="Z2561" s="4"/>
      <c r="AA2561" s="4"/>
      <c r="AB2561" s="380" t="str">
        <f>VLOOKUP($B2561,'D7 - NDB Impacted SPRF''s'!$E$16:$O$9929,4,FALSE)</f>
        <v>Cancelled</v>
      </c>
      <c r="AC2561" s="380" t="str">
        <f>VLOOKUP($B2561,'D7 - NDB Impacted SPRF''s'!$E$16:$O$9929,3,FALSE)</f>
        <v>UnitedHealthcare Employer &amp; Individual</v>
      </c>
      <c r="AD2561" s="380" t="str">
        <f>VLOOKUP($B2561,'D7 - NDB Impacted SPRF''s'!$E$16:$O$9929,5,FALSE)</f>
        <v>Network Growth / Enhancements</v>
      </c>
      <c r="AE2561" s="380" t="str">
        <f>VLOOKUP($B2561,'D7 - NDB Impacted SPRF''s'!$E$16:$O$9929,7,FALSE)</f>
        <v>Eileen Dock</v>
      </c>
      <c r="AF2561" s="380" t="str">
        <f>VLOOKUP($B2561,'D7 - NDB Impacted SPRF''s'!$E$16:$O$9929,6,FALSE)</f>
        <v>HEIDI JOHNSON</v>
      </c>
      <c r="AG2561" s="282" t="s">
        <v>7755</v>
      </c>
      <c r="AH2561" s="311" t="e">
        <f>INDEX('D5 - Gatekeeper - Projects'!$A$4:$AF$1010,$AM2561, 17)</f>
        <v>#N/A</v>
      </c>
      <c r="AI2561" s="8"/>
      <c r="AJ2561" s="57"/>
      <c r="AK2561" s="105"/>
      <c r="AM2561" s="6" t="e">
        <f>MATCH(D2561,'D5 - Gatekeeper - Projects'!$C$4:$C$1010,0)</f>
        <v>#N/A</v>
      </c>
      <c r="AN2561" s="6" t="b">
        <f t="shared" si="265"/>
        <v>1</v>
      </c>
      <c r="AO2561" s="6" t="str">
        <f t="shared" si="266"/>
        <v>OK</v>
      </c>
      <c r="AQ2561" s="6" t="e">
        <f>MATCH($D2561,'D4 - Provider Council Unsched'!$C$11:$C$234,0)</f>
        <v>#N/A</v>
      </c>
      <c r="AR2561" s="6" t="b">
        <f t="shared" si="267"/>
        <v>1</v>
      </c>
      <c r="AS2561" s="6" t="str">
        <f t="shared" si="264"/>
        <v>OK</v>
      </c>
      <c r="AU2561" s="202"/>
      <c r="AV2561" s="262"/>
      <c r="AW2561" s="274"/>
    </row>
    <row r="2562" spans="1:49" s="13" customFormat="1" ht="22.5" x14ac:dyDescent="0.2">
      <c r="A2562" s="14">
        <v>2538</v>
      </c>
      <c r="B2562" s="14">
        <v>400008843</v>
      </c>
      <c r="C2562" s="8" t="s">
        <v>5197</v>
      </c>
      <c r="D2562" s="4" t="str">
        <f t="shared" si="268"/>
        <v>400008843R1</v>
      </c>
      <c r="E2562" s="309" t="str">
        <f>VLOOKUP($B2562,'D7 - NDB Impacted SPRF''s'!$E$6:$O$9929,2,FALSE)</f>
        <v>Uniprise TestDirector Infrastructure Consolidation</v>
      </c>
      <c r="F2562" s="8" t="s">
        <v>8133</v>
      </c>
      <c r="G2562" s="8" t="s">
        <v>4758</v>
      </c>
      <c r="H2562" s="8" t="s">
        <v>2870</v>
      </c>
      <c r="I2562" s="20"/>
      <c r="J2562" s="8"/>
      <c r="K2562" s="182"/>
      <c r="L2562" s="8" t="s">
        <v>6164</v>
      </c>
      <c r="M2562" s="8" t="s">
        <v>2814</v>
      </c>
      <c r="N2562" s="367"/>
      <c r="O2562" s="8"/>
      <c r="P2562" s="4" t="str">
        <f>VLOOKUP($B2562,'D7 - NDB Impacted SPRF''s'!$E$16:$O$9929,9,FALSE)</f>
        <v>Y</v>
      </c>
      <c r="Q2562" s="4" t="str">
        <f>VLOOKUP($B2562,'D7 - NDB Impacted SPRF''s'!$E$16:$O$9929,10,FALSE)</f>
        <v>N</v>
      </c>
      <c r="R2562" s="4" t="str">
        <f>VLOOKUP($B2562,'D7 - NDB Impacted SPRF''s'!$E$16:$O$9929,11,FALSE)</f>
        <v>N</v>
      </c>
      <c r="S2562" s="8"/>
      <c r="T2562" s="310"/>
      <c r="U2562" s="310"/>
      <c r="V2562" s="4"/>
      <c r="W2562" s="4"/>
      <c r="X2562" s="4"/>
      <c r="Y2562" s="4"/>
      <c r="Z2562" s="4"/>
      <c r="AA2562" s="4"/>
      <c r="AB2562" s="380" t="str">
        <f>VLOOKUP($B2562,'D7 - NDB Impacted SPRF''s'!$E$16:$O$9929,4,FALSE)</f>
        <v>Cancelled</v>
      </c>
      <c r="AC2562" s="380" t="str">
        <f>VLOOKUP($B2562,'D7 - NDB Impacted SPRF''s'!$E$16:$O$9929,3,FALSE)</f>
        <v>Uniprise</v>
      </c>
      <c r="AD2562" s="380" t="str">
        <f>VLOOKUP($B2562,'D7 - NDB Impacted SPRF''s'!$E$16:$O$9929,5,FALSE)</f>
        <v>Uniprise Technologies - DDC</v>
      </c>
      <c r="AE2562" s="380" t="str">
        <f>VLOOKUP($B2562,'D7 - NDB Impacted SPRF''s'!$E$16:$O$9929,7,FALSE)</f>
        <v>Kelly Clark</v>
      </c>
      <c r="AF2562" s="380" t="str">
        <f>VLOOKUP($B2562,'D7 - NDB Impacted SPRF''s'!$E$16:$O$9929,6,FALSE)</f>
        <v>DARYL PELLINO</v>
      </c>
      <c r="AG2562" s="282"/>
      <c r="AH2562" s="311" t="e">
        <f>INDEX('D5 - Gatekeeper - Projects'!$A$4:$AF$1010,$AM2562, 17)</f>
        <v>#N/A</v>
      </c>
      <c r="AI2562" s="8"/>
      <c r="AJ2562" s="57"/>
      <c r="AK2562" s="105"/>
      <c r="AM2562" s="6" t="e">
        <f>MATCH(D2562,'D5 - Gatekeeper - Projects'!$C$4:$C$1010,0)</f>
        <v>#N/A</v>
      </c>
      <c r="AN2562" s="6" t="b">
        <f t="shared" si="265"/>
        <v>1</v>
      </c>
      <c r="AO2562" s="6" t="str">
        <f t="shared" si="266"/>
        <v>OK</v>
      </c>
      <c r="AQ2562" s="6" t="e">
        <f>MATCH($D2562,'D4 - Provider Council Unsched'!$C$11:$C$234,0)</f>
        <v>#N/A</v>
      </c>
      <c r="AR2562" s="6" t="b">
        <f t="shared" si="267"/>
        <v>1</v>
      </c>
      <c r="AS2562" s="6" t="str">
        <f t="shared" si="264"/>
        <v>OK</v>
      </c>
      <c r="AU2562" s="202"/>
      <c r="AV2562" s="262"/>
      <c r="AW2562" s="274"/>
    </row>
    <row r="2563" spans="1:49" s="13" customFormat="1" ht="33.75" x14ac:dyDescent="0.2">
      <c r="A2563" s="14">
        <v>2539</v>
      </c>
      <c r="B2563" s="14">
        <v>400008950</v>
      </c>
      <c r="C2563" s="8" t="s">
        <v>5197</v>
      </c>
      <c r="D2563" s="4" t="str">
        <f t="shared" si="268"/>
        <v>400008950R1</v>
      </c>
      <c r="E2563" s="309" t="str">
        <f>VLOOKUP($B2563,'D7 - NDB Impacted SPRF''s'!$E$6:$O$9929,2,FALSE)</f>
        <v>Pro/Tech Reimbursement pays more than Global Rate</v>
      </c>
      <c r="F2563" s="8" t="s">
        <v>6633</v>
      </c>
      <c r="G2563" s="8" t="s">
        <v>4758</v>
      </c>
      <c r="H2563" s="8" t="s">
        <v>2870</v>
      </c>
      <c r="I2563" s="20">
        <v>3.2</v>
      </c>
      <c r="J2563" s="8" t="s">
        <v>4862</v>
      </c>
      <c r="K2563" s="182"/>
      <c r="L2563" s="8" t="s">
        <v>4156</v>
      </c>
      <c r="M2563" s="8" t="s">
        <v>2814</v>
      </c>
      <c r="N2563" s="367" t="s">
        <v>7028</v>
      </c>
      <c r="O2563" s="8"/>
      <c r="P2563" s="4" t="str">
        <f>VLOOKUP($B2563,'D7 - NDB Impacted SPRF''s'!$E$16:$O$9929,9,FALSE)</f>
        <v>Y</v>
      </c>
      <c r="Q2563" s="4" t="str">
        <f>VLOOKUP($B2563,'D7 - NDB Impacted SPRF''s'!$E$16:$O$9929,10,FALSE)</f>
        <v>N</v>
      </c>
      <c r="R2563" s="4" t="str">
        <f>VLOOKUP($B2563,'D7 - NDB Impacted SPRF''s'!$E$16:$O$9929,11,FALSE)</f>
        <v>N</v>
      </c>
      <c r="S2563" s="8"/>
      <c r="T2563" s="310"/>
      <c r="U2563" s="310"/>
      <c r="V2563" s="4"/>
      <c r="W2563" s="4"/>
      <c r="X2563" s="4"/>
      <c r="Y2563" s="4"/>
      <c r="Z2563" s="4"/>
      <c r="AA2563" s="4"/>
      <c r="AB2563" s="380" t="str">
        <f>VLOOKUP($B2563,'D7 - NDB Impacted SPRF''s'!$E$16:$O$9929,4,FALSE)</f>
        <v>Cancelled</v>
      </c>
      <c r="AC2563" s="380" t="str">
        <f>VLOOKUP($B2563,'D7 - NDB Impacted SPRF''s'!$E$16:$O$9929,3,FALSE)</f>
        <v>UnitedHealthcare Employer &amp; Individual</v>
      </c>
      <c r="AD2563" s="380" t="str">
        <f>VLOOKUP($B2563,'D7 - NDB Impacted SPRF''s'!$E$16:$O$9929,5,FALSE)</f>
        <v>Medical Cost Savings Programs</v>
      </c>
      <c r="AE2563" s="380" t="str">
        <f>VLOOKUP($B2563,'D7 - NDB Impacted SPRF''s'!$E$16:$O$9929,7,FALSE)</f>
        <v>Tim Kaja</v>
      </c>
      <c r="AF2563" s="380" t="str">
        <f>VLOOKUP($B2563,'D7 - NDB Impacted SPRF''s'!$E$16:$O$9929,6,FALSE)</f>
        <v>CHERYL STAUFFER</v>
      </c>
      <c r="AG2563" s="282" t="s">
        <v>7755</v>
      </c>
      <c r="AH2563" s="311" t="e">
        <f>INDEX('D5 - Gatekeeper - Projects'!$A$4:$AF$1010,$AM2563, 17)</f>
        <v>#N/A</v>
      </c>
      <c r="AI2563" s="8"/>
      <c r="AJ2563" s="57"/>
      <c r="AK2563" s="105"/>
      <c r="AM2563" s="6" t="e">
        <f>MATCH(D2563,'D5 - Gatekeeper - Projects'!$C$4:$C$1010,0)</f>
        <v>#N/A</v>
      </c>
      <c r="AN2563" s="6" t="b">
        <f t="shared" si="265"/>
        <v>1</v>
      </c>
      <c r="AO2563" s="6" t="str">
        <f t="shared" si="266"/>
        <v>OK</v>
      </c>
      <c r="AQ2563" s="6" t="e">
        <f>MATCH($D2563,'D4 - Provider Council Unsched'!$C$11:$C$234,0)</f>
        <v>#N/A</v>
      </c>
      <c r="AR2563" s="6" t="b">
        <f t="shared" si="267"/>
        <v>1</v>
      </c>
      <c r="AS2563" s="6" t="str">
        <f t="shared" si="264"/>
        <v>OK</v>
      </c>
      <c r="AU2563" s="202"/>
      <c r="AV2563" s="262"/>
      <c r="AW2563" s="274"/>
    </row>
    <row r="2564" spans="1:49" s="13" customFormat="1" ht="33.75" x14ac:dyDescent="0.2">
      <c r="A2564" s="14">
        <v>2540</v>
      </c>
      <c r="B2564" s="14">
        <v>400009019</v>
      </c>
      <c r="C2564" s="8" t="s">
        <v>5197</v>
      </c>
      <c r="D2564" s="4" t="str">
        <f t="shared" si="268"/>
        <v>400009019R1</v>
      </c>
      <c r="E2564" s="309" t="str">
        <f>VLOOKUP($B2564,'D7 - NDB Impacted SPRF''s'!$E$6:$O$9929,2,FALSE)</f>
        <v>Student Health Plan &amp; Hospital - 3 Tier UBH</v>
      </c>
      <c r="F2564" s="8"/>
      <c r="G2564" s="8" t="s">
        <v>4758</v>
      </c>
      <c r="H2564" s="8" t="s">
        <v>2870</v>
      </c>
      <c r="I2564" s="20"/>
      <c r="J2564" s="8"/>
      <c r="K2564" s="182"/>
      <c r="L2564" s="8" t="s">
        <v>6164</v>
      </c>
      <c r="M2564" s="8" t="s">
        <v>2814</v>
      </c>
      <c r="N2564" s="367"/>
      <c r="O2564" s="8"/>
      <c r="P2564" s="4" t="str">
        <f>VLOOKUP($B2564,'D7 - NDB Impacted SPRF''s'!$E$16:$O$9929,9,FALSE)</f>
        <v>N</v>
      </c>
      <c r="Q2564" s="4" t="str">
        <f>VLOOKUP($B2564,'D7 - NDB Impacted SPRF''s'!$E$16:$O$9929,10,FALSE)</f>
        <v>N</v>
      </c>
      <c r="R2564" s="4" t="str">
        <f>VLOOKUP($B2564,'D7 - NDB Impacted SPRF''s'!$E$16:$O$9929,11,FALSE)</f>
        <v>N</v>
      </c>
      <c r="S2564" s="8"/>
      <c r="T2564" s="310"/>
      <c r="U2564" s="310"/>
      <c r="V2564" s="4"/>
      <c r="W2564" s="4"/>
      <c r="X2564" s="4"/>
      <c r="Y2564" s="4"/>
      <c r="Z2564" s="4"/>
      <c r="AA2564" s="4"/>
      <c r="AB2564" s="380" t="str">
        <f>VLOOKUP($B2564,'D7 - NDB Impacted SPRF''s'!$E$16:$O$9929,4,FALSE)</f>
        <v>Cancelled</v>
      </c>
      <c r="AC2564" s="380" t="str">
        <f>VLOOKUP($B2564,'D7 - NDB Impacted SPRF''s'!$E$16:$O$9929,3,FALSE)</f>
        <v>UnitedHealthcare Employer &amp; Individual</v>
      </c>
      <c r="AD2564" s="380" t="str">
        <f>VLOOKUP($B2564,'D7 - NDB Impacted SPRF''s'!$E$16:$O$9929,5,FALSE)</f>
        <v>Operations Group</v>
      </c>
      <c r="AE2564" s="380" t="str">
        <f>VLOOKUP($B2564,'D7 - NDB Impacted SPRF''s'!$E$16:$O$9929,7,FALSE)</f>
        <v>Ken Burdick &amp; Mike Turpin</v>
      </c>
      <c r="AF2564" s="380" t="str">
        <f>VLOOKUP($B2564,'D7 - NDB Impacted SPRF''s'!$E$16:$O$9929,6,FALSE)</f>
        <v>LIEM NGUYEN</v>
      </c>
      <c r="AG2564" s="282"/>
      <c r="AH2564" s="311" t="e">
        <f>INDEX('D5 - Gatekeeper - Projects'!$A$4:$AF$1010,$AM2564, 17)</f>
        <v>#N/A</v>
      </c>
      <c r="AI2564" s="8"/>
      <c r="AJ2564" s="57"/>
      <c r="AK2564" s="105"/>
      <c r="AM2564" s="6" t="e">
        <f>MATCH(D2564,'D5 - Gatekeeper - Projects'!$C$4:$C$1010,0)</f>
        <v>#N/A</v>
      </c>
      <c r="AN2564" s="6" t="b">
        <f t="shared" si="265"/>
        <v>1</v>
      </c>
      <c r="AO2564" s="6" t="str">
        <f t="shared" si="266"/>
        <v>OK</v>
      </c>
      <c r="AQ2564" s="6" t="e">
        <f>MATCH($D2564,'D4 - Provider Council Unsched'!$C$11:$C$234,0)</f>
        <v>#N/A</v>
      </c>
      <c r="AR2564" s="6" t="b">
        <f t="shared" si="267"/>
        <v>1</v>
      </c>
      <c r="AS2564" s="6" t="str">
        <f t="shared" ref="AS2564:AS2627" si="269">IF(AND(H2564="2 - Not Scheduled",AR2564=TRUE),"Add","OK")</f>
        <v>OK</v>
      </c>
      <c r="AU2564" s="202"/>
      <c r="AV2564" s="262"/>
      <c r="AW2564" s="274"/>
    </row>
    <row r="2565" spans="1:49" s="13" customFormat="1" x14ac:dyDescent="0.2">
      <c r="A2565" s="14">
        <v>2541</v>
      </c>
      <c r="B2565" s="14">
        <v>400009166</v>
      </c>
      <c r="C2565" s="8" t="s">
        <v>5197</v>
      </c>
      <c r="D2565" s="4" t="str">
        <f t="shared" si="268"/>
        <v>400009166R1</v>
      </c>
      <c r="E2565" s="309" t="str">
        <f>VLOOKUP($B2565,'D7 - NDB Impacted SPRF''s'!$E$6:$O$9929,2,FALSE)</f>
        <v>Medica-NetClaim-Updated Medica iCES Workflow ID</v>
      </c>
      <c r="F2565" s="8" t="s">
        <v>3884</v>
      </c>
      <c r="G2565" s="8" t="s">
        <v>4758</v>
      </c>
      <c r="H2565" s="8" t="s">
        <v>2870</v>
      </c>
      <c r="I2565" s="20"/>
      <c r="J2565" s="8"/>
      <c r="K2565" s="182"/>
      <c r="L2565" s="8" t="s">
        <v>6164</v>
      </c>
      <c r="M2565" s="8" t="s">
        <v>2814</v>
      </c>
      <c r="N2565" s="367"/>
      <c r="O2565" s="8"/>
      <c r="P2565" s="4" t="str">
        <f>VLOOKUP($B2565,'D7 - NDB Impacted SPRF''s'!$E$16:$O$9929,9,FALSE)</f>
        <v>Y</v>
      </c>
      <c r="Q2565" s="4" t="str">
        <f>VLOOKUP($B2565,'D7 - NDB Impacted SPRF''s'!$E$16:$O$9929,10,FALSE)</f>
        <v>N</v>
      </c>
      <c r="R2565" s="4" t="str">
        <f>VLOOKUP($B2565,'D7 - NDB Impacted SPRF''s'!$E$16:$O$9929,11,FALSE)</f>
        <v>N</v>
      </c>
      <c r="S2565" s="8"/>
      <c r="T2565" s="310"/>
      <c r="U2565" s="310"/>
      <c r="V2565" s="4"/>
      <c r="W2565" s="4"/>
      <c r="X2565" s="4"/>
      <c r="Y2565" s="4"/>
      <c r="Z2565" s="4"/>
      <c r="AA2565" s="4"/>
      <c r="AB2565" s="380" t="str">
        <f>VLOOKUP($B2565,'D7 - NDB Impacted SPRF''s'!$E$16:$O$9929,4,FALSE)</f>
        <v>Cancelled</v>
      </c>
      <c r="AC2565" s="380" t="str">
        <f>VLOOKUP($B2565,'D7 - NDB Impacted SPRF''s'!$E$16:$O$9929,3,FALSE)</f>
        <v>UHG Corporate</v>
      </c>
      <c r="AD2565" s="380" t="str">
        <f>VLOOKUP($B2565,'D7 - NDB Impacted SPRF''s'!$E$16:$O$9929,5,FALSE)</f>
        <v>Medica Data Conversion</v>
      </c>
      <c r="AE2565" s="380" t="str">
        <f>VLOOKUP($B2565,'D7 - NDB Impacted SPRF''s'!$E$16:$O$9929,7,FALSE)</f>
        <v>Bev Nyce</v>
      </c>
      <c r="AF2565" s="380" t="str">
        <f>VLOOKUP($B2565,'D7 - NDB Impacted SPRF''s'!$E$16:$O$9929,6,FALSE)</f>
        <v>Daniel Sullivan</v>
      </c>
      <c r="AG2565" s="282"/>
      <c r="AH2565" s="311" t="e">
        <f>INDEX('D5 - Gatekeeper - Projects'!$A$4:$AF$1010,$AM2565, 17)</f>
        <v>#N/A</v>
      </c>
      <c r="AI2565" s="8"/>
      <c r="AJ2565" s="57"/>
      <c r="AK2565" s="105"/>
      <c r="AM2565" s="6" t="e">
        <f>MATCH(D2565,'D5 - Gatekeeper - Projects'!$C$4:$C$1010,0)</f>
        <v>#N/A</v>
      </c>
      <c r="AN2565" s="6" t="b">
        <f t="shared" si="265"/>
        <v>1</v>
      </c>
      <c r="AO2565" s="6" t="str">
        <f t="shared" si="266"/>
        <v>OK</v>
      </c>
      <c r="AQ2565" s="6" t="e">
        <f>MATCH($D2565,'D4 - Provider Council Unsched'!$C$11:$C$234,0)</f>
        <v>#N/A</v>
      </c>
      <c r="AR2565" s="6" t="b">
        <f t="shared" si="267"/>
        <v>1</v>
      </c>
      <c r="AS2565" s="6" t="str">
        <f t="shared" si="269"/>
        <v>OK</v>
      </c>
      <c r="AU2565" s="202"/>
      <c r="AV2565" s="262"/>
      <c r="AW2565" s="274"/>
    </row>
    <row r="2566" spans="1:49" s="13" customFormat="1" ht="33.75" x14ac:dyDescent="0.2">
      <c r="A2566" s="14">
        <v>2542</v>
      </c>
      <c r="B2566" s="14">
        <v>400009191</v>
      </c>
      <c r="C2566" s="8" t="s">
        <v>5197</v>
      </c>
      <c r="D2566" s="4" t="str">
        <f t="shared" si="268"/>
        <v>400009191R1</v>
      </c>
      <c r="E2566" s="309" t="str">
        <f>VLOOKUP($B2566,'D7 - NDB Impacted SPRF''s'!$E$6:$O$9929,2,FALSE)</f>
        <v>Consolidate&amp; Optimize Network Reporting Environmen</v>
      </c>
      <c r="F2566" s="8" t="s">
        <v>3235</v>
      </c>
      <c r="G2566" s="8" t="s">
        <v>4758</v>
      </c>
      <c r="H2566" s="8" t="s">
        <v>2870</v>
      </c>
      <c r="I2566" s="20">
        <v>1.6</v>
      </c>
      <c r="J2566" s="8" t="s">
        <v>7113</v>
      </c>
      <c r="K2566" s="182"/>
      <c r="L2566" s="8" t="s">
        <v>4156</v>
      </c>
      <c r="M2566" s="8" t="s">
        <v>2814</v>
      </c>
      <c r="N2566" s="367" t="s">
        <v>5190</v>
      </c>
      <c r="O2566" s="8"/>
      <c r="P2566" s="4" t="str">
        <f>VLOOKUP($B2566,'D7 - NDB Impacted SPRF''s'!$E$16:$O$9929,9,FALSE)</f>
        <v>N</v>
      </c>
      <c r="Q2566" s="4" t="str">
        <f>VLOOKUP($B2566,'D7 - NDB Impacted SPRF''s'!$E$16:$O$9929,10,FALSE)</f>
        <v>N</v>
      </c>
      <c r="R2566" s="4" t="str">
        <f>VLOOKUP($B2566,'D7 - NDB Impacted SPRF''s'!$E$16:$O$9929,11,FALSE)</f>
        <v>N</v>
      </c>
      <c r="S2566" s="8"/>
      <c r="T2566" s="310"/>
      <c r="U2566" s="310"/>
      <c r="V2566" s="4"/>
      <c r="W2566" s="4"/>
      <c r="X2566" s="4"/>
      <c r="Y2566" s="4"/>
      <c r="Z2566" s="4"/>
      <c r="AA2566" s="4"/>
      <c r="AB2566" s="380" t="str">
        <f>VLOOKUP($B2566,'D7 - NDB Impacted SPRF''s'!$E$16:$O$9929,4,FALSE)</f>
        <v>Cancelled</v>
      </c>
      <c r="AC2566" s="380" t="str">
        <f>VLOOKUP($B2566,'D7 - NDB Impacted SPRF''s'!$E$16:$O$9929,3,FALSE)</f>
        <v>UnitedHealthcare Employer &amp; Individual</v>
      </c>
      <c r="AD2566" s="380" t="str">
        <f>VLOOKUP($B2566,'D7 - NDB Impacted SPRF''s'!$E$16:$O$9929,5,FALSE)</f>
        <v>Operations Group</v>
      </c>
      <c r="AE2566" s="380" t="str">
        <f>VLOOKUP($B2566,'D7 - NDB Impacted SPRF''s'!$E$16:$O$9929,7,FALSE)</f>
        <v>Mike Mikan</v>
      </c>
      <c r="AF2566" s="380" t="str">
        <f>VLOOKUP($B2566,'D7 - NDB Impacted SPRF''s'!$E$16:$O$9929,6,FALSE)</f>
        <v>Paul Caouette</v>
      </c>
      <c r="AG2566" s="282" t="s">
        <v>6682</v>
      </c>
      <c r="AH2566" s="311" t="e">
        <f>INDEX('D5 - Gatekeeper - Projects'!$A$4:$AF$1010,$AM2566, 17)</f>
        <v>#N/A</v>
      </c>
      <c r="AI2566" s="8"/>
      <c r="AJ2566" s="57"/>
      <c r="AK2566" s="105"/>
      <c r="AM2566" s="6" t="e">
        <f>MATCH(D2566,'D5 - Gatekeeper - Projects'!$C$4:$C$1010,0)</f>
        <v>#N/A</v>
      </c>
      <c r="AN2566" s="6" t="b">
        <f t="shared" si="265"/>
        <v>1</v>
      </c>
      <c r="AO2566" s="6" t="str">
        <f t="shared" si="266"/>
        <v>OK</v>
      </c>
      <c r="AQ2566" s="6" t="e">
        <f>MATCH($D2566,'D4 - Provider Council Unsched'!$C$11:$C$234,0)</f>
        <v>#N/A</v>
      </c>
      <c r="AR2566" s="6" t="b">
        <f t="shared" si="267"/>
        <v>1</v>
      </c>
      <c r="AS2566" s="6" t="str">
        <f t="shared" si="269"/>
        <v>OK</v>
      </c>
      <c r="AU2566" s="202"/>
      <c r="AV2566" s="262"/>
      <c r="AW2566" s="274"/>
    </row>
    <row r="2567" spans="1:49" s="13" customFormat="1" ht="22.5" x14ac:dyDescent="0.2">
      <c r="A2567" s="14">
        <v>2543</v>
      </c>
      <c r="B2567" s="14">
        <v>400009235</v>
      </c>
      <c r="C2567" s="8" t="s">
        <v>5197</v>
      </c>
      <c r="D2567" s="4" t="str">
        <f t="shared" si="268"/>
        <v>400009235R1</v>
      </c>
      <c r="E2567" s="309" t="str">
        <f>VLOOKUP($B2567,'D7 - NDB Impacted SPRF''s'!$E$6:$O$9929,2,FALSE)</f>
        <v>Guaranteed Payment Program</v>
      </c>
      <c r="F2567" s="8"/>
      <c r="G2567" s="8" t="s">
        <v>4758</v>
      </c>
      <c r="H2567" s="8" t="s">
        <v>2870</v>
      </c>
      <c r="I2567" s="20"/>
      <c r="J2567" s="8"/>
      <c r="K2567" s="182"/>
      <c r="L2567" s="8" t="s">
        <v>6164</v>
      </c>
      <c r="M2567" s="8" t="s">
        <v>2814</v>
      </c>
      <c r="N2567" s="367"/>
      <c r="O2567" s="8"/>
      <c r="P2567" s="4" t="str">
        <f>VLOOKUP($B2567,'D7 - NDB Impacted SPRF''s'!$E$16:$O$9929,9,FALSE)</f>
        <v>Y</v>
      </c>
      <c r="Q2567" s="4" t="str">
        <f>VLOOKUP($B2567,'D7 - NDB Impacted SPRF''s'!$E$16:$O$9929,10,FALSE)</f>
        <v>N</v>
      </c>
      <c r="R2567" s="4" t="str">
        <f>VLOOKUP($B2567,'D7 - NDB Impacted SPRF''s'!$E$16:$O$9929,11,FALSE)</f>
        <v>N</v>
      </c>
      <c r="S2567" s="8"/>
      <c r="T2567" s="310"/>
      <c r="U2567" s="310"/>
      <c r="V2567" s="4"/>
      <c r="W2567" s="4"/>
      <c r="X2567" s="4"/>
      <c r="Y2567" s="4"/>
      <c r="Z2567" s="4"/>
      <c r="AA2567" s="4"/>
      <c r="AB2567" s="380" t="str">
        <f>VLOOKUP($B2567,'D7 - NDB Impacted SPRF''s'!$E$16:$O$9929,4,FALSE)</f>
        <v>Cancelled</v>
      </c>
      <c r="AC2567" s="380" t="str">
        <f>VLOOKUP($B2567,'D7 - NDB Impacted SPRF''s'!$E$16:$O$9929,3,FALSE)</f>
        <v>Uniprise</v>
      </c>
      <c r="AD2567" s="380" t="str">
        <f>VLOOKUP($B2567,'D7 - NDB Impacted SPRF''s'!$E$16:$O$9929,5,FALSE)</f>
        <v>CFO - Capital Projects</v>
      </c>
      <c r="AE2567" s="380" t="str">
        <f>VLOOKUP($B2567,'D7 - NDB Impacted SPRF''s'!$E$16:$O$9929,7,FALSE)</f>
        <v>Thomas D. Policelli</v>
      </c>
      <c r="AF2567" s="380" t="str">
        <f>VLOOKUP($B2567,'D7 - NDB Impacted SPRF''s'!$E$16:$O$9929,6,FALSE)</f>
        <v>APARNA ABBURI</v>
      </c>
      <c r="AG2567" s="282"/>
      <c r="AH2567" s="311" t="e">
        <f>INDEX('D5 - Gatekeeper - Projects'!$A$4:$AF$1010,$AM2567, 17)</f>
        <v>#N/A</v>
      </c>
      <c r="AI2567" s="8"/>
      <c r="AJ2567" s="57"/>
      <c r="AK2567" s="105"/>
      <c r="AM2567" s="6" t="e">
        <f>MATCH(D2567,'D5 - Gatekeeper - Projects'!$C$4:$C$1010,0)</f>
        <v>#N/A</v>
      </c>
      <c r="AN2567" s="6" t="b">
        <f t="shared" si="265"/>
        <v>1</v>
      </c>
      <c r="AO2567" s="6" t="str">
        <f t="shared" si="266"/>
        <v>OK</v>
      </c>
      <c r="AQ2567" s="6" t="e">
        <f>MATCH($D2567,'D4 - Provider Council Unsched'!$C$11:$C$234,0)</f>
        <v>#N/A</v>
      </c>
      <c r="AR2567" s="6" t="b">
        <f t="shared" si="267"/>
        <v>1</v>
      </c>
      <c r="AS2567" s="6" t="str">
        <f t="shared" si="269"/>
        <v>OK</v>
      </c>
      <c r="AU2567" s="202"/>
      <c r="AV2567" s="262"/>
      <c r="AW2567" s="274"/>
    </row>
    <row r="2568" spans="1:49" s="13" customFormat="1" ht="33.75" x14ac:dyDescent="0.2">
      <c r="A2568" s="14">
        <v>2544</v>
      </c>
      <c r="B2568" s="14">
        <v>400009291</v>
      </c>
      <c r="C2568" s="8" t="s">
        <v>5197</v>
      </c>
      <c r="D2568" s="4" t="str">
        <f t="shared" si="268"/>
        <v>400009291R1</v>
      </c>
      <c r="E2568" s="309" t="str">
        <f>VLOOKUP($B2568,'D7 - NDB Impacted SPRF''s'!$E$6:$O$9929,2,FALSE)</f>
        <v>NDB Orate Contract Level Detail Table Data</v>
      </c>
      <c r="F2568" s="8" t="s">
        <v>3235</v>
      </c>
      <c r="G2568" s="8" t="s">
        <v>4758</v>
      </c>
      <c r="H2568" s="8" t="s">
        <v>2870</v>
      </c>
      <c r="I2568" s="20">
        <v>5.76</v>
      </c>
      <c r="J2568" s="8" t="s">
        <v>4862</v>
      </c>
      <c r="K2568" s="182"/>
      <c r="L2568" s="8" t="s">
        <v>4156</v>
      </c>
      <c r="M2568" s="8" t="s">
        <v>2814</v>
      </c>
      <c r="N2568" s="367" t="s">
        <v>3921</v>
      </c>
      <c r="O2568" s="8"/>
      <c r="P2568" s="4" t="str">
        <f>VLOOKUP($B2568,'D7 - NDB Impacted SPRF''s'!$E$16:$O$9929,9,FALSE)</f>
        <v>N</v>
      </c>
      <c r="Q2568" s="4" t="str">
        <f>VLOOKUP($B2568,'D7 - NDB Impacted SPRF''s'!$E$16:$O$9929,10,FALSE)</f>
        <v>N</v>
      </c>
      <c r="R2568" s="4" t="str">
        <f>VLOOKUP($B2568,'D7 - NDB Impacted SPRF''s'!$E$16:$O$9929,11,FALSE)</f>
        <v>N</v>
      </c>
      <c r="S2568" s="8"/>
      <c r="T2568" s="310"/>
      <c r="U2568" s="310"/>
      <c r="V2568" s="4"/>
      <c r="W2568" s="4"/>
      <c r="X2568" s="4"/>
      <c r="Y2568" s="4"/>
      <c r="Z2568" s="4"/>
      <c r="AA2568" s="4"/>
      <c r="AB2568" s="380" t="str">
        <f>VLOOKUP($B2568,'D7 - NDB Impacted SPRF''s'!$E$16:$O$9929,4,FALSE)</f>
        <v>Cancelled</v>
      </c>
      <c r="AC2568" s="380" t="str">
        <f>VLOOKUP($B2568,'D7 - NDB Impacted SPRF''s'!$E$16:$O$9929,3,FALSE)</f>
        <v>UnitedHealthcare Employer &amp; Individual</v>
      </c>
      <c r="AD2568" s="380" t="str">
        <f>VLOOKUP($B2568,'D7 - NDB Impacted SPRF''s'!$E$16:$O$9929,5,FALSE)</f>
        <v>Process Improvement</v>
      </c>
      <c r="AE2568" s="380" t="str">
        <f>VLOOKUP($B2568,'D7 - NDB Impacted SPRF''s'!$E$16:$O$9929,7,FALSE)</f>
        <v>Peter Bompane</v>
      </c>
      <c r="AF2568" s="380" t="str">
        <f>VLOOKUP($B2568,'D7 - NDB Impacted SPRF''s'!$E$16:$O$9929,6,FALSE)</f>
        <v>AMY CANO</v>
      </c>
      <c r="AG2568" s="282" t="s">
        <v>7755</v>
      </c>
      <c r="AH2568" s="311" t="e">
        <f>INDEX('D5 - Gatekeeper - Projects'!$A$4:$AF$1010,$AM2568, 17)</f>
        <v>#N/A</v>
      </c>
      <c r="AI2568" s="8"/>
      <c r="AJ2568" s="57"/>
      <c r="AK2568" s="105"/>
      <c r="AM2568" s="6" t="e">
        <f>MATCH(D2568,'D5 - Gatekeeper - Projects'!$C$4:$C$1010,0)</f>
        <v>#N/A</v>
      </c>
      <c r="AN2568" s="6" t="b">
        <f t="shared" si="265"/>
        <v>1</v>
      </c>
      <c r="AO2568" s="6" t="str">
        <f t="shared" si="266"/>
        <v>OK</v>
      </c>
      <c r="AQ2568" s="6" t="e">
        <f>MATCH($D2568,'D4 - Provider Council Unsched'!$C$11:$C$234,0)</f>
        <v>#N/A</v>
      </c>
      <c r="AR2568" s="6" t="b">
        <f t="shared" si="267"/>
        <v>1</v>
      </c>
      <c r="AS2568" s="6" t="str">
        <f t="shared" si="269"/>
        <v>OK</v>
      </c>
      <c r="AU2568" s="202"/>
      <c r="AV2568" s="262"/>
      <c r="AW2568" s="274"/>
    </row>
    <row r="2569" spans="1:49" s="13" customFormat="1" ht="33.75" x14ac:dyDescent="0.2">
      <c r="A2569" s="14">
        <v>2545</v>
      </c>
      <c r="B2569" s="14">
        <v>400009316</v>
      </c>
      <c r="C2569" s="8" t="s">
        <v>5197</v>
      </c>
      <c r="D2569" s="4" t="str">
        <f t="shared" si="268"/>
        <v>400009316R1</v>
      </c>
      <c r="E2569" s="309" t="str">
        <f>VLOOKUP($B2569,'D7 - NDB Impacted SPRF''s'!$E$6:$O$9929,2,FALSE)</f>
        <v>EPDL Specialty Extract for GRI</v>
      </c>
      <c r="F2569" s="8" t="s">
        <v>4069</v>
      </c>
      <c r="G2569" s="8" t="s">
        <v>4758</v>
      </c>
      <c r="H2569" s="8" t="s">
        <v>2870</v>
      </c>
      <c r="I2569" s="20"/>
      <c r="J2569" s="8"/>
      <c r="K2569" s="182"/>
      <c r="L2569" s="8" t="s">
        <v>6164</v>
      </c>
      <c r="M2569" s="8" t="s">
        <v>2814</v>
      </c>
      <c r="N2569" s="367"/>
      <c r="O2569" s="8"/>
      <c r="P2569" s="4" t="str">
        <f>VLOOKUP($B2569,'D7 - NDB Impacted SPRF''s'!$E$16:$O$9929,9,FALSE)</f>
        <v>N</v>
      </c>
      <c r="Q2569" s="4" t="str">
        <f>VLOOKUP($B2569,'D7 - NDB Impacted SPRF''s'!$E$16:$O$9929,10,FALSE)</f>
        <v>N</v>
      </c>
      <c r="R2569" s="4" t="str">
        <f>VLOOKUP($B2569,'D7 - NDB Impacted SPRF''s'!$E$16:$O$9929,11,FALSE)</f>
        <v>N</v>
      </c>
      <c r="S2569" s="8"/>
      <c r="T2569" s="310"/>
      <c r="U2569" s="310"/>
      <c r="V2569" s="4"/>
      <c r="W2569" s="4"/>
      <c r="X2569" s="4"/>
      <c r="Y2569" s="4"/>
      <c r="Z2569" s="4"/>
      <c r="AA2569" s="4"/>
      <c r="AB2569" s="380" t="str">
        <f>VLOOKUP($B2569,'D7 - NDB Impacted SPRF''s'!$E$16:$O$9929,4,FALSE)</f>
        <v>Cancelled</v>
      </c>
      <c r="AC2569" s="380" t="str">
        <f>VLOOKUP($B2569,'D7 - NDB Impacted SPRF''s'!$E$16:$O$9929,3,FALSE)</f>
        <v>UnitedHealthcare Employer &amp; Individual</v>
      </c>
      <c r="AD2569" s="380" t="str">
        <f>VLOOKUP($B2569,'D7 - NDB Impacted SPRF''s'!$E$16:$O$9929,5,FALSE)</f>
        <v>Operations Group</v>
      </c>
      <c r="AE2569" s="380" t="str">
        <f>VLOOKUP($B2569,'D7 - NDB Impacted SPRF''s'!$E$16:$O$9929,7,FALSE)</f>
        <v>Patrick Kennedy</v>
      </c>
      <c r="AF2569" s="380" t="str">
        <f>VLOOKUP($B2569,'D7 - NDB Impacted SPRF''s'!$E$16:$O$9929,6,FALSE)</f>
        <v>DONNA SALT</v>
      </c>
      <c r="AG2569" s="282"/>
      <c r="AH2569" s="311" t="e">
        <f>INDEX('D5 - Gatekeeper - Projects'!$A$4:$AF$1010,$AM2569, 17)</f>
        <v>#N/A</v>
      </c>
      <c r="AI2569" s="8"/>
      <c r="AJ2569" s="57"/>
      <c r="AK2569" s="105"/>
      <c r="AM2569" s="6" t="e">
        <f>MATCH(D2569,'D5 - Gatekeeper - Projects'!$C$4:$C$1010,0)</f>
        <v>#N/A</v>
      </c>
      <c r="AN2569" s="6" t="b">
        <f t="shared" si="265"/>
        <v>1</v>
      </c>
      <c r="AO2569" s="6" t="str">
        <f t="shared" si="266"/>
        <v>OK</v>
      </c>
      <c r="AQ2569" s="6" t="e">
        <f>MATCH($D2569,'D4 - Provider Council Unsched'!$C$11:$C$234,0)</f>
        <v>#N/A</v>
      </c>
      <c r="AR2569" s="6" t="b">
        <f t="shared" si="267"/>
        <v>1</v>
      </c>
      <c r="AS2569" s="6" t="str">
        <f t="shared" si="269"/>
        <v>OK</v>
      </c>
      <c r="AU2569" s="202"/>
      <c r="AV2569" s="262"/>
      <c r="AW2569" s="274"/>
    </row>
    <row r="2570" spans="1:49" s="13" customFormat="1" ht="45" x14ac:dyDescent="0.2">
      <c r="A2570" s="14">
        <v>2546</v>
      </c>
      <c r="B2570" s="14">
        <v>400009330</v>
      </c>
      <c r="C2570" s="8" t="s">
        <v>5197</v>
      </c>
      <c r="D2570" s="4" t="str">
        <f t="shared" si="268"/>
        <v>400009330R1</v>
      </c>
      <c r="E2570" s="309" t="e">
        <f>VLOOKUP($B2570,'D7 - NDB Impacted SPRF''s'!$E$6:$O$9929,2,FALSE)</f>
        <v>#N/A</v>
      </c>
      <c r="F2570" s="8" t="s">
        <v>5196</v>
      </c>
      <c r="G2570" s="8" t="s">
        <v>4758</v>
      </c>
      <c r="H2570" s="8" t="s">
        <v>2870</v>
      </c>
      <c r="I2570" s="20"/>
      <c r="J2570" s="8"/>
      <c r="K2570" s="182"/>
      <c r="L2570" s="8" t="s">
        <v>4156</v>
      </c>
      <c r="M2570" s="8" t="s">
        <v>2814</v>
      </c>
      <c r="N2570" s="367" t="s">
        <v>3073</v>
      </c>
      <c r="O2570" s="8"/>
      <c r="P2570" s="4" t="e">
        <f>VLOOKUP($B2570,'D7 - NDB Impacted SPRF''s'!$E$16:$O$9929,9,FALSE)</f>
        <v>#N/A</v>
      </c>
      <c r="Q2570" s="4" t="e">
        <f>VLOOKUP($B2570,'D7 - NDB Impacted SPRF''s'!$E$16:$O$9929,10,FALSE)</f>
        <v>#N/A</v>
      </c>
      <c r="R2570" s="4" t="e">
        <f>VLOOKUP($B2570,'D7 - NDB Impacted SPRF''s'!$E$16:$O$9929,11,FALSE)</f>
        <v>#N/A</v>
      </c>
      <c r="S2570" s="8"/>
      <c r="T2570" s="310"/>
      <c r="U2570" s="310"/>
      <c r="V2570" s="4"/>
      <c r="W2570" s="4"/>
      <c r="X2570" s="4"/>
      <c r="Y2570" s="4"/>
      <c r="Z2570" s="4"/>
      <c r="AA2570" s="4"/>
      <c r="AB2570" s="380" t="e">
        <f>VLOOKUP($B2570,'D7 - NDB Impacted SPRF''s'!$E$16:$O$9929,4,FALSE)</f>
        <v>#N/A</v>
      </c>
      <c r="AC2570" s="380" t="e">
        <f>VLOOKUP($B2570,'D7 - NDB Impacted SPRF''s'!$E$16:$O$9929,3,FALSE)</f>
        <v>#N/A</v>
      </c>
      <c r="AD2570" s="380" t="e">
        <f>VLOOKUP($B2570,'D7 - NDB Impacted SPRF''s'!$E$16:$O$9929,5,FALSE)</f>
        <v>#N/A</v>
      </c>
      <c r="AE2570" s="380" t="e">
        <f>VLOOKUP($B2570,'D7 - NDB Impacted SPRF''s'!$E$16:$O$9929,7,FALSE)</f>
        <v>#N/A</v>
      </c>
      <c r="AF2570" s="380" t="e">
        <f>VLOOKUP($B2570,'D7 - NDB Impacted SPRF''s'!$E$16:$O$9929,6,FALSE)</f>
        <v>#N/A</v>
      </c>
      <c r="AG2570" s="282"/>
      <c r="AH2570" s="311" t="e">
        <f>INDEX('D5 - Gatekeeper - Projects'!$A$4:$AF$1010,$AM2570, 17)</f>
        <v>#N/A</v>
      </c>
      <c r="AI2570" s="8"/>
      <c r="AJ2570" s="57"/>
      <c r="AK2570" s="105"/>
      <c r="AM2570" s="6" t="e">
        <f>MATCH(D2570,'D5 - Gatekeeper - Projects'!$C$4:$C$1010,0)</f>
        <v>#N/A</v>
      </c>
      <c r="AN2570" s="6" t="b">
        <f t="shared" ref="AN2570:AN2633" si="270">ISERROR(AM2570)</f>
        <v>1</v>
      </c>
      <c r="AO2570" s="6" t="str">
        <f t="shared" ref="AO2570:AO2633" si="271">IF(AND(H2570="1 - Scheduled",AN2570=TRUE),"Add","OK")</f>
        <v>OK</v>
      </c>
      <c r="AQ2570" s="6" t="e">
        <f>MATCH($D2570,'D4 - Provider Council Unsched'!$C$11:$C$234,0)</f>
        <v>#N/A</v>
      </c>
      <c r="AR2570" s="6" t="b">
        <f t="shared" ref="AR2570:AR2633" si="272">ISERROR(AQ2570)</f>
        <v>1</v>
      </c>
      <c r="AS2570" s="6" t="str">
        <f t="shared" si="269"/>
        <v>OK</v>
      </c>
      <c r="AU2570" s="202"/>
      <c r="AV2570" s="262"/>
      <c r="AW2570" s="274"/>
    </row>
    <row r="2571" spans="1:49" s="13" customFormat="1" ht="33.75" x14ac:dyDescent="0.2">
      <c r="A2571" s="14">
        <v>2547</v>
      </c>
      <c r="B2571" s="14">
        <v>400009362</v>
      </c>
      <c r="C2571" s="8" t="s">
        <v>5197</v>
      </c>
      <c r="D2571" s="4" t="str">
        <f t="shared" si="268"/>
        <v>400009362R1</v>
      </c>
      <c r="E2571" s="309" t="str">
        <f>VLOOKUP($B2571,'D7 - NDB Impacted SPRF''s'!$E$6:$O$9929,2,FALSE)</f>
        <v>UnitedHealth Premium  - Paper Directory update</v>
      </c>
      <c r="F2571" s="8" t="s">
        <v>5222</v>
      </c>
      <c r="G2571" s="8" t="s">
        <v>4758</v>
      </c>
      <c r="H2571" s="8" t="s">
        <v>2870</v>
      </c>
      <c r="I2571" s="20">
        <v>1.6</v>
      </c>
      <c r="J2571" s="8" t="s">
        <v>4862</v>
      </c>
      <c r="K2571" s="182"/>
      <c r="L2571" s="8" t="s">
        <v>4156</v>
      </c>
      <c r="M2571" s="8" t="s">
        <v>2814</v>
      </c>
      <c r="N2571" s="367" t="s">
        <v>1996</v>
      </c>
      <c r="O2571" s="8"/>
      <c r="P2571" s="4" t="str">
        <f>VLOOKUP($B2571,'D7 - NDB Impacted SPRF''s'!$E$16:$O$9929,9,FALSE)</f>
        <v>N</v>
      </c>
      <c r="Q2571" s="4" t="str">
        <f>VLOOKUP($B2571,'D7 - NDB Impacted SPRF''s'!$E$16:$O$9929,10,FALSE)</f>
        <v>N</v>
      </c>
      <c r="R2571" s="4" t="str">
        <f>VLOOKUP($B2571,'D7 - NDB Impacted SPRF''s'!$E$16:$O$9929,11,FALSE)</f>
        <v>N</v>
      </c>
      <c r="S2571" s="8"/>
      <c r="T2571" s="310"/>
      <c r="U2571" s="310"/>
      <c r="V2571" s="4"/>
      <c r="W2571" s="4"/>
      <c r="X2571" s="4"/>
      <c r="Y2571" s="4"/>
      <c r="Z2571" s="4"/>
      <c r="AA2571" s="4"/>
      <c r="AB2571" s="380" t="str">
        <f>VLOOKUP($B2571,'D7 - NDB Impacted SPRF''s'!$E$16:$O$9929,4,FALSE)</f>
        <v>Cancelled</v>
      </c>
      <c r="AC2571" s="380" t="str">
        <f>VLOOKUP($B2571,'D7 - NDB Impacted SPRF''s'!$E$16:$O$9929,3,FALSE)</f>
        <v>UnitedHealthcare Employer &amp; Individual</v>
      </c>
      <c r="AD2571" s="380" t="str">
        <f>VLOOKUP($B2571,'D7 - NDB Impacted SPRF''s'!$E$16:$O$9929,5,FALSE)</f>
        <v>Operations Group</v>
      </c>
      <c r="AE2571" s="380" t="str">
        <f>VLOOKUP($B2571,'D7 - NDB Impacted SPRF''s'!$E$16:$O$9929,7,FALSE)</f>
        <v xml:space="preserve">Lew Sandy </v>
      </c>
      <c r="AF2571" s="380" t="str">
        <f>VLOOKUP($B2571,'D7 - NDB Impacted SPRF''s'!$E$16:$O$9929,6,FALSE)</f>
        <v>ROBSON DAVID</v>
      </c>
      <c r="AG2571" s="282" t="s">
        <v>6602</v>
      </c>
      <c r="AH2571" s="311" t="e">
        <f>INDEX('D5 - Gatekeeper - Projects'!$A$4:$AF$1010,$AM2571, 17)</f>
        <v>#N/A</v>
      </c>
      <c r="AI2571" s="8"/>
      <c r="AJ2571" s="57"/>
      <c r="AK2571" s="105"/>
      <c r="AM2571" s="6" t="e">
        <f>MATCH(D2571,'D5 - Gatekeeper - Projects'!$C$4:$C$1010,0)</f>
        <v>#N/A</v>
      </c>
      <c r="AN2571" s="6" t="b">
        <f t="shared" si="270"/>
        <v>1</v>
      </c>
      <c r="AO2571" s="6" t="str">
        <f t="shared" si="271"/>
        <v>OK</v>
      </c>
      <c r="AQ2571" s="6" t="e">
        <f>MATCH($D2571,'D4 - Provider Council Unsched'!$C$11:$C$234,0)</f>
        <v>#N/A</v>
      </c>
      <c r="AR2571" s="6" t="b">
        <f t="shared" si="272"/>
        <v>1</v>
      </c>
      <c r="AS2571" s="6" t="str">
        <f t="shared" si="269"/>
        <v>OK</v>
      </c>
      <c r="AU2571" s="202"/>
      <c r="AV2571" s="262"/>
      <c r="AW2571" s="274"/>
    </row>
    <row r="2572" spans="1:49" s="13" customFormat="1" ht="33.75" x14ac:dyDescent="0.2">
      <c r="A2572" s="14">
        <v>2548</v>
      </c>
      <c r="B2572" s="14">
        <v>400009371</v>
      </c>
      <c r="C2572" s="8" t="s">
        <v>5197</v>
      </c>
      <c r="D2572" s="4" t="str">
        <f t="shared" si="268"/>
        <v>400009371R1</v>
      </c>
      <c r="E2572" s="309" t="str">
        <f>VLOOKUP($B2572,'D7 - NDB Impacted SPRF''s'!$E$6:$O$9929,2,FALSE)</f>
        <v>PDS Scrubbing Improvement</v>
      </c>
      <c r="F2572" s="8" t="s">
        <v>5222</v>
      </c>
      <c r="G2572" s="8" t="s">
        <v>4758</v>
      </c>
      <c r="H2572" s="8" t="s">
        <v>2870</v>
      </c>
      <c r="I2572" s="20">
        <v>8.8800000000000008</v>
      </c>
      <c r="J2572" s="8" t="s">
        <v>4862</v>
      </c>
      <c r="K2572" s="182"/>
      <c r="L2572" s="8" t="s">
        <v>4156</v>
      </c>
      <c r="M2572" s="8" t="s">
        <v>2814</v>
      </c>
      <c r="N2572" s="367" t="s">
        <v>5190</v>
      </c>
      <c r="O2572" s="8"/>
      <c r="P2572" s="4" t="str">
        <f>VLOOKUP($B2572,'D7 - NDB Impacted SPRF''s'!$E$16:$O$9929,9,FALSE)</f>
        <v>N</v>
      </c>
      <c r="Q2572" s="4" t="str">
        <f>VLOOKUP($B2572,'D7 - NDB Impacted SPRF''s'!$E$16:$O$9929,10,FALSE)</f>
        <v>N</v>
      </c>
      <c r="R2572" s="4" t="str">
        <f>VLOOKUP($B2572,'D7 - NDB Impacted SPRF''s'!$E$16:$O$9929,11,FALSE)</f>
        <v>N</v>
      </c>
      <c r="S2572" s="8"/>
      <c r="T2572" s="310"/>
      <c r="U2572" s="310"/>
      <c r="V2572" s="4"/>
      <c r="W2572" s="4"/>
      <c r="X2572" s="4"/>
      <c r="Y2572" s="4"/>
      <c r="Z2572" s="4"/>
      <c r="AA2572" s="4"/>
      <c r="AB2572" s="380" t="str">
        <f>VLOOKUP($B2572,'D7 - NDB Impacted SPRF''s'!$E$16:$O$9929,4,FALSE)</f>
        <v>Cancelled</v>
      </c>
      <c r="AC2572" s="380" t="str">
        <f>VLOOKUP($B2572,'D7 - NDB Impacted SPRF''s'!$E$16:$O$9929,3,FALSE)</f>
        <v>UnitedHealthcare Employer &amp; Individual</v>
      </c>
      <c r="AD2572" s="380" t="str">
        <f>VLOOKUP($B2572,'D7 - NDB Impacted SPRF''s'!$E$16:$O$9929,5,FALSE)</f>
        <v>Operations Group</v>
      </c>
      <c r="AE2572" s="380" t="str">
        <f>VLOOKUP($B2572,'D7 - NDB Impacted SPRF''s'!$E$16:$O$9929,7,FALSE)</f>
        <v>Robert King, MD</v>
      </c>
      <c r="AF2572" s="380" t="str">
        <f>VLOOKUP($B2572,'D7 - NDB Impacted SPRF''s'!$E$16:$O$9929,6,FALSE)</f>
        <v>BRENDA BACK</v>
      </c>
      <c r="AG2572" s="282" t="s">
        <v>6602</v>
      </c>
      <c r="AH2572" s="311" t="e">
        <f>INDEX('D5 - Gatekeeper - Projects'!$A$4:$AF$1010,$AM2572, 17)</f>
        <v>#N/A</v>
      </c>
      <c r="AI2572" s="8"/>
      <c r="AJ2572" s="57"/>
      <c r="AK2572" s="105"/>
      <c r="AM2572" s="6" t="e">
        <f>MATCH(D2572,'D5 - Gatekeeper - Projects'!$C$4:$C$1010,0)</f>
        <v>#N/A</v>
      </c>
      <c r="AN2572" s="6" t="b">
        <f t="shared" si="270"/>
        <v>1</v>
      </c>
      <c r="AO2572" s="6" t="str">
        <f t="shared" si="271"/>
        <v>OK</v>
      </c>
      <c r="AQ2572" s="6" t="e">
        <f>MATCH($D2572,'D4 - Provider Council Unsched'!$C$11:$C$234,0)</f>
        <v>#N/A</v>
      </c>
      <c r="AR2572" s="6" t="b">
        <f t="shared" si="272"/>
        <v>1</v>
      </c>
      <c r="AS2572" s="6" t="str">
        <f t="shared" si="269"/>
        <v>OK</v>
      </c>
      <c r="AU2572" s="202"/>
      <c r="AV2572" s="262"/>
      <c r="AW2572" s="274"/>
    </row>
    <row r="2573" spans="1:49" s="13" customFormat="1" ht="22.5" x14ac:dyDescent="0.2">
      <c r="A2573" s="14">
        <v>2549</v>
      </c>
      <c r="B2573" s="14">
        <v>400009419</v>
      </c>
      <c r="C2573" s="8" t="s">
        <v>4963</v>
      </c>
      <c r="D2573" s="4" t="str">
        <f t="shared" si="268"/>
        <v>400009419P1</v>
      </c>
      <c r="E2573" s="309" t="str">
        <f>VLOOKUP($B2573,'D7 - NDB Impacted SPRF''s'!$E$6:$O$9929,2,FALSE)</f>
        <v>Super User Report</v>
      </c>
      <c r="F2573" s="8" t="s">
        <v>5587</v>
      </c>
      <c r="G2573" s="8" t="s">
        <v>4758</v>
      </c>
      <c r="H2573" s="8" t="s">
        <v>2870</v>
      </c>
      <c r="I2573" s="20">
        <v>0.27</v>
      </c>
      <c r="J2573" s="8" t="s">
        <v>4862</v>
      </c>
      <c r="K2573" s="182"/>
      <c r="L2573" s="8" t="s">
        <v>4156</v>
      </c>
      <c r="M2573" s="8" t="s">
        <v>2814</v>
      </c>
      <c r="N2573" s="367" t="s">
        <v>5190</v>
      </c>
      <c r="O2573" s="8"/>
      <c r="P2573" s="4" t="str">
        <f>VLOOKUP($B2573,'D7 - NDB Impacted SPRF''s'!$E$16:$O$9929,9,FALSE)</f>
        <v>N</v>
      </c>
      <c r="Q2573" s="4" t="str">
        <f>VLOOKUP($B2573,'D7 - NDB Impacted SPRF''s'!$E$16:$O$9929,10,FALSE)</f>
        <v>N</v>
      </c>
      <c r="R2573" s="4" t="str">
        <f>VLOOKUP($B2573,'D7 - NDB Impacted SPRF''s'!$E$16:$O$9929,11,FALSE)</f>
        <v>N</v>
      </c>
      <c r="S2573" s="8"/>
      <c r="T2573" s="310"/>
      <c r="U2573" s="310"/>
      <c r="V2573" s="4"/>
      <c r="W2573" s="4"/>
      <c r="X2573" s="4"/>
      <c r="Y2573" s="4"/>
      <c r="Z2573" s="4"/>
      <c r="AA2573" s="4"/>
      <c r="AB2573" s="380" t="str">
        <f>VLOOKUP($B2573,'D7 - NDB Impacted SPRF''s'!$E$16:$O$9929,4,FALSE)</f>
        <v>Cancelled</v>
      </c>
      <c r="AC2573" s="380" t="str">
        <f>VLOOKUP($B2573,'D7 - NDB Impacted SPRF''s'!$E$16:$O$9929,3,FALSE)</f>
        <v>Uniprise</v>
      </c>
      <c r="AD2573" s="380" t="str">
        <f>VLOOKUP($B2573,'D7 - NDB Impacted SPRF''s'!$E$16:$O$9929,5,FALSE)</f>
        <v>Group Services - Capital Projects</v>
      </c>
      <c r="AE2573" s="380" t="str">
        <f>VLOOKUP($B2573,'D7 - NDB Impacted SPRF''s'!$E$16:$O$9929,7,FALSE)</f>
        <v>Margaret Rush</v>
      </c>
      <c r="AF2573" s="380" t="str">
        <f>VLOOKUP($B2573,'D7 - NDB Impacted SPRF''s'!$E$16:$O$9929,6,FALSE)</f>
        <v>Beth Harness</v>
      </c>
      <c r="AG2573" s="282"/>
      <c r="AH2573" s="311" t="e">
        <f>INDEX('D5 - Gatekeeper - Projects'!$A$4:$AF$1010,$AM2573, 17)</f>
        <v>#N/A</v>
      </c>
      <c r="AI2573" s="8"/>
      <c r="AJ2573" s="57"/>
      <c r="AK2573" s="105"/>
      <c r="AM2573" s="6" t="e">
        <f>MATCH(D2573,'D5 - Gatekeeper - Projects'!$C$4:$C$1010,0)</f>
        <v>#N/A</v>
      </c>
      <c r="AN2573" s="6" t="b">
        <f t="shared" si="270"/>
        <v>1</v>
      </c>
      <c r="AO2573" s="6" t="str">
        <f t="shared" si="271"/>
        <v>OK</v>
      </c>
      <c r="AQ2573" s="6" t="e">
        <f>MATCH($D2573,'D4 - Provider Council Unsched'!$C$11:$C$234,0)</f>
        <v>#N/A</v>
      </c>
      <c r="AR2573" s="6" t="b">
        <f t="shared" si="272"/>
        <v>1</v>
      </c>
      <c r="AS2573" s="6" t="str">
        <f t="shared" si="269"/>
        <v>OK</v>
      </c>
      <c r="AU2573" s="202"/>
      <c r="AV2573" s="262"/>
      <c r="AW2573" s="274"/>
    </row>
    <row r="2574" spans="1:49" s="13" customFormat="1" ht="22.5" x14ac:dyDescent="0.2">
      <c r="A2574" s="14">
        <v>2550</v>
      </c>
      <c r="B2574" s="14">
        <v>400009428</v>
      </c>
      <c r="C2574" s="8" t="s">
        <v>1992</v>
      </c>
      <c r="D2574" s="4" t="str">
        <f t="shared" si="268"/>
        <v>400009428U1</v>
      </c>
      <c r="E2574" s="309" t="str">
        <f>VLOOKUP($B2574,'D7 - NDB Impacted SPRF''s'!$E$6:$O$9929,2,FALSE)</f>
        <v>Consumer Database (CDB) Release 1.1</v>
      </c>
      <c r="F2574" s="8" t="s">
        <v>7243</v>
      </c>
      <c r="G2574" s="8" t="s">
        <v>4758</v>
      </c>
      <c r="H2574" s="8" t="s">
        <v>2870</v>
      </c>
      <c r="I2574" s="20">
        <v>5.6</v>
      </c>
      <c r="J2574" s="8" t="s">
        <v>4862</v>
      </c>
      <c r="K2574" s="182"/>
      <c r="L2574" s="8" t="s">
        <v>4156</v>
      </c>
      <c r="M2574" s="8" t="s">
        <v>2814</v>
      </c>
      <c r="N2574" s="367" t="s">
        <v>7293</v>
      </c>
      <c r="O2574" s="8"/>
      <c r="P2574" s="4" t="str">
        <f>VLOOKUP($B2574,'D7 - NDB Impacted SPRF''s'!$E$16:$O$9929,9,FALSE)</f>
        <v>Y</v>
      </c>
      <c r="Q2574" s="4" t="str">
        <f>VLOOKUP($B2574,'D7 - NDB Impacted SPRF''s'!$E$16:$O$9929,10,FALSE)</f>
        <v>N</v>
      </c>
      <c r="R2574" s="4" t="str">
        <f>VLOOKUP($B2574,'D7 - NDB Impacted SPRF''s'!$E$16:$O$9929,11,FALSE)</f>
        <v>N</v>
      </c>
      <c r="S2574" s="8"/>
      <c r="T2574" s="310"/>
      <c r="U2574" s="310"/>
      <c r="V2574" s="4"/>
      <c r="W2574" s="4"/>
      <c r="X2574" s="4"/>
      <c r="Y2574" s="4"/>
      <c r="Z2574" s="4"/>
      <c r="AA2574" s="4"/>
      <c r="AB2574" s="380" t="str">
        <f>VLOOKUP($B2574,'D7 - NDB Impacted SPRF''s'!$E$16:$O$9929,4,FALSE)</f>
        <v>Completed</v>
      </c>
      <c r="AC2574" s="380" t="str">
        <f>VLOOKUP($B2574,'D7 - NDB Impacted SPRF''s'!$E$16:$O$9929,3,FALSE)</f>
        <v>Uniprise</v>
      </c>
      <c r="AD2574" s="380" t="str">
        <f>VLOOKUP($B2574,'D7 - NDB Impacted SPRF''s'!$E$16:$O$9929,5,FALSE)</f>
        <v>Group Services - Capital Projects</v>
      </c>
      <c r="AE2574" s="380" t="str">
        <f>VLOOKUP($B2574,'D7 - NDB Impacted SPRF''s'!$E$16:$O$9929,7,FALSE)</f>
        <v>Steven Auerbach</v>
      </c>
      <c r="AF2574" s="380" t="str">
        <f>VLOOKUP($B2574,'D7 - NDB Impacted SPRF''s'!$E$16:$O$9929,6,FALSE)</f>
        <v>WILLIAM CAVANAUGH</v>
      </c>
      <c r="AG2574" s="282"/>
      <c r="AH2574" s="311" t="e">
        <f>INDEX('D5 - Gatekeeper - Projects'!$A$4:$AF$1010,$AM2574, 17)</f>
        <v>#N/A</v>
      </c>
      <c r="AI2574" s="8"/>
      <c r="AJ2574" s="57"/>
      <c r="AK2574" s="105"/>
      <c r="AM2574" s="6" t="e">
        <f>MATCH(D2574,'D5 - Gatekeeper - Projects'!$C$4:$C$1010,0)</f>
        <v>#N/A</v>
      </c>
      <c r="AN2574" s="6" t="b">
        <f t="shared" si="270"/>
        <v>1</v>
      </c>
      <c r="AO2574" s="6" t="str">
        <f t="shared" si="271"/>
        <v>OK</v>
      </c>
      <c r="AQ2574" s="6" t="e">
        <f>MATCH($D2574,'D4 - Provider Council Unsched'!$C$11:$C$234,0)</f>
        <v>#N/A</v>
      </c>
      <c r="AR2574" s="6" t="b">
        <f t="shared" si="272"/>
        <v>1</v>
      </c>
      <c r="AS2574" s="6" t="str">
        <f t="shared" si="269"/>
        <v>OK</v>
      </c>
      <c r="AU2574" s="202"/>
      <c r="AV2574" s="262"/>
      <c r="AW2574" s="274"/>
    </row>
    <row r="2575" spans="1:49" s="13" customFormat="1" ht="33.75" x14ac:dyDescent="0.2">
      <c r="A2575" s="14">
        <v>2551</v>
      </c>
      <c r="B2575" s="14">
        <v>400009433</v>
      </c>
      <c r="C2575" s="8" t="s">
        <v>5197</v>
      </c>
      <c r="D2575" s="4" t="str">
        <f t="shared" si="268"/>
        <v>400009433R1</v>
      </c>
      <c r="E2575" s="309" t="str">
        <f>VLOOKUP($B2575,'D7 - NDB Impacted SPRF''s'!$E$6:$O$9929,2,FALSE)</f>
        <v>Claims Repricing - R5, Physician Two-way Repricing</v>
      </c>
      <c r="F2575" s="8" t="s">
        <v>4304</v>
      </c>
      <c r="G2575" s="8" t="s">
        <v>4758</v>
      </c>
      <c r="H2575" s="8" t="s">
        <v>2870</v>
      </c>
      <c r="I2575" s="20">
        <v>11.07</v>
      </c>
      <c r="J2575" s="8" t="s">
        <v>4862</v>
      </c>
      <c r="K2575" s="182"/>
      <c r="L2575" s="8" t="s">
        <v>4156</v>
      </c>
      <c r="M2575" s="8" t="s">
        <v>2814</v>
      </c>
      <c r="N2575" s="367" t="s">
        <v>7479</v>
      </c>
      <c r="O2575" s="8"/>
      <c r="P2575" s="4" t="str">
        <f>VLOOKUP($B2575,'D7 - NDB Impacted SPRF''s'!$E$16:$O$9929,9,FALSE)</f>
        <v>Y</v>
      </c>
      <c r="Q2575" s="4" t="str">
        <f>VLOOKUP($B2575,'D7 - NDB Impacted SPRF''s'!$E$16:$O$9929,10,FALSE)</f>
        <v>N</v>
      </c>
      <c r="R2575" s="4" t="str">
        <f>VLOOKUP($B2575,'D7 - NDB Impacted SPRF''s'!$E$16:$O$9929,11,FALSE)</f>
        <v>N</v>
      </c>
      <c r="S2575" s="8"/>
      <c r="T2575" s="310"/>
      <c r="U2575" s="310"/>
      <c r="V2575" s="4"/>
      <c r="W2575" s="4"/>
      <c r="X2575" s="4"/>
      <c r="Y2575" s="4"/>
      <c r="Z2575" s="4"/>
      <c r="AA2575" s="4"/>
      <c r="AB2575" s="380" t="str">
        <f>VLOOKUP($B2575,'D7 - NDB Impacted SPRF''s'!$E$16:$O$9929,4,FALSE)</f>
        <v>Cancelled</v>
      </c>
      <c r="AC2575" s="380" t="str">
        <f>VLOOKUP($B2575,'D7 - NDB Impacted SPRF''s'!$E$16:$O$9929,3,FALSE)</f>
        <v>UnitedHealthcare Employer &amp; Individual</v>
      </c>
      <c r="AD2575" s="380" t="str">
        <f>VLOOKUP($B2575,'D7 - NDB Impacted SPRF''s'!$E$16:$O$9929,5,FALSE)</f>
        <v>Medical Cost Savings Programs</v>
      </c>
      <c r="AE2575" s="380" t="str">
        <f>VLOOKUP($B2575,'D7 - NDB Impacted SPRF''s'!$E$16:$O$9929,7,FALSE)</f>
        <v>Mike Mikan, Dirk McMahon</v>
      </c>
      <c r="AF2575" s="380" t="str">
        <f>VLOOKUP($B2575,'D7 - NDB Impacted SPRF''s'!$E$16:$O$9929,6,FALSE)</f>
        <v>Matthew E Johnson</v>
      </c>
      <c r="AG2575" s="282" t="s">
        <v>6162</v>
      </c>
      <c r="AH2575" s="311" t="e">
        <f>INDEX('D5 - Gatekeeper - Projects'!$A$4:$AF$1010,$AM2575, 17)</f>
        <v>#N/A</v>
      </c>
      <c r="AI2575" s="8"/>
      <c r="AJ2575" s="57"/>
      <c r="AK2575" s="105"/>
      <c r="AM2575" s="6" t="e">
        <f>MATCH(D2575,'D5 - Gatekeeper - Projects'!$C$4:$C$1010,0)</f>
        <v>#N/A</v>
      </c>
      <c r="AN2575" s="6" t="b">
        <f t="shared" si="270"/>
        <v>1</v>
      </c>
      <c r="AO2575" s="6" t="str">
        <f t="shared" si="271"/>
        <v>OK</v>
      </c>
      <c r="AQ2575" s="6" t="e">
        <f>MATCH($D2575,'D4 - Provider Council Unsched'!$C$11:$C$234,0)</f>
        <v>#N/A</v>
      </c>
      <c r="AR2575" s="6" t="b">
        <f t="shared" si="272"/>
        <v>1</v>
      </c>
      <c r="AS2575" s="6" t="str">
        <f t="shared" si="269"/>
        <v>OK</v>
      </c>
      <c r="AU2575" s="202"/>
      <c r="AV2575" s="262"/>
      <c r="AW2575" s="274"/>
    </row>
    <row r="2576" spans="1:49" s="13" customFormat="1" ht="33.75" x14ac:dyDescent="0.2">
      <c r="A2576" s="14">
        <v>2552</v>
      </c>
      <c r="B2576" s="14">
        <v>400009475</v>
      </c>
      <c r="C2576" s="8" t="s">
        <v>5197</v>
      </c>
      <c r="D2576" s="4" t="str">
        <f t="shared" si="268"/>
        <v>400009475R1</v>
      </c>
      <c r="E2576" s="309" t="str">
        <f>VLOOKUP($B2576,'D7 - NDB Impacted SPRF''s'!$E$6:$O$9929,2,FALSE)</f>
        <v>GHMO-Capitation Automation Design &amp; Development</v>
      </c>
      <c r="F2576" s="8" t="s">
        <v>4168</v>
      </c>
      <c r="G2576" s="8" t="s">
        <v>4758</v>
      </c>
      <c r="H2576" s="8" t="s">
        <v>2870</v>
      </c>
      <c r="I2576" s="20"/>
      <c r="J2576" s="8"/>
      <c r="K2576" s="182"/>
      <c r="L2576" s="8" t="s">
        <v>6164</v>
      </c>
      <c r="M2576" s="8" t="s">
        <v>2814</v>
      </c>
      <c r="N2576" s="367"/>
      <c r="O2576" s="8"/>
      <c r="P2576" s="4" t="str">
        <f>VLOOKUP($B2576,'D7 - NDB Impacted SPRF''s'!$E$16:$O$9929,9,FALSE)</f>
        <v>Y</v>
      </c>
      <c r="Q2576" s="4" t="str">
        <f>VLOOKUP($B2576,'D7 - NDB Impacted SPRF''s'!$E$16:$O$9929,10,FALSE)</f>
        <v>N</v>
      </c>
      <c r="R2576" s="4" t="str">
        <f>VLOOKUP($B2576,'D7 - NDB Impacted SPRF''s'!$E$16:$O$9929,11,FALSE)</f>
        <v>N</v>
      </c>
      <c r="S2576" s="8"/>
      <c r="T2576" s="310"/>
      <c r="U2576" s="310"/>
      <c r="V2576" s="4"/>
      <c r="W2576" s="4"/>
      <c r="X2576" s="4"/>
      <c r="Y2576" s="4"/>
      <c r="Z2576" s="4"/>
      <c r="AA2576" s="4"/>
      <c r="AB2576" s="380" t="str">
        <f>VLOOKUP($B2576,'D7 - NDB Impacted SPRF''s'!$E$16:$O$9929,4,FALSE)</f>
        <v>Cancelled</v>
      </c>
      <c r="AC2576" s="380" t="str">
        <f>VLOOKUP($B2576,'D7 - NDB Impacted SPRF''s'!$E$16:$O$9929,3,FALSE)</f>
        <v>UnitedHealthcare Employer &amp; Individual</v>
      </c>
      <c r="AD2576" s="380" t="str">
        <f>VLOOKUP($B2576,'D7 - NDB Impacted SPRF''s'!$E$16:$O$9929,5,FALSE)</f>
        <v>Pacificare Integration</v>
      </c>
      <c r="AE2576" s="380" t="str">
        <f>VLOOKUP($B2576,'D7 - NDB Impacted SPRF''s'!$E$16:$O$9929,7,FALSE)</f>
        <v>Diane Schofield</v>
      </c>
      <c r="AF2576" s="380" t="str">
        <f>VLOOKUP($B2576,'D7 - NDB Impacted SPRF''s'!$E$16:$O$9929,6,FALSE)</f>
        <v>Debi Streb</v>
      </c>
      <c r="AG2576" s="282"/>
      <c r="AH2576" s="311" t="e">
        <f>INDEX('D5 - Gatekeeper - Projects'!$A$4:$AF$1010,$AM2576, 17)</f>
        <v>#N/A</v>
      </c>
      <c r="AI2576" s="8"/>
      <c r="AJ2576" s="57"/>
      <c r="AK2576" s="105"/>
      <c r="AM2576" s="6" t="e">
        <f>MATCH(D2576,'D5 - Gatekeeper - Projects'!$C$4:$C$1010,0)</f>
        <v>#N/A</v>
      </c>
      <c r="AN2576" s="6" t="b">
        <f t="shared" si="270"/>
        <v>1</v>
      </c>
      <c r="AO2576" s="6" t="str">
        <f t="shared" si="271"/>
        <v>OK</v>
      </c>
      <c r="AQ2576" s="6" t="e">
        <f>MATCH($D2576,'D4 - Provider Council Unsched'!$C$11:$C$234,0)</f>
        <v>#N/A</v>
      </c>
      <c r="AR2576" s="6" t="b">
        <f t="shared" si="272"/>
        <v>1</v>
      </c>
      <c r="AS2576" s="6" t="str">
        <f t="shared" si="269"/>
        <v>OK</v>
      </c>
      <c r="AU2576" s="202"/>
      <c r="AV2576" s="262"/>
      <c r="AW2576" s="274"/>
    </row>
    <row r="2577" spans="1:49" s="13" customFormat="1" ht="33.75" x14ac:dyDescent="0.2">
      <c r="A2577" s="14">
        <v>2553</v>
      </c>
      <c r="B2577" s="14">
        <v>400009567</v>
      </c>
      <c r="C2577" s="8" t="s">
        <v>5197</v>
      </c>
      <c r="D2577" s="4" t="str">
        <f t="shared" si="268"/>
        <v>400009567R1</v>
      </c>
      <c r="E2577" s="309" t="str">
        <f>VLOOKUP($B2577,'D7 - NDB Impacted SPRF''s'!$E$6:$O$9929,2,FALSE)</f>
        <v>MAMSI Utilization Management</v>
      </c>
      <c r="F2577" s="8" t="s">
        <v>5196</v>
      </c>
      <c r="G2577" s="8" t="s">
        <v>4758</v>
      </c>
      <c r="H2577" s="8" t="s">
        <v>2870</v>
      </c>
      <c r="I2577" s="20">
        <v>1.33</v>
      </c>
      <c r="J2577" s="8" t="s">
        <v>4862</v>
      </c>
      <c r="K2577" s="182"/>
      <c r="L2577" s="8" t="s">
        <v>4156</v>
      </c>
      <c r="M2577" s="8" t="s">
        <v>2814</v>
      </c>
      <c r="N2577" s="65" t="s">
        <v>5453</v>
      </c>
      <c r="O2577" s="8"/>
      <c r="P2577" s="4" t="str">
        <f>VLOOKUP($B2577,'D7 - NDB Impacted SPRF''s'!$E$16:$O$9929,9,FALSE)</f>
        <v>Y</v>
      </c>
      <c r="Q2577" s="4" t="str">
        <f>VLOOKUP($B2577,'D7 - NDB Impacted SPRF''s'!$E$16:$O$9929,10,FALSE)</f>
        <v>N</v>
      </c>
      <c r="R2577" s="4" t="str">
        <f>VLOOKUP($B2577,'D7 - NDB Impacted SPRF''s'!$E$16:$O$9929,11,FALSE)</f>
        <v>N</v>
      </c>
      <c r="S2577" s="8"/>
      <c r="T2577" s="310"/>
      <c r="U2577" s="310"/>
      <c r="V2577" s="4"/>
      <c r="W2577" s="4"/>
      <c r="X2577" s="4"/>
      <c r="Y2577" s="4"/>
      <c r="Z2577" s="4"/>
      <c r="AA2577" s="4"/>
      <c r="AB2577" s="380" t="str">
        <f>VLOOKUP($B2577,'D7 - NDB Impacted SPRF''s'!$E$16:$O$9929,4,FALSE)</f>
        <v>Cancelled</v>
      </c>
      <c r="AC2577" s="380" t="str">
        <f>VLOOKUP($B2577,'D7 - NDB Impacted SPRF''s'!$E$16:$O$9929,3,FALSE)</f>
        <v>UnitedHealthcare Employer &amp; Individual</v>
      </c>
      <c r="AD2577" s="380" t="str">
        <f>VLOOKUP($B2577,'D7 - NDB Impacted SPRF''s'!$E$16:$O$9929,5,FALSE)</f>
        <v>Integration Requirements</v>
      </c>
      <c r="AE2577" s="380" t="str">
        <f>VLOOKUP($B2577,'D7 - NDB Impacted SPRF''s'!$E$16:$O$9929,7,FALSE)</f>
        <v>Diane Schofield</v>
      </c>
      <c r="AF2577" s="380" t="str">
        <f>VLOOKUP($B2577,'D7 - NDB Impacted SPRF''s'!$E$16:$O$9929,6,FALSE)</f>
        <v>Jennifer Steffens</v>
      </c>
      <c r="AG2577" s="282" t="s">
        <v>7755</v>
      </c>
      <c r="AH2577" s="311" t="e">
        <f>INDEX('D5 - Gatekeeper - Projects'!$A$4:$AF$1010,$AM2577, 17)</f>
        <v>#N/A</v>
      </c>
      <c r="AI2577" s="8"/>
      <c r="AJ2577" s="57"/>
      <c r="AK2577" s="105"/>
      <c r="AM2577" s="6" t="e">
        <f>MATCH(D2577,'D5 - Gatekeeper - Projects'!$C$4:$C$1010,0)</f>
        <v>#N/A</v>
      </c>
      <c r="AN2577" s="6" t="b">
        <f t="shared" si="270"/>
        <v>1</v>
      </c>
      <c r="AO2577" s="6" t="str">
        <f t="shared" si="271"/>
        <v>OK</v>
      </c>
      <c r="AQ2577" s="6" t="e">
        <f>MATCH($D2577,'D4 - Provider Council Unsched'!$C$11:$C$234,0)</f>
        <v>#N/A</v>
      </c>
      <c r="AR2577" s="6" t="b">
        <f t="shared" si="272"/>
        <v>1</v>
      </c>
      <c r="AS2577" s="6" t="str">
        <f t="shared" si="269"/>
        <v>OK</v>
      </c>
      <c r="AU2577" s="202"/>
      <c r="AV2577" s="262"/>
      <c r="AW2577" s="274"/>
    </row>
    <row r="2578" spans="1:49" s="13" customFormat="1" ht="33.75" x14ac:dyDescent="0.2">
      <c r="A2578" s="14">
        <v>2554</v>
      </c>
      <c r="B2578" s="14">
        <v>400009592</v>
      </c>
      <c r="C2578" s="8" t="s">
        <v>6723</v>
      </c>
      <c r="D2578" s="4" t="str">
        <f t="shared" si="268"/>
        <v>400009592CC09</v>
      </c>
      <c r="E2578" s="309" t="str">
        <f>VLOOKUP($B2578,'D7 - NDB Impacted SPRF''s'!$E$6:$O$9929,2,FALSE)</f>
        <v>Online Case Submission and Installation Project P3</v>
      </c>
      <c r="F2578" s="8" t="s">
        <v>2114</v>
      </c>
      <c r="G2578" s="8" t="s">
        <v>4758</v>
      </c>
      <c r="H2578" s="8" t="s">
        <v>2870</v>
      </c>
      <c r="I2578" s="20"/>
      <c r="J2578" s="8"/>
      <c r="K2578" s="182"/>
      <c r="L2578" s="8" t="s">
        <v>4156</v>
      </c>
      <c r="M2578" s="8" t="s">
        <v>2814</v>
      </c>
      <c r="N2578" s="367" t="s">
        <v>8110</v>
      </c>
      <c r="O2578" s="8"/>
      <c r="P2578" s="4" t="str">
        <f>VLOOKUP($B2578,'D7 - NDB Impacted SPRF''s'!$E$16:$O$9929,9,FALSE)</f>
        <v>N</v>
      </c>
      <c r="Q2578" s="4" t="str">
        <f>VLOOKUP($B2578,'D7 - NDB Impacted SPRF''s'!$E$16:$O$9929,10,FALSE)</f>
        <v>N</v>
      </c>
      <c r="R2578" s="4" t="str">
        <f>VLOOKUP($B2578,'D7 - NDB Impacted SPRF''s'!$E$16:$O$9929,11,FALSE)</f>
        <v>N</v>
      </c>
      <c r="S2578" s="8"/>
      <c r="T2578" s="310"/>
      <c r="U2578" s="310"/>
      <c r="V2578" s="4"/>
      <c r="W2578" s="4"/>
      <c r="X2578" s="4"/>
      <c r="Y2578" s="4"/>
      <c r="Z2578" s="4"/>
      <c r="AA2578" s="4"/>
      <c r="AB2578" s="380" t="str">
        <f>VLOOKUP($B2578,'D7 - NDB Impacted SPRF''s'!$E$16:$O$9929,4,FALSE)</f>
        <v>Completed</v>
      </c>
      <c r="AC2578" s="380" t="str">
        <f>VLOOKUP($B2578,'D7 - NDB Impacted SPRF''s'!$E$16:$O$9929,3,FALSE)</f>
        <v>UnitedHealthcare Employer &amp; Individual</v>
      </c>
      <c r="AD2578" s="380" t="str">
        <f>VLOOKUP($B2578,'D7 - NDB Impacted SPRF''s'!$E$16:$O$9929,5,FALSE)</f>
        <v>Membership Growth / Revenue Programs</v>
      </c>
      <c r="AE2578" s="380" t="str">
        <f>VLOOKUP($B2578,'D7 - NDB Impacted SPRF''s'!$E$16:$O$9929,7,FALSE)</f>
        <v>Simeon Schindelman</v>
      </c>
      <c r="AF2578" s="380" t="str">
        <f>VLOOKUP($B2578,'D7 - NDB Impacted SPRF''s'!$E$16:$O$9929,6,FALSE)</f>
        <v>SCHULSTAD LOIS</v>
      </c>
      <c r="AG2578" s="282"/>
      <c r="AH2578" s="311" t="e">
        <f>INDEX('D5 - Gatekeeper - Projects'!$A$4:$AF$1010,$AM2578, 17)</f>
        <v>#N/A</v>
      </c>
      <c r="AI2578" s="8"/>
      <c r="AJ2578" s="57"/>
      <c r="AK2578" s="105"/>
      <c r="AM2578" s="6" t="e">
        <f>MATCH(D2578,'D5 - Gatekeeper - Projects'!$C$4:$C$1010,0)</f>
        <v>#N/A</v>
      </c>
      <c r="AN2578" s="6" t="b">
        <f t="shared" si="270"/>
        <v>1</v>
      </c>
      <c r="AO2578" s="6" t="str">
        <f t="shared" si="271"/>
        <v>OK</v>
      </c>
      <c r="AQ2578" s="6" t="e">
        <f>MATCH($D2578,'D4 - Provider Council Unsched'!$C$11:$C$234,0)</f>
        <v>#N/A</v>
      </c>
      <c r="AR2578" s="6" t="b">
        <f t="shared" si="272"/>
        <v>1</v>
      </c>
      <c r="AS2578" s="6" t="str">
        <f t="shared" si="269"/>
        <v>OK</v>
      </c>
      <c r="AU2578" s="202"/>
      <c r="AV2578" s="262"/>
      <c r="AW2578" s="274"/>
    </row>
    <row r="2579" spans="1:49" s="13" customFormat="1" ht="33.75" x14ac:dyDescent="0.2">
      <c r="A2579" s="14">
        <v>2555</v>
      </c>
      <c r="B2579" s="14">
        <v>400009636</v>
      </c>
      <c r="C2579" s="8" t="s">
        <v>5197</v>
      </c>
      <c r="D2579" s="4" t="str">
        <f t="shared" si="268"/>
        <v>400009636R1</v>
      </c>
      <c r="E2579" s="309" t="str">
        <f>VLOOKUP($B2579,'D7 - NDB Impacted SPRF''s'!$E$6:$O$9929,2,FALSE)</f>
        <v>Consumer Portal Site Redesign - Pre-enrollment</v>
      </c>
      <c r="F2579" s="8" t="s">
        <v>5536</v>
      </c>
      <c r="G2579" s="8" t="s">
        <v>4758</v>
      </c>
      <c r="H2579" s="8" t="s">
        <v>2870</v>
      </c>
      <c r="I2579" s="20">
        <v>0</v>
      </c>
      <c r="J2579" s="8" t="s">
        <v>4862</v>
      </c>
      <c r="K2579" s="182"/>
      <c r="L2579" s="8" t="s">
        <v>4156</v>
      </c>
      <c r="M2579" s="8" t="s">
        <v>2814</v>
      </c>
      <c r="N2579" s="367" t="s">
        <v>5190</v>
      </c>
      <c r="O2579" s="8"/>
      <c r="P2579" s="4" t="str">
        <f>VLOOKUP($B2579,'D7 - NDB Impacted SPRF''s'!$E$16:$O$9929,9,FALSE)</f>
        <v>N</v>
      </c>
      <c r="Q2579" s="4" t="str">
        <f>VLOOKUP($B2579,'D7 - NDB Impacted SPRF''s'!$E$16:$O$9929,10,FALSE)</f>
        <v>N</v>
      </c>
      <c r="R2579" s="4" t="str">
        <f>VLOOKUP($B2579,'D7 - NDB Impacted SPRF''s'!$E$16:$O$9929,11,FALSE)</f>
        <v>N</v>
      </c>
      <c r="S2579" s="8"/>
      <c r="T2579" s="310"/>
      <c r="U2579" s="310"/>
      <c r="V2579" s="4"/>
      <c r="W2579" s="4"/>
      <c r="X2579" s="4"/>
      <c r="Y2579" s="4"/>
      <c r="Z2579" s="4"/>
      <c r="AA2579" s="4"/>
      <c r="AB2579" s="380" t="str">
        <f>VLOOKUP($B2579,'D7 - NDB Impacted SPRF''s'!$E$16:$O$9929,4,FALSE)</f>
        <v>Cancelled</v>
      </c>
      <c r="AC2579" s="380" t="str">
        <f>VLOOKUP($B2579,'D7 - NDB Impacted SPRF''s'!$E$16:$O$9929,3,FALSE)</f>
        <v>Uniprise</v>
      </c>
      <c r="AD2579" s="380" t="str">
        <f>VLOOKUP($B2579,'D7 - NDB Impacted SPRF''s'!$E$16:$O$9929,5,FALSE)</f>
        <v>Group Services - Capital Projects</v>
      </c>
      <c r="AE2579" s="380" t="str">
        <f>VLOOKUP($B2579,'D7 - NDB Impacted SPRF''s'!$E$16:$O$9929,7,FALSE)</f>
        <v>Meg Rush</v>
      </c>
      <c r="AF2579" s="380" t="str">
        <f>VLOOKUP($B2579,'D7 - NDB Impacted SPRF''s'!$E$16:$O$9929,6,FALSE)</f>
        <v>RATNA ZZZZZNANISETTY</v>
      </c>
      <c r="AG2579" s="282"/>
      <c r="AH2579" s="311" t="e">
        <f>INDEX('D5 - Gatekeeper - Projects'!$A$4:$AF$1010,$AM2579, 17)</f>
        <v>#N/A</v>
      </c>
      <c r="AI2579" s="8"/>
      <c r="AJ2579" s="57"/>
      <c r="AK2579" s="105"/>
      <c r="AM2579" s="6" t="e">
        <f>MATCH(D2579,'D5 - Gatekeeper - Projects'!$C$4:$C$1010,0)</f>
        <v>#N/A</v>
      </c>
      <c r="AN2579" s="6" t="b">
        <f t="shared" si="270"/>
        <v>1</v>
      </c>
      <c r="AO2579" s="6" t="str">
        <f t="shared" si="271"/>
        <v>OK</v>
      </c>
      <c r="AQ2579" s="6" t="e">
        <f>MATCH($D2579,'D4 - Provider Council Unsched'!$C$11:$C$234,0)</f>
        <v>#N/A</v>
      </c>
      <c r="AR2579" s="6" t="b">
        <f t="shared" si="272"/>
        <v>1</v>
      </c>
      <c r="AS2579" s="6" t="str">
        <f t="shared" si="269"/>
        <v>OK</v>
      </c>
      <c r="AU2579" s="202"/>
      <c r="AV2579" s="262"/>
      <c r="AW2579" s="274"/>
    </row>
    <row r="2580" spans="1:49" s="13" customFormat="1" ht="22.5" x14ac:dyDescent="0.2">
      <c r="A2580" s="14">
        <v>2556</v>
      </c>
      <c r="B2580" s="14">
        <v>400009643</v>
      </c>
      <c r="C2580" s="8" t="s">
        <v>5197</v>
      </c>
      <c r="D2580" s="4" t="str">
        <f t="shared" si="268"/>
        <v>400009643R1</v>
      </c>
      <c r="E2580" s="309" t="e">
        <f>VLOOKUP($B2580,'D7 - NDB Impacted SPRF''s'!$E$6:$O$9929,2,FALSE)</f>
        <v>#N/A</v>
      </c>
      <c r="F2580" s="8" t="s">
        <v>6633</v>
      </c>
      <c r="G2580" s="8" t="s">
        <v>4758</v>
      </c>
      <c r="H2580" s="8" t="s">
        <v>2870</v>
      </c>
      <c r="I2580" s="20"/>
      <c r="J2580" s="8" t="s">
        <v>7113</v>
      </c>
      <c r="K2580" s="182"/>
      <c r="L2580" s="8" t="s">
        <v>4156</v>
      </c>
      <c r="M2580" s="8" t="s">
        <v>2814</v>
      </c>
      <c r="N2580" s="367" t="s">
        <v>4045</v>
      </c>
      <c r="O2580" s="8"/>
      <c r="P2580" s="4" t="e">
        <f>VLOOKUP($B2580,'D7 - NDB Impacted SPRF''s'!$E$16:$O$9929,9,FALSE)</f>
        <v>#N/A</v>
      </c>
      <c r="Q2580" s="4" t="e">
        <f>VLOOKUP($B2580,'D7 - NDB Impacted SPRF''s'!$E$16:$O$9929,10,FALSE)</f>
        <v>#N/A</v>
      </c>
      <c r="R2580" s="4" t="e">
        <f>VLOOKUP($B2580,'D7 - NDB Impacted SPRF''s'!$E$16:$O$9929,11,FALSE)</f>
        <v>#N/A</v>
      </c>
      <c r="S2580" s="8"/>
      <c r="T2580" s="310"/>
      <c r="U2580" s="310"/>
      <c r="V2580" s="4"/>
      <c r="W2580" s="4"/>
      <c r="X2580" s="4"/>
      <c r="Y2580" s="4"/>
      <c r="Z2580" s="4"/>
      <c r="AA2580" s="4"/>
      <c r="AB2580" s="380" t="e">
        <f>VLOOKUP($B2580,'D7 - NDB Impacted SPRF''s'!$E$16:$O$9929,4,FALSE)</f>
        <v>#N/A</v>
      </c>
      <c r="AC2580" s="380" t="e">
        <f>VLOOKUP($B2580,'D7 - NDB Impacted SPRF''s'!$E$16:$O$9929,3,FALSE)</f>
        <v>#N/A</v>
      </c>
      <c r="AD2580" s="380" t="e">
        <f>VLOOKUP($B2580,'D7 - NDB Impacted SPRF''s'!$E$16:$O$9929,5,FALSE)</f>
        <v>#N/A</v>
      </c>
      <c r="AE2580" s="380" t="e">
        <f>VLOOKUP($B2580,'D7 - NDB Impacted SPRF''s'!$E$16:$O$9929,7,FALSE)</f>
        <v>#N/A</v>
      </c>
      <c r="AF2580" s="380" t="e">
        <f>VLOOKUP($B2580,'D7 - NDB Impacted SPRF''s'!$E$16:$O$9929,6,FALSE)</f>
        <v>#N/A</v>
      </c>
      <c r="AG2580" s="282"/>
      <c r="AH2580" s="311" t="e">
        <f>INDEX('D5 - Gatekeeper - Projects'!$A$4:$AF$1010,$AM2580, 17)</f>
        <v>#N/A</v>
      </c>
      <c r="AI2580" s="8"/>
      <c r="AJ2580" s="57"/>
      <c r="AK2580" s="105"/>
      <c r="AM2580" s="6" t="e">
        <f>MATCH(D2580,'D5 - Gatekeeper - Projects'!$C$4:$C$1010,0)</f>
        <v>#N/A</v>
      </c>
      <c r="AN2580" s="6" t="b">
        <f t="shared" si="270"/>
        <v>1</v>
      </c>
      <c r="AO2580" s="6" t="str">
        <f t="shared" si="271"/>
        <v>OK</v>
      </c>
      <c r="AQ2580" s="6" t="e">
        <f>MATCH($D2580,'D4 - Provider Council Unsched'!$C$11:$C$234,0)</f>
        <v>#N/A</v>
      </c>
      <c r="AR2580" s="6" t="b">
        <f t="shared" si="272"/>
        <v>1</v>
      </c>
      <c r="AS2580" s="6" t="str">
        <f t="shared" si="269"/>
        <v>OK</v>
      </c>
      <c r="AU2580" s="202"/>
      <c r="AV2580" s="262"/>
      <c r="AW2580" s="274"/>
    </row>
    <row r="2581" spans="1:49" s="13" customFormat="1" ht="22.5" x14ac:dyDescent="0.2">
      <c r="A2581" s="14">
        <v>2557</v>
      </c>
      <c r="B2581" s="14">
        <v>400009644</v>
      </c>
      <c r="C2581" s="8" t="s">
        <v>5197</v>
      </c>
      <c r="D2581" s="4" t="str">
        <f t="shared" si="268"/>
        <v>400009644R1</v>
      </c>
      <c r="E2581" s="309" t="e">
        <f>VLOOKUP($B2581,'D7 - NDB Impacted SPRF''s'!$E$6:$O$9929,2,FALSE)</f>
        <v>#N/A</v>
      </c>
      <c r="F2581" s="8" t="s">
        <v>6633</v>
      </c>
      <c r="G2581" s="8" t="s">
        <v>4758</v>
      </c>
      <c r="H2581" s="8" t="s">
        <v>2870</v>
      </c>
      <c r="I2581" s="20"/>
      <c r="J2581" s="8" t="s">
        <v>7113</v>
      </c>
      <c r="K2581" s="182"/>
      <c r="L2581" s="8" t="s">
        <v>4156</v>
      </c>
      <c r="M2581" s="8" t="s">
        <v>2814</v>
      </c>
      <c r="N2581" s="367" t="s">
        <v>7152</v>
      </c>
      <c r="O2581" s="8"/>
      <c r="P2581" s="4" t="e">
        <f>VLOOKUP($B2581,'D7 - NDB Impacted SPRF''s'!$E$16:$O$9929,9,FALSE)</f>
        <v>#N/A</v>
      </c>
      <c r="Q2581" s="4" t="e">
        <f>VLOOKUP($B2581,'D7 - NDB Impacted SPRF''s'!$E$16:$O$9929,10,FALSE)</f>
        <v>#N/A</v>
      </c>
      <c r="R2581" s="4" t="e">
        <f>VLOOKUP($B2581,'D7 - NDB Impacted SPRF''s'!$E$16:$O$9929,11,FALSE)</f>
        <v>#N/A</v>
      </c>
      <c r="S2581" s="8"/>
      <c r="T2581" s="310"/>
      <c r="U2581" s="310"/>
      <c r="V2581" s="4"/>
      <c r="W2581" s="4"/>
      <c r="X2581" s="4"/>
      <c r="Y2581" s="4"/>
      <c r="Z2581" s="4"/>
      <c r="AA2581" s="4"/>
      <c r="AB2581" s="380" t="e">
        <f>VLOOKUP($B2581,'D7 - NDB Impacted SPRF''s'!$E$16:$O$9929,4,FALSE)</f>
        <v>#N/A</v>
      </c>
      <c r="AC2581" s="380" t="e">
        <f>VLOOKUP($B2581,'D7 - NDB Impacted SPRF''s'!$E$16:$O$9929,3,FALSE)</f>
        <v>#N/A</v>
      </c>
      <c r="AD2581" s="380" t="e">
        <f>VLOOKUP($B2581,'D7 - NDB Impacted SPRF''s'!$E$16:$O$9929,5,FALSE)</f>
        <v>#N/A</v>
      </c>
      <c r="AE2581" s="380" t="e">
        <f>VLOOKUP($B2581,'D7 - NDB Impacted SPRF''s'!$E$16:$O$9929,7,FALSE)</f>
        <v>#N/A</v>
      </c>
      <c r="AF2581" s="380" t="e">
        <f>VLOOKUP($B2581,'D7 - NDB Impacted SPRF''s'!$E$16:$O$9929,6,FALSE)</f>
        <v>#N/A</v>
      </c>
      <c r="AG2581" s="282"/>
      <c r="AH2581" s="311" t="e">
        <f>INDEX('D5 - Gatekeeper - Projects'!$A$4:$AF$1010,$AM2581, 17)</f>
        <v>#N/A</v>
      </c>
      <c r="AI2581" s="8"/>
      <c r="AJ2581" s="57"/>
      <c r="AK2581" s="105"/>
      <c r="AM2581" s="6" t="e">
        <f>MATCH(D2581,'D5 - Gatekeeper - Projects'!$C$4:$C$1010,0)</f>
        <v>#N/A</v>
      </c>
      <c r="AN2581" s="6" t="b">
        <f t="shared" si="270"/>
        <v>1</v>
      </c>
      <c r="AO2581" s="6" t="str">
        <f t="shared" si="271"/>
        <v>OK</v>
      </c>
      <c r="AQ2581" s="6" t="e">
        <f>MATCH($D2581,'D4 - Provider Council Unsched'!$C$11:$C$234,0)</f>
        <v>#N/A</v>
      </c>
      <c r="AR2581" s="6" t="b">
        <f t="shared" si="272"/>
        <v>1</v>
      </c>
      <c r="AS2581" s="6" t="str">
        <f t="shared" si="269"/>
        <v>OK</v>
      </c>
      <c r="AU2581" s="202"/>
      <c r="AV2581" s="262"/>
      <c r="AW2581" s="274"/>
    </row>
    <row r="2582" spans="1:49" s="13" customFormat="1" ht="22.5" x14ac:dyDescent="0.2">
      <c r="A2582" s="14">
        <v>2558</v>
      </c>
      <c r="B2582" s="14">
        <v>400009645</v>
      </c>
      <c r="C2582" s="8" t="s">
        <v>5197</v>
      </c>
      <c r="D2582" s="4" t="str">
        <f t="shared" si="268"/>
        <v>400009645R1</v>
      </c>
      <c r="E2582" s="309" t="e">
        <f>VLOOKUP($B2582,'D7 - NDB Impacted SPRF''s'!$E$6:$O$9929,2,FALSE)</f>
        <v>#N/A</v>
      </c>
      <c r="F2582" s="8" t="s">
        <v>6633</v>
      </c>
      <c r="G2582" s="8" t="s">
        <v>4758</v>
      </c>
      <c r="H2582" s="8" t="s">
        <v>2870</v>
      </c>
      <c r="I2582" s="20"/>
      <c r="J2582" s="8" t="s">
        <v>7113</v>
      </c>
      <c r="K2582" s="182"/>
      <c r="L2582" s="8" t="s">
        <v>4156</v>
      </c>
      <c r="M2582" s="8" t="s">
        <v>2814</v>
      </c>
      <c r="N2582" s="367" t="s">
        <v>6709</v>
      </c>
      <c r="O2582" s="8"/>
      <c r="P2582" s="4" t="e">
        <f>VLOOKUP($B2582,'D7 - NDB Impacted SPRF''s'!$E$16:$O$9929,9,FALSE)</f>
        <v>#N/A</v>
      </c>
      <c r="Q2582" s="4" t="e">
        <f>VLOOKUP($B2582,'D7 - NDB Impacted SPRF''s'!$E$16:$O$9929,10,FALSE)</f>
        <v>#N/A</v>
      </c>
      <c r="R2582" s="4" t="e">
        <f>VLOOKUP($B2582,'D7 - NDB Impacted SPRF''s'!$E$16:$O$9929,11,FALSE)</f>
        <v>#N/A</v>
      </c>
      <c r="S2582" s="8"/>
      <c r="T2582" s="310"/>
      <c r="U2582" s="310"/>
      <c r="V2582" s="4"/>
      <c r="W2582" s="4"/>
      <c r="X2582" s="4"/>
      <c r="Y2582" s="4"/>
      <c r="Z2582" s="4"/>
      <c r="AA2582" s="4"/>
      <c r="AB2582" s="380" t="e">
        <f>VLOOKUP($B2582,'D7 - NDB Impacted SPRF''s'!$E$16:$O$9929,4,FALSE)</f>
        <v>#N/A</v>
      </c>
      <c r="AC2582" s="380" t="e">
        <f>VLOOKUP($B2582,'D7 - NDB Impacted SPRF''s'!$E$16:$O$9929,3,FALSE)</f>
        <v>#N/A</v>
      </c>
      <c r="AD2582" s="380" t="e">
        <f>VLOOKUP($B2582,'D7 - NDB Impacted SPRF''s'!$E$16:$O$9929,5,FALSE)</f>
        <v>#N/A</v>
      </c>
      <c r="AE2582" s="380" t="e">
        <f>VLOOKUP($B2582,'D7 - NDB Impacted SPRF''s'!$E$16:$O$9929,7,FALSE)</f>
        <v>#N/A</v>
      </c>
      <c r="AF2582" s="380" t="e">
        <f>VLOOKUP($B2582,'D7 - NDB Impacted SPRF''s'!$E$16:$O$9929,6,FALSE)</f>
        <v>#N/A</v>
      </c>
      <c r="AG2582" s="282"/>
      <c r="AH2582" s="311" t="e">
        <f>INDEX('D5 - Gatekeeper - Projects'!$A$4:$AF$1010,$AM2582, 17)</f>
        <v>#N/A</v>
      </c>
      <c r="AI2582" s="8"/>
      <c r="AJ2582" s="57"/>
      <c r="AK2582" s="105"/>
      <c r="AM2582" s="6" t="e">
        <f>MATCH(D2582,'D5 - Gatekeeper - Projects'!$C$4:$C$1010,0)</f>
        <v>#N/A</v>
      </c>
      <c r="AN2582" s="6" t="b">
        <f t="shared" si="270"/>
        <v>1</v>
      </c>
      <c r="AO2582" s="6" t="str">
        <f t="shared" si="271"/>
        <v>OK</v>
      </c>
      <c r="AQ2582" s="6" t="e">
        <f>MATCH($D2582,'D4 - Provider Council Unsched'!$C$11:$C$234,0)</f>
        <v>#N/A</v>
      </c>
      <c r="AR2582" s="6" t="b">
        <f t="shared" si="272"/>
        <v>1</v>
      </c>
      <c r="AS2582" s="6" t="str">
        <f t="shared" si="269"/>
        <v>OK</v>
      </c>
      <c r="AU2582" s="202"/>
      <c r="AV2582" s="262"/>
      <c r="AW2582" s="274"/>
    </row>
    <row r="2583" spans="1:49" s="13" customFormat="1" ht="45" x14ac:dyDescent="0.2">
      <c r="A2583" s="14">
        <v>2559</v>
      </c>
      <c r="B2583" s="14">
        <v>400009650</v>
      </c>
      <c r="C2583" s="8" t="s">
        <v>5197</v>
      </c>
      <c r="D2583" s="4" t="str">
        <f t="shared" si="268"/>
        <v>400009650R1</v>
      </c>
      <c r="E2583" s="309" t="str">
        <f>VLOOKUP($B2583,'D7 - NDB Impacted SPRF''s'!$E$6:$O$9929,2,FALSE)</f>
        <v>Medica-DataSharing CCMS (Ref/Auth/Not) Integration</v>
      </c>
      <c r="F2583" s="8" t="s">
        <v>5196</v>
      </c>
      <c r="G2583" s="8" t="s">
        <v>4758</v>
      </c>
      <c r="H2583" s="8" t="s">
        <v>2870</v>
      </c>
      <c r="I2583" s="20">
        <v>3.17</v>
      </c>
      <c r="J2583" s="8" t="s">
        <v>4862</v>
      </c>
      <c r="K2583" s="182"/>
      <c r="L2583" s="8" t="s">
        <v>4156</v>
      </c>
      <c r="M2583" s="8" t="s">
        <v>2814</v>
      </c>
      <c r="N2583" s="367" t="s">
        <v>4970</v>
      </c>
      <c r="O2583" s="8"/>
      <c r="P2583" s="4" t="str">
        <f>VLOOKUP($B2583,'D7 - NDB Impacted SPRF''s'!$E$16:$O$9929,9,FALSE)</f>
        <v>Y</v>
      </c>
      <c r="Q2583" s="4" t="str">
        <f>VLOOKUP($B2583,'D7 - NDB Impacted SPRF''s'!$E$16:$O$9929,10,FALSE)</f>
        <v>N</v>
      </c>
      <c r="R2583" s="4" t="str">
        <f>VLOOKUP($B2583,'D7 - NDB Impacted SPRF''s'!$E$16:$O$9929,11,FALSE)</f>
        <v>N</v>
      </c>
      <c r="S2583" s="8"/>
      <c r="T2583" s="310"/>
      <c r="U2583" s="310"/>
      <c r="V2583" s="4"/>
      <c r="W2583" s="4"/>
      <c r="X2583" s="4"/>
      <c r="Y2583" s="4"/>
      <c r="Z2583" s="4"/>
      <c r="AA2583" s="4"/>
      <c r="AB2583" s="380" t="str">
        <f>VLOOKUP($B2583,'D7 - NDB Impacted SPRF''s'!$E$16:$O$9929,4,FALSE)</f>
        <v>Completed</v>
      </c>
      <c r="AC2583" s="380" t="str">
        <f>VLOOKUP($B2583,'D7 - NDB Impacted SPRF''s'!$E$16:$O$9929,3,FALSE)</f>
        <v>Alliance</v>
      </c>
      <c r="AD2583" s="380" t="str">
        <f>VLOOKUP($B2583,'D7 - NDB Impacted SPRF''s'!$E$16:$O$9929,5,FALSE)</f>
        <v>Medica UNET Conversion</v>
      </c>
      <c r="AE2583" s="380" t="str">
        <f>VLOOKUP($B2583,'D7 - NDB Impacted SPRF''s'!$E$16:$O$9929,7,FALSE)</f>
        <v>Diane Schofield</v>
      </c>
      <c r="AF2583" s="380" t="str">
        <f>VLOOKUP($B2583,'D7 - NDB Impacted SPRF''s'!$E$16:$O$9929,6,FALSE)</f>
        <v>STEVEN BERG</v>
      </c>
      <c r="AG2583" s="282"/>
      <c r="AH2583" s="311" t="e">
        <f>INDEX('D5 - Gatekeeper - Projects'!$A$4:$AF$1010,$AM2583, 17)</f>
        <v>#N/A</v>
      </c>
      <c r="AI2583" s="8"/>
      <c r="AJ2583" s="57"/>
      <c r="AK2583" s="105"/>
      <c r="AM2583" s="6" t="e">
        <f>MATCH(D2583,'D5 - Gatekeeper - Projects'!$C$4:$C$1010,0)</f>
        <v>#N/A</v>
      </c>
      <c r="AN2583" s="6" t="b">
        <f t="shared" si="270"/>
        <v>1</v>
      </c>
      <c r="AO2583" s="6" t="str">
        <f t="shared" si="271"/>
        <v>OK</v>
      </c>
      <c r="AQ2583" s="6" t="e">
        <f>MATCH($D2583,'D4 - Provider Council Unsched'!$C$11:$C$234,0)</f>
        <v>#N/A</v>
      </c>
      <c r="AR2583" s="6" t="b">
        <f t="shared" si="272"/>
        <v>1</v>
      </c>
      <c r="AS2583" s="6" t="str">
        <f t="shared" si="269"/>
        <v>OK</v>
      </c>
      <c r="AU2583" s="202"/>
      <c r="AV2583" s="262"/>
      <c r="AW2583" s="274"/>
    </row>
    <row r="2584" spans="1:49" s="13" customFormat="1" ht="33.75" x14ac:dyDescent="0.2">
      <c r="A2584" s="14">
        <v>2560</v>
      </c>
      <c r="B2584" s="14">
        <v>400009678</v>
      </c>
      <c r="C2584" s="8" t="s">
        <v>5197</v>
      </c>
      <c r="D2584" s="4" t="str">
        <f t="shared" si="268"/>
        <v>400009678R1</v>
      </c>
      <c r="E2584" s="309" t="str">
        <f>VLOOKUP($B2584,'D7 - NDB Impacted SPRF''s'!$E$6:$O$9929,2,FALSE)</f>
        <v>Fix Medicaid field from 12 char to 13 chars</v>
      </c>
      <c r="F2584" s="8" t="s">
        <v>7420</v>
      </c>
      <c r="G2584" s="8" t="s">
        <v>4758</v>
      </c>
      <c r="H2584" s="8" t="s">
        <v>2870</v>
      </c>
      <c r="I2584" s="20"/>
      <c r="J2584" s="8"/>
      <c r="K2584" s="182"/>
      <c r="L2584" s="8" t="s">
        <v>6164</v>
      </c>
      <c r="M2584" s="8" t="s">
        <v>2814</v>
      </c>
      <c r="N2584" s="367"/>
      <c r="O2584" s="8"/>
      <c r="P2584" s="4" t="str">
        <f>VLOOKUP($B2584,'D7 - NDB Impacted SPRF''s'!$E$16:$O$9929,9,FALSE)</f>
        <v>N</v>
      </c>
      <c r="Q2584" s="4" t="str">
        <f>VLOOKUP($B2584,'D7 - NDB Impacted SPRF''s'!$E$16:$O$9929,10,FALSE)</f>
        <v>N</v>
      </c>
      <c r="R2584" s="4" t="str">
        <f>VLOOKUP($B2584,'D7 - NDB Impacted SPRF''s'!$E$16:$O$9929,11,FALSE)</f>
        <v>N</v>
      </c>
      <c r="S2584" s="8"/>
      <c r="T2584" s="310"/>
      <c r="U2584" s="310"/>
      <c r="V2584" s="4"/>
      <c r="W2584" s="4"/>
      <c r="X2584" s="4"/>
      <c r="Y2584" s="4"/>
      <c r="Z2584" s="4"/>
      <c r="AA2584" s="4"/>
      <c r="AB2584" s="380" t="str">
        <f>VLOOKUP($B2584,'D7 - NDB Impacted SPRF''s'!$E$16:$O$9929,4,FALSE)</f>
        <v>Cancelled</v>
      </c>
      <c r="AC2584" s="380" t="str">
        <f>VLOOKUP($B2584,'D7 - NDB Impacted SPRF''s'!$E$16:$O$9929,3,FALSE)</f>
        <v>UnitedHealthcare Employer &amp; Individual</v>
      </c>
      <c r="AD2584" s="380" t="str">
        <f>VLOOKUP($B2584,'D7 - NDB Impacted SPRF''s'!$E$16:$O$9929,5,FALSE)</f>
        <v>Operations Group</v>
      </c>
      <c r="AE2584" s="380" t="str">
        <f>VLOOKUP($B2584,'D7 - NDB Impacted SPRF''s'!$E$16:$O$9929,7,FALSE)</f>
        <v>Peter Bompane</v>
      </c>
      <c r="AF2584" s="380" t="str">
        <f>VLOOKUP($B2584,'D7 - NDB Impacted SPRF''s'!$E$16:$O$9929,6,FALSE)</f>
        <v>GREGORY MILLS</v>
      </c>
      <c r="AG2584" s="282"/>
      <c r="AH2584" s="311" t="e">
        <f>INDEX('D5 - Gatekeeper - Projects'!$A$4:$AF$1010,$AM2584, 17)</f>
        <v>#N/A</v>
      </c>
      <c r="AI2584" s="8"/>
      <c r="AJ2584" s="57"/>
      <c r="AK2584" s="105"/>
      <c r="AM2584" s="6" t="e">
        <f>MATCH(D2584,'D5 - Gatekeeper - Projects'!$C$4:$C$1010,0)</f>
        <v>#N/A</v>
      </c>
      <c r="AN2584" s="6" t="b">
        <f t="shared" si="270"/>
        <v>1</v>
      </c>
      <c r="AO2584" s="6" t="str">
        <f t="shared" si="271"/>
        <v>OK</v>
      </c>
      <c r="AQ2584" s="6" t="e">
        <f>MATCH($D2584,'D4 - Provider Council Unsched'!$C$11:$C$234,0)</f>
        <v>#N/A</v>
      </c>
      <c r="AR2584" s="6" t="b">
        <f t="shared" si="272"/>
        <v>1</v>
      </c>
      <c r="AS2584" s="6" t="str">
        <f t="shared" si="269"/>
        <v>OK</v>
      </c>
      <c r="AU2584" s="202"/>
      <c r="AV2584" s="262"/>
      <c r="AW2584" s="274"/>
    </row>
    <row r="2585" spans="1:49" s="13" customFormat="1" ht="112.5" x14ac:dyDescent="0.2">
      <c r="A2585" s="14">
        <v>2561</v>
      </c>
      <c r="B2585" s="14">
        <v>400009686</v>
      </c>
      <c r="C2585" s="8" t="s">
        <v>5197</v>
      </c>
      <c r="D2585" s="4" t="str">
        <f t="shared" si="268"/>
        <v>400009686R1</v>
      </c>
      <c r="E2585" s="309" t="e">
        <f>VLOOKUP($B2585,'D7 - NDB Impacted SPRF''s'!$E$6:$O$9929,2,FALSE)</f>
        <v>#N/A</v>
      </c>
      <c r="F2585" s="8" t="s">
        <v>4961</v>
      </c>
      <c r="G2585" s="8" t="s">
        <v>4758</v>
      </c>
      <c r="H2585" s="8" t="s">
        <v>2870</v>
      </c>
      <c r="I2585" s="20"/>
      <c r="J2585" s="8"/>
      <c r="K2585" s="182"/>
      <c r="L2585" s="8" t="s">
        <v>4156</v>
      </c>
      <c r="M2585" s="8" t="s">
        <v>2814</v>
      </c>
      <c r="N2585" s="367" t="s">
        <v>6548</v>
      </c>
      <c r="O2585" s="8"/>
      <c r="P2585" s="4" t="e">
        <f>VLOOKUP($B2585,'D7 - NDB Impacted SPRF''s'!$E$16:$O$9929,9,FALSE)</f>
        <v>#N/A</v>
      </c>
      <c r="Q2585" s="4" t="e">
        <f>VLOOKUP($B2585,'D7 - NDB Impacted SPRF''s'!$E$16:$O$9929,10,FALSE)</f>
        <v>#N/A</v>
      </c>
      <c r="R2585" s="4" t="e">
        <f>VLOOKUP($B2585,'D7 - NDB Impacted SPRF''s'!$E$16:$O$9929,11,FALSE)</f>
        <v>#N/A</v>
      </c>
      <c r="S2585" s="8"/>
      <c r="T2585" s="310"/>
      <c r="U2585" s="310"/>
      <c r="V2585" s="4"/>
      <c r="W2585" s="4"/>
      <c r="X2585" s="4"/>
      <c r="Y2585" s="4"/>
      <c r="Z2585" s="4"/>
      <c r="AA2585" s="4"/>
      <c r="AB2585" s="380" t="e">
        <f>VLOOKUP($B2585,'D7 - NDB Impacted SPRF''s'!$E$16:$O$9929,4,FALSE)</f>
        <v>#N/A</v>
      </c>
      <c r="AC2585" s="380" t="e">
        <f>VLOOKUP($B2585,'D7 - NDB Impacted SPRF''s'!$E$16:$O$9929,3,FALSE)</f>
        <v>#N/A</v>
      </c>
      <c r="AD2585" s="380" t="e">
        <f>VLOOKUP($B2585,'D7 - NDB Impacted SPRF''s'!$E$16:$O$9929,5,FALSE)</f>
        <v>#N/A</v>
      </c>
      <c r="AE2585" s="380" t="e">
        <f>VLOOKUP($B2585,'D7 - NDB Impacted SPRF''s'!$E$16:$O$9929,7,FALSE)</f>
        <v>#N/A</v>
      </c>
      <c r="AF2585" s="380" t="e">
        <f>VLOOKUP($B2585,'D7 - NDB Impacted SPRF''s'!$E$16:$O$9929,6,FALSE)</f>
        <v>#N/A</v>
      </c>
      <c r="AG2585" s="282"/>
      <c r="AH2585" s="311" t="e">
        <f>INDEX('D5 - Gatekeeper - Projects'!$A$4:$AF$1010,$AM2585, 17)</f>
        <v>#N/A</v>
      </c>
      <c r="AI2585" s="8"/>
      <c r="AJ2585" s="57"/>
      <c r="AK2585" s="105"/>
      <c r="AM2585" s="6" t="e">
        <f>MATCH(D2585,'D5 - Gatekeeper - Projects'!$C$4:$C$1010,0)</f>
        <v>#N/A</v>
      </c>
      <c r="AN2585" s="6" t="b">
        <f t="shared" si="270"/>
        <v>1</v>
      </c>
      <c r="AO2585" s="6" t="str">
        <f t="shared" si="271"/>
        <v>OK</v>
      </c>
      <c r="AQ2585" s="6" t="e">
        <f>MATCH($D2585,'D4 - Provider Council Unsched'!$C$11:$C$234,0)</f>
        <v>#N/A</v>
      </c>
      <c r="AR2585" s="6" t="b">
        <f t="shared" si="272"/>
        <v>1</v>
      </c>
      <c r="AS2585" s="6" t="str">
        <f t="shared" si="269"/>
        <v>OK</v>
      </c>
      <c r="AU2585" s="202"/>
      <c r="AV2585" s="262"/>
      <c r="AW2585" s="274"/>
    </row>
    <row r="2586" spans="1:49" s="13" customFormat="1" ht="33.75" x14ac:dyDescent="0.2">
      <c r="A2586" s="14">
        <v>2562</v>
      </c>
      <c r="B2586" s="14">
        <v>400009770</v>
      </c>
      <c r="C2586" s="8" t="s">
        <v>5197</v>
      </c>
      <c r="D2586" s="4" t="str">
        <f t="shared" si="268"/>
        <v>400009770R1</v>
      </c>
      <c r="E2586" s="309" t="str">
        <f>VLOOKUP($B2586,'D7 - NDB Impacted SPRF''s'!$E$6:$O$9929,2,FALSE)</f>
        <v>Capitation Automation Tactical Approach-Phase I</v>
      </c>
      <c r="F2586" s="8" t="s">
        <v>7593</v>
      </c>
      <c r="G2586" s="8" t="s">
        <v>4758</v>
      </c>
      <c r="H2586" s="8" t="s">
        <v>2870</v>
      </c>
      <c r="I2586" s="20">
        <v>22</v>
      </c>
      <c r="J2586" s="8" t="s">
        <v>7113</v>
      </c>
      <c r="K2586" s="182"/>
      <c r="L2586" s="8" t="s">
        <v>4156</v>
      </c>
      <c r="M2586" s="8" t="s">
        <v>2814</v>
      </c>
      <c r="N2586" s="368" t="s">
        <v>5190</v>
      </c>
      <c r="O2586" s="8"/>
      <c r="P2586" s="4" t="str">
        <f>VLOOKUP($B2586,'D7 - NDB Impacted SPRF''s'!$E$16:$O$9929,9,FALSE)</f>
        <v>N</v>
      </c>
      <c r="Q2586" s="4" t="str">
        <f>VLOOKUP($B2586,'D7 - NDB Impacted SPRF''s'!$E$16:$O$9929,10,FALSE)</f>
        <v>N</v>
      </c>
      <c r="R2586" s="4" t="str">
        <f>VLOOKUP($B2586,'D7 - NDB Impacted SPRF''s'!$E$16:$O$9929,11,FALSE)</f>
        <v>N</v>
      </c>
      <c r="S2586" s="8"/>
      <c r="T2586" s="310"/>
      <c r="U2586" s="310"/>
      <c r="V2586" s="4"/>
      <c r="W2586" s="4"/>
      <c r="X2586" s="4"/>
      <c r="Y2586" s="4"/>
      <c r="Z2586" s="4"/>
      <c r="AA2586" s="4"/>
      <c r="AB2586" s="380" t="str">
        <f>VLOOKUP($B2586,'D7 - NDB Impacted SPRF''s'!$E$16:$O$9929,4,FALSE)</f>
        <v>Cancelled</v>
      </c>
      <c r="AC2586" s="380" t="str">
        <f>VLOOKUP($B2586,'D7 - NDB Impacted SPRF''s'!$E$16:$O$9929,3,FALSE)</f>
        <v>UnitedHealthcare Employer &amp; Individual</v>
      </c>
      <c r="AD2586" s="380" t="str">
        <f>VLOOKUP($B2586,'D7 - NDB Impacted SPRF''s'!$E$16:$O$9929,5,FALSE)</f>
        <v>Pacificare Integration</v>
      </c>
      <c r="AE2586" s="380" t="str">
        <f>VLOOKUP($B2586,'D7 - NDB Impacted SPRF''s'!$E$16:$O$9929,7,FALSE)</f>
        <v>Diane Schofield</v>
      </c>
      <c r="AF2586" s="380" t="str">
        <f>VLOOKUP($B2586,'D7 - NDB Impacted SPRF''s'!$E$16:$O$9929,6,FALSE)</f>
        <v>Debi Streb</v>
      </c>
      <c r="AG2586" s="282"/>
      <c r="AH2586" s="311" t="e">
        <f>INDEX('D5 - Gatekeeper - Projects'!$A$4:$AF$1010,$AM2586, 17)</f>
        <v>#N/A</v>
      </c>
      <c r="AI2586" s="8"/>
      <c r="AJ2586" s="57"/>
      <c r="AK2586" s="105"/>
      <c r="AM2586" s="6" t="e">
        <f>MATCH(D2586,'D5 - Gatekeeper - Projects'!$C$4:$C$1010,0)</f>
        <v>#N/A</v>
      </c>
      <c r="AN2586" s="6" t="b">
        <f t="shared" si="270"/>
        <v>1</v>
      </c>
      <c r="AO2586" s="6" t="str">
        <f t="shared" si="271"/>
        <v>OK</v>
      </c>
      <c r="AQ2586" s="6" t="e">
        <f>MATCH($D2586,'D4 - Provider Council Unsched'!$C$11:$C$234,0)</f>
        <v>#N/A</v>
      </c>
      <c r="AR2586" s="6" t="b">
        <f t="shared" si="272"/>
        <v>1</v>
      </c>
      <c r="AS2586" s="6" t="str">
        <f t="shared" si="269"/>
        <v>OK</v>
      </c>
      <c r="AU2586" s="202"/>
      <c r="AV2586" s="262"/>
      <c r="AW2586" s="274"/>
    </row>
    <row r="2587" spans="1:49" s="13" customFormat="1" ht="33.75" x14ac:dyDescent="0.2">
      <c r="A2587" s="14">
        <v>2563</v>
      </c>
      <c r="B2587" s="14">
        <v>400009823</v>
      </c>
      <c r="C2587" s="8" t="s">
        <v>5197</v>
      </c>
      <c r="D2587" s="4" t="str">
        <f t="shared" ref="D2587:D2650" si="273">CONCATENATE(B2587,C2587)</f>
        <v>400009823R1</v>
      </c>
      <c r="E2587" s="309" t="str">
        <f>VLOOKUP($B2587,'D7 - NDB Impacted SPRF''s'!$E$6:$O$9929,2,FALSE)</f>
        <v>MAMSI-UHIC PPO Product with MLH Legal Entity</v>
      </c>
      <c r="F2587" s="8" t="s">
        <v>5752</v>
      </c>
      <c r="G2587" s="8" t="s">
        <v>4758</v>
      </c>
      <c r="H2587" s="8" t="s">
        <v>2870</v>
      </c>
      <c r="I2587" s="20"/>
      <c r="J2587" s="8"/>
      <c r="K2587" s="182"/>
      <c r="L2587" s="8" t="s">
        <v>6164</v>
      </c>
      <c r="M2587" s="8" t="s">
        <v>2814</v>
      </c>
      <c r="N2587" s="367"/>
      <c r="O2587" s="8"/>
      <c r="P2587" s="4" t="str">
        <f>VLOOKUP($B2587,'D7 - NDB Impacted SPRF''s'!$E$16:$O$9929,9,FALSE)</f>
        <v>Y</v>
      </c>
      <c r="Q2587" s="4" t="str">
        <f>VLOOKUP($B2587,'D7 - NDB Impacted SPRF''s'!$E$16:$O$9929,10,FALSE)</f>
        <v>N</v>
      </c>
      <c r="R2587" s="4" t="str">
        <f>VLOOKUP($B2587,'D7 - NDB Impacted SPRF''s'!$E$16:$O$9929,11,FALSE)</f>
        <v>N</v>
      </c>
      <c r="S2587" s="8"/>
      <c r="T2587" s="310"/>
      <c r="U2587" s="310"/>
      <c r="V2587" s="4"/>
      <c r="W2587" s="4"/>
      <c r="X2587" s="4"/>
      <c r="Y2587" s="4"/>
      <c r="Z2587" s="4"/>
      <c r="AA2587" s="4"/>
      <c r="AB2587" s="380" t="str">
        <f>VLOOKUP($B2587,'D7 - NDB Impacted SPRF''s'!$E$16:$O$9929,4,FALSE)</f>
        <v>Cancelled</v>
      </c>
      <c r="AC2587" s="380" t="str">
        <f>VLOOKUP($B2587,'D7 - NDB Impacted SPRF''s'!$E$16:$O$9929,3,FALSE)</f>
        <v>UnitedHealthcare Employer &amp; Individual</v>
      </c>
      <c r="AD2587" s="380" t="str">
        <f>VLOOKUP($B2587,'D7 - NDB Impacted SPRF''s'!$E$16:$O$9929,5,FALSE)</f>
        <v>Key Initiatives Group</v>
      </c>
      <c r="AE2587" s="380" t="str">
        <f>VLOOKUP($B2587,'D7 - NDB Impacted SPRF''s'!$E$16:$O$9929,7,FALSE)</f>
        <v>Diane Schofield</v>
      </c>
      <c r="AF2587" s="380" t="str">
        <f>VLOOKUP($B2587,'D7 - NDB Impacted SPRF''s'!$E$16:$O$9929,6,FALSE)</f>
        <v>SHARION WILTON</v>
      </c>
      <c r="AG2587" s="282"/>
      <c r="AH2587" s="311" t="e">
        <f>INDEX('D5 - Gatekeeper - Projects'!$A$4:$AF$1010,$AM2587, 17)</f>
        <v>#N/A</v>
      </c>
      <c r="AI2587" s="8"/>
      <c r="AJ2587" s="57"/>
      <c r="AK2587" s="105"/>
      <c r="AM2587" s="6" t="e">
        <f>MATCH(D2587,'D5 - Gatekeeper - Projects'!$C$4:$C$1010,0)</f>
        <v>#N/A</v>
      </c>
      <c r="AN2587" s="6" t="b">
        <f t="shared" si="270"/>
        <v>1</v>
      </c>
      <c r="AO2587" s="6" t="str">
        <f t="shared" si="271"/>
        <v>OK</v>
      </c>
      <c r="AQ2587" s="6" t="e">
        <f>MATCH($D2587,'D4 - Provider Council Unsched'!$C$11:$C$234,0)</f>
        <v>#N/A</v>
      </c>
      <c r="AR2587" s="6" t="b">
        <f t="shared" si="272"/>
        <v>1</v>
      </c>
      <c r="AS2587" s="6" t="str">
        <f t="shared" si="269"/>
        <v>OK</v>
      </c>
      <c r="AU2587" s="202"/>
      <c r="AV2587" s="262"/>
      <c r="AW2587" s="274"/>
    </row>
    <row r="2588" spans="1:49" s="13" customFormat="1" ht="33.75" x14ac:dyDescent="0.2">
      <c r="A2588" s="14">
        <v>2564</v>
      </c>
      <c r="B2588" s="14">
        <v>400009828</v>
      </c>
      <c r="C2588" s="8" t="s">
        <v>5197</v>
      </c>
      <c r="D2588" s="4" t="str">
        <f t="shared" si="273"/>
        <v>400009828R1</v>
      </c>
      <c r="E2588" s="309" t="str">
        <f>VLOOKUP($B2588,'D7 - NDB Impacted SPRF''s'!$E$6:$O$9929,2,FALSE)</f>
        <v>Consumer Database (CDB) Release 1.2</v>
      </c>
      <c r="F2588" s="8" t="s">
        <v>7243</v>
      </c>
      <c r="G2588" s="8" t="s">
        <v>4758</v>
      </c>
      <c r="H2588" s="8" t="s">
        <v>2870</v>
      </c>
      <c r="I2588" s="20">
        <v>6.8</v>
      </c>
      <c r="J2588" s="8" t="s">
        <v>4862</v>
      </c>
      <c r="K2588" s="182"/>
      <c r="L2588" s="8" t="s">
        <v>4156</v>
      </c>
      <c r="M2588" s="8" t="s">
        <v>2814</v>
      </c>
      <c r="N2588" s="367" t="s">
        <v>7223</v>
      </c>
      <c r="O2588" s="8"/>
      <c r="P2588" s="4" t="str">
        <f>VLOOKUP($B2588,'D7 - NDB Impacted SPRF''s'!$E$16:$O$9929,9,FALSE)</f>
        <v>Y</v>
      </c>
      <c r="Q2588" s="4" t="str">
        <f>VLOOKUP($B2588,'D7 - NDB Impacted SPRF''s'!$E$16:$O$9929,10,FALSE)</f>
        <v>N</v>
      </c>
      <c r="R2588" s="4" t="str">
        <f>VLOOKUP($B2588,'D7 - NDB Impacted SPRF''s'!$E$16:$O$9929,11,FALSE)</f>
        <v>Y</v>
      </c>
      <c r="S2588" s="8"/>
      <c r="T2588" s="310"/>
      <c r="U2588" s="310"/>
      <c r="V2588" s="4"/>
      <c r="W2588" s="4"/>
      <c r="X2588" s="4"/>
      <c r="Y2588" s="4"/>
      <c r="Z2588" s="4"/>
      <c r="AA2588" s="4"/>
      <c r="AB2588" s="380" t="str">
        <f>VLOOKUP($B2588,'D7 - NDB Impacted SPRF''s'!$E$16:$O$9929,4,FALSE)</f>
        <v>Completed</v>
      </c>
      <c r="AC2588" s="380" t="str">
        <f>VLOOKUP($B2588,'D7 - NDB Impacted SPRF''s'!$E$16:$O$9929,3,FALSE)</f>
        <v>Uniprise</v>
      </c>
      <c r="AD2588" s="380" t="str">
        <f>VLOOKUP($B2588,'D7 - NDB Impacted SPRF''s'!$E$16:$O$9929,5,FALSE)</f>
        <v>Group Services - Capital Projects</v>
      </c>
      <c r="AE2588" s="380" t="str">
        <f>VLOOKUP($B2588,'D7 - NDB Impacted SPRF''s'!$E$16:$O$9929,7,FALSE)</f>
        <v>Steven Auerbach</v>
      </c>
      <c r="AF2588" s="380" t="str">
        <f>VLOOKUP($B2588,'D7 - NDB Impacted SPRF''s'!$E$16:$O$9929,6,FALSE)</f>
        <v>ANDREW FELRICE</v>
      </c>
      <c r="AG2588" s="282"/>
      <c r="AH2588" s="311" t="e">
        <f>INDEX('D5 - Gatekeeper - Projects'!$A$4:$AF$1010,$AM2588, 17)</f>
        <v>#N/A</v>
      </c>
      <c r="AI2588" s="8"/>
      <c r="AJ2588" s="57"/>
      <c r="AK2588" s="105"/>
      <c r="AM2588" s="6" t="e">
        <f>MATCH(D2588,'D5 - Gatekeeper - Projects'!$C$4:$C$1010,0)</f>
        <v>#N/A</v>
      </c>
      <c r="AN2588" s="6" t="b">
        <f t="shared" si="270"/>
        <v>1</v>
      </c>
      <c r="AO2588" s="6" t="str">
        <f t="shared" si="271"/>
        <v>OK</v>
      </c>
      <c r="AQ2588" s="6" t="e">
        <f>MATCH($D2588,'D4 - Provider Council Unsched'!$C$11:$C$234,0)</f>
        <v>#N/A</v>
      </c>
      <c r="AR2588" s="6" t="b">
        <f t="shared" si="272"/>
        <v>1</v>
      </c>
      <c r="AS2588" s="6" t="str">
        <f t="shared" si="269"/>
        <v>OK</v>
      </c>
      <c r="AU2588" s="202"/>
      <c r="AV2588" s="262"/>
      <c r="AW2588" s="274"/>
    </row>
    <row r="2589" spans="1:49" s="13" customFormat="1" x14ac:dyDescent="0.2">
      <c r="A2589" s="14">
        <v>2565</v>
      </c>
      <c r="B2589" s="14">
        <v>400009947</v>
      </c>
      <c r="C2589" s="8" t="s">
        <v>3793</v>
      </c>
      <c r="D2589" s="4" t="str">
        <f t="shared" si="273"/>
        <v>400009947U</v>
      </c>
      <c r="E2589" s="309" t="str">
        <f>VLOOKUP($B2589,'D7 - NDB Impacted SPRF''s'!$E$6:$O$9929,2,FALSE)</f>
        <v>CORP1-NDB-EA Security P1:Contract Designation Key</v>
      </c>
      <c r="F2589" s="8" t="s">
        <v>5196</v>
      </c>
      <c r="G2589" s="8" t="s">
        <v>4758</v>
      </c>
      <c r="H2589" s="8" t="s">
        <v>2870</v>
      </c>
      <c r="I2589" s="20">
        <v>4.96</v>
      </c>
      <c r="J2589" s="8" t="s">
        <v>4862</v>
      </c>
      <c r="K2589" s="182"/>
      <c r="L2589" s="8" t="s">
        <v>6919</v>
      </c>
      <c r="M2589" s="8" t="s">
        <v>2814</v>
      </c>
      <c r="N2589" s="38"/>
      <c r="O2589" s="8"/>
      <c r="P2589" s="4" t="str">
        <f>VLOOKUP($B2589,'D7 - NDB Impacted SPRF''s'!$E$16:$O$9929,9,FALSE)</f>
        <v>N</v>
      </c>
      <c r="Q2589" s="4" t="str">
        <f>VLOOKUP($B2589,'D7 - NDB Impacted SPRF''s'!$E$16:$O$9929,10,FALSE)</f>
        <v>N</v>
      </c>
      <c r="R2589" s="4" t="str">
        <f>VLOOKUP($B2589,'D7 - NDB Impacted SPRF''s'!$E$16:$O$9929,11,FALSE)</f>
        <v>Y</v>
      </c>
      <c r="S2589" s="8"/>
      <c r="T2589" s="310"/>
      <c r="U2589" s="310"/>
      <c r="V2589" s="4"/>
      <c r="W2589" s="4"/>
      <c r="X2589" s="4"/>
      <c r="Y2589" s="4"/>
      <c r="Z2589" s="4"/>
      <c r="AA2589" s="4"/>
      <c r="AB2589" s="380" t="str">
        <f>VLOOKUP($B2589,'D7 - NDB Impacted SPRF''s'!$E$16:$O$9929,4,FALSE)</f>
        <v>Completed</v>
      </c>
      <c r="AC2589" s="380" t="str">
        <f>VLOOKUP($B2589,'D7 - NDB Impacted SPRF''s'!$E$16:$O$9929,3,FALSE)</f>
        <v>Alliance</v>
      </c>
      <c r="AD2589" s="380" t="str">
        <f>VLOOKUP($B2589,'D7 - NDB Impacted SPRF''s'!$E$16:$O$9929,5,FALSE)</f>
        <v>Healthcare Service Alliance</v>
      </c>
      <c r="AE2589" s="380" t="str">
        <f>VLOOKUP($B2589,'D7 - NDB Impacted SPRF''s'!$E$16:$O$9929,7,FALSE)</f>
        <v>Bev Nyce</v>
      </c>
      <c r="AF2589" s="380" t="str">
        <f>VLOOKUP($B2589,'D7 - NDB Impacted SPRF''s'!$E$16:$O$9929,6,FALSE)</f>
        <v>Susan Neal</v>
      </c>
      <c r="AG2589" s="282" t="s">
        <v>6682</v>
      </c>
      <c r="AH2589" s="311" t="e">
        <f>INDEX('D5 - Gatekeeper - Projects'!$A$4:$AF$1010,$AM2589, 17)</f>
        <v>#N/A</v>
      </c>
      <c r="AI2589" s="8"/>
      <c r="AJ2589" s="57"/>
      <c r="AK2589" s="105"/>
      <c r="AM2589" s="6" t="e">
        <f>MATCH(D2589,'D5 - Gatekeeper - Projects'!$C$4:$C$1010,0)</f>
        <v>#N/A</v>
      </c>
      <c r="AN2589" s="6" t="b">
        <f t="shared" si="270"/>
        <v>1</v>
      </c>
      <c r="AO2589" s="6" t="str">
        <f t="shared" si="271"/>
        <v>OK</v>
      </c>
      <c r="AQ2589" s="6" t="e">
        <f>MATCH($D2589,'D4 - Provider Council Unsched'!$C$11:$C$234,0)</f>
        <v>#N/A</v>
      </c>
      <c r="AR2589" s="6" t="b">
        <f t="shared" si="272"/>
        <v>1</v>
      </c>
      <c r="AS2589" s="6" t="str">
        <f t="shared" si="269"/>
        <v>OK</v>
      </c>
      <c r="AU2589" s="202"/>
      <c r="AV2589" s="262"/>
      <c r="AW2589" s="274"/>
    </row>
    <row r="2590" spans="1:49" s="13" customFormat="1" ht="22.5" x14ac:dyDescent="0.2">
      <c r="A2590" s="14">
        <v>2566</v>
      </c>
      <c r="B2590" s="14">
        <v>400009947</v>
      </c>
      <c r="C2590" s="8" t="s">
        <v>4465</v>
      </c>
      <c r="D2590" s="4" t="str">
        <f t="shared" si="273"/>
        <v>400009947U2</v>
      </c>
      <c r="E2590" s="309" t="str">
        <f>VLOOKUP($B2590,'D7 - NDB Impacted SPRF''s'!$E$6:$O$9929,2,FALSE)</f>
        <v>CORP1-NDB-EA Security P1:Contract Designation Key</v>
      </c>
      <c r="F2590" s="8" t="s">
        <v>5196</v>
      </c>
      <c r="G2590" s="8" t="s">
        <v>4758</v>
      </c>
      <c r="H2590" s="8" t="s">
        <v>2870</v>
      </c>
      <c r="I2590" s="20">
        <v>4.96</v>
      </c>
      <c r="J2590" s="8" t="s">
        <v>7114</v>
      </c>
      <c r="K2590" s="182"/>
      <c r="L2590" s="8" t="s">
        <v>6919</v>
      </c>
      <c r="M2590" s="8" t="s">
        <v>2814</v>
      </c>
      <c r="N2590" s="367" t="s">
        <v>6558</v>
      </c>
      <c r="O2590" s="8"/>
      <c r="P2590" s="4" t="str">
        <f>VLOOKUP($B2590,'D7 - NDB Impacted SPRF''s'!$E$16:$O$9929,9,FALSE)</f>
        <v>N</v>
      </c>
      <c r="Q2590" s="4" t="str">
        <f>VLOOKUP($B2590,'D7 - NDB Impacted SPRF''s'!$E$16:$O$9929,10,FALSE)</f>
        <v>N</v>
      </c>
      <c r="R2590" s="4" t="str">
        <f>VLOOKUP($B2590,'D7 - NDB Impacted SPRF''s'!$E$16:$O$9929,11,FALSE)</f>
        <v>Y</v>
      </c>
      <c r="S2590" s="8" t="s">
        <v>3758</v>
      </c>
      <c r="T2590" s="310"/>
      <c r="U2590" s="310"/>
      <c r="V2590" s="4"/>
      <c r="W2590" s="4"/>
      <c r="X2590" s="4"/>
      <c r="Y2590" s="4"/>
      <c r="Z2590" s="4"/>
      <c r="AA2590" s="4"/>
      <c r="AB2590" s="380" t="str">
        <f>VLOOKUP($B2590,'D7 - NDB Impacted SPRF''s'!$E$16:$O$9929,4,FALSE)</f>
        <v>Completed</v>
      </c>
      <c r="AC2590" s="380" t="str">
        <f>VLOOKUP($B2590,'D7 - NDB Impacted SPRF''s'!$E$16:$O$9929,3,FALSE)</f>
        <v>Alliance</v>
      </c>
      <c r="AD2590" s="380" t="str">
        <f>VLOOKUP($B2590,'D7 - NDB Impacted SPRF''s'!$E$16:$O$9929,5,FALSE)</f>
        <v>Healthcare Service Alliance</v>
      </c>
      <c r="AE2590" s="380" t="str">
        <f>VLOOKUP($B2590,'D7 - NDB Impacted SPRF''s'!$E$16:$O$9929,7,FALSE)</f>
        <v>Bev Nyce</v>
      </c>
      <c r="AF2590" s="380" t="str">
        <f>VLOOKUP($B2590,'D7 - NDB Impacted SPRF''s'!$E$16:$O$9929,6,FALSE)</f>
        <v>Susan Neal</v>
      </c>
      <c r="AG2590" s="282"/>
      <c r="AH2590" s="311" t="e">
        <f>INDEX('D5 - Gatekeeper - Projects'!$A$4:$AF$1010,$AM2590, 17)</f>
        <v>#N/A</v>
      </c>
      <c r="AI2590" s="8"/>
      <c r="AJ2590" s="57"/>
      <c r="AK2590" s="105"/>
      <c r="AM2590" s="6" t="e">
        <f>MATCH(D2590,'D5 - Gatekeeper - Projects'!$C$4:$C$1010,0)</f>
        <v>#N/A</v>
      </c>
      <c r="AN2590" s="6" t="b">
        <f t="shared" si="270"/>
        <v>1</v>
      </c>
      <c r="AO2590" s="6" t="str">
        <f t="shared" si="271"/>
        <v>OK</v>
      </c>
      <c r="AQ2590" s="6" t="e">
        <f>MATCH($D2590,'D4 - Provider Council Unsched'!$C$11:$C$234,0)</f>
        <v>#N/A</v>
      </c>
      <c r="AR2590" s="6" t="b">
        <f t="shared" si="272"/>
        <v>1</v>
      </c>
      <c r="AS2590" s="6" t="str">
        <f t="shared" si="269"/>
        <v>OK</v>
      </c>
      <c r="AU2590" s="202"/>
      <c r="AV2590" s="262"/>
      <c r="AW2590" s="274"/>
    </row>
    <row r="2591" spans="1:49" s="13" customFormat="1" ht="78.75" x14ac:dyDescent="0.2">
      <c r="A2591" s="14">
        <v>2567</v>
      </c>
      <c r="B2591" s="14">
        <v>400009967</v>
      </c>
      <c r="C2591" s="8" t="s">
        <v>5197</v>
      </c>
      <c r="D2591" s="4" t="str">
        <f t="shared" si="273"/>
        <v>400009967R1</v>
      </c>
      <c r="E2591" s="309" t="e">
        <f>VLOOKUP($B2591,'D7 - NDB Impacted SPRF''s'!$E$6:$O$9929,2,FALSE)</f>
        <v>#N/A</v>
      </c>
      <c r="F2591" s="8" t="s">
        <v>4961</v>
      </c>
      <c r="G2591" s="8" t="s">
        <v>4758</v>
      </c>
      <c r="H2591" s="8" t="s">
        <v>2870</v>
      </c>
      <c r="I2591" s="20"/>
      <c r="J2591" s="8"/>
      <c r="K2591" s="182"/>
      <c r="L2591" s="8" t="s">
        <v>4156</v>
      </c>
      <c r="M2591" s="8" t="s">
        <v>2814</v>
      </c>
      <c r="N2591" s="367" t="s">
        <v>5451</v>
      </c>
      <c r="O2591" s="8"/>
      <c r="P2591" s="4" t="e">
        <f>VLOOKUP($B2591,'D7 - NDB Impacted SPRF''s'!$E$16:$O$9929,9,FALSE)</f>
        <v>#N/A</v>
      </c>
      <c r="Q2591" s="4" t="e">
        <f>VLOOKUP($B2591,'D7 - NDB Impacted SPRF''s'!$E$16:$O$9929,10,FALSE)</f>
        <v>#N/A</v>
      </c>
      <c r="R2591" s="4" t="e">
        <f>VLOOKUP($B2591,'D7 - NDB Impacted SPRF''s'!$E$16:$O$9929,11,FALSE)</f>
        <v>#N/A</v>
      </c>
      <c r="S2591" s="8"/>
      <c r="T2591" s="310"/>
      <c r="U2591" s="310"/>
      <c r="V2591" s="4"/>
      <c r="W2591" s="4"/>
      <c r="X2591" s="4"/>
      <c r="Y2591" s="4"/>
      <c r="Z2591" s="4"/>
      <c r="AA2591" s="4"/>
      <c r="AB2591" s="380" t="e">
        <f>VLOOKUP($B2591,'D7 - NDB Impacted SPRF''s'!$E$16:$O$9929,4,FALSE)</f>
        <v>#N/A</v>
      </c>
      <c r="AC2591" s="380" t="e">
        <f>VLOOKUP($B2591,'D7 - NDB Impacted SPRF''s'!$E$16:$O$9929,3,FALSE)</f>
        <v>#N/A</v>
      </c>
      <c r="AD2591" s="380" t="e">
        <f>VLOOKUP($B2591,'D7 - NDB Impacted SPRF''s'!$E$16:$O$9929,5,FALSE)</f>
        <v>#N/A</v>
      </c>
      <c r="AE2591" s="380" t="e">
        <f>VLOOKUP($B2591,'D7 - NDB Impacted SPRF''s'!$E$16:$O$9929,7,FALSE)</f>
        <v>#N/A</v>
      </c>
      <c r="AF2591" s="380" t="e">
        <f>VLOOKUP($B2591,'D7 - NDB Impacted SPRF''s'!$E$16:$O$9929,6,FALSE)</f>
        <v>#N/A</v>
      </c>
      <c r="AG2591" s="282"/>
      <c r="AH2591" s="311" t="e">
        <f>INDEX('D5 - Gatekeeper - Projects'!$A$4:$AF$1010,$AM2591, 17)</f>
        <v>#N/A</v>
      </c>
      <c r="AI2591" s="8"/>
      <c r="AJ2591" s="57"/>
      <c r="AK2591" s="105"/>
      <c r="AM2591" s="6" t="e">
        <f>MATCH(D2591,'D5 - Gatekeeper - Projects'!$C$4:$C$1010,0)</f>
        <v>#N/A</v>
      </c>
      <c r="AN2591" s="6" t="b">
        <f t="shared" si="270"/>
        <v>1</v>
      </c>
      <c r="AO2591" s="6" t="str">
        <f t="shared" si="271"/>
        <v>OK</v>
      </c>
      <c r="AQ2591" s="6" t="e">
        <f>MATCH($D2591,'D4 - Provider Council Unsched'!$C$11:$C$234,0)</f>
        <v>#N/A</v>
      </c>
      <c r="AR2591" s="6" t="b">
        <f t="shared" si="272"/>
        <v>1</v>
      </c>
      <c r="AS2591" s="6" t="str">
        <f t="shared" si="269"/>
        <v>OK</v>
      </c>
      <c r="AU2591" s="202"/>
      <c r="AV2591" s="262"/>
      <c r="AW2591" s="274"/>
    </row>
    <row r="2592" spans="1:49" s="13" customFormat="1" ht="22.5" x14ac:dyDescent="0.2">
      <c r="A2592" s="14">
        <v>2568</v>
      </c>
      <c r="B2592" s="14">
        <v>400009991</v>
      </c>
      <c r="C2592" s="8" t="s">
        <v>5197</v>
      </c>
      <c r="D2592" s="4" t="str">
        <f t="shared" si="273"/>
        <v>400009991R1</v>
      </c>
      <c r="E2592" s="309" t="str">
        <f>VLOOKUP($B2592,'D7 - NDB Impacted SPRF''s'!$E$6:$O$9929,2,FALSE)</f>
        <v>eART Release 9.0 - Provider Portal</v>
      </c>
      <c r="F2592" s="8" t="s">
        <v>2114</v>
      </c>
      <c r="G2592" s="8" t="s">
        <v>4758</v>
      </c>
      <c r="H2592" s="8" t="s">
        <v>2870</v>
      </c>
      <c r="I2592" s="20">
        <v>2.82</v>
      </c>
      <c r="J2592" s="8" t="s">
        <v>4862</v>
      </c>
      <c r="K2592" s="182"/>
      <c r="L2592" s="8" t="s">
        <v>4156</v>
      </c>
      <c r="M2592" s="8" t="s">
        <v>2814</v>
      </c>
      <c r="N2592" s="368" t="s">
        <v>5190</v>
      </c>
      <c r="O2592" s="8"/>
      <c r="P2592" s="4" t="str">
        <f>VLOOKUP($B2592,'D7 - NDB Impacted SPRF''s'!$E$16:$O$9929,9,FALSE)</f>
        <v>Y</v>
      </c>
      <c r="Q2592" s="4" t="str">
        <f>VLOOKUP($B2592,'D7 - NDB Impacted SPRF''s'!$E$16:$O$9929,10,FALSE)</f>
        <v>N</v>
      </c>
      <c r="R2592" s="4" t="str">
        <f>VLOOKUP($B2592,'D7 - NDB Impacted SPRF''s'!$E$16:$O$9929,11,FALSE)</f>
        <v>N</v>
      </c>
      <c r="S2592" s="8"/>
      <c r="T2592" s="310"/>
      <c r="U2592" s="310"/>
      <c r="V2592" s="4"/>
      <c r="W2592" s="4"/>
      <c r="X2592" s="4"/>
      <c r="Y2592" s="4"/>
      <c r="Z2592" s="4"/>
      <c r="AA2592" s="4"/>
      <c r="AB2592" s="380" t="str">
        <f>VLOOKUP($B2592,'D7 - NDB Impacted SPRF''s'!$E$16:$O$9929,4,FALSE)</f>
        <v>Cancelled</v>
      </c>
      <c r="AC2592" s="380" t="str">
        <f>VLOOKUP($B2592,'D7 - NDB Impacted SPRF''s'!$E$16:$O$9929,3,FALSE)</f>
        <v>Uniprise</v>
      </c>
      <c r="AD2592" s="380" t="str">
        <f>VLOOKUP($B2592,'D7 - NDB Impacted SPRF''s'!$E$16:$O$9929,5,FALSE)</f>
        <v>Group Services - Capital Projects</v>
      </c>
      <c r="AE2592" s="380" t="str">
        <f>VLOOKUP($B2592,'D7 - NDB Impacted SPRF''s'!$E$16:$O$9929,7,FALSE)</f>
        <v>Susan Spring</v>
      </c>
      <c r="AF2592" s="380" t="str">
        <f>VLOOKUP($B2592,'D7 - NDB Impacted SPRF''s'!$E$16:$O$9929,6,FALSE)</f>
        <v>JASON LAVOIE</v>
      </c>
      <c r="AG2592" s="282"/>
      <c r="AH2592" s="311" t="e">
        <f>INDEX('D5 - Gatekeeper - Projects'!$A$4:$AF$1010,$AM2592, 17)</f>
        <v>#N/A</v>
      </c>
      <c r="AI2592" s="8"/>
      <c r="AJ2592" s="57"/>
      <c r="AK2592" s="105"/>
      <c r="AM2592" s="6" t="e">
        <f>MATCH(D2592,'D5 - Gatekeeper - Projects'!$C$4:$C$1010,0)</f>
        <v>#N/A</v>
      </c>
      <c r="AN2592" s="6" t="b">
        <f t="shared" si="270"/>
        <v>1</v>
      </c>
      <c r="AO2592" s="6" t="str">
        <f t="shared" si="271"/>
        <v>OK</v>
      </c>
      <c r="AQ2592" s="6" t="e">
        <f>MATCH($D2592,'D4 - Provider Council Unsched'!$C$11:$C$234,0)</f>
        <v>#N/A</v>
      </c>
      <c r="AR2592" s="6" t="b">
        <f t="shared" si="272"/>
        <v>1</v>
      </c>
      <c r="AS2592" s="6" t="str">
        <f t="shared" si="269"/>
        <v>OK</v>
      </c>
      <c r="AU2592" s="202"/>
      <c r="AV2592" s="262"/>
      <c r="AW2592" s="274"/>
    </row>
    <row r="2593" spans="1:49" s="13" customFormat="1" ht="33.75" x14ac:dyDescent="0.2">
      <c r="A2593" s="14">
        <v>2569</v>
      </c>
      <c r="B2593" s="14">
        <v>400010145</v>
      </c>
      <c r="C2593" s="8" t="s">
        <v>5197</v>
      </c>
      <c r="D2593" s="4" t="str">
        <f t="shared" si="273"/>
        <v>400010145R1</v>
      </c>
      <c r="E2593" s="309" t="str">
        <f>VLOOKUP($B2593,'D7 - NDB Impacted SPRF''s'!$E$6:$O$9929,2,FALSE)</f>
        <v>Medica-New ASO Customer Deployment-4/1/06</v>
      </c>
      <c r="F2593" s="8" t="s">
        <v>5196</v>
      </c>
      <c r="G2593" s="8" t="s">
        <v>4758</v>
      </c>
      <c r="H2593" s="8" t="s">
        <v>2870</v>
      </c>
      <c r="I2593" s="20">
        <v>2.4</v>
      </c>
      <c r="J2593" s="8" t="s">
        <v>4862</v>
      </c>
      <c r="K2593" s="182"/>
      <c r="L2593" s="8" t="s">
        <v>4156</v>
      </c>
      <c r="M2593" s="8" t="s">
        <v>2814</v>
      </c>
      <c r="N2593" s="367" t="s">
        <v>7942</v>
      </c>
      <c r="O2593" s="8"/>
      <c r="P2593" s="4" t="str">
        <f>VLOOKUP($B2593,'D7 - NDB Impacted SPRF''s'!$E$16:$O$9929,9,FALSE)</f>
        <v>Y</v>
      </c>
      <c r="Q2593" s="4" t="str">
        <f>VLOOKUP($B2593,'D7 - NDB Impacted SPRF''s'!$E$16:$O$9929,10,FALSE)</f>
        <v>N</v>
      </c>
      <c r="R2593" s="4" t="str">
        <f>VLOOKUP($B2593,'D7 - NDB Impacted SPRF''s'!$E$16:$O$9929,11,FALSE)</f>
        <v>N</v>
      </c>
      <c r="S2593" s="8"/>
      <c r="T2593" s="310"/>
      <c r="U2593" s="310"/>
      <c r="V2593" s="4"/>
      <c r="W2593" s="4"/>
      <c r="X2593" s="4"/>
      <c r="Y2593" s="4"/>
      <c r="Z2593" s="4"/>
      <c r="AA2593" s="4"/>
      <c r="AB2593" s="380" t="str">
        <f>VLOOKUP($B2593,'D7 - NDB Impacted SPRF''s'!$E$16:$O$9929,4,FALSE)</f>
        <v>Completed</v>
      </c>
      <c r="AC2593" s="380" t="str">
        <f>VLOOKUP($B2593,'D7 - NDB Impacted SPRF''s'!$E$16:$O$9929,3,FALSE)</f>
        <v>Alliance</v>
      </c>
      <c r="AD2593" s="380" t="str">
        <f>VLOOKUP($B2593,'D7 - NDB Impacted SPRF''s'!$E$16:$O$9929,5,FALSE)</f>
        <v>Medica UNET Conversion</v>
      </c>
      <c r="AE2593" s="380" t="str">
        <f>VLOOKUP($B2593,'D7 - NDB Impacted SPRF''s'!$E$16:$O$9929,7,FALSE)</f>
        <v>Bev Nyce</v>
      </c>
      <c r="AF2593" s="380" t="str">
        <f>VLOOKUP($B2593,'D7 - NDB Impacted SPRF''s'!$E$16:$O$9929,6,FALSE)</f>
        <v>Daniel Sullivan</v>
      </c>
      <c r="AG2593" s="282"/>
      <c r="AH2593" s="311" t="e">
        <f>INDEX('D5 - Gatekeeper - Projects'!$A$4:$AF$1010,$AM2593, 17)</f>
        <v>#N/A</v>
      </c>
      <c r="AI2593" s="8"/>
      <c r="AJ2593" s="57"/>
      <c r="AK2593" s="105"/>
      <c r="AM2593" s="6" t="e">
        <f>MATCH(D2593,'D5 - Gatekeeper - Projects'!$C$4:$C$1010,0)</f>
        <v>#N/A</v>
      </c>
      <c r="AN2593" s="6" t="b">
        <f t="shared" si="270"/>
        <v>1</v>
      </c>
      <c r="AO2593" s="6" t="str">
        <f t="shared" si="271"/>
        <v>OK</v>
      </c>
      <c r="AQ2593" s="6" t="e">
        <f>MATCH($D2593,'D4 - Provider Council Unsched'!$C$11:$C$234,0)</f>
        <v>#N/A</v>
      </c>
      <c r="AR2593" s="6" t="b">
        <f t="shared" si="272"/>
        <v>1</v>
      </c>
      <c r="AS2593" s="6" t="str">
        <f t="shared" si="269"/>
        <v>OK</v>
      </c>
      <c r="AU2593" s="202"/>
      <c r="AV2593" s="262"/>
      <c r="AW2593" s="274"/>
    </row>
    <row r="2594" spans="1:49" s="13" customFormat="1" ht="33.75" x14ac:dyDescent="0.2">
      <c r="A2594" s="14">
        <v>2570</v>
      </c>
      <c r="B2594" s="14">
        <v>400010173</v>
      </c>
      <c r="C2594" s="8" t="s">
        <v>6723</v>
      </c>
      <c r="D2594" s="4" t="str">
        <f t="shared" si="273"/>
        <v>400010173CC09</v>
      </c>
      <c r="E2594" s="309" t="str">
        <f>VLOOKUP($B2594,'D7 - NDB Impacted SPRF''s'!$E$6:$O$9929,2,FALSE)</f>
        <v>Fee Schedule Enhancements - Phase 2</v>
      </c>
      <c r="F2594" s="8" t="s">
        <v>4961</v>
      </c>
      <c r="G2594" s="8" t="s">
        <v>4758</v>
      </c>
      <c r="H2594" s="8" t="s">
        <v>2870</v>
      </c>
      <c r="I2594" s="20">
        <v>2.5</v>
      </c>
      <c r="J2594" s="8" t="s">
        <v>4862</v>
      </c>
      <c r="K2594" s="182"/>
      <c r="L2594" s="8" t="s">
        <v>4156</v>
      </c>
      <c r="M2594" s="8" t="s">
        <v>2814</v>
      </c>
      <c r="N2594" s="38" t="s">
        <v>7384</v>
      </c>
      <c r="O2594" s="8"/>
      <c r="P2594" s="4" t="str">
        <f>VLOOKUP($B2594,'D7 - NDB Impacted SPRF''s'!$E$16:$O$9929,9,FALSE)</f>
        <v>Y</v>
      </c>
      <c r="Q2594" s="4" t="str">
        <f>VLOOKUP($B2594,'D7 - NDB Impacted SPRF''s'!$E$16:$O$9929,10,FALSE)</f>
        <v>N</v>
      </c>
      <c r="R2594" s="4" t="str">
        <f>VLOOKUP($B2594,'D7 - NDB Impacted SPRF''s'!$E$16:$O$9929,11,FALSE)</f>
        <v>Y</v>
      </c>
      <c r="S2594" s="8"/>
      <c r="T2594" s="310"/>
      <c r="U2594" s="310"/>
      <c r="V2594" s="4"/>
      <c r="W2594" s="4"/>
      <c r="X2594" s="4"/>
      <c r="Y2594" s="4"/>
      <c r="Z2594" s="4"/>
      <c r="AA2594" s="4"/>
      <c r="AB2594" s="380" t="str">
        <f>VLOOKUP($B2594,'D7 - NDB Impacted SPRF''s'!$E$16:$O$9929,4,FALSE)</f>
        <v>Completed</v>
      </c>
      <c r="AC2594" s="380" t="str">
        <f>VLOOKUP($B2594,'D7 - NDB Impacted SPRF''s'!$E$16:$O$9929,3,FALSE)</f>
        <v>UnitedHealthcare Employer &amp; Individual</v>
      </c>
      <c r="AD2594" s="380" t="str">
        <f>VLOOKUP($B2594,'D7 - NDB Impacted SPRF''s'!$E$16:$O$9929,5,FALSE)</f>
        <v>Network Growth / Enhancements</v>
      </c>
      <c r="AE2594" s="380" t="str">
        <f>VLOOKUP($B2594,'D7 - NDB Impacted SPRF''s'!$E$16:$O$9929,7,FALSE)</f>
        <v>Peter Bompane</v>
      </c>
      <c r="AF2594" s="380" t="str">
        <f>VLOOKUP($B2594,'D7 - NDB Impacted SPRF''s'!$E$16:$O$9929,6,FALSE)</f>
        <v>Erin Nelson</v>
      </c>
      <c r="AG2594" s="282"/>
      <c r="AH2594" s="311" t="e">
        <f>INDEX('D5 - Gatekeeper - Projects'!$A$4:$AF$1010,$AM2594, 17)</f>
        <v>#N/A</v>
      </c>
      <c r="AI2594" s="8"/>
      <c r="AJ2594" s="57"/>
      <c r="AK2594" s="105"/>
      <c r="AM2594" s="6" t="e">
        <f>MATCH(D2594,'D5 - Gatekeeper - Projects'!$C$4:$C$1010,0)</f>
        <v>#N/A</v>
      </c>
      <c r="AN2594" s="6" t="b">
        <f t="shared" si="270"/>
        <v>1</v>
      </c>
      <c r="AO2594" s="6" t="str">
        <f t="shared" si="271"/>
        <v>OK</v>
      </c>
      <c r="AQ2594" s="6" t="e">
        <f>MATCH($D2594,'D4 - Provider Council Unsched'!$C$11:$C$234,0)</f>
        <v>#N/A</v>
      </c>
      <c r="AR2594" s="6" t="b">
        <f t="shared" si="272"/>
        <v>1</v>
      </c>
      <c r="AS2594" s="6" t="str">
        <f t="shared" si="269"/>
        <v>OK</v>
      </c>
      <c r="AU2594" s="202"/>
      <c r="AV2594" s="262"/>
      <c r="AW2594" s="274"/>
    </row>
    <row r="2595" spans="1:49" s="13" customFormat="1" ht="123.75" x14ac:dyDescent="0.2">
      <c r="A2595" s="14">
        <v>2571</v>
      </c>
      <c r="B2595" s="14">
        <v>400010186</v>
      </c>
      <c r="C2595" s="8" t="s">
        <v>5197</v>
      </c>
      <c r="D2595" s="4" t="str">
        <f t="shared" si="273"/>
        <v>400010186R1</v>
      </c>
      <c r="E2595" s="309" t="e">
        <f>VLOOKUP($B2595,'D7 - NDB Impacted SPRF''s'!$E$6:$O$9929,2,FALSE)</f>
        <v>#N/A</v>
      </c>
      <c r="F2595" s="8" t="s">
        <v>4961</v>
      </c>
      <c r="G2595" s="8" t="s">
        <v>4758</v>
      </c>
      <c r="H2595" s="8" t="s">
        <v>2870</v>
      </c>
      <c r="I2595" s="20"/>
      <c r="J2595" s="8"/>
      <c r="K2595" s="182"/>
      <c r="L2595" s="8" t="s">
        <v>4156</v>
      </c>
      <c r="M2595" s="8" t="s">
        <v>2814</v>
      </c>
      <c r="N2595" s="367" t="s">
        <v>6527</v>
      </c>
      <c r="O2595" s="8"/>
      <c r="P2595" s="4" t="e">
        <f>VLOOKUP($B2595,'D7 - NDB Impacted SPRF''s'!$E$16:$O$9929,9,FALSE)</f>
        <v>#N/A</v>
      </c>
      <c r="Q2595" s="4" t="e">
        <f>VLOOKUP($B2595,'D7 - NDB Impacted SPRF''s'!$E$16:$O$9929,10,FALSE)</f>
        <v>#N/A</v>
      </c>
      <c r="R2595" s="4" t="e">
        <f>VLOOKUP($B2595,'D7 - NDB Impacted SPRF''s'!$E$16:$O$9929,11,FALSE)</f>
        <v>#N/A</v>
      </c>
      <c r="S2595" s="8"/>
      <c r="T2595" s="310"/>
      <c r="U2595" s="310"/>
      <c r="V2595" s="4"/>
      <c r="W2595" s="4"/>
      <c r="X2595" s="4"/>
      <c r="Y2595" s="4"/>
      <c r="Z2595" s="4"/>
      <c r="AA2595" s="4"/>
      <c r="AB2595" s="380" t="e">
        <f>VLOOKUP($B2595,'D7 - NDB Impacted SPRF''s'!$E$16:$O$9929,4,FALSE)</f>
        <v>#N/A</v>
      </c>
      <c r="AC2595" s="380" t="e">
        <f>VLOOKUP($B2595,'D7 - NDB Impacted SPRF''s'!$E$16:$O$9929,3,FALSE)</f>
        <v>#N/A</v>
      </c>
      <c r="AD2595" s="380" t="e">
        <f>VLOOKUP($B2595,'D7 - NDB Impacted SPRF''s'!$E$16:$O$9929,5,FALSE)</f>
        <v>#N/A</v>
      </c>
      <c r="AE2595" s="380" t="e">
        <f>VLOOKUP($B2595,'D7 - NDB Impacted SPRF''s'!$E$16:$O$9929,7,FALSE)</f>
        <v>#N/A</v>
      </c>
      <c r="AF2595" s="380" t="e">
        <f>VLOOKUP($B2595,'D7 - NDB Impacted SPRF''s'!$E$16:$O$9929,6,FALSE)</f>
        <v>#N/A</v>
      </c>
      <c r="AG2595" s="282"/>
      <c r="AH2595" s="311" t="e">
        <f>INDEX('D5 - Gatekeeper - Projects'!$A$4:$AF$1010,$AM2595, 17)</f>
        <v>#N/A</v>
      </c>
      <c r="AI2595" s="8"/>
      <c r="AJ2595" s="57"/>
      <c r="AK2595" s="105"/>
      <c r="AM2595" s="6" t="e">
        <f>MATCH(D2595,'D5 - Gatekeeper - Projects'!$C$4:$C$1010,0)</f>
        <v>#N/A</v>
      </c>
      <c r="AN2595" s="6" t="b">
        <f t="shared" si="270"/>
        <v>1</v>
      </c>
      <c r="AO2595" s="6" t="str">
        <f t="shared" si="271"/>
        <v>OK</v>
      </c>
      <c r="AQ2595" s="6" t="e">
        <f>MATCH($D2595,'D4 - Provider Council Unsched'!$C$11:$C$234,0)</f>
        <v>#N/A</v>
      </c>
      <c r="AR2595" s="6" t="b">
        <f t="shared" si="272"/>
        <v>1</v>
      </c>
      <c r="AS2595" s="6" t="str">
        <f t="shared" si="269"/>
        <v>OK</v>
      </c>
      <c r="AU2595" s="202"/>
      <c r="AV2595" s="262"/>
      <c r="AW2595" s="274"/>
    </row>
    <row r="2596" spans="1:49" s="13" customFormat="1" ht="33.75" x14ac:dyDescent="0.2">
      <c r="A2596" s="14">
        <v>2572</v>
      </c>
      <c r="B2596" s="14">
        <v>400010297</v>
      </c>
      <c r="C2596" s="8" t="s">
        <v>5197</v>
      </c>
      <c r="D2596" s="4" t="str">
        <f t="shared" si="273"/>
        <v>400010297R1</v>
      </c>
      <c r="E2596" s="309" t="str">
        <f>VLOOKUP($B2596,'D7 - NDB Impacted SPRF''s'!$E$6:$O$9929,2,FALSE)</f>
        <v>Military Facilities - In-Network Benefits</v>
      </c>
      <c r="F2596" s="8" t="s">
        <v>2114</v>
      </c>
      <c r="G2596" s="8" t="s">
        <v>4758</v>
      </c>
      <c r="H2596" s="8" t="s">
        <v>2870</v>
      </c>
      <c r="I2596" s="20">
        <v>4.33</v>
      </c>
      <c r="J2596" s="8" t="s">
        <v>4862</v>
      </c>
      <c r="K2596" s="182"/>
      <c r="L2596" s="8" t="s">
        <v>4156</v>
      </c>
      <c r="M2596" s="8" t="s">
        <v>2814</v>
      </c>
      <c r="N2596" s="367" t="s">
        <v>4694</v>
      </c>
      <c r="O2596" s="8"/>
      <c r="P2596" s="4" t="str">
        <f>VLOOKUP($B2596,'D7 - NDB Impacted SPRF''s'!$E$16:$O$9929,9,FALSE)</f>
        <v>Y</v>
      </c>
      <c r="Q2596" s="4" t="str">
        <f>VLOOKUP($B2596,'D7 - NDB Impacted SPRF''s'!$E$16:$O$9929,10,FALSE)</f>
        <v>N</v>
      </c>
      <c r="R2596" s="4" t="str">
        <f>VLOOKUP($B2596,'D7 - NDB Impacted SPRF''s'!$E$16:$O$9929,11,FALSE)</f>
        <v>N</v>
      </c>
      <c r="S2596" s="8"/>
      <c r="T2596" s="310"/>
      <c r="U2596" s="310"/>
      <c r="V2596" s="4"/>
      <c r="W2596" s="4"/>
      <c r="X2596" s="4"/>
      <c r="Y2596" s="4"/>
      <c r="Z2596" s="4"/>
      <c r="AA2596" s="4"/>
      <c r="AB2596" s="380" t="str">
        <f>VLOOKUP($B2596,'D7 - NDB Impacted SPRF''s'!$E$16:$O$9929,4,FALSE)</f>
        <v>Cancelled</v>
      </c>
      <c r="AC2596" s="380" t="str">
        <f>VLOOKUP($B2596,'D7 - NDB Impacted SPRF''s'!$E$16:$O$9929,3,FALSE)</f>
        <v>UnitedHealthcare Employer &amp; Individual</v>
      </c>
      <c r="AD2596" s="380" t="str">
        <f>VLOOKUP($B2596,'D7 - NDB Impacted SPRF''s'!$E$16:$O$9929,5,FALSE)</f>
        <v>Operational Requirements</v>
      </c>
      <c r="AE2596" s="380" t="str">
        <f>VLOOKUP($B2596,'D7 - NDB Impacted SPRF''s'!$E$16:$O$9929,7,FALSE)</f>
        <v>Mike Keeler</v>
      </c>
      <c r="AF2596" s="380" t="str">
        <f>VLOOKUP($B2596,'D7 - NDB Impacted SPRF''s'!$E$16:$O$9929,6,FALSE)</f>
        <v>MaryAnn Taylor</v>
      </c>
      <c r="AG2596" s="282" t="s">
        <v>7755</v>
      </c>
      <c r="AH2596" s="311" t="e">
        <f>INDEX('D5 - Gatekeeper - Projects'!$A$4:$AF$1010,$AM2596, 17)</f>
        <v>#N/A</v>
      </c>
      <c r="AI2596" s="8"/>
      <c r="AJ2596" s="57"/>
      <c r="AK2596" s="105"/>
      <c r="AM2596" s="6" t="e">
        <f>MATCH(D2596,'D5 - Gatekeeper - Projects'!$C$4:$C$1010,0)</f>
        <v>#N/A</v>
      </c>
      <c r="AN2596" s="6" t="b">
        <f t="shared" si="270"/>
        <v>1</v>
      </c>
      <c r="AO2596" s="6" t="str">
        <f t="shared" si="271"/>
        <v>OK</v>
      </c>
      <c r="AQ2596" s="6" t="e">
        <f>MATCH($D2596,'D4 - Provider Council Unsched'!$C$11:$C$234,0)</f>
        <v>#N/A</v>
      </c>
      <c r="AR2596" s="6" t="b">
        <f t="shared" si="272"/>
        <v>1</v>
      </c>
      <c r="AS2596" s="6" t="str">
        <f t="shared" si="269"/>
        <v>OK</v>
      </c>
      <c r="AU2596" s="202"/>
      <c r="AV2596" s="262"/>
      <c r="AW2596" s="274"/>
    </row>
    <row r="2597" spans="1:49" s="13" customFormat="1" ht="22.5" x14ac:dyDescent="0.2">
      <c r="A2597" s="14">
        <v>2573</v>
      </c>
      <c r="B2597" s="14">
        <v>400010342</v>
      </c>
      <c r="C2597" s="8" t="s">
        <v>6726</v>
      </c>
      <c r="D2597" s="4" t="str">
        <f t="shared" si="273"/>
        <v>400010342CC06</v>
      </c>
      <c r="E2597" s="309" t="e">
        <f>VLOOKUP($B2597,'D7 - NDB Impacted SPRF''s'!$E$6:$O$9929,2,FALSE)</f>
        <v>#N/A</v>
      </c>
      <c r="F2597" s="8" t="s">
        <v>4647</v>
      </c>
      <c r="G2597" s="8" t="s">
        <v>4758</v>
      </c>
      <c r="H2597" s="8" t="s">
        <v>2870</v>
      </c>
      <c r="I2597" s="20"/>
      <c r="J2597" s="8" t="s">
        <v>7113</v>
      </c>
      <c r="K2597" s="182"/>
      <c r="L2597" s="8" t="s">
        <v>4156</v>
      </c>
      <c r="M2597" s="8" t="s">
        <v>2814</v>
      </c>
      <c r="N2597" s="367" t="s">
        <v>4329</v>
      </c>
      <c r="O2597" s="8"/>
      <c r="P2597" s="4" t="e">
        <f>VLOOKUP($B2597,'D7 - NDB Impacted SPRF''s'!$E$16:$O$9929,9,FALSE)</f>
        <v>#N/A</v>
      </c>
      <c r="Q2597" s="4" t="e">
        <f>VLOOKUP($B2597,'D7 - NDB Impacted SPRF''s'!$E$16:$O$9929,10,FALSE)</f>
        <v>#N/A</v>
      </c>
      <c r="R2597" s="4" t="e">
        <f>VLOOKUP($B2597,'D7 - NDB Impacted SPRF''s'!$E$16:$O$9929,11,FALSE)</f>
        <v>#N/A</v>
      </c>
      <c r="S2597" s="8"/>
      <c r="T2597" s="310"/>
      <c r="U2597" s="310"/>
      <c r="V2597" s="4"/>
      <c r="W2597" s="4"/>
      <c r="X2597" s="4"/>
      <c r="Y2597" s="4"/>
      <c r="Z2597" s="4"/>
      <c r="AA2597" s="4"/>
      <c r="AB2597" s="380" t="e">
        <f>VLOOKUP($B2597,'D7 - NDB Impacted SPRF''s'!$E$16:$O$9929,4,FALSE)</f>
        <v>#N/A</v>
      </c>
      <c r="AC2597" s="380" t="e">
        <f>VLOOKUP($B2597,'D7 - NDB Impacted SPRF''s'!$E$16:$O$9929,3,FALSE)</f>
        <v>#N/A</v>
      </c>
      <c r="AD2597" s="380" t="e">
        <f>VLOOKUP($B2597,'D7 - NDB Impacted SPRF''s'!$E$16:$O$9929,5,FALSE)</f>
        <v>#N/A</v>
      </c>
      <c r="AE2597" s="380" t="e">
        <f>VLOOKUP($B2597,'D7 - NDB Impacted SPRF''s'!$E$16:$O$9929,7,FALSE)</f>
        <v>#N/A</v>
      </c>
      <c r="AF2597" s="380" t="e">
        <f>VLOOKUP($B2597,'D7 - NDB Impacted SPRF''s'!$E$16:$O$9929,6,FALSE)</f>
        <v>#N/A</v>
      </c>
      <c r="AG2597" s="282"/>
      <c r="AH2597" s="311" t="e">
        <f>INDEX('D5 - Gatekeeper - Projects'!$A$4:$AF$1010,$AM2597, 17)</f>
        <v>#N/A</v>
      </c>
      <c r="AI2597" s="8"/>
      <c r="AJ2597" s="57"/>
      <c r="AK2597" s="105"/>
      <c r="AM2597" s="6" t="e">
        <f>MATCH(D2597,'D5 - Gatekeeper - Projects'!$C$4:$C$1010,0)</f>
        <v>#N/A</v>
      </c>
      <c r="AN2597" s="6" t="b">
        <f t="shared" si="270"/>
        <v>1</v>
      </c>
      <c r="AO2597" s="6" t="str">
        <f t="shared" si="271"/>
        <v>OK</v>
      </c>
      <c r="AQ2597" s="6" t="e">
        <f>MATCH($D2597,'D4 - Provider Council Unsched'!$C$11:$C$234,0)</f>
        <v>#N/A</v>
      </c>
      <c r="AR2597" s="6" t="b">
        <f t="shared" si="272"/>
        <v>1</v>
      </c>
      <c r="AS2597" s="6" t="str">
        <f t="shared" si="269"/>
        <v>OK</v>
      </c>
      <c r="AU2597" s="202"/>
      <c r="AV2597" s="262"/>
      <c r="AW2597" s="274"/>
    </row>
    <row r="2598" spans="1:49" s="13" customFormat="1" ht="33.75" x14ac:dyDescent="0.2">
      <c r="A2598" s="14">
        <v>2574</v>
      </c>
      <c r="B2598" s="14">
        <v>400010616</v>
      </c>
      <c r="C2598" s="8" t="s">
        <v>3286</v>
      </c>
      <c r="D2598" s="4" t="str">
        <f t="shared" si="273"/>
        <v>400010616CC02</v>
      </c>
      <c r="E2598" s="309" t="str">
        <f>VLOOKUP($B2598,'D7 - NDB Impacted SPRF''s'!$E$6:$O$9929,2,FALSE)</f>
        <v>NPI UFE/NDB Provider Pick Compliance</v>
      </c>
      <c r="F2598" s="8" t="s">
        <v>1059</v>
      </c>
      <c r="G2598" s="8" t="s">
        <v>4758</v>
      </c>
      <c r="H2598" s="8" t="s">
        <v>2870</v>
      </c>
      <c r="I2598" s="20">
        <v>30.66</v>
      </c>
      <c r="J2598" s="8" t="s">
        <v>4862</v>
      </c>
      <c r="K2598" s="182"/>
      <c r="L2598" s="8" t="s">
        <v>4156</v>
      </c>
      <c r="M2598" s="8" t="s">
        <v>2814</v>
      </c>
      <c r="N2598" s="65" t="s">
        <v>5446</v>
      </c>
      <c r="O2598" s="8"/>
      <c r="P2598" s="4" t="str">
        <f>VLOOKUP($B2598,'D7 - NDB Impacted SPRF''s'!$E$16:$O$9929,9,FALSE)</f>
        <v>Y</v>
      </c>
      <c r="Q2598" s="4" t="str">
        <f>VLOOKUP($B2598,'D7 - NDB Impacted SPRF''s'!$E$16:$O$9929,10,FALSE)</f>
        <v>N</v>
      </c>
      <c r="R2598" s="4" t="str">
        <f>VLOOKUP($B2598,'D7 - NDB Impacted SPRF''s'!$E$16:$O$9929,11,FALSE)</f>
        <v>Y</v>
      </c>
      <c r="S2598" s="8"/>
      <c r="T2598" s="310"/>
      <c r="U2598" s="310"/>
      <c r="V2598" s="4"/>
      <c r="W2598" s="4"/>
      <c r="X2598" s="4"/>
      <c r="Y2598" s="4"/>
      <c r="Z2598" s="4"/>
      <c r="AA2598" s="4"/>
      <c r="AB2598" s="380" t="str">
        <f>VLOOKUP($B2598,'D7 - NDB Impacted SPRF''s'!$E$16:$O$9929,4,FALSE)</f>
        <v>Completed</v>
      </c>
      <c r="AC2598" s="380" t="str">
        <f>VLOOKUP($B2598,'D7 - NDB Impacted SPRF''s'!$E$16:$O$9929,3,FALSE)</f>
        <v>UnitedHealthcare Employer &amp; Individual</v>
      </c>
      <c r="AD2598" s="380" t="str">
        <f>VLOOKUP($B2598,'D7 - NDB Impacted SPRF''s'!$E$16:$O$9929,5,FALSE)</f>
        <v>Regulatory / Other</v>
      </c>
      <c r="AE2598" s="380" t="str">
        <f>VLOOKUP($B2598,'D7 - NDB Impacted SPRF''s'!$E$16:$O$9929,7,FALSE)</f>
        <v>Gerald Brockman</v>
      </c>
      <c r="AF2598" s="380" t="str">
        <f>VLOOKUP($B2598,'D7 - NDB Impacted SPRF''s'!$E$16:$O$9929,6,FALSE)</f>
        <v>KELLY LEONARD</v>
      </c>
      <c r="AG2598" s="282"/>
      <c r="AH2598" s="311" t="e">
        <f>INDEX('D5 - Gatekeeper - Projects'!$A$4:$AF$1010,$AM2598, 17)</f>
        <v>#N/A</v>
      </c>
      <c r="AI2598" s="8"/>
      <c r="AJ2598" s="57"/>
      <c r="AK2598" s="105"/>
      <c r="AM2598" s="6" t="e">
        <f>MATCH(D2598,'D5 - Gatekeeper - Projects'!$C$4:$C$1010,0)</f>
        <v>#N/A</v>
      </c>
      <c r="AN2598" s="6" t="b">
        <f t="shared" si="270"/>
        <v>1</v>
      </c>
      <c r="AO2598" s="6" t="str">
        <f t="shared" si="271"/>
        <v>OK</v>
      </c>
      <c r="AQ2598" s="6" t="e">
        <f>MATCH($D2598,'D4 - Provider Council Unsched'!$C$11:$C$234,0)</f>
        <v>#N/A</v>
      </c>
      <c r="AR2598" s="6" t="b">
        <f t="shared" si="272"/>
        <v>1</v>
      </c>
      <c r="AS2598" s="6" t="str">
        <f t="shared" si="269"/>
        <v>OK</v>
      </c>
      <c r="AU2598" s="202"/>
      <c r="AV2598" s="262"/>
      <c r="AW2598" s="274"/>
    </row>
    <row r="2599" spans="1:49" s="13" customFormat="1" ht="33.75" x14ac:dyDescent="0.2">
      <c r="A2599" s="14">
        <v>2575</v>
      </c>
      <c r="B2599" s="14">
        <v>400010619</v>
      </c>
      <c r="C2599" s="8" t="s">
        <v>5197</v>
      </c>
      <c r="D2599" s="4" t="str">
        <f t="shared" si="273"/>
        <v>400010619R1</v>
      </c>
      <c r="E2599" s="309" t="str">
        <f>VLOOKUP($B2599,'D7 - NDB Impacted SPRF''s'!$E$6:$O$9929,2,FALSE)</f>
        <v xml:space="preserve">Work Order- Duplicate Address Hard Edit </v>
      </c>
      <c r="F2599" s="8" t="s">
        <v>6007</v>
      </c>
      <c r="G2599" s="8" t="s">
        <v>4758</v>
      </c>
      <c r="H2599" s="8" t="s">
        <v>2870</v>
      </c>
      <c r="I2599" s="20"/>
      <c r="J2599" s="8"/>
      <c r="K2599" s="182"/>
      <c r="L2599" s="8" t="s">
        <v>6164</v>
      </c>
      <c r="M2599" s="8" t="s">
        <v>2814</v>
      </c>
      <c r="N2599" s="367"/>
      <c r="O2599" s="8"/>
      <c r="P2599" s="4" t="str">
        <f>VLOOKUP($B2599,'D7 - NDB Impacted SPRF''s'!$E$16:$O$9929,9,FALSE)</f>
        <v>N</v>
      </c>
      <c r="Q2599" s="4" t="str">
        <f>VLOOKUP($B2599,'D7 - NDB Impacted SPRF''s'!$E$16:$O$9929,10,FALSE)</f>
        <v>N</v>
      </c>
      <c r="R2599" s="4" t="str">
        <f>VLOOKUP($B2599,'D7 - NDB Impacted SPRF''s'!$E$16:$O$9929,11,FALSE)</f>
        <v>N</v>
      </c>
      <c r="S2599" s="8"/>
      <c r="T2599" s="310"/>
      <c r="U2599" s="310"/>
      <c r="V2599" s="4"/>
      <c r="W2599" s="4"/>
      <c r="X2599" s="4"/>
      <c r="Y2599" s="4"/>
      <c r="Z2599" s="4"/>
      <c r="AA2599" s="4"/>
      <c r="AB2599" s="380" t="str">
        <f>VLOOKUP($B2599,'D7 - NDB Impacted SPRF''s'!$E$16:$O$9929,4,FALSE)</f>
        <v>Cancelled</v>
      </c>
      <c r="AC2599" s="380" t="str">
        <f>VLOOKUP($B2599,'D7 - NDB Impacted SPRF''s'!$E$16:$O$9929,3,FALSE)</f>
        <v>UnitedHealthcare Employer &amp; Individual</v>
      </c>
      <c r="AD2599" s="380" t="str">
        <f>VLOOKUP($B2599,'D7 - NDB Impacted SPRF''s'!$E$16:$O$9929,5,FALSE)</f>
        <v>Operations Group</v>
      </c>
      <c r="AE2599" s="380" t="str">
        <f>VLOOKUP($B2599,'D7 - NDB Impacted SPRF''s'!$E$16:$O$9929,7,FALSE)</f>
        <v>Peter Bompane</v>
      </c>
      <c r="AF2599" s="380" t="str">
        <f>VLOOKUP($B2599,'D7 - NDB Impacted SPRF''s'!$E$16:$O$9929,6,FALSE)</f>
        <v>CAROLYN GUSTAFSON</v>
      </c>
      <c r="AG2599" s="282"/>
      <c r="AH2599" s="311" t="e">
        <f>INDEX('D5 - Gatekeeper - Projects'!$A$4:$AF$1010,$AM2599, 17)</f>
        <v>#N/A</v>
      </c>
      <c r="AI2599" s="8"/>
      <c r="AJ2599" s="57"/>
      <c r="AK2599" s="105"/>
      <c r="AM2599" s="6" t="e">
        <f>MATCH(D2599,'D5 - Gatekeeper - Projects'!$C$4:$C$1010,0)</f>
        <v>#N/A</v>
      </c>
      <c r="AN2599" s="6" t="b">
        <f t="shared" si="270"/>
        <v>1</v>
      </c>
      <c r="AO2599" s="6" t="str">
        <f t="shared" si="271"/>
        <v>OK</v>
      </c>
      <c r="AQ2599" s="6" t="e">
        <f>MATCH($D2599,'D4 - Provider Council Unsched'!$C$11:$C$234,0)</f>
        <v>#N/A</v>
      </c>
      <c r="AR2599" s="6" t="b">
        <f t="shared" si="272"/>
        <v>1</v>
      </c>
      <c r="AS2599" s="6" t="str">
        <f t="shared" si="269"/>
        <v>OK</v>
      </c>
      <c r="AU2599" s="202"/>
      <c r="AV2599" s="262"/>
      <c r="AW2599" s="274"/>
    </row>
    <row r="2600" spans="1:49" s="13" customFormat="1" ht="33.75" x14ac:dyDescent="0.2">
      <c r="A2600" s="14">
        <v>2576</v>
      </c>
      <c r="B2600" s="14">
        <v>400010721</v>
      </c>
      <c r="C2600" s="8" t="s">
        <v>4510</v>
      </c>
      <c r="D2600" s="4" t="str">
        <f t="shared" si="273"/>
        <v>400010721CC14R4</v>
      </c>
      <c r="E2600" s="309" t="str">
        <f>VLOOKUP($B2600,'D7 - NDB Impacted SPRF''s'!$E$6:$O$9929,2,FALSE)</f>
        <v>GHMO Analysis &amp; Design Phase V (Medica)</v>
      </c>
      <c r="F2600" s="8" t="s">
        <v>4168</v>
      </c>
      <c r="G2600" s="8" t="s">
        <v>4758</v>
      </c>
      <c r="H2600" s="8" t="s">
        <v>2870</v>
      </c>
      <c r="I2600" s="20">
        <v>5</v>
      </c>
      <c r="J2600" s="8" t="s">
        <v>4862</v>
      </c>
      <c r="K2600" s="182"/>
      <c r="L2600" s="8" t="s">
        <v>4156</v>
      </c>
      <c r="M2600" s="8" t="s">
        <v>2814</v>
      </c>
      <c r="N2600" s="367" t="s">
        <v>6084</v>
      </c>
      <c r="O2600" s="8"/>
      <c r="P2600" s="4" t="str">
        <f>VLOOKUP($B2600,'D7 - NDB Impacted SPRF''s'!$E$16:$O$9929,9,FALSE)</f>
        <v>Y</v>
      </c>
      <c r="Q2600" s="4" t="str">
        <f>VLOOKUP($B2600,'D7 - NDB Impacted SPRF''s'!$E$16:$O$9929,10,FALSE)</f>
        <v>N</v>
      </c>
      <c r="R2600" s="4" t="str">
        <f>VLOOKUP($B2600,'D7 - NDB Impacted SPRF''s'!$E$16:$O$9929,11,FALSE)</f>
        <v>N</v>
      </c>
      <c r="S2600" s="8" t="s">
        <v>3758</v>
      </c>
      <c r="T2600" s="310"/>
      <c r="U2600" s="310"/>
      <c r="V2600" s="4"/>
      <c r="W2600" s="4"/>
      <c r="X2600" s="4"/>
      <c r="Y2600" s="4"/>
      <c r="Z2600" s="4"/>
      <c r="AA2600" s="4"/>
      <c r="AB2600" s="380" t="str">
        <f>VLOOKUP($B2600,'D7 - NDB Impacted SPRF''s'!$E$16:$O$9929,4,FALSE)</f>
        <v>Completed</v>
      </c>
      <c r="AC2600" s="380" t="str">
        <f>VLOOKUP($B2600,'D7 - NDB Impacted SPRF''s'!$E$16:$O$9929,3,FALSE)</f>
        <v>UnitedHealthcare Employer &amp; Individual</v>
      </c>
      <c r="AD2600" s="380" t="str">
        <f>VLOOKUP($B2600,'D7 - NDB Impacted SPRF''s'!$E$16:$O$9929,5,FALSE)</f>
        <v>Gated HMO</v>
      </c>
      <c r="AE2600" s="380" t="str">
        <f>VLOOKUP($B2600,'D7 - NDB Impacted SPRF''s'!$E$16:$O$9929,7,FALSE)</f>
        <v>Diane Schofield</v>
      </c>
      <c r="AF2600" s="380" t="str">
        <f>VLOOKUP($B2600,'D7 - NDB Impacted SPRF''s'!$E$16:$O$9929,6,FALSE)</f>
        <v>SUSAN TONKIN</v>
      </c>
      <c r="AG2600" s="282"/>
      <c r="AH2600" s="311" t="e">
        <f>INDEX('D5 - Gatekeeper - Projects'!$A$4:$AF$1010,$AM2600, 17)</f>
        <v>#N/A</v>
      </c>
      <c r="AI2600" s="8"/>
      <c r="AJ2600" s="57"/>
      <c r="AK2600" s="105"/>
      <c r="AM2600" s="6" t="e">
        <f>MATCH(D2600,'D5 - Gatekeeper - Projects'!$C$4:$C$1010,0)</f>
        <v>#N/A</v>
      </c>
      <c r="AN2600" s="6" t="b">
        <f t="shared" si="270"/>
        <v>1</v>
      </c>
      <c r="AO2600" s="6" t="str">
        <f t="shared" si="271"/>
        <v>OK</v>
      </c>
      <c r="AQ2600" s="6" t="e">
        <f>MATCH($D2600,'D4 - Provider Council Unsched'!$C$11:$C$234,0)</f>
        <v>#N/A</v>
      </c>
      <c r="AR2600" s="6" t="b">
        <f t="shared" si="272"/>
        <v>1</v>
      </c>
      <c r="AS2600" s="6" t="str">
        <f t="shared" si="269"/>
        <v>OK</v>
      </c>
      <c r="AU2600" s="202"/>
      <c r="AV2600" s="262"/>
      <c r="AW2600" s="274"/>
    </row>
    <row r="2601" spans="1:49" s="13" customFormat="1" ht="33.75" x14ac:dyDescent="0.2">
      <c r="A2601" s="14">
        <v>2577</v>
      </c>
      <c r="B2601" s="14">
        <v>400010798</v>
      </c>
      <c r="C2601" s="8" t="s">
        <v>5197</v>
      </c>
      <c r="D2601" s="4" t="str">
        <f t="shared" si="273"/>
        <v>400010798R1</v>
      </c>
      <c r="E2601" s="309" t="e">
        <f>VLOOKUP($B2601,'D7 - NDB Impacted SPRF''s'!$E$6:$O$9929,2,FALSE)</f>
        <v>#N/A</v>
      </c>
      <c r="F2601" s="8" t="s">
        <v>5096</v>
      </c>
      <c r="G2601" s="8" t="s">
        <v>4758</v>
      </c>
      <c r="H2601" s="8" t="s">
        <v>2870</v>
      </c>
      <c r="I2601" s="20"/>
      <c r="J2601" s="8" t="s">
        <v>7113</v>
      </c>
      <c r="K2601" s="182"/>
      <c r="L2601" s="8" t="s">
        <v>4156</v>
      </c>
      <c r="M2601" s="8" t="s">
        <v>2814</v>
      </c>
      <c r="N2601" s="367" t="s">
        <v>8072</v>
      </c>
      <c r="O2601" s="8"/>
      <c r="P2601" s="4" t="e">
        <f>VLOOKUP($B2601,'D7 - NDB Impacted SPRF''s'!$E$16:$O$9929,9,FALSE)</f>
        <v>#N/A</v>
      </c>
      <c r="Q2601" s="4" t="e">
        <f>VLOOKUP($B2601,'D7 - NDB Impacted SPRF''s'!$E$16:$O$9929,10,FALSE)</f>
        <v>#N/A</v>
      </c>
      <c r="R2601" s="4" t="e">
        <f>VLOOKUP($B2601,'D7 - NDB Impacted SPRF''s'!$E$16:$O$9929,11,FALSE)</f>
        <v>#N/A</v>
      </c>
      <c r="S2601" s="8"/>
      <c r="T2601" s="310"/>
      <c r="U2601" s="310"/>
      <c r="V2601" s="4"/>
      <c r="W2601" s="4"/>
      <c r="X2601" s="4"/>
      <c r="Y2601" s="4"/>
      <c r="Z2601" s="4"/>
      <c r="AA2601" s="4"/>
      <c r="AB2601" s="380" t="e">
        <f>VLOOKUP($B2601,'D7 - NDB Impacted SPRF''s'!$E$16:$O$9929,4,FALSE)</f>
        <v>#N/A</v>
      </c>
      <c r="AC2601" s="380" t="e">
        <f>VLOOKUP($B2601,'D7 - NDB Impacted SPRF''s'!$E$16:$O$9929,3,FALSE)</f>
        <v>#N/A</v>
      </c>
      <c r="AD2601" s="380" t="e">
        <f>VLOOKUP($B2601,'D7 - NDB Impacted SPRF''s'!$E$16:$O$9929,5,FALSE)</f>
        <v>#N/A</v>
      </c>
      <c r="AE2601" s="380" t="e">
        <f>VLOOKUP($B2601,'D7 - NDB Impacted SPRF''s'!$E$16:$O$9929,7,FALSE)</f>
        <v>#N/A</v>
      </c>
      <c r="AF2601" s="380" t="e">
        <f>VLOOKUP($B2601,'D7 - NDB Impacted SPRF''s'!$E$16:$O$9929,6,FALSE)</f>
        <v>#N/A</v>
      </c>
      <c r="AG2601" s="282"/>
      <c r="AH2601" s="311" t="e">
        <f>INDEX('D5 - Gatekeeper - Projects'!$A$4:$AF$1010,$AM2601, 17)</f>
        <v>#N/A</v>
      </c>
      <c r="AI2601" s="8"/>
      <c r="AJ2601" s="57"/>
      <c r="AK2601" s="105"/>
      <c r="AM2601" s="6" t="e">
        <f>MATCH(D2601,'D5 - Gatekeeper - Projects'!$C$4:$C$1010,0)</f>
        <v>#N/A</v>
      </c>
      <c r="AN2601" s="6" t="b">
        <f t="shared" si="270"/>
        <v>1</v>
      </c>
      <c r="AO2601" s="6" t="str">
        <f t="shared" si="271"/>
        <v>OK</v>
      </c>
      <c r="AQ2601" s="6" t="e">
        <f>MATCH($D2601,'D4 - Provider Council Unsched'!$C$11:$C$234,0)</f>
        <v>#N/A</v>
      </c>
      <c r="AR2601" s="6" t="b">
        <f t="shared" si="272"/>
        <v>1</v>
      </c>
      <c r="AS2601" s="6" t="str">
        <f t="shared" si="269"/>
        <v>OK</v>
      </c>
      <c r="AU2601" s="202"/>
      <c r="AV2601" s="262"/>
      <c r="AW2601" s="274"/>
    </row>
    <row r="2602" spans="1:49" s="13" customFormat="1" ht="22.5" x14ac:dyDescent="0.2">
      <c r="A2602" s="14">
        <v>2578</v>
      </c>
      <c r="B2602" s="14">
        <v>400010813</v>
      </c>
      <c r="C2602" s="8" t="s">
        <v>5197</v>
      </c>
      <c r="D2602" s="4" t="str">
        <f t="shared" si="273"/>
        <v>400010813R1</v>
      </c>
      <c r="E2602" s="309" t="str">
        <f>VLOOKUP($B2602,'D7 - NDB Impacted SPRF''s'!$E$6:$O$9929,2,FALSE)</f>
        <v>Data Integrity Analysis</v>
      </c>
      <c r="F2602" s="8" t="s">
        <v>2114</v>
      </c>
      <c r="G2602" s="8" t="s">
        <v>4758</v>
      </c>
      <c r="H2602" s="8" t="s">
        <v>2870</v>
      </c>
      <c r="I2602" s="20">
        <v>0.27</v>
      </c>
      <c r="J2602" s="8" t="s">
        <v>4862</v>
      </c>
      <c r="K2602" s="182"/>
      <c r="L2602" s="8" t="s">
        <v>4156</v>
      </c>
      <c r="M2602" s="8" t="s">
        <v>2814</v>
      </c>
      <c r="N2602" s="368" t="s">
        <v>5190</v>
      </c>
      <c r="O2602" s="8"/>
      <c r="P2602" s="4" t="str">
        <f>VLOOKUP($B2602,'D7 - NDB Impacted SPRF''s'!$E$16:$O$9929,9,FALSE)</f>
        <v>N</v>
      </c>
      <c r="Q2602" s="4" t="str">
        <f>VLOOKUP($B2602,'D7 - NDB Impacted SPRF''s'!$E$16:$O$9929,10,FALSE)</f>
        <v>N</v>
      </c>
      <c r="R2602" s="4" t="str">
        <f>VLOOKUP($B2602,'D7 - NDB Impacted SPRF''s'!$E$16:$O$9929,11,FALSE)</f>
        <v>N</v>
      </c>
      <c r="S2602" s="8"/>
      <c r="T2602" s="310"/>
      <c r="U2602" s="310"/>
      <c r="V2602" s="4"/>
      <c r="W2602" s="4"/>
      <c r="X2602" s="4"/>
      <c r="Y2602" s="4"/>
      <c r="Z2602" s="4"/>
      <c r="AA2602" s="4"/>
      <c r="AB2602" s="380" t="str">
        <f>VLOOKUP($B2602,'D7 - NDB Impacted SPRF''s'!$E$16:$O$9929,4,FALSE)</f>
        <v>Cancelled</v>
      </c>
      <c r="AC2602" s="380" t="str">
        <f>VLOOKUP($B2602,'D7 - NDB Impacted SPRF''s'!$E$16:$O$9929,3,FALSE)</f>
        <v>Uniprise</v>
      </c>
      <c r="AD2602" s="380" t="str">
        <f>VLOOKUP($B2602,'D7 - NDB Impacted SPRF''s'!$E$16:$O$9929,5,FALSE)</f>
        <v>Group Services - Capital Projects</v>
      </c>
      <c r="AE2602" s="380" t="str">
        <f>VLOOKUP($B2602,'D7 - NDB Impacted SPRF''s'!$E$16:$O$9929,7,FALSE)</f>
        <v>Susan Spring</v>
      </c>
      <c r="AF2602" s="380" t="str">
        <f>VLOOKUP($B2602,'D7 - NDB Impacted SPRF''s'!$E$16:$O$9929,6,FALSE)</f>
        <v>JASON LAVOIE</v>
      </c>
      <c r="AG2602" s="282" t="s">
        <v>7755</v>
      </c>
      <c r="AH2602" s="311" t="e">
        <f>INDEX('D5 - Gatekeeper - Projects'!$A$4:$AF$1010,$AM2602, 17)</f>
        <v>#N/A</v>
      </c>
      <c r="AI2602" s="8"/>
      <c r="AJ2602" s="57"/>
      <c r="AK2602" s="105"/>
      <c r="AM2602" s="6" t="e">
        <f>MATCH(D2602,'D5 - Gatekeeper - Projects'!$C$4:$C$1010,0)</f>
        <v>#N/A</v>
      </c>
      <c r="AN2602" s="6" t="b">
        <f t="shared" si="270"/>
        <v>1</v>
      </c>
      <c r="AO2602" s="6" t="str">
        <f t="shared" si="271"/>
        <v>OK</v>
      </c>
      <c r="AQ2602" s="6" t="e">
        <f>MATCH($D2602,'D4 - Provider Council Unsched'!$C$11:$C$234,0)</f>
        <v>#N/A</v>
      </c>
      <c r="AR2602" s="6" t="b">
        <f t="shared" si="272"/>
        <v>1</v>
      </c>
      <c r="AS2602" s="6" t="str">
        <f t="shared" si="269"/>
        <v>OK</v>
      </c>
      <c r="AU2602" s="202"/>
      <c r="AV2602" s="262"/>
      <c r="AW2602" s="274"/>
    </row>
    <row r="2603" spans="1:49" s="13" customFormat="1" ht="33.75" x14ac:dyDescent="0.2">
      <c r="A2603" s="14">
        <v>2579</v>
      </c>
      <c r="B2603" s="14">
        <v>400010953</v>
      </c>
      <c r="C2603" s="8" t="s">
        <v>5197</v>
      </c>
      <c r="D2603" s="4" t="str">
        <f t="shared" si="273"/>
        <v>400010953R1</v>
      </c>
      <c r="E2603" s="309" t="str">
        <f>VLOOKUP($B2603,'D7 - NDB Impacted SPRF''s'!$E$6:$O$9929,2,FALSE)</f>
        <v>CIX - Cust. Inst. Express 2006</v>
      </c>
      <c r="F2603" s="8" t="s">
        <v>7031</v>
      </c>
      <c r="G2603" s="8" t="s">
        <v>4758</v>
      </c>
      <c r="H2603" s="8" t="s">
        <v>2870</v>
      </c>
      <c r="I2603" s="20">
        <v>0.13</v>
      </c>
      <c r="J2603" s="8" t="s">
        <v>4862</v>
      </c>
      <c r="K2603" s="182"/>
      <c r="L2603" s="8" t="s">
        <v>4156</v>
      </c>
      <c r="M2603" s="8" t="s">
        <v>2814</v>
      </c>
      <c r="N2603" s="367" t="s">
        <v>7424</v>
      </c>
      <c r="O2603" s="8"/>
      <c r="P2603" s="4" t="str">
        <f>VLOOKUP($B2603,'D7 - NDB Impacted SPRF''s'!$E$16:$O$9929,9,FALSE)</f>
        <v>Y</v>
      </c>
      <c r="Q2603" s="4" t="str">
        <f>VLOOKUP($B2603,'D7 - NDB Impacted SPRF''s'!$E$16:$O$9929,10,FALSE)</f>
        <v>N</v>
      </c>
      <c r="R2603" s="4" t="str">
        <f>VLOOKUP($B2603,'D7 - NDB Impacted SPRF''s'!$E$16:$O$9929,11,FALSE)</f>
        <v>N</v>
      </c>
      <c r="S2603" s="8"/>
      <c r="T2603" s="310"/>
      <c r="U2603" s="310"/>
      <c r="V2603" s="4"/>
      <c r="W2603" s="4"/>
      <c r="X2603" s="4"/>
      <c r="Y2603" s="4"/>
      <c r="Z2603" s="4"/>
      <c r="AA2603" s="4"/>
      <c r="AB2603" s="380" t="str">
        <f>VLOOKUP($B2603,'D7 - NDB Impacted SPRF''s'!$E$16:$O$9929,4,FALSE)</f>
        <v>Completed</v>
      </c>
      <c r="AC2603" s="380" t="str">
        <f>VLOOKUP($B2603,'D7 - NDB Impacted SPRF''s'!$E$16:$O$9929,3,FALSE)</f>
        <v>UnitedHealthcare Employer &amp; Individual</v>
      </c>
      <c r="AD2603" s="380" t="str">
        <f>VLOOKUP($B2603,'D7 - NDB Impacted SPRF''s'!$E$16:$O$9929,5,FALSE)</f>
        <v>Process Improvement</v>
      </c>
      <c r="AE2603" s="380" t="str">
        <f>VLOOKUP($B2603,'D7 - NDB Impacted SPRF''s'!$E$16:$O$9929,7,FALSE)</f>
        <v>Dirk McMahon</v>
      </c>
      <c r="AF2603" s="380" t="str">
        <f>VLOOKUP($B2603,'D7 - NDB Impacted SPRF''s'!$E$16:$O$9929,6,FALSE)</f>
        <v>LYNN FRENZ</v>
      </c>
      <c r="AG2603" s="282" t="s">
        <v>7755</v>
      </c>
      <c r="AH2603" s="311" t="e">
        <f>INDEX('D5 - Gatekeeper - Projects'!$A$4:$AF$1010,$AM2603, 17)</f>
        <v>#N/A</v>
      </c>
      <c r="AI2603" s="8"/>
      <c r="AJ2603" s="57"/>
      <c r="AK2603" s="105"/>
      <c r="AM2603" s="6" t="e">
        <f>MATCH(D2603,'D5 - Gatekeeper - Projects'!$C$4:$C$1010,0)</f>
        <v>#N/A</v>
      </c>
      <c r="AN2603" s="6" t="b">
        <f t="shared" si="270"/>
        <v>1</v>
      </c>
      <c r="AO2603" s="6" t="str">
        <f t="shared" si="271"/>
        <v>OK</v>
      </c>
      <c r="AQ2603" s="6" t="e">
        <f>MATCH($D2603,'D4 - Provider Council Unsched'!$C$11:$C$234,0)</f>
        <v>#N/A</v>
      </c>
      <c r="AR2603" s="6" t="b">
        <f t="shared" si="272"/>
        <v>1</v>
      </c>
      <c r="AS2603" s="6" t="str">
        <f t="shared" si="269"/>
        <v>OK</v>
      </c>
      <c r="AU2603" s="202"/>
      <c r="AV2603" s="262"/>
      <c r="AW2603" s="274"/>
    </row>
    <row r="2604" spans="1:49" s="13" customFormat="1" x14ac:dyDescent="0.2">
      <c r="A2604" s="14">
        <v>2580</v>
      </c>
      <c r="B2604" s="14">
        <v>400010961</v>
      </c>
      <c r="C2604" s="8" t="s">
        <v>5197</v>
      </c>
      <c r="D2604" s="4" t="str">
        <f t="shared" si="273"/>
        <v>400010961R1</v>
      </c>
      <c r="E2604" s="309" t="e">
        <f>VLOOKUP($B2604,'D7 - NDB Impacted SPRF''s'!$E$6:$O$9929,2,FALSE)</f>
        <v>#N/A</v>
      </c>
      <c r="F2604" s="8" t="s">
        <v>2945</v>
      </c>
      <c r="G2604" s="8" t="s">
        <v>4758</v>
      </c>
      <c r="H2604" s="8" t="s">
        <v>2870</v>
      </c>
      <c r="I2604" s="20"/>
      <c r="J2604" s="8" t="s">
        <v>7113</v>
      </c>
      <c r="K2604" s="182"/>
      <c r="L2604" s="8" t="s">
        <v>4156</v>
      </c>
      <c r="M2604" s="8" t="s">
        <v>2814</v>
      </c>
      <c r="N2604" s="367" t="s">
        <v>2648</v>
      </c>
      <c r="O2604" s="8"/>
      <c r="P2604" s="4" t="e">
        <f>VLOOKUP($B2604,'D7 - NDB Impacted SPRF''s'!$E$16:$O$9929,9,FALSE)</f>
        <v>#N/A</v>
      </c>
      <c r="Q2604" s="4" t="e">
        <f>VLOOKUP($B2604,'D7 - NDB Impacted SPRF''s'!$E$16:$O$9929,10,FALSE)</f>
        <v>#N/A</v>
      </c>
      <c r="R2604" s="4" t="e">
        <f>VLOOKUP($B2604,'D7 - NDB Impacted SPRF''s'!$E$16:$O$9929,11,FALSE)</f>
        <v>#N/A</v>
      </c>
      <c r="S2604" s="8"/>
      <c r="T2604" s="310"/>
      <c r="U2604" s="310"/>
      <c r="V2604" s="4"/>
      <c r="W2604" s="4"/>
      <c r="X2604" s="4"/>
      <c r="Y2604" s="4"/>
      <c r="Z2604" s="4"/>
      <c r="AA2604" s="4"/>
      <c r="AB2604" s="380" t="e">
        <f>VLOOKUP($B2604,'D7 - NDB Impacted SPRF''s'!$E$16:$O$9929,4,FALSE)</f>
        <v>#N/A</v>
      </c>
      <c r="AC2604" s="380" t="e">
        <f>VLOOKUP($B2604,'D7 - NDB Impacted SPRF''s'!$E$16:$O$9929,3,FALSE)</f>
        <v>#N/A</v>
      </c>
      <c r="AD2604" s="380" t="e">
        <f>VLOOKUP($B2604,'D7 - NDB Impacted SPRF''s'!$E$16:$O$9929,5,FALSE)</f>
        <v>#N/A</v>
      </c>
      <c r="AE2604" s="380" t="e">
        <f>VLOOKUP($B2604,'D7 - NDB Impacted SPRF''s'!$E$16:$O$9929,7,FALSE)</f>
        <v>#N/A</v>
      </c>
      <c r="AF2604" s="380" t="e">
        <f>VLOOKUP($B2604,'D7 - NDB Impacted SPRF''s'!$E$16:$O$9929,6,FALSE)</f>
        <v>#N/A</v>
      </c>
      <c r="AG2604" s="282"/>
      <c r="AH2604" s="311" t="e">
        <f>INDEX('D5 - Gatekeeper - Projects'!$A$4:$AF$1010,$AM2604, 17)</f>
        <v>#N/A</v>
      </c>
      <c r="AI2604" s="8"/>
      <c r="AJ2604" s="57"/>
      <c r="AK2604" s="105"/>
      <c r="AM2604" s="6" t="e">
        <f>MATCH(D2604,'D5 - Gatekeeper - Projects'!$C$4:$C$1010,0)</f>
        <v>#N/A</v>
      </c>
      <c r="AN2604" s="6" t="b">
        <f t="shared" si="270"/>
        <v>1</v>
      </c>
      <c r="AO2604" s="6" t="str">
        <f t="shared" si="271"/>
        <v>OK</v>
      </c>
      <c r="AQ2604" s="6" t="e">
        <f>MATCH($D2604,'D4 - Provider Council Unsched'!$C$11:$C$234,0)</f>
        <v>#N/A</v>
      </c>
      <c r="AR2604" s="6" t="b">
        <f t="shared" si="272"/>
        <v>1</v>
      </c>
      <c r="AS2604" s="6" t="str">
        <f t="shared" si="269"/>
        <v>OK</v>
      </c>
      <c r="AU2604" s="202"/>
      <c r="AV2604" s="262"/>
      <c r="AW2604" s="274"/>
    </row>
    <row r="2605" spans="1:49" s="13" customFormat="1" ht="33.75" x14ac:dyDescent="0.2">
      <c r="A2605" s="14">
        <v>2581</v>
      </c>
      <c r="B2605" s="14">
        <v>400010981</v>
      </c>
      <c r="C2605" s="8" t="s">
        <v>5197</v>
      </c>
      <c r="D2605" s="4" t="str">
        <f t="shared" si="273"/>
        <v>400010981R1</v>
      </c>
      <c r="E2605" s="309" t="str">
        <f>VLOOKUP($B2605,'D7 - NDB Impacted SPRF''s'!$E$6:$O$9929,2,FALSE)</f>
        <v>NPI Portals Compliance - B2C</v>
      </c>
      <c r="F2605" s="8" t="s">
        <v>1059</v>
      </c>
      <c r="G2605" s="8" t="s">
        <v>4758</v>
      </c>
      <c r="H2605" s="8" t="s">
        <v>2870</v>
      </c>
      <c r="I2605" s="20">
        <v>1.32</v>
      </c>
      <c r="J2605" s="8" t="s">
        <v>4862</v>
      </c>
      <c r="K2605" s="182"/>
      <c r="L2605" s="8" t="s">
        <v>4156</v>
      </c>
      <c r="M2605" s="8" t="s">
        <v>2814</v>
      </c>
      <c r="N2605" s="38" t="s">
        <v>4383</v>
      </c>
      <c r="O2605" s="8"/>
      <c r="P2605" s="4" t="str">
        <f>VLOOKUP($B2605,'D7 - NDB Impacted SPRF''s'!$E$16:$O$9929,9,FALSE)</f>
        <v>N</v>
      </c>
      <c r="Q2605" s="4" t="str">
        <f>VLOOKUP($B2605,'D7 - NDB Impacted SPRF''s'!$E$16:$O$9929,10,FALSE)</f>
        <v>N</v>
      </c>
      <c r="R2605" s="4" t="str">
        <f>VLOOKUP($B2605,'D7 - NDB Impacted SPRF''s'!$E$16:$O$9929,11,FALSE)</f>
        <v>N</v>
      </c>
      <c r="S2605" s="8"/>
      <c r="T2605" s="310"/>
      <c r="U2605" s="310"/>
      <c r="V2605" s="4"/>
      <c r="W2605" s="4"/>
      <c r="X2605" s="4"/>
      <c r="Y2605" s="4"/>
      <c r="Z2605" s="4"/>
      <c r="AA2605" s="4"/>
      <c r="AB2605" s="380" t="str">
        <f>VLOOKUP($B2605,'D7 - NDB Impacted SPRF''s'!$E$16:$O$9929,4,FALSE)</f>
        <v>Completed</v>
      </c>
      <c r="AC2605" s="380" t="str">
        <f>VLOOKUP($B2605,'D7 - NDB Impacted SPRF''s'!$E$16:$O$9929,3,FALSE)</f>
        <v>UnitedHealthcare Employer &amp; Individual</v>
      </c>
      <c r="AD2605" s="380" t="str">
        <f>VLOOKUP($B2605,'D7 - NDB Impacted SPRF''s'!$E$16:$O$9929,5,FALSE)</f>
        <v>Regulatory / Other</v>
      </c>
      <c r="AE2605" s="380" t="str">
        <f>VLOOKUP($B2605,'D7 - NDB Impacted SPRF''s'!$E$16:$O$9929,7,FALSE)</f>
        <v>Gerald Brockman</v>
      </c>
      <c r="AF2605" s="380" t="str">
        <f>VLOOKUP($B2605,'D7 - NDB Impacted SPRF''s'!$E$16:$O$9929,6,FALSE)</f>
        <v>KELLY LEONARD</v>
      </c>
      <c r="AG2605" s="282"/>
      <c r="AH2605" s="311" t="e">
        <f>INDEX('D5 - Gatekeeper - Projects'!$A$4:$AF$1010,$AM2605, 17)</f>
        <v>#N/A</v>
      </c>
      <c r="AI2605" s="8"/>
      <c r="AJ2605" s="57"/>
      <c r="AK2605" s="105"/>
      <c r="AM2605" s="6" t="e">
        <f>MATCH(D2605,'D5 - Gatekeeper - Projects'!$C$4:$C$1010,0)</f>
        <v>#N/A</v>
      </c>
      <c r="AN2605" s="6" t="b">
        <f t="shared" si="270"/>
        <v>1</v>
      </c>
      <c r="AO2605" s="6" t="str">
        <f t="shared" si="271"/>
        <v>OK</v>
      </c>
      <c r="AQ2605" s="6" t="e">
        <f>MATCH($D2605,'D4 - Provider Council Unsched'!$C$11:$C$234,0)</f>
        <v>#N/A</v>
      </c>
      <c r="AR2605" s="6" t="b">
        <f t="shared" si="272"/>
        <v>1</v>
      </c>
      <c r="AS2605" s="6" t="str">
        <f t="shared" si="269"/>
        <v>OK</v>
      </c>
      <c r="AU2605" s="202"/>
      <c r="AV2605" s="262"/>
      <c r="AW2605" s="274"/>
    </row>
    <row r="2606" spans="1:49" s="13" customFormat="1" ht="33.75" x14ac:dyDescent="0.2">
      <c r="A2606" s="14">
        <v>2582</v>
      </c>
      <c r="B2606" s="14">
        <v>400011028</v>
      </c>
      <c r="C2606" s="8" t="s">
        <v>5197</v>
      </c>
      <c r="D2606" s="4" t="str">
        <f t="shared" si="273"/>
        <v>400011028R1</v>
      </c>
      <c r="E2606" s="309" t="str">
        <f>VLOOKUP($B2606,'D7 - NDB Impacted SPRF''s'!$E$6:$O$9929,2,FALSE)</f>
        <v>Web-Based Solution for NDM Work Queue</v>
      </c>
      <c r="F2606" s="8" t="s">
        <v>4961</v>
      </c>
      <c r="G2606" s="8" t="s">
        <v>4758</v>
      </c>
      <c r="H2606" s="8" t="s">
        <v>2870</v>
      </c>
      <c r="I2606" s="20">
        <v>40.729999999999997</v>
      </c>
      <c r="J2606" s="8" t="s">
        <v>4862</v>
      </c>
      <c r="K2606" s="182"/>
      <c r="L2606" s="8" t="s">
        <v>4156</v>
      </c>
      <c r="M2606" s="8" t="s">
        <v>2814</v>
      </c>
      <c r="N2606" s="367" t="s">
        <v>4653</v>
      </c>
      <c r="O2606" s="8"/>
      <c r="P2606" s="4" t="str">
        <f>VLOOKUP($B2606,'D7 - NDB Impacted SPRF''s'!$E$16:$O$9929,9,FALSE)</f>
        <v>N</v>
      </c>
      <c r="Q2606" s="4" t="str">
        <f>VLOOKUP($B2606,'D7 - NDB Impacted SPRF''s'!$E$16:$O$9929,10,FALSE)</f>
        <v>N</v>
      </c>
      <c r="R2606" s="4" t="str">
        <f>VLOOKUP($B2606,'D7 - NDB Impacted SPRF''s'!$E$16:$O$9929,11,FALSE)</f>
        <v>N</v>
      </c>
      <c r="S2606" s="8"/>
      <c r="T2606" s="310"/>
      <c r="U2606" s="310"/>
      <c r="V2606" s="4"/>
      <c r="W2606" s="4"/>
      <c r="X2606" s="4"/>
      <c r="Y2606" s="4"/>
      <c r="Z2606" s="4"/>
      <c r="AA2606" s="4"/>
      <c r="AB2606" s="380" t="str">
        <f>VLOOKUP($B2606,'D7 - NDB Impacted SPRF''s'!$E$16:$O$9929,4,FALSE)</f>
        <v>Cancelled</v>
      </c>
      <c r="AC2606" s="380" t="str">
        <f>VLOOKUP($B2606,'D7 - NDB Impacted SPRF''s'!$E$16:$O$9929,3,FALSE)</f>
        <v>UnitedHealthcare Employer &amp; Individual</v>
      </c>
      <c r="AD2606" s="380" t="str">
        <f>VLOOKUP($B2606,'D7 - NDB Impacted SPRF''s'!$E$16:$O$9929,5,FALSE)</f>
        <v>Key Initiatives Group</v>
      </c>
      <c r="AE2606" s="380" t="str">
        <f>VLOOKUP($B2606,'D7 - NDB Impacted SPRF''s'!$E$16:$O$9929,7,FALSE)</f>
        <v>Gerald Brockman</v>
      </c>
      <c r="AF2606" s="380" t="str">
        <f>VLOOKUP($B2606,'D7 - NDB Impacted SPRF''s'!$E$16:$O$9929,6,FALSE)</f>
        <v>ELIZABETH Young</v>
      </c>
      <c r="AG2606" s="282" t="s">
        <v>6682</v>
      </c>
      <c r="AH2606" s="311" t="e">
        <f>INDEX('D5 - Gatekeeper - Projects'!$A$4:$AF$1010,$AM2606, 17)</f>
        <v>#N/A</v>
      </c>
      <c r="AI2606" s="8"/>
      <c r="AJ2606" s="57"/>
      <c r="AK2606" s="105"/>
      <c r="AM2606" s="6" t="e">
        <f>MATCH(D2606,'D5 - Gatekeeper - Projects'!$C$4:$C$1010,0)</f>
        <v>#N/A</v>
      </c>
      <c r="AN2606" s="6" t="b">
        <f t="shared" si="270"/>
        <v>1</v>
      </c>
      <c r="AO2606" s="6" t="str">
        <f t="shared" si="271"/>
        <v>OK</v>
      </c>
      <c r="AQ2606" s="6" t="e">
        <f>MATCH($D2606,'D4 - Provider Council Unsched'!$C$11:$C$234,0)</f>
        <v>#N/A</v>
      </c>
      <c r="AR2606" s="6" t="b">
        <f t="shared" si="272"/>
        <v>1</v>
      </c>
      <c r="AS2606" s="6" t="str">
        <f t="shared" si="269"/>
        <v>OK</v>
      </c>
      <c r="AU2606" s="202"/>
      <c r="AV2606" s="262"/>
      <c r="AW2606" s="274"/>
    </row>
    <row r="2607" spans="1:49" s="13" customFormat="1" ht="33.75" x14ac:dyDescent="0.2">
      <c r="A2607" s="14">
        <v>2583</v>
      </c>
      <c r="B2607" s="14">
        <v>400011157</v>
      </c>
      <c r="C2607" s="8" t="s">
        <v>5197</v>
      </c>
      <c r="D2607" s="4" t="str">
        <f t="shared" si="273"/>
        <v>400011157R1</v>
      </c>
      <c r="E2607" s="309" t="str">
        <f>VLOOKUP($B2607,'D7 - NDB Impacted SPRF''s'!$E$6:$O$9929,2,FALSE)</f>
        <v>Services prior to Inpt Stay-Included in Inpt Stay</v>
      </c>
      <c r="F2607" s="8" t="s">
        <v>6633</v>
      </c>
      <c r="G2607" s="8" t="s">
        <v>4758</v>
      </c>
      <c r="H2607" s="8" t="s">
        <v>2870</v>
      </c>
      <c r="I2607" s="20">
        <v>4.2300000000000004</v>
      </c>
      <c r="J2607" s="8" t="s">
        <v>7113</v>
      </c>
      <c r="K2607" s="182"/>
      <c r="L2607" s="8" t="s">
        <v>4156</v>
      </c>
      <c r="M2607" s="8" t="s">
        <v>2814</v>
      </c>
      <c r="N2607" s="367" t="s">
        <v>2347</v>
      </c>
      <c r="O2607" s="8"/>
      <c r="P2607" s="4" t="str">
        <f>VLOOKUP($B2607,'D7 - NDB Impacted SPRF''s'!$E$16:$O$9929,9,FALSE)</f>
        <v>Y</v>
      </c>
      <c r="Q2607" s="4" t="str">
        <f>VLOOKUP($B2607,'D7 - NDB Impacted SPRF''s'!$E$16:$O$9929,10,FALSE)</f>
        <v>N</v>
      </c>
      <c r="R2607" s="4" t="str">
        <f>VLOOKUP($B2607,'D7 - NDB Impacted SPRF''s'!$E$16:$O$9929,11,FALSE)</f>
        <v>Y</v>
      </c>
      <c r="S2607" s="8"/>
      <c r="T2607" s="310"/>
      <c r="U2607" s="310"/>
      <c r="V2607" s="4"/>
      <c r="W2607" s="4"/>
      <c r="X2607" s="4"/>
      <c r="Y2607" s="4"/>
      <c r="Z2607" s="4"/>
      <c r="AA2607" s="4"/>
      <c r="AB2607" s="380" t="str">
        <f>VLOOKUP($B2607,'D7 - NDB Impacted SPRF''s'!$E$16:$O$9929,4,FALSE)</f>
        <v>Cancelled</v>
      </c>
      <c r="AC2607" s="380" t="str">
        <f>VLOOKUP($B2607,'D7 - NDB Impacted SPRF''s'!$E$16:$O$9929,3,FALSE)</f>
        <v>UnitedHealthcare Employer &amp; Individual</v>
      </c>
      <c r="AD2607" s="380" t="str">
        <f>VLOOKUP($B2607,'D7 - NDB Impacted SPRF''s'!$E$16:$O$9929,5,FALSE)</f>
        <v>Medical Cost Savings Programs</v>
      </c>
      <c r="AE2607" s="380" t="str">
        <f>VLOOKUP($B2607,'D7 - NDB Impacted SPRF''s'!$E$16:$O$9929,7,FALSE)</f>
        <v>Tim Kaja</v>
      </c>
      <c r="AF2607" s="380" t="str">
        <f>VLOOKUP($B2607,'D7 - NDB Impacted SPRF''s'!$E$16:$O$9929,6,FALSE)</f>
        <v>CHERYL STAUFFER</v>
      </c>
      <c r="AG2607" s="282" t="s">
        <v>7755</v>
      </c>
      <c r="AH2607" s="311" t="e">
        <f>INDEX('D5 - Gatekeeper - Projects'!$A$4:$AF$1010,$AM2607, 17)</f>
        <v>#N/A</v>
      </c>
      <c r="AI2607" s="8"/>
      <c r="AJ2607" s="57"/>
      <c r="AK2607" s="105"/>
      <c r="AM2607" s="6" t="e">
        <f>MATCH(D2607,'D5 - Gatekeeper - Projects'!$C$4:$C$1010,0)</f>
        <v>#N/A</v>
      </c>
      <c r="AN2607" s="6" t="b">
        <f t="shared" si="270"/>
        <v>1</v>
      </c>
      <c r="AO2607" s="6" t="str">
        <f t="shared" si="271"/>
        <v>OK</v>
      </c>
      <c r="AQ2607" s="6" t="e">
        <f>MATCH($D2607,'D4 - Provider Council Unsched'!$C$11:$C$234,0)</f>
        <v>#N/A</v>
      </c>
      <c r="AR2607" s="6" t="b">
        <f t="shared" si="272"/>
        <v>1</v>
      </c>
      <c r="AS2607" s="6" t="str">
        <f t="shared" si="269"/>
        <v>OK</v>
      </c>
      <c r="AU2607" s="202"/>
      <c r="AV2607" s="262"/>
      <c r="AW2607" s="274"/>
    </row>
    <row r="2608" spans="1:49" s="13" customFormat="1" ht="22.5" x14ac:dyDescent="0.2">
      <c r="A2608" s="14">
        <v>2584</v>
      </c>
      <c r="B2608" s="14">
        <v>400011327</v>
      </c>
      <c r="C2608" s="8" t="s">
        <v>5197</v>
      </c>
      <c r="D2608" s="4" t="str">
        <f t="shared" si="273"/>
        <v>400011327R1</v>
      </c>
      <c r="E2608" s="309" t="e">
        <f>VLOOKUP($B2608,'D7 - NDB Impacted SPRF''s'!$E$6:$O$9929,2,FALSE)</f>
        <v>#N/A</v>
      </c>
      <c r="F2608" s="8" t="s">
        <v>5752</v>
      </c>
      <c r="G2608" s="8" t="s">
        <v>4758</v>
      </c>
      <c r="H2608" s="8" t="s">
        <v>2870</v>
      </c>
      <c r="I2608" s="20">
        <v>0.53</v>
      </c>
      <c r="J2608" s="8" t="s">
        <v>4862</v>
      </c>
      <c r="K2608" s="182"/>
      <c r="L2608" s="8" t="s">
        <v>5743</v>
      </c>
      <c r="M2608" s="8" t="s">
        <v>2814</v>
      </c>
      <c r="N2608" s="367" t="s">
        <v>5345</v>
      </c>
      <c r="O2608" s="8"/>
      <c r="P2608" s="4" t="e">
        <f>VLOOKUP($B2608,'D7 - NDB Impacted SPRF''s'!$E$16:$O$9929,9,FALSE)</f>
        <v>#N/A</v>
      </c>
      <c r="Q2608" s="4" t="e">
        <f>VLOOKUP($B2608,'D7 - NDB Impacted SPRF''s'!$E$16:$O$9929,10,FALSE)</f>
        <v>#N/A</v>
      </c>
      <c r="R2608" s="4" t="e">
        <f>VLOOKUP($B2608,'D7 - NDB Impacted SPRF''s'!$E$16:$O$9929,11,FALSE)</f>
        <v>#N/A</v>
      </c>
      <c r="S2608" s="8"/>
      <c r="T2608" s="310"/>
      <c r="U2608" s="310"/>
      <c r="V2608" s="4"/>
      <c r="W2608" s="4"/>
      <c r="X2608" s="4"/>
      <c r="Y2608" s="4"/>
      <c r="Z2608" s="4"/>
      <c r="AA2608" s="4"/>
      <c r="AB2608" s="380" t="e">
        <f>VLOOKUP($B2608,'D7 - NDB Impacted SPRF''s'!$E$16:$O$9929,4,FALSE)</f>
        <v>#N/A</v>
      </c>
      <c r="AC2608" s="380" t="e">
        <f>VLOOKUP($B2608,'D7 - NDB Impacted SPRF''s'!$E$16:$O$9929,3,FALSE)</f>
        <v>#N/A</v>
      </c>
      <c r="AD2608" s="380" t="e">
        <f>VLOOKUP($B2608,'D7 - NDB Impacted SPRF''s'!$E$16:$O$9929,5,FALSE)</f>
        <v>#N/A</v>
      </c>
      <c r="AE2608" s="380" t="e">
        <f>VLOOKUP($B2608,'D7 - NDB Impacted SPRF''s'!$E$16:$O$9929,7,FALSE)</f>
        <v>#N/A</v>
      </c>
      <c r="AF2608" s="380" t="e">
        <f>VLOOKUP($B2608,'D7 - NDB Impacted SPRF''s'!$E$16:$O$9929,6,FALSE)</f>
        <v>#N/A</v>
      </c>
      <c r="AG2608" s="282"/>
      <c r="AH2608" s="311" t="e">
        <f>INDEX('D5 - Gatekeeper - Projects'!$A$4:$AF$1010,$AM2608, 17)</f>
        <v>#N/A</v>
      </c>
      <c r="AI2608" s="8"/>
      <c r="AJ2608" s="57"/>
      <c r="AK2608" s="105"/>
      <c r="AM2608" s="6" t="e">
        <f>MATCH(D2608,'D5 - Gatekeeper - Projects'!$C$4:$C$1010,0)</f>
        <v>#N/A</v>
      </c>
      <c r="AN2608" s="6" t="b">
        <f t="shared" si="270"/>
        <v>1</v>
      </c>
      <c r="AO2608" s="6" t="str">
        <f t="shared" si="271"/>
        <v>OK</v>
      </c>
      <c r="AQ2608" s="6" t="e">
        <f>MATCH($D2608,'D4 - Provider Council Unsched'!$C$11:$C$234,0)</f>
        <v>#N/A</v>
      </c>
      <c r="AR2608" s="6" t="b">
        <f t="shared" si="272"/>
        <v>1</v>
      </c>
      <c r="AS2608" s="6" t="str">
        <f t="shared" si="269"/>
        <v>OK</v>
      </c>
      <c r="AU2608" s="202"/>
      <c r="AV2608" s="262"/>
      <c r="AW2608" s="274"/>
    </row>
    <row r="2609" spans="1:49" s="13" customFormat="1" ht="33.75" x14ac:dyDescent="0.2">
      <c r="A2609" s="14">
        <v>2585</v>
      </c>
      <c r="B2609" s="14">
        <v>400011328</v>
      </c>
      <c r="C2609" s="8" t="s">
        <v>5197</v>
      </c>
      <c r="D2609" s="4" t="str">
        <f t="shared" si="273"/>
        <v>400011328R1</v>
      </c>
      <c r="E2609" s="309" t="e">
        <f>VLOOKUP($B2609,'D7 - NDB Impacted SPRF''s'!$E$6:$O$9929,2,FALSE)</f>
        <v>#N/A</v>
      </c>
      <c r="F2609" s="8" t="s">
        <v>5752</v>
      </c>
      <c r="G2609" s="8" t="s">
        <v>4758</v>
      </c>
      <c r="H2609" s="8" t="s">
        <v>2870</v>
      </c>
      <c r="I2609" s="20"/>
      <c r="J2609" s="8"/>
      <c r="K2609" s="182"/>
      <c r="L2609" s="8" t="s">
        <v>4156</v>
      </c>
      <c r="M2609" s="8" t="s">
        <v>2814</v>
      </c>
      <c r="N2609" s="367" t="s">
        <v>4821</v>
      </c>
      <c r="O2609" s="8"/>
      <c r="P2609" s="4" t="e">
        <f>VLOOKUP($B2609,'D7 - NDB Impacted SPRF''s'!$E$16:$O$9929,9,FALSE)</f>
        <v>#N/A</v>
      </c>
      <c r="Q2609" s="4" t="e">
        <f>VLOOKUP($B2609,'D7 - NDB Impacted SPRF''s'!$E$16:$O$9929,10,FALSE)</f>
        <v>#N/A</v>
      </c>
      <c r="R2609" s="4" t="e">
        <f>VLOOKUP($B2609,'D7 - NDB Impacted SPRF''s'!$E$16:$O$9929,11,FALSE)</f>
        <v>#N/A</v>
      </c>
      <c r="S2609" s="8"/>
      <c r="T2609" s="310"/>
      <c r="U2609" s="310"/>
      <c r="V2609" s="4"/>
      <c r="W2609" s="4"/>
      <c r="X2609" s="4"/>
      <c r="Y2609" s="4"/>
      <c r="Z2609" s="4"/>
      <c r="AA2609" s="4"/>
      <c r="AB2609" s="380" t="e">
        <f>VLOOKUP($B2609,'D7 - NDB Impacted SPRF''s'!$E$16:$O$9929,4,FALSE)</f>
        <v>#N/A</v>
      </c>
      <c r="AC2609" s="380" t="e">
        <f>VLOOKUP($B2609,'D7 - NDB Impacted SPRF''s'!$E$16:$O$9929,3,FALSE)</f>
        <v>#N/A</v>
      </c>
      <c r="AD2609" s="380" t="e">
        <f>VLOOKUP($B2609,'D7 - NDB Impacted SPRF''s'!$E$16:$O$9929,5,FALSE)</f>
        <v>#N/A</v>
      </c>
      <c r="AE2609" s="380" t="e">
        <f>VLOOKUP($B2609,'D7 - NDB Impacted SPRF''s'!$E$16:$O$9929,7,FALSE)</f>
        <v>#N/A</v>
      </c>
      <c r="AF2609" s="380" t="e">
        <f>VLOOKUP($B2609,'D7 - NDB Impacted SPRF''s'!$E$16:$O$9929,6,FALSE)</f>
        <v>#N/A</v>
      </c>
      <c r="AG2609" s="282"/>
      <c r="AH2609" s="311" t="e">
        <f>INDEX('D5 - Gatekeeper - Projects'!$A$4:$AF$1010,$AM2609, 17)</f>
        <v>#N/A</v>
      </c>
      <c r="AI2609" s="8"/>
      <c r="AJ2609" s="57"/>
      <c r="AK2609" s="105"/>
      <c r="AM2609" s="6" t="e">
        <f>MATCH(D2609,'D5 - Gatekeeper - Projects'!$C$4:$C$1010,0)</f>
        <v>#N/A</v>
      </c>
      <c r="AN2609" s="6" t="b">
        <f t="shared" si="270"/>
        <v>1</v>
      </c>
      <c r="AO2609" s="6" t="str">
        <f t="shared" si="271"/>
        <v>OK</v>
      </c>
      <c r="AQ2609" s="6" t="e">
        <f>MATCH($D2609,'D4 - Provider Council Unsched'!$C$11:$C$234,0)</f>
        <v>#N/A</v>
      </c>
      <c r="AR2609" s="6" t="b">
        <f t="shared" si="272"/>
        <v>1</v>
      </c>
      <c r="AS2609" s="6" t="str">
        <f t="shared" si="269"/>
        <v>OK</v>
      </c>
      <c r="AU2609" s="202"/>
      <c r="AV2609" s="262"/>
      <c r="AW2609" s="274"/>
    </row>
    <row r="2610" spans="1:49" s="13" customFormat="1" ht="22.5" x14ac:dyDescent="0.2">
      <c r="A2610" s="14">
        <v>2586</v>
      </c>
      <c r="B2610" s="14">
        <v>400011355</v>
      </c>
      <c r="C2610" s="8" t="s">
        <v>5197</v>
      </c>
      <c r="D2610" s="4" t="str">
        <f t="shared" si="273"/>
        <v>400011355R1</v>
      </c>
      <c r="E2610" s="309" t="e">
        <f>VLOOKUP($B2610,'D7 - NDB Impacted SPRF''s'!$E$6:$O$9929,2,FALSE)</f>
        <v>#N/A</v>
      </c>
      <c r="F2610" s="8" t="s">
        <v>5196</v>
      </c>
      <c r="G2610" s="8" t="s">
        <v>4758</v>
      </c>
      <c r="H2610" s="8" t="s">
        <v>2870</v>
      </c>
      <c r="I2610" s="20"/>
      <c r="J2610" s="8"/>
      <c r="K2610" s="182"/>
      <c r="L2610" s="8" t="s">
        <v>4156</v>
      </c>
      <c r="M2610" s="8" t="s">
        <v>2814</v>
      </c>
      <c r="N2610" s="367" t="s">
        <v>6197</v>
      </c>
      <c r="O2610" s="8"/>
      <c r="P2610" s="4" t="e">
        <f>VLOOKUP($B2610,'D7 - NDB Impacted SPRF''s'!$E$16:$O$9929,9,FALSE)</f>
        <v>#N/A</v>
      </c>
      <c r="Q2610" s="4" t="e">
        <f>VLOOKUP($B2610,'D7 - NDB Impacted SPRF''s'!$E$16:$O$9929,10,FALSE)</f>
        <v>#N/A</v>
      </c>
      <c r="R2610" s="4" t="e">
        <f>VLOOKUP($B2610,'D7 - NDB Impacted SPRF''s'!$E$16:$O$9929,11,FALSE)</f>
        <v>#N/A</v>
      </c>
      <c r="S2610" s="8"/>
      <c r="T2610" s="310"/>
      <c r="U2610" s="310"/>
      <c r="V2610" s="4"/>
      <c r="W2610" s="4"/>
      <c r="X2610" s="4"/>
      <c r="Y2610" s="4"/>
      <c r="Z2610" s="4"/>
      <c r="AA2610" s="4"/>
      <c r="AB2610" s="380" t="e">
        <f>VLOOKUP($B2610,'D7 - NDB Impacted SPRF''s'!$E$16:$O$9929,4,FALSE)</f>
        <v>#N/A</v>
      </c>
      <c r="AC2610" s="380" t="e">
        <f>VLOOKUP($B2610,'D7 - NDB Impacted SPRF''s'!$E$16:$O$9929,3,FALSE)</f>
        <v>#N/A</v>
      </c>
      <c r="AD2610" s="380" t="e">
        <f>VLOOKUP($B2610,'D7 - NDB Impacted SPRF''s'!$E$16:$O$9929,5,FALSE)</f>
        <v>#N/A</v>
      </c>
      <c r="AE2610" s="380" t="e">
        <f>VLOOKUP($B2610,'D7 - NDB Impacted SPRF''s'!$E$16:$O$9929,7,FALSE)</f>
        <v>#N/A</v>
      </c>
      <c r="AF2610" s="380" t="e">
        <f>VLOOKUP($B2610,'D7 - NDB Impacted SPRF''s'!$E$16:$O$9929,6,FALSE)</f>
        <v>#N/A</v>
      </c>
      <c r="AG2610" s="282"/>
      <c r="AH2610" s="311" t="e">
        <f>INDEX('D5 - Gatekeeper - Projects'!$A$4:$AF$1010,$AM2610, 17)</f>
        <v>#N/A</v>
      </c>
      <c r="AI2610" s="8"/>
      <c r="AJ2610" s="57"/>
      <c r="AK2610" s="105"/>
      <c r="AM2610" s="6" t="e">
        <f>MATCH(D2610,'D5 - Gatekeeper - Projects'!$C$4:$C$1010,0)</f>
        <v>#N/A</v>
      </c>
      <c r="AN2610" s="6" t="b">
        <f t="shared" si="270"/>
        <v>1</v>
      </c>
      <c r="AO2610" s="6" t="str">
        <f t="shared" si="271"/>
        <v>OK</v>
      </c>
      <c r="AQ2610" s="6" t="e">
        <f>MATCH($D2610,'D4 - Provider Council Unsched'!$C$11:$C$234,0)</f>
        <v>#N/A</v>
      </c>
      <c r="AR2610" s="6" t="b">
        <f t="shared" si="272"/>
        <v>1</v>
      </c>
      <c r="AS2610" s="6" t="str">
        <f t="shared" si="269"/>
        <v>OK</v>
      </c>
      <c r="AU2610" s="202"/>
      <c r="AV2610" s="262"/>
      <c r="AW2610" s="274"/>
    </row>
    <row r="2611" spans="1:49" s="13" customFormat="1" ht="67.5" x14ac:dyDescent="0.2">
      <c r="A2611" s="14">
        <v>2587</v>
      </c>
      <c r="B2611" s="14">
        <v>400011525</v>
      </c>
      <c r="C2611" s="8" t="s">
        <v>5197</v>
      </c>
      <c r="D2611" s="4" t="str">
        <f t="shared" si="273"/>
        <v>400011525R1</v>
      </c>
      <c r="E2611" s="309" t="e">
        <f>VLOOKUP($B2611,'D7 - NDB Impacted SPRF''s'!$E$6:$O$9929,2,FALSE)</f>
        <v>#N/A</v>
      </c>
      <c r="F2611" s="8" t="s">
        <v>5196</v>
      </c>
      <c r="G2611" s="8" t="s">
        <v>4758</v>
      </c>
      <c r="H2611" s="8" t="s">
        <v>2870</v>
      </c>
      <c r="I2611" s="20"/>
      <c r="J2611" s="8"/>
      <c r="K2611" s="182"/>
      <c r="L2611" s="8" t="s">
        <v>4156</v>
      </c>
      <c r="M2611" s="8" t="s">
        <v>2814</v>
      </c>
      <c r="N2611" s="367" t="s">
        <v>6096</v>
      </c>
      <c r="O2611" s="8"/>
      <c r="P2611" s="4" t="e">
        <f>VLOOKUP($B2611,'D7 - NDB Impacted SPRF''s'!$E$16:$O$9929,9,FALSE)</f>
        <v>#N/A</v>
      </c>
      <c r="Q2611" s="4" t="e">
        <f>VLOOKUP($B2611,'D7 - NDB Impacted SPRF''s'!$E$16:$O$9929,10,FALSE)</f>
        <v>#N/A</v>
      </c>
      <c r="R2611" s="4" t="e">
        <f>VLOOKUP($B2611,'D7 - NDB Impacted SPRF''s'!$E$16:$O$9929,11,FALSE)</f>
        <v>#N/A</v>
      </c>
      <c r="S2611" s="8"/>
      <c r="T2611" s="310"/>
      <c r="U2611" s="310"/>
      <c r="V2611" s="4"/>
      <c r="W2611" s="4"/>
      <c r="X2611" s="4"/>
      <c r="Y2611" s="4"/>
      <c r="Z2611" s="4"/>
      <c r="AA2611" s="4"/>
      <c r="AB2611" s="380" t="e">
        <f>VLOOKUP($B2611,'D7 - NDB Impacted SPRF''s'!$E$16:$O$9929,4,FALSE)</f>
        <v>#N/A</v>
      </c>
      <c r="AC2611" s="380" t="e">
        <f>VLOOKUP($B2611,'D7 - NDB Impacted SPRF''s'!$E$16:$O$9929,3,FALSE)</f>
        <v>#N/A</v>
      </c>
      <c r="AD2611" s="380" t="e">
        <f>VLOOKUP($B2611,'D7 - NDB Impacted SPRF''s'!$E$16:$O$9929,5,FALSE)</f>
        <v>#N/A</v>
      </c>
      <c r="AE2611" s="380" t="e">
        <f>VLOOKUP($B2611,'D7 - NDB Impacted SPRF''s'!$E$16:$O$9929,7,FALSE)</f>
        <v>#N/A</v>
      </c>
      <c r="AF2611" s="380" t="e">
        <f>VLOOKUP($B2611,'D7 - NDB Impacted SPRF''s'!$E$16:$O$9929,6,FALSE)</f>
        <v>#N/A</v>
      </c>
      <c r="AG2611" s="282"/>
      <c r="AH2611" s="311" t="e">
        <f>INDEX('D5 - Gatekeeper - Projects'!$A$4:$AF$1010,$AM2611, 17)</f>
        <v>#N/A</v>
      </c>
      <c r="AI2611" s="8"/>
      <c r="AJ2611" s="57"/>
      <c r="AK2611" s="105"/>
      <c r="AM2611" s="6" t="e">
        <f>MATCH(D2611,'D5 - Gatekeeper - Projects'!$C$4:$C$1010,0)</f>
        <v>#N/A</v>
      </c>
      <c r="AN2611" s="6" t="b">
        <f t="shared" si="270"/>
        <v>1</v>
      </c>
      <c r="AO2611" s="6" t="str">
        <f t="shared" si="271"/>
        <v>OK</v>
      </c>
      <c r="AQ2611" s="6" t="e">
        <f>MATCH($D2611,'D4 - Provider Council Unsched'!$C$11:$C$234,0)</f>
        <v>#N/A</v>
      </c>
      <c r="AR2611" s="6" t="b">
        <f t="shared" si="272"/>
        <v>1</v>
      </c>
      <c r="AS2611" s="6" t="str">
        <f t="shared" si="269"/>
        <v>OK</v>
      </c>
      <c r="AU2611" s="202"/>
      <c r="AV2611" s="262"/>
      <c r="AW2611" s="274"/>
    </row>
    <row r="2612" spans="1:49" s="13" customFormat="1" ht="33.75" x14ac:dyDescent="0.2">
      <c r="A2612" s="14">
        <v>2588</v>
      </c>
      <c r="B2612" s="14">
        <v>400011541</v>
      </c>
      <c r="C2612" s="8" t="s">
        <v>5197</v>
      </c>
      <c r="D2612" s="4" t="str">
        <f t="shared" si="273"/>
        <v>400011541R1</v>
      </c>
      <c r="E2612" s="309" t="str">
        <f>VLOOKUP($B2612,'D7 - NDB Impacted SPRF''s'!$E$6:$O$9929,2,FALSE)</f>
        <v>NDB-EA Queue Consolidation - TOPS Claim Errors</v>
      </c>
      <c r="F2612" s="8" t="s">
        <v>4961</v>
      </c>
      <c r="G2612" s="8" t="s">
        <v>4758</v>
      </c>
      <c r="H2612" s="8" t="s">
        <v>2870</v>
      </c>
      <c r="I2612" s="20">
        <v>11.9</v>
      </c>
      <c r="J2612" s="8" t="s">
        <v>4862</v>
      </c>
      <c r="K2612" s="182"/>
      <c r="L2612" s="8" t="s">
        <v>4156</v>
      </c>
      <c r="M2612" s="8" t="s">
        <v>2814</v>
      </c>
      <c r="N2612" s="367" t="s">
        <v>4387</v>
      </c>
      <c r="O2612" s="8"/>
      <c r="P2612" s="4" t="str">
        <f>VLOOKUP($B2612,'D7 - NDB Impacted SPRF''s'!$E$16:$O$9929,9,FALSE)</f>
        <v>Y</v>
      </c>
      <c r="Q2612" s="4" t="str">
        <f>VLOOKUP($B2612,'D7 - NDB Impacted SPRF''s'!$E$16:$O$9929,10,FALSE)</f>
        <v>N</v>
      </c>
      <c r="R2612" s="4" t="str">
        <f>VLOOKUP($B2612,'D7 - NDB Impacted SPRF''s'!$E$16:$O$9929,11,FALSE)</f>
        <v>N</v>
      </c>
      <c r="S2612" s="8"/>
      <c r="T2612" s="310"/>
      <c r="U2612" s="310"/>
      <c r="V2612" s="4"/>
      <c r="W2612" s="4"/>
      <c r="X2612" s="4"/>
      <c r="Y2612" s="4"/>
      <c r="Z2612" s="4"/>
      <c r="AA2612" s="4"/>
      <c r="AB2612" s="380" t="str">
        <f>VLOOKUP($B2612,'D7 - NDB Impacted SPRF''s'!$E$16:$O$9929,4,FALSE)</f>
        <v>Cancelled</v>
      </c>
      <c r="AC2612" s="380" t="str">
        <f>VLOOKUP($B2612,'D7 - NDB Impacted SPRF''s'!$E$16:$O$9929,3,FALSE)</f>
        <v>UnitedHealthcare Employer &amp; Individual</v>
      </c>
      <c r="AD2612" s="380" t="str">
        <f>VLOOKUP($B2612,'D7 - NDB Impacted SPRF''s'!$E$16:$O$9929,5,FALSE)</f>
        <v>Network Growth / Enhancements</v>
      </c>
      <c r="AE2612" s="380" t="str">
        <f>VLOOKUP($B2612,'D7 - NDB Impacted SPRF''s'!$E$16:$O$9929,7,FALSE)</f>
        <v>Gerald Brockman</v>
      </c>
      <c r="AF2612" s="380" t="str">
        <f>VLOOKUP($B2612,'D7 - NDB Impacted SPRF''s'!$E$16:$O$9929,6,FALSE)</f>
        <v>ELIZABETH Young</v>
      </c>
      <c r="AG2612" s="282" t="s">
        <v>6682</v>
      </c>
      <c r="AH2612" s="311" t="e">
        <f>INDEX('D5 - Gatekeeper - Projects'!$A$4:$AF$1010,$AM2612, 17)</f>
        <v>#N/A</v>
      </c>
      <c r="AI2612" s="8"/>
      <c r="AJ2612" s="57"/>
      <c r="AK2612" s="105"/>
      <c r="AM2612" s="6" t="e">
        <f>MATCH(D2612,'D5 - Gatekeeper - Projects'!$C$4:$C$1010,0)</f>
        <v>#N/A</v>
      </c>
      <c r="AN2612" s="6" t="b">
        <f t="shared" si="270"/>
        <v>1</v>
      </c>
      <c r="AO2612" s="6" t="str">
        <f t="shared" si="271"/>
        <v>OK</v>
      </c>
      <c r="AQ2612" s="6" t="e">
        <f>MATCH($D2612,'D4 - Provider Council Unsched'!$C$11:$C$234,0)</f>
        <v>#N/A</v>
      </c>
      <c r="AR2612" s="6" t="b">
        <f t="shared" si="272"/>
        <v>1</v>
      </c>
      <c r="AS2612" s="6" t="str">
        <f t="shared" si="269"/>
        <v>OK</v>
      </c>
      <c r="AU2612" s="202"/>
      <c r="AV2612" s="262"/>
      <c r="AW2612" s="274"/>
    </row>
    <row r="2613" spans="1:49" s="13" customFormat="1" ht="33.75" x14ac:dyDescent="0.2">
      <c r="A2613" s="14">
        <v>2589</v>
      </c>
      <c r="B2613" s="14">
        <v>400011541</v>
      </c>
      <c r="C2613" s="8" t="s">
        <v>1992</v>
      </c>
      <c r="D2613" s="4" t="str">
        <f t="shared" si="273"/>
        <v>400011541U1</v>
      </c>
      <c r="E2613" s="309" t="str">
        <f>VLOOKUP($B2613,'D7 - NDB Impacted SPRF''s'!$E$6:$O$9929,2,FALSE)</f>
        <v>NDB-EA Queue Consolidation - TOPS Claim Errors</v>
      </c>
      <c r="F2613" s="8" t="s">
        <v>4961</v>
      </c>
      <c r="G2613" s="8" t="s">
        <v>4758</v>
      </c>
      <c r="H2613" s="8" t="s">
        <v>2870</v>
      </c>
      <c r="I2613" s="20">
        <v>1.67</v>
      </c>
      <c r="J2613" s="8" t="s">
        <v>4862</v>
      </c>
      <c r="K2613" s="182"/>
      <c r="L2613" s="8" t="s">
        <v>4156</v>
      </c>
      <c r="M2613" s="8" t="s">
        <v>2814</v>
      </c>
      <c r="N2613" s="367" t="s">
        <v>4387</v>
      </c>
      <c r="O2613" s="8"/>
      <c r="P2613" s="4" t="str">
        <f>VLOOKUP($B2613,'D7 - NDB Impacted SPRF''s'!$E$16:$O$9929,9,FALSE)</f>
        <v>Y</v>
      </c>
      <c r="Q2613" s="4" t="str">
        <f>VLOOKUP($B2613,'D7 - NDB Impacted SPRF''s'!$E$16:$O$9929,10,FALSE)</f>
        <v>N</v>
      </c>
      <c r="R2613" s="4" t="str">
        <f>VLOOKUP($B2613,'D7 - NDB Impacted SPRF''s'!$E$16:$O$9929,11,FALSE)</f>
        <v>N</v>
      </c>
      <c r="S2613" s="8"/>
      <c r="T2613" s="310"/>
      <c r="U2613" s="310"/>
      <c r="V2613" s="4"/>
      <c r="W2613" s="4"/>
      <c r="X2613" s="4"/>
      <c r="Y2613" s="4"/>
      <c r="Z2613" s="4"/>
      <c r="AA2613" s="4"/>
      <c r="AB2613" s="380" t="str">
        <f>VLOOKUP($B2613,'D7 - NDB Impacted SPRF''s'!$E$16:$O$9929,4,FALSE)</f>
        <v>Cancelled</v>
      </c>
      <c r="AC2613" s="380" t="str">
        <f>VLOOKUP($B2613,'D7 - NDB Impacted SPRF''s'!$E$16:$O$9929,3,FALSE)</f>
        <v>UnitedHealthcare Employer &amp; Individual</v>
      </c>
      <c r="AD2613" s="380" t="str">
        <f>VLOOKUP($B2613,'D7 - NDB Impacted SPRF''s'!$E$16:$O$9929,5,FALSE)</f>
        <v>Network Growth / Enhancements</v>
      </c>
      <c r="AE2613" s="380" t="str">
        <f>VLOOKUP($B2613,'D7 - NDB Impacted SPRF''s'!$E$16:$O$9929,7,FALSE)</f>
        <v>Gerald Brockman</v>
      </c>
      <c r="AF2613" s="380" t="str">
        <f>VLOOKUP($B2613,'D7 - NDB Impacted SPRF''s'!$E$16:$O$9929,6,FALSE)</f>
        <v>ELIZABETH Young</v>
      </c>
      <c r="AG2613" s="282"/>
      <c r="AH2613" s="311" t="e">
        <f>INDEX('D5 - Gatekeeper - Projects'!$A$4:$AF$1010,$AM2613, 17)</f>
        <v>#N/A</v>
      </c>
      <c r="AI2613" s="8"/>
      <c r="AJ2613" s="57"/>
      <c r="AK2613" s="105"/>
      <c r="AM2613" s="6" t="e">
        <f>MATCH(D2613,'D5 - Gatekeeper - Projects'!$C$4:$C$1010,0)</f>
        <v>#N/A</v>
      </c>
      <c r="AN2613" s="6" t="b">
        <f t="shared" si="270"/>
        <v>1</v>
      </c>
      <c r="AO2613" s="6" t="str">
        <f t="shared" si="271"/>
        <v>OK</v>
      </c>
      <c r="AQ2613" s="6" t="e">
        <f>MATCH($D2613,'D4 - Provider Council Unsched'!$C$11:$C$234,0)</f>
        <v>#N/A</v>
      </c>
      <c r="AR2613" s="6" t="b">
        <f t="shared" si="272"/>
        <v>1</v>
      </c>
      <c r="AS2613" s="6" t="str">
        <f t="shared" si="269"/>
        <v>OK</v>
      </c>
      <c r="AU2613" s="202"/>
      <c r="AV2613" s="262"/>
      <c r="AW2613" s="274"/>
    </row>
    <row r="2614" spans="1:49" s="13" customFormat="1" ht="33.75" x14ac:dyDescent="0.2">
      <c r="A2614" s="14">
        <v>2590</v>
      </c>
      <c r="B2614" s="14">
        <v>400011623</v>
      </c>
      <c r="C2614" s="8" t="s">
        <v>5197</v>
      </c>
      <c r="D2614" s="4" t="str">
        <f t="shared" si="273"/>
        <v>400011623R1</v>
      </c>
      <c r="E2614" s="309" t="str">
        <f>VLOOKUP($B2614,'D7 - NDB Impacted SPRF''s'!$E$6:$O$9929,2,FALSE)</f>
        <v>Lotus Notes NPI Data to NDB - One Shot</v>
      </c>
      <c r="F2614" s="8" t="s">
        <v>1059</v>
      </c>
      <c r="G2614" s="8" t="s">
        <v>4758</v>
      </c>
      <c r="H2614" s="8" t="s">
        <v>2870</v>
      </c>
      <c r="I2614" s="20">
        <v>0.83333333333333337</v>
      </c>
      <c r="J2614" s="8" t="s">
        <v>4862</v>
      </c>
      <c r="K2614" s="182"/>
      <c r="L2614" s="8" t="s">
        <v>5743</v>
      </c>
      <c r="M2614" s="8" t="s">
        <v>2814</v>
      </c>
      <c r="N2614" s="367" t="s">
        <v>5362</v>
      </c>
      <c r="O2614" s="8"/>
      <c r="P2614" s="4" t="str">
        <f>VLOOKUP($B2614,'D7 - NDB Impacted SPRF''s'!$E$16:$O$9929,9,FALSE)</f>
        <v>N</v>
      </c>
      <c r="Q2614" s="4" t="str">
        <f>VLOOKUP($B2614,'D7 - NDB Impacted SPRF''s'!$E$16:$O$9929,10,FALSE)</f>
        <v>N</v>
      </c>
      <c r="R2614" s="4" t="str">
        <f>VLOOKUP($B2614,'D7 - NDB Impacted SPRF''s'!$E$16:$O$9929,11,FALSE)</f>
        <v>N</v>
      </c>
      <c r="S2614" s="8"/>
      <c r="T2614" s="310"/>
      <c r="U2614" s="310"/>
      <c r="V2614" s="4"/>
      <c r="W2614" s="4"/>
      <c r="X2614" s="4"/>
      <c r="Y2614" s="4"/>
      <c r="Z2614" s="4"/>
      <c r="AA2614" s="4"/>
      <c r="AB2614" s="380" t="str">
        <f>VLOOKUP($B2614,'D7 - NDB Impacted SPRF''s'!$E$16:$O$9929,4,FALSE)</f>
        <v>Cancelled</v>
      </c>
      <c r="AC2614" s="380" t="str">
        <f>VLOOKUP($B2614,'D7 - NDB Impacted SPRF''s'!$E$16:$O$9929,3,FALSE)</f>
        <v>UnitedHealthcare Employer &amp; Individual</v>
      </c>
      <c r="AD2614" s="380" t="str">
        <f>VLOOKUP($B2614,'D7 - NDB Impacted SPRF''s'!$E$16:$O$9929,5,FALSE)</f>
        <v>Key Initiatives Group</v>
      </c>
      <c r="AE2614" s="380" t="str">
        <f>VLOOKUP($B2614,'D7 - NDB Impacted SPRF''s'!$E$16:$O$9929,7,FALSE)</f>
        <v>Gerald Brockman</v>
      </c>
      <c r="AF2614" s="380" t="str">
        <f>VLOOKUP($B2614,'D7 - NDB Impacted SPRF''s'!$E$16:$O$9929,6,FALSE)</f>
        <v>KELLY LEONARD</v>
      </c>
      <c r="AG2614" s="282" t="s">
        <v>6682</v>
      </c>
      <c r="AH2614" s="311" t="e">
        <f>INDEX('D5 - Gatekeeper - Projects'!$A$4:$AF$1010,$AM2614, 17)</f>
        <v>#N/A</v>
      </c>
      <c r="AI2614" s="8"/>
      <c r="AJ2614" s="57"/>
      <c r="AK2614" s="105"/>
      <c r="AM2614" s="6" t="e">
        <f>MATCH(D2614,'D5 - Gatekeeper - Projects'!$C$4:$C$1010,0)</f>
        <v>#N/A</v>
      </c>
      <c r="AN2614" s="6" t="b">
        <f t="shared" si="270"/>
        <v>1</v>
      </c>
      <c r="AO2614" s="6" t="str">
        <f t="shared" si="271"/>
        <v>OK</v>
      </c>
      <c r="AQ2614" s="6" t="e">
        <f>MATCH($D2614,'D4 - Provider Council Unsched'!$C$11:$C$234,0)</f>
        <v>#N/A</v>
      </c>
      <c r="AR2614" s="6" t="b">
        <f t="shared" si="272"/>
        <v>1</v>
      </c>
      <c r="AS2614" s="6" t="str">
        <f t="shared" si="269"/>
        <v>OK</v>
      </c>
      <c r="AU2614" s="202"/>
      <c r="AV2614" s="262"/>
      <c r="AW2614" s="274"/>
    </row>
    <row r="2615" spans="1:49" s="13" customFormat="1" ht="22.5" x14ac:dyDescent="0.2">
      <c r="A2615" s="14">
        <v>2591</v>
      </c>
      <c r="B2615" s="14">
        <v>400011670</v>
      </c>
      <c r="C2615" s="8" t="s">
        <v>5197</v>
      </c>
      <c r="D2615" s="4" t="str">
        <f t="shared" si="273"/>
        <v>400011670R1</v>
      </c>
      <c r="E2615" s="309" t="e">
        <f>VLOOKUP($B2615,'D7 - NDB Impacted SPRF''s'!$E$6:$O$9929,2,FALSE)</f>
        <v>#N/A</v>
      </c>
      <c r="F2615" s="8" t="s">
        <v>5196</v>
      </c>
      <c r="G2615" s="8" t="s">
        <v>4758</v>
      </c>
      <c r="H2615" s="8" t="s">
        <v>2870</v>
      </c>
      <c r="I2615" s="20"/>
      <c r="J2615" s="8"/>
      <c r="K2615" s="182"/>
      <c r="L2615" s="8" t="s">
        <v>4156</v>
      </c>
      <c r="M2615" s="8" t="s">
        <v>2814</v>
      </c>
      <c r="N2615" s="367" t="s">
        <v>5615</v>
      </c>
      <c r="O2615" s="8"/>
      <c r="P2615" s="4" t="e">
        <f>VLOOKUP($B2615,'D7 - NDB Impacted SPRF''s'!$E$16:$O$9929,9,FALSE)</f>
        <v>#N/A</v>
      </c>
      <c r="Q2615" s="4" t="e">
        <f>VLOOKUP($B2615,'D7 - NDB Impacted SPRF''s'!$E$16:$O$9929,10,FALSE)</f>
        <v>#N/A</v>
      </c>
      <c r="R2615" s="4" t="e">
        <f>VLOOKUP($B2615,'D7 - NDB Impacted SPRF''s'!$E$16:$O$9929,11,FALSE)</f>
        <v>#N/A</v>
      </c>
      <c r="S2615" s="8"/>
      <c r="T2615" s="310"/>
      <c r="U2615" s="310"/>
      <c r="V2615" s="4"/>
      <c r="W2615" s="4"/>
      <c r="X2615" s="4"/>
      <c r="Y2615" s="4"/>
      <c r="Z2615" s="4"/>
      <c r="AA2615" s="4"/>
      <c r="AB2615" s="380" t="e">
        <f>VLOOKUP($B2615,'D7 - NDB Impacted SPRF''s'!$E$16:$O$9929,4,FALSE)</f>
        <v>#N/A</v>
      </c>
      <c r="AC2615" s="380" t="e">
        <f>VLOOKUP($B2615,'D7 - NDB Impacted SPRF''s'!$E$16:$O$9929,3,FALSE)</f>
        <v>#N/A</v>
      </c>
      <c r="AD2615" s="380" t="e">
        <f>VLOOKUP($B2615,'D7 - NDB Impacted SPRF''s'!$E$16:$O$9929,5,FALSE)</f>
        <v>#N/A</v>
      </c>
      <c r="AE2615" s="380" t="e">
        <f>VLOOKUP($B2615,'D7 - NDB Impacted SPRF''s'!$E$16:$O$9929,7,FALSE)</f>
        <v>#N/A</v>
      </c>
      <c r="AF2615" s="380" t="e">
        <f>VLOOKUP($B2615,'D7 - NDB Impacted SPRF''s'!$E$16:$O$9929,6,FALSE)</f>
        <v>#N/A</v>
      </c>
      <c r="AG2615" s="282" t="s">
        <v>6682</v>
      </c>
      <c r="AH2615" s="311" t="e">
        <f>INDEX('D5 - Gatekeeper - Projects'!$A$4:$AF$1010,$AM2615, 17)</f>
        <v>#N/A</v>
      </c>
      <c r="AI2615" s="8"/>
      <c r="AJ2615" s="57"/>
      <c r="AK2615" s="105"/>
      <c r="AM2615" s="6" t="e">
        <f>MATCH(D2615,'D5 - Gatekeeper - Projects'!$C$4:$C$1010,0)</f>
        <v>#N/A</v>
      </c>
      <c r="AN2615" s="6" t="b">
        <f t="shared" si="270"/>
        <v>1</v>
      </c>
      <c r="AO2615" s="6" t="str">
        <f t="shared" si="271"/>
        <v>OK</v>
      </c>
      <c r="AQ2615" s="6" t="e">
        <f>MATCH($D2615,'D4 - Provider Council Unsched'!$C$11:$C$234,0)</f>
        <v>#N/A</v>
      </c>
      <c r="AR2615" s="6" t="b">
        <f t="shared" si="272"/>
        <v>1</v>
      </c>
      <c r="AS2615" s="6" t="str">
        <f t="shared" si="269"/>
        <v>OK</v>
      </c>
      <c r="AU2615" s="202"/>
      <c r="AV2615" s="262"/>
      <c r="AW2615" s="274"/>
    </row>
    <row r="2616" spans="1:49" s="13" customFormat="1" ht="22.5" x14ac:dyDescent="0.2">
      <c r="A2616" s="14">
        <v>2592</v>
      </c>
      <c r="B2616" s="14">
        <v>400011786</v>
      </c>
      <c r="C2616" s="8" t="s">
        <v>5197</v>
      </c>
      <c r="D2616" s="4" t="str">
        <f t="shared" si="273"/>
        <v>400011786R1</v>
      </c>
      <c r="E2616" s="309" t="str">
        <f>VLOOKUP($B2616,'D7 - NDB Impacted SPRF''s'!$E$6:$O$9929,2,FALSE)</f>
        <v xml:space="preserve">HPHC1 JV 8/01/06 Branding Overall </v>
      </c>
      <c r="F2616" s="8" t="s">
        <v>5196</v>
      </c>
      <c r="G2616" s="8" t="s">
        <v>4758</v>
      </c>
      <c r="H2616" s="8" t="s">
        <v>2870</v>
      </c>
      <c r="I2616" s="20"/>
      <c r="J2616" s="8"/>
      <c r="K2616" s="182"/>
      <c r="L2616" s="8" t="s">
        <v>4156</v>
      </c>
      <c r="M2616" s="8" t="s">
        <v>2814</v>
      </c>
      <c r="N2616" s="367" t="s">
        <v>4677</v>
      </c>
      <c r="O2616" s="8"/>
      <c r="P2616" s="4" t="str">
        <f>VLOOKUP($B2616,'D7 - NDB Impacted SPRF''s'!$E$16:$O$9929,9,FALSE)</f>
        <v>Y</v>
      </c>
      <c r="Q2616" s="4" t="str">
        <f>VLOOKUP($B2616,'D7 - NDB Impacted SPRF''s'!$E$16:$O$9929,10,FALSE)</f>
        <v>N</v>
      </c>
      <c r="R2616" s="4" t="str">
        <f>VLOOKUP($B2616,'D7 - NDB Impacted SPRF''s'!$E$16:$O$9929,11,FALSE)</f>
        <v>N</v>
      </c>
      <c r="S2616" s="8"/>
      <c r="T2616" s="310"/>
      <c r="U2616" s="310"/>
      <c r="V2616" s="4"/>
      <c r="W2616" s="4"/>
      <c r="X2616" s="4"/>
      <c r="Y2616" s="4"/>
      <c r="Z2616" s="4"/>
      <c r="AA2616" s="4"/>
      <c r="AB2616" s="380" t="str">
        <f>VLOOKUP($B2616,'D7 - NDB Impacted SPRF''s'!$E$16:$O$9929,4,FALSE)</f>
        <v>Completed</v>
      </c>
      <c r="AC2616" s="380" t="str">
        <f>VLOOKUP($B2616,'D7 - NDB Impacted SPRF''s'!$E$16:$O$9929,3,FALSE)</f>
        <v>Alliance</v>
      </c>
      <c r="AD2616" s="380" t="str">
        <f>VLOOKUP($B2616,'D7 - NDB Impacted SPRF''s'!$E$16:$O$9929,5,FALSE)</f>
        <v>Harvard Pilgrim Service Alliance</v>
      </c>
      <c r="AE2616" s="380" t="str">
        <f>VLOOKUP($B2616,'D7 - NDB Impacted SPRF''s'!$E$16:$O$9929,7,FALSE)</f>
        <v>Bev Nyce</v>
      </c>
      <c r="AF2616" s="380" t="str">
        <f>VLOOKUP($B2616,'D7 - NDB Impacted SPRF''s'!$E$16:$O$9929,6,FALSE)</f>
        <v>Mark Garrity</v>
      </c>
      <c r="AG2616" s="282" t="s">
        <v>6682</v>
      </c>
      <c r="AH2616" s="311" t="e">
        <f>INDEX('D5 - Gatekeeper - Projects'!$A$4:$AF$1010,$AM2616, 17)</f>
        <v>#N/A</v>
      </c>
      <c r="AI2616" s="8"/>
      <c r="AJ2616" s="57"/>
      <c r="AK2616" s="105"/>
      <c r="AM2616" s="6" t="e">
        <f>MATCH(D2616,'D5 - Gatekeeper - Projects'!$C$4:$C$1010,0)</f>
        <v>#N/A</v>
      </c>
      <c r="AN2616" s="6" t="b">
        <f t="shared" si="270"/>
        <v>1</v>
      </c>
      <c r="AO2616" s="6" t="str">
        <f t="shared" si="271"/>
        <v>OK</v>
      </c>
      <c r="AQ2616" s="6" t="e">
        <f>MATCH($D2616,'D4 - Provider Council Unsched'!$C$11:$C$234,0)</f>
        <v>#N/A</v>
      </c>
      <c r="AR2616" s="6" t="b">
        <f t="shared" si="272"/>
        <v>1</v>
      </c>
      <c r="AS2616" s="6" t="str">
        <f t="shared" si="269"/>
        <v>OK</v>
      </c>
      <c r="AU2616" s="202"/>
      <c r="AV2616" s="262"/>
      <c r="AW2616" s="274"/>
    </row>
    <row r="2617" spans="1:49" s="13" customFormat="1" x14ac:dyDescent="0.2">
      <c r="A2617" s="14">
        <v>2593</v>
      </c>
      <c r="B2617" s="14">
        <v>400011912</v>
      </c>
      <c r="C2617" s="8" t="s">
        <v>5197</v>
      </c>
      <c r="D2617" s="4" t="str">
        <f t="shared" si="273"/>
        <v>400011912R1</v>
      </c>
      <c r="E2617" s="309" t="e">
        <f>VLOOKUP($B2617,'D7 - NDB Impacted SPRF''s'!$E$6:$O$9929,2,FALSE)</f>
        <v>#N/A</v>
      </c>
      <c r="F2617" s="8" t="s">
        <v>6893</v>
      </c>
      <c r="G2617" s="8" t="s">
        <v>4758</v>
      </c>
      <c r="H2617" s="8" t="s">
        <v>2870</v>
      </c>
      <c r="I2617" s="20"/>
      <c r="J2617" s="8"/>
      <c r="K2617" s="182"/>
      <c r="L2617" s="8" t="s">
        <v>4156</v>
      </c>
      <c r="M2617" s="8" t="s">
        <v>2814</v>
      </c>
      <c r="N2617" s="367" t="s">
        <v>3840</v>
      </c>
      <c r="O2617" s="8"/>
      <c r="P2617" s="4" t="e">
        <f>VLOOKUP($B2617,'D7 - NDB Impacted SPRF''s'!$E$16:$O$9929,9,FALSE)</f>
        <v>#N/A</v>
      </c>
      <c r="Q2617" s="4" t="e">
        <f>VLOOKUP($B2617,'D7 - NDB Impacted SPRF''s'!$E$16:$O$9929,10,FALSE)</f>
        <v>#N/A</v>
      </c>
      <c r="R2617" s="4" t="e">
        <f>VLOOKUP($B2617,'D7 - NDB Impacted SPRF''s'!$E$16:$O$9929,11,FALSE)</f>
        <v>#N/A</v>
      </c>
      <c r="S2617" s="8"/>
      <c r="T2617" s="310"/>
      <c r="U2617" s="310"/>
      <c r="V2617" s="4"/>
      <c r="W2617" s="4"/>
      <c r="X2617" s="4"/>
      <c r="Y2617" s="4"/>
      <c r="Z2617" s="4"/>
      <c r="AA2617" s="4"/>
      <c r="AB2617" s="380" t="e">
        <f>VLOOKUP($B2617,'D7 - NDB Impacted SPRF''s'!$E$16:$O$9929,4,FALSE)</f>
        <v>#N/A</v>
      </c>
      <c r="AC2617" s="380" t="e">
        <f>VLOOKUP($B2617,'D7 - NDB Impacted SPRF''s'!$E$16:$O$9929,3,FALSE)</f>
        <v>#N/A</v>
      </c>
      <c r="AD2617" s="380" t="e">
        <f>VLOOKUP($B2617,'D7 - NDB Impacted SPRF''s'!$E$16:$O$9929,5,FALSE)</f>
        <v>#N/A</v>
      </c>
      <c r="AE2617" s="380" t="e">
        <f>VLOOKUP($B2617,'D7 - NDB Impacted SPRF''s'!$E$16:$O$9929,7,FALSE)</f>
        <v>#N/A</v>
      </c>
      <c r="AF2617" s="380" t="e">
        <f>VLOOKUP($B2617,'D7 - NDB Impacted SPRF''s'!$E$16:$O$9929,6,FALSE)</f>
        <v>#N/A</v>
      </c>
      <c r="AG2617" s="282"/>
      <c r="AH2617" s="311" t="e">
        <f>INDEX('D5 - Gatekeeper - Projects'!$A$4:$AF$1010,$AM2617, 17)</f>
        <v>#N/A</v>
      </c>
      <c r="AI2617" s="8"/>
      <c r="AJ2617" s="57"/>
      <c r="AK2617" s="105"/>
      <c r="AM2617" s="6" t="e">
        <f>MATCH(D2617,'D5 - Gatekeeper - Projects'!$C$4:$C$1010,0)</f>
        <v>#N/A</v>
      </c>
      <c r="AN2617" s="6" t="b">
        <f t="shared" si="270"/>
        <v>1</v>
      </c>
      <c r="AO2617" s="6" t="str">
        <f t="shared" si="271"/>
        <v>OK</v>
      </c>
      <c r="AQ2617" s="6" t="e">
        <f>MATCH($D2617,'D4 - Provider Council Unsched'!$C$11:$C$234,0)</f>
        <v>#N/A</v>
      </c>
      <c r="AR2617" s="6" t="b">
        <f t="shared" si="272"/>
        <v>1</v>
      </c>
      <c r="AS2617" s="6" t="str">
        <f t="shared" si="269"/>
        <v>OK</v>
      </c>
      <c r="AU2617" s="202"/>
      <c r="AV2617" s="262"/>
      <c r="AW2617" s="274"/>
    </row>
    <row r="2618" spans="1:49" s="13" customFormat="1" ht="22.5" x14ac:dyDescent="0.2">
      <c r="A2618" s="14">
        <v>2594</v>
      </c>
      <c r="B2618" s="14">
        <v>400011947</v>
      </c>
      <c r="C2618" s="8" t="s">
        <v>5197</v>
      </c>
      <c r="D2618" s="4" t="str">
        <f t="shared" si="273"/>
        <v>400011947R1</v>
      </c>
      <c r="E2618" s="309" t="str">
        <f>VLOOKUP($B2618,'D7 - NDB Impacted SPRF''s'!$E$6:$O$9929,2,FALSE)</f>
        <v>HCA-DataSeg-Partner Defined Market Number</v>
      </c>
      <c r="F2618" s="8" t="s">
        <v>5196</v>
      </c>
      <c r="G2618" s="8" t="s">
        <v>4758</v>
      </c>
      <c r="H2618" s="8" t="s">
        <v>2870</v>
      </c>
      <c r="I2618" s="20"/>
      <c r="J2618" s="8"/>
      <c r="K2618" s="182"/>
      <c r="L2618" s="8" t="s">
        <v>4156</v>
      </c>
      <c r="M2618" s="8" t="s">
        <v>2814</v>
      </c>
      <c r="N2618" s="367" t="s">
        <v>5471</v>
      </c>
      <c r="O2618" s="8"/>
      <c r="P2618" s="4" t="str">
        <f>VLOOKUP($B2618,'D7 - NDB Impacted SPRF''s'!$E$16:$O$9929,9,FALSE)</f>
        <v>Y</v>
      </c>
      <c r="Q2618" s="4" t="str">
        <f>VLOOKUP($B2618,'D7 - NDB Impacted SPRF''s'!$E$16:$O$9929,10,FALSE)</f>
        <v>N</v>
      </c>
      <c r="R2618" s="4" t="str">
        <f>VLOOKUP($B2618,'D7 - NDB Impacted SPRF''s'!$E$16:$O$9929,11,FALSE)</f>
        <v>N</v>
      </c>
      <c r="S2618" s="8"/>
      <c r="T2618" s="310"/>
      <c r="U2618" s="310"/>
      <c r="V2618" s="4"/>
      <c r="W2618" s="4"/>
      <c r="X2618" s="4"/>
      <c r="Y2618" s="4"/>
      <c r="Z2618" s="4"/>
      <c r="AA2618" s="4"/>
      <c r="AB2618" s="380" t="str">
        <f>VLOOKUP($B2618,'D7 - NDB Impacted SPRF''s'!$E$16:$O$9929,4,FALSE)</f>
        <v>Cancelled</v>
      </c>
      <c r="AC2618" s="380" t="str">
        <f>VLOOKUP($B2618,'D7 - NDB Impacted SPRF''s'!$E$16:$O$9929,3,FALSE)</f>
        <v>Alliance</v>
      </c>
      <c r="AD2618" s="380" t="str">
        <f>VLOOKUP($B2618,'D7 - NDB Impacted SPRF''s'!$E$16:$O$9929,5,FALSE)</f>
        <v>Harvard Pilgrim Service Alliance</v>
      </c>
      <c r="AE2618" s="380" t="str">
        <f>VLOOKUP($B2618,'D7 - NDB Impacted SPRF''s'!$E$16:$O$9929,7,FALSE)</f>
        <v>Diane Schofield</v>
      </c>
      <c r="AF2618" s="380" t="str">
        <f>VLOOKUP($B2618,'D7 - NDB Impacted SPRF''s'!$E$16:$O$9929,6,FALSE)</f>
        <v>Sheila Pellow</v>
      </c>
      <c r="AG2618" s="282" t="s">
        <v>6682</v>
      </c>
      <c r="AH2618" s="311" t="e">
        <f>INDEX('D5 - Gatekeeper - Projects'!$A$4:$AF$1010,$AM2618, 17)</f>
        <v>#N/A</v>
      </c>
      <c r="AI2618" s="8"/>
      <c r="AJ2618" s="57"/>
      <c r="AK2618" s="105"/>
      <c r="AM2618" s="6" t="e">
        <f>MATCH(D2618,'D5 - Gatekeeper - Projects'!$C$4:$C$1010,0)</f>
        <v>#N/A</v>
      </c>
      <c r="AN2618" s="6" t="b">
        <f t="shared" si="270"/>
        <v>1</v>
      </c>
      <c r="AO2618" s="6" t="str">
        <f t="shared" si="271"/>
        <v>OK</v>
      </c>
      <c r="AQ2618" s="6" t="e">
        <f>MATCH($D2618,'D4 - Provider Council Unsched'!$C$11:$C$234,0)</f>
        <v>#N/A</v>
      </c>
      <c r="AR2618" s="6" t="b">
        <f t="shared" si="272"/>
        <v>1</v>
      </c>
      <c r="AS2618" s="6" t="str">
        <f t="shared" si="269"/>
        <v>OK</v>
      </c>
      <c r="AU2618" s="202"/>
      <c r="AV2618" s="262"/>
      <c r="AW2618" s="274"/>
    </row>
    <row r="2619" spans="1:49" s="13" customFormat="1" ht="22.5" x14ac:dyDescent="0.2">
      <c r="A2619" s="14">
        <v>2595</v>
      </c>
      <c r="B2619" s="14">
        <v>400011947</v>
      </c>
      <c r="C2619" s="8" t="s">
        <v>1992</v>
      </c>
      <c r="D2619" s="4" t="str">
        <f t="shared" si="273"/>
        <v>400011947U1</v>
      </c>
      <c r="E2619" s="309" t="str">
        <f>VLOOKUP($B2619,'D7 - NDB Impacted SPRF''s'!$E$6:$O$9929,2,FALSE)</f>
        <v>HCA-DataSeg-Partner Defined Market Number</v>
      </c>
      <c r="F2619" s="8" t="s">
        <v>5196</v>
      </c>
      <c r="G2619" s="8" t="s">
        <v>4758</v>
      </c>
      <c r="H2619" s="8" t="s">
        <v>2870</v>
      </c>
      <c r="I2619" s="20"/>
      <c r="J2619" s="8"/>
      <c r="K2619" s="182"/>
      <c r="L2619" s="8" t="s">
        <v>4156</v>
      </c>
      <c r="M2619" s="8" t="s">
        <v>2814</v>
      </c>
      <c r="N2619" s="367" t="s">
        <v>5471</v>
      </c>
      <c r="O2619" s="8"/>
      <c r="P2619" s="4" t="str">
        <f>VLOOKUP($B2619,'D7 - NDB Impacted SPRF''s'!$E$16:$O$9929,9,FALSE)</f>
        <v>Y</v>
      </c>
      <c r="Q2619" s="4" t="str">
        <f>VLOOKUP($B2619,'D7 - NDB Impacted SPRF''s'!$E$16:$O$9929,10,FALSE)</f>
        <v>N</v>
      </c>
      <c r="R2619" s="4" t="str">
        <f>VLOOKUP($B2619,'D7 - NDB Impacted SPRF''s'!$E$16:$O$9929,11,FALSE)</f>
        <v>N</v>
      </c>
      <c r="S2619" s="8"/>
      <c r="T2619" s="310"/>
      <c r="U2619" s="310"/>
      <c r="V2619" s="4"/>
      <c r="W2619" s="4"/>
      <c r="X2619" s="4"/>
      <c r="Y2619" s="4"/>
      <c r="Z2619" s="4"/>
      <c r="AA2619" s="4"/>
      <c r="AB2619" s="380" t="str">
        <f>VLOOKUP($B2619,'D7 - NDB Impacted SPRF''s'!$E$16:$O$9929,4,FALSE)</f>
        <v>Cancelled</v>
      </c>
      <c r="AC2619" s="380" t="str">
        <f>VLOOKUP($B2619,'D7 - NDB Impacted SPRF''s'!$E$16:$O$9929,3,FALSE)</f>
        <v>Alliance</v>
      </c>
      <c r="AD2619" s="380" t="str">
        <f>VLOOKUP($B2619,'D7 - NDB Impacted SPRF''s'!$E$16:$O$9929,5,FALSE)</f>
        <v>Harvard Pilgrim Service Alliance</v>
      </c>
      <c r="AE2619" s="380" t="str">
        <f>VLOOKUP($B2619,'D7 - NDB Impacted SPRF''s'!$E$16:$O$9929,7,FALSE)</f>
        <v>Diane Schofield</v>
      </c>
      <c r="AF2619" s="380" t="str">
        <f>VLOOKUP($B2619,'D7 - NDB Impacted SPRF''s'!$E$16:$O$9929,6,FALSE)</f>
        <v>Sheila Pellow</v>
      </c>
      <c r="AG2619" s="282"/>
      <c r="AH2619" s="311" t="e">
        <f>INDEX('D5 - Gatekeeper - Projects'!$A$4:$AF$1010,$AM2619, 17)</f>
        <v>#N/A</v>
      </c>
      <c r="AI2619" s="8"/>
      <c r="AJ2619" s="57"/>
      <c r="AK2619" s="105"/>
      <c r="AM2619" s="6" t="e">
        <f>MATCH(D2619,'D5 - Gatekeeper - Projects'!$C$4:$C$1010,0)</f>
        <v>#N/A</v>
      </c>
      <c r="AN2619" s="6" t="b">
        <f t="shared" si="270"/>
        <v>1</v>
      </c>
      <c r="AO2619" s="6" t="str">
        <f t="shared" si="271"/>
        <v>OK</v>
      </c>
      <c r="AQ2619" s="6" t="e">
        <f>MATCH($D2619,'D4 - Provider Council Unsched'!$C$11:$C$234,0)</f>
        <v>#N/A</v>
      </c>
      <c r="AR2619" s="6" t="b">
        <f t="shared" si="272"/>
        <v>1</v>
      </c>
      <c r="AS2619" s="6" t="str">
        <f t="shared" si="269"/>
        <v>OK</v>
      </c>
      <c r="AU2619" s="202"/>
      <c r="AV2619" s="262"/>
      <c r="AW2619" s="274"/>
    </row>
    <row r="2620" spans="1:49" s="13" customFormat="1" x14ac:dyDescent="0.2">
      <c r="A2620" s="14">
        <v>2596</v>
      </c>
      <c r="B2620" s="14">
        <v>400012054</v>
      </c>
      <c r="C2620" s="8" t="s">
        <v>5197</v>
      </c>
      <c r="D2620" s="4" t="str">
        <f t="shared" si="273"/>
        <v>400012054R1</v>
      </c>
      <c r="E2620" s="309" t="e">
        <f>VLOOKUP($B2620,'D7 - NDB Impacted SPRF''s'!$E$6:$O$9929,2,FALSE)</f>
        <v>#N/A</v>
      </c>
      <c r="F2620" s="8" t="s">
        <v>2114</v>
      </c>
      <c r="G2620" s="8" t="s">
        <v>4758</v>
      </c>
      <c r="H2620" s="8" t="s">
        <v>2870</v>
      </c>
      <c r="I2620" s="20"/>
      <c r="J2620" s="8"/>
      <c r="K2620" s="182"/>
      <c r="L2620" s="8" t="s">
        <v>4156</v>
      </c>
      <c r="M2620" s="8" t="s">
        <v>2814</v>
      </c>
      <c r="N2620" s="367" t="s">
        <v>6981</v>
      </c>
      <c r="O2620" s="8"/>
      <c r="P2620" s="4" t="e">
        <f>VLOOKUP($B2620,'D7 - NDB Impacted SPRF''s'!$E$16:$O$9929,9,FALSE)</f>
        <v>#N/A</v>
      </c>
      <c r="Q2620" s="4" t="e">
        <f>VLOOKUP($B2620,'D7 - NDB Impacted SPRF''s'!$E$16:$O$9929,10,FALSE)</f>
        <v>#N/A</v>
      </c>
      <c r="R2620" s="4" t="e">
        <f>VLOOKUP($B2620,'D7 - NDB Impacted SPRF''s'!$E$16:$O$9929,11,FALSE)</f>
        <v>#N/A</v>
      </c>
      <c r="S2620" s="8"/>
      <c r="T2620" s="310"/>
      <c r="U2620" s="310"/>
      <c r="V2620" s="4"/>
      <c r="W2620" s="4"/>
      <c r="X2620" s="4"/>
      <c r="Y2620" s="4"/>
      <c r="Z2620" s="4"/>
      <c r="AA2620" s="4"/>
      <c r="AB2620" s="380" t="e">
        <f>VLOOKUP($B2620,'D7 - NDB Impacted SPRF''s'!$E$16:$O$9929,4,FALSE)</f>
        <v>#N/A</v>
      </c>
      <c r="AC2620" s="380" t="e">
        <f>VLOOKUP($B2620,'D7 - NDB Impacted SPRF''s'!$E$16:$O$9929,3,FALSE)</f>
        <v>#N/A</v>
      </c>
      <c r="AD2620" s="380" t="e">
        <f>VLOOKUP($B2620,'D7 - NDB Impacted SPRF''s'!$E$16:$O$9929,5,FALSE)</f>
        <v>#N/A</v>
      </c>
      <c r="AE2620" s="380" t="e">
        <f>VLOOKUP($B2620,'D7 - NDB Impacted SPRF''s'!$E$16:$O$9929,7,FALSE)</f>
        <v>#N/A</v>
      </c>
      <c r="AF2620" s="380" t="e">
        <f>VLOOKUP($B2620,'D7 - NDB Impacted SPRF''s'!$E$16:$O$9929,6,FALSE)</f>
        <v>#N/A</v>
      </c>
      <c r="AG2620" s="282" t="s">
        <v>7755</v>
      </c>
      <c r="AH2620" s="311" t="e">
        <f>INDEX('D5 - Gatekeeper - Projects'!$A$4:$AF$1010,$AM2620, 17)</f>
        <v>#N/A</v>
      </c>
      <c r="AI2620" s="8"/>
      <c r="AJ2620" s="57"/>
      <c r="AK2620" s="105"/>
      <c r="AM2620" s="6" t="e">
        <f>MATCH(D2620,'D5 - Gatekeeper - Projects'!$C$4:$C$1010,0)</f>
        <v>#N/A</v>
      </c>
      <c r="AN2620" s="6" t="b">
        <f t="shared" si="270"/>
        <v>1</v>
      </c>
      <c r="AO2620" s="6" t="str">
        <f t="shared" si="271"/>
        <v>OK</v>
      </c>
      <c r="AQ2620" s="6" t="e">
        <f>MATCH($D2620,'D4 - Provider Council Unsched'!$C$11:$C$234,0)</f>
        <v>#N/A</v>
      </c>
      <c r="AR2620" s="6" t="b">
        <f t="shared" si="272"/>
        <v>1</v>
      </c>
      <c r="AS2620" s="6" t="str">
        <f t="shared" si="269"/>
        <v>OK</v>
      </c>
      <c r="AU2620" s="202"/>
      <c r="AV2620" s="262"/>
      <c r="AW2620" s="274"/>
    </row>
    <row r="2621" spans="1:49" s="13" customFormat="1" ht="22.5" x14ac:dyDescent="0.2">
      <c r="A2621" s="14">
        <v>2597</v>
      </c>
      <c r="B2621" s="14">
        <v>400012342</v>
      </c>
      <c r="C2621" s="8" t="s">
        <v>5197</v>
      </c>
      <c r="D2621" s="4" t="str">
        <f t="shared" si="273"/>
        <v>400012342R1</v>
      </c>
      <c r="E2621" s="309" t="e">
        <f>VLOOKUP($B2621,'D7 - NDB Impacted SPRF''s'!$E$6:$O$9929,2,FALSE)</f>
        <v>#N/A</v>
      </c>
      <c r="F2621" s="8" t="s">
        <v>6071</v>
      </c>
      <c r="G2621" s="8" t="s">
        <v>4758</v>
      </c>
      <c r="H2621" s="8" t="s">
        <v>2870</v>
      </c>
      <c r="I2621" s="20"/>
      <c r="J2621" s="8"/>
      <c r="K2621" s="182"/>
      <c r="L2621" s="8" t="s">
        <v>4156</v>
      </c>
      <c r="M2621" s="8" t="s">
        <v>2814</v>
      </c>
      <c r="N2621" s="367" t="s">
        <v>1930</v>
      </c>
      <c r="O2621" s="8"/>
      <c r="P2621" s="4" t="e">
        <f>VLOOKUP($B2621,'D7 - NDB Impacted SPRF''s'!$E$16:$O$9929,9,FALSE)</f>
        <v>#N/A</v>
      </c>
      <c r="Q2621" s="4" t="e">
        <f>VLOOKUP($B2621,'D7 - NDB Impacted SPRF''s'!$E$16:$O$9929,10,FALSE)</f>
        <v>#N/A</v>
      </c>
      <c r="R2621" s="4" t="e">
        <f>VLOOKUP($B2621,'D7 - NDB Impacted SPRF''s'!$E$16:$O$9929,11,FALSE)</f>
        <v>#N/A</v>
      </c>
      <c r="S2621" s="8"/>
      <c r="T2621" s="310"/>
      <c r="U2621" s="310"/>
      <c r="V2621" s="4"/>
      <c r="W2621" s="4"/>
      <c r="X2621" s="4"/>
      <c r="Y2621" s="4"/>
      <c r="Z2621" s="4"/>
      <c r="AA2621" s="4"/>
      <c r="AB2621" s="380" t="e">
        <f>VLOOKUP($B2621,'D7 - NDB Impacted SPRF''s'!$E$16:$O$9929,4,FALSE)</f>
        <v>#N/A</v>
      </c>
      <c r="AC2621" s="380" t="e">
        <f>VLOOKUP($B2621,'D7 - NDB Impacted SPRF''s'!$E$16:$O$9929,3,FALSE)</f>
        <v>#N/A</v>
      </c>
      <c r="AD2621" s="380" t="e">
        <f>VLOOKUP($B2621,'D7 - NDB Impacted SPRF''s'!$E$16:$O$9929,5,FALSE)</f>
        <v>#N/A</v>
      </c>
      <c r="AE2621" s="380" t="e">
        <f>VLOOKUP($B2621,'D7 - NDB Impacted SPRF''s'!$E$16:$O$9929,7,FALSE)</f>
        <v>#N/A</v>
      </c>
      <c r="AF2621" s="380" t="e">
        <f>VLOOKUP($B2621,'D7 - NDB Impacted SPRF''s'!$E$16:$O$9929,6,FALSE)</f>
        <v>#N/A</v>
      </c>
      <c r="AG2621" s="282" t="s">
        <v>7755</v>
      </c>
      <c r="AH2621" s="311" t="e">
        <f>INDEX('D5 - Gatekeeper - Projects'!$A$4:$AF$1010,$AM2621, 17)</f>
        <v>#N/A</v>
      </c>
      <c r="AI2621" s="8"/>
      <c r="AJ2621" s="57"/>
      <c r="AK2621" s="105"/>
      <c r="AM2621" s="6" t="e">
        <f>MATCH(D2621,'D5 - Gatekeeper - Projects'!$C$4:$C$1010,0)</f>
        <v>#N/A</v>
      </c>
      <c r="AN2621" s="6" t="b">
        <f t="shared" si="270"/>
        <v>1</v>
      </c>
      <c r="AO2621" s="6" t="str">
        <f t="shared" si="271"/>
        <v>OK</v>
      </c>
      <c r="AQ2621" s="6" t="e">
        <f>MATCH($D2621,'D4 - Provider Council Unsched'!$C$11:$C$234,0)</f>
        <v>#N/A</v>
      </c>
      <c r="AR2621" s="6" t="b">
        <f t="shared" si="272"/>
        <v>1</v>
      </c>
      <c r="AS2621" s="6" t="str">
        <f t="shared" si="269"/>
        <v>OK</v>
      </c>
      <c r="AU2621" s="202"/>
      <c r="AV2621" s="262"/>
      <c r="AW2621" s="274"/>
    </row>
    <row r="2622" spans="1:49" s="13" customFormat="1" ht="33.75" x14ac:dyDescent="0.2">
      <c r="A2622" s="14">
        <v>2598</v>
      </c>
      <c r="B2622" s="14">
        <v>400012422</v>
      </c>
      <c r="C2622" s="8" t="s">
        <v>5197</v>
      </c>
      <c r="D2622" s="4" t="str">
        <f t="shared" si="273"/>
        <v>400012422R1</v>
      </c>
      <c r="E2622" s="309" t="str">
        <f>VLOOKUP($B2622,'D7 - NDB Impacted SPRF''s'!$E$6:$O$9929,2,FALSE)</f>
        <v xml:space="preserve">MAHP –  Operational Readiness Test  - Phase I </v>
      </c>
      <c r="F2622" s="8" t="s">
        <v>5752</v>
      </c>
      <c r="G2622" s="8" t="s">
        <v>4758</v>
      </c>
      <c r="H2622" s="8" t="s">
        <v>2870</v>
      </c>
      <c r="I2622" s="20">
        <v>1</v>
      </c>
      <c r="J2622" s="8" t="s">
        <v>7113</v>
      </c>
      <c r="K2622" s="182"/>
      <c r="L2622" s="8" t="s">
        <v>4156</v>
      </c>
      <c r="M2622" s="8" t="s">
        <v>2814</v>
      </c>
      <c r="N2622" s="367" t="s">
        <v>5190</v>
      </c>
      <c r="O2622" s="8"/>
      <c r="P2622" s="4" t="str">
        <f>VLOOKUP($B2622,'D7 - NDB Impacted SPRF''s'!$E$16:$O$9929,9,FALSE)</f>
        <v>Y</v>
      </c>
      <c r="Q2622" s="4" t="str">
        <f>VLOOKUP($B2622,'D7 - NDB Impacted SPRF''s'!$E$16:$O$9929,10,FALSE)</f>
        <v>N</v>
      </c>
      <c r="R2622" s="4" t="str">
        <f>VLOOKUP($B2622,'D7 - NDB Impacted SPRF''s'!$E$16:$O$9929,11,FALSE)</f>
        <v>N</v>
      </c>
      <c r="S2622" s="8"/>
      <c r="T2622" s="310"/>
      <c r="U2622" s="310"/>
      <c r="V2622" s="4"/>
      <c r="W2622" s="4"/>
      <c r="X2622" s="4"/>
      <c r="Y2622" s="4"/>
      <c r="Z2622" s="4"/>
      <c r="AA2622" s="4"/>
      <c r="AB2622" s="380" t="str">
        <f>VLOOKUP($B2622,'D7 - NDB Impacted SPRF''s'!$E$16:$O$9929,4,FALSE)</f>
        <v>Cancelled</v>
      </c>
      <c r="AC2622" s="380" t="str">
        <f>VLOOKUP($B2622,'D7 - NDB Impacted SPRF''s'!$E$16:$O$9929,3,FALSE)</f>
        <v>UnitedHealthcare Employer &amp; Individual</v>
      </c>
      <c r="AD2622" s="380" t="str">
        <f>VLOOKUP($B2622,'D7 - NDB Impacted SPRF''s'!$E$16:$O$9929,5,FALSE)</f>
        <v>Integration Requirements</v>
      </c>
      <c r="AE2622" s="380" t="str">
        <f>VLOOKUP($B2622,'D7 - NDB Impacted SPRF''s'!$E$16:$O$9929,7,FALSE)</f>
        <v>Diane Schofield</v>
      </c>
      <c r="AF2622" s="380" t="str">
        <f>VLOOKUP($B2622,'D7 - NDB Impacted SPRF''s'!$E$16:$O$9929,6,FALSE)</f>
        <v>Elaine Begen</v>
      </c>
      <c r="AG2622" s="282" t="s">
        <v>7755</v>
      </c>
      <c r="AH2622" s="311" t="e">
        <f>INDEX('D5 - Gatekeeper - Projects'!$A$4:$AF$1010,$AM2622, 17)</f>
        <v>#N/A</v>
      </c>
      <c r="AI2622" s="8"/>
      <c r="AJ2622" s="57"/>
      <c r="AK2622" s="105"/>
      <c r="AM2622" s="6" t="e">
        <f>MATCH(D2622,'D5 - Gatekeeper - Projects'!$C$4:$C$1010,0)</f>
        <v>#N/A</v>
      </c>
      <c r="AN2622" s="6" t="b">
        <f t="shared" si="270"/>
        <v>1</v>
      </c>
      <c r="AO2622" s="6" t="str">
        <f t="shared" si="271"/>
        <v>OK</v>
      </c>
      <c r="AQ2622" s="6" t="e">
        <f>MATCH($D2622,'D4 - Provider Council Unsched'!$C$11:$C$234,0)</f>
        <v>#N/A</v>
      </c>
      <c r="AR2622" s="6" t="b">
        <f t="shared" si="272"/>
        <v>1</v>
      </c>
      <c r="AS2622" s="6" t="str">
        <f t="shared" si="269"/>
        <v>OK</v>
      </c>
      <c r="AU2622" s="202"/>
      <c r="AV2622" s="262"/>
      <c r="AW2622" s="274"/>
    </row>
    <row r="2623" spans="1:49" s="13" customFormat="1" x14ac:dyDescent="0.2">
      <c r="A2623" s="14">
        <v>2599</v>
      </c>
      <c r="B2623" s="14">
        <v>400012427</v>
      </c>
      <c r="C2623" s="8" t="s">
        <v>5197</v>
      </c>
      <c r="D2623" s="4" t="str">
        <f t="shared" si="273"/>
        <v>400012427R1</v>
      </c>
      <c r="E2623" s="309" t="e">
        <f>VLOOKUP($B2623,'D7 - NDB Impacted SPRF''s'!$E$6:$O$9929,2,FALSE)</f>
        <v>#N/A</v>
      </c>
      <c r="F2623" s="8" t="s">
        <v>5788</v>
      </c>
      <c r="G2623" s="8" t="s">
        <v>4758</v>
      </c>
      <c r="H2623" s="8" t="s">
        <v>2870</v>
      </c>
      <c r="I2623" s="20"/>
      <c r="J2623" s="8"/>
      <c r="K2623" s="182"/>
      <c r="L2623" s="8" t="s">
        <v>4156</v>
      </c>
      <c r="M2623" s="8" t="s">
        <v>2814</v>
      </c>
      <c r="N2623" s="367" t="s">
        <v>6981</v>
      </c>
      <c r="O2623" s="8"/>
      <c r="P2623" s="4" t="e">
        <f>VLOOKUP($B2623,'D7 - NDB Impacted SPRF''s'!$E$16:$O$9929,9,FALSE)</f>
        <v>#N/A</v>
      </c>
      <c r="Q2623" s="4" t="e">
        <f>VLOOKUP($B2623,'D7 - NDB Impacted SPRF''s'!$E$16:$O$9929,10,FALSE)</f>
        <v>#N/A</v>
      </c>
      <c r="R2623" s="4" t="e">
        <f>VLOOKUP($B2623,'D7 - NDB Impacted SPRF''s'!$E$16:$O$9929,11,FALSE)</f>
        <v>#N/A</v>
      </c>
      <c r="S2623" s="8"/>
      <c r="T2623" s="310"/>
      <c r="U2623" s="310"/>
      <c r="V2623" s="4"/>
      <c r="W2623" s="4"/>
      <c r="X2623" s="4"/>
      <c r="Y2623" s="4"/>
      <c r="Z2623" s="4"/>
      <c r="AA2623" s="4"/>
      <c r="AB2623" s="380" t="e">
        <f>VLOOKUP($B2623,'D7 - NDB Impacted SPRF''s'!$E$16:$O$9929,4,FALSE)</f>
        <v>#N/A</v>
      </c>
      <c r="AC2623" s="380" t="e">
        <f>VLOOKUP($B2623,'D7 - NDB Impacted SPRF''s'!$E$16:$O$9929,3,FALSE)</f>
        <v>#N/A</v>
      </c>
      <c r="AD2623" s="380" t="e">
        <f>VLOOKUP($B2623,'D7 - NDB Impacted SPRF''s'!$E$16:$O$9929,5,FALSE)</f>
        <v>#N/A</v>
      </c>
      <c r="AE2623" s="380" t="e">
        <f>VLOOKUP($B2623,'D7 - NDB Impacted SPRF''s'!$E$16:$O$9929,7,FALSE)</f>
        <v>#N/A</v>
      </c>
      <c r="AF2623" s="380" t="e">
        <f>VLOOKUP($B2623,'D7 - NDB Impacted SPRF''s'!$E$16:$O$9929,6,FALSE)</f>
        <v>#N/A</v>
      </c>
      <c r="AG2623" s="282" t="s">
        <v>5094</v>
      </c>
      <c r="AH2623" s="311" t="e">
        <f>INDEX('D5 - Gatekeeper - Projects'!$A$4:$AF$1010,$AM2623, 17)</f>
        <v>#N/A</v>
      </c>
      <c r="AI2623" s="8"/>
      <c r="AJ2623" s="57"/>
      <c r="AK2623" s="105"/>
      <c r="AM2623" s="6" t="e">
        <f>MATCH(D2623,'D5 - Gatekeeper - Projects'!$C$4:$C$1010,0)</f>
        <v>#N/A</v>
      </c>
      <c r="AN2623" s="6" t="b">
        <f t="shared" si="270"/>
        <v>1</v>
      </c>
      <c r="AO2623" s="6" t="str">
        <f t="shared" si="271"/>
        <v>OK</v>
      </c>
      <c r="AQ2623" s="6" t="e">
        <f>MATCH($D2623,'D4 - Provider Council Unsched'!$C$11:$C$234,0)</f>
        <v>#N/A</v>
      </c>
      <c r="AR2623" s="6" t="b">
        <f t="shared" si="272"/>
        <v>1</v>
      </c>
      <c r="AS2623" s="6" t="str">
        <f t="shared" si="269"/>
        <v>OK</v>
      </c>
      <c r="AU2623" s="202"/>
      <c r="AV2623" s="262"/>
      <c r="AW2623" s="274"/>
    </row>
    <row r="2624" spans="1:49" s="13" customFormat="1" ht="33.75" x14ac:dyDescent="0.2">
      <c r="A2624" s="14">
        <v>2600</v>
      </c>
      <c r="B2624" s="14">
        <v>400012448</v>
      </c>
      <c r="C2624" s="8" t="s">
        <v>5197</v>
      </c>
      <c r="D2624" s="4" t="str">
        <f t="shared" si="273"/>
        <v>400012448R1</v>
      </c>
      <c r="E2624" s="309" t="e">
        <f>VLOOKUP($B2624,'D7 - NDB Impacted SPRF''s'!$E$6:$O$9929,2,FALSE)</f>
        <v>#N/A</v>
      </c>
      <c r="F2624" s="8" t="s">
        <v>7031</v>
      </c>
      <c r="G2624" s="8" t="s">
        <v>4758</v>
      </c>
      <c r="H2624" s="8" t="s">
        <v>2870</v>
      </c>
      <c r="I2624" s="20"/>
      <c r="J2624" s="8"/>
      <c r="K2624" s="182"/>
      <c r="L2624" s="8" t="s">
        <v>4156</v>
      </c>
      <c r="M2624" s="8" t="s">
        <v>2814</v>
      </c>
      <c r="N2624" s="367" t="s">
        <v>5363</v>
      </c>
      <c r="O2624" s="8"/>
      <c r="P2624" s="4" t="e">
        <f>VLOOKUP($B2624,'D7 - NDB Impacted SPRF''s'!$E$16:$O$9929,9,FALSE)</f>
        <v>#N/A</v>
      </c>
      <c r="Q2624" s="4" t="e">
        <f>VLOOKUP($B2624,'D7 - NDB Impacted SPRF''s'!$E$16:$O$9929,10,FALSE)</f>
        <v>#N/A</v>
      </c>
      <c r="R2624" s="4" t="e">
        <f>VLOOKUP($B2624,'D7 - NDB Impacted SPRF''s'!$E$16:$O$9929,11,FALSE)</f>
        <v>#N/A</v>
      </c>
      <c r="S2624" s="8"/>
      <c r="T2624" s="310"/>
      <c r="U2624" s="310"/>
      <c r="V2624" s="4"/>
      <c r="W2624" s="4"/>
      <c r="X2624" s="4"/>
      <c r="Y2624" s="4"/>
      <c r="Z2624" s="4"/>
      <c r="AA2624" s="4"/>
      <c r="AB2624" s="380" t="e">
        <f>VLOOKUP($B2624,'D7 - NDB Impacted SPRF''s'!$E$16:$O$9929,4,FALSE)</f>
        <v>#N/A</v>
      </c>
      <c r="AC2624" s="380" t="e">
        <f>VLOOKUP($B2624,'D7 - NDB Impacted SPRF''s'!$E$16:$O$9929,3,FALSE)</f>
        <v>#N/A</v>
      </c>
      <c r="AD2624" s="380" t="e">
        <f>VLOOKUP($B2624,'D7 - NDB Impacted SPRF''s'!$E$16:$O$9929,5,FALSE)</f>
        <v>#N/A</v>
      </c>
      <c r="AE2624" s="380" t="e">
        <f>VLOOKUP($B2624,'D7 - NDB Impacted SPRF''s'!$E$16:$O$9929,7,FALSE)</f>
        <v>#N/A</v>
      </c>
      <c r="AF2624" s="380" t="e">
        <f>VLOOKUP($B2624,'D7 - NDB Impacted SPRF''s'!$E$16:$O$9929,6,FALSE)</f>
        <v>#N/A</v>
      </c>
      <c r="AG2624" s="282" t="s">
        <v>7755</v>
      </c>
      <c r="AH2624" s="311" t="e">
        <f>INDEX('D5 - Gatekeeper - Projects'!$A$4:$AF$1010,$AM2624, 17)</f>
        <v>#N/A</v>
      </c>
      <c r="AI2624" s="8"/>
      <c r="AJ2624" s="57"/>
      <c r="AK2624" s="105"/>
      <c r="AM2624" s="6" t="e">
        <f>MATCH(D2624,'D5 - Gatekeeper - Projects'!$C$4:$C$1010,0)</f>
        <v>#N/A</v>
      </c>
      <c r="AN2624" s="6" t="b">
        <f t="shared" si="270"/>
        <v>1</v>
      </c>
      <c r="AO2624" s="6" t="str">
        <f t="shared" si="271"/>
        <v>OK</v>
      </c>
      <c r="AQ2624" s="6" t="e">
        <f>MATCH($D2624,'D4 - Provider Council Unsched'!$C$11:$C$234,0)</f>
        <v>#N/A</v>
      </c>
      <c r="AR2624" s="6" t="b">
        <f t="shared" si="272"/>
        <v>1</v>
      </c>
      <c r="AS2624" s="6" t="str">
        <f t="shared" si="269"/>
        <v>OK</v>
      </c>
      <c r="AU2624" s="202"/>
      <c r="AV2624" s="262"/>
      <c r="AW2624" s="274"/>
    </row>
    <row r="2625" spans="1:49" s="13" customFormat="1" ht="22.5" x14ac:dyDescent="0.2">
      <c r="A2625" s="14">
        <v>2601</v>
      </c>
      <c r="B2625" s="14">
        <v>400012772</v>
      </c>
      <c r="C2625" s="8" t="s">
        <v>5197</v>
      </c>
      <c r="D2625" s="4" t="str">
        <f t="shared" si="273"/>
        <v>400012772R1</v>
      </c>
      <c r="E2625" s="309" t="e">
        <f>VLOOKUP($B2625,'D7 - NDB Impacted SPRF''s'!$E$6:$O$9929,2,FALSE)</f>
        <v>#N/A</v>
      </c>
      <c r="F2625" s="8" t="s">
        <v>7106</v>
      </c>
      <c r="G2625" s="8" t="s">
        <v>4758</v>
      </c>
      <c r="H2625" s="8" t="s">
        <v>2870</v>
      </c>
      <c r="I2625" s="20"/>
      <c r="J2625" s="8"/>
      <c r="K2625" s="182"/>
      <c r="L2625" s="8" t="s">
        <v>4156</v>
      </c>
      <c r="M2625" s="8" t="s">
        <v>2814</v>
      </c>
      <c r="N2625" s="367" t="s">
        <v>4554</v>
      </c>
      <c r="O2625" s="8"/>
      <c r="P2625" s="4" t="e">
        <f>VLOOKUP($B2625,'D7 - NDB Impacted SPRF''s'!$E$16:$O$9929,9,FALSE)</f>
        <v>#N/A</v>
      </c>
      <c r="Q2625" s="4" t="e">
        <f>VLOOKUP($B2625,'D7 - NDB Impacted SPRF''s'!$E$16:$O$9929,10,FALSE)</f>
        <v>#N/A</v>
      </c>
      <c r="R2625" s="4" t="e">
        <f>VLOOKUP($B2625,'D7 - NDB Impacted SPRF''s'!$E$16:$O$9929,11,FALSE)</f>
        <v>#N/A</v>
      </c>
      <c r="S2625" s="8"/>
      <c r="T2625" s="310"/>
      <c r="U2625" s="310"/>
      <c r="V2625" s="4"/>
      <c r="W2625" s="4"/>
      <c r="X2625" s="4"/>
      <c r="Y2625" s="4"/>
      <c r="Z2625" s="4"/>
      <c r="AA2625" s="4"/>
      <c r="AB2625" s="380" t="e">
        <f>VLOOKUP($B2625,'D7 - NDB Impacted SPRF''s'!$E$16:$O$9929,4,FALSE)</f>
        <v>#N/A</v>
      </c>
      <c r="AC2625" s="380" t="e">
        <f>VLOOKUP($B2625,'D7 - NDB Impacted SPRF''s'!$E$16:$O$9929,3,FALSE)</f>
        <v>#N/A</v>
      </c>
      <c r="AD2625" s="380" t="e">
        <f>VLOOKUP($B2625,'D7 - NDB Impacted SPRF''s'!$E$16:$O$9929,5,FALSE)</f>
        <v>#N/A</v>
      </c>
      <c r="AE2625" s="380" t="e">
        <f>VLOOKUP($B2625,'D7 - NDB Impacted SPRF''s'!$E$16:$O$9929,7,FALSE)</f>
        <v>#N/A</v>
      </c>
      <c r="AF2625" s="380" t="e">
        <f>VLOOKUP($B2625,'D7 - NDB Impacted SPRF''s'!$E$16:$O$9929,6,FALSE)</f>
        <v>#N/A</v>
      </c>
      <c r="AG2625" s="282"/>
      <c r="AH2625" s="311" t="e">
        <f>INDEX('D5 - Gatekeeper - Projects'!$A$4:$AF$1010,$AM2625, 17)</f>
        <v>#N/A</v>
      </c>
      <c r="AI2625" s="8"/>
      <c r="AJ2625" s="57"/>
      <c r="AK2625" s="105"/>
      <c r="AM2625" s="6" t="e">
        <f>MATCH(D2625,'D5 - Gatekeeper - Projects'!$C$4:$C$1010,0)</f>
        <v>#N/A</v>
      </c>
      <c r="AN2625" s="6" t="b">
        <f t="shared" si="270"/>
        <v>1</v>
      </c>
      <c r="AO2625" s="6" t="str">
        <f t="shared" si="271"/>
        <v>OK</v>
      </c>
      <c r="AQ2625" s="6" t="e">
        <f>MATCH($D2625,'D4 - Provider Council Unsched'!$C$11:$C$234,0)</f>
        <v>#N/A</v>
      </c>
      <c r="AR2625" s="6" t="b">
        <f t="shared" si="272"/>
        <v>1</v>
      </c>
      <c r="AS2625" s="6" t="str">
        <f t="shared" si="269"/>
        <v>OK</v>
      </c>
      <c r="AU2625" s="202"/>
      <c r="AV2625" s="262"/>
      <c r="AW2625" s="274"/>
    </row>
    <row r="2626" spans="1:49" s="13" customFormat="1" ht="22.5" x14ac:dyDescent="0.2">
      <c r="A2626" s="14">
        <v>2602</v>
      </c>
      <c r="B2626" s="14">
        <v>400012811</v>
      </c>
      <c r="C2626" s="8" t="s">
        <v>5197</v>
      </c>
      <c r="D2626" s="4" t="str">
        <f t="shared" si="273"/>
        <v>400012811R1</v>
      </c>
      <c r="E2626" s="309" t="str">
        <f>VLOOKUP($B2626,'D7 - NDB Impacted SPRF''s'!$E$6:$O$9929,2,FALSE)</f>
        <v xml:space="preserve">Medica - Create New PTI Value to mimic UHC's 'G' </v>
      </c>
      <c r="F2626" s="8" t="s">
        <v>5196</v>
      </c>
      <c r="G2626" s="8" t="s">
        <v>4758</v>
      </c>
      <c r="H2626" s="8" t="s">
        <v>2870</v>
      </c>
      <c r="I2626" s="20">
        <v>12.11</v>
      </c>
      <c r="J2626" s="8" t="s">
        <v>4862</v>
      </c>
      <c r="K2626" s="182"/>
      <c r="L2626" s="8" t="s">
        <v>5743</v>
      </c>
      <c r="M2626" s="8" t="s">
        <v>2814</v>
      </c>
      <c r="N2626" s="367" t="s">
        <v>3345</v>
      </c>
      <c r="O2626" s="8"/>
      <c r="P2626" s="4" t="str">
        <f>VLOOKUP($B2626,'D7 - NDB Impacted SPRF''s'!$E$16:$O$9929,9,FALSE)</f>
        <v>Y</v>
      </c>
      <c r="Q2626" s="4" t="str">
        <f>VLOOKUP($B2626,'D7 - NDB Impacted SPRF''s'!$E$16:$O$9929,10,FALSE)</f>
        <v>N</v>
      </c>
      <c r="R2626" s="4" t="str">
        <f>VLOOKUP($B2626,'D7 - NDB Impacted SPRF''s'!$E$16:$O$9929,11,FALSE)</f>
        <v>N</v>
      </c>
      <c r="S2626" s="8"/>
      <c r="T2626" s="310"/>
      <c r="U2626" s="310"/>
      <c r="V2626" s="4"/>
      <c r="W2626" s="4"/>
      <c r="X2626" s="4"/>
      <c r="Y2626" s="4"/>
      <c r="Z2626" s="4"/>
      <c r="AA2626" s="4"/>
      <c r="AB2626" s="380" t="str">
        <f>VLOOKUP($B2626,'D7 - NDB Impacted SPRF''s'!$E$16:$O$9929,4,FALSE)</f>
        <v>Cancelled</v>
      </c>
      <c r="AC2626" s="380" t="str">
        <f>VLOOKUP($B2626,'D7 - NDB Impacted SPRF''s'!$E$16:$O$9929,3,FALSE)</f>
        <v>Alliance</v>
      </c>
      <c r="AD2626" s="380" t="str">
        <f>VLOOKUP($B2626,'D7 - NDB Impacted SPRF''s'!$E$16:$O$9929,5,FALSE)</f>
        <v>Medica UNET Conversion</v>
      </c>
      <c r="AE2626" s="380" t="str">
        <f>VLOOKUP($B2626,'D7 - NDB Impacted SPRF''s'!$E$16:$O$9929,7,FALSE)</f>
        <v>Bev Nyce</v>
      </c>
      <c r="AF2626" s="380" t="str">
        <f>VLOOKUP($B2626,'D7 - NDB Impacted SPRF''s'!$E$16:$O$9929,6,FALSE)</f>
        <v>STEPHEN FINLEY</v>
      </c>
      <c r="AG2626" s="282" t="s">
        <v>6682</v>
      </c>
      <c r="AH2626" s="311" t="e">
        <f>INDEX('D5 - Gatekeeper - Projects'!$A$4:$AF$1010,$AM2626, 17)</f>
        <v>#N/A</v>
      </c>
      <c r="AI2626" s="8"/>
      <c r="AJ2626" s="57"/>
      <c r="AK2626" s="105"/>
      <c r="AM2626" s="6" t="e">
        <f>MATCH(D2626,'D5 - Gatekeeper - Projects'!$C$4:$C$1010,0)</f>
        <v>#N/A</v>
      </c>
      <c r="AN2626" s="6" t="b">
        <f t="shared" si="270"/>
        <v>1</v>
      </c>
      <c r="AO2626" s="6" t="str">
        <f t="shared" si="271"/>
        <v>OK</v>
      </c>
      <c r="AQ2626" s="6" t="e">
        <f>MATCH($D2626,'D4 - Provider Council Unsched'!$C$11:$C$234,0)</f>
        <v>#N/A</v>
      </c>
      <c r="AR2626" s="6" t="b">
        <f t="shared" si="272"/>
        <v>1</v>
      </c>
      <c r="AS2626" s="6" t="str">
        <f t="shared" si="269"/>
        <v>OK</v>
      </c>
      <c r="AU2626" s="202"/>
      <c r="AV2626" s="262"/>
      <c r="AW2626" s="274"/>
    </row>
    <row r="2627" spans="1:49" s="13" customFormat="1" ht="22.5" x14ac:dyDescent="0.2">
      <c r="A2627" s="14">
        <v>2603</v>
      </c>
      <c r="B2627" s="14">
        <v>400012847</v>
      </c>
      <c r="C2627" s="8" t="s">
        <v>5197</v>
      </c>
      <c r="D2627" s="4" t="str">
        <f t="shared" si="273"/>
        <v>400012847R1</v>
      </c>
      <c r="E2627" s="309" t="str">
        <f>VLOOKUP($B2627,'D7 - NDB Impacted SPRF''s'!$E$6:$O$9929,2,FALSE)</f>
        <v>Non-Network Timely Filing</v>
      </c>
      <c r="F2627" s="8" t="s">
        <v>2114</v>
      </c>
      <c r="G2627" s="8" t="s">
        <v>4758</v>
      </c>
      <c r="H2627" s="8" t="s">
        <v>2870</v>
      </c>
      <c r="I2627" s="20"/>
      <c r="J2627" s="8"/>
      <c r="K2627" s="182"/>
      <c r="L2627" s="8" t="s">
        <v>4156</v>
      </c>
      <c r="M2627" s="8" t="s">
        <v>2814</v>
      </c>
      <c r="N2627" s="367" t="s">
        <v>5206</v>
      </c>
      <c r="O2627" s="8"/>
      <c r="P2627" s="4" t="str">
        <f>VLOOKUP($B2627,'D7 - NDB Impacted SPRF''s'!$E$16:$O$9929,9,FALSE)</f>
        <v>Y</v>
      </c>
      <c r="Q2627" s="4" t="str">
        <f>VLOOKUP($B2627,'D7 - NDB Impacted SPRF''s'!$E$16:$O$9929,10,FALSE)</f>
        <v>N</v>
      </c>
      <c r="R2627" s="4" t="str">
        <f>VLOOKUP($B2627,'D7 - NDB Impacted SPRF''s'!$E$16:$O$9929,11,FALSE)</f>
        <v>N</v>
      </c>
      <c r="S2627" s="8"/>
      <c r="T2627" s="310"/>
      <c r="U2627" s="310"/>
      <c r="V2627" s="4"/>
      <c r="W2627" s="4"/>
      <c r="X2627" s="4"/>
      <c r="Y2627" s="4"/>
      <c r="Z2627" s="4"/>
      <c r="AA2627" s="4"/>
      <c r="AB2627" s="380" t="str">
        <f>VLOOKUP($B2627,'D7 - NDB Impacted SPRF''s'!$E$16:$O$9929,4,FALSE)</f>
        <v>Cancelled</v>
      </c>
      <c r="AC2627" s="380" t="str">
        <f>VLOOKUP($B2627,'D7 - NDB Impacted SPRF''s'!$E$16:$O$9929,3,FALSE)</f>
        <v>Uniprise</v>
      </c>
      <c r="AD2627" s="380" t="str">
        <f>VLOOKUP($B2627,'D7 - NDB Impacted SPRF''s'!$E$16:$O$9929,5,FALSE)</f>
        <v>Uniprise Operations - DDC</v>
      </c>
      <c r="AE2627" s="380" t="str">
        <f>VLOOKUP($B2627,'D7 - NDB Impacted SPRF''s'!$E$16:$O$9929,7,FALSE)</f>
        <v>Susan Casey</v>
      </c>
      <c r="AF2627" s="380" t="str">
        <f>VLOOKUP($B2627,'D7 - NDB Impacted SPRF''s'!$E$16:$O$9929,6,FALSE)</f>
        <v>AMBER BARKER</v>
      </c>
      <c r="AG2627" s="282"/>
      <c r="AH2627" s="311" t="e">
        <f>INDEX('D5 - Gatekeeper - Projects'!$A$4:$AF$1010,$AM2627, 17)</f>
        <v>#N/A</v>
      </c>
      <c r="AI2627" s="8"/>
      <c r="AJ2627" s="57"/>
      <c r="AK2627" s="105"/>
      <c r="AM2627" s="6" t="e">
        <f>MATCH(D2627,'D5 - Gatekeeper - Projects'!$C$4:$C$1010,0)</f>
        <v>#N/A</v>
      </c>
      <c r="AN2627" s="6" t="b">
        <f t="shared" si="270"/>
        <v>1</v>
      </c>
      <c r="AO2627" s="6" t="str">
        <f t="shared" si="271"/>
        <v>OK</v>
      </c>
      <c r="AQ2627" s="6" t="e">
        <f>MATCH($D2627,'D4 - Provider Council Unsched'!$C$11:$C$234,0)</f>
        <v>#N/A</v>
      </c>
      <c r="AR2627" s="6" t="b">
        <f t="shared" si="272"/>
        <v>1</v>
      </c>
      <c r="AS2627" s="6" t="str">
        <f t="shared" si="269"/>
        <v>OK</v>
      </c>
      <c r="AU2627" s="202"/>
      <c r="AV2627" s="262"/>
      <c r="AW2627" s="274"/>
    </row>
    <row r="2628" spans="1:49" s="13" customFormat="1" ht="22.5" x14ac:dyDescent="0.2">
      <c r="A2628" s="14">
        <v>2604</v>
      </c>
      <c r="B2628" s="14">
        <v>400012869</v>
      </c>
      <c r="C2628" s="8" t="s">
        <v>5197</v>
      </c>
      <c r="D2628" s="4" t="str">
        <f t="shared" si="273"/>
        <v>400012869R1</v>
      </c>
      <c r="E2628" s="309" t="str">
        <f>VLOOKUP($B2628,'D7 - NDB Impacted SPRF''s'!$E$6:$O$9929,2,FALSE)</f>
        <v>Discontinue file transmissions to DataMark</v>
      </c>
      <c r="F2628" s="8" t="s">
        <v>2114</v>
      </c>
      <c r="G2628" s="8" t="s">
        <v>4758</v>
      </c>
      <c r="H2628" s="8" t="s">
        <v>2870</v>
      </c>
      <c r="I2628" s="20"/>
      <c r="J2628" s="8"/>
      <c r="K2628" s="182"/>
      <c r="L2628" s="8" t="s">
        <v>4156</v>
      </c>
      <c r="M2628" s="8" t="s">
        <v>2814</v>
      </c>
      <c r="N2628" s="367" t="s">
        <v>4798</v>
      </c>
      <c r="O2628" s="8"/>
      <c r="P2628" s="4" t="str">
        <f>VLOOKUP($B2628,'D7 - NDB Impacted SPRF''s'!$E$16:$O$9929,9,FALSE)</f>
        <v>N</v>
      </c>
      <c r="Q2628" s="4" t="str">
        <f>VLOOKUP($B2628,'D7 - NDB Impacted SPRF''s'!$E$16:$O$9929,10,FALSE)</f>
        <v>N</v>
      </c>
      <c r="R2628" s="4" t="str">
        <f>VLOOKUP($B2628,'D7 - NDB Impacted SPRF''s'!$E$16:$O$9929,11,FALSE)</f>
        <v>N</v>
      </c>
      <c r="S2628" s="8"/>
      <c r="T2628" s="310"/>
      <c r="U2628" s="310"/>
      <c r="V2628" s="4"/>
      <c r="W2628" s="4"/>
      <c r="X2628" s="4"/>
      <c r="Y2628" s="4"/>
      <c r="Z2628" s="4"/>
      <c r="AA2628" s="4"/>
      <c r="AB2628" s="380" t="str">
        <f>VLOOKUP($B2628,'D7 - NDB Impacted SPRF''s'!$E$16:$O$9929,4,FALSE)</f>
        <v>Cancelled</v>
      </c>
      <c r="AC2628" s="380" t="str">
        <f>VLOOKUP($B2628,'D7 - NDB Impacted SPRF''s'!$E$16:$O$9929,3,FALSE)</f>
        <v>Uniprise</v>
      </c>
      <c r="AD2628" s="380" t="str">
        <f>VLOOKUP($B2628,'D7 - NDB Impacted SPRF''s'!$E$16:$O$9929,5,FALSE)</f>
        <v>Uniprise Operations - DDC</v>
      </c>
      <c r="AE2628" s="380" t="str">
        <f>VLOOKUP($B2628,'D7 - NDB Impacted SPRF''s'!$E$16:$O$9929,7,FALSE)</f>
        <v>Kelly Vavra</v>
      </c>
      <c r="AF2628" s="380" t="str">
        <f>VLOOKUP($B2628,'D7 - NDB Impacted SPRF''s'!$E$16:$O$9929,6,FALSE)</f>
        <v>JOHNSON KIMBERLY</v>
      </c>
      <c r="AG2628" s="282"/>
      <c r="AH2628" s="311" t="e">
        <f>INDEX('D5 - Gatekeeper - Projects'!$A$4:$AF$1010,$AM2628, 17)</f>
        <v>#N/A</v>
      </c>
      <c r="AI2628" s="8"/>
      <c r="AJ2628" s="57"/>
      <c r="AK2628" s="105"/>
      <c r="AM2628" s="6" t="e">
        <f>MATCH(D2628,'D5 - Gatekeeper - Projects'!$C$4:$C$1010,0)</f>
        <v>#N/A</v>
      </c>
      <c r="AN2628" s="6" t="b">
        <f t="shared" si="270"/>
        <v>1</v>
      </c>
      <c r="AO2628" s="6" t="str">
        <f t="shared" si="271"/>
        <v>OK</v>
      </c>
      <c r="AQ2628" s="6" t="e">
        <f>MATCH($D2628,'D4 - Provider Council Unsched'!$C$11:$C$234,0)</f>
        <v>#N/A</v>
      </c>
      <c r="AR2628" s="6" t="b">
        <f t="shared" si="272"/>
        <v>1</v>
      </c>
      <c r="AS2628" s="6" t="str">
        <f t="shared" ref="AS2628:AS2691" si="274">IF(AND(H2628="2 - Not Scheduled",AR2628=TRUE),"Add","OK")</f>
        <v>OK</v>
      </c>
      <c r="AU2628" s="202"/>
      <c r="AV2628" s="262"/>
      <c r="AW2628" s="274"/>
    </row>
    <row r="2629" spans="1:49" s="13" customFormat="1" ht="33.75" x14ac:dyDescent="0.2">
      <c r="A2629" s="14">
        <v>2605</v>
      </c>
      <c r="B2629" s="14">
        <v>400012921</v>
      </c>
      <c r="C2629" s="8" t="s">
        <v>5197</v>
      </c>
      <c r="D2629" s="4" t="str">
        <f t="shared" si="273"/>
        <v>400012921R1</v>
      </c>
      <c r="E2629" s="309" t="str">
        <f>VLOOKUP($B2629,'D7 - NDB Impacted SPRF''s'!$E$6:$O$9929,2,FALSE)</f>
        <v>Claims Repricing Specialty selection via NDB /ppo1</v>
      </c>
      <c r="F2629" s="8" t="s">
        <v>4304</v>
      </c>
      <c r="G2629" s="8" t="s">
        <v>4758</v>
      </c>
      <c r="H2629" s="8" t="s">
        <v>2870</v>
      </c>
      <c r="I2629" s="20"/>
      <c r="J2629" s="8"/>
      <c r="K2629" s="182"/>
      <c r="L2629" s="8" t="s">
        <v>4156</v>
      </c>
      <c r="M2629" s="8" t="s">
        <v>2814</v>
      </c>
      <c r="N2629" s="367" t="s">
        <v>5190</v>
      </c>
      <c r="O2629" s="8"/>
      <c r="P2629" s="4" t="str">
        <f>VLOOKUP($B2629,'D7 - NDB Impacted SPRF''s'!$E$16:$O$9929,9,FALSE)</f>
        <v>N</v>
      </c>
      <c r="Q2629" s="4" t="str">
        <f>VLOOKUP($B2629,'D7 - NDB Impacted SPRF''s'!$E$16:$O$9929,10,FALSE)</f>
        <v>N</v>
      </c>
      <c r="R2629" s="4" t="str">
        <f>VLOOKUP($B2629,'D7 - NDB Impacted SPRF''s'!$E$16:$O$9929,11,FALSE)</f>
        <v>Y</v>
      </c>
      <c r="S2629" s="8"/>
      <c r="T2629" s="310"/>
      <c r="U2629" s="310"/>
      <c r="V2629" s="4"/>
      <c r="W2629" s="4"/>
      <c r="X2629" s="4"/>
      <c r="Y2629" s="4"/>
      <c r="Z2629" s="4"/>
      <c r="AA2629" s="4"/>
      <c r="AB2629" s="380" t="str">
        <f>VLOOKUP($B2629,'D7 - NDB Impacted SPRF''s'!$E$16:$O$9929,4,FALSE)</f>
        <v>Cancelled</v>
      </c>
      <c r="AC2629" s="380" t="str">
        <f>VLOOKUP($B2629,'D7 - NDB Impacted SPRF''s'!$E$16:$O$9929,3,FALSE)</f>
        <v>UnitedHealthcare Employer &amp; Individual</v>
      </c>
      <c r="AD2629" s="380" t="str">
        <f>VLOOKUP($B2629,'D7 - NDB Impacted SPRF''s'!$E$16:$O$9929,5,FALSE)</f>
        <v>Key Initiatives Group</v>
      </c>
      <c r="AE2629" s="380" t="str">
        <f>VLOOKUP($B2629,'D7 - NDB Impacted SPRF''s'!$E$16:$O$9929,7,FALSE)</f>
        <v>Patrick Kennedy</v>
      </c>
      <c r="AF2629" s="380" t="str">
        <f>VLOOKUP($B2629,'D7 - NDB Impacted SPRF''s'!$E$16:$O$9929,6,FALSE)</f>
        <v>SUSAN HINES</v>
      </c>
      <c r="AG2629" s="282"/>
      <c r="AH2629" s="311" t="e">
        <f>INDEX('D5 - Gatekeeper - Projects'!$A$4:$AF$1010,$AM2629, 17)</f>
        <v>#N/A</v>
      </c>
      <c r="AI2629" s="8"/>
      <c r="AJ2629" s="57"/>
      <c r="AK2629" s="105"/>
      <c r="AM2629" s="6" t="e">
        <f>MATCH(D2629,'D5 - Gatekeeper - Projects'!$C$4:$C$1010,0)</f>
        <v>#N/A</v>
      </c>
      <c r="AN2629" s="6" t="b">
        <f t="shared" si="270"/>
        <v>1</v>
      </c>
      <c r="AO2629" s="6" t="str">
        <f t="shared" si="271"/>
        <v>OK</v>
      </c>
      <c r="AQ2629" s="6" t="e">
        <f>MATCH($D2629,'D4 - Provider Council Unsched'!$C$11:$C$234,0)</f>
        <v>#N/A</v>
      </c>
      <c r="AR2629" s="6" t="b">
        <f t="shared" si="272"/>
        <v>1</v>
      </c>
      <c r="AS2629" s="6" t="str">
        <f t="shared" si="274"/>
        <v>OK</v>
      </c>
      <c r="AU2629" s="202"/>
      <c r="AV2629" s="262"/>
      <c r="AW2629" s="274"/>
    </row>
    <row r="2630" spans="1:49" s="13" customFormat="1" ht="45" x14ac:dyDescent="0.2">
      <c r="A2630" s="14">
        <v>2606</v>
      </c>
      <c r="B2630" s="14">
        <v>400012980</v>
      </c>
      <c r="C2630" s="8" t="s">
        <v>5197</v>
      </c>
      <c r="D2630" s="4" t="str">
        <f t="shared" si="273"/>
        <v>400012980R1</v>
      </c>
      <c r="E2630" s="309" t="str">
        <f>VLOOKUP($B2630,'D7 - NDB Impacted SPRF''s'!$E$6:$O$9929,2,FALSE)</f>
        <v>Add Provider Medicaid ID to NDB to OAP data feed</v>
      </c>
      <c r="F2630" s="8" t="s">
        <v>3235</v>
      </c>
      <c r="G2630" s="8" t="s">
        <v>4758</v>
      </c>
      <c r="H2630" s="8" t="s">
        <v>2870</v>
      </c>
      <c r="I2630" s="20">
        <v>1.41</v>
      </c>
      <c r="J2630" s="8" t="s">
        <v>4862</v>
      </c>
      <c r="K2630" s="182"/>
      <c r="L2630" s="8" t="s">
        <v>4156</v>
      </c>
      <c r="M2630" s="8" t="s">
        <v>2814</v>
      </c>
      <c r="N2630" s="367" t="s">
        <v>6707</v>
      </c>
      <c r="O2630" s="8"/>
      <c r="P2630" s="4" t="str">
        <f>VLOOKUP($B2630,'D7 - NDB Impacted SPRF''s'!$E$16:$O$9929,9,FALSE)</f>
        <v>N</v>
      </c>
      <c r="Q2630" s="4" t="str">
        <f>VLOOKUP($B2630,'D7 - NDB Impacted SPRF''s'!$E$16:$O$9929,10,FALSE)</f>
        <v>N</v>
      </c>
      <c r="R2630" s="4" t="str">
        <f>VLOOKUP($B2630,'D7 - NDB Impacted SPRF''s'!$E$16:$O$9929,11,FALSE)</f>
        <v>N</v>
      </c>
      <c r="S2630" s="8"/>
      <c r="T2630" s="310"/>
      <c r="U2630" s="310"/>
      <c r="V2630" s="4"/>
      <c r="W2630" s="4"/>
      <c r="X2630" s="4"/>
      <c r="Y2630" s="4"/>
      <c r="Z2630" s="4"/>
      <c r="AA2630" s="4"/>
      <c r="AB2630" s="380" t="str">
        <f>VLOOKUP($B2630,'D7 - NDB Impacted SPRF''s'!$E$16:$O$9929,4,FALSE)</f>
        <v>Cancelled</v>
      </c>
      <c r="AC2630" s="380" t="str">
        <f>VLOOKUP($B2630,'D7 - NDB Impacted SPRF''s'!$E$16:$O$9929,3,FALSE)</f>
        <v>UnitedHealthcare Medicare &amp; Retirement</v>
      </c>
      <c r="AD2630" s="380" t="str">
        <f>VLOOKUP($B2630,'D7 - NDB Impacted SPRF''s'!$E$16:$O$9929,5,FALSE)</f>
        <v>Ovations</v>
      </c>
      <c r="AE2630" s="380" t="str">
        <f>VLOOKUP($B2630,'D7 - NDB Impacted SPRF''s'!$E$16:$O$9929,7,FALSE)</f>
        <v>Ashok Sudarshan</v>
      </c>
      <c r="AF2630" s="380" t="str">
        <f>VLOOKUP($B2630,'D7 - NDB Impacted SPRF''s'!$E$16:$O$9929,6,FALSE)</f>
        <v>GERALD GORODISCH</v>
      </c>
      <c r="AG2630" s="282"/>
      <c r="AH2630" s="311" t="e">
        <f>INDEX('D5 - Gatekeeper - Projects'!$A$4:$AF$1010,$AM2630, 17)</f>
        <v>#N/A</v>
      </c>
      <c r="AI2630" s="8"/>
      <c r="AJ2630" s="57"/>
      <c r="AK2630" s="105"/>
      <c r="AM2630" s="6" t="e">
        <f>MATCH(D2630,'D5 - Gatekeeper - Projects'!$C$4:$C$1010,0)</f>
        <v>#N/A</v>
      </c>
      <c r="AN2630" s="6" t="b">
        <f t="shared" si="270"/>
        <v>1</v>
      </c>
      <c r="AO2630" s="6" t="str">
        <f t="shared" si="271"/>
        <v>OK</v>
      </c>
      <c r="AQ2630" s="6" t="e">
        <f>MATCH($D2630,'D4 - Provider Council Unsched'!$C$11:$C$234,0)</f>
        <v>#N/A</v>
      </c>
      <c r="AR2630" s="6" t="b">
        <f t="shared" si="272"/>
        <v>1</v>
      </c>
      <c r="AS2630" s="6" t="str">
        <f t="shared" si="274"/>
        <v>OK</v>
      </c>
      <c r="AU2630" s="202"/>
      <c r="AV2630" s="262"/>
      <c r="AW2630" s="274"/>
    </row>
    <row r="2631" spans="1:49" s="13" customFormat="1" ht="33.75" x14ac:dyDescent="0.2">
      <c r="A2631" s="14">
        <v>2607</v>
      </c>
      <c r="B2631" s="14">
        <v>400012986</v>
      </c>
      <c r="C2631" s="8" t="s">
        <v>5197</v>
      </c>
      <c r="D2631" s="4" t="str">
        <f t="shared" si="273"/>
        <v>400012986R1</v>
      </c>
      <c r="E2631" s="309" t="str">
        <f>VLOOKUP($B2631,'D7 - NDB Impacted SPRF''s'!$E$6:$O$9929,2,FALSE)</f>
        <v>OpX253 NDB F12 Screen Enhancements</v>
      </c>
      <c r="F2631" s="8" t="s">
        <v>2114</v>
      </c>
      <c r="G2631" s="8" t="s">
        <v>4758</v>
      </c>
      <c r="H2631" s="8" t="s">
        <v>2870</v>
      </c>
      <c r="I2631" s="20"/>
      <c r="J2631" s="8"/>
      <c r="K2631" s="182"/>
      <c r="L2631" s="8" t="s">
        <v>4156</v>
      </c>
      <c r="M2631" s="8" t="s">
        <v>2814</v>
      </c>
      <c r="N2631" s="367" t="s">
        <v>2507</v>
      </c>
      <c r="O2631" s="8"/>
      <c r="P2631" s="4" t="str">
        <f>VLOOKUP($B2631,'D7 - NDB Impacted SPRF''s'!$E$16:$O$9929,9,FALSE)</f>
        <v>N</v>
      </c>
      <c r="Q2631" s="4" t="str">
        <f>VLOOKUP($B2631,'D7 - NDB Impacted SPRF''s'!$E$16:$O$9929,10,FALSE)</f>
        <v>N</v>
      </c>
      <c r="R2631" s="4" t="str">
        <f>VLOOKUP($B2631,'D7 - NDB Impacted SPRF''s'!$E$16:$O$9929,11,FALSE)</f>
        <v>N</v>
      </c>
      <c r="S2631" s="8"/>
      <c r="T2631" s="310"/>
      <c r="U2631" s="310"/>
      <c r="V2631" s="4"/>
      <c r="W2631" s="4"/>
      <c r="X2631" s="4"/>
      <c r="Y2631" s="4"/>
      <c r="Z2631" s="4"/>
      <c r="AA2631" s="4"/>
      <c r="AB2631" s="380" t="str">
        <f>VLOOKUP($B2631,'D7 - NDB Impacted SPRF''s'!$E$16:$O$9929,4,FALSE)</f>
        <v>Cancelled</v>
      </c>
      <c r="AC2631" s="380" t="str">
        <f>VLOOKUP($B2631,'D7 - NDB Impacted SPRF''s'!$E$16:$O$9929,3,FALSE)</f>
        <v>UnitedHealthcare Employer &amp; Individual</v>
      </c>
      <c r="AD2631" s="380" t="str">
        <f>VLOOKUP($B2631,'D7 - NDB Impacted SPRF''s'!$E$16:$O$9929,5,FALSE)</f>
        <v>Process Improvement</v>
      </c>
      <c r="AE2631" s="380" t="str">
        <f>VLOOKUP($B2631,'D7 - NDB Impacted SPRF''s'!$E$16:$O$9929,7,FALSE)</f>
        <v>William Connolly/Susan Gamache</v>
      </c>
      <c r="AF2631" s="380" t="str">
        <f>VLOOKUP($B2631,'D7 - NDB Impacted SPRF''s'!$E$16:$O$9929,6,FALSE)</f>
        <v>JOHN HIEBERT</v>
      </c>
      <c r="AG2631" s="282"/>
      <c r="AH2631" s="311" t="e">
        <f>INDEX('D5 - Gatekeeper - Projects'!$A$4:$AF$1010,$AM2631, 17)</f>
        <v>#N/A</v>
      </c>
      <c r="AI2631" s="8"/>
      <c r="AJ2631" s="57"/>
      <c r="AK2631" s="105"/>
      <c r="AM2631" s="6" t="e">
        <f>MATCH(D2631,'D5 - Gatekeeper - Projects'!$C$4:$C$1010,0)</f>
        <v>#N/A</v>
      </c>
      <c r="AN2631" s="6" t="b">
        <f t="shared" si="270"/>
        <v>1</v>
      </c>
      <c r="AO2631" s="6" t="str">
        <f t="shared" si="271"/>
        <v>OK</v>
      </c>
      <c r="AQ2631" s="6" t="e">
        <f>MATCH($D2631,'D4 - Provider Council Unsched'!$C$11:$C$234,0)</f>
        <v>#N/A</v>
      </c>
      <c r="AR2631" s="6" t="b">
        <f t="shared" si="272"/>
        <v>1</v>
      </c>
      <c r="AS2631" s="6" t="str">
        <f t="shared" si="274"/>
        <v>OK</v>
      </c>
      <c r="AU2631" s="202"/>
      <c r="AV2631" s="262"/>
      <c r="AW2631" s="274"/>
    </row>
    <row r="2632" spans="1:49" s="13" customFormat="1" ht="33.75" x14ac:dyDescent="0.2">
      <c r="A2632" s="14">
        <v>2608</v>
      </c>
      <c r="B2632" s="14">
        <v>400012999</v>
      </c>
      <c r="C2632" s="8" t="s">
        <v>5197</v>
      </c>
      <c r="D2632" s="4" t="str">
        <f t="shared" si="273"/>
        <v>400012999R1</v>
      </c>
      <c r="E2632" s="309" t="str">
        <f>VLOOKUP($B2632,'D7 - NDB Impacted SPRF''s'!$E$6:$O$9929,2,FALSE)</f>
        <v>Enterprise Capitation - Ovations Platform Integrat</v>
      </c>
      <c r="F2632" s="8" t="s">
        <v>7593</v>
      </c>
      <c r="G2632" s="8" t="s">
        <v>4758</v>
      </c>
      <c r="H2632" s="8" t="s">
        <v>2870</v>
      </c>
      <c r="I2632" s="20">
        <v>4</v>
      </c>
      <c r="J2632" s="8" t="s">
        <v>4862</v>
      </c>
      <c r="K2632" s="182"/>
      <c r="L2632" s="8" t="s">
        <v>4156</v>
      </c>
      <c r="M2632" s="8" t="s">
        <v>2814</v>
      </c>
      <c r="N2632" s="367" t="s">
        <v>3345</v>
      </c>
      <c r="O2632" s="8"/>
      <c r="P2632" s="4" t="str">
        <f>VLOOKUP($B2632,'D7 - NDB Impacted SPRF''s'!$E$16:$O$9929,9,FALSE)</f>
        <v>N</v>
      </c>
      <c r="Q2632" s="4" t="str">
        <f>VLOOKUP($B2632,'D7 - NDB Impacted SPRF''s'!$E$16:$O$9929,10,FALSE)</f>
        <v>N</v>
      </c>
      <c r="R2632" s="4" t="str">
        <f>VLOOKUP($B2632,'D7 - NDB Impacted SPRF''s'!$E$16:$O$9929,11,FALSE)</f>
        <v>N</v>
      </c>
      <c r="S2632" s="8"/>
      <c r="T2632" s="310"/>
      <c r="U2632" s="310"/>
      <c r="V2632" s="4"/>
      <c r="W2632" s="4"/>
      <c r="X2632" s="4"/>
      <c r="Y2632" s="4"/>
      <c r="Z2632" s="4"/>
      <c r="AA2632" s="4"/>
      <c r="AB2632" s="380" t="str">
        <f>VLOOKUP($B2632,'D7 - NDB Impacted SPRF''s'!$E$16:$O$9929,4,FALSE)</f>
        <v>Cancelled</v>
      </c>
      <c r="AC2632" s="380" t="str">
        <f>VLOOKUP($B2632,'D7 - NDB Impacted SPRF''s'!$E$16:$O$9929,3,FALSE)</f>
        <v>UnitedHealthcare Medicare &amp; Retirement</v>
      </c>
      <c r="AD2632" s="380" t="str">
        <f>VLOOKUP($B2632,'D7 - NDB Impacted SPRF''s'!$E$16:$O$9929,5,FALSE)</f>
        <v>Ovations</v>
      </c>
      <c r="AE2632" s="380" t="str">
        <f>VLOOKUP($B2632,'D7 - NDB Impacted SPRF''s'!$E$16:$O$9929,7,FALSE)</f>
        <v>Todd Murr</v>
      </c>
      <c r="AF2632" s="380" t="str">
        <f>VLOOKUP($B2632,'D7 - NDB Impacted SPRF''s'!$E$16:$O$9929,6,FALSE)</f>
        <v>Janet Wright</v>
      </c>
      <c r="AG2632" s="282"/>
      <c r="AH2632" s="311" t="e">
        <f>INDEX('D5 - Gatekeeper - Projects'!$A$4:$AF$1010,$AM2632, 17)</f>
        <v>#N/A</v>
      </c>
      <c r="AI2632" s="8"/>
      <c r="AJ2632" s="57"/>
      <c r="AK2632" s="105"/>
      <c r="AM2632" s="6" t="e">
        <f>MATCH(D2632,'D5 - Gatekeeper - Projects'!$C$4:$C$1010,0)</f>
        <v>#N/A</v>
      </c>
      <c r="AN2632" s="6" t="b">
        <f t="shared" si="270"/>
        <v>1</v>
      </c>
      <c r="AO2632" s="6" t="str">
        <f t="shared" si="271"/>
        <v>OK</v>
      </c>
      <c r="AQ2632" s="6" t="e">
        <f>MATCH($D2632,'D4 - Provider Council Unsched'!$C$11:$C$234,0)</f>
        <v>#N/A</v>
      </c>
      <c r="AR2632" s="6" t="b">
        <f t="shared" si="272"/>
        <v>1</v>
      </c>
      <c r="AS2632" s="6" t="str">
        <f t="shared" si="274"/>
        <v>OK</v>
      </c>
      <c r="AU2632" s="202"/>
      <c r="AV2632" s="262"/>
      <c r="AW2632" s="274"/>
    </row>
    <row r="2633" spans="1:49" s="13" customFormat="1" ht="33.75" x14ac:dyDescent="0.2">
      <c r="A2633" s="14">
        <v>2609</v>
      </c>
      <c r="B2633" s="14">
        <v>400013040</v>
      </c>
      <c r="C2633" s="8" t="s">
        <v>6725</v>
      </c>
      <c r="D2633" s="4" t="str">
        <f t="shared" si="273"/>
        <v>400013040CC01</v>
      </c>
      <c r="E2633" s="309" t="str">
        <f>VLOOKUP($B2633,'D7 - NDB Impacted SPRF''s'!$E$6:$O$9929,2,FALSE)</f>
        <v>HCA-Arch-Provider Portal II Placeholder</v>
      </c>
      <c r="F2633" s="8" t="s">
        <v>5196</v>
      </c>
      <c r="G2633" s="8" t="s">
        <v>4758</v>
      </c>
      <c r="H2633" s="8" t="s">
        <v>2870</v>
      </c>
      <c r="I2633" s="20"/>
      <c r="J2633" s="8"/>
      <c r="K2633" s="182"/>
      <c r="L2633" s="8" t="s">
        <v>4156</v>
      </c>
      <c r="M2633" s="8" t="s">
        <v>2814</v>
      </c>
      <c r="N2633" s="367" t="s">
        <v>4656</v>
      </c>
      <c r="O2633" s="8"/>
      <c r="P2633" s="4" t="str">
        <f>VLOOKUP($B2633,'D7 - NDB Impacted SPRF''s'!$E$16:$O$9929,9,FALSE)</f>
        <v>N</v>
      </c>
      <c r="Q2633" s="4" t="str">
        <f>VLOOKUP($B2633,'D7 - NDB Impacted SPRF''s'!$E$16:$O$9929,10,FALSE)</f>
        <v>N</v>
      </c>
      <c r="R2633" s="4" t="str">
        <f>VLOOKUP($B2633,'D7 - NDB Impacted SPRF''s'!$E$16:$O$9929,11,FALSE)</f>
        <v>N</v>
      </c>
      <c r="S2633" s="8"/>
      <c r="T2633" s="310"/>
      <c r="U2633" s="310"/>
      <c r="V2633" s="4"/>
      <c r="W2633" s="4"/>
      <c r="X2633" s="4"/>
      <c r="Y2633" s="4"/>
      <c r="Z2633" s="4"/>
      <c r="AA2633" s="4"/>
      <c r="AB2633" s="380" t="str">
        <f>VLOOKUP($B2633,'D7 - NDB Impacted SPRF''s'!$E$16:$O$9929,4,FALSE)</f>
        <v>Completed</v>
      </c>
      <c r="AC2633" s="380" t="str">
        <f>VLOOKUP($B2633,'D7 - NDB Impacted SPRF''s'!$E$16:$O$9929,3,FALSE)</f>
        <v>Alliance</v>
      </c>
      <c r="AD2633" s="380" t="str">
        <f>VLOOKUP($B2633,'D7 - NDB Impacted SPRF''s'!$E$16:$O$9929,5,FALSE)</f>
        <v>Harvard Pilgrim Service Alliance</v>
      </c>
      <c r="AE2633" s="380" t="str">
        <f>VLOOKUP($B2633,'D7 - NDB Impacted SPRF''s'!$E$16:$O$9929,7,FALSE)</f>
        <v>Joseph Chalastra</v>
      </c>
      <c r="AF2633" s="380" t="str">
        <f>VLOOKUP($B2633,'D7 - NDB Impacted SPRF''s'!$E$16:$O$9929,6,FALSE)</f>
        <v>AMELIA HINRICHS</v>
      </c>
      <c r="AG2633" s="282"/>
      <c r="AH2633" s="311" t="e">
        <f>INDEX('D5 - Gatekeeper - Projects'!$A$4:$AF$1010,$AM2633, 17)</f>
        <v>#N/A</v>
      </c>
      <c r="AI2633" s="8"/>
      <c r="AJ2633" s="57"/>
      <c r="AK2633" s="105"/>
      <c r="AM2633" s="6" t="e">
        <f>MATCH(D2633,'D5 - Gatekeeper - Projects'!$C$4:$C$1010,0)</f>
        <v>#N/A</v>
      </c>
      <c r="AN2633" s="6" t="b">
        <f t="shared" si="270"/>
        <v>1</v>
      </c>
      <c r="AO2633" s="6" t="str">
        <f t="shared" si="271"/>
        <v>OK</v>
      </c>
      <c r="AQ2633" s="6" t="e">
        <f>MATCH($D2633,'D4 - Provider Council Unsched'!$C$11:$C$234,0)</f>
        <v>#N/A</v>
      </c>
      <c r="AR2633" s="6" t="b">
        <f t="shared" si="272"/>
        <v>1</v>
      </c>
      <c r="AS2633" s="6" t="str">
        <f t="shared" si="274"/>
        <v>OK</v>
      </c>
      <c r="AU2633" s="202"/>
      <c r="AV2633" s="262"/>
      <c r="AW2633" s="274"/>
    </row>
    <row r="2634" spans="1:49" s="13" customFormat="1" ht="22.5" x14ac:dyDescent="0.2">
      <c r="A2634" s="14">
        <v>2610</v>
      </c>
      <c r="B2634" s="14">
        <v>400013061</v>
      </c>
      <c r="C2634" s="8" t="s">
        <v>5197</v>
      </c>
      <c r="D2634" s="4" t="str">
        <f t="shared" si="273"/>
        <v>400013061R1</v>
      </c>
      <c r="E2634" s="309" t="str">
        <f>VLOOKUP($B2634,'D7 - NDB Impacted SPRF''s'!$E$6:$O$9929,2,FALSE)</f>
        <v>Medica Pay to Enrollee Logic</v>
      </c>
      <c r="F2634" s="8" t="s">
        <v>5196</v>
      </c>
      <c r="G2634" s="8" t="s">
        <v>4758</v>
      </c>
      <c r="H2634" s="8" t="s">
        <v>2870</v>
      </c>
      <c r="I2634" s="20"/>
      <c r="J2634" s="8"/>
      <c r="K2634" s="182"/>
      <c r="L2634" s="8" t="s">
        <v>4156</v>
      </c>
      <c r="M2634" s="8" t="s">
        <v>2814</v>
      </c>
      <c r="N2634" s="367" t="s">
        <v>4921</v>
      </c>
      <c r="O2634" s="8"/>
      <c r="P2634" s="4" t="str">
        <f>VLOOKUP($B2634,'D7 - NDB Impacted SPRF''s'!$E$16:$O$9929,9,FALSE)</f>
        <v>Y</v>
      </c>
      <c r="Q2634" s="4" t="str">
        <f>VLOOKUP($B2634,'D7 - NDB Impacted SPRF''s'!$E$16:$O$9929,10,FALSE)</f>
        <v>N</v>
      </c>
      <c r="R2634" s="4" t="str">
        <f>VLOOKUP($B2634,'D7 - NDB Impacted SPRF''s'!$E$16:$O$9929,11,FALSE)</f>
        <v>N</v>
      </c>
      <c r="S2634" s="8"/>
      <c r="T2634" s="310"/>
      <c r="U2634" s="310"/>
      <c r="V2634" s="4"/>
      <c r="W2634" s="4"/>
      <c r="X2634" s="4"/>
      <c r="Y2634" s="4"/>
      <c r="Z2634" s="4"/>
      <c r="AA2634" s="4"/>
      <c r="AB2634" s="380" t="str">
        <f>VLOOKUP($B2634,'D7 - NDB Impacted SPRF''s'!$E$16:$O$9929,4,FALSE)</f>
        <v>Cancelled</v>
      </c>
      <c r="AC2634" s="380" t="str">
        <f>VLOOKUP($B2634,'D7 - NDB Impacted SPRF''s'!$E$16:$O$9929,3,FALSE)</f>
        <v>Alliance</v>
      </c>
      <c r="AD2634" s="380" t="str">
        <f>VLOOKUP($B2634,'D7 - NDB Impacted SPRF''s'!$E$16:$O$9929,5,FALSE)</f>
        <v>Medica UNET Conversion</v>
      </c>
      <c r="AE2634" s="380" t="str">
        <f>VLOOKUP($B2634,'D7 - NDB Impacted SPRF''s'!$E$16:$O$9929,7,FALSE)</f>
        <v>Diane Schofield</v>
      </c>
      <c r="AF2634" s="380" t="str">
        <f>VLOOKUP($B2634,'D7 - NDB Impacted SPRF''s'!$E$16:$O$9929,6,FALSE)</f>
        <v>HOLMAN JACQUELYNE</v>
      </c>
      <c r="AG2634" s="282"/>
      <c r="AH2634" s="311" t="e">
        <f>INDEX('D5 - Gatekeeper - Projects'!$A$4:$AF$1010,$AM2634, 17)</f>
        <v>#N/A</v>
      </c>
      <c r="AI2634" s="8"/>
      <c r="AJ2634" s="57"/>
      <c r="AK2634" s="105"/>
      <c r="AM2634" s="6" t="e">
        <f>MATCH(D2634,'D5 - Gatekeeper - Projects'!$C$4:$C$1010,0)</f>
        <v>#N/A</v>
      </c>
      <c r="AN2634" s="6" t="b">
        <f t="shared" ref="AN2634:AN2697" si="275">ISERROR(AM2634)</f>
        <v>1</v>
      </c>
      <c r="AO2634" s="6" t="str">
        <f t="shared" ref="AO2634:AO2697" si="276">IF(AND(H2634="1 - Scheduled",AN2634=TRUE),"Add","OK")</f>
        <v>OK</v>
      </c>
      <c r="AQ2634" s="6" t="e">
        <f>MATCH($D2634,'D4 - Provider Council Unsched'!$C$11:$C$234,0)</f>
        <v>#N/A</v>
      </c>
      <c r="AR2634" s="6" t="b">
        <f t="shared" ref="AR2634:AR2697" si="277">ISERROR(AQ2634)</f>
        <v>1</v>
      </c>
      <c r="AS2634" s="6" t="str">
        <f t="shared" si="274"/>
        <v>OK</v>
      </c>
      <c r="AU2634" s="202"/>
      <c r="AV2634" s="262"/>
      <c r="AW2634" s="274"/>
    </row>
    <row r="2635" spans="1:49" s="13" customFormat="1" x14ac:dyDescent="0.2">
      <c r="A2635" s="14">
        <v>2611</v>
      </c>
      <c r="B2635" s="14">
        <v>400013092</v>
      </c>
      <c r="C2635" s="8" t="s">
        <v>5197</v>
      </c>
      <c r="D2635" s="4" t="str">
        <f t="shared" si="273"/>
        <v>400013092R1</v>
      </c>
      <c r="E2635" s="309" t="e">
        <f>VLOOKUP($B2635,'D7 - NDB Impacted SPRF''s'!$E$6:$O$9929,2,FALSE)</f>
        <v>#N/A</v>
      </c>
      <c r="F2635" s="8" t="s">
        <v>6071</v>
      </c>
      <c r="G2635" s="8" t="s">
        <v>4758</v>
      </c>
      <c r="H2635" s="8" t="s">
        <v>2870</v>
      </c>
      <c r="I2635" s="20"/>
      <c r="J2635" s="8"/>
      <c r="K2635" s="182"/>
      <c r="L2635" s="8" t="s">
        <v>4156</v>
      </c>
      <c r="M2635" s="8" t="s">
        <v>2814</v>
      </c>
      <c r="N2635" s="367" t="s">
        <v>6345</v>
      </c>
      <c r="O2635" s="8"/>
      <c r="P2635" s="4" t="e">
        <f>VLOOKUP($B2635,'D7 - NDB Impacted SPRF''s'!$E$16:$O$9929,9,FALSE)</f>
        <v>#N/A</v>
      </c>
      <c r="Q2635" s="4" t="e">
        <f>VLOOKUP($B2635,'D7 - NDB Impacted SPRF''s'!$E$16:$O$9929,10,FALSE)</f>
        <v>#N/A</v>
      </c>
      <c r="R2635" s="4" t="e">
        <f>VLOOKUP($B2635,'D7 - NDB Impacted SPRF''s'!$E$16:$O$9929,11,FALSE)</f>
        <v>#N/A</v>
      </c>
      <c r="S2635" s="8"/>
      <c r="T2635" s="310"/>
      <c r="U2635" s="310"/>
      <c r="V2635" s="4"/>
      <c r="W2635" s="4"/>
      <c r="X2635" s="4"/>
      <c r="Y2635" s="4"/>
      <c r="Z2635" s="4"/>
      <c r="AA2635" s="4"/>
      <c r="AB2635" s="380" t="e">
        <f>VLOOKUP($B2635,'D7 - NDB Impacted SPRF''s'!$E$16:$O$9929,4,FALSE)</f>
        <v>#N/A</v>
      </c>
      <c r="AC2635" s="380" t="e">
        <f>VLOOKUP($B2635,'D7 - NDB Impacted SPRF''s'!$E$16:$O$9929,3,FALSE)</f>
        <v>#N/A</v>
      </c>
      <c r="AD2635" s="380" t="e">
        <f>VLOOKUP($B2635,'D7 - NDB Impacted SPRF''s'!$E$16:$O$9929,5,FALSE)</f>
        <v>#N/A</v>
      </c>
      <c r="AE2635" s="380" t="e">
        <f>VLOOKUP($B2635,'D7 - NDB Impacted SPRF''s'!$E$16:$O$9929,7,FALSE)</f>
        <v>#N/A</v>
      </c>
      <c r="AF2635" s="380" t="e">
        <f>VLOOKUP($B2635,'D7 - NDB Impacted SPRF''s'!$E$16:$O$9929,6,FALSE)</f>
        <v>#N/A</v>
      </c>
      <c r="AG2635" s="282"/>
      <c r="AH2635" s="311" t="e">
        <f>INDEX('D5 - Gatekeeper - Projects'!$A$4:$AF$1010,$AM2635, 17)</f>
        <v>#N/A</v>
      </c>
      <c r="AI2635" s="8"/>
      <c r="AJ2635" s="57"/>
      <c r="AK2635" s="105"/>
      <c r="AM2635" s="6" t="e">
        <f>MATCH(D2635,'D5 - Gatekeeper - Projects'!$C$4:$C$1010,0)</f>
        <v>#N/A</v>
      </c>
      <c r="AN2635" s="6" t="b">
        <f t="shared" si="275"/>
        <v>1</v>
      </c>
      <c r="AO2635" s="6" t="str">
        <f t="shared" si="276"/>
        <v>OK</v>
      </c>
      <c r="AQ2635" s="6" t="e">
        <f>MATCH($D2635,'D4 - Provider Council Unsched'!$C$11:$C$234,0)</f>
        <v>#N/A</v>
      </c>
      <c r="AR2635" s="6" t="b">
        <f t="shared" si="277"/>
        <v>1</v>
      </c>
      <c r="AS2635" s="6" t="str">
        <f t="shared" si="274"/>
        <v>OK</v>
      </c>
      <c r="AU2635" s="202"/>
      <c r="AV2635" s="262"/>
      <c r="AW2635" s="274"/>
    </row>
    <row r="2636" spans="1:49" s="13" customFormat="1" x14ac:dyDescent="0.2">
      <c r="A2636" s="14">
        <v>2612</v>
      </c>
      <c r="B2636" s="14">
        <v>400013093</v>
      </c>
      <c r="C2636" s="8" t="s">
        <v>5197</v>
      </c>
      <c r="D2636" s="4" t="str">
        <f t="shared" si="273"/>
        <v>400013093R1</v>
      </c>
      <c r="E2636" s="309" t="e">
        <f>VLOOKUP($B2636,'D7 - NDB Impacted SPRF''s'!$E$6:$O$9929,2,FALSE)</f>
        <v>#N/A</v>
      </c>
      <c r="F2636" s="8" t="s">
        <v>6071</v>
      </c>
      <c r="G2636" s="8" t="s">
        <v>4758</v>
      </c>
      <c r="H2636" s="8" t="s">
        <v>2870</v>
      </c>
      <c r="I2636" s="20"/>
      <c r="J2636" s="8"/>
      <c r="K2636" s="182"/>
      <c r="L2636" s="8" t="s">
        <v>4156</v>
      </c>
      <c r="M2636" s="8" t="s">
        <v>2814</v>
      </c>
      <c r="N2636" s="367" t="s">
        <v>6345</v>
      </c>
      <c r="O2636" s="8"/>
      <c r="P2636" s="4" t="e">
        <f>VLOOKUP($B2636,'D7 - NDB Impacted SPRF''s'!$E$16:$O$9929,9,FALSE)</f>
        <v>#N/A</v>
      </c>
      <c r="Q2636" s="4" t="e">
        <f>VLOOKUP($B2636,'D7 - NDB Impacted SPRF''s'!$E$16:$O$9929,10,FALSE)</f>
        <v>#N/A</v>
      </c>
      <c r="R2636" s="4" t="e">
        <f>VLOOKUP($B2636,'D7 - NDB Impacted SPRF''s'!$E$16:$O$9929,11,FALSE)</f>
        <v>#N/A</v>
      </c>
      <c r="S2636" s="8"/>
      <c r="T2636" s="310"/>
      <c r="U2636" s="310"/>
      <c r="V2636" s="4"/>
      <c r="W2636" s="4"/>
      <c r="X2636" s="4"/>
      <c r="Y2636" s="4"/>
      <c r="Z2636" s="4"/>
      <c r="AA2636" s="4"/>
      <c r="AB2636" s="380" t="e">
        <f>VLOOKUP($B2636,'D7 - NDB Impacted SPRF''s'!$E$16:$O$9929,4,FALSE)</f>
        <v>#N/A</v>
      </c>
      <c r="AC2636" s="380" t="e">
        <f>VLOOKUP($B2636,'D7 - NDB Impacted SPRF''s'!$E$16:$O$9929,3,FALSE)</f>
        <v>#N/A</v>
      </c>
      <c r="AD2636" s="380" t="e">
        <f>VLOOKUP($B2636,'D7 - NDB Impacted SPRF''s'!$E$16:$O$9929,5,FALSE)</f>
        <v>#N/A</v>
      </c>
      <c r="AE2636" s="380" t="e">
        <f>VLOOKUP($B2636,'D7 - NDB Impacted SPRF''s'!$E$16:$O$9929,7,FALSE)</f>
        <v>#N/A</v>
      </c>
      <c r="AF2636" s="380" t="e">
        <f>VLOOKUP($B2636,'D7 - NDB Impacted SPRF''s'!$E$16:$O$9929,6,FALSE)</f>
        <v>#N/A</v>
      </c>
      <c r="AG2636" s="282"/>
      <c r="AH2636" s="311" t="e">
        <f>INDEX('D5 - Gatekeeper - Projects'!$A$4:$AF$1010,$AM2636, 17)</f>
        <v>#N/A</v>
      </c>
      <c r="AI2636" s="8"/>
      <c r="AJ2636" s="57"/>
      <c r="AK2636" s="105"/>
      <c r="AM2636" s="6" t="e">
        <f>MATCH(D2636,'D5 - Gatekeeper - Projects'!$C$4:$C$1010,0)</f>
        <v>#N/A</v>
      </c>
      <c r="AN2636" s="6" t="b">
        <f t="shared" si="275"/>
        <v>1</v>
      </c>
      <c r="AO2636" s="6" t="str">
        <f t="shared" si="276"/>
        <v>OK</v>
      </c>
      <c r="AQ2636" s="6" t="e">
        <f>MATCH($D2636,'D4 - Provider Council Unsched'!$C$11:$C$234,0)</f>
        <v>#N/A</v>
      </c>
      <c r="AR2636" s="6" t="b">
        <f t="shared" si="277"/>
        <v>1</v>
      </c>
      <c r="AS2636" s="6" t="str">
        <f t="shared" si="274"/>
        <v>OK</v>
      </c>
      <c r="AU2636" s="202"/>
      <c r="AV2636" s="262"/>
      <c r="AW2636" s="274"/>
    </row>
    <row r="2637" spans="1:49" s="13" customFormat="1" x14ac:dyDescent="0.2">
      <c r="A2637" s="14">
        <v>2613</v>
      </c>
      <c r="B2637" s="14">
        <v>400013254</v>
      </c>
      <c r="C2637" s="8" t="s">
        <v>5197</v>
      </c>
      <c r="D2637" s="4" t="str">
        <f t="shared" si="273"/>
        <v>400013254R1</v>
      </c>
      <c r="E2637" s="309" t="str">
        <f>VLOOKUP($B2637,'D7 - NDB Impacted SPRF''s'!$E$6:$O$9929,2,FALSE)</f>
        <v>Honeywell HealthGrades Initiative</v>
      </c>
      <c r="F2637" s="8" t="s">
        <v>2114</v>
      </c>
      <c r="G2637" s="8" t="s">
        <v>4758</v>
      </c>
      <c r="H2637" s="8" t="s">
        <v>2870</v>
      </c>
      <c r="I2637" s="20"/>
      <c r="J2637" s="8"/>
      <c r="K2637" s="182"/>
      <c r="L2637" s="8" t="s">
        <v>4156</v>
      </c>
      <c r="M2637" s="8" t="s">
        <v>2814</v>
      </c>
      <c r="N2637" s="368" t="s">
        <v>5190</v>
      </c>
      <c r="O2637" s="8"/>
      <c r="P2637" s="4" t="str">
        <f>VLOOKUP($B2637,'D7 - NDB Impacted SPRF''s'!$E$16:$O$9929,9,FALSE)</f>
        <v>N</v>
      </c>
      <c r="Q2637" s="4" t="str">
        <f>VLOOKUP($B2637,'D7 - NDB Impacted SPRF''s'!$E$16:$O$9929,10,FALSE)</f>
        <v>N</v>
      </c>
      <c r="R2637" s="4" t="str">
        <f>VLOOKUP($B2637,'D7 - NDB Impacted SPRF''s'!$E$16:$O$9929,11,FALSE)</f>
        <v>N</v>
      </c>
      <c r="S2637" s="8"/>
      <c r="T2637" s="310"/>
      <c r="U2637" s="310"/>
      <c r="V2637" s="4"/>
      <c r="W2637" s="4"/>
      <c r="X2637" s="4"/>
      <c r="Y2637" s="4"/>
      <c r="Z2637" s="4"/>
      <c r="AA2637" s="4"/>
      <c r="AB2637" s="380" t="str">
        <f>VLOOKUP($B2637,'D7 - NDB Impacted SPRF''s'!$E$16:$O$9929,4,FALSE)</f>
        <v>Cancelled</v>
      </c>
      <c r="AC2637" s="380" t="str">
        <f>VLOOKUP($B2637,'D7 - NDB Impacted SPRF''s'!$E$16:$O$9929,3,FALSE)</f>
        <v>Uniprise</v>
      </c>
      <c r="AD2637" s="380" t="str">
        <f>VLOOKUP($B2637,'D7 - NDB Impacted SPRF''s'!$E$16:$O$9929,5,FALSE)</f>
        <v>USS - DDC</v>
      </c>
      <c r="AE2637" s="380" t="str">
        <f>VLOOKUP($B2637,'D7 - NDB Impacted SPRF''s'!$E$16:$O$9929,7,FALSE)</f>
        <v>John Cravero</v>
      </c>
      <c r="AF2637" s="380" t="str">
        <f>VLOOKUP($B2637,'D7 - NDB Impacted SPRF''s'!$E$16:$O$9929,6,FALSE)</f>
        <v>RICHARD PAPA</v>
      </c>
      <c r="AG2637" s="282"/>
      <c r="AH2637" s="311" t="e">
        <f>INDEX('D5 - Gatekeeper - Projects'!$A$4:$AF$1010,$AM2637, 17)</f>
        <v>#N/A</v>
      </c>
      <c r="AI2637" s="8"/>
      <c r="AJ2637" s="57"/>
      <c r="AK2637" s="105"/>
      <c r="AM2637" s="6" t="e">
        <f>MATCH(D2637,'D5 - Gatekeeper - Projects'!$C$4:$C$1010,0)</f>
        <v>#N/A</v>
      </c>
      <c r="AN2637" s="6" t="b">
        <f t="shared" si="275"/>
        <v>1</v>
      </c>
      <c r="AO2637" s="6" t="str">
        <f t="shared" si="276"/>
        <v>OK</v>
      </c>
      <c r="AQ2637" s="6" t="e">
        <f>MATCH($D2637,'D4 - Provider Council Unsched'!$C$11:$C$234,0)</f>
        <v>#N/A</v>
      </c>
      <c r="AR2637" s="6" t="b">
        <f t="shared" si="277"/>
        <v>1</v>
      </c>
      <c r="AS2637" s="6" t="str">
        <f t="shared" si="274"/>
        <v>OK</v>
      </c>
      <c r="AU2637" s="202"/>
      <c r="AV2637" s="262"/>
      <c r="AW2637" s="274"/>
    </row>
    <row r="2638" spans="1:49" s="13" customFormat="1" ht="33.75" x14ac:dyDescent="0.2">
      <c r="A2638" s="14">
        <v>2614</v>
      </c>
      <c r="B2638" s="14">
        <v>400013291</v>
      </c>
      <c r="C2638" s="8" t="s">
        <v>5197</v>
      </c>
      <c r="D2638" s="4" t="str">
        <f t="shared" si="273"/>
        <v>400013291R1</v>
      </c>
      <c r="E2638" s="309" t="str">
        <f>VLOOKUP($B2638,'D7 - NDB Impacted SPRF''s'!$E$6:$O$9929,2,FALSE)</f>
        <v>EPDE-W/O-Analysis for improving effectiveness</v>
      </c>
      <c r="F2638" s="8" t="s">
        <v>3235</v>
      </c>
      <c r="G2638" s="8" t="s">
        <v>4758</v>
      </c>
      <c r="H2638" s="8" t="s">
        <v>2870</v>
      </c>
      <c r="I2638" s="20">
        <v>0.27</v>
      </c>
      <c r="J2638" s="8" t="s">
        <v>4862</v>
      </c>
      <c r="K2638" s="182"/>
      <c r="L2638" s="8" t="s">
        <v>4156</v>
      </c>
      <c r="M2638" s="8" t="s">
        <v>2814</v>
      </c>
      <c r="N2638" s="367" t="s">
        <v>5190</v>
      </c>
      <c r="O2638" s="8"/>
      <c r="P2638" s="4" t="str">
        <f>VLOOKUP($B2638,'D7 - NDB Impacted SPRF''s'!$E$16:$O$9929,9,FALSE)</f>
        <v>N</v>
      </c>
      <c r="Q2638" s="4" t="str">
        <f>VLOOKUP($B2638,'D7 - NDB Impacted SPRF''s'!$E$16:$O$9929,10,FALSE)</f>
        <v>N</v>
      </c>
      <c r="R2638" s="4" t="str">
        <f>VLOOKUP($B2638,'D7 - NDB Impacted SPRF''s'!$E$16:$O$9929,11,FALSE)</f>
        <v>N</v>
      </c>
      <c r="S2638" s="8"/>
      <c r="T2638" s="310"/>
      <c r="U2638" s="310"/>
      <c r="V2638" s="4"/>
      <c r="W2638" s="4"/>
      <c r="X2638" s="4"/>
      <c r="Y2638" s="4"/>
      <c r="Z2638" s="4"/>
      <c r="AA2638" s="4"/>
      <c r="AB2638" s="380" t="str">
        <f>VLOOKUP($B2638,'D7 - NDB Impacted SPRF''s'!$E$16:$O$9929,4,FALSE)</f>
        <v>Cancelled</v>
      </c>
      <c r="AC2638" s="380" t="str">
        <f>VLOOKUP($B2638,'D7 - NDB Impacted SPRF''s'!$E$16:$O$9929,3,FALSE)</f>
        <v>UnitedHealthcare Employer &amp; Individual</v>
      </c>
      <c r="AD2638" s="380" t="str">
        <f>VLOOKUP($B2638,'D7 - NDB Impacted SPRF''s'!$E$16:$O$9929,5,FALSE)</f>
        <v>Network Growth / Enhancements</v>
      </c>
      <c r="AE2638" s="380" t="str">
        <f>VLOOKUP($B2638,'D7 - NDB Impacted SPRF''s'!$E$16:$O$9929,7,FALSE)</f>
        <v>Tim Kaja</v>
      </c>
      <c r="AF2638" s="380" t="str">
        <f>VLOOKUP($B2638,'D7 - NDB Impacted SPRF''s'!$E$16:$O$9929,6,FALSE)</f>
        <v>MARCIA MONACO</v>
      </c>
      <c r="AG2638" s="282"/>
      <c r="AH2638" s="311" t="e">
        <f>INDEX('D5 - Gatekeeper - Projects'!$A$4:$AF$1010,$AM2638, 17)</f>
        <v>#N/A</v>
      </c>
      <c r="AI2638" s="8"/>
      <c r="AJ2638" s="57"/>
      <c r="AK2638" s="105"/>
      <c r="AM2638" s="6" t="e">
        <f>MATCH(D2638,'D5 - Gatekeeper - Projects'!$C$4:$C$1010,0)</f>
        <v>#N/A</v>
      </c>
      <c r="AN2638" s="6" t="b">
        <f t="shared" si="275"/>
        <v>1</v>
      </c>
      <c r="AO2638" s="6" t="str">
        <f t="shared" si="276"/>
        <v>OK</v>
      </c>
      <c r="AQ2638" s="6" t="e">
        <f>MATCH($D2638,'D4 - Provider Council Unsched'!$C$11:$C$234,0)</f>
        <v>#N/A</v>
      </c>
      <c r="AR2638" s="6" t="b">
        <f t="shared" si="277"/>
        <v>1</v>
      </c>
      <c r="AS2638" s="6" t="str">
        <f t="shared" si="274"/>
        <v>OK</v>
      </c>
      <c r="AU2638" s="202"/>
      <c r="AV2638" s="262"/>
      <c r="AW2638" s="274"/>
    </row>
    <row r="2639" spans="1:49" s="13" customFormat="1" x14ac:dyDescent="0.2">
      <c r="A2639" s="14">
        <v>2615</v>
      </c>
      <c r="B2639" s="14">
        <v>400013299</v>
      </c>
      <c r="C2639" s="8" t="s">
        <v>5197</v>
      </c>
      <c r="D2639" s="4" t="str">
        <f t="shared" si="273"/>
        <v>400013299R1</v>
      </c>
      <c r="E2639" s="309" t="e">
        <f>VLOOKUP($B2639,'D7 - NDB Impacted SPRF''s'!$E$6:$O$9929,2,FALSE)</f>
        <v>#N/A</v>
      </c>
      <c r="F2639" s="8" t="s">
        <v>5196</v>
      </c>
      <c r="G2639" s="8" t="s">
        <v>4758</v>
      </c>
      <c r="H2639" s="8" t="s">
        <v>2870</v>
      </c>
      <c r="I2639" s="20"/>
      <c r="J2639" s="8"/>
      <c r="K2639" s="182"/>
      <c r="L2639" s="8" t="s">
        <v>4156</v>
      </c>
      <c r="M2639" s="8" t="s">
        <v>2814</v>
      </c>
      <c r="N2639" s="38" t="s">
        <v>5851</v>
      </c>
      <c r="O2639" s="8"/>
      <c r="P2639" s="4" t="e">
        <f>VLOOKUP($B2639,'D7 - NDB Impacted SPRF''s'!$E$16:$O$9929,9,FALSE)</f>
        <v>#N/A</v>
      </c>
      <c r="Q2639" s="4" t="e">
        <f>VLOOKUP($B2639,'D7 - NDB Impacted SPRF''s'!$E$16:$O$9929,10,FALSE)</f>
        <v>#N/A</v>
      </c>
      <c r="R2639" s="4" t="e">
        <f>VLOOKUP($B2639,'D7 - NDB Impacted SPRF''s'!$E$16:$O$9929,11,FALSE)</f>
        <v>#N/A</v>
      </c>
      <c r="S2639" s="8"/>
      <c r="T2639" s="310"/>
      <c r="U2639" s="310"/>
      <c r="V2639" s="4"/>
      <c r="W2639" s="4"/>
      <c r="X2639" s="4"/>
      <c r="Y2639" s="4"/>
      <c r="Z2639" s="4"/>
      <c r="AA2639" s="4"/>
      <c r="AB2639" s="380" t="e">
        <f>VLOOKUP($B2639,'D7 - NDB Impacted SPRF''s'!$E$16:$O$9929,4,FALSE)</f>
        <v>#N/A</v>
      </c>
      <c r="AC2639" s="380" t="e">
        <f>VLOOKUP($B2639,'D7 - NDB Impacted SPRF''s'!$E$16:$O$9929,3,FALSE)</f>
        <v>#N/A</v>
      </c>
      <c r="AD2639" s="380" t="e">
        <f>VLOOKUP($B2639,'D7 - NDB Impacted SPRF''s'!$E$16:$O$9929,5,FALSE)</f>
        <v>#N/A</v>
      </c>
      <c r="AE2639" s="380" t="e">
        <f>VLOOKUP($B2639,'D7 - NDB Impacted SPRF''s'!$E$16:$O$9929,7,FALSE)</f>
        <v>#N/A</v>
      </c>
      <c r="AF2639" s="380" t="e">
        <f>VLOOKUP($B2639,'D7 - NDB Impacted SPRF''s'!$E$16:$O$9929,6,FALSE)</f>
        <v>#N/A</v>
      </c>
      <c r="AG2639" s="282"/>
      <c r="AH2639" s="311" t="e">
        <f>INDEX('D5 - Gatekeeper - Projects'!$A$4:$AF$1010,$AM2639, 17)</f>
        <v>#N/A</v>
      </c>
      <c r="AI2639" s="8"/>
      <c r="AJ2639" s="57"/>
      <c r="AK2639" s="105"/>
      <c r="AM2639" s="6" t="e">
        <f>MATCH(D2639,'D5 - Gatekeeper - Projects'!$C$4:$C$1010,0)</f>
        <v>#N/A</v>
      </c>
      <c r="AN2639" s="6" t="b">
        <f t="shared" si="275"/>
        <v>1</v>
      </c>
      <c r="AO2639" s="6" t="str">
        <f t="shared" si="276"/>
        <v>OK</v>
      </c>
      <c r="AQ2639" s="6" t="e">
        <f>MATCH($D2639,'D4 - Provider Council Unsched'!$C$11:$C$234,0)</f>
        <v>#N/A</v>
      </c>
      <c r="AR2639" s="6" t="b">
        <f t="shared" si="277"/>
        <v>1</v>
      </c>
      <c r="AS2639" s="6" t="str">
        <f t="shared" si="274"/>
        <v>OK</v>
      </c>
      <c r="AU2639" s="202"/>
      <c r="AV2639" s="262"/>
      <c r="AW2639" s="274"/>
    </row>
    <row r="2640" spans="1:49" s="13" customFormat="1" x14ac:dyDescent="0.2">
      <c r="A2640" s="14">
        <v>2616</v>
      </c>
      <c r="B2640" s="14">
        <v>400013348</v>
      </c>
      <c r="C2640" s="8" t="s">
        <v>5197</v>
      </c>
      <c r="D2640" s="4" t="str">
        <f t="shared" si="273"/>
        <v>400013348R1</v>
      </c>
      <c r="E2640" s="309" t="e">
        <f>VLOOKUP($B2640,'D7 - NDB Impacted SPRF''s'!$E$6:$O$9929,2,FALSE)</f>
        <v>#N/A</v>
      </c>
      <c r="F2640" s="8" t="s">
        <v>6071</v>
      </c>
      <c r="G2640" s="8" t="s">
        <v>4758</v>
      </c>
      <c r="H2640" s="8" t="s">
        <v>2870</v>
      </c>
      <c r="I2640" s="20"/>
      <c r="J2640" s="8"/>
      <c r="K2640" s="182"/>
      <c r="L2640" s="8" t="s">
        <v>4156</v>
      </c>
      <c r="M2640" s="8" t="s">
        <v>2814</v>
      </c>
      <c r="N2640" s="367" t="s">
        <v>6345</v>
      </c>
      <c r="O2640" s="8"/>
      <c r="P2640" s="4" t="e">
        <f>VLOOKUP($B2640,'D7 - NDB Impacted SPRF''s'!$E$16:$O$9929,9,FALSE)</f>
        <v>#N/A</v>
      </c>
      <c r="Q2640" s="4" t="e">
        <f>VLOOKUP($B2640,'D7 - NDB Impacted SPRF''s'!$E$16:$O$9929,10,FALSE)</f>
        <v>#N/A</v>
      </c>
      <c r="R2640" s="4" t="e">
        <f>VLOOKUP($B2640,'D7 - NDB Impacted SPRF''s'!$E$16:$O$9929,11,FALSE)</f>
        <v>#N/A</v>
      </c>
      <c r="S2640" s="8"/>
      <c r="T2640" s="310"/>
      <c r="U2640" s="310"/>
      <c r="V2640" s="4"/>
      <c r="W2640" s="4"/>
      <c r="X2640" s="4"/>
      <c r="Y2640" s="4"/>
      <c r="Z2640" s="4"/>
      <c r="AA2640" s="4"/>
      <c r="AB2640" s="380" t="e">
        <f>VLOOKUP($B2640,'D7 - NDB Impacted SPRF''s'!$E$16:$O$9929,4,FALSE)</f>
        <v>#N/A</v>
      </c>
      <c r="AC2640" s="380" t="e">
        <f>VLOOKUP($B2640,'D7 - NDB Impacted SPRF''s'!$E$16:$O$9929,3,FALSE)</f>
        <v>#N/A</v>
      </c>
      <c r="AD2640" s="380" t="e">
        <f>VLOOKUP($B2640,'D7 - NDB Impacted SPRF''s'!$E$16:$O$9929,5,FALSE)</f>
        <v>#N/A</v>
      </c>
      <c r="AE2640" s="380" t="e">
        <f>VLOOKUP($B2640,'D7 - NDB Impacted SPRF''s'!$E$16:$O$9929,7,FALSE)</f>
        <v>#N/A</v>
      </c>
      <c r="AF2640" s="380" t="e">
        <f>VLOOKUP($B2640,'D7 - NDB Impacted SPRF''s'!$E$16:$O$9929,6,FALSE)</f>
        <v>#N/A</v>
      </c>
      <c r="AG2640" s="282"/>
      <c r="AH2640" s="311" t="e">
        <f>INDEX('D5 - Gatekeeper - Projects'!$A$4:$AF$1010,$AM2640, 17)</f>
        <v>#N/A</v>
      </c>
      <c r="AI2640" s="8"/>
      <c r="AJ2640" s="57"/>
      <c r="AK2640" s="105"/>
      <c r="AM2640" s="6" t="e">
        <f>MATCH(D2640,'D5 - Gatekeeper - Projects'!$C$4:$C$1010,0)</f>
        <v>#N/A</v>
      </c>
      <c r="AN2640" s="6" t="b">
        <f t="shared" si="275"/>
        <v>1</v>
      </c>
      <c r="AO2640" s="6" t="str">
        <f t="shared" si="276"/>
        <v>OK</v>
      </c>
      <c r="AQ2640" s="6" t="e">
        <f>MATCH($D2640,'D4 - Provider Council Unsched'!$C$11:$C$234,0)</f>
        <v>#N/A</v>
      </c>
      <c r="AR2640" s="6" t="b">
        <f t="shared" si="277"/>
        <v>1</v>
      </c>
      <c r="AS2640" s="6" t="str">
        <f t="shared" si="274"/>
        <v>OK</v>
      </c>
      <c r="AU2640" s="202"/>
      <c r="AV2640" s="262"/>
      <c r="AW2640" s="274"/>
    </row>
    <row r="2641" spans="1:49" s="13" customFormat="1" ht="33.75" x14ac:dyDescent="0.2">
      <c r="A2641" s="14">
        <v>2617</v>
      </c>
      <c r="B2641" s="14">
        <v>400013438</v>
      </c>
      <c r="C2641" s="8" t="s">
        <v>5197</v>
      </c>
      <c r="D2641" s="4" t="str">
        <f t="shared" si="273"/>
        <v>400013438R1</v>
      </c>
      <c r="E2641" s="309" t="str">
        <f>VLOOKUP($B2641,'D7 - NDB Impacted SPRF''s'!$E$6:$O$9929,2,FALSE)</f>
        <v>PHS Insurance Product Migration PHASE 1</v>
      </c>
      <c r="F2641" s="8" t="s">
        <v>6071</v>
      </c>
      <c r="G2641" s="8" t="s">
        <v>4758</v>
      </c>
      <c r="H2641" s="8" t="s">
        <v>2870</v>
      </c>
      <c r="I2641" s="20"/>
      <c r="J2641" s="8"/>
      <c r="K2641" s="182"/>
      <c r="L2641" s="8" t="s">
        <v>4156</v>
      </c>
      <c r="M2641" s="8" t="s">
        <v>2814</v>
      </c>
      <c r="N2641" s="367" t="s">
        <v>6625</v>
      </c>
      <c r="O2641" s="8"/>
      <c r="P2641" s="4" t="str">
        <f>VLOOKUP($B2641,'D7 - NDB Impacted SPRF''s'!$E$16:$O$9929,9,FALSE)</f>
        <v>Y</v>
      </c>
      <c r="Q2641" s="4" t="str">
        <f>VLOOKUP($B2641,'D7 - NDB Impacted SPRF''s'!$E$16:$O$9929,10,FALSE)</f>
        <v>N</v>
      </c>
      <c r="R2641" s="4" t="str">
        <f>VLOOKUP($B2641,'D7 - NDB Impacted SPRF''s'!$E$16:$O$9929,11,FALSE)</f>
        <v>N</v>
      </c>
      <c r="S2641" s="8"/>
      <c r="T2641" s="310"/>
      <c r="U2641" s="310"/>
      <c r="V2641" s="4"/>
      <c r="W2641" s="4"/>
      <c r="X2641" s="4"/>
      <c r="Y2641" s="4"/>
      <c r="Z2641" s="4"/>
      <c r="AA2641" s="4"/>
      <c r="AB2641" s="380" t="str">
        <f>VLOOKUP($B2641,'D7 - NDB Impacted SPRF''s'!$E$16:$O$9929,4,FALSE)</f>
        <v>Cancelled</v>
      </c>
      <c r="AC2641" s="380" t="str">
        <f>VLOOKUP($B2641,'D7 - NDB Impacted SPRF''s'!$E$16:$O$9929,3,FALSE)</f>
        <v>UnitedHealthcare Employer &amp; Individual</v>
      </c>
      <c r="AD2641" s="380" t="str">
        <f>VLOOKUP($B2641,'D7 - NDB Impacted SPRF''s'!$E$16:$O$9929,5,FALSE)</f>
        <v>Integration Requirements</v>
      </c>
      <c r="AE2641" s="380" t="str">
        <f>VLOOKUP($B2641,'D7 - NDB Impacted SPRF''s'!$E$16:$O$9929,7,FALSE)</f>
        <v>Tim Wicks</v>
      </c>
      <c r="AF2641" s="380" t="str">
        <f>VLOOKUP($B2641,'D7 - NDB Impacted SPRF''s'!$E$16:$O$9929,6,FALSE)</f>
        <v>FRANK ROMANO</v>
      </c>
      <c r="AG2641" s="282"/>
      <c r="AH2641" s="311" t="e">
        <f>INDEX('D5 - Gatekeeper - Projects'!$A$4:$AF$1010,$AM2641, 17)</f>
        <v>#N/A</v>
      </c>
      <c r="AI2641" s="8"/>
      <c r="AJ2641" s="57"/>
      <c r="AK2641" s="105"/>
      <c r="AM2641" s="6" t="e">
        <f>MATCH(D2641,'D5 - Gatekeeper - Projects'!$C$4:$C$1010,0)</f>
        <v>#N/A</v>
      </c>
      <c r="AN2641" s="6" t="b">
        <f t="shared" si="275"/>
        <v>1</v>
      </c>
      <c r="AO2641" s="6" t="str">
        <f t="shared" si="276"/>
        <v>OK</v>
      </c>
      <c r="AQ2641" s="6" t="e">
        <f>MATCH($D2641,'D4 - Provider Council Unsched'!$C$11:$C$234,0)</f>
        <v>#N/A</v>
      </c>
      <c r="AR2641" s="6" t="b">
        <f t="shared" si="277"/>
        <v>1</v>
      </c>
      <c r="AS2641" s="6" t="str">
        <f t="shared" si="274"/>
        <v>OK</v>
      </c>
      <c r="AU2641" s="202"/>
      <c r="AV2641" s="262"/>
      <c r="AW2641" s="274"/>
    </row>
    <row r="2642" spans="1:49" s="13" customFormat="1" ht="33.75" x14ac:dyDescent="0.2">
      <c r="A2642" s="14">
        <v>2618</v>
      </c>
      <c r="B2642" s="14">
        <v>400013477</v>
      </c>
      <c r="C2642" s="8" t="s">
        <v>5197</v>
      </c>
      <c r="D2642" s="4" t="str">
        <f t="shared" si="273"/>
        <v>400013477R1</v>
      </c>
      <c r="E2642" s="309" t="str">
        <f>VLOOKUP($B2642,'D7 - NDB Impacted SPRF''s'!$E$6:$O$9929,2,FALSE)</f>
        <v>Small Business Online Case Submission - 2007</v>
      </c>
      <c r="F2642" s="8" t="s">
        <v>2114</v>
      </c>
      <c r="G2642" s="8" t="s">
        <v>4758</v>
      </c>
      <c r="H2642" s="8" t="s">
        <v>2870</v>
      </c>
      <c r="I2642" s="20"/>
      <c r="J2642" s="8"/>
      <c r="K2642" s="182"/>
      <c r="L2642" s="8" t="s">
        <v>4156</v>
      </c>
      <c r="M2642" s="8" t="s">
        <v>2814</v>
      </c>
      <c r="N2642" s="367" t="s">
        <v>6097</v>
      </c>
      <c r="O2642" s="8"/>
      <c r="P2642" s="4" t="str">
        <f>VLOOKUP($B2642,'D7 - NDB Impacted SPRF''s'!$E$16:$O$9929,9,FALSE)</f>
        <v>Y</v>
      </c>
      <c r="Q2642" s="4" t="str">
        <f>VLOOKUP($B2642,'D7 - NDB Impacted SPRF''s'!$E$16:$O$9929,10,FALSE)</f>
        <v>N</v>
      </c>
      <c r="R2642" s="4" t="str">
        <f>VLOOKUP($B2642,'D7 - NDB Impacted SPRF''s'!$E$16:$O$9929,11,FALSE)</f>
        <v>N</v>
      </c>
      <c r="S2642" s="8"/>
      <c r="T2642" s="310"/>
      <c r="U2642" s="310"/>
      <c r="V2642" s="4"/>
      <c r="W2642" s="4"/>
      <c r="X2642" s="4"/>
      <c r="Y2642" s="4"/>
      <c r="Z2642" s="4"/>
      <c r="AA2642" s="4"/>
      <c r="AB2642" s="380" t="str">
        <f>VLOOKUP($B2642,'D7 - NDB Impacted SPRF''s'!$E$16:$O$9929,4,FALSE)</f>
        <v>Cancelled</v>
      </c>
      <c r="AC2642" s="380" t="str">
        <f>VLOOKUP($B2642,'D7 - NDB Impacted SPRF''s'!$E$16:$O$9929,3,FALSE)</f>
        <v>UnitedHealthcare Employer &amp; Individual</v>
      </c>
      <c r="AD2642" s="380" t="str">
        <f>VLOOKUP($B2642,'D7 - NDB Impacted SPRF''s'!$E$16:$O$9929,5,FALSE)</f>
        <v>Membership Growth / Revenue Programs</v>
      </c>
      <c r="AE2642" s="380" t="str">
        <f>VLOOKUP($B2642,'D7 - NDB Impacted SPRF''s'!$E$16:$O$9929,7,FALSE)</f>
        <v>Dirk McMahon</v>
      </c>
      <c r="AF2642" s="380" t="str">
        <f>VLOOKUP($B2642,'D7 - NDB Impacted SPRF''s'!$E$16:$O$9929,6,FALSE)</f>
        <v>Kimberly Wolson</v>
      </c>
      <c r="AG2642" s="282"/>
      <c r="AH2642" s="311" t="e">
        <f>INDEX('D5 - Gatekeeper - Projects'!$A$4:$AF$1010,$AM2642, 17)</f>
        <v>#N/A</v>
      </c>
      <c r="AI2642" s="8"/>
      <c r="AJ2642" s="57"/>
      <c r="AK2642" s="105"/>
      <c r="AM2642" s="6" t="e">
        <f>MATCH(D2642,'D5 - Gatekeeper - Projects'!$C$4:$C$1010,0)</f>
        <v>#N/A</v>
      </c>
      <c r="AN2642" s="6" t="b">
        <f t="shared" si="275"/>
        <v>1</v>
      </c>
      <c r="AO2642" s="6" t="str">
        <f t="shared" si="276"/>
        <v>OK</v>
      </c>
      <c r="AQ2642" s="6" t="e">
        <f>MATCH($D2642,'D4 - Provider Council Unsched'!$C$11:$C$234,0)</f>
        <v>#N/A</v>
      </c>
      <c r="AR2642" s="6" t="b">
        <f t="shared" si="277"/>
        <v>1</v>
      </c>
      <c r="AS2642" s="6" t="str">
        <f t="shared" si="274"/>
        <v>OK</v>
      </c>
      <c r="AU2642" s="202"/>
      <c r="AV2642" s="262"/>
      <c r="AW2642" s="274"/>
    </row>
    <row r="2643" spans="1:49" s="13" customFormat="1" ht="33.75" x14ac:dyDescent="0.2">
      <c r="A2643" s="14">
        <v>2619</v>
      </c>
      <c r="B2643" s="14">
        <v>400013500</v>
      </c>
      <c r="C2643" s="8" t="s">
        <v>5197</v>
      </c>
      <c r="D2643" s="4" t="str">
        <f t="shared" si="273"/>
        <v>400013500R1</v>
      </c>
      <c r="E2643" s="309" t="str">
        <f>VLOOKUP($B2643,'D7 - NDB Impacted SPRF''s'!$E$6:$O$9929,2,FALSE)</f>
        <v>NDM Work Queue Enhancements - Release 1</v>
      </c>
      <c r="F2643" s="8" t="s">
        <v>4961</v>
      </c>
      <c r="G2643" s="8" t="s">
        <v>4758</v>
      </c>
      <c r="H2643" s="8" t="s">
        <v>2870</v>
      </c>
      <c r="I2643" s="20"/>
      <c r="J2643" s="8"/>
      <c r="K2643" s="182"/>
      <c r="L2643" s="8" t="s">
        <v>4156</v>
      </c>
      <c r="M2643" s="8" t="s">
        <v>2814</v>
      </c>
      <c r="N2643" s="367" t="s">
        <v>4387</v>
      </c>
      <c r="O2643" s="8"/>
      <c r="P2643" s="4" t="str">
        <f>VLOOKUP($B2643,'D7 - NDB Impacted SPRF''s'!$E$16:$O$9929,9,FALSE)</f>
        <v>N</v>
      </c>
      <c r="Q2643" s="4" t="str">
        <f>VLOOKUP($B2643,'D7 - NDB Impacted SPRF''s'!$E$16:$O$9929,10,FALSE)</f>
        <v>N</v>
      </c>
      <c r="R2643" s="4" t="str">
        <f>VLOOKUP($B2643,'D7 - NDB Impacted SPRF''s'!$E$16:$O$9929,11,FALSE)</f>
        <v>N</v>
      </c>
      <c r="S2643" s="8"/>
      <c r="T2643" s="310"/>
      <c r="U2643" s="310"/>
      <c r="V2643" s="4"/>
      <c r="W2643" s="4"/>
      <c r="X2643" s="4"/>
      <c r="Y2643" s="4"/>
      <c r="Z2643" s="4"/>
      <c r="AA2643" s="4"/>
      <c r="AB2643" s="380" t="str">
        <f>VLOOKUP($B2643,'D7 - NDB Impacted SPRF''s'!$E$16:$O$9929,4,FALSE)</f>
        <v>Cancelled</v>
      </c>
      <c r="AC2643" s="380" t="str">
        <f>VLOOKUP($B2643,'D7 - NDB Impacted SPRF''s'!$E$16:$O$9929,3,FALSE)</f>
        <v>UnitedHealthcare Employer &amp; Individual</v>
      </c>
      <c r="AD2643" s="380" t="str">
        <f>VLOOKUP($B2643,'D7 - NDB Impacted SPRF''s'!$E$16:$O$9929,5,FALSE)</f>
        <v>Network Growth / Enhancements</v>
      </c>
      <c r="AE2643" s="380" t="str">
        <f>VLOOKUP($B2643,'D7 - NDB Impacted SPRF''s'!$E$16:$O$9929,7,FALSE)</f>
        <v>Matt Guisinger</v>
      </c>
      <c r="AF2643" s="380" t="str">
        <f>VLOOKUP($B2643,'D7 - NDB Impacted SPRF''s'!$E$16:$O$9929,6,FALSE)</f>
        <v>ELIZABETH Young</v>
      </c>
      <c r="AG2643" s="282"/>
      <c r="AH2643" s="311" t="e">
        <f>INDEX('D5 - Gatekeeper - Projects'!$A$4:$AF$1010,$AM2643, 17)</f>
        <v>#N/A</v>
      </c>
      <c r="AI2643" s="8"/>
      <c r="AJ2643" s="57"/>
      <c r="AK2643" s="105"/>
      <c r="AM2643" s="6" t="e">
        <f>MATCH(D2643,'D5 - Gatekeeper - Projects'!$C$4:$C$1010,0)</f>
        <v>#N/A</v>
      </c>
      <c r="AN2643" s="6" t="b">
        <f t="shared" si="275"/>
        <v>1</v>
      </c>
      <c r="AO2643" s="6" t="str">
        <f t="shared" si="276"/>
        <v>OK</v>
      </c>
      <c r="AQ2643" s="6" t="e">
        <f>MATCH($D2643,'D4 - Provider Council Unsched'!$C$11:$C$234,0)</f>
        <v>#N/A</v>
      </c>
      <c r="AR2643" s="6" t="b">
        <f t="shared" si="277"/>
        <v>1</v>
      </c>
      <c r="AS2643" s="6" t="str">
        <f t="shared" si="274"/>
        <v>OK</v>
      </c>
      <c r="AU2643" s="202"/>
      <c r="AV2643" s="262"/>
      <c r="AW2643" s="274"/>
    </row>
    <row r="2644" spans="1:49" s="13" customFormat="1" ht="33.75" x14ac:dyDescent="0.2">
      <c r="A2644" s="14">
        <v>2620</v>
      </c>
      <c r="B2644" s="14">
        <v>400013589</v>
      </c>
      <c r="C2644" s="8" t="s">
        <v>5197</v>
      </c>
      <c r="D2644" s="4" t="str">
        <f t="shared" si="273"/>
        <v>400013589R1</v>
      </c>
      <c r="E2644" s="309" t="str">
        <f>VLOOKUP($B2644,'D7 - NDB Impacted SPRF''s'!$E$6:$O$9929,2,FALSE)</f>
        <v>Create carve out subroprocess -Operating Engineers</v>
      </c>
      <c r="F2644" s="8" t="s">
        <v>2114</v>
      </c>
      <c r="G2644" s="8" t="s">
        <v>4758</v>
      </c>
      <c r="H2644" s="8" t="s">
        <v>2870</v>
      </c>
      <c r="I2644" s="20">
        <v>1.33</v>
      </c>
      <c r="J2644" s="8" t="s">
        <v>4862</v>
      </c>
      <c r="K2644" s="182"/>
      <c r="L2644" s="8" t="s">
        <v>4156</v>
      </c>
      <c r="M2644" s="8" t="s">
        <v>5626</v>
      </c>
      <c r="N2644" s="367" t="s">
        <v>6223</v>
      </c>
      <c r="O2644" s="8"/>
      <c r="P2644" s="4" t="str">
        <f>VLOOKUP($B2644,'D7 - NDB Impacted SPRF''s'!$E$16:$O$9929,9,FALSE)</f>
        <v>Y</v>
      </c>
      <c r="Q2644" s="4" t="str">
        <f>VLOOKUP($B2644,'D7 - NDB Impacted SPRF''s'!$E$16:$O$9929,10,FALSE)</f>
        <v>N</v>
      </c>
      <c r="R2644" s="4" t="str">
        <f>VLOOKUP($B2644,'D7 - NDB Impacted SPRF''s'!$E$16:$O$9929,11,FALSE)</f>
        <v>N</v>
      </c>
      <c r="S2644" s="8"/>
      <c r="T2644" s="310"/>
      <c r="U2644" s="310"/>
      <c r="V2644" s="4"/>
      <c r="W2644" s="4"/>
      <c r="X2644" s="4"/>
      <c r="Y2644" s="4"/>
      <c r="Z2644" s="4"/>
      <c r="AA2644" s="4"/>
      <c r="AB2644" s="380" t="str">
        <f>VLOOKUP($B2644,'D7 - NDB Impacted SPRF''s'!$E$16:$O$9929,4,FALSE)</f>
        <v>Cancelled</v>
      </c>
      <c r="AC2644" s="380" t="str">
        <f>VLOOKUP($B2644,'D7 - NDB Impacted SPRF''s'!$E$16:$O$9929,3,FALSE)</f>
        <v>UnitedHealthcare Employer &amp; Individual</v>
      </c>
      <c r="AD2644" s="380" t="str">
        <f>VLOOKUP($B2644,'D7 - NDB Impacted SPRF''s'!$E$16:$O$9929,5,FALSE)</f>
        <v>Process Improvement</v>
      </c>
      <c r="AE2644" s="380" t="str">
        <f>VLOOKUP($B2644,'D7 - NDB Impacted SPRF''s'!$E$16:$O$9929,7,FALSE)</f>
        <v>Peter Bompane</v>
      </c>
      <c r="AF2644" s="380" t="str">
        <f>VLOOKUP($B2644,'D7 - NDB Impacted SPRF''s'!$E$16:$O$9929,6,FALSE)</f>
        <v>CHERI BEHLES</v>
      </c>
      <c r="AG2644" s="282"/>
      <c r="AH2644" s="311" t="e">
        <f>INDEX('D5 - Gatekeeper - Projects'!$A$4:$AF$1010,$AM2644, 17)</f>
        <v>#N/A</v>
      </c>
      <c r="AI2644" s="8"/>
      <c r="AJ2644" s="57"/>
      <c r="AK2644" s="105"/>
      <c r="AM2644" s="6" t="e">
        <f>MATCH(D2644,'D5 - Gatekeeper - Projects'!$C$4:$C$1010,0)</f>
        <v>#N/A</v>
      </c>
      <c r="AN2644" s="6" t="b">
        <f t="shared" si="275"/>
        <v>1</v>
      </c>
      <c r="AO2644" s="6" t="str">
        <f t="shared" si="276"/>
        <v>OK</v>
      </c>
      <c r="AQ2644" s="6" t="e">
        <f>MATCH($D2644,'D4 - Provider Council Unsched'!$C$11:$C$234,0)</f>
        <v>#N/A</v>
      </c>
      <c r="AR2644" s="6" t="b">
        <f t="shared" si="277"/>
        <v>1</v>
      </c>
      <c r="AS2644" s="6" t="str">
        <f t="shared" si="274"/>
        <v>OK</v>
      </c>
      <c r="AU2644" s="202"/>
      <c r="AV2644" s="262"/>
      <c r="AW2644" s="274"/>
    </row>
    <row r="2645" spans="1:49" s="13" customFormat="1" ht="33.75" x14ac:dyDescent="0.2">
      <c r="A2645" s="14">
        <v>2621</v>
      </c>
      <c r="B2645" s="14">
        <v>400013607</v>
      </c>
      <c r="C2645" s="8" t="s">
        <v>5197</v>
      </c>
      <c r="D2645" s="4" t="str">
        <f t="shared" si="273"/>
        <v>400013607R1</v>
      </c>
      <c r="E2645" s="309" t="str">
        <f>VLOOKUP($B2645,'D7 - NDB Impacted SPRF''s'!$E$6:$O$9929,2,FALSE)</f>
        <v>NDM Work Queue Enhancements - Release 2</v>
      </c>
      <c r="F2645" s="8" t="s">
        <v>4961</v>
      </c>
      <c r="G2645" s="8" t="s">
        <v>4758</v>
      </c>
      <c r="H2645" s="8" t="s">
        <v>2870</v>
      </c>
      <c r="I2645" s="20"/>
      <c r="J2645" s="8"/>
      <c r="K2645" s="182"/>
      <c r="L2645" s="8" t="s">
        <v>4156</v>
      </c>
      <c r="M2645" s="8" t="s">
        <v>2814</v>
      </c>
      <c r="N2645" s="367" t="s">
        <v>4387</v>
      </c>
      <c r="O2645" s="8"/>
      <c r="P2645" s="4" t="str">
        <f>VLOOKUP($B2645,'D7 - NDB Impacted SPRF''s'!$E$16:$O$9929,9,FALSE)</f>
        <v>N</v>
      </c>
      <c r="Q2645" s="4" t="str">
        <f>VLOOKUP($B2645,'D7 - NDB Impacted SPRF''s'!$E$16:$O$9929,10,FALSE)</f>
        <v>N</v>
      </c>
      <c r="R2645" s="4" t="str">
        <f>VLOOKUP($B2645,'D7 - NDB Impacted SPRF''s'!$E$16:$O$9929,11,FALSE)</f>
        <v>N</v>
      </c>
      <c r="S2645" s="8"/>
      <c r="T2645" s="310"/>
      <c r="U2645" s="310"/>
      <c r="V2645" s="4"/>
      <c r="W2645" s="4"/>
      <c r="X2645" s="4"/>
      <c r="Y2645" s="4"/>
      <c r="Z2645" s="4"/>
      <c r="AA2645" s="4"/>
      <c r="AB2645" s="380" t="str">
        <f>VLOOKUP($B2645,'D7 - NDB Impacted SPRF''s'!$E$16:$O$9929,4,FALSE)</f>
        <v>Cancelled</v>
      </c>
      <c r="AC2645" s="380" t="str">
        <f>VLOOKUP($B2645,'D7 - NDB Impacted SPRF''s'!$E$16:$O$9929,3,FALSE)</f>
        <v>UnitedHealthcare Employer &amp; Individual</v>
      </c>
      <c r="AD2645" s="380" t="str">
        <f>VLOOKUP($B2645,'D7 - NDB Impacted SPRF''s'!$E$16:$O$9929,5,FALSE)</f>
        <v>Network Growth / Enhancements</v>
      </c>
      <c r="AE2645" s="380" t="str">
        <f>VLOOKUP($B2645,'D7 - NDB Impacted SPRF''s'!$E$16:$O$9929,7,FALSE)</f>
        <v>Matt Guisinger</v>
      </c>
      <c r="AF2645" s="380" t="str">
        <f>VLOOKUP($B2645,'D7 - NDB Impacted SPRF''s'!$E$16:$O$9929,6,FALSE)</f>
        <v>ELIZABETH Young</v>
      </c>
      <c r="AG2645" s="282"/>
      <c r="AH2645" s="311" t="e">
        <f>INDEX('D5 - Gatekeeper - Projects'!$A$4:$AF$1010,$AM2645, 17)</f>
        <v>#N/A</v>
      </c>
      <c r="AI2645" s="8"/>
      <c r="AJ2645" s="57"/>
      <c r="AK2645" s="105"/>
      <c r="AM2645" s="6" t="e">
        <f>MATCH(D2645,'D5 - Gatekeeper - Projects'!$C$4:$C$1010,0)</f>
        <v>#N/A</v>
      </c>
      <c r="AN2645" s="6" t="b">
        <f t="shared" si="275"/>
        <v>1</v>
      </c>
      <c r="AO2645" s="6" t="str">
        <f t="shared" si="276"/>
        <v>OK</v>
      </c>
      <c r="AQ2645" s="6" t="e">
        <f>MATCH($D2645,'D4 - Provider Council Unsched'!$C$11:$C$234,0)</f>
        <v>#N/A</v>
      </c>
      <c r="AR2645" s="6" t="b">
        <f t="shared" si="277"/>
        <v>1</v>
      </c>
      <c r="AS2645" s="6" t="str">
        <f t="shared" si="274"/>
        <v>OK</v>
      </c>
      <c r="AU2645" s="202"/>
      <c r="AV2645" s="262"/>
      <c r="AW2645" s="274"/>
    </row>
    <row r="2646" spans="1:49" s="13" customFormat="1" ht="33.75" x14ac:dyDescent="0.2">
      <c r="A2646" s="14">
        <v>2622</v>
      </c>
      <c r="B2646" s="14">
        <v>400013608</v>
      </c>
      <c r="C2646" s="8" t="s">
        <v>5197</v>
      </c>
      <c r="D2646" s="4" t="str">
        <f t="shared" si="273"/>
        <v>400013608R1</v>
      </c>
      <c r="E2646" s="309" t="str">
        <f>VLOOKUP($B2646,'D7 - NDB Impacted SPRF''s'!$E$6:$O$9929,2,FALSE)</f>
        <v>NDM Work Queue Enhancements - Release 3</v>
      </c>
      <c r="F2646" s="8" t="s">
        <v>4961</v>
      </c>
      <c r="G2646" s="8" t="s">
        <v>4758</v>
      </c>
      <c r="H2646" s="8" t="s">
        <v>2870</v>
      </c>
      <c r="I2646" s="20"/>
      <c r="J2646" s="8"/>
      <c r="K2646" s="182"/>
      <c r="L2646" s="8" t="s">
        <v>4156</v>
      </c>
      <c r="M2646" s="8" t="s">
        <v>2814</v>
      </c>
      <c r="N2646" s="367" t="s">
        <v>4387</v>
      </c>
      <c r="O2646" s="8"/>
      <c r="P2646" s="4" t="str">
        <f>VLOOKUP($B2646,'D7 - NDB Impacted SPRF''s'!$E$16:$O$9929,9,FALSE)</f>
        <v>N</v>
      </c>
      <c r="Q2646" s="4" t="str">
        <f>VLOOKUP($B2646,'D7 - NDB Impacted SPRF''s'!$E$16:$O$9929,10,FALSE)</f>
        <v>N</v>
      </c>
      <c r="R2646" s="4" t="str">
        <f>VLOOKUP($B2646,'D7 - NDB Impacted SPRF''s'!$E$16:$O$9929,11,FALSE)</f>
        <v>N</v>
      </c>
      <c r="S2646" s="8"/>
      <c r="T2646" s="310"/>
      <c r="U2646" s="310"/>
      <c r="V2646" s="4"/>
      <c r="W2646" s="4"/>
      <c r="X2646" s="4"/>
      <c r="Y2646" s="4"/>
      <c r="Z2646" s="4"/>
      <c r="AA2646" s="4"/>
      <c r="AB2646" s="380" t="str">
        <f>VLOOKUP($B2646,'D7 - NDB Impacted SPRF''s'!$E$16:$O$9929,4,FALSE)</f>
        <v>Cancelled</v>
      </c>
      <c r="AC2646" s="380" t="str">
        <f>VLOOKUP($B2646,'D7 - NDB Impacted SPRF''s'!$E$16:$O$9929,3,FALSE)</f>
        <v>UnitedHealthcare Employer &amp; Individual</v>
      </c>
      <c r="AD2646" s="380" t="str">
        <f>VLOOKUP($B2646,'D7 - NDB Impacted SPRF''s'!$E$16:$O$9929,5,FALSE)</f>
        <v>Network Growth / Enhancements</v>
      </c>
      <c r="AE2646" s="380" t="str">
        <f>VLOOKUP($B2646,'D7 - NDB Impacted SPRF''s'!$E$16:$O$9929,7,FALSE)</f>
        <v>Matt Guisinger</v>
      </c>
      <c r="AF2646" s="380" t="str">
        <f>VLOOKUP($B2646,'D7 - NDB Impacted SPRF''s'!$E$16:$O$9929,6,FALSE)</f>
        <v>ELIZABETH Young</v>
      </c>
      <c r="AG2646" s="282"/>
      <c r="AH2646" s="311" t="e">
        <f>INDEX('D5 - Gatekeeper - Projects'!$A$4:$AF$1010,$AM2646, 17)</f>
        <v>#N/A</v>
      </c>
      <c r="AI2646" s="8"/>
      <c r="AJ2646" s="57"/>
      <c r="AK2646" s="105"/>
      <c r="AM2646" s="6" t="e">
        <f>MATCH(D2646,'D5 - Gatekeeper - Projects'!$C$4:$C$1010,0)</f>
        <v>#N/A</v>
      </c>
      <c r="AN2646" s="6" t="b">
        <f t="shared" si="275"/>
        <v>1</v>
      </c>
      <c r="AO2646" s="6" t="str">
        <f t="shared" si="276"/>
        <v>OK</v>
      </c>
      <c r="AQ2646" s="6" t="e">
        <f>MATCH($D2646,'D4 - Provider Council Unsched'!$C$11:$C$234,0)</f>
        <v>#N/A</v>
      </c>
      <c r="AR2646" s="6" t="b">
        <f t="shared" si="277"/>
        <v>1</v>
      </c>
      <c r="AS2646" s="6" t="str">
        <f t="shared" si="274"/>
        <v>OK</v>
      </c>
      <c r="AU2646" s="202"/>
      <c r="AV2646" s="262"/>
      <c r="AW2646" s="274"/>
    </row>
    <row r="2647" spans="1:49" s="13" customFormat="1" ht="33.75" x14ac:dyDescent="0.2">
      <c r="A2647" s="14">
        <v>2623</v>
      </c>
      <c r="B2647" s="14">
        <v>400013639</v>
      </c>
      <c r="C2647" s="8" t="s">
        <v>5197</v>
      </c>
      <c r="D2647" s="4" t="str">
        <f t="shared" si="273"/>
        <v>400013639R1</v>
      </c>
      <c r="E2647" s="309" t="str">
        <f>VLOOKUP($B2647,'D7 - NDB Impacted SPRF''s'!$E$6:$O$9929,2,FALSE)</f>
        <v>NDM Work Queue Enhancements - Release 4</v>
      </c>
      <c r="F2647" s="8" t="s">
        <v>4961</v>
      </c>
      <c r="G2647" s="8" t="s">
        <v>4758</v>
      </c>
      <c r="H2647" s="8" t="s">
        <v>2870</v>
      </c>
      <c r="I2647" s="20"/>
      <c r="J2647" s="8"/>
      <c r="K2647" s="182"/>
      <c r="L2647" s="8" t="s">
        <v>4156</v>
      </c>
      <c r="M2647" s="8" t="s">
        <v>2814</v>
      </c>
      <c r="N2647" s="367" t="s">
        <v>4387</v>
      </c>
      <c r="O2647" s="8"/>
      <c r="P2647" s="4" t="str">
        <f>VLOOKUP($B2647,'D7 - NDB Impacted SPRF''s'!$E$16:$O$9929,9,FALSE)</f>
        <v>N</v>
      </c>
      <c r="Q2647" s="4" t="str">
        <f>VLOOKUP($B2647,'D7 - NDB Impacted SPRF''s'!$E$16:$O$9929,10,FALSE)</f>
        <v>N</v>
      </c>
      <c r="R2647" s="4" t="str">
        <f>VLOOKUP($B2647,'D7 - NDB Impacted SPRF''s'!$E$16:$O$9929,11,FALSE)</f>
        <v>N</v>
      </c>
      <c r="S2647" s="8"/>
      <c r="T2647" s="310"/>
      <c r="U2647" s="310"/>
      <c r="V2647" s="4"/>
      <c r="W2647" s="4"/>
      <c r="X2647" s="4"/>
      <c r="Y2647" s="4"/>
      <c r="Z2647" s="4"/>
      <c r="AA2647" s="4"/>
      <c r="AB2647" s="380" t="str">
        <f>VLOOKUP($B2647,'D7 - NDB Impacted SPRF''s'!$E$16:$O$9929,4,FALSE)</f>
        <v>Cancelled</v>
      </c>
      <c r="AC2647" s="380" t="str">
        <f>VLOOKUP($B2647,'D7 - NDB Impacted SPRF''s'!$E$16:$O$9929,3,FALSE)</f>
        <v>UnitedHealthcare Employer &amp; Individual</v>
      </c>
      <c r="AD2647" s="380" t="str">
        <f>VLOOKUP($B2647,'D7 - NDB Impacted SPRF''s'!$E$16:$O$9929,5,FALSE)</f>
        <v>Network Growth / Enhancements</v>
      </c>
      <c r="AE2647" s="380" t="str">
        <f>VLOOKUP($B2647,'D7 - NDB Impacted SPRF''s'!$E$16:$O$9929,7,FALSE)</f>
        <v>Matt Guisinger</v>
      </c>
      <c r="AF2647" s="380" t="str">
        <f>VLOOKUP($B2647,'D7 - NDB Impacted SPRF''s'!$E$16:$O$9929,6,FALSE)</f>
        <v>ELIZABETH Young</v>
      </c>
      <c r="AG2647" s="282"/>
      <c r="AH2647" s="311" t="e">
        <f>INDEX('D5 - Gatekeeper - Projects'!$A$4:$AF$1010,$AM2647, 17)</f>
        <v>#N/A</v>
      </c>
      <c r="AI2647" s="8"/>
      <c r="AJ2647" s="57"/>
      <c r="AK2647" s="105"/>
      <c r="AM2647" s="6" t="e">
        <f>MATCH(D2647,'D5 - Gatekeeper - Projects'!$C$4:$C$1010,0)</f>
        <v>#N/A</v>
      </c>
      <c r="AN2647" s="6" t="b">
        <f t="shared" si="275"/>
        <v>1</v>
      </c>
      <c r="AO2647" s="6" t="str">
        <f t="shared" si="276"/>
        <v>OK</v>
      </c>
      <c r="AQ2647" s="6" t="e">
        <f>MATCH($D2647,'D4 - Provider Council Unsched'!$C$11:$C$234,0)</f>
        <v>#N/A</v>
      </c>
      <c r="AR2647" s="6" t="b">
        <f t="shared" si="277"/>
        <v>1</v>
      </c>
      <c r="AS2647" s="6" t="str">
        <f t="shared" si="274"/>
        <v>OK</v>
      </c>
      <c r="AU2647" s="202"/>
      <c r="AV2647" s="262"/>
      <c r="AW2647" s="274"/>
    </row>
    <row r="2648" spans="1:49" s="13" customFormat="1" ht="33.75" x14ac:dyDescent="0.2">
      <c r="A2648" s="14">
        <v>2624</v>
      </c>
      <c r="B2648" s="14">
        <v>400013682</v>
      </c>
      <c r="C2648" s="8" t="s">
        <v>5197</v>
      </c>
      <c r="D2648" s="4" t="str">
        <f t="shared" si="273"/>
        <v>400013682R1</v>
      </c>
      <c r="E2648" s="309" t="str">
        <f>VLOOKUP($B2648,'D7 - NDB Impacted SPRF''s'!$E$6:$O$9929,2,FALSE)</f>
        <v xml:space="preserve">NDB-EA Database Enhancements to Support Optum </v>
      </c>
      <c r="F2648" s="8" t="s">
        <v>4961</v>
      </c>
      <c r="G2648" s="8" t="s">
        <v>4758</v>
      </c>
      <c r="H2648" s="8" t="s">
        <v>2870</v>
      </c>
      <c r="I2648" s="20"/>
      <c r="J2648" s="8"/>
      <c r="K2648" s="182"/>
      <c r="L2648" s="8" t="s">
        <v>4156</v>
      </c>
      <c r="M2648" s="8" t="s">
        <v>2814</v>
      </c>
      <c r="N2648" s="38" t="s">
        <v>4914</v>
      </c>
      <c r="O2648" s="8"/>
      <c r="P2648" s="4" t="str">
        <f>VLOOKUP($B2648,'D7 - NDB Impacted SPRF''s'!$E$16:$O$9929,9,FALSE)</f>
        <v>N</v>
      </c>
      <c r="Q2648" s="4" t="str">
        <f>VLOOKUP($B2648,'D7 - NDB Impacted SPRF''s'!$E$16:$O$9929,10,FALSE)</f>
        <v>N</v>
      </c>
      <c r="R2648" s="4" t="str">
        <f>VLOOKUP($B2648,'D7 - NDB Impacted SPRF''s'!$E$16:$O$9929,11,FALSE)</f>
        <v>N</v>
      </c>
      <c r="S2648" s="8"/>
      <c r="T2648" s="310"/>
      <c r="U2648" s="310"/>
      <c r="V2648" s="4"/>
      <c r="W2648" s="4"/>
      <c r="X2648" s="4"/>
      <c r="Y2648" s="4"/>
      <c r="Z2648" s="4"/>
      <c r="AA2648" s="4"/>
      <c r="AB2648" s="380" t="str">
        <f>VLOOKUP($B2648,'D7 - NDB Impacted SPRF''s'!$E$16:$O$9929,4,FALSE)</f>
        <v>Cancelled</v>
      </c>
      <c r="AC2648" s="380" t="str">
        <f>VLOOKUP($B2648,'D7 - NDB Impacted SPRF''s'!$E$16:$O$9929,3,FALSE)</f>
        <v>UnitedHealthcare Employer &amp; Individual</v>
      </c>
      <c r="AD2648" s="380" t="str">
        <f>VLOOKUP($B2648,'D7 - NDB Impacted SPRF''s'!$E$16:$O$9929,5,FALSE)</f>
        <v>Network Growth / Enhancements</v>
      </c>
      <c r="AE2648" s="380" t="str">
        <f>VLOOKUP($B2648,'D7 - NDB Impacted SPRF''s'!$E$16:$O$9929,7,FALSE)</f>
        <v>Steven Mueller</v>
      </c>
      <c r="AF2648" s="380" t="str">
        <f>VLOOKUP($B2648,'D7 - NDB Impacted SPRF''s'!$E$16:$O$9929,6,FALSE)</f>
        <v>STEPHEN FINLEY</v>
      </c>
      <c r="AG2648" s="282"/>
      <c r="AH2648" s="311" t="e">
        <f>INDEX('D5 - Gatekeeper - Projects'!$A$4:$AF$1010,$AM2648, 17)</f>
        <v>#N/A</v>
      </c>
      <c r="AI2648" s="8"/>
      <c r="AJ2648" s="57"/>
      <c r="AK2648" s="105"/>
      <c r="AM2648" s="6" t="e">
        <f>MATCH(D2648,'D5 - Gatekeeper - Projects'!$C$4:$C$1010,0)</f>
        <v>#N/A</v>
      </c>
      <c r="AN2648" s="6" t="b">
        <f t="shared" si="275"/>
        <v>1</v>
      </c>
      <c r="AO2648" s="6" t="str">
        <f t="shared" si="276"/>
        <v>OK</v>
      </c>
      <c r="AQ2648" s="6" t="e">
        <f>MATCH($D2648,'D4 - Provider Council Unsched'!$C$11:$C$234,0)</f>
        <v>#N/A</v>
      </c>
      <c r="AR2648" s="6" t="b">
        <f t="shared" si="277"/>
        <v>1</v>
      </c>
      <c r="AS2648" s="6" t="str">
        <f t="shared" si="274"/>
        <v>OK</v>
      </c>
      <c r="AU2648" s="202"/>
      <c r="AV2648" s="262"/>
      <c r="AW2648" s="274"/>
    </row>
    <row r="2649" spans="1:49" s="13" customFormat="1" ht="33.75" x14ac:dyDescent="0.2">
      <c r="A2649" s="14">
        <v>2625</v>
      </c>
      <c r="B2649" s="14">
        <v>400013686</v>
      </c>
      <c r="C2649" s="8" t="s">
        <v>5197</v>
      </c>
      <c r="D2649" s="4" t="str">
        <f t="shared" si="273"/>
        <v>400013686R1</v>
      </c>
      <c r="E2649" s="309" t="str">
        <f>VLOOKUP($B2649,'D7 - NDB Impacted SPRF''s'!$E$6:$O$9929,2,FALSE)</f>
        <v>PHS Commercial Medical Mgmt Data Sharing</v>
      </c>
      <c r="F2649" s="8" t="s">
        <v>6071</v>
      </c>
      <c r="G2649" s="8" t="s">
        <v>4758</v>
      </c>
      <c r="H2649" s="8" t="s">
        <v>2870</v>
      </c>
      <c r="I2649" s="20"/>
      <c r="J2649" s="8"/>
      <c r="K2649" s="182"/>
      <c r="L2649" s="8" t="s">
        <v>4156</v>
      </c>
      <c r="M2649" s="8" t="s">
        <v>2814</v>
      </c>
      <c r="N2649" s="367" t="s">
        <v>5362</v>
      </c>
      <c r="O2649" s="8"/>
      <c r="P2649" s="4" t="str">
        <f>VLOOKUP($B2649,'D7 - NDB Impacted SPRF''s'!$E$16:$O$9929,9,FALSE)</f>
        <v>Y</v>
      </c>
      <c r="Q2649" s="4" t="str">
        <f>VLOOKUP($B2649,'D7 - NDB Impacted SPRF''s'!$E$16:$O$9929,10,FALSE)</f>
        <v>N</v>
      </c>
      <c r="R2649" s="4" t="str">
        <f>VLOOKUP($B2649,'D7 - NDB Impacted SPRF''s'!$E$16:$O$9929,11,FALSE)</f>
        <v>N</v>
      </c>
      <c r="S2649" s="8"/>
      <c r="T2649" s="310"/>
      <c r="U2649" s="310"/>
      <c r="V2649" s="4"/>
      <c r="W2649" s="4"/>
      <c r="X2649" s="4"/>
      <c r="Y2649" s="4"/>
      <c r="Z2649" s="4"/>
      <c r="AA2649" s="4"/>
      <c r="AB2649" s="380" t="str">
        <f>VLOOKUP($B2649,'D7 - NDB Impacted SPRF''s'!$E$16:$O$9929,4,FALSE)</f>
        <v>Cancelled</v>
      </c>
      <c r="AC2649" s="380" t="str">
        <f>VLOOKUP($B2649,'D7 - NDB Impacted SPRF''s'!$E$16:$O$9929,3,FALSE)</f>
        <v>UnitedHealthcare Employer &amp; Individual</v>
      </c>
      <c r="AD2649" s="380" t="str">
        <f>VLOOKUP($B2649,'D7 - NDB Impacted SPRF''s'!$E$16:$O$9929,5,FALSE)</f>
        <v>Pacificare Integration</v>
      </c>
      <c r="AE2649" s="380" t="str">
        <f>VLOOKUP($B2649,'D7 - NDB Impacted SPRF''s'!$E$16:$O$9929,7,FALSE)</f>
        <v>Diane Schofield</v>
      </c>
      <c r="AF2649" s="380" t="str">
        <f>VLOOKUP($B2649,'D7 - NDB Impacted SPRF''s'!$E$16:$O$9929,6,FALSE)</f>
        <v>Jennifer Steffens</v>
      </c>
      <c r="AG2649" s="282"/>
      <c r="AH2649" s="311" t="e">
        <f>INDEX('D5 - Gatekeeper - Projects'!$A$4:$AF$1010,$AM2649, 17)</f>
        <v>#N/A</v>
      </c>
      <c r="AI2649" s="8"/>
      <c r="AJ2649" s="57"/>
      <c r="AK2649" s="105"/>
      <c r="AM2649" s="6" t="e">
        <f>MATCH(D2649,'D5 - Gatekeeper - Projects'!$C$4:$C$1010,0)</f>
        <v>#N/A</v>
      </c>
      <c r="AN2649" s="6" t="b">
        <f t="shared" si="275"/>
        <v>1</v>
      </c>
      <c r="AO2649" s="6" t="str">
        <f t="shared" si="276"/>
        <v>OK</v>
      </c>
      <c r="AQ2649" s="6" t="e">
        <f>MATCH($D2649,'D4 - Provider Council Unsched'!$C$11:$C$234,0)</f>
        <v>#N/A</v>
      </c>
      <c r="AR2649" s="6" t="b">
        <f t="shared" si="277"/>
        <v>1</v>
      </c>
      <c r="AS2649" s="6" t="str">
        <f t="shared" si="274"/>
        <v>OK</v>
      </c>
      <c r="AU2649" s="202"/>
      <c r="AV2649" s="262"/>
      <c r="AW2649" s="274"/>
    </row>
    <row r="2650" spans="1:49" s="13" customFormat="1" ht="33.75" x14ac:dyDescent="0.2">
      <c r="A2650" s="14">
        <v>2626</v>
      </c>
      <c r="B2650" s="14">
        <v>400013694</v>
      </c>
      <c r="C2650" s="8" t="s">
        <v>5197</v>
      </c>
      <c r="D2650" s="4" t="str">
        <f t="shared" si="273"/>
        <v>400013694R1</v>
      </c>
      <c r="E2650" s="309" t="str">
        <f>VLOOKUP($B2650,'D7 - NDB Impacted SPRF''s'!$E$6:$O$9929,2,FALSE)</f>
        <v>NDB-EA - EPDL Enhancements to support Optum</v>
      </c>
      <c r="F2650" s="8" t="s">
        <v>4961</v>
      </c>
      <c r="G2650" s="8" t="s">
        <v>4758</v>
      </c>
      <c r="H2650" s="8" t="s">
        <v>2870</v>
      </c>
      <c r="I2650" s="20"/>
      <c r="J2650" s="8"/>
      <c r="K2650" s="182"/>
      <c r="L2650" s="8" t="s">
        <v>4156</v>
      </c>
      <c r="M2650" s="8" t="s">
        <v>2814</v>
      </c>
      <c r="N2650" s="38" t="s">
        <v>4914</v>
      </c>
      <c r="O2650" s="8"/>
      <c r="P2650" s="4" t="str">
        <f>VLOOKUP($B2650,'D7 - NDB Impacted SPRF''s'!$E$16:$O$9929,9,FALSE)</f>
        <v>N</v>
      </c>
      <c r="Q2650" s="4" t="str">
        <f>VLOOKUP($B2650,'D7 - NDB Impacted SPRF''s'!$E$16:$O$9929,10,FALSE)</f>
        <v>N</v>
      </c>
      <c r="R2650" s="4" t="str">
        <f>VLOOKUP($B2650,'D7 - NDB Impacted SPRF''s'!$E$16:$O$9929,11,FALSE)</f>
        <v>N</v>
      </c>
      <c r="S2650" s="8"/>
      <c r="T2650" s="310"/>
      <c r="U2650" s="310"/>
      <c r="V2650" s="4"/>
      <c r="W2650" s="4"/>
      <c r="X2650" s="4"/>
      <c r="Y2650" s="4"/>
      <c r="Z2650" s="4"/>
      <c r="AA2650" s="4"/>
      <c r="AB2650" s="380" t="str">
        <f>VLOOKUP($B2650,'D7 - NDB Impacted SPRF''s'!$E$16:$O$9929,4,FALSE)</f>
        <v>Cancelled</v>
      </c>
      <c r="AC2650" s="380" t="str">
        <f>VLOOKUP($B2650,'D7 - NDB Impacted SPRF''s'!$E$16:$O$9929,3,FALSE)</f>
        <v>UnitedHealthcare Employer &amp; Individual</v>
      </c>
      <c r="AD2650" s="380" t="str">
        <f>VLOOKUP($B2650,'D7 - NDB Impacted SPRF''s'!$E$16:$O$9929,5,FALSE)</f>
        <v>Network Growth / Enhancements</v>
      </c>
      <c r="AE2650" s="380" t="str">
        <f>VLOOKUP($B2650,'D7 - NDB Impacted SPRF''s'!$E$16:$O$9929,7,FALSE)</f>
        <v>Steve Mueller</v>
      </c>
      <c r="AF2650" s="380" t="str">
        <f>VLOOKUP($B2650,'D7 - NDB Impacted SPRF''s'!$E$16:$O$9929,6,FALSE)</f>
        <v>STEPHEN FINLEY</v>
      </c>
      <c r="AG2650" s="282"/>
      <c r="AH2650" s="311" t="e">
        <f>INDEX('D5 - Gatekeeper - Projects'!$A$4:$AF$1010,$AM2650, 17)</f>
        <v>#N/A</v>
      </c>
      <c r="AI2650" s="8"/>
      <c r="AJ2650" s="57"/>
      <c r="AK2650" s="105"/>
      <c r="AM2650" s="6" t="e">
        <f>MATCH(D2650,'D5 - Gatekeeper - Projects'!$C$4:$C$1010,0)</f>
        <v>#N/A</v>
      </c>
      <c r="AN2650" s="6" t="b">
        <f t="shared" si="275"/>
        <v>1</v>
      </c>
      <c r="AO2650" s="6" t="str">
        <f t="shared" si="276"/>
        <v>OK</v>
      </c>
      <c r="AQ2650" s="6" t="e">
        <f>MATCH($D2650,'D4 - Provider Council Unsched'!$C$11:$C$234,0)</f>
        <v>#N/A</v>
      </c>
      <c r="AR2650" s="6" t="b">
        <f t="shared" si="277"/>
        <v>1</v>
      </c>
      <c r="AS2650" s="6" t="str">
        <f t="shared" si="274"/>
        <v>OK</v>
      </c>
      <c r="AU2650" s="202"/>
      <c r="AV2650" s="262"/>
      <c r="AW2650" s="274"/>
    </row>
    <row r="2651" spans="1:49" s="13" customFormat="1" ht="33.75" x14ac:dyDescent="0.2">
      <c r="A2651" s="14">
        <v>2627</v>
      </c>
      <c r="B2651" s="14">
        <v>400013696</v>
      </c>
      <c r="C2651" s="8" t="s">
        <v>5197</v>
      </c>
      <c r="D2651" s="4" t="str">
        <f t="shared" ref="D2651:D2714" si="278">CONCATENATE(B2651,C2651)</f>
        <v>400013696R1</v>
      </c>
      <c r="E2651" s="309" t="str">
        <f>VLOOKUP($B2651,'D7 - NDB Impacted SPRF''s'!$E$6:$O$9929,2,FALSE)</f>
        <v>NDB-EA Develop Optum HC3 to NDB provider search</v>
      </c>
      <c r="F2651" s="8" t="s">
        <v>4961</v>
      </c>
      <c r="G2651" s="8" t="s">
        <v>4758</v>
      </c>
      <c r="H2651" s="8" t="s">
        <v>2870</v>
      </c>
      <c r="I2651" s="20"/>
      <c r="J2651" s="8"/>
      <c r="K2651" s="182"/>
      <c r="L2651" s="8" t="s">
        <v>4156</v>
      </c>
      <c r="M2651" s="8" t="s">
        <v>2814</v>
      </c>
      <c r="N2651" s="38" t="s">
        <v>4914</v>
      </c>
      <c r="O2651" s="8"/>
      <c r="P2651" s="4" t="str">
        <f>VLOOKUP($B2651,'D7 - NDB Impacted SPRF''s'!$E$16:$O$9929,9,FALSE)</f>
        <v>N</v>
      </c>
      <c r="Q2651" s="4" t="str">
        <f>VLOOKUP($B2651,'D7 - NDB Impacted SPRF''s'!$E$16:$O$9929,10,FALSE)</f>
        <v>N</v>
      </c>
      <c r="R2651" s="4" t="str">
        <f>VLOOKUP($B2651,'D7 - NDB Impacted SPRF''s'!$E$16:$O$9929,11,FALSE)</f>
        <v>N</v>
      </c>
      <c r="S2651" s="8"/>
      <c r="T2651" s="310"/>
      <c r="U2651" s="310"/>
      <c r="V2651" s="4"/>
      <c r="W2651" s="4"/>
      <c r="X2651" s="4"/>
      <c r="Y2651" s="4"/>
      <c r="Z2651" s="4"/>
      <c r="AA2651" s="4"/>
      <c r="AB2651" s="380" t="str">
        <f>VLOOKUP($B2651,'D7 - NDB Impacted SPRF''s'!$E$16:$O$9929,4,FALSE)</f>
        <v>Cancelled</v>
      </c>
      <c r="AC2651" s="380" t="str">
        <f>VLOOKUP($B2651,'D7 - NDB Impacted SPRF''s'!$E$16:$O$9929,3,FALSE)</f>
        <v>UnitedHealthcare Employer &amp; Individual</v>
      </c>
      <c r="AD2651" s="380" t="str">
        <f>VLOOKUP($B2651,'D7 - NDB Impacted SPRF''s'!$E$16:$O$9929,5,FALSE)</f>
        <v>Network Growth / Enhancements</v>
      </c>
      <c r="AE2651" s="380" t="str">
        <f>VLOOKUP($B2651,'D7 - NDB Impacted SPRF''s'!$E$16:$O$9929,7,FALSE)</f>
        <v>Steve Mueller</v>
      </c>
      <c r="AF2651" s="380" t="str">
        <f>VLOOKUP($B2651,'D7 - NDB Impacted SPRF''s'!$E$16:$O$9929,6,FALSE)</f>
        <v>STEPHEN FINLEY</v>
      </c>
      <c r="AG2651" s="282"/>
      <c r="AH2651" s="311" t="e">
        <f>INDEX('D5 - Gatekeeper - Projects'!$A$4:$AF$1010,$AM2651, 17)</f>
        <v>#N/A</v>
      </c>
      <c r="AI2651" s="8"/>
      <c r="AJ2651" s="57"/>
      <c r="AK2651" s="105"/>
      <c r="AM2651" s="6" t="e">
        <f>MATCH(D2651,'D5 - Gatekeeper - Projects'!$C$4:$C$1010,0)</f>
        <v>#N/A</v>
      </c>
      <c r="AN2651" s="6" t="b">
        <f t="shared" si="275"/>
        <v>1</v>
      </c>
      <c r="AO2651" s="6" t="str">
        <f t="shared" si="276"/>
        <v>OK</v>
      </c>
      <c r="AQ2651" s="6" t="e">
        <f>MATCH($D2651,'D4 - Provider Council Unsched'!$C$11:$C$234,0)</f>
        <v>#N/A</v>
      </c>
      <c r="AR2651" s="6" t="b">
        <f t="shared" si="277"/>
        <v>1</v>
      </c>
      <c r="AS2651" s="6" t="str">
        <f t="shared" si="274"/>
        <v>OK</v>
      </c>
      <c r="AU2651" s="202"/>
      <c r="AV2651" s="262"/>
      <c r="AW2651" s="274"/>
    </row>
    <row r="2652" spans="1:49" s="13" customFormat="1" ht="33.75" x14ac:dyDescent="0.2">
      <c r="A2652" s="14">
        <v>2628</v>
      </c>
      <c r="B2652" s="14">
        <v>400013697</v>
      </c>
      <c r="C2652" s="8" t="s">
        <v>5197</v>
      </c>
      <c r="D2652" s="4" t="str">
        <f t="shared" si="278"/>
        <v>400013697R1</v>
      </c>
      <c r="E2652" s="309" t="str">
        <f>VLOOKUP($B2652,'D7 - NDB Impacted SPRF''s'!$E$6:$O$9929,2,FALSE)</f>
        <v>NDB-EA Enhance Optum CCS to NDB provider search</v>
      </c>
      <c r="F2652" s="8" t="s">
        <v>4961</v>
      </c>
      <c r="G2652" s="8" t="s">
        <v>4758</v>
      </c>
      <c r="H2652" s="8" t="s">
        <v>2870</v>
      </c>
      <c r="I2652" s="20"/>
      <c r="J2652" s="8"/>
      <c r="K2652" s="182"/>
      <c r="L2652" s="8" t="s">
        <v>4156</v>
      </c>
      <c r="M2652" s="8" t="s">
        <v>2814</v>
      </c>
      <c r="N2652" s="38" t="s">
        <v>4914</v>
      </c>
      <c r="O2652" s="8"/>
      <c r="P2652" s="4" t="str">
        <f>VLOOKUP($B2652,'D7 - NDB Impacted SPRF''s'!$E$16:$O$9929,9,FALSE)</f>
        <v>N</v>
      </c>
      <c r="Q2652" s="4" t="str">
        <f>VLOOKUP($B2652,'D7 - NDB Impacted SPRF''s'!$E$16:$O$9929,10,FALSE)</f>
        <v>N</v>
      </c>
      <c r="R2652" s="4" t="str">
        <f>VLOOKUP($B2652,'D7 - NDB Impacted SPRF''s'!$E$16:$O$9929,11,FALSE)</f>
        <v>N</v>
      </c>
      <c r="S2652" s="8"/>
      <c r="T2652" s="310"/>
      <c r="U2652" s="310"/>
      <c r="V2652" s="4"/>
      <c r="W2652" s="4"/>
      <c r="X2652" s="4"/>
      <c r="Y2652" s="4"/>
      <c r="Z2652" s="4"/>
      <c r="AA2652" s="4"/>
      <c r="AB2652" s="380" t="str">
        <f>VLOOKUP($B2652,'D7 - NDB Impacted SPRF''s'!$E$16:$O$9929,4,FALSE)</f>
        <v>Cancelled</v>
      </c>
      <c r="AC2652" s="380" t="str">
        <f>VLOOKUP($B2652,'D7 - NDB Impacted SPRF''s'!$E$16:$O$9929,3,FALSE)</f>
        <v>UnitedHealthcare Employer &amp; Individual</v>
      </c>
      <c r="AD2652" s="380" t="str">
        <f>VLOOKUP($B2652,'D7 - NDB Impacted SPRF''s'!$E$16:$O$9929,5,FALSE)</f>
        <v>Network Growth / Enhancements</v>
      </c>
      <c r="AE2652" s="380" t="str">
        <f>VLOOKUP($B2652,'D7 - NDB Impacted SPRF''s'!$E$16:$O$9929,7,FALSE)</f>
        <v>Steve Mueller</v>
      </c>
      <c r="AF2652" s="380" t="str">
        <f>VLOOKUP($B2652,'D7 - NDB Impacted SPRF''s'!$E$16:$O$9929,6,FALSE)</f>
        <v>STEPHEN FINLEY</v>
      </c>
      <c r="AG2652" s="282"/>
      <c r="AH2652" s="311" t="e">
        <f>INDEX('D5 - Gatekeeper - Projects'!$A$4:$AF$1010,$AM2652, 17)</f>
        <v>#N/A</v>
      </c>
      <c r="AI2652" s="8"/>
      <c r="AJ2652" s="57"/>
      <c r="AK2652" s="105"/>
      <c r="AM2652" s="6" t="e">
        <f>MATCH(D2652,'D5 - Gatekeeper - Projects'!$C$4:$C$1010,0)</f>
        <v>#N/A</v>
      </c>
      <c r="AN2652" s="6" t="b">
        <f t="shared" si="275"/>
        <v>1</v>
      </c>
      <c r="AO2652" s="6" t="str">
        <f t="shared" si="276"/>
        <v>OK</v>
      </c>
      <c r="AQ2652" s="6" t="e">
        <f>MATCH($D2652,'D4 - Provider Council Unsched'!$C$11:$C$234,0)</f>
        <v>#N/A</v>
      </c>
      <c r="AR2652" s="6" t="b">
        <f t="shared" si="277"/>
        <v>1</v>
      </c>
      <c r="AS2652" s="6" t="str">
        <f t="shared" si="274"/>
        <v>OK</v>
      </c>
      <c r="AU2652" s="202"/>
      <c r="AV2652" s="262"/>
      <c r="AW2652" s="274"/>
    </row>
    <row r="2653" spans="1:49" s="13" customFormat="1" ht="33.75" x14ac:dyDescent="0.2">
      <c r="A2653" s="14">
        <v>2629</v>
      </c>
      <c r="B2653" s="14">
        <v>400013931</v>
      </c>
      <c r="C2653" s="8" t="s">
        <v>3286</v>
      </c>
      <c r="D2653" s="4" t="str">
        <f t="shared" si="278"/>
        <v>400013931CC02</v>
      </c>
      <c r="E2653" s="309" t="str">
        <f>VLOOKUP($B2653,'D7 - NDB Impacted SPRF''s'!$E$6:$O$9929,2,FALSE)</f>
        <v>PHS HMO Data Sharing</v>
      </c>
      <c r="F2653" s="8" t="s">
        <v>4041</v>
      </c>
      <c r="G2653" s="8" t="s">
        <v>4758</v>
      </c>
      <c r="H2653" s="8" t="s">
        <v>2870</v>
      </c>
      <c r="I2653" s="20">
        <v>1.07</v>
      </c>
      <c r="J2653" s="8" t="s">
        <v>4862</v>
      </c>
      <c r="K2653" s="182"/>
      <c r="L2653" s="8" t="s">
        <v>4156</v>
      </c>
      <c r="M2653" s="8" t="s">
        <v>2814</v>
      </c>
      <c r="N2653" s="38" t="s">
        <v>3761</v>
      </c>
      <c r="O2653" s="8"/>
      <c r="P2653" s="4" t="str">
        <f>VLOOKUP($B2653,'D7 - NDB Impacted SPRF''s'!$E$16:$O$9929,9,FALSE)</f>
        <v>Y</v>
      </c>
      <c r="Q2653" s="4" t="str">
        <f>VLOOKUP($B2653,'D7 - NDB Impacted SPRF''s'!$E$16:$O$9929,10,FALSE)</f>
        <v>N</v>
      </c>
      <c r="R2653" s="4" t="str">
        <f>VLOOKUP($B2653,'D7 - NDB Impacted SPRF''s'!$E$16:$O$9929,11,FALSE)</f>
        <v>N</v>
      </c>
      <c r="S2653" s="8"/>
      <c r="T2653" s="310"/>
      <c r="U2653" s="310"/>
      <c r="V2653" s="4"/>
      <c r="W2653" s="4"/>
      <c r="X2653" s="4"/>
      <c r="Y2653" s="4"/>
      <c r="Z2653" s="4"/>
      <c r="AA2653" s="4"/>
      <c r="AB2653" s="380" t="str">
        <f>VLOOKUP($B2653,'D7 - NDB Impacted SPRF''s'!$E$16:$O$9929,4,FALSE)</f>
        <v>Completed</v>
      </c>
      <c r="AC2653" s="380" t="str">
        <f>VLOOKUP($B2653,'D7 - NDB Impacted SPRF''s'!$E$16:$O$9929,3,FALSE)</f>
        <v>UnitedHealthcare Employer &amp; Individual</v>
      </c>
      <c r="AD2653" s="380" t="str">
        <f>VLOOKUP($B2653,'D7 - NDB Impacted SPRF''s'!$E$16:$O$9929,5,FALSE)</f>
        <v>Integration Requirements</v>
      </c>
      <c r="AE2653" s="380" t="str">
        <f>VLOOKUP($B2653,'D7 - NDB Impacted SPRF''s'!$E$16:$O$9929,7,FALSE)</f>
        <v>Diane Schofield</v>
      </c>
      <c r="AF2653" s="380" t="str">
        <f>VLOOKUP($B2653,'D7 - NDB Impacted SPRF''s'!$E$16:$O$9929,6,FALSE)</f>
        <v>Jennifer Steffens</v>
      </c>
      <c r="AG2653" s="282"/>
      <c r="AH2653" s="311" t="e">
        <f>INDEX('D5 - Gatekeeper - Projects'!$A$4:$AF$1010,$AM2653, 17)</f>
        <v>#N/A</v>
      </c>
      <c r="AI2653" s="8"/>
      <c r="AJ2653" s="57"/>
      <c r="AK2653" s="105"/>
      <c r="AM2653" s="6" t="e">
        <f>MATCH(D2653,'D5 - Gatekeeper - Projects'!$C$4:$C$1010,0)</f>
        <v>#N/A</v>
      </c>
      <c r="AN2653" s="6" t="b">
        <f t="shared" si="275"/>
        <v>1</v>
      </c>
      <c r="AO2653" s="6" t="str">
        <f t="shared" si="276"/>
        <v>OK</v>
      </c>
      <c r="AQ2653" s="6" t="e">
        <f>MATCH($D2653,'D4 - Provider Council Unsched'!$C$11:$C$234,0)</f>
        <v>#N/A</v>
      </c>
      <c r="AR2653" s="6" t="b">
        <f t="shared" si="277"/>
        <v>1</v>
      </c>
      <c r="AS2653" s="6" t="str">
        <f t="shared" si="274"/>
        <v>OK</v>
      </c>
      <c r="AU2653" s="202"/>
      <c r="AV2653" s="262"/>
      <c r="AW2653" s="274"/>
    </row>
    <row r="2654" spans="1:49" s="13" customFormat="1" ht="33.75" x14ac:dyDescent="0.2">
      <c r="A2654" s="14">
        <v>2630</v>
      </c>
      <c r="B2654" s="14">
        <v>400014076</v>
      </c>
      <c r="C2654" s="8" t="s">
        <v>5197</v>
      </c>
      <c r="D2654" s="4" t="str">
        <f t="shared" si="278"/>
        <v>400014076R1</v>
      </c>
      <c r="E2654" s="309" t="str">
        <f>VLOOKUP($B2654,'D7 - NDB Impacted SPRF''s'!$E$6:$O$9929,2,FALSE)</f>
        <v>Americhoice Rhode Island EPDE file</v>
      </c>
      <c r="F2654" s="8" t="s">
        <v>2464</v>
      </c>
      <c r="G2654" s="8" t="s">
        <v>4758</v>
      </c>
      <c r="H2654" s="8" t="s">
        <v>2870</v>
      </c>
      <c r="I2654" s="20"/>
      <c r="J2654" s="8"/>
      <c r="K2654" s="182"/>
      <c r="L2654" s="8" t="s">
        <v>4156</v>
      </c>
      <c r="M2654" s="8" t="s">
        <v>2814</v>
      </c>
      <c r="N2654" s="367" t="s">
        <v>6062</v>
      </c>
      <c r="O2654" s="8"/>
      <c r="P2654" s="4" t="str">
        <f>VLOOKUP($B2654,'D7 - NDB Impacted SPRF''s'!$E$16:$O$9929,9,FALSE)</f>
        <v>N</v>
      </c>
      <c r="Q2654" s="4" t="str">
        <f>VLOOKUP($B2654,'D7 - NDB Impacted SPRF''s'!$E$16:$O$9929,10,FALSE)</f>
        <v>N</v>
      </c>
      <c r="R2654" s="4" t="str">
        <f>VLOOKUP($B2654,'D7 - NDB Impacted SPRF''s'!$E$16:$O$9929,11,FALSE)</f>
        <v>N</v>
      </c>
      <c r="S2654" s="8"/>
      <c r="T2654" s="310"/>
      <c r="U2654" s="310"/>
      <c r="V2654" s="4"/>
      <c r="W2654" s="4"/>
      <c r="X2654" s="4"/>
      <c r="Y2654" s="4"/>
      <c r="Z2654" s="4"/>
      <c r="AA2654" s="4"/>
      <c r="AB2654" s="380" t="str">
        <f>VLOOKUP($B2654,'D7 - NDB Impacted SPRF''s'!$E$16:$O$9929,4,FALSE)</f>
        <v>Cancelled</v>
      </c>
      <c r="AC2654" s="380" t="str">
        <f>VLOOKUP($B2654,'D7 - NDB Impacted SPRF''s'!$E$16:$O$9929,3,FALSE)</f>
        <v>UnitedHealthcare Community &amp; State</v>
      </c>
      <c r="AD2654" s="380" t="str">
        <f>VLOOKUP($B2654,'D7 - NDB Impacted SPRF''s'!$E$16:$O$9929,5,FALSE)</f>
        <v>AmeriChoice</v>
      </c>
      <c r="AE2654" s="380" t="str">
        <f>VLOOKUP($B2654,'D7 - NDB Impacted SPRF''s'!$E$16:$O$9929,7,FALSE)</f>
        <v>Garfield Collins</v>
      </c>
      <c r="AF2654" s="380" t="str">
        <f>VLOOKUP($B2654,'D7 - NDB Impacted SPRF''s'!$E$16:$O$9929,6,FALSE)</f>
        <v>ROB WILSON</v>
      </c>
      <c r="AG2654" s="282"/>
      <c r="AH2654" s="311" t="e">
        <f>INDEX('D5 - Gatekeeper - Projects'!$A$4:$AF$1010,$AM2654, 17)</f>
        <v>#N/A</v>
      </c>
      <c r="AI2654" s="8"/>
      <c r="AJ2654" s="57"/>
      <c r="AK2654" s="105"/>
      <c r="AM2654" s="6" t="e">
        <f>MATCH(D2654,'D5 - Gatekeeper - Projects'!$C$4:$C$1010,0)</f>
        <v>#N/A</v>
      </c>
      <c r="AN2654" s="6" t="b">
        <f t="shared" si="275"/>
        <v>1</v>
      </c>
      <c r="AO2654" s="6" t="str">
        <f t="shared" si="276"/>
        <v>OK</v>
      </c>
      <c r="AQ2654" s="6" t="e">
        <f>MATCH($D2654,'D4 - Provider Council Unsched'!$C$11:$C$234,0)</f>
        <v>#N/A</v>
      </c>
      <c r="AR2654" s="6" t="b">
        <f t="shared" si="277"/>
        <v>1</v>
      </c>
      <c r="AS2654" s="6" t="str">
        <f t="shared" si="274"/>
        <v>OK</v>
      </c>
      <c r="AU2654" s="202"/>
      <c r="AV2654" s="262"/>
      <c r="AW2654" s="274"/>
    </row>
    <row r="2655" spans="1:49" s="13" customFormat="1" ht="33.75" x14ac:dyDescent="0.2">
      <c r="A2655" s="14">
        <v>2631</v>
      </c>
      <c r="B2655" s="14">
        <v>400014077</v>
      </c>
      <c r="C2655" s="8" t="s">
        <v>5197</v>
      </c>
      <c r="D2655" s="4" t="str">
        <f t="shared" si="278"/>
        <v>400014077R1</v>
      </c>
      <c r="E2655" s="309" t="str">
        <f>VLOOKUP($B2655,'D7 - NDB Impacted SPRF''s'!$E$6:$O$9929,2,FALSE)</f>
        <v>Americhoice Florida NDB EPDE file</v>
      </c>
      <c r="F2655" s="8" t="s">
        <v>2464</v>
      </c>
      <c r="G2655" s="8" t="s">
        <v>4758</v>
      </c>
      <c r="H2655" s="8" t="s">
        <v>2870</v>
      </c>
      <c r="I2655" s="20"/>
      <c r="J2655" s="8"/>
      <c r="K2655" s="182"/>
      <c r="L2655" s="8" t="s">
        <v>4156</v>
      </c>
      <c r="M2655" s="8" t="s">
        <v>2814</v>
      </c>
      <c r="N2655" s="367" t="s">
        <v>6062</v>
      </c>
      <c r="O2655" s="8"/>
      <c r="P2655" s="4" t="str">
        <f>VLOOKUP($B2655,'D7 - NDB Impacted SPRF''s'!$E$16:$O$9929,9,FALSE)</f>
        <v>N</v>
      </c>
      <c r="Q2655" s="4" t="str">
        <f>VLOOKUP($B2655,'D7 - NDB Impacted SPRF''s'!$E$16:$O$9929,10,FALSE)</f>
        <v>N</v>
      </c>
      <c r="R2655" s="4" t="str">
        <f>VLOOKUP($B2655,'D7 - NDB Impacted SPRF''s'!$E$16:$O$9929,11,FALSE)</f>
        <v>N</v>
      </c>
      <c r="S2655" s="8"/>
      <c r="T2655" s="310"/>
      <c r="U2655" s="310"/>
      <c r="V2655" s="4"/>
      <c r="W2655" s="4"/>
      <c r="X2655" s="4"/>
      <c r="Y2655" s="4"/>
      <c r="Z2655" s="4"/>
      <c r="AA2655" s="4"/>
      <c r="AB2655" s="380" t="str">
        <f>VLOOKUP($B2655,'D7 - NDB Impacted SPRF''s'!$E$16:$O$9929,4,FALSE)</f>
        <v>Cancelled</v>
      </c>
      <c r="AC2655" s="380" t="str">
        <f>VLOOKUP($B2655,'D7 - NDB Impacted SPRF''s'!$E$16:$O$9929,3,FALSE)</f>
        <v>UnitedHealthcare Community &amp; State</v>
      </c>
      <c r="AD2655" s="380" t="str">
        <f>VLOOKUP($B2655,'D7 - NDB Impacted SPRF''s'!$E$16:$O$9929,5,FALSE)</f>
        <v>AmeriChoice</v>
      </c>
      <c r="AE2655" s="380" t="str">
        <f>VLOOKUP($B2655,'D7 - NDB Impacted SPRF''s'!$E$16:$O$9929,7,FALSE)</f>
        <v>Garfield Collins</v>
      </c>
      <c r="AF2655" s="380" t="str">
        <f>VLOOKUP($B2655,'D7 - NDB Impacted SPRF''s'!$E$16:$O$9929,6,FALSE)</f>
        <v>ROB WILSON</v>
      </c>
      <c r="AG2655" s="282"/>
      <c r="AH2655" s="311" t="e">
        <f>INDEX('D5 - Gatekeeper - Projects'!$A$4:$AF$1010,$AM2655, 17)</f>
        <v>#N/A</v>
      </c>
      <c r="AI2655" s="8"/>
      <c r="AJ2655" s="57"/>
      <c r="AK2655" s="105"/>
      <c r="AM2655" s="6" t="e">
        <f>MATCH(D2655,'D5 - Gatekeeper - Projects'!$C$4:$C$1010,0)</f>
        <v>#N/A</v>
      </c>
      <c r="AN2655" s="6" t="b">
        <f t="shared" si="275"/>
        <v>1</v>
      </c>
      <c r="AO2655" s="6" t="str">
        <f t="shared" si="276"/>
        <v>OK</v>
      </c>
      <c r="AQ2655" s="6" t="e">
        <f>MATCH($D2655,'D4 - Provider Council Unsched'!$C$11:$C$234,0)</f>
        <v>#N/A</v>
      </c>
      <c r="AR2655" s="6" t="b">
        <f t="shared" si="277"/>
        <v>1</v>
      </c>
      <c r="AS2655" s="6" t="str">
        <f t="shared" si="274"/>
        <v>OK</v>
      </c>
      <c r="AU2655" s="202"/>
      <c r="AV2655" s="262"/>
      <c r="AW2655" s="274"/>
    </row>
    <row r="2656" spans="1:49" s="13" customFormat="1" ht="90" x14ac:dyDescent="0.2">
      <c r="A2656" s="14">
        <v>2632</v>
      </c>
      <c r="B2656" s="14">
        <v>400014470</v>
      </c>
      <c r="C2656" s="8" t="s">
        <v>6291</v>
      </c>
      <c r="D2656" s="4" t="str">
        <f t="shared" si="278"/>
        <v>400014470CC03</v>
      </c>
      <c r="E2656" s="309" t="str">
        <f>VLOOKUP($B2656,'D7 - NDB Impacted SPRF''s'!$E$6:$O$9929,2,FALSE)</f>
        <v>HPHC1 - Anesthesia Calculation - Estimate only</v>
      </c>
      <c r="F2656" s="8" t="s">
        <v>5196</v>
      </c>
      <c r="G2656" s="8" t="s">
        <v>4758</v>
      </c>
      <c r="H2656" s="8" t="s">
        <v>2870</v>
      </c>
      <c r="I2656" s="20">
        <v>4.47</v>
      </c>
      <c r="J2656" s="8" t="s">
        <v>4862</v>
      </c>
      <c r="K2656" s="182"/>
      <c r="L2656" s="8" t="s">
        <v>4156</v>
      </c>
      <c r="M2656" s="8" t="s">
        <v>2814</v>
      </c>
      <c r="N2656" s="38" t="s">
        <v>7492</v>
      </c>
      <c r="O2656" s="8"/>
      <c r="P2656" s="4" t="str">
        <f>VLOOKUP($B2656,'D7 - NDB Impacted SPRF''s'!$E$16:$O$9929,9,FALSE)</f>
        <v>Y</v>
      </c>
      <c r="Q2656" s="4" t="str">
        <f>VLOOKUP($B2656,'D7 - NDB Impacted SPRF''s'!$E$16:$O$9929,10,FALSE)</f>
        <v>N</v>
      </c>
      <c r="R2656" s="4" t="str">
        <f>VLOOKUP($B2656,'D7 - NDB Impacted SPRF''s'!$E$16:$O$9929,11,FALSE)</f>
        <v>Y</v>
      </c>
      <c r="S2656" s="8"/>
      <c r="T2656" s="310"/>
      <c r="U2656" s="310"/>
      <c r="V2656" s="4"/>
      <c r="W2656" s="4"/>
      <c r="X2656" s="4"/>
      <c r="Y2656" s="4"/>
      <c r="Z2656" s="4"/>
      <c r="AA2656" s="4"/>
      <c r="AB2656" s="380" t="str">
        <f>VLOOKUP($B2656,'D7 - NDB Impacted SPRF''s'!$E$16:$O$9929,4,FALSE)</f>
        <v>Completed</v>
      </c>
      <c r="AC2656" s="380" t="str">
        <f>VLOOKUP($B2656,'D7 - NDB Impacted SPRF''s'!$E$16:$O$9929,3,FALSE)</f>
        <v>Alliance</v>
      </c>
      <c r="AD2656" s="380" t="str">
        <f>VLOOKUP($B2656,'D7 - NDB Impacted SPRF''s'!$E$16:$O$9929,5,FALSE)</f>
        <v>Harvard Pilgrim Service Alliance</v>
      </c>
      <c r="AE2656" s="380" t="str">
        <f>VLOOKUP($B2656,'D7 - NDB Impacted SPRF''s'!$E$16:$O$9929,7,FALSE)</f>
        <v>Sally Verilli</v>
      </c>
      <c r="AF2656" s="380" t="str">
        <f>VLOOKUP($B2656,'D7 - NDB Impacted SPRF''s'!$E$16:$O$9929,6,FALSE)</f>
        <v>DAWN BOLLER</v>
      </c>
      <c r="AG2656" s="282"/>
      <c r="AH2656" s="311" t="e">
        <f>INDEX('D5 - Gatekeeper - Projects'!$A$4:$AF$1010,$AM2656, 17)</f>
        <v>#N/A</v>
      </c>
      <c r="AI2656" s="8"/>
      <c r="AJ2656" s="57"/>
      <c r="AK2656" s="105"/>
      <c r="AM2656" s="6" t="e">
        <f>MATCH(D2656,'D5 - Gatekeeper - Projects'!$C$4:$C$1010,0)</f>
        <v>#N/A</v>
      </c>
      <c r="AN2656" s="6" t="b">
        <f t="shared" si="275"/>
        <v>1</v>
      </c>
      <c r="AO2656" s="6" t="str">
        <f t="shared" si="276"/>
        <v>OK</v>
      </c>
      <c r="AQ2656" s="6" t="e">
        <f>MATCH($D2656,'D4 - Provider Council Unsched'!$C$11:$C$234,0)</f>
        <v>#N/A</v>
      </c>
      <c r="AR2656" s="6" t="b">
        <f t="shared" si="277"/>
        <v>1</v>
      </c>
      <c r="AS2656" s="6" t="str">
        <f t="shared" si="274"/>
        <v>OK</v>
      </c>
      <c r="AU2656" s="202"/>
      <c r="AV2656" s="262"/>
      <c r="AW2656" s="274"/>
    </row>
    <row r="2657" spans="1:49" s="13" customFormat="1" x14ac:dyDescent="0.2">
      <c r="A2657" s="14">
        <v>2633</v>
      </c>
      <c r="B2657" s="14">
        <v>400014509</v>
      </c>
      <c r="C2657" s="8" t="s">
        <v>5197</v>
      </c>
      <c r="D2657" s="4" t="str">
        <f t="shared" si="278"/>
        <v>400014509R1</v>
      </c>
      <c r="E2657" s="309" t="str">
        <f>VLOOKUP($B2657,'D7 - NDB Impacted SPRF''s'!$E$6:$O$9929,2,FALSE)</f>
        <v>ADR to PlanView Migration</v>
      </c>
      <c r="F2657" s="8" t="s">
        <v>2114</v>
      </c>
      <c r="G2657" s="8" t="s">
        <v>4758</v>
      </c>
      <c r="H2657" s="8" t="s">
        <v>2870</v>
      </c>
      <c r="I2657" s="20"/>
      <c r="J2657" s="8"/>
      <c r="K2657" s="182"/>
      <c r="L2657" s="8" t="s">
        <v>4156</v>
      </c>
      <c r="M2657" s="8" t="s">
        <v>2814</v>
      </c>
      <c r="N2657" s="367" t="s">
        <v>6267</v>
      </c>
      <c r="O2657" s="8"/>
      <c r="P2657" s="4" t="str">
        <f>VLOOKUP($B2657,'D7 - NDB Impacted SPRF''s'!$E$16:$O$9929,9,FALSE)</f>
        <v>Y</v>
      </c>
      <c r="Q2657" s="4" t="str">
        <f>VLOOKUP($B2657,'D7 - NDB Impacted SPRF''s'!$E$16:$O$9929,10,FALSE)</f>
        <v>N</v>
      </c>
      <c r="R2657" s="4" t="str">
        <f>VLOOKUP($B2657,'D7 - NDB Impacted SPRF''s'!$E$16:$O$9929,11,FALSE)</f>
        <v>N</v>
      </c>
      <c r="S2657" s="8"/>
      <c r="T2657" s="310"/>
      <c r="U2657" s="310"/>
      <c r="V2657" s="4"/>
      <c r="W2657" s="4"/>
      <c r="X2657" s="4"/>
      <c r="Y2657" s="4"/>
      <c r="Z2657" s="4"/>
      <c r="AA2657" s="4"/>
      <c r="AB2657" s="380" t="str">
        <f>VLOOKUP($B2657,'D7 - NDB Impacted SPRF''s'!$E$16:$O$9929,4,FALSE)</f>
        <v>Cancelled</v>
      </c>
      <c r="AC2657" s="380" t="str">
        <f>VLOOKUP($B2657,'D7 - NDB Impacted SPRF''s'!$E$16:$O$9929,3,FALSE)</f>
        <v>Uniprise</v>
      </c>
      <c r="AD2657" s="380" t="str">
        <f>VLOOKUP($B2657,'D7 - NDB Impacted SPRF''s'!$E$16:$O$9929,5,FALSE)</f>
        <v>Uniprise Technologies - DDC</v>
      </c>
      <c r="AE2657" s="380" t="str">
        <f>VLOOKUP($B2657,'D7 - NDB Impacted SPRF''s'!$E$16:$O$9929,7,FALSE)</f>
        <v>Kelly Clark</v>
      </c>
      <c r="AF2657" s="380" t="str">
        <f>VLOOKUP($B2657,'D7 - NDB Impacted SPRF''s'!$E$16:$O$9929,6,FALSE)</f>
        <v>David Roy</v>
      </c>
      <c r="AG2657" s="282"/>
      <c r="AH2657" s="311" t="e">
        <f>INDEX('D5 - Gatekeeper - Projects'!$A$4:$AF$1010,$AM2657, 17)</f>
        <v>#N/A</v>
      </c>
      <c r="AI2657" s="8"/>
      <c r="AJ2657" s="57"/>
      <c r="AK2657" s="105"/>
      <c r="AM2657" s="6" t="e">
        <f>MATCH(D2657,'D5 - Gatekeeper - Projects'!$C$4:$C$1010,0)</f>
        <v>#N/A</v>
      </c>
      <c r="AN2657" s="6" t="b">
        <f t="shared" si="275"/>
        <v>1</v>
      </c>
      <c r="AO2657" s="6" t="str">
        <f t="shared" si="276"/>
        <v>OK</v>
      </c>
      <c r="AQ2657" s="6" t="e">
        <f>MATCH($D2657,'D4 - Provider Council Unsched'!$C$11:$C$234,0)</f>
        <v>#N/A</v>
      </c>
      <c r="AR2657" s="6" t="b">
        <f t="shared" si="277"/>
        <v>1</v>
      </c>
      <c r="AS2657" s="6" t="str">
        <f t="shared" si="274"/>
        <v>OK</v>
      </c>
      <c r="AU2657" s="202"/>
      <c r="AV2657" s="262"/>
      <c r="AW2657" s="274"/>
    </row>
    <row r="2658" spans="1:49" s="13" customFormat="1" ht="33.75" x14ac:dyDescent="0.2">
      <c r="A2658" s="14">
        <v>2634</v>
      </c>
      <c r="B2658" s="14">
        <v>400014549</v>
      </c>
      <c r="C2658" s="8" t="s">
        <v>5197</v>
      </c>
      <c r="D2658" s="4" t="str">
        <f t="shared" si="278"/>
        <v>400014549R1</v>
      </c>
      <c r="E2658" s="309" t="str">
        <f>VLOOKUP($B2658,'D7 - NDB Impacted SPRF''s'!$E$6:$O$9929,2,FALSE)</f>
        <v>PHS/Secure Horizons Provider Portal Integration</v>
      </c>
      <c r="F2658" s="8" t="s">
        <v>6071</v>
      </c>
      <c r="G2658" s="8" t="s">
        <v>4758</v>
      </c>
      <c r="H2658" s="8" t="s">
        <v>2870</v>
      </c>
      <c r="I2658" s="20">
        <v>0.33</v>
      </c>
      <c r="J2658" s="8" t="s">
        <v>4862</v>
      </c>
      <c r="K2658" s="182"/>
      <c r="L2658" s="8" t="s">
        <v>4156</v>
      </c>
      <c r="M2658" s="8" t="s">
        <v>6688</v>
      </c>
      <c r="N2658" s="367" t="s">
        <v>4694</v>
      </c>
      <c r="O2658" s="8"/>
      <c r="P2658" s="4" t="str">
        <f>VLOOKUP($B2658,'D7 - NDB Impacted SPRF''s'!$E$16:$O$9929,9,FALSE)</f>
        <v>N</v>
      </c>
      <c r="Q2658" s="4" t="str">
        <f>VLOOKUP($B2658,'D7 - NDB Impacted SPRF''s'!$E$16:$O$9929,10,FALSE)</f>
        <v>N</v>
      </c>
      <c r="R2658" s="4" t="str">
        <f>VLOOKUP($B2658,'D7 - NDB Impacted SPRF''s'!$E$16:$O$9929,11,FALSE)</f>
        <v>N</v>
      </c>
      <c r="S2658" s="8"/>
      <c r="T2658" s="310"/>
      <c r="U2658" s="310"/>
      <c r="V2658" s="4"/>
      <c r="W2658" s="4"/>
      <c r="X2658" s="4"/>
      <c r="Y2658" s="4"/>
      <c r="Z2658" s="4"/>
      <c r="AA2658" s="4"/>
      <c r="AB2658" s="380" t="str">
        <f>VLOOKUP($B2658,'D7 - NDB Impacted SPRF''s'!$E$16:$O$9929,4,FALSE)</f>
        <v>Cancelled</v>
      </c>
      <c r="AC2658" s="380" t="str">
        <f>VLOOKUP($B2658,'D7 - NDB Impacted SPRF''s'!$E$16:$O$9929,3,FALSE)</f>
        <v>UnitedHealthcare Employer &amp; Individual</v>
      </c>
      <c r="AD2658" s="380" t="str">
        <f>VLOOKUP($B2658,'D7 - NDB Impacted SPRF''s'!$E$16:$O$9929,5,FALSE)</f>
        <v>Integration Requirements</v>
      </c>
      <c r="AE2658" s="380" t="str">
        <f>VLOOKUP($B2658,'D7 - NDB Impacted SPRF''s'!$E$16:$O$9929,7,FALSE)</f>
        <v>Randy Jacob</v>
      </c>
      <c r="AF2658" s="380" t="str">
        <f>VLOOKUP($B2658,'D7 - NDB Impacted SPRF''s'!$E$16:$O$9929,6,FALSE)</f>
        <v>PALLAVI PATEL</v>
      </c>
      <c r="AG2658" s="282"/>
      <c r="AH2658" s="311" t="e">
        <f>INDEX('D5 - Gatekeeper - Projects'!$A$4:$AF$1010,$AM2658, 17)</f>
        <v>#N/A</v>
      </c>
      <c r="AI2658" s="8"/>
      <c r="AJ2658" s="57"/>
      <c r="AK2658" s="105"/>
      <c r="AM2658" s="6" t="e">
        <f>MATCH(D2658,'D5 - Gatekeeper - Projects'!$C$4:$C$1010,0)</f>
        <v>#N/A</v>
      </c>
      <c r="AN2658" s="6" t="b">
        <f t="shared" si="275"/>
        <v>1</v>
      </c>
      <c r="AO2658" s="6" t="str">
        <f t="shared" si="276"/>
        <v>OK</v>
      </c>
      <c r="AQ2658" s="6" t="e">
        <f>MATCH($D2658,'D4 - Provider Council Unsched'!$C$11:$C$234,0)</f>
        <v>#N/A</v>
      </c>
      <c r="AR2658" s="6" t="b">
        <f t="shared" si="277"/>
        <v>1</v>
      </c>
      <c r="AS2658" s="6" t="str">
        <f t="shared" si="274"/>
        <v>OK</v>
      </c>
      <c r="AU2658" s="202"/>
      <c r="AV2658" s="262"/>
      <c r="AW2658" s="274"/>
    </row>
    <row r="2659" spans="1:49" s="13" customFormat="1" ht="33.75" x14ac:dyDescent="0.2">
      <c r="A2659" s="14">
        <v>2635</v>
      </c>
      <c r="B2659" s="14">
        <v>400014556</v>
      </c>
      <c r="C2659" s="8" t="s">
        <v>5197</v>
      </c>
      <c r="D2659" s="4" t="str">
        <f t="shared" si="278"/>
        <v>400014556R1</v>
      </c>
      <c r="E2659" s="309" t="str">
        <f>VLOOKUP($B2659,'D7 - NDB Impacted SPRF''s'!$E$6:$O$9929,2,FALSE)</f>
        <v>NDB Expanded Extract to Galaxy</v>
      </c>
      <c r="F2659" s="8" t="s">
        <v>3235</v>
      </c>
      <c r="G2659" s="8" t="s">
        <v>4758</v>
      </c>
      <c r="H2659" s="8" t="s">
        <v>2870</v>
      </c>
      <c r="I2659" s="20">
        <v>0.57999999999999996</v>
      </c>
      <c r="J2659" s="8" t="s">
        <v>4862</v>
      </c>
      <c r="K2659" s="182"/>
      <c r="L2659" s="8" t="s">
        <v>5743</v>
      </c>
      <c r="M2659" s="8" t="s">
        <v>2814</v>
      </c>
      <c r="N2659" s="367" t="s">
        <v>5883</v>
      </c>
      <c r="O2659" s="8"/>
      <c r="P2659" s="4" t="str">
        <f>VLOOKUP($B2659,'D7 - NDB Impacted SPRF''s'!$E$16:$O$9929,9,FALSE)</f>
        <v>N</v>
      </c>
      <c r="Q2659" s="4" t="str">
        <f>VLOOKUP($B2659,'D7 - NDB Impacted SPRF''s'!$E$16:$O$9929,10,FALSE)</f>
        <v>N</v>
      </c>
      <c r="R2659" s="4" t="str">
        <f>VLOOKUP($B2659,'D7 - NDB Impacted SPRF''s'!$E$16:$O$9929,11,FALSE)</f>
        <v>N</v>
      </c>
      <c r="S2659" s="8"/>
      <c r="T2659" s="310"/>
      <c r="U2659" s="310"/>
      <c r="V2659" s="4"/>
      <c r="W2659" s="4"/>
      <c r="X2659" s="4"/>
      <c r="Y2659" s="4"/>
      <c r="Z2659" s="4"/>
      <c r="AA2659" s="4"/>
      <c r="AB2659" s="380" t="str">
        <f>VLOOKUP($B2659,'D7 - NDB Impacted SPRF''s'!$E$16:$O$9929,4,FALSE)</f>
        <v>Cancelled</v>
      </c>
      <c r="AC2659" s="380" t="str">
        <f>VLOOKUP($B2659,'D7 - NDB Impacted SPRF''s'!$E$16:$O$9929,3,FALSE)</f>
        <v>UnitedHealthcare Employer &amp; Individual</v>
      </c>
      <c r="AD2659" s="380" t="str">
        <f>VLOOKUP($B2659,'D7 - NDB Impacted SPRF''s'!$E$16:$O$9929,5,FALSE)</f>
        <v>Network Growth / Enhancements</v>
      </c>
      <c r="AE2659" s="380" t="str">
        <f>VLOOKUP($B2659,'D7 - NDB Impacted SPRF''s'!$E$16:$O$9929,7,FALSE)</f>
        <v>Glenn Walsh / Kurt Heumann</v>
      </c>
      <c r="AF2659" s="380" t="str">
        <f>VLOOKUP($B2659,'D7 - NDB Impacted SPRF''s'!$E$16:$O$9929,6,FALSE)</f>
        <v>MARK ECKSTEIN</v>
      </c>
      <c r="AG2659" s="282"/>
      <c r="AH2659" s="311" t="e">
        <f>INDEX('D5 - Gatekeeper - Projects'!$A$4:$AF$1010,$AM2659, 17)</f>
        <v>#N/A</v>
      </c>
      <c r="AI2659" s="8"/>
      <c r="AJ2659" s="57"/>
      <c r="AK2659" s="105"/>
      <c r="AM2659" s="6" t="e">
        <f>MATCH(D2659,'D5 - Gatekeeper - Projects'!$C$4:$C$1010,0)</f>
        <v>#N/A</v>
      </c>
      <c r="AN2659" s="6" t="b">
        <f t="shared" si="275"/>
        <v>1</v>
      </c>
      <c r="AO2659" s="6" t="str">
        <f t="shared" si="276"/>
        <v>OK</v>
      </c>
      <c r="AQ2659" s="6" t="e">
        <f>MATCH($D2659,'D4 - Provider Council Unsched'!$C$11:$C$234,0)</f>
        <v>#N/A</v>
      </c>
      <c r="AR2659" s="6" t="b">
        <f t="shared" si="277"/>
        <v>1</v>
      </c>
      <c r="AS2659" s="6" t="str">
        <f t="shared" si="274"/>
        <v>OK</v>
      </c>
      <c r="AU2659" s="202"/>
      <c r="AV2659" s="262"/>
      <c r="AW2659" s="274"/>
    </row>
    <row r="2660" spans="1:49" s="13" customFormat="1" ht="33.75" x14ac:dyDescent="0.2">
      <c r="A2660" s="14">
        <v>2636</v>
      </c>
      <c r="B2660" s="14">
        <v>400014674</v>
      </c>
      <c r="C2660" s="8" t="s">
        <v>5197</v>
      </c>
      <c r="D2660" s="4" t="str">
        <f t="shared" si="278"/>
        <v>400014674R1</v>
      </c>
      <c r="E2660" s="309" t="str">
        <f>VLOOKUP($B2660,'D7 - NDB Impacted SPRF''s'!$E$6:$O$9929,2,FALSE)</f>
        <v>Load Network Provider Database(NPD) to AMS Desktop</v>
      </c>
      <c r="F2660" s="8" t="s">
        <v>2114</v>
      </c>
      <c r="G2660" s="8" t="s">
        <v>4758</v>
      </c>
      <c r="H2660" s="8" t="s">
        <v>2870</v>
      </c>
      <c r="I2660" s="20"/>
      <c r="J2660" s="8"/>
      <c r="K2660" s="182"/>
      <c r="L2660" s="8" t="s">
        <v>4156</v>
      </c>
      <c r="M2660" s="8" t="s">
        <v>2814</v>
      </c>
      <c r="N2660" s="367" t="s">
        <v>6068</v>
      </c>
      <c r="O2660" s="8"/>
      <c r="P2660" s="4" t="str">
        <f>VLOOKUP($B2660,'D7 - NDB Impacted SPRF''s'!$E$16:$O$9929,9,FALSE)</f>
        <v>N</v>
      </c>
      <c r="Q2660" s="4" t="str">
        <f>VLOOKUP($B2660,'D7 - NDB Impacted SPRF''s'!$E$16:$O$9929,10,FALSE)</f>
        <v>N</v>
      </c>
      <c r="R2660" s="4" t="str">
        <f>VLOOKUP($B2660,'D7 - NDB Impacted SPRF''s'!$E$16:$O$9929,11,FALSE)</f>
        <v>N</v>
      </c>
      <c r="S2660" s="8"/>
      <c r="T2660" s="310"/>
      <c r="U2660" s="310"/>
      <c r="V2660" s="4"/>
      <c r="W2660" s="4"/>
      <c r="X2660" s="4"/>
      <c r="Y2660" s="4"/>
      <c r="Z2660" s="4"/>
      <c r="AA2660" s="4"/>
      <c r="AB2660" s="380" t="str">
        <f>VLOOKUP($B2660,'D7 - NDB Impacted SPRF''s'!$E$16:$O$9929,4,FALSE)</f>
        <v>Cancelled</v>
      </c>
      <c r="AC2660" s="380" t="str">
        <f>VLOOKUP($B2660,'D7 - NDB Impacted SPRF''s'!$E$16:$O$9929,3,FALSE)</f>
        <v>UnitedHealthcare Employer &amp; Individual</v>
      </c>
      <c r="AD2660" s="380" t="str">
        <f>VLOOKUP($B2660,'D7 - NDB Impacted SPRF''s'!$E$16:$O$9929,5,FALSE)</f>
        <v>Operations Group</v>
      </c>
      <c r="AE2660" s="380" t="str">
        <f>VLOOKUP($B2660,'D7 - NDB Impacted SPRF''s'!$E$16:$O$9929,7,FALSE)</f>
        <v>Penny Paque</v>
      </c>
      <c r="AF2660" s="380" t="str">
        <f>VLOOKUP($B2660,'D7 - NDB Impacted SPRF''s'!$E$16:$O$9929,6,FALSE)</f>
        <v>JOSEPH MCCONVILLE</v>
      </c>
      <c r="AG2660" s="282"/>
      <c r="AH2660" s="311" t="e">
        <f>INDEX('D5 - Gatekeeper - Projects'!$A$4:$AF$1010,$AM2660, 17)</f>
        <v>#N/A</v>
      </c>
      <c r="AI2660" s="8"/>
      <c r="AJ2660" s="57"/>
      <c r="AK2660" s="105"/>
      <c r="AM2660" s="6" t="e">
        <f>MATCH(D2660,'D5 - Gatekeeper - Projects'!$C$4:$C$1010,0)</f>
        <v>#N/A</v>
      </c>
      <c r="AN2660" s="6" t="b">
        <f t="shared" si="275"/>
        <v>1</v>
      </c>
      <c r="AO2660" s="6" t="str">
        <f t="shared" si="276"/>
        <v>OK</v>
      </c>
      <c r="AQ2660" s="6" t="e">
        <f>MATCH($D2660,'D4 - Provider Council Unsched'!$C$11:$C$234,0)</f>
        <v>#N/A</v>
      </c>
      <c r="AR2660" s="6" t="b">
        <f t="shared" si="277"/>
        <v>1</v>
      </c>
      <c r="AS2660" s="6" t="str">
        <f t="shared" si="274"/>
        <v>OK</v>
      </c>
      <c r="AU2660" s="202"/>
      <c r="AV2660" s="262"/>
      <c r="AW2660" s="274"/>
    </row>
    <row r="2661" spans="1:49" s="13" customFormat="1" ht="33.75" x14ac:dyDescent="0.2">
      <c r="A2661" s="14">
        <v>2637</v>
      </c>
      <c r="B2661" s="14">
        <v>400014814</v>
      </c>
      <c r="C2661" s="8" t="s">
        <v>5197</v>
      </c>
      <c r="D2661" s="4" t="str">
        <f t="shared" si="278"/>
        <v>400014814R1</v>
      </c>
      <c r="E2661" s="309" t="str">
        <f>VLOOKUP($B2661,'D7 - NDB Impacted SPRF''s'!$E$6:$O$9929,2,FALSE)</f>
        <v xml:space="preserve">Web Enabled Customer Self Service  </v>
      </c>
      <c r="F2661" s="8" t="s">
        <v>5536</v>
      </c>
      <c r="G2661" s="8" t="s">
        <v>4758</v>
      </c>
      <c r="H2661" s="8" t="s">
        <v>2870</v>
      </c>
      <c r="I2661" s="20"/>
      <c r="J2661" s="8"/>
      <c r="K2661" s="182"/>
      <c r="L2661" s="8" t="s">
        <v>4156</v>
      </c>
      <c r="M2661" s="8" t="s">
        <v>2814</v>
      </c>
      <c r="N2661" s="38" t="s">
        <v>8012</v>
      </c>
      <c r="O2661" s="8"/>
      <c r="P2661" s="4" t="str">
        <f>VLOOKUP($B2661,'D7 - NDB Impacted SPRF''s'!$E$16:$O$9929,9,FALSE)</f>
        <v>N</v>
      </c>
      <c r="Q2661" s="4" t="str">
        <f>VLOOKUP($B2661,'D7 - NDB Impacted SPRF''s'!$E$16:$O$9929,10,FALSE)</f>
        <v>N</v>
      </c>
      <c r="R2661" s="4" t="str">
        <f>VLOOKUP($B2661,'D7 - NDB Impacted SPRF''s'!$E$16:$O$9929,11,FALSE)</f>
        <v>N</v>
      </c>
      <c r="S2661" s="8"/>
      <c r="T2661" s="310"/>
      <c r="U2661" s="310"/>
      <c r="V2661" s="4"/>
      <c r="W2661" s="4"/>
      <c r="X2661" s="4"/>
      <c r="Y2661" s="4"/>
      <c r="Z2661" s="4"/>
      <c r="AA2661" s="4"/>
      <c r="AB2661" s="380" t="str">
        <f>VLOOKUP($B2661,'D7 - NDB Impacted SPRF''s'!$E$16:$O$9929,4,FALSE)</f>
        <v>Cancelled</v>
      </c>
      <c r="AC2661" s="380" t="str">
        <f>VLOOKUP($B2661,'D7 - NDB Impacted SPRF''s'!$E$16:$O$9929,3,FALSE)</f>
        <v>UnitedHealthcare Employer &amp; Individual</v>
      </c>
      <c r="AD2661" s="380" t="str">
        <f>VLOOKUP($B2661,'D7 - NDB Impacted SPRF''s'!$E$16:$O$9929,5,FALSE)</f>
        <v>Network Growth / Enhancements</v>
      </c>
      <c r="AE2661" s="380" t="str">
        <f>VLOOKUP($B2661,'D7 - NDB Impacted SPRF''s'!$E$16:$O$9929,7,FALSE)</f>
        <v>Unknown</v>
      </c>
      <c r="AF2661" s="380" t="str">
        <f>VLOOKUP($B2661,'D7 - NDB Impacted SPRF''s'!$E$16:$O$9929,6,FALSE)</f>
        <v>MELINDA SAYLOR</v>
      </c>
      <c r="AG2661" s="282"/>
      <c r="AH2661" s="311" t="e">
        <f>INDEX('D5 - Gatekeeper - Projects'!$A$4:$AF$1010,$AM2661, 17)</f>
        <v>#N/A</v>
      </c>
      <c r="AI2661" s="8"/>
      <c r="AJ2661" s="57"/>
      <c r="AK2661" s="105"/>
      <c r="AM2661" s="6" t="e">
        <f>MATCH(D2661,'D5 - Gatekeeper - Projects'!$C$4:$C$1010,0)</f>
        <v>#N/A</v>
      </c>
      <c r="AN2661" s="6" t="b">
        <f t="shared" si="275"/>
        <v>1</v>
      </c>
      <c r="AO2661" s="6" t="str">
        <f t="shared" si="276"/>
        <v>OK</v>
      </c>
      <c r="AQ2661" s="6" t="e">
        <f>MATCH($D2661,'D4 - Provider Council Unsched'!$C$11:$C$234,0)</f>
        <v>#N/A</v>
      </c>
      <c r="AR2661" s="6" t="b">
        <f t="shared" si="277"/>
        <v>1</v>
      </c>
      <c r="AS2661" s="6" t="str">
        <f t="shared" si="274"/>
        <v>OK</v>
      </c>
      <c r="AU2661" s="202"/>
      <c r="AV2661" s="262"/>
      <c r="AW2661" s="274"/>
    </row>
    <row r="2662" spans="1:49" s="13" customFormat="1" ht="33.75" x14ac:dyDescent="0.2">
      <c r="A2662" s="14">
        <v>2638</v>
      </c>
      <c r="B2662" s="14">
        <v>400014814</v>
      </c>
      <c r="C2662" s="8" t="s">
        <v>1992</v>
      </c>
      <c r="D2662" s="4" t="str">
        <f t="shared" si="278"/>
        <v>400014814U1</v>
      </c>
      <c r="E2662" s="309" t="str">
        <f>VLOOKUP($B2662,'D7 - NDB Impacted SPRF''s'!$E$6:$O$9929,2,FALSE)</f>
        <v xml:space="preserve">Web Enabled Customer Self Service  </v>
      </c>
      <c r="F2662" s="8" t="s">
        <v>5536</v>
      </c>
      <c r="G2662" s="8" t="s">
        <v>4758</v>
      </c>
      <c r="H2662" s="8" t="s">
        <v>2870</v>
      </c>
      <c r="I2662" s="20"/>
      <c r="J2662" s="8"/>
      <c r="K2662" s="182"/>
      <c r="L2662" s="8" t="s">
        <v>4156</v>
      </c>
      <c r="M2662" s="8" t="s">
        <v>2814</v>
      </c>
      <c r="N2662" s="38" t="s">
        <v>8012</v>
      </c>
      <c r="O2662" s="8"/>
      <c r="P2662" s="4" t="str">
        <f>VLOOKUP($B2662,'D7 - NDB Impacted SPRF''s'!$E$16:$O$9929,9,FALSE)</f>
        <v>N</v>
      </c>
      <c r="Q2662" s="4" t="str">
        <f>VLOOKUP($B2662,'D7 - NDB Impacted SPRF''s'!$E$16:$O$9929,10,FALSE)</f>
        <v>N</v>
      </c>
      <c r="R2662" s="4" t="str">
        <f>VLOOKUP($B2662,'D7 - NDB Impacted SPRF''s'!$E$16:$O$9929,11,FALSE)</f>
        <v>N</v>
      </c>
      <c r="S2662" s="8"/>
      <c r="T2662" s="310"/>
      <c r="U2662" s="310"/>
      <c r="V2662" s="4"/>
      <c r="W2662" s="4"/>
      <c r="X2662" s="4"/>
      <c r="Y2662" s="4"/>
      <c r="Z2662" s="4"/>
      <c r="AA2662" s="4"/>
      <c r="AB2662" s="380" t="str">
        <f>VLOOKUP($B2662,'D7 - NDB Impacted SPRF''s'!$E$16:$O$9929,4,FALSE)</f>
        <v>Cancelled</v>
      </c>
      <c r="AC2662" s="380" t="str">
        <f>VLOOKUP($B2662,'D7 - NDB Impacted SPRF''s'!$E$16:$O$9929,3,FALSE)</f>
        <v>UnitedHealthcare Employer &amp; Individual</v>
      </c>
      <c r="AD2662" s="380" t="str">
        <f>VLOOKUP($B2662,'D7 - NDB Impacted SPRF''s'!$E$16:$O$9929,5,FALSE)</f>
        <v>Network Growth / Enhancements</v>
      </c>
      <c r="AE2662" s="380" t="str">
        <f>VLOOKUP($B2662,'D7 - NDB Impacted SPRF''s'!$E$16:$O$9929,7,FALSE)</f>
        <v>Unknown</v>
      </c>
      <c r="AF2662" s="380" t="str">
        <f>VLOOKUP($B2662,'D7 - NDB Impacted SPRF''s'!$E$16:$O$9929,6,FALSE)</f>
        <v>MELINDA SAYLOR</v>
      </c>
      <c r="AG2662" s="282"/>
      <c r="AH2662" s="311" t="e">
        <f>INDEX('D5 - Gatekeeper - Projects'!$A$4:$AF$1010,$AM2662, 17)</f>
        <v>#N/A</v>
      </c>
      <c r="AI2662" s="8"/>
      <c r="AJ2662" s="57"/>
      <c r="AK2662" s="105"/>
      <c r="AM2662" s="6" t="e">
        <f>MATCH(D2662,'D5 - Gatekeeper - Projects'!$C$4:$C$1010,0)</f>
        <v>#N/A</v>
      </c>
      <c r="AN2662" s="6" t="b">
        <f t="shared" si="275"/>
        <v>1</v>
      </c>
      <c r="AO2662" s="6" t="str">
        <f t="shared" si="276"/>
        <v>OK</v>
      </c>
      <c r="AQ2662" s="6" t="e">
        <f>MATCH($D2662,'D4 - Provider Council Unsched'!$C$11:$C$234,0)</f>
        <v>#N/A</v>
      </c>
      <c r="AR2662" s="6" t="b">
        <f t="shared" si="277"/>
        <v>1</v>
      </c>
      <c r="AS2662" s="6" t="str">
        <f t="shared" si="274"/>
        <v>OK</v>
      </c>
      <c r="AU2662" s="202"/>
      <c r="AV2662" s="262"/>
      <c r="AW2662" s="274"/>
    </row>
    <row r="2663" spans="1:49" s="13" customFormat="1" ht="22.5" x14ac:dyDescent="0.2">
      <c r="A2663" s="14">
        <v>2639</v>
      </c>
      <c r="B2663" s="14">
        <v>400014829</v>
      </c>
      <c r="C2663" s="8" t="s">
        <v>5197</v>
      </c>
      <c r="D2663" s="4" t="str">
        <f t="shared" si="278"/>
        <v>400014829R1</v>
      </c>
      <c r="E2663" s="309" t="str">
        <f>VLOOKUP($B2663,'D7 - NDB Impacted SPRF''s'!$E$6:$O$9929,2,FALSE)</f>
        <v xml:space="preserve">Medica data sharing/exchange - Joint integration  </v>
      </c>
      <c r="F2663" s="8" t="s">
        <v>5196</v>
      </c>
      <c r="G2663" s="8" t="s">
        <v>4758</v>
      </c>
      <c r="H2663" s="8" t="s">
        <v>2870</v>
      </c>
      <c r="I2663" s="20"/>
      <c r="J2663" s="8"/>
      <c r="K2663" s="182"/>
      <c r="L2663" s="8" t="s">
        <v>4156</v>
      </c>
      <c r="M2663" s="8" t="s">
        <v>2814</v>
      </c>
      <c r="N2663" s="38" t="s">
        <v>2431</v>
      </c>
      <c r="O2663" s="8"/>
      <c r="P2663" s="4" t="str">
        <f>VLOOKUP($B2663,'D7 - NDB Impacted SPRF''s'!$E$16:$O$9929,9,FALSE)</f>
        <v>Y</v>
      </c>
      <c r="Q2663" s="4" t="str">
        <f>VLOOKUP($B2663,'D7 - NDB Impacted SPRF''s'!$E$16:$O$9929,10,FALSE)</f>
        <v>N</v>
      </c>
      <c r="R2663" s="4" t="str">
        <f>VLOOKUP($B2663,'D7 - NDB Impacted SPRF''s'!$E$16:$O$9929,11,FALSE)</f>
        <v>N</v>
      </c>
      <c r="S2663" s="8"/>
      <c r="T2663" s="310"/>
      <c r="U2663" s="310"/>
      <c r="V2663" s="4"/>
      <c r="W2663" s="4"/>
      <c r="X2663" s="4"/>
      <c r="Y2663" s="4"/>
      <c r="Z2663" s="4"/>
      <c r="AA2663" s="4"/>
      <c r="AB2663" s="380" t="str">
        <f>VLOOKUP($B2663,'D7 - NDB Impacted SPRF''s'!$E$16:$O$9929,4,FALSE)</f>
        <v>Cancelled</v>
      </c>
      <c r="AC2663" s="380" t="str">
        <f>VLOOKUP($B2663,'D7 - NDB Impacted SPRF''s'!$E$16:$O$9929,3,FALSE)</f>
        <v>Alliance</v>
      </c>
      <c r="AD2663" s="380" t="str">
        <f>VLOOKUP($B2663,'D7 - NDB Impacted SPRF''s'!$E$16:$O$9929,5,FALSE)</f>
        <v>Medica UNET Conversion</v>
      </c>
      <c r="AE2663" s="380" t="str">
        <f>VLOOKUP($B2663,'D7 - NDB Impacted SPRF''s'!$E$16:$O$9929,7,FALSE)</f>
        <v>Diane Schofield</v>
      </c>
      <c r="AF2663" s="380" t="str">
        <f>VLOOKUP($B2663,'D7 - NDB Impacted SPRF''s'!$E$16:$O$9929,6,FALSE)</f>
        <v>KELLY HANDLEY</v>
      </c>
      <c r="AG2663" s="282"/>
      <c r="AH2663" s="311" t="e">
        <f>INDEX('D5 - Gatekeeper - Projects'!$A$4:$AF$1010,$AM2663, 17)</f>
        <v>#N/A</v>
      </c>
      <c r="AI2663" s="8"/>
      <c r="AJ2663" s="57"/>
      <c r="AK2663" s="105"/>
      <c r="AM2663" s="6" t="e">
        <f>MATCH(D2663,'D5 - Gatekeeper - Projects'!$C$4:$C$1010,0)</f>
        <v>#N/A</v>
      </c>
      <c r="AN2663" s="6" t="b">
        <f t="shared" si="275"/>
        <v>1</v>
      </c>
      <c r="AO2663" s="6" t="str">
        <f t="shared" si="276"/>
        <v>OK</v>
      </c>
      <c r="AQ2663" s="6" t="e">
        <f>MATCH($D2663,'D4 - Provider Council Unsched'!$C$11:$C$234,0)</f>
        <v>#N/A</v>
      </c>
      <c r="AR2663" s="6" t="b">
        <f t="shared" si="277"/>
        <v>1</v>
      </c>
      <c r="AS2663" s="6" t="str">
        <f t="shared" si="274"/>
        <v>OK</v>
      </c>
      <c r="AU2663" s="202"/>
      <c r="AV2663" s="262"/>
      <c r="AW2663" s="274"/>
    </row>
    <row r="2664" spans="1:49" s="13" customFormat="1" ht="33.75" x14ac:dyDescent="0.2">
      <c r="A2664" s="14">
        <v>2640</v>
      </c>
      <c r="B2664" s="14">
        <v>400014885</v>
      </c>
      <c r="C2664" s="8" t="s">
        <v>5197</v>
      </c>
      <c r="D2664" s="4" t="str">
        <f t="shared" si="278"/>
        <v>400014885R1</v>
      </c>
      <c r="E2664" s="309" t="str">
        <f>VLOOKUP($B2664,'D7 - NDB Impacted SPRF''s'!$E$6:$O$9929,2,FALSE)</f>
        <v>UHC - Enhance On-Line Provider Directory Accuracy</v>
      </c>
      <c r="F2664" s="8" t="s">
        <v>4971</v>
      </c>
      <c r="G2664" s="8" t="s">
        <v>4758</v>
      </c>
      <c r="H2664" s="8" t="s">
        <v>2870</v>
      </c>
      <c r="I2664" s="20">
        <v>3.07</v>
      </c>
      <c r="J2664" s="8" t="s">
        <v>4862</v>
      </c>
      <c r="K2664" s="182"/>
      <c r="L2664" s="8" t="s">
        <v>4156</v>
      </c>
      <c r="M2664" s="8" t="s">
        <v>2814</v>
      </c>
      <c r="N2664" s="38" t="s">
        <v>8012</v>
      </c>
      <c r="O2664" s="8"/>
      <c r="P2664" s="4" t="str">
        <f>VLOOKUP($B2664,'D7 - NDB Impacted SPRF''s'!$E$16:$O$9929,9,FALSE)</f>
        <v>N</v>
      </c>
      <c r="Q2664" s="4" t="str">
        <f>VLOOKUP($B2664,'D7 - NDB Impacted SPRF''s'!$E$16:$O$9929,10,FALSE)</f>
        <v>N</v>
      </c>
      <c r="R2664" s="4" t="str">
        <f>VLOOKUP($B2664,'D7 - NDB Impacted SPRF''s'!$E$16:$O$9929,11,FALSE)</f>
        <v>N</v>
      </c>
      <c r="S2664" s="8"/>
      <c r="T2664" s="310"/>
      <c r="U2664" s="310"/>
      <c r="V2664" s="4"/>
      <c r="W2664" s="4"/>
      <c r="X2664" s="4"/>
      <c r="Y2664" s="4"/>
      <c r="Z2664" s="4"/>
      <c r="AA2664" s="4"/>
      <c r="AB2664" s="380" t="str">
        <f>VLOOKUP($B2664,'D7 - NDB Impacted SPRF''s'!$E$16:$O$9929,4,FALSE)</f>
        <v>Cancelled</v>
      </c>
      <c r="AC2664" s="380" t="str">
        <f>VLOOKUP($B2664,'D7 - NDB Impacted SPRF''s'!$E$16:$O$9929,3,FALSE)</f>
        <v>UnitedHealthcare Employer &amp; Individual</v>
      </c>
      <c r="AD2664" s="380" t="str">
        <f>VLOOKUP($B2664,'D7 - NDB Impacted SPRF''s'!$E$16:$O$9929,5,FALSE)</f>
        <v>Network Growth / Enhancements</v>
      </c>
      <c r="AE2664" s="380" t="str">
        <f>VLOOKUP($B2664,'D7 - NDB Impacted SPRF''s'!$E$16:$O$9929,7,FALSE)</f>
        <v>Matt A Guisinger</v>
      </c>
      <c r="AF2664" s="380" t="str">
        <f>VLOOKUP($B2664,'D7 - NDB Impacted SPRF''s'!$E$16:$O$9929,6,FALSE)</f>
        <v>Michelle Thompson</v>
      </c>
      <c r="AG2664" s="282"/>
      <c r="AH2664" s="311" t="e">
        <f>INDEX('D5 - Gatekeeper - Projects'!$A$4:$AF$1010,$AM2664, 17)</f>
        <v>#N/A</v>
      </c>
      <c r="AI2664" s="8"/>
      <c r="AJ2664" s="57"/>
      <c r="AK2664" s="105"/>
      <c r="AM2664" s="6" t="e">
        <f>MATCH(D2664,'D5 - Gatekeeper - Projects'!$C$4:$C$1010,0)</f>
        <v>#N/A</v>
      </c>
      <c r="AN2664" s="6" t="b">
        <f t="shared" si="275"/>
        <v>1</v>
      </c>
      <c r="AO2664" s="6" t="str">
        <f t="shared" si="276"/>
        <v>OK</v>
      </c>
      <c r="AQ2664" s="6" t="e">
        <f>MATCH($D2664,'D4 - Provider Council Unsched'!$C$11:$C$234,0)</f>
        <v>#N/A</v>
      </c>
      <c r="AR2664" s="6" t="b">
        <f t="shared" si="277"/>
        <v>1</v>
      </c>
      <c r="AS2664" s="6" t="str">
        <f t="shared" si="274"/>
        <v>OK</v>
      </c>
      <c r="AU2664" s="202"/>
      <c r="AV2664" s="262"/>
      <c r="AW2664" s="274"/>
    </row>
    <row r="2665" spans="1:49" s="13" customFormat="1" ht="33.75" x14ac:dyDescent="0.2">
      <c r="A2665" s="14">
        <v>2641</v>
      </c>
      <c r="B2665" s="14">
        <v>400014892</v>
      </c>
      <c r="C2665" s="8" t="s">
        <v>5197</v>
      </c>
      <c r="D2665" s="4" t="str">
        <f t="shared" si="278"/>
        <v>400014892R1</v>
      </c>
      <c r="E2665" s="309" t="str">
        <f>VLOOKUP($B2665,'D7 - NDB Impacted SPRF''s'!$E$6:$O$9929,2,FALSE)</f>
        <v>Anesthesia changes for the AD Modifier</v>
      </c>
      <c r="F2665" s="8" t="s">
        <v>6633</v>
      </c>
      <c r="G2665" s="8" t="s">
        <v>4758</v>
      </c>
      <c r="H2665" s="8" t="s">
        <v>2870</v>
      </c>
      <c r="I2665" s="20">
        <v>2.1</v>
      </c>
      <c r="J2665" s="8" t="s">
        <v>4862</v>
      </c>
      <c r="K2665" s="182"/>
      <c r="L2665" s="8" t="s">
        <v>4156</v>
      </c>
      <c r="M2665" s="8" t="s">
        <v>2814</v>
      </c>
      <c r="N2665" s="38" t="s">
        <v>1948</v>
      </c>
      <c r="O2665" s="8"/>
      <c r="P2665" s="4" t="str">
        <f>VLOOKUP($B2665,'D7 - NDB Impacted SPRF''s'!$E$16:$O$9929,9,FALSE)</f>
        <v>Y</v>
      </c>
      <c r="Q2665" s="4" t="str">
        <f>VLOOKUP($B2665,'D7 - NDB Impacted SPRF''s'!$E$16:$O$9929,10,FALSE)</f>
        <v>N</v>
      </c>
      <c r="R2665" s="4" t="str">
        <f>VLOOKUP($B2665,'D7 - NDB Impacted SPRF''s'!$E$16:$O$9929,11,FALSE)</f>
        <v>Y</v>
      </c>
      <c r="S2665" s="8"/>
      <c r="T2665" s="310"/>
      <c r="U2665" s="310"/>
      <c r="V2665" s="4"/>
      <c r="W2665" s="4"/>
      <c r="X2665" s="4"/>
      <c r="Y2665" s="4"/>
      <c r="Z2665" s="4"/>
      <c r="AA2665" s="4"/>
      <c r="AB2665" s="380" t="str">
        <f>VLOOKUP($B2665,'D7 - NDB Impacted SPRF''s'!$E$16:$O$9929,4,FALSE)</f>
        <v>Cancelled</v>
      </c>
      <c r="AC2665" s="380" t="str">
        <f>VLOOKUP($B2665,'D7 - NDB Impacted SPRF''s'!$E$16:$O$9929,3,FALSE)</f>
        <v>UnitedHealthcare Employer &amp; Individual</v>
      </c>
      <c r="AD2665" s="380" t="str">
        <f>VLOOKUP($B2665,'D7 - NDB Impacted SPRF''s'!$E$16:$O$9929,5,FALSE)</f>
        <v>Process Improvement</v>
      </c>
      <c r="AE2665" s="380" t="str">
        <f>VLOOKUP($B2665,'D7 - NDB Impacted SPRF''s'!$E$16:$O$9929,7,FALSE)</f>
        <v>Shannon Nelson</v>
      </c>
      <c r="AF2665" s="380" t="str">
        <f>VLOOKUP($B2665,'D7 - NDB Impacted SPRF''s'!$E$16:$O$9929,6,FALSE)</f>
        <v>KATHRYN LEARST</v>
      </c>
      <c r="AG2665" s="282"/>
      <c r="AH2665" s="311" t="e">
        <f>INDEX('D5 - Gatekeeper - Projects'!$A$4:$AF$1010,$AM2665, 17)</f>
        <v>#N/A</v>
      </c>
      <c r="AI2665" s="8"/>
      <c r="AJ2665" s="57"/>
      <c r="AK2665" s="105"/>
      <c r="AM2665" s="6" t="e">
        <f>MATCH(D2665,'D5 - Gatekeeper - Projects'!$C$4:$C$1010,0)</f>
        <v>#N/A</v>
      </c>
      <c r="AN2665" s="6" t="b">
        <f t="shared" si="275"/>
        <v>1</v>
      </c>
      <c r="AO2665" s="6" t="str">
        <f t="shared" si="276"/>
        <v>OK</v>
      </c>
      <c r="AQ2665" s="6" t="e">
        <f>MATCH($D2665,'D4 - Provider Council Unsched'!$C$11:$C$234,0)</f>
        <v>#N/A</v>
      </c>
      <c r="AR2665" s="6" t="b">
        <f t="shared" si="277"/>
        <v>1</v>
      </c>
      <c r="AS2665" s="6" t="str">
        <f t="shared" si="274"/>
        <v>OK</v>
      </c>
      <c r="AU2665" s="202"/>
      <c r="AV2665" s="262"/>
      <c r="AW2665" s="274"/>
    </row>
    <row r="2666" spans="1:49" s="13" customFormat="1" ht="33.75" x14ac:dyDescent="0.2">
      <c r="A2666" s="14">
        <v>2642</v>
      </c>
      <c r="B2666" s="14">
        <v>400014900</v>
      </c>
      <c r="C2666" s="8" t="s">
        <v>5197</v>
      </c>
      <c r="D2666" s="4" t="str">
        <f t="shared" si="278"/>
        <v>400014900R1</v>
      </c>
      <c r="E2666" s="309" t="str">
        <f>VLOOKUP($B2666,'D7 - NDB Impacted SPRF''s'!$E$6:$O$9929,2,FALSE)</f>
        <v xml:space="preserve">AmeriChoice-Expand EPDE Data Elements </v>
      </c>
      <c r="F2666" s="8" t="s">
        <v>4069</v>
      </c>
      <c r="G2666" s="8" t="s">
        <v>4758</v>
      </c>
      <c r="H2666" s="8" t="s">
        <v>2870</v>
      </c>
      <c r="I2666" s="20"/>
      <c r="J2666" s="8"/>
      <c r="K2666" s="182"/>
      <c r="L2666" s="8" t="s">
        <v>4156</v>
      </c>
      <c r="M2666" s="8" t="s">
        <v>2814</v>
      </c>
      <c r="N2666" s="38" t="s">
        <v>5929</v>
      </c>
      <c r="O2666" s="8"/>
      <c r="P2666" s="4" t="str">
        <f>VLOOKUP($B2666,'D7 - NDB Impacted SPRF''s'!$E$16:$O$9929,9,FALSE)</f>
        <v>N</v>
      </c>
      <c r="Q2666" s="4" t="str">
        <f>VLOOKUP($B2666,'D7 - NDB Impacted SPRF''s'!$E$16:$O$9929,10,FALSE)</f>
        <v>N</v>
      </c>
      <c r="R2666" s="4" t="str">
        <f>VLOOKUP($B2666,'D7 - NDB Impacted SPRF''s'!$E$16:$O$9929,11,FALSE)</f>
        <v>N</v>
      </c>
      <c r="S2666" s="8"/>
      <c r="T2666" s="310"/>
      <c r="U2666" s="310"/>
      <c r="V2666" s="4"/>
      <c r="W2666" s="4"/>
      <c r="X2666" s="4"/>
      <c r="Y2666" s="4"/>
      <c r="Z2666" s="4"/>
      <c r="AA2666" s="4"/>
      <c r="AB2666" s="380" t="str">
        <f>VLOOKUP($B2666,'D7 - NDB Impacted SPRF''s'!$E$16:$O$9929,4,FALSE)</f>
        <v>Cancelled</v>
      </c>
      <c r="AC2666" s="380" t="str">
        <f>VLOOKUP($B2666,'D7 - NDB Impacted SPRF''s'!$E$16:$O$9929,3,FALSE)</f>
        <v>UnitedHealthcare Community &amp; State</v>
      </c>
      <c r="AD2666" s="380" t="str">
        <f>VLOOKUP($B2666,'D7 - NDB Impacted SPRF''s'!$E$16:$O$9929,5,FALSE)</f>
        <v>AmeriChoice</v>
      </c>
      <c r="AE2666" s="380" t="str">
        <f>VLOOKUP($B2666,'D7 - NDB Impacted SPRF''s'!$E$16:$O$9929,7,FALSE)</f>
        <v>Tim Kaja</v>
      </c>
      <c r="AF2666" s="380" t="str">
        <f>VLOOKUP($B2666,'D7 - NDB Impacted SPRF''s'!$E$16:$O$9929,6,FALSE)</f>
        <v>MARCIA MONACO</v>
      </c>
      <c r="AG2666" s="282"/>
      <c r="AH2666" s="311" t="e">
        <f>INDEX('D5 - Gatekeeper - Projects'!$A$4:$AF$1010,$AM2666, 17)</f>
        <v>#N/A</v>
      </c>
      <c r="AI2666" s="8"/>
      <c r="AJ2666" s="57"/>
      <c r="AK2666" s="105"/>
      <c r="AM2666" s="6" t="e">
        <f>MATCH(D2666,'D5 - Gatekeeper - Projects'!$C$4:$C$1010,0)</f>
        <v>#N/A</v>
      </c>
      <c r="AN2666" s="6" t="b">
        <f t="shared" si="275"/>
        <v>1</v>
      </c>
      <c r="AO2666" s="6" t="str">
        <f t="shared" si="276"/>
        <v>OK</v>
      </c>
      <c r="AQ2666" s="6" t="e">
        <f>MATCH($D2666,'D4 - Provider Council Unsched'!$C$11:$C$234,0)</f>
        <v>#N/A</v>
      </c>
      <c r="AR2666" s="6" t="b">
        <f t="shared" si="277"/>
        <v>1</v>
      </c>
      <c r="AS2666" s="6" t="str">
        <f t="shared" si="274"/>
        <v>OK</v>
      </c>
      <c r="AU2666" s="202"/>
      <c r="AV2666" s="262"/>
      <c r="AW2666" s="274"/>
    </row>
    <row r="2667" spans="1:49" s="13" customFormat="1" ht="22.5" x14ac:dyDescent="0.2">
      <c r="A2667" s="14">
        <v>2643</v>
      </c>
      <c r="B2667" s="14">
        <v>400014997</v>
      </c>
      <c r="C2667" s="8" t="s">
        <v>5197</v>
      </c>
      <c r="D2667" s="4" t="str">
        <f t="shared" si="278"/>
        <v>400014997R1</v>
      </c>
      <c r="E2667" s="309" t="str">
        <f>VLOOKUP($B2667,'D7 - NDB Impacted SPRF''s'!$E$6:$O$9929,2,FALSE)</f>
        <v>Medica - Enhance EPDL Layouts-Add MPIN to Match</v>
      </c>
      <c r="F2667" s="8" t="s">
        <v>5196</v>
      </c>
      <c r="G2667" s="8" t="s">
        <v>4758</v>
      </c>
      <c r="H2667" s="8" t="s">
        <v>2870</v>
      </c>
      <c r="I2667" s="20"/>
      <c r="J2667" s="8"/>
      <c r="K2667" s="182"/>
      <c r="L2667" s="8" t="s">
        <v>4156</v>
      </c>
      <c r="M2667" s="8" t="s">
        <v>2814</v>
      </c>
      <c r="N2667" s="38" t="s">
        <v>4653</v>
      </c>
      <c r="O2667" s="8"/>
      <c r="P2667" s="4" t="str">
        <f>VLOOKUP($B2667,'D7 - NDB Impacted SPRF''s'!$E$16:$O$9929,9,FALSE)</f>
        <v>N</v>
      </c>
      <c r="Q2667" s="4" t="str">
        <f>VLOOKUP($B2667,'D7 - NDB Impacted SPRF''s'!$E$16:$O$9929,10,FALSE)</f>
        <v>N</v>
      </c>
      <c r="R2667" s="4" t="str">
        <f>VLOOKUP($B2667,'D7 - NDB Impacted SPRF''s'!$E$16:$O$9929,11,FALSE)</f>
        <v>N</v>
      </c>
      <c r="S2667" s="8"/>
      <c r="T2667" s="310"/>
      <c r="U2667" s="310"/>
      <c r="V2667" s="4"/>
      <c r="W2667" s="4"/>
      <c r="X2667" s="4"/>
      <c r="Y2667" s="4"/>
      <c r="Z2667" s="4"/>
      <c r="AA2667" s="4"/>
      <c r="AB2667" s="380" t="str">
        <f>VLOOKUP($B2667,'D7 - NDB Impacted SPRF''s'!$E$16:$O$9929,4,FALSE)</f>
        <v>Cancelled</v>
      </c>
      <c r="AC2667" s="380" t="str">
        <f>VLOOKUP($B2667,'D7 - NDB Impacted SPRF''s'!$E$16:$O$9929,3,FALSE)</f>
        <v>Alliance</v>
      </c>
      <c r="AD2667" s="380" t="str">
        <f>VLOOKUP($B2667,'D7 - NDB Impacted SPRF''s'!$E$16:$O$9929,5,FALSE)</f>
        <v>Medica UNET Conversion</v>
      </c>
      <c r="AE2667" s="380" t="str">
        <f>VLOOKUP($B2667,'D7 - NDB Impacted SPRF''s'!$E$16:$O$9929,7,FALSE)</f>
        <v>Tim Kaja</v>
      </c>
      <c r="AF2667" s="380" t="str">
        <f>VLOOKUP($B2667,'D7 - NDB Impacted SPRF''s'!$E$16:$O$9929,6,FALSE)</f>
        <v>MARCIA MONACO</v>
      </c>
      <c r="AG2667" s="282"/>
      <c r="AH2667" s="311" t="e">
        <f>INDEX('D5 - Gatekeeper - Projects'!$A$4:$AF$1010,$AM2667, 17)</f>
        <v>#N/A</v>
      </c>
      <c r="AI2667" s="8"/>
      <c r="AJ2667" s="57"/>
      <c r="AK2667" s="105"/>
      <c r="AM2667" s="6" t="e">
        <f>MATCH(D2667,'D5 - Gatekeeper - Projects'!$C$4:$C$1010,0)</f>
        <v>#N/A</v>
      </c>
      <c r="AN2667" s="6" t="b">
        <f t="shared" si="275"/>
        <v>1</v>
      </c>
      <c r="AO2667" s="6" t="str">
        <f t="shared" si="276"/>
        <v>OK</v>
      </c>
      <c r="AQ2667" s="6" t="e">
        <f>MATCH($D2667,'D4 - Provider Council Unsched'!$C$11:$C$234,0)</f>
        <v>#N/A</v>
      </c>
      <c r="AR2667" s="6" t="b">
        <f t="shared" si="277"/>
        <v>1</v>
      </c>
      <c r="AS2667" s="6" t="str">
        <f t="shared" si="274"/>
        <v>OK</v>
      </c>
      <c r="AU2667" s="202"/>
      <c r="AV2667" s="262"/>
      <c r="AW2667" s="274"/>
    </row>
    <row r="2668" spans="1:49" s="13" customFormat="1" ht="22.5" x14ac:dyDescent="0.2">
      <c r="A2668" s="14">
        <v>2644</v>
      </c>
      <c r="B2668" s="14">
        <v>400015071</v>
      </c>
      <c r="C2668" s="8" t="s">
        <v>5197</v>
      </c>
      <c r="D2668" s="4" t="str">
        <f t="shared" si="278"/>
        <v>400015071R1</v>
      </c>
      <c r="E2668" s="309" t="str">
        <f>VLOOKUP($B2668,'D7 - NDB Impacted SPRF''s'!$E$6:$O$9929,2,FALSE)</f>
        <v xml:space="preserve">HPHC 1 - Split 835 file for HPHC by TIN </v>
      </c>
      <c r="F2668" s="8" t="s">
        <v>5196</v>
      </c>
      <c r="G2668" s="8" t="s">
        <v>4758</v>
      </c>
      <c r="H2668" s="8" t="s">
        <v>2870</v>
      </c>
      <c r="I2668" s="20"/>
      <c r="J2668" s="8"/>
      <c r="K2668" s="182"/>
      <c r="L2668" s="8" t="s">
        <v>4156</v>
      </c>
      <c r="M2668" s="8" t="s">
        <v>2814</v>
      </c>
      <c r="N2668" s="38" t="s">
        <v>7998</v>
      </c>
      <c r="O2668" s="8"/>
      <c r="P2668" s="4" t="str">
        <f>VLOOKUP($B2668,'D7 - NDB Impacted SPRF''s'!$E$16:$O$9929,9,FALSE)</f>
        <v>Y</v>
      </c>
      <c r="Q2668" s="4" t="str">
        <f>VLOOKUP($B2668,'D7 - NDB Impacted SPRF''s'!$E$16:$O$9929,10,FALSE)</f>
        <v>N</v>
      </c>
      <c r="R2668" s="4" t="str">
        <f>VLOOKUP($B2668,'D7 - NDB Impacted SPRF''s'!$E$16:$O$9929,11,FALSE)</f>
        <v>N</v>
      </c>
      <c r="S2668" s="8"/>
      <c r="T2668" s="310"/>
      <c r="U2668" s="310"/>
      <c r="V2668" s="4"/>
      <c r="W2668" s="4"/>
      <c r="X2668" s="4"/>
      <c r="Y2668" s="4"/>
      <c r="Z2668" s="4"/>
      <c r="AA2668" s="4"/>
      <c r="AB2668" s="380" t="str">
        <f>VLOOKUP($B2668,'D7 - NDB Impacted SPRF''s'!$E$16:$O$9929,4,FALSE)</f>
        <v>Cancelled</v>
      </c>
      <c r="AC2668" s="380" t="str">
        <f>VLOOKUP($B2668,'D7 - NDB Impacted SPRF''s'!$E$16:$O$9929,3,FALSE)</f>
        <v>Alliance</v>
      </c>
      <c r="AD2668" s="380" t="str">
        <f>VLOOKUP($B2668,'D7 - NDB Impacted SPRF''s'!$E$16:$O$9929,5,FALSE)</f>
        <v>Harvard Pilgrim Service Alliance</v>
      </c>
      <c r="AE2668" s="380" t="str">
        <f>VLOOKUP($B2668,'D7 - NDB Impacted SPRF''s'!$E$16:$O$9929,7,FALSE)</f>
        <v>Bev Nyce</v>
      </c>
      <c r="AF2668" s="380" t="str">
        <f>VLOOKUP($B2668,'D7 - NDB Impacted SPRF''s'!$E$16:$O$9929,6,FALSE)</f>
        <v>DAWN WALTER</v>
      </c>
      <c r="AG2668" s="282"/>
      <c r="AH2668" s="311" t="e">
        <f>INDEX('D5 - Gatekeeper - Projects'!$A$4:$AF$1010,$AM2668, 17)</f>
        <v>#N/A</v>
      </c>
      <c r="AI2668" s="8"/>
      <c r="AJ2668" s="57"/>
      <c r="AK2668" s="105"/>
      <c r="AM2668" s="6" t="e">
        <f>MATCH(D2668,'D5 - Gatekeeper - Projects'!$C$4:$C$1010,0)</f>
        <v>#N/A</v>
      </c>
      <c r="AN2668" s="6" t="b">
        <f t="shared" si="275"/>
        <v>1</v>
      </c>
      <c r="AO2668" s="6" t="str">
        <f t="shared" si="276"/>
        <v>OK</v>
      </c>
      <c r="AQ2668" s="6" t="e">
        <f>MATCH($D2668,'D4 - Provider Council Unsched'!$C$11:$C$234,0)</f>
        <v>#N/A</v>
      </c>
      <c r="AR2668" s="6" t="b">
        <f t="shared" si="277"/>
        <v>1</v>
      </c>
      <c r="AS2668" s="6" t="str">
        <f t="shared" si="274"/>
        <v>OK</v>
      </c>
      <c r="AU2668" s="202"/>
      <c r="AV2668" s="262"/>
      <c r="AW2668" s="274"/>
    </row>
    <row r="2669" spans="1:49" s="13" customFormat="1" ht="33.75" x14ac:dyDescent="0.2">
      <c r="A2669" s="14">
        <v>2645</v>
      </c>
      <c r="B2669" s="14">
        <v>400015086</v>
      </c>
      <c r="C2669" s="8" t="s">
        <v>5197</v>
      </c>
      <c r="D2669" s="4" t="str">
        <f t="shared" si="278"/>
        <v>400015086R1</v>
      </c>
      <c r="E2669" s="309" t="str">
        <f>VLOOKUP($B2669,'D7 - NDB Impacted SPRF''s'!$E$6:$O$9929,2,FALSE)</f>
        <v>Care One Data Sharing w/Unet</v>
      </c>
      <c r="F2669" s="8" t="s">
        <v>7989</v>
      </c>
      <c r="G2669" s="8" t="s">
        <v>4758</v>
      </c>
      <c r="H2669" s="8" t="s">
        <v>2870</v>
      </c>
      <c r="I2669" s="20">
        <v>1.07</v>
      </c>
      <c r="J2669" s="8" t="s">
        <v>4862</v>
      </c>
      <c r="K2669" s="182"/>
      <c r="L2669" s="8" t="s">
        <v>4156</v>
      </c>
      <c r="M2669" s="8" t="s">
        <v>5626</v>
      </c>
      <c r="N2669" s="38" t="s">
        <v>2850</v>
      </c>
      <c r="O2669" s="8"/>
      <c r="P2669" s="4" t="str">
        <f>VLOOKUP($B2669,'D7 - NDB Impacted SPRF''s'!$E$16:$O$9929,9,FALSE)</f>
        <v>Y</v>
      </c>
      <c r="Q2669" s="4" t="str">
        <f>VLOOKUP($B2669,'D7 - NDB Impacted SPRF''s'!$E$16:$O$9929,10,FALSE)</f>
        <v>N</v>
      </c>
      <c r="R2669" s="4" t="str">
        <f>VLOOKUP($B2669,'D7 - NDB Impacted SPRF''s'!$E$16:$O$9929,11,FALSE)</f>
        <v>N</v>
      </c>
      <c r="S2669" s="8"/>
      <c r="T2669" s="310"/>
      <c r="U2669" s="310"/>
      <c r="V2669" s="4"/>
      <c r="W2669" s="4"/>
      <c r="X2669" s="4"/>
      <c r="Y2669" s="4"/>
      <c r="Z2669" s="4"/>
      <c r="AA2669" s="4"/>
      <c r="AB2669" s="380" t="str">
        <f>VLOOKUP($B2669,'D7 - NDB Impacted SPRF''s'!$E$16:$O$9929,4,FALSE)</f>
        <v>Cancelled</v>
      </c>
      <c r="AC2669" s="380" t="str">
        <f>VLOOKUP($B2669,'D7 - NDB Impacted SPRF''s'!$E$16:$O$9929,3,FALSE)</f>
        <v>UnitedHealthcare Employer &amp; Individual</v>
      </c>
      <c r="AD2669" s="380" t="str">
        <f>VLOOKUP($B2669,'D7 - NDB Impacted SPRF''s'!$E$16:$O$9929,5,FALSE)</f>
        <v>Medical Cost Savings Programs</v>
      </c>
      <c r="AE2669" s="380" t="str">
        <f>VLOOKUP($B2669,'D7 - NDB Impacted SPRF''s'!$E$16:$O$9929,7,FALSE)</f>
        <v>Gino Tenace</v>
      </c>
      <c r="AF2669" s="380" t="str">
        <f>VLOOKUP($B2669,'D7 - NDB Impacted SPRF''s'!$E$16:$O$9929,6,FALSE)</f>
        <v>Jennifer Steffens</v>
      </c>
      <c r="AG2669" s="282"/>
      <c r="AH2669" s="311" t="e">
        <f>INDEX('D5 - Gatekeeper - Projects'!$A$4:$AF$1010,$AM2669, 17)</f>
        <v>#N/A</v>
      </c>
      <c r="AI2669" s="8"/>
      <c r="AJ2669" s="57"/>
      <c r="AK2669" s="105"/>
      <c r="AM2669" s="6" t="e">
        <f>MATCH(D2669,'D5 - Gatekeeper - Projects'!$C$4:$C$1010,0)</f>
        <v>#N/A</v>
      </c>
      <c r="AN2669" s="6" t="b">
        <f t="shared" si="275"/>
        <v>1</v>
      </c>
      <c r="AO2669" s="6" t="str">
        <f t="shared" si="276"/>
        <v>OK</v>
      </c>
      <c r="AQ2669" s="6" t="e">
        <f>MATCH($D2669,'D4 - Provider Council Unsched'!$C$11:$C$234,0)</f>
        <v>#N/A</v>
      </c>
      <c r="AR2669" s="6" t="b">
        <f t="shared" si="277"/>
        <v>1</v>
      </c>
      <c r="AS2669" s="6" t="str">
        <f t="shared" si="274"/>
        <v>OK</v>
      </c>
      <c r="AU2669" s="202"/>
      <c r="AV2669" s="262"/>
      <c r="AW2669" s="274"/>
    </row>
    <row r="2670" spans="1:49" s="13" customFormat="1" ht="33.75" x14ac:dyDescent="0.2">
      <c r="A2670" s="14">
        <v>2646</v>
      </c>
      <c r="B2670" s="14">
        <v>400015137</v>
      </c>
      <c r="C2670" s="8" t="s">
        <v>5197</v>
      </c>
      <c r="D2670" s="4" t="str">
        <f t="shared" si="278"/>
        <v>400015137R1</v>
      </c>
      <c r="E2670" s="309" t="str">
        <f>VLOOKUP($B2670,'D7 - NDB Impacted SPRF''s'!$E$6:$O$9929,2,FALSE)</f>
        <v>Enhance Provider Selection Criteria</v>
      </c>
      <c r="F2670" s="8" t="s">
        <v>2114</v>
      </c>
      <c r="G2670" s="8" t="s">
        <v>4758</v>
      </c>
      <c r="H2670" s="8" t="s">
        <v>2870</v>
      </c>
      <c r="I2670" s="20"/>
      <c r="J2670" s="8"/>
      <c r="K2670" s="182"/>
      <c r="L2670" s="8" t="s">
        <v>4156</v>
      </c>
      <c r="M2670" s="8" t="s">
        <v>2814</v>
      </c>
      <c r="N2670" s="38" t="s">
        <v>2431</v>
      </c>
      <c r="O2670" s="8"/>
      <c r="P2670" s="4" t="str">
        <f>VLOOKUP($B2670,'D7 - NDB Impacted SPRF''s'!$E$16:$O$9929,9,FALSE)</f>
        <v>N</v>
      </c>
      <c r="Q2670" s="4" t="str">
        <f>VLOOKUP($B2670,'D7 - NDB Impacted SPRF''s'!$E$16:$O$9929,10,FALSE)</f>
        <v>N</v>
      </c>
      <c r="R2670" s="4" t="str">
        <f>VLOOKUP($B2670,'D7 - NDB Impacted SPRF''s'!$E$16:$O$9929,11,FALSE)</f>
        <v>N</v>
      </c>
      <c r="S2670" s="8"/>
      <c r="T2670" s="310"/>
      <c r="U2670" s="310"/>
      <c r="V2670" s="4"/>
      <c r="W2670" s="4"/>
      <c r="X2670" s="4"/>
      <c r="Y2670" s="4"/>
      <c r="Z2670" s="4"/>
      <c r="AA2670" s="4"/>
      <c r="AB2670" s="380" t="str">
        <f>VLOOKUP($B2670,'D7 - NDB Impacted SPRF''s'!$E$16:$O$9929,4,FALSE)</f>
        <v>Cancelled</v>
      </c>
      <c r="AC2670" s="380" t="str">
        <f>VLOOKUP($B2670,'D7 - NDB Impacted SPRF''s'!$E$16:$O$9929,3,FALSE)</f>
        <v>UnitedHealthcare Medicare &amp; Retirement</v>
      </c>
      <c r="AD2670" s="380" t="str">
        <f>VLOOKUP($B2670,'D7 - NDB Impacted SPRF''s'!$E$16:$O$9929,5,FALSE)</f>
        <v>XXNon-COG</v>
      </c>
      <c r="AE2670" s="380" t="str">
        <f>VLOOKUP($B2670,'D7 - NDB Impacted SPRF''s'!$E$16:$O$9929,7,FALSE)</f>
        <v>Leslie Sheldon</v>
      </c>
      <c r="AF2670" s="380" t="str">
        <f>VLOOKUP($B2670,'D7 - NDB Impacted SPRF''s'!$E$16:$O$9929,6,FALSE)</f>
        <v>DANA SILLS</v>
      </c>
      <c r="AG2670" s="282"/>
      <c r="AH2670" s="311" t="e">
        <f>INDEX('D5 - Gatekeeper - Projects'!$A$4:$AF$1010,$AM2670, 17)</f>
        <v>#N/A</v>
      </c>
      <c r="AI2670" s="8"/>
      <c r="AJ2670" s="57"/>
      <c r="AK2670" s="105"/>
      <c r="AM2670" s="6" t="e">
        <f>MATCH(D2670,'D5 - Gatekeeper - Projects'!$C$4:$C$1010,0)</f>
        <v>#N/A</v>
      </c>
      <c r="AN2670" s="6" t="b">
        <f t="shared" si="275"/>
        <v>1</v>
      </c>
      <c r="AO2670" s="6" t="str">
        <f t="shared" si="276"/>
        <v>OK</v>
      </c>
      <c r="AQ2670" s="6" t="e">
        <f>MATCH($D2670,'D4 - Provider Council Unsched'!$C$11:$C$234,0)</f>
        <v>#N/A</v>
      </c>
      <c r="AR2670" s="6" t="b">
        <f t="shared" si="277"/>
        <v>1</v>
      </c>
      <c r="AS2670" s="6" t="str">
        <f t="shared" si="274"/>
        <v>OK</v>
      </c>
      <c r="AU2670" s="202"/>
      <c r="AV2670" s="262"/>
      <c r="AW2670" s="274"/>
    </row>
    <row r="2671" spans="1:49" s="13" customFormat="1" ht="22.5" x14ac:dyDescent="0.2">
      <c r="A2671" s="14">
        <v>2647</v>
      </c>
      <c r="B2671" s="14">
        <v>400015239</v>
      </c>
      <c r="C2671" s="8" t="s">
        <v>5197</v>
      </c>
      <c r="D2671" s="4" t="str">
        <f t="shared" si="278"/>
        <v>400015239R1</v>
      </c>
      <c r="E2671" s="309" t="str">
        <f>VLOOKUP($B2671,'D7 - NDB Impacted SPRF''s'!$E$6:$O$9929,2,FALSE)</f>
        <v>HPHC2-Ranking of Multiple Surgical Procedures byHA</v>
      </c>
      <c r="F2671" s="8" t="s">
        <v>5196</v>
      </c>
      <c r="G2671" s="8" t="s">
        <v>4758</v>
      </c>
      <c r="H2671" s="8" t="s">
        <v>2870</v>
      </c>
      <c r="I2671" s="20">
        <v>1.07</v>
      </c>
      <c r="J2671" s="8" t="s">
        <v>4862</v>
      </c>
      <c r="K2671" s="182"/>
      <c r="L2671" s="8" t="s">
        <v>4156</v>
      </c>
      <c r="M2671" s="8" t="s">
        <v>2814</v>
      </c>
      <c r="N2671" s="38" t="s">
        <v>8012</v>
      </c>
      <c r="O2671" s="8"/>
      <c r="P2671" s="4" t="str">
        <f>VLOOKUP($B2671,'D7 - NDB Impacted SPRF''s'!$E$16:$O$9929,9,FALSE)</f>
        <v>Y</v>
      </c>
      <c r="Q2671" s="4" t="str">
        <f>VLOOKUP($B2671,'D7 - NDB Impacted SPRF''s'!$E$16:$O$9929,10,FALSE)</f>
        <v>N</v>
      </c>
      <c r="R2671" s="4" t="str">
        <f>VLOOKUP($B2671,'D7 - NDB Impacted SPRF''s'!$E$16:$O$9929,11,FALSE)</f>
        <v>N</v>
      </c>
      <c r="S2671" s="8"/>
      <c r="T2671" s="310"/>
      <c r="U2671" s="310"/>
      <c r="V2671" s="4"/>
      <c r="W2671" s="4"/>
      <c r="X2671" s="4"/>
      <c r="Y2671" s="4"/>
      <c r="Z2671" s="4"/>
      <c r="AA2671" s="4"/>
      <c r="AB2671" s="380" t="str">
        <f>VLOOKUP($B2671,'D7 - NDB Impacted SPRF''s'!$E$16:$O$9929,4,FALSE)</f>
        <v>Cancelled</v>
      </c>
      <c r="AC2671" s="380" t="str">
        <f>VLOOKUP($B2671,'D7 - NDB Impacted SPRF''s'!$E$16:$O$9929,3,FALSE)</f>
        <v>Alliance</v>
      </c>
      <c r="AD2671" s="380" t="str">
        <f>VLOOKUP($B2671,'D7 - NDB Impacted SPRF''s'!$E$16:$O$9929,5,FALSE)</f>
        <v>Harvard Pilgrim Service Alliance</v>
      </c>
      <c r="AE2671" s="380" t="str">
        <f>VLOOKUP($B2671,'D7 - NDB Impacted SPRF''s'!$E$16:$O$9929,7,FALSE)</f>
        <v>Kathy Freiheit</v>
      </c>
      <c r="AF2671" s="380" t="str">
        <f>VLOOKUP($B2671,'D7 - NDB Impacted SPRF''s'!$E$16:$O$9929,6,FALSE)</f>
        <v>LUND ROSS</v>
      </c>
      <c r="AG2671" s="282"/>
      <c r="AH2671" s="311" t="e">
        <f>INDEX('D5 - Gatekeeper - Projects'!$A$4:$AF$1010,$AM2671, 17)</f>
        <v>#N/A</v>
      </c>
      <c r="AI2671" s="8"/>
      <c r="AJ2671" s="57"/>
      <c r="AK2671" s="105"/>
      <c r="AM2671" s="6" t="e">
        <f>MATCH(D2671,'D5 - Gatekeeper - Projects'!$C$4:$C$1010,0)</f>
        <v>#N/A</v>
      </c>
      <c r="AN2671" s="6" t="b">
        <f t="shared" si="275"/>
        <v>1</v>
      </c>
      <c r="AO2671" s="6" t="str">
        <f t="shared" si="276"/>
        <v>OK</v>
      </c>
      <c r="AQ2671" s="6" t="e">
        <f>MATCH($D2671,'D4 - Provider Council Unsched'!$C$11:$C$234,0)</f>
        <v>#N/A</v>
      </c>
      <c r="AR2671" s="6" t="b">
        <f t="shared" si="277"/>
        <v>1</v>
      </c>
      <c r="AS2671" s="6" t="str">
        <f t="shared" si="274"/>
        <v>OK</v>
      </c>
      <c r="AU2671" s="202"/>
      <c r="AV2671" s="262"/>
      <c r="AW2671" s="274"/>
    </row>
    <row r="2672" spans="1:49" s="13" customFormat="1" ht="33.75" x14ac:dyDescent="0.2">
      <c r="A2672" s="14">
        <v>2648</v>
      </c>
      <c r="B2672" s="14">
        <v>400015254</v>
      </c>
      <c r="C2672" s="8" t="s">
        <v>5197</v>
      </c>
      <c r="D2672" s="4" t="str">
        <f t="shared" si="278"/>
        <v>400015254R1</v>
      </c>
      <c r="E2672" s="309" t="str">
        <f>VLOOKUP($B2672,'D7 - NDB Impacted SPRF''s'!$E$6:$O$9929,2,FALSE)</f>
        <v>NDB Dx Code File Extract</v>
      </c>
      <c r="F2672" s="8" t="s">
        <v>6007</v>
      </c>
      <c r="G2672" s="8" t="s">
        <v>4758</v>
      </c>
      <c r="H2672" s="8" t="s">
        <v>2870</v>
      </c>
      <c r="I2672" s="20">
        <f>146/160</f>
        <v>0.91249999999999998</v>
      </c>
      <c r="J2672" s="8" t="s">
        <v>4862</v>
      </c>
      <c r="K2672" s="182"/>
      <c r="L2672" s="8" t="s">
        <v>4156</v>
      </c>
      <c r="M2672" s="8" t="s">
        <v>2814</v>
      </c>
      <c r="N2672" s="38"/>
      <c r="O2672" s="8"/>
      <c r="P2672" s="4" t="str">
        <f>VLOOKUP($B2672,'D7 - NDB Impacted SPRF''s'!$E$16:$O$9929,9,FALSE)</f>
        <v>N</v>
      </c>
      <c r="Q2672" s="4" t="str">
        <f>VLOOKUP($B2672,'D7 - NDB Impacted SPRF''s'!$E$16:$O$9929,10,FALSE)</f>
        <v>N</v>
      </c>
      <c r="R2672" s="4" t="str">
        <f>VLOOKUP($B2672,'D7 - NDB Impacted SPRF''s'!$E$16:$O$9929,11,FALSE)</f>
        <v>N</v>
      </c>
      <c r="S2672" s="8"/>
      <c r="T2672" s="310"/>
      <c r="U2672" s="310"/>
      <c r="V2672" s="4"/>
      <c r="W2672" s="4"/>
      <c r="X2672" s="4"/>
      <c r="Y2672" s="4"/>
      <c r="Z2672" s="4"/>
      <c r="AA2672" s="4"/>
      <c r="AB2672" s="380" t="str">
        <f>VLOOKUP($B2672,'D7 - NDB Impacted SPRF''s'!$E$16:$O$9929,4,FALSE)</f>
        <v>Cancelled</v>
      </c>
      <c r="AC2672" s="380" t="str">
        <f>VLOOKUP($B2672,'D7 - NDB Impacted SPRF''s'!$E$16:$O$9929,3,FALSE)</f>
        <v>UnitedHealthcare Employer &amp; Individual</v>
      </c>
      <c r="AD2672" s="380" t="str">
        <f>VLOOKUP($B2672,'D7 - NDB Impacted SPRF''s'!$E$16:$O$9929,5,FALSE)</f>
        <v>Operational Requirements</v>
      </c>
      <c r="AE2672" s="380" t="str">
        <f>VLOOKUP($B2672,'D7 - NDB Impacted SPRF''s'!$E$16:$O$9929,7,FALSE)</f>
        <v>Belinda Jones</v>
      </c>
      <c r="AF2672" s="380" t="str">
        <f>VLOOKUP($B2672,'D7 - NDB Impacted SPRF''s'!$E$16:$O$9929,6,FALSE)</f>
        <v>Belinda Jackson</v>
      </c>
      <c r="AG2672" s="282"/>
      <c r="AH2672" s="311" t="e">
        <f>INDEX('D5 - Gatekeeper - Projects'!$A$4:$AF$1010,$AM2672, 17)</f>
        <v>#N/A</v>
      </c>
      <c r="AI2672" s="8"/>
      <c r="AJ2672" s="57"/>
      <c r="AK2672" s="105"/>
      <c r="AM2672" s="6" t="e">
        <f>MATCH(D2672,'D5 - Gatekeeper - Projects'!$C$4:$C$1010,0)</f>
        <v>#N/A</v>
      </c>
      <c r="AN2672" s="6" t="b">
        <f t="shared" si="275"/>
        <v>1</v>
      </c>
      <c r="AO2672" s="6" t="str">
        <f t="shared" si="276"/>
        <v>OK</v>
      </c>
      <c r="AQ2672" s="6" t="e">
        <f>MATCH($D2672,'D4 - Provider Council Unsched'!$C$11:$C$234,0)</f>
        <v>#N/A</v>
      </c>
      <c r="AR2672" s="6" t="b">
        <f t="shared" si="277"/>
        <v>1</v>
      </c>
      <c r="AS2672" s="6" t="str">
        <f t="shared" si="274"/>
        <v>OK</v>
      </c>
      <c r="AU2672" s="202"/>
      <c r="AV2672" s="262"/>
      <c r="AW2672" s="274"/>
    </row>
    <row r="2673" spans="1:49" s="13" customFormat="1" ht="22.5" x14ac:dyDescent="0.2">
      <c r="A2673" s="14">
        <v>2649</v>
      </c>
      <c r="B2673" s="14">
        <v>400015270</v>
      </c>
      <c r="C2673" s="8" t="s">
        <v>5197</v>
      </c>
      <c r="D2673" s="4" t="str">
        <f t="shared" si="278"/>
        <v>400015270R1</v>
      </c>
      <c r="E2673" s="309" t="str">
        <f>VLOOKUP($B2673,'D7 - NDB Impacted SPRF''s'!$E$6:$O$9929,2,FALSE)</f>
        <v>HPHC2-100/50/50 Logic Application for Multi Surgs</v>
      </c>
      <c r="F2673" s="8" t="s">
        <v>5196</v>
      </c>
      <c r="G2673" s="8" t="s">
        <v>4758</v>
      </c>
      <c r="H2673" s="8" t="s">
        <v>2870</v>
      </c>
      <c r="I2673" s="20"/>
      <c r="J2673" s="8"/>
      <c r="K2673" s="182"/>
      <c r="L2673" s="8" t="s">
        <v>4156</v>
      </c>
      <c r="M2673" s="8" t="s">
        <v>2814</v>
      </c>
      <c r="N2673" s="38" t="s">
        <v>2431</v>
      </c>
      <c r="O2673" s="8"/>
      <c r="P2673" s="4" t="str">
        <f>VLOOKUP($B2673,'D7 - NDB Impacted SPRF''s'!$E$16:$O$9929,9,FALSE)</f>
        <v>Y</v>
      </c>
      <c r="Q2673" s="4" t="str">
        <f>VLOOKUP($B2673,'D7 - NDB Impacted SPRF''s'!$E$16:$O$9929,10,FALSE)</f>
        <v>N</v>
      </c>
      <c r="R2673" s="4" t="str">
        <f>VLOOKUP($B2673,'D7 - NDB Impacted SPRF''s'!$E$16:$O$9929,11,FALSE)</f>
        <v>Y</v>
      </c>
      <c r="S2673" s="8"/>
      <c r="T2673" s="310"/>
      <c r="U2673" s="310"/>
      <c r="V2673" s="4"/>
      <c r="W2673" s="4"/>
      <c r="X2673" s="4"/>
      <c r="Y2673" s="4"/>
      <c r="Z2673" s="4"/>
      <c r="AA2673" s="4"/>
      <c r="AB2673" s="380" t="str">
        <f>VLOOKUP($B2673,'D7 - NDB Impacted SPRF''s'!$E$16:$O$9929,4,FALSE)</f>
        <v>Cancelled</v>
      </c>
      <c r="AC2673" s="380" t="str">
        <f>VLOOKUP($B2673,'D7 - NDB Impacted SPRF''s'!$E$16:$O$9929,3,FALSE)</f>
        <v>Alliance</v>
      </c>
      <c r="AD2673" s="380" t="str">
        <f>VLOOKUP($B2673,'D7 - NDB Impacted SPRF''s'!$E$16:$O$9929,5,FALSE)</f>
        <v>Harvard Pilgrim Service Alliance</v>
      </c>
      <c r="AE2673" s="380" t="str">
        <f>VLOOKUP($B2673,'D7 - NDB Impacted SPRF''s'!$E$16:$O$9929,7,FALSE)</f>
        <v>Kathy Freiheit</v>
      </c>
      <c r="AF2673" s="380" t="str">
        <f>VLOOKUP($B2673,'D7 - NDB Impacted SPRF''s'!$E$16:$O$9929,6,FALSE)</f>
        <v>LUND ROSS</v>
      </c>
      <c r="AG2673" s="282"/>
      <c r="AH2673" s="311" t="e">
        <f>INDEX('D5 - Gatekeeper - Projects'!$A$4:$AF$1010,$AM2673, 17)</f>
        <v>#N/A</v>
      </c>
      <c r="AI2673" s="8"/>
      <c r="AJ2673" s="57"/>
      <c r="AK2673" s="105"/>
      <c r="AM2673" s="6" t="e">
        <f>MATCH(D2673,'D5 - Gatekeeper - Projects'!$C$4:$C$1010,0)</f>
        <v>#N/A</v>
      </c>
      <c r="AN2673" s="6" t="b">
        <f t="shared" si="275"/>
        <v>1</v>
      </c>
      <c r="AO2673" s="6" t="str">
        <f t="shared" si="276"/>
        <v>OK</v>
      </c>
      <c r="AQ2673" s="6" t="e">
        <f>MATCH($D2673,'D4 - Provider Council Unsched'!$C$11:$C$234,0)</f>
        <v>#N/A</v>
      </c>
      <c r="AR2673" s="6" t="b">
        <f t="shared" si="277"/>
        <v>1</v>
      </c>
      <c r="AS2673" s="6" t="str">
        <f t="shared" si="274"/>
        <v>OK</v>
      </c>
      <c r="AU2673" s="202"/>
      <c r="AV2673" s="262"/>
      <c r="AW2673" s="274"/>
    </row>
    <row r="2674" spans="1:49" s="13" customFormat="1" ht="22.5" x14ac:dyDescent="0.2">
      <c r="A2674" s="14">
        <v>2650</v>
      </c>
      <c r="B2674" s="14">
        <v>400015271</v>
      </c>
      <c r="C2674" s="8" t="s">
        <v>5197</v>
      </c>
      <c r="D2674" s="4" t="str">
        <f t="shared" si="278"/>
        <v>400015271R1</v>
      </c>
      <c r="E2674" s="309" t="str">
        <f>VLOOKUP($B2674,'D7 - NDB Impacted SPRF''s'!$E$6:$O$9929,2,FALSE)</f>
        <v>HPHC2-Reimburse IVF Services Under Multi Fee Sched</v>
      </c>
      <c r="F2674" s="8" t="s">
        <v>5196</v>
      </c>
      <c r="G2674" s="8" t="s">
        <v>4758</v>
      </c>
      <c r="H2674" s="8" t="s">
        <v>2870</v>
      </c>
      <c r="I2674" s="20"/>
      <c r="J2674" s="8"/>
      <c r="K2674" s="182"/>
      <c r="L2674" s="8" t="s">
        <v>4156</v>
      </c>
      <c r="M2674" s="8" t="s">
        <v>2814</v>
      </c>
      <c r="N2674" s="38" t="s">
        <v>5802</v>
      </c>
      <c r="O2674" s="8"/>
      <c r="P2674" s="4" t="str">
        <f>VLOOKUP($B2674,'D7 - NDB Impacted SPRF''s'!$E$16:$O$9929,9,FALSE)</f>
        <v>Y</v>
      </c>
      <c r="Q2674" s="4" t="str">
        <f>VLOOKUP($B2674,'D7 - NDB Impacted SPRF''s'!$E$16:$O$9929,10,FALSE)</f>
        <v>N</v>
      </c>
      <c r="R2674" s="4" t="str">
        <f>VLOOKUP($B2674,'D7 - NDB Impacted SPRF''s'!$E$16:$O$9929,11,FALSE)</f>
        <v>Y</v>
      </c>
      <c r="S2674" s="8"/>
      <c r="T2674" s="310"/>
      <c r="U2674" s="310"/>
      <c r="V2674" s="4"/>
      <c r="W2674" s="4"/>
      <c r="X2674" s="4"/>
      <c r="Y2674" s="4"/>
      <c r="Z2674" s="4"/>
      <c r="AA2674" s="4"/>
      <c r="AB2674" s="380" t="str">
        <f>VLOOKUP($B2674,'D7 - NDB Impacted SPRF''s'!$E$16:$O$9929,4,FALSE)</f>
        <v>Cancelled</v>
      </c>
      <c r="AC2674" s="380" t="str">
        <f>VLOOKUP($B2674,'D7 - NDB Impacted SPRF''s'!$E$16:$O$9929,3,FALSE)</f>
        <v>Alliance</v>
      </c>
      <c r="AD2674" s="380" t="str">
        <f>VLOOKUP($B2674,'D7 - NDB Impacted SPRF''s'!$E$16:$O$9929,5,FALSE)</f>
        <v>Harvard Pilgrim Service Alliance</v>
      </c>
      <c r="AE2674" s="380" t="str">
        <f>VLOOKUP($B2674,'D7 - NDB Impacted SPRF''s'!$E$16:$O$9929,7,FALSE)</f>
        <v>Kathy Freiheit</v>
      </c>
      <c r="AF2674" s="380" t="str">
        <f>VLOOKUP($B2674,'D7 - NDB Impacted SPRF''s'!$E$16:$O$9929,6,FALSE)</f>
        <v>LUND ROSS</v>
      </c>
      <c r="AG2674" s="282"/>
      <c r="AH2674" s="311" t="e">
        <f>INDEX('D5 - Gatekeeper - Projects'!$A$4:$AF$1010,$AM2674, 17)</f>
        <v>#N/A</v>
      </c>
      <c r="AI2674" s="8"/>
      <c r="AJ2674" s="57"/>
      <c r="AK2674" s="105"/>
      <c r="AM2674" s="6" t="e">
        <f>MATCH(D2674,'D5 - Gatekeeper - Projects'!$C$4:$C$1010,0)</f>
        <v>#N/A</v>
      </c>
      <c r="AN2674" s="6" t="b">
        <f t="shared" si="275"/>
        <v>1</v>
      </c>
      <c r="AO2674" s="6" t="str">
        <f t="shared" si="276"/>
        <v>OK</v>
      </c>
      <c r="AQ2674" s="6" t="e">
        <f>MATCH($D2674,'D4 - Provider Council Unsched'!$C$11:$C$234,0)</f>
        <v>#N/A</v>
      </c>
      <c r="AR2674" s="6" t="b">
        <f t="shared" si="277"/>
        <v>1</v>
      </c>
      <c r="AS2674" s="6" t="str">
        <f t="shared" si="274"/>
        <v>OK</v>
      </c>
      <c r="AU2674" s="202"/>
      <c r="AV2674" s="262"/>
      <c r="AW2674" s="274"/>
    </row>
    <row r="2675" spans="1:49" s="13" customFormat="1" ht="22.5" x14ac:dyDescent="0.2">
      <c r="A2675" s="14">
        <v>2651</v>
      </c>
      <c r="B2675" s="14">
        <v>400015272</v>
      </c>
      <c r="C2675" s="8" t="s">
        <v>5197</v>
      </c>
      <c r="D2675" s="4" t="str">
        <f t="shared" si="278"/>
        <v>400015272R1</v>
      </c>
      <c r="E2675" s="309" t="str">
        <f>VLOOKUP($B2675,'D7 - NDB Impacted SPRF''s'!$E$6:$O$9929,2,FALSE)</f>
        <v>HPHC2-Radiology Svcs Reductions-All Facility Types</v>
      </c>
      <c r="F2675" s="8" t="s">
        <v>5196</v>
      </c>
      <c r="G2675" s="8" t="s">
        <v>4758</v>
      </c>
      <c r="H2675" s="8" t="s">
        <v>2870</v>
      </c>
      <c r="I2675" s="20"/>
      <c r="J2675" s="8"/>
      <c r="K2675" s="182"/>
      <c r="L2675" s="8" t="s">
        <v>4156</v>
      </c>
      <c r="M2675" s="8" t="s">
        <v>2814</v>
      </c>
      <c r="N2675" s="38" t="s">
        <v>6625</v>
      </c>
      <c r="O2675" s="8"/>
      <c r="P2675" s="4" t="str">
        <f>VLOOKUP($B2675,'D7 - NDB Impacted SPRF''s'!$E$16:$O$9929,9,FALSE)</f>
        <v>Y</v>
      </c>
      <c r="Q2675" s="4" t="str">
        <f>VLOOKUP($B2675,'D7 - NDB Impacted SPRF''s'!$E$16:$O$9929,10,FALSE)</f>
        <v>N</v>
      </c>
      <c r="R2675" s="4" t="str">
        <f>VLOOKUP($B2675,'D7 - NDB Impacted SPRF''s'!$E$16:$O$9929,11,FALSE)</f>
        <v>Y</v>
      </c>
      <c r="S2675" s="8"/>
      <c r="T2675" s="310"/>
      <c r="U2675" s="310"/>
      <c r="V2675" s="4"/>
      <c r="W2675" s="4"/>
      <c r="X2675" s="4"/>
      <c r="Y2675" s="4"/>
      <c r="Z2675" s="4"/>
      <c r="AA2675" s="4"/>
      <c r="AB2675" s="380" t="str">
        <f>VLOOKUP($B2675,'D7 - NDB Impacted SPRF''s'!$E$16:$O$9929,4,FALSE)</f>
        <v>Cancelled</v>
      </c>
      <c r="AC2675" s="380" t="str">
        <f>VLOOKUP($B2675,'D7 - NDB Impacted SPRF''s'!$E$16:$O$9929,3,FALSE)</f>
        <v>Alliance</v>
      </c>
      <c r="AD2675" s="380" t="str">
        <f>VLOOKUP($B2675,'D7 - NDB Impacted SPRF''s'!$E$16:$O$9929,5,FALSE)</f>
        <v>Harvard Pilgrim Service Alliance</v>
      </c>
      <c r="AE2675" s="380" t="str">
        <f>VLOOKUP($B2675,'D7 - NDB Impacted SPRF''s'!$E$16:$O$9929,7,FALSE)</f>
        <v>Kathy Freiheit</v>
      </c>
      <c r="AF2675" s="380" t="str">
        <f>VLOOKUP($B2675,'D7 - NDB Impacted SPRF''s'!$E$16:$O$9929,6,FALSE)</f>
        <v>LUND ROSS</v>
      </c>
      <c r="AG2675" s="282"/>
      <c r="AH2675" s="311" t="e">
        <f>INDEX('D5 - Gatekeeper - Projects'!$A$4:$AF$1010,$AM2675, 17)</f>
        <v>#N/A</v>
      </c>
      <c r="AI2675" s="8"/>
      <c r="AJ2675" s="57"/>
      <c r="AK2675" s="105"/>
      <c r="AM2675" s="6" t="e">
        <f>MATCH(D2675,'D5 - Gatekeeper - Projects'!$C$4:$C$1010,0)</f>
        <v>#N/A</v>
      </c>
      <c r="AN2675" s="6" t="b">
        <f t="shared" si="275"/>
        <v>1</v>
      </c>
      <c r="AO2675" s="6" t="str">
        <f t="shared" si="276"/>
        <v>OK</v>
      </c>
      <c r="AQ2675" s="6" t="e">
        <f>MATCH($D2675,'D4 - Provider Council Unsched'!$C$11:$C$234,0)</f>
        <v>#N/A</v>
      </c>
      <c r="AR2675" s="6" t="b">
        <f t="shared" si="277"/>
        <v>1</v>
      </c>
      <c r="AS2675" s="6" t="str">
        <f t="shared" si="274"/>
        <v>OK</v>
      </c>
      <c r="AU2675" s="202"/>
      <c r="AV2675" s="262"/>
      <c r="AW2675" s="274"/>
    </row>
    <row r="2676" spans="1:49" s="13" customFormat="1" ht="22.5" x14ac:dyDescent="0.2">
      <c r="A2676" s="14">
        <v>2652</v>
      </c>
      <c r="B2676" s="14">
        <v>400015273</v>
      </c>
      <c r="C2676" s="8" t="s">
        <v>5197</v>
      </c>
      <c r="D2676" s="4" t="str">
        <f t="shared" si="278"/>
        <v>400015273R1</v>
      </c>
      <c r="E2676" s="309" t="str">
        <f>VLOOKUP($B2676,'D7 - NDB Impacted SPRF''s'!$E$6:$O$9929,2,FALSE)</f>
        <v>HPHC2-O-rate Schedule Submission via EPDL</v>
      </c>
      <c r="F2676" s="8" t="s">
        <v>5196</v>
      </c>
      <c r="G2676" s="8" t="s">
        <v>4758</v>
      </c>
      <c r="H2676" s="8" t="s">
        <v>2870</v>
      </c>
      <c r="I2676" s="20"/>
      <c r="J2676" s="8"/>
      <c r="K2676" s="182"/>
      <c r="L2676" s="8" t="s">
        <v>4156</v>
      </c>
      <c r="M2676" s="8" t="s">
        <v>2814</v>
      </c>
      <c r="N2676" s="38" t="s">
        <v>6625</v>
      </c>
      <c r="O2676" s="8"/>
      <c r="P2676" s="4" t="str">
        <f>VLOOKUP($B2676,'D7 - NDB Impacted SPRF''s'!$E$16:$O$9929,9,FALSE)</f>
        <v>N</v>
      </c>
      <c r="Q2676" s="4" t="str">
        <f>VLOOKUP($B2676,'D7 - NDB Impacted SPRF''s'!$E$16:$O$9929,10,FALSE)</f>
        <v>N</v>
      </c>
      <c r="R2676" s="4" t="str">
        <f>VLOOKUP($B2676,'D7 - NDB Impacted SPRF''s'!$E$16:$O$9929,11,FALSE)</f>
        <v>N</v>
      </c>
      <c r="S2676" s="8"/>
      <c r="T2676" s="310"/>
      <c r="U2676" s="310"/>
      <c r="V2676" s="4"/>
      <c r="W2676" s="4"/>
      <c r="X2676" s="4"/>
      <c r="Y2676" s="4"/>
      <c r="Z2676" s="4"/>
      <c r="AA2676" s="4"/>
      <c r="AB2676" s="380" t="str">
        <f>VLOOKUP($B2676,'D7 - NDB Impacted SPRF''s'!$E$16:$O$9929,4,FALSE)</f>
        <v>Cancelled</v>
      </c>
      <c r="AC2676" s="380" t="str">
        <f>VLOOKUP($B2676,'D7 - NDB Impacted SPRF''s'!$E$16:$O$9929,3,FALSE)</f>
        <v>Alliance</v>
      </c>
      <c r="AD2676" s="380" t="str">
        <f>VLOOKUP($B2676,'D7 - NDB Impacted SPRF''s'!$E$16:$O$9929,5,FALSE)</f>
        <v>Harvard Pilgrim Service Alliance</v>
      </c>
      <c r="AE2676" s="380" t="str">
        <f>VLOOKUP($B2676,'D7 - NDB Impacted SPRF''s'!$E$16:$O$9929,7,FALSE)</f>
        <v>Kathy Freiheit</v>
      </c>
      <c r="AF2676" s="380" t="str">
        <f>VLOOKUP($B2676,'D7 - NDB Impacted SPRF''s'!$E$16:$O$9929,6,FALSE)</f>
        <v>LUND ROSS</v>
      </c>
      <c r="AG2676" s="282"/>
      <c r="AH2676" s="311" t="e">
        <f>INDEX('D5 - Gatekeeper - Projects'!$A$4:$AF$1010,$AM2676, 17)</f>
        <v>#N/A</v>
      </c>
      <c r="AI2676" s="8"/>
      <c r="AJ2676" s="57"/>
      <c r="AK2676" s="105"/>
      <c r="AM2676" s="6" t="e">
        <f>MATCH(D2676,'D5 - Gatekeeper - Projects'!$C$4:$C$1010,0)</f>
        <v>#N/A</v>
      </c>
      <c r="AN2676" s="6" t="b">
        <f t="shared" si="275"/>
        <v>1</v>
      </c>
      <c r="AO2676" s="6" t="str">
        <f t="shared" si="276"/>
        <v>OK</v>
      </c>
      <c r="AQ2676" s="6" t="e">
        <f>MATCH($D2676,'D4 - Provider Council Unsched'!$C$11:$C$234,0)</f>
        <v>#N/A</v>
      </c>
      <c r="AR2676" s="6" t="b">
        <f t="shared" si="277"/>
        <v>1</v>
      </c>
      <c r="AS2676" s="6" t="str">
        <f t="shared" si="274"/>
        <v>OK</v>
      </c>
      <c r="AU2676" s="202"/>
      <c r="AV2676" s="262"/>
      <c r="AW2676" s="274"/>
    </row>
    <row r="2677" spans="1:49" s="13" customFormat="1" ht="22.5" x14ac:dyDescent="0.2">
      <c r="A2677" s="14">
        <v>2653</v>
      </c>
      <c r="B2677" s="14">
        <v>400015274</v>
      </c>
      <c r="C2677" s="8" t="s">
        <v>5197</v>
      </c>
      <c r="D2677" s="4" t="str">
        <f t="shared" si="278"/>
        <v>400015274R1</v>
      </c>
      <c r="E2677" s="309" t="str">
        <f>VLOOKUP($B2677,'D7 - NDB Impacted SPRF''s'!$E$6:$O$9929,2,FALSE)</f>
        <v>HPHC2-Load Ancillary/Hosp/UB Billers via EPDL</v>
      </c>
      <c r="F2677" s="8" t="s">
        <v>5196</v>
      </c>
      <c r="G2677" s="8" t="s">
        <v>4758</v>
      </c>
      <c r="H2677" s="8" t="s">
        <v>2870</v>
      </c>
      <c r="I2677" s="20"/>
      <c r="J2677" s="8"/>
      <c r="K2677" s="182"/>
      <c r="L2677" s="8" t="s">
        <v>4156</v>
      </c>
      <c r="M2677" s="8" t="s">
        <v>2814</v>
      </c>
      <c r="N2677" s="38" t="s">
        <v>6625</v>
      </c>
      <c r="O2677" s="8"/>
      <c r="P2677" s="4" t="str">
        <f>VLOOKUP($B2677,'D7 - NDB Impacted SPRF''s'!$E$16:$O$9929,9,FALSE)</f>
        <v>N</v>
      </c>
      <c r="Q2677" s="4" t="str">
        <f>VLOOKUP($B2677,'D7 - NDB Impacted SPRF''s'!$E$16:$O$9929,10,FALSE)</f>
        <v>N</v>
      </c>
      <c r="R2677" s="4" t="str">
        <f>VLOOKUP($B2677,'D7 - NDB Impacted SPRF''s'!$E$16:$O$9929,11,FALSE)</f>
        <v>N</v>
      </c>
      <c r="S2677" s="8"/>
      <c r="T2677" s="310"/>
      <c r="U2677" s="310"/>
      <c r="V2677" s="4"/>
      <c r="W2677" s="4"/>
      <c r="X2677" s="4"/>
      <c r="Y2677" s="4"/>
      <c r="Z2677" s="4"/>
      <c r="AA2677" s="4"/>
      <c r="AB2677" s="380" t="str">
        <f>VLOOKUP($B2677,'D7 - NDB Impacted SPRF''s'!$E$16:$O$9929,4,FALSE)</f>
        <v>Cancelled</v>
      </c>
      <c r="AC2677" s="380" t="str">
        <f>VLOOKUP($B2677,'D7 - NDB Impacted SPRF''s'!$E$16:$O$9929,3,FALSE)</f>
        <v>Alliance</v>
      </c>
      <c r="AD2677" s="380" t="str">
        <f>VLOOKUP($B2677,'D7 - NDB Impacted SPRF''s'!$E$16:$O$9929,5,FALSE)</f>
        <v>Harvard Pilgrim Service Alliance</v>
      </c>
      <c r="AE2677" s="380" t="str">
        <f>VLOOKUP($B2677,'D7 - NDB Impacted SPRF''s'!$E$16:$O$9929,7,FALSE)</f>
        <v>Kathy Freiheit</v>
      </c>
      <c r="AF2677" s="380" t="str">
        <f>VLOOKUP($B2677,'D7 - NDB Impacted SPRF''s'!$E$16:$O$9929,6,FALSE)</f>
        <v>LUND ROSS</v>
      </c>
      <c r="AG2677" s="282"/>
      <c r="AH2677" s="311" t="e">
        <f>INDEX('D5 - Gatekeeper - Projects'!$A$4:$AF$1010,$AM2677, 17)</f>
        <v>#N/A</v>
      </c>
      <c r="AI2677" s="8"/>
      <c r="AJ2677" s="57"/>
      <c r="AK2677" s="105"/>
      <c r="AM2677" s="6" t="e">
        <f>MATCH(D2677,'D5 - Gatekeeper - Projects'!$C$4:$C$1010,0)</f>
        <v>#N/A</v>
      </c>
      <c r="AN2677" s="6" t="b">
        <f t="shared" si="275"/>
        <v>1</v>
      </c>
      <c r="AO2677" s="6" t="str">
        <f t="shared" si="276"/>
        <v>OK</v>
      </c>
      <c r="AQ2677" s="6" t="e">
        <f>MATCH($D2677,'D4 - Provider Council Unsched'!$C$11:$C$234,0)</f>
        <v>#N/A</v>
      </c>
      <c r="AR2677" s="6" t="b">
        <f t="shared" si="277"/>
        <v>1</v>
      </c>
      <c r="AS2677" s="6" t="str">
        <f t="shared" si="274"/>
        <v>OK</v>
      </c>
      <c r="AU2677" s="202"/>
      <c r="AV2677" s="262"/>
      <c r="AW2677" s="274"/>
    </row>
    <row r="2678" spans="1:49" s="13" customFormat="1" ht="33.75" x14ac:dyDescent="0.2">
      <c r="A2678" s="14">
        <v>2654</v>
      </c>
      <c r="B2678" s="14">
        <v>400015312</v>
      </c>
      <c r="C2678" s="8" t="s">
        <v>5197</v>
      </c>
      <c r="D2678" s="4" t="str">
        <f t="shared" si="278"/>
        <v>400015312R1</v>
      </c>
      <c r="E2678" s="309" t="str">
        <f>VLOOKUP($B2678,'D7 - NDB Impacted SPRF''s'!$E$6:$O$9929,2,FALSE)</f>
        <v>NPI Enterprise Test</v>
      </c>
      <c r="F2678" s="8" t="s">
        <v>1059</v>
      </c>
      <c r="G2678" s="8" t="s">
        <v>4758</v>
      </c>
      <c r="H2678" s="8" t="s">
        <v>2870</v>
      </c>
      <c r="I2678" s="20"/>
      <c r="J2678" s="8"/>
      <c r="K2678" s="182"/>
      <c r="L2678" s="8" t="s">
        <v>4156</v>
      </c>
      <c r="M2678" s="8" t="s">
        <v>2814</v>
      </c>
      <c r="N2678" s="38" t="s">
        <v>2431</v>
      </c>
      <c r="O2678" s="8"/>
      <c r="P2678" s="4" t="str">
        <f>VLOOKUP($B2678,'D7 - NDB Impacted SPRF''s'!$E$16:$O$9929,9,FALSE)</f>
        <v>Y</v>
      </c>
      <c r="Q2678" s="4" t="str">
        <f>VLOOKUP($B2678,'D7 - NDB Impacted SPRF''s'!$E$16:$O$9929,10,FALSE)</f>
        <v>N</v>
      </c>
      <c r="R2678" s="4" t="str">
        <f>VLOOKUP($B2678,'D7 - NDB Impacted SPRF''s'!$E$16:$O$9929,11,FALSE)</f>
        <v>Y</v>
      </c>
      <c r="S2678" s="8"/>
      <c r="T2678" s="310"/>
      <c r="U2678" s="310"/>
      <c r="V2678" s="4"/>
      <c r="W2678" s="4"/>
      <c r="X2678" s="4"/>
      <c r="Y2678" s="4"/>
      <c r="Z2678" s="4"/>
      <c r="AA2678" s="4"/>
      <c r="AB2678" s="380" t="str">
        <f>VLOOKUP($B2678,'D7 - NDB Impacted SPRF''s'!$E$16:$O$9929,4,FALSE)</f>
        <v>Cancelled</v>
      </c>
      <c r="AC2678" s="380" t="str">
        <f>VLOOKUP($B2678,'D7 - NDB Impacted SPRF''s'!$E$16:$O$9929,3,FALSE)</f>
        <v>UnitedHealthcare Employer &amp; Individual</v>
      </c>
      <c r="AD2678" s="380" t="str">
        <f>VLOOKUP($B2678,'D7 - NDB Impacted SPRF''s'!$E$16:$O$9929,5,FALSE)</f>
        <v>Regulatory / Other</v>
      </c>
      <c r="AE2678" s="380" t="str">
        <f>VLOOKUP($B2678,'D7 - NDB Impacted SPRF''s'!$E$16:$O$9929,7,FALSE)</f>
        <v>Tim Kaja</v>
      </c>
      <c r="AF2678" s="380" t="str">
        <f>VLOOKUP($B2678,'D7 - NDB Impacted SPRF''s'!$E$16:$O$9929,6,FALSE)</f>
        <v>KELLY LEONARD</v>
      </c>
      <c r="AG2678" s="282"/>
      <c r="AH2678" s="311" t="e">
        <f>INDEX('D5 - Gatekeeper - Projects'!$A$4:$AF$1010,$AM2678, 17)</f>
        <v>#N/A</v>
      </c>
      <c r="AI2678" s="8"/>
      <c r="AJ2678" s="57"/>
      <c r="AK2678" s="105"/>
      <c r="AM2678" s="6" t="e">
        <f>MATCH(D2678,'D5 - Gatekeeper - Projects'!$C$4:$C$1010,0)</f>
        <v>#N/A</v>
      </c>
      <c r="AN2678" s="6" t="b">
        <f t="shared" si="275"/>
        <v>1</v>
      </c>
      <c r="AO2678" s="6" t="str">
        <f t="shared" si="276"/>
        <v>OK</v>
      </c>
      <c r="AQ2678" s="6" t="e">
        <f>MATCH($D2678,'D4 - Provider Council Unsched'!$C$11:$C$234,0)</f>
        <v>#N/A</v>
      </c>
      <c r="AR2678" s="6" t="b">
        <f t="shared" si="277"/>
        <v>1</v>
      </c>
      <c r="AS2678" s="6" t="str">
        <f t="shared" si="274"/>
        <v>OK</v>
      </c>
      <c r="AU2678" s="202"/>
      <c r="AV2678" s="262"/>
      <c r="AW2678" s="274"/>
    </row>
    <row r="2679" spans="1:49" s="13" customFormat="1" ht="33.75" x14ac:dyDescent="0.2">
      <c r="A2679" s="14">
        <v>2655</v>
      </c>
      <c r="B2679" s="14">
        <v>400015441</v>
      </c>
      <c r="C2679" s="8" t="s">
        <v>5197</v>
      </c>
      <c r="D2679" s="4" t="str">
        <f t="shared" si="278"/>
        <v>400015441R1</v>
      </c>
      <c r="E2679" s="309" t="str">
        <f>VLOOKUP($B2679,'D7 - NDB Impacted SPRF''s'!$E$6:$O$9929,2,FALSE)</f>
        <v>Medica Insights Product Build on United Platform</v>
      </c>
      <c r="F2679" s="8" t="s">
        <v>5196</v>
      </c>
      <c r="G2679" s="8" t="s">
        <v>4758</v>
      </c>
      <c r="H2679" s="8" t="s">
        <v>2870</v>
      </c>
      <c r="I2679" s="20">
        <f>117/150</f>
        <v>0.78</v>
      </c>
      <c r="J2679" s="8" t="s">
        <v>4862</v>
      </c>
      <c r="K2679" s="182"/>
      <c r="L2679" s="8" t="s">
        <v>4156</v>
      </c>
      <c r="M2679" s="8" t="s">
        <v>2814</v>
      </c>
      <c r="N2679" s="38" t="s">
        <v>4649</v>
      </c>
      <c r="O2679" s="8"/>
      <c r="P2679" s="4" t="str">
        <f>VLOOKUP($B2679,'D7 - NDB Impacted SPRF''s'!$E$16:$O$9929,9,FALSE)</f>
        <v>Y</v>
      </c>
      <c r="Q2679" s="4" t="str">
        <f>VLOOKUP($B2679,'D7 - NDB Impacted SPRF''s'!$E$16:$O$9929,10,FALSE)</f>
        <v>N</v>
      </c>
      <c r="R2679" s="4" t="str">
        <f>VLOOKUP($B2679,'D7 - NDB Impacted SPRF''s'!$E$16:$O$9929,11,FALSE)</f>
        <v>N</v>
      </c>
      <c r="S2679" s="8"/>
      <c r="T2679" s="310"/>
      <c r="U2679" s="310"/>
      <c r="V2679" s="4"/>
      <c r="W2679" s="4"/>
      <c r="X2679" s="4"/>
      <c r="Y2679" s="4"/>
      <c r="Z2679" s="4"/>
      <c r="AA2679" s="4"/>
      <c r="AB2679" s="380" t="str">
        <f>VLOOKUP($B2679,'D7 - NDB Impacted SPRF''s'!$E$16:$O$9929,4,FALSE)</f>
        <v>Cancelled</v>
      </c>
      <c r="AC2679" s="380" t="str">
        <f>VLOOKUP($B2679,'D7 - NDB Impacted SPRF''s'!$E$16:$O$9929,3,FALSE)</f>
        <v>UnitedHealthcare Employer &amp; Individual</v>
      </c>
      <c r="AD2679" s="380" t="str">
        <f>VLOOKUP($B2679,'D7 - NDB Impacted SPRF''s'!$E$16:$O$9929,5,FALSE)</f>
        <v>HCA - Medica UNET Conversion</v>
      </c>
      <c r="AE2679" s="380" t="str">
        <f>VLOOKUP($B2679,'D7 - NDB Impacted SPRF''s'!$E$16:$O$9929,7,FALSE)</f>
        <v>Diane Schofield</v>
      </c>
      <c r="AF2679" s="380" t="str">
        <f>VLOOKUP($B2679,'D7 - NDB Impacted SPRF''s'!$E$16:$O$9929,6,FALSE)</f>
        <v>SUSAN TONKIN</v>
      </c>
      <c r="AG2679" s="282"/>
      <c r="AH2679" s="311" t="e">
        <f>INDEX('D5 - Gatekeeper - Projects'!$A$4:$AF$1010,$AM2679, 17)</f>
        <v>#N/A</v>
      </c>
      <c r="AI2679" s="8"/>
      <c r="AJ2679" s="57"/>
      <c r="AK2679" s="105"/>
      <c r="AM2679" s="6" t="e">
        <f>MATCH(D2679,'D5 - Gatekeeper - Projects'!$C$4:$C$1010,0)</f>
        <v>#N/A</v>
      </c>
      <c r="AN2679" s="6" t="b">
        <f t="shared" si="275"/>
        <v>1</v>
      </c>
      <c r="AO2679" s="6" t="str">
        <f t="shared" si="276"/>
        <v>OK</v>
      </c>
      <c r="AQ2679" s="6" t="e">
        <f>MATCH($D2679,'D4 - Provider Council Unsched'!$C$11:$C$234,0)</f>
        <v>#N/A</v>
      </c>
      <c r="AR2679" s="6" t="b">
        <f t="shared" si="277"/>
        <v>1</v>
      </c>
      <c r="AS2679" s="6" t="str">
        <f t="shared" si="274"/>
        <v>OK</v>
      </c>
      <c r="AU2679" s="202"/>
      <c r="AV2679" s="262"/>
      <c r="AW2679" s="274"/>
    </row>
    <row r="2680" spans="1:49" s="13" customFormat="1" ht="22.5" x14ac:dyDescent="0.2">
      <c r="A2680" s="14">
        <v>2656</v>
      </c>
      <c r="B2680" s="14">
        <v>400015442</v>
      </c>
      <c r="C2680" s="8" t="s">
        <v>5197</v>
      </c>
      <c r="D2680" s="4" t="str">
        <f t="shared" si="278"/>
        <v>400015442R1</v>
      </c>
      <c r="E2680" s="309" t="str">
        <f>VLOOKUP($B2680,'D7 - NDB Impacted SPRF''s'!$E$6:$O$9929,2,FALSE)</f>
        <v>URN On-Boarding to Emptoris Contracting Solution</v>
      </c>
      <c r="F2680" s="8" t="s">
        <v>4695</v>
      </c>
      <c r="G2680" s="8" t="s">
        <v>4758</v>
      </c>
      <c r="H2680" s="8" t="s">
        <v>2870</v>
      </c>
      <c r="I2680" s="20"/>
      <c r="J2680" s="8"/>
      <c r="K2680" s="182"/>
      <c r="L2680" s="8" t="s">
        <v>4156</v>
      </c>
      <c r="M2680" s="8" t="s">
        <v>2814</v>
      </c>
      <c r="N2680" s="38"/>
      <c r="O2680" s="8"/>
      <c r="P2680" s="4" t="str">
        <f>VLOOKUP($B2680,'D7 - NDB Impacted SPRF''s'!$E$16:$O$9929,9,FALSE)</f>
        <v>N</v>
      </c>
      <c r="Q2680" s="4" t="str">
        <f>VLOOKUP($B2680,'D7 - NDB Impacted SPRF''s'!$E$16:$O$9929,10,FALSE)</f>
        <v>N</v>
      </c>
      <c r="R2680" s="4" t="str">
        <f>VLOOKUP($B2680,'D7 - NDB Impacted SPRF''s'!$E$16:$O$9929,11,FALSE)</f>
        <v>N</v>
      </c>
      <c r="S2680" s="8"/>
      <c r="T2680" s="310"/>
      <c r="U2680" s="310"/>
      <c r="V2680" s="4"/>
      <c r="W2680" s="4"/>
      <c r="X2680" s="4"/>
      <c r="Y2680" s="4"/>
      <c r="Z2680" s="4"/>
      <c r="AA2680" s="4"/>
      <c r="AB2680" s="380" t="str">
        <f>VLOOKUP($B2680,'D7 - NDB Impacted SPRF''s'!$E$16:$O$9929,4,FALSE)</f>
        <v>Cancelled</v>
      </c>
      <c r="AC2680" s="380" t="str">
        <f>VLOOKUP($B2680,'D7 - NDB Impacted SPRF''s'!$E$16:$O$9929,3,FALSE)</f>
        <v>OptumHealth</v>
      </c>
      <c r="AD2680" s="380" t="str">
        <f>VLOOKUP($B2680,'D7 - NDB Impacted SPRF''s'!$E$16:$O$9929,5,FALSE)</f>
        <v>URN</v>
      </c>
      <c r="AE2680" s="380" t="str">
        <f>VLOOKUP($B2680,'D7 - NDB Impacted SPRF''s'!$E$16:$O$9929,7,FALSE)</f>
        <v>Kevin O'Brien</v>
      </c>
      <c r="AF2680" s="380" t="str">
        <f>VLOOKUP($B2680,'D7 - NDB Impacted SPRF''s'!$E$16:$O$9929,6,FALSE)</f>
        <v>JOSHUA WOODRUM</v>
      </c>
      <c r="AG2680" s="282"/>
      <c r="AH2680" s="311" t="e">
        <f>INDEX('D5 - Gatekeeper - Projects'!$A$4:$AF$1010,$AM2680, 17)</f>
        <v>#N/A</v>
      </c>
      <c r="AI2680" s="8"/>
      <c r="AJ2680" s="57"/>
      <c r="AK2680" s="105"/>
      <c r="AM2680" s="6" t="e">
        <f>MATCH(D2680,'D5 - Gatekeeper - Projects'!$C$4:$C$1010,0)</f>
        <v>#N/A</v>
      </c>
      <c r="AN2680" s="6" t="b">
        <f t="shared" si="275"/>
        <v>1</v>
      </c>
      <c r="AO2680" s="6" t="str">
        <f t="shared" si="276"/>
        <v>OK</v>
      </c>
      <c r="AQ2680" s="6" t="e">
        <f>MATCH($D2680,'D4 - Provider Council Unsched'!$C$11:$C$234,0)</f>
        <v>#N/A</v>
      </c>
      <c r="AR2680" s="6" t="b">
        <f t="shared" si="277"/>
        <v>1</v>
      </c>
      <c r="AS2680" s="6" t="str">
        <f t="shared" si="274"/>
        <v>OK</v>
      </c>
      <c r="AU2680" s="202"/>
      <c r="AV2680" s="262"/>
      <c r="AW2680" s="274"/>
    </row>
    <row r="2681" spans="1:49" s="13" customFormat="1" ht="33.75" x14ac:dyDescent="0.2">
      <c r="A2681" s="14">
        <v>2657</v>
      </c>
      <c r="B2681" s="338">
        <v>400015474</v>
      </c>
      <c r="C2681" s="8" t="s">
        <v>5197</v>
      </c>
      <c r="D2681" s="4" t="str">
        <f t="shared" si="278"/>
        <v>400015474R1</v>
      </c>
      <c r="E2681" s="309" t="str">
        <f>VLOOKUP($B2681,'D7 - NDB Impacted SPRF''s'!$E$6:$O$9929,2,FALSE)</f>
        <v>HCA - EPS Core 2007 Reporting Enhancements</v>
      </c>
      <c r="F2681" s="8" t="s">
        <v>5196</v>
      </c>
      <c r="G2681" s="8" t="s">
        <v>4758</v>
      </c>
      <c r="H2681" s="8" t="s">
        <v>2870</v>
      </c>
      <c r="I2681" s="20">
        <v>2.91</v>
      </c>
      <c r="J2681" s="8" t="s">
        <v>4862</v>
      </c>
      <c r="K2681" s="182"/>
      <c r="L2681" s="8" t="s">
        <v>4156</v>
      </c>
      <c r="M2681" s="8" t="s">
        <v>2814</v>
      </c>
      <c r="N2681" s="38" t="s">
        <v>5851</v>
      </c>
      <c r="O2681" s="8"/>
      <c r="P2681" s="4" t="str">
        <f>VLOOKUP($B2681,'D7 - NDB Impacted SPRF''s'!$E$16:$O$9929,9,FALSE)</f>
        <v>N</v>
      </c>
      <c r="Q2681" s="4" t="str">
        <f>VLOOKUP($B2681,'D7 - NDB Impacted SPRF''s'!$E$16:$O$9929,10,FALSE)</f>
        <v>N</v>
      </c>
      <c r="R2681" s="4" t="str">
        <f>VLOOKUP($B2681,'D7 - NDB Impacted SPRF''s'!$E$16:$O$9929,11,FALSE)</f>
        <v>N</v>
      </c>
      <c r="S2681" s="8"/>
      <c r="T2681" s="310"/>
      <c r="U2681" s="310"/>
      <c r="V2681" s="4"/>
      <c r="W2681" s="4"/>
      <c r="X2681" s="4"/>
      <c r="Y2681" s="4"/>
      <c r="Z2681" s="4"/>
      <c r="AA2681" s="4"/>
      <c r="AB2681" s="380" t="str">
        <f>VLOOKUP($B2681,'D7 - NDB Impacted SPRF''s'!$E$16:$O$9929,4,FALSE)</f>
        <v>Completed</v>
      </c>
      <c r="AC2681" s="380" t="str">
        <f>VLOOKUP($B2681,'D7 - NDB Impacted SPRF''s'!$E$16:$O$9929,3,FALSE)</f>
        <v>UnitedHealthcare Employer &amp; Individual</v>
      </c>
      <c r="AD2681" s="380" t="str">
        <f>VLOOKUP($B2681,'D7 - NDB Impacted SPRF''s'!$E$16:$O$9929,5,FALSE)</f>
        <v>Healthcare Service Alliance</v>
      </c>
      <c r="AE2681" s="380" t="str">
        <f>VLOOKUP($B2681,'D7 - NDB Impacted SPRF''s'!$E$16:$O$9929,7,FALSE)</f>
        <v>Mark Pontliana</v>
      </c>
      <c r="AF2681" s="380" t="str">
        <f>VLOOKUP($B2681,'D7 - NDB Impacted SPRF''s'!$E$16:$O$9929,6,FALSE)</f>
        <v>CHRISTOPHER EMPSON</v>
      </c>
      <c r="AG2681" s="282"/>
      <c r="AH2681" s="311" t="e">
        <f>INDEX('D5 - Gatekeeper - Projects'!$A$4:$AF$1010,$AM2681, 17)</f>
        <v>#N/A</v>
      </c>
      <c r="AI2681" s="8"/>
      <c r="AJ2681" s="57"/>
      <c r="AK2681" s="105"/>
      <c r="AM2681" s="6" t="e">
        <f>MATCH(D2681,'D5 - Gatekeeper - Projects'!$C$4:$C$1010,0)</f>
        <v>#N/A</v>
      </c>
      <c r="AN2681" s="6" t="b">
        <f t="shared" si="275"/>
        <v>1</v>
      </c>
      <c r="AO2681" s="6" t="str">
        <f t="shared" si="276"/>
        <v>OK</v>
      </c>
      <c r="AQ2681" s="6" t="e">
        <f>MATCH($D2681,'D4 - Provider Council Unsched'!$C$11:$C$234,0)</f>
        <v>#N/A</v>
      </c>
      <c r="AR2681" s="6" t="b">
        <f t="shared" si="277"/>
        <v>1</v>
      </c>
      <c r="AS2681" s="6" t="str">
        <f t="shared" si="274"/>
        <v>OK</v>
      </c>
      <c r="AU2681" s="202"/>
      <c r="AV2681" s="262"/>
      <c r="AW2681" s="274"/>
    </row>
    <row r="2682" spans="1:49" s="13" customFormat="1" ht="33.75" x14ac:dyDescent="0.2">
      <c r="A2682" s="14">
        <v>2658</v>
      </c>
      <c r="B2682" s="14">
        <v>400015479</v>
      </c>
      <c r="C2682" s="8" t="s">
        <v>5197</v>
      </c>
      <c r="D2682" s="4" t="str">
        <f t="shared" si="278"/>
        <v>400015479R1</v>
      </c>
      <c r="E2682" s="309" t="str">
        <f>VLOOKUP($B2682,'D7 - NDB Impacted SPRF''s'!$E$6:$O$9929,2,FALSE)</f>
        <v>HPHC1-iCES UB Editing for HPHC Passport/JV</v>
      </c>
      <c r="F2682" s="8" t="s">
        <v>5196</v>
      </c>
      <c r="G2682" s="8" t="s">
        <v>4758</v>
      </c>
      <c r="H2682" s="8" t="s">
        <v>2870</v>
      </c>
      <c r="I2682" s="20"/>
      <c r="J2682" s="8"/>
      <c r="K2682" s="182"/>
      <c r="L2682" s="8" t="s">
        <v>4156</v>
      </c>
      <c r="M2682" s="8" t="s">
        <v>2814</v>
      </c>
      <c r="N2682" s="38" t="s">
        <v>2697</v>
      </c>
      <c r="O2682" s="8"/>
      <c r="P2682" s="4" t="str">
        <f>VLOOKUP($B2682,'D7 - NDB Impacted SPRF''s'!$E$16:$O$9929,9,FALSE)</f>
        <v>Y</v>
      </c>
      <c r="Q2682" s="4" t="str">
        <f>VLOOKUP($B2682,'D7 - NDB Impacted SPRF''s'!$E$16:$O$9929,10,FALSE)</f>
        <v>N</v>
      </c>
      <c r="R2682" s="4" t="str">
        <f>VLOOKUP($B2682,'D7 - NDB Impacted SPRF''s'!$E$16:$O$9929,11,FALSE)</f>
        <v>N</v>
      </c>
      <c r="S2682" s="8"/>
      <c r="T2682" s="310"/>
      <c r="U2682" s="310"/>
      <c r="V2682" s="4"/>
      <c r="W2682" s="4"/>
      <c r="X2682" s="4"/>
      <c r="Y2682" s="4"/>
      <c r="Z2682" s="4"/>
      <c r="AA2682" s="4"/>
      <c r="AB2682" s="380" t="str">
        <f>VLOOKUP($B2682,'D7 - NDB Impacted SPRF''s'!$E$16:$O$9929,4,FALSE)</f>
        <v>Cancelled</v>
      </c>
      <c r="AC2682" s="380" t="str">
        <f>VLOOKUP($B2682,'D7 - NDB Impacted SPRF''s'!$E$16:$O$9929,3,FALSE)</f>
        <v>Alliance</v>
      </c>
      <c r="AD2682" s="380" t="str">
        <f>VLOOKUP($B2682,'D7 - NDB Impacted SPRF''s'!$E$16:$O$9929,5,FALSE)</f>
        <v>Harvard Pilgrim Service Alliance</v>
      </c>
      <c r="AE2682" s="380" t="str">
        <f>VLOOKUP($B2682,'D7 - NDB Impacted SPRF''s'!$E$16:$O$9929,7,FALSE)</f>
        <v>Dan Sullivan</v>
      </c>
      <c r="AF2682" s="380" t="str">
        <f>VLOOKUP($B2682,'D7 - NDB Impacted SPRF''s'!$E$16:$O$9929,6,FALSE)</f>
        <v>KATHRYN LEARST</v>
      </c>
      <c r="AG2682" s="282"/>
      <c r="AH2682" s="311" t="e">
        <f>INDEX('D5 - Gatekeeper - Projects'!$A$4:$AF$1010,$AM2682, 17)</f>
        <v>#N/A</v>
      </c>
      <c r="AI2682" s="8"/>
      <c r="AJ2682" s="57"/>
      <c r="AK2682" s="105"/>
      <c r="AM2682" s="6" t="e">
        <f>MATCH(D2682,'D5 - Gatekeeper - Projects'!$C$4:$C$1010,0)</f>
        <v>#N/A</v>
      </c>
      <c r="AN2682" s="6" t="b">
        <f t="shared" si="275"/>
        <v>1</v>
      </c>
      <c r="AO2682" s="6" t="str">
        <f t="shared" si="276"/>
        <v>OK</v>
      </c>
      <c r="AQ2682" s="6" t="e">
        <f>MATCH($D2682,'D4 - Provider Council Unsched'!$C$11:$C$234,0)</f>
        <v>#N/A</v>
      </c>
      <c r="AR2682" s="6" t="b">
        <f t="shared" si="277"/>
        <v>1</v>
      </c>
      <c r="AS2682" s="6" t="str">
        <f t="shared" si="274"/>
        <v>OK</v>
      </c>
      <c r="AU2682" s="202"/>
      <c r="AV2682" s="262"/>
      <c r="AW2682" s="274"/>
    </row>
    <row r="2683" spans="1:49" s="13" customFormat="1" x14ac:dyDescent="0.2">
      <c r="A2683" s="14">
        <v>2659</v>
      </c>
      <c r="B2683" s="14">
        <v>400015538</v>
      </c>
      <c r="C2683" s="8" t="s">
        <v>5197</v>
      </c>
      <c r="D2683" s="4" t="str">
        <f t="shared" si="278"/>
        <v>400015538R1</v>
      </c>
      <c r="E2683" s="309" t="str">
        <f>VLOOKUP($B2683,'D7 - NDB Impacted SPRF''s'!$E$6:$O$9929,2,FALSE)</f>
        <v>Update Case Installation process for CRS business</v>
      </c>
      <c r="F2683" s="8" t="s">
        <v>2114</v>
      </c>
      <c r="G2683" s="8" t="s">
        <v>4758</v>
      </c>
      <c r="H2683" s="8" t="s">
        <v>2870</v>
      </c>
      <c r="I2683" s="20"/>
      <c r="J2683" s="8"/>
      <c r="K2683" s="182"/>
      <c r="L2683" s="8" t="s">
        <v>4156</v>
      </c>
      <c r="M2683" s="8" t="s">
        <v>2814</v>
      </c>
      <c r="N2683" s="38"/>
      <c r="O2683" s="8"/>
      <c r="P2683" s="4" t="str">
        <f>VLOOKUP($B2683,'D7 - NDB Impacted SPRF''s'!$E$16:$O$9929,9,FALSE)</f>
        <v>Y</v>
      </c>
      <c r="Q2683" s="4" t="str">
        <f>VLOOKUP($B2683,'D7 - NDB Impacted SPRF''s'!$E$16:$O$9929,10,FALSE)</f>
        <v>N</v>
      </c>
      <c r="R2683" s="4" t="str">
        <f>VLOOKUP($B2683,'D7 - NDB Impacted SPRF''s'!$E$16:$O$9929,11,FALSE)</f>
        <v>N</v>
      </c>
      <c r="S2683" s="8"/>
      <c r="T2683" s="310"/>
      <c r="U2683" s="310"/>
      <c r="V2683" s="4"/>
      <c r="W2683" s="4"/>
      <c r="X2683" s="4"/>
      <c r="Y2683" s="4"/>
      <c r="Z2683" s="4"/>
      <c r="AA2683" s="4"/>
      <c r="AB2683" s="380" t="str">
        <f>VLOOKUP($B2683,'D7 - NDB Impacted SPRF''s'!$E$16:$O$9929,4,FALSE)</f>
        <v>Cancelled</v>
      </c>
      <c r="AC2683" s="380" t="str">
        <f>VLOOKUP($B2683,'D7 - NDB Impacted SPRF''s'!$E$16:$O$9929,3,FALSE)</f>
        <v>OptumHealth</v>
      </c>
      <c r="AD2683" s="380" t="str">
        <f>VLOOKUP($B2683,'D7 - NDB Impacted SPRF''s'!$E$16:$O$9929,5,FALSE)</f>
        <v>URN</v>
      </c>
      <c r="AE2683" s="380" t="str">
        <f>VLOOKUP($B2683,'D7 - NDB Impacted SPRF''s'!$E$16:$O$9929,7,FALSE)</f>
        <v>Scott Nicholson</v>
      </c>
      <c r="AF2683" s="380" t="str">
        <f>VLOOKUP($B2683,'D7 - NDB Impacted SPRF''s'!$E$16:$O$9929,6,FALSE)</f>
        <v>JON PAUL</v>
      </c>
      <c r="AG2683" s="282"/>
      <c r="AH2683" s="311" t="e">
        <f>INDEX('D5 - Gatekeeper - Projects'!$A$4:$AF$1010,$AM2683, 17)</f>
        <v>#N/A</v>
      </c>
      <c r="AI2683" s="8"/>
      <c r="AJ2683" s="57"/>
      <c r="AK2683" s="105"/>
      <c r="AM2683" s="6" t="e">
        <f>MATCH(D2683,'D5 - Gatekeeper - Projects'!$C$4:$C$1010,0)</f>
        <v>#N/A</v>
      </c>
      <c r="AN2683" s="6" t="b">
        <f t="shared" si="275"/>
        <v>1</v>
      </c>
      <c r="AO2683" s="6" t="str">
        <f t="shared" si="276"/>
        <v>OK</v>
      </c>
      <c r="AQ2683" s="6" t="e">
        <f>MATCH($D2683,'D4 - Provider Council Unsched'!$C$11:$C$234,0)</f>
        <v>#N/A</v>
      </c>
      <c r="AR2683" s="6" t="b">
        <f t="shared" si="277"/>
        <v>1</v>
      </c>
      <c r="AS2683" s="6" t="str">
        <f t="shared" si="274"/>
        <v>OK</v>
      </c>
      <c r="AU2683" s="202"/>
      <c r="AV2683" s="262"/>
      <c r="AW2683" s="274"/>
    </row>
    <row r="2684" spans="1:49" s="13" customFormat="1" ht="33.75" x14ac:dyDescent="0.2">
      <c r="A2684" s="14">
        <v>2660</v>
      </c>
      <c r="B2684" s="14">
        <v>400015597</v>
      </c>
      <c r="C2684" s="8" t="s">
        <v>5197</v>
      </c>
      <c r="D2684" s="4" t="str">
        <f t="shared" si="278"/>
        <v>400015597R1</v>
      </c>
      <c r="E2684" s="309" t="str">
        <f>VLOOKUP($B2684,'D7 - NDB Impacted SPRF''s'!$E$6:$O$9929,2,FALSE)</f>
        <v>CareOne Data Sharing w/UNIT NDB/CES/CDB</v>
      </c>
      <c r="F2684" s="8" t="s">
        <v>7989</v>
      </c>
      <c r="G2684" s="8" t="s">
        <v>4758</v>
      </c>
      <c r="H2684" s="8" t="s">
        <v>2870</v>
      </c>
      <c r="I2684" s="20">
        <v>0.78</v>
      </c>
      <c r="J2684" s="8" t="s">
        <v>4862</v>
      </c>
      <c r="K2684" s="182"/>
      <c r="L2684" s="8" t="s">
        <v>4156</v>
      </c>
      <c r="M2684" s="8" t="s">
        <v>2814</v>
      </c>
      <c r="N2684" s="38"/>
      <c r="O2684" s="8"/>
      <c r="P2684" s="4" t="str">
        <f>VLOOKUP($B2684,'D7 - NDB Impacted SPRF''s'!$E$16:$O$9929,9,FALSE)</f>
        <v>N</v>
      </c>
      <c r="Q2684" s="4" t="str">
        <f>VLOOKUP($B2684,'D7 - NDB Impacted SPRF''s'!$E$16:$O$9929,10,FALSE)</f>
        <v>N</v>
      </c>
      <c r="R2684" s="4" t="str">
        <f>VLOOKUP($B2684,'D7 - NDB Impacted SPRF''s'!$E$16:$O$9929,11,FALSE)</f>
        <v>N</v>
      </c>
      <c r="S2684" s="8"/>
      <c r="T2684" s="310"/>
      <c r="U2684" s="310"/>
      <c r="V2684" s="4"/>
      <c r="W2684" s="4"/>
      <c r="X2684" s="4"/>
      <c r="Y2684" s="4"/>
      <c r="Z2684" s="4"/>
      <c r="AA2684" s="4"/>
      <c r="AB2684" s="380" t="str">
        <f>VLOOKUP($B2684,'D7 - NDB Impacted SPRF''s'!$E$16:$O$9929,4,FALSE)</f>
        <v>Cancelled</v>
      </c>
      <c r="AC2684" s="380" t="str">
        <f>VLOOKUP($B2684,'D7 - NDB Impacted SPRF''s'!$E$16:$O$9929,3,FALSE)</f>
        <v>UnitedHealthcare Employer &amp; Individual</v>
      </c>
      <c r="AD2684" s="380" t="str">
        <f>VLOOKUP($B2684,'D7 - NDB Impacted SPRF''s'!$E$16:$O$9929,5,FALSE)</f>
        <v>Medical Cost Savings Programs</v>
      </c>
      <c r="AE2684" s="380" t="str">
        <f>VLOOKUP($B2684,'D7 - NDB Impacted SPRF''s'!$E$16:$O$9929,7,FALSE)</f>
        <v>Gino Tenace</v>
      </c>
      <c r="AF2684" s="380" t="str">
        <f>VLOOKUP($B2684,'D7 - NDB Impacted SPRF''s'!$E$16:$O$9929,6,FALSE)</f>
        <v>Vankirksmith Judith</v>
      </c>
      <c r="AG2684" s="282"/>
      <c r="AH2684" s="311" t="e">
        <f>INDEX('D5 - Gatekeeper - Projects'!$A$4:$AF$1010,$AM2684, 17)</f>
        <v>#N/A</v>
      </c>
      <c r="AI2684" s="8"/>
      <c r="AJ2684" s="57"/>
      <c r="AK2684" s="105"/>
      <c r="AM2684" s="6" t="e">
        <f>MATCH(D2684,'D5 - Gatekeeper - Projects'!$C$4:$C$1010,0)</f>
        <v>#N/A</v>
      </c>
      <c r="AN2684" s="6" t="b">
        <f t="shared" si="275"/>
        <v>1</v>
      </c>
      <c r="AO2684" s="6" t="str">
        <f t="shared" si="276"/>
        <v>OK</v>
      </c>
      <c r="AQ2684" s="6" t="e">
        <f>MATCH($D2684,'D4 - Provider Council Unsched'!$C$11:$C$234,0)</f>
        <v>#N/A</v>
      </c>
      <c r="AR2684" s="6" t="b">
        <f t="shared" si="277"/>
        <v>1</v>
      </c>
      <c r="AS2684" s="6" t="str">
        <f t="shared" si="274"/>
        <v>OK</v>
      </c>
      <c r="AU2684" s="202"/>
      <c r="AV2684" s="262"/>
      <c r="AW2684" s="274"/>
    </row>
    <row r="2685" spans="1:49" s="13" customFormat="1" ht="33.75" x14ac:dyDescent="0.2">
      <c r="A2685" s="14">
        <v>2661</v>
      </c>
      <c r="B2685" s="14">
        <v>400015611</v>
      </c>
      <c r="C2685" s="8" t="s">
        <v>5197</v>
      </c>
      <c r="D2685" s="4" t="str">
        <f t="shared" si="278"/>
        <v>400015611R1</v>
      </c>
      <c r="E2685" s="309" t="str">
        <f>VLOOKUP($B2685,'D7 - NDB Impacted SPRF''s'!$E$6:$O$9929,2,FALSE)</f>
        <v>PHS Enterprise &amp; Partner Certification Testing</v>
      </c>
      <c r="F2685" s="8" t="s">
        <v>6071</v>
      </c>
      <c r="G2685" s="8" t="s">
        <v>4758</v>
      </c>
      <c r="H2685" s="8" t="s">
        <v>2870</v>
      </c>
      <c r="I2685" s="20">
        <v>1.07</v>
      </c>
      <c r="J2685" s="8" t="s">
        <v>4862</v>
      </c>
      <c r="K2685" s="182"/>
      <c r="L2685" s="8" t="s">
        <v>4156</v>
      </c>
      <c r="M2685" s="8" t="s">
        <v>2814</v>
      </c>
      <c r="N2685" s="38" t="s">
        <v>8012</v>
      </c>
      <c r="O2685" s="8"/>
      <c r="P2685" s="4" t="str">
        <f>VLOOKUP($B2685,'D7 - NDB Impacted SPRF''s'!$E$16:$O$9929,9,FALSE)</f>
        <v>Y</v>
      </c>
      <c r="Q2685" s="4" t="str">
        <f>VLOOKUP($B2685,'D7 - NDB Impacted SPRF''s'!$E$16:$O$9929,10,FALSE)</f>
        <v>N</v>
      </c>
      <c r="R2685" s="4" t="str">
        <f>VLOOKUP($B2685,'D7 - NDB Impacted SPRF''s'!$E$16:$O$9929,11,FALSE)</f>
        <v>Y</v>
      </c>
      <c r="S2685" s="8"/>
      <c r="T2685" s="310"/>
      <c r="U2685" s="310"/>
      <c r="V2685" s="4"/>
      <c r="W2685" s="4"/>
      <c r="X2685" s="4"/>
      <c r="Y2685" s="4"/>
      <c r="Z2685" s="4"/>
      <c r="AA2685" s="4"/>
      <c r="AB2685" s="380" t="str">
        <f>VLOOKUP($B2685,'D7 - NDB Impacted SPRF''s'!$E$16:$O$9929,4,FALSE)</f>
        <v>Cancelled</v>
      </c>
      <c r="AC2685" s="380" t="str">
        <f>VLOOKUP($B2685,'D7 - NDB Impacted SPRF''s'!$E$16:$O$9929,3,FALSE)</f>
        <v>UnitedHealthcare Employer &amp; Individual</v>
      </c>
      <c r="AD2685" s="380" t="str">
        <f>VLOOKUP($B2685,'D7 - NDB Impacted SPRF''s'!$E$16:$O$9929,5,FALSE)</f>
        <v>Integration Requirements</v>
      </c>
      <c r="AE2685" s="380" t="str">
        <f>VLOOKUP($B2685,'D7 - NDB Impacted SPRF''s'!$E$16:$O$9929,7,FALSE)</f>
        <v>Diane Schofield</v>
      </c>
      <c r="AF2685" s="380" t="str">
        <f>VLOOKUP($B2685,'D7 - NDB Impacted SPRF''s'!$E$16:$O$9929,6,FALSE)</f>
        <v>Cindy Griggs</v>
      </c>
      <c r="AG2685" s="282"/>
      <c r="AH2685" s="311" t="e">
        <f>INDEX('D5 - Gatekeeper - Projects'!$A$4:$AF$1010,$AM2685, 17)</f>
        <v>#N/A</v>
      </c>
      <c r="AI2685" s="8"/>
      <c r="AJ2685" s="57"/>
      <c r="AK2685" s="105"/>
      <c r="AM2685" s="6" t="e">
        <f>MATCH(D2685,'D5 - Gatekeeper - Projects'!$C$4:$C$1010,0)</f>
        <v>#N/A</v>
      </c>
      <c r="AN2685" s="6" t="b">
        <f t="shared" si="275"/>
        <v>1</v>
      </c>
      <c r="AO2685" s="6" t="str">
        <f t="shared" si="276"/>
        <v>OK</v>
      </c>
      <c r="AQ2685" s="6" t="e">
        <f>MATCH($D2685,'D4 - Provider Council Unsched'!$C$11:$C$234,0)</f>
        <v>#N/A</v>
      </c>
      <c r="AR2685" s="6" t="b">
        <f t="shared" si="277"/>
        <v>1</v>
      </c>
      <c r="AS2685" s="6" t="str">
        <f t="shared" si="274"/>
        <v>OK</v>
      </c>
      <c r="AU2685" s="202"/>
      <c r="AV2685" s="262"/>
      <c r="AW2685" s="274"/>
    </row>
    <row r="2686" spans="1:49" s="13" customFormat="1" ht="33.75" x14ac:dyDescent="0.2">
      <c r="A2686" s="14">
        <v>2662</v>
      </c>
      <c r="B2686" s="14">
        <v>400015648</v>
      </c>
      <c r="C2686" s="8" t="s">
        <v>5197</v>
      </c>
      <c r="D2686" s="4" t="str">
        <f t="shared" si="278"/>
        <v>400015648R1</v>
      </c>
      <c r="E2686" s="309" t="str">
        <f>VLOOKUP($B2686,'D7 - NDB Impacted SPRF''s'!$E$6:$O$9929,2,FALSE)</f>
        <v>Provider Portal Consolidation - GRI B2C Portal</v>
      </c>
      <c r="F2686" s="8" t="s">
        <v>2114</v>
      </c>
      <c r="G2686" s="8" t="s">
        <v>4758</v>
      </c>
      <c r="H2686" s="8" t="s">
        <v>2870</v>
      </c>
      <c r="I2686" s="20">
        <f>183/150</f>
        <v>1.22</v>
      </c>
      <c r="J2686" s="8" t="s">
        <v>4862</v>
      </c>
      <c r="K2686" s="182"/>
      <c r="L2686" s="8" t="s">
        <v>4156</v>
      </c>
      <c r="M2686" s="8" t="s">
        <v>2814</v>
      </c>
      <c r="N2686" s="38"/>
      <c r="O2686" s="8"/>
      <c r="P2686" s="4" t="str">
        <f>VLOOKUP($B2686,'D7 - NDB Impacted SPRF''s'!$E$16:$O$9929,9,FALSE)</f>
        <v>N</v>
      </c>
      <c r="Q2686" s="4" t="str">
        <f>VLOOKUP($B2686,'D7 - NDB Impacted SPRF''s'!$E$16:$O$9929,10,FALSE)</f>
        <v>N</v>
      </c>
      <c r="R2686" s="4" t="str">
        <f>VLOOKUP($B2686,'D7 - NDB Impacted SPRF''s'!$E$16:$O$9929,11,FALSE)</f>
        <v>N</v>
      </c>
      <c r="S2686" s="8"/>
      <c r="T2686" s="310"/>
      <c r="U2686" s="310"/>
      <c r="V2686" s="4"/>
      <c r="W2686" s="4"/>
      <c r="X2686" s="4"/>
      <c r="Y2686" s="4"/>
      <c r="Z2686" s="4"/>
      <c r="AA2686" s="4"/>
      <c r="AB2686" s="380" t="str">
        <f>VLOOKUP($B2686,'D7 - NDB Impacted SPRF''s'!$E$16:$O$9929,4,FALSE)</f>
        <v>Cancelled</v>
      </c>
      <c r="AC2686" s="380" t="str">
        <f>VLOOKUP($B2686,'D7 - NDB Impacted SPRF''s'!$E$16:$O$9929,3,FALSE)</f>
        <v>UnitedHealthcare Employer &amp; Individual</v>
      </c>
      <c r="AD2686" s="380" t="str">
        <f>VLOOKUP($B2686,'D7 - NDB Impacted SPRF''s'!$E$16:$O$9929,5,FALSE)</f>
        <v>Process Improvement</v>
      </c>
      <c r="AE2686" s="380" t="str">
        <f>VLOOKUP($B2686,'D7 - NDB Impacted SPRF''s'!$E$16:$O$9929,7,FALSE)</f>
        <v>Randy Jacob</v>
      </c>
      <c r="AF2686" s="380" t="str">
        <f>VLOOKUP($B2686,'D7 - NDB Impacted SPRF''s'!$E$16:$O$9929,6,FALSE)</f>
        <v>MICHAEL ROSLER</v>
      </c>
      <c r="AG2686" s="282"/>
      <c r="AH2686" s="311" t="e">
        <f>INDEX('D5 - Gatekeeper - Projects'!$A$4:$AF$1010,$AM2686, 17)</f>
        <v>#N/A</v>
      </c>
      <c r="AI2686" s="8"/>
      <c r="AJ2686" s="57"/>
      <c r="AK2686" s="105"/>
      <c r="AM2686" s="6" t="e">
        <f>MATCH(D2686,'D5 - Gatekeeper - Projects'!$C$4:$C$1010,0)</f>
        <v>#N/A</v>
      </c>
      <c r="AN2686" s="6" t="b">
        <f t="shared" si="275"/>
        <v>1</v>
      </c>
      <c r="AO2686" s="6" t="str">
        <f t="shared" si="276"/>
        <v>OK</v>
      </c>
      <c r="AQ2686" s="6" t="e">
        <f>MATCH($D2686,'D4 - Provider Council Unsched'!$C$11:$C$234,0)</f>
        <v>#N/A</v>
      </c>
      <c r="AR2686" s="6" t="b">
        <f t="shared" si="277"/>
        <v>1</v>
      </c>
      <c r="AS2686" s="6" t="str">
        <f t="shared" si="274"/>
        <v>OK</v>
      </c>
      <c r="AU2686" s="202"/>
      <c r="AV2686" s="262"/>
      <c r="AW2686" s="274"/>
    </row>
    <row r="2687" spans="1:49" s="13" customFormat="1" ht="22.5" x14ac:dyDescent="0.2">
      <c r="A2687" s="14">
        <v>2663</v>
      </c>
      <c r="B2687" s="14">
        <v>400015655</v>
      </c>
      <c r="C2687" s="8" t="s">
        <v>5197</v>
      </c>
      <c r="D2687" s="4" t="str">
        <f t="shared" si="278"/>
        <v>400015655R1</v>
      </c>
      <c r="E2687" s="309" t="str">
        <f>VLOOKUP($B2687,'D7 - NDB Impacted SPRF''s'!$E$6:$O$9929,2,FALSE)</f>
        <v>Medica Pre-Auth Table Enhancement</v>
      </c>
      <c r="F2687" s="8" t="s">
        <v>5196</v>
      </c>
      <c r="G2687" s="8" t="s">
        <v>4758</v>
      </c>
      <c r="H2687" s="8" t="s">
        <v>2870</v>
      </c>
      <c r="I2687" s="20"/>
      <c r="J2687" s="8"/>
      <c r="K2687" s="182"/>
      <c r="L2687" s="8" t="s">
        <v>4156</v>
      </c>
      <c r="M2687" s="8" t="s">
        <v>2814</v>
      </c>
      <c r="N2687" s="38"/>
      <c r="O2687" s="8"/>
      <c r="P2687" s="4" t="str">
        <f>VLOOKUP($B2687,'D7 - NDB Impacted SPRF''s'!$E$16:$O$9929,9,FALSE)</f>
        <v>Y</v>
      </c>
      <c r="Q2687" s="4" t="str">
        <f>VLOOKUP($B2687,'D7 - NDB Impacted SPRF''s'!$E$16:$O$9929,10,FALSE)</f>
        <v>N</v>
      </c>
      <c r="R2687" s="4" t="str">
        <f>VLOOKUP($B2687,'D7 - NDB Impacted SPRF''s'!$E$16:$O$9929,11,FALSE)</f>
        <v>N</v>
      </c>
      <c r="S2687" s="8"/>
      <c r="T2687" s="310"/>
      <c r="U2687" s="310"/>
      <c r="V2687" s="4"/>
      <c r="W2687" s="4"/>
      <c r="X2687" s="4"/>
      <c r="Y2687" s="4"/>
      <c r="Z2687" s="4"/>
      <c r="AA2687" s="4"/>
      <c r="AB2687" s="380" t="str">
        <f>VLOOKUP($B2687,'D7 - NDB Impacted SPRF''s'!$E$16:$O$9929,4,FALSE)</f>
        <v>Cancelled</v>
      </c>
      <c r="AC2687" s="380" t="str">
        <f>VLOOKUP($B2687,'D7 - NDB Impacted SPRF''s'!$E$16:$O$9929,3,FALSE)</f>
        <v>Alliance</v>
      </c>
      <c r="AD2687" s="380" t="str">
        <f>VLOOKUP($B2687,'D7 - NDB Impacted SPRF''s'!$E$16:$O$9929,5,FALSE)</f>
        <v>Medica UNET Conversion</v>
      </c>
      <c r="AE2687" s="380" t="str">
        <f>VLOOKUP($B2687,'D7 - NDB Impacted SPRF''s'!$E$16:$O$9929,7,FALSE)</f>
        <v>Bev Nyce</v>
      </c>
      <c r="AF2687" s="380" t="str">
        <f>VLOOKUP($B2687,'D7 - NDB Impacted SPRF''s'!$E$16:$O$9929,6,FALSE)</f>
        <v>KYLE WINNEGAR</v>
      </c>
      <c r="AG2687" s="282"/>
      <c r="AH2687" s="311" t="e">
        <f>INDEX('D5 - Gatekeeper - Projects'!$A$4:$AF$1010,$AM2687, 17)</f>
        <v>#N/A</v>
      </c>
      <c r="AI2687" s="8"/>
      <c r="AJ2687" s="57"/>
      <c r="AK2687" s="105"/>
      <c r="AM2687" s="6" t="e">
        <f>MATCH(D2687,'D5 - Gatekeeper - Projects'!$C$4:$C$1010,0)</f>
        <v>#N/A</v>
      </c>
      <c r="AN2687" s="6" t="b">
        <f t="shared" si="275"/>
        <v>1</v>
      </c>
      <c r="AO2687" s="6" t="str">
        <f t="shared" si="276"/>
        <v>OK</v>
      </c>
      <c r="AQ2687" s="6" t="e">
        <f>MATCH($D2687,'D4 - Provider Council Unsched'!$C$11:$C$234,0)</f>
        <v>#N/A</v>
      </c>
      <c r="AR2687" s="6" t="b">
        <f t="shared" si="277"/>
        <v>1</v>
      </c>
      <c r="AS2687" s="6" t="str">
        <f t="shared" si="274"/>
        <v>OK</v>
      </c>
      <c r="AU2687" s="202"/>
      <c r="AV2687" s="262"/>
      <c r="AW2687" s="274"/>
    </row>
    <row r="2688" spans="1:49" s="13" customFormat="1" ht="33.75" x14ac:dyDescent="0.2">
      <c r="A2688" s="14">
        <v>2664</v>
      </c>
      <c r="B2688" s="14">
        <v>400015827</v>
      </c>
      <c r="C2688" s="8" t="s">
        <v>5197</v>
      </c>
      <c r="D2688" s="4" t="str">
        <f t="shared" si="278"/>
        <v>400015827R1</v>
      </c>
      <c r="E2688" s="309" t="str">
        <f>VLOOKUP($B2688,'D7 - NDB Impacted SPRF''s'!$E$6:$O$9929,2,FALSE)</f>
        <v>PHS Insurance Product Migration PHASE 1</v>
      </c>
      <c r="F2688" s="8" t="s">
        <v>6071</v>
      </c>
      <c r="G2688" s="8" t="s">
        <v>4758</v>
      </c>
      <c r="H2688" s="8" t="s">
        <v>2870</v>
      </c>
      <c r="I2688" s="20"/>
      <c r="J2688" s="8"/>
      <c r="K2688" s="182"/>
      <c r="L2688" s="8" t="s">
        <v>4156</v>
      </c>
      <c r="M2688" s="8" t="s">
        <v>2814</v>
      </c>
      <c r="N2688" s="38" t="s">
        <v>4653</v>
      </c>
      <c r="O2688" s="8"/>
      <c r="P2688" s="4" t="str">
        <f>VLOOKUP($B2688,'D7 - NDB Impacted SPRF''s'!$E$16:$O$9929,9,FALSE)</f>
        <v>Y</v>
      </c>
      <c r="Q2688" s="4" t="str">
        <f>VLOOKUP($B2688,'D7 - NDB Impacted SPRF''s'!$E$16:$O$9929,10,FALSE)</f>
        <v>N</v>
      </c>
      <c r="R2688" s="4" t="str">
        <f>VLOOKUP($B2688,'D7 - NDB Impacted SPRF''s'!$E$16:$O$9929,11,FALSE)</f>
        <v>N</v>
      </c>
      <c r="S2688" s="8"/>
      <c r="T2688" s="310"/>
      <c r="U2688" s="310"/>
      <c r="V2688" s="4"/>
      <c r="W2688" s="4"/>
      <c r="X2688" s="4"/>
      <c r="Y2688" s="4"/>
      <c r="Z2688" s="4"/>
      <c r="AA2688" s="4"/>
      <c r="AB2688" s="380" t="str">
        <f>VLOOKUP($B2688,'D7 - NDB Impacted SPRF''s'!$E$16:$O$9929,4,FALSE)</f>
        <v>Cancelled</v>
      </c>
      <c r="AC2688" s="380" t="str">
        <f>VLOOKUP($B2688,'D7 - NDB Impacted SPRF''s'!$E$16:$O$9929,3,FALSE)</f>
        <v>UnitedHealthcare Employer &amp; Individual</v>
      </c>
      <c r="AD2688" s="380" t="str">
        <f>VLOOKUP($B2688,'D7 - NDB Impacted SPRF''s'!$E$16:$O$9929,5,FALSE)</f>
        <v>Integration Requirements</v>
      </c>
      <c r="AE2688" s="380" t="str">
        <f>VLOOKUP($B2688,'D7 - NDB Impacted SPRF''s'!$E$16:$O$9929,7,FALSE)</f>
        <v>Tim Wicks</v>
      </c>
      <c r="AF2688" s="380" t="str">
        <f>VLOOKUP($B2688,'D7 - NDB Impacted SPRF''s'!$E$16:$O$9929,6,FALSE)</f>
        <v>BRIAN ULRICH</v>
      </c>
      <c r="AG2688" s="282"/>
      <c r="AH2688" s="311" t="e">
        <f>INDEX('D5 - Gatekeeper - Projects'!$A$4:$AF$1010,$AM2688, 17)</f>
        <v>#N/A</v>
      </c>
      <c r="AI2688" s="8"/>
      <c r="AJ2688" s="57"/>
      <c r="AK2688" s="105"/>
      <c r="AM2688" s="6" t="e">
        <f>MATCH(D2688,'D5 - Gatekeeper - Projects'!$C$4:$C$1010,0)</f>
        <v>#N/A</v>
      </c>
      <c r="AN2688" s="6" t="b">
        <f t="shared" si="275"/>
        <v>1</v>
      </c>
      <c r="AO2688" s="6" t="str">
        <f t="shared" si="276"/>
        <v>OK</v>
      </c>
      <c r="AQ2688" s="6" t="e">
        <f>MATCH($D2688,'D4 - Provider Council Unsched'!$C$11:$C$234,0)</f>
        <v>#N/A</v>
      </c>
      <c r="AR2688" s="6" t="b">
        <f t="shared" si="277"/>
        <v>1</v>
      </c>
      <c r="AS2688" s="6" t="str">
        <f t="shared" si="274"/>
        <v>OK</v>
      </c>
      <c r="AU2688" s="202"/>
      <c r="AV2688" s="262"/>
      <c r="AW2688" s="274"/>
    </row>
    <row r="2689" spans="1:49" s="13" customFormat="1" ht="33.75" x14ac:dyDescent="0.2">
      <c r="A2689" s="14">
        <v>2665</v>
      </c>
      <c r="B2689" s="14">
        <v>400016029</v>
      </c>
      <c r="C2689" s="8" t="s">
        <v>5197</v>
      </c>
      <c r="D2689" s="4" t="str">
        <f t="shared" si="278"/>
        <v>400016029R1</v>
      </c>
      <c r="E2689" s="309" t="str">
        <f>VLOOKUP($B2689,'D7 - NDB Impacted SPRF''s'!$E$6:$O$9929,2,FALSE)</f>
        <v>CE Health Advisor Desktop - Phase I</v>
      </c>
      <c r="F2689" s="8" t="s">
        <v>2114</v>
      </c>
      <c r="G2689" s="8" t="s">
        <v>4758</v>
      </c>
      <c r="H2689" s="8" t="s">
        <v>2870</v>
      </c>
      <c r="I2689" s="20"/>
      <c r="J2689" s="8"/>
      <c r="K2689" s="182"/>
      <c r="L2689" s="8" t="s">
        <v>4156</v>
      </c>
      <c r="M2689" s="8" t="s">
        <v>2814</v>
      </c>
      <c r="N2689" s="38" t="s">
        <v>6713</v>
      </c>
      <c r="O2689" s="8"/>
      <c r="P2689" s="4" t="str">
        <f>VLOOKUP($B2689,'D7 - NDB Impacted SPRF''s'!$E$16:$O$9929,9,FALSE)</f>
        <v>Y</v>
      </c>
      <c r="Q2689" s="4" t="str">
        <f>VLOOKUP($B2689,'D7 - NDB Impacted SPRF''s'!$E$16:$O$9929,10,FALSE)</f>
        <v>N</v>
      </c>
      <c r="R2689" s="4" t="str">
        <f>VLOOKUP($B2689,'D7 - NDB Impacted SPRF''s'!$E$16:$O$9929,11,FALSE)</f>
        <v>N</v>
      </c>
      <c r="S2689" s="8"/>
      <c r="T2689" s="310"/>
      <c r="U2689" s="310"/>
      <c r="V2689" s="4"/>
      <c r="W2689" s="4"/>
      <c r="X2689" s="4"/>
      <c r="Y2689" s="4"/>
      <c r="Z2689" s="4"/>
      <c r="AA2689" s="4"/>
      <c r="AB2689" s="380" t="str">
        <f>VLOOKUP($B2689,'D7 - NDB Impacted SPRF''s'!$E$16:$O$9929,4,FALSE)</f>
        <v>Completed</v>
      </c>
      <c r="AC2689" s="380" t="str">
        <f>VLOOKUP($B2689,'D7 - NDB Impacted SPRF''s'!$E$16:$O$9929,3,FALSE)</f>
        <v>UnitedHealthcare Employer &amp; Individual</v>
      </c>
      <c r="AD2689" s="380" t="str">
        <f>VLOOKUP($B2689,'D7 - NDB Impacted SPRF''s'!$E$16:$O$9929,5,FALSE)</f>
        <v>Membership Growth / Revenue Programs</v>
      </c>
      <c r="AE2689" s="380" t="str">
        <f>VLOOKUP($B2689,'D7 - NDB Impacted SPRF''s'!$E$16:$O$9929,7,FALSE)</f>
        <v>John Reinke</v>
      </c>
      <c r="AF2689" s="380" t="str">
        <f>VLOOKUP($B2689,'D7 - NDB Impacted SPRF''s'!$E$16:$O$9929,6,FALSE)</f>
        <v>ANGELA VALLIER</v>
      </c>
      <c r="AG2689" s="282"/>
      <c r="AH2689" s="311" t="e">
        <f>INDEX('D5 - Gatekeeper - Projects'!$A$4:$AF$1010,$AM2689, 17)</f>
        <v>#N/A</v>
      </c>
      <c r="AI2689" s="8"/>
      <c r="AJ2689" s="57"/>
      <c r="AK2689" s="105"/>
      <c r="AM2689" s="6" t="e">
        <f>MATCH(D2689,'D5 - Gatekeeper - Projects'!$C$4:$C$1010,0)</f>
        <v>#N/A</v>
      </c>
      <c r="AN2689" s="6" t="b">
        <f t="shared" si="275"/>
        <v>1</v>
      </c>
      <c r="AO2689" s="6" t="str">
        <f t="shared" si="276"/>
        <v>OK</v>
      </c>
      <c r="AQ2689" s="6" t="e">
        <f>MATCH($D2689,'D4 - Provider Council Unsched'!$C$11:$C$234,0)</f>
        <v>#N/A</v>
      </c>
      <c r="AR2689" s="6" t="b">
        <f t="shared" si="277"/>
        <v>1</v>
      </c>
      <c r="AS2689" s="6" t="str">
        <f t="shared" si="274"/>
        <v>OK</v>
      </c>
      <c r="AU2689" s="202"/>
      <c r="AV2689" s="262"/>
      <c r="AW2689" s="274"/>
    </row>
    <row r="2690" spans="1:49" s="13" customFormat="1" ht="33.75" x14ac:dyDescent="0.2">
      <c r="A2690" s="14">
        <v>2666</v>
      </c>
      <c r="B2690" s="14">
        <v>400016080</v>
      </c>
      <c r="C2690" s="8" t="s">
        <v>5197</v>
      </c>
      <c r="D2690" s="4" t="str">
        <f t="shared" si="278"/>
        <v>400016080R1</v>
      </c>
      <c r="E2690" s="309" t="str">
        <f>VLOOKUP($B2690,'D7 - NDB Impacted SPRF''s'!$E$6:$O$9929,2,FALSE)</f>
        <v>EFT Capability for COSMOS</v>
      </c>
      <c r="F2690" s="8" t="s">
        <v>2114</v>
      </c>
      <c r="G2690" s="8" t="s">
        <v>4758</v>
      </c>
      <c r="H2690" s="8" t="s">
        <v>2870</v>
      </c>
      <c r="I2690" s="20"/>
      <c r="J2690" s="8"/>
      <c r="K2690" s="182"/>
      <c r="L2690" s="8" t="s">
        <v>4156</v>
      </c>
      <c r="M2690" s="8" t="s">
        <v>2814</v>
      </c>
      <c r="N2690" s="38"/>
      <c r="O2690" s="8"/>
      <c r="P2690" s="4" t="str">
        <f>VLOOKUP($B2690,'D7 - NDB Impacted SPRF''s'!$E$16:$O$9929,9,FALSE)</f>
        <v>N</v>
      </c>
      <c r="Q2690" s="4" t="str">
        <f>VLOOKUP($B2690,'D7 - NDB Impacted SPRF''s'!$E$16:$O$9929,10,FALSE)</f>
        <v>N</v>
      </c>
      <c r="R2690" s="4" t="str">
        <f>VLOOKUP($B2690,'D7 - NDB Impacted SPRF''s'!$E$16:$O$9929,11,FALSE)</f>
        <v>N</v>
      </c>
      <c r="S2690" s="8"/>
      <c r="T2690" s="310"/>
      <c r="U2690" s="310"/>
      <c r="V2690" s="4"/>
      <c r="W2690" s="4"/>
      <c r="X2690" s="4"/>
      <c r="Y2690" s="4"/>
      <c r="Z2690" s="4"/>
      <c r="AA2690" s="4"/>
      <c r="AB2690" s="380" t="str">
        <f>VLOOKUP($B2690,'D7 - NDB Impacted SPRF''s'!$E$16:$O$9929,4,FALSE)</f>
        <v>Cancelled</v>
      </c>
      <c r="AC2690" s="380" t="str">
        <f>VLOOKUP($B2690,'D7 - NDB Impacted SPRF''s'!$E$16:$O$9929,3,FALSE)</f>
        <v>UnitedHealthcare Medicare &amp; Retirement</v>
      </c>
      <c r="AD2690" s="380" t="str">
        <f>VLOOKUP($B2690,'D7 - NDB Impacted SPRF''s'!$E$16:$O$9929,5,FALSE)</f>
        <v>Ovations</v>
      </c>
      <c r="AE2690" s="380" t="str">
        <f>VLOOKUP($B2690,'D7 - NDB Impacted SPRF''s'!$E$16:$O$9929,7,FALSE)</f>
        <v>Patrick Stroh</v>
      </c>
      <c r="AF2690" s="380" t="str">
        <f>VLOOKUP($B2690,'D7 - NDB Impacted SPRF''s'!$E$16:$O$9929,6,FALSE)</f>
        <v>Michael Schwarz</v>
      </c>
      <c r="AG2690" s="282"/>
      <c r="AH2690" s="311" t="e">
        <f>INDEX('D5 - Gatekeeper - Projects'!$A$4:$AF$1010,$AM2690, 17)</f>
        <v>#N/A</v>
      </c>
      <c r="AI2690" s="8"/>
      <c r="AJ2690" s="57"/>
      <c r="AK2690" s="105"/>
      <c r="AM2690" s="6" t="e">
        <f>MATCH(D2690,'D5 - Gatekeeper - Projects'!$C$4:$C$1010,0)</f>
        <v>#N/A</v>
      </c>
      <c r="AN2690" s="6" t="b">
        <f t="shared" si="275"/>
        <v>1</v>
      </c>
      <c r="AO2690" s="6" t="str">
        <f t="shared" si="276"/>
        <v>OK</v>
      </c>
      <c r="AQ2690" s="6" t="e">
        <f>MATCH($D2690,'D4 - Provider Council Unsched'!$C$11:$C$234,0)</f>
        <v>#N/A</v>
      </c>
      <c r="AR2690" s="6" t="b">
        <f t="shared" si="277"/>
        <v>1</v>
      </c>
      <c r="AS2690" s="6" t="str">
        <f t="shared" si="274"/>
        <v>OK</v>
      </c>
      <c r="AU2690" s="202"/>
      <c r="AV2690" s="262"/>
      <c r="AW2690" s="274"/>
    </row>
    <row r="2691" spans="1:49" s="13" customFormat="1" ht="33.75" x14ac:dyDescent="0.2">
      <c r="A2691" s="14">
        <v>2667</v>
      </c>
      <c r="B2691" s="14">
        <v>400016272</v>
      </c>
      <c r="C2691" s="8" t="s">
        <v>5197</v>
      </c>
      <c r="D2691" s="4" t="str">
        <f t="shared" si="278"/>
        <v>400016272R1</v>
      </c>
      <c r="E2691" s="309" t="str">
        <f>VLOOKUP($B2691,'D7 - NDB Impacted SPRF''s'!$E$6:$O$9929,2,FALSE)</f>
        <v>Change UBH EPDL start time &amp; FTP</v>
      </c>
      <c r="F2691" s="8" t="s">
        <v>7779</v>
      </c>
      <c r="G2691" s="8" t="s">
        <v>4758</v>
      </c>
      <c r="H2691" s="8" t="s">
        <v>2870</v>
      </c>
      <c r="I2691" s="20">
        <v>1.75</v>
      </c>
      <c r="J2691" s="8" t="s">
        <v>4862</v>
      </c>
      <c r="K2691" s="182"/>
      <c r="L2691" s="8" t="s">
        <v>4156</v>
      </c>
      <c r="M2691" s="8" t="s">
        <v>2814</v>
      </c>
      <c r="N2691" s="38" t="s">
        <v>5659</v>
      </c>
      <c r="O2691" s="8"/>
      <c r="P2691" s="4" t="str">
        <f>VLOOKUP($B2691,'D7 - NDB Impacted SPRF''s'!$E$16:$O$9929,9,FALSE)</f>
        <v>N</v>
      </c>
      <c r="Q2691" s="4" t="str">
        <f>VLOOKUP($B2691,'D7 - NDB Impacted SPRF''s'!$E$16:$O$9929,10,FALSE)</f>
        <v>N</v>
      </c>
      <c r="R2691" s="4" t="str">
        <f>VLOOKUP($B2691,'D7 - NDB Impacted SPRF''s'!$E$16:$O$9929,11,FALSE)</f>
        <v>N</v>
      </c>
      <c r="S2691" s="8"/>
      <c r="T2691" s="310"/>
      <c r="U2691" s="310"/>
      <c r="V2691" s="4"/>
      <c r="W2691" s="4"/>
      <c r="X2691" s="4"/>
      <c r="Y2691" s="4"/>
      <c r="Z2691" s="4"/>
      <c r="AA2691" s="4"/>
      <c r="AB2691" s="380" t="str">
        <f>VLOOKUP($B2691,'D7 - NDB Impacted SPRF''s'!$E$16:$O$9929,4,FALSE)</f>
        <v>Cancelled</v>
      </c>
      <c r="AC2691" s="380" t="str">
        <f>VLOOKUP($B2691,'D7 - NDB Impacted SPRF''s'!$E$16:$O$9929,3,FALSE)</f>
        <v>OptumHealth</v>
      </c>
      <c r="AD2691" s="380" t="str">
        <f>VLOOKUP($B2691,'D7 - NDB Impacted SPRF''s'!$E$16:$O$9929,5,FALSE)</f>
        <v>UBH</v>
      </c>
      <c r="AE2691" s="380" t="str">
        <f>VLOOKUP($B2691,'D7 - NDB Impacted SPRF''s'!$E$16:$O$9929,7,FALSE)</f>
        <v>Lloyd Dyer</v>
      </c>
      <c r="AF2691" s="380" t="str">
        <f>VLOOKUP($B2691,'D7 - NDB Impacted SPRF''s'!$E$16:$O$9929,6,FALSE)</f>
        <v>Todd Rachwal</v>
      </c>
      <c r="AG2691" s="282"/>
      <c r="AH2691" s="311" t="e">
        <f>INDEX('D5 - Gatekeeper - Projects'!$A$4:$AF$1010,$AM2691, 17)</f>
        <v>#N/A</v>
      </c>
      <c r="AI2691" s="8"/>
      <c r="AJ2691" s="57"/>
      <c r="AK2691" s="105"/>
      <c r="AM2691" s="6" t="e">
        <f>MATCH(D2691,'D5 - Gatekeeper - Projects'!$C$4:$C$1010,0)</f>
        <v>#N/A</v>
      </c>
      <c r="AN2691" s="6" t="b">
        <f t="shared" si="275"/>
        <v>1</v>
      </c>
      <c r="AO2691" s="6" t="str">
        <f t="shared" si="276"/>
        <v>OK</v>
      </c>
      <c r="AQ2691" s="6" t="e">
        <f>MATCH($D2691,'D4 - Provider Council Unsched'!$C$11:$C$234,0)</f>
        <v>#N/A</v>
      </c>
      <c r="AR2691" s="6" t="b">
        <f t="shared" si="277"/>
        <v>1</v>
      </c>
      <c r="AS2691" s="6" t="str">
        <f t="shared" si="274"/>
        <v>OK</v>
      </c>
      <c r="AU2691" s="202"/>
      <c r="AV2691" s="262"/>
      <c r="AW2691" s="274"/>
    </row>
    <row r="2692" spans="1:49" s="13" customFormat="1" ht="33.75" x14ac:dyDescent="0.2">
      <c r="A2692" s="14">
        <v>2668</v>
      </c>
      <c r="B2692" s="14">
        <v>400016318</v>
      </c>
      <c r="C2692" s="8" t="s">
        <v>5197</v>
      </c>
      <c r="D2692" s="4" t="str">
        <f t="shared" si="278"/>
        <v>400016318R1</v>
      </c>
      <c r="E2692" s="309" t="str">
        <f>VLOOKUP($B2692,'D7 - NDB Impacted SPRF''s'!$E$6:$O$9929,2,FALSE)</f>
        <v>UHPD Portal Consolidation</v>
      </c>
      <c r="F2692" s="8" t="s">
        <v>5443</v>
      </c>
      <c r="G2692" s="8" t="s">
        <v>4758</v>
      </c>
      <c r="H2692" s="8" t="s">
        <v>2870</v>
      </c>
      <c r="I2692" s="20"/>
      <c r="J2692" s="8"/>
      <c r="K2692" s="182"/>
      <c r="L2692" s="8" t="s">
        <v>4156</v>
      </c>
      <c r="M2692" s="8" t="s">
        <v>2814</v>
      </c>
      <c r="N2692" s="38"/>
      <c r="O2692" s="8"/>
      <c r="P2692" s="4" t="str">
        <f>VLOOKUP($B2692,'D7 - NDB Impacted SPRF''s'!$E$16:$O$9929,9,FALSE)</f>
        <v>N</v>
      </c>
      <c r="Q2692" s="4" t="str">
        <f>VLOOKUP($B2692,'D7 - NDB Impacted SPRF''s'!$E$16:$O$9929,10,FALSE)</f>
        <v>N</v>
      </c>
      <c r="R2692" s="4" t="str">
        <f>VLOOKUP($B2692,'D7 - NDB Impacted SPRF''s'!$E$16:$O$9929,11,FALSE)</f>
        <v>N</v>
      </c>
      <c r="S2692" s="8"/>
      <c r="T2692" s="310"/>
      <c r="U2692" s="310"/>
      <c r="V2692" s="4"/>
      <c r="W2692" s="4"/>
      <c r="X2692" s="4"/>
      <c r="Y2692" s="4"/>
      <c r="Z2692" s="4"/>
      <c r="AA2692" s="4"/>
      <c r="AB2692" s="380" t="str">
        <f>VLOOKUP($B2692,'D7 - NDB Impacted SPRF''s'!$E$16:$O$9929,4,FALSE)</f>
        <v>Cancelled</v>
      </c>
      <c r="AC2692" s="380" t="str">
        <f>VLOOKUP($B2692,'D7 - NDB Impacted SPRF''s'!$E$16:$O$9929,3,FALSE)</f>
        <v>UnitedHealthcare Employer &amp; Individual</v>
      </c>
      <c r="AD2692" s="380" t="str">
        <f>VLOOKUP($B2692,'D7 - NDB Impacted SPRF''s'!$E$16:$O$9929,5,FALSE)</f>
        <v>Medical Cost Savings Programs</v>
      </c>
      <c r="AE2692" s="380" t="str">
        <f>VLOOKUP($B2692,'D7 - NDB Impacted SPRF''s'!$E$16:$O$9929,7,FALSE)</f>
        <v>Chris Brown</v>
      </c>
      <c r="AF2692" s="380" t="str">
        <f>VLOOKUP($B2692,'D7 - NDB Impacted SPRF''s'!$E$16:$O$9929,6,FALSE)</f>
        <v>DINAN JIANG</v>
      </c>
      <c r="AG2692" s="282"/>
      <c r="AH2692" s="311" t="e">
        <f>INDEX('D5 - Gatekeeper - Projects'!$A$4:$AF$1010,$AM2692, 17)</f>
        <v>#N/A</v>
      </c>
      <c r="AI2692" s="8"/>
      <c r="AJ2692" s="57"/>
      <c r="AK2692" s="105"/>
      <c r="AM2692" s="6" t="e">
        <f>MATCH(D2692,'D5 - Gatekeeper - Projects'!$C$4:$C$1010,0)</f>
        <v>#N/A</v>
      </c>
      <c r="AN2692" s="6" t="b">
        <f t="shared" si="275"/>
        <v>1</v>
      </c>
      <c r="AO2692" s="6" t="str">
        <f t="shared" si="276"/>
        <v>OK</v>
      </c>
      <c r="AQ2692" s="6" t="e">
        <f>MATCH($D2692,'D4 - Provider Council Unsched'!$C$11:$C$234,0)</f>
        <v>#N/A</v>
      </c>
      <c r="AR2692" s="6" t="b">
        <f t="shared" si="277"/>
        <v>1</v>
      </c>
      <c r="AS2692" s="6" t="str">
        <f t="shared" ref="AS2692:AS2719" si="279">IF(AND(H2692="2 - Not Scheduled",AR2692=TRUE),"Add","OK")</f>
        <v>OK</v>
      </c>
      <c r="AU2692" s="202"/>
      <c r="AV2692" s="262"/>
      <c r="AW2692" s="274"/>
    </row>
    <row r="2693" spans="1:49" s="13" customFormat="1" x14ac:dyDescent="0.2">
      <c r="A2693" s="14">
        <v>2669</v>
      </c>
      <c r="B2693" s="14">
        <v>400016378</v>
      </c>
      <c r="C2693" s="8" t="s">
        <v>5197</v>
      </c>
      <c r="D2693" s="4" t="str">
        <f t="shared" si="278"/>
        <v>400016378R1</v>
      </c>
      <c r="E2693" s="309" t="str">
        <f>VLOOKUP($B2693,'D7 - NDB Impacted SPRF''s'!$E$6:$O$9929,2,FALSE)</f>
        <v>Medica - COSMOS Entry of Referring NPI</v>
      </c>
      <c r="F2693" s="8" t="s">
        <v>5787</v>
      </c>
      <c r="G2693" s="8" t="s">
        <v>4758</v>
      </c>
      <c r="H2693" s="8" t="s">
        <v>2870</v>
      </c>
      <c r="I2693" s="20"/>
      <c r="J2693" s="8"/>
      <c r="K2693" s="182"/>
      <c r="L2693" s="8" t="s">
        <v>4156</v>
      </c>
      <c r="M2693" s="8" t="s">
        <v>2814</v>
      </c>
      <c r="N2693" s="38"/>
      <c r="O2693" s="8"/>
      <c r="P2693" s="4" t="str">
        <f>VLOOKUP($B2693,'D7 - NDB Impacted SPRF''s'!$E$16:$O$9929,9,FALSE)</f>
        <v>N</v>
      </c>
      <c r="Q2693" s="4" t="str">
        <f>VLOOKUP($B2693,'D7 - NDB Impacted SPRF''s'!$E$16:$O$9929,10,FALSE)</f>
        <v>N</v>
      </c>
      <c r="R2693" s="4" t="str">
        <f>VLOOKUP($B2693,'D7 - NDB Impacted SPRF''s'!$E$16:$O$9929,11,FALSE)</f>
        <v>N</v>
      </c>
      <c r="S2693" s="8"/>
      <c r="T2693" s="310"/>
      <c r="U2693" s="310"/>
      <c r="V2693" s="4"/>
      <c r="W2693" s="4"/>
      <c r="X2693" s="4"/>
      <c r="Y2693" s="4"/>
      <c r="Z2693" s="4"/>
      <c r="AA2693" s="4"/>
      <c r="AB2693" s="380" t="str">
        <f>VLOOKUP($B2693,'D7 - NDB Impacted SPRF''s'!$E$16:$O$9929,4,FALSE)</f>
        <v>Cancelled</v>
      </c>
      <c r="AC2693" s="380" t="str">
        <f>VLOOKUP($B2693,'D7 - NDB Impacted SPRF''s'!$E$16:$O$9929,3,FALSE)</f>
        <v>Uniprise</v>
      </c>
      <c r="AD2693" s="380" t="str">
        <f>VLOOKUP($B2693,'D7 - NDB Impacted SPRF''s'!$E$16:$O$9929,5,FALSE)</f>
        <v>UOS - DDC</v>
      </c>
      <c r="AE2693" s="380" t="str">
        <f>VLOOKUP($B2693,'D7 - NDB Impacted SPRF''s'!$E$16:$O$9929,7,FALSE)</f>
        <v>Joanne Houck</v>
      </c>
      <c r="AF2693" s="380" t="str">
        <f>VLOOKUP($B2693,'D7 - NDB Impacted SPRF''s'!$E$16:$O$9929,6,FALSE)</f>
        <v>Cathy Hanson</v>
      </c>
      <c r="AG2693" s="282"/>
      <c r="AH2693" s="311" t="e">
        <f>INDEX('D5 - Gatekeeper - Projects'!$A$4:$AF$1010,$AM2693, 17)</f>
        <v>#N/A</v>
      </c>
      <c r="AI2693" s="8"/>
      <c r="AJ2693" s="57"/>
      <c r="AK2693" s="105"/>
      <c r="AM2693" s="6" t="e">
        <f>MATCH(D2693,'D5 - Gatekeeper - Projects'!$C$4:$C$1010,0)</f>
        <v>#N/A</v>
      </c>
      <c r="AN2693" s="6" t="b">
        <f t="shared" si="275"/>
        <v>1</v>
      </c>
      <c r="AO2693" s="6" t="str">
        <f t="shared" si="276"/>
        <v>OK</v>
      </c>
      <c r="AQ2693" s="6" t="e">
        <f>MATCH($D2693,'D4 - Provider Council Unsched'!$C$11:$C$234,0)</f>
        <v>#N/A</v>
      </c>
      <c r="AR2693" s="6" t="b">
        <f t="shared" si="277"/>
        <v>1</v>
      </c>
      <c r="AS2693" s="6" t="str">
        <f t="shared" si="279"/>
        <v>OK</v>
      </c>
      <c r="AU2693" s="202"/>
      <c r="AV2693" s="262"/>
      <c r="AW2693" s="274"/>
    </row>
    <row r="2694" spans="1:49" s="13" customFormat="1" ht="33.75" x14ac:dyDescent="0.2">
      <c r="A2694" s="14">
        <v>2670</v>
      </c>
      <c r="B2694" s="14">
        <v>400016453</v>
      </c>
      <c r="C2694" s="8" t="s">
        <v>5197</v>
      </c>
      <c r="D2694" s="4" t="str">
        <f t="shared" si="278"/>
        <v>400016453R1</v>
      </c>
      <c r="E2694" s="309" t="str">
        <f>VLOOKUP($B2694,'D7 - NDB Impacted SPRF''s'!$E$6:$O$9929,2,FALSE)</f>
        <v>Run Code1 Process for IL, IN, TN Master Addresses</v>
      </c>
      <c r="F2694" s="8" t="s">
        <v>4971</v>
      </c>
      <c r="G2694" s="8" t="s">
        <v>4758</v>
      </c>
      <c r="H2694" s="8" t="s">
        <v>2870</v>
      </c>
      <c r="I2694" s="20">
        <v>1.07</v>
      </c>
      <c r="J2694" s="8" t="s">
        <v>4862</v>
      </c>
      <c r="K2694" s="182"/>
      <c r="L2694" s="8" t="s">
        <v>4156</v>
      </c>
      <c r="M2694" s="8" t="s">
        <v>6007</v>
      </c>
      <c r="N2694" s="38"/>
      <c r="O2694" s="8"/>
      <c r="P2694" s="4" t="str">
        <f>VLOOKUP($B2694,'D7 - NDB Impacted SPRF''s'!$E$16:$O$9929,9,FALSE)</f>
        <v>N</v>
      </c>
      <c r="Q2694" s="4" t="str">
        <f>VLOOKUP($B2694,'D7 - NDB Impacted SPRF''s'!$E$16:$O$9929,10,FALSE)</f>
        <v>N</v>
      </c>
      <c r="R2694" s="4" t="str">
        <f>VLOOKUP($B2694,'D7 - NDB Impacted SPRF''s'!$E$16:$O$9929,11,FALSE)</f>
        <v>N</v>
      </c>
      <c r="S2694" s="8"/>
      <c r="T2694" s="310"/>
      <c r="U2694" s="310"/>
      <c r="V2694" s="4"/>
      <c r="W2694" s="4"/>
      <c r="X2694" s="4"/>
      <c r="Y2694" s="4"/>
      <c r="Z2694" s="4"/>
      <c r="AA2694" s="4"/>
      <c r="AB2694" s="380" t="str">
        <f>VLOOKUP($B2694,'D7 - NDB Impacted SPRF''s'!$E$16:$O$9929,4,FALSE)</f>
        <v>Cancelled</v>
      </c>
      <c r="AC2694" s="380" t="str">
        <f>VLOOKUP($B2694,'D7 - NDB Impacted SPRF''s'!$E$16:$O$9929,3,FALSE)</f>
        <v>UnitedHealthcare Employer &amp; Individual</v>
      </c>
      <c r="AD2694" s="380" t="str">
        <f>VLOOKUP($B2694,'D7 - NDB Impacted SPRF''s'!$E$16:$O$9929,5,FALSE)</f>
        <v>Network Growth / Enhancements</v>
      </c>
      <c r="AE2694" s="380" t="str">
        <f>VLOOKUP($B2694,'D7 - NDB Impacted SPRF''s'!$E$16:$O$9929,7,FALSE)</f>
        <v>Matt Guisinger</v>
      </c>
      <c r="AF2694" s="380" t="str">
        <f>VLOOKUP($B2694,'D7 - NDB Impacted SPRF''s'!$E$16:$O$9929,6,FALSE)</f>
        <v>STEPHEN FINLEY</v>
      </c>
      <c r="AG2694" s="282"/>
      <c r="AH2694" s="311" t="e">
        <f>INDEX('D5 - Gatekeeper - Projects'!$A$4:$AF$1010,$AM2694, 17)</f>
        <v>#N/A</v>
      </c>
      <c r="AI2694" s="8"/>
      <c r="AJ2694" s="57"/>
      <c r="AK2694" s="105"/>
      <c r="AM2694" s="6" t="e">
        <f>MATCH(D2694,'D5 - Gatekeeper - Projects'!$C$4:$C$1010,0)</f>
        <v>#N/A</v>
      </c>
      <c r="AN2694" s="6" t="b">
        <f t="shared" si="275"/>
        <v>1</v>
      </c>
      <c r="AO2694" s="6" t="str">
        <f t="shared" si="276"/>
        <v>OK</v>
      </c>
      <c r="AQ2694" s="6" t="e">
        <f>MATCH($D2694,'D4 - Provider Council Unsched'!$C$11:$C$234,0)</f>
        <v>#N/A</v>
      </c>
      <c r="AR2694" s="6" t="b">
        <f t="shared" si="277"/>
        <v>1</v>
      </c>
      <c r="AS2694" s="6" t="str">
        <f t="shared" si="279"/>
        <v>OK</v>
      </c>
      <c r="AU2694" s="202"/>
      <c r="AV2694" s="262"/>
      <c r="AW2694" s="274"/>
    </row>
    <row r="2695" spans="1:49" s="13" customFormat="1" ht="33.75" x14ac:dyDescent="0.2">
      <c r="A2695" s="14">
        <v>2671</v>
      </c>
      <c r="B2695" s="14">
        <v>400016535</v>
      </c>
      <c r="C2695" s="8" t="s">
        <v>5197</v>
      </c>
      <c r="D2695" s="4" t="str">
        <f t="shared" si="278"/>
        <v>400016535R1</v>
      </c>
      <c r="E2695" s="309" t="str">
        <f>VLOOKUP($B2695,'D7 - NDB Impacted SPRF''s'!$E$6:$O$9929,2,FALSE)</f>
        <v>NDB Extracts to Ingenix - Move to Delta File</v>
      </c>
      <c r="F2695" s="8" t="s">
        <v>4971</v>
      </c>
      <c r="G2695" s="8" t="s">
        <v>4758</v>
      </c>
      <c r="H2695" s="8" t="s">
        <v>2870</v>
      </c>
      <c r="I2695" s="20">
        <v>1.07</v>
      </c>
      <c r="J2695" s="8" t="s">
        <v>4862</v>
      </c>
      <c r="K2695" s="182"/>
      <c r="L2695" s="8" t="s">
        <v>4156</v>
      </c>
      <c r="M2695" s="8" t="s">
        <v>6688</v>
      </c>
      <c r="N2695" s="38" t="s">
        <v>8012</v>
      </c>
      <c r="O2695" s="8"/>
      <c r="P2695" s="4" t="str">
        <f>VLOOKUP($B2695,'D7 - NDB Impacted SPRF''s'!$E$16:$O$9929,9,FALSE)</f>
        <v>N</v>
      </c>
      <c r="Q2695" s="4" t="str">
        <f>VLOOKUP($B2695,'D7 - NDB Impacted SPRF''s'!$E$16:$O$9929,10,FALSE)</f>
        <v>N</v>
      </c>
      <c r="R2695" s="4" t="str">
        <f>VLOOKUP($B2695,'D7 - NDB Impacted SPRF''s'!$E$16:$O$9929,11,FALSE)</f>
        <v>N</v>
      </c>
      <c r="S2695" s="8"/>
      <c r="T2695" s="310"/>
      <c r="U2695" s="310"/>
      <c r="V2695" s="4"/>
      <c r="W2695" s="4"/>
      <c r="X2695" s="4"/>
      <c r="Y2695" s="4"/>
      <c r="Z2695" s="4"/>
      <c r="AA2695" s="4"/>
      <c r="AB2695" s="380" t="str">
        <f>VLOOKUP($B2695,'D7 - NDB Impacted SPRF''s'!$E$16:$O$9929,4,FALSE)</f>
        <v>Cancelled</v>
      </c>
      <c r="AC2695" s="380" t="str">
        <f>VLOOKUP($B2695,'D7 - NDB Impacted SPRF''s'!$E$16:$O$9929,3,FALSE)</f>
        <v>UnitedHealthcare Employer &amp; Individual</v>
      </c>
      <c r="AD2695" s="380" t="str">
        <f>VLOOKUP($B2695,'D7 - NDB Impacted SPRF''s'!$E$16:$O$9929,5,FALSE)</f>
        <v>Network Growth / Enhancements</v>
      </c>
      <c r="AE2695" s="380" t="str">
        <f>VLOOKUP($B2695,'D7 - NDB Impacted SPRF''s'!$E$16:$O$9929,7,FALSE)</f>
        <v>Matt Guisinger</v>
      </c>
      <c r="AF2695" s="380" t="str">
        <f>VLOOKUP($B2695,'D7 - NDB Impacted SPRF''s'!$E$16:$O$9929,6,FALSE)</f>
        <v>STEPHEN FINLEY</v>
      </c>
      <c r="AG2695" s="282"/>
      <c r="AH2695" s="311" t="e">
        <f>INDEX('D5 - Gatekeeper - Projects'!$A$4:$AF$1010,$AM2695, 17)</f>
        <v>#N/A</v>
      </c>
      <c r="AI2695" s="8"/>
      <c r="AJ2695" s="57"/>
      <c r="AK2695" s="105"/>
      <c r="AM2695" s="6" t="e">
        <f>MATCH(D2695,'D5 - Gatekeeper - Projects'!$C$4:$C$1010,0)</f>
        <v>#N/A</v>
      </c>
      <c r="AN2695" s="6" t="b">
        <f t="shared" si="275"/>
        <v>1</v>
      </c>
      <c r="AO2695" s="6" t="str">
        <f t="shared" si="276"/>
        <v>OK</v>
      </c>
      <c r="AQ2695" s="6" t="e">
        <f>MATCH($D2695,'D4 - Provider Council Unsched'!$C$11:$C$234,0)</f>
        <v>#N/A</v>
      </c>
      <c r="AR2695" s="6" t="b">
        <f t="shared" si="277"/>
        <v>1</v>
      </c>
      <c r="AS2695" s="6" t="str">
        <f t="shared" si="279"/>
        <v>OK</v>
      </c>
      <c r="AU2695" s="202"/>
      <c r="AV2695" s="262"/>
      <c r="AW2695" s="274"/>
    </row>
    <row r="2696" spans="1:49" s="13" customFormat="1" ht="33.75" x14ac:dyDescent="0.2">
      <c r="A2696" s="14">
        <v>2672</v>
      </c>
      <c r="B2696" s="14">
        <v>400016611</v>
      </c>
      <c r="C2696" s="8" t="s">
        <v>5197</v>
      </c>
      <c r="D2696" s="4" t="str">
        <f t="shared" si="278"/>
        <v>400016611R1</v>
      </c>
      <c r="E2696" s="309" t="str">
        <f>VLOOKUP($B2696,'D7 - NDB Impacted SPRF''s'!$E$6:$O$9929,2,FALSE)</f>
        <v>CareOne/UPM Connectivity for NDB Data</v>
      </c>
      <c r="F2696" s="8" t="s">
        <v>5544</v>
      </c>
      <c r="G2696" s="8" t="s">
        <v>4758</v>
      </c>
      <c r="H2696" s="8" t="s">
        <v>2870</v>
      </c>
      <c r="I2696" s="20">
        <v>1.07</v>
      </c>
      <c r="J2696" s="8" t="s">
        <v>4862</v>
      </c>
      <c r="K2696" s="182"/>
      <c r="L2696" s="8" t="s">
        <v>4156</v>
      </c>
      <c r="M2696" s="8" t="s">
        <v>5626</v>
      </c>
      <c r="N2696" s="38" t="s">
        <v>1948</v>
      </c>
      <c r="O2696" s="8"/>
      <c r="P2696" s="4" t="str">
        <f>VLOOKUP($B2696,'D7 - NDB Impacted SPRF''s'!$E$16:$O$9929,9,FALSE)</f>
        <v>N</v>
      </c>
      <c r="Q2696" s="4" t="str">
        <f>VLOOKUP($B2696,'D7 - NDB Impacted SPRF''s'!$E$16:$O$9929,10,FALSE)</f>
        <v>N</v>
      </c>
      <c r="R2696" s="4" t="str">
        <f>VLOOKUP($B2696,'D7 - NDB Impacted SPRF''s'!$E$16:$O$9929,11,FALSE)</f>
        <v>N</v>
      </c>
      <c r="S2696" s="8"/>
      <c r="T2696" s="310"/>
      <c r="U2696" s="310"/>
      <c r="V2696" s="4"/>
      <c r="W2696" s="4"/>
      <c r="X2696" s="4"/>
      <c r="Y2696" s="4"/>
      <c r="Z2696" s="4"/>
      <c r="AA2696" s="4"/>
      <c r="AB2696" s="380" t="str">
        <f>VLOOKUP($B2696,'D7 - NDB Impacted SPRF''s'!$E$16:$O$9929,4,FALSE)</f>
        <v>Cancelled</v>
      </c>
      <c r="AC2696" s="380" t="str">
        <f>VLOOKUP($B2696,'D7 - NDB Impacted SPRF''s'!$E$16:$O$9929,3,FALSE)</f>
        <v>UnitedHealthcare Medicare &amp; Retirement</v>
      </c>
      <c r="AD2696" s="380" t="str">
        <f>VLOOKUP($B2696,'D7 - NDB Impacted SPRF''s'!$E$16:$O$9929,5,FALSE)</f>
        <v>Clinical-Ovations</v>
      </c>
      <c r="AE2696" s="380" t="str">
        <f>VLOOKUP($B2696,'D7 - NDB Impacted SPRF''s'!$E$16:$O$9929,7,FALSE)</f>
        <v>Cynthia Midaugh</v>
      </c>
      <c r="AF2696" s="380" t="str">
        <f>VLOOKUP($B2696,'D7 - NDB Impacted SPRF''s'!$E$16:$O$9929,6,FALSE)</f>
        <v>MICHAEL CAMERON</v>
      </c>
      <c r="AG2696" s="282"/>
      <c r="AH2696" s="311" t="e">
        <f>INDEX('D5 - Gatekeeper - Projects'!$A$4:$AF$1010,$AM2696, 17)</f>
        <v>#N/A</v>
      </c>
      <c r="AI2696" s="8"/>
      <c r="AJ2696" s="57"/>
      <c r="AK2696" s="105"/>
      <c r="AM2696" s="6" t="e">
        <f>MATCH(D2696,'D5 - Gatekeeper - Projects'!$C$4:$C$1010,0)</f>
        <v>#N/A</v>
      </c>
      <c r="AN2696" s="6" t="b">
        <f t="shared" si="275"/>
        <v>1</v>
      </c>
      <c r="AO2696" s="6" t="str">
        <f t="shared" si="276"/>
        <v>OK</v>
      </c>
      <c r="AQ2696" s="6" t="e">
        <f>MATCH($D2696,'D4 - Provider Council Unsched'!$C$11:$C$234,0)</f>
        <v>#N/A</v>
      </c>
      <c r="AR2696" s="6" t="b">
        <f t="shared" si="277"/>
        <v>1</v>
      </c>
      <c r="AS2696" s="6" t="str">
        <f t="shared" si="279"/>
        <v>OK</v>
      </c>
      <c r="AU2696" s="202"/>
      <c r="AV2696" s="262"/>
      <c r="AW2696" s="274"/>
    </row>
    <row r="2697" spans="1:49" s="13" customFormat="1" ht="33.75" x14ac:dyDescent="0.2">
      <c r="A2697" s="14">
        <v>2673</v>
      </c>
      <c r="B2697" s="14">
        <v>400016651</v>
      </c>
      <c r="C2697" s="8" t="s">
        <v>5197</v>
      </c>
      <c r="D2697" s="4" t="str">
        <f t="shared" si="278"/>
        <v>400016651R1</v>
      </c>
      <c r="E2697" s="309" t="str">
        <f>VLOOKUP($B2697,'D7 - NDB Impacted SPRF''s'!$E$6:$O$9929,2,FALSE)</f>
        <v>HPHC1-Apply LO Logic - individual claim line level</v>
      </c>
      <c r="F2697" s="8" t="s">
        <v>5196</v>
      </c>
      <c r="G2697" s="8" t="s">
        <v>4758</v>
      </c>
      <c r="H2697" s="8" t="s">
        <v>2870</v>
      </c>
      <c r="I2697" s="20">
        <v>6.9</v>
      </c>
      <c r="J2697" s="8" t="s">
        <v>4862</v>
      </c>
      <c r="K2697" s="182"/>
      <c r="L2697" s="8" t="s">
        <v>4156</v>
      </c>
      <c r="M2697" s="8" t="s">
        <v>2814</v>
      </c>
      <c r="N2697" s="38" t="s">
        <v>7416</v>
      </c>
      <c r="O2697" s="8"/>
      <c r="P2697" s="4" t="str">
        <f>VLOOKUP($B2697,'D7 - NDB Impacted SPRF''s'!$E$16:$O$9929,9,FALSE)</f>
        <v>Y</v>
      </c>
      <c r="Q2697" s="4" t="str">
        <f>VLOOKUP($B2697,'D7 - NDB Impacted SPRF''s'!$E$16:$O$9929,10,FALSE)</f>
        <v>N</v>
      </c>
      <c r="R2697" s="4" t="str">
        <f>VLOOKUP($B2697,'D7 - NDB Impacted SPRF''s'!$E$16:$O$9929,11,FALSE)</f>
        <v>Y</v>
      </c>
      <c r="S2697" s="8"/>
      <c r="T2697" s="310"/>
      <c r="U2697" s="310"/>
      <c r="V2697" s="4"/>
      <c r="W2697" s="4"/>
      <c r="X2697" s="4"/>
      <c r="Y2697" s="4"/>
      <c r="Z2697" s="4"/>
      <c r="AA2697" s="4"/>
      <c r="AB2697" s="380" t="str">
        <f>VLOOKUP($B2697,'D7 - NDB Impacted SPRF''s'!$E$16:$O$9929,4,FALSE)</f>
        <v>Cancelled</v>
      </c>
      <c r="AC2697" s="380" t="str">
        <f>VLOOKUP($B2697,'D7 - NDB Impacted SPRF''s'!$E$16:$O$9929,3,FALSE)</f>
        <v>UnitedHealthcare Employer &amp; Individual</v>
      </c>
      <c r="AD2697" s="380" t="str">
        <f>VLOOKUP($B2697,'D7 - NDB Impacted SPRF''s'!$E$16:$O$9929,5,FALSE)</f>
        <v>Harvard Pilgrim Service Alliance</v>
      </c>
      <c r="AE2697" s="380" t="str">
        <f>VLOOKUP($B2697,'D7 - NDB Impacted SPRF''s'!$E$16:$O$9929,7,FALSE)</f>
        <v>Freiheit, Kathy</v>
      </c>
      <c r="AF2697" s="380" t="str">
        <f>VLOOKUP($B2697,'D7 - NDB Impacted SPRF''s'!$E$16:$O$9929,6,FALSE)</f>
        <v>LUND ROSS</v>
      </c>
      <c r="AG2697" s="282"/>
      <c r="AH2697" s="311" t="e">
        <f>INDEX('D5 - Gatekeeper - Projects'!$A$4:$AF$1010,$AM2697, 17)</f>
        <v>#N/A</v>
      </c>
      <c r="AI2697" s="8"/>
      <c r="AJ2697" s="57"/>
      <c r="AK2697" s="105"/>
      <c r="AM2697" s="6" t="e">
        <f>MATCH(D2697,'D5 - Gatekeeper - Projects'!$C$4:$C$1010,0)</f>
        <v>#N/A</v>
      </c>
      <c r="AN2697" s="6" t="b">
        <f t="shared" si="275"/>
        <v>1</v>
      </c>
      <c r="AO2697" s="6" t="str">
        <f t="shared" si="276"/>
        <v>OK</v>
      </c>
      <c r="AQ2697" s="6" t="e">
        <f>MATCH($D2697,'D4 - Provider Council Unsched'!$C$11:$C$234,0)</f>
        <v>#N/A</v>
      </c>
      <c r="AR2697" s="6" t="b">
        <f t="shared" si="277"/>
        <v>1</v>
      </c>
      <c r="AS2697" s="6" t="str">
        <f t="shared" si="279"/>
        <v>OK</v>
      </c>
      <c r="AU2697" s="202"/>
      <c r="AV2697" s="262"/>
      <c r="AW2697" s="274"/>
    </row>
    <row r="2698" spans="1:49" s="13" customFormat="1" ht="33.75" x14ac:dyDescent="0.2">
      <c r="A2698" s="14">
        <v>2674</v>
      </c>
      <c r="B2698" s="14">
        <v>400016698</v>
      </c>
      <c r="C2698" s="8" t="s">
        <v>5197</v>
      </c>
      <c r="D2698" s="4" t="str">
        <f t="shared" si="278"/>
        <v>400016698R1</v>
      </c>
      <c r="E2698" s="309" t="str">
        <f>VLOOKUP($B2698,'D7 - NDB Impacted SPRF''s'!$E$6:$O$9929,2,FALSE)</f>
        <v>NPI Details Report move to new server</v>
      </c>
      <c r="F2698" s="8" t="s">
        <v>1059</v>
      </c>
      <c r="G2698" s="8" t="s">
        <v>4758</v>
      </c>
      <c r="H2698" s="8" t="s">
        <v>2870</v>
      </c>
      <c r="I2698" s="20"/>
      <c r="J2698" s="8"/>
      <c r="K2698" s="182"/>
      <c r="L2698" s="8" t="s">
        <v>4156</v>
      </c>
      <c r="M2698" s="8" t="s">
        <v>2814</v>
      </c>
      <c r="N2698" s="38" t="s">
        <v>2452</v>
      </c>
      <c r="O2698" s="8"/>
      <c r="P2698" s="4" t="str">
        <f>VLOOKUP($B2698,'D7 - NDB Impacted SPRF''s'!$E$16:$O$9929,9,FALSE)</f>
        <v>N</v>
      </c>
      <c r="Q2698" s="4" t="str">
        <f>VLOOKUP($B2698,'D7 - NDB Impacted SPRF''s'!$E$16:$O$9929,10,FALSE)</f>
        <v>N</v>
      </c>
      <c r="R2698" s="4" t="str">
        <f>VLOOKUP($B2698,'D7 - NDB Impacted SPRF''s'!$E$16:$O$9929,11,FALSE)</f>
        <v>N</v>
      </c>
      <c r="S2698" s="8"/>
      <c r="T2698" s="310"/>
      <c r="U2698" s="310"/>
      <c r="V2698" s="4"/>
      <c r="W2698" s="4"/>
      <c r="X2698" s="4"/>
      <c r="Y2698" s="4"/>
      <c r="Z2698" s="4"/>
      <c r="AA2698" s="4"/>
      <c r="AB2698" s="380" t="str">
        <f>VLOOKUP($B2698,'D7 - NDB Impacted SPRF''s'!$E$16:$O$9929,4,FALSE)</f>
        <v>Cancelled</v>
      </c>
      <c r="AC2698" s="380" t="str">
        <f>VLOOKUP($B2698,'D7 - NDB Impacted SPRF''s'!$E$16:$O$9929,3,FALSE)</f>
        <v>UnitedHealthcare Employer &amp; Individual</v>
      </c>
      <c r="AD2698" s="380" t="str">
        <f>VLOOKUP($B2698,'D7 - NDB Impacted SPRF''s'!$E$16:$O$9929,5,FALSE)</f>
        <v>Regulatory / Other</v>
      </c>
      <c r="AE2698" s="380" t="str">
        <f>VLOOKUP($B2698,'D7 - NDB Impacted SPRF''s'!$E$16:$O$9929,7,FALSE)</f>
        <v>Tim Kaja</v>
      </c>
      <c r="AF2698" s="380" t="str">
        <f>VLOOKUP($B2698,'D7 - NDB Impacted SPRF''s'!$E$16:$O$9929,6,FALSE)</f>
        <v>NICHOLE HEIDEN</v>
      </c>
      <c r="AG2698" s="282"/>
      <c r="AH2698" s="311" t="e">
        <f>INDEX('D5 - Gatekeeper - Projects'!$A$4:$AF$1010,$AM2698, 17)</f>
        <v>#N/A</v>
      </c>
      <c r="AI2698" s="8"/>
      <c r="AJ2698" s="57"/>
      <c r="AK2698" s="105"/>
      <c r="AM2698" s="6" t="e">
        <f>MATCH(D2698,'D5 - Gatekeeper - Projects'!$C$4:$C$1010,0)</f>
        <v>#N/A</v>
      </c>
      <c r="AN2698" s="6" t="b">
        <f t="shared" ref="AN2698:AN2761" si="280">ISERROR(AM2698)</f>
        <v>1</v>
      </c>
      <c r="AO2698" s="6" t="str">
        <f t="shared" ref="AO2698:AO2761" si="281">IF(AND(H2698="1 - Scheduled",AN2698=TRUE),"Add","OK")</f>
        <v>OK</v>
      </c>
      <c r="AQ2698" s="6" t="e">
        <f>MATCH($D2698,'D4 - Provider Council Unsched'!$C$11:$C$234,0)</f>
        <v>#N/A</v>
      </c>
      <c r="AR2698" s="6" t="b">
        <f t="shared" ref="AR2698:AR2761" si="282">ISERROR(AQ2698)</f>
        <v>1</v>
      </c>
      <c r="AS2698" s="6" t="str">
        <f t="shared" si="279"/>
        <v>OK</v>
      </c>
      <c r="AU2698" s="202"/>
      <c r="AV2698" s="262"/>
      <c r="AW2698" s="274"/>
    </row>
    <row r="2699" spans="1:49" s="13" customFormat="1" x14ac:dyDescent="0.2">
      <c r="A2699" s="14">
        <v>2675</v>
      </c>
      <c r="B2699" s="14">
        <v>400016727</v>
      </c>
      <c r="C2699" s="8" t="s">
        <v>5197</v>
      </c>
      <c r="D2699" s="4" t="str">
        <f t="shared" si="278"/>
        <v>400016727R1</v>
      </c>
      <c r="E2699" s="309" t="str">
        <f>VLOOKUP($B2699,'D7 - NDB Impacted SPRF''s'!$E$6:$O$9929,2,FALSE)</f>
        <v>Discount Files to DM NDB</v>
      </c>
      <c r="F2699" s="8" t="s">
        <v>2114</v>
      </c>
      <c r="G2699" s="8" t="s">
        <v>4758</v>
      </c>
      <c r="H2699" s="8" t="s">
        <v>2870</v>
      </c>
      <c r="I2699" s="20"/>
      <c r="J2699" s="8"/>
      <c r="K2699" s="182"/>
      <c r="L2699" s="8" t="s">
        <v>4156</v>
      </c>
      <c r="M2699" s="8" t="s">
        <v>6007</v>
      </c>
      <c r="N2699" s="38" t="s">
        <v>4653</v>
      </c>
      <c r="O2699" s="8"/>
      <c r="P2699" s="4" t="str">
        <f>VLOOKUP($B2699,'D7 - NDB Impacted SPRF''s'!$E$16:$O$9929,9,FALSE)</f>
        <v>N</v>
      </c>
      <c r="Q2699" s="4" t="str">
        <f>VLOOKUP($B2699,'D7 - NDB Impacted SPRF''s'!$E$16:$O$9929,10,FALSE)</f>
        <v>N</v>
      </c>
      <c r="R2699" s="4" t="str">
        <f>VLOOKUP($B2699,'D7 - NDB Impacted SPRF''s'!$E$16:$O$9929,11,FALSE)</f>
        <v>N</v>
      </c>
      <c r="S2699" s="8"/>
      <c r="T2699" s="310"/>
      <c r="U2699" s="310"/>
      <c r="V2699" s="4"/>
      <c r="W2699" s="4"/>
      <c r="X2699" s="4"/>
      <c r="Y2699" s="4"/>
      <c r="Z2699" s="4"/>
      <c r="AA2699" s="4"/>
      <c r="AB2699" s="380" t="str">
        <f>VLOOKUP($B2699,'D7 - NDB Impacted SPRF''s'!$E$16:$O$9929,4,FALSE)</f>
        <v>Cancelled</v>
      </c>
      <c r="AC2699" s="380" t="str">
        <f>VLOOKUP($B2699,'D7 - NDB Impacted SPRF''s'!$E$16:$O$9929,3,FALSE)</f>
        <v>Uniprise</v>
      </c>
      <c r="AD2699" s="380" t="str">
        <f>VLOOKUP($B2699,'D7 - NDB Impacted SPRF''s'!$E$16:$O$9929,5,FALSE)</f>
        <v>Uniprise Operations - DDC</v>
      </c>
      <c r="AE2699" s="380" t="str">
        <f>VLOOKUP($B2699,'D7 - NDB Impacted SPRF''s'!$E$16:$O$9929,7,FALSE)</f>
        <v>Patricia Fitzgerald</v>
      </c>
      <c r="AF2699" s="380" t="str">
        <f>VLOOKUP($B2699,'D7 - NDB Impacted SPRF''s'!$E$16:$O$9929,6,FALSE)</f>
        <v>Aiello Gina</v>
      </c>
      <c r="AG2699" s="282"/>
      <c r="AH2699" s="311" t="e">
        <f>INDEX('D5 - Gatekeeper - Projects'!$A$4:$AF$1010,$AM2699, 17)</f>
        <v>#N/A</v>
      </c>
      <c r="AI2699" s="8"/>
      <c r="AJ2699" s="57"/>
      <c r="AK2699" s="105"/>
      <c r="AM2699" s="6" t="e">
        <f>MATCH(D2699,'D5 - Gatekeeper - Projects'!$C$4:$C$1010,0)</f>
        <v>#N/A</v>
      </c>
      <c r="AN2699" s="6" t="b">
        <f t="shared" si="280"/>
        <v>1</v>
      </c>
      <c r="AO2699" s="6" t="str">
        <f t="shared" si="281"/>
        <v>OK</v>
      </c>
      <c r="AQ2699" s="6" t="e">
        <f>MATCH($D2699,'D4 - Provider Council Unsched'!$C$11:$C$234,0)</f>
        <v>#N/A</v>
      </c>
      <c r="AR2699" s="6" t="b">
        <f t="shared" si="282"/>
        <v>1</v>
      </c>
      <c r="AS2699" s="6" t="str">
        <f t="shared" si="279"/>
        <v>OK</v>
      </c>
      <c r="AU2699" s="202"/>
      <c r="AV2699" s="262"/>
      <c r="AW2699" s="274"/>
    </row>
    <row r="2700" spans="1:49" s="13" customFormat="1" ht="33.75" x14ac:dyDescent="0.2">
      <c r="A2700" s="14">
        <v>2676</v>
      </c>
      <c r="B2700" s="14">
        <v>400016886</v>
      </c>
      <c r="C2700" s="8" t="s">
        <v>5197</v>
      </c>
      <c r="D2700" s="4" t="str">
        <f t="shared" si="278"/>
        <v>400016886R1</v>
      </c>
      <c r="E2700" s="309" t="str">
        <f>VLOOKUP($B2700,'D7 - NDB Impacted SPRF''s'!$E$6:$O$9929,2,FALSE)</f>
        <v>ST/ET Modifier Recognition &amp; Processing</v>
      </c>
      <c r="F2700" s="8" t="s">
        <v>5752</v>
      </c>
      <c r="G2700" s="8" t="s">
        <v>4758</v>
      </c>
      <c r="H2700" s="8" t="s">
        <v>2870</v>
      </c>
      <c r="I2700" s="20">
        <v>1.46</v>
      </c>
      <c r="J2700" s="8" t="s">
        <v>4862</v>
      </c>
      <c r="K2700" s="182"/>
      <c r="L2700" s="8" t="s">
        <v>4156</v>
      </c>
      <c r="M2700" s="8" t="s">
        <v>2814</v>
      </c>
      <c r="N2700" s="38" t="s">
        <v>8012</v>
      </c>
      <c r="O2700" s="8"/>
      <c r="P2700" s="4" t="str">
        <f>VLOOKUP($B2700,'D7 - NDB Impacted SPRF''s'!$E$16:$O$9929,9,FALSE)</f>
        <v>Y</v>
      </c>
      <c r="Q2700" s="4" t="str">
        <f>VLOOKUP($B2700,'D7 - NDB Impacted SPRF''s'!$E$16:$O$9929,10,FALSE)</f>
        <v>N</v>
      </c>
      <c r="R2700" s="4" t="str">
        <f>VLOOKUP($B2700,'D7 - NDB Impacted SPRF''s'!$E$16:$O$9929,11,FALSE)</f>
        <v>N</v>
      </c>
      <c r="S2700" s="8"/>
      <c r="T2700" s="310"/>
      <c r="U2700" s="310"/>
      <c r="V2700" s="4"/>
      <c r="W2700" s="4"/>
      <c r="X2700" s="4"/>
      <c r="Y2700" s="4"/>
      <c r="Z2700" s="4"/>
      <c r="AA2700" s="4"/>
      <c r="AB2700" s="380" t="str">
        <f>VLOOKUP($B2700,'D7 - NDB Impacted SPRF''s'!$E$16:$O$9929,4,FALSE)</f>
        <v>Cancelled</v>
      </c>
      <c r="AC2700" s="380" t="str">
        <f>VLOOKUP($B2700,'D7 - NDB Impacted SPRF''s'!$E$16:$O$9929,3,FALSE)</f>
        <v>UnitedHealthcare Employer &amp; Individual</v>
      </c>
      <c r="AD2700" s="380" t="str">
        <f>VLOOKUP($B2700,'D7 - NDB Impacted SPRF''s'!$E$16:$O$9929,5,FALSE)</f>
        <v>Integration Requirements</v>
      </c>
      <c r="AE2700" s="380" t="str">
        <f>VLOOKUP($B2700,'D7 - NDB Impacted SPRF''s'!$E$16:$O$9929,7,FALSE)</f>
        <v>Diane Schofield</v>
      </c>
      <c r="AF2700" s="380" t="str">
        <f>VLOOKUP($B2700,'D7 - NDB Impacted SPRF''s'!$E$16:$O$9929,6,FALSE)</f>
        <v>SUSAN TONKIN</v>
      </c>
      <c r="AG2700" s="282"/>
      <c r="AH2700" s="311" t="e">
        <f>INDEX('D5 - Gatekeeper - Projects'!$A$4:$AF$1010,$AM2700, 17)</f>
        <v>#N/A</v>
      </c>
      <c r="AI2700" s="8"/>
      <c r="AJ2700" s="57"/>
      <c r="AK2700" s="105"/>
      <c r="AM2700" s="6" t="e">
        <f>MATCH(D2700,'D5 - Gatekeeper - Projects'!$C$4:$C$1010,0)</f>
        <v>#N/A</v>
      </c>
      <c r="AN2700" s="6" t="b">
        <f t="shared" si="280"/>
        <v>1</v>
      </c>
      <c r="AO2700" s="6" t="str">
        <f t="shared" si="281"/>
        <v>OK</v>
      </c>
      <c r="AQ2700" s="6" t="e">
        <f>MATCH($D2700,'D4 - Provider Council Unsched'!$C$11:$C$234,0)</f>
        <v>#N/A</v>
      </c>
      <c r="AR2700" s="6" t="b">
        <f t="shared" si="282"/>
        <v>1</v>
      </c>
      <c r="AS2700" s="6" t="str">
        <f t="shared" si="279"/>
        <v>OK</v>
      </c>
      <c r="AU2700" s="202"/>
      <c r="AV2700" s="262"/>
      <c r="AW2700" s="274"/>
    </row>
    <row r="2701" spans="1:49" s="13" customFormat="1" ht="22.5" x14ac:dyDescent="0.2">
      <c r="A2701" s="14">
        <v>2677</v>
      </c>
      <c r="B2701" s="14">
        <v>400016889</v>
      </c>
      <c r="C2701" s="8" t="s">
        <v>5197</v>
      </c>
      <c r="D2701" s="4" t="str">
        <f t="shared" si="278"/>
        <v>400016889R1</v>
      </c>
      <c r="E2701" s="309" t="str">
        <f>VLOOKUP($B2701,'D7 - NDB Impacted SPRF''s'!$E$6:$O$9929,2,FALSE)</f>
        <v>CICS 3.1 Upgrade</v>
      </c>
      <c r="F2701" s="8" t="s">
        <v>2114</v>
      </c>
      <c r="G2701" s="8" t="s">
        <v>4758</v>
      </c>
      <c r="H2701" s="8" t="s">
        <v>2870</v>
      </c>
      <c r="I2701" s="20"/>
      <c r="J2701" s="8"/>
      <c r="K2701" s="182"/>
      <c r="L2701" s="8" t="s">
        <v>4156</v>
      </c>
      <c r="M2701" s="8" t="s">
        <v>2814</v>
      </c>
      <c r="N2701" s="38"/>
      <c r="O2701" s="8"/>
      <c r="P2701" s="4" t="str">
        <f>VLOOKUP($B2701,'D7 - NDB Impacted SPRF''s'!$E$16:$O$9929,9,FALSE)</f>
        <v>Y</v>
      </c>
      <c r="Q2701" s="4" t="str">
        <f>VLOOKUP($B2701,'D7 - NDB Impacted SPRF''s'!$E$16:$O$9929,10,FALSE)</f>
        <v>N</v>
      </c>
      <c r="R2701" s="4" t="str">
        <f>VLOOKUP($B2701,'D7 - NDB Impacted SPRF''s'!$E$16:$O$9929,11,FALSE)</f>
        <v>N</v>
      </c>
      <c r="S2701" s="8"/>
      <c r="T2701" s="310"/>
      <c r="U2701" s="310"/>
      <c r="V2701" s="4"/>
      <c r="W2701" s="4"/>
      <c r="X2701" s="4"/>
      <c r="Y2701" s="4"/>
      <c r="Z2701" s="4"/>
      <c r="AA2701" s="4"/>
      <c r="AB2701" s="380" t="str">
        <f>VLOOKUP($B2701,'D7 - NDB Impacted SPRF''s'!$E$16:$O$9929,4,FALSE)</f>
        <v>Cancelled</v>
      </c>
      <c r="AC2701" s="380" t="str">
        <f>VLOOKUP($B2701,'D7 - NDB Impacted SPRF''s'!$E$16:$O$9929,3,FALSE)</f>
        <v>Uniprise</v>
      </c>
      <c r="AD2701" s="380" t="str">
        <f>VLOOKUP($B2701,'D7 - NDB Impacted SPRF''s'!$E$16:$O$9929,5,FALSE)</f>
        <v>Uniprise Technologies - DDC</v>
      </c>
      <c r="AE2701" s="380" t="str">
        <f>VLOOKUP($B2701,'D7 - NDB Impacted SPRF''s'!$E$16:$O$9929,7,FALSE)</f>
        <v>John Doddy</v>
      </c>
      <c r="AF2701" s="380" t="str">
        <f>VLOOKUP($B2701,'D7 - NDB Impacted SPRF''s'!$E$16:$O$9929,6,FALSE)</f>
        <v>CARL SWEENEY</v>
      </c>
      <c r="AG2701" s="282"/>
      <c r="AH2701" s="311" t="e">
        <f>INDEX('D5 - Gatekeeper - Projects'!$A$4:$AF$1010,$AM2701, 17)</f>
        <v>#N/A</v>
      </c>
      <c r="AI2701" s="8"/>
      <c r="AJ2701" s="57"/>
      <c r="AK2701" s="105"/>
      <c r="AM2701" s="6" t="e">
        <f>MATCH(D2701,'D5 - Gatekeeper - Projects'!$C$4:$C$1010,0)</f>
        <v>#N/A</v>
      </c>
      <c r="AN2701" s="6" t="b">
        <f t="shared" si="280"/>
        <v>1</v>
      </c>
      <c r="AO2701" s="6" t="str">
        <f t="shared" si="281"/>
        <v>OK</v>
      </c>
      <c r="AQ2701" s="6" t="e">
        <f>MATCH($D2701,'D4 - Provider Council Unsched'!$C$11:$C$234,0)</f>
        <v>#N/A</v>
      </c>
      <c r="AR2701" s="6" t="b">
        <f t="shared" si="282"/>
        <v>1</v>
      </c>
      <c r="AS2701" s="6" t="str">
        <f t="shared" si="279"/>
        <v>OK</v>
      </c>
      <c r="AU2701" s="202"/>
      <c r="AV2701" s="262"/>
      <c r="AW2701" s="274"/>
    </row>
    <row r="2702" spans="1:49" s="13" customFormat="1" ht="33.75" x14ac:dyDescent="0.2">
      <c r="A2702" s="14">
        <v>2678</v>
      </c>
      <c r="B2702" s="14">
        <v>400016986</v>
      </c>
      <c r="C2702" s="8" t="s">
        <v>5197</v>
      </c>
      <c r="D2702" s="4" t="str">
        <f t="shared" si="278"/>
        <v>400016986R1</v>
      </c>
      <c r="E2702" s="309" t="e">
        <f>VLOOKUP($B2702,'D7 - NDB Impacted SPRF''s'!$E$6:$O$9929,2,FALSE)</f>
        <v>#N/A</v>
      </c>
      <c r="F2702" s="8" t="s">
        <v>5196</v>
      </c>
      <c r="G2702" s="8" t="s">
        <v>4758</v>
      </c>
      <c r="H2702" s="8" t="s">
        <v>2870</v>
      </c>
      <c r="I2702" s="20"/>
      <c r="J2702" s="8"/>
      <c r="K2702" s="182"/>
      <c r="L2702" s="8" t="s">
        <v>4156</v>
      </c>
      <c r="M2702" s="8" t="s">
        <v>2814</v>
      </c>
      <c r="N2702" s="38" t="s">
        <v>5249</v>
      </c>
      <c r="O2702" s="8"/>
      <c r="P2702" s="4" t="e">
        <f>VLOOKUP($B2702,'D7 - NDB Impacted SPRF''s'!$E$16:$O$9929,9,FALSE)</f>
        <v>#N/A</v>
      </c>
      <c r="Q2702" s="4" t="e">
        <f>VLOOKUP($B2702,'D7 - NDB Impacted SPRF''s'!$E$16:$O$9929,10,FALSE)</f>
        <v>#N/A</v>
      </c>
      <c r="R2702" s="4" t="e">
        <f>VLOOKUP($B2702,'D7 - NDB Impacted SPRF''s'!$E$16:$O$9929,11,FALSE)</f>
        <v>#N/A</v>
      </c>
      <c r="S2702" s="8"/>
      <c r="T2702" s="310"/>
      <c r="U2702" s="310"/>
      <c r="V2702" s="4"/>
      <c r="W2702" s="4"/>
      <c r="X2702" s="4"/>
      <c r="Y2702" s="4"/>
      <c r="Z2702" s="4"/>
      <c r="AA2702" s="4"/>
      <c r="AB2702" s="380" t="e">
        <f>VLOOKUP($B2702,'D7 - NDB Impacted SPRF''s'!$E$16:$O$9929,4,FALSE)</f>
        <v>#N/A</v>
      </c>
      <c r="AC2702" s="380" t="e">
        <f>VLOOKUP($B2702,'D7 - NDB Impacted SPRF''s'!$E$16:$O$9929,3,FALSE)</f>
        <v>#N/A</v>
      </c>
      <c r="AD2702" s="380" t="e">
        <f>VLOOKUP($B2702,'D7 - NDB Impacted SPRF''s'!$E$16:$O$9929,5,FALSE)</f>
        <v>#N/A</v>
      </c>
      <c r="AE2702" s="380" t="e">
        <f>VLOOKUP($B2702,'D7 - NDB Impacted SPRF''s'!$E$16:$O$9929,7,FALSE)</f>
        <v>#N/A</v>
      </c>
      <c r="AF2702" s="380" t="e">
        <f>VLOOKUP($B2702,'D7 - NDB Impacted SPRF''s'!$E$16:$O$9929,6,FALSE)</f>
        <v>#N/A</v>
      </c>
      <c r="AG2702" s="282"/>
      <c r="AH2702" s="311" t="e">
        <f>INDEX('D5 - Gatekeeper - Projects'!$A$4:$AF$1010,$AM2702, 17)</f>
        <v>#N/A</v>
      </c>
      <c r="AI2702" s="8"/>
      <c r="AJ2702" s="57"/>
      <c r="AK2702" s="105"/>
      <c r="AM2702" s="6" t="e">
        <f>MATCH(D2702,'D5 - Gatekeeper - Projects'!$C$4:$C$1010,0)</f>
        <v>#N/A</v>
      </c>
      <c r="AN2702" s="6" t="b">
        <f t="shared" si="280"/>
        <v>1</v>
      </c>
      <c r="AO2702" s="6" t="str">
        <f t="shared" si="281"/>
        <v>OK</v>
      </c>
      <c r="AQ2702" s="6" t="e">
        <f>MATCH($D2702,'D4 - Provider Council Unsched'!$C$11:$C$234,0)</f>
        <v>#N/A</v>
      </c>
      <c r="AR2702" s="6" t="b">
        <f t="shared" si="282"/>
        <v>1</v>
      </c>
      <c r="AS2702" s="6" t="str">
        <f t="shared" si="279"/>
        <v>OK</v>
      </c>
      <c r="AU2702" s="202"/>
      <c r="AV2702" s="262"/>
      <c r="AW2702" s="274"/>
    </row>
    <row r="2703" spans="1:49" s="13" customFormat="1" ht="33.75" x14ac:dyDescent="0.2">
      <c r="A2703" s="14">
        <v>2679</v>
      </c>
      <c r="B2703" s="14">
        <v>400017099</v>
      </c>
      <c r="C2703" s="8" t="s">
        <v>5197</v>
      </c>
      <c r="D2703" s="4" t="str">
        <f t="shared" si="278"/>
        <v>400017099R1</v>
      </c>
      <c r="E2703" s="309" t="str">
        <f>VLOOKUP($B2703,'D7 - NDB Impacted SPRF''s'!$E$6:$O$9929,2,FALSE)</f>
        <v>United StudentResources Standard EPDE</v>
      </c>
      <c r="F2703" s="8" t="s">
        <v>4304</v>
      </c>
      <c r="G2703" s="8" t="s">
        <v>4758</v>
      </c>
      <c r="H2703" s="8" t="s">
        <v>2870</v>
      </c>
      <c r="I2703" s="20">
        <v>1.07</v>
      </c>
      <c r="J2703" s="8" t="s">
        <v>4862</v>
      </c>
      <c r="K2703" s="182"/>
      <c r="L2703" s="8" t="s">
        <v>4156</v>
      </c>
      <c r="M2703" s="8" t="s">
        <v>2814</v>
      </c>
      <c r="N2703" s="38"/>
      <c r="O2703" s="8"/>
      <c r="P2703" s="4" t="str">
        <f>VLOOKUP($B2703,'D7 - NDB Impacted SPRF''s'!$E$16:$O$9929,9,FALSE)</f>
        <v>N</v>
      </c>
      <c r="Q2703" s="4" t="str">
        <f>VLOOKUP($B2703,'D7 - NDB Impacted SPRF''s'!$E$16:$O$9929,10,FALSE)</f>
        <v>N</v>
      </c>
      <c r="R2703" s="4" t="str">
        <f>VLOOKUP($B2703,'D7 - NDB Impacted SPRF''s'!$E$16:$O$9929,11,FALSE)</f>
        <v>N</v>
      </c>
      <c r="S2703" s="8"/>
      <c r="T2703" s="310"/>
      <c r="U2703" s="310"/>
      <c r="V2703" s="4"/>
      <c r="W2703" s="4"/>
      <c r="X2703" s="4"/>
      <c r="Y2703" s="4"/>
      <c r="Z2703" s="4"/>
      <c r="AA2703" s="4"/>
      <c r="AB2703" s="380" t="str">
        <f>VLOOKUP($B2703,'D7 - NDB Impacted SPRF''s'!$E$16:$O$9929,4,FALSE)</f>
        <v>Cancelled</v>
      </c>
      <c r="AC2703" s="380" t="str">
        <f>VLOOKUP($B2703,'D7 - NDB Impacted SPRF''s'!$E$16:$O$9929,3,FALSE)</f>
        <v>UnitedHealthcare Employer &amp; Individual</v>
      </c>
      <c r="AD2703" s="380" t="str">
        <f>VLOOKUP($B2703,'D7 - NDB Impacted SPRF''s'!$E$16:$O$9929,5,FALSE)</f>
        <v>Integration Requirements</v>
      </c>
      <c r="AE2703" s="380" t="str">
        <f>VLOOKUP($B2703,'D7 - NDB Impacted SPRF''s'!$E$16:$O$9929,7,FALSE)</f>
        <v>Shannon Nelson</v>
      </c>
      <c r="AF2703" s="380" t="str">
        <f>VLOOKUP($B2703,'D7 - NDB Impacted SPRF''s'!$E$16:$O$9929,6,FALSE)</f>
        <v>MARCIA MONACO</v>
      </c>
      <c r="AG2703" s="282"/>
      <c r="AH2703" s="311" t="e">
        <f>INDEX('D5 - Gatekeeper - Projects'!$A$4:$AF$1010,$AM2703, 17)</f>
        <v>#N/A</v>
      </c>
      <c r="AI2703" s="8"/>
      <c r="AJ2703" s="57"/>
      <c r="AK2703" s="105"/>
      <c r="AM2703" s="6" t="e">
        <f>MATCH(D2703,'D5 - Gatekeeper - Projects'!$C$4:$C$1010,0)</f>
        <v>#N/A</v>
      </c>
      <c r="AN2703" s="6" t="b">
        <f t="shared" si="280"/>
        <v>1</v>
      </c>
      <c r="AO2703" s="6" t="str">
        <f t="shared" si="281"/>
        <v>OK</v>
      </c>
      <c r="AQ2703" s="6" t="e">
        <f>MATCH($D2703,'D4 - Provider Council Unsched'!$C$11:$C$234,0)</f>
        <v>#N/A</v>
      </c>
      <c r="AR2703" s="6" t="b">
        <f t="shared" si="282"/>
        <v>1</v>
      </c>
      <c r="AS2703" s="6" t="str">
        <f t="shared" si="279"/>
        <v>OK</v>
      </c>
      <c r="AU2703" s="202"/>
      <c r="AV2703" s="262"/>
      <c r="AW2703" s="274"/>
    </row>
    <row r="2704" spans="1:49" s="13" customFormat="1" ht="33.75" x14ac:dyDescent="0.2">
      <c r="A2704" s="14">
        <v>2680</v>
      </c>
      <c r="B2704" s="14">
        <v>400017207</v>
      </c>
      <c r="C2704" s="8" t="s">
        <v>5197</v>
      </c>
      <c r="D2704" s="4" t="str">
        <f t="shared" si="278"/>
        <v>400017207R1</v>
      </c>
      <c r="E2704" s="309" t="str">
        <f>VLOOKUP($B2704,'D7 - NDB Impacted SPRF''s'!$E$6:$O$9929,2,FALSE)</f>
        <v>ECap - Integrate MAHP capitation needs into ECap</v>
      </c>
      <c r="F2704" s="8" t="s">
        <v>7593</v>
      </c>
      <c r="G2704" s="8" t="s">
        <v>4758</v>
      </c>
      <c r="H2704" s="8" t="s">
        <v>2870</v>
      </c>
      <c r="I2704" s="20"/>
      <c r="J2704" s="8"/>
      <c r="K2704" s="182"/>
      <c r="L2704" s="8" t="s">
        <v>4156</v>
      </c>
      <c r="M2704" s="8" t="s">
        <v>2814</v>
      </c>
      <c r="N2704" s="38"/>
      <c r="O2704" s="8"/>
      <c r="P2704" s="4" t="str">
        <f>VLOOKUP($B2704,'D7 - NDB Impacted SPRF''s'!$E$16:$O$9929,9,FALSE)</f>
        <v>N</v>
      </c>
      <c r="Q2704" s="4" t="str">
        <f>VLOOKUP($B2704,'D7 - NDB Impacted SPRF''s'!$E$16:$O$9929,10,FALSE)</f>
        <v>N</v>
      </c>
      <c r="R2704" s="4" t="str">
        <f>VLOOKUP($B2704,'D7 - NDB Impacted SPRF''s'!$E$16:$O$9929,11,FALSE)</f>
        <v>N</v>
      </c>
      <c r="S2704" s="8"/>
      <c r="T2704" s="310"/>
      <c r="U2704" s="310"/>
      <c r="V2704" s="4"/>
      <c r="W2704" s="4"/>
      <c r="X2704" s="4"/>
      <c r="Y2704" s="4"/>
      <c r="Z2704" s="4"/>
      <c r="AA2704" s="4"/>
      <c r="AB2704" s="380" t="str">
        <f>VLOOKUP($B2704,'D7 - NDB Impacted SPRF''s'!$E$16:$O$9929,4,FALSE)</f>
        <v>Cancelled</v>
      </c>
      <c r="AC2704" s="380" t="str">
        <f>VLOOKUP($B2704,'D7 - NDB Impacted SPRF''s'!$E$16:$O$9929,3,FALSE)</f>
        <v>UnitedHealthcare Employer &amp; Individual</v>
      </c>
      <c r="AD2704" s="380" t="str">
        <f>VLOOKUP($B2704,'D7 - NDB Impacted SPRF''s'!$E$16:$O$9929,5,FALSE)</f>
        <v>Integration Requirements</v>
      </c>
      <c r="AE2704" s="380" t="str">
        <f>VLOOKUP($B2704,'D7 - NDB Impacted SPRF''s'!$E$16:$O$9929,7,FALSE)</f>
        <v>Sue Berkel</v>
      </c>
      <c r="AF2704" s="380" t="str">
        <f>VLOOKUP($B2704,'D7 - NDB Impacted SPRF''s'!$E$16:$O$9929,6,FALSE)</f>
        <v>MELINDA BURWELL</v>
      </c>
      <c r="AG2704" s="282"/>
      <c r="AH2704" s="311" t="e">
        <f>INDEX('D5 - Gatekeeper - Projects'!$A$4:$AF$1010,$AM2704, 17)</f>
        <v>#N/A</v>
      </c>
      <c r="AI2704" s="8"/>
      <c r="AJ2704" s="57"/>
      <c r="AK2704" s="105"/>
      <c r="AM2704" s="6" t="e">
        <f>MATCH(D2704,'D5 - Gatekeeper - Projects'!$C$4:$C$1010,0)</f>
        <v>#N/A</v>
      </c>
      <c r="AN2704" s="6" t="b">
        <f t="shared" si="280"/>
        <v>1</v>
      </c>
      <c r="AO2704" s="6" t="str">
        <f t="shared" si="281"/>
        <v>OK</v>
      </c>
      <c r="AQ2704" s="6" t="e">
        <f>MATCH($D2704,'D4 - Provider Council Unsched'!$C$11:$C$234,0)</f>
        <v>#N/A</v>
      </c>
      <c r="AR2704" s="6" t="b">
        <f t="shared" si="282"/>
        <v>1</v>
      </c>
      <c r="AS2704" s="6" t="str">
        <f t="shared" si="279"/>
        <v>OK</v>
      </c>
      <c r="AU2704" s="202"/>
      <c r="AV2704" s="262"/>
      <c r="AW2704" s="274"/>
    </row>
    <row r="2705" spans="1:49" s="13" customFormat="1" ht="33.75" x14ac:dyDescent="0.2">
      <c r="A2705" s="14">
        <v>2681</v>
      </c>
      <c r="B2705" s="14">
        <v>400017210</v>
      </c>
      <c r="C2705" s="8" t="s">
        <v>5197</v>
      </c>
      <c r="D2705" s="4" t="str">
        <f t="shared" si="278"/>
        <v>400017210R1</v>
      </c>
      <c r="E2705" s="309" t="str">
        <f>VLOOKUP($B2705,'D7 - NDB Impacted SPRF''s'!$E$6:$O$9929,2,FALSE)</f>
        <v>WO - Set EPS Indicator to Y</v>
      </c>
      <c r="F2705" s="8" t="s">
        <v>5787</v>
      </c>
      <c r="G2705" s="8" t="s">
        <v>4758</v>
      </c>
      <c r="H2705" s="8" t="s">
        <v>2870</v>
      </c>
      <c r="I2705" s="20"/>
      <c r="J2705" s="8"/>
      <c r="K2705" s="182"/>
      <c r="L2705" s="8" t="s">
        <v>4156</v>
      </c>
      <c r="M2705" s="8" t="s">
        <v>6007</v>
      </c>
      <c r="N2705" s="38"/>
      <c r="O2705" s="8"/>
      <c r="P2705" s="4" t="str">
        <f>VLOOKUP($B2705,'D7 - NDB Impacted SPRF''s'!$E$16:$O$9929,9,FALSE)</f>
        <v>N</v>
      </c>
      <c r="Q2705" s="4" t="str">
        <f>VLOOKUP($B2705,'D7 - NDB Impacted SPRF''s'!$E$16:$O$9929,10,FALSE)</f>
        <v>N</v>
      </c>
      <c r="R2705" s="4" t="str">
        <f>VLOOKUP($B2705,'D7 - NDB Impacted SPRF''s'!$E$16:$O$9929,11,FALSE)</f>
        <v>N</v>
      </c>
      <c r="S2705" s="8"/>
      <c r="T2705" s="310"/>
      <c r="U2705" s="310"/>
      <c r="V2705" s="4"/>
      <c r="W2705" s="4"/>
      <c r="X2705" s="4"/>
      <c r="Y2705" s="4"/>
      <c r="Z2705" s="4"/>
      <c r="AA2705" s="4"/>
      <c r="AB2705" s="380" t="str">
        <f>VLOOKUP($B2705,'D7 - NDB Impacted SPRF''s'!$E$16:$O$9929,4,FALSE)</f>
        <v>Cancelled</v>
      </c>
      <c r="AC2705" s="380" t="str">
        <f>VLOOKUP($B2705,'D7 - NDB Impacted SPRF''s'!$E$16:$O$9929,3,FALSE)</f>
        <v>OptumHealth Financial Services</v>
      </c>
      <c r="AD2705" s="380" t="str">
        <f>VLOOKUP($B2705,'D7 - NDB Impacted SPRF''s'!$E$16:$O$9929,5,FALSE)</f>
        <v>OptumHealth Financial Services-DDC</v>
      </c>
      <c r="AE2705" s="380" t="str">
        <f>VLOOKUP($B2705,'D7 - NDB Impacted SPRF''s'!$E$16:$O$9929,7,FALSE)</f>
        <v>Mark Pontliana</v>
      </c>
      <c r="AF2705" s="380" t="str">
        <f>VLOOKUP($B2705,'D7 - NDB Impacted SPRF''s'!$E$16:$O$9929,6,FALSE)</f>
        <v>JEFFREY ZIEL</v>
      </c>
      <c r="AG2705" s="282"/>
      <c r="AH2705" s="311" t="e">
        <f>INDEX('D5 - Gatekeeper - Projects'!$A$4:$AF$1010,$AM2705, 17)</f>
        <v>#N/A</v>
      </c>
      <c r="AI2705" s="8"/>
      <c r="AJ2705" s="57"/>
      <c r="AK2705" s="105"/>
      <c r="AM2705" s="6" t="e">
        <f>MATCH(D2705,'D5 - Gatekeeper - Projects'!$C$4:$C$1010,0)</f>
        <v>#N/A</v>
      </c>
      <c r="AN2705" s="6" t="b">
        <f t="shared" si="280"/>
        <v>1</v>
      </c>
      <c r="AO2705" s="6" t="str">
        <f t="shared" si="281"/>
        <v>OK</v>
      </c>
      <c r="AQ2705" s="6" t="e">
        <f>MATCH($D2705,'D4 - Provider Council Unsched'!$C$11:$C$234,0)</f>
        <v>#N/A</v>
      </c>
      <c r="AR2705" s="6" t="b">
        <f t="shared" si="282"/>
        <v>1</v>
      </c>
      <c r="AS2705" s="6" t="str">
        <f t="shared" si="279"/>
        <v>OK</v>
      </c>
      <c r="AU2705" s="202"/>
      <c r="AV2705" s="262"/>
      <c r="AW2705" s="274"/>
    </row>
    <row r="2706" spans="1:49" s="13" customFormat="1" ht="33.75" x14ac:dyDescent="0.2">
      <c r="A2706" s="14">
        <v>2682</v>
      </c>
      <c r="B2706" s="14">
        <v>400017217</v>
      </c>
      <c r="C2706" s="8" t="s">
        <v>5197</v>
      </c>
      <c r="D2706" s="4" t="str">
        <f t="shared" si="278"/>
        <v>400017217R1</v>
      </c>
      <c r="E2706" s="309" t="str">
        <f>VLOOKUP($B2706,'D7 - NDB Impacted SPRF''s'!$E$6:$O$9929,2,FALSE)</f>
        <v>CLIA Processing Cycle Time</v>
      </c>
      <c r="F2706" s="8" t="s">
        <v>2114</v>
      </c>
      <c r="G2706" s="8" t="s">
        <v>4758</v>
      </c>
      <c r="H2706" s="8" t="s">
        <v>2870</v>
      </c>
      <c r="I2706" s="20">
        <f>1112/160</f>
        <v>6.95</v>
      </c>
      <c r="J2706" s="8" t="s">
        <v>4862</v>
      </c>
      <c r="K2706" s="182"/>
      <c r="L2706" s="8" t="s">
        <v>4156</v>
      </c>
      <c r="M2706" s="8" t="s">
        <v>2814</v>
      </c>
      <c r="N2706" s="38" t="s">
        <v>1948</v>
      </c>
      <c r="O2706" s="8"/>
      <c r="P2706" s="4" t="str">
        <f>VLOOKUP($B2706,'D7 - NDB Impacted SPRF''s'!$E$16:$O$9929,9,FALSE)</f>
        <v>N</v>
      </c>
      <c r="Q2706" s="4" t="str">
        <f>VLOOKUP($B2706,'D7 - NDB Impacted SPRF''s'!$E$16:$O$9929,10,FALSE)</f>
        <v>N</v>
      </c>
      <c r="R2706" s="4" t="str">
        <f>VLOOKUP($B2706,'D7 - NDB Impacted SPRF''s'!$E$16:$O$9929,11,FALSE)</f>
        <v>N</v>
      </c>
      <c r="S2706" s="8"/>
      <c r="T2706" s="310"/>
      <c r="U2706" s="310"/>
      <c r="V2706" s="4"/>
      <c r="W2706" s="4"/>
      <c r="X2706" s="4"/>
      <c r="Y2706" s="4"/>
      <c r="Z2706" s="4"/>
      <c r="AA2706" s="4"/>
      <c r="AB2706" s="380" t="str">
        <f>VLOOKUP($B2706,'D7 - NDB Impacted SPRF''s'!$E$16:$O$9929,4,FALSE)</f>
        <v>Cancelled</v>
      </c>
      <c r="AC2706" s="380" t="str">
        <f>VLOOKUP($B2706,'D7 - NDB Impacted SPRF''s'!$E$16:$O$9929,3,FALSE)</f>
        <v>UnitedHealthcare Employer &amp; Individual</v>
      </c>
      <c r="AD2706" s="380" t="str">
        <f>VLOOKUP($B2706,'D7 - NDB Impacted SPRF''s'!$E$16:$O$9929,5,FALSE)</f>
        <v>Medical Cost Savings Programs</v>
      </c>
      <c r="AE2706" s="380" t="str">
        <f>VLOOKUP($B2706,'D7 - NDB Impacted SPRF''s'!$E$16:$O$9929,7,FALSE)</f>
        <v>John Kohner</v>
      </c>
      <c r="AF2706" s="380" t="str">
        <f>VLOOKUP($B2706,'D7 - NDB Impacted SPRF''s'!$E$16:$O$9929,6,FALSE)</f>
        <v>LISA DOSCH</v>
      </c>
      <c r="AG2706" s="282"/>
      <c r="AH2706" s="311" t="e">
        <f>INDEX('D5 - Gatekeeper - Projects'!$A$4:$AF$1010,$AM2706, 17)</f>
        <v>#N/A</v>
      </c>
      <c r="AI2706" s="8"/>
      <c r="AJ2706" s="57"/>
      <c r="AK2706" s="105"/>
      <c r="AM2706" s="6" t="e">
        <f>MATCH(D2706,'D5 - Gatekeeper - Projects'!$C$4:$C$1010,0)</f>
        <v>#N/A</v>
      </c>
      <c r="AN2706" s="6" t="b">
        <f t="shared" si="280"/>
        <v>1</v>
      </c>
      <c r="AO2706" s="6" t="str">
        <f t="shared" si="281"/>
        <v>OK</v>
      </c>
      <c r="AQ2706" s="6" t="e">
        <f>MATCH($D2706,'D4 - Provider Council Unsched'!$C$11:$C$234,0)</f>
        <v>#N/A</v>
      </c>
      <c r="AR2706" s="6" t="b">
        <f t="shared" si="282"/>
        <v>1</v>
      </c>
      <c r="AS2706" s="6" t="str">
        <f t="shared" si="279"/>
        <v>OK</v>
      </c>
      <c r="AU2706" s="202"/>
      <c r="AV2706" s="262"/>
      <c r="AW2706" s="274"/>
    </row>
    <row r="2707" spans="1:49" s="13" customFormat="1" ht="22.5" x14ac:dyDescent="0.2">
      <c r="A2707" s="14">
        <v>2683</v>
      </c>
      <c r="B2707" s="14">
        <v>400017223</v>
      </c>
      <c r="C2707" s="8" t="s">
        <v>5197</v>
      </c>
      <c r="D2707" s="4" t="str">
        <f t="shared" si="278"/>
        <v>400017223R1</v>
      </c>
      <c r="E2707" s="309" t="str">
        <f>VLOOKUP($B2707,'D7 - NDB Impacted SPRF''s'!$E$6:$O$9929,2,FALSE)</f>
        <v>HPHC - Ongoing Ops Improvements - PMO Support</v>
      </c>
      <c r="F2707" s="8" t="s">
        <v>5196</v>
      </c>
      <c r="G2707" s="8" t="s">
        <v>4758</v>
      </c>
      <c r="H2707" s="8" t="s">
        <v>2870</v>
      </c>
      <c r="I2707" s="20"/>
      <c r="J2707" s="8"/>
      <c r="K2707" s="182"/>
      <c r="L2707" s="8" t="s">
        <v>4156</v>
      </c>
      <c r="M2707" s="8" t="s">
        <v>2814</v>
      </c>
      <c r="N2707" s="38"/>
      <c r="O2707" s="8"/>
      <c r="P2707" s="4" t="str">
        <f>VLOOKUP($B2707,'D7 - NDB Impacted SPRF''s'!$E$16:$O$9929,9,FALSE)</f>
        <v>Y</v>
      </c>
      <c r="Q2707" s="4" t="str">
        <f>VLOOKUP($B2707,'D7 - NDB Impacted SPRF''s'!$E$16:$O$9929,10,FALSE)</f>
        <v>N</v>
      </c>
      <c r="R2707" s="4" t="str">
        <f>VLOOKUP($B2707,'D7 - NDB Impacted SPRF''s'!$E$16:$O$9929,11,FALSE)</f>
        <v>Y</v>
      </c>
      <c r="S2707" s="8"/>
      <c r="T2707" s="310"/>
      <c r="U2707" s="310"/>
      <c r="V2707" s="4"/>
      <c r="W2707" s="4"/>
      <c r="X2707" s="4"/>
      <c r="Y2707" s="4"/>
      <c r="Z2707" s="4"/>
      <c r="AA2707" s="4"/>
      <c r="AB2707" s="380" t="str">
        <f>VLOOKUP($B2707,'D7 - NDB Impacted SPRF''s'!$E$16:$O$9929,4,FALSE)</f>
        <v>Cancelled</v>
      </c>
      <c r="AC2707" s="380" t="str">
        <f>VLOOKUP($B2707,'D7 - NDB Impacted SPRF''s'!$E$16:$O$9929,3,FALSE)</f>
        <v>Alliance</v>
      </c>
      <c r="AD2707" s="380" t="str">
        <f>VLOOKUP($B2707,'D7 - NDB Impacted SPRF''s'!$E$16:$O$9929,5,FALSE)</f>
        <v>Harvard Pilgrim Service Alliance</v>
      </c>
      <c r="AE2707" s="380" t="str">
        <f>VLOOKUP($B2707,'D7 - NDB Impacted SPRF''s'!$E$16:$O$9929,7,FALSE)</f>
        <v>Diane Schofield</v>
      </c>
      <c r="AF2707" s="380" t="str">
        <f>VLOOKUP($B2707,'D7 - NDB Impacted SPRF''s'!$E$16:$O$9929,6,FALSE)</f>
        <v>ANDREW SIMON</v>
      </c>
      <c r="AG2707" s="282"/>
      <c r="AH2707" s="311" t="e">
        <f>INDEX('D5 - Gatekeeper - Projects'!$A$4:$AF$1010,$AM2707, 17)</f>
        <v>#N/A</v>
      </c>
      <c r="AI2707" s="8"/>
      <c r="AJ2707" s="57"/>
      <c r="AK2707" s="105"/>
      <c r="AM2707" s="6" t="e">
        <f>MATCH(D2707,'D5 - Gatekeeper - Projects'!$C$4:$C$1010,0)</f>
        <v>#N/A</v>
      </c>
      <c r="AN2707" s="6" t="b">
        <f t="shared" si="280"/>
        <v>1</v>
      </c>
      <c r="AO2707" s="6" t="str">
        <f t="shared" si="281"/>
        <v>OK</v>
      </c>
      <c r="AQ2707" s="6" t="e">
        <f>MATCH($D2707,'D4 - Provider Council Unsched'!$C$11:$C$234,0)</f>
        <v>#N/A</v>
      </c>
      <c r="AR2707" s="6" t="b">
        <f t="shared" si="282"/>
        <v>1</v>
      </c>
      <c r="AS2707" s="6" t="str">
        <f t="shared" si="279"/>
        <v>OK</v>
      </c>
      <c r="AU2707" s="202"/>
      <c r="AV2707" s="262"/>
      <c r="AW2707" s="274"/>
    </row>
    <row r="2708" spans="1:49" s="13" customFormat="1" ht="33.75" x14ac:dyDescent="0.2">
      <c r="A2708" s="14">
        <v>2684</v>
      </c>
      <c r="B2708" s="14">
        <v>400017319</v>
      </c>
      <c r="C2708" s="8" t="s">
        <v>5197</v>
      </c>
      <c r="D2708" s="4" t="str">
        <f t="shared" si="278"/>
        <v>400017319R1</v>
      </c>
      <c r="E2708" s="309" t="str">
        <f>VLOOKUP($B2708,'D7 - NDB Impacted SPRF''s'!$E$6:$O$9929,2,FALSE)</f>
        <v>Move to Managed Services</v>
      </c>
      <c r="F2708" s="8" t="s">
        <v>2114</v>
      </c>
      <c r="G2708" s="8" t="s">
        <v>4758</v>
      </c>
      <c r="H2708" s="8" t="s">
        <v>2870</v>
      </c>
      <c r="I2708" s="20"/>
      <c r="J2708" s="8"/>
      <c r="K2708" s="182"/>
      <c r="L2708" s="8" t="s">
        <v>4156</v>
      </c>
      <c r="M2708" s="8" t="s">
        <v>2814</v>
      </c>
      <c r="N2708" s="38" t="s">
        <v>7797</v>
      </c>
      <c r="O2708" s="8"/>
      <c r="P2708" s="4" t="str">
        <f>VLOOKUP($B2708,'D7 - NDB Impacted SPRF''s'!$E$16:$O$9929,9,FALSE)</f>
        <v>N</v>
      </c>
      <c r="Q2708" s="4" t="str">
        <f>VLOOKUP($B2708,'D7 - NDB Impacted SPRF''s'!$E$16:$O$9929,10,FALSE)</f>
        <v>N</v>
      </c>
      <c r="R2708" s="4" t="str">
        <f>VLOOKUP($B2708,'D7 - NDB Impacted SPRF''s'!$E$16:$O$9929,11,FALSE)</f>
        <v>N</v>
      </c>
      <c r="S2708" s="8"/>
      <c r="T2708" s="310"/>
      <c r="U2708" s="310"/>
      <c r="V2708" s="4"/>
      <c r="W2708" s="4"/>
      <c r="X2708" s="4"/>
      <c r="Y2708" s="4"/>
      <c r="Z2708" s="4"/>
      <c r="AA2708" s="4"/>
      <c r="AB2708" s="380" t="str">
        <f>VLOOKUP($B2708,'D7 - NDB Impacted SPRF''s'!$E$16:$O$9929,4,FALSE)</f>
        <v>Completed</v>
      </c>
      <c r="AC2708" s="380" t="str">
        <f>VLOOKUP($B2708,'D7 - NDB Impacted SPRF''s'!$E$16:$O$9929,3,FALSE)</f>
        <v>UnitedHealthcare Employer &amp; Individual</v>
      </c>
      <c r="AD2708" s="380" t="str">
        <f>VLOOKUP($B2708,'D7 - NDB Impacted SPRF''s'!$E$16:$O$9929,5,FALSE)</f>
        <v>Operational Requirements</v>
      </c>
      <c r="AE2708" s="380" t="str">
        <f>VLOOKUP($B2708,'D7 - NDB Impacted SPRF''s'!$E$16:$O$9929,7,FALSE)</f>
        <v>Patrick Casey</v>
      </c>
      <c r="AF2708" s="380" t="str">
        <f>VLOOKUP($B2708,'D7 - NDB Impacted SPRF''s'!$E$16:$O$9929,6,FALSE)</f>
        <v>Dayo Odunlami</v>
      </c>
      <c r="AG2708" s="282"/>
      <c r="AH2708" s="311" t="e">
        <f>INDEX('D5 - Gatekeeper - Projects'!$A$4:$AF$1010,$AM2708, 17)</f>
        <v>#N/A</v>
      </c>
      <c r="AI2708" s="8"/>
      <c r="AJ2708" s="57"/>
      <c r="AK2708" s="57"/>
      <c r="AM2708" s="6" t="e">
        <f>MATCH(D2708,'D5 - Gatekeeper - Projects'!$C$4:$C$1010,0)</f>
        <v>#N/A</v>
      </c>
      <c r="AN2708" s="6" t="b">
        <f t="shared" si="280"/>
        <v>1</v>
      </c>
      <c r="AO2708" s="6" t="str">
        <f t="shared" si="281"/>
        <v>OK</v>
      </c>
      <c r="AQ2708" s="6" t="e">
        <f>MATCH($D2708,'D4 - Provider Council Unsched'!$C$11:$C$234,0)</f>
        <v>#N/A</v>
      </c>
      <c r="AR2708" s="6" t="b">
        <f t="shared" si="282"/>
        <v>1</v>
      </c>
      <c r="AS2708" s="6" t="str">
        <f t="shared" si="279"/>
        <v>OK</v>
      </c>
      <c r="AU2708" s="202"/>
      <c r="AV2708" s="262"/>
      <c r="AW2708" s="274"/>
    </row>
    <row r="2709" spans="1:49" s="13" customFormat="1" ht="33.75" x14ac:dyDescent="0.2">
      <c r="A2709" s="14">
        <v>2685</v>
      </c>
      <c r="B2709" s="14">
        <v>400017413</v>
      </c>
      <c r="C2709" s="8" t="s">
        <v>5197</v>
      </c>
      <c r="D2709" s="4" t="str">
        <f t="shared" si="278"/>
        <v>400017413R1</v>
      </c>
      <c r="E2709" s="309" t="str">
        <f>VLOOKUP($B2709,'D7 - NDB Impacted SPRF''s'!$E$6:$O$9929,2,FALSE)</f>
        <v>Standardize One Shot Process</v>
      </c>
      <c r="F2709" s="8" t="s">
        <v>5544</v>
      </c>
      <c r="G2709" s="8" t="s">
        <v>4758</v>
      </c>
      <c r="H2709" s="8" t="s">
        <v>2870</v>
      </c>
      <c r="I2709" s="20">
        <v>14.29</v>
      </c>
      <c r="J2709" s="8" t="s">
        <v>4862</v>
      </c>
      <c r="K2709" s="182"/>
      <c r="L2709" s="8" t="s">
        <v>4156</v>
      </c>
      <c r="M2709" s="8" t="s">
        <v>2814</v>
      </c>
      <c r="N2709" s="38" t="s">
        <v>6166</v>
      </c>
      <c r="O2709" s="8"/>
      <c r="P2709" s="4" t="str">
        <f>VLOOKUP($B2709,'D7 - NDB Impacted SPRF''s'!$E$16:$O$9929,9,FALSE)</f>
        <v>N</v>
      </c>
      <c r="Q2709" s="4" t="str">
        <f>VLOOKUP($B2709,'D7 - NDB Impacted SPRF''s'!$E$16:$O$9929,10,FALSE)</f>
        <v>N</v>
      </c>
      <c r="R2709" s="4" t="str">
        <f>VLOOKUP($B2709,'D7 - NDB Impacted SPRF''s'!$E$16:$O$9929,11,FALSE)</f>
        <v>N</v>
      </c>
      <c r="S2709" s="8"/>
      <c r="T2709" s="310"/>
      <c r="U2709" s="310"/>
      <c r="V2709" s="4"/>
      <c r="W2709" s="4"/>
      <c r="X2709" s="4"/>
      <c r="Y2709" s="4"/>
      <c r="Z2709" s="4"/>
      <c r="AA2709" s="4"/>
      <c r="AB2709" s="380" t="str">
        <f>VLOOKUP($B2709,'D7 - NDB Impacted SPRF''s'!$E$16:$O$9929,4,FALSE)</f>
        <v>Cancelled</v>
      </c>
      <c r="AC2709" s="380" t="str">
        <f>VLOOKUP($B2709,'D7 - NDB Impacted SPRF''s'!$E$16:$O$9929,3,FALSE)</f>
        <v>UnitedHealthcare Medicare &amp; Retirement</v>
      </c>
      <c r="AD2709" s="380" t="str">
        <f>VLOOKUP($B2709,'D7 - NDB Impacted SPRF''s'!$E$16:$O$9929,5,FALSE)</f>
        <v>Ovations</v>
      </c>
      <c r="AE2709" s="380" t="str">
        <f>VLOOKUP($B2709,'D7 - NDB Impacted SPRF''s'!$E$16:$O$9929,7,FALSE)</f>
        <v>Jim Congelton</v>
      </c>
      <c r="AF2709" s="380" t="str">
        <f>VLOOKUP($B2709,'D7 - NDB Impacted SPRF''s'!$E$16:$O$9929,6,FALSE)</f>
        <v>Susan Gruwell</v>
      </c>
      <c r="AG2709" s="282"/>
      <c r="AH2709" s="311" t="e">
        <f>INDEX('D5 - Gatekeeper - Projects'!$A$4:$AF$1010,$AM2709, 17)</f>
        <v>#N/A</v>
      </c>
      <c r="AI2709" s="8"/>
      <c r="AJ2709" s="57"/>
      <c r="AK2709" s="105"/>
      <c r="AM2709" s="6" t="e">
        <f>MATCH(D2709,'D5 - Gatekeeper - Projects'!$C$4:$C$1010,0)</f>
        <v>#N/A</v>
      </c>
      <c r="AN2709" s="6" t="b">
        <f t="shared" si="280"/>
        <v>1</v>
      </c>
      <c r="AO2709" s="6" t="str">
        <f t="shared" si="281"/>
        <v>OK</v>
      </c>
      <c r="AQ2709" s="6" t="e">
        <f>MATCH($D2709,'D4 - Provider Council Unsched'!$C$11:$C$234,0)</f>
        <v>#N/A</v>
      </c>
      <c r="AR2709" s="6" t="b">
        <f t="shared" si="282"/>
        <v>1</v>
      </c>
      <c r="AS2709" s="6" t="str">
        <f t="shared" si="279"/>
        <v>OK</v>
      </c>
      <c r="AU2709" s="202"/>
      <c r="AV2709" s="262"/>
      <c r="AW2709" s="274"/>
    </row>
    <row r="2710" spans="1:49" s="13" customFormat="1" ht="33.75" x14ac:dyDescent="0.2">
      <c r="A2710" s="14">
        <v>2686</v>
      </c>
      <c r="B2710" s="14">
        <v>400017437</v>
      </c>
      <c r="C2710" s="8" t="s">
        <v>5197</v>
      </c>
      <c r="D2710" s="4" t="str">
        <f t="shared" si="278"/>
        <v>400017437R1</v>
      </c>
      <c r="E2710" s="309" t="str">
        <f>VLOOKUP($B2710,'D7 - NDB Impacted SPRF''s'!$E$6:$O$9929,2,FALSE)</f>
        <v>Harvard Pilgrim Anesthesia Pro-Rating: Development</v>
      </c>
      <c r="F2710" s="8" t="s">
        <v>5196</v>
      </c>
      <c r="G2710" s="8" t="s">
        <v>4758</v>
      </c>
      <c r="H2710" s="8" t="s">
        <v>2870</v>
      </c>
      <c r="I2710" s="20">
        <f>799/160</f>
        <v>4.9937500000000004</v>
      </c>
      <c r="J2710" s="8" t="s">
        <v>4862</v>
      </c>
      <c r="K2710" s="182"/>
      <c r="L2710" s="8" t="s">
        <v>4156</v>
      </c>
      <c r="M2710" s="8" t="s">
        <v>2814</v>
      </c>
      <c r="N2710" s="38" t="s">
        <v>7416</v>
      </c>
      <c r="O2710" s="8"/>
      <c r="P2710" s="4" t="str">
        <f>VLOOKUP($B2710,'D7 - NDB Impacted SPRF''s'!$E$16:$O$9929,9,FALSE)</f>
        <v>Y</v>
      </c>
      <c r="Q2710" s="4" t="str">
        <f>VLOOKUP($B2710,'D7 - NDB Impacted SPRF''s'!$E$16:$O$9929,10,FALSE)</f>
        <v>N</v>
      </c>
      <c r="R2710" s="4" t="str">
        <f>VLOOKUP($B2710,'D7 - NDB Impacted SPRF''s'!$E$16:$O$9929,11,FALSE)</f>
        <v>Y</v>
      </c>
      <c r="S2710" s="8"/>
      <c r="T2710" s="310"/>
      <c r="U2710" s="310"/>
      <c r="V2710" s="4"/>
      <c r="W2710" s="4"/>
      <c r="X2710" s="4"/>
      <c r="Y2710" s="4"/>
      <c r="Z2710" s="4"/>
      <c r="AA2710" s="4"/>
      <c r="AB2710" s="380" t="str">
        <f>VLOOKUP($B2710,'D7 - NDB Impacted SPRF''s'!$E$16:$O$9929,4,FALSE)</f>
        <v>Cancelled</v>
      </c>
      <c r="AC2710" s="380" t="str">
        <f>VLOOKUP($B2710,'D7 - NDB Impacted SPRF''s'!$E$16:$O$9929,3,FALSE)</f>
        <v>UnitedHealthcare Employer &amp; Individual</v>
      </c>
      <c r="AD2710" s="380" t="str">
        <f>VLOOKUP($B2710,'D7 - NDB Impacted SPRF''s'!$E$16:$O$9929,5,FALSE)</f>
        <v>Harvard Pilgrim Service Alliance</v>
      </c>
      <c r="AE2710" s="380" t="str">
        <f>VLOOKUP($B2710,'D7 - NDB Impacted SPRF''s'!$E$16:$O$9929,7,FALSE)</f>
        <v>Sally Verilli</v>
      </c>
      <c r="AF2710" s="380" t="str">
        <f>VLOOKUP($B2710,'D7 - NDB Impacted SPRF''s'!$E$16:$O$9929,6,FALSE)</f>
        <v>DAWN BOLLER</v>
      </c>
      <c r="AG2710" s="282"/>
      <c r="AH2710" s="311" t="e">
        <f>INDEX('D5 - Gatekeeper - Projects'!$A$4:$AF$1010,$AM2710, 17)</f>
        <v>#N/A</v>
      </c>
      <c r="AI2710" s="8"/>
      <c r="AJ2710" s="57"/>
      <c r="AK2710" s="105"/>
      <c r="AM2710" s="6" t="e">
        <f>MATCH(D2710,'D5 - Gatekeeper - Projects'!$C$4:$C$1010,0)</f>
        <v>#N/A</v>
      </c>
      <c r="AN2710" s="6" t="b">
        <f t="shared" si="280"/>
        <v>1</v>
      </c>
      <c r="AO2710" s="6" t="str">
        <f t="shared" si="281"/>
        <v>OK</v>
      </c>
      <c r="AQ2710" s="6" t="e">
        <f>MATCH($D2710,'D4 - Provider Council Unsched'!$C$11:$C$234,0)</f>
        <v>#N/A</v>
      </c>
      <c r="AR2710" s="6" t="b">
        <f t="shared" si="282"/>
        <v>1</v>
      </c>
      <c r="AS2710" s="6" t="str">
        <f t="shared" si="279"/>
        <v>OK</v>
      </c>
      <c r="AU2710" s="202"/>
      <c r="AV2710" s="262"/>
      <c r="AW2710" s="274"/>
    </row>
    <row r="2711" spans="1:49" s="13" customFormat="1" ht="33.75" x14ac:dyDescent="0.2">
      <c r="A2711" s="14">
        <v>2687</v>
      </c>
      <c r="B2711" s="14">
        <v>400017600</v>
      </c>
      <c r="C2711" s="8" t="s">
        <v>5197</v>
      </c>
      <c r="D2711" s="4" t="str">
        <f t="shared" si="278"/>
        <v>400017600R1</v>
      </c>
      <c r="E2711" s="309" t="str">
        <f>VLOOKUP($B2711,'D7 - NDB Impacted SPRF''s'!$E$6:$O$9929,2,FALSE)</f>
        <v>John Deere Health - UP Conversion Tools</v>
      </c>
      <c r="F2711" s="8" t="s">
        <v>4302</v>
      </c>
      <c r="G2711" s="8" t="s">
        <v>4758</v>
      </c>
      <c r="H2711" s="8" t="s">
        <v>2870</v>
      </c>
      <c r="I2711" s="20"/>
      <c r="J2711" s="8"/>
      <c r="K2711" s="182"/>
      <c r="L2711" s="8" t="s">
        <v>4156</v>
      </c>
      <c r="M2711" s="8" t="s">
        <v>2814</v>
      </c>
      <c r="N2711" s="38"/>
      <c r="O2711" s="8"/>
      <c r="P2711" s="4" t="str">
        <f>VLOOKUP($B2711,'D7 - NDB Impacted SPRF''s'!$E$16:$O$9929,9,FALSE)</f>
        <v>Y</v>
      </c>
      <c r="Q2711" s="4" t="str">
        <f>VLOOKUP($B2711,'D7 - NDB Impacted SPRF''s'!$E$16:$O$9929,10,FALSE)</f>
        <v>N</v>
      </c>
      <c r="R2711" s="4" t="str">
        <f>VLOOKUP($B2711,'D7 - NDB Impacted SPRF''s'!$E$16:$O$9929,11,FALSE)</f>
        <v>N</v>
      </c>
      <c r="S2711" s="8"/>
      <c r="T2711" s="310"/>
      <c r="U2711" s="310"/>
      <c r="V2711" s="4"/>
      <c r="W2711" s="4"/>
      <c r="X2711" s="4"/>
      <c r="Y2711" s="4"/>
      <c r="Z2711" s="4"/>
      <c r="AA2711" s="4"/>
      <c r="AB2711" s="380" t="str">
        <f>VLOOKUP($B2711,'D7 - NDB Impacted SPRF''s'!$E$16:$O$9929,4,FALSE)</f>
        <v>Cancelled</v>
      </c>
      <c r="AC2711" s="380" t="str">
        <f>VLOOKUP($B2711,'D7 - NDB Impacted SPRF''s'!$E$16:$O$9929,3,FALSE)</f>
        <v>UnitedHealthcare Employer &amp; Individual</v>
      </c>
      <c r="AD2711" s="380" t="str">
        <f>VLOOKUP($B2711,'D7 - NDB Impacted SPRF''s'!$E$16:$O$9929,5,FALSE)</f>
        <v>Integration Requirements</v>
      </c>
      <c r="AE2711" s="380" t="str">
        <f>VLOOKUP($B2711,'D7 - NDB Impacted SPRF''s'!$E$16:$O$9929,7,FALSE)</f>
        <v>Diane Schofield</v>
      </c>
      <c r="AF2711" s="380" t="str">
        <f>VLOOKUP($B2711,'D7 - NDB Impacted SPRF''s'!$E$16:$O$9929,6,FALSE)</f>
        <v>JERRIL PALMER</v>
      </c>
      <c r="AG2711" s="282"/>
      <c r="AH2711" s="311" t="e">
        <f>INDEX('D5 - Gatekeeper - Projects'!$A$4:$AF$1010,$AM2711, 17)</f>
        <v>#N/A</v>
      </c>
      <c r="AI2711" s="8"/>
      <c r="AJ2711" s="57"/>
      <c r="AK2711" s="105"/>
      <c r="AM2711" s="6" t="e">
        <f>MATCH(D2711,'D5 - Gatekeeper - Projects'!$C$4:$C$1010,0)</f>
        <v>#N/A</v>
      </c>
      <c r="AN2711" s="6" t="b">
        <f t="shared" si="280"/>
        <v>1</v>
      </c>
      <c r="AO2711" s="6" t="str">
        <f t="shared" si="281"/>
        <v>OK</v>
      </c>
      <c r="AQ2711" s="6" t="e">
        <f>MATCH($D2711,'D4 - Provider Council Unsched'!$C$11:$C$234,0)</f>
        <v>#N/A</v>
      </c>
      <c r="AR2711" s="6" t="b">
        <f t="shared" si="282"/>
        <v>1</v>
      </c>
      <c r="AS2711" s="6" t="str">
        <f t="shared" si="279"/>
        <v>OK</v>
      </c>
      <c r="AU2711" s="202"/>
      <c r="AV2711" s="262"/>
      <c r="AW2711" s="274"/>
    </row>
    <row r="2712" spans="1:49" s="13" customFormat="1" ht="22.5" x14ac:dyDescent="0.2">
      <c r="A2712" s="14">
        <v>2688</v>
      </c>
      <c r="B2712" s="14">
        <v>400017665</v>
      </c>
      <c r="C2712" s="8" t="s">
        <v>5197</v>
      </c>
      <c r="D2712" s="4" t="str">
        <f t="shared" si="278"/>
        <v>400017665R1</v>
      </c>
      <c r="E2712" s="309" t="str">
        <f>VLOOKUP($B2712,'D7 - NDB Impacted SPRF''s'!$E$6:$O$9929,2,FALSE)</f>
        <v>Convenience Care Prov. Type Communication to Optum</v>
      </c>
      <c r="F2712" s="8" t="s">
        <v>7779</v>
      </c>
      <c r="G2712" s="8" t="s">
        <v>4758</v>
      </c>
      <c r="H2712" s="8" t="s">
        <v>2870</v>
      </c>
      <c r="I2712" s="20"/>
      <c r="J2712" s="8"/>
      <c r="K2712" s="182"/>
      <c r="L2712" s="8" t="s">
        <v>4156</v>
      </c>
      <c r="M2712" s="8" t="s">
        <v>2814</v>
      </c>
      <c r="N2712" s="38" t="s">
        <v>2440</v>
      </c>
      <c r="O2712" s="8"/>
      <c r="P2712" s="4" t="str">
        <f>VLOOKUP($B2712,'D7 - NDB Impacted SPRF''s'!$E$16:$O$9929,9,FALSE)</f>
        <v>N</v>
      </c>
      <c r="Q2712" s="4" t="str">
        <f>VLOOKUP($B2712,'D7 - NDB Impacted SPRF''s'!$E$16:$O$9929,10,FALSE)</f>
        <v>N</v>
      </c>
      <c r="R2712" s="4" t="str">
        <f>VLOOKUP($B2712,'D7 - NDB Impacted SPRF''s'!$E$16:$O$9929,11,FALSE)</f>
        <v>N</v>
      </c>
      <c r="S2712" s="8"/>
      <c r="T2712" s="310"/>
      <c r="U2712" s="310"/>
      <c r="V2712" s="4"/>
      <c r="W2712" s="4"/>
      <c r="X2712" s="4"/>
      <c r="Y2712" s="4"/>
      <c r="Z2712" s="4"/>
      <c r="AA2712" s="4"/>
      <c r="AB2712" s="380" t="str">
        <f>VLOOKUP($B2712,'D7 - NDB Impacted SPRF''s'!$E$16:$O$9929,4,FALSE)</f>
        <v>Cancelled</v>
      </c>
      <c r="AC2712" s="380" t="str">
        <f>VLOOKUP($B2712,'D7 - NDB Impacted SPRF''s'!$E$16:$O$9929,3,FALSE)</f>
        <v>OptumHealth</v>
      </c>
      <c r="AD2712" s="380" t="str">
        <f>VLOOKUP($B2712,'D7 - NDB Impacted SPRF''s'!$E$16:$O$9929,5,FALSE)</f>
        <v>HSG</v>
      </c>
      <c r="AE2712" s="380" t="str">
        <f>VLOOKUP($B2712,'D7 - NDB Impacted SPRF''s'!$E$16:$O$9929,7,FALSE)</f>
        <v>Todd Spaulding</v>
      </c>
      <c r="AF2712" s="380" t="str">
        <f>VLOOKUP($B2712,'D7 - NDB Impacted SPRF''s'!$E$16:$O$9929,6,FALSE)</f>
        <v>MATT MCDONOUGH</v>
      </c>
      <c r="AG2712" s="282"/>
      <c r="AH2712" s="311" t="e">
        <f>INDEX('D5 - Gatekeeper - Projects'!$A$4:$AF$1010,$AM2712, 17)</f>
        <v>#N/A</v>
      </c>
      <c r="AI2712" s="8"/>
      <c r="AJ2712" s="57"/>
      <c r="AK2712" s="105"/>
      <c r="AM2712" s="6" t="e">
        <f>MATCH(D2712,'D5 - Gatekeeper - Projects'!$C$4:$C$1010,0)</f>
        <v>#N/A</v>
      </c>
      <c r="AN2712" s="6" t="b">
        <f t="shared" si="280"/>
        <v>1</v>
      </c>
      <c r="AO2712" s="6" t="str">
        <f t="shared" si="281"/>
        <v>OK</v>
      </c>
      <c r="AQ2712" s="6" t="e">
        <f>MATCH($D2712,'D4 - Provider Council Unsched'!$C$11:$C$234,0)</f>
        <v>#N/A</v>
      </c>
      <c r="AR2712" s="6" t="b">
        <f t="shared" si="282"/>
        <v>1</v>
      </c>
      <c r="AS2712" s="6" t="str">
        <f t="shared" si="279"/>
        <v>OK</v>
      </c>
      <c r="AU2712" s="202"/>
      <c r="AV2712" s="262"/>
      <c r="AW2712" s="274"/>
    </row>
    <row r="2713" spans="1:49" s="13" customFormat="1" ht="33.75" x14ac:dyDescent="0.2">
      <c r="A2713" s="14">
        <v>2689</v>
      </c>
      <c r="B2713" s="14">
        <v>400017818</v>
      </c>
      <c r="C2713" s="8" t="s">
        <v>5197</v>
      </c>
      <c r="D2713" s="4" t="str">
        <f t="shared" si="278"/>
        <v>400017818R1</v>
      </c>
      <c r="E2713" s="309" t="str">
        <f>VLOOKUP($B2713,'D7 - NDB Impacted SPRF''s'!$E$6:$O$9929,2,FALSE)</f>
        <v xml:space="preserve">4-17818 EPS Payables release 1 </v>
      </c>
      <c r="F2713" s="8" t="s">
        <v>5787</v>
      </c>
      <c r="G2713" s="8" t="s">
        <v>4758</v>
      </c>
      <c r="H2713" s="8" t="s">
        <v>2870</v>
      </c>
      <c r="I2713" s="20"/>
      <c r="J2713" s="8"/>
      <c r="K2713" s="182"/>
      <c r="L2713" s="8" t="s">
        <v>4156</v>
      </c>
      <c r="M2713" s="8" t="s">
        <v>2814</v>
      </c>
      <c r="N2713" s="38" t="s">
        <v>1916</v>
      </c>
      <c r="O2713" s="8"/>
      <c r="P2713" s="4" t="str">
        <f>VLOOKUP($B2713,'D7 - NDB Impacted SPRF''s'!$E$16:$O$9929,9,FALSE)</f>
        <v>N</v>
      </c>
      <c r="Q2713" s="4" t="str">
        <f>VLOOKUP($B2713,'D7 - NDB Impacted SPRF''s'!$E$16:$O$9929,10,FALSE)</f>
        <v>N</v>
      </c>
      <c r="R2713" s="4" t="str">
        <f>VLOOKUP($B2713,'D7 - NDB Impacted SPRF''s'!$E$16:$O$9929,11,FALSE)</f>
        <v>N</v>
      </c>
      <c r="S2713" s="8"/>
      <c r="T2713" s="310"/>
      <c r="U2713" s="310"/>
      <c r="V2713" s="4"/>
      <c r="W2713" s="4"/>
      <c r="X2713" s="4"/>
      <c r="Y2713" s="4"/>
      <c r="Z2713" s="4"/>
      <c r="AA2713" s="4"/>
      <c r="AB2713" s="380" t="str">
        <f>VLOOKUP($B2713,'D7 - NDB Impacted SPRF''s'!$E$16:$O$9929,4,FALSE)</f>
        <v>Completed</v>
      </c>
      <c r="AC2713" s="380" t="str">
        <f>VLOOKUP($B2713,'D7 - NDB Impacted SPRF''s'!$E$16:$O$9929,3,FALSE)</f>
        <v>OptumHealth Financial Services</v>
      </c>
      <c r="AD2713" s="380" t="str">
        <f>VLOOKUP($B2713,'D7 - NDB Impacted SPRF''s'!$E$16:$O$9929,5,FALSE)</f>
        <v>Payables - Dental &amp; Workers Comp</v>
      </c>
      <c r="AE2713" s="380" t="str">
        <f>VLOOKUP($B2713,'D7 - NDB Impacted SPRF''s'!$E$16:$O$9929,7,FALSE)</f>
        <v>James Koji</v>
      </c>
      <c r="AF2713" s="380" t="str">
        <f>VLOOKUP($B2713,'D7 - NDB Impacted SPRF''s'!$E$16:$O$9929,6,FALSE)</f>
        <v>Christina Kauffman</v>
      </c>
      <c r="AG2713" s="282"/>
      <c r="AH2713" s="311" t="e">
        <f>INDEX('D5 - Gatekeeper - Projects'!$A$4:$AF$1010,$AM2713, 17)</f>
        <v>#N/A</v>
      </c>
      <c r="AI2713" s="8"/>
      <c r="AJ2713" s="57"/>
      <c r="AK2713" s="105"/>
      <c r="AM2713" s="6" t="e">
        <f>MATCH(D2713,'D5 - Gatekeeper - Projects'!$C$4:$C$1010,0)</f>
        <v>#N/A</v>
      </c>
      <c r="AN2713" s="6" t="b">
        <f t="shared" si="280"/>
        <v>1</v>
      </c>
      <c r="AO2713" s="6" t="str">
        <f t="shared" si="281"/>
        <v>OK</v>
      </c>
      <c r="AQ2713" s="6" t="e">
        <f>MATCH($D2713,'D4 - Provider Council Unsched'!$C$11:$C$234,0)</f>
        <v>#N/A</v>
      </c>
      <c r="AR2713" s="6" t="b">
        <f t="shared" si="282"/>
        <v>1</v>
      </c>
      <c r="AS2713" s="6" t="str">
        <f t="shared" si="279"/>
        <v>OK</v>
      </c>
      <c r="AU2713" s="202"/>
      <c r="AV2713" s="262"/>
      <c r="AW2713" s="274"/>
    </row>
    <row r="2714" spans="1:49" s="13" customFormat="1" ht="33.75" x14ac:dyDescent="0.2">
      <c r="A2714" s="14">
        <v>2690</v>
      </c>
      <c r="B2714" s="14">
        <v>400017870</v>
      </c>
      <c r="C2714" s="8" t="s">
        <v>5197</v>
      </c>
      <c r="D2714" s="4" t="str">
        <f t="shared" si="278"/>
        <v>400017870R1</v>
      </c>
      <c r="E2714" s="309" t="str">
        <f>VLOOKUP($B2714,'D7 - NDB Impacted SPRF''s'!$E$6:$O$9929,2,FALSE)</f>
        <v>Create new MedStat data file</v>
      </c>
      <c r="F2714" s="8" t="s">
        <v>2114</v>
      </c>
      <c r="G2714" s="8" t="s">
        <v>4758</v>
      </c>
      <c r="H2714" s="8" t="s">
        <v>2870</v>
      </c>
      <c r="I2714" s="20"/>
      <c r="J2714" s="8"/>
      <c r="K2714" s="182"/>
      <c r="L2714" s="8" t="s">
        <v>4156</v>
      </c>
      <c r="M2714" s="8" t="s">
        <v>2814</v>
      </c>
      <c r="N2714" s="38" t="s">
        <v>4650</v>
      </c>
      <c r="O2714" s="8"/>
      <c r="P2714" s="4" t="str">
        <f>VLOOKUP($B2714,'D7 - NDB Impacted SPRF''s'!$E$16:$O$9929,9,FALSE)</f>
        <v>N</v>
      </c>
      <c r="Q2714" s="4" t="str">
        <f>VLOOKUP($B2714,'D7 - NDB Impacted SPRF''s'!$E$16:$O$9929,10,FALSE)</f>
        <v>N</v>
      </c>
      <c r="R2714" s="4" t="str">
        <f>VLOOKUP($B2714,'D7 - NDB Impacted SPRF''s'!$E$16:$O$9929,11,FALSE)</f>
        <v>N</v>
      </c>
      <c r="S2714" s="8"/>
      <c r="T2714" s="310"/>
      <c r="U2714" s="310"/>
      <c r="V2714" s="4"/>
      <c r="W2714" s="4"/>
      <c r="X2714" s="4"/>
      <c r="Y2714" s="4"/>
      <c r="Z2714" s="4"/>
      <c r="AA2714" s="4"/>
      <c r="AB2714" s="380" t="str">
        <f>VLOOKUP($B2714,'D7 - NDB Impacted SPRF''s'!$E$16:$O$9929,4,FALSE)</f>
        <v>Cancelled</v>
      </c>
      <c r="AC2714" s="380" t="str">
        <f>VLOOKUP($B2714,'D7 - NDB Impacted SPRF''s'!$E$16:$O$9929,3,FALSE)</f>
        <v>UnitedHealthcare Employer &amp; Individual</v>
      </c>
      <c r="AD2714" s="380" t="str">
        <f>VLOOKUP($B2714,'D7 - NDB Impacted SPRF''s'!$E$16:$O$9929,5,FALSE)</f>
        <v>Membership Growth / Revenue Programs</v>
      </c>
      <c r="AE2714" s="380" t="str">
        <f>VLOOKUP($B2714,'D7 - NDB Impacted SPRF''s'!$E$16:$O$9929,7,FALSE)</f>
        <v>David Withee</v>
      </c>
      <c r="AF2714" s="380" t="str">
        <f>VLOOKUP($B2714,'D7 - NDB Impacted SPRF''s'!$E$16:$O$9929,6,FALSE)</f>
        <v>Kristina Friberg</v>
      </c>
      <c r="AG2714" s="282"/>
      <c r="AH2714" s="311" t="e">
        <f>INDEX('D5 - Gatekeeper - Projects'!$A$4:$AF$1010,$AM2714, 17)</f>
        <v>#N/A</v>
      </c>
      <c r="AI2714" s="8"/>
      <c r="AJ2714" s="57"/>
      <c r="AK2714" s="105"/>
      <c r="AM2714" s="6" t="e">
        <f>MATCH(D2714,'D5 - Gatekeeper - Projects'!$C$4:$C$1010,0)</f>
        <v>#N/A</v>
      </c>
      <c r="AN2714" s="6" t="b">
        <f t="shared" si="280"/>
        <v>1</v>
      </c>
      <c r="AO2714" s="6" t="str">
        <f t="shared" si="281"/>
        <v>OK</v>
      </c>
      <c r="AQ2714" s="6" t="e">
        <f>MATCH($D2714,'D4 - Provider Council Unsched'!$C$11:$C$234,0)</f>
        <v>#N/A</v>
      </c>
      <c r="AR2714" s="6" t="b">
        <f t="shared" si="282"/>
        <v>1</v>
      </c>
      <c r="AS2714" s="6" t="str">
        <f t="shared" si="279"/>
        <v>OK</v>
      </c>
      <c r="AU2714" s="202"/>
      <c r="AV2714" s="262"/>
      <c r="AW2714" s="274"/>
    </row>
    <row r="2715" spans="1:49" s="13" customFormat="1" ht="33.75" x14ac:dyDescent="0.2">
      <c r="A2715" s="14">
        <v>2691</v>
      </c>
      <c r="B2715" s="134">
        <v>400017885</v>
      </c>
      <c r="C2715" s="8" t="s">
        <v>5197</v>
      </c>
      <c r="D2715" s="4" t="str">
        <f t="shared" ref="D2715:D2778" si="283">CONCATENATE(B2715,C2715)</f>
        <v>400017885R1</v>
      </c>
      <c r="E2715" s="309" t="str">
        <f>VLOOKUP($B2715,'D7 - NDB Impacted SPRF''s'!$E$6:$O$9929,2,FALSE)</f>
        <v>Redesign of iCES_NDB interface to asynchorous proc</v>
      </c>
      <c r="F2715" s="8" t="s">
        <v>7106</v>
      </c>
      <c r="G2715" s="8" t="s">
        <v>4758</v>
      </c>
      <c r="H2715" s="8" t="s">
        <v>2870</v>
      </c>
      <c r="I2715" s="20"/>
      <c r="J2715" s="8"/>
      <c r="K2715" s="182"/>
      <c r="L2715" s="8" t="s">
        <v>4156</v>
      </c>
      <c r="M2715" s="8" t="s">
        <v>2814</v>
      </c>
      <c r="N2715" s="38"/>
      <c r="O2715" s="8"/>
      <c r="P2715" s="4" t="str">
        <f>VLOOKUP($B2715,'D7 - NDB Impacted SPRF''s'!$E$16:$O$9929,9,FALSE)</f>
        <v>N</v>
      </c>
      <c r="Q2715" s="4" t="str">
        <f>VLOOKUP($B2715,'D7 - NDB Impacted SPRF''s'!$E$16:$O$9929,10,FALSE)</f>
        <v>N</v>
      </c>
      <c r="R2715" s="4" t="str">
        <f>VLOOKUP($B2715,'D7 - NDB Impacted SPRF''s'!$E$16:$O$9929,11,FALSE)</f>
        <v>Y</v>
      </c>
      <c r="S2715" s="8"/>
      <c r="T2715" s="310"/>
      <c r="U2715" s="310"/>
      <c r="V2715" s="4"/>
      <c r="W2715" s="4"/>
      <c r="X2715" s="4"/>
      <c r="Y2715" s="4"/>
      <c r="Z2715" s="4"/>
      <c r="AA2715" s="4"/>
      <c r="AB2715" s="380" t="str">
        <f>VLOOKUP($B2715,'D7 - NDB Impacted SPRF''s'!$E$16:$O$9929,4,FALSE)</f>
        <v>Cancelled</v>
      </c>
      <c r="AC2715" s="380" t="str">
        <f>VLOOKUP($B2715,'D7 - NDB Impacted SPRF''s'!$E$16:$O$9929,3,FALSE)</f>
        <v>UnitedHealthcare Employer &amp; Individual</v>
      </c>
      <c r="AD2715" s="380" t="str">
        <f>VLOOKUP($B2715,'D7 - NDB Impacted SPRF''s'!$E$16:$O$9929,5,FALSE)</f>
        <v>Medical Cost Savings Programs</v>
      </c>
      <c r="AE2715" s="380" t="str">
        <f>VLOOKUP($B2715,'D7 - NDB Impacted SPRF''s'!$E$16:$O$9929,7,FALSE)</f>
        <v>Sally Verrilli</v>
      </c>
      <c r="AF2715" s="380" t="str">
        <f>VLOOKUP($B2715,'D7 - NDB Impacted SPRF''s'!$E$16:$O$9929,6,FALSE)</f>
        <v>Shannon Nelson</v>
      </c>
      <c r="AG2715" s="282"/>
      <c r="AH2715" s="311" t="e">
        <f>INDEX('D5 - Gatekeeper - Projects'!$A$4:$AF$1010,$AM2715, 17)</f>
        <v>#N/A</v>
      </c>
      <c r="AI2715" s="8"/>
      <c r="AJ2715" s="57"/>
      <c r="AK2715" s="105"/>
      <c r="AM2715" s="6" t="e">
        <f>MATCH(D2715,'D5 - Gatekeeper - Projects'!$C$4:$C$1010,0)</f>
        <v>#N/A</v>
      </c>
      <c r="AN2715" s="6" t="b">
        <f t="shared" si="280"/>
        <v>1</v>
      </c>
      <c r="AO2715" s="6" t="str">
        <f t="shared" si="281"/>
        <v>OK</v>
      </c>
      <c r="AQ2715" s="6" t="e">
        <f>MATCH($D2715,'D4 - Provider Council Unsched'!$C$11:$C$234,0)</f>
        <v>#N/A</v>
      </c>
      <c r="AR2715" s="6" t="b">
        <f t="shared" si="282"/>
        <v>1</v>
      </c>
      <c r="AS2715" s="6" t="str">
        <f t="shared" si="279"/>
        <v>OK</v>
      </c>
      <c r="AU2715" s="202"/>
      <c r="AV2715" s="262"/>
      <c r="AW2715" s="274"/>
    </row>
    <row r="2716" spans="1:49" s="13" customFormat="1" ht="33.75" x14ac:dyDescent="0.2">
      <c r="A2716" s="14">
        <v>2692</v>
      </c>
      <c r="B2716" s="14">
        <v>400018011</v>
      </c>
      <c r="C2716" s="8" t="s">
        <v>5197</v>
      </c>
      <c r="D2716" s="4" t="str">
        <f t="shared" si="283"/>
        <v>400018011R1</v>
      </c>
      <c r="E2716" s="309" t="str">
        <f>VLOOKUP($B2716,'D7 - NDB Impacted SPRF''s'!$E$6:$O$9929,2,FALSE)</f>
        <v>HCA-Contract Designation Key - Security PII</v>
      </c>
      <c r="F2716" s="8" t="s">
        <v>5196</v>
      </c>
      <c r="G2716" s="8" t="s">
        <v>4758</v>
      </c>
      <c r="H2716" s="8" t="s">
        <v>2870</v>
      </c>
      <c r="I2716" s="20">
        <f>23415/150</f>
        <v>156.1</v>
      </c>
      <c r="J2716" s="8" t="s">
        <v>4862</v>
      </c>
      <c r="K2716" s="182"/>
      <c r="L2716" s="8" t="s">
        <v>4156</v>
      </c>
      <c r="M2716" s="8" t="s">
        <v>2814</v>
      </c>
      <c r="N2716" s="38" t="s">
        <v>4735</v>
      </c>
      <c r="O2716" s="8"/>
      <c r="P2716" s="4" t="str">
        <f>VLOOKUP($B2716,'D7 - NDB Impacted SPRF''s'!$E$16:$O$9929,9,FALSE)</f>
        <v>Y</v>
      </c>
      <c r="Q2716" s="4" t="str">
        <f>VLOOKUP($B2716,'D7 - NDB Impacted SPRF''s'!$E$16:$O$9929,10,FALSE)</f>
        <v>N</v>
      </c>
      <c r="R2716" s="4" t="str">
        <f>VLOOKUP($B2716,'D7 - NDB Impacted SPRF''s'!$E$16:$O$9929,11,FALSE)</f>
        <v>N</v>
      </c>
      <c r="S2716" s="8"/>
      <c r="T2716" s="310"/>
      <c r="U2716" s="310"/>
      <c r="V2716" s="4"/>
      <c r="W2716" s="4"/>
      <c r="X2716" s="4"/>
      <c r="Y2716" s="4"/>
      <c r="Z2716" s="4"/>
      <c r="AA2716" s="4"/>
      <c r="AB2716" s="380" t="str">
        <f>VLOOKUP($B2716,'D7 - NDB Impacted SPRF''s'!$E$16:$O$9929,4,FALSE)</f>
        <v>Cancelled</v>
      </c>
      <c r="AC2716" s="380" t="str">
        <f>VLOOKUP($B2716,'D7 - NDB Impacted SPRF''s'!$E$16:$O$9929,3,FALSE)</f>
        <v>UnitedHealthcare Employer &amp; Individual</v>
      </c>
      <c r="AD2716" s="380" t="str">
        <f>VLOOKUP($B2716,'D7 - NDB Impacted SPRF''s'!$E$16:$O$9929,5,FALSE)</f>
        <v>HCA - Healthcare Alliances Discretionary</v>
      </c>
      <c r="AE2716" s="380" t="str">
        <f>VLOOKUP($B2716,'D7 - NDB Impacted SPRF''s'!$E$16:$O$9929,7,FALSE)</f>
        <v>Tim Kaja</v>
      </c>
      <c r="AF2716" s="380" t="str">
        <f>VLOOKUP($B2716,'D7 - NDB Impacted SPRF''s'!$E$16:$O$9929,6,FALSE)</f>
        <v>PARK CHRISTINE</v>
      </c>
      <c r="AG2716" s="282"/>
      <c r="AH2716" s="311" t="e">
        <f>INDEX('D5 - Gatekeeper - Projects'!$A$4:$AF$1010,$AM2716, 17)</f>
        <v>#N/A</v>
      </c>
      <c r="AI2716" s="8"/>
      <c r="AJ2716" s="57"/>
      <c r="AK2716" s="105"/>
      <c r="AM2716" s="6" t="e">
        <f>MATCH(D2716,'D5 - Gatekeeper - Projects'!$C$4:$C$1010,0)</f>
        <v>#N/A</v>
      </c>
      <c r="AN2716" s="6" t="b">
        <f t="shared" si="280"/>
        <v>1</v>
      </c>
      <c r="AO2716" s="6" t="str">
        <f t="shared" si="281"/>
        <v>OK</v>
      </c>
      <c r="AQ2716" s="6" t="e">
        <f>MATCH($D2716,'D4 - Provider Council Unsched'!$C$11:$C$234,0)</f>
        <v>#N/A</v>
      </c>
      <c r="AR2716" s="6" t="b">
        <f t="shared" si="282"/>
        <v>1</v>
      </c>
      <c r="AS2716" s="6" t="str">
        <f t="shared" si="279"/>
        <v>OK</v>
      </c>
      <c r="AU2716" s="202"/>
      <c r="AV2716" s="262"/>
      <c r="AW2716" s="274"/>
    </row>
    <row r="2717" spans="1:49" s="13" customFormat="1" ht="33.75" x14ac:dyDescent="0.2">
      <c r="A2717" s="14">
        <v>2693</v>
      </c>
      <c r="B2717" s="14">
        <v>400018011</v>
      </c>
      <c r="C2717" s="8" t="s">
        <v>1992</v>
      </c>
      <c r="D2717" s="4" t="str">
        <f t="shared" si="283"/>
        <v>400018011U1</v>
      </c>
      <c r="E2717" s="309" t="str">
        <f>VLOOKUP($B2717,'D7 - NDB Impacted SPRF''s'!$E$6:$O$9929,2,FALSE)</f>
        <v>HCA-Contract Designation Key - Security PII</v>
      </c>
      <c r="F2717" s="8" t="s">
        <v>5196</v>
      </c>
      <c r="G2717" s="8" t="s">
        <v>4758</v>
      </c>
      <c r="H2717" s="8" t="s">
        <v>2870</v>
      </c>
      <c r="I2717" s="20">
        <f>2354/150</f>
        <v>15.693333333333333</v>
      </c>
      <c r="J2717" s="8" t="s">
        <v>4862</v>
      </c>
      <c r="K2717" s="182"/>
      <c r="L2717" s="8" t="s">
        <v>4156</v>
      </c>
      <c r="M2717" s="8" t="s">
        <v>2814</v>
      </c>
      <c r="N2717" s="38" t="s">
        <v>4735</v>
      </c>
      <c r="O2717" s="8"/>
      <c r="P2717" s="4" t="str">
        <f>VLOOKUP($B2717,'D7 - NDB Impacted SPRF''s'!$E$16:$O$9929,9,FALSE)</f>
        <v>Y</v>
      </c>
      <c r="Q2717" s="4" t="str">
        <f>VLOOKUP($B2717,'D7 - NDB Impacted SPRF''s'!$E$16:$O$9929,10,FALSE)</f>
        <v>N</v>
      </c>
      <c r="R2717" s="4" t="str">
        <f>VLOOKUP($B2717,'D7 - NDB Impacted SPRF''s'!$E$16:$O$9929,11,FALSE)</f>
        <v>N</v>
      </c>
      <c r="S2717" s="8"/>
      <c r="T2717" s="310"/>
      <c r="U2717" s="310"/>
      <c r="V2717" s="4"/>
      <c r="W2717" s="4"/>
      <c r="X2717" s="4"/>
      <c r="Y2717" s="4"/>
      <c r="Z2717" s="4"/>
      <c r="AA2717" s="4"/>
      <c r="AB2717" s="380" t="str">
        <f>VLOOKUP($B2717,'D7 - NDB Impacted SPRF''s'!$E$16:$O$9929,4,FALSE)</f>
        <v>Cancelled</v>
      </c>
      <c r="AC2717" s="380" t="str">
        <f>VLOOKUP($B2717,'D7 - NDB Impacted SPRF''s'!$E$16:$O$9929,3,FALSE)</f>
        <v>UnitedHealthcare Employer &amp; Individual</v>
      </c>
      <c r="AD2717" s="380" t="str">
        <f>VLOOKUP($B2717,'D7 - NDB Impacted SPRF''s'!$E$16:$O$9929,5,FALSE)</f>
        <v>HCA - Healthcare Alliances Discretionary</v>
      </c>
      <c r="AE2717" s="380" t="str">
        <f>VLOOKUP($B2717,'D7 - NDB Impacted SPRF''s'!$E$16:$O$9929,7,FALSE)</f>
        <v>Tim Kaja</v>
      </c>
      <c r="AF2717" s="380" t="str">
        <f>VLOOKUP($B2717,'D7 - NDB Impacted SPRF''s'!$E$16:$O$9929,6,FALSE)</f>
        <v>PARK CHRISTINE</v>
      </c>
      <c r="AG2717" s="282"/>
      <c r="AH2717" s="311" t="e">
        <f>INDEX('D5 - Gatekeeper - Projects'!$A$4:$AF$1010,$AM2717, 17)</f>
        <v>#N/A</v>
      </c>
      <c r="AI2717" s="8"/>
      <c r="AJ2717" s="57"/>
      <c r="AK2717" s="105"/>
      <c r="AM2717" s="6" t="e">
        <f>MATCH(D2717,'D5 - Gatekeeper - Projects'!$C$4:$C$1010,0)</f>
        <v>#N/A</v>
      </c>
      <c r="AN2717" s="6" t="b">
        <f t="shared" si="280"/>
        <v>1</v>
      </c>
      <c r="AO2717" s="6" t="str">
        <f t="shared" si="281"/>
        <v>OK</v>
      </c>
      <c r="AQ2717" s="6" t="e">
        <f>MATCH($D2717,'D4 - Provider Council Unsched'!$C$11:$C$234,0)</f>
        <v>#N/A</v>
      </c>
      <c r="AR2717" s="6" t="b">
        <f t="shared" si="282"/>
        <v>1</v>
      </c>
      <c r="AS2717" s="6" t="str">
        <f t="shared" si="279"/>
        <v>OK</v>
      </c>
      <c r="AU2717" s="202"/>
      <c r="AV2717" s="262"/>
      <c r="AW2717" s="274"/>
    </row>
    <row r="2718" spans="1:49" s="13" customFormat="1" ht="33.75" x14ac:dyDescent="0.2">
      <c r="A2718" s="14">
        <v>2694</v>
      </c>
      <c r="B2718" s="14">
        <v>400018293</v>
      </c>
      <c r="C2718" s="8" t="s">
        <v>5197</v>
      </c>
      <c r="D2718" s="4" t="str">
        <f t="shared" si="283"/>
        <v>400018293R1</v>
      </c>
      <c r="E2718" s="309" t="str">
        <f>VLOOKUP($B2718,'D7 - NDB Impacted SPRF''s'!$E$6:$O$9929,2,FALSE)</f>
        <v>PM&amp;R Service Notification submissions thru portal</v>
      </c>
      <c r="F2718" s="8" t="s">
        <v>7989</v>
      </c>
      <c r="G2718" s="8" t="s">
        <v>4758</v>
      </c>
      <c r="H2718" s="8" t="s">
        <v>2870</v>
      </c>
      <c r="I2718" s="20"/>
      <c r="J2718" s="8"/>
      <c r="K2718" s="182"/>
      <c r="L2718" s="8" t="s">
        <v>4156</v>
      </c>
      <c r="M2718" s="8" t="s">
        <v>2814</v>
      </c>
      <c r="N2718" s="38" t="s">
        <v>4146</v>
      </c>
      <c r="O2718" s="8"/>
      <c r="P2718" s="4" t="str">
        <f>VLOOKUP($B2718,'D7 - NDB Impacted SPRF''s'!$E$16:$O$9929,9,FALSE)</f>
        <v>Y</v>
      </c>
      <c r="Q2718" s="4" t="str">
        <f>VLOOKUP($B2718,'D7 - NDB Impacted SPRF''s'!$E$16:$O$9929,10,FALSE)</f>
        <v>N</v>
      </c>
      <c r="R2718" s="4" t="str">
        <f>VLOOKUP($B2718,'D7 - NDB Impacted SPRF''s'!$E$16:$O$9929,11,FALSE)</f>
        <v>N</v>
      </c>
      <c r="S2718" s="8"/>
      <c r="T2718" s="310"/>
      <c r="U2718" s="310"/>
      <c r="V2718" s="4"/>
      <c r="W2718" s="4"/>
      <c r="X2718" s="4"/>
      <c r="Y2718" s="4"/>
      <c r="Z2718" s="4"/>
      <c r="AA2718" s="4"/>
      <c r="AB2718" s="380" t="str">
        <f>VLOOKUP($B2718,'D7 - NDB Impacted SPRF''s'!$E$16:$O$9929,4,FALSE)</f>
        <v>Completed</v>
      </c>
      <c r="AC2718" s="380" t="str">
        <f>VLOOKUP($B2718,'D7 - NDB Impacted SPRF''s'!$E$16:$O$9929,3,FALSE)</f>
        <v>UnitedHealthcare Employer &amp; Individual</v>
      </c>
      <c r="AD2718" s="380" t="str">
        <f>VLOOKUP($B2718,'D7 - NDB Impacted SPRF''s'!$E$16:$O$9929,5,FALSE)</f>
        <v>Medical Cost Savings Programs</v>
      </c>
      <c r="AE2718" s="380" t="str">
        <f>VLOOKUP($B2718,'D7 - NDB Impacted SPRF''s'!$E$16:$O$9929,7,FALSE)</f>
        <v>Imad  Ahmed</v>
      </c>
      <c r="AF2718" s="380" t="str">
        <f>VLOOKUP($B2718,'D7 - NDB Impacted SPRF''s'!$E$16:$O$9929,6,FALSE)</f>
        <v>Brendan Dolan</v>
      </c>
      <c r="AG2718" s="282"/>
      <c r="AH2718" s="311" t="e">
        <f>INDEX('D5 - Gatekeeper - Projects'!$A$4:$AF$1010,$AM2718, 17)</f>
        <v>#N/A</v>
      </c>
      <c r="AI2718" s="8"/>
      <c r="AJ2718" s="57"/>
      <c r="AK2718" s="105"/>
      <c r="AM2718" s="6" t="e">
        <f>MATCH(D2718,'D5 - Gatekeeper - Projects'!$C$4:$C$1010,0)</f>
        <v>#N/A</v>
      </c>
      <c r="AN2718" s="6" t="b">
        <f t="shared" si="280"/>
        <v>1</v>
      </c>
      <c r="AO2718" s="6" t="str">
        <f t="shared" si="281"/>
        <v>OK</v>
      </c>
      <c r="AQ2718" s="6" t="e">
        <f>MATCH($D2718,'D4 - Provider Council Unsched'!$C$11:$C$234,0)</f>
        <v>#N/A</v>
      </c>
      <c r="AR2718" s="6" t="b">
        <f t="shared" si="282"/>
        <v>1</v>
      </c>
      <c r="AS2718" s="6" t="str">
        <f t="shared" si="279"/>
        <v>OK</v>
      </c>
      <c r="AU2718" s="202"/>
      <c r="AV2718" s="262"/>
      <c r="AW2718" s="274"/>
    </row>
    <row r="2719" spans="1:49" s="13" customFormat="1" x14ac:dyDescent="0.2">
      <c r="A2719" s="14">
        <v>2695</v>
      </c>
      <c r="B2719" s="14">
        <v>400018317</v>
      </c>
      <c r="C2719" s="8" t="s">
        <v>5197</v>
      </c>
      <c r="D2719" s="4" t="str">
        <f t="shared" si="283"/>
        <v>400018317R1</v>
      </c>
      <c r="E2719" s="309" t="str">
        <f>VLOOKUP($B2719,'D7 - NDB Impacted SPRF''s'!$E$6:$O$9929,2,FALSE)</f>
        <v>Display of UBH PTI indicator</v>
      </c>
      <c r="F2719" s="8" t="s">
        <v>2114</v>
      </c>
      <c r="G2719" s="8" t="s">
        <v>4758</v>
      </c>
      <c r="H2719" s="8" t="s">
        <v>2870</v>
      </c>
      <c r="I2719" s="20">
        <f>787/160</f>
        <v>4.9187500000000002</v>
      </c>
      <c r="J2719" s="8" t="s">
        <v>4862</v>
      </c>
      <c r="K2719" s="182"/>
      <c r="L2719" s="8" t="s">
        <v>4156</v>
      </c>
      <c r="M2719" s="8" t="s">
        <v>2814</v>
      </c>
      <c r="N2719" s="38" t="s">
        <v>5799</v>
      </c>
      <c r="O2719" s="8"/>
      <c r="P2719" s="4" t="str">
        <f>VLOOKUP($B2719,'D7 - NDB Impacted SPRF''s'!$E$16:$O$9929,9,FALSE)</f>
        <v>Y</v>
      </c>
      <c r="Q2719" s="4" t="str">
        <f>VLOOKUP($B2719,'D7 - NDB Impacted SPRF''s'!$E$16:$O$9929,10,FALSE)</f>
        <v>N</v>
      </c>
      <c r="R2719" s="4" t="str">
        <f>VLOOKUP($B2719,'D7 - NDB Impacted SPRF''s'!$E$16:$O$9929,11,FALSE)</f>
        <v>N</v>
      </c>
      <c r="S2719" s="8"/>
      <c r="T2719" s="310"/>
      <c r="U2719" s="310"/>
      <c r="V2719" s="4"/>
      <c r="W2719" s="4"/>
      <c r="X2719" s="4"/>
      <c r="Y2719" s="4"/>
      <c r="Z2719" s="4"/>
      <c r="AA2719" s="4"/>
      <c r="AB2719" s="380" t="str">
        <f>VLOOKUP($B2719,'D7 - NDB Impacted SPRF''s'!$E$16:$O$9929,4,FALSE)</f>
        <v>Cancelled</v>
      </c>
      <c r="AC2719" s="380" t="str">
        <f>VLOOKUP($B2719,'D7 - NDB Impacted SPRF''s'!$E$16:$O$9929,3,FALSE)</f>
        <v>OptumHealth</v>
      </c>
      <c r="AD2719" s="380" t="str">
        <f>VLOOKUP($B2719,'D7 - NDB Impacted SPRF''s'!$E$16:$O$9929,5,FALSE)</f>
        <v>Specialty Benefits</v>
      </c>
      <c r="AE2719" s="380" t="str">
        <f>VLOOKUP($B2719,'D7 - NDB Impacted SPRF''s'!$E$16:$O$9929,7,FALSE)</f>
        <v>Lloyd Dyer</v>
      </c>
      <c r="AF2719" s="380" t="str">
        <f>VLOOKUP($B2719,'D7 - NDB Impacted SPRF''s'!$E$16:$O$9929,6,FALSE)</f>
        <v>Rebecca Embry</v>
      </c>
      <c r="AG2719" s="282"/>
      <c r="AH2719" s="311" t="e">
        <f>INDEX('D5 - Gatekeeper - Projects'!$A$4:$AF$1010,$AM2719, 17)</f>
        <v>#N/A</v>
      </c>
      <c r="AI2719" s="8"/>
      <c r="AJ2719" s="57"/>
      <c r="AK2719" s="105"/>
      <c r="AM2719" s="6" t="e">
        <f>MATCH(D2719,'D5 - Gatekeeper - Projects'!$C$4:$C$1010,0)</f>
        <v>#N/A</v>
      </c>
      <c r="AN2719" s="6" t="b">
        <f t="shared" si="280"/>
        <v>1</v>
      </c>
      <c r="AO2719" s="6" t="str">
        <f t="shared" si="281"/>
        <v>OK</v>
      </c>
      <c r="AQ2719" s="6" t="e">
        <f>MATCH($D2719,'D4 - Provider Council Unsched'!$C$11:$C$234,0)</f>
        <v>#N/A</v>
      </c>
      <c r="AR2719" s="6" t="b">
        <f t="shared" si="282"/>
        <v>1</v>
      </c>
      <c r="AS2719" s="6" t="str">
        <f t="shared" si="279"/>
        <v>OK</v>
      </c>
      <c r="AU2719" s="202"/>
      <c r="AV2719" s="262"/>
      <c r="AW2719" s="274"/>
    </row>
    <row r="2720" spans="1:49" s="13" customFormat="1" ht="22.5" x14ac:dyDescent="0.2">
      <c r="A2720" s="14">
        <v>2696</v>
      </c>
      <c r="B2720" s="14">
        <v>400018385</v>
      </c>
      <c r="C2720" s="8" t="s">
        <v>5197</v>
      </c>
      <c r="D2720" s="4" t="str">
        <f t="shared" si="283"/>
        <v>400018385R1</v>
      </c>
      <c r="E2720" s="309" t="str">
        <f>VLOOKUP($B2720,'D7 - NDB Impacted SPRF''s'!$E$6:$O$9929,2,FALSE)</f>
        <v>Medica Check Rollup - Payables Approach</v>
      </c>
      <c r="F2720" s="8" t="s">
        <v>5196</v>
      </c>
      <c r="G2720" s="8" t="s">
        <v>4758</v>
      </c>
      <c r="H2720" s="8" t="s">
        <v>2870</v>
      </c>
      <c r="I2720" s="20"/>
      <c r="J2720" s="8"/>
      <c r="K2720" s="182"/>
      <c r="L2720" s="8" t="s">
        <v>4156</v>
      </c>
      <c r="M2720" s="8" t="s">
        <v>2814</v>
      </c>
      <c r="N2720" s="38" t="s">
        <v>7416</v>
      </c>
      <c r="O2720" s="8"/>
      <c r="P2720" s="4" t="str">
        <f>VLOOKUP($B2720,'D7 - NDB Impacted SPRF''s'!$E$16:$O$9929,9,FALSE)</f>
        <v>Y</v>
      </c>
      <c r="Q2720" s="4" t="str">
        <f>VLOOKUP($B2720,'D7 - NDB Impacted SPRF''s'!$E$16:$O$9929,10,FALSE)</f>
        <v>N</v>
      </c>
      <c r="R2720" s="4" t="str">
        <f>VLOOKUP($B2720,'D7 - NDB Impacted SPRF''s'!$E$16:$O$9929,11,FALSE)</f>
        <v>N</v>
      </c>
      <c r="S2720" s="8"/>
      <c r="T2720" s="310"/>
      <c r="U2720" s="310"/>
      <c r="V2720" s="4"/>
      <c r="W2720" s="4"/>
      <c r="X2720" s="4"/>
      <c r="Y2720" s="4"/>
      <c r="Z2720" s="4"/>
      <c r="AA2720" s="4"/>
      <c r="AB2720" s="380" t="str">
        <f>VLOOKUP($B2720,'D7 - NDB Impacted SPRF''s'!$E$16:$O$9929,4,FALSE)</f>
        <v>Cancelled</v>
      </c>
      <c r="AC2720" s="380" t="str">
        <f>VLOOKUP($B2720,'D7 - NDB Impacted SPRF''s'!$E$16:$O$9929,3,FALSE)</f>
        <v>Alliance</v>
      </c>
      <c r="AD2720" s="380" t="str">
        <f>VLOOKUP($B2720,'D7 - NDB Impacted SPRF''s'!$E$16:$O$9929,5,FALSE)</f>
        <v>Medica UNET Conversion</v>
      </c>
      <c r="AE2720" s="380" t="str">
        <f>VLOOKUP($B2720,'D7 - NDB Impacted SPRF''s'!$E$16:$O$9929,7,FALSE)</f>
        <v>Diane Schofield</v>
      </c>
      <c r="AF2720" s="380" t="str">
        <f>VLOOKUP($B2720,'D7 - NDB Impacted SPRF''s'!$E$16:$O$9929,6,FALSE)</f>
        <v>Scott Thompson CT</v>
      </c>
      <c r="AG2720" s="282"/>
      <c r="AH2720" s="311" t="e">
        <f>INDEX('D5 - Gatekeeper - Projects'!$A$4:$AF$1010,$AM2720, 17)</f>
        <v>#N/A</v>
      </c>
      <c r="AI2720" s="8"/>
      <c r="AJ2720" s="57"/>
      <c r="AK2720" s="105"/>
      <c r="AM2720" s="6" t="e">
        <f>MATCH(D2720,'D5 - Gatekeeper - Projects'!$C$4:$C$1010,0)</f>
        <v>#N/A</v>
      </c>
      <c r="AN2720" s="6" t="b">
        <f t="shared" si="280"/>
        <v>1</v>
      </c>
      <c r="AO2720" s="6" t="str">
        <f t="shared" si="281"/>
        <v>OK</v>
      </c>
      <c r="AQ2720" s="6" t="e">
        <f>MATCH($D2720,'D4 - Provider Council Unsched'!$C$11:$C$234,0)</f>
        <v>#N/A</v>
      </c>
      <c r="AR2720" s="6" t="b">
        <f t="shared" si="282"/>
        <v>1</v>
      </c>
      <c r="AS2720" s="6" t="str">
        <f>IF(AND(H2720="2 - Not Scheduled",AR2720=TRUE,C2720="R1"),"Add","OK")</f>
        <v>OK</v>
      </c>
      <c r="AU2720" s="202"/>
      <c r="AV2720" s="262"/>
      <c r="AW2720" s="274"/>
    </row>
    <row r="2721" spans="1:49" s="13" customFormat="1" x14ac:dyDescent="0.2">
      <c r="A2721" s="14">
        <v>2697</v>
      </c>
      <c r="B2721" s="14">
        <v>400018402</v>
      </c>
      <c r="C2721" s="8" t="s">
        <v>5197</v>
      </c>
      <c r="D2721" s="4" t="str">
        <f t="shared" si="283"/>
        <v>400018402R1</v>
      </c>
      <c r="E2721" s="309" t="e">
        <f>VLOOKUP($B2721,'D7 - NDB Impacted SPRF''s'!$E$6:$O$9929,2,FALSE)</f>
        <v>#N/A</v>
      </c>
      <c r="F2721" s="8" t="s">
        <v>2114</v>
      </c>
      <c r="G2721" s="8" t="s">
        <v>4758</v>
      </c>
      <c r="H2721" s="8" t="s">
        <v>2870</v>
      </c>
      <c r="I2721" s="20"/>
      <c r="J2721" s="8"/>
      <c r="K2721" s="182"/>
      <c r="L2721" s="8" t="s">
        <v>4156</v>
      </c>
      <c r="M2721" s="8" t="s">
        <v>2814</v>
      </c>
      <c r="N2721" s="38" t="s">
        <v>4651</v>
      </c>
      <c r="O2721" s="8"/>
      <c r="P2721" s="4" t="e">
        <f>VLOOKUP($B2721,'D7 - NDB Impacted SPRF''s'!$E$16:$O$9929,9,FALSE)</f>
        <v>#N/A</v>
      </c>
      <c r="Q2721" s="4" t="e">
        <f>VLOOKUP($B2721,'D7 - NDB Impacted SPRF''s'!$E$16:$O$9929,10,FALSE)</f>
        <v>#N/A</v>
      </c>
      <c r="R2721" s="4" t="e">
        <f>VLOOKUP($B2721,'D7 - NDB Impacted SPRF''s'!$E$16:$O$9929,11,FALSE)</f>
        <v>#N/A</v>
      </c>
      <c r="S2721" s="8"/>
      <c r="T2721" s="310"/>
      <c r="U2721" s="310"/>
      <c r="V2721" s="4"/>
      <c r="W2721" s="4"/>
      <c r="X2721" s="4"/>
      <c r="Y2721" s="4"/>
      <c r="Z2721" s="4"/>
      <c r="AA2721" s="4"/>
      <c r="AB2721" s="380" t="e">
        <f>VLOOKUP($B2721,'D7 - NDB Impacted SPRF''s'!$E$16:$O$9929,4,FALSE)</f>
        <v>#N/A</v>
      </c>
      <c r="AC2721" s="380" t="e">
        <f>VLOOKUP($B2721,'D7 - NDB Impacted SPRF''s'!$E$16:$O$9929,3,FALSE)</f>
        <v>#N/A</v>
      </c>
      <c r="AD2721" s="380" t="e">
        <f>VLOOKUP($B2721,'D7 - NDB Impacted SPRF''s'!$E$16:$O$9929,5,FALSE)</f>
        <v>#N/A</v>
      </c>
      <c r="AE2721" s="380" t="e">
        <f>VLOOKUP($B2721,'D7 - NDB Impacted SPRF''s'!$E$16:$O$9929,7,FALSE)</f>
        <v>#N/A</v>
      </c>
      <c r="AF2721" s="380" t="e">
        <f>VLOOKUP($B2721,'D7 - NDB Impacted SPRF''s'!$E$16:$O$9929,6,FALSE)</f>
        <v>#N/A</v>
      </c>
      <c r="AG2721" s="282"/>
      <c r="AH2721" s="311" t="e">
        <f>INDEX('D5 - Gatekeeper - Projects'!$A$4:$AF$1010,$AM2721, 17)</f>
        <v>#N/A</v>
      </c>
      <c r="AI2721" s="8"/>
      <c r="AJ2721" s="57"/>
      <c r="AK2721" s="105"/>
      <c r="AM2721" s="6" t="e">
        <f>MATCH(D2721,'D5 - Gatekeeper - Projects'!$C$4:$C$1010,0)</f>
        <v>#N/A</v>
      </c>
      <c r="AN2721" s="6" t="b">
        <f t="shared" si="280"/>
        <v>1</v>
      </c>
      <c r="AO2721" s="6" t="str">
        <f t="shared" si="281"/>
        <v>OK</v>
      </c>
      <c r="AQ2721" s="6" t="e">
        <f>MATCH($D2721,'D4 - Provider Council Unsched'!$C$11:$C$234,0)</f>
        <v>#N/A</v>
      </c>
      <c r="AR2721" s="6" t="b">
        <f t="shared" si="282"/>
        <v>1</v>
      </c>
      <c r="AS2721" s="6" t="str">
        <f t="shared" ref="AS2721:AS2728" si="284">IF(AND(H2721="2 - Not Scheduled",AR2721=TRUE),"Add","OK")</f>
        <v>OK</v>
      </c>
      <c r="AU2721" s="202"/>
      <c r="AV2721" s="262"/>
      <c r="AW2721" s="274"/>
    </row>
    <row r="2722" spans="1:49" s="13" customFormat="1" ht="33.75" x14ac:dyDescent="0.2">
      <c r="A2722" s="14">
        <v>2698</v>
      </c>
      <c r="B2722" s="14">
        <v>400018457</v>
      </c>
      <c r="C2722" s="8" t="s">
        <v>5197</v>
      </c>
      <c r="D2722" s="4" t="str">
        <f t="shared" si="283"/>
        <v>400018457R1</v>
      </c>
      <c r="E2722" s="309" t="str">
        <f>VLOOKUP($B2722,'D7 - NDB Impacted SPRF''s'!$E$6:$O$9929,2,FALSE)</f>
        <v xml:space="preserve">WO NDB Prevent Feed to EPS 231 </v>
      </c>
      <c r="F2722" s="8" t="s">
        <v>4471</v>
      </c>
      <c r="G2722" s="8" t="s">
        <v>4758</v>
      </c>
      <c r="H2722" s="8" t="s">
        <v>2870</v>
      </c>
      <c r="I2722" s="20"/>
      <c r="J2722" s="8"/>
      <c r="K2722" s="182"/>
      <c r="L2722" s="8" t="s">
        <v>4156</v>
      </c>
      <c r="M2722" s="8" t="s">
        <v>6007</v>
      </c>
      <c r="N2722" s="38"/>
      <c r="O2722" s="8"/>
      <c r="P2722" s="4" t="str">
        <f>VLOOKUP($B2722,'D7 - NDB Impacted SPRF''s'!$E$16:$O$9929,9,FALSE)</f>
        <v>Y</v>
      </c>
      <c r="Q2722" s="4" t="str">
        <f>VLOOKUP($B2722,'D7 - NDB Impacted SPRF''s'!$E$16:$O$9929,10,FALSE)</f>
        <v>N</v>
      </c>
      <c r="R2722" s="4" t="str">
        <f>VLOOKUP($B2722,'D7 - NDB Impacted SPRF''s'!$E$16:$O$9929,11,FALSE)</f>
        <v>N</v>
      </c>
      <c r="S2722" s="8"/>
      <c r="T2722" s="310"/>
      <c r="U2722" s="310"/>
      <c r="V2722" s="4"/>
      <c r="W2722" s="4"/>
      <c r="X2722" s="4"/>
      <c r="Y2722" s="4"/>
      <c r="Z2722" s="4"/>
      <c r="AA2722" s="4"/>
      <c r="AB2722" s="380" t="str">
        <f>VLOOKUP($B2722,'D7 - NDB Impacted SPRF''s'!$E$16:$O$9929,4,FALSE)</f>
        <v>Cancelled</v>
      </c>
      <c r="AC2722" s="380" t="str">
        <f>VLOOKUP($B2722,'D7 - NDB Impacted SPRF''s'!$E$16:$O$9929,3,FALSE)</f>
        <v>UnitedHealthcare Employer &amp; Individual</v>
      </c>
      <c r="AD2722" s="380" t="str">
        <f>VLOOKUP($B2722,'D7 - NDB Impacted SPRF''s'!$E$16:$O$9929,5,FALSE)</f>
        <v>Regulatory / Other</v>
      </c>
      <c r="AE2722" s="380" t="str">
        <f>VLOOKUP($B2722,'D7 - NDB Impacted SPRF''s'!$E$16:$O$9929,7,FALSE)</f>
        <v>Ross Lippincott</v>
      </c>
      <c r="AF2722" s="380" t="str">
        <f>VLOOKUP($B2722,'D7 - NDB Impacted SPRF''s'!$E$16:$O$9929,6,FALSE)</f>
        <v>Jessica Vardian</v>
      </c>
      <c r="AG2722" s="282"/>
      <c r="AH2722" s="311" t="e">
        <f>INDEX('D5 - Gatekeeper - Projects'!$A$4:$AF$1010,$AM2722, 17)</f>
        <v>#N/A</v>
      </c>
      <c r="AI2722" s="8"/>
      <c r="AJ2722" s="57"/>
      <c r="AK2722" s="105"/>
      <c r="AM2722" s="6" t="e">
        <f>MATCH(D2722,'D5 - Gatekeeper - Projects'!$C$4:$C$1010,0)</f>
        <v>#N/A</v>
      </c>
      <c r="AN2722" s="6" t="b">
        <f t="shared" si="280"/>
        <v>1</v>
      </c>
      <c r="AO2722" s="6" t="str">
        <f t="shared" si="281"/>
        <v>OK</v>
      </c>
      <c r="AQ2722" s="6" t="e">
        <f>MATCH($D2722,'D4 - Provider Council Unsched'!$C$11:$C$234,0)</f>
        <v>#N/A</v>
      </c>
      <c r="AR2722" s="6" t="b">
        <f t="shared" si="282"/>
        <v>1</v>
      </c>
      <c r="AS2722" s="6" t="str">
        <f t="shared" si="284"/>
        <v>OK</v>
      </c>
      <c r="AU2722" s="202"/>
      <c r="AV2722" s="262"/>
      <c r="AW2722" s="274"/>
    </row>
    <row r="2723" spans="1:49" s="13" customFormat="1" ht="33.75" x14ac:dyDescent="0.2">
      <c r="A2723" s="14">
        <v>2699</v>
      </c>
      <c r="B2723" s="14">
        <v>400018543</v>
      </c>
      <c r="C2723" s="8" t="s">
        <v>5197</v>
      </c>
      <c r="D2723" s="4" t="str">
        <f t="shared" si="283"/>
        <v>400018543R1</v>
      </c>
      <c r="E2723" s="309" t="str">
        <f>VLOOKUP($B2723,'D7 - NDB Impacted SPRF''s'!$E$6:$O$9929,2,FALSE)</f>
        <v>JD/NHP - IT Analysis Support</v>
      </c>
      <c r="F2723" s="8" t="s">
        <v>4302</v>
      </c>
      <c r="G2723" s="8" t="s">
        <v>4758</v>
      </c>
      <c r="H2723" s="8" t="s">
        <v>2870</v>
      </c>
      <c r="I2723" s="20"/>
      <c r="J2723" s="8"/>
      <c r="K2723" s="182"/>
      <c r="L2723" s="8" t="s">
        <v>4156</v>
      </c>
      <c r="M2723" s="8" t="s">
        <v>6688</v>
      </c>
      <c r="N2723" s="38"/>
      <c r="O2723" s="8"/>
      <c r="P2723" s="4" t="str">
        <f>VLOOKUP($B2723,'D7 - NDB Impacted SPRF''s'!$E$16:$O$9929,9,FALSE)</f>
        <v>Y</v>
      </c>
      <c r="Q2723" s="4" t="str">
        <f>VLOOKUP($B2723,'D7 - NDB Impacted SPRF''s'!$E$16:$O$9929,10,FALSE)</f>
        <v>N</v>
      </c>
      <c r="R2723" s="4" t="str">
        <f>VLOOKUP($B2723,'D7 - NDB Impacted SPRF''s'!$E$16:$O$9929,11,FALSE)</f>
        <v>N</v>
      </c>
      <c r="S2723" s="8"/>
      <c r="T2723" s="310"/>
      <c r="U2723" s="310"/>
      <c r="V2723" s="4"/>
      <c r="W2723" s="4"/>
      <c r="X2723" s="4"/>
      <c r="Y2723" s="4"/>
      <c r="Z2723" s="4"/>
      <c r="AA2723" s="4"/>
      <c r="AB2723" s="380" t="str">
        <f>VLOOKUP($B2723,'D7 - NDB Impacted SPRF''s'!$E$16:$O$9929,4,FALSE)</f>
        <v>Cancelled</v>
      </c>
      <c r="AC2723" s="380" t="str">
        <f>VLOOKUP($B2723,'D7 - NDB Impacted SPRF''s'!$E$16:$O$9929,3,FALSE)</f>
        <v>UnitedHealthcare Employer &amp; Individual</v>
      </c>
      <c r="AD2723" s="380" t="str">
        <f>VLOOKUP($B2723,'D7 - NDB Impacted SPRF''s'!$E$16:$O$9929,5,FALSE)</f>
        <v>Integration Requirements</v>
      </c>
      <c r="AE2723" s="380" t="str">
        <f>VLOOKUP($B2723,'D7 - NDB Impacted SPRF''s'!$E$16:$O$9929,7,FALSE)</f>
        <v>Diane Schofield</v>
      </c>
      <c r="AF2723" s="380" t="str">
        <f>VLOOKUP($B2723,'D7 - NDB Impacted SPRF''s'!$E$16:$O$9929,6,FALSE)</f>
        <v>DAVID YAKER</v>
      </c>
      <c r="AG2723" s="282"/>
      <c r="AH2723" s="311" t="e">
        <f>INDEX('D5 - Gatekeeper - Projects'!$A$4:$AF$1010,$AM2723, 17)</f>
        <v>#N/A</v>
      </c>
      <c r="AI2723" s="8"/>
      <c r="AJ2723" s="57"/>
      <c r="AK2723" s="105"/>
      <c r="AM2723" s="6" t="e">
        <f>MATCH(D2723,'D5 - Gatekeeper - Projects'!$C$4:$C$1010,0)</f>
        <v>#N/A</v>
      </c>
      <c r="AN2723" s="6" t="b">
        <f t="shared" si="280"/>
        <v>1</v>
      </c>
      <c r="AO2723" s="6" t="str">
        <f t="shared" si="281"/>
        <v>OK</v>
      </c>
      <c r="AQ2723" s="6" t="e">
        <f>MATCH($D2723,'D4 - Provider Council Unsched'!$C$11:$C$234,0)</f>
        <v>#N/A</v>
      </c>
      <c r="AR2723" s="6" t="b">
        <f t="shared" si="282"/>
        <v>1</v>
      </c>
      <c r="AS2723" s="6" t="str">
        <f t="shared" si="284"/>
        <v>OK</v>
      </c>
      <c r="AU2723" s="202"/>
      <c r="AV2723" s="262"/>
      <c r="AW2723" s="274"/>
    </row>
    <row r="2724" spans="1:49" s="13" customFormat="1" ht="33.75" x14ac:dyDescent="0.2">
      <c r="A2724" s="14">
        <v>2700</v>
      </c>
      <c r="B2724" s="14">
        <v>400018558</v>
      </c>
      <c r="C2724" s="8" t="s">
        <v>5197</v>
      </c>
      <c r="D2724" s="4" t="str">
        <f t="shared" si="283"/>
        <v>400018558R1</v>
      </c>
      <c r="E2724" s="309" t="str">
        <f>VLOOKUP($B2724,'D7 - NDB Impacted SPRF''s'!$E$6:$O$9929,2,FALSE)</f>
        <v>Contract Master Report</v>
      </c>
      <c r="F2724" s="8" t="s">
        <v>6071</v>
      </c>
      <c r="G2724" s="8" t="s">
        <v>4758</v>
      </c>
      <c r="H2724" s="8" t="s">
        <v>2870</v>
      </c>
      <c r="I2724" s="20"/>
      <c r="J2724" s="8"/>
      <c r="K2724" s="182"/>
      <c r="L2724" s="8" t="s">
        <v>4156</v>
      </c>
      <c r="M2724" s="8" t="s">
        <v>6007</v>
      </c>
      <c r="N2724" s="38"/>
      <c r="O2724" s="8"/>
      <c r="P2724" s="4" t="str">
        <f>VLOOKUP($B2724,'D7 - NDB Impacted SPRF''s'!$E$16:$O$9929,9,FALSE)</f>
        <v>N</v>
      </c>
      <c r="Q2724" s="4" t="str">
        <f>VLOOKUP($B2724,'D7 - NDB Impacted SPRF''s'!$E$16:$O$9929,10,FALSE)</f>
        <v>N</v>
      </c>
      <c r="R2724" s="4" t="str">
        <f>VLOOKUP($B2724,'D7 - NDB Impacted SPRF''s'!$E$16:$O$9929,11,FALSE)</f>
        <v>N</v>
      </c>
      <c r="S2724" s="8"/>
      <c r="T2724" s="310"/>
      <c r="U2724" s="310"/>
      <c r="V2724" s="4"/>
      <c r="W2724" s="4"/>
      <c r="X2724" s="4"/>
      <c r="Y2724" s="4"/>
      <c r="Z2724" s="4"/>
      <c r="AA2724" s="4"/>
      <c r="AB2724" s="380" t="str">
        <f>VLOOKUP($B2724,'D7 - NDB Impacted SPRF''s'!$E$16:$O$9929,4,FALSE)</f>
        <v>Cancelled</v>
      </c>
      <c r="AC2724" s="380" t="str">
        <f>VLOOKUP($B2724,'D7 - NDB Impacted SPRF''s'!$E$16:$O$9929,3,FALSE)</f>
        <v>UnitedHealthcare Employer &amp; Individual</v>
      </c>
      <c r="AD2724" s="380" t="str">
        <f>VLOOKUP($B2724,'D7 - NDB Impacted SPRF''s'!$E$16:$O$9929,5,FALSE)</f>
        <v>Integration Requirements</v>
      </c>
      <c r="AE2724" s="380" t="str">
        <f>VLOOKUP($B2724,'D7 - NDB Impacted SPRF''s'!$E$16:$O$9929,7,FALSE)</f>
        <v>Leslie Carter</v>
      </c>
      <c r="AF2724" s="380" t="str">
        <f>VLOOKUP($B2724,'D7 - NDB Impacted SPRF''s'!$E$16:$O$9929,6,FALSE)</f>
        <v>Tammy Marovich</v>
      </c>
      <c r="AG2724" s="282"/>
      <c r="AH2724" s="311" t="e">
        <f>INDEX('D5 - Gatekeeper - Projects'!$A$4:$AF$1010,$AM2724, 17)</f>
        <v>#N/A</v>
      </c>
      <c r="AI2724" s="8"/>
      <c r="AJ2724" s="57"/>
      <c r="AK2724" s="105"/>
      <c r="AM2724" s="6" t="e">
        <f>MATCH(D2724,'D5 - Gatekeeper - Projects'!$C$4:$C$1010,0)</f>
        <v>#N/A</v>
      </c>
      <c r="AN2724" s="6" t="b">
        <f t="shared" si="280"/>
        <v>1</v>
      </c>
      <c r="AO2724" s="6" t="str">
        <f t="shared" si="281"/>
        <v>OK</v>
      </c>
      <c r="AQ2724" s="6" t="e">
        <f>MATCH($D2724,'D4 - Provider Council Unsched'!$C$11:$C$234,0)</f>
        <v>#N/A</v>
      </c>
      <c r="AR2724" s="6" t="b">
        <f t="shared" si="282"/>
        <v>1</v>
      </c>
      <c r="AS2724" s="6" t="str">
        <f t="shared" si="284"/>
        <v>OK</v>
      </c>
      <c r="AU2724" s="202"/>
      <c r="AV2724" s="262"/>
      <c r="AW2724" s="274"/>
    </row>
    <row r="2725" spans="1:49" s="13" customFormat="1" ht="22.5" x14ac:dyDescent="0.2">
      <c r="A2725" s="14">
        <v>2701</v>
      </c>
      <c r="B2725" s="134">
        <v>400018593</v>
      </c>
      <c r="C2725" s="8" t="s">
        <v>5197</v>
      </c>
      <c r="D2725" s="4" t="str">
        <f t="shared" si="283"/>
        <v>400018593R1</v>
      </c>
      <c r="E2725" s="309" t="str">
        <f>VLOOKUP($B2725,'D7 - NDB Impacted SPRF''s'!$E$6:$O$9929,2,FALSE)</f>
        <v>Provider Search Redesign-Analysis Only</v>
      </c>
      <c r="F2725" s="8" t="s">
        <v>5787</v>
      </c>
      <c r="G2725" s="8" t="s">
        <v>4758</v>
      </c>
      <c r="H2725" s="8" t="s">
        <v>2870</v>
      </c>
      <c r="I2725" s="20"/>
      <c r="J2725" s="8"/>
      <c r="K2725" s="182"/>
      <c r="L2725" s="8" t="s">
        <v>4156</v>
      </c>
      <c r="M2725" s="8" t="s">
        <v>6688</v>
      </c>
      <c r="N2725" s="38"/>
      <c r="O2725" s="8"/>
      <c r="P2725" s="4" t="str">
        <f>VLOOKUP($B2725,'D7 - NDB Impacted SPRF''s'!$E$16:$O$9929,9,FALSE)</f>
        <v>Y</v>
      </c>
      <c r="Q2725" s="4" t="str">
        <f>VLOOKUP($B2725,'D7 - NDB Impacted SPRF''s'!$E$16:$O$9929,10,FALSE)</f>
        <v>N</v>
      </c>
      <c r="R2725" s="4" t="str">
        <f>VLOOKUP($B2725,'D7 - NDB Impacted SPRF''s'!$E$16:$O$9929,11,FALSE)</f>
        <v>N</v>
      </c>
      <c r="S2725" s="8"/>
      <c r="T2725" s="310"/>
      <c r="U2725" s="310"/>
      <c r="V2725" s="4"/>
      <c r="W2725" s="4"/>
      <c r="X2725" s="4"/>
      <c r="Y2725" s="4"/>
      <c r="Z2725" s="4"/>
      <c r="AA2725" s="4"/>
      <c r="AB2725" s="380" t="str">
        <f>VLOOKUP($B2725,'D7 - NDB Impacted SPRF''s'!$E$16:$O$9929,4,FALSE)</f>
        <v>Cancelled</v>
      </c>
      <c r="AC2725" s="380" t="str">
        <f>VLOOKUP($B2725,'D7 - NDB Impacted SPRF''s'!$E$16:$O$9929,3,FALSE)</f>
        <v>Uniprise</v>
      </c>
      <c r="AD2725" s="380" t="str">
        <f>VLOOKUP($B2725,'D7 - NDB Impacted SPRF''s'!$E$16:$O$9929,5,FALSE)</f>
        <v>Uniprise Operations - Capital Projects</v>
      </c>
      <c r="AE2725" s="380" t="str">
        <f>VLOOKUP($B2725,'D7 - NDB Impacted SPRF''s'!$E$16:$O$9929,7,FALSE)</f>
        <v>Sue Edberg</v>
      </c>
      <c r="AF2725" s="380" t="str">
        <f>VLOOKUP($B2725,'D7 - NDB Impacted SPRF''s'!$E$16:$O$9929,6,FALSE)</f>
        <v>CURTIS ROSENTHAL</v>
      </c>
      <c r="AG2725" s="282"/>
      <c r="AH2725" s="311" t="e">
        <f>INDEX('D5 - Gatekeeper - Projects'!$A$4:$AF$1010,$AM2725, 17)</f>
        <v>#N/A</v>
      </c>
      <c r="AI2725" s="8"/>
      <c r="AJ2725" s="57"/>
      <c r="AK2725" s="105"/>
      <c r="AM2725" s="6" t="e">
        <f>MATCH(D2725,'D5 - Gatekeeper - Projects'!$C$4:$C$1010,0)</f>
        <v>#N/A</v>
      </c>
      <c r="AN2725" s="6" t="b">
        <f t="shared" si="280"/>
        <v>1</v>
      </c>
      <c r="AO2725" s="6" t="str">
        <f t="shared" si="281"/>
        <v>OK</v>
      </c>
      <c r="AQ2725" s="6" t="e">
        <f>MATCH($D2725,'D4 - Provider Council Unsched'!$C$11:$C$234,0)</f>
        <v>#N/A</v>
      </c>
      <c r="AR2725" s="6" t="b">
        <f t="shared" si="282"/>
        <v>1</v>
      </c>
      <c r="AS2725" s="6" t="str">
        <f t="shared" si="284"/>
        <v>OK</v>
      </c>
      <c r="AU2725" s="202"/>
      <c r="AV2725" s="262"/>
      <c r="AW2725" s="274"/>
    </row>
    <row r="2726" spans="1:49" s="13" customFormat="1" ht="33.75" x14ac:dyDescent="0.2">
      <c r="A2726" s="14">
        <v>2702</v>
      </c>
      <c r="B2726" s="14">
        <v>400018635</v>
      </c>
      <c r="C2726" s="8" t="s">
        <v>5197</v>
      </c>
      <c r="D2726" s="4" t="str">
        <f t="shared" si="283"/>
        <v>400018635R1</v>
      </c>
      <c r="E2726" s="309" t="str">
        <f>VLOOKUP($B2726,'D7 - NDB Impacted SPRF''s'!$E$6:$O$9929,2,FALSE)</f>
        <v>NDB Address Standardization</v>
      </c>
      <c r="F2726" s="8" t="s">
        <v>4971</v>
      </c>
      <c r="G2726" s="8" t="s">
        <v>4758</v>
      </c>
      <c r="H2726" s="8" t="s">
        <v>2870</v>
      </c>
      <c r="I2726" s="20">
        <f>4523/160</f>
        <v>28.268750000000001</v>
      </c>
      <c r="J2726" s="8" t="s">
        <v>4862</v>
      </c>
      <c r="K2726" s="182"/>
      <c r="L2726" s="8" t="s">
        <v>4156</v>
      </c>
      <c r="M2726" s="8" t="s">
        <v>2814</v>
      </c>
      <c r="N2726" s="38" t="s">
        <v>1948</v>
      </c>
      <c r="O2726" s="8"/>
      <c r="P2726" s="4" t="str">
        <f>VLOOKUP($B2726,'D7 - NDB Impacted SPRF''s'!$E$16:$O$9929,9,FALSE)</f>
        <v>N</v>
      </c>
      <c r="Q2726" s="4" t="str">
        <f>VLOOKUP($B2726,'D7 - NDB Impacted SPRF''s'!$E$16:$O$9929,10,FALSE)</f>
        <v>N</v>
      </c>
      <c r="R2726" s="4" t="str">
        <f>VLOOKUP($B2726,'D7 - NDB Impacted SPRF''s'!$E$16:$O$9929,11,FALSE)</f>
        <v>N</v>
      </c>
      <c r="S2726" s="8"/>
      <c r="T2726" s="310"/>
      <c r="U2726" s="310"/>
      <c r="V2726" s="4"/>
      <c r="W2726" s="4"/>
      <c r="X2726" s="4"/>
      <c r="Y2726" s="4"/>
      <c r="Z2726" s="4"/>
      <c r="AA2726" s="4"/>
      <c r="AB2726" s="380" t="str">
        <f>VLOOKUP($B2726,'D7 - NDB Impacted SPRF''s'!$E$16:$O$9929,4,FALSE)</f>
        <v>Cancelled</v>
      </c>
      <c r="AC2726" s="380" t="str">
        <f>VLOOKUP($B2726,'D7 - NDB Impacted SPRF''s'!$E$16:$O$9929,3,FALSE)</f>
        <v>UnitedHealthcare Employer &amp; Individual</v>
      </c>
      <c r="AD2726" s="380" t="str">
        <f>VLOOKUP($B2726,'D7 - NDB Impacted SPRF''s'!$E$16:$O$9929,5,FALSE)</f>
        <v>Process Improvement</v>
      </c>
      <c r="AE2726" s="380" t="str">
        <f>VLOOKUP($B2726,'D7 - NDB Impacted SPRF''s'!$E$16:$O$9929,7,FALSE)</f>
        <v>Matt Guisinger</v>
      </c>
      <c r="AF2726" s="380" t="str">
        <f>VLOOKUP($B2726,'D7 - NDB Impacted SPRF''s'!$E$16:$O$9929,6,FALSE)</f>
        <v>STEPHEN FINLEY</v>
      </c>
      <c r="AG2726" s="282"/>
      <c r="AH2726" s="311" t="e">
        <f>INDEX('D5 - Gatekeeper - Projects'!$A$4:$AF$1010,$AM2726, 17)</f>
        <v>#N/A</v>
      </c>
      <c r="AI2726" s="8"/>
      <c r="AJ2726" s="57"/>
      <c r="AK2726" s="105"/>
      <c r="AM2726" s="6" t="e">
        <f>MATCH(D2726,'D5 - Gatekeeper - Projects'!$C$4:$C$1010,0)</f>
        <v>#N/A</v>
      </c>
      <c r="AN2726" s="6" t="b">
        <f t="shared" si="280"/>
        <v>1</v>
      </c>
      <c r="AO2726" s="6" t="str">
        <f t="shared" si="281"/>
        <v>OK</v>
      </c>
      <c r="AQ2726" s="6" t="e">
        <f>MATCH($D2726,'D4 - Provider Council Unsched'!$C$11:$C$234,0)</f>
        <v>#N/A</v>
      </c>
      <c r="AR2726" s="6" t="b">
        <f t="shared" si="282"/>
        <v>1</v>
      </c>
      <c r="AS2726" s="6" t="str">
        <f t="shared" si="284"/>
        <v>OK</v>
      </c>
      <c r="AU2726" s="202"/>
      <c r="AV2726" s="262"/>
      <c r="AW2726" s="274"/>
    </row>
    <row r="2727" spans="1:49" s="13" customFormat="1" ht="33.75" x14ac:dyDescent="0.2">
      <c r="A2727" s="14">
        <v>2703</v>
      </c>
      <c r="B2727" s="134">
        <v>400018724</v>
      </c>
      <c r="C2727" s="8" t="s">
        <v>5197</v>
      </c>
      <c r="D2727" s="4" t="str">
        <f t="shared" si="283"/>
        <v>400018724R1</v>
      </c>
      <c r="E2727" s="309" t="str">
        <f>VLOOKUP($B2727,'D7 - NDB Impacted SPRF''s'!$E$6:$O$9929,2,FALSE)</f>
        <v>NHP - UP Conversion Tools</v>
      </c>
      <c r="F2727" s="8" t="s">
        <v>3248</v>
      </c>
      <c r="G2727" s="8" t="s">
        <v>4758</v>
      </c>
      <c r="H2727" s="8" t="s">
        <v>2870</v>
      </c>
      <c r="I2727" s="20"/>
      <c r="J2727" s="8"/>
      <c r="K2727" s="182"/>
      <c r="L2727" s="8" t="s">
        <v>4156</v>
      </c>
      <c r="M2727" s="8" t="s">
        <v>2814</v>
      </c>
      <c r="N2727" s="38"/>
      <c r="O2727" s="8"/>
      <c r="P2727" s="4" t="str">
        <f>VLOOKUP($B2727,'D7 - NDB Impacted SPRF''s'!$E$16:$O$9929,9,FALSE)</f>
        <v>Y</v>
      </c>
      <c r="Q2727" s="4" t="str">
        <f>VLOOKUP($B2727,'D7 - NDB Impacted SPRF''s'!$E$16:$O$9929,10,FALSE)</f>
        <v>N</v>
      </c>
      <c r="R2727" s="4" t="str">
        <f>VLOOKUP($B2727,'D7 - NDB Impacted SPRF''s'!$E$16:$O$9929,11,FALSE)</f>
        <v>N</v>
      </c>
      <c r="S2727" s="8"/>
      <c r="T2727" s="310"/>
      <c r="U2727" s="310"/>
      <c r="V2727" s="4"/>
      <c r="W2727" s="4"/>
      <c r="X2727" s="4"/>
      <c r="Y2727" s="4"/>
      <c r="Z2727" s="4"/>
      <c r="AA2727" s="4"/>
      <c r="AB2727" s="380" t="str">
        <f>VLOOKUP($B2727,'D7 - NDB Impacted SPRF''s'!$E$16:$O$9929,4,FALSE)</f>
        <v>Cancelled</v>
      </c>
      <c r="AC2727" s="380" t="str">
        <f>VLOOKUP($B2727,'D7 - NDB Impacted SPRF''s'!$E$16:$O$9929,3,FALSE)</f>
        <v>UnitedHealthcare Employer &amp; Individual</v>
      </c>
      <c r="AD2727" s="380" t="str">
        <f>VLOOKUP($B2727,'D7 - NDB Impacted SPRF''s'!$E$16:$O$9929,5,FALSE)</f>
        <v>Integration Requirements</v>
      </c>
      <c r="AE2727" s="380" t="str">
        <f>VLOOKUP($B2727,'D7 - NDB Impacted SPRF''s'!$E$16:$O$9929,7,FALSE)</f>
        <v>Diane Schofield</v>
      </c>
      <c r="AF2727" s="380" t="str">
        <f>VLOOKUP($B2727,'D7 - NDB Impacted SPRF''s'!$E$16:$O$9929,6,FALSE)</f>
        <v>JERRIL PALMER</v>
      </c>
      <c r="AG2727" s="282"/>
      <c r="AH2727" s="311" t="e">
        <f>INDEX('D5 - Gatekeeper - Projects'!$A$4:$AF$1010,$AM2727, 17)</f>
        <v>#N/A</v>
      </c>
      <c r="AI2727" s="8"/>
      <c r="AJ2727" s="57"/>
      <c r="AK2727" s="105"/>
      <c r="AM2727" s="6" t="e">
        <f>MATCH(D2727,'D5 - Gatekeeper - Projects'!$C$4:$C$1010,0)</f>
        <v>#N/A</v>
      </c>
      <c r="AN2727" s="6" t="b">
        <f t="shared" si="280"/>
        <v>1</v>
      </c>
      <c r="AO2727" s="6" t="str">
        <f t="shared" si="281"/>
        <v>OK</v>
      </c>
      <c r="AQ2727" s="6" t="e">
        <f>MATCH($D2727,'D4 - Provider Council Unsched'!$C$11:$C$234,0)</f>
        <v>#N/A</v>
      </c>
      <c r="AR2727" s="6" t="b">
        <f t="shared" si="282"/>
        <v>1</v>
      </c>
      <c r="AS2727" s="6" t="str">
        <f t="shared" si="284"/>
        <v>OK</v>
      </c>
      <c r="AU2727" s="202"/>
      <c r="AV2727" s="262"/>
      <c r="AW2727" s="274"/>
    </row>
    <row r="2728" spans="1:49" s="13" customFormat="1" ht="33.75" x14ac:dyDescent="0.2">
      <c r="A2728" s="14">
        <v>2704</v>
      </c>
      <c r="B2728" s="134">
        <v>400018747</v>
      </c>
      <c r="C2728" s="8" t="s">
        <v>5197</v>
      </c>
      <c r="D2728" s="4" t="str">
        <f t="shared" si="283"/>
        <v>400018747R1</v>
      </c>
      <c r="E2728" s="309" t="str">
        <f>VLOOKUP($B2728,'D7 - NDB Impacted SPRF''s'!$E$6:$O$9929,2,FALSE)</f>
        <v>Enterprise Capitation - Integrated Inputs Testing</v>
      </c>
      <c r="F2728" s="8" t="s">
        <v>7593</v>
      </c>
      <c r="G2728" s="8" t="s">
        <v>4758</v>
      </c>
      <c r="H2728" s="8" t="s">
        <v>2870</v>
      </c>
      <c r="I2728" s="20"/>
      <c r="J2728" s="8"/>
      <c r="K2728" s="182"/>
      <c r="L2728" s="8" t="s">
        <v>4156</v>
      </c>
      <c r="M2728" s="8" t="s">
        <v>2814</v>
      </c>
      <c r="N2728" s="38"/>
      <c r="O2728" s="8"/>
      <c r="P2728" s="4" t="str">
        <f>VLOOKUP($B2728,'D7 - NDB Impacted SPRF''s'!$E$16:$O$9929,9,FALSE)</f>
        <v>N</v>
      </c>
      <c r="Q2728" s="4" t="str">
        <f>VLOOKUP($B2728,'D7 - NDB Impacted SPRF''s'!$E$16:$O$9929,10,FALSE)</f>
        <v>N</v>
      </c>
      <c r="R2728" s="4" t="str">
        <f>VLOOKUP($B2728,'D7 - NDB Impacted SPRF''s'!$E$16:$O$9929,11,FALSE)</f>
        <v>N</v>
      </c>
      <c r="S2728" s="8"/>
      <c r="T2728" s="310"/>
      <c r="U2728" s="310"/>
      <c r="V2728" s="4"/>
      <c r="W2728" s="4"/>
      <c r="X2728" s="4"/>
      <c r="Y2728" s="4"/>
      <c r="Z2728" s="4"/>
      <c r="AA2728" s="4"/>
      <c r="AB2728" s="380" t="str">
        <f>VLOOKUP($B2728,'D7 - NDB Impacted SPRF''s'!$E$16:$O$9929,4,FALSE)</f>
        <v>Cancelled</v>
      </c>
      <c r="AC2728" s="380" t="str">
        <f>VLOOKUP($B2728,'D7 - NDB Impacted SPRF''s'!$E$16:$O$9929,3,FALSE)</f>
        <v>UnitedHealthcare Employer &amp; Individual</v>
      </c>
      <c r="AD2728" s="380" t="str">
        <f>VLOOKUP($B2728,'D7 - NDB Impacted SPRF''s'!$E$16:$O$9929,5,FALSE)</f>
        <v>Integration Requirements</v>
      </c>
      <c r="AE2728" s="380" t="str">
        <f>VLOOKUP($B2728,'D7 - NDB Impacted SPRF''s'!$E$16:$O$9929,7,FALSE)</f>
        <v>Todd Murr</v>
      </c>
      <c r="AF2728" s="380" t="str">
        <f>VLOOKUP($B2728,'D7 - NDB Impacted SPRF''s'!$E$16:$O$9929,6,FALSE)</f>
        <v>KRISTINE NOBLE</v>
      </c>
      <c r="AG2728" s="282"/>
      <c r="AH2728" s="311" t="e">
        <f>INDEX('D5 - Gatekeeper - Projects'!$A$4:$AF$1010,$AM2728, 17)</f>
        <v>#N/A</v>
      </c>
      <c r="AI2728" s="8"/>
      <c r="AJ2728" s="57"/>
      <c r="AK2728" s="105"/>
      <c r="AM2728" s="6" t="e">
        <f>MATCH(D2728,'D5 - Gatekeeper - Projects'!$C$4:$C$1010,0)</f>
        <v>#N/A</v>
      </c>
      <c r="AN2728" s="6" t="b">
        <f t="shared" si="280"/>
        <v>1</v>
      </c>
      <c r="AO2728" s="6" t="str">
        <f t="shared" si="281"/>
        <v>OK</v>
      </c>
      <c r="AQ2728" s="6" t="e">
        <f>MATCH($D2728,'D4 - Provider Council Unsched'!$C$11:$C$234,0)</f>
        <v>#N/A</v>
      </c>
      <c r="AR2728" s="6" t="b">
        <f t="shared" si="282"/>
        <v>1</v>
      </c>
      <c r="AS2728" s="6" t="str">
        <f t="shared" si="284"/>
        <v>OK</v>
      </c>
      <c r="AU2728" s="202"/>
      <c r="AV2728" s="262"/>
      <c r="AW2728" s="274"/>
    </row>
    <row r="2729" spans="1:49" s="13" customFormat="1" ht="33.75" x14ac:dyDescent="0.2">
      <c r="A2729" s="14">
        <v>2705</v>
      </c>
      <c r="B2729" s="14">
        <v>400018800</v>
      </c>
      <c r="C2729" s="8" t="s">
        <v>5197</v>
      </c>
      <c r="D2729" s="4" t="str">
        <f t="shared" si="283"/>
        <v>400018800R1</v>
      </c>
      <c r="E2729" s="309" t="str">
        <f>VLOOKUP($B2729,'D7 - NDB Impacted SPRF''s'!$E$6:$O$9929,2,FALSE)</f>
        <v>Clinical Self Service</v>
      </c>
      <c r="F2729" s="8" t="s">
        <v>2114</v>
      </c>
      <c r="G2729" s="8" t="s">
        <v>4758</v>
      </c>
      <c r="H2729" s="8" t="s">
        <v>2870</v>
      </c>
      <c r="I2729" s="20"/>
      <c r="J2729" s="8"/>
      <c r="K2729" s="182"/>
      <c r="L2729" s="8" t="s">
        <v>4156</v>
      </c>
      <c r="M2729" s="8" t="s">
        <v>2814</v>
      </c>
      <c r="N2729" s="38"/>
      <c r="O2729" s="8"/>
      <c r="P2729" s="4" t="str">
        <f>VLOOKUP($B2729,'D7 - NDB Impacted SPRF''s'!$E$16:$O$9929,9,FALSE)</f>
        <v>Y</v>
      </c>
      <c r="Q2729" s="4" t="str">
        <f>VLOOKUP($B2729,'D7 - NDB Impacted SPRF''s'!$E$16:$O$9929,10,FALSE)</f>
        <v>N</v>
      </c>
      <c r="R2729" s="4" t="str">
        <f>VLOOKUP($B2729,'D7 - NDB Impacted SPRF''s'!$E$16:$O$9929,11,FALSE)</f>
        <v>N</v>
      </c>
      <c r="S2729" s="8"/>
      <c r="T2729" s="310"/>
      <c r="U2729" s="310"/>
      <c r="V2729" s="4"/>
      <c r="W2729" s="4"/>
      <c r="X2729" s="4"/>
      <c r="Y2729" s="4"/>
      <c r="Z2729" s="4"/>
      <c r="AA2729" s="4"/>
      <c r="AB2729" s="380" t="str">
        <f>VLOOKUP($B2729,'D7 - NDB Impacted SPRF''s'!$E$16:$O$9929,4,FALSE)</f>
        <v>Cancelled</v>
      </c>
      <c r="AC2729" s="380" t="str">
        <f>VLOOKUP($B2729,'D7 - NDB Impacted SPRF''s'!$E$16:$O$9929,3,FALSE)</f>
        <v>UnitedHealthcare Medicare &amp; Retirement</v>
      </c>
      <c r="AD2729" s="380" t="str">
        <f>VLOOKUP($B2729,'D7 - NDB Impacted SPRF''s'!$E$16:$O$9929,5,FALSE)</f>
        <v>Ovations</v>
      </c>
      <c r="AE2729" s="380" t="str">
        <f>VLOOKUP($B2729,'D7 - NDB Impacted SPRF''s'!$E$16:$O$9929,7,FALSE)</f>
        <v>Cindi Middaugh</v>
      </c>
      <c r="AF2729" s="380" t="str">
        <f>VLOOKUP($B2729,'D7 - NDB Impacted SPRF''s'!$E$16:$O$9929,6,FALSE)</f>
        <v>Neeson Tom</v>
      </c>
      <c r="AG2729" s="282"/>
      <c r="AH2729" s="311" t="e">
        <f>INDEX('D5 - Gatekeeper - Projects'!$A$4:$AF$1010,$AM2729, 17)</f>
        <v>#N/A</v>
      </c>
      <c r="AI2729" s="8"/>
      <c r="AJ2729" s="57"/>
      <c r="AK2729" s="105"/>
      <c r="AM2729" s="6" t="e">
        <f>MATCH(D2729,'D5 - Gatekeeper - Projects'!$C$4:$C$1010,0)</f>
        <v>#N/A</v>
      </c>
      <c r="AN2729" s="6" t="b">
        <f t="shared" si="280"/>
        <v>1</v>
      </c>
      <c r="AO2729" s="6" t="str">
        <f t="shared" si="281"/>
        <v>OK</v>
      </c>
      <c r="AQ2729" s="6" t="e">
        <f>MATCH($D2729,'D4 - Provider Council Unsched'!$C$11:$C$234,0)</f>
        <v>#N/A</v>
      </c>
      <c r="AR2729" s="6" t="b">
        <f t="shared" si="282"/>
        <v>1</v>
      </c>
      <c r="AS2729" s="6" t="str">
        <f>IF(AND(H2729="2 - Not Scheduled",AR2729=TRUE,C2729="R1"),"Add","OK")</f>
        <v>OK</v>
      </c>
      <c r="AU2729" s="202"/>
      <c r="AV2729" s="262"/>
      <c r="AW2729" s="274"/>
    </row>
    <row r="2730" spans="1:49" s="13" customFormat="1" ht="33.75" x14ac:dyDescent="0.2">
      <c r="A2730" s="14">
        <v>2706</v>
      </c>
      <c r="B2730" s="14">
        <v>400018838</v>
      </c>
      <c r="C2730" s="8" t="s">
        <v>5197</v>
      </c>
      <c r="D2730" s="4" t="str">
        <f t="shared" si="283"/>
        <v>400018838R1</v>
      </c>
      <c r="E2730" s="309" t="str">
        <f>VLOOKUP($B2730,'D7 - NDB Impacted SPRF''s'!$E$6:$O$9929,2,FALSE)</f>
        <v>MAHP Add COE segment to EPDE NDB feed</v>
      </c>
      <c r="F2730" s="8" t="s">
        <v>5752</v>
      </c>
      <c r="G2730" s="8" t="s">
        <v>4758</v>
      </c>
      <c r="H2730" s="8" t="s">
        <v>2870</v>
      </c>
      <c r="I2730" s="20"/>
      <c r="J2730" s="8"/>
      <c r="K2730" s="182"/>
      <c r="L2730" s="8" t="s">
        <v>4156</v>
      </c>
      <c r="M2730" s="8" t="s">
        <v>6007</v>
      </c>
      <c r="N2730" s="38" t="s">
        <v>4570</v>
      </c>
      <c r="O2730" s="8"/>
      <c r="P2730" s="4" t="str">
        <f>VLOOKUP($B2730,'D7 - NDB Impacted SPRF''s'!$E$16:$O$9929,9,FALSE)</f>
        <v>N</v>
      </c>
      <c r="Q2730" s="4" t="str">
        <f>VLOOKUP($B2730,'D7 - NDB Impacted SPRF''s'!$E$16:$O$9929,10,FALSE)</f>
        <v>N</v>
      </c>
      <c r="R2730" s="4" t="str">
        <f>VLOOKUP($B2730,'D7 - NDB Impacted SPRF''s'!$E$16:$O$9929,11,FALSE)</f>
        <v>N</v>
      </c>
      <c r="S2730" s="8"/>
      <c r="T2730" s="310"/>
      <c r="U2730" s="310"/>
      <c r="V2730" s="4"/>
      <c r="W2730" s="4"/>
      <c r="X2730" s="4"/>
      <c r="Y2730" s="4"/>
      <c r="Z2730" s="4"/>
      <c r="AA2730" s="4"/>
      <c r="AB2730" s="380" t="str">
        <f>VLOOKUP($B2730,'D7 - NDB Impacted SPRF''s'!$E$16:$O$9929,4,FALSE)</f>
        <v>Cancelled</v>
      </c>
      <c r="AC2730" s="380" t="str">
        <f>VLOOKUP($B2730,'D7 - NDB Impacted SPRF''s'!$E$16:$O$9929,3,FALSE)</f>
        <v>UnitedHealthcare Employer &amp; Individual</v>
      </c>
      <c r="AD2730" s="380" t="str">
        <f>VLOOKUP($B2730,'D7 - NDB Impacted SPRF''s'!$E$16:$O$9929,5,FALSE)</f>
        <v>Integration Requirements</v>
      </c>
      <c r="AE2730" s="380" t="str">
        <f>VLOOKUP($B2730,'D7 - NDB Impacted SPRF''s'!$E$16:$O$9929,7,FALSE)</f>
        <v>Linda Crandall</v>
      </c>
      <c r="AF2730" s="380" t="str">
        <f>VLOOKUP($B2730,'D7 - NDB Impacted SPRF''s'!$E$16:$O$9929,6,FALSE)</f>
        <v>JOHN HULEN</v>
      </c>
      <c r="AG2730" s="282"/>
      <c r="AH2730" s="311" t="e">
        <f>INDEX('D5 - Gatekeeper - Projects'!$A$4:$AF$1010,$AM2730, 17)</f>
        <v>#N/A</v>
      </c>
      <c r="AI2730" s="8"/>
      <c r="AJ2730" s="57"/>
      <c r="AK2730" s="105"/>
      <c r="AM2730" s="6" t="e">
        <f>MATCH(D2730,'D5 - Gatekeeper - Projects'!$C$4:$C$1010,0)</f>
        <v>#N/A</v>
      </c>
      <c r="AN2730" s="6" t="b">
        <f t="shared" si="280"/>
        <v>1</v>
      </c>
      <c r="AO2730" s="6" t="str">
        <f t="shared" si="281"/>
        <v>OK</v>
      </c>
      <c r="AQ2730" s="6" t="e">
        <f>MATCH($D2730,'D4 - Provider Council Unsched'!$C$11:$C$234,0)</f>
        <v>#N/A</v>
      </c>
      <c r="AR2730" s="6" t="b">
        <f t="shared" si="282"/>
        <v>1</v>
      </c>
      <c r="AS2730" s="6" t="str">
        <f t="shared" ref="AS2730:AS2761" si="285">IF(AND(H2730="2 - Not Scheduled",AR2730=TRUE),"Add","OK")</f>
        <v>OK</v>
      </c>
      <c r="AU2730" s="202"/>
      <c r="AV2730" s="262"/>
      <c r="AW2730" s="274"/>
    </row>
    <row r="2731" spans="1:49" s="13" customFormat="1" ht="33.75" x14ac:dyDescent="0.2">
      <c r="A2731" s="14">
        <v>2707</v>
      </c>
      <c r="B2731" s="14">
        <v>400018846</v>
      </c>
      <c r="C2731" s="8" t="s">
        <v>5197</v>
      </c>
      <c r="D2731" s="4" t="str">
        <f t="shared" si="283"/>
        <v>400018846R1</v>
      </c>
      <c r="E2731" s="309" t="str">
        <f>VLOOKUP($B2731,'D7 - NDB Impacted SPRF''s'!$E$6:$O$9929,2,FALSE)</f>
        <v>Interest Waiver on Retro Eff. Provider Contracts</v>
      </c>
      <c r="F2731" s="8" t="s">
        <v>2114</v>
      </c>
      <c r="G2731" s="8" t="s">
        <v>4758</v>
      </c>
      <c r="H2731" s="8" t="s">
        <v>2870</v>
      </c>
      <c r="I2731" s="20">
        <f>9300/160</f>
        <v>58.125</v>
      </c>
      <c r="J2731" s="8" t="s">
        <v>4862</v>
      </c>
      <c r="K2731" s="182"/>
      <c r="L2731" s="8" t="s">
        <v>4156</v>
      </c>
      <c r="M2731" s="8" t="s">
        <v>2814</v>
      </c>
      <c r="N2731" s="38"/>
      <c r="O2731" s="8"/>
      <c r="P2731" s="4" t="str">
        <f>VLOOKUP($B2731,'D7 - NDB Impacted SPRF''s'!$E$16:$O$9929,9,FALSE)</f>
        <v>Y</v>
      </c>
      <c r="Q2731" s="4" t="str">
        <f>VLOOKUP($B2731,'D7 - NDB Impacted SPRF''s'!$E$16:$O$9929,10,FALSE)</f>
        <v>N</v>
      </c>
      <c r="R2731" s="4" t="str">
        <f>VLOOKUP($B2731,'D7 - NDB Impacted SPRF''s'!$E$16:$O$9929,11,FALSE)</f>
        <v>Y</v>
      </c>
      <c r="S2731" s="8"/>
      <c r="T2731" s="310"/>
      <c r="U2731" s="310"/>
      <c r="V2731" s="4"/>
      <c r="W2731" s="4"/>
      <c r="X2731" s="4"/>
      <c r="Y2731" s="4"/>
      <c r="Z2731" s="4"/>
      <c r="AA2731" s="4"/>
      <c r="AB2731" s="380" t="str">
        <f>VLOOKUP($B2731,'D7 - NDB Impacted SPRF''s'!$E$16:$O$9929,4,FALSE)</f>
        <v>Cancelled</v>
      </c>
      <c r="AC2731" s="380" t="str">
        <f>VLOOKUP($B2731,'D7 - NDB Impacted SPRF''s'!$E$16:$O$9929,3,FALSE)</f>
        <v>UnitedHealthcare Employer &amp; Individual</v>
      </c>
      <c r="AD2731" s="380" t="str">
        <f>VLOOKUP($B2731,'D7 - NDB Impacted SPRF''s'!$E$16:$O$9929,5,FALSE)</f>
        <v>Operational Requirements</v>
      </c>
      <c r="AE2731" s="380" t="str">
        <f>VLOOKUP($B2731,'D7 - NDB Impacted SPRF''s'!$E$16:$O$9929,7,FALSE)</f>
        <v>Tim Kaja</v>
      </c>
      <c r="AF2731" s="380" t="str">
        <f>VLOOKUP($B2731,'D7 - NDB Impacted SPRF''s'!$E$16:$O$9929,6,FALSE)</f>
        <v>CHERYL STAUFFER</v>
      </c>
      <c r="AG2731" s="282"/>
      <c r="AH2731" s="311" t="e">
        <f>INDEX('D5 - Gatekeeper - Projects'!$A$4:$AF$1010,$AM2731, 17)</f>
        <v>#N/A</v>
      </c>
      <c r="AI2731" s="8"/>
      <c r="AJ2731" s="57"/>
      <c r="AK2731" s="105"/>
      <c r="AM2731" s="6" t="e">
        <f>MATCH(D2731,'D5 - Gatekeeper - Projects'!$C$4:$C$1010,0)</f>
        <v>#N/A</v>
      </c>
      <c r="AN2731" s="6" t="b">
        <f t="shared" si="280"/>
        <v>1</v>
      </c>
      <c r="AO2731" s="6" t="str">
        <f t="shared" si="281"/>
        <v>OK</v>
      </c>
      <c r="AQ2731" s="6" t="e">
        <f>MATCH($D2731,'D4 - Provider Council Unsched'!$C$11:$C$234,0)</f>
        <v>#N/A</v>
      </c>
      <c r="AR2731" s="6" t="b">
        <f t="shared" si="282"/>
        <v>1</v>
      </c>
      <c r="AS2731" s="6" t="str">
        <f t="shared" si="285"/>
        <v>OK</v>
      </c>
      <c r="AU2731" s="202"/>
      <c r="AV2731" s="262"/>
      <c r="AW2731" s="274"/>
    </row>
    <row r="2732" spans="1:49" s="13" customFormat="1" ht="22.5" x14ac:dyDescent="0.2">
      <c r="A2732" s="14">
        <v>2708</v>
      </c>
      <c r="B2732" s="14">
        <v>400018936</v>
      </c>
      <c r="C2732" s="8" t="s">
        <v>5197</v>
      </c>
      <c r="D2732" s="4" t="str">
        <f t="shared" si="283"/>
        <v>400018936R1</v>
      </c>
      <c r="E2732" s="309" t="str">
        <f>VLOOKUP($B2732,'D7 - NDB Impacted SPRF''s'!$E$6:$O$9929,2,FALSE)</f>
        <v>Provider search solution fit-gap analysis</v>
      </c>
      <c r="F2732" s="8" t="s">
        <v>2114</v>
      </c>
      <c r="G2732" s="8" t="s">
        <v>4758</v>
      </c>
      <c r="H2732" s="8" t="s">
        <v>2870</v>
      </c>
      <c r="I2732" s="20"/>
      <c r="J2732" s="8"/>
      <c r="K2732" s="182"/>
      <c r="L2732" s="8" t="s">
        <v>4156</v>
      </c>
      <c r="M2732" s="8" t="s">
        <v>2814</v>
      </c>
      <c r="N2732" s="38"/>
      <c r="O2732" s="8"/>
      <c r="P2732" s="4" t="str">
        <f>VLOOKUP($B2732,'D7 - NDB Impacted SPRF''s'!$E$16:$O$9929,9,FALSE)</f>
        <v>N</v>
      </c>
      <c r="Q2732" s="4" t="str">
        <f>VLOOKUP($B2732,'D7 - NDB Impacted SPRF''s'!$E$16:$O$9929,10,FALSE)</f>
        <v>N</v>
      </c>
      <c r="R2732" s="4" t="str">
        <f>VLOOKUP($B2732,'D7 - NDB Impacted SPRF''s'!$E$16:$O$9929,11,FALSE)</f>
        <v>N</v>
      </c>
      <c r="S2732" s="8"/>
      <c r="T2732" s="310"/>
      <c r="U2732" s="310"/>
      <c r="V2732" s="4"/>
      <c r="W2732" s="4"/>
      <c r="X2732" s="4"/>
      <c r="Y2732" s="4"/>
      <c r="Z2732" s="4"/>
      <c r="AA2732" s="4"/>
      <c r="AB2732" s="380" t="str">
        <f>VLOOKUP($B2732,'D7 - NDB Impacted SPRF''s'!$E$16:$O$9929,4,FALSE)</f>
        <v>Cancelled</v>
      </c>
      <c r="AC2732" s="380" t="str">
        <f>VLOOKUP($B2732,'D7 - NDB Impacted SPRF''s'!$E$16:$O$9929,3,FALSE)</f>
        <v>Uniprise</v>
      </c>
      <c r="AD2732" s="380" t="str">
        <f>VLOOKUP($B2732,'D7 - NDB Impacted SPRF''s'!$E$16:$O$9929,5,FALSE)</f>
        <v>Uniprise Technologies - Capital Projects</v>
      </c>
      <c r="AE2732" s="380" t="str">
        <f>VLOOKUP($B2732,'D7 - NDB Impacted SPRF''s'!$E$16:$O$9929,7,FALSE)</f>
        <v>Auerbach</v>
      </c>
      <c r="AF2732" s="380" t="str">
        <f>VLOOKUP($B2732,'D7 - NDB Impacted SPRF''s'!$E$16:$O$9929,6,FALSE)</f>
        <v>Jesse Owdom</v>
      </c>
      <c r="AG2732" s="282"/>
      <c r="AH2732" s="311" t="e">
        <f>INDEX('D5 - Gatekeeper - Projects'!$A$4:$AF$1010,$AM2732, 17)</f>
        <v>#N/A</v>
      </c>
      <c r="AI2732" s="8"/>
      <c r="AJ2732" s="57"/>
      <c r="AK2732" s="105"/>
      <c r="AM2732" s="6" t="e">
        <f>MATCH(D2732,'D5 - Gatekeeper - Projects'!$C$4:$C$1010,0)</f>
        <v>#N/A</v>
      </c>
      <c r="AN2732" s="6" t="b">
        <f t="shared" si="280"/>
        <v>1</v>
      </c>
      <c r="AO2732" s="6" t="str">
        <f t="shared" si="281"/>
        <v>OK</v>
      </c>
      <c r="AQ2732" s="6" t="e">
        <f>MATCH($D2732,'D4 - Provider Council Unsched'!$C$11:$C$234,0)</f>
        <v>#N/A</v>
      </c>
      <c r="AR2732" s="6" t="b">
        <f t="shared" si="282"/>
        <v>1</v>
      </c>
      <c r="AS2732" s="6" t="str">
        <f t="shared" si="285"/>
        <v>OK</v>
      </c>
      <c r="AU2732" s="202"/>
      <c r="AV2732" s="262"/>
      <c r="AW2732" s="274"/>
    </row>
    <row r="2733" spans="1:49" s="13" customFormat="1" ht="33.75" x14ac:dyDescent="0.2">
      <c r="A2733" s="14">
        <v>2709</v>
      </c>
      <c r="B2733" s="14">
        <v>400018944</v>
      </c>
      <c r="C2733" s="8" t="s">
        <v>5197</v>
      </c>
      <c r="D2733" s="4" t="str">
        <f t="shared" si="283"/>
        <v>400018944R1</v>
      </c>
      <c r="E2733" s="309" t="str">
        <f>VLOOKUP($B2733,'D7 - NDB Impacted SPRF''s'!$E$6:$O$9929,2,FALSE)</f>
        <v>WPAHS Product Directories</v>
      </c>
      <c r="F2733" s="8" t="s">
        <v>4479</v>
      </c>
      <c r="G2733" s="8" t="s">
        <v>4758</v>
      </c>
      <c r="H2733" s="8" t="s">
        <v>2870</v>
      </c>
      <c r="I2733" s="20"/>
      <c r="J2733" s="8"/>
      <c r="K2733" s="182"/>
      <c r="L2733" s="8" t="s">
        <v>4156</v>
      </c>
      <c r="M2733" s="8" t="s">
        <v>2814</v>
      </c>
      <c r="N2733" s="38"/>
      <c r="O2733" s="8"/>
      <c r="P2733" s="4" t="str">
        <f>VLOOKUP($B2733,'D7 - NDB Impacted SPRF''s'!$E$16:$O$9929,9,FALSE)</f>
        <v>N</v>
      </c>
      <c r="Q2733" s="4" t="str">
        <f>VLOOKUP($B2733,'D7 - NDB Impacted SPRF''s'!$E$16:$O$9929,10,FALSE)</f>
        <v>N</v>
      </c>
      <c r="R2733" s="4" t="str">
        <f>VLOOKUP($B2733,'D7 - NDB Impacted SPRF''s'!$E$16:$O$9929,11,FALSE)</f>
        <v>N</v>
      </c>
      <c r="S2733" s="8"/>
      <c r="T2733" s="310"/>
      <c r="U2733" s="310"/>
      <c r="V2733" s="4"/>
      <c r="W2733" s="4"/>
      <c r="X2733" s="4"/>
      <c r="Y2733" s="4"/>
      <c r="Z2733" s="4"/>
      <c r="AA2733" s="4"/>
      <c r="AB2733" s="380" t="str">
        <f>VLOOKUP($B2733,'D7 - NDB Impacted SPRF''s'!$E$16:$O$9929,4,FALSE)</f>
        <v>Cancelled</v>
      </c>
      <c r="AC2733" s="380" t="str">
        <f>VLOOKUP($B2733,'D7 - NDB Impacted SPRF''s'!$E$16:$O$9929,3,FALSE)</f>
        <v>UnitedHealthcare Employer &amp; Individual</v>
      </c>
      <c r="AD2733" s="380" t="str">
        <f>VLOOKUP($B2733,'D7 - NDB Impacted SPRF''s'!$E$16:$O$9929,5,FALSE)</f>
        <v>Integration Requirements</v>
      </c>
      <c r="AE2733" s="380" t="str">
        <f>VLOOKUP($B2733,'D7 - NDB Impacted SPRF''s'!$E$16:$O$9929,7,FALSE)</f>
        <v>Ed Lagerstrom</v>
      </c>
      <c r="AF2733" s="380" t="str">
        <f>VLOOKUP($B2733,'D7 - NDB Impacted SPRF''s'!$E$16:$O$9929,6,FALSE)</f>
        <v>JOHN HIEBERT</v>
      </c>
      <c r="AG2733" s="282"/>
      <c r="AH2733" s="311" t="e">
        <f>INDEX('D5 - Gatekeeper - Projects'!$A$4:$AF$1010,$AM2733, 17)</f>
        <v>#N/A</v>
      </c>
      <c r="AI2733" s="8"/>
      <c r="AJ2733" s="57"/>
      <c r="AK2733" s="105"/>
      <c r="AM2733" s="6" t="e">
        <f>MATCH(D2733,'D5 - Gatekeeper - Projects'!$C$4:$C$1010,0)</f>
        <v>#N/A</v>
      </c>
      <c r="AN2733" s="6" t="b">
        <f t="shared" si="280"/>
        <v>1</v>
      </c>
      <c r="AO2733" s="6" t="str">
        <f t="shared" si="281"/>
        <v>OK</v>
      </c>
      <c r="AQ2733" s="6" t="e">
        <f>MATCH($D2733,'D4 - Provider Council Unsched'!$C$11:$C$234,0)</f>
        <v>#N/A</v>
      </c>
      <c r="AR2733" s="6" t="b">
        <f t="shared" si="282"/>
        <v>1</v>
      </c>
      <c r="AS2733" s="6" t="str">
        <f t="shared" si="285"/>
        <v>OK</v>
      </c>
      <c r="AU2733" s="202"/>
      <c r="AV2733" s="262"/>
      <c r="AW2733" s="274"/>
    </row>
    <row r="2734" spans="1:49" s="13" customFormat="1" ht="33.75" x14ac:dyDescent="0.2">
      <c r="A2734" s="14">
        <v>2710</v>
      </c>
      <c r="B2734" s="14">
        <v>400018967</v>
      </c>
      <c r="C2734" s="8" t="s">
        <v>5197</v>
      </c>
      <c r="D2734" s="4" t="str">
        <f t="shared" si="283"/>
        <v>400018967R1</v>
      </c>
      <c r="E2734" s="309" t="str">
        <f>VLOOKUP($B2734,'D7 - NDB Impacted SPRF''s'!$E$6:$O$9929,2,FALSE)</f>
        <v>Update Provider Selection Matching Logic</v>
      </c>
      <c r="F2734" s="8" t="s">
        <v>2114</v>
      </c>
      <c r="G2734" s="8" t="s">
        <v>4758</v>
      </c>
      <c r="H2734" s="8" t="s">
        <v>2870</v>
      </c>
      <c r="I2734" s="20"/>
      <c r="J2734" s="8"/>
      <c r="K2734" s="182"/>
      <c r="L2734" s="8" t="s">
        <v>4156</v>
      </c>
      <c r="M2734" s="8" t="s">
        <v>6007</v>
      </c>
      <c r="N2734" s="38" t="s">
        <v>4922</v>
      </c>
      <c r="O2734" s="8"/>
      <c r="P2734" s="4" t="str">
        <f>VLOOKUP($B2734,'D7 - NDB Impacted SPRF''s'!$E$16:$O$9929,9,FALSE)</f>
        <v>N</v>
      </c>
      <c r="Q2734" s="4" t="str">
        <f>VLOOKUP($B2734,'D7 - NDB Impacted SPRF''s'!$E$16:$O$9929,10,FALSE)</f>
        <v>N</v>
      </c>
      <c r="R2734" s="4" t="str">
        <f>VLOOKUP($B2734,'D7 - NDB Impacted SPRF''s'!$E$16:$O$9929,11,FALSE)</f>
        <v>N</v>
      </c>
      <c r="S2734" s="8"/>
      <c r="T2734" s="310"/>
      <c r="U2734" s="310"/>
      <c r="V2734" s="4"/>
      <c r="W2734" s="4"/>
      <c r="X2734" s="4"/>
      <c r="Y2734" s="4"/>
      <c r="Z2734" s="4"/>
      <c r="AA2734" s="4"/>
      <c r="AB2734" s="380" t="str">
        <f>VLOOKUP($B2734,'D7 - NDB Impacted SPRF''s'!$E$16:$O$9929,4,FALSE)</f>
        <v>Cancelled</v>
      </c>
      <c r="AC2734" s="380" t="str">
        <f>VLOOKUP($B2734,'D7 - NDB Impacted SPRF''s'!$E$16:$O$9929,3,FALSE)</f>
        <v>UnitedHealthcare Employer &amp; Individual</v>
      </c>
      <c r="AD2734" s="380" t="str">
        <f>VLOOKUP($B2734,'D7 - NDB Impacted SPRF''s'!$E$16:$O$9929,5,FALSE)</f>
        <v>Medical Cost Savings Programs</v>
      </c>
      <c r="AE2734" s="380" t="str">
        <f>VLOOKUP($B2734,'D7 - NDB Impacted SPRF''s'!$E$16:$O$9929,7,FALSE)</f>
        <v>Eileen Dock</v>
      </c>
      <c r="AF2734" s="380" t="str">
        <f>VLOOKUP($B2734,'D7 - NDB Impacted SPRF''s'!$E$16:$O$9929,6,FALSE)</f>
        <v>SUSAN HAGEN</v>
      </c>
      <c r="AG2734" s="282"/>
      <c r="AH2734" s="311" t="e">
        <f>INDEX('D5 - Gatekeeper - Projects'!$A$4:$AF$1010,$AM2734, 17)</f>
        <v>#N/A</v>
      </c>
      <c r="AI2734" s="8"/>
      <c r="AJ2734" s="57"/>
      <c r="AK2734" s="105"/>
      <c r="AM2734" s="6" t="e">
        <f>MATCH(D2734,'D5 - Gatekeeper - Projects'!$C$4:$C$1010,0)</f>
        <v>#N/A</v>
      </c>
      <c r="AN2734" s="6" t="b">
        <f t="shared" si="280"/>
        <v>1</v>
      </c>
      <c r="AO2734" s="6" t="str">
        <f t="shared" si="281"/>
        <v>OK</v>
      </c>
      <c r="AQ2734" s="6" t="e">
        <f>MATCH($D2734,'D4 - Provider Council Unsched'!$C$11:$C$234,0)</f>
        <v>#N/A</v>
      </c>
      <c r="AR2734" s="6" t="b">
        <f t="shared" si="282"/>
        <v>1</v>
      </c>
      <c r="AS2734" s="6" t="str">
        <f t="shared" si="285"/>
        <v>OK</v>
      </c>
      <c r="AU2734" s="202"/>
      <c r="AV2734" s="262"/>
      <c r="AW2734" s="274"/>
    </row>
    <row r="2735" spans="1:49" s="13" customFormat="1" ht="33.75" x14ac:dyDescent="0.2">
      <c r="A2735" s="14">
        <v>2711</v>
      </c>
      <c r="B2735" s="14">
        <v>400018972</v>
      </c>
      <c r="C2735" s="8" t="s">
        <v>5197</v>
      </c>
      <c r="D2735" s="4" t="str">
        <f t="shared" si="283"/>
        <v>400018972R1</v>
      </c>
      <c r="E2735" s="309" t="str">
        <f>VLOOKUP($B2735,'D7 - NDB Impacted SPRF''s'!$E$6:$O$9929,2,FALSE)</f>
        <v>National Medical - Strategy &amp; Architecture - 2007</v>
      </c>
      <c r="F2735" s="8" t="s">
        <v>2114</v>
      </c>
      <c r="G2735" s="8" t="s">
        <v>4758</v>
      </c>
      <c r="H2735" s="8" t="s">
        <v>2870</v>
      </c>
      <c r="I2735" s="20">
        <v>0.03</v>
      </c>
      <c r="J2735" s="8" t="s">
        <v>4862</v>
      </c>
      <c r="K2735" s="182"/>
      <c r="L2735" s="8" t="s">
        <v>4156</v>
      </c>
      <c r="M2735" s="8" t="s">
        <v>2814</v>
      </c>
      <c r="N2735" s="38" t="s">
        <v>4675</v>
      </c>
      <c r="O2735" s="8"/>
      <c r="P2735" s="4" t="str">
        <f>VLOOKUP($B2735,'D7 - NDB Impacted SPRF''s'!$E$16:$O$9929,9,FALSE)</f>
        <v>Y</v>
      </c>
      <c r="Q2735" s="4" t="str">
        <f>VLOOKUP($B2735,'D7 - NDB Impacted SPRF''s'!$E$16:$O$9929,10,FALSE)</f>
        <v>N</v>
      </c>
      <c r="R2735" s="4" t="str">
        <f>VLOOKUP($B2735,'D7 - NDB Impacted SPRF''s'!$E$16:$O$9929,11,FALSE)</f>
        <v>N</v>
      </c>
      <c r="S2735" s="8"/>
      <c r="T2735" s="310"/>
      <c r="U2735" s="310"/>
      <c r="V2735" s="4"/>
      <c r="W2735" s="4"/>
      <c r="X2735" s="4"/>
      <c r="Y2735" s="4"/>
      <c r="Z2735" s="4"/>
      <c r="AA2735" s="4"/>
      <c r="AB2735" s="380" t="str">
        <f>VLOOKUP($B2735,'D7 - NDB Impacted SPRF''s'!$E$16:$O$9929,4,FALSE)</f>
        <v>Completed</v>
      </c>
      <c r="AC2735" s="380" t="str">
        <f>VLOOKUP($B2735,'D7 - NDB Impacted SPRF''s'!$E$16:$O$9929,3,FALSE)</f>
        <v>UnitedHealthcare Employer &amp; Individual</v>
      </c>
      <c r="AD2735" s="380" t="str">
        <f>VLOOKUP($B2735,'D7 - NDB Impacted SPRF''s'!$E$16:$O$9929,5,FALSE)</f>
        <v>Membership Growth / Revenue Programs</v>
      </c>
      <c r="AE2735" s="380" t="str">
        <f>VLOOKUP($B2735,'D7 - NDB Impacted SPRF''s'!$E$16:$O$9929,7,FALSE)</f>
        <v>Steve Rodgers</v>
      </c>
      <c r="AF2735" s="380" t="str">
        <f>VLOOKUP($B2735,'D7 - NDB Impacted SPRF''s'!$E$16:$O$9929,6,FALSE)</f>
        <v>Jill Lammer</v>
      </c>
      <c r="AG2735" s="282"/>
      <c r="AH2735" s="311" t="e">
        <f>INDEX('D5 - Gatekeeper - Projects'!$A$4:$AF$1010,$AM2735, 17)</f>
        <v>#N/A</v>
      </c>
      <c r="AI2735" s="8"/>
      <c r="AJ2735" s="57"/>
      <c r="AK2735" s="57"/>
      <c r="AM2735" s="6" t="e">
        <f>MATCH(D2735,'D5 - Gatekeeper - Projects'!$C$4:$C$1010,0)</f>
        <v>#N/A</v>
      </c>
      <c r="AN2735" s="6" t="b">
        <f t="shared" si="280"/>
        <v>1</v>
      </c>
      <c r="AO2735" s="6" t="str">
        <f t="shared" si="281"/>
        <v>OK</v>
      </c>
      <c r="AQ2735" s="6" t="e">
        <f>MATCH($D2735,'D4 - Provider Council Unsched'!$C$11:$C$234,0)</f>
        <v>#N/A</v>
      </c>
      <c r="AR2735" s="6" t="b">
        <f t="shared" si="282"/>
        <v>1</v>
      </c>
      <c r="AS2735" s="6" t="str">
        <f t="shared" si="285"/>
        <v>OK</v>
      </c>
      <c r="AU2735" s="202"/>
      <c r="AV2735" s="262"/>
      <c r="AW2735" s="274"/>
    </row>
    <row r="2736" spans="1:49" s="13" customFormat="1" x14ac:dyDescent="0.2">
      <c r="A2736" s="14">
        <v>2712</v>
      </c>
      <c r="B2736" s="14">
        <v>400019007</v>
      </c>
      <c r="C2736" s="8" t="s">
        <v>5197</v>
      </c>
      <c r="D2736" s="4" t="str">
        <f t="shared" si="283"/>
        <v>400019007R1</v>
      </c>
      <c r="E2736" s="309" t="e">
        <f>VLOOKUP($B2736,'D7 - NDB Impacted SPRF''s'!$E$6:$O$9929,2,FALSE)</f>
        <v>#N/A</v>
      </c>
      <c r="F2736" s="8" t="s">
        <v>2114</v>
      </c>
      <c r="G2736" s="8" t="s">
        <v>4758</v>
      </c>
      <c r="H2736" s="8" t="s">
        <v>2870</v>
      </c>
      <c r="I2736" s="20"/>
      <c r="J2736" s="8"/>
      <c r="K2736" s="182"/>
      <c r="L2736" s="8" t="s">
        <v>4156</v>
      </c>
      <c r="M2736" s="8" t="s">
        <v>2814</v>
      </c>
      <c r="N2736" s="38" t="s">
        <v>4798</v>
      </c>
      <c r="O2736" s="8"/>
      <c r="P2736" s="4" t="e">
        <f>VLOOKUP($B2736,'D7 - NDB Impacted SPRF''s'!$E$16:$O$9929,9,FALSE)</f>
        <v>#N/A</v>
      </c>
      <c r="Q2736" s="4" t="e">
        <f>VLOOKUP($B2736,'D7 - NDB Impacted SPRF''s'!$E$16:$O$9929,10,FALSE)</f>
        <v>#N/A</v>
      </c>
      <c r="R2736" s="4" t="e">
        <f>VLOOKUP($B2736,'D7 - NDB Impacted SPRF''s'!$E$16:$O$9929,11,FALSE)</f>
        <v>#N/A</v>
      </c>
      <c r="S2736" s="8"/>
      <c r="T2736" s="310"/>
      <c r="U2736" s="310"/>
      <c r="V2736" s="4"/>
      <c r="W2736" s="4"/>
      <c r="X2736" s="4"/>
      <c r="Y2736" s="4"/>
      <c r="Z2736" s="4"/>
      <c r="AA2736" s="4"/>
      <c r="AB2736" s="380" t="e">
        <f>VLOOKUP($B2736,'D7 - NDB Impacted SPRF''s'!$E$16:$O$9929,4,FALSE)</f>
        <v>#N/A</v>
      </c>
      <c r="AC2736" s="380" t="e">
        <f>VLOOKUP($B2736,'D7 - NDB Impacted SPRF''s'!$E$16:$O$9929,3,FALSE)</f>
        <v>#N/A</v>
      </c>
      <c r="AD2736" s="380" t="e">
        <f>VLOOKUP($B2736,'D7 - NDB Impacted SPRF''s'!$E$16:$O$9929,5,FALSE)</f>
        <v>#N/A</v>
      </c>
      <c r="AE2736" s="380" t="e">
        <f>VLOOKUP($B2736,'D7 - NDB Impacted SPRF''s'!$E$16:$O$9929,7,FALSE)</f>
        <v>#N/A</v>
      </c>
      <c r="AF2736" s="380" t="e">
        <f>VLOOKUP($B2736,'D7 - NDB Impacted SPRF''s'!$E$16:$O$9929,6,FALSE)</f>
        <v>#N/A</v>
      </c>
      <c r="AG2736" s="282"/>
      <c r="AH2736" s="311" t="e">
        <f>INDEX('D5 - Gatekeeper - Projects'!$A$4:$AF$1010,$AM2736, 17)</f>
        <v>#N/A</v>
      </c>
      <c r="AI2736" s="8"/>
      <c r="AJ2736" s="57"/>
      <c r="AK2736" s="105"/>
      <c r="AM2736" s="6" t="e">
        <f>MATCH(D2736,'D5 - Gatekeeper - Projects'!$C$4:$C$1010,0)</f>
        <v>#N/A</v>
      </c>
      <c r="AN2736" s="6" t="b">
        <f t="shared" si="280"/>
        <v>1</v>
      </c>
      <c r="AO2736" s="6" t="str">
        <f t="shared" si="281"/>
        <v>OK</v>
      </c>
      <c r="AQ2736" s="6" t="e">
        <f>MATCH($D2736,'D4 - Provider Council Unsched'!$C$11:$C$234,0)</f>
        <v>#N/A</v>
      </c>
      <c r="AR2736" s="6" t="b">
        <f t="shared" si="282"/>
        <v>1</v>
      </c>
      <c r="AS2736" s="6" t="str">
        <f t="shared" si="285"/>
        <v>OK</v>
      </c>
      <c r="AU2736" s="202"/>
      <c r="AV2736" s="262"/>
      <c r="AW2736" s="274"/>
    </row>
    <row r="2737" spans="1:49" s="13" customFormat="1" ht="33.75" x14ac:dyDescent="0.2">
      <c r="A2737" s="14">
        <v>2713</v>
      </c>
      <c r="B2737" s="14">
        <v>400019028</v>
      </c>
      <c r="C2737" s="8" t="s">
        <v>1992</v>
      </c>
      <c r="D2737" s="4" t="str">
        <f t="shared" si="283"/>
        <v>400019028U1</v>
      </c>
      <c r="E2737" s="309" t="str">
        <f>VLOOKUP($B2737,'D7 - NDB Impacted SPRF''s'!$E$6:$O$9929,2,FALSE)</f>
        <v>Shared Services Model</v>
      </c>
      <c r="F2737" s="8" t="s">
        <v>2114</v>
      </c>
      <c r="G2737" s="8" t="s">
        <v>4758</v>
      </c>
      <c r="H2737" s="8" t="s">
        <v>2870</v>
      </c>
      <c r="I2737" s="20"/>
      <c r="J2737" s="8"/>
      <c r="K2737" s="182"/>
      <c r="L2737" s="8" t="s">
        <v>4156</v>
      </c>
      <c r="M2737" s="8" t="s">
        <v>2814</v>
      </c>
      <c r="N2737" s="38"/>
      <c r="O2737" s="8"/>
      <c r="P2737" s="4" t="str">
        <f>VLOOKUP($B2737,'D7 - NDB Impacted SPRF''s'!$E$16:$O$9929,9,FALSE)</f>
        <v>N</v>
      </c>
      <c r="Q2737" s="4" t="str">
        <f>VLOOKUP($B2737,'D7 - NDB Impacted SPRF''s'!$E$16:$O$9929,10,FALSE)</f>
        <v>N</v>
      </c>
      <c r="R2737" s="4" t="str">
        <f>VLOOKUP($B2737,'D7 - NDB Impacted SPRF''s'!$E$16:$O$9929,11,FALSE)</f>
        <v>N</v>
      </c>
      <c r="S2737" s="8"/>
      <c r="T2737" s="310"/>
      <c r="U2737" s="310"/>
      <c r="V2737" s="4"/>
      <c r="W2737" s="4"/>
      <c r="X2737" s="4"/>
      <c r="Y2737" s="4"/>
      <c r="Z2737" s="4"/>
      <c r="AA2737" s="4"/>
      <c r="AB2737" s="380" t="str">
        <f>VLOOKUP($B2737,'D7 - NDB Impacted SPRF''s'!$E$16:$O$9929,4,FALSE)</f>
        <v>Cancelled</v>
      </c>
      <c r="AC2737" s="380" t="str">
        <f>VLOOKUP($B2737,'D7 - NDB Impacted SPRF''s'!$E$16:$O$9929,3,FALSE)</f>
        <v>UnitedHealthcare Employer &amp; Individual</v>
      </c>
      <c r="AD2737" s="380" t="str">
        <f>VLOOKUP($B2737,'D7 - NDB Impacted SPRF''s'!$E$16:$O$9929,5,FALSE)</f>
        <v>Membership Growth / Revenue Programs</v>
      </c>
      <c r="AE2737" s="380" t="str">
        <f>VLOOKUP($B2737,'D7 - NDB Impacted SPRF''s'!$E$16:$O$9929,7,FALSE)</f>
        <v>Tom Mafale</v>
      </c>
      <c r="AF2737" s="380" t="str">
        <f>VLOOKUP($B2737,'D7 - NDB Impacted SPRF''s'!$E$16:$O$9929,6,FALSE)</f>
        <v>Carmela Ciniglio</v>
      </c>
      <c r="AG2737" s="282"/>
      <c r="AH2737" s="311" t="e">
        <f>INDEX('D5 - Gatekeeper - Projects'!$A$4:$AF$1010,$AM2737, 17)</f>
        <v>#N/A</v>
      </c>
      <c r="AI2737" s="8"/>
      <c r="AJ2737" s="57"/>
      <c r="AK2737" s="105"/>
      <c r="AM2737" s="6" t="e">
        <f>MATCH(D2737,'D5 - Gatekeeper - Projects'!$C$4:$C$1010,0)</f>
        <v>#N/A</v>
      </c>
      <c r="AN2737" s="6" t="b">
        <f t="shared" si="280"/>
        <v>1</v>
      </c>
      <c r="AO2737" s="6" t="str">
        <f t="shared" si="281"/>
        <v>OK</v>
      </c>
      <c r="AQ2737" s="6" t="e">
        <f>MATCH($D2737,'D4 - Provider Council Unsched'!$C$11:$C$234,0)</f>
        <v>#N/A</v>
      </c>
      <c r="AR2737" s="6" t="b">
        <f t="shared" si="282"/>
        <v>1</v>
      </c>
      <c r="AS2737" s="6" t="str">
        <f t="shared" si="285"/>
        <v>OK</v>
      </c>
      <c r="AU2737" s="202"/>
      <c r="AV2737" s="262"/>
      <c r="AW2737" s="274"/>
    </row>
    <row r="2738" spans="1:49" s="13" customFormat="1" ht="33.75" x14ac:dyDescent="0.2">
      <c r="A2738" s="14">
        <v>2714</v>
      </c>
      <c r="B2738" s="14">
        <v>400019059</v>
      </c>
      <c r="C2738" s="8" t="s">
        <v>5197</v>
      </c>
      <c r="D2738" s="4" t="str">
        <f t="shared" si="283"/>
        <v>400019059R1</v>
      </c>
      <c r="E2738" s="309" t="str">
        <f>VLOOKUP($B2738,'D7 - NDB Impacted SPRF''s'!$E$6:$O$9929,2,FALSE)</f>
        <v>Definity - Strategy and Architecture</v>
      </c>
      <c r="F2738" s="8" t="s">
        <v>2114</v>
      </c>
      <c r="G2738" s="8" t="s">
        <v>4758</v>
      </c>
      <c r="H2738" s="8" t="s">
        <v>2870</v>
      </c>
      <c r="I2738" s="20">
        <v>0.03</v>
      </c>
      <c r="J2738" s="8" t="s">
        <v>4862</v>
      </c>
      <c r="K2738" s="182"/>
      <c r="L2738" s="8" t="s">
        <v>4156</v>
      </c>
      <c r="M2738" s="8" t="s">
        <v>2814</v>
      </c>
      <c r="N2738" s="38" t="s">
        <v>4675</v>
      </c>
      <c r="O2738" s="8"/>
      <c r="P2738" s="4" t="str">
        <f>VLOOKUP($B2738,'D7 - NDB Impacted SPRF''s'!$E$16:$O$9929,9,FALSE)</f>
        <v>Y</v>
      </c>
      <c r="Q2738" s="4" t="str">
        <f>VLOOKUP($B2738,'D7 - NDB Impacted SPRF''s'!$E$16:$O$9929,10,FALSE)</f>
        <v>N</v>
      </c>
      <c r="R2738" s="4" t="str">
        <f>VLOOKUP($B2738,'D7 - NDB Impacted SPRF''s'!$E$16:$O$9929,11,FALSE)</f>
        <v>N</v>
      </c>
      <c r="S2738" s="8"/>
      <c r="T2738" s="310"/>
      <c r="U2738" s="310"/>
      <c r="V2738" s="4"/>
      <c r="W2738" s="4"/>
      <c r="X2738" s="4"/>
      <c r="Y2738" s="4"/>
      <c r="Z2738" s="4"/>
      <c r="AA2738" s="4"/>
      <c r="AB2738" s="380" t="str">
        <f>VLOOKUP($B2738,'D7 - NDB Impacted SPRF''s'!$E$16:$O$9929,4,FALSE)</f>
        <v>Completed</v>
      </c>
      <c r="AC2738" s="380" t="str">
        <f>VLOOKUP($B2738,'D7 - NDB Impacted SPRF''s'!$E$16:$O$9929,3,FALSE)</f>
        <v>UnitedHealthcare Employer &amp; Individual</v>
      </c>
      <c r="AD2738" s="380" t="str">
        <f>VLOOKUP($B2738,'D7 - NDB Impacted SPRF''s'!$E$16:$O$9929,5,FALSE)</f>
        <v>Membership Growth / Revenue Programs</v>
      </c>
      <c r="AE2738" s="380" t="str">
        <f>VLOOKUP($B2738,'D7 - NDB Impacted SPRF''s'!$E$16:$O$9929,7,FALSE)</f>
        <v>Steve Rodgers</v>
      </c>
      <c r="AF2738" s="380" t="str">
        <f>VLOOKUP($B2738,'D7 - NDB Impacted SPRF''s'!$E$16:$O$9929,6,FALSE)</f>
        <v>Jill Lammer</v>
      </c>
      <c r="AG2738" s="282"/>
      <c r="AH2738" s="311" t="e">
        <f>INDEX('D5 - Gatekeeper - Projects'!$A$4:$AF$1010,$AM2738, 17)</f>
        <v>#N/A</v>
      </c>
      <c r="AI2738" s="8"/>
      <c r="AJ2738" s="57"/>
      <c r="AK2738" s="57"/>
      <c r="AM2738" s="6" t="e">
        <f>MATCH(D2738,'D5 - Gatekeeper - Projects'!$C$4:$C$1010,0)</f>
        <v>#N/A</v>
      </c>
      <c r="AN2738" s="6" t="b">
        <f t="shared" si="280"/>
        <v>1</v>
      </c>
      <c r="AO2738" s="6" t="str">
        <f t="shared" si="281"/>
        <v>OK</v>
      </c>
      <c r="AQ2738" s="6" t="e">
        <f>MATCH($D2738,'D4 - Provider Council Unsched'!$C$11:$C$234,0)</f>
        <v>#N/A</v>
      </c>
      <c r="AR2738" s="6" t="b">
        <f t="shared" si="282"/>
        <v>1</v>
      </c>
      <c r="AS2738" s="6" t="str">
        <f t="shared" si="285"/>
        <v>OK</v>
      </c>
      <c r="AU2738" s="202"/>
      <c r="AV2738" s="262"/>
      <c r="AW2738" s="274"/>
    </row>
    <row r="2739" spans="1:49" s="13" customFormat="1" ht="33.75" x14ac:dyDescent="0.2">
      <c r="A2739" s="14">
        <v>2715</v>
      </c>
      <c r="B2739" s="14">
        <v>400019060</v>
      </c>
      <c r="C2739" s="8" t="s">
        <v>5197</v>
      </c>
      <c r="D2739" s="4" t="str">
        <f t="shared" si="283"/>
        <v>400019060R1</v>
      </c>
      <c r="E2739" s="309" t="str">
        <f>VLOOKUP($B2739,'D7 - NDB Impacted SPRF''s'!$E$6:$O$9929,2,FALSE)</f>
        <v>Health Advancement Sol. - Strategy-Architecture</v>
      </c>
      <c r="F2739" s="8" t="s">
        <v>2114</v>
      </c>
      <c r="G2739" s="8" t="s">
        <v>4758</v>
      </c>
      <c r="H2739" s="8" t="s">
        <v>2870</v>
      </c>
      <c r="I2739" s="20">
        <v>0.03</v>
      </c>
      <c r="J2739" s="8" t="s">
        <v>4862</v>
      </c>
      <c r="K2739" s="182"/>
      <c r="L2739" s="8" t="s">
        <v>4156</v>
      </c>
      <c r="M2739" s="8" t="s">
        <v>2814</v>
      </c>
      <c r="N2739" s="38" t="s">
        <v>4675</v>
      </c>
      <c r="O2739" s="8"/>
      <c r="P2739" s="4" t="str">
        <f>VLOOKUP($B2739,'D7 - NDB Impacted SPRF''s'!$E$16:$O$9929,9,FALSE)</f>
        <v>Y</v>
      </c>
      <c r="Q2739" s="4" t="str">
        <f>VLOOKUP($B2739,'D7 - NDB Impacted SPRF''s'!$E$16:$O$9929,10,FALSE)</f>
        <v>N</v>
      </c>
      <c r="R2739" s="4" t="str">
        <f>VLOOKUP($B2739,'D7 - NDB Impacted SPRF''s'!$E$16:$O$9929,11,FALSE)</f>
        <v>N</v>
      </c>
      <c r="S2739" s="8"/>
      <c r="T2739" s="310"/>
      <c r="U2739" s="310"/>
      <c r="V2739" s="4"/>
      <c r="W2739" s="4"/>
      <c r="X2739" s="4"/>
      <c r="Y2739" s="4"/>
      <c r="Z2739" s="4"/>
      <c r="AA2739" s="4"/>
      <c r="AB2739" s="380" t="str">
        <f>VLOOKUP($B2739,'D7 - NDB Impacted SPRF''s'!$E$16:$O$9929,4,FALSE)</f>
        <v>Completed</v>
      </c>
      <c r="AC2739" s="380" t="str">
        <f>VLOOKUP($B2739,'D7 - NDB Impacted SPRF''s'!$E$16:$O$9929,3,FALSE)</f>
        <v>UnitedHealthcare Employer &amp; Individual</v>
      </c>
      <c r="AD2739" s="380" t="str">
        <f>VLOOKUP($B2739,'D7 - NDB Impacted SPRF''s'!$E$16:$O$9929,5,FALSE)</f>
        <v>Membership Growth / Revenue Programs</v>
      </c>
      <c r="AE2739" s="380" t="str">
        <f>VLOOKUP($B2739,'D7 - NDB Impacted SPRF''s'!$E$16:$O$9929,7,FALSE)</f>
        <v>Steve Rodgers</v>
      </c>
      <c r="AF2739" s="380" t="str">
        <f>VLOOKUP($B2739,'D7 - NDB Impacted SPRF''s'!$E$16:$O$9929,6,FALSE)</f>
        <v>Jill Lammer</v>
      </c>
      <c r="AG2739" s="282"/>
      <c r="AH2739" s="311" t="e">
        <f>INDEX('D5 - Gatekeeper - Projects'!$A$4:$AF$1010,$AM2739, 17)</f>
        <v>#N/A</v>
      </c>
      <c r="AI2739" s="8"/>
      <c r="AJ2739" s="57"/>
      <c r="AK2739" s="57"/>
      <c r="AM2739" s="6" t="e">
        <f>MATCH(D2739,'D5 - Gatekeeper - Projects'!$C$4:$C$1010,0)</f>
        <v>#N/A</v>
      </c>
      <c r="AN2739" s="6" t="b">
        <f t="shared" si="280"/>
        <v>1</v>
      </c>
      <c r="AO2739" s="6" t="str">
        <f t="shared" si="281"/>
        <v>OK</v>
      </c>
      <c r="AQ2739" s="6" t="e">
        <f>MATCH($D2739,'D4 - Provider Council Unsched'!$C$11:$C$234,0)</f>
        <v>#N/A</v>
      </c>
      <c r="AR2739" s="6" t="b">
        <f t="shared" si="282"/>
        <v>1</v>
      </c>
      <c r="AS2739" s="6" t="str">
        <f t="shared" si="285"/>
        <v>OK</v>
      </c>
      <c r="AU2739" s="202"/>
      <c r="AV2739" s="262"/>
      <c r="AW2739" s="274"/>
    </row>
    <row r="2740" spans="1:49" s="13" customFormat="1" ht="33.75" x14ac:dyDescent="0.2">
      <c r="A2740" s="14">
        <v>2716</v>
      </c>
      <c r="B2740" s="14">
        <v>400019061</v>
      </c>
      <c r="C2740" s="8" t="s">
        <v>5197</v>
      </c>
      <c r="D2740" s="4" t="str">
        <f t="shared" si="283"/>
        <v>400019061R1</v>
      </c>
      <c r="E2740" s="309" t="str">
        <f>VLOOKUP($B2740,'D7 - NDB Impacted SPRF''s'!$E$6:$O$9929,2,FALSE)</f>
        <v>United Essentials - Strategy and Architecture</v>
      </c>
      <c r="F2740" s="8" t="s">
        <v>2114</v>
      </c>
      <c r="G2740" s="8" t="s">
        <v>4758</v>
      </c>
      <c r="H2740" s="8" t="s">
        <v>2870</v>
      </c>
      <c r="I2740" s="20">
        <v>0.03</v>
      </c>
      <c r="J2740" s="8" t="s">
        <v>4862</v>
      </c>
      <c r="K2740" s="182"/>
      <c r="L2740" s="8" t="s">
        <v>4156</v>
      </c>
      <c r="M2740" s="8" t="s">
        <v>2814</v>
      </c>
      <c r="N2740" s="38" t="s">
        <v>4675</v>
      </c>
      <c r="O2740" s="8"/>
      <c r="P2740" s="4" t="str">
        <f>VLOOKUP($B2740,'D7 - NDB Impacted SPRF''s'!$E$16:$O$9929,9,FALSE)</f>
        <v>Y</v>
      </c>
      <c r="Q2740" s="4" t="str">
        <f>VLOOKUP($B2740,'D7 - NDB Impacted SPRF''s'!$E$16:$O$9929,10,FALSE)</f>
        <v>N</v>
      </c>
      <c r="R2740" s="4" t="str">
        <f>VLOOKUP($B2740,'D7 - NDB Impacted SPRF''s'!$E$16:$O$9929,11,FALSE)</f>
        <v>N</v>
      </c>
      <c r="S2740" s="8"/>
      <c r="T2740" s="310"/>
      <c r="U2740" s="310"/>
      <c r="V2740" s="4"/>
      <c r="W2740" s="4"/>
      <c r="X2740" s="4"/>
      <c r="Y2740" s="4"/>
      <c r="Z2740" s="4"/>
      <c r="AA2740" s="4"/>
      <c r="AB2740" s="380" t="str">
        <f>VLOOKUP($B2740,'D7 - NDB Impacted SPRF''s'!$E$16:$O$9929,4,FALSE)</f>
        <v>Completed</v>
      </c>
      <c r="AC2740" s="380" t="str">
        <f>VLOOKUP($B2740,'D7 - NDB Impacted SPRF''s'!$E$16:$O$9929,3,FALSE)</f>
        <v>UnitedHealthcare Employer &amp; Individual</v>
      </c>
      <c r="AD2740" s="380" t="str">
        <f>VLOOKUP($B2740,'D7 - NDB Impacted SPRF''s'!$E$16:$O$9929,5,FALSE)</f>
        <v>Membership Growth / Revenue Programs</v>
      </c>
      <c r="AE2740" s="380" t="str">
        <f>VLOOKUP($B2740,'D7 - NDB Impacted SPRF''s'!$E$16:$O$9929,7,FALSE)</f>
        <v>Steve Rodgers</v>
      </c>
      <c r="AF2740" s="380" t="str">
        <f>VLOOKUP($B2740,'D7 - NDB Impacted SPRF''s'!$E$16:$O$9929,6,FALSE)</f>
        <v>Jill Lammer</v>
      </c>
      <c r="AG2740" s="282"/>
      <c r="AH2740" s="311" t="e">
        <f>INDEX('D5 - Gatekeeper - Projects'!$A$4:$AF$1010,$AM2740, 17)</f>
        <v>#N/A</v>
      </c>
      <c r="AI2740" s="8"/>
      <c r="AJ2740" s="57"/>
      <c r="AK2740" s="57"/>
      <c r="AM2740" s="6" t="e">
        <f>MATCH(D2740,'D5 - Gatekeeper - Projects'!$C$4:$C$1010,0)</f>
        <v>#N/A</v>
      </c>
      <c r="AN2740" s="6" t="b">
        <f t="shared" si="280"/>
        <v>1</v>
      </c>
      <c r="AO2740" s="6" t="str">
        <f t="shared" si="281"/>
        <v>OK</v>
      </c>
      <c r="AQ2740" s="6" t="e">
        <f>MATCH($D2740,'D4 - Provider Council Unsched'!$C$11:$C$234,0)</f>
        <v>#N/A</v>
      </c>
      <c r="AR2740" s="6" t="b">
        <f t="shared" si="282"/>
        <v>1</v>
      </c>
      <c r="AS2740" s="6" t="str">
        <f t="shared" si="285"/>
        <v>OK</v>
      </c>
      <c r="AU2740" s="202"/>
      <c r="AV2740" s="262"/>
      <c r="AW2740" s="274"/>
    </row>
    <row r="2741" spans="1:49" s="13" customFormat="1" ht="33.75" x14ac:dyDescent="0.2">
      <c r="A2741" s="14">
        <v>2717</v>
      </c>
      <c r="B2741" s="14">
        <v>400019062</v>
      </c>
      <c r="C2741" s="8" t="s">
        <v>5197</v>
      </c>
      <c r="D2741" s="4" t="str">
        <f t="shared" si="283"/>
        <v>400019062R1</v>
      </c>
      <c r="E2741" s="309" t="str">
        <f>VLOOKUP($B2741,'D7 - NDB Impacted SPRF''s'!$E$6:$O$9929,2,FALSE)</f>
        <v>Retiree Solutions - Strategy and Architecture</v>
      </c>
      <c r="F2741" s="8" t="s">
        <v>2114</v>
      </c>
      <c r="G2741" s="8" t="s">
        <v>4758</v>
      </c>
      <c r="H2741" s="8" t="s">
        <v>2870</v>
      </c>
      <c r="I2741" s="20">
        <v>0.03</v>
      </c>
      <c r="J2741" s="8" t="s">
        <v>4862</v>
      </c>
      <c r="K2741" s="182"/>
      <c r="L2741" s="8" t="s">
        <v>4156</v>
      </c>
      <c r="M2741" s="8" t="s">
        <v>2814</v>
      </c>
      <c r="N2741" s="38" t="s">
        <v>4675</v>
      </c>
      <c r="O2741" s="8"/>
      <c r="P2741" s="4" t="str">
        <f>VLOOKUP($B2741,'D7 - NDB Impacted SPRF''s'!$E$16:$O$9929,9,FALSE)</f>
        <v>Y</v>
      </c>
      <c r="Q2741" s="4" t="str">
        <f>VLOOKUP($B2741,'D7 - NDB Impacted SPRF''s'!$E$16:$O$9929,10,FALSE)</f>
        <v>N</v>
      </c>
      <c r="R2741" s="4" t="str">
        <f>VLOOKUP($B2741,'D7 - NDB Impacted SPRF''s'!$E$16:$O$9929,11,FALSE)</f>
        <v>N</v>
      </c>
      <c r="S2741" s="8"/>
      <c r="T2741" s="310"/>
      <c r="U2741" s="310"/>
      <c r="V2741" s="4"/>
      <c r="W2741" s="4"/>
      <c r="X2741" s="4"/>
      <c r="Y2741" s="4"/>
      <c r="Z2741" s="4"/>
      <c r="AA2741" s="4"/>
      <c r="AB2741" s="380" t="str">
        <f>VLOOKUP($B2741,'D7 - NDB Impacted SPRF''s'!$E$16:$O$9929,4,FALSE)</f>
        <v>Completed</v>
      </c>
      <c r="AC2741" s="380" t="str">
        <f>VLOOKUP($B2741,'D7 - NDB Impacted SPRF''s'!$E$16:$O$9929,3,FALSE)</f>
        <v>UnitedHealthcare Employer &amp; Individual</v>
      </c>
      <c r="AD2741" s="380" t="str">
        <f>VLOOKUP($B2741,'D7 - NDB Impacted SPRF''s'!$E$16:$O$9929,5,FALSE)</f>
        <v>Membership Growth / Revenue Programs</v>
      </c>
      <c r="AE2741" s="380" t="str">
        <f>VLOOKUP($B2741,'D7 - NDB Impacted SPRF''s'!$E$16:$O$9929,7,FALSE)</f>
        <v>Steve Rodgers</v>
      </c>
      <c r="AF2741" s="380" t="str">
        <f>VLOOKUP($B2741,'D7 - NDB Impacted SPRF''s'!$E$16:$O$9929,6,FALSE)</f>
        <v>Jill Lammer</v>
      </c>
      <c r="AG2741" s="282"/>
      <c r="AH2741" s="311" t="e">
        <f>INDEX('D5 - Gatekeeper - Projects'!$A$4:$AF$1010,$AM2741, 17)</f>
        <v>#N/A</v>
      </c>
      <c r="AI2741" s="8"/>
      <c r="AJ2741" s="57"/>
      <c r="AK2741" s="57"/>
      <c r="AM2741" s="6" t="e">
        <f>MATCH(D2741,'D5 - Gatekeeper - Projects'!$C$4:$C$1010,0)</f>
        <v>#N/A</v>
      </c>
      <c r="AN2741" s="6" t="b">
        <f t="shared" si="280"/>
        <v>1</v>
      </c>
      <c r="AO2741" s="6" t="str">
        <f t="shared" si="281"/>
        <v>OK</v>
      </c>
      <c r="AQ2741" s="6" t="e">
        <f>MATCH($D2741,'D4 - Provider Council Unsched'!$C$11:$C$234,0)</f>
        <v>#N/A</v>
      </c>
      <c r="AR2741" s="6" t="b">
        <f t="shared" si="282"/>
        <v>1</v>
      </c>
      <c r="AS2741" s="6" t="str">
        <f t="shared" si="285"/>
        <v>OK</v>
      </c>
      <c r="AU2741" s="202"/>
      <c r="AV2741" s="262"/>
      <c r="AW2741" s="274"/>
    </row>
    <row r="2742" spans="1:49" s="13" customFormat="1" ht="33.75" x14ac:dyDescent="0.2">
      <c r="A2742" s="14">
        <v>2718</v>
      </c>
      <c r="B2742" s="14">
        <v>400019086</v>
      </c>
      <c r="C2742" s="8" t="s">
        <v>5197</v>
      </c>
      <c r="D2742" s="4" t="str">
        <f t="shared" si="283"/>
        <v>400019086R1</v>
      </c>
      <c r="E2742" s="309" t="str">
        <f>VLOOKUP($B2742,'D7 - NDB Impacted SPRF''s'!$E$6:$O$9929,2,FALSE)</f>
        <v>Radiology Notification Q&amp;E Value Change</v>
      </c>
      <c r="F2742" s="8" t="s">
        <v>7989</v>
      </c>
      <c r="G2742" s="8" t="s">
        <v>4758</v>
      </c>
      <c r="H2742" s="8" t="s">
        <v>2870</v>
      </c>
      <c r="I2742" s="20"/>
      <c r="J2742" s="8"/>
      <c r="K2742" s="182"/>
      <c r="L2742" s="8" t="s">
        <v>4156</v>
      </c>
      <c r="M2742" s="8" t="s">
        <v>6007</v>
      </c>
      <c r="N2742" s="38"/>
      <c r="O2742" s="8"/>
      <c r="P2742" s="4" t="str">
        <f>VLOOKUP($B2742,'D7 - NDB Impacted SPRF''s'!$E$16:$O$9929,9,FALSE)</f>
        <v>N</v>
      </c>
      <c r="Q2742" s="4" t="str">
        <f>VLOOKUP($B2742,'D7 - NDB Impacted SPRF''s'!$E$16:$O$9929,10,FALSE)</f>
        <v>N</v>
      </c>
      <c r="R2742" s="4" t="str">
        <f>VLOOKUP($B2742,'D7 - NDB Impacted SPRF''s'!$E$16:$O$9929,11,FALSE)</f>
        <v>N</v>
      </c>
      <c r="S2742" s="8"/>
      <c r="T2742" s="310"/>
      <c r="U2742" s="310"/>
      <c r="V2742" s="4"/>
      <c r="W2742" s="4"/>
      <c r="X2742" s="4"/>
      <c r="Y2742" s="4"/>
      <c r="Z2742" s="4"/>
      <c r="AA2742" s="4"/>
      <c r="AB2742" s="380" t="str">
        <f>VLOOKUP($B2742,'D7 - NDB Impacted SPRF''s'!$E$16:$O$9929,4,FALSE)</f>
        <v>Cancelled</v>
      </c>
      <c r="AC2742" s="380" t="str">
        <f>VLOOKUP($B2742,'D7 - NDB Impacted SPRF''s'!$E$16:$O$9929,3,FALSE)</f>
        <v>UnitedHealthcare Employer &amp; Individual</v>
      </c>
      <c r="AD2742" s="380" t="str">
        <f>VLOOKUP($B2742,'D7 - NDB Impacted SPRF''s'!$E$16:$O$9929,5,FALSE)</f>
        <v>Medical Cost Savings Programs</v>
      </c>
      <c r="AE2742" s="380" t="str">
        <f>VLOOKUP($B2742,'D7 - NDB Impacted SPRF''s'!$E$16:$O$9929,7,FALSE)</f>
        <v>Laurie Paidosh</v>
      </c>
      <c r="AF2742" s="380" t="str">
        <f>VLOOKUP($B2742,'D7 - NDB Impacted SPRF''s'!$E$16:$O$9929,6,FALSE)</f>
        <v>Steven Schweigert</v>
      </c>
      <c r="AG2742" s="282"/>
      <c r="AH2742" s="311" t="e">
        <f>INDEX('D5 - Gatekeeper - Projects'!$A$4:$AF$1010,$AM2742, 17)</f>
        <v>#N/A</v>
      </c>
      <c r="AI2742" s="8"/>
      <c r="AJ2742" s="57"/>
      <c r="AK2742" s="105"/>
      <c r="AM2742" s="6" t="e">
        <f>MATCH(D2742,'D5 - Gatekeeper - Projects'!$C$4:$C$1010,0)</f>
        <v>#N/A</v>
      </c>
      <c r="AN2742" s="6" t="b">
        <f t="shared" si="280"/>
        <v>1</v>
      </c>
      <c r="AO2742" s="6" t="str">
        <f t="shared" si="281"/>
        <v>OK</v>
      </c>
      <c r="AQ2742" s="6" t="e">
        <f>MATCH($D2742,'D4 - Provider Council Unsched'!$C$11:$C$234,0)</f>
        <v>#N/A</v>
      </c>
      <c r="AR2742" s="6" t="b">
        <f t="shared" si="282"/>
        <v>1</v>
      </c>
      <c r="AS2742" s="6" t="str">
        <f t="shared" si="285"/>
        <v>OK</v>
      </c>
      <c r="AU2742" s="202"/>
      <c r="AV2742" s="262"/>
      <c r="AW2742" s="274"/>
    </row>
    <row r="2743" spans="1:49" s="13" customFormat="1" ht="33.75" x14ac:dyDescent="0.2">
      <c r="A2743" s="14">
        <v>2719</v>
      </c>
      <c r="B2743" s="14">
        <v>400019197</v>
      </c>
      <c r="C2743" s="8" t="s">
        <v>5197</v>
      </c>
      <c r="D2743" s="4" t="str">
        <f t="shared" si="283"/>
        <v>400019197R1</v>
      </c>
      <c r="E2743" s="309" t="str">
        <f>VLOOKUP($B2743,'D7 - NDB Impacted SPRF''s'!$E$6:$O$9929,2,FALSE)</f>
        <v>Medica DHS Atypical provider number</v>
      </c>
      <c r="F2743" s="8" t="s">
        <v>5196</v>
      </c>
      <c r="G2743" s="8" t="s">
        <v>4758</v>
      </c>
      <c r="H2743" s="8" t="s">
        <v>2870</v>
      </c>
      <c r="I2743" s="20">
        <v>25.87</v>
      </c>
      <c r="J2743" s="8" t="s">
        <v>4862</v>
      </c>
      <c r="K2743" s="182"/>
      <c r="L2743" s="8" t="s">
        <v>4156</v>
      </c>
      <c r="M2743" s="8" t="s">
        <v>2814</v>
      </c>
      <c r="N2743" s="38" t="s">
        <v>6969</v>
      </c>
      <c r="O2743" s="8"/>
      <c r="P2743" s="4" t="str">
        <f>VLOOKUP($B2743,'D7 - NDB Impacted SPRF''s'!$E$16:$O$9929,9,FALSE)</f>
        <v>N</v>
      </c>
      <c r="Q2743" s="4" t="str">
        <f>VLOOKUP($B2743,'D7 - NDB Impacted SPRF''s'!$E$16:$O$9929,10,FALSE)</f>
        <v>N</v>
      </c>
      <c r="R2743" s="4" t="str">
        <f>VLOOKUP($B2743,'D7 - NDB Impacted SPRF''s'!$E$16:$O$9929,11,FALSE)</f>
        <v>N</v>
      </c>
      <c r="S2743" s="8"/>
      <c r="T2743" s="310"/>
      <c r="U2743" s="310"/>
      <c r="V2743" s="4"/>
      <c r="W2743" s="4"/>
      <c r="X2743" s="4"/>
      <c r="Y2743" s="4"/>
      <c r="Z2743" s="4"/>
      <c r="AA2743" s="4"/>
      <c r="AB2743" s="380" t="str">
        <f>VLOOKUP($B2743,'D7 - NDB Impacted SPRF''s'!$E$16:$O$9929,4,FALSE)</f>
        <v>Cancelled</v>
      </c>
      <c r="AC2743" s="380" t="str">
        <f>VLOOKUP($B2743,'D7 - NDB Impacted SPRF''s'!$E$16:$O$9929,3,FALSE)</f>
        <v>UnitedHealthcare Employer &amp; Individual</v>
      </c>
      <c r="AD2743" s="380" t="str">
        <f>VLOOKUP($B2743,'D7 - NDB Impacted SPRF''s'!$E$16:$O$9929,5,FALSE)</f>
        <v>HCA - Medica Operational Support</v>
      </c>
      <c r="AE2743" s="380" t="str">
        <f>VLOOKUP($B2743,'D7 - NDB Impacted SPRF''s'!$E$16:$O$9929,7,FALSE)</f>
        <v>Joanne Houck</v>
      </c>
      <c r="AF2743" s="380" t="str">
        <f>VLOOKUP($B2743,'D7 - NDB Impacted SPRF''s'!$E$16:$O$9929,6,FALSE)</f>
        <v>LISA DAVIDSON</v>
      </c>
      <c r="AG2743" s="282"/>
      <c r="AH2743" s="311" t="e">
        <f>INDEX('D5 - Gatekeeper - Projects'!$A$4:$AF$1010,$AM2743, 17)</f>
        <v>#N/A</v>
      </c>
      <c r="AI2743" s="8"/>
      <c r="AJ2743" s="57"/>
      <c r="AK2743" s="105"/>
      <c r="AM2743" s="6" t="e">
        <f>MATCH(D2743,'D5 - Gatekeeper - Projects'!$C$4:$C$1010,0)</f>
        <v>#N/A</v>
      </c>
      <c r="AN2743" s="6" t="b">
        <f t="shared" si="280"/>
        <v>1</v>
      </c>
      <c r="AO2743" s="6" t="str">
        <f t="shared" si="281"/>
        <v>OK</v>
      </c>
      <c r="AQ2743" s="6" t="e">
        <f>MATCH($D2743,'D4 - Provider Council Unsched'!$C$11:$C$234,0)</f>
        <v>#N/A</v>
      </c>
      <c r="AR2743" s="6" t="b">
        <f t="shared" si="282"/>
        <v>1</v>
      </c>
      <c r="AS2743" s="6" t="str">
        <f t="shared" si="285"/>
        <v>OK</v>
      </c>
      <c r="AU2743" s="202"/>
      <c r="AV2743" s="262"/>
      <c r="AW2743" s="274"/>
    </row>
    <row r="2744" spans="1:49" s="13" customFormat="1" ht="33.75" x14ac:dyDescent="0.2">
      <c r="A2744" s="14">
        <v>2720</v>
      </c>
      <c r="B2744" s="14">
        <v>400019278</v>
      </c>
      <c r="C2744" s="8" t="s">
        <v>5197</v>
      </c>
      <c r="D2744" s="4" t="str">
        <f t="shared" si="283"/>
        <v>400019278R1</v>
      </c>
      <c r="E2744" s="309" t="str">
        <f>VLOOKUP($B2744,'D7 - NDB Impacted SPRF''s'!$E$6:$O$9929,2,FALSE)</f>
        <v>EPO logic bypass for desired groups</v>
      </c>
      <c r="F2744" s="8" t="s">
        <v>4480</v>
      </c>
      <c r="G2744" s="8" t="s">
        <v>4758</v>
      </c>
      <c r="H2744" s="8" t="s">
        <v>2870</v>
      </c>
      <c r="I2744" s="20"/>
      <c r="J2744" s="8"/>
      <c r="K2744" s="182"/>
      <c r="L2744" s="8" t="s">
        <v>4156</v>
      </c>
      <c r="M2744" s="8" t="s">
        <v>2814</v>
      </c>
      <c r="N2744" s="38"/>
      <c r="O2744" s="8"/>
      <c r="P2744" s="4" t="str">
        <f>VLOOKUP($B2744,'D7 - NDB Impacted SPRF''s'!$E$16:$O$9929,9,FALSE)</f>
        <v>Y</v>
      </c>
      <c r="Q2744" s="4" t="str">
        <f>VLOOKUP($B2744,'D7 - NDB Impacted SPRF''s'!$E$16:$O$9929,10,FALSE)</f>
        <v>N</v>
      </c>
      <c r="R2744" s="4" t="str">
        <f>VLOOKUP($B2744,'D7 - NDB Impacted SPRF''s'!$E$16:$O$9929,11,FALSE)</f>
        <v>N</v>
      </c>
      <c r="S2744" s="8"/>
      <c r="T2744" s="310"/>
      <c r="U2744" s="310"/>
      <c r="V2744" s="4"/>
      <c r="W2744" s="4"/>
      <c r="X2744" s="4"/>
      <c r="Y2744" s="4"/>
      <c r="Z2744" s="4"/>
      <c r="AA2744" s="4"/>
      <c r="AB2744" s="380" t="str">
        <f>VLOOKUP($B2744,'D7 - NDB Impacted SPRF''s'!$E$16:$O$9929,4,FALSE)</f>
        <v>Cancelled</v>
      </c>
      <c r="AC2744" s="380" t="str">
        <f>VLOOKUP($B2744,'D7 - NDB Impacted SPRF''s'!$E$16:$O$9929,3,FALSE)</f>
        <v>UnitedHealthcare Employer &amp; Individual</v>
      </c>
      <c r="AD2744" s="380" t="str">
        <f>VLOOKUP($B2744,'D7 - NDB Impacted SPRF''s'!$E$16:$O$9929,5,FALSE)</f>
        <v>Medical Cost Savings Programs</v>
      </c>
      <c r="AE2744" s="380" t="str">
        <f>VLOOKUP($B2744,'D7 - NDB Impacted SPRF''s'!$E$16:$O$9929,7,FALSE)</f>
        <v>Ken Van Cara</v>
      </c>
      <c r="AF2744" s="380" t="str">
        <f>VLOOKUP($B2744,'D7 - NDB Impacted SPRF''s'!$E$16:$O$9929,6,FALSE)</f>
        <v>Inderpreet Sandhu</v>
      </c>
      <c r="AG2744" s="282"/>
      <c r="AH2744" s="311" t="e">
        <f>INDEX('D5 - Gatekeeper - Projects'!$A$4:$AF$1010,$AM2744, 17)</f>
        <v>#N/A</v>
      </c>
      <c r="AI2744" s="8"/>
      <c r="AJ2744" s="57"/>
      <c r="AK2744" s="105"/>
      <c r="AM2744" s="6" t="e">
        <f>MATCH(D2744,'D5 - Gatekeeper - Projects'!$C$4:$C$1010,0)</f>
        <v>#N/A</v>
      </c>
      <c r="AN2744" s="6" t="b">
        <f t="shared" si="280"/>
        <v>1</v>
      </c>
      <c r="AO2744" s="6" t="str">
        <f t="shared" si="281"/>
        <v>OK</v>
      </c>
      <c r="AQ2744" s="6" t="e">
        <f>MATCH($D2744,'D4 - Provider Council Unsched'!$C$11:$C$234,0)</f>
        <v>#N/A</v>
      </c>
      <c r="AR2744" s="6" t="b">
        <f t="shared" si="282"/>
        <v>1</v>
      </c>
      <c r="AS2744" s="6" t="str">
        <f t="shared" si="285"/>
        <v>OK</v>
      </c>
      <c r="AU2744" s="202"/>
      <c r="AV2744" s="262"/>
      <c r="AW2744" s="274"/>
    </row>
    <row r="2745" spans="1:49" s="13" customFormat="1" ht="33.75" x14ac:dyDescent="0.2">
      <c r="A2745" s="14">
        <v>2721</v>
      </c>
      <c r="B2745" s="14">
        <v>400019286</v>
      </c>
      <c r="C2745" s="8" t="s">
        <v>5197</v>
      </c>
      <c r="D2745" s="4" t="str">
        <f t="shared" si="283"/>
        <v>400019286R1</v>
      </c>
      <c r="E2745" s="309" t="str">
        <f>VLOOKUP($B2745,'D7 - NDB Impacted SPRF''s'!$E$6:$O$9929,2,FALSE)</f>
        <v>Project Y enhancements</v>
      </c>
      <c r="F2745" s="8" t="s">
        <v>2114</v>
      </c>
      <c r="G2745" s="8" t="s">
        <v>4758</v>
      </c>
      <c r="H2745" s="8" t="s">
        <v>2870</v>
      </c>
      <c r="I2745" s="20"/>
      <c r="J2745" s="8"/>
      <c r="K2745" s="182"/>
      <c r="L2745" s="8" t="s">
        <v>4156</v>
      </c>
      <c r="M2745" s="8" t="s">
        <v>2814</v>
      </c>
      <c r="N2745" s="38" t="s">
        <v>6775</v>
      </c>
      <c r="O2745" s="8"/>
      <c r="P2745" s="4" t="str">
        <f>VLOOKUP($B2745,'D7 - NDB Impacted SPRF''s'!$E$16:$O$9929,9,FALSE)</f>
        <v>Y</v>
      </c>
      <c r="Q2745" s="4" t="str">
        <f>VLOOKUP($B2745,'D7 - NDB Impacted SPRF''s'!$E$16:$O$9929,10,FALSE)</f>
        <v>N</v>
      </c>
      <c r="R2745" s="4" t="str">
        <f>VLOOKUP($B2745,'D7 - NDB Impacted SPRF''s'!$E$16:$O$9929,11,FALSE)</f>
        <v>N</v>
      </c>
      <c r="S2745" s="8"/>
      <c r="T2745" s="310"/>
      <c r="U2745" s="310"/>
      <c r="V2745" s="4"/>
      <c r="W2745" s="4"/>
      <c r="X2745" s="4"/>
      <c r="Y2745" s="4"/>
      <c r="Z2745" s="4"/>
      <c r="AA2745" s="4"/>
      <c r="AB2745" s="380" t="str">
        <f>VLOOKUP($B2745,'D7 - NDB Impacted SPRF''s'!$E$16:$O$9929,4,FALSE)</f>
        <v>Completed</v>
      </c>
      <c r="AC2745" s="380" t="str">
        <f>VLOOKUP($B2745,'D7 - NDB Impacted SPRF''s'!$E$16:$O$9929,3,FALSE)</f>
        <v>UnitedHealthcare Employer &amp; Individual</v>
      </c>
      <c r="AD2745" s="380" t="str">
        <f>VLOOKUP($B2745,'D7 - NDB Impacted SPRF''s'!$E$16:$O$9929,5,FALSE)</f>
        <v>Membership Growth / Revenue Programs</v>
      </c>
      <c r="AE2745" s="380" t="str">
        <f>VLOOKUP($B2745,'D7 - NDB Impacted SPRF''s'!$E$16:$O$9929,7,FALSE)</f>
        <v>Stephen Synott</v>
      </c>
      <c r="AF2745" s="380" t="str">
        <f>VLOOKUP($B2745,'D7 - NDB Impacted SPRF''s'!$E$16:$O$9929,6,FALSE)</f>
        <v>Ann Gjelten</v>
      </c>
      <c r="AG2745" s="282"/>
      <c r="AH2745" s="311" t="e">
        <f>INDEX('D5 - Gatekeeper - Projects'!$A$4:$AF$1010,$AM2745, 17)</f>
        <v>#N/A</v>
      </c>
      <c r="AI2745" s="8"/>
      <c r="AJ2745" s="57"/>
      <c r="AK2745" s="105"/>
      <c r="AM2745" s="6" t="e">
        <f>MATCH(D2745,'D5 - Gatekeeper - Projects'!$C$4:$C$1010,0)</f>
        <v>#N/A</v>
      </c>
      <c r="AN2745" s="6" t="b">
        <f t="shared" si="280"/>
        <v>1</v>
      </c>
      <c r="AO2745" s="6" t="str">
        <f t="shared" si="281"/>
        <v>OK</v>
      </c>
      <c r="AQ2745" s="6" t="e">
        <f>MATCH($D2745,'D4 - Provider Council Unsched'!$C$11:$C$234,0)</f>
        <v>#N/A</v>
      </c>
      <c r="AR2745" s="6" t="b">
        <f t="shared" si="282"/>
        <v>1</v>
      </c>
      <c r="AS2745" s="6" t="str">
        <f t="shared" si="285"/>
        <v>OK</v>
      </c>
      <c r="AU2745" s="202"/>
      <c r="AV2745" s="262"/>
      <c r="AW2745" s="274"/>
    </row>
    <row r="2746" spans="1:49" s="13" customFormat="1" ht="33.75" x14ac:dyDescent="0.2">
      <c r="A2746" s="14">
        <v>2722</v>
      </c>
      <c r="B2746" s="14">
        <v>400019342</v>
      </c>
      <c r="C2746" s="8" t="s">
        <v>5197</v>
      </c>
      <c r="D2746" s="4" t="str">
        <f t="shared" si="283"/>
        <v>400019342R1</v>
      </c>
      <c r="E2746" s="309" t="str">
        <f>VLOOKUP($B2746,'D7 - NDB Impacted SPRF''s'!$E$6:$O$9929,2,FALSE)</f>
        <v>PPII Security - Shared ID Logic</v>
      </c>
      <c r="F2746" s="8" t="s">
        <v>2114</v>
      </c>
      <c r="G2746" s="8" t="s">
        <v>4758</v>
      </c>
      <c r="H2746" s="8" t="s">
        <v>2870</v>
      </c>
      <c r="I2746" s="20">
        <v>1.07</v>
      </c>
      <c r="J2746" s="8" t="s">
        <v>4862</v>
      </c>
      <c r="K2746" s="182"/>
      <c r="L2746" s="8" t="s">
        <v>4156</v>
      </c>
      <c r="M2746" s="8" t="s">
        <v>2814</v>
      </c>
      <c r="N2746" s="38"/>
      <c r="O2746" s="8"/>
      <c r="P2746" s="4" t="str">
        <f>VLOOKUP($B2746,'D7 - NDB Impacted SPRF''s'!$E$16:$O$9929,9,FALSE)</f>
        <v>N</v>
      </c>
      <c r="Q2746" s="4" t="str">
        <f>VLOOKUP($B2746,'D7 - NDB Impacted SPRF''s'!$E$16:$O$9929,10,FALSE)</f>
        <v>N</v>
      </c>
      <c r="R2746" s="4" t="str">
        <f>VLOOKUP($B2746,'D7 - NDB Impacted SPRF''s'!$E$16:$O$9929,11,FALSE)</f>
        <v>N</v>
      </c>
      <c r="S2746" s="8"/>
      <c r="T2746" s="310"/>
      <c r="U2746" s="310"/>
      <c r="V2746" s="4"/>
      <c r="W2746" s="4"/>
      <c r="X2746" s="4"/>
      <c r="Y2746" s="4"/>
      <c r="Z2746" s="4"/>
      <c r="AA2746" s="4"/>
      <c r="AB2746" s="380" t="str">
        <f>VLOOKUP($B2746,'D7 - NDB Impacted SPRF''s'!$E$16:$O$9929,4,FALSE)</f>
        <v>Cancelled</v>
      </c>
      <c r="AC2746" s="380" t="str">
        <f>VLOOKUP($B2746,'D7 - NDB Impacted SPRF''s'!$E$16:$O$9929,3,FALSE)</f>
        <v>UnitedHealthcare Employer &amp; Individual</v>
      </c>
      <c r="AD2746" s="380" t="str">
        <f>VLOOKUP($B2746,'D7 - NDB Impacted SPRF''s'!$E$16:$O$9929,5,FALSE)</f>
        <v>Operational Requirements</v>
      </c>
      <c r="AE2746" s="380" t="str">
        <f>VLOOKUP($B2746,'D7 - NDB Impacted SPRF''s'!$E$16:$O$9929,7,FALSE)</f>
        <v>William Schofield</v>
      </c>
      <c r="AF2746" s="380" t="str">
        <f>VLOOKUP($B2746,'D7 - NDB Impacted SPRF''s'!$E$16:$O$9929,6,FALSE)</f>
        <v>DINAN JIANG</v>
      </c>
      <c r="AG2746" s="282"/>
      <c r="AH2746" s="311" t="e">
        <f>INDEX('D5 - Gatekeeper - Projects'!$A$4:$AF$1010,$AM2746, 17)</f>
        <v>#N/A</v>
      </c>
      <c r="AI2746" s="8"/>
      <c r="AJ2746" s="57"/>
      <c r="AK2746" s="105"/>
      <c r="AM2746" s="6" t="e">
        <f>MATCH(D2746,'D5 - Gatekeeper - Projects'!$C$4:$C$1010,0)</f>
        <v>#N/A</v>
      </c>
      <c r="AN2746" s="6" t="b">
        <f t="shared" si="280"/>
        <v>1</v>
      </c>
      <c r="AO2746" s="6" t="str">
        <f t="shared" si="281"/>
        <v>OK</v>
      </c>
      <c r="AQ2746" s="6" t="e">
        <f>MATCH($D2746,'D4 - Provider Council Unsched'!$C$11:$C$234,0)</f>
        <v>#N/A</v>
      </c>
      <c r="AR2746" s="6" t="b">
        <f t="shared" si="282"/>
        <v>1</v>
      </c>
      <c r="AS2746" s="6" t="str">
        <f t="shared" si="285"/>
        <v>OK</v>
      </c>
      <c r="AU2746" s="202"/>
      <c r="AV2746" s="262"/>
      <c r="AW2746" s="274"/>
    </row>
    <row r="2747" spans="1:49" s="13" customFormat="1" ht="33.75" x14ac:dyDescent="0.2">
      <c r="A2747" s="14">
        <v>2723</v>
      </c>
      <c r="B2747" s="14">
        <v>400019566</v>
      </c>
      <c r="C2747" s="8" t="s">
        <v>5197</v>
      </c>
      <c r="D2747" s="4" t="str">
        <f t="shared" si="283"/>
        <v>400019566R1</v>
      </c>
      <c r="E2747" s="309" t="str">
        <f>VLOOKUP($B2747,'D7 - NDB Impacted SPRF''s'!$E$6:$O$9929,2,FALSE)</f>
        <v>08 Provider Selection</v>
      </c>
      <c r="F2747" s="8" t="s">
        <v>2114</v>
      </c>
      <c r="G2747" s="8" t="s">
        <v>4758</v>
      </c>
      <c r="H2747" s="8" t="s">
        <v>2870</v>
      </c>
      <c r="I2747" s="20">
        <f>4031/150</f>
        <v>26.873333333333335</v>
      </c>
      <c r="J2747" s="8" t="s">
        <v>4862</v>
      </c>
      <c r="K2747" s="182"/>
      <c r="L2747" s="8" t="s">
        <v>4156</v>
      </c>
      <c r="M2747" s="8" t="s">
        <v>2814</v>
      </c>
      <c r="N2747" s="38" t="s">
        <v>7479</v>
      </c>
      <c r="O2747" s="8"/>
      <c r="P2747" s="4" t="str">
        <f>VLOOKUP($B2747,'D7 - NDB Impacted SPRF''s'!$E$16:$O$9929,9,FALSE)</f>
        <v>Y</v>
      </c>
      <c r="Q2747" s="4" t="str">
        <f>VLOOKUP($B2747,'D7 - NDB Impacted SPRF''s'!$E$16:$O$9929,10,FALSE)</f>
        <v>N</v>
      </c>
      <c r="R2747" s="4" t="str">
        <f>VLOOKUP($B2747,'D7 - NDB Impacted SPRF''s'!$E$16:$O$9929,11,FALSE)</f>
        <v>N</v>
      </c>
      <c r="S2747" s="8"/>
      <c r="T2747" s="310"/>
      <c r="U2747" s="310"/>
      <c r="V2747" s="4"/>
      <c r="W2747" s="4"/>
      <c r="X2747" s="4"/>
      <c r="Y2747" s="4"/>
      <c r="Z2747" s="4"/>
      <c r="AA2747" s="4"/>
      <c r="AB2747" s="380" t="str">
        <f>VLOOKUP($B2747,'D7 - NDB Impacted SPRF''s'!$E$16:$O$9929,4,FALSE)</f>
        <v>Cancelled</v>
      </c>
      <c r="AC2747" s="380" t="str">
        <f>VLOOKUP($B2747,'D7 - NDB Impacted SPRF''s'!$E$16:$O$9929,3,FALSE)</f>
        <v>UnitedHealthcare Employer &amp; Individual</v>
      </c>
      <c r="AD2747" s="380" t="str">
        <f>VLOOKUP($B2747,'D7 - NDB Impacted SPRF''s'!$E$16:$O$9929,5,FALSE)</f>
        <v>Process Improvement</v>
      </c>
      <c r="AE2747" s="380" t="str">
        <f>VLOOKUP($B2747,'D7 - NDB Impacted SPRF''s'!$E$16:$O$9929,7,FALSE)</f>
        <v>Matt Guisinger</v>
      </c>
      <c r="AF2747" s="380" t="str">
        <f>VLOOKUP($B2747,'D7 - NDB Impacted SPRF''s'!$E$16:$O$9929,6,FALSE)</f>
        <v>PARK CHRISTINE</v>
      </c>
      <c r="AG2747" s="282"/>
      <c r="AH2747" s="311" t="e">
        <f>INDEX('D5 - Gatekeeper - Projects'!$A$4:$AF$1010,$AM2747, 17)</f>
        <v>#N/A</v>
      </c>
      <c r="AI2747" s="8"/>
      <c r="AJ2747" s="57"/>
      <c r="AK2747" s="105"/>
      <c r="AM2747" s="6" t="e">
        <f>MATCH(D2747,'D5 - Gatekeeper - Projects'!$C$4:$C$1010,0)</f>
        <v>#N/A</v>
      </c>
      <c r="AN2747" s="6" t="b">
        <f t="shared" si="280"/>
        <v>1</v>
      </c>
      <c r="AO2747" s="6" t="str">
        <f t="shared" si="281"/>
        <v>OK</v>
      </c>
      <c r="AQ2747" s="6" t="e">
        <f>MATCH($D2747,'D4 - Provider Council Unsched'!$C$11:$C$234,0)</f>
        <v>#N/A</v>
      </c>
      <c r="AR2747" s="6" t="b">
        <f t="shared" si="282"/>
        <v>1</v>
      </c>
      <c r="AS2747" s="6" t="str">
        <f t="shared" si="285"/>
        <v>OK</v>
      </c>
      <c r="AU2747" s="202"/>
      <c r="AV2747" s="262"/>
      <c r="AW2747" s="274"/>
    </row>
    <row r="2748" spans="1:49" s="13" customFormat="1" ht="33.75" x14ac:dyDescent="0.2">
      <c r="A2748" s="14">
        <v>2724</v>
      </c>
      <c r="B2748" s="14">
        <v>400019566</v>
      </c>
      <c r="C2748" s="8" t="s">
        <v>1992</v>
      </c>
      <c r="D2748" s="4" t="str">
        <f t="shared" si="283"/>
        <v>400019566U1</v>
      </c>
      <c r="E2748" s="309" t="str">
        <f>VLOOKUP($B2748,'D7 - NDB Impacted SPRF''s'!$E$6:$O$9929,2,FALSE)</f>
        <v>08 Provider Selection</v>
      </c>
      <c r="F2748" s="8" t="s">
        <v>2114</v>
      </c>
      <c r="G2748" s="8" t="s">
        <v>4758</v>
      </c>
      <c r="H2748" s="8" t="s">
        <v>2870</v>
      </c>
      <c r="I2748" s="20">
        <f>146/150</f>
        <v>0.97333333333333338</v>
      </c>
      <c r="J2748" s="8" t="s">
        <v>4862</v>
      </c>
      <c r="K2748" s="182"/>
      <c r="L2748" s="8" t="s">
        <v>4156</v>
      </c>
      <c r="M2748" s="8" t="s">
        <v>2814</v>
      </c>
      <c r="N2748" s="38" t="s">
        <v>7479</v>
      </c>
      <c r="O2748" s="8"/>
      <c r="P2748" s="4" t="str">
        <f>VLOOKUP($B2748,'D7 - NDB Impacted SPRF''s'!$E$16:$O$9929,9,FALSE)</f>
        <v>Y</v>
      </c>
      <c r="Q2748" s="4" t="str">
        <f>VLOOKUP($B2748,'D7 - NDB Impacted SPRF''s'!$E$16:$O$9929,10,FALSE)</f>
        <v>N</v>
      </c>
      <c r="R2748" s="4" t="str">
        <f>VLOOKUP($B2748,'D7 - NDB Impacted SPRF''s'!$E$16:$O$9929,11,FALSE)</f>
        <v>N</v>
      </c>
      <c r="S2748" s="8"/>
      <c r="T2748" s="310"/>
      <c r="U2748" s="310"/>
      <c r="V2748" s="4"/>
      <c r="W2748" s="4"/>
      <c r="X2748" s="4"/>
      <c r="Y2748" s="4"/>
      <c r="Z2748" s="4"/>
      <c r="AA2748" s="4"/>
      <c r="AB2748" s="380" t="str">
        <f>VLOOKUP($B2748,'D7 - NDB Impacted SPRF''s'!$E$16:$O$9929,4,FALSE)</f>
        <v>Cancelled</v>
      </c>
      <c r="AC2748" s="380" t="str">
        <f>VLOOKUP($B2748,'D7 - NDB Impacted SPRF''s'!$E$16:$O$9929,3,FALSE)</f>
        <v>UnitedHealthcare Employer &amp; Individual</v>
      </c>
      <c r="AD2748" s="380" t="str">
        <f>VLOOKUP($B2748,'D7 - NDB Impacted SPRF''s'!$E$16:$O$9929,5,FALSE)</f>
        <v>Process Improvement</v>
      </c>
      <c r="AE2748" s="380" t="str">
        <f>VLOOKUP($B2748,'D7 - NDB Impacted SPRF''s'!$E$16:$O$9929,7,FALSE)</f>
        <v>Matt Guisinger</v>
      </c>
      <c r="AF2748" s="380" t="str">
        <f>VLOOKUP($B2748,'D7 - NDB Impacted SPRF''s'!$E$16:$O$9929,6,FALSE)</f>
        <v>PARK CHRISTINE</v>
      </c>
      <c r="AG2748" s="282"/>
      <c r="AH2748" s="311" t="e">
        <f>INDEX('D5 - Gatekeeper - Projects'!$A$4:$AF$1010,$AM2748, 17)</f>
        <v>#N/A</v>
      </c>
      <c r="AI2748" s="8"/>
      <c r="AJ2748" s="57"/>
      <c r="AK2748" s="105"/>
      <c r="AM2748" s="6" t="e">
        <f>MATCH(D2748,'D5 - Gatekeeper - Projects'!$C$4:$C$1010,0)</f>
        <v>#N/A</v>
      </c>
      <c r="AN2748" s="6" t="b">
        <f t="shared" si="280"/>
        <v>1</v>
      </c>
      <c r="AO2748" s="6" t="str">
        <f t="shared" si="281"/>
        <v>OK</v>
      </c>
      <c r="AQ2748" s="6" t="e">
        <f>MATCH($D2748,'D4 - Provider Council Unsched'!$C$11:$C$234,0)</f>
        <v>#N/A</v>
      </c>
      <c r="AR2748" s="6" t="b">
        <f t="shared" si="282"/>
        <v>1</v>
      </c>
      <c r="AS2748" s="6" t="str">
        <f t="shared" si="285"/>
        <v>OK</v>
      </c>
      <c r="AU2748" s="202"/>
      <c r="AV2748" s="262"/>
      <c r="AW2748" s="274"/>
    </row>
    <row r="2749" spans="1:49" s="13" customFormat="1" ht="33.75" x14ac:dyDescent="0.2">
      <c r="A2749" s="14">
        <v>2725</v>
      </c>
      <c r="B2749" s="14">
        <v>400019568</v>
      </c>
      <c r="C2749" s="8" t="s">
        <v>5197</v>
      </c>
      <c r="D2749" s="4" t="str">
        <f t="shared" si="283"/>
        <v>400019568R1</v>
      </c>
      <c r="E2749" s="309" t="str">
        <f>VLOOKUP($B2749,'D7 - NDB Impacted SPRF''s'!$E$6:$O$9929,2,FALSE)</f>
        <v>HPHC JV: Migration to New Member Portal</v>
      </c>
      <c r="F2749" s="8" t="s">
        <v>5196</v>
      </c>
      <c r="G2749" s="8" t="s">
        <v>4758</v>
      </c>
      <c r="H2749" s="8" t="s">
        <v>2870</v>
      </c>
      <c r="I2749" s="20"/>
      <c r="J2749" s="8"/>
      <c r="K2749" s="182"/>
      <c r="L2749" s="8" t="s">
        <v>4156</v>
      </c>
      <c r="M2749" s="8" t="s">
        <v>2814</v>
      </c>
      <c r="N2749" s="38" t="s">
        <v>4032</v>
      </c>
      <c r="O2749" s="8"/>
      <c r="P2749" s="4" t="str">
        <f>VLOOKUP($B2749,'D7 - NDB Impacted SPRF''s'!$E$16:$O$9929,9,FALSE)</f>
        <v>Y</v>
      </c>
      <c r="Q2749" s="4" t="str">
        <f>VLOOKUP($B2749,'D7 - NDB Impacted SPRF''s'!$E$16:$O$9929,10,FALSE)</f>
        <v>N</v>
      </c>
      <c r="R2749" s="4" t="str">
        <f>VLOOKUP($B2749,'D7 - NDB Impacted SPRF''s'!$E$16:$O$9929,11,FALSE)</f>
        <v>N</v>
      </c>
      <c r="S2749" s="8"/>
      <c r="T2749" s="310"/>
      <c r="U2749" s="310"/>
      <c r="V2749" s="4"/>
      <c r="W2749" s="4"/>
      <c r="X2749" s="4"/>
      <c r="Y2749" s="4"/>
      <c r="Z2749" s="4"/>
      <c r="AA2749" s="4"/>
      <c r="AB2749" s="380" t="str">
        <f>VLOOKUP($B2749,'D7 - NDB Impacted SPRF''s'!$E$16:$O$9929,4,FALSE)</f>
        <v>Completed</v>
      </c>
      <c r="AC2749" s="380" t="str">
        <f>VLOOKUP($B2749,'D7 - NDB Impacted SPRF''s'!$E$16:$O$9929,3,FALSE)</f>
        <v>UnitedHealthcare Employer &amp; Individual</v>
      </c>
      <c r="AD2749" s="380" t="str">
        <f>VLOOKUP($B2749,'D7 - NDB Impacted SPRF''s'!$E$16:$O$9929,5,FALSE)</f>
        <v>Harvard Pilgrim Service Alliance</v>
      </c>
      <c r="AE2749" s="380" t="str">
        <f>VLOOKUP($B2749,'D7 - NDB Impacted SPRF''s'!$E$16:$O$9929,7,FALSE)</f>
        <v>Diane Schofield</v>
      </c>
      <c r="AF2749" s="380" t="str">
        <f>VLOOKUP($B2749,'D7 - NDB Impacted SPRF''s'!$E$16:$O$9929,6,FALSE)</f>
        <v>Preeti Dua</v>
      </c>
      <c r="AG2749" s="282"/>
      <c r="AH2749" s="311" t="e">
        <f>INDEX('D5 - Gatekeeper - Projects'!$A$4:$AF$1010,$AM2749, 17)</f>
        <v>#N/A</v>
      </c>
      <c r="AI2749" s="8"/>
      <c r="AJ2749" s="57"/>
      <c r="AK2749" s="105"/>
      <c r="AM2749" s="6" t="e">
        <f>MATCH(D2749,'D5 - Gatekeeper - Projects'!$C$4:$C$1010,0)</f>
        <v>#N/A</v>
      </c>
      <c r="AN2749" s="6" t="b">
        <f t="shared" si="280"/>
        <v>1</v>
      </c>
      <c r="AO2749" s="6" t="str">
        <f t="shared" si="281"/>
        <v>OK</v>
      </c>
      <c r="AQ2749" s="6" t="e">
        <f>MATCH($D2749,'D4 - Provider Council Unsched'!$C$11:$C$234,0)</f>
        <v>#N/A</v>
      </c>
      <c r="AR2749" s="6" t="b">
        <f t="shared" si="282"/>
        <v>1</v>
      </c>
      <c r="AS2749" s="6" t="str">
        <f t="shared" si="285"/>
        <v>OK</v>
      </c>
      <c r="AU2749" s="202"/>
      <c r="AV2749" s="262"/>
      <c r="AW2749" s="274"/>
    </row>
    <row r="2750" spans="1:49" s="13" customFormat="1" ht="33.75" x14ac:dyDescent="0.2">
      <c r="A2750" s="14">
        <v>2726</v>
      </c>
      <c r="B2750" s="14">
        <v>400019657</v>
      </c>
      <c r="C2750" s="8" t="s">
        <v>5197</v>
      </c>
      <c r="D2750" s="4" t="str">
        <f t="shared" si="283"/>
        <v>400019657R1</v>
      </c>
      <c r="E2750" s="309" t="str">
        <f>VLOOKUP($B2750,'D7 - NDB Impacted SPRF''s'!$E$6:$O$9929,2,FALSE)</f>
        <v xml:space="preserve">Add contr template, IRT &amp; Ref Rules to UHN Rept </v>
      </c>
      <c r="F2750" s="8" t="s">
        <v>2114</v>
      </c>
      <c r="G2750" s="8" t="s">
        <v>4758</v>
      </c>
      <c r="H2750" s="8" t="s">
        <v>2870</v>
      </c>
      <c r="I2750" s="20">
        <f>1110/150</f>
        <v>7.4</v>
      </c>
      <c r="J2750" s="8" t="s">
        <v>4862</v>
      </c>
      <c r="K2750" s="182"/>
      <c r="L2750" s="8" t="s">
        <v>4156</v>
      </c>
      <c r="M2750" s="8" t="s">
        <v>2814</v>
      </c>
      <c r="N2750" s="38" t="s">
        <v>4750</v>
      </c>
      <c r="O2750" s="8"/>
      <c r="P2750" s="4" t="str">
        <f>VLOOKUP($B2750,'D7 - NDB Impacted SPRF''s'!$E$16:$O$9929,9,FALSE)</f>
        <v>N</v>
      </c>
      <c r="Q2750" s="4" t="str">
        <f>VLOOKUP($B2750,'D7 - NDB Impacted SPRF''s'!$E$16:$O$9929,10,FALSE)</f>
        <v>N</v>
      </c>
      <c r="R2750" s="4" t="str">
        <f>VLOOKUP($B2750,'D7 - NDB Impacted SPRF''s'!$E$16:$O$9929,11,FALSE)</f>
        <v>N</v>
      </c>
      <c r="S2750" s="8"/>
      <c r="T2750" s="310"/>
      <c r="U2750" s="310"/>
      <c r="V2750" s="4"/>
      <c r="W2750" s="4"/>
      <c r="X2750" s="4"/>
      <c r="Y2750" s="4"/>
      <c r="Z2750" s="4"/>
      <c r="AA2750" s="4"/>
      <c r="AB2750" s="380" t="str">
        <f>VLOOKUP($B2750,'D7 - NDB Impacted SPRF''s'!$E$16:$O$9929,4,FALSE)</f>
        <v>Cancelled</v>
      </c>
      <c r="AC2750" s="380" t="str">
        <f>VLOOKUP($B2750,'D7 - NDB Impacted SPRF''s'!$E$16:$O$9929,3,FALSE)</f>
        <v>UnitedHealthcare Employer &amp; Individual</v>
      </c>
      <c r="AD2750" s="380" t="str">
        <f>VLOOKUP($B2750,'D7 - NDB Impacted SPRF''s'!$E$16:$O$9929,5,FALSE)</f>
        <v>Process Improvement</v>
      </c>
      <c r="AE2750" s="380" t="str">
        <f>VLOOKUP($B2750,'D7 - NDB Impacted SPRF''s'!$E$16:$O$9929,7,FALSE)</f>
        <v>Mark Allen</v>
      </c>
      <c r="AF2750" s="380" t="str">
        <f>VLOOKUP($B2750,'D7 - NDB Impacted SPRF''s'!$E$16:$O$9929,6,FALSE)</f>
        <v>Pamela Nash</v>
      </c>
      <c r="AG2750" s="282"/>
      <c r="AH2750" s="311" t="e">
        <f>INDEX('D5 - Gatekeeper - Projects'!$A$4:$AF$1010,$AM2750, 17)</f>
        <v>#N/A</v>
      </c>
      <c r="AI2750" s="8"/>
      <c r="AJ2750" s="57"/>
      <c r="AK2750" s="105"/>
      <c r="AM2750" s="6" t="e">
        <f>MATCH(D2750,'D5 - Gatekeeper - Projects'!$C$4:$C$1010,0)</f>
        <v>#N/A</v>
      </c>
      <c r="AN2750" s="6" t="b">
        <f t="shared" si="280"/>
        <v>1</v>
      </c>
      <c r="AO2750" s="6" t="str">
        <f t="shared" si="281"/>
        <v>OK</v>
      </c>
      <c r="AQ2750" s="6" t="e">
        <f>MATCH($D2750,'D4 - Provider Council Unsched'!$C$11:$C$234,0)</f>
        <v>#N/A</v>
      </c>
      <c r="AR2750" s="6" t="b">
        <f t="shared" si="282"/>
        <v>1</v>
      </c>
      <c r="AS2750" s="6" t="str">
        <f t="shared" si="285"/>
        <v>OK</v>
      </c>
      <c r="AU2750" s="202"/>
      <c r="AV2750" s="262"/>
      <c r="AW2750" s="274"/>
    </row>
    <row r="2751" spans="1:49" s="13" customFormat="1" ht="33.75" x14ac:dyDescent="0.2">
      <c r="A2751" s="14">
        <v>2727</v>
      </c>
      <c r="B2751" s="14">
        <v>400019703</v>
      </c>
      <c r="C2751" s="8" t="s">
        <v>5197</v>
      </c>
      <c r="D2751" s="4" t="str">
        <f t="shared" si="283"/>
        <v>400019703R1</v>
      </c>
      <c r="E2751" s="309" t="str">
        <f>VLOOKUP($B2751,'D7 - NDB Impacted SPRF''s'!$E$6:$O$9929,2,FALSE)</f>
        <v>ECAP - Plan Adjusted Capitation (Clawback)</v>
      </c>
      <c r="F2751" s="8" t="s">
        <v>7593</v>
      </c>
      <c r="G2751" s="8" t="s">
        <v>4758</v>
      </c>
      <c r="H2751" s="8" t="s">
        <v>2870</v>
      </c>
      <c r="I2751" s="20">
        <f>6113/150</f>
        <v>40.75333333333333</v>
      </c>
      <c r="J2751" s="8" t="s">
        <v>4862</v>
      </c>
      <c r="K2751" s="182"/>
      <c r="L2751" s="8" t="s">
        <v>4156</v>
      </c>
      <c r="M2751" s="8" t="s">
        <v>2814</v>
      </c>
      <c r="N2751" s="38"/>
      <c r="O2751" s="8"/>
      <c r="P2751" s="4" t="str">
        <f>VLOOKUP($B2751,'D7 - NDB Impacted SPRF''s'!$E$16:$O$9929,9,FALSE)</f>
        <v>N</v>
      </c>
      <c r="Q2751" s="4" t="str">
        <f>VLOOKUP($B2751,'D7 - NDB Impacted SPRF''s'!$E$16:$O$9929,10,FALSE)</f>
        <v>N</v>
      </c>
      <c r="R2751" s="4" t="str">
        <f>VLOOKUP($B2751,'D7 - NDB Impacted SPRF''s'!$E$16:$O$9929,11,FALSE)</f>
        <v>N</v>
      </c>
      <c r="S2751" s="8"/>
      <c r="T2751" s="310"/>
      <c r="U2751" s="310"/>
      <c r="V2751" s="4"/>
      <c r="W2751" s="4"/>
      <c r="X2751" s="4"/>
      <c r="Y2751" s="4"/>
      <c r="Z2751" s="4"/>
      <c r="AA2751" s="4"/>
      <c r="AB2751" s="380" t="str">
        <f>VLOOKUP($B2751,'D7 - NDB Impacted SPRF''s'!$E$16:$O$9929,4,FALSE)</f>
        <v>Cancelled</v>
      </c>
      <c r="AC2751" s="380" t="str">
        <f>VLOOKUP($B2751,'D7 - NDB Impacted SPRF''s'!$E$16:$O$9929,3,FALSE)</f>
        <v>UnitedHealthcare Employer &amp; Individual</v>
      </c>
      <c r="AD2751" s="380" t="str">
        <f>VLOOKUP($B2751,'D7 - NDB Impacted SPRF''s'!$E$16:$O$9929,5,FALSE)</f>
        <v>Integration Requirements</v>
      </c>
      <c r="AE2751" s="380" t="str">
        <f>VLOOKUP($B2751,'D7 - NDB Impacted SPRF''s'!$E$16:$O$9929,7,FALSE)</f>
        <v>Sue Berkel</v>
      </c>
      <c r="AF2751" s="380" t="str">
        <f>VLOOKUP($B2751,'D7 - NDB Impacted SPRF''s'!$E$16:$O$9929,6,FALSE)</f>
        <v>MELINDA BURWELL</v>
      </c>
      <c r="AG2751" s="282"/>
      <c r="AH2751" s="311" t="e">
        <f>INDEX('D5 - Gatekeeper - Projects'!$A$4:$AF$1010,$AM2751, 17)</f>
        <v>#N/A</v>
      </c>
      <c r="AI2751" s="8"/>
      <c r="AJ2751" s="57"/>
      <c r="AK2751" s="105"/>
      <c r="AM2751" s="6" t="e">
        <f>MATCH(D2751,'D5 - Gatekeeper - Projects'!$C$4:$C$1010,0)</f>
        <v>#N/A</v>
      </c>
      <c r="AN2751" s="6" t="b">
        <f t="shared" si="280"/>
        <v>1</v>
      </c>
      <c r="AO2751" s="6" t="str">
        <f t="shared" si="281"/>
        <v>OK</v>
      </c>
      <c r="AQ2751" s="6" t="e">
        <f>MATCH($D2751,'D4 - Provider Council Unsched'!$C$11:$C$234,0)</f>
        <v>#N/A</v>
      </c>
      <c r="AR2751" s="6" t="b">
        <f t="shared" si="282"/>
        <v>1</v>
      </c>
      <c r="AS2751" s="6" t="str">
        <f t="shared" si="285"/>
        <v>OK</v>
      </c>
      <c r="AU2751" s="202"/>
      <c r="AV2751" s="262"/>
      <c r="AW2751" s="274"/>
    </row>
    <row r="2752" spans="1:49" s="13" customFormat="1" ht="33.75" x14ac:dyDescent="0.2">
      <c r="A2752" s="14">
        <v>2728</v>
      </c>
      <c r="B2752" s="14">
        <v>400019706</v>
      </c>
      <c r="C2752" s="8" t="s">
        <v>5197</v>
      </c>
      <c r="D2752" s="4" t="str">
        <f t="shared" si="283"/>
        <v>400019706R1</v>
      </c>
      <c r="E2752" s="309" t="str">
        <f>VLOOKUP($B2752,'D7 - NDB Impacted SPRF''s'!$E$6:$O$9929,2,FALSE)</f>
        <v>Quality Center Upgrade</v>
      </c>
      <c r="F2752" s="8" t="s">
        <v>2114</v>
      </c>
      <c r="G2752" s="8" t="s">
        <v>4758</v>
      </c>
      <c r="H2752" s="8" t="s">
        <v>2870</v>
      </c>
      <c r="I2752" s="20">
        <v>1.07</v>
      </c>
      <c r="J2752" s="8" t="s">
        <v>4862</v>
      </c>
      <c r="K2752" s="182"/>
      <c r="L2752" s="8" t="s">
        <v>4156</v>
      </c>
      <c r="M2752" s="8" t="s">
        <v>2814</v>
      </c>
      <c r="N2752" s="38"/>
      <c r="O2752" s="8"/>
      <c r="P2752" s="4" t="str">
        <f>VLOOKUP($B2752,'D7 - NDB Impacted SPRF''s'!$E$16:$O$9929,9,FALSE)</f>
        <v>Y</v>
      </c>
      <c r="Q2752" s="4" t="str">
        <f>VLOOKUP($B2752,'D7 - NDB Impacted SPRF''s'!$E$16:$O$9929,10,FALSE)</f>
        <v>N</v>
      </c>
      <c r="R2752" s="4" t="str">
        <f>VLOOKUP($B2752,'D7 - NDB Impacted SPRF''s'!$E$16:$O$9929,11,FALSE)</f>
        <v>N</v>
      </c>
      <c r="S2752" s="8"/>
      <c r="T2752" s="310"/>
      <c r="U2752" s="310"/>
      <c r="V2752" s="4"/>
      <c r="W2752" s="4"/>
      <c r="X2752" s="4"/>
      <c r="Y2752" s="4"/>
      <c r="Z2752" s="4"/>
      <c r="AA2752" s="4"/>
      <c r="AB2752" s="380" t="str">
        <f>VLOOKUP($B2752,'D7 - NDB Impacted SPRF''s'!$E$16:$O$9929,4,FALSE)</f>
        <v>Cancelled</v>
      </c>
      <c r="AC2752" s="380" t="str">
        <f>VLOOKUP($B2752,'D7 - NDB Impacted SPRF''s'!$E$16:$O$9929,3,FALSE)</f>
        <v>UHG IT - Application Services Group</v>
      </c>
      <c r="AD2752" s="380" t="str">
        <f>VLOOKUP($B2752,'D7 - NDB Impacted SPRF''s'!$E$16:$O$9929,5,FALSE)</f>
        <v>ASG</v>
      </c>
      <c r="AE2752" s="380" t="str">
        <f>VLOOKUP($B2752,'D7 - NDB Impacted SPRF''s'!$E$16:$O$9929,7,FALSE)</f>
        <v>Bob Preston</v>
      </c>
      <c r="AF2752" s="380" t="str">
        <f>VLOOKUP($B2752,'D7 - NDB Impacted SPRF''s'!$E$16:$O$9929,6,FALSE)</f>
        <v>CURT SCHROEDERS</v>
      </c>
      <c r="AG2752" s="282"/>
      <c r="AH2752" s="311" t="e">
        <f>INDEX('D5 - Gatekeeper - Projects'!$A$4:$AF$1010,$AM2752, 17)</f>
        <v>#N/A</v>
      </c>
      <c r="AI2752" s="8"/>
      <c r="AJ2752" s="57"/>
      <c r="AK2752" s="105"/>
      <c r="AM2752" s="6" t="e">
        <f>MATCH(D2752,'D5 - Gatekeeper - Projects'!$C$4:$C$1010,0)</f>
        <v>#N/A</v>
      </c>
      <c r="AN2752" s="6" t="b">
        <f t="shared" si="280"/>
        <v>1</v>
      </c>
      <c r="AO2752" s="6" t="str">
        <f t="shared" si="281"/>
        <v>OK</v>
      </c>
      <c r="AQ2752" s="6" t="e">
        <f>MATCH($D2752,'D4 - Provider Council Unsched'!$C$11:$C$234,0)</f>
        <v>#N/A</v>
      </c>
      <c r="AR2752" s="6" t="b">
        <f t="shared" si="282"/>
        <v>1</v>
      </c>
      <c r="AS2752" s="6" t="str">
        <f t="shared" si="285"/>
        <v>OK</v>
      </c>
      <c r="AU2752" s="202"/>
      <c r="AV2752" s="262"/>
      <c r="AW2752" s="274"/>
    </row>
    <row r="2753" spans="1:49" s="13" customFormat="1" x14ac:dyDescent="0.2">
      <c r="A2753" s="14">
        <v>2729</v>
      </c>
      <c r="B2753" s="14">
        <v>400019742</v>
      </c>
      <c r="C2753" s="8" t="s">
        <v>5197</v>
      </c>
      <c r="D2753" s="4" t="str">
        <f t="shared" si="283"/>
        <v>400019742R1</v>
      </c>
      <c r="E2753" s="309" t="str">
        <f>VLOOKUP($B2753,'D7 - NDB Impacted SPRF''s'!$E$6:$O$9929,2,FALSE)</f>
        <v>Kojak</v>
      </c>
      <c r="F2753" s="8" t="s">
        <v>2114</v>
      </c>
      <c r="G2753" s="8" t="s">
        <v>4758</v>
      </c>
      <c r="H2753" s="8" t="s">
        <v>2870</v>
      </c>
      <c r="I2753" s="20">
        <f>560/160</f>
        <v>3.5</v>
      </c>
      <c r="J2753" s="8" t="s">
        <v>4862</v>
      </c>
      <c r="K2753" s="182"/>
      <c r="L2753" s="8" t="s">
        <v>4156</v>
      </c>
      <c r="M2753" s="8" t="s">
        <v>2814</v>
      </c>
      <c r="N2753" s="38"/>
      <c r="O2753" s="8"/>
      <c r="P2753" s="4" t="str">
        <f>VLOOKUP($B2753,'D7 - NDB Impacted SPRF''s'!$E$16:$O$9929,9,FALSE)</f>
        <v>Y</v>
      </c>
      <c r="Q2753" s="4" t="str">
        <f>VLOOKUP($B2753,'D7 - NDB Impacted SPRF''s'!$E$16:$O$9929,10,FALSE)</f>
        <v>N</v>
      </c>
      <c r="R2753" s="4" t="str">
        <f>VLOOKUP($B2753,'D7 - NDB Impacted SPRF''s'!$E$16:$O$9929,11,FALSE)</f>
        <v>N</v>
      </c>
      <c r="S2753" s="8"/>
      <c r="T2753" s="310"/>
      <c r="U2753" s="310"/>
      <c r="V2753" s="4"/>
      <c r="W2753" s="4"/>
      <c r="X2753" s="4"/>
      <c r="Y2753" s="4"/>
      <c r="Z2753" s="4"/>
      <c r="AA2753" s="4"/>
      <c r="AB2753" s="380" t="str">
        <f>VLOOKUP($B2753,'D7 - NDB Impacted SPRF''s'!$E$16:$O$9929,4,FALSE)</f>
        <v>Cancelled</v>
      </c>
      <c r="AC2753" s="380" t="str">
        <f>VLOOKUP($B2753,'D7 - NDB Impacted SPRF''s'!$E$16:$O$9929,3,FALSE)</f>
        <v>OptumInsight</v>
      </c>
      <c r="AD2753" s="380" t="str">
        <f>VLOOKUP($B2753,'D7 - NDB Impacted SPRF''s'!$E$16:$O$9929,5,FALSE)</f>
        <v>Ingenix</v>
      </c>
      <c r="AE2753" s="380" t="str">
        <f>VLOOKUP($B2753,'D7 - NDB Impacted SPRF''s'!$E$16:$O$9929,7,FALSE)</f>
        <v>Korb Matosich</v>
      </c>
      <c r="AF2753" s="380" t="str">
        <f>VLOOKUP($B2753,'D7 - NDB Impacted SPRF''s'!$E$16:$O$9929,6,FALSE)</f>
        <v>Sara Maruska</v>
      </c>
      <c r="AG2753" s="282"/>
      <c r="AH2753" s="311" t="e">
        <f>INDEX('D5 - Gatekeeper - Projects'!$A$4:$AF$1010,$AM2753, 17)</f>
        <v>#N/A</v>
      </c>
      <c r="AI2753" s="8"/>
      <c r="AJ2753" s="57"/>
      <c r="AK2753" s="105"/>
      <c r="AM2753" s="6" t="e">
        <f>MATCH(D2753,'D5 - Gatekeeper - Projects'!$C$4:$C$1010,0)</f>
        <v>#N/A</v>
      </c>
      <c r="AN2753" s="6" t="b">
        <f t="shared" si="280"/>
        <v>1</v>
      </c>
      <c r="AO2753" s="6" t="str">
        <f t="shared" si="281"/>
        <v>OK</v>
      </c>
      <c r="AQ2753" s="6" t="e">
        <f>MATCH($D2753,'D4 - Provider Council Unsched'!$C$11:$C$234,0)</f>
        <v>#N/A</v>
      </c>
      <c r="AR2753" s="6" t="b">
        <f t="shared" si="282"/>
        <v>1</v>
      </c>
      <c r="AS2753" s="6" t="str">
        <f t="shared" si="285"/>
        <v>OK</v>
      </c>
      <c r="AU2753" s="202"/>
      <c r="AV2753" s="262"/>
      <c r="AW2753" s="274"/>
    </row>
    <row r="2754" spans="1:49" s="13" customFormat="1" ht="33.75" x14ac:dyDescent="0.2">
      <c r="A2754" s="14">
        <v>2730</v>
      </c>
      <c r="B2754" s="14">
        <v>400019755</v>
      </c>
      <c r="C2754" s="8" t="s">
        <v>5197</v>
      </c>
      <c r="D2754" s="4" t="str">
        <f t="shared" si="283"/>
        <v>400019755R1</v>
      </c>
      <c r="E2754" s="309" t="str">
        <f>VLOOKUP($B2754,'D7 - NDB Impacted SPRF''s'!$E$6:$O$9929,2,FALSE)</f>
        <v>Inclusion of Contract Master Data in UHN Extract</v>
      </c>
      <c r="F2754" s="8" t="s">
        <v>5752</v>
      </c>
      <c r="G2754" s="8" t="s">
        <v>4758</v>
      </c>
      <c r="H2754" s="8" t="s">
        <v>2870</v>
      </c>
      <c r="I2754" s="20"/>
      <c r="J2754" s="8"/>
      <c r="K2754" s="182"/>
      <c r="L2754" s="8" t="s">
        <v>4156</v>
      </c>
      <c r="M2754" s="8" t="s">
        <v>2814</v>
      </c>
      <c r="N2754" s="38" t="s">
        <v>4653</v>
      </c>
      <c r="O2754" s="8"/>
      <c r="P2754" s="4" t="str">
        <f>VLOOKUP($B2754,'D7 - NDB Impacted SPRF''s'!$E$16:$O$9929,9,FALSE)</f>
        <v>N</v>
      </c>
      <c r="Q2754" s="4" t="str">
        <f>VLOOKUP($B2754,'D7 - NDB Impacted SPRF''s'!$E$16:$O$9929,10,FALSE)</f>
        <v>N</v>
      </c>
      <c r="R2754" s="4" t="str">
        <f>VLOOKUP($B2754,'D7 - NDB Impacted SPRF''s'!$E$16:$O$9929,11,FALSE)</f>
        <v>N</v>
      </c>
      <c r="S2754" s="8"/>
      <c r="T2754" s="310"/>
      <c r="U2754" s="310"/>
      <c r="V2754" s="4"/>
      <c r="W2754" s="4"/>
      <c r="X2754" s="4"/>
      <c r="Y2754" s="4"/>
      <c r="Z2754" s="4"/>
      <c r="AA2754" s="4"/>
      <c r="AB2754" s="380" t="str">
        <f>VLOOKUP($B2754,'D7 - NDB Impacted SPRF''s'!$E$16:$O$9929,4,FALSE)</f>
        <v>Cancelled</v>
      </c>
      <c r="AC2754" s="380" t="str">
        <f>VLOOKUP($B2754,'D7 - NDB Impacted SPRF''s'!$E$16:$O$9929,3,FALSE)</f>
        <v>UnitedHealthcare Employer &amp; Individual</v>
      </c>
      <c r="AD2754" s="380" t="str">
        <f>VLOOKUP($B2754,'D7 - NDB Impacted SPRF''s'!$E$16:$O$9929,5,FALSE)</f>
        <v>Process Improvement</v>
      </c>
      <c r="AE2754" s="380" t="str">
        <f>VLOOKUP($B2754,'D7 - NDB Impacted SPRF''s'!$E$16:$O$9929,7,FALSE)</f>
        <v>Ross Lippincott/Eileen Dock</v>
      </c>
      <c r="AF2754" s="380" t="str">
        <f>VLOOKUP($B2754,'D7 - NDB Impacted SPRF''s'!$E$16:$O$9929,6,FALSE)</f>
        <v>Ali Fiad</v>
      </c>
      <c r="AG2754" s="282"/>
      <c r="AH2754" s="311" t="e">
        <f>INDEX('D5 - Gatekeeper - Projects'!$A$4:$AF$1010,$AM2754, 17)</f>
        <v>#N/A</v>
      </c>
      <c r="AI2754" s="8"/>
      <c r="AJ2754" s="57"/>
      <c r="AK2754" s="105"/>
      <c r="AM2754" s="6" t="e">
        <f>MATCH(D2754,'D5 - Gatekeeper - Projects'!$C$4:$C$1010,0)</f>
        <v>#N/A</v>
      </c>
      <c r="AN2754" s="6" t="b">
        <f t="shared" si="280"/>
        <v>1</v>
      </c>
      <c r="AO2754" s="6" t="str">
        <f t="shared" si="281"/>
        <v>OK</v>
      </c>
      <c r="AQ2754" s="6" t="e">
        <f>MATCH($D2754,'D4 - Provider Council Unsched'!$C$11:$C$234,0)</f>
        <v>#N/A</v>
      </c>
      <c r="AR2754" s="6" t="b">
        <f t="shared" si="282"/>
        <v>1</v>
      </c>
      <c r="AS2754" s="6" t="str">
        <f t="shared" si="285"/>
        <v>OK</v>
      </c>
      <c r="AU2754" s="202"/>
      <c r="AV2754" s="262"/>
      <c r="AW2754" s="274"/>
    </row>
    <row r="2755" spans="1:49" s="13" customFormat="1" ht="22.5" x14ac:dyDescent="0.2">
      <c r="A2755" s="14">
        <v>2731</v>
      </c>
      <c r="B2755" s="14">
        <v>400019860</v>
      </c>
      <c r="C2755" s="8" t="s">
        <v>5197</v>
      </c>
      <c r="D2755" s="4" t="str">
        <f t="shared" si="283"/>
        <v>400019860R1</v>
      </c>
      <c r="E2755" s="309" t="str">
        <f>VLOOKUP($B2755,'D7 - NDB Impacted SPRF''s'!$E$6:$O$9929,2,FALSE)</f>
        <v>Facility Processing</v>
      </c>
      <c r="F2755" s="8" t="s">
        <v>2114</v>
      </c>
      <c r="G2755" s="8" t="s">
        <v>4758</v>
      </c>
      <c r="H2755" s="8" t="s">
        <v>2870</v>
      </c>
      <c r="I2755" s="20"/>
      <c r="J2755" s="8"/>
      <c r="K2755" s="182"/>
      <c r="L2755" s="8" t="s">
        <v>4156</v>
      </c>
      <c r="M2755" s="8" t="s">
        <v>2814</v>
      </c>
      <c r="N2755" s="38"/>
      <c r="O2755" s="8"/>
      <c r="P2755" s="4" t="str">
        <f>VLOOKUP($B2755,'D7 - NDB Impacted SPRF''s'!$E$16:$O$9929,9,FALSE)</f>
        <v>Y</v>
      </c>
      <c r="Q2755" s="4" t="str">
        <f>VLOOKUP($B2755,'D7 - NDB Impacted SPRF''s'!$E$16:$O$9929,10,FALSE)</f>
        <v>N</v>
      </c>
      <c r="R2755" s="4" t="str">
        <f>VLOOKUP($B2755,'D7 - NDB Impacted SPRF''s'!$E$16:$O$9929,11,FALSE)</f>
        <v>N</v>
      </c>
      <c r="S2755" s="8"/>
      <c r="T2755" s="310"/>
      <c r="U2755" s="310"/>
      <c r="V2755" s="4"/>
      <c r="W2755" s="4"/>
      <c r="X2755" s="4"/>
      <c r="Y2755" s="4"/>
      <c r="Z2755" s="4"/>
      <c r="AA2755" s="4"/>
      <c r="AB2755" s="380" t="str">
        <f>VLOOKUP($B2755,'D7 - NDB Impacted SPRF''s'!$E$16:$O$9929,4,FALSE)</f>
        <v>Cancelled</v>
      </c>
      <c r="AC2755" s="380" t="str">
        <f>VLOOKUP($B2755,'D7 - NDB Impacted SPRF''s'!$E$16:$O$9929,3,FALSE)</f>
        <v>Uniprise</v>
      </c>
      <c r="AD2755" s="380" t="str">
        <f>VLOOKUP($B2755,'D7 - NDB Impacted SPRF''s'!$E$16:$O$9929,5,FALSE)</f>
        <v>Uniprise Operations - Capital Projects</v>
      </c>
      <c r="AE2755" s="380" t="str">
        <f>VLOOKUP($B2755,'D7 - NDB Impacted SPRF''s'!$E$16:$O$9929,7,FALSE)</f>
        <v>Mary Jo Curtin</v>
      </c>
      <c r="AF2755" s="380" t="str">
        <f>VLOOKUP($B2755,'D7 - NDB Impacted SPRF''s'!$E$16:$O$9929,6,FALSE)</f>
        <v>Robert Benat</v>
      </c>
      <c r="AG2755" s="282"/>
      <c r="AH2755" s="311" t="e">
        <f>INDEX('D5 - Gatekeeper - Projects'!$A$4:$AF$1010,$AM2755, 17)</f>
        <v>#N/A</v>
      </c>
      <c r="AI2755" s="8"/>
      <c r="AJ2755" s="57"/>
      <c r="AK2755" s="105"/>
      <c r="AM2755" s="6" t="e">
        <f>MATCH(D2755,'D5 - Gatekeeper - Projects'!$C$4:$C$1010,0)</f>
        <v>#N/A</v>
      </c>
      <c r="AN2755" s="6" t="b">
        <f t="shared" si="280"/>
        <v>1</v>
      </c>
      <c r="AO2755" s="6" t="str">
        <f t="shared" si="281"/>
        <v>OK</v>
      </c>
      <c r="AQ2755" s="6" t="e">
        <f>MATCH($D2755,'D4 - Provider Council Unsched'!$C$11:$C$234,0)</f>
        <v>#N/A</v>
      </c>
      <c r="AR2755" s="6" t="b">
        <f t="shared" si="282"/>
        <v>1</v>
      </c>
      <c r="AS2755" s="6" t="str">
        <f t="shared" si="285"/>
        <v>OK</v>
      </c>
      <c r="AU2755" s="202"/>
      <c r="AV2755" s="262"/>
      <c r="AW2755" s="274"/>
    </row>
    <row r="2756" spans="1:49" s="13" customFormat="1" ht="33.75" x14ac:dyDescent="0.2">
      <c r="A2756" s="14">
        <v>2732</v>
      </c>
      <c r="B2756" s="14">
        <v>400019895</v>
      </c>
      <c r="C2756" s="8" t="s">
        <v>5197</v>
      </c>
      <c r="D2756" s="4" t="str">
        <f t="shared" si="283"/>
        <v>400019895R1</v>
      </c>
      <c r="E2756" s="309" t="str">
        <f>VLOOKUP($B2756,'D7 - NDB Impacted SPRF''s'!$E$6:$O$9929,2,FALSE)</f>
        <v>ECAP - Third Party Capitation</v>
      </c>
      <c r="F2756" s="8" t="s">
        <v>7593</v>
      </c>
      <c r="G2756" s="8" t="s">
        <v>4758</v>
      </c>
      <c r="H2756" s="8" t="s">
        <v>2870</v>
      </c>
      <c r="I2756" s="20">
        <f>6113/150</f>
        <v>40.75333333333333</v>
      </c>
      <c r="J2756" s="8" t="s">
        <v>4862</v>
      </c>
      <c r="K2756" s="182"/>
      <c r="L2756" s="8" t="s">
        <v>4156</v>
      </c>
      <c r="M2756" s="8" t="s">
        <v>2814</v>
      </c>
      <c r="N2756" s="38" t="s">
        <v>4798</v>
      </c>
      <c r="O2756" s="8"/>
      <c r="P2756" s="4" t="str">
        <f>VLOOKUP($B2756,'D7 - NDB Impacted SPRF''s'!$E$16:$O$9929,9,FALSE)</f>
        <v>N</v>
      </c>
      <c r="Q2756" s="4" t="str">
        <f>VLOOKUP($B2756,'D7 - NDB Impacted SPRF''s'!$E$16:$O$9929,10,FALSE)</f>
        <v>N</v>
      </c>
      <c r="R2756" s="4" t="str">
        <f>VLOOKUP($B2756,'D7 - NDB Impacted SPRF''s'!$E$16:$O$9929,11,FALSE)</f>
        <v>N</v>
      </c>
      <c r="S2756" s="8"/>
      <c r="T2756" s="310"/>
      <c r="U2756" s="310"/>
      <c r="V2756" s="4"/>
      <c r="W2756" s="4"/>
      <c r="X2756" s="4"/>
      <c r="Y2756" s="4"/>
      <c r="Z2756" s="4"/>
      <c r="AA2756" s="4"/>
      <c r="AB2756" s="380" t="str">
        <f>VLOOKUP($B2756,'D7 - NDB Impacted SPRF''s'!$E$16:$O$9929,4,FALSE)</f>
        <v>Cancelled</v>
      </c>
      <c r="AC2756" s="380" t="str">
        <f>VLOOKUP($B2756,'D7 - NDB Impacted SPRF''s'!$E$16:$O$9929,3,FALSE)</f>
        <v>UnitedHealthcare Employer &amp; Individual</v>
      </c>
      <c r="AD2756" s="380" t="str">
        <f>VLOOKUP($B2756,'D7 - NDB Impacted SPRF''s'!$E$16:$O$9929,5,FALSE)</f>
        <v>Integration Requirements</v>
      </c>
      <c r="AE2756" s="380" t="str">
        <f>VLOOKUP($B2756,'D7 - NDB Impacted SPRF''s'!$E$16:$O$9929,7,FALSE)</f>
        <v>Sue Berkel</v>
      </c>
      <c r="AF2756" s="380" t="str">
        <f>VLOOKUP($B2756,'D7 - NDB Impacted SPRF''s'!$E$16:$O$9929,6,FALSE)</f>
        <v>MELINDA BURWELL</v>
      </c>
      <c r="AG2756" s="282"/>
      <c r="AH2756" s="311" t="e">
        <f>INDEX('D5 - Gatekeeper - Projects'!$A$4:$AF$1010,$AM2756, 17)</f>
        <v>#N/A</v>
      </c>
      <c r="AI2756" s="8"/>
      <c r="AJ2756" s="57"/>
      <c r="AK2756" s="105"/>
      <c r="AM2756" s="6" t="e">
        <f>MATCH(D2756,'D5 - Gatekeeper - Projects'!$C$4:$C$1010,0)</f>
        <v>#N/A</v>
      </c>
      <c r="AN2756" s="6" t="b">
        <f t="shared" si="280"/>
        <v>1</v>
      </c>
      <c r="AO2756" s="6" t="str">
        <f t="shared" si="281"/>
        <v>OK</v>
      </c>
      <c r="AQ2756" s="6" t="e">
        <f>MATCH($D2756,'D4 - Provider Council Unsched'!$C$11:$C$234,0)</f>
        <v>#N/A</v>
      </c>
      <c r="AR2756" s="6" t="b">
        <f t="shared" si="282"/>
        <v>1</v>
      </c>
      <c r="AS2756" s="6" t="str">
        <f t="shared" si="285"/>
        <v>OK</v>
      </c>
      <c r="AU2756" s="202"/>
      <c r="AV2756" s="262"/>
      <c r="AW2756" s="274"/>
    </row>
    <row r="2757" spans="1:49" s="13" customFormat="1" ht="33.75" x14ac:dyDescent="0.2">
      <c r="A2757" s="14">
        <v>2733</v>
      </c>
      <c r="B2757" s="14">
        <v>400019946</v>
      </c>
      <c r="C2757" s="8" t="s">
        <v>5197</v>
      </c>
      <c r="D2757" s="4" t="str">
        <f t="shared" si="283"/>
        <v>400019946R1</v>
      </c>
      <c r="E2757" s="309" t="str">
        <f>VLOOKUP($B2757,'D7 - NDB Impacted SPRF''s'!$E$6:$O$9929,2,FALSE)</f>
        <v>Claims Repricing ppoONE Platform Upgrade</v>
      </c>
      <c r="F2757" s="8" t="s">
        <v>4304</v>
      </c>
      <c r="G2757" s="8" t="s">
        <v>4758</v>
      </c>
      <c r="H2757" s="8" t="s">
        <v>2870</v>
      </c>
      <c r="I2757" s="20"/>
      <c r="J2757" s="8"/>
      <c r="K2757" s="182"/>
      <c r="L2757" s="8" t="s">
        <v>4156</v>
      </c>
      <c r="M2757" s="8" t="s">
        <v>2814</v>
      </c>
      <c r="N2757" s="38"/>
      <c r="O2757" s="8"/>
      <c r="P2757" s="4" t="str">
        <f>VLOOKUP($B2757,'D7 - NDB Impacted SPRF''s'!$E$16:$O$9929,9,FALSE)</f>
        <v>N</v>
      </c>
      <c r="Q2757" s="4" t="str">
        <f>VLOOKUP($B2757,'D7 - NDB Impacted SPRF''s'!$E$16:$O$9929,10,FALSE)</f>
        <v>N</v>
      </c>
      <c r="R2757" s="4" t="str">
        <f>VLOOKUP($B2757,'D7 - NDB Impacted SPRF''s'!$E$16:$O$9929,11,FALSE)</f>
        <v>Y</v>
      </c>
      <c r="S2757" s="8"/>
      <c r="T2757" s="310"/>
      <c r="U2757" s="310"/>
      <c r="V2757" s="4"/>
      <c r="W2757" s="4"/>
      <c r="X2757" s="4"/>
      <c r="Y2757" s="4"/>
      <c r="Z2757" s="4"/>
      <c r="AA2757" s="4"/>
      <c r="AB2757" s="380" t="str">
        <f>VLOOKUP($B2757,'D7 - NDB Impacted SPRF''s'!$E$16:$O$9929,4,FALSE)</f>
        <v>Completed</v>
      </c>
      <c r="AC2757" s="380" t="str">
        <f>VLOOKUP($B2757,'D7 - NDB Impacted SPRF''s'!$E$16:$O$9929,3,FALSE)</f>
        <v>UnitedHealthcare Employer &amp; Individual</v>
      </c>
      <c r="AD2757" s="380" t="str">
        <f>VLOOKUP($B2757,'D7 - NDB Impacted SPRF''s'!$E$16:$O$9929,5,FALSE)</f>
        <v>Operational Requirements</v>
      </c>
      <c r="AE2757" s="380" t="str">
        <f>VLOOKUP($B2757,'D7 - NDB Impacted SPRF''s'!$E$16:$O$9929,7,FALSE)</f>
        <v>Susan Hames</v>
      </c>
      <c r="AF2757" s="380" t="str">
        <f>VLOOKUP($B2757,'D7 - NDB Impacted SPRF''s'!$E$16:$O$9929,6,FALSE)</f>
        <v>JAMES SHELTON</v>
      </c>
      <c r="AG2757" s="282"/>
      <c r="AH2757" s="311" t="e">
        <f>INDEX('D5 - Gatekeeper - Projects'!$A$4:$AF$1010,$AM2757, 17)</f>
        <v>#N/A</v>
      </c>
      <c r="AI2757" s="8"/>
      <c r="AJ2757" s="57"/>
      <c r="AK2757" s="105"/>
      <c r="AM2757" s="6" t="e">
        <f>MATCH(D2757,'D5 - Gatekeeper - Projects'!$C$4:$C$1010,0)</f>
        <v>#N/A</v>
      </c>
      <c r="AN2757" s="6" t="b">
        <f t="shared" si="280"/>
        <v>1</v>
      </c>
      <c r="AO2757" s="6" t="str">
        <f t="shared" si="281"/>
        <v>OK</v>
      </c>
      <c r="AQ2757" s="6" t="e">
        <f>MATCH($D2757,'D4 - Provider Council Unsched'!$C$11:$C$234,0)</f>
        <v>#N/A</v>
      </c>
      <c r="AR2757" s="6" t="b">
        <f t="shared" si="282"/>
        <v>1</v>
      </c>
      <c r="AS2757" s="6" t="str">
        <f t="shared" si="285"/>
        <v>OK</v>
      </c>
      <c r="AU2757" s="202"/>
      <c r="AV2757" s="262"/>
      <c r="AW2757" s="274"/>
    </row>
    <row r="2758" spans="1:49" s="13" customFormat="1" ht="33.75" x14ac:dyDescent="0.2">
      <c r="A2758" s="14">
        <v>2734</v>
      </c>
      <c r="B2758" s="14">
        <v>400020051</v>
      </c>
      <c r="C2758" s="8" t="s">
        <v>5197</v>
      </c>
      <c r="D2758" s="4" t="str">
        <f t="shared" si="283"/>
        <v>400020051R1</v>
      </c>
      <c r="E2758" s="309" t="str">
        <f>VLOOKUP($B2758,'D7 - NDB Impacted SPRF''s'!$E$6:$O$9929,2,FALSE)</f>
        <v>CLIA Processing Cycle Time (Analysis Only)</v>
      </c>
      <c r="F2758" s="8" t="s">
        <v>2114</v>
      </c>
      <c r="G2758" s="8" t="s">
        <v>4758</v>
      </c>
      <c r="H2758" s="8" t="s">
        <v>2870</v>
      </c>
      <c r="I2758" s="20">
        <f>2398/160</f>
        <v>14.987500000000001</v>
      </c>
      <c r="J2758" s="8" t="s">
        <v>4862</v>
      </c>
      <c r="K2758" s="182"/>
      <c r="L2758" s="8" t="s">
        <v>4156</v>
      </c>
      <c r="M2758" s="8" t="s">
        <v>2814</v>
      </c>
      <c r="N2758" s="38" t="s">
        <v>1948</v>
      </c>
      <c r="O2758" s="8"/>
      <c r="P2758" s="4" t="str">
        <f>VLOOKUP($B2758,'D7 - NDB Impacted SPRF''s'!$E$16:$O$9929,9,FALSE)</f>
        <v>N</v>
      </c>
      <c r="Q2758" s="4" t="str">
        <f>VLOOKUP($B2758,'D7 - NDB Impacted SPRF''s'!$E$16:$O$9929,10,FALSE)</f>
        <v>N</v>
      </c>
      <c r="R2758" s="4" t="str">
        <f>VLOOKUP($B2758,'D7 - NDB Impacted SPRF''s'!$E$16:$O$9929,11,FALSE)</f>
        <v>N</v>
      </c>
      <c r="S2758" s="8"/>
      <c r="T2758" s="310"/>
      <c r="U2758" s="310"/>
      <c r="V2758" s="4"/>
      <c r="W2758" s="4"/>
      <c r="X2758" s="4"/>
      <c r="Y2758" s="4"/>
      <c r="Z2758" s="4"/>
      <c r="AA2758" s="4"/>
      <c r="AB2758" s="380" t="str">
        <f>VLOOKUP($B2758,'D7 - NDB Impacted SPRF''s'!$E$16:$O$9929,4,FALSE)</f>
        <v>Cancelled</v>
      </c>
      <c r="AC2758" s="380" t="str">
        <f>VLOOKUP($B2758,'D7 - NDB Impacted SPRF''s'!$E$16:$O$9929,3,FALSE)</f>
        <v>UnitedHealthcare Employer &amp; Individual</v>
      </c>
      <c r="AD2758" s="380" t="str">
        <f>VLOOKUP($B2758,'D7 - NDB Impacted SPRF''s'!$E$16:$O$9929,5,FALSE)</f>
        <v>Medical Cost Savings Programs</v>
      </c>
      <c r="AE2758" s="380" t="str">
        <f>VLOOKUP($B2758,'D7 - NDB Impacted SPRF''s'!$E$16:$O$9929,7,FALSE)</f>
        <v>John Kohner</v>
      </c>
      <c r="AF2758" s="380" t="str">
        <f>VLOOKUP($B2758,'D7 - NDB Impacted SPRF''s'!$E$16:$O$9929,6,FALSE)</f>
        <v>LISA DOSCH</v>
      </c>
      <c r="AG2758" s="282"/>
      <c r="AH2758" s="311" t="e">
        <f>INDEX('D5 - Gatekeeper - Projects'!$A$4:$AF$1010,$AM2758, 17)</f>
        <v>#N/A</v>
      </c>
      <c r="AI2758" s="8"/>
      <c r="AJ2758" s="57"/>
      <c r="AK2758" s="105"/>
      <c r="AM2758" s="6" t="e">
        <f>MATCH(D2758,'D5 - Gatekeeper - Projects'!$C$4:$C$1010,0)</f>
        <v>#N/A</v>
      </c>
      <c r="AN2758" s="6" t="b">
        <f t="shared" si="280"/>
        <v>1</v>
      </c>
      <c r="AO2758" s="6" t="str">
        <f t="shared" si="281"/>
        <v>OK</v>
      </c>
      <c r="AQ2758" s="6" t="e">
        <f>MATCH($D2758,'D4 - Provider Council Unsched'!$C$11:$C$234,0)</f>
        <v>#N/A</v>
      </c>
      <c r="AR2758" s="6" t="b">
        <f t="shared" si="282"/>
        <v>1</v>
      </c>
      <c r="AS2758" s="6" t="str">
        <f t="shared" si="285"/>
        <v>OK</v>
      </c>
      <c r="AU2758" s="202"/>
      <c r="AV2758" s="262"/>
      <c r="AW2758" s="274"/>
    </row>
    <row r="2759" spans="1:49" s="13" customFormat="1" ht="22.5" x14ac:dyDescent="0.2">
      <c r="A2759" s="14">
        <v>2735</v>
      </c>
      <c r="B2759" s="14">
        <v>400020071</v>
      </c>
      <c r="C2759" s="8" t="s">
        <v>5197</v>
      </c>
      <c r="D2759" s="4" t="str">
        <f t="shared" si="283"/>
        <v>400020071R1</v>
      </c>
      <c r="E2759" s="309" t="str">
        <f>VLOOKUP($B2759,'D7 - NDB Impacted SPRF''s'!$E$6:$O$9929,2,FALSE)</f>
        <v>Medica - Reference Lab Provider Pick</v>
      </c>
      <c r="F2759" s="8" t="s">
        <v>5196</v>
      </c>
      <c r="G2759" s="8" t="s">
        <v>4758</v>
      </c>
      <c r="H2759" s="8" t="s">
        <v>2870</v>
      </c>
      <c r="I2759" s="20"/>
      <c r="J2759" s="8"/>
      <c r="K2759" s="182"/>
      <c r="L2759" s="8" t="s">
        <v>4156</v>
      </c>
      <c r="M2759" s="8" t="s">
        <v>2814</v>
      </c>
      <c r="N2759" s="38"/>
      <c r="O2759" s="8"/>
      <c r="P2759" s="4" t="str">
        <f>VLOOKUP($B2759,'D7 - NDB Impacted SPRF''s'!$E$16:$O$9929,9,FALSE)</f>
        <v>Y</v>
      </c>
      <c r="Q2759" s="4" t="str">
        <f>VLOOKUP($B2759,'D7 - NDB Impacted SPRF''s'!$E$16:$O$9929,10,FALSE)</f>
        <v>N</v>
      </c>
      <c r="R2759" s="4" t="str">
        <f>VLOOKUP($B2759,'D7 - NDB Impacted SPRF''s'!$E$16:$O$9929,11,FALSE)</f>
        <v>N</v>
      </c>
      <c r="S2759" s="8"/>
      <c r="T2759" s="310"/>
      <c r="U2759" s="310"/>
      <c r="V2759" s="4"/>
      <c r="W2759" s="4"/>
      <c r="X2759" s="4"/>
      <c r="Y2759" s="4"/>
      <c r="Z2759" s="4"/>
      <c r="AA2759" s="4"/>
      <c r="AB2759" s="380" t="str">
        <f>VLOOKUP($B2759,'D7 - NDB Impacted SPRF''s'!$E$16:$O$9929,4,FALSE)</f>
        <v>Cancelled</v>
      </c>
      <c r="AC2759" s="380" t="str">
        <f>VLOOKUP($B2759,'D7 - NDB Impacted SPRF''s'!$E$16:$O$9929,3,FALSE)</f>
        <v>Alliance</v>
      </c>
      <c r="AD2759" s="380" t="str">
        <f>VLOOKUP($B2759,'D7 - NDB Impacted SPRF''s'!$E$16:$O$9929,5,FALSE)</f>
        <v>Medica UNET Conversion</v>
      </c>
      <c r="AE2759" s="380" t="str">
        <f>VLOOKUP($B2759,'D7 - NDB Impacted SPRF''s'!$E$16:$O$9929,7,FALSE)</f>
        <v>Tim Kaja</v>
      </c>
      <c r="AF2759" s="380" t="str">
        <f>VLOOKUP($B2759,'D7 - NDB Impacted SPRF''s'!$E$16:$O$9929,6,FALSE)</f>
        <v>James Genovese</v>
      </c>
      <c r="AG2759" s="282"/>
      <c r="AH2759" s="311" t="e">
        <f>INDEX('D5 - Gatekeeper - Projects'!$A$4:$AF$1010,$AM2759, 17)</f>
        <v>#N/A</v>
      </c>
      <c r="AI2759" s="8"/>
      <c r="AJ2759" s="57"/>
      <c r="AK2759" s="105"/>
      <c r="AM2759" s="6" t="e">
        <f>MATCH(D2759,'D5 - Gatekeeper - Projects'!$C$4:$C$1010,0)</f>
        <v>#N/A</v>
      </c>
      <c r="AN2759" s="6" t="b">
        <f t="shared" si="280"/>
        <v>1</v>
      </c>
      <c r="AO2759" s="6" t="str">
        <f t="shared" si="281"/>
        <v>OK</v>
      </c>
      <c r="AQ2759" s="6" t="e">
        <f>MATCH($D2759,'D4 - Provider Council Unsched'!$C$11:$C$234,0)</f>
        <v>#N/A</v>
      </c>
      <c r="AR2759" s="6" t="b">
        <f t="shared" si="282"/>
        <v>1</v>
      </c>
      <c r="AS2759" s="6" t="str">
        <f t="shared" si="285"/>
        <v>OK</v>
      </c>
      <c r="AU2759" s="202"/>
      <c r="AV2759" s="262"/>
      <c r="AW2759" s="274"/>
    </row>
    <row r="2760" spans="1:49" s="13" customFormat="1" ht="33.75" x14ac:dyDescent="0.2">
      <c r="A2760" s="14">
        <v>2736</v>
      </c>
      <c r="B2760" s="237">
        <v>400020073</v>
      </c>
      <c r="C2760" s="8" t="s">
        <v>5197</v>
      </c>
      <c r="D2760" s="4" t="str">
        <f t="shared" si="283"/>
        <v>400020073R1</v>
      </c>
      <c r="E2760" s="309" t="str">
        <f>VLOOKUP($B2760,'D7 - NDB Impacted SPRF''s'!$E$6:$O$9929,2,FALSE)</f>
        <v>Directory Enhancements</v>
      </c>
      <c r="F2760" s="8" t="s">
        <v>4971</v>
      </c>
      <c r="G2760" s="8" t="s">
        <v>4758</v>
      </c>
      <c r="H2760" s="8" t="s">
        <v>2870</v>
      </c>
      <c r="I2760" s="20">
        <f>10277/160</f>
        <v>64.231250000000003</v>
      </c>
      <c r="J2760" s="8" t="s">
        <v>4862</v>
      </c>
      <c r="K2760" s="182"/>
      <c r="L2760" s="8" t="s">
        <v>4156</v>
      </c>
      <c r="M2760" s="8" t="s">
        <v>2814</v>
      </c>
      <c r="N2760" s="38" t="s">
        <v>7479</v>
      </c>
      <c r="O2760" s="8"/>
      <c r="P2760" s="4" t="str">
        <f>VLOOKUP($B2760,'D7 - NDB Impacted SPRF''s'!$E$16:$O$9929,9,FALSE)</f>
        <v>N</v>
      </c>
      <c r="Q2760" s="4" t="str">
        <f>VLOOKUP($B2760,'D7 - NDB Impacted SPRF''s'!$E$16:$O$9929,10,FALSE)</f>
        <v>N</v>
      </c>
      <c r="R2760" s="4" t="str">
        <f>VLOOKUP($B2760,'D7 - NDB Impacted SPRF''s'!$E$16:$O$9929,11,FALSE)</f>
        <v>N</v>
      </c>
      <c r="S2760" s="8"/>
      <c r="T2760" s="310"/>
      <c r="U2760" s="310"/>
      <c r="V2760" s="4"/>
      <c r="W2760" s="4"/>
      <c r="X2760" s="4"/>
      <c r="Y2760" s="4"/>
      <c r="Z2760" s="4"/>
      <c r="AA2760" s="4"/>
      <c r="AB2760" s="380" t="str">
        <f>VLOOKUP($B2760,'D7 - NDB Impacted SPRF''s'!$E$16:$O$9929,4,FALSE)</f>
        <v>Cancelled</v>
      </c>
      <c r="AC2760" s="380" t="str">
        <f>VLOOKUP($B2760,'D7 - NDB Impacted SPRF''s'!$E$16:$O$9929,3,FALSE)</f>
        <v>UnitedHealthcare Employer &amp; Individual</v>
      </c>
      <c r="AD2760" s="380" t="str">
        <f>VLOOKUP($B2760,'D7 - NDB Impacted SPRF''s'!$E$16:$O$9929,5,FALSE)</f>
        <v>Process Improvement</v>
      </c>
      <c r="AE2760" s="380" t="str">
        <f>VLOOKUP($B2760,'D7 - NDB Impacted SPRF''s'!$E$16:$O$9929,7,FALSE)</f>
        <v>Matt Guisinger</v>
      </c>
      <c r="AF2760" s="380" t="str">
        <f>VLOOKUP($B2760,'D7 - NDB Impacted SPRF''s'!$E$16:$O$9929,6,FALSE)</f>
        <v>STEPHEN FINLEY</v>
      </c>
      <c r="AG2760" s="282"/>
      <c r="AH2760" s="311" t="e">
        <f>INDEX('D5 - Gatekeeper - Projects'!$A$4:$AF$1010,$AM2760, 17)</f>
        <v>#N/A</v>
      </c>
      <c r="AI2760" s="8"/>
      <c r="AJ2760" s="57"/>
      <c r="AK2760" s="105"/>
      <c r="AM2760" s="6" t="e">
        <f>MATCH(D2760,'D5 - Gatekeeper - Projects'!$C$4:$C$1010,0)</f>
        <v>#N/A</v>
      </c>
      <c r="AN2760" s="6" t="b">
        <f t="shared" si="280"/>
        <v>1</v>
      </c>
      <c r="AO2760" s="6" t="str">
        <f t="shared" si="281"/>
        <v>OK</v>
      </c>
      <c r="AQ2760" s="6" t="e">
        <f>MATCH($D2760,'D4 - Provider Council Unsched'!$C$11:$C$234,0)</f>
        <v>#N/A</v>
      </c>
      <c r="AR2760" s="6" t="b">
        <f t="shared" si="282"/>
        <v>1</v>
      </c>
      <c r="AS2760" s="6" t="str">
        <f t="shared" si="285"/>
        <v>OK</v>
      </c>
      <c r="AU2760" s="202"/>
      <c r="AV2760" s="262"/>
      <c r="AW2760" s="274"/>
    </row>
    <row r="2761" spans="1:49" s="13" customFormat="1" ht="33.75" x14ac:dyDescent="0.2">
      <c r="A2761" s="14">
        <v>2737</v>
      </c>
      <c r="B2761" s="237">
        <v>400020219</v>
      </c>
      <c r="C2761" s="8" t="s">
        <v>5197</v>
      </c>
      <c r="D2761" s="4" t="str">
        <f t="shared" si="283"/>
        <v>400020219R1</v>
      </c>
      <c r="E2761" s="309" t="str">
        <f>VLOOKUP($B2761,'D7 - NDB Impacted SPRF''s'!$E$6:$O$9929,2,FALSE)</f>
        <v>Fix Contract Selection(Generic Entry &amp; Exclu Mkts)</v>
      </c>
      <c r="F2761" s="8" t="s">
        <v>2114</v>
      </c>
      <c r="G2761" s="8" t="s">
        <v>4758</v>
      </c>
      <c r="H2761" s="8" t="s">
        <v>2870</v>
      </c>
      <c r="I2761" s="20"/>
      <c r="J2761" s="8"/>
      <c r="K2761" s="182"/>
      <c r="L2761" s="8" t="s">
        <v>4156</v>
      </c>
      <c r="M2761" s="8" t="s">
        <v>2814</v>
      </c>
      <c r="N2761" s="38" t="s">
        <v>6775</v>
      </c>
      <c r="O2761" s="8"/>
      <c r="P2761" s="4" t="str">
        <f>VLOOKUP($B2761,'D7 - NDB Impacted SPRF''s'!$E$16:$O$9929,9,FALSE)</f>
        <v>Y</v>
      </c>
      <c r="Q2761" s="4" t="str">
        <f>VLOOKUP($B2761,'D7 - NDB Impacted SPRF''s'!$E$16:$O$9929,10,FALSE)</f>
        <v>N</v>
      </c>
      <c r="R2761" s="4" t="str">
        <f>VLOOKUP($B2761,'D7 - NDB Impacted SPRF''s'!$E$16:$O$9929,11,FALSE)</f>
        <v>N</v>
      </c>
      <c r="S2761" s="8"/>
      <c r="T2761" s="310"/>
      <c r="U2761" s="310"/>
      <c r="V2761" s="4"/>
      <c r="W2761" s="4"/>
      <c r="X2761" s="4"/>
      <c r="Y2761" s="4"/>
      <c r="Z2761" s="4"/>
      <c r="AA2761" s="4"/>
      <c r="AB2761" s="380" t="str">
        <f>VLOOKUP($B2761,'D7 - NDB Impacted SPRF''s'!$E$16:$O$9929,4,FALSE)</f>
        <v>Cancelled</v>
      </c>
      <c r="AC2761" s="380" t="str">
        <f>VLOOKUP($B2761,'D7 - NDB Impacted SPRF''s'!$E$16:$O$9929,3,FALSE)</f>
        <v>UnitedHealthcare Employer &amp; Individual</v>
      </c>
      <c r="AD2761" s="380" t="str">
        <f>VLOOKUP($B2761,'D7 - NDB Impacted SPRF''s'!$E$16:$O$9929,5,FALSE)</f>
        <v>Medical Cost Savings Programs</v>
      </c>
      <c r="AE2761" s="380" t="str">
        <f>VLOOKUP($B2761,'D7 - NDB Impacted SPRF''s'!$E$16:$O$9929,7,FALSE)</f>
        <v>Timothy Kaja</v>
      </c>
      <c r="AF2761" s="380" t="str">
        <f>VLOOKUP($B2761,'D7 - NDB Impacted SPRF''s'!$E$16:$O$9929,6,FALSE)</f>
        <v>JESSICA BROWER</v>
      </c>
      <c r="AG2761" s="282"/>
      <c r="AH2761" s="311" t="e">
        <f>INDEX('D5 - Gatekeeper - Projects'!$A$4:$AF$1010,$AM2761, 17)</f>
        <v>#N/A</v>
      </c>
      <c r="AI2761" s="8"/>
      <c r="AJ2761" s="57"/>
      <c r="AK2761" s="105"/>
      <c r="AM2761" s="6" t="e">
        <f>MATCH(D2761,'D5 - Gatekeeper - Projects'!$C$4:$C$1010,0)</f>
        <v>#N/A</v>
      </c>
      <c r="AN2761" s="6" t="b">
        <f t="shared" si="280"/>
        <v>1</v>
      </c>
      <c r="AO2761" s="6" t="str">
        <f t="shared" si="281"/>
        <v>OK</v>
      </c>
      <c r="AQ2761" s="6" t="e">
        <f>MATCH($D2761,'D4 - Provider Council Unsched'!$C$11:$C$234,0)</f>
        <v>#N/A</v>
      </c>
      <c r="AR2761" s="6" t="b">
        <f t="shared" si="282"/>
        <v>1</v>
      </c>
      <c r="AS2761" s="6" t="str">
        <f t="shared" si="285"/>
        <v>OK</v>
      </c>
      <c r="AU2761" s="202"/>
      <c r="AV2761" s="262"/>
      <c r="AW2761" s="274"/>
    </row>
    <row r="2762" spans="1:49" s="13" customFormat="1" x14ac:dyDescent="0.2">
      <c r="A2762" s="14">
        <v>2738</v>
      </c>
      <c r="B2762" s="14">
        <v>400020280</v>
      </c>
      <c r="C2762" s="8" t="s">
        <v>5197</v>
      </c>
      <c r="D2762" s="4" t="str">
        <f t="shared" si="283"/>
        <v>400020280R1</v>
      </c>
      <c r="E2762" s="309" t="e">
        <f>VLOOKUP($B2762,'D7 - NDB Impacted SPRF''s'!$E$6:$O$9929,2,FALSE)</f>
        <v>#N/A</v>
      </c>
      <c r="F2762" s="8" t="s">
        <v>2114</v>
      </c>
      <c r="G2762" s="8" t="s">
        <v>4758</v>
      </c>
      <c r="H2762" s="8" t="s">
        <v>2870</v>
      </c>
      <c r="I2762" s="20"/>
      <c r="J2762" s="8"/>
      <c r="K2762" s="182"/>
      <c r="L2762" s="8" t="s">
        <v>4156</v>
      </c>
      <c r="M2762" s="8" t="s">
        <v>2814</v>
      </c>
      <c r="N2762" s="38" t="s">
        <v>4798</v>
      </c>
      <c r="O2762" s="8"/>
      <c r="P2762" s="4" t="e">
        <f>VLOOKUP($B2762,'D7 - NDB Impacted SPRF''s'!$E$16:$O$9929,9,FALSE)</f>
        <v>#N/A</v>
      </c>
      <c r="Q2762" s="4" t="e">
        <f>VLOOKUP($B2762,'D7 - NDB Impacted SPRF''s'!$E$16:$O$9929,10,FALSE)</f>
        <v>#N/A</v>
      </c>
      <c r="R2762" s="4" t="e">
        <f>VLOOKUP($B2762,'D7 - NDB Impacted SPRF''s'!$E$16:$O$9929,11,FALSE)</f>
        <v>#N/A</v>
      </c>
      <c r="S2762" s="8"/>
      <c r="T2762" s="310"/>
      <c r="U2762" s="310"/>
      <c r="V2762" s="4"/>
      <c r="W2762" s="4"/>
      <c r="X2762" s="4"/>
      <c r="Y2762" s="4"/>
      <c r="Z2762" s="4"/>
      <c r="AA2762" s="4"/>
      <c r="AB2762" s="380" t="e">
        <f>VLOOKUP($B2762,'D7 - NDB Impacted SPRF''s'!$E$16:$O$9929,4,FALSE)</f>
        <v>#N/A</v>
      </c>
      <c r="AC2762" s="380" t="e">
        <f>VLOOKUP($B2762,'D7 - NDB Impacted SPRF''s'!$E$16:$O$9929,3,FALSE)</f>
        <v>#N/A</v>
      </c>
      <c r="AD2762" s="380" t="e">
        <f>VLOOKUP($B2762,'D7 - NDB Impacted SPRF''s'!$E$16:$O$9929,5,FALSE)</f>
        <v>#N/A</v>
      </c>
      <c r="AE2762" s="380" t="e">
        <f>VLOOKUP($B2762,'D7 - NDB Impacted SPRF''s'!$E$16:$O$9929,7,FALSE)</f>
        <v>#N/A</v>
      </c>
      <c r="AF2762" s="380" t="e">
        <f>VLOOKUP($B2762,'D7 - NDB Impacted SPRF''s'!$E$16:$O$9929,6,FALSE)</f>
        <v>#N/A</v>
      </c>
      <c r="AG2762" s="282"/>
      <c r="AH2762" s="311" t="e">
        <f>INDEX('D5 - Gatekeeper - Projects'!$A$4:$AF$1010,$AM2762, 17)</f>
        <v>#N/A</v>
      </c>
      <c r="AI2762" s="8"/>
      <c r="AJ2762" s="57"/>
      <c r="AK2762" s="105"/>
      <c r="AM2762" s="6" t="e">
        <f>MATCH(D2762,'D5 - Gatekeeper - Projects'!$C$4:$C$1010,0)</f>
        <v>#N/A</v>
      </c>
      <c r="AN2762" s="6" t="b">
        <f t="shared" ref="AN2762:AN2825" si="286">ISERROR(AM2762)</f>
        <v>1</v>
      </c>
      <c r="AO2762" s="6" t="str">
        <f t="shared" ref="AO2762:AO2825" si="287">IF(AND(H2762="1 - Scheduled",AN2762=TRUE),"Add","OK")</f>
        <v>OK</v>
      </c>
      <c r="AQ2762" s="6" t="e">
        <f>MATCH($D2762,'D4 - Provider Council Unsched'!$C$11:$C$234,0)</f>
        <v>#N/A</v>
      </c>
      <c r="AR2762" s="6" t="b">
        <f t="shared" ref="AR2762:AR2825" si="288">ISERROR(AQ2762)</f>
        <v>1</v>
      </c>
      <c r="AS2762" s="6" t="str">
        <f t="shared" ref="AS2762:AS2787" si="289">IF(AND(H2762="2 - Not Scheduled",AR2762=TRUE),"Add","OK")</f>
        <v>OK</v>
      </c>
      <c r="AU2762" s="202"/>
      <c r="AV2762" s="262"/>
      <c r="AW2762" s="274"/>
    </row>
    <row r="2763" spans="1:49" s="13" customFormat="1" ht="33.75" x14ac:dyDescent="0.2">
      <c r="A2763" s="14">
        <v>2739</v>
      </c>
      <c r="B2763" s="14">
        <v>400020588</v>
      </c>
      <c r="C2763" s="8" t="s">
        <v>5197</v>
      </c>
      <c r="D2763" s="4" t="str">
        <f t="shared" si="283"/>
        <v>400020588R1</v>
      </c>
      <c r="E2763" s="309" t="str">
        <f>VLOOKUP($B2763,'D7 - NDB Impacted SPRF''s'!$E$6:$O$9929,2,FALSE)</f>
        <v>UMR Scope Change for EPDE</v>
      </c>
      <c r="F2763" s="8" t="s">
        <v>5846</v>
      </c>
      <c r="G2763" s="8" t="s">
        <v>4758</v>
      </c>
      <c r="H2763" s="8" t="s">
        <v>2870</v>
      </c>
      <c r="I2763" s="20"/>
      <c r="J2763" s="8"/>
      <c r="K2763" s="182"/>
      <c r="L2763" s="8" t="s">
        <v>4156</v>
      </c>
      <c r="M2763" s="8" t="s">
        <v>2814</v>
      </c>
      <c r="N2763" s="38" t="s">
        <v>4388</v>
      </c>
      <c r="O2763" s="8"/>
      <c r="P2763" s="4" t="str">
        <f>VLOOKUP($B2763,'D7 - NDB Impacted SPRF''s'!$E$16:$O$9929,9,FALSE)</f>
        <v>N</v>
      </c>
      <c r="Q2763" s="4" t="str">
        <f>VLOOKUP($B2763,'D7 - NDB Impacted SPRF''s'!$E$16:$O$9929,10,FALSE)</f>
        <v>N</v>
      </c>
      <c r="R2763" s="4" t="str">
        <f>VLOOKUP($B2763,'D7 - NDB Impacted SPRF''s'!$E$16:$O$9929,11,FALSE)</f>
        <v>N</v>
      </c>
      <c r="S2763" s="8"/>
      <c r="T2763" s="310"/>
      <c r="U2763" s="310"/>
      <c r="V2763" s="4"/>
      <c r="W2763" s="4"/>
      <c r="X2763" s="4"/>
      <c r="Y2763" s="4"/>
      <c r="Z2763" s="4"/>
      <c r="AA2763" s="4"/>
      <c r="AB2763" s="380" t="str">
        <f>VLOOKUP($B2763,'D7 - NDB Impacted SPRF''s'!$E$16:$O$9929,4,FALSE)</f>
        <v>Cancelled</v>
      </c>
      <c r="AC2763" s="380" t="str">
        <f>VLOOKUP($B2763,'D7 - NDB Impacted SPRF''s'!$E$16:$O$9929,3,FALSE)</f>
        <v>UnitedHealthcare Employer &amp; Individual</v>
      </c>
      <c r="AD2763" s="380" t="str">
        <f>VLOOKUP($B2763,'D7 - NDB Impacted SPRF''s'!$E$16:$O$9929,5,FALSE)</f>
        <v>Integration Requirements</v>
      </c>
      <c r="AE2763" s="380" t="str">
        <f>VLOOKUP($B2763,'D7 - NDB Impacted SPRF''s'!$E$16:$O$9929,7,FALSE)</f>
        <v>Tim Kaja</v>
      </c>
      <c r="AF2763" s="380" t="str">
        <f>VLOOKUP($B2763,'D7 - NDB Impacted SPRF''s'!$E$16:$O$9929,6,FALSE)</f>
        <v>MARCIA MONACO</v>
      </c>
      <c r="AG2763" s="282"/>
      <c r="AH2763" s="311" t="e">
        <f>INDEX('D5 - Gatekeeper - Projects'!$A$4:$AF$1010,$AM2763, 17)</f>
        <v>#N/A</v>
      </c>
      <c r="AI2763" s="8"/>
      <c r="AJ2763" s="57"/>
      <c r="AK2763" s="105"/>
      <c r="AM2763" s="6" t="e">
        <f>MATCH(D2763,'D5 - Gatekeeper - Projects'!$C$4:$C$1010,0)</f>
        <v>#N/A</v>
      </c>
      <c r="AN2763" s="6" t="b">
        <f t="shared" si="286"/>
        <v>1</v>
      </c>
      <c r="AO2763" s="6" t="str">
        <f t="shared" si="287"/>
        <v>OK</v>
      </c>
      <c r="AQ2763" s="6" t="e">
        <f>MATCH($D2763,'D4 - Provider Council Unsched'!$C$11:$C$234,0)</f>
        <v>#N/A</v>
      </c>
      <c r="AR2763" s="6" t="b">
        <f t="shared" si="288"/>
        <v>1</v>
      </c>
      <c r="AS2763" s="6" t="str">
        <f t="shared" si="289"/>
        <v>OK</v>
      </c>
      <c r="AU2763" s="202"/>
      <c r="AV2763" s="262"/>
      <c r="AW2763" s="274"/>
    </row>
    <row r="2764" spans="1:49" s="13" customFormat="1" x14ac:dyDescent="0.2">
      <c r="A2764" s="14">
        <v>2740</v>
      </c>
      <c r="B2764" s="237">
        <v>400020632</v>
      </c>
      <c r="C2764" s="8" t="s">
        <v>5197</v>
      </c>
      <c r="D2764" s="4" t="str">
        <f t="shared" si="283"/>
        <v>400020632R1</v>
      </c>
      <c r="E2764" s="309" t="e">
        <f>VLOOKUP($B2764,'D7 - NDB Impacted SPRF''s'!$E$6:$O$9929,2,FALSE)</f>
        <v>#N/A</v>
      </c>
      <c r="F2764" s="8" t="s">
        <v>2114</v>
      </c>
      <c r="G2764" s="8" t="s">
        <v>4758</v>
      </c>
      <c r="H2764" s="8" t="s">
        <v>2870</v>
      </c>
      <c r="I2764" s="20"/>
      <c r="J2764" s="8"/>
      <c r="K2764" s="182"/>
      <c r="L2764" s="8" t="s">
        <v>4156</v>
      </c>
      <c r="M2764" s="8" t="s">
        <v>6688</v>
      </c>
      <c r="N2764" s="38" t="s">
        <v>4798</v>
      </c>
      <c r="O2764" s="8"/>
      <c r="P2764" s="4" t="e">
        <f>VLOOKUP($B2764,'D7 - NDB Impacted SPRF''s'!$E$16:$O$9929,9,FALSE)</f>
        <v>#N/A</v>
      </c>
      <c r="Q2764" s="4" t="e">
        <f>VLOOKUP($B2764,'D7 - NDB Impacted SPRF''s'!$E$16:$O$9929,10,FALSE)</f>
        <v>#N/A</v>
      </c>
      <c r="R2764" s="4" t="e">
        <f>VLOOKUP($B2764,'D7 - NDB Impacted SPRF''s'!$E$16:$O$9929,11,FALSE)</f>
        <v>#N/A</v>
      </c>
      <c r="S2764" s="8"/>
      <c r="T2764" s="310"/>
      <c r="U2764" s="310"/>
      <c r="V2764" s="4"/>
      <c r="W2764" s="4"/>
      <c r="X2764" s="4"/>
      <c r="Y2764" s="4"/>
      <c r="Z2764" s="4"/>
      <c r="AA2764" s="4"/>
      <c r="AB2764" s="380" t="e">
        <f>VLOOKUP($B2764,'D7 - NDB Impacted SPRF''s'!$E$16:$O$9929,4,FALSE)</f>
        <v>#N/A</v>
      </c>
      <c r="AC2764" s="380" t="e">
        <f>VLOOKUP($B2764,'D7 - NDB Impacted SPRF''s'!$E$16:$O$9929,3,FALSE)</f>
        <v>#N/A</v>
      </c>
      <c r="AD2764" s="380" t="e">
        <f>VLOOKUP($B2764,'D7 - NDB Impacted SPRF''s'!$E$16:$O$9929,5,FALSE)</f>
        <v>#N/A</v>
      </c>
      <c r="AE2764" s="380" t="e">
        <f>VLOOKUP($B2764,'D7 - NDB Impacted SPRF''s'!$E$16:$O$9929,7,FALSE)</f>
        <v>#N/A</v>
      </c>
      <c r="AF2764" s="380" t="e">
        <f>VLOOKUP($B2764,'D7 - NDB Impacted SPRF''s'!$E$16:$O$9929,6,FALSE)</f>
        <v>#N/A</v>
      </c>
      <c r="AG2764" s="282"/>
      <c r="AH2764" s="311" t="e">
        <f>INDEX('D5 - Gatekeeper - Projects'!$A$4:$AF$1010,$AM2764, 17)</f>
        <v>#N/A</v>
      </c>
      <c r="AI2764" s="8"/>
      <c r="AJ2764" s="57"/>
      <c r="AK2764" s="105"/>
      <c r="AM2764" s="6" t="e">
        <f>MATCH(D2764,'D5 - Gatekeeper - Projects'!$C$4:$C$1010,0)</f>
        <v>#N/A</v>
      </c>
      <c r="AN2764" s="6" t="b">
        <f t="shared" si="286"/>
        <v>1</v>
      </c>
      <c r="AO2764" s="6" t="str">
        <f t="shared" si="287"/>
        <v>OK</v>
      </c>
      <c r="AQ2764" s="6" t="e">
        <f>MATCH($D2764,'D4 - Provider Council Unsched'!$C$11:$C$234,0)</f>
        <v>#N/A</v>
      </c>
      <c r="AR2764" s="6" t="b">
        <f t="shared" si="288"/>
        <v>1</v>
      </c>
      <c r="AS2764" s="6" t="str">
        <f t="shared" si="289"/>
        <v>OK</v>
      </c>
      <c r="AU2764" s="202"/>
      <c r="AV2764" s="262"/>
      <c r="AW2764" s="274"/>
    </row>
    <row r="2765" spans="1:49" s="13" customFormat="1" x14ac:dyDescent="0.2">
      <c r="A2765" s="14">
        <v>2741</v>
      </c>
      <c r="B2765" s="14">
        <v>400020637</v>
      </c>
      <c r="C2765" s="8" t="s">
        <v>5197</v>
      </c>
      <c r="D2765" s="4" t="str">
        <f t="shared" si="283"/>
        <v>400020637R1</v>
      </c>
      <c r="E2765" s="309" t="e">
        <f>VLOOKUP($B2765,'D7 - NDB Impacted SPRF''s'!$E$6:$O$9929,2,FALSE)</f>
        <v>#N/A</v>
      </c>
      <c r="F2765" s="8" t="s">
        <v>2114</v>
      </c>
      <c r="G2765" s="8" t="s">
        <v>4758</v>
      </c>
      <c r="H2765" s="8" t="s">
        <v>2870</v>
      </c>
      <c r="I2765" s="20"/>
      <c r="J2765" s="8"/>
      <c r="K2765" s="182"/>
      <c r="L2765" s="8" t="s">
        <v>4156</v>
      </c>
      <c r="M2765" s="8" t="s">
        <v>6688</v>
      </c>
      <c r="N2765" s="38" t="s">
        <v>4798</v>
      </c>
      <c r="O2765" s="8"/>
      <c r="P2765" s="4" t="e">
        <f>VLOOKUP($B2765,'D7 - NDB Impacted SPRF''s'!$E$16:$O$9929,9,FALSE)</f>
        <v>#N/A</v>
      </c>
      <c r="Q2765" s="4" t="e">
        <f>VLOOKUP($B2765,'D7 - NDB Impacted SPRF''s'!$E$16:$O$9929,10,FALSE)</f>
        <v>#N/A</v>
      </c>
      <c r="R2765" s="4" t="e">
        <f>VLOOKUP($B2765,'D7 - NDB Impacted SPRF''s'!$E$16:$O$9929,11,FALSE)</f>
        <v>#N/A</v>
      </c>
      <c r="S2765" s="8"/>
      <c r="T2765" s="310"/>
      <c r="U2765" s="310"/>
      <c r="V2765" s="4"/>
      <c r="W2765" s="4"/>
      <c r="X2765" s="4"/>
      <c r="Y2765" s="4"/>
      <c r="Z2765" s="4"/>
      <c r="AA2765" s="4"/>
      <c r="AB2765" s="380" t="e">
        <f>VLOOKUP($B2765,'D7 - NDB Impacted SPRF''s'!$E$16:$O$9929,4,FALSE)</f>
        <v>#N/A</v>
      </c>
      <c r="AC2765" s="380" t="e">
        <f>VLOOKUP($B2765,'D7 - NDB Impacted SPRF''s'!$E$16:$O$9929,3,FALSE)</f>
        <v>#N/A</v>
      </c>
      <c r="AD2765" s="380" t="e">
        <f>VLOOKUP($B2765,'D7 - NDB Impacted SPRF''s'!$E$16:$O$9929,5,FALSE)</f>
        <v>#N/A</v>
      </c>
      <c r="AE2765" s="380" t="e">
        <f>VLOOKUP($B2765,'D7 - NDB Impacted SPRF''s'!$E$16:$O$9929,7,FALSE)</f>
        <v>#N/A</v>
      </c>
      <c r="AF2765" s="380" t="e">
        <f>VLOOKUP($B2765,'D7 - NDB Impacted SPRF''s'!$E$16:$O$9929,6,FALSE)</f>
        <v>#N/A</v>
      </c>
      <c r="AG2765" s="282"/>
      <c r="AH2765" s="311" t="e">
        <f>INDEX('D5 - Gatekeeper - Projects'!$A$4:$AF$1010,$AM2765, 17)</f>
        <v>#N/A</v>
      </c>
      <c r="AI2765" s="8"/>
      <c r="AJ2765" s="57"/>
      <c r="AK2765" s="105"/>
      <c r="AM2765" s="6" t="e">
        <f>MATCH(D2765,'D5 - Gatekeeper - Projects'!$C$4:$C$1010,0)</f>
        <v>#N/A</v>
      </c>
      <c r="AN2765" s="6" t="b">
        <f t="shared" si="286"/>
        <v>1</v>
      </c>
      <c r="AO2765" s="6" t="str">
        <f t="shared" si="287"/>
        <v>OK</v>
      </c>
      <c r="AQ2765" s="6" t="e">
        <f>MATCH($D2765,'D4 - Provider Council Unsched'!$C$11:$C$234,0)</f>
        <v>#N/A</v>
      </c>
      <c r="AR2765" s="6" t="b">
        <f t="shared" si="288"/>
        <v>1</v>
      </c>
      <c r="AS2765" s="6" t="str">
        <f t="shared" si="289"/>
        <v>OK</v>
      </c>
      <c r="AU2765" s="202"/>
      <c r="AV2765" s="262"/>
      <c r="AW2765" s="274"/>
    </row>
    <row r="2766" spans="1:49" s="13" customFormat="1" x14ac:dyDescent="0.2">
      <c r="A2766" s="14">
        <v>2742</v>
      </c>
      <c r="B2766" s="14">
        <v>400020640</v>
      </c>
      <c r="C2766" s="8" t="s">
        <v>5197</v>
      </c>
      <c r="D2766" s="4" t="str">
        <f t="shared" si="283"/>
        <v>400020640R1</v>
      </c>
      <c r="E2766" s="309" t="e">
        <f>VLOOKUP($B2766,'D7 - NDB Impacted SPRF''s'!$E$6:$O$9929,2,FALSE)</f>
        <v>#N/A</v>
      </c>
      <c r="F2766" s="8" t="s">
        <v>2114</v>
      </c>
      <c r="G2766" s="8" t="s">
        <v>4758</v>
      </c>
      <c r="H2766" s="8" t="s">
        <v>2870</v>
      </c>
      <c r="I2766" s="20"/>
      <c r="J2766" s="8"/>
      <c r="K2766" s="182"/>
      <c r="L2766" s="8" t="s">
        <v>4156</v>
      </c>
      <c r="M2766" s="8" t="s">
        <v>6688</v>
      </c>
      <c r="N2766" s="38" t="s">
        <v>4798</v>
      </c>
      <c r="O2766" s="8"/>
      <c r="P2766" s="4" t="e">
        <f>VLOOKUP($B2766,'D7 - NDB Impacted SPRF''s'!$E$16:$O$9929,9,FALSE)</f>
        <v>#N/A</v>
      </c>
      <c r="Q2766" s="4" t="e">
        <f>VLOOKUP($B2766,'D7 - NDB Impacted SPRF''s'!$E$16:$O$9929,10,FALSE)</f>
        <v>#N/A</v>
      </c>
      <c r="R2766" s="4" t="e">
        <f>VLOOKUP($B2766,'D7 - NDB Impacted SPRF''s'!$E$16:$O$9929,11,FALSE)</f>
        <v>#N/A</v>
      </c>
      <c r="S2766" s="8"/>
      <c r="T2766" s="310"/>
      <c r="U2766" s="310"/>
      <c r="V2766" s="4"/>
      <c r="W2766" s="4"/>
      <c r="X2766" s="4"/>
      <c r="Y2766" s="4"/>
      <c r="Z2766" s="4"/>
      <c r="AA2766" s="4"/>
      <c r="AB2766" s="380" t="e">
        <f>VLOOKUP($B2766,'D7 - NDB Impacted SPRF''s'!$E$16:$O$9929,4,FALSE)</f>
        <v>#N/A</v>
      </c>
      <c r="AC2766" s="380" t="e">
        <f>VLOOKUP($B2766,'D7 - NDB Impacted SPRF''s'!$E$16:$O$9929,3,FALSE)</f>
        <v>#N/A</v>
      </c>
      <c r="AD2766" s="380" t="e">
        <f>VLOOKUP($B2766,'D7 - NDB Impacted SPRF''s'!$E$16:$O$9929,5,FALSE)</f>
        <v>#N/A</v>
      </c>
      <c r="AE2766" s="380" t="e">
        <f>VLOOKUP($B2766,'D7 - NDB Impacted SPRF''s'!$E$16:$O$9929,7,FALSE)</f>
        <v>#N/A</v>
      </c>
      <c r="AF2766" s="380" t="e">
        <f>VLOOKUP($B2766,'D7 - NDB Impacted SPRF''s'!$E$16:$O$9929,6,FALSE)</f>
        <v>#N/A</v>
      </c>
      <c r="AG2766" s="282"/>
      <c r="AH2766" s="311" t="e">
        <f>INDEX('D5 - Gatekeeper - Projects'!$A$4:$AF$1010,$AM2766, 17)</f>
        <v>#N/A</v>
      </c>
      <c r="AI2766" s="8"/>
      <c r="AJ2766" s="57"/>
      <c r="AK2766" s="105"/>
      <c r="AM2766" s="6" t="e">
        <f>MATCH(D2766,'D5 - Gatekeeper - Projects'!$C$4:$C$1010,0)</f>
        <v>#N/A</v>
      </c>
      <c r="AN2766" s="6" t="b">
        <f t="shared" si="286"/>
        <v>1</v>
      </c>
      <c r="AO2766" s="6" t="str">
        <f t="shared" si="287"/>
        <v>OK</v>
      </c>
      <c r="AQ2766" s="6" t="e">
        <f>MATCH($D2766,'D4 - Provider Council Unsched'!$C$11:$C$234,0)</f>
        <v>#N/A</v>
      </c>
      <c r="AR2766" s="6" t="b">
        <f t="shared" si="288"/>
        <v>1</v>
      </c>
      <c r="AS2766" s="6" t="str">
        <f t="shared" si="289"/>
        <v>OK</v>
      </c>
      <c r="AU2766" s="202"/>
      <c r="AV2766" s="262"/>
      <c r="AW2766" s="274"/>
    </row>
    <row r="2767" spans="1:49" s="13" customFormat="1" x14ac:dyDescent="0.2">
      <c r="A2767" s="14">
        <v>2743</v>
      </c>
      <c r="B2767" s="14">
        <v>400020641</v>
      </c>
      <c r="C2767" s="8" t="s">
        <v>5197</v>
      </c>
      <c r="D2767" s="4" t="str">
        <f t="shared" si="283"/>
        <v>400020641R1</v>
      </c>
      <c r="E2767" s="309" t="e">
        <f>VLOOKUP($B2767,'D7 - NDB Impacted SPRF''s'!$E$6:$O$9929,2,FALSE)</f>
        <v>#N/A</v>
      </c>
      <c r="F2767" s="8" t="s">
        <v>2114</v>
      </c>
      <c r="G2767" s="8" t="s">
        <v>4758</v>
      </c>
      <c r="H2767" s="8" t="s">
        <v>2870</v>
      </c>
      <c r="I2767" s="20"/>
      <c r="J2767" s="8"/>
      <c r="K2767" s="182"/>
      <c r="L2767" s="8" t="s">
        <v>4156</v>
      </c>
      <c r="M2767" s="8" t="s">
        <v>6688</v>
      </c>
      <c r="N2767" s="38" t="s">
        <v>4798</v>
      </c>
      <c r="O2767" s="8"/>
      <c r="P2767" s="4" t="e">
        <f>VLOOKUP($B2767,'D7 - NDB Impacted SPRF''s'!$E$16:$O$9929,9,FALSE)</f>
        <v>#N/A</v>
      </c>
      <c r="Q2767" s="4" t="e">
        <f>VLOOKUP($B2767,'D7 - NDB Impacted SPRF''s'!$E$16:$O$9929,10,FALSE)</f>
        <v>#N/A</v>
      </c>
      <c r="R2767" s="4" t="e">
        <f>VLOOKUP($B2767,'D7 - NDB Impacted SPRF''s'!$E$16:$O$9929,11,FALSE)</f>
        <v>#N/A</v>
      </c>
      <c r="S2767" s="8"/>
      <c r="T2767" s="310"/>
      <c r="U2767" s="310"/>
      <c r="V2767" s="4"/>
      <c r="W2767" s="4"/>
      <c r="X2767" s="4"/>
      <c r="Y2767" s="4"/>
      <c r="Z2767" s="4"/>
      <c r="AA2767" s="4"/>
      <c r="AB2767" s="380" t="e">
        <f>VLOOKUP($B2767,'D7 - NDB Impacted SPRF''s'!$E$16:$O$9929,4,FALSE)</f>
        <v>#N/A</v>
      </c>
      <c r="AC2767" s="380" t="e">
        <f>VLOOKUP($B2767,'D7 - NDB Impacted SPRF''s'!$E$16:$O$9929,3,FALSE)</f>
        <v>#N/A</v>
      </c>
      <c r="AD2767" s="380" t="e">
        <f>VLOOKUP($B2767,'D7 - NDB Impacted SPRF''s'!$E$16:$O$9929,5,FALSE)</f>
        <v>#N/A</v>
      </c>
      <c r="AE2767" s="380" t="e">
        <f>VLOOKUP($B2767,'D7 - NDB Impacted SPRF''s'!$E$16:$O$9929,7,FALSE)</f>
        <v>#N/A</v>
      </c>
      <c r="AF2767" s="380" t="e">
        <f>VLOOKUP($B2767,'D7 - NDB Impacted SPRF''s'!$E$16:$O$9929,6,FALSE)</f>
        <v>#N/A</v>
      </c>
      <c r="AG2767" s="282"/>
      <c r="AH2767" s="311" t="e">
        <f>INDEX('D5 - Gatekeeper - Projects'!$A$4:$AF$1010,$AM2767, 17)</f>
        <v>#N/A</v>
      </c>
      <c r="AI2767" s="8"/>
      <c r="AJ2767" s="57"/>
      <c r="AK2767" s="105"/>
      <c r="AM2767" s="6" t="e">
        <f>MATCH(D2767,'D5 - Gatekeeper - Projects'!$C$4:$C$1010,0)</f>
        <v>#N/A</v>
      </c>
      <c r="AN2767" s="6" t="b">
        <f t="shared" si="286"/>
        <v>1</v>
      </c>
      <c r="AO2767" s="6" t="str">
        <f t="shared" si="287"/>
        <v>OK</v>
      </c>
      <c r="AQ2767" s="6" t="e">
        <f>MATCH($D2767,'D4 - Provider Council Unsched'!$C$11:$C$234,0)</f>
        <v>#N/A</v>
      </c>
      <c r="AR2767" s="6" t="b">
        <f t="shared" si="288"/>
        <v>1</v>
      </c>
      <c r="AS2767" s="6" t="str">
        <f t="shared" si="289"/>
        <v>OK</v>
      </c>
      <c r="AU2767" s="202"/>
      <c r="AV2767" s="262"/>
      <c r="AW2767" s="274"/>
    </row>
    <row r="2768" spans="1:49" s="13" customFormat="1" x14ac:dyDescent="0.2">
      <c r="A2768" s="14">
        <v>2744</v>
      </c>
      <c r="B2768" s="14">
        <v>400020679</v>
      </c>
      <c r="C2768" s="8" t="s">
        <v>5197</v>
      </c>
      <c r="D2768" s="4" t="str">
        <f t="shared" si="283"/>
        <v>400020679R1</v>
      </c>
      <c r="E2768" s="309" t="e">
        <f>VLOOKUP($B2768,'D7 - NDB Impacted SPRF''s'!$E$6:$O$9929,2,FALSE)</f>
        <v>#N/A</v>
      </c>
      <c r="F2768" s="8" t="s">
        <v>2114</v>
      </c>
      <c r="G2768" s="8" t="s">
        <v>4758</v>
      </c>
      <c r="H2768" s="8" t="s">
        <v>2870</v>
      </c>
      <c r="I2768" s="20"/>
      <c r="J2768" s="8"/>
      <c r="K2768" s="182"/>
      <c r="L2768" s="8" t="s">
        <v>4156</v>
      </c>
      <c r="M2768" s="8" t="s">
        <v>2814</v>
      </c>
      <c r="N2768" s="38" t="s">
        <v>4798</v>
      </c>
      <c r="O2768" s="8"/>
      <c r="P2768" s="4" t="e">
        <f>VLOOKUP($B2768,'D7 - NDB Impacted SPRF''s'!$E$16:$O$9929,9,FALSE)</f>
        <v>#N/A</v>
      </c>
      <c r="Q2768" s="4" t="e">
        <f>VLOOKUP($B2768,'D7 - NDB Impacted SPRF''s'!$E$16:$O$9929,10,FALSE)</f>
        <v>#N/A</v>
      </c>
      <c r="R2768" s="4" t="e">
        <f>VLOOKUP($B2768,'D7 - NDB Impacted SPRF''s'!$E$16:$O$9929,11,FALSE)</f>
        <v>#N/A</v>
      </c>
      <c r="S2768" s="8"/>
      <c r="T2768" s="310"/>
      <c r="U2768" s="310"/>
      <c r="V2768" s="4"/>
      <c r="W2768" s="4"/>
      <c r="X2768" s="4"/>
      <c r="Y2768" s="4"/>
      <c r="Z2768" s="4"/>
      <c r="AA2768" s="4"/>
      <c r="AB2768" s="380" t="e">
        <f>VLOOKUP($B2768,'D7 - NDB Impacted SPRF''s'!$E$16:$O$9929,4,FALSE)</f>
        <v>#N/A</v>
      </c>
      <c r="AC2768" s="380" t="e">
        <f>VLOOKUP($B2768,'D7 - NDB Impacted SPRF''s'!$E$16:$O$9929,3,FALSE)</f>
        <v>#N/A</v>
      </c>
      <c r="AD2768" s="380" t="e">
        <f>VLOOKUP($B2768,'D7 - NDB Impacted SPRF''s'!$E$16:$O$9929,5,FALSE)</f>
        <v>#N/A</v>
      </c>
      <c r="AE2768" s="380" t="e">
        <f>VLOOKUP($B2768,'D7 - NDB Impacted SPRF''s'!$E$16:$O$9929,7,FALSE)</f>
        <v>#N/A</v>
      </c>
      <c r="AF2768" s="380" t="e">
        <f>VLOOKUP($B2768,'D7 - NDB Impacted SPRF''s'!$E$16:$O$9929,6,FALSE)</f>
        <v>#N/A</v>
      </c>
      <c r="AG2768" s="282"/>
      <c r="AH2768" s="311" t="e">
        <f>INDEX('D5 - Gatekeeper - Projects'!$A$4:$AF$1010,$AM2768, 17)</f>
        <v>#N/A</v>
      </c>
      <c r="AI2768" s="8"/>
      <c r="AJ2768" s="57"/>
      <c r="AK2768" s="105"/>
      <c r="AM2768" s="6" t="e">
        <f>MATCH(D2768,'D5 - Gatekeeper - Projects'!$C$4:$C$1010,0)</f>
        <v>#N/A</v>
      </c>
      <c r="AN2768" s="6" t="b">
        <f t="shared" si="286"/>
        <v>1</v>
      </c>
      <c r="AO2768" s="6" t="str">
        <f t="shared" si="287"/>
        <v>OK</v>
      </c>
      <c r="AQ2768" s="6" t="e">
        <f>MATCH($D2768,'D4 - Provider Council Unsched'!$C$11:$C$234,0)</f>
        <v>#N/A</v>
      </c>
      <c r="AR2768" s="6" t="b">
        <f t="shared" si="288"/>
        <v>1</v>
      </c>
      <c r="AS2768" s="6" t="str">
        <f t="shared" si="289"/>
        <v>OK</v>
      </c>
      <c r="AU2768" s="202"/>
      <c r="AV2768" s="262"/>
      <c r="AW2768" s="274"/>
    </row>
    <row r="2769" spans="1:49" s="13" customFormat="1" ht="33.75" x14ac:dyDescent="0.2">
      <c r="A2769" s="14">
        <v>2745</v>
      </c>
      <c r="B2769" s="14">
        <v>400020712</v>
      </c>
      <c r="C2769" s="8" t="s">
        <v>5197</v>
      </c>
      <c r="D2769" s="4" t="str">
        <f t="shared" si="283"/>
        <v>400020712R1</v>
      </c>
      <c r="E2769" s="309" t="str">
        <f>VLOOKUP($B2769,'D7 - NDB Impacted SPRF''s'!$E$6:$O$9929,2,FALSE)</f>
        <v xml:space="preserve">National Ancillary Prof Rate Feed Enhancement  </v>
      </c>
      <c r="F2769" s="8" t="s">
        <v>2114</v>
      </c>
      <c r="G2769" s="8" t="s">
        <v>4758</v>
      </c>
      <c r="H2769" s="8" t="s">
        <v>2870</v>
      </c>
      <c r="I2769" s="20">
        <f>164/150</f>
        <v>1.0933333333333333</v>
      </c>
      <c r="J2769" s="8" t="s">
        <v>4862</v>
      </c>
      <c r="K2769" s="182"/>
      <c r="L2769" s="8" t="s">
        <v>4156</v>
      </c>
      <c r="M2769" s="8" t="s">
        <v>6688</v>
      </c>
      <c r="N2769" s="38" t="s">
        <v>6241</v>
      </c>
      <c r="O2769" s="8"/>
      <c r="P2769" s="4" t="str">
        <f>VLOOKUP($B2769,'D7 - NDB Impacted SPRF''s'!$E$16:$O$9929,9,FALSE)</f>
        <v>Y</v>
      </c>
      <c r="Q2769" s="4" t="str">
        <f>VLOOKUP($B2769,'D7 - NDB Impacted SPRF''s'!$E$16:$O$9929,10,FALSE)</f>
        <v>N</v>
      </c>
      <c r="R2769" s="4" t="str">
        <f>VLOOKUP($B2769,'D7 - NDB Impacted SPRF''s'!$E$16:$O$9929,11,FALSE)</f>
        <v>N</v>
      </c>
      <c r="S2769" s="8"/>
      <c r="T2769" s="310"/>
      <c r="U2769" s="310"/>
      <c r="V2769" s="4"/>
      <c r="W2769" s="4"/>
      <c r="X2769" s="4"/>
      <c r="Y2769" s="4"/>
      <c r="Z2769" s="4"/>
      <c r="AA2769" s="4"/>
      <c r="AB2769" s="380" t="str">
        <f>VLOOKUP($B2769,'D7 - NDB Impacted SPRF''s'!$E$16:$O$9929,4,FALSE)</f>
        <v>Cancelled</v>
      </c>
      <c r="AC2769" s="380" t="str">
        <f>VLOOKUP($B2769,'D7 - NDB Impacted SPRF''s'!$E$16:$O$9929,3,FALSE)</f>
        <v>UnitedHealthcare Employer &amp; Individual</v>
      </c>
      <c r="AD2769" s="380" t="str">
        <f>VLOOKUP($B2769,'D7 - NDB Impacted SPRF''s'!$E$16:$O$9929,5,FALSE)</f>
        <v>Process Improvement</v>
      </c>
      <c r="AE2769" s="380" t="str">
        <f>VLOOKUP($B2769,'D7 - NDB Impacted SPRF''s'!$E$16:$O$9929,7,FALSE)</f>
        <v xml:space="preserve">Matt Guisinger </v>
      </c>
      <c r="AF2769" s="380" t="str">
        <f>VLOOKUP($B2769,'D7 - NDB Impacted SPRF''s'!$E$16:$O$9929,6,FALSE)</f>
        <v>PENNINGTON CAROL</v>
      </c>
      <c r="AG2769" s="282"/>
      <c r="AH2769" s="311" t="e">
        <f>INDEX('D5 - Gatekeeper - Projects'!$A$4:$AF$1010,$AM2769, 17)</f>
        <v>#N/A</v>
      </c>
      <c r="AI2769" s="8"/>
      <c r="AJ2769" s="57"/>
      <c r="AK2769" s="105"/>
      <c r="AM2769" s="6" t="e">
        <f>MATCH(D2769,'D5 - Gatekeeper - Projects'!$C$4:$C$1010,0)</f>
        <v>#N/A</v>
      </c>
      <c r="AN2769" s="6" t="b">
        <f t="shared" si="286"/>
        <v>1</v>
      </c>
      <c r="AO2769" s="6" t="str">
        <f t="shared" si="287"/>
        <v>OK</v>
      </c>
      <c r="AQ2769" s="6" t="e">
        <f>MATCH($D2769,'D4 - Provider Council Unsched'!$C$11:$C$234,0)</f>
        <v>#N/A</v>
      </c>
      <c r="AR2769" s="6" t="b">
        <f t="shared" si="288"/>
        <v>1</v>
      </c>
      <c r="AS2769" s="6" t="str">
        <f t="shared" si="289"/>
        <v>OK</v>
      </c>
      <c r="AU2769" s="202"/>
      <c r="AV2769" s="262"/>
      <c r="AW2769" s="274"/>
    </row>
    <row r="2770" spans="1:49" s="13" customFormat="1" ht="33.75" x14ac:dyDescent="0.2">
      <c r="A2770" s="14">
        <v>2746</v>
      </c>
      <c r="B2770" s="14">
        <v>400020846</v>
      </c>
      <c r="C2770" s="8" t="s">
        <v>5197</v>
      </c>
      <c r="D2770" s="4" t="str">
        <f t="shared" si="283"/>
        <v>400020846R1</v>
      </c>
      <c r="E2770" s="309" t="str">
        <f>VLOOKUP($B2770,'D7 - NDB Impacted SPRF''s'!$E$6:$O$9929,2,FALSE)</f>
        <v>UHPD (Physician) – Desig Rules &amp; Data Input/Output</v>
      </c>
      <c r="F2770" s="8" t="s">
        <v>5443</v>
      </c>
      <c r="G2770" s="8" t="s">
        <v>4758</v>
      </c>
      <c r="H2770" s="8" t="s">
        <v>2870</v>
      </c>
      <c r="I2770" s="20"/>
      <c r="J2770" s="8"/>
      <c r="K2770" s="182"/>
      <c r="L2770" s="8" t="s">
        <v>4156</v>
      </c>
      <c r="M2770" s="8" t="s">
        <v>2814</v>
      </c>
      <c r="N2770" s="38"/>
      <c r="O2770" s="8"/>
      <c r="P2770" s="4" t="str">
        <f>VLOOKUP($B2770,'D7 - NDB Impacted SPRF''s'!$E$16:$O$9929,9,FALSE)</f>
        <v>N</v>
      </c>
      <c r="Q2770" s="4" t="str">
        <f>VLOOKUP($B2770,'D7 - NDB Impacted SPRF''s'!$E$16:$O$9929,10,FALSE)</f>
        <v>N</v>
      </c>
      <c r="R2770" s="4" t="str">
        <f>VLOOKUP($B2770,'D7 - NDB Impacted SPRF''s'!$E$16:$O$9929,11,FALSE)</f>
        <v>N</v>
      </c>
      <c r="S2770" s="8"/>
      <c r="T2770" s="310"/>
      <c r="U2770" s="310"/>
      <c r="V2770" s="4"/>
      <c r="W2770" s="4"/>
      <c r="X2770" s="4"/>
      <c r="Y2770" s="4"/>
      <c r="Z2770" s="4"/>
      <c r="AA2770" s="4"/>
      <c r="AB2770" s="380" t="str">
        <f>VLOOKUP($B2770,'D7 - NDB Impacted SPRF''s'!$E$16:$O$9929,4,FALSE)</f>
        <v>Cancelled</v>
      </c>
      <c r="AC2770" s="380" t="str">
        <f>VLOOKUP($B2770,'D7 - NDB Impacted SPRF''s'!$E$16:$O$9929,3,FALSE)</f>
        <v>UnitedHealthcare Employer &amp; Individual</v>
      </c>
      <c r="AD2770" s="380" t="str">
        <f>VLOOKUP($B2770,'D7 - NDB Impacted SPRF''s'!$E$16:$O$9929,5,FALSE)</f>
        <v>Medical Cost Savings Programs</v>
      </c>
      <c r="AE2770" s="380" t="str">
        <f>VLOOKUP($B2770,'D7 - NDB Impacted SPRF''s'!$E$16:$O$9929,7,FALSE)</f>
        <v>Gino Tenace</v>
      </c>
      <c r="AF2770" s="380" t="str">
        <f>VLOOKUP($B2770,'D7 - NDB Impacted SPRF''s'!$E$16:$O$9929,6,FALSE)</f>
        <v>Michael Feller</v>
      </c>
      <c r="AG2770" s="282"/>
      <c r="AH2770" s="311" t="e">
        <f>INDEX('D5 - Gatekeeper - Projects'!$A$4:$AF$1010,$AM2770, 17)</f>
        <v>#N/A</v>
      </c>
      <c r="AI2770" s="8"/>
      <c r="AJ2770" s="57"/>
      <c r="AK2770" s="105"/>
      <c r="AM2770" s="6" t="e">
        <f>MATCH(D2770,'D5 - Gatekeeper - Projects'!$C$4:$C$1010,0)</f>
        <v>#N/A</v>
      </c>
      <c r="AN2770" s="6" t="b">
        <f t="shared" si="286"/>
        <v>1</v>
      </c>
      <c r="AO2770" s="6" t="str">
        <f t="shared" si="287"/>
        <v>OK</v>
      </c>
      <c r="AQ2770" s="6" t="e">
        <f>MATCH($D2770,'D4 - Provider Council Unsched'!$C$11:$C$234,0)</f>
        <v>#N/A</v>
      </c>
      <c r="AR2770" s="6" t="b">
        <f t="shared" si="288"/>
        <v>1</v>
      </c>
      <c r="AS2770" s="6" t="str">
        <f t="shared" si="289"/>
        <v>OK</v>
      </c>
      <c r="AU2770" s="202"/>
      <c r="AV2770" s="262"/>
      <c r="AW2770" s="274"/>
    </row>
    <row r="2771" spans="1:49" s="13" customFormat="1" ht="33.75" x14ac:dyDescent="0.2">
      <c r="A2771" s="14">
        <v>2747</v>
      </c>
      <c r="B2771" s="14">
        <v>400020965</v>
      </c>
      <c r="C2771" s="8" t="s">
        <v>5197</v>
      </c>
      <c r="D2771" s="4" t="str">
        <f t="shared" si="283"/>
        <v>400020965R1</v>
      </c>
      <c r="E2771" s="309" t="str">
        <f>VLOOKUP($B2771,'D7 - NDB Impacted SPRF''s'!$E$6:$O$9929,2,FALSE)</f>
        <v xml:space="preserve">Work Order NDB 1 shot to add 'M' in product field </v>
      </c>
      <c r="F2771" s="8" t="s">
        <v>5752</v>
      </c>
      <c r="G2771" s="8" t="s">
        <v>4758</v>
      </c>
      <c r="H2771" s="8" t="s">
        <v>2870</v>
      </c>
      <c r="I2771" s="20"/>
      <c r="J2771" s="8"/>
      <c r="K2771" s="182"/>
      <c r="L2771" s="8" t="s">
        <v>4156</v>
      </c>
      <c r="M2771" s="8" t="s">
        <v>6007</v>
      </c>
      <c r="N2771" s="38"/>
      <c r="O2771" s="8"/>
      <c r="P2771" s="4" t="str">
        <f>VLOOKUP($B2771,'D7 - NDB Impacted SPRF''s'!$E$16:$O$9929,9,FALSE)</f>
        <v>N</v>
      </c>
      <c r="Q2771" s="4" t="str">
        <f>VLOOKUP($B2771,'D7 - NDB Impacted SPRF''s'!$E$16:$O$9929,10,FALSE)</f>
        <v>N</v>
      </c>
      <c r="R2771" s="4" t="str">
        <f>VLOOKUP($B2771,'D7 - NDB Impacted SPRF''s'!$E$16:$O$9929,11,FALSE)</f>
        <v>N</v>
      </c>
      <c r="S2771" s="8"/>
      <c r="T2771" s="310"/>
      <c r="U2771" s="310"/>
      <c r="V2771" s="4"/>
      <c r="W2771" s="4"/>
      <c r="X2771" s="4"/>
      <c r="Y2771" s="4"/>
      <c r="Z2771" s="4"/>
      <c r="AA2771" s="4"/>
      <c r="AB2771" s="380" t="str">
        <f>VLOOKUP($B2771,'D7 - NDB Impacted SPRF''s'!$E$16:$O$9929,4,FALSE)</f>
        <v>Cancelled</v>
      </c>
      <c r="AC2771" s="380" t="str">
        <f>VLOOKUP($B2771,'D7 - NDB Impacted SPRF''s'!$E$16:$O$9929,3,FALSE)</f>
        <v>UnitedHealthcare Employer &amp; Individual</v>
      </c>
      <c r="AD2771" s="380" t="str">
        <f>VLOOKUP($B2771,'D7 - NDB Impacted SPRF''s'!$E$16:$O$9929,5,FALSE)</f>
        <v>Integration Requirements</v>
      </c>
      <c r="AE2771" s="380" t="str">
        <f>VLOOKUP($B2771,'D7 - NDB Impacted SPRF''s'!$E$16:$O$9929,7,FALSE)</f>
        <v>Ross Lippincott</v>
      </c>
      <c r="AF2771" s="380" t="str">
        <f>VLOOKUP($B2771,'D7 - NDB Impacted SPRF''s'!$E$16:$O$9929,6,FALSE)</f>
        <v>LETRICIA BEST</v>
      </c>
      <c r="AG2771" s="282"/>
      <c r="AH2771" s="311" t="e">
        <f>INDEX('D5 - Gatekeeper - Projects'!$A$4:$AF$1010,$AM2771, 17)</f>
        <v>#N/A</v>
      </c>
      <c r="AI2771" s="8"/>
      <c r="AJ2771" s="57"/>
      <c r="AK2771" s="105"/>
      <c r="AM2771" s="6" t="e">
        <f>MATCH(D2771,'D5 - Gatekeeper - Projects'!$C$4:$C$1010,0)</f>
        <v>#N/A</v>
      </c>
      <c r="AN2771" s="6" t="b">
        <f t="shared" si="286"/>
        <v>1</v>
      </c>
      <c r="AO2771" s="6" t="str">
        <f t="shared" si="287"/>
        <v>OK</v>
      </c>
      <c r="AQ2771" s="6" t="e">
        <f>MATCH($D2771,'D4 - Provider Council Unsched'!$C$11:$C$234,0)</f>
        <v>#N/A</v>
      </c>
      <c r="AR2771" s="6" t="b">
        <f t="shared" si="288"/>
        <v>1</v>
      </c>
      <c r="AS2771" s="6" t="str">
        <f t="shared" si="289"/>
        <v>OK</v>
      </c>
      <c r="AU2771" s="202"/>
      <c r="AV2771" s="262"/>
      <c r="AW2771" s="274"/>
    </row>
    <row r="2772" spans="1:49" s="13" customFormat="1" ht="33.75" x14ac:dyDescent="0.2">
      <c r="A2772" s="14">
        <v>2748</v>
      </c>
      <c r="B2772" s="14">
        <v>400021040</v>
      </c>
      <c r="C2772" s="8" t="s">
        <v>5197</v>
      </c>
      <c r="D2772" s="4" t="str">
        <f t="shared" si="283"/>
        <v>400021040R1</v>
      </c>
      <c r="E2772" s="309" t="str">
        <f>VLOOKUP($B2772,'D7 - NDB Impacted SPRF''s'!$E$6:$O$9929,2,FALSE)</f>
        <v>HPHC JV 2007 COC/Products - Implement on ACIS/UNET</v>
      </c>
      <c r="F2772" s="8" t="s">
        <v>5196</v>
      </c>
      <c r="G2772" s="8" t="s">
        <v>4758</v>
      </c>
      <c r="H2772" s="8" t="s">
        <v>2870</v>
      </c>
      <c r="I2772" s="20"/>
      <c r="J2772" s="8"/>
      <c r="K2772" s="182"/>
      <c r="L2772" s="8" t="s">
        <v>4156</v>
      </c>
      <c r="M2772" s="8" t="s">
        <v>2814</v>
      </c>
      <c r="N2772" s="38" t="s">
        <v>6775</v>
      </c>
      <c r="O2772" s="8"/>
      <c r="P2772" s="4" t="str">
        <f>VLOOKUP($B2772,'D7 - NDB Impacted SPRF''s'!$E$16:$O$9929,9,FALSE)</f>
        <v>Y</v>
      </c>
      <c r="Q2772" s="4" t="str">
        <f>VLOOKUP($B2772,'D7 - NDB Impacted SPRF''s'!$E$16:$O$9929,10,FALSE)</f>
        <v>N</v>
      </c>
      <c r="R2772" s="4" t="str">
        <f>VLOOKUP($B2772,'D7 - NDB Impacted SPRF''s'!$E$16:$O$9929,11,FALSE)</f>
        <v>N</v>
      </c>
      <c r="S2772" s="8"/>
      <c r="T2772" s="310"/>
      <c r="U2772" s="310"/>
      <c r="V2772" s="4"/>
      <c r="W2772" s="4"/>
      <c r="X2772" s="4"/>
      <c r="Y2772" s="4"/>
      <c r="Z2772" s="4"/>
      <c r="AA2772" s="4"/>
      <c r="AB2772" s="380" t="str">
        <f>VLOOKUP($B2772,'D7 - NDB Impacted SPRF''s'!$E$16:$O$9929,4,FALSE)</f>
        <v>Completed</v>
      </c>
      <c r="AC2772" s="380" t="str">
        <f>VLOOKUP($B2772,'D7 - NDB Impacted SPRF''s'!$E$16:$O$9929,3,FALSE)</f>
        <v>UnitedHealthcare Employer &amp; Individual</v>
      </c>
      <c r="AD2772" s="380" t="str">
        <f>VLOOKUP($B2772,'D7 - NDB Impacted SPRF''s'!$E$16:$O$9929,5,FALSE)</f>
        <v>Harvard Pilgrim Service Alliance</v>
      </c>
      <c r="AE2772" s="380" t="str">
        <f>VLOOKUP($B2772,'D7 - NDB Impacted SPRF''s'!$E$16:$O$9929,7,FALSE)</f>
        <v xml:space="preserve">Darla Haagensen </v>
      </c>
      <c r="AF2772" s="380" t="str">
        <f>VLOOKUP($B2772,'D7 - NDB Impacted SPRF''s'!$E$16:$O$9929,6,FALSE)</f>
        <v>Michelle Lorenzetti</v>
      </c>
      <c r="AG2772" s="282"/>
      <c r="AH2772" s="311" t="e">
        <f>INDEX('D5 - Gatekeeper - Projects'!$A$4:$AF$1010,$AM2772, 17)</f>
        <v>#N/A</v>
      </c>
      <c r="AI2772" s="8"/>
      <c r="AJ2772" s="57"/>
      <c r="AK2772" s="105"/>
      <c r="AM2772" s="6" t="e">
        <f>MATCH(D2772,'D5 - Gatekeeper - Projects'!$C$4:$C$1010,0)</f>
        <v>#N/A</v>
      </c>
      <c r="AN2772" s="6" t="b">
        <f t="shared" si="286"/>
        <v>1</v>
      </c>
      <c r="AO2772" s="6" t="str">
        <f t="shared" si="287"/>
        <v>OK</v>
      </c>
      <c r="AQ2772" s="6" t="e">
        <f>MATCH($D2772,'D4 - Provider Council Unsched'!$C$11:$C$234,0)</f>
        <v>#N/A</v>
      </c>
      <c r="AR2772" s="6" t="b">
        <f t="shared" si="288"/>
        <v>1</v>
      </c>
      <c r="AS2772" s="6" t="str">
        <f t="shared" si="289"/>
        <v>OK</v>
      </c>
      <c r="AU2772" s="202"/>
      <c r="AV2772" s="262"/>
      <c r="AW2772" s="274"/>
    </row>
    <row r="2773" spans="1:49" s="13" customFormat="1" ht="33.75" x14ac:dyDescent="0.2">
      <c r="A2773" s="14">
        <v>2749</v>
      </c>
      <c r="B2773" s="14">
        <v>400021154</v>
      </c>
      <c r="C2773" s="8" t="s">
        <v>5197</v>
      </c>
      <c r="D2773" s="4" t="str">
        <f t="shared" si="283"/>
        <v>400021154R1</v>
      </c>
      <c r="E2773" s="309" t="str">
        <f>VLOOKUP($B2773,'D7 - NDB Impacted SPRF''s'!$E$6:$O$9929,2,FALSE)</f>
        <v>NHP Product Builds on United Platform</v>
      </c>
      <c r="F2773" s="8" t="s">
        <v>3248</v>
      </c>
      <c r="G2773" s="8" t="s">
        <v>4758</v>
      </c>
      <c r="H2773" s="8" t="s">
        <v>2870</v>
      </c>
      <c r="I2773" s="20"/>
      <c r="J2773" s="8"/>
      <c r="K2773" s="182"/>
      <c r="L2773" s="8" t="s">
        <v>4156</v>
      </c>
      <c r="M2773" s="8" t="s">
        <v>2814</v>
      </c>
      <c r="N2773" s="38" t="s">
        <v>6482</v>
      </c>
      <c r="O2773" s="8"/>
      <c r="P2773" s="4" t="str">
        <f>VLOOKUP($B2773,'D7 - NDB Impacted SPRF''s'!$E$16:$O$9929,9,FALSE)</f>
        <v>N</v>
      </c>
      <c r="Q2773" s="4" t="str">
        <f>VLOOKUP($B2773,'D7 - NDB Impacted SPRF''s'!$E$16:$O$9929,10,FALSE)</f>
        <v>N</v>
      </c>
      <c r="R2773" s="4" t="str">
        <f>VLOOKUP($B2773,'D7 - NDB Impacted SPRF''s'!$E$16:$O$9929,11,FALSE)</f>
        <v>N</v>
      </c>
      <c r="S2773" s="8"/>
      <c r="T2773" s="310"/>
      <c r="U2773" s="310"/>
      <c r="V2773" s="4"/>
      <c r="W2773" s="4"/>
      <c r="X2773" s="4"/>
      <c r="Y2773" s="4"/>
      <c r="Z2773" s="4"/>
      <c r="AA2773" s="4"/>
      <c r="AB2773" s="380" t="str">
        <f>VLOOKUP($B2773,'D7 - NDB Impacted SPRF''s'!$E$16:$O$9929,4,FALSE)</f>
        <v>Cancelled</v>
      </c>
      <c r="AC2773" s="380" t="str">
        <f>VLOOKUP($B2773,'D7 - NDB Impacted SPRF''s'!$E$16:$O$9929,3,FALSE)</f>
        <v>UnitedHealthcare Employer &amp; Individual</v>
      </c>
      <c r="AD2773" s="380" t="str">
        <f>VLOOKUP($B2773,'D7 - NDB Impacted SPRF''s'!$E$16:$O$9929,5,FALSE)</f>
        <v>Integration Requirements</v>
      </c>
      <c r="AE2773" s="380" t="str">
        <f>VLOOKUP($B2773,'D7 - NDB Impacted SPRF''s'!$E$16:$O$9929,7,FALSE)</f>
        <v>Diane Schofield</v>
      </c>
      <c r="AF2773" s="380" t="str">
        <f>VLOOKUP($B2773,'D7 - NDB Impacted SPRF''s'!$E$16:$O$9929,6,FALSE)</f>
        <v>SUSAN TONKIN</v>
      </c>
      <c r="AG2773" s="282"/>
      <c r="AH2773" s="311" t="e">
        <f>INDEX('D5 - Gatekeeper - Projects'!$A$4:$AF$1010,$AM2773, 17)</f>
        <v>#N/A</v>
      </c>
      <c r="AI2773" s="8"/>
      <c r="AJ2773" s="57"/>
      <c r="AK2773" s="105"/>
      <c r="AM2773" s="6" t="e">
        <f>MATCH(D2773,'D5 - Gatekeeper - Projects'!$C$4:$C$1010,0)</f>
        <v>#N/A</v>
      </c>
      <c r="AN2773" s="6" t="b">
        <f t="shared" si="286"/>
        <v>1</v>
      </c>
      <c r="AO2773" s="6" t="str">
        <f t="shared" si="287"/>
        <v>OK</v>
      </c>
      <c r="AQ2773" s="6" t="e">
        <f>MATCH($D2773,'D4 - Provider Council Unsched'!$C$11:$C$234,0)</f>
        <v>#N/A</v>
      </c>
      <c r="AR2773" s="6" t="b">
        <f t="shared" si="288"/>
        <v>1</v>
      </c>
      <c r="AS2773" s="6" t="str">
        <f t="shared" si="289"/>
        <v>OK</v>
      </c>
      <c r="AU2773" s="202"/>
      <c r="AV2773" s="262"/>
      <c r="AW2773" s="274"/>
    </row>
    <row r="2774" spans="1:49" s="13" customFormat="1" ht="33.75" x14ac:dyDescent="0.2">
      <c r="A2774" s="14">
        <v>2750</v>
      </c>
      <c r="B2774" s="14">
        <v>400021163</v>
      </c>
      <c r="C2774" s="8" t="s">
        <v>5197</v>
      </c>
      <c r="D2774" s="4" t="str">
        <f t="shared" si="283"/>
        <v>400021163R1</v>
      </c>
      <c r="E2774" s="309" t="str">
        <f>VLOOKUP($B2774,'D7 - NDB Impacted SPRF''s'!$E$6:$O$9929,2,FALSE)</f>
        <v>Healthy Indiana Implementation</v>
      </c>
      <c r="F2774" s="8" t="s">
        <v>2464</v>
      </c>
      <c r="G2774" s="8" t="s">
        <v>4758</v>
      </c>
      <c r="H2774" s="8" t="s">
        <v>2870</v>
      </c>
      <c r="I2774" s="20"/>
      <c r="J2774" s="8"/>
      <c r="K2774" s="182"/>
      <c r="L2774" s="8" t="s">
        <v>4156</v>
      </c>
      <c r="M2774" s="8" t="s">
        <v>2814</v>
      </c>
      <c r="N2774" s="38" t="s">
        <v>6775</v>
      </c>
      <c r="O2774" s="8"/>
      <c r="P2774" s="4" t="str">
        <f>VLOOKUP($B2774,'D7 - NDB Impacted SPRF''s'!$E$16:$O$9929,9,FALSE)</f>
        <v>N</v>
      </c>
      <c r="Q2774" s="4" t="str">
        <f>VLOOKUP($B2774,'D7 - NDB Impacted SPRF''s'!$E$16:$O$9929,10,FALSE)</f>
        <v>N</v>
      </c>
      <c r="R2774" s="4" t="str">
        <f>VLOOKUP($B2774,'D7 - NDB Impacted SPRF''s'!$E$16:$O$9929,11,FALSE)</f>
        <v>N</v>
      </c>
      <c r="S2774" s="8"/>
      <c r="T2774" s="310"/>
      <c r="U2774" s="310"/>
      <c r="V2774" s="4"/>
      <c r="W2774" s="4"/>
      <c r="X2774" s="4"/>
      <c r="Y2774" s="4"/>
      <c r="Z2774" s="4"/>
      <c r="AA2774" s="4"/>
      <c r="AB2774" s="380" t="str">
        <f>VLOOKUP($B2774,'D7 - NDB Impacted SPRF''s'!$E$16:$O$9929,4,FALSE)</f>
        <v>Completed</v>
      </c>
      <c r="AC2774" s="380" t="str">
        <f>VLOOKUP($B2774,'D7 - NDB Impacted SPRF''s'!$E$16:$O$9929,3,FALSE)</f>
        <v>UnitedHealthcare Community &amp; State</v>
      </c>
      <c r="AD2774" s="380" t="str">
        <f>VLOOKUP($B2774,'D7 - NDB Impacted SPRF''s'!$E$16:$O$9929,5,FALSE)</f>
        <v>AmeriChoice</v>
      </c>
      <c r="AE2774" s="380" t="str">
        <f>VLOOKUP($B2774,'D7 - NDB Impacted SPRF''s'!$E$16:$O$9929,7,FALSE)</f>
        <v>John Kaelin</v>
      </c>
      <c r="AF2774" s="380" t="str">
        <f>VLOOKUP($B2774,'D7 - NDB Impacted SPRF''s'!$E$16:$O$9929,6,FALSE)</f>
        <v>MICHAEL CANTOR</v>
      </c>
      <c r="AG2774" s="282"/>
      <c r="AH2774" s="311" t="e">
        <f>INDEX('D5 - Gatekeeper - Projects'!$A$4:$AF$1010,$AM2774, 17)</f>
        <v>#N/A</v>
      </c>
      <c r="AI2774" s="8"/>
      <c r="AJ2774" s="57"/>
      <c r="AK2774" s="105"/>
      <c r="AM2774" s="6" t="e">
        <f>MATCH(D2774,'D5 - Gatekeeper - Projects'!$C$4:$C$1010,0)</f>
        <v>#N/A</v>
      </c>
      <c r="AN2774" s="6" t="b">
        <f t="shared" si="286"/>
        <v>1</v>
      </c>
      <c r="AO2774" s="6" t="str">
        <f t="shared" si="287"/>
        <v>OK</v>
      </c>
      <c r="AQ2774" s="6" t="e">
        <f>MATCH($D2774,'D4 - Provider Council Unsched'!$C$11:$C$234,0)</f>
        <v>#N/A</v>
      </c>
      <c r="AR2774" s="6" t="b">
        <f t="shared" si="288"/>
        <v>1</v>
      </c>
      <c r="AS2774" s="6" t="str">
        <f t="shared" si="289"/>
        <v>OK</v>
      </c>
      <c r="AU2774" s="202"/>
      <c r="AV2774" s="262"/>
      <c r="AW2774" s="274"/>
    </row>
    <row r="2775" spans="1:49" s="13" customFormat="1" ht="33.75" x14ac:dyDescent="0.2">
      <c r="A2775" s="14">
        <v>2751</v>
      </c>
      <c r="B2775" s="14">
        <v>400021175</v>
      </c>
      <c r="C2775" s="8" t="s">
        <v>5197</v>
      </c>
      <c r="D2775" s="4" t="str">
        <f t="shared" si="283"/>
        <v>400021175R1</v>
      </c>
      <c r="E2775" s="309" t="str">
        <f>VLOOKUP($B2775,'D7 - NDB Impacted SPRF''s'!$E$6:$O$9929,2,FALSE)</f>
        <v>Implement Secure FTP/SCP</v>
      </c>
      <c r="F2775" s="8" t="s">
        <v>2114</v>
      </c>
      <c r="G2775" s="8" t="s">
        <v>4758</v>
      </c>
      <c r="H2775" s="8" t="s">
        <v>2870</v>
      </c>
      <c r="I2775" s="20">
        <f>381/160</f>
        <v>2.3812500000000001</v>
      </c>
      <c r="J2775" s="8" t="s">
        <v>4862</v>
      </c>
      <c r="K2775" s="182"/>
      <c r="L2775" s="8" t="s">
        <v>4156</v>
      </c>
      <c r="M2775" s="8" t="s">
        <v>2814</v>
      </c>
      <c r="N2775" s="38" t="s">
        <v>4653</v>
      </c>
      <c r="O2775" s="8"/>
      <c r="P2775" s="4" t="str">
        <f>VLOOKUP($B2775,'D7 - NDB Impacted SPRF''s'!$E$16:$O$9929,9,FALSE)</f>
        <v>N</v>
      </c>
      <c r="Q2775" s="4" t="str">
        <f>VLOOKUP($B2775,'D7 - NDB Impacted SPRF''s'!$E$16:$O$9929,10,FALSE)</f>
        <v>N</v>
      </c>
      <c r="R2775" s="4" t="str">
        <f>VLOOKUP($B2775,'D7 - NDB Impacted SPRF''s'!$E$16:$O$9929,11,FALSE)</f>
        <v>N</v>
      </c>
      <c r="S2775" s="8"/>
      <c r="T2775" s="310"/>
      <c r="U2775" s="310"/>
      <c r="V2775" s="4"/>
      <c r="W2775" s="4"/>
      <c r="X2775" s="4"/>
      <c r="Y2775" s="4"/>
      <c r="Z2775" s="4"/>
      <c r="AA2775" s="4"/>
      <c r="AB2775" s="380" t="str">
        <f>VLOOKUP($B2775,'D7 - NDB Impacted SPRF''s'!$E$16:$O$9929,4,FALSE)</f>
        <v>Cancelled</v>
      </c>
      <c r="AC2775" s="380" t="str">
        <f>VLOOKUP($B2775,'D7 - NDB Impacted SPRF''s'!$E$16:$O$9929,3,FALSE)</f>
        <v>UnitedHealthcare Employer &amp; Individual</v>
      </c>
      <c r="AD2775" s="380" t="str">
        <f>VLOOKUP($B2775,'D7 - NDB Impacted SPRF''s'!$E$16:$O$9929,5,FALSE)</f>
        <v>Operational Requirements</v>
      </c>
      <c r="AE2775" s="380" t="str">
        <f>VLOOKUP($B2775,'D7 - NDB Impacted SPRF''s'!$E$16:$O$9929,7,FALSE)</f>
        <v>Susan L Smith</v>
      </c>
      <c r="AF2775" s="380" t="str">
        <f>VLOOKUP($B2775,'D7 - NDB Impacted SPRF''s'!$E$16:$O$9929,6,FALSE)</f>
        <v>Dayo Odunlami</v>
      </c>
      <c r="AG2775" s="282"/>
      <c r="AH2775" s="311" t="e">
        <f>INDEX('D5 - Gatekeeper - Projects'!$A$4:$AF$1010,$AM2775, 17)</f>
        <v>#N/A</v>
      </c>
      <c r="AI2775" s="8"/>
      <c r="AJ2775" s="57"/>
      <c r="AK2775" s="105"/>
      <c r="AM2775" s="6" t="e">
        <f>MATCH(D2775,'D5 - Gatekeeper - Projects'!$C$4:$C$1010,0)</f>
        <v>#N/A</v>
      </c>
      <c r="AN2775" s="6" t="b">
        <f t="shared" si="286"/>
        <v>1</v>
      </c>
      <c r="AO2775" s="6" t="str">
        <f t="shared" si="287"/>
        <v>OK</v>
      </c>
      <c r="AQ2775" s="6" t="e">
        <f>MATCH($D2775,'D4 - Provider Council Unsched'!$C$11:$C$234,0)</f>
        <v>#N/A</v>
      </c>
      <c r="AR2775" s="6" t="b">
        <f t="shared" si="288"/>
        <v>1</v>
      </c>
      <c r="AS2775" s="6" t="str">
        <f t="shared" si="289"/>
        <v>OK</v>
      </c>
      <c r="AU2775" s="202"/>
      <c r="AV2775" s="262"/>
      <c r="AW2775" s="274"/>
    </row>
    <row r="2776" spans="1:49" s="13" customFormat="1" ht="33.75" x14ac:dyDescent="0.2">
      <c r="A2776" s="14">
        <v>2752</v>
      </c>
      <c r="B2776" s="14">
        <v>400021195</v>
      </c>
      <c r="C2776" s="8" t="s">
        <v>5197</v>
      </c>
      <c r="D2776" s="4" t="str">
        <f t="shared" si="283"/>
        <v>400021195R1</v>
      </c>
      <c r="E2776" s="309" t="str">
        <f>VLOOKUP($B2776,'D7 - NDB Impacted SPRF''s'!$E$6:$O$9929,2,FALSE)</f>
        <v>Neighborhood Health Parntership NDB Migration</v>
      </c>
      <c r="F2776" s="8" t="s">
        <v>3248</v>
      </c>
      <c r="G2776" s="8" t="s">
        <v>4758</v>
      </c>
      <c r="H2776" s="8" t="s">
        <v>2870</v>
      </c>
      <c r="I2776" s="20">
        <f>956/160</f>
        <v>5.9749999999999996</v>
      </c>
      <c r="J2776" s="8" t="s">
        <v>4862</v>
      </c>
      <c r="K2776" s="182"/>
      <c r="L2776" s="8" t="s">
        <v>4156</v>
      </c>
      <c r="M2776" s="8" t="s">
        <v>2814</v>
      </c>
      <c r="N2776" s="38" t="s">
        <v>8012</v>
      </c>
      <c r="O2776" s="8"/>
      <c r="P2776" s="4" t="str">
        <f>VLOOKUP($B2776,'D7 - NDB Impacted SPRF''s'!$E$16:$O$9929,9,FALSE)</f>
        <v>Y</v>
      </c>
      <c r="Q2776" s="4" t="str">
        <f>VLOOKUP($B2776,'D7 - NDB Impacted SPRF''s'!$E$16:$O$9929,10,FALSE)</f>
        <v>N</v>
      </c>
      <c r="R2776" s="4" t="str">
        <f>VLOOKUP($B2776,'D7 - NDB Impacted SPRF''s'!$E$16:$O$9929,11,FALSE)</f>
        <v>N</v>
      </c>
      <c r="S2776" s="8"/>
      <c r="T2776" s="310"/>
      <c r="U2776" s="310"/>
      <c r="V2776" s="4"/>
      <c r="W2776" s="4"/>
      <c r="X2776" s="4"/>
      <c r="Y2776" s="4"/>
      <c r="Z2776" s="4"/>
      <c r="AA2776" s="4"/>
      <c r="AB2776" s="380" t="str">
        <f>VLOOKUP($B2776,'D7 - NDB Impacted SPRF''s'!$E$16:$O$9929,4,FALSE)</f>
        <v>Cancelled</v>
      </c>
      <c r="AC2776" s="380" t="str">
        <f>VLOOKUP($B2776,'D7 - NDB Impacted SPRF''s'!$E$16:$O$9929,3,FALSE)</f>
        <v>UnitedHealthcare Employer &amp; Individual</v>
      </c>
      <c r="AD2776" s="380" t="str">
        <f>VLOOKUP($B2776,'D7 - NDB Impacted SPRF''s'!$E$16:$O$9929,5,FALSE)</f>
        <v>Integration Requirements</v>
      </c>
      <c r="AE2776" s="380" t="str">
        <f>VLOOKUP($B2776,'D7 - NDB Impacted SPRF''s'!$E$16:$O$9929,7,FALSE)</f>
        <v>Diane Schofield</v>
      </c>
      <c r="AF2776" s="380" t="str">
        <f>VLOOKUP($B2776,'D7 - NDB Impacted SPRF''s'!$E$16:$O$9929,6,FALSE)</f>
        <v>LETRICIA BEST</v>
      </c>
      <c r="AG2776" s="282"/>
      <c r="AH2776" s="311" t="e">
        <f>INDEX('D5 - Gatekeeper - Projects'!$A$4:$AF$1010,$AM2776, 17)</f>
        <v>#N/A</v>
      </c>
      <c r="AI2776" s="8"/>
      <c r="AJ2776" s="57"/>
      <c r="AK2776" s="105"/>
      <c r="AM2776" s="6" t="e">
        <f>MATCH(D2776,'D5 - Gatekeeper - Projects'!$C$4:$C$1010,0)</f>
        <v>#N/A</v>
      </c>
      <c r="AN2776" s="6" t="b">
        <f t="shared" si="286"/>
        <v>1</v>
      </c>
      <c r="AO2776" s="6" t="str">
        <f t="shared" si="287"/>
        <v>OK</v>
      </c>
      <c r="AQ2776" s="6" t="e">
        <f>MATCH($D2776,'D4 - Provider Council Unsched'!$C$11:$C$234,0)</f>
        <v>#N/A</v>
      </c>
      <c r="AR2776" s="6" t="b">
        <f t="shared" si="288"/>
        <v>1</v>
      </c>
      <c r="AS2776" s="6" t="str">
        <f t="shared" si="289"/>
        <v>OK</v>
      </c>
      <c r="AU2776" s="202"/>
      <c r="AV2776" s="262"/>
      <c r="AW2776" s="274"/>
    </row>
    <row r="2777" spans="1:49" s="13" customFormat="1" ht="33.75" x14ac:dyDescent="0.2">
      <c r="A2777" s="14">
        <v>2753</v>
      </c>
      <c r="B2777" s="14">
        <v>400021209</v>
      </c>
      <c r="C2777" s="8" t="s">
        <v>5197</v>
      </c>
      <c r="D2777" s="4" t="str">
        <f t="shared" si="283"/>
        <v>400021209R1</v>
      </c>
      <c r="E2777" s="309" t="str">
        <f>VLOOKUP($B2777,'D7 - NDB Impacted SPRF''s'!$E$6:$O$9929,2,FALSE)</f>
        <v>Rejection of HIPAA transactions without NPI</v>
      </c>
      <c r="F2777" s="8" t="s">
        <v>2114</v>
      </c>
      <c r="G2777" s="8" t="s">
        <v>4758</v>
      </c>
      <c r="H2777" s="8" t="s">
        <v>2870</v>
      </c>
      <c r="I2777" s="20">
        <v>30.58</v>
      </c>
      <c r="J2777" s="8" t="s">
        <v>4862</v>
      </c>
      <c r="K2777" s="182"/>
      <c r="L2777" s="8" t="s">
        <v>4156</v>
      </c>
      <c r="M2777" s="8" t="s">
        <v>2814</v>
      </c>
      <c r="N2777" s="38"/>
      <c r="O2777" s="8"/>
      <c r="P2777" s="4" t="str">
        <f>VLOOKUP($B2777,'D7 - NDB Impacted SPRF''s'!$E$16:$O$9929,9,FALSE)</f>
        <v>Y</v>
      </c>
      <c r="Q2777" s="4" t="str">
        <f>VLOOKUP($B2777,'D7 - NDB Impacted SPRF''s'!$E$16:$O$9929,10,FALSE)</f>
        <v>N</v>
      </c>
      <c r="R2777" s="4" t="str">
        <f>VLOOKUP($B2777,'D7 - NDB Impacted SPRF''s'!$E$16:$O$9929,11,FALSE)</f>
        <v>N</v>
      </c>
      <c r="S2777" s="8"/>
      <c r="T2777" s="310"/>
      <c r="U2777" s="310"/>
      <c r="V2777" s="4"/>
      <c r="W2777" s="4"/>
      <c r="X2777" s="4"/>
      <c r="Y2777" s="4"/>
      <c r="Z2777" s="4"/>
      <c r="AA2777" s="4"/>
      <c r="AB2777" s="380" t="str">
        <f>VLOOKUP($B2777,'D7 - NDB Impacted SPRF''s'!$E$16:$O$9929,4,FALSE)</f>
        <v>Cancelled</v>
      </c>
      <c r="AC2777" s="380" t="str">
        <f>VLOOKUP($B2777,'D7 - NDB Impacted SPRF''s'!$E$16:$O$9929,3,FALSE)</f>
        <v>UnitedHealthcare Employer &amp; Individual</v>
      </c>
      <c r="AD2777" s="380" t="str">
        <f>VLOOKUP($B2777,'D7 - NDB Impacted SPRF''s'!$E$16:$O$9929,5,FALSE)</f>
        <v>Regulatory / Other</v>
      </c>
      <c r="AE2777" s="380" t="str">
        <f>VLOOKUP($B2777,'D7 - NDB Impacted SPRF''s'!$E$16:$O$9929,7,FALSE)</f>
        <v>Ross Lippincott</v>
      </c>
      <c r="AF2777" s="380" t="str">
        <f>VLOOKUP($B2777,'D7 - NDB Impacted SPRF''s'!$E$16:$O$9929,6,FALSE)</f>
        <v>Roderica Morris</v>
      </c>
      <c r="AG2777" s="282"/>
      <c r="AH2777" s="311" t="e">
        <f>INDEX('D5 - Gatekeeper - Projects'!$A$4:$AF$1010,$AM2777, 17)</f>
        <v>#N/A</v>
      </c>
      <c r="AI2777" s="8"/>
      <c r="AJ2777" s="57"/>
      <c r="AK2777" s="105"/>
      <c r="AM2777" s="6" t="e">
        <f>MATCH(D2777,'D5 - Gatekeeper - Projects'!$C$4:$C$1010,0)</f>
        <v>#N/A</v>
      </c>
      <c r="AN2777" s="6" t="b">
        <f t="shared" si="286"/>
        <v>1</v>
      </c>
      <c r="AO2777" s="6" t="str">
        <f t="shared" si="287"/>
        <v>OK</v>
      </c>
      <c r="AQ2777" s="6" t="e">
        <f>MATCH($D2777,'D4 - Provider Council Unsched'!$C$11:$C$234,0)</f>
        <v>#N/A</v>
      </c>
      <c r="AR2777" s="6" t="b">
        <f t="shared" si="288"/>
        <v>1</v>
      </c>
      <c r="AS2777" s="6" t="str">
        <f t="shared" si="289"/>
        <v>OK</v>
      </c>
      <c r="AU2777" s="202"/>
      <c r="AV2777" s="262"/>
      <c r="AW2777" s="274"/>
    </row>
    <row r="2778" spans="1:49" s="13" customFormat="1" ht="33.75" x14ac:dyDescent="0.2">
      <c r="A2778" s="14">
        <v>2754</v>
      </c>
      <c r="B2778" s="14">
        <v>400021250</v>
      </c>
      <c r="C2778" s="8" t="s">
        <v>5197</v>
      </c>
      <c r="D2778" s="4" t="str">
        <f t="shared" si="283"/>
        <v>400021250R1</v>
      </c>
      <c r="E2778" s="309" t="str">
        <f>VLOOKUP($B2778,'D7 - NDB Impacted SPRF''s'!$E$6:$O$9929,2,FALSE)</f>
        <v>Add new Accreditation agency - ACRO</v>
      </c>
      <c r="F2778" s="8" t="s">
        <v>7989</v>
      </c>
      <c r="G2778" s="8" t="s">
        <v>4758</v>
      </c>
      <c r="H2778" s="8" t="s">
        <v>2870</v>
      </c>
      <c r="I2778" s="20">
        <f>512/160</f>
        <v>3.2</v>
      </c>
      <c r="J2778" s="8" t="s">
        <v>4862</v>
      </c>
      <c r="K2778" s="182"/>
      <c r="L2778" s="8" t="s">
        <v>4156</v>
      </c>
      <c r="M2778" s="8" t="s">
        <v>2814</v>
      </c>
      <c r="N2778" s="38"/>
      <c r="O2778" s="8"/>
      <c r="P2778" s="4" t="str">
        <f>VLOOKUP($B2778,'D7 - NDB Impacted SPRF''s'!$E$16:$O$9929,9,FALSE)</f>
        <v>Y</v>
      </c>
      <c r="Q2778" s="4" t="str">
        <f>VLOOKUP($B2778,'D7 - NDB Impacted SPRF''s'!$E$16:$O$9929,10,FALSE)</f>
        <v>N</v>
      </c>
      <c r="R2778" s="4" t="str">
        <f>VLOOKUP($B2778,'D7 - NDB Impacted SPRF''s'!$E$16:$O$9929,11,FALSE)</f>
        <v>N</v>
      </c>
      <c r="S2778" s="8"/>
      <c r="T2778" s="310"/>
      <c r="U2778" s="310"/>
      <c r="V2778" s="4"/>
      <c r="W2778" s="4"/>
      <c r="X2778" s="4"/>
      <c r="Y2778" s="4"/>
      <c r="Z2778" s="4"/>
      <c r="AA2778" s="4"/>
      <c r="AB2778" s="380" t="str">
        <f>VLOOKUP($B2778,'D7 - NDB Impacted SPRF''s'!$E$16:$O$9929,4,FALSE)</f>
        <v>Cancelled</v>
      </c>
      <c r="AC2778" s="380" t="str">
        <f>VLOOKUP($B2778,'D7 - NDB Impacted SPRF''s'!$E$16:$O$9929,3,FALSE)</f>
        <v>UnitedHealthcare Employer &amp; Individual</v>
      </c>
      <c r="AD2778" s="380" t="str">
        <f>VLOOKUP($B2778,'D7 - NDB Impacted SPRF''s'!$E$16:$O$9929,5,FALSE)</f>
        <v>Medical Cost Savings Programs</v>
      </c>
      <c r="AE2778" s="380" t="str">
        <f>VLOOKUP($B2778,'D7 - NDB Impacted SPRF''s'!$E$16:$O$9929,7,FALSE)</f>
        <v>Laurie Paidosh</v>
      </c>
      <c r="AF2778" s="380" t="str">
        <f>VLOOKUP($B2778,'D7 - NDB Impacted SPRF''s'!$E$16:$O$9929,6,FALSE)</f>
        <v>Lori West</v>
      </c>
      <c r="AG2778" s="282"/>
      <c r="AH2778" s="311" t="e">
        <f>INDEX('D5 - Gatekeeper - Projects'!$A$4:$AF$1010,$AM2778, 17)</f>
        <v>#N/A</v>
      </c>
      <c r="AI2778" s="8"/>
      <c r="AJ2778" s="57"/>
      <c r="AK2778" s="105"/>
      <c r="AM2778" s="6" t="e">
        <f>MATCH(D2778,'D5 - Gatekeeper - Projects'!$C$4:$C$1010,0)</f>
        <v>#N/A</v>
      </c>
      <c r="AN2778" s="6" t="b">
        <f t="shared" si="286"/>
        <v>1</v>
      </c>
      <c r="AO2778" s="6" t="str">
        <f t="shared" si="287"/>
        <v>OK</v>
      </c>
      <c r="AQ2778" s="6" t="e">
        <f>MATCH($D2778,'D4 - Provider Council Unsched'!$C$11:$C$234,0)</f>
        <v>#N/A</v>
      </c>
      <c r="AR2778" s="6" t="b">
        <f t="shared" si="288"/>
        <v>1</v>
      </c>
      <c r="AS2778" s="6" t="str">
        <f t="shared" si="289"/>
        <v>OK</v>
      </c>
      <c r="AU2778" s="202"/>
      <c r="AV2778" s="262"/>
      <c r="AW2778" s="274"/>
    </row>
    <row r="2779" spans="1:49" s="13" customFormat="1" ht="33.75" x14ac:dyDescent="0.2">
      <c r="A2779" s="14">
        <v>2755</v>
      </c>
      <c r="B2779" s="14">
        <v>400021257</v>
      </c>
      <c r="C2779" s="8" t="s">
        <v>5197</v>
      </c>
      <c r="D2779" s="4" t="str">
        <f t="shared" ref="D2779:D2842" si="290">CONCATENATE(B2779,C2779)</f>
        <v>400021257R1</v>
      </c>
      <c r="E2779" s="309" t="str">
        <f>VLOOKUP($B2779,'D7 - NDB Impacted SPRF''s'!$E$6:$O$9929,2,FALSE)</f>
        <v xml:space="preserve">Pre-Auth  /Funding Tables Automated Loading Tool </v>
      </c>
      <c r="F2779" s="8" t="s">
        <v>2114</v>
      </c>
      <c r="G2779" s="8" t="s">
        <v>4758</v>
      </c>
      <c r="H2779" s="8" t="s">
        <v>2870</v>
      </c>
      <c r="I2779" s="20">
        <f>6683/150</f>
        <v>44.553333333333335</v>
      </c>
      <c r="J2779" s="8" t="s">
        <v>4862</v>
      </c>
      <c r="K2779" s="182"/>
      <c r="L2779" s="8" t="s">
        <v>4156</v>
      </c>
      <c r="M2779" s="8" t="s">
        <v>2814</v>
      </c>
      <c r="N2779" s="38" t="s">
        <v>4750</v>
      </c>
      <c r="O2779" s="8"/>
      <c r="P2779" s="4" t="str">
        <f>VLOOKUP($B2779,'D7 - NDB Impacted SPRF''s'!$E$16:$O$9929,9,FALSE)</f>
        <v>Y</v>
      </c>
      <c r="Q2779" s="4" t="str">
        <f>VLOOKUP($B2779,'D7 - NDB Impacted SPRF''s'!$E$16:$O$9929,10,FALSE)</f>
        <v>N</v>
      </c>
      <c r="R2779" s="4" t="str">
        <f>VLOOKUP($B2779,'D7 - NDB Impacted SPRF''s'!$E$16:$O$9929,11,FALSE)</f>
        <v>N</v>
      </c>
      <c r="S2779" s="8"/>
      <c r="T2779" s="310"/>
      <c r="U2779" s="310"/>
      <c r="V2779" s="4"/>
      <c r="W2779" s="4"/>
      <c r="X2779" s="4"/>
      <c r="Y2779" s="4"/>
      <c r="Z2779" s="4"/>
      <c r="AA2779" s="4"/>
      <c r="AB2779" s="380" t="str">
        <f>VLOOKUP($B2779,'D7 - NDB Impacted SPRF''s'!$E$16:$O$9929,4,FALSE)</f>
        <v>Cancelled</v>
      </c>
      <c r="AC2779" s="380" t="str">
        <f>VLOOKUP($B2779,'D7 - NDB Impacted SPRF''s'!$E$16:$O$9929,3,FALSE)</f>
        <v>UnitedHealthcare Employer &amp; Individual</v>
      </c>
      <c r="AD2779" s="380" t="str">
        <f>VLOOKUP($B2779,'D7 - NDB Impacted SPRF''s'!$E$16:$O$9929,5,FALSE)</f>
        <v>Process Improvement</v>
      </c>
      <c r="AE2779" s="380" t="str">
        <f>VLOOKUP($B2779,'D7 - NDB Impacted SPRF''s'!$E$16:$O$9929,7,FALSE)</f>
        <v xml:space="preserve">Matt Guisinger </v>
      </c>
      <c r="AF2779" s="380" t="str">
        <f>VLOOKUP($B2779,'D7 - NDB Impacted SPRF''s'!$E$16:$O$9929,6,FALSE)</f>
        <v>JOHN HIEBERT</v>
      </c>
      <c r="AG2779" s="282"/>
      <c r="AH2779" s="311" t="e">
        <f>INDEX('D5 - Gatekeeper - Projects'!$A$4:$AF$1010,$AM2779, 17)</f>
        <v>#N/A</v>
      </c>
      <c r="AI2779" s="8"/>
      <c r="AJ2779" s="57"/>
      <c r="AK2779" s="105"/>
      <c r="AM2779" s="6" t="e">
        <f>MATCH(D2779,'D5 - Gatekeeper - Projects'!$C$4:$C$1010,0)</f>
        <v>#N/A</v>
      </c>
      <c r="AN2779" s="6" t="b">
        <f t="shared" si="286"/>
        <v>1</v>
      </c>
      <c r="AO2779" s="6" t="str">
        <f t="shared" si="287"/>
        <v>OK</v>
      </c>
      <c r="AQ2779" s="6" t="e">
        <f>MATCH($D2779,'D4 - Provider Council Unsched'!$C$11:$C$234,0)</f>
        <v>#N/A</v>
      </c>
      <c r="AR2779" s="6" t="b">
        <f t="shared" si="288"/>
        <v>1</v>
      </c>
      <c r="AS2779" s="6" t="str">
        <f t="shared" si="289"/>
        <v>OK</v>
      </c>
      <c r="AU2779" s="202"/>
      <c r="AV2779" s="262"/>
      <c r="AW2779" s="274"/>
    </row>
    <row r="2780" spans="1:49" s="13" customFormat="1" ht="33.75" x14ac:dyDescent="0.2">
      <c r="A2780" s="14">
        <v>2756</v>
      </c>
      <c r="B2780" s="14">
        <v>400021257</v>
      </c>
      <c r="C2780" s="8" t="s">
        <v>1992</v>
      </c>
      <c r="D2780" s="4" t="str">
        <f t="shared" si="290"/>
        <v>400021257U1</v>
      </c>
      <c r="E2780" s="309" t="str">
        <f>VLOOKUP($B2780,'D7 - NDB Impacted SPRF''s'!$E$6:$O$9929,2,FALSE)</f>
        <v xml:space="preserve">Pre-Auth  /Funding Tables Automated Loading Tool </v>
      </c>
      <c r="F2780" s="8" t="s">
        <v>2114</v>
      </c>
      <c r="G2780" s="8" t="s">
        <v>4758</v>
      </c>
      <c r="H2780" s="8" t="s">
        <v>2870</v>
      </c>
      <c r="I2780" s="20">
        <f>218/150</f>
        <v>1.4533333333333334</v>
      </c>
      <c r="J2780" s="8" t="s">
        <v>4862</v>
      </c>
      <c r="K2780" s="182"/>
      <c r="L2780" s="8" t="s">
        <v>4156</v>
      </c>
      <c r="M2780" s="8" t="s">
        <v>2814</v>
      </c>
      <c r="N2780" s="38" t="s">
        <v>4750</v>
      </c>
      <c r="O2780" s="8"/>
      <c r="P2780" s="4" t="str">
        <f>VLOOKUP($B2780,'D7 - NDB Impacted SPRF''s'!$E$16:$O$9929,9,FALSE)</f>
        <v>Y</v>
      </c>
      <c r="Q2780" s="4" t="str">
        <f>VLOOKUP($B2780,'D7 - NDB Impacted SPRF''s'!$E$16:$O$9929,10,FALSE)</f>
        <v>N</v>
      </c>
      <c r="R2780" s="4" t="str">
        <f>VLOOKUP($B2780,'D7 - NDB Impacted SPRF''s'!$E$16:$O$9929,11,FALSE)</f>
        <v>N</v>
      </c>
      <c r="S2780" s="8"/>
      <c r="T2780" s="310"/>
      <c r="U2780" s="310"/>
      <c r="V2780" s="4"/>
      <c r="W2780" s="4"/>
      <c r="X2780" s="4"/>
      <c r="Y2780" s="4"/>
      <c r="Z2780" s="4"/>
      <c r="AA2780" s="4"/>
      <c r="AB2780" s="380" t="str">
        <f>VLOOKUP($B2780,'D7 - NDB Impacted SPRF''s'!$E$16:$O$9929,4,FALSE)</f>
        <v>Cancelled</v>
      </c>
      <c r="AC2780" s="380" t="str">
        <f>VLOOKUP($B2780,'D7 - NDB Impacted SPRF''s'!$E$16:$O$9929,3,FALSE)</f>
        <v>UnitedHealthcare Employer &amp; Individual</v>
      </c>
      <c r="AD2780" s="380" t="str">
        <f>VLOOKUP($B2780,'D7 - NDB Impacted SPRF''s'!$E$16:$O$9929,5,FALSE)</f>
        <v>Process Improvement</v>
      </c>
      <c r="AE2780" s="380" t="str">
        <f>VLOOKUP($B2780,'D7 - NDB Impacted SPRF''s'!$E$16:$O$9929,7,FALSE)</f>
        <v xml:space="preserve">Matt Guisinger </v>
      </c>
      <c r="AF2780" s="380" t="str">
        <f>VLOOKUP($B2780,'D7 - NDB Impacted SPRF''s'!$E$16:$O$9929,6,FALSE)</f>
        <v>JOHN HIEBERT</v>
      </c>
      <c r="AG2780" s="282"/>
      <c r="AH2780" s="311" t="e">
        <f>INDEX('D5 - Gatekeeper - Projects'!$A$4:$AF$1010,$AM2780, 17)</f>
        <v>#N/A</v>
      </c>
      <c r="AI2780" s="8"/>
      <c r="AJ2780" s="57"/>
      <c r="AK2780" s="105"/>
      <c r="AM2780" s="6" t="e">
        <f>MATCH(D2780,'D5 - Gatekeeper - Projects'!$C$4:$C$1010,0)</f>
        <v>#N/A</v>
      </c>
      <c r="AN2780" s="6" t="b">
        <f t="shared" si="286"/>
        <v>1</v>
      </c>
      <c r="AO2780" s="6" t="str">
        <f t="shared" si="287"/>
        <v>OK</v>
      </c>
      <c r="AQ2780" s="6" t="e">
        <f>MATCH($D2780,'D4 - Provider Council Unsched'!$C$11:$C$234,0)</f>
        <v>#N/A</v>
      </c>
      <c r="AR2780" s="6" t="b">
        <f t="shared" si="288"/>
        <v>1</v>
      </c>
      <c r="AS2780" s="6" t="str">
        <f t="shared" si="289"/>
        <v>OK</v>
      </c>
      <c r="AU2780" s="202"/>
      <c r="AV2780" s="262"/>
      <c r="AW2780" s="274"/>
    </row>
    <row r="2781" spans="1:49" s="13" customFormat="1" ht="33.75" x14ac:dyDescent="0.2">
      <c r="A2781" s="14">
        <v>2757</v>
      </c>
      <c r="B2781" s="14">
        <v>400021263</v>
      </c>
      <c r="C2781" s="8" t="s">
        <v>5197</v>
      </c>
      <c r="D2781" s="4" t="str">
        <f t="shared" si="290"/>
        <v>400021263R1</v>
      </c>
      <c r="E2781" s="309" t="str">
        <f>VLOOKUP($B2781,'D7 - NDB Impacted SPRF''s'!$E$6:$O$9929,2,FALSE)</f>
        <v>NDB Feed to Self Service for Provider Validation</v>
      </c>
      <c r="F2781" s="8" t="s">
        <v>2114</v>
      </c>
      <c r="G2781" s="8" t="s">
        <v>4758</v>
      </c>
      <c r="H2781" s="8" t="s">
        <v>2870</v>
      </c>
      <c r="I2781" s="20">
        <f>683/160</f>
        <v>4.2687499999999998</v>
      </c>
      <c r="J2781" s="8" t="s">
        <v>4862</v>
      </c>
      <c r="K2781" s="182"/>
      <c r="L2781" s="8" t="s">
        <v>4156</v>
      </c>
      <c r="M2781" s="8" t="s">
        <v>2814</v>
      </c>
      <c r="N2781" s="38"/>
      <c r="O2781" s="8"/>
      <c r="P2781" s="4" t="str">
        <f>VLOOKUP($B2781,'D7 - NDB Impacted SPRF''s'!$E$16:$O$9929,9,FALSE)</f>
        <v>N</v>
      </c>
      <c r="Q2781" s="4" t="str">
        <f>VLOOKUP($B2781,'D7 - NDB Impacted SPRF''s'!$E$16:$O$9929,10,FALSE)</f>
        <v>N</v>
      </c>
      <c r="R2781" s="4" t="str">
        <f>VLOOKUP($B2781,'D7 - NDB Impacted SPRF''s'!$E$16:$O$9929,11,FALSE)</f>
        <v>N</v>
      </c>
      <c r="S2781" s="8"/>
      <c r="T2781" s="310"/>
      <c r="U2781" s="310"/>
      <c r="V2781" s="4"/>
      <c r="W2781" s="4"/>
      <c r="X2781" s="4"/>
      <c r="Y2781" s="4"/>
      <c r="Z2781" s="4"/>
      <c r="AA2781" s="4"/>
      <c r="AB2781" s="380" t="str">
        <f>VLOOKUP($B2781,'D7 - NDB Impacted SPRF''s'!$E$16:$O$9929,4,FALSE)</f>
        <v>Cancelled</v>
      </c>
      <c r="AC2781" s="380" t="str">
        <f>VLOOKUP($B2781,'D7 - NDB Impacted SPRF''s'!$E$16:$O$9929,3,FALSE)</f>
        <v>UnitedHealthcare Employer &amp; Individual</v>
      </c>
      <c r="AD2781" s="380" t="str">
        <f>VLOOKUP($B2781,'D7 - NDB Impacted SPRF''s'!$E$16:$O$9929,5,FALSE)</f>
        <v>Operational Requirements</v>
      </c>
      <c r="AE2781" s="380" t="str">
        <f>VLOOKUP($B2781,'D7 - NDB Impacted SPRF''s'!$E$16:$O$9929,7,FALSE)</f>
        <v>Randy Jacob</v>
      </c>
      <c r="AF2781" s="380" t="str">
        <f>VLOOKUP($B2781,'D7 - NDB Impacted SPRF''s'!$E$16:$O$9929,6,FALSE)</f>
        <v>DINAN JIANG</v>
      </c>
      <c r="AG2781" s="282"/>
      <c r="AH2781" s="311" t="e">
        <f>INDEX('D5 - Gatekeeper - Projects'!$A$4:$AF$1010,$AM2781, 17)</f>
        <v>#N/A</v>
      </c>
      <c r="AI2781" s="8"/>
      <c r="AJ2781" s="57"/>
      <c r="AK2781" s="105"/>
      <c r="AM2781" s="6" t="e">
        <f>MATCH(D2781,'D5 - Gatekeeper - Projects'!$C$4:$C$1010,0)</f>
        <v>#N/A</v>
      </c>
      <c r="AN2781" s="6" t="b">
        <f t="shared" si="286"/>
        <v>1</v>
      </c>
      <c r="AO2781" s="6" t="str">
        <f t="shared" si="287"/>
        <v>OK</v>
      </c>
      <c r="AQ2781" s="6" t="e">
        <f>MATCH($D2781,'D4 - Provider Council Unsched'!$C$11:$C$234,0)</f>
        <v>#N/A</v>
      </c>
      <c r="AR2781" s="6" t="b">
        <f t="shared" si="288"/>
        <v>1</v>
      </c>
      <c r="AS2781" s="6" t="str">
        <f t="shared" si="289"/>
        <v>OK</v>
      </c>
      <c r="AU2781" s="202"/>
      <c r="AV2781" s="262"/>
      <c r="AW2781" s="274"/>
    </row>
    <row r="2782" spans="1:49" s="13" customFormat="1" ht="33.75" x14ac:dyDescent="0.2">
      <c r="A2782" s="14">
        <v>2758</v>
      </c>
      <c r="B2782" s="14">
        <v>400021307</v>
      </c>
      <c r="C2782" s="8" t="s">
        <v>5197</v>
      </c>
      <c r="D2782" s="4" t="str">
        <f t="shared" si="290"/>
        <v>400021307R1</v>
      </c>
      <c r="E2782" s="309" t="str">
        <f>VLOOKUP($B2782,'D7 - NDB Impacted SPRF''s'!$E$6:$O$9929,2,FALSE)</f>
        <v>NHP Claims Processing on United Platform</v>
      </c>
      <c r="F2782" s="8" t="s">
        <v>3248</v>
      </c>
      <c r="G2782" s="8" t="s">
        <v>4758</v>
      </c>
      <c r="H2782" s="8" t="s">
        <v>2870</v>
      </c>
      <c r="I2782" s="20"/>
      <c r="J2782" s="8"/>
      <c r="K2782" s="182"/>
      <c r="L2782" s="8" t="s">
        <v>4156</v>
      </c>
      <c r="M2782" s="8" t="s">
        <v>2814</v>
      </c>
      <c r="N2782" s="38" t="s">
        <v>4651</v>
      </c>
      <c r="O2782" s="8"/>
      <c r="P2782" s="4" t="str">
        <f>VLOOKUP($B2782,'D7 - NDB Impacted SPRF''s'!$E$16:$O$9929,9,FALSE)</f>
        <v>Y</v>
      </c>
      <c r="Q2782" s="4" t="str">
        <f>VLOOKUP($B2782,'D7 - NDB Impacted SPRF''s'!$E$16:$O$9929,10,FALSE)</f>
        <v>N</v>
      </c>
      <c r="R2782" s="4" t="str">
        <f>VLOOKUP($B2782,'D7 - NDB Impacted SPRF''s'!$E$16:$O$9929,11,FALSE)</f>
        <v>N</v>
      </c>
      <c r="S2782" s="8"/>
      <c r="T2782" s="310"/>
      <c r="U2782" s="310"/>
      <c r="V2782" s="4"/>
      <c r="W2782" s="4"/>
      <c r="X2782" s="4"/>
      <c r="Y2782" s="4"/>
      <c r="Z2782" s="4"/>
      <c r="AA2782" s="4"/>
      <c r="AB2782" s="380" t="str">
        <f>VLOOKUP($B2782,'D7 - NDB Impacted SPRF''s'!$E$16:$O$9929,4,FALSE)</f>
        <v>Cancelled</v>
      </c>
      <c r="AC2782" s="380" t="str">
        <f>VLOOKUP($B2782,'D7 - NDB Impacted SPRF''s'!$E$16:$O$9929,3,FALSE)</f>
        <v>UnitedHealthcare Employer &amp; Individual</v>
      </c>
      <c r="AD2782" s="380" t="str">
        <f>VLOOKUP($B2782,'D7 - NDB Impacted SPRF''s'!$E$16:$O$9929,5,FALSE)</f>
        <v>Integration Requirements</v>
      </c>
      <c r="AE2782" s="380" t="str">
        <f>VLOOKUP($B2782,'D7 - NDB Impacted SPRF''s'!$E$16:$O$9929,7,FALSE)</f>
        <v>Diane Schofield</v>
      </c>
      <c r="AF2782" s="380" t="str">
        <f>VLOOKUP($B2782,'D7 - NDB Impacted SPRF''s'!$E$16:$O$9929,6,FALSE)</f>
        <v>KIMBERLY ALEXANDER</v>
      </c>
      <c r="AG2782" s="282"/>
      <c r="AH2782" s="311" t="e">
        <f>INDEX('D5 - Gatekeeper - Projects'!$A$4:$AF$1010,$AM2782, 17)</f>
        <v>#N/A</v>
      </c>
      <c r="AI2782" s="8"/>
      <c r="AJ2782" s="57"/>
      <c r="AK2782" s="105"/>
      <c r="AM2782" s="6" t="e">
        <f>MATCH(D2782,'D5 - Gatekeeper - Projects'!$C$4:$C$1010,0)</f>
        <v>#N/A</v>
      </c>
      <c r="AN2782" s="6" t="b">
        <f t="shared" si="286"/>
        <v>1</v>
      </c>
      <c r="AO2782" s="6" t="str">
        <f t="shared" si="287"/>
        <v>OK</v>
      </c>
      <c r="AQ2782" s="6" t="e">
        <f>MATCH($D2782,'D4 - Provider Council Unsched'!$C$11:$C$234,0)</f>
        <v>#N/A</v>
      </c>
      <c r="AR2782" s="6" t="b">
        <f t="shared" si="288"/>
        <v>1</v>
      </c>
      <c r="AS2782" s="6" t="str">
        <f t="shared" si="289"/>
        <v>OK</v>
      </c>
      <c r="AU2782" s="202"/>
      <c r="AV2782" s="262"/>
      <c r="AW2782" s="274"/>
    </row>
    <row r="2783" spans="1:49" s="13" customFormat="1" ht="33.75" x14ac:dyDescent="0.2">
      <c r="A2783" s="14">
        <v>2759</v>
      </c>
      <c r="B2783" s="14">
        <v>400021333</v>
      </c>
      <c r="C2783" s="8" t="s">
        <v>5197</v>
      </c>
      <c r="D2783" s="4" t="str">
        <f t="shared" si="290"/>
        <v>400021333R1</v>
      </c>
      <c r="E2783" s="309" t="str">
        <f>VLOOKUP($B2783,'D7 - NDB Impacted SPRF''s'!$E$6:$O$9929,2,FALSE)</f>
        <v>Enhance Duplicate/Mismatch Logic in NDB</v>
      </c>
      <c r="F2783" s="8" t="s">
        <v>2114</v>
      </c>
      <c r="G2783" s="8" t="s">
        <v>4758</v>
      </c>
      <c r="H2783" s="8" t="s">
        <v>2870</v>
      </c>
      <c r="I2783" s="20">
        <f>5519/160</f>
        <v>34.493749999999999</v>
      </c>
      <c r="J2783" s="8" t="s">
        <v>4862</v>
      </c>
      <c r="K2783" s="182"/>
      <c r="L2783" s="8" t="s">
        <v>4156</v>
      </c>
      <c r="M2783" s="8" t="s">
        <v>2814</v>
      </c>
      <c r="N2783" s="38" t="s">
        <v>7479</v>
      </c>
      <c r="O2783" s="8"/>
      <c r="P2783" s="4" t="str">
        <f>VLOOKUP($B2783,'D7 - NDB Impacted SPRF''s'!$E$16:$O$9929,9,FALSE)</f>
        <v>N</v>
      </c>
      <c r="Q2783" s="4" t="str">
        <f>VLOOKUP($B2783,'D7 - NDB Impacted SPRF''s'!$E$16:$O$9929,10,FALSE)</f>
        <v>N</v>
      </c>
      <c r="R2783" s="4" t="str">
        <f>VLOOKUP($B2783,'D7 - NDB Impacted SPRF''s'!$E$16:$O$9929,11,FALSE)</f>
        <v>Y</v>
      </c>
      <c r="S2783" s="8"/>
      <c r="T2783" s="310"/>
      <c r="U2783" s="310"/>
      <c r="V2783" s="4"/>
      <c r="W2783" s="4"/>
      <c r="X2783" s="4"/>
      <c r="Y2783" s="4"/>
      <c r="Z2783" s="4"/>
      <c r="AA2783" s="4"/>
      <c r="AB2783" s="380" t="str">
        <f>VLOOKUP($B2783,'D7 - NDB Impacted SPRF''s'!$E$16:$O$9929,4,FALSE)</f>
        <v>Cancelled</v>
      </c>
      <c r="AC2783" s="380" t="str">
        <f>VLOOKUP($B2783,'D7 - NDB Impacted SPRF''s'!$E$16:$O$9929,3,FALSE)</f>
        <v>UnitedHealthcare Employer &amp; Individual</v>
      </c>
      <c r="AD2783" s="380" t="str">
        <f>VLOOKUP($B2783,'D7 - NDB Impacted SPRF''s'!$E$16:$O$9929,5,FALSE)</f>
        <v>Medical Cost Savings Programs</v>
      </c>
      <c r="AE2783" s="380" t="str">
        <f>VLOOKUP($B2783,'D7 - NDB Impacted SPRF''s'!$E$16:$O$9929,7,FALSE)</f>
        <v>Tim Kaja</v>
      </c>
      <c r="AF2783" s="380" t="str">
        <f>VLOOKUP($B2783,'D7 - NDB Impacted SPRF''s'!$E$16:$O$9929,6,FALSE)</f>
        <v>CHERYL STAUFFER</v>
      </c>
      <c r="AG2783" s="282"/>
      <c r="AH2783" s="311" t="e">
        <f>INDEX('D5 - Gatekeeper - Projects'!$A$4:$AF$1010,$AM2783, 17)</f>
        <v>#N/A</v>
      </c>
      <c r="AI2783" s="8"/>
      <c r="AJ2783" s="57"/>
      <c r="AK2783" s="105"/>
      <c r="AM2783" s="6" t="e">
        <f>MATCH(D2783,'D5 - Gatekeeper - Projects'!$C$4:$C$1010,0)</f>
        <v>#N/A</v>
      </c>
      <c r="AN2783" s="6" t="b">
        <f t="shared" si="286"/>
        <v>1</v>
      </c>
      <c r="AO2783" s="6" t="str">
        <f t="shared" si="287"/>
        <v>OK</v>
      </c>
      <c r="AQ2783" s="6" t="e">
        <f>MATCH($D2783,'D4 - Provider Council Unsched'!$C$11:$C$234,0)</f>
        <v>#N/A</v>
      </c>
      <c r="AR2783" s="6" t="b">
        <f t="shared" si="288"/>
        <v>1</v>
      </c>
      <c r="AS2783" s="6" t="str">
        <f t="shared" si="289"/>
        <v>OK</v>
      </c>
      <c r="AU2783" s="202"/>
      <c r="AV2783" s="262"/>
      <c r="AW2783" s="274"/>
    </row>
    <row r="2784" spans="1:49" s="13" customFormat="1" ht="33.75" x14ac:dyDescent="0.2">
      <c r="A2784" s="14">
        <v>2760</v>
      </c>
      <c r="B2784" s="14">
        <v>400021334</v>
      </c>
      <c r="C2784" s="8" t="s">
        <v>5197</v>
      </c>
      <c r="D2784" s="4" t="str">
        <f t="shared" si="290"/>
        <v>400021334R1</v>
      </c>
      <c r="E2784" s="309" t="str">
        <f>VLOOKUP($B2784,'D7 - NDB Impacted SPRF''s'!$E$6:$O$9929,2,FALSE)</f>
        <v>Integrate NPI into Provider Pick Logic</v>
      </c>
      <c r="F2784" s="8" t="s">
        <v>2114</v>
      </c>
      <c r="G2784" s="8" t="s">
        <v>4758</v>
      </c>
      <c r="H2784" s="8" t="s">
        <v>2870</v>
      </c>
      <c r="I2784" s="20">
        <v>10.050000000000001</v>
      </c>
      <c r="J2784" s="8" t="s">
        <v>4862</v>
      </c>
      <c r="K2784" s="182"/>
      <c r="L2784" s="8" t="s">
        <v>4156</v>
      </c>
      <c r="M2784" s="8" t="s">
        <v>2814</v>
      </c>
      <c r="N2784" s="38" t="s">
        <v>7479</v>
      </c>
      <c r="O2784" s="8"/>
      <c r="P2784" s="4" t="str">
        <f>VLOOKUP($B2784,'D7 - NDB Impacted SPRF''s'!$E$16:$O$9929,9,FALSE)</f>
        <v>Y</v>
      </c>
      <c r="Q2784" s="4" t="str">
        <f>VLOOKUP($B2784,'D7 - NDB Impacted SPRF''s'!$E$16:$O$9929,10,FALSE)</f>
        <v>N</v>
      </c>
      <c r="R2784" s="4" t="str">
        <f>VLOOKUP($B2784,'D7 - NDB Impacted SPRF''s'!$E$16:$O$9929,11,FALSE)</f>
        <v>Y</v>
      </c>
      <c r="S2784" s="8"/>
      <c r="T2784" s="310"/>
      <c r="U2784" s="310"/>
      <c r="V2784" s="4"/>
      <c r="W2784" s="4"/>
      <c r="X2784" s="4"/>
      <c r="Y2784" s="4"/>
      <c r="Z2784" s="4"/>
      <c r="AA2784" s="4"/>
      <c r="AB2784" s="380" t="str">
        <f>VLOOKUP($B2784,'D7 - NDB Impacted SPRF''s'!$E$16:$O$9929,4,FALSE)</f>
        <v>Cancelled</v>
      </c>
      <c r="AC2784" s="380" t="str">
        <f>VLOOKUP($B2784,'D7 - NDB Impacted SPRF''s'!$E$16:$O$9929,3,FALSE)</f>
        <v>UnitedHealthcare Employer &amp; Individual</v>
      </c>
      <c r="AD2784" s="380" t="str">
        <f>VLOOKUP($B2784,'D7 - NDB Impacted SPRF''s'!$E$16:$O$9929,5,FALSE)</f>
        <v>Medical Cost Savings Programs</v>
      </c>
      <c r="AE2784" s="380" t="str">
        <f>VLOOKUP($B2784,'D7 - NDB Impacted SPRF''s'!$E$16:$O$9929,7,FALSE)</f>
        <v>Tim Kaja</v>
      </c>
      <c r="AF2784" s="380" t="str">
        <f>VLOOKUP($B2784,'D7 - NDB Impacted SPRF''s'!$E$16:$O$9929,6,FALSE)</f>
        <v>CHERYL STAUFFER</v>
      </c>
      <c r="AG2784" s="282"/>
      <c r="AH2784" s="311" t="e">
        <f>INDEX('D5 - Gatekeeper - Projects'!$A$4:$AF$1010,$AM2784, 17)</f>
        <v>#N/A</v>
      </c>
      <c r="AI2784" s="8"/>
      <c r="AJ2784" s="57"/>
      <c r="AK2784" s="105"/>
      <c r="AM2784" s="6" t="e">
        <f>MATCH(D2784,'D5 - Gatekeeper - Projects'!$C$4:$C$1010,0)</f>
        <v>#N/A</v>
      </c>
      <c r="AN2784" s="6" t="b">
        <f t="shared" si="286"/>
        <v>1</v>
      </c>
      <c r="AO2784" s="6" t="str">
        <f t="shared" si="287"/>
        <v>OK</v>
      </c>
      <c r="AQ2784" s="6" t="e">
        <f>MATCH($D2784,'D4 - Provider Council Unsched'!$C$11:$C$234,0)</f>
        <v>#N/A</v>
      </c>
      <c r="AR2784" s="6" t="b">
        <f t="shared" si="288"/>
        <v>1</v>
      </c>
      <c r="AS2784" s="6" t="str">
        <f t="shared" si="289"/>
        <v>OK</v>
      </c>
      <c r="AU2784" s="202"/>
      <c r="AV2784" s="262"/>
      <c r="AW2784" s="274"/>
    </row>
    <row r="2785" spans="1:49" s="13" customFormat="1" x14ac:dyDescent="0.2">
      <c r="A2785" s="14">
        <v>2761</v>
      </c>
      <c r="B2785" s="14">
        <v>400021390</v>
      </c>
      <c r="C2785" s="8" t="s">
        <v>5197</v>
      </c>
      <c r="D2785" s="4" t="str">
        <f t="shared" si="290"/>
        <v>400021390R1</v>
      </c>
      <c r="E2785" s="309" t="e">
        <f>VLOOKUP($B2785,'D7 - NDB Impacted SPRF''s'!$E$6:$O$9929,2,FALSE)</f>
        <v>#N/A</v>
      </c>
      <c r="F2785" s="8" t="s">
        <v>2114</v>
      </c>
      <c r="G2785" s="8" t="s">
        <v>4758</v>
      </c>
      <c r="H2785" s="8" t="s">
        <v>2870</v>
      </c>
      <c r="I2785" s="20"/>
      <c r="J2785" s="8"/>
      <c r="K2785" s="182"/>
      <c r="L2785" s="8" t="s">
        <v>4156</v>
      </c>
      <c r="M2785" s="8" t="s">
        <v>2814</v>
      </c>
      <c r="N2785" s="38" t="s">
        <v>4798</v>
      </c>
      <c r="O2785" s="8"/>
      <c r="P2785" s="4" t="e">
        <f>VLOOKUP($B2785,'D7 - NDB Impacted SPRF''s'!$E$16:$O$9929,9,FALSE)</f>
        <v>#N/A</v>
      </c>
      <c r="Q2785" s="4" t="e">
        <f>VLOOKUP($B2785,'D7 - NDB Impacted SPRF''s'!$E$16:$O$9929,10,FALSE)</f>
        <v>#N/A</v>
      </c>
      <c r="R2785" s="4" t="e">
        <f>VLOOKUP($B2785,'D7 - NDB Impacted SPRF''s'!$E$16:$O$9929,11,FALSE)</f>
        <v>#N/A</v>
      </c>
      <c r="S2785" s="8"/>
      <c r="T2785" s="310"/>
      <c r="U2785" s="310"/>
      <c r="V2785" s="4"/>
      <c r="W2785" s="4"/>
      <c r="X2785" s="4"/>
      <c r="Y2785" s="4"/>
      <c r="Z2785" s="4"/>
      <c r="AA2785" s="4"/>
      <c r="AB2785" s="380" t="e">
        <f>VLOOKUP($B2785,'D7 - NDB Impacted SPRF''s'!$E$16:$O$9929,4,FALSE)</f>
        <v>#N/A</v>
      </c>
      <c r="AC2785" s="380" t="e">
        <f>VLOOKUP($B2785,'D7 - NDB Impacted SPRF''s'!$E$16:$O$9929,3,FALSE)</f>
        <v>#N/A</v>
      </c>
      <c r="AD2785" s="380" t="e">
        <f>VLOOKUP($B2785,'D7 - NDB Impacted SPRF''s'!$E$16:$O$9929,5,FALSE)</f>
        <v>#N/A</v>
      </c>
      <c r="AE2785" s="380" t="e">
        <f>VLOOKUP($B2785,'D7 - NDB Impacted SPRF''s'!$E$16:$O$9929,7,FALSE)</f>
        <v>#N/A</v>
      </c>
      <c r="AF2785" s="380" t="e">
        <f>VLOOKUP($B2785,'D7 - NDB Impacted SPRF''s'!$E$16:$O$9929,6,FALSE)</f>
        <v>#N/A</v>
      </c>
      <c r="AG2785" s="282"/>
      <c r="AH2785" s="311" t="e">
        <f>INDEX('D5 - Gatekeeper - Projects'!$A$4:$AF$1010,$AM2785, 17)</f>
        <v>#N/A</v>
      </c>
      <c r="AI2785" s="8"/>
      <c r="AJ2785" s="57"/>
      <c r="AK2785" s="105"/>
      <c r="AM2785" s="6" t="e">
        <f>MATCH(D2785,'D5 - Gatekeeper - Projects'!$C$4:$C$1010,0)</f>
        <v>#N/A</v>
      </c>
      <c r="AN2785" s="6" t="b">
        <f t="shared" si="286"/>
        <v>1</v>
      </c>
      <c r="AO2785" s="6" t="str">
        <f t="shared" si="287"/>
        <v>OK</v>
      </c>
      <c r="AQ2785" s="6" t="e">
        <f>MATCH($D2785,'D4 - Provider Council Unsched'!$C$11:$C$234,0)</f>
        <v>#N/A</v>
      </c>
      <c r="AR2785" s="6" t="b">
        <f t="shared" si="288"/>
        <v>1</v>
      </c>
      <c r="AS2785" s="6" t="str">
        <f t="shared" si="289"/>
        <v>OK</v>
      </c>
      <c r="AU2785" s="202"/>
      <c r="AV2785" s="262"/>
      <c r="AW2785" s="274"/>
    </row>
    <row r="2786" spans="1:49" s="13" customFormat="1" ht="33.75" x14ac:dyDescent="0.2">
      <c r="A2786" s="14">
        <v>2762</v>
      </c>
      <c r="B2786" s="14">
        <v>400021411</v>
      </c>
      <c r="C2786" s="8" t="s">
        <v>5197</v>
      </c>
      <c r="D2786" s="4" t="str">
        <f t="shared" si="290"/>
        <v>400021411R1</v>
      </c>
      <c r="E2786" s="309" t="str">
        <f>VLOOKUP($B2786,'D7 - NDB Impacted SPRF''s'!$E$6:$O$9929,2,FALSE)</f>
        <v>EPDE/EPDL 'Job-On-Demand' Queue</v>
      </c>
      <c r="F2786" s="8" t="s">
        <v>2114</v>
      </c>
      <c r="G2786" s="8" t="s">
        <v>4758</v>
      </c>
      <c r="H2786" s="8" t="s">
        <v>2870</v>
      </c>
      <c r="I2786" s="20">
        <f>910/150</f>
        <v>6.0666666666666664</v>
      </c>
      <c r="J2786" s="8" t="s">
        <v>4862</v>
      </c>
      <c r="K2786" s="182"/>
      <c r="L2786" s="8" t="s">
        <v>4156</v>
      </c>
      <c r="M2786" s="8" t="s">
        <v>2814</v>
      </c>
      <c r="N2786" s="38" t="s">
        <v>4750</v>
      </c>
      <c r="O2786" s="8"/>
      <c r="P2786" s="4" t="str">
        <f>VLOOKUP($B2786,'D7 - NDB Impacted SPRF''s'!$E$16:$O$9929,9,FALSE)</f>
        <v>N</v>
      </c>
      <c r="Q2786" s="4" t="str">
        <f>VLOOKUP($B2786,'D7 - NDB Impacted SPRF''s'!$E$16:$O$9929,10,FALSE)</f>
        <v>N</v>
      </c>
      <c r="R2786" s="4" t="str">
        <f>VLOOKUP($B2786,'D7 - NDB Impacted SPRF''s'!$E$16:$O$9929,11,FALSE)</f>
        <v>N</v>
      </c>
      <c r="S2786" s="8"/>
      <c r="T2786" s="310"/>
      <c r="U2786" s="310"/>
      <c r="V2786" s="4"/>
      <c r="W2786" s="4"/>
      <c r="X2786" s="4"/>
      <c r="Y2786" s="4"/>
      <c r="Z2786" s="4"/>
      <c r="AA2786" s="4"/>
      <c r="AB2786" s="380" t="str">
        <f>VLOOKUP($B2786,'D7 - NDB Impacted SPRF''s'!$E$16:$O$9929,4,FALSE)</f>
        <v>Cancelled</v>
      </c>
      <c r="AC2786" s="380" t="str">
        <f>VLOOKUP($B2786,'D7 - NDB Impacted SPRF''s'!$E$16:$O$9929,3,FALSE)</f>
        <v>UnitedHealthcare Employer &amp; Individual</v>
      </c>
      <c r="AD2786" s="380" t="str">
        <f>VLOOKUP($B2786,'D7 - NDB Impacted SPRF''s'!$E$16:$O$9929,5,FALSE)</f>
        <v>Integration Requirements</v>
      </c>
      <c r="AE2786" s="380" t="str">
        <f>VLOOKUP($B2786,'D7 - NDB Impacted SPRF''s'!$E$16:$O$9929,7,FALSE)</f>
        <v>Tim Kaja</v>
      </c>
      <c r="AF2786" s="380" t="str">
        <f>VLOOKUP($B2786,'D7 - NDB Impacted SPRF''s'!$E$16:$O$9929,6,FALSE)</f>
        <v>MARCIA MONACO</v>
      </c>
      <c r="AG2786" s="282"/>
      <c r="AH2786" s="311" t="e">
        <f>INDEX('D5 - Gatekeeper - Projects'!$A$4:$AF$1010,$AM2786, 17)</f>
        <v>#N/A</v>
      </c>
      <c r="AI2786" s="8"/>
      <c r="AJ2786" s="57"/>
      <c r="AK2786" s="105"/>
      <c r="AM2786" s="6" t="e">
        <f>MATCH(D2786,'D5 - Gatekeeper - Projects'!$C$4:$C$1010,0)</f>
        <v>#N/A</v>
      </c>
      <c r="AN2786" s="6" t="b">
        <f t="shared" si="286"/>
        <v>1</v>
      </c>
      <c r="AO2786" s="6" t="str">
        <f t="shared" si="287"/>
        <v>OK</v>
      </c>
      <c r="AQ2786" s="6" t="e">
        <f>MATCH($D2786,'D4 - Provider Council Unsched'!$C$11:$C$234,0)</f>
        <v>#N/A</v>
      </c>
      <c r="AR2786" s="6" t="b">
        <f t="shared" si="288"/>
        <v>1</v>
      </c>
      <c r="AS2786" s="6" t="str">
        <f t="shared" si="289"/>
        <v>OK</v>
      </c>
      <c r="AU2786" s="202"/>
      <c r="AV2786" s="262"/>
      <c r="AW2786" s="274"/>
    </row>
    <row r="2787" spans="1:49" s="13" customFormat="1" ht="33.75" x14ac:dyDescent="0.2">
      <c r="A2787" s="14">
        <v>2763</v>
      </c>
      <c r="B2787" s="14">
        <v>400021423</v>
      </c>
      <c r="C2787" s="8" t="s">
        <v>5197</v>
      </c>
      <c r="D2787" s="4" t="str">
        <f t="shared" si="290"/>
        <v>400021423R1</v>
      </c>
      <c r="E2787" s="309" t="str">
        <f>VLOOKUP($B2787,'D7 - NDB Impacted SPRF''s'!$E$6:$O$9929,2,FALSE)</f>
        <v>COSMOS Fee Schedule Rewrite-Postponed from 4-10173</v>
      </c>
      <c r="F2787" s="8" t="s">
        <v>2114</v>
      </c>
      <c r="G2787" s="8" t="s">
        <v>4758</v>
      </c>
      <c r="H2787" s="8" t="s">
        <v>2870</v>
      </c>
      <c r="I2787" s="20">
        <f>1148/160</f>
        <v>7.1749999999999998</v>
      </c>
      <c r="J2787" s="8" t="s">
        <v>4862</v>
      </c>
      <c r="K2787" s="182"/>
      <c r="L2787" s="8" t="s">
        <v>4156</v>
      </c>
      <c r="M2787" s="8" t="s">
        <v>2814</v>
      </c>
      <c r="N2787" s="38" t="s">
        <v>4750</v>
      </c>
      <c r="O2787" s="8"/>
      <c r="P2787" s="4" t="str">
        <f>VLOOKUP($B2787,'D7 - NDB Impacted SPRF''s'!$E$16:$O$9929,9,FALSE)</f>
        <v>N</v>
      </c>
      <c r="Q2787" s="4" t="str">
        <f>VLOOKUP($B2787,'D7 - NDB Impacted SPRF''s'!$E$16:$O$9929,10,FALSE)</f>
        <v>N</v>
      </c>
      <c r="R2787" s="4" t="str">
        <f>VLOOKUP($B2787,'D7 - NDB Impacted SPRF''s'!$E$16:$O$9929,11,FALSE)</f>
        <v>N</v>
      </c>
      <c r="S2787" s="8"/>
      <c r="T2787" s="310"/>
      <c r="U2787" s="310"/>
      <c r="V2787" s="4"/>
      <c r="W2787" s="4"/>
      <c r="X2787" s="4"/>
      <c r="Y2787" s="4"/>
      <c r="Z2787" s="4"/>
      <c r="AA2787" s="4"/>
      <c r="AB2787" s="380" t="str">
        <f>VLOOKUP($B2787,'D7 - NDB Impacted SPRF''s'!$E$16:$O$9929,4,FALSE)</f>
        <v>Cancelled</v>
      </c>
      <c r="AC2787" s="380" t="str">
        <f>VLOOKUP($B2787,'D7 - NDB Impacted SPRF''s'!$E$16:$O$9929,3,FALSE)</f>
        <v>UnitedHealthcare Employer &amp; Individual</v>
      </c>
      <c r="AD2787" s="380" t="str">
        <f>VLOOKUP($B2787,'D7 - NDB Impacted SPRF''s'!$E$16:$O$9929,5,FALSE)</f>
        <v>Medical Cost Savings Programs</v>
      </c>
      <c r="AE2787" s="380" t="str">
        <f>VLOOKUP($B2787,'D7 - NDB Impacted SPRF''s'!$E$16:$O$9929,7,FALSE)</f>
        <v xml:space="preserve">Matt Guisinger </v>
      </c>
      <c r="AF2787" s="380" t="str">
        <f>VLOOKUP($B2787,'D7 - NDB Impacted SPRF''s'!$E$16:$O$9929,6,FALSE)</f>
        <v>JOHN HIEBERT</v>
      </c>
      <c r="AG2787" s="282"/>
      <c r="AH2787" s="311" t="e">
        <f>INDEX('D5 - Gatekeeper - Projects'!$A$4:$AF$1010,$AM2787, 17)</f>
        <v>#N/A</v>
      </c>
      <c r="AI2787" s="8"/>
      <c r="AJ2787" s="57"/>
      <c r="AK2787" s="105"/>
      <c r="AM2787" s="6" t="e">
        <f>MATCH(D2787,'D5 - Gatekeeper - Projects'!$C$4:$C$1010,0)</f>
        <v>#N/A</v>
      </c>
      <c r="AN2787" s="6" t="b">
        <f t="shared" si="286"/>
        <v>1</v>
      </c>
      <c r="AO2787" s="6" t="str">
        <f t="shared" si="287"/>
        <v>OK</v>
      </c>
      <c r="AQ2787" s="6" t="e">
        <f>MATCH($D2787,'D4 - Provider Council Unsched'!$C$11:$C$234,0)</f>
        <v>#N/A</v>
      </c>
      <c r="AR2787" s="6" t="b">
        <f t="shared" si="288"/>
        <v>1</v>
      </c>
      <c r="AS2787" s="6" t="str">
        <f t="shared" si="289"/>
        <v>OK</v>
      </c>
      <c r="AU2787" s="202"/>
      <c r="AV2787" s="262"/>
      <c r="AW2787" s="274"/>
    </row>
    <row r="2788" spans="1:49" s="13" customFormat="1" ht="33.75" x14ac:dyDescent="0.2">
      <c r="A2788" s="14">
        <v>2764</v>
      </c>
      <c r="B2788" s="14">
        <v>400021424</v>
      </c>
      <c r="C2788" s="8" t="s">
        <v>5197</v>
      </c>
      <c r="D2788" s="4" t="str">
        <f t="shared" si="290"/>
        <v>400021424R1</v>
      </c>
      <c r="E2788" s="309" t="str">
        <f>VLOOKUP($B2788,'D7 - NDB Impacted SPRF''s'!$E$6:$O$9929,2,FALSE)</f>
        <v>TSO File/UHN Reporting Tool Alignment</v>
      </c>
      <c r="F2788" s="8" t="s">
        <v>2114</v>
      </c>
      <c r="G2788" s="8" t="s">
        <v>4758</v>
      </c>
      <c r="H2788" s="8" t="s">
        <v>2870</v>
      </c>
      <c r="I2788" s="20"/>
      <c r="J2788" s="8"/>
      <c r="K2788" s="182"/>
      <c r="L2788" s="8" t="s">
        <v>4156</v>
      </c>
      <c r="M2788" s="8" t="s">
        <v>6007</v>
      </c>
      <c r="N2788" s="38"/>
      <c r="O2788" s="8"/>
      <c r="P2788" s="4" t="str">
        <f>VLOOKUP($B2788,'D7 - NDB Impacted SPRF''s'!$E$16:$O$9929,9,FALSE)</f>
        <v>N</v>
      </c>
      <c r="Q2788" s="4" t="str">
        <f>VLOOKUP($B2788,'D7 - NDB Impacted SPRF''s'!$E$16:$O$9929,10,FALSE)</f>
        <v>N</v>
      </c>
      <c r="R2788" s="4" t="str">
        <f>VLOOKUP($B2788,'D7 - NDB Impacted SPRF''s'!$E$16:$O$9929,11,FALSE)</f>
        <v>N</v>
      </c>
      <c r="S2788" s="8"/>
      <c r="T2788" s="310"/>
      <c r="U2788" s="310"/>
      <c r="V2788" s="4"/>
      <c r="W2788" s="4"/>
      <c r="X2788" s="4"/>
      <c r="Y2788" s="4"/>
      <c r="Z2788" s="4"/>
      <c r="AA2788" s="4"/>
      <c r="AB2788" s="380" t="str">
        <f>VLOOKUP($B2788,'D7 - NDB Impacted SPRF''s'!$E$16:$O$9929,4,FALSE)</f>
        <v>Cancelled</v>
      </c>
      <c r="AC2788" s="380" t="str">
        <f>VLOOKUP($B2788,'D7 - NDB Impacted SPRF''s'!$E$16:$O$9929,3,FALSE)</f>
        <v>UnitedHealthcare Employer &amp; Individual</v>
      </c>
      <c r="AD2788" s="380" t="str">
        <f>VLOOKUP($B2788,'D7 - NDB Impacted SPRF''s'!$E$16:$O$9929,5,FALSE)</f>
        <v>Network Growth / Enhancements</v>
      </c>
      <c r="AE2788" s="380" t="str">
        <f>VLOOKUP($B2788,'D7 - NDB Impacted SPRF''s'!$E$16:$O$9929,7,FALSE)</f>
        <v>Pamela Stahl</v>
      </c>
      <c r="AF2788" s="380" t="str">
        <f>VLOOKUP($B2788,'D7 - NDB Impacted SPRF''s'!$E$16:$O$9929,6,FALSE)</f>
        <v>JOHN HIEBERT</v>
      </c>
      <c r="AG2788" s="282"/>
      <c r="AH2788" s="311" t="e">
        <f>INDEX('D5 - Gatekeeper - Projects'!$A$4:$AF$1010,$AM2788, 17)</f>
        <v>#N/A</v>
      </c>
      <c r="AI2788" s="8"/>
      <c r="AJ2788" s="57"/>
      <c r="AK2788" s="105"/>
      <c r="AM2788" s="6" t="e">
        <f>MATCH(D2788,'D5 - Gatekeeper - Projects'!$C$4:$C$1010,0)</f>
        <v>#N/A</v>
      </c>
      <c r="AN2788" s="6" t="b">
        <f t="shared" si="286"/>
        <v>1</v>
      </c>
      <c r="AO2788" s="6" t="str">
        <f t="shared" si="287"/>
        <v>OK</v>
      </c>
      <c r="AQ2788" s="6" t="e">
        <f>MATCH($D2788,'D4 - Provider Council Unsched'!$C$11:$C$234,0)</f>
        <v>#N/A</v>
      </c>
      <c r="AR2788" s="6" t="b">
        <f t="shared" si="288"/>
        <v>1</v>
      </c>
      <c r="AS2788" s="6" t="str">
        <f>IF(AND(H2788="2 - Not Scheduled",AR2788=TRUE,C2788="R1"),"Add","OK")</f>
        <v>OK</v>
      </c>
      <c r="AU2788" s="202"/>
      <c r="AV2788" s="262"/>
      <c r="AW2788" s="274"/>
    </row>
    <row r="2789" spans="1:49" s="13" customFormat="1" ht="33.75" x14ac:dyDescent="0.2">
      <c r="A2789" s="14">
        <v>2765</v>
      </c>
      <c r="B2789" s="14">
        <v>400021485</v>
      </c>
      <c r="C2789" s="8" t="s">
        <v>5197</v>
      </c>
      <c r="D2789" s="4" t="str">
        <f t="shared" si="290"/>
        <v>400021485R1</v>
      </c>
      <c r="E2789" s="309" t="str">
        <f>VLOOKUP($B2789,'D7 - NDB Impacted SPRF''s'!$E$6:$O$9929,2,FALSE)</f>
        <v>Seperate TIN Type records</v>
      </c>
      <c r="F2789" s="8" t="s">
        <v>2114</v>
      </c>
      <c r="G2789" s="8" t="s">
        <v>4758</v>
      </c>
      <c r="H2789" s="8" t="s">
        <v>2870</v>
      </c>
      <c r="I2789" s="20">
        <f>350/150</f>
        <v>2.3333333333333335</v>
      </c>
      <c r="J2789" s="8" t="s">
        <v>4862</v>
      </c>
      <c r="K2789" s="182"/>
      <c r="L2789" s="8" t="s">
        <v>4156</v>
      </c>
      <c r="M2789" s="8" t="s">
        <v>6688</v>
      </c>
      <c r="N2789" s="38" t="s">
        <v>4750</v>
      </c>
      <c r="O2789" s="8"/>
      <c r="P2789" s="4" t="str">
        <f>VLOOKUP($B2789,'D7 - NDB Impacted SPRF''s'!$E$16:$O$9929,9,FALSE)</f>
        <v>Y</v>
      </c>
      <c r="Q2789" s="4" t="str">
        <f>VLOOKUP($B2789,'D7 - NDB Impacted SPRF''s'!$E$16:$O$9929,10,FALSE)</f>
        <v>N</v>
      </c>
      <c r="R2789" s="4" t="str">
        <f>VLOOKUP($B2789,'D7 - NDB Impacted SPRF''s'!$E$16:$O$9929,11,FALSE)</f>
        <v>N</v>
      </c>
      <c r="S2789" s="8"/>
      <c r="T2789" s="310"/>
      <c r="U2789" s="310"/>
      <c r="V2789" s="4"/>
      <c r="W2789" s="4"/>
      <c r="X2789" s="4"/>
      <c r="Y2789" s="4"/>
      <c r="Z2789" s="4"/>
      <c r="AA2789" s="4"/>
      <c r="AB2789" s="380" t="str">
        <f>VLOOKUP($B2789,'D7 - NDB Impacted SPRF''s'!$E$16:$O$9929,4,FALSE)</f>
        <v>Cancelled</v>
      </c>
      <c r="AC2789" s="380" t="str">
        <f>VLOOKUP($B2789,'D7 - NDB Impacted SPRF''s'!$E$16:$O$9929,3,FALSE)</f>
        <v>UnitedHealthcare Employer &amp; Individual</v>
      </c>
      <c r="AD2789" s="380" t="str">
        <f>VLOOKUP($B2789,'D7 - NDB Impacted SPRF''s'!$E$16:$O$9929,5,FALSE)</f>
        <v>Process Improvement</v>
      </c>
      <c r="AE2789" s="380" t="str">
        <f>VLOOKUP($B2789,'D7 - NDB Impacted SPRF''s'!$E$16:$O$9929,7,FALSE)</f>
        <v>Corporate Tax Dept</v>
      </c>
      <c r="AF2789" s="380" t="str">
        <f>VLOOKUP($B2789,'D7 - NDB Impacted SPRF''s'!$E$16:$O$9929,6,FALSE)</f>
        <v>JENNIFER RICE</v>
      </c>
      <c r="AG2789" s="282"/>
      <c r="AH2789" s="311" t="e">
        <f>INDEX('D5 - Gatekeeper - Projects'!$A$4:$AF$1010,$AM2789, 17)</f>
        <v>#N/A</v>
      </c>
      <c r="AI2789" s="8"/>
      <c r="AJ2789" s="57"/>
      <c r="AK2789" s="105"/>
      <c r="AM2789" s="6" t="e">
        <f>MATCH(D2789,'D5 - Gatekeeper - Projects'!$C$4:$C$1010,0)</f>
        <v>#N/A</v>
      </c>
      <c r="AN2789" s="6" t="b">
        <f t="shared" si="286"/>
        <v>1</v>
      </c>
      <c r="AO2789" s="6" t="str">
        <f t="shared" si="287"/>
        <v>OK</v>
      </c>
      <c r="AQ2789" s="6" t="e">
        <f>MATCH($D2789,'D4 - Provider Council Unsched'!$C$11:$C$234,0)</f>
        <v>#N/A</v>
      </c>
      <c r="AR2789" s="6" t="b">
        <f t="shared" si="288"/>
        <v>1</v>
      </c>
      <c r="AS2789" s="6" t="str">
        <f t="shared" ref="AS2789:AS2796" si="291">IF(AND(H2789="2 - Not Scheduled",AR2789=TRUE),"Add","OK")</f>
        <v>OK</v>
      </c>
      <c r="AU2789" s="202"/>
      <c r="AV2789" s="262"/>
      <c r="AW2789" s="274"/>
    </row>
    <row r="2790" spans="1:49" s="13" customFormat="1" x14ac:dyDescent="0.2">
      <c r="A2790" s="14">
        <v>2766</v>
      </c>
      <c r="B2790" s="14">
        <v>400021501</v>
      </c>
      <c r="C2790" s="8" t="s">
        <v>5197</v>
      </c>
      <c r="D2790" s="4" t="str">
        <f t="shared" si="290"/>
        <v>400021501R1</v>
      </c>
      <c r="E2790" s="309" t="str">
        <f>VLOOKUP($B2790,'D7 - NDB Impacted SPRF''s'!$E$6:$O$9929,2,FALSE)</f>
        <v>Empire Plan - Outpatient Surgical Locations Report</v>
      </c>
      <c r="F2790" s="8" t="s">
        <v>2114</v>
      </c>
      <c r="G2790" s="8" t="s">
        <v>4758</v>
      </c>
      <c r="H2790" s="8" t="s">
        <v>2870</v>
      </c>
      <c r="I2790" s="20">
        <f>456/160</f>
        <v>2.85</v>
      </c>
      <c r="J2790" s="8" t="s">
        <v>4862</v>
      </c>
      <c r="K2790" s="182"/>
      <c r="L2790" s="8" t="s">
        <v>4156</v>
      </c>
      <c r="M2790" s="8" t="s">
        <v>2814</v>
      </c>
      <c r="N2790" s="38"/>
      <c r="O2790" s="8"/>
      <c r="P2790" s="4" t="str">
        <f>VLOOKUP($B2790,'D7 - NDB Impacted SPRF''s'!$E$16:$O$9929,9,FALSE)</f>
        <v>N</v>
      </c>
      <c r="Q2790" s="4" t="str">
        <f>VLOOKUP($B2790,'D7 - NDB Impacted SPRF''s'!$E$16:$O$9929,10,FALSE)</f>
        <v>N</v>
      </c>
      <c r="R2790" s="4" t="str">
        <f>VLOOKUP($B2790,'D7 - NDB Impacted SPRF''s'!$E$16:$O$9929,11,FALSE)</f>
        <v>N</v>
      </c>
      <c r="S2790" s="8"/>
      <c r="T2790" s="310"/>
      <c r="U2790" s="310"/>
      <c r="V2790" s="4"/>
      <c r="W2790" s="4"/>
      <c r="X2790" s="4"/>
      <c r="Y2790" s="4"/>
      <c r="Z2790" s="4"/>
      <c r="AA2790" s="4"/>
      <c r="AB2790" s="380" t="str">
        <f>VLOOKUP($B2790,'D7 - NDB Impacted SPRF''s'!$E$16:$O$9929,4,FALSE)</f>
        <v>Cancelled</v>
      </c>
      <c r="AC2790" s="380" t="str">
        <f>VLOOKUP($B2790,'D7 - NDB Impacted SPRF''s'!$E$16:$O$9929,3,FALSE)</f>
        <v>Uniprise</v>
      </c>
      <c r="AD2790" s="380" t="str">
        <f>VLOOKUP($B2790,'D7 - NDB Impacted SPRF''s'!$E$16:$O$9929,5,FALSE)</f>
        <v>USS - DDC</v>
      </c>
      <c r="AE2790" s="380" t="str">
        <f>VLOOKUP($B2790,'D7 - NDB Impacted SPRF''s'!$E$16:$O$9929,7,FALSE)</f>
        <v>Michael Costa</v>
      </c>
      <c r="AF2790" s="380" t="str">
        <f>VLOOKUP($B2790,'D7 - NDB Impacted SPRF''s'!$E$16:$O$9929,6,FALSE)</f>
        <v>Laurie Torres</v>
      </c>
      <c r="AG2790" s="282"/>
      <c r="AH2790" s="311" t="e">
        <f>INDEX('D5 - Gatekeeper - Projects'!$A$4:$AF$1010,$AM2790, 17)</f>
        <v>#N/A</v>
      </c>
      <c r="AI2790" s="8"/>
      <c r="AJ2790" s="57"/>
      <c r="AK2790" s="105"/>
      <c r="AM2790" s="6" t="e">
        <f>MATCH(D2790,'D5 - Gatekeeper - Projects'!$C$4:$C$1010,0)</f>
        <v>#N/A</v>
      </c>
      <c r="AN2790" s="6" t="b">
        <f t="shared" si="286"/>
        <v>1</v>
      </c>
      <c r="AO2790" s="6" t="str">
        <f t="shared" si="287"/>
        <v>OK</v>
      </c>
      <c r="AQ2790" s="6" t="e">
        <f>MATCH($D2790,'D4 - Provider Council Unsched'!$C$11:$C$234,0)</f>
        <v>#N/A</v>
      </c>
      <c r="AR2790" s="6" t="b">
        <f t="shared" si="288"/>
        <v>1</v>
      </c>
      <c r="AS2790" s="6" t="str">
        <f t="shared" si="291"/>
        <v>OK</v>
      </c>
      <c r="AU2790" s="202"/>
      <c r="AV2790" s="262"/>
      <c r="AW2790" s="274"/>
    </row>
    <row r="2791" spans="1:49" s="13" customFormat="1" ht="33.75" x14ac:dyDescent="0.2">
      <c r="A2791" s="14">
        <v>2767</v>
      </c>
      <c r="B2791" s="14">
        <v>400021510</v>
      </c>
      <c r="C2791" s="8" t="s">
        <v>5197</v>
      </c>
      <c r="D2791" s="4" t="str">
        <f t="shared" si="290"/>
        <v>400021510R1</v>
      </c>
      <c r="E2791" s="309" t="str">
        <f>VLOOKUP($B2791,'D7 - NDB Impacted SPRF''s'!$E$6:$O$9929,2,FALSE)</f>
        <v>Radiology Accreditation Testing</v>
      </c>
      <c r="F2791" s="8" t="s">
        <v>7989</v>
      </c>
      <c r="G2791" s="8" t="s">
        <v>4758</v>
      </c>
      <c r="H2791" s="8" t="s">
        <v>2870</v>
      </c>
      <c r="I2791" s="20">
        <v>1.07</v>
      </c>
      <c r="J2791" s="8" t="s">
        <v>4862</v>
      </c>
      <c r="K2791" s="182"/>
      <c r="L2791" s="8" t="s">
        <v>4156</v>
      </c>
      <c r="M2791" s="8" t="s">
        <v>5626</v>
      </c>
      <c r="N2791" s="38"/>
      <c r="O2791" s="8"/>
      <c r="P2791" s="4" t="str">
        <f>VLOOKUP($B2791,'D7 - NDB Impacted SPRF''s'!$E$16:$O$9929,9,FALSE)</f>
        <v>Y</v>
      </c>
      <c r="Q2791" s="4" t="str">
        <f>VLOOKUP($B2791,'D7 - NDB Impacted SPRF''s'!$E$16:$O$9929,10,FALSE)</f>
        <v>N</v>
      </c>
      <c r="R2791" s="4" t="str">
        <f>VLOOKUP($B2791,'D7 - NDB Impacted SPRF''s'!$E$16:$O$9929,11,FALSE)</f>
        <v>N</v>
      </c>
      <c r="S2791" s="8"/>
      <c r="T2791" s="310"/>
      <c r="U2791" s="310"/>
      <c r="V2791" s="4"/>
      <c r="W2791" s="4"/>
      <c r="X2791" s="4"/>
      <c r="Y2791" s="4"/>
      <c r="Z2791" s="4"/>
      <c r="AA2791" s="4"/>
      <c r="AB2791" s="380" t="str">
        <f>VLOOKUP($B2791,'D7 - NDB Impacted SPRF''s'!$E$16:$O$9929,4,FALSE)</f>
        <v>Cancelled</v>
      </c>
      <c r="AC2791" s="380" t="str">
        <f>VLOOKUP($B2791,'D7 - NDB Impacted SPRF''s'!$E$16:$O$9929,3,FALSE)</f>
        <v>UnitedHealthcare Employer &amp; Individual</v>
      </c>
      <c r="AD2791" s="380" t="str">
        <f>VLOOKUP($B2791,'D7 - NDB Impacted SPRF''s'!$E$16:$O$9929,5,FALSE)</f>
        <v>Medical Cost Savings Programs</v>
      </c>
      <c r="AE2791" s="380" t="str">
        <f>VLOOKUP($B2791,'D7 - NDB Impacted SPRF''s'!$E$16:$O$9929,7,FALSE)</f>
        <v>Laurie Paidosh</v>
      </c>
      <c r="AF2791" s="380" t="str">
        <f>VLOOKUP($B2791,'D7 - NDB Impacted SPRF''s'!$E$16:$O$9929,6,FALSE)</f>
        <v>Lori West</v>
      </c>
      <c r="AG2791" s="282"/>
      <c r="AH2791" s="311" t="e">
        <f>INDEX('D5 - Gatekeeper - Projects'!$A$4:$AF$1010,$AM2791, 17)</f>
        <v>#N/A</v>
      </c>
      <c r="AI2791" s="8"/>
      <c r="AJ2791" s="57"/>
      <c r="AK2791" s="105"/>
      <c r="AM2791" s="6" t="e">
        <f>MATCH(D2791,'D5 - Gatekeeper - Projects'!$C$4:$C$1010,0)</f>
        <v>#N/A</v>
      </c>
      <c r="AN2791" s="6" t="b">
        <f t="shared" si="286"/>
        <v>1</v>
      </c>
      <c r="AO2791" s="6" t="str">
        <f t="shared" si="287"/>
        <v>OK</v>
      </c>
      <c r="AQ2791" s="6" t="e">
        <f>MATCH($D2791,'D4 - Provider Council Unsched'!$C$11:$C$234,0)</f>
        <v>#N/A</v>
      </c>
      <c r="AR2791" s="6" t="b">
        <f t="shared" si="288"/>
        <v>1</v>
      </c>
      <c r="AS2791" s="6" t="str">
        <f t="shared" si="291"/>
        <v>OK</v>
      </c>
      <c r="AU2791" s="202"/>
      <c r="AV2791" s="262"/>
      <c r="AW2791" s="274"/>
    </row>
    <row r="2792" spans="1:49" s="13" customFormat="1" ht="33.75" x14ac:dyDescent="0.2">
      <c r="A2792" s="14">
        <v>2768</v>
      </c>
      <c r="B2792" s="14">
        <v>400021580</v>
      </c>
      <c r="C2792" s="8" t="s">
        <v>5197</v>
      </c>
      <c r="D2792" s="4" t="str">
        <f t="shared" si="290"/>
        <v>400021580R1</v>
      </c>
      <c r="E2792" s="309" t="str">
        <f>VLOOKUP($B2792,'D7 - NDB Impacted SPRF''s'!$E$6:$O$9929,2,FALSE)</f>
        <v>Americhoice contract mstr creation and feed</v>
      </c>
      <c r="F2792" s="8" t="s">
        <v>2114</v>
      </c>
      <c r="G2792" s="8" t="s">
        <v>4758</v>
      </c>
      <c r="H2792" s="8" t="s">
        <v>2870</v>
      </c>
      <c r="I2792" s="20">
        <f>152/150</f>
        <v>1.0133333333333334</v>
      </c>
      <c r="J2792" s="8" t="s">
        <v>4862</v>
      </c>
      <c r="K2792" s="182"/>
      <c r="L2792" s="8" t="s">
        <v>4156</v>
      </c>
      <c r="M2792" s="8" t="s">
        <v>6688</v>
      </c>
      <c r="N2792" s="38" t="s">
        <v>4750</v>
      </c>
      <c r="O2792" s="8"/>
      <c r="P2792" s="4" t="str">
        <f>VLOOKUP($B2792,'D7 - NDB Impacted SPRF''s'!$E$16:$O$9929,9,FALSE)</f>
        <v>N</v>
      </c>
      <c r="Q2792" s="4" t="str">
        <f>VLOOKUP($B2792,'D7 - NDB Impacted SPRF''s'!$E$16:$O$9929,10,FALSE)</f>
        <v>N</v>
      </c>
      <c r="R2792" s="4" t="str">
        <f>VLOOKUP($B2792,'D7 - NDB Impacted SPRF''s'!$E$16:$O$9929,11,FALSE)</f>
        <v>N</v>
      </c>
      <c r="S2792" s="8"/>
      <c r="T2792" s="310"/>
      <c r="U2792" s="310"/>
      <c r="V2792" s="4"/>
      <c r="W2792" s="4"/>
      <c r="X2792" s="4"/>
      <c r="Y2792" s="4"/>
      <c r="Z2792" s="4"/>
      <c r="AA2792" s="4"/>
      <c r="AB2792" s="380" t="str">
        <f>VLOOKUP($B2792,'D7 - NDB Impacted SPRF''s'!$E$16:$O$9929,4,FALSE)</f>
        <v>Cancelled</v>
      </c>
      <c r="AC2792" s="380" t="str">
        <f>VLOOKUP($B2792,'D7 - NDB Impacted SPRF''s'!$E$16:$O$9929,3,FALSE)</f>
        <v>UnitedHealthcare Community &amp; State</v>
      </c>
      <c r="AD2792" s="380" t="str">
        <f>VLOOKUP($B2792,'D7 - NDB Impacted SPRF''s'!$E$16:$O$9929,5,FALSE)</f>
        <v>AmeriChoice</v>
      </c>
      <c r="AE2792" s="380" t="str">
        <f>VLOOKUP($B2792,'D7 - NDB Impacted SPRF''s'!$E$16:$O$9929,7,FALSE)</f>
        <v>Anne D DeFusco</v>
      </c>
      <c r="AF2792" s="380" t="str">
        <f>VLOOKUP($B2792,'D7 - NDB Impacted SPRF''s'!$E$16:$O$9929,6,FALSE)</f>
        <v>PARK CHRISTINE</v>
      </c>
      <c r="AG2792" s="282"/>
      <c r="AH2792" s="311" t="e">
        <f>INDEX('D5 - Gatekeeper - Projects'!$A$4:$AF$1010,$AM2792, 17)</f>
        <v>#N/A</v>
      </c>
      <c r="AI2792" s="8"/>
      <c r="AJ2792" s="57"/>
      <c r="AK2792" s="105"/>
      <c r="AM2792" s="6" t="e">
        <f>MATCH(D2792,'D5 - Gatekeeper - Projects'!$C$4:$C$1010,0)</f>
        <v>#N/A</v>
      </c>
      <c r="AN2792" s="6" t="b">
        <f t="shared" si="286"/>
        <v>1</v>
      </c>
      <c r="AO2792" s="6" t="str">
        <f t="shared" si="287"/>
        <v>OK</v>
      </c>
      <c r="AQ2792" s="6" t="e">
        <f>MATCH($D2792,'D4 - Provider Council Unsched'!$C$11:$C$234,0)</f>
        <v>#N/A</v>
      </c>
      <c r="AR2792" s="6" t="b">
        <f t="shared" si="288"/>
        <v>1</v>
      </c>
      <c r="AS2792" s="6" t="str">
        <f t="shared" si="291"/>
        <v>OK</v>
      </c>
      <c r="AU2792" s="202"/>
      <c r="AV2792" s="262"/>
      <c r="AW2792" s="274"/>
    </row>
    <row r="2793" spans="1:49" s="13" customFormat="1" ht="33.75" x14ac:dyDescent="0.2">
      <c r="A2793" s="14">
        <v>2769</v>
      </c>
      <c r="B2793" s="14">
        <v>400021640</v>
      </c>
      <c r="C2793" s="8" t="s">
        <v>5197</v>
      </c>
      <c r="D2793" s="4" t="str">
        <f t="shared" si="290"/>
        <v>400021640R1</v>
      </c>
      <c r="E2793" s="309" t="str">
        <f>VLOOKUP($B2793,'D7 - NDB Impacted SPRF''s'!$E$6:$O$9929,2,FALSE)</f>
        <v>Auto-Assign Correct IPA for New/Migrated business</v>
      </c>
      <c r="F2793" s="8" t="s">
        <v>4168</v>
      </c>
      <c r="G2793" s="8" t="s">
        <v>4758</v>
      </c>
      <c r="H2793" s="8" t="s">
        <v>2870</v>
      </c>
      <c r="I2793" s="20">
        <v>25.31</v>
      </c>
      <c r="J2793" s="8" t="s">
        <v>4862</v>
      </c>
      <c r="K2793" s="182"/>
      <c r="L2793" s="8" t="s">
        <v>4156</v>
      </c>
      <c r="M2793" s="8" t="s">
        <v>2814</v>
      </c>
      <c r="N2793" s="38" t="s">
        <v>1948</v>
      </c>
      <c r="O2793" s="8"/>
      <c r="P2793" s="4" t="str">
        <f>VLOOKUP($B2793,'D7 - NDB Impacted SPRF''s'!$E$16:$O$9929,9,FALSE)</f>
        <v>Y</v>
      </c>
      <c r="Q2793" s="4" t="str">
        <f>VLOOKUP($B2793,'D7 - NDB Impacted SPRF''s'!$E$16:$O$9929,10,FALSE)</f>
        <v>N</v>
      </c>
      <c r="R2793" s="4" t="str">
        <f>VLOOKUP($B2793,'D7 - NDB Impacted SPRF''s'!$E$16:$O$9929,11,FALSE)</f>
        <v>N</v>
      </c>
      <c r="S2793" s="8"/>
      <c r="T2793" s="310"/>
      <c r="U2793" s="310"/>
      <c r="V2793" s="4"/>
      <c r="W2793" s="4"/>
      <c r="X2793" s="4"/>
      <c r="Y2793" s="4"/>
      <c r="Z2793" s="4"/>
      <c r="AA2793" s="4"/>
      <c r="AB2793" s="380" t="str">
        <f>VLOOKUP($B2793,'D7 - NDB Impacted SPRF''s'!$E$16:$O$9929,4,FALSE)</f>
        <v>Cancelled</v>
      </c>
      <c r="AC2793" s="380" t="str">
        <f>VLOOKUP($B2793,'D7 - NDB Impacted SPRF''s'!$E$16:$O$9929,3,FALSE)</f>
        <v>UnitedHealthcare Employer &amp; Individual</v>
      </c>
      <c r="AD2793" s="380" t="str">
        <f>VLOOKUP($B2793,'D7 - NDB Impacted SPRF''s'!$E$16:$O$9929,5,FALSE)</f>
        <v>Integration Requirements</v>
      </c>
      <c r="AE2793" s="380" t="str">
        <f>VLOOKUP($B2793,'D7 - NDB Impacted SPRF''s'!$E$16:$O$9929,7,FALSE)</f>
        <v>Diane Schofield</v>
      </c>
      <c r="AF2793" s="380" t="str">
        <f>VLOOKUP($B2793,'D7 - NDB Impacted SPRF''s'!$E$16:$O$9929,6,FALSE)</f>
        <v>Jennifer Steffens</v>
      </c>
      <c r="AG2793" s="282"/>
      <c r="AH2793" s="311" t="e">
        <f>INDEX('D5 - Gatekeeper - Projects'!$A$4:$AF$1010,$AM2793, 17)</f>
        <v>#N/A</v>
      </c>
      <c r="AI2793" s="8"/>
      <c r="AJ2793" s="57"/>
      <c r="AK2793" s="105"/>
      <c r="AM2793" s="6" t="e">
        <f>MATCH(D2793,'D5 - Gatekeeper - Projects'!$C$4:$C$1010,0)</f>
        <v>#N/A</v>
      </c>
      <c r="AN2793" s="6" t="b">
        <f t="shared" si="286"/>
        <v>1</v>
      </c>
      <c r="AO2793" s="6" t="str">
        <f t="shared" si="287"/>
        <v>OK</v>
      </c>
      <c r="AQ2793" s="6" t="e">
        <f>MATCH($D2793,'D4 - Provider Council Unsched'!$C$11:$C$234,0)</f>
        <v>#N/A</v>
      </c>
      <c r="AR2793" s="6" t="b">
        <f t="shared" si="288"/>
        <v>1</v>
      </c>
      <c r="AS2793" s="6" t="str">
        <f t="shared" si="291"/>
        <v>OK</v>
      </c>
      <c r="AU2793" s="202"/>
      <c r="AV2793" s="262"/>
      <c r="AW2793" s="274"/>
    </row>
    <row r="2794" spans="1:49" s="13" customFormat="1" ht="33.75" x14ac:dyDescent="0.2">
      <c r="A2794" s="14">
        <v>2770</v>
      </c>
      <c r="B2794" s="14">
        <v>400021648</v>
      </c>
      <c r="C2794" s="8" t="s">
        <v>5197</v>
      </c>
      <c r="D2794" s="4" t="str">
        <f t="shared" si="290"/>
        <v>400021648R1</v>
      </c>
      <c r="E2794" s="309" t="str">
        <f>VLOOKUP($B2794,'D7 - NDB Impacted SPRF''s'!$E$6:$O$9929,2,FALSE)</f>
        <v>FRP - NHP Migration (GSP Build)</v>
      </c>
      <c r="F2794" s="8" t="s">
        <v>3248</v>
      </c>
      <c r="G2794" s="8" t="s">
        <v>4758</v>
      </c>
      <c r="H2794" s="8" t="s">
        <v>2870</v>
      </c>
      <c r="I2794" s="20"/>
      <c r="J2794" s="8"/>
      <c r="K2794" s="182"/>
      <c r="L2794" s="8" t="s">
        <v>4156</v>
      </c>
      <c r="M2794" s="8" t="s">
        <v>2814</v>
      </c>
      <c r="N2794" s="38" t="s">
        <v>4653</v>
      </c>
      <c r="O2794" s="8"/>
      <c r="P2794" s="4" t="str">
        <f>VLOOKUP($B2794,'D7 - NDB Impacted SPRF''s'!$E$16:$O$9929,9,FALSE)</f>
        <v>Y</v>
      </c>
      <c r="Q2794" s="4" t="str">
        <f>VLOOKUP($B2794,'D7 - NDB Impacted SPRF''s'!$E$16:$O$9929,10,FALSE)</f>
        <v>N</v>
      </c>
      <c r="R2794" s="4" t="str">
        <f>VLOOKUP($B2794,'D7 - NDB Impacted SPRF''s'!$E$16:$O$9929,11,FALSE)</f>
        <v>N</v>
      </c>
      <c r="S2794" s="8"/>
      <c r="T2794" s="310"/>
      <c r="U2794" s="310"/>
      <c r="V2794" s="4"/>
      <c r="W2794" s="4"/>
      <c r="X2794" s="4"/>
      <c r="Y2794" s="4"/>
      <c r="Z2794" s="4"/>
      <c r="AA2794" s="4"/>
      <c r="AB2794" s="380" t="str">
        <f>VLOOKUP($B2794,'D7 - NDB Impacted SPRF''s'!$E$16:$O$9929,4,FALSE)</f>
        <v>Cancelled</v>
      </c>
      <c r="AC2794" s="380" t="str">
        <f>VLOOKUP($B2794,'D7 - NDB Impacted SPRF''s'!$E$16:$O$9929,3,FALSE)</f>
        <v>UnitedHealthcare Employer &amp; Individual</v>
      </c>
      <c r="AD2794" s="380" t="str">
        <f>VLOOKUP($B2794,'D7 - NDB Impacted SPRF''s'!$E$16:$O$9929,5,FALSE)</f>
        <v>Integration Requirements</v>
      </c>
      <c r="AE2794" s="380" t="str">
        <f>VLOOKUP($B2794,'D7 - NDB Impacted SPRF''s'!$E$16:$O$9929,7,FALSE)</f>
        <v>Diane Schofield</v>
      </c>
      <c r="AF2794" s="380" t="str">
        <f>VLOOKUP($B2794,'D7 - NDB Impacted SPRF''s'!$E$16:$O$9929,6,FALSE)</f>
        <v>Pam Harmon</v>
      </c>
      <c r="AG2794" s="282"/>
      <c r="AH2794" s="311" t="e">
        <f>INDEX('D5 - Gatekeeper - Projects'!$A$4:$AF$1010,$AM2794, 17)</f>
        <v>#N/A</v>
      </c>
      <c r="AI2794" s="8"/>
      <c r="AJ2794" s="57"/>
      <c r="AK2794" s="105"/>
      <c r="AM2794" s="6" t="e">
        <f>MATCH(D2794,'D5 - Gatekeeper - Projects'!$C$4:$C$1010,0)</f>
        <v>#N/A</v>
      </c>
      <c r="AN2794" s="6" t="b">
        <f t="shared" si="286"/>
        <v>1</v>
      </c>
      <c r="AO2794" s="6" t="str">
        <f t="shared" si="287"/>
        <v>OK</v>
      </c>
      <c r="AQ2794" s="6" t="e">
        <f>MATCH($D2794,'D4 - Provider Council Unsched'!$C$11:$C$234,0)</f>
        <v>#N/A</v>
      </c>
      <c r="AR2794" s="6" t="b">
        <f t="shared" si="288"/>
        <v>1</v>
      </c>
      <c r="AS2794" s="6" t="str">
        <f t="shared" si="291"/>
        <v>OK</v>
      </c>
      <c r="AU2794" s="202"/>
      <c r="AV2794" s="262"/>
      <c r="AW2794" s="274"/>
    </row>
    <row r="2795" spans="1:49" s="13" customFormat="1" ht="33.75" x14ac:dyDescent="0.2">
      <c r="A2795" s="14">
        <v>2771</v>
      </c>
      <c r="B2795" s="14">
        <v>400021649</v>
      </c>
      <c r="C2795" s="8" t="s">
        <v>5197</v>
      </c>
      <c r="D2795" s="4" t="str">
        <f t="shared" si="290"/>
        <v>400021649R1</v>
      </c>
      <c r="E2795" s="309" t="str">
        <f>VLOOKUP($B2795,'D7 - NDB Impacted SPRF''s'!$E$6:$O$9929,2,FALSE)</f>
        <v>Support ASO for Neighborhood Health Plan products</v>
      </c>
      <c r="F2795" s="8" t="s">
        <v>3248</v>
      </c>
      <c r="G2795" s="8" t="s">
        <v>4758</v>
      </c>
      <c r="H2795" s="8" t="s">
        <v>2870</v>
      </c>
      <c r="I2795" s="20"/>
      <c r="J2795" s="8"/>
      <c r="K2795" s="182"/>
      <c r="L2795" s="8" t="s">
        <v>4156</v>
      </c>
      <c r="M2795" s="8" t="s">
        <v>2814</v>
      </c>
      <c r="N2795" s="38" t="s">
        <v>4653</v>
      </c>
      <c r="O2795" s="8"/>
      <c r="P2795" s="4" t="str">
        <f>VLOOKUP($B2795,'D7 - NDB Impacted SPRF''s'!$E$16:$O$9929,9,FALSE)</f>
        <v>Y</v>
      </c>
      <c r="Q2795" s="4" t="str">
        <f>VLOOKUP($B2795,'D7 - NDB Impacted SPRF''s'!$E$16:$O$9929,10,FALSE)</f>
        <v>N</v>
      </c>
      <c r="R2795" s="4" t="str">
        <f>VLOOKUP($B2795,'D7 - NDB Impacted SPRF''s'!$E$16:$O$9929,11,FALSE)</f>
        <v>N</v>
      </c>
      <c r="S2795" s="8"/>
      <c r="T2795" s="310"/>
      <c r="U2795" s="310"/>
      <c r="V2795" s="4"/>
      <c r="W2795" s="4"/>
      <c r="X2795" s="4"/>
      <c r="Y2795" s="4"/>
      <c r="Z2795" s="4"/>
      <c r="AA2795" s="4"/>
      <c r="AB2795" s="380" t="str">
        <f>VLOOKUP($B2795,'D7 - NDB Impacted SPRF''s'!$E$16:$O$9929,4,FALSE)</f>
        <v>Cancelled</v>
      </c>
      <c r="AC2795" s="380" t="str">
        <f>VLOOKUP($B2795,'D7 - NDB Impacted SPRF''s'!$E$16:$O$9929,3,FALSE)</f>
        <v>UnitedHealthcare Employer &amp; Individual</v>
      </c>
      <c r="AD2795" s="380" t="str">
        <f>VLOOKUP($B2795,'D7 - NDB Impacted SPRF''s'!$E$16:$O$9929,5,FALSE)</f>
        <v>Integration Requirements</v>
      </c>
      <c r="AE2795" s="380" t="str">
        <f>VLOOKUP($B2795,'D7 - NDB Impacted SPRF''s'!$E$16:$O$9929,7,FALSE)</f>
        <v>Diane Schofield</v>
      </c>
      <c r="AF2795" s="380" t="str">
        <f>VLOOKUP($B2795,'D7 - NDB Impacted SPRF''s'!$E$16:$O$9929,6,FALSE)</f>
        <v>Pam Harmon</v>
      </c>
      <c r="AG2795" s="282"/>
      <c r="AH2795" s="311" t="e">
        <f>INDEX('D5 - Gatekeeper - Projects'!$A$4:$AF$1010,$AM2795, 17)</f>
        <v>#N/A</v>
      </c>
      <c r="AI2795" s="8"/>
      <c r="AJ2795" s="57"/>
      <c r="AK2795" s="105"/>
      <c r="AM2795" s="6" t="e">
        <f>MATCH(D2795,'D5 - Gatekeeper - Projects'!$C$4:$C$1010,0)</f>
        <v>#N/A</v>
      </c>
      <c r="AN2795" s="6" t="b">
        <f t="shared" si="286"/>
        <v>1</v>
      </c>
      <c r="AO2795" s="6" t="str">
        <f t="shared" si="287"/>
        <v>OK</v>
      </c>
      <c r="AQ2795" s="6" t="e">
        <f>MATCH($D2795,'D4 - Provider Council Unsched'!$C$11:$C$234,0)</f>
        <v>#N/A</v>
      </c>
      <c r="AR2795" s="6" t="b">
        <f t="shared" si="288"/>
        <v>1</v>
      </c>
      <c r="AS2795" s="6" t="str">
        <f t="shared" si="291"/>
        <v>OK</v>
      </c>
      <c r="AU2795" s="202"/>
      <c r="AV2795" s="262"/>
      <c r="AW2795" s="274"/>
    </row>
    <row r="2796" spans="1:49" s="13" customFormat="1" x14ac:dyDescent="0.2">
      <c r="A2796" s="14">
        <v>2772</v>
      </c>
      <c r="B2796" s="14">
        <v>400021650</v>
      </c>
      <c r="C2796" s="8" t="s">
        <v>5197</v>
      </c>
      <c r="D2796" s="4" t="str">
        <f t="shared" si="290"/>
        <v>400021650R1</v>
      </c>
      <c r="E2796" s="309" t="str">
        <f>VLOOKUP($B2796,'D7 - NDB Impacted SPRF''s'!$E$6:$O$9929,2,FALSE)</f>
        <v>QPDI -Quality Provider Documentation Initiative</v>
      </c>
      <c r="F2796" s="8" t="s">
        <v>2114</v>
      </c>
      <c r="G2796" s="8" t="s">
        <v>4758</v>
      </c>
      <c r="H2796" s="8" t="s">
        <v>2870</v>
      </c>
      <c r="I2796" s="20">
        <f>304/160</f>
        <v>1.9</v>
      </c>
      <c r="J2796" s="8" t="s">
        <v>4862</v>
      </c>
      <c r="K2796" s="182"/>
      <c r="L2796" s="8" t="s">
        <v>4156</v>
      </c>
      <c r="M2796" s="8" t="s">
        <v>2814</v>
      </c>
      <c r="N2796" s="38"/>
      <c r="O2796" s="8"/>
      <c r="P2796" s="4" t="str">
        <f>VLOOKUP($B2796,'D7 - NDB Impacted SPRF''s'!$E$16:$O$9929,9,FALSE)</f>
        <v>Y</v>
      </c>
      <c r="Q2796" s="4" t="str">
        <f>VLOOKUP($B2796,'D7 - NDB Impacted SPRF''s'!$E$16:$O$9929,10,FALSE)</f>
        <v>N</v>
      </c>
      <c r="R2796" s="4" t="str">
        <f>VLOOKUP($B2796,'D7 - NDB Impacted SPRF''s'!$E$16:$O$9929,11,FALSE)</f>
        <v>N</v>
      </c>
      <c r="S2796" s="8"/>
      <c r="T2796" s="310"/>
      <c r="U2796" s="310"/>
      <c r="V2796" s="4"/>
      <c r="W2796" s="4"/>
      <c r="X2796" s="4"/>
      <c r="Y2796" s="4"/>
      <c r="Z2796" s="4"/>
      <c r="AA2796" s="4"/>
      <c r="AB2796" s="380" t="str">
        <f>VLOOKUP($B2796,'D7 - NDB Impacted SPRF''s'!$E$16:$O$9929,4,FALSE)</f>
        <v>Cancelled</v>
      </c>
      <c r="AC2796" s="380" t="str">
        <f>VLOOKUP($B2796,'D7 - NDB Impacted SPRF''s'!$E$16:$O$9929,3,FALSE)</f>
        <v>OptumHealth</v>
      </c>
      <c r="AD2796" s="380" t="str">
        <f>VLOOKUP($B2796,'D7 - NDB Impacted SPRF''s'!$E$16:$O$9929,5,FALSE)</f>
        <v>Care Solutions</v>
      </c>
      <c r="AE2796" s="380" t="str">
        <f>VLOOKUP($B2796,'D7 - NDB Impacted SPRF''s'!$E$16:$O$9929,7,FALSE)</f>
        <v>Paul Zenner</v>
      </c>
      <c r="AF2796" s="380" t="str">
        <f>VLOOKUP($B2796,'D7 - NDB Impacted SPRF''s'!$E$16:$O$9929,6,FALSE)</f>
        <v>Mary Zack</v>
      </c>
      <c r="AG2796" s="282"/>
      <c r="AH2796" s="311" t="e">
        <f>INDEX('D5 - Gatekeeper - Projects'!$A$4:$AF$1010,$AM2796, 17)</f>
        <v>#N/A</v>
      </c>
      <c r="AI2796" s="8"/>
      <c r="AJ2796" s="57"/>
      <c r="AK2796" s="105"/>
      <c r="AM2796" s="6" t="e">
        <f>MATCH(D2796,'D5 - Gatekeeper - Projects'!$C$4:$C$1010,0)</f>
        <v>#N/A</v>
      </c>
      <c r="AN2796" s="6" t="b">
        <f t="shared" si="286"/>
        <v>1</v>
      </c>
      <c r="AO2796" s="6" t="str">
        <f t="shared" si="287"/>
        <v>OK</v>
      </c>
      <c r="AQ2796" s="6" t="e">
        <f>MATCH($D2796,'D4 - Provider Council Unsched'!$C$11:$C$234,0)</f>
        <v>#N/A</v>
      </c>
      <c r="AR2796" s="6" t="b">
        <f t="shared" si="288"/>
        <v>1</v>
      </c>
      <c r="AS2796" s="6" t="str">
        <f t="shared" si="291"/>
        <v>OK</v>
      </c>
      <c r="AU2796" s="202"/>
      <c r="AV2796" s="262"/>
      <c r="AW2796" s="274"/>
    </row>
    <row r="2797" spans="1:49" s="13" customFormat="1" ht="33.75" x14ac:dyDescent="0.2">
      <c r="A2797" s="14">
        <v>2773</v>
      </c>
      <c r="B2797" s="14">
        <v>400021767</v>
      </c>
      <c r="C2797" s="8" t="s">
        <v>5197</v>
      </c>
      <c r="D2797" s="4" t="str">
        <f t="shared" si="290"/>
        <v>400021767R1</v>
      </c>
      <c r="E2797" s="309" t="str">
        <f>VLOOKUP($B2797,'D7 - NDB Impacted SPRF''s'!$E$6:$O$9929,2,FALSE)</f>
        <v xml:space="preserve">NPI Upload from NDB to NICE </v>
      </c>
      <c r="F2797" s="8" t="s">
        <v>1059</v>
      </c>
      <c r="G2797" s="8" t="s">
        <v>4758</v>
      </c>
      <c r="H2797" s="8" t="s">
        <v>2870</v>
      </c>
      <c r="I2797" s="20">
        <f>1341/150</f>
        <v>8.94</v>
      </c>
      <c r="J2797" s="8" t="s">
        <v>4862</v>
      </c>
      <c r="K2797" s="182"/>
      <c r="L2797" s="8" t="s">
        <v>4156</v>
      </c>
      <c r="M2797" s="8" t="s">
        <v>2814</v>
      </c>
      <c r="N2797" s="38" t="s">
        <v>3407</v>
      </c>
      <c r="O2797" s="8"/>
      <c r="P2797" s="4" t="str">
        <f>VLOOKUP($B2797,'D7 - NDB Impacted SPRF''s'!$E$16:$O$9929,9,FALSE)</f>
        <v>N</v>
      </c>
      <c r="Q2797" s="4" t="str">
        <f>VLOOKUP($B2797,'D7 - NDB Impacted SPRF''s'!$E$16:$O$9929,10,FALSE)</f>
        <v>N</v>
      </c>
      <c r="R2797" s="4" t="str">
        <f>VLOOKUP($B2797,'D7 - NDB Impacted SPRF''s'!$E$16:$O$9929,11,FALSE)</f>
        <v>N</v>
      </c>
      <c r="S2797" s="8"/>
      <c r="T2797" s="310"/>
      <c r="U2797" s="310"/>
      <c r="V2797" s="4"/>
      <c r="W2797" s="4"/>
      <c r="X2797" s="4"/>
      <c r="Y2797" s="4"/>
      <c r="Z2797" s="4"/>
      <c r="AA2797" s="4"/>
      <c r="AB2797" s="380" t="str">
        <f>VLOOKUP($B2797,'D7 - NDB Impacted SPRF''s'!$E$6:$O$9929,4,FALSE)</f>
        <v>Completed</v>
      </c>
      <c r="AC2797" s="380" t="str">
        <f>VLOOKUP($B2797,'D7 - NDB Impacted SPRF''s'!$E$16:$O$9929,3,FALSE)</f>
        <v>UnitedHealthcare Employer &amp; Individual</v>
      </c>
      <c r="AD2797" s="380" t="str">
        <f>VLOOKUP($B2797,'D7 - NDB Impacted SPRF''s'!$E$16:$O$9929,5,FALSE)</f>
        <v>Operational Requirements</v>
      </c>
      <c r="AE2797" s="380" t="str">
        <f>VLOOKUP($B2797,'D7 - NDB Impacted SPRF''s'!$E$16:$O$9929,7,FALSE)</f>
        <v>Elena McFann</v>
      </c>
      <c r="AF2797" s="380" t="str">
        <f>VLOOKUP($B2797,'D7 - NDB Impacted SPRF''s'!$E$16:$O$9929,6,FALSE)</f>
        <v>Donna Naessig</v>
      </c>
      <c r="AG2797" s="282"/>
      <c r="AH2797" s="311" t="e">
        <f>INDEX('D5 - Gatekeeper - Projects'!$A$4:$AF$1010,$AM2797, 17)</f>
        <v>#N/A</v>
      </c>
      <c r="AI2797" s="8"/>
      <c r="AJ2797" s="57"/>
      <c r="AK2797" s="105"/>
      <c r="AM2797" s="6" t="e">
        <f>MATCH(D2797,'D5 - Gatekeeper - Projects'!$C$4:$C$1010,0)</f>
        <v>#N/A</v>
      </c>
      <c r="AN2797" s="6" t="b">
        <f t="shared" si="286"/>
        <v>1</v>
      </c>
      <c r="AO2797" s="6" t="str">
        <f t="shared" si="287"/>
        <v>OK</v>
      </c>
      <c r="AQ2797" s="6" t="e">
        <f>MATCH($D2797,'D4 - Provider Council Unsched'!$C$11:$C$234,0)</f>
        <v>#N/A</v>
      </c>
      <c r="AR2797" s="6" t="b">
        <f t="shared" si="288"/>
        <v>1</v>
      </c>
      <c r="AS2797" s="6" t="str">
        <f>IF(AND(H2797="2 - Not Scheduled",AR2797=TRUE,C2797="R1"),"Add","OK")</f>
        <v>OK</v>
      </c>
      <c r="AU2797" s="202"/>
      <c r="AV2797" s="262"/>
      <c r="AW2797" s="274"/>
    </row>
    <row r="2798" spans="1:49" s="13" customFormat="1" ht="45" x14ac:dyDescent="0.2">
      <c r="A2798" s="14">
        <v>2774</v>
      </c>
      <c r="B2798" s="14">
        <v>400021816</v>
      </c>
      <c r="C2798" s="8" t="s">
        <v>5197</v>
      </c>
      <c r="D2798" s="4" t="str">
        <f t="shared" si="290"/>
        <v>400021816R1</v>
      </c>
      <c r="E2798" s="309" t="str">
        <f>VLOOKUP($B2798,'D7 - NDB Impacted SPRF''s'!$E$6:$O$9929,2,FALSE)</f>
        <v>Member and Provider CSP/GSP Notification</v>
      </c>
      <c r="F2798" s="8" t="s">
        <v>2114</v>
      </c>
      <c r="G2798" s="8" t="s">
        <v>4758</v>
      </c>
      <c r="H2798" s="8" t="s">
        <v>2870</v>
      </c>
      <c r="I2798" s="20">
        <f>921/160</f>
        <v>5.7562499999999996</v>
      </c>
      <c r="J2798" s="8" t="s">
        <v>4862</v>
      </c>
      <c r="K2798" s="182"/>
      <c r="L2798" s="8" t="s">
        <v>4156</v>
      </c>
      <c r="M2798" s="8" t="s">
        <v>2814</v>
      </c>
      <c r="N2798" s="38" t="s">
        <v>1472</v>
      </c>
      <c r="O2798" s="8"/>
      <c r="P2798" s="4" t="str">
        <f>VLOOKUP($B2798,'D7 - NDB Impacted SPRF''s'!$E$16:$O$9929,9,FALSE)</f>
        <v>N</v>
      </c>
      <c r="Q2798" s="4" t="str">
        <f>VLOOKUP($B2798,'D7 - NDB Impacted SPRF''s'!$E$16:$O$9929,10,FALSE)</f>
        <v>N</v>
      </c>
      <c r="R2798" s="4" t="str">
        <f>VLOOKUP($B2798,'D7 - NDB Impacted SPRF''s'!$E$16:$O$9929,11,FALSE)</f>
        <v>N</v>
      </c>
      <c r="S2798" s="8"/>
      <c r="T2798" s="310"/>
      <c r="U2798" s="310"/>
      <c r="V2798" s="4"/>
      <c r="W2798" s="4"/>
      <c r="X2798" s="4"/>
      <c r="Y2798" s="4"/>
      <c r="Z2798" s="4"/>
      <c r="AA2798" s="4"/>
      <c r="AB2798" s="380" t="str">
        <f>VLOOKUP($B2798,'D7 - NDB Impacted SPRF''s'!$E$16:$O$9929,4,FALSE)</f>
        <v>Cancelled</v>
      </c>
      <c r="AC2798" s="380" t="str">
        <f>VLOOKUP($B2798,'D7 - NDB Impacted SPRF''s'!$E$16:$O$9929,3,FALSE)</f>
        <v>UnitedHealthcare Employer &amp; Individual</v>
      </c>
      <c r="AD2798" s="380" t="str">
        <f>VLOOKUP($B2798,'D7 - NDB Impacted SPRF''s'!$E$16:$O$9929,5,FALSE)</f>
        <v>Process Improvement</v>
      </c>
      <c r="AE2798" s="380" t="str">
        <f>VLOOKUP($B2798,'D7 - NDB Impacted SPRF''s'!$E$16:$O$9929,7,FALSE)</f>
        <v>Sue Edberg</v>
      </c>
      <c r="AF2798" s="380" t="str">
        <f>VLOOKUP($B2798,'D7 - NDB Impacted SPRF''s'!$E$16:$O$9929,6,FALSE)</f>
        <v>KRISTYN EIRING</v>
      </c>
      <c r="AG2798" s="282"/>
      <c r="AH2798" s="311" t="e">
        <f>INDEX('D5 - Gatekeeper - Projects'!$A$4:$AF$1010,$AM2798, 17)</f>
        <v>#N/A</v>
      </c>
      <c r="AI2798" s="8"/>
      <c r="AJ2798" s="57"/>
      <c r="AK2798" s="105"/>
      <c r="AM2798" s="6" t="e">
        <f>MATCH(D2798,'D5 - Gatekeeper - Projects'!$C$4:$C$1010,0)</f>
        <v>#N/A</v>
      </c>
      <c r="AN2798" s="6" t="b">
        <f t="shared" si="286"/>
        <v>1</v>
      </c>
      <c r="AO2798" s="6" t="str">
        <f t="shared" si="287"/>
        <v>OK</v>
      </c>
      <c r="AQ2798" s="6" t="e">
        <f>MATCH($D2798,'D4 - Provider Council Unsched'!$C$11:$C$234,0)</f>
        <v>#N/A</v>
      </c>
      <c r="AR2798" s="6" t="b">
        <f t="shared" si="288"/>
        <v>1</v>
      </c>
      <c r="AS2798" s="6" t="str">
        <f t="shared" ref="AS2798:AS2816" si="292">IF(AND(H2798="2 - Not Scheduled",AR2798=TRUE),"Add","OK")</f>
        <v>OK</v>
      </c>
      <c r="AU2798" s="202"/>
      <c r="AV2798" s="262"/>
      <c r="AW2798" s="274"/>
    </row>
    <row r="2799" spans="1:49" s="13" customFormat="1" x14ac:dyDescent="0.2">
      <c r="A2799" s="14">
        <v>2775</v>
      </c>
      <c r="B2799" s="14">
        <v>400021825</v>
      </c>
      <c r="C2799" s="8" t="s">
        <v>1992</v>
      </c>
      <c r="D2799" s="4" t="str">
        <f t="shared" si="290"/>
        <v>400021825U1</v>
      </c>
      <c r="E2799" s="309" t="e">
        <f>VLOOKUP($B2799,'D7 - NDB Impacted SPRF''s'!$E$6:$O$9929,2,FALSE)</f>
        <v>#N/A</v>
      </c>
      <c r="F2799" s="8" t="s">
        <v>2114</v>
      </c>
      <c r="G2799" s="8" t="s">
        <v>4758</v>
      </c>
      <c r="H2799" s="8" t="s">
        <v>2870</v>
      </c>
      <c r="I2799" s="20"/>
      <c r="J2799" s="8"/>
      <c r="K2799" s="182"/>
      <c r="L2799" s="8" t="s">
        <v>4156</v>
      </c>
      <c r="M2799" s="8" t="s">
        <v>2814</v>
      </c>
      <c r="N2799" s="38" t="s">
        <v>4798</v>
      </c>
      <c r="O2799" s="8"/>
      <c r="P2799" s="4" t="e">
        <f>VLOOKUP($B2799,'D7 - NDB Impacted SPRF''s'!$E$16:$O$9929,9,FALSE)</f>
        <v>#N/A</v>
      </c>
      <c r="Q2799" s="4" t="e">
        <f>VLOOKUP($B2799,'D7 - NDB Impacted SPRF''s'!$E$16:$O$9929,10,FALSE)</f>
        <v>#N/A</v>
      </c>
      <c r="R2799" s="4" t="e">
        <f>VLOOKUP($B2799,'D7 - NDB Impacted SPRF''s'!$E$16:$O$9929,11,FALSE)</f>
        <v>#N/A</v>
      </c>
      <c r="S2799" s="8"/>
      <c r="T2799" s="310"/>
      <c r="U2799" s="310"/>
      <c r="V2799" s="4"/>
      <c r="W2799" s="4"/>
      <c r="X2799" s="4"/>
      <c r="Y2799" s="4"/>
      <c r="Z2799" s="4"/>
      <c r="AA2799" s="4"/>
      <c r="AB2799" s="380" t="e">
        <f>VLOOKUP($B2799,'D7 - NDB Impacted SPRF''s'!$E$16:$O$9929,4,FALSE)</f>
        <v>#N/A</v>
      </c>
      <c r="AC2799" s="380" t="e">
        <f>VLOOKUP($B2799,'D7 - NDB Impacted SPRF''s'!$E$16:$O$9929,3,FALSE)</f>
        <v>#N/A</v>
      </c>
      <c r="AD2799" s="380" t="e">
        <f>VLOOKUP($B2799,'D7 - NDB Impacted SPRF''s'!$E$16:$O$9929,5,FALSE)</f>
        <v>#N/A</v>
      </c>
      <c r="AE2799" s="380" t="e">
        <f>VLOOKUP($B2799,'D7 - NDB Impacted SPRF''s'!$E$16:$O$9929,7,FALSE)</f>
        <v>#N/A</v>
      </c>
      <c r="AF2799" s="380" t="e">
        <f>VLOOKUP($B2799,'D7 - NDB Impacted SPRF''s'!$E$16:$O$9929,6,FALSE)</f>
        <v>#N/A</v>
      </c>
      <c r="AG2799" s="282"/>
      <c r="AH2799" s="311" t="e">
        <f>INDEX('D5 - Gatekeeper - Projects'!$A$4:$AF$1010,$AM2799, 17)</f>
        <v>#N/A</v>
      </c>
      <c r="AI2799" s="8"/>
      <c r="AJ2799" s="57"/>
      <c r="AK2799" s="105"/>
      <c r="AM2799" s="6" t="e">
        <f>MATCH(D2799,'D5 - Gatekeeper - Projects'!$C$4:$C$1010,0)</f>
        <v>#N/A</v>
      </c>
      <c r="AN2799" s="6" t="b">
        <f t="shared" si="286"/>
        <v>1</v>
      </c>
      <c r="AO2799" s="6" t="str">
        <f t="shared" si="287"/>
        <v>OK</v>
      </c>
      <c r="AQ2799" s="6" t="e">
        <f>MATCH($D2799,'D4 - Provider Council Unsched'!$C$11:$C$234,0)</f>
        <v>#N/A</v>
      </c>
      <c r="AR2799" s="6" t="b">
        <f t="shared" si="288"/>
        <v>1</v>
      </c>
      <c r="AS2799" s="6" t="str">
        <f t="shared" si="292"/>
        <v>OK</v>
      </c>
      <c r="AU2799" s="202"/>
      <c r="AV2799" s="262"/>
      <c r="AW2799" s="274"/>
    </row>
    <row r="2800" spans="1:49" s="13" customFormat="1" x14ac:dyDescent="0.2">
      <c r="A2800" s="14">
        <v>2776</v>
      </c>
      <c r="B2800" s="14">
        <v>400021854</v>
      </c>
      <c r="C2800" s="8" t="s">
        <v>5197</v>
      </c>
      <c r="D2800" s="4" t="str">
        <f t="shared" si="290"/>
        <v>400021854R1</v>
      </c>
      <c r="E2800" s="309" t="str">
        <f>VLOOKUP($B2800,'D7 - NDB Impacted SPRF''s'!$E$6:$O$9929,2,FALSE)</f>
        <v>Facets Group Record Feed into NDB</v>
      </c>
      <c r="F2800" s="8" t="s">
        <v>2114</v>
      </c>
      <c r="G2800" s="8" t="s">
        <v>4758</v>
      </c>
      <c r="H2800" s="8" t="s">
        <v>2870</v>
      </c>
      <c r="I2800" s="20">
        <f>160/150</f>
        <v>1.0666666666666667</v>
      </c>
      <c r="J2800" s="8" t="s">
        <v>4862</v>
      </c>
      <c r="K2800" s="182"/>
      <c r="L2800" s="8" t="s">
        <v>4156</v>
      </c>
      <c r="M2800" s="8" t="s">
        <v>6007</v>
      </c>
      <c r="N2800" s="38"/>
      <c r="O2800" s="8"/>
      <c r="P2800" s="4" t="str">
        <f>VLOOKUP($B2800,'D7 - NDB Impacted SPRF''s'!$E$16:$O$9929,9,FALSE)</f>
        <v>N</v>
      </c>
      <c r="Q2800" s="4" t="str">
        <f>VLOOKUP($B2800,'D7 - NDB Impacted SPRF''s'!$E$16:$O$9929,10,FALSE)</f>
        <v>N</v>
      </c>
      <c r="R2800" s="4" t="str">
        <f>VLOOKUP($B2800,'D7 - NDB Impacted SPRF''s'!$E$16:$O$9929,11,FALSE)</f>
        <v>N</v>
      </c>
      <c r="S2800" s="8"/>
      <c r="T2800" s="310"/>
      <c r="U2800" s="310"/>
      <c r="V2800" s="4"/>
      <c r="W2800" s="4"/>
      <c r="X2800" s="4"/>
      <c r="Y2800" s="4"/>
      <c r="Z2800" s="4"/>
      <c r="AA2800" s="4"/>
      <c r="AB2800" s="380" t="str">
        <f>VLOOKUP($B2800,'D7 - NDB Impacted SPRF''s'!$E$16:$O$9929,4,FALSE)</f>
        <v>Cancelled</v>
      </c>
      <c r="AC2800" s="380" t="str">
        <f>VLOOKUP($B2800,'D7 - NDB Impacted SPRF''s'!$E$16:$O$9929,3,FALSE)</f>
        <v>OptumHealth</v>
      </c>
      <c r="AD2800" s="380" t="str">
        <f>VLOOKUP($B2800,'D7 - NDB Impacted SPRF''s'!$E$16:$O$9929,5,FALSE)</f>
        <v>Behavioral Solutions</v>
      </c>
      <c r="AE2800" s="380" t="str">
        <f>VLOOKUP($B2800,'D7 - NDB Impacted SPRF''s'!$E$16:$O$9929,7,FALSE)</f>
        <v>Michael J Moore</v>
      </c>
      <c r="AF2800" s="380" t="str">
        <f>VLOOKUP($B2800,'D7 - NDB Impacted SPRF''s'!$E$16:$O$9929,6,FALSE)</f>
        <v>Michael Moore</v>
      </c>
      <c r="AG2800" s="282"/>
      <c r="AH2800" s="311" t="e">
        <f>INDEX('D5 - Gatekeeper - Projects'!$A$4:$AF$1010,$AM2800, 17)</f>
        <v>#N/A</v>
      </c>
      <c r="AI2800" s="8"/>
      <c r="AJ2800" s="57"/>
      <c r="AK2800" s="105"/>
      <c r="AM2800" s="6" t="e">
        <f>MATCH(D2800,'D5 - Gatekeeper - Projects'!$C$4:$C$1010,0)</f>
        <v>#N/A</v>
      </c>
      <c r="AN2800" s="6" t="b">
        <f t="shared" si="286"/>
        <v>1</v>
      </c>
      <c r="AO2800" s="6" t="str">
        <f t="shared" si="287"/>
        <v>OK</v>
      </c>
      <c r="AQ2800" s="6" t="e">
        <f>MATCH($D2800,'D4 - Provider Council Unsched'!$C$11:$C$234,0)</f>
        <v>#N/A</v>
      </c>
      <c r="AR2800" s="6" t="b">
        <f t="shared" si="288"/>
        <v>1</v>
      </c>
      <c r="AS2800" s="6" t="str">
        <f t="shared" si="292"/>
        <v>OK</v>
      </c>
      <c r="AU2800" s="202"/>
      <c r="AV2800" s="262"/>
      <c r="AW2800" s="274"/>
    </row>
    <row r="2801" spans="1:49" s="13" customFormat="1" ht="33.75" x14ac:dyDescent="0.2">
      <c r="A2801" s="14">
        <v>2777</v>
      </c>
      <c r="B2801" s="14">
        <v>400021877</v>
      </c>
      <c r="C2801" s="8" t="s">
        <v>5197</v>
      </c>
      <c r="D2801" s="4" t="str">
        <f t="shared" si="290"/>
        <v>400021877R1</v>
      </c>
      <c r="E2801" s="309" t="str">
        <f>VLOOKUP($B2801,'D7 - NDB Impacted SPRF''s'!$E$6:$O$9929,2,FALSE)</f>
        <v>HPHC-ppoONE Metrics</v>
      </c>
      <c r="F2801" s="8" t="s">
        <v>5196</v>
      </c>
      <c r="G2801" s="8" t="s">
        <v>4758</v>
      </c>
      <c r="H2801" s="8" t="s">
        <v>2870</v>
      </c>
      <c r="I2801" s="20"/>
      <c r="J2801" s="8"/>
      <c r="K2801" s="182"/>
      <c r="L2801" s="8" t="s">
        <v>4156</v>
      </c>
      <c r="M2801" s="8" t="s">
        <v>2814</v>
      </c>
      <c r="N2801" s="38" t="s">
        <v>4146</v>
      </c>
      <c r="O2801" s="8"/>
      <c r="P2801" s="4" t="str">
        <f>VLOOKUP($B2801,'D7 - NDB Impacted SPRF''s'!$E$16:$O$9929,9,FALSE)</f>
        <v>N</v>
      </c>
      <c r="Q2801" s="4" t="str">
        <f>VLOOKUP($B2801,'D7 - NDB Impacted SPRF''s'!$E$16:$O$9929,10,FALSE)</f>
        <v>N</v>
      </c>
      <c r="R2801" s="4" t="str">
        <f>VLOOKUP($B2801,'D7 - NDB Impacted SPRF''s'!$E$16:$O$9929,11,FALSE)</f>
        <v>Y</v>
      </c>
      <c r="S2801" s="8"/>
      <c r="T2801" s="310"/>
      <c r="U2801" s="310"/>
      <c r="V2801" s="4"/>
      <c r="W2801" s="4"/>
      <c r="X2801" s="4"/>
      <c r="Y2801" s="4"/>
      <c r="Z2801" s="4"/>
      <c r="AA2801" s="4"/>
      <c r="AB2801" s="380" t="str">
        <f>VLOOKUP($B2801,'D7 - NDB Impacted SPRF''s'!$E$16:$O$9929,4,FALSE)</f>
        <v>Completed</v>
      </c>
      <c r="AC2801" s="380" t="str">
        <f>VLOOKUP($B2801,'D7 - NDB Impacted SPRF''s'!$E$16:$O$9929,3,FALSE)</f>
        <v>UnitedHealthcare Employer &amp; Individual</v>
      </c>
      <c r="AD2801" s="380" t="str">
        <f>VLOOKUP($B2801,'D7 - NDB Impacted SPRF''s'!$E$16:$O$9929,5,FALSE)</f>
        <v>HCA - HPHC Operational Support</v>
      </c>
      <c r="AE2801" s="380" t="str">
        <f>VLOOKUP($B2801,'D7 - NDB Impacted SPRF''s'!$E$16:$O$9929,7,FALSE)</f>
        <v>Schafer, Kelly</v>
      </c>
      <c r="AF2801" s="380" t="str">
        <f>VLOOKUP($B2801,'D7 - NDB Impacted SPRF''s'!$E$16:$O$9929,6,FALSE)</f>
        <v>LUND ROSS</v>
      </c>
      <c r="AG2801" s="282"/>
      <c r="AH2801" s="311" t="e">
        <f>INDEX('D5 - Gatekeeper - Projects'!$A$4:$AF$1010,$AM2801, 17)</f>
        <v>#N/A</v>
      </c>
      <c r="AI2801" s="8"/>
      <c r="AJ2801" s="57"/>
      <c r="AK2801" s="105"/>
      <c r="AM2801" s="6" t="e">
        <f>MATCH(D2801,'D5 - Gatekeeper - Projects'!$C$4:$C$1010,0)</f>
        <v>#N/A</v>
      </c>
      <c r="AN2801" s="6" t="b">
        <f t="shared" si="286"/>
        <v>1</v>
      </c>
      <c r="AO2801" s="6" t="str">
        <f t="shared" si="287"/>
        <v>OK</v>
      </c>
      <c r="AQ2801" s="6" t="e">
        <f>MATCH($D2801,'D4 - Provider Council Unsched'!$C$11:$C$234,0)</f>
        <v>#N/A</v>
      </c>
      <c r="AR2801" s="6" t="b">
        <f t="shared" si="288"/>
        <v>1</v>
      </c>
      <c r="AS2801" s="6" t="str">
        <f t="shared" si="292"/>
        <v>OK</v>
      </c>
      <c r="AU2801" s="202"/>
      <c r="AV2801" s="262"/>
      <c r="AW2801" s="274"/>
    </row>
    <row r="2802" spans="1:49" s="13" customFormat="1" ht="33.75" x14ac:dyDescent="0.2">
      <c r="A2802" s="14">
        <v>2778</v>
      </c>
      <c r="B2802" s="14">
        <v>400021939</v>
      </c>
      <c r="C2802" s="8" t="s">
        <v>5197</v>
      </c>
      <c r="D2802" s="4" t="str">
        <f t="shared" si="290"/>
        <v>400021939R1</v>
      </c>
      <c r="E2802" s="309" t="str">
        <f>VLOOKUP($B2802,'D7 - NDB Impacted SPRF''s'!$E$6:$O$9929,2,FALSE)</f>
        <v xml:space="preserve">Lehigh Valley </v>
      </c>
      <c r="F2802" s="8" t="s">
        <v>2114</v>
      </c>
      <c r="G2802" s="8" t="s">
        <v>4758</v>
      </c>
      <c r="H2802" s="8" t="s">
        <v>2870</v>
      </c>
      <c r="I2802" s="20">
        <v>1.07</v>
      </c>
      <c r="J2802" s="8" t="s">
        <v>4862</v>
      </c>
      <c r="K2802" s="182"/>
      <c r="L2802" s="8" t="s">
        <v>4156</v>
      </c>
      <c r="M2802" s="8" t="s">
        <v>2814</v>
      </c>
      <c r="N2802" s="38" t="s">
        <v>7479</v>
      </c>
      <c r="O2802" s="8"/>
      <c r="P2802" s="4" t="str">
        <f>VLOOKUP($B2802,'D7 - NDB Impacted SPRF''s'!$E$16:$O$9929,9,FALSE)</f>
        <v>Y</v>
      </c>
      <c r="Q2802" s="4" t="str">
        <f>VLOOKUP($B2802,'D7 - NDB Impacted SPRF''s'!$E$16:$O$9929,10,FALSE)</f>
        <v>N</v>
      </c>
      <c r="R2802" s="4" t="str">
        <f>VLOOKUP($B2802,'D7 - NDB Impacted SPRF''s'!$E$16:$O$9929,11,FALSE)</f>
        <v>N</v>
      </c>
      <c r="S2802" s="8"/>
      <c r="T2802" s="310"/>
      <c r="U2802" s="310"/>
      <c r="V2802" s="4"/>
      <c r="W2802" s="4"/>
      <c r="X2802" s="4"/>
      <c r="Y2802" s="4"/>
      <c r="Z2802" s="4"/>
      <c r="AA2802" s="4"/>
      <c r="AB2802" s="380" t="str">
        <f>VLOOKUP($B2802,'D7 - NDB Impacted SPRF''s'!$E$16:$O$9929,4,FALSE)</f>
        <v>Cancelled</v>
      </c>
      <c r="AC2802" s="380" t="str">
        <f>VLOOKUP($B2802,'D7 - NDB Impacted SPRF''s'!$E$16:$O$9929,3,FALSE)</f>
        <v>UnitedHealthcare Employer &amp; Individual</v>
      </c>
      <c r="AD2802" s="380" t="str">
        <f>VLOOKUP($B2802,'D7 - NDB Impacted SPRF''s'!$E$16:$O$9929,5,FALSE)</f>
        <v>Membership Growth / Revenue Programs</v>
      </c>
      <c r="AE2802" s="380" t="str">
        <f>VLOOKUP($B2802,'D7 - NDB Impacted SPRF''s'!$E$16:$O$9929,7,FALSE)</f>
        <v>Regis O'Neill</v>
      </c>
      <c r="AF2802" s="380" t="str">
        <f>VLOOKUP($B2802,'D7 - NDB Impacted SPRF''s'!$E$16:$O$9929,6,FALSE)</f>
        <v>Lindsey Flynn</v>
      </c>
      <c r="AG2802" s="282"/>
      <c r="AH2802" s="311" t="e">
        <f>INDEX('D5 - Gatekeeper - Projects'!$A$4:$AF$1010,$AM2802, 17)</f>
        <v>#N/A</v>
      </c>
      <c r="AI2802" s="8"/>
      <c r="AJ2802" s="57"/>
      <c r="AK2802" s="105"/>
      <c r="AM2802" s="6" t="e">
        <f>MATCH(D2802,'D5 - Gatekeeper - Projects'!$C$4:$C$1010,0)</f>
        <v>#N/A</v>
      </c>
      <c r="AN2802" s="6" t="b">
        <f t="shared" si="286"/>
        <v>1</v>
      </c>
      <c r="AO2802" s="6" t="str">
        <f t="shared" si="287"/>
        <v>OK</v>
      </c>
      <c r="AQ2802" s="6" t="e">
        <f>MATCH($D2802,'D4 - Provider Council Unsched'!$C$11:$C$234,0)</f>
        <v>#N/A</v>
      </c>
      <c r="AR2802" s="6" t="b">
        <f t="shared" si="288"/>
        <v>1</v>
      </c>
      <c r="AS2802" s="6" t="str">
        <f t="shared" si="292"/>
        <v>OK</v>
      </c>
      <c r="AU2802" s="202"/>
      <c r="AV2802" s="262"/>
      <c r="AW2802" s="274"/>
    </row>
    <row r="2803" spans="1:49" s="13" customFormat="1" ht="33.75" x14ac:dyDescent="0.2">
      <c r="A2803" s="14">
        <v>2779</v>
      </c>
      <c r="B2803" s="14">
        <v>400021949</v>
      </c>
      <c r="C2803" s="8" t="s">
        <v>5197</v>
      </c>
      <c r="D2803" s="4" t="str">
        <f t="shared" si="290"/>
        <v>400021949R1</v>
      </c>
      <c r="E2803" s="309" t="str">
        <f>VLOOKUP($B2803,'D7 - NDB Impacted SPRF''s'!$E$6:$O$9929,2,FALSE)</f>
        <v>UVP Provider Experience Redesign - Development</v>
      </c>
      <c r="F2803" s="8" t="s">
        <v>2114</v>
      </c>
      <c r="G2803" s="8" t="s">
        <v>4758</v>
      </c>
      <c r="H2803" s="8" t="s">
        <v>2870</v>
      </c>
      <c r="I2803" s="20">
        <f>200/150</f>
        <v>1.3333333333333333</v>
      </c>
      <c r="J2803" s="8" t="s">
        <v>4862</v>
      </c>
      <c r="K2803" s="182"/>
      <c r="L2803" s="8" t="s">
        <v>4156</v>
      </c>
      <c r="M2803" s="8" t="s">
        <v>2814</v>
      </c>
      <c r="N2803" s="38" t="s">
        <v>7479</v>
      </c>
      <c r="O2803" s="8"/>
      <c r="P2803" s="4" t="str">
        <f>VLOOKUP($B2803,'D7 - NDB Impacted SPRF''s'!$E$16:$O$9929,9,FALSE)</f>
        <v>Y</v>
      </c>
      <c r="Q2803" s="4" t="str">
        <f>VLOOKUP($B2803,'D7 - NDB Impacted SPRF''s'!$E$16:$O$9929,10,FALSE)</f>
        <v>N</v>
      </c>
      <c r="R2803" s="4" t="str">
        <f>VLOOKUP($B2803,'D7 - NDB Impacted SPRF''s'!$E$16:$O$9929,11,FALSE)</f>
        <v>N</v>
      </c>
      <c r="S2803" s="8"/>
      <c r="T2803" s="310"/>
      <c r="U2803" s="310"/>
      <c r="V2803" s="4"/>
      <c r="W2803" s="4"/>
      <c r="X2803" s="4"/>
      <c r="Y2803" s="4"/>
      <c r="Z2803" s="4"/>
      <c r="AA2803" s="4"/>
      <c r="AB2803" s="380" t="str">
        <f>VLOOKUP($B2803,'D7 - NDB Impacted SPRF''s'!$E$16:$O$9929,4,FALSE)</f>
        <v>Cancelled</v>
      </c>
      <c r="AC2803" s="380" t="str">
        <f>VLOOKUP($B2803,'D7 - NDB Impacted SPRF''s'!$E$16:$O$9929,3,FALSE)</f>
        <v>UnitedHealthcare Employer &amp; Individual</v>
      </c>
      <c r="AD2803" s="380" t="str">
        <f>VLOOKUP($B2803,'D7 - NDB Impacted SPRF''s'!$E$16:$O$9929,5,FALSE)</f>
        <v>Process Improvement</v>
      </c>
      <c r="AE2803" s="380" t="str">
        <f>VLOOKUP($B2803,'D7 - NDB Impacted SPRF''s'!$E$16:$O$9929,7,FALSE)</f>
        <v>Katie Cormier</v>
      </c>
      <c r="AF2803" s="380" t="str">
        <f>VLOOKUP($B2803,'D7 - NDB Impacted SPRF''s'!$E$16:$O$9929,6,FALSE)</f>
        <v>Kathleen Cormier</v>
      </c>
      <c r="AG2803" s="282"/>
      <c r="AH2803" s="311" t="e">
        <f>INDEX('D5 - Gatekeeper - Projects'!$A$4:$AF$1010,$AM2803, 17)</f>
        <v>#N/A</v>
      </c>
      <c r="AI2803" s="8"/>
      <c r="AJ2803" s="57"/>
      <c r="AK2803" s="105"/>
      <c r="AM2803" s="6" t="e">
        <f>MATCH(D2803,'D5 - Gatekeeper - Projects'!$C$4:$C$1010,0)</f>
        <v>#N/A</v>
      </c>
      <c r="AN2803" s="6" t="b">
        <f t="shared" si="286"/>
        <v>1</v>
      </c>
      <c r="AO2803" s="6" t="str">
        <f t="shared" si="287"/>
        <v>OK</v>
      </c>
      <c r="AQ2803" s="6" t="e">
        <f>MATCH($D2803,'D4 - Provider Council Unsched'!$C$11:$C$234,0)</f>
        <v>#N/A</v>
      </c>
      <c r="AR2803" s="6" t="b">
        <f t="shared" si="288"/>
        <v>1</v>
      </c>
      <c r="AS2803" s="6" t="str">
        <f t="shared" si="292"/>
        <v>OK</v>
      </c>
      <c r="AU2803" s="202"/>
      <c r="AV2803" s="262"/>
      <c r="AW2803" s="274"/>
    </row>
    <row r="2804" spans="1:49" s="13" customFormat="1" ht="33.75" x14ac:dyDescent="0.2">
      <c r="A2804" s="14">
        <v>2780</v>
      </c>
      <c r="B2804" s="14">
        <v>400021975</v>
      </c>
      <c r="C2804" s="8" t="s">
        <v>5197</v>
      </c>
      <c r="D2804" s="4" t="str">
        <f t="shared" si="290"/>
        <v>400021975R1</v>
      </c>
      <c r="E2804" s="309" t="str">
        <f>VLOOKUP($B2804,'D7 - NDB Impacted SPRF''s'!$E$6:$O$9929,2,FALSE)</f>
        <v>New MCR pend code for Anesthesia on iCES</v>
      </c>
      <c r="F2804" s="8" t="s">
        <v>2114</v>
      </c>
      <c r="G2804" s="8" t="s">
        <v>4758</v>
      </c>
      <c r="H2804" s="8" t="s">
        <v>2870</v>
      </c>
      <c r="I2804" s="20"/>
      <c r="J2804" s="8"/>
      <c r="K2804" s="182"/>
      <c r="L2804" s="8" t="s">
        <v>4156</v>
      </c>
      <c r="M2804" s="8" t="s">
        <v>2814</v>
      </c>
      <c r="N2804" s="38" t="s">
        <v>4653</v>
      </c>
      <c r="O2804" s="8"/>
      <c r="P2804" s="4" t="str">
        <f>VLOOKUP($B2804,'D7 - NDB Impacted SPRF''s'!$E$16:$O$9929,9,FALSE)</f>
        <v>Y</v>
      </c>
      <c r="Q2804" s="4" t="str">
        <f>VLOOKUP($B2804,'D7 - NDB Impacted SPRF''s'!$E$16:$O$9929,10,FALSE)</f>
        <v>N</v>
      </c>
      <c r="R2804" s="4" t="str">
        <f>VLOOKUP($B2804,'D7 - NDB Impacted SPRF''s'!$E$16:$O$9929,11,FALSE)</f>
        <v>Y</v>
      </c>
      <c r="S2804" s="8"/>
      <c r="T2804" s="310"/>
      <c r="U2804" s="310"/>
      <c r="V2804" s="4"/>
      <c r="W2804" s="4"/>
      <c r="X2804" s="4"/>
      <c r="Y2804" s="4"/>
      <c r="Z2804" s="4"/>
      <c r="AA2804" s="4"/>
      <c r="AB2804" s="380" t="str">
        <f>VLOOKUP($B2804,'D7 - NDB Impacted SPRF''s'!$E$16:$O$9929,4,FALSE)</f>
        <v>Cancelled</v>
      </c>
      <c r="AC2804" s="380" t="str">
        <f>VLOOKUP($B2804,'D7 - NDB Impacted SPRF''s'!$E$16:$O$9929,3,FALSE)</f>
        <v>UnitedHealthcare Employer &amp; Individual</v>
      </c>
      <c r="AD2804" s="380" t="str">
        <f>VLOOKUP($B2804,'D7 - NDB Impacted SPRF''s'!$E$16:$O$9929,5,FALSE)</f>
        <v>Process Improvement</v>
      </c>
      <c r="AE2804" s="380" t="str">
        <f>VLOOKUP($B2804,'D7 - NDB Impacted SPRF''s'!$E$16:$O$9929,7,FALSE)</f>
        <v>Sally Verilli</v>
      </c>
      <c r="AF2804" s="380" t="str">
        <f>VLOOKUP($B2804,'D7 - NDB Impacted SPRF''s'!$E$16:$O$9929,6,FALSE)</f>
        <v>KATHRYN LEARST</v>
      </c>
      <c r="AG2804" s="282"/>
      <c r="AH2804" s="311" t="e">
        <f>INDEX('D5 - Gatekeeper - Projects'!$A$4:$AF$1010,$AM2804, 17)</f>
        <v>#N/A</v>
      </c>
      <c r="AI2804" s="8"/>
      <c r="AJ2804" s="57"/>
      <c r="AK2804" s="105"/>
      <c r="AM2804" s="6" t="e">
        <f>MATCH(D2804,'D5 - Gatekeeper - Projects'!$C$4:$C$1010,0)</f>
        <v>#N/A</v>
      </c>
      <c r="AN2804" s="6" t="b">
        <f t="shared" si="286"/>
        <v>1</v>
      </c>
      <c r="AO2804" s="6" t="str">
        <f t="shared" si="287"/>
        <v>OK</v>
      </c>
      <c r="AQ2804" s="6" t="e">
        <f>MATCH($D2804,'D4 - Provider Council Unsched'!$C$11:$C$234,0)</f>
        <v>#N/A</v>
      </c>
      <c r="AR2804" s="6" t="b">
        <f t="shared" si="288"/>
        <v>1</v>
      </c>
      <c r="AS2804" s="6" t="str">
        <f t="shared" si="292"/>
        <v>OK</v>
      </c>
      <c r="AU2804" s="202"/>
      <c r="AV2804" s="262"/>
      <c r="AW2804" s="274"/>
    </row>
    <row r="2805" spans="1:49" s="13" customFormat="1" ht="33.75" x14ac:dyDescent="0.2">
      <c r="A2805" s="14">
        <v>2781</v>
      </c>
      <c r="B2805" s="14">
        <v>400021978</v>
      </c>
      <c r="C2805" s="8" t="s">
        <v>5197</v>
      </c>
      <c r="D2805" s="4" t="str">
        <f t="shared" si="290"/>
        <v>400021978R1</v>
      </c>
      <c r="E2805" s="309" t="str">
        <f>VLOOKUP($B2805,'D7 - NDB Impacted SPRF''s'!$E$6:$O$9929,2,FALSE)</f>
        <v>MAHP - IDT Integration</v>
      </c>
      <c r="F2805" s="8" t="s">
        <v>2114</v>
      </c>
      <c r="G2805" s="8" t="s">
        <v>4758</v>
      </c>
      <c r="H2805" s="8" t="s">
        <v>2870</v>
      </c>
      <c r="I2805" s="20">
        <f>160/150</f>
        <v>1.0666666666666667</v>
      </c>
      <c r="J2805" s="8" t="s">
        <v>4862</v>
      </c>
      <c r="K2805" s="182"/>
      <c r="L2805" s="8" t="s">
        <v>4156</v>
      </c>
      <c r="M2805" s="8" t="s">
        <v>2814</v>
      </c>
      <c r="N2805" s="38" t="s">
        <v>7479</v>
      </c>
      <c r="O2805" s="8"/>
      <c r="P2805" s="4" t="str">
        <f>VLOOKUP($B2805,'D7 - NDB Impacted SPRF''s'!$E$16:$O$9929,9,FALSE)</f>
        <v>N</v>
      </c>
      <c r="Q2805" s="4" t="str">
        <f>VLOOKUP($B2805,'D7 - NDB Impacted SPRF''s'!$E$16:$O$9929,10,FALSE)</f>
        <v>N</v>
      </c>
      <c r="R2805" s="4" t="str">
        <f>VLOOKUP($B2805,'D7 - NDB Impacted SPRF''s'!$E$16:$O$9929,11,FALSE)</f>
        <v>N</v>
      </c>
      <c r="S2805" s="8"/>
      <c r="T2805" s="310"/>
      <c r="U2805" s="310"/>
      <c r="V2805" s="4"/>
      <c r="W2805" s="4"/>
      <c r="X2805" s="4"/>
      <c r="Y2805" s="4"/>
      <c r="Z2805" s="4"/>
      <c r="AA2805" s="4"/>
      <c r="AB2805" s="380" t="str">
        <f>VLOOKUP($B2805,'D7 - NDB Impacted SPRF''s'!$E$16:$O$9929,4,FALSE)</f>
        <v>Cancelled</v>
      </c>
      <c r="AC2805" s="380" t="str">
        <f>VLOOKUP($B2805,'D7 - NDB Impacted SPRF''s'!$E$16:$O$9929,3,FALSE)</f>
        <v>UnitedHealthcare Employer &amp; Individual</v>
      </c>
      <c r="AD2805" s="380" t="str">
        <f>VLOOKUP($B2805,'D7 - NDB Impacted SPRF''s'!$E$16:$O$9929,5,FALSE)</f>
        <v>Process Improvement</v>
      </c>
      <c r="AE2805" s="380" t="str">
        <f>VLOOKUP($B2805,'D7 - NDB Impacted SPRF''s'!$E$16:$O$9929,7,FALSE)</f>
        <v>Susan Edberg</v>
      </c>
      <c r="AF2805" s="380" t="str">
        <f>VLOOKUP($B2805,'D7 - NDB Impacted SPRF''s'!$E$16:$O$9929,6,FALSE)</f>
        <v>MONICA LOPEZ</v>
      </c>
      <c r="AG2805" s="282"/>
      <c r="AH2805" s="311" t="e">
        <f>INDEX('D5 - Gatekeeper - Projects'!$A$4:$AF$1010,$AM2805, 17)</f>
        <v>#N/A</v>
      </c>
      <c r="AI2805" s="8"/>
      <c r="AJ2805" s="57"/>
      <c r="AK2805" s="105"/>
      <c r="AM2805" s="6" t="e">
        <f>MATCH(D2805,'D5 - Gatekeeper - Projects'!$C$4:$C$1010,0)</f>
        <v>#N/A</v>
      </c>
      <c r="AN2805" s="6" t="b">
        <f t="shared" si="286"/>
        <v>1</v>
      </c>
      <c r="AO2805" s="6" t="str">
        <f t="shared" si="287"/>
        <v>OK</v>
      </c>
      <c r="AQ2805" s="6" t="e">
        <f>MATCH($D2805,'D4 - Provider Council Unsched'!$C$11:$C$234,0)</f>
        <v>#N/A</v>
      </c>
      <c r="AR2805" s="6" t="b">
        <f t="shared" si="288"/>
        <v>1</v>
      </c>
      <c r="AS2805" s="6" t="str">
        <f t="shared" si="292"/>
        <v>OK</v>
      </c>
      <c r="AU2805" s="202"/>
      <c r="AV2805" s="262"/>
      <c r="AW2805" s="274"/>
    </row>
    <row r="2806" spans="1:49" s="13" customFormat="1" x14ac:dyDescent="0.2">
      <c r="A2806" s="14">
        <v>2782</v>
      </c>
      <c r="B2806" s="14">
        <v>400022077</v>
      </c>
      <c r="C2806" s="8" t="s">
        <v>5197</v>
      </c>
      <c r="D2806" s="4" t="str">
        <f t="shared" si="290"/>
        <v>400022077R1</v>
      </c>
      <c r="E2806" s="309" t="e">
        <f>VLOOKUP($B2806,'D7 - NDB Impacted SPRF''s'!$E$6:$O$9929,2,FALSE)</f>
        <v>#N/A</v>
      </c>
      <c r="F2806" s="8" t="s">
        <v>2114</v>
      </c>
      <c r="G2806" s="8" t="s">
        <v>4758</v>
      </c>
      <c r="H2806" s="8" t="s">
        <v>2870</v>
      </c>
      <c r="I2806" s="20"/>
      <c r="J2806" s="8"/>
      <c r="K2806" s="182"/>
      <c r="L2806" s="8" t="s">
        <v>4156</v>
      </c>
      <c r="M2806" s="8" t="s">
        <v>2814</v>
      </c>
      <c r="N2806" s="38" t="s">
        <v>6775</v>
      </c>
      <c r="O2806" s="8"/>
      <c r="P2806" s="4" t="e">
        <f>VLOOKUP($B2806,'D7 - NDB Impacted SPRF''s'!$E$16:$O$9929,9,FALSE)</f>
        <v>#N/A</v>
      </c>
      <c r="Q2806" s="4" t="e">
        <f>VLOOKUP($B2806,'D7 - NDB Impacted SPRF''s'!$E$16:$O$9929,10,FALSE)</f>
        <v>#N/A</v>
      </c>
      <c r="R2806" s="4" t="e">
        <f>VLOOKUP($B2806,'D7 - NDB Impacted SPRF''s'!$E$16:$O$9929,11,FALSE)</f>
        <v>#N/A</v>
      </c>
      <c r="S2806" s="8"/>
      <c r="T2806" s="310"/>
      <c r="U2806" s="310"/>
      <c r="V2806" s="4"/>
      <c r="W2806" s="4"/>
      <c r="X2806" s="4"/>
      <c r="Y2806" s="4"/>
      <c r="Z2806" s="4"/>
      <c r="AA2806" s="4"/>
      <c r="AB2806" s="380" t="e">
        <f>VLOOKUP($B2806,'D7 - NDB Impacted SPRF''s'!$E$16:$O$9929,4,FALSE)</f>
        <v>#N/A</v>
      </c>
      <c r="AC2806" s="380" t="e">
        <f>VLOOKUP($B2806,'D7 - NDB Impacted SPRF''s'!$E$16:$O$9929,3,FALSE)</f>
        <v>#N/A</v>
      </c>
      <c r="AD2806" s="380" t="e">
        <f>VLOOKUP($B2806,'D7 - NDB Impacted SPRF''s'!$E$16:$O$9929,5,FALSE)</f>
        <v>#N/A</v>
      </c>
      <c r="AE2806" s="380" t="e">
        <f>VLOOKUP($B2806,'D7 - NDB Impacted SPRF''s'!$E$16:$O$9929,7,FALSE)</f>
        <v>#N/A</v>
      </c>
      <c r="AF2806" s="380" t="e">
        <f>VLOOKUP($B2806,'D7 - NDB Impacted SPRF''s'!$E$16:$O$9929,6,FALSE)</f>
        <v>#N/A</v>
      </c>
      <c r="AG2806" s="282"/>
      <c r="AH2806" s="311" t="e">
        <f>INDEX('D5 - Gatekeeper - Projects'!$A$4:$AF$1010,$AM2806, 17)</f>
        <v>#N/A</v>
      </c>
      <c r="AI2806" s="8"/>
      <c r="AJ2806" s="57"/>
      <c r="AK2806" s="105"/>
      <c r="AM2806" s="6" t="e">
        <f>MATCH(D2806,'D5 - Gatekeeper - Projects'!$C$4:$C$1010,0)</f>
        <v>#N/A</v>
      </c>
      <c r="AN2806" s="6" t="b">
        <f t="shared" si="286"/>
        <v>1</v>
      </c>
      <c r="AO2806" s="6" t="str">
        <f t="shared" si="287"/>
        <v>OK</v>
      </c>
      <c r="AQ2806" s="6" t="e">
        <f>MATCH($D2806,'D4 - Provider Council Unsched'!$C$11:$C$234,0)</f>
        <v>#N/A</v>
      </c>
      <c r="AR2806" s="6" t="b">
        <f t="shared" si="288"/>
        <v>1</v>
      </c>
      <c r="AS2806" s="6" t="str">
        <f t="shared" si="292"/>
        <v>OK</v>
      </c>
      <c r="AU2806" s="202"/>
      <c r="AV2806" s="262"/>
      <c r="AW2806" s="274"/>
    </row>
    <row r="2807" spans="1:49" s="13" customFormat="1" ht="33.75" x14ac:dyDescent="0.2">
      <c r="A2807" s="14">
        <v>2783</v>
      </c>
      <c r="B2807" s="14">
        <v>400022084</v>
      </c>
      <c r="C2807" s="8" t="s">
        <v>5197</v>
      </c>
      <c r="D2807" s="4" t="str">
        <f t="shared" si="290"/>
        <v>400022084R1</v>
      </c>
      <c r="E2807" s="309" t="str">
        <f>VLOOKUP($B2807,'D7 - NDB Impacted SPRF''s'!$E$6:$O$9929,2,FALSE)</f>
        <v>Americhoice - UHG Provider Portal Link to COSMOS</v>
      </c>
      <c r="F2807" s="8" t="s">
        <v>2114</v>
      </c>
      <c r="G2807" s="8" t="s">
        <v>4758</v>
      </c>
      <c r="H2807" s="8" t="s">
        <v>2870</v>
      </c>
      <c r="I2807" s="20">
        <f>98/150</f>
        <v>0.65333333333333332</v>
      </c>
      <c r="J2807" s="8" t="s">
        <v>4862</v>
      </c>
      <c r="K2807" s="182"/>
      <c r="L2807" s="8" t="s">
        <v>4156</v>
      </c>
      <c r="M2807" s="8" t="s">
        <v>6688</v>
      </c>
      <c r="N2807" s="38"/>
      <c r="O2807" s="8"/>
      <c r="P2807" s="4" t="str">
        <f>VLOOKUP($B2807,'D7 - NDB Impacted SPRF''s'!$E$16:$O$9929,9,FALSE)</f>
        <v>N</v>
      </c>
      <c r="Q2807" s="4" t="str">
        <f>VLOOKUP($B2807,'D7 - NDB Impacted SPRF''s'!$E$16:$O$9929,10,FALSE)</f>
        <v>N</v>
      </c>
      <c r="R2807" s="4" t="str">
        <f>VLOOKUP($B2807,'D7 - NDB Impacted SPRF''s'!$E$16:$O$9929,11,FALSE)</f>
        <v>N</v>
      </c>
      <c r="S2807" s="8"/>
      <c r="T2807" s="310"/>
      <c r="U2807" s="310"/>
      <c r="V2807" s="4"/>
      <c r="W2807" s="4"/>
      <c r="X2807" s="4"/>
      <c r="Y2807" s="4"/>
      <c r="Z2807" s="4"/>
      <c r="AA2807" s="4"/>
      <c r="AB2807" s="380" t="str">
        <f>VLOOKUP($B2807,'D7 - NDB Impacted SPRF''s'!$E$16:$O$9929,4,FALSE)</f>
        <v>Cancelled</v>
      </c>
      <c r="AC2807" s="380" t="str">
        <f>VLOOKUP($B2807,'D7 - NDB Impacted SPRF''s'!$E$16:$O$9929,3,FALSE)</f>
        <v>UnitedHealthcare Medicare &amp; Retirement</v>
      </c>
      <c r="AD2807" s="380" t="str">
        <f>VLOOKUP($B2807,'D7 - NDB Impacted SPRF''s'!$E$16:$O$9929,5,FALSE)</f>
        <v>Clinical Engagement Toolbox</v>
      </c>
      <c r="AE2807" s="380" t="str">
        <f>VLOOKUP($B2807,'D7 - NDB Impacted SPRF''s'!$E$16:$O$9929,7,FALSE)</f>
        <v>Cindi Middaugh</v>
      </c>
      <c r="AF2807" s="380" t="str">
        <f>VLOOKUP($B2807,'D7 - NDB Impacted SPRF''s'!$E$16:$O$9929,6,FALSE)</f>
        <v>CHRISTINA MOSHER</v>
      </c>
      <c r="AG2807" s="282"/>
      <c r="AH2807" s="311" t="e">
        <f>INDEX('D5 - Gatekeeper - Projects'!$A$4:$AF$1010,$AM2807, 17)</f>
        <v>#N/A</v>
      </c>
      <c r="AI2807" s="8"/>
      <c r="AJ2807" s="57"/>
      <c r="AK2807" s="105"/>
      <c r="AM2807" s="6" t="e">
        <f>MATCH(D2807,'D5 - Gatekeeper - Projects'!$C$4:$C$1010,0)</f>
        <v>#N/A</v>
      </c>
      <c r="AN2807" s="6" t="b">
        <f t="shared" si="286"/>
        <v>1</v>
      </c>
      <c r="AO2807" s="6" t="str">
        <f t="shared" si="287"/>
        <v>OK</v>
      </c>
      <c r="AQ2807" s="6" t="e">
        <f>MATCH($D2807,'D4 - Provider Council Unsched'!$C$11:$C$234,0)</f>
        <v>#N/A</v>
      </c>
      <c r="AR2807" s="6" t="b">
        <f t="shared" si="288"/>
        <v>1</v>
      </c>
      <c r="AS2807" s="6" t="str">
        <f t="shared" si="292"/>
        <v>OK</v>
      </c>
      <c r="AU2807" s="202"/>
      <c r="AV2807" s="262"/>
      <c r="AW2807" s="274"/>
    </row>
    <row r="2808" spans="1:49" s="13" customFormat="1" ht="33.75" x14ac:dyDescent="0.2">
      <c r="A2808" s="14">
        <v>2784</v>
      </c>
      <c r="B2808" s="14">
        <v>400022116</v>
      </c>
      <c r="C2808" s="8" t="s">
        <v>5197</v>
      </c>
      <c r="D2808" s="4" t="str">
        <f t="shared" si="290"/>
        <v>400022116R1</v>
      </c>
      <c r="E2808" s="309" t="str">
        <f>VLOOKUP($B2808,'D7 - NDB Impacted SPRF''s'!$E$6:$O$9929,2,FALSE)</f>
        <v>Harrington-Benesight UB Choice Plus Access</v>
      </c>
      <c r="F2808" s="8" t="s">
        <v>2114</v>
      </c>
      <c r="G2808" s="8" t="s">
        <v>4758</v>
      </c>
      <c r="H2808" s="8" t="s">
        <v>2870</v>
      </c>
      <c r="I2808" s="20"/>
      <c r="J2808" s="8"/>
      <c r="K2808" s="182"/>
      <c r="L2808" s="8" t="s">
        <v>4156</v>
      </c>
      <c r="M2808" s="8" t="s">
        <v>2814</v>
      </c>
      <c r="N2808" s="38"/>
      <c r="O2808" s="8"/>
      <c r="P2808" s="4" t="str">
        <f>VLOOKUP($B2808,'D7 - NDB Impacted SPRF''s'!$E$16:$O$9929,9,FALSE)</f>
        <v>N</v>
      </c>
      <c r="Q2808" s="4" t="str">
        <f>VLOOKUP($B2808,'D7 - NDB Impacted SPRF''s'!$E$16:$O$9929,10,FALSE)</f>
        <v>N</v>
      </c>
      <c r="R2808" s="4" t="str">
        <f>VLOOKUP($B2808,'D7 - NDB Impacted SPRF''s'!$E$16:$O$9929,11,FALSE)</f>
        <v>Y</v>
      </c>
      <c r="S2808" s="8"/>
      <c r="T2808" s="310"/>
      <c r="U2808" s="310"/>
      <c r="V2808" s="4"/>
      <c r="W2808" s="4"/>
      <c r="X2808" s="4"/>
      <c r="Y2808" s="4"/>
      <c r="Z2808" s="4"/>
      <c r="AA2808" s="4"/>
      <c r="AB2808" s="380" t="str">
        <f>VLOOKUP($B2808,'D7 - NDB Impacted SPRF''s'!$E$16:$O$9929,4,FALSE)</f>
        <v>Cancelled</v>
      </c>
      <c r="AC2808" s="380" t="str">
        <f>VLOOKUP($B2808,'D7 - NDB Impacted SPRF''s'!$E$16:$O$9929,3,FALSE)</f>
        <v>UnitedHealthcare Employer &amp; Individual</v>
      </c>
      <c r="AD2808" s="380" t="str">
        <f>VLOOKUP($B2808,'D7 - NDB Impacted SPRF''s'!$E$16:$O$9929,5,FALSE)</f>
        <v>Network Growth / Enhancements</v>
      </c>
      <c r="AE2808" s="380" t="str">
        <f>VLOOKUP($B2808,'D7 - NDB Impacted SPRF''s'!$E$16:$O$9929,7,FALSE)</f>
        <v>Sally Verrilli</v>
      </c>
      <c r="AF2808" s="380" t="str">
        <f>VLOOKUP($B2808,'D7 - NDB Impacted SPRF''s'!$E$16:$O$9929,6,FALSE)</f>
        <v>STACIE THOMAS</v>
      </c>
      <c r="AG2808" s="282"/>
      <c r="AH2808" s="311" t="e">
        <f>INDEX('D5 - Gatekeeper - Projects'!$A$4:$AF$1010,$AM2808, 17)</f>
        <v>#N/A</v>
      </c>
      <c r="AI2808" s="8"/>
      <c r="AJ2808" s="57"/>
      <c r="AK2808" s="105"/>
      <c r="AM2808" s="6" t="e">
        <f>MATCH(D2808,'D5 - Gatekeeper - Projects'!$C$4:$C$1010,0)</f>
        <v>#N/A</v>
      </c>
      <c r="AN2808" s="6" t="b">
        <f t="shared" si="286"/>
        <v>1</v>
      </c>
      <c r="AO2808" s="6" t="str">
        <f t="shared" si="287"/>
        <v>OK</v>
      </c>
      <c r="AQ2808" s="6" t="e">
        <f>MATCH($D2808,'D4 - Provider Council Unsched'!$C$11:$C$234,0)</f>
        <v>#N/A</v>
      </c>
      <c r="AR2808" s="6" t="b">
        <f t="shared" si="288"/>
        <v>1</v>
      </c>
      <c r="AS2808" s="6" t="str">
        <f t="shared" si="292"/>
        <v>OK</v>
      </c>
      <c r="AU2808" s="202"/>
      <c r="AV2808" s="262"/>
      <c r="AW2808" s="274"/>
    </row>
    <row r="2809" spans="1:49" s="13" customFormat="1" ht="33.75" x14ac:dyDescent="0.2">
      <c r="A2809" s="14">
        <v>2785</v>
      </c>
      <c r="B2809" s="14">
        <v>400022191</v>
      </c>
      <c r="C2809" s="8" t="s">
        <v>5197</v>
      </c>
      <c r="D2809" s="4" t="str">
        <f t="shared" si="290"/>
        <v>400022191R1</v>
      </c>
      <c r="E2809" s="309" t="str">
        <f>VLOOKUP($B2809,'D7 - NDB Impacted SPRF''s'!$E$6:$O$9929,2,FALSE)</f>
        <v>PHS Provider Crosswalk</v>
      </c>
      <c r="F2809" s="8" t="s">
        <v>6071</v>
      </c>
      <c r="G2809" s="8" t="s">
        <v>4758</v>
      </c>
      <c r="H2809" s="8" t="s">
        <v>2870</v>
      </c>
      <c r="I2809" s="20"/>
      <c r="J2809" s="8"/>
      <c r="K2809" s="182"/>
      <c r="L2809" s="8" t="s">
        <v>4156</v>
      </c>
      <c r="M2809" s="8" t="s">
        <v>2814</v>
      </c>
      <c r="N2809" s="38" t="s">
        <v>4696</v>
      </c>
      <c r="O2809" s="8"/>
      <c r="P2809" s="4" t="str">
        <f>VLOOKUP($B2809,'D7 - NDB Impacted SPRF''s'!$E$16:$O$9929,9,FALSE)</f>
        <v>N</v>
      </c>
      <c r="Q2809" s="4" t="str">
        <f>VLOOKUP($B2809,'D7 - NDB Impacted SPRF''s'!$E$16:$O$9929,10,FALSE)</f>
        <v>N</v>
      </c>
      <c r="R2809" s="4" t="str">
        <f>VLOOKUP($B2809,'D7 - NDB Impacted SPRF''s'!$E$16:$O$9929,11,FALSE)</f>
        <v>N</v>
      </c>
      <c r="S2809" s="8"/>
      <c r="T2809" s="310"/>
      <c r="U2809" s="310"/>
      <c r="V2809" s="4"/>
      <c r="W2809" s="4"/>
      <c r="X2809" s="4"/>
      <c r="Y2809" s="4"/>
      <c r="Z2809" s="4"/>
      <c r="AA2809" s="4"/>
      <c r="AB2809" s="380" t="str">
        <f>VLOOKUP($B2809,'D7 - NDB Impacted SPRF''s'!$E$16:$O$9929,4,FALSE)</f>
        <v>Cancelled</v>
      </c>
      <c r="AC2809" s="380" t="str">
        <f>VLOOKUP($B2809,'D7 - NDB Impacted SPRF''s'!$E$16:$O$9929,3,FALSE)</f>
        <v>UnitedHealthcare Employer &amp; Individual</v>
      </c>
      <c r="AD2809" s="380" t="str">
        <f>VLOOKUP($B2809,'D7 - NDB Impacted SPRF''s'!$E$16:$O$9929,5,FALSE)</f>
        <v>Integration Requirements</v>
      </c>
      <c r="AE2809" s="380" t="str">
        <f>VLOOKUP($B2809,'D7 - NDB Impacted SPRF''s'!$E$16:$O$9929,7,FALSE)</f>
        <v>Tim Kaja</v>
      </c>
      <c r="AF2809" s="380" t="str">
        <f>VLOOKUP($B2809,'D7 - NDB Impacted SPRF''s'!$E$16:$O$9929,6,FALSE)</f>
        <v>Thomasa Hindman</v>
      </c>
      <c r="AG2809" s="282"/>
      <c r="AH2809" s="311" t="e">
        <f>INDEX('D5 - Gatekeeper - Projects'!$A$4:$AF$1010,$AM2809, 17)</f>
        <v>#N/A</v>
      </c>
      <c r="AI2809" s="8"/>
      <c r="AJ2809" s="57"/>
      <c r="AK2809" s="105"/>
      <c r="AM2809" s="6" t="e">
        <f>MATCH(D2809,'D5 - Gatekeeper - Projects'!$C$4:$C$1010,0)</f>
        <v>#N/A</v>
      </c>
      <c r="AN2809" s="6" t="b">
        <f t="shared" si="286"/>
        <v>1</v>
      </c>
      <c r="AO2809" s="6" t="str">
        <f t="shared" si="287"/>
        <v>OK</v>
      </c>
      <c r="AQ2809" s="6" t="e">
        <f>MATCH($D2809,'D4 - Provider Council Unsched'!$C$11:$C$234,0)</f>
        <v>#N/A</v>
      </c>
      <c r="AR2809" s="6" t="b">
        <f t="shared" si="288"/>
        <v>1</v>
      </c>
      <c r="AS2809" s="6" t="str">
        <f t="shared" si="292"/>
        <v>OK</v>
      </c>
      <c r="AU2809" s="202"/>
      <c r="AV2809" s="262"/>
      <c r="AW2809" s="274"/>
    </row>
    <row r="2810" spans="1:49" s="13" customFormat="1" ht="33.75" x14ac:dyDescent="0.2">
      <c r="A2810" s="14">
        <v>2786</v>
      </c>
      <c r="B2810" s="14">
        <v>400022356</v>
      </c>
      <c r="C2810" s="8" t="s">
        <v>5197</v>
      </c>
      <c r="D2810" s="4" t="str">
        <f t="shared" si="290"/>
        <v>400022356R1</v>
      </c>
      <c r="E2810" s="309" t="str">
        <f>VLOOKUP($B2810,'D7 - NDB Impacted SPRF''s'!$E$6:$O$9929,2,FALSE)</f>
        <v>IDT Availability Analysis</v>
      </c>
      <c r="F2810" s="8" t="s">
        <v>2114</v>
      </c>
      <c r="G2810" s="8" t="s">
        <v>4758</v>
      </c>
      <c r="H2810" s="8" t="s">
        <v>2870</v>
      </c>
      <c r="I2810" s="20">
        <f>164/160</f>
        <v>1.0249999999999999</v>
      </c>
      <c r="J2810" s="8" t="s">
        <v>4862</v>
      </c>
      <c r="K2810" s="182"/>
      <c r="L2810" s="8" t="s">
        <v>4156</v>
      </c>
      <c r="M2810" s="8" t="s">
        <v>6688</v>
      </c>
      <c r="N2810" s="38" t="s">
        <v>8012</v>
      </c>
      <c r="O2810" s="8"/>
      <c r="P2810" s="4" t="str">
        <f>VLOOKUP($B2810,'D7 - NDB Impacted SPRF''s'!$E$16:$O$9929,9,FALSE)</f>
        <v>Y</v>
      </c>
      <c r="Q2810" s="4" t="str">
        <f>VLOOKUP($B2810,'D7 - NDB Impacted SPRF''s'!$E$16:$O$9929,10,FALSE)</f>
        <v>N</v>
      </c>
      <c r="R2810" s="4" t="str">
        <f>VLOOKUP($B2810,'D7 - NDB Impacted SPRF''s'!$E$16:$O$9929,11,FALSE)</f>
        <v>N</v>
      </c>
      <c r="S2810" s="8"/>
      <c r="T2810" s="310"/>
      <c r="U2810" s="310"/>
      <c r="V2810" s="4"/>
      <c r="W2810" s="4"/>
      <c r="X2810" s="4"/>
      <c r="Y2810" s="4"/>
      <c r="Z2810" s="4"/>
      <c r="AA2810" s="4"/>
      <c r="AB2810" s="380" t="str">
        <f>VLOOKUP($B2810,'D7 - NDB Impacted SPRF''s'!$E$16:$O$9929,4,FALSE)</f>
        <v>Cancelled</v>
      </c>
      <c r="AC2810" s="380" t="str">
        <f>VLOOKUP($B2810,'D7 - NDB Impacted SPRF''s'!$E$16:$O$9929,3,FALSE)</f>
        <v>UnitedHealthcare Medicare &amp; Retirement</v>
      </c>
      <c r="AD2810" s="380" t="str">
        <f>VLOOKUP($B2810,'D7 - NDB Impacted SPRF''s'!$E$16:$O$9929,5,FALSE)</f>
        <v>Ovations</v>
      </c>
      <c r="AE2810" s="380" t="str">
        <f>VLOOKUP($B2810,'D7 - NDB Impacted SPRF''s'!$E$16:$O$9929,7,FALSE)</f>
        <v>Paul Shamansky</v>
      </c>
      <c r="AF2810" s="380" t="str">
        <f>VLOOKUP($B2810,'D7 - NDB Impacted SPRF''s'!$E$16:$O$9929,6,FALSE)</f>
        <v>Nicola Brown</v>
      </c>
      <c r="AG2810" s="282"/>
      <c r="AH2810" s="311" t="e">
        <f>INDEX('D5 - Gatekeeper - Projects'!$A$4:$AF$1010,$AM2810, 17)</f>
        <v>#N/A</v>
      </c>
      <c r="AI2810" s="8"/>
      <c r="AJ2810" s="57"/>
      <c r="AK2810" s="105"/>
      <c r="AM2810" s="6" t="e">
        <f>MATCH(D2810,'D5 - Gatekeeper - Projects'!$C$4:$C$1010,0)</f>
        <v>#N/A</v>
      </c>
      <c r="AN2810" s="6" t="b">
        <f t="shared" si="286"/>
        <v>1</v>
      </c>
      <c r="AO2810" s="6" t="str">
        <f t="shared" si="287"/>
        <v>OK</v>
      </c>
      <c r="AQ2810" s="6" t="e">
        <f>MATCH($D2810,'D4 - Provider Council Unsched'!$C$11:$C$234,0)</f>
        <v>#N/A</v>
      </c>
      <c r="AR2810" s="6" t="b">
        <f t="shared" si="288"/>
        <v>1</v>
      </c>
      <c r="AS2810" s="6" t="str">
        <f t="shared" si="292"/>
        <v>OK</v>
      </c>
      <c r="AU2810" s="202"/>
      <c r="AV2810" s="262"/>
      <c r="AW2810" s="274"/>
    </row>
    <row r="2811" spans="1:49" s="13" customFormat="1" ht="33.75" x14ac:dyDescent="0.2">
      <c r="A2811" s="14">
        <v>2787</v>
      </c>
      <c r="B2811" s="14">
        <v>400022487</v>
      </c>
      <c r="C2811" s="8" t="s">
        <v>5197</v>
      </c>
      <c r="D2811" s="4" t="str">
        <f t="shared" si="290"/>
        <v>400022487R1</v>
      </c>
      <c r="E2811" s="309" t="str">
        <f>VLOOKUP($B2811,'D7 - NDB Impacted SPRF''s'!$E$6:$O$9929,2,FALSE)</f>
        <v>IDT Provider Alert Enhancements</v>
      </c>
      <c r="F2811" s="8" t="s">
        <v>2114</v>
      </c>
      <c r="G2811" s="8" t="s">
        <v>4758</v>
      </c>
      <c r="H2811" s="8" t="s">
        <v>2870</v>
      </c>
      <c r="I2811" s="20"/>
      <c r="J2811" s="8"/>
      <c r="K2811" s="182"/>
      <c r="L2811" s="8" t="s">
        <v>4156</v>
      </c>
      <c r="M2811" s="8" t="s">
        <v>2814</v>
      </c>
      <c r="N2811" s="38" t="s">
        <v>4653</v>
      </c>
      <c r="O2811" s="8"/>
      <c r="P2811" s="4" t="str">
        <f>VLOOKUP($B2811,'D7 - NDB Impacted SPRF''s'!$E$16:$O$9929,9,FALSE)</f>
        <v>N</v>
      </c>
      <c r="Q2811" s="4" t="str">
        <f>VLOOKUP($B2811,'D7 - NDB Impacted SPRF''s'!$E$16:$O$9929,10,FALSE)</f>
        <v>N</v>
      </c>
      <c r="R2811" s="4" t="str">
        <f>VLOOKUP($B2811,'D7 - NDB Impacted SPRF''s'!$E$16:$O$9929,11,FALSE)</f>
        <v>N</v>
      </c>
      <c r="S2811" s="8"/>
      <c r="T2811" s="310"/>
      <c r="U2811" s="310"/>
      <c r="V2811" s="4"/>
      <c r="W2811" s="4"/>
      <c r="X2811" s="4"/>
      <c r="Y2811" s="4"/>
      <c r="Z2811" s="4"/>
      <c r="AA2811" s="4"/>
      <c r="AB2811" s="380" t="str">
        <f>VLOOKUP($B2811,'D7 - NDB Impacted SPRF''s'!$E$16:$O$9929,4,FALSE)</f>
        <v>Cancelled</v>
      </c>
      <c r="AC2811" s="380" t="str">
        <f>VLOOKUP($B2811,'D7 - NDB Impacted SPRF''s'!$E$16:$O$9929,3,FALSE)</f>
        <v>UnitedHealthcare Employer &amp; Individual</v>
      </c>
      <c r="AD2811" s="380" t="str">
        <f>VLOOKUP($B2811,'D7 - NDB Impacted SPRF''s'!$E$16:$O$9929,5,FALSE)</f>
        <v>Process Improvement</v>
      </c>
      <c r="AE2811" s="380" t="str">
        <f>VLOOKUP($B2811,'D7 - NDB Impacted SPRF''s'!$E$16:$O$9929,7,FALSE)</f>
        <v>Sue Edberg</v>
      </c>
      <c r="AF2811" s="380" t="str">
        <f>VLOOKUP($B2811,'D7 - NDB Impacted SPRF''s'!$E$16:$O$9929,6,FALSE)</f>
        <v>KRISTYN EIRING</v>
      </c>
      <c r="AG2811" s="282"/>
      <c r="AH2811" s="311" t="e">
        <f>INDEX('D5 - Gatekeeper - Projects'!$A$4:$AF$1010,$AM2811, 17)</f>
        <v>#N/A</v>
      </c>
      <c r="AI2811" s="8"/>
      <c r="AJ2811" s="57"/>
      <c r="AK2811" s="105"/>
      <c r="AM2811" s="6" t="e">
        <f>MATCH(D2811,'D5 - Gatekeeper - Projects'!$C$4:$C$1010,0)</f>
        <v>#N/A</v>
      </c>
      <c r="AN2811" s="6" t="b">
        <f t="shared" si="286"/>
        <v>1</v>
      </c>
      <c r="AO2811" s="6" t="str">
        <f t="shared" si="287"/>
        <v>OK</v>
      </c>
      <c r="AQ2811" s="6" t="e">
        <f>MATCH($D2811,'D4 - Provider Council Unsched'!$C$11:$C$234,0)</f>
        <v>#N/A</v>
      </c>
      <c r="AR2811" s="6" t="b">
        <f t="shared" si="288"/>
        <v>1</v>
      </c>
      <c r="AS2811" s="6" t="str">
        <f t="shared" si="292"/>
        <v>OK</v>
      </c>
      <c r="AU2811" s="202"/>
      <c r="AV2811" s="262"/>
      <c r="AW2811" s="274"/>
    </row>
    <row r="2812" spans="1:49" s="13" customFormat="1" ht="33.75" x14ac:dyDescent="0.2">
      <c r="A2812" s="14">
        <v>2788</v>
      </c>
      <c r="B2812" s="14">
        <v>400022538</v>
      </c>
      <c r="C2812" s="8" t="s">
        <v>5197</v>
      </c>
      <c r="D2812" s="4" t="str">
        <f t="shared" si="290"/>
        <v>400022538R1</v>
      </c>
      <c r="E2812" s="309" t="str">
        <f>VLOOKUP($B2812,'D7 - NDB Impacted SPRF''s'!$E$6:$O$9929,2,FALSE)</f>
        <v>PHS Work Package 2 - Planning and Analysis</v>
      </c>
      <c r="F2812" s="8" t="s">
        <v>6071</v>
      </c>
      <c r="G2812" s="8" t="s">
        <v>4758</v>
      </c>
      <c r="H2812" s="8" t="s">
        <v>2870</v>
      </c>
      <c r="I2812" s="20">
        <f>605/150</f>
        <v>4.0333333333333332</v>
      </c>
      <c r="J2812" s="8" t="s">
        <v>4862</v>
      </c>
      <c r="K2812" s="182"/>
      <c r="L2812" s="8" t="s">
        <v>4156</v>
      </c>
      <c r="M2812" s="8" t="s">
        <v>6688</v>
      </c>
      <c r="N2812" s="38"/>
      <c r="O2812" s="8"/>
      <c r="P2812" s="4" t="str">
        <f>VLOOKUP($B2812,'D7 - NDB Impacted SPRF''s'!$E$16:$O$9929,9,FALSE)</f>
        <v>Y</v>
      </c>
      <c r="Q2812" s="4" t="str">
        <f>VLOOKUP($B2812,'D7 - NDB Impacted SPRF''s'!$E$16:$O$9929,10,FALSE)</f>
        <v>N</v>
      </c>
      <c r="R2812" s="4" t="str">
        <f>VLOOKUP($B2812,'D7 - NDB Impacted SPRF''s'!$E$16:$O$9929,11,FALSE)</f>
        <v>N</v>
      </c>
      <c r="S2812" s="8"/>
      <c r="T2812" s="310"/>
      <c r="U2812" s="310"/>
      <c r="V2812" s="4"/>
      <c r="W2812" s="4"/>
      <c r="X2812" s="4"/>
      <c r="Y2812" s="4"/>
      <c r="Z2812" s="4"/>
      <c r="AA2812" s="4"/>
      <c r="AB2812" s="380" t="str">
        <f>VLOOKUP($B2812,'D7 - NDB Impacted SPRF''s'!$E$16:$O$9929,4,FALSE)</f>
        <v>Cancelled</v>
      </c>
      <c r="AC2812" s="380" t="str">
        <f>VLOOKUP($B2812,'D7 - NDB Impacted SPRF''s'!$E$16:$O$9929,3,FALSE)</f>
        <v>UnitedHealthcare Employer &amp; Individual</v>
      </c>
      <c r="AD2812" s="380" t="str">
        <f>VLOOKUP($B2812,'D7 - NDB Impacted SPRF''s'!$E$16:$O$9929,5,FALSE)</f>
        <v>Integration Requirements</v>
      </c>
      <c r="AE2812" s="380" t="str">
        <f>VLOOKUP($B2812,'D7 - NDB Impacted SPRF''s'!$E$16:$O$9929,7,FALSE)</f>
        <v>Diane Schofield</v>
      </c>
      <c r="AF2812" s="380" t="str">
        <f>VLOOKUP($B2812,'D7 - NDB Impacted SPRF''s'!$E$16:$O$9929,6,FALSE)</f>
        <v>Rebecca Gent</v>
      </c>
      <c r="AG2812" s="282"/>
      <c r="AH2812" s="311" t="e">
        <f>INDEX('D5 - Gatekeeper - Projects'!$A$4:$AF$1010,$AM2812, 17)</f>
        <v>#N/A</v>
      </c>
      <c r="AI2812" s="8"/>
      <c r="AJ2812" s="57"/>
      <c r="AK2812" s="105"/>
      <c r="AM2812" s="6" t="e">
        <f>MATCH(D2812,'D5 - Gatekeeper - Projects'!$C$4:$C$1010,0)</f>
        <v>#N/A</v>
      </c>
      <c r="AN2812" s="6" t="b">
        <f t="shared" si="286"/>
        <v>1</v>
      </c>
      <c r="AO2812" s="6" t="str">
        <f t="shared" si="287"/>
        <v>OK</v>
      </c>
      <c r="AQ2812" s="6" t="e">
        <f>MATCH($D2812,'D4 - Provider Council Unsched'!$C$11:$C$234,0)</f>
        <v>#N/A</v>
      </c>
      <c r="AR2812" s="6" t="b">
        <f t="shared" si="288"/>
        <v>1</v>
      </c>
      <c r="AS2812" s="6" t="str">
        <f t="shared" si="292"/>
        <v>OK</v>
      </c>
      <c r="AU2812" s="202"/>
      <c r="AV2812" s="262"/>
      <c r="AW2812" s="274"/>
    </row>
    <row r="2813" spans="1:49" s="13" customFormat="1" ht="33.75" x14ac:dyDescent="0.2">
      <c r="A2813" s="14">
        <v>2789</v>
      </c>
      <c r="B2813" s="14">
        <v>400022748</v>
      </c>
      <c r="C2813" s="8" t="s">
        <v>5197</v>
      </c>
      <c r="D2813" s="4" t="str">
        <f t="shared" si="290"/>
        <v>400022748R1</v>
      </c>
      <c r="E2813" s="309" t="str">
        <f>VLOOKUP($B2813,'D7 - NDB Impacted SPRF''s'!$E$6:$O$9929,2,FALSE)</f>
        <v>4-22748 EPS Railroad Plan D Implementation</v>
      </c>
      <c r="F2813" s="8" t="s">
        <v>2114</v>
      </c>
      <c r="G2813" s="8" t="s">
        <v>4758</v>
      </c>
      <c r="H2813" s="8" t="s">
        <v>2870</v>
      </c>
      <c r="I2813" s="20"/>
      <c r="J2813" s="8"/>
      <c r="K2813" s="182"/>
      <c r="L2813" s="8" t="s">
        <v>4156</v>
      </c>
      <c r="M2813" s="8" t="s">
        <v>2814</v>
      </c>
      <c r="N2813" s="38"/>
      <c r="O2813" s="8"/>
      <c r="P2813" s="4" t="str">
        <f>VLOOKUP($B2813,'D7 - NDB Impacted SPRF''s'!$E$16:$O$9929,9,FALSE)</f>
        <v>N</v>
      </c>
      <c r="Q2813" s="4" t="str">
        <f>VLOOKUP($B2813,'D7 - NDB Impacted SPRF''s'!$E$16:$O$9929,10,FALSE)</f>
        <v>N</v>
      </c>
      <c r="R2813" s="4" t="str">
        <f>VLOOKUP($B2813,'D7 - NDB Impacted SPRF''s'!$E$16:$O$9929,11,FALSE)</f>
        <v>N</v>
      </c>
      <c r="S2813" s="8"/>
      <c r="T2813" s="310"/>
      <c r="U2813" s="310"/>
      <c r="V2813" s="4"/>
      <c r="W2813" s="4"/>
      <c r="X2813" s="4"/>
      <c r="Y2813" s="4"/>
      <c r="Z2813" s="4"/>
      <c r="AA2813" s="4"/>
      <c r="AB2813" s="380" t="str">
        <f>VLOOKUP($B2813,'D7 - NDB Impacted SPRF''s'!$E$16:$O$9929,4,FALSE)</f>
        <v>Cancelled</v>
      </c>
      <c r="AC2813" s="380" t="str">
        <f>VLOOKUP($B2813,'D7 - NDB Impacted SPRF''s'!$E$16:$O$9929,3,FALSE)</f>
        <v>UnitedHealthcare Employer &amp; Individual</v>
      </c>
      <c r="AD2813" s="380" t="str">
        <f>VLOOKUP($B2813,'D7 - NDB Impacted SPRF''s'!$E$16:$O$9929,5,FALSE)</f>
        <v>Membership Growth / Revenue Programs</v>
      </c>
      <c r="AE2813" s="380" t="str">
        <f>VLOOKUP($B2813,'D7 - NDB Impacted SPRF''s'!$E$16:$O$9929,7,FALSE)</f>
        <v>Steve Burdick</v>
      </c>
      <c r="AF2813" s="380" t="str">
        <f>VLOOKUP($B2813,'D7 - NDB Impacted SPRF''s'!$E$16:$O$9929,6,FALSE)</f>
        <v>Therese Anderson</v>
      </c>
      <c r="AG2813" s="282"/>
      <c r="AH2813" s="311" t="e">
        <f>INDEX('D5 - Gatekeeper - Projects'!$A$4:$AF$1010,$AM2813, 17)</f>
        <v>#N/A</v>
      </c>
      <c r="AI2813" s="8"/>
      <c r="AJ2813" s="57"/>
      <c r="AK2813" s="105"/>
      <c r="AM2813" s="6" t="e">
        <f>MATCH(D2813,'D5 - Gatekeeper - Projects'!$C$4:$C$1010,0)</f>
        <v>#N/A</v>
      </c>
      <c r="AN2813" s="6" t="b">
        <f t="shared" si="286"/>
        <v>1</v>
      </c>
      <c r="AO2813" s="6" t="str">
        <f t="shared" si="287"/>
        <v>OK</v>
      </c>
      <c r="AQ2813" s="6" t="e">
        <f>MATCH($D2813,'D4 - Provider Council Unsched'!$C$11:$C$234,0)</f>
        <v>#N/A</v>
      </c>
      <c r="AR2813" s="6" t="b">
        <f t="shared" si="288"/>
        <v>1</v>
      </c>
      <c r="AS2813" s="6" t="str">
        <f t="shared" si="292"/>
        <v>OK</v>
      </c>
      <c r="AU2813" s="202"/>
      <c r="AV2813" s="262"/>
      <c r="AW2813" s="274"/>
    </row>
    <row r="2814" spans="1:49" s="13" customFormat="1" ht="33.75" x14ac:dyDescent="0.2">
      <c r="A2814" s="14">
        <v>2790</v>
      </c>
      <c r="B2814" s="14">
        <v>400022837</v>
      </c>
      <c r="C2814" s="8" t="s">
        <v>5197</v>
      </c>
      <c r="D2814" s="4" t="str">
        <f t="shared" si="290"/>
        <v>400022837R1</v>
      </c>
      <c r="E2814" s="309" t="str">
        <f>VLOOKUP($B2814,'D7 - NDB Impacted SPRF''s'!$E$6:$O$9929,2,FALSE)</f>
        <v xml:space="preserve">UHP Physician Designation 5.0 </v>
      </c>
      <c r="F2814" s="8" t="s">
        <v>5443</v>
      </c>
      <c r="G2814" s="8" t="s">
        <v>4758</v>
      </c>
      <c r="H2814" s="8" t="s">
        <v>2870</v>
      </c>
      <c r="I2814" s="20"/>
      <c r="J2814" s="8"/>
      <c r="K2814" s="182"/>
      <c r="L2814" s="8" t="s">
        <v>4156</v>
      </c>
      <c r="M2814" s="8" t="s">
        <v>2814</v>
      </c>
      <c r="N2814" s="38" t="s">
        <v>7356</v>
      </c>
      <c r="O2814" s="8"/>
      <c r="P2814" s="4" t="str">
        <f>VLOOKUP($B2814,'D7 - NDB Impacted SPRF''s'!$E$16:$O$9929,9,FALSE)</f>
        <v>Y</v>
      </c>
      <c r="Q2814" s="4" t="str">
        <f>VLOOKUP($B2814,'D7 - NDB Impacted SPRF''s'!$E$16:$O$9929,10,FALSE)</f>
        <v>N</v>
      </c>
      <c r="R2814" s="4" t="str">
        <f>VLOOKUP($B2814,'D7 - NDB Impacted SPRF''s'!$E$16:$O$9929,11,FALSE)</f>
        <v>N</v>
      </c>
      <c r="S2814" s="8"/>
      <c r="T2814" s="310"/>
      <c r="U2814" s="310"/>
      <c r="V2814" s="4"/>
      <c r="W2814" s="4"/>
      <c r="X2814" s="4"/>
      <c r="Y2814" s="4"/>
      <c r="Z2814" s="4"/>
      <c r="AA2814" s="4"/>
      <c r="AB2814" s="380" t="str">
        <f>VLOOKUP($B2814,'D7 - NDB Impacted SPRF''s'!$E$16:$O$9929,4,FALSE)</f>
        <v>Cancelled</v>
      </c>
      <c r="AC2814" s="380" t="str">
        <f>VLOOKUP($B2814,'D7 - NDB Impacted SPRF''s'!$E$16:$O$9929,3,FALSE)</f>
        <v>UnitedHealthcare Employer &amp; Individual</v>
      </c>
      <c r="AD2814" s="380" t="str">
        <f>VLOOKUP($B2814,'D7 - NDB Impacted SPRF''s'!$E$16:$O$9929,5,FALSE)</f>
        <v>Medical Cost Savings Programs</v>
      </c>
      <c r="AE2814" s="380" t="str">
        <f>VLOOKUP($B2814,'D7 - NDB Impacted SPRF''s'!$E$16:$O$9929,7,FALSE)</f>
        <v>Gino Tenace</v>
      </c>
      <c r="AF2814" s="380" t="str">
        <f>VLOOKUP($B2814,'D7 - NDB Impacted SPRF''s'!$E$16:$O$9929,6,FALSE)</f>
        <v>Michael Feller</v>
      </c>
      <c r="AG2814" s="282"/>
      <c r="AH2814" s="311" t="e">
        <f>INDEX('D5 - Gatekeeper - Projects'!$A$4:$AF$1010,$AM2814, 17)</f>
        <v>#N/A</v>
      </c>
      <c r="AI2814" s="8"/>
      <c r="AJ2814" s="57"/>
      <c r="AK2814" s="105"/>
      <c r="AM2814" s="6" t="e">
        <f>MATCH(D2814,'D5 - Gatekeeper - Projects'!$C$4:$C$1010,0)</f>
        <v>#N/A</v>
      </c>
      <c r="AN2814" s="6" t="b">
        <f t="shared" si="286"/>
        <v>1</v>
      </c>
      <c r="AO2814" s="6" t="str">
        <f t="shared" si="287"/>
        <v>OK</v>
      </c>
      <c r="AQ2814" s="6" t="e">
        <f>MATCH($D2814,'D4 - Provider Council Unsched'!$C$11:$C$234,0)</f>
        <v>#N/A</v>
      </c>
      <c r="AR2814" s="6" t="b">
        <f t="shared" si="288"/>
        <v>1</v>
      </c>
      <c r="AS2814" s="6" t="str">
        <f t="shared" si="292"/>
        <v>OK</v>
      </c>
      <c r="AU2814" s="202"/>
      <c r="AV2814" s="262"/>
      <c r="AW2814" s="274"/>
    </row>
    <row r="2815" spans="1:49" s="13" customFormat="1" ht="33.75" x14ac:dyDescent="0.2">
      <c r="A2815" s="14">
        <v>2791</v>
      </c>
      <c r="B2815" s="14">
        <v>400022851</v>
      </c>
      <c r="C2815" s="8" t="s">
        <v>5197</v>
      </c>
      <c r="D2815" s="4" t="str">
        <f t="shared" si="290"/>
        <v>400022851R1</v>
      </c>
      <c r="E2815" s="309" t="str">
        <f>VLOOKUP($B2815,'D7 - NDB Impacted SPRF''s'!$E$6:$O$9929,2,FALSE)</f>
        <v>Provider Contract Info on Irate and Orate Tables</v>
      </c>
      <c r="F2815" s="8" t="s">
        <v>2114</v>
      </c>
      <c r="G2815" s="8" t="s">
        <v>4758</v>
      </c>
      <c r="H2815" s="8" t="s">
        <v>2870</v>
      </c>
      <c r="I2815" s="20"/>
      <c r="J2815" s="8"/>
      <c r="K2815" s="182"/>
      <c r="L2815" s="8" t="s">
        <v>4156</v>
      </c>
      <c r="M2815" s="8" t="s">
        <v>2814</v>
      </c>
      <c r="N2815" s="38" t="s">
        <v>4653</v>
      </c>
      <c r="O2815" s="8"/>
      <c r="P2815" s="4" t="str">
        <f>VLOOKUP($B2815,'D7 - NDB Impacted SPRF''s'!$E$16:$O$9929,9,FALSE)</f>
        <v>N</v>
      </c>
      <c r="Q2815" s="4" t="str">
        <f>VLOOKUP($B2815,'D7 - NDB Impacted SPRF''s'!$E$16:$O$9929,10,FALSE)</f>
        <v>N</v>
      </c>
      <c r="R2815" s="4" t="str">
        <f>VLOOKUP($B2815,'D7 - NDB Impacted SPRF''s'!$E$16:$O$9929,11,FALSE)</f>
        <v>N</v>
      </c>
      <c r="S2815" s="8"/>
      <c r="T2815" s="310"/>
      <c r="U2815" s="310"/>
      <c r="V2815" s="4"/>
      <c r="W2815" s="4"/>
      <c r="X2815" s="4"/>
      <c r="Y2815" s="4"/>
      <c r="Z2815" s="4"/>
      <c r="AA2815" s="4"/>
      <c r="AB2815" s="380" t="str">
        <f>VLOOKUP($B2815,'D7 - NDB Impacted SPRF''s'!$E$16:$O$9929,4,FALSE)</f>
        <v>Cancelled</v>
      </c>
      <c r="AC2815" s="380" t="str">
        <f>VLOOKUP($B2815,'D7 - NDB Impacted SPRF''s'!$E$16:$O$9929,3,FALSE)</f>
        <v>UnitedHealthcare Employer &amp; Individual</v>
      </c>
      <c r="AD2815" s="380" t="str">
        <f>VLOOKUP($B2815,'D7 - NDB Impacted SPRF''s'!$E$16:$O$9929,5,FALSE)</f>
        <v>Process Improvement</v>
      </c>
      <c r="AE2815" s="380" t="str">
        <f>VLOOKUP($B2815,'D7 - NDB Impacted SPRF''s'!$E$16:$O$9929,7,FALSE)</f>
        <v>Sue Edberg</v>
      </c>
      <c r="AF2815" s="380" t="str">
        <f>VLOOKUP($B2815,'D7 - NDB Impacted SPRF''s'!$E$16:$O$9929,6,FALSE)</f>
        <v>KRISTYN EIRING</v>
      </c>
      <c r="AG2815" s="282"/>
      <c r="AH2815" s="311" t="e">
        <f>INDEX('D5 - Gatekeeper - Projects'!$A$4:$AF$1010,$AM2815, 17)</f>
        <v>#N/A</v>
      </c>
      <c r="AI2815" s="8"/>
      <c r="AJ2815" s="57"/>
      <c r="AK2815" s="105"/>
      <c r="AM2815" s="6" t="e">
        <f>MATCH(D2815,'D5 - Gatekeeper - Projects'!$C$4:$C$1010,0)</f>
        <v>#N/A</v>
      </c>
      <c r="AN2815" s="6" t="b">
        <f t="shared" si="286"/>
        <v>1</v>
      </c>
      <c r="AO2815" s="6" t="str">
        <f t="shared" si="287"/>
        <v>OK</v>
      </c>
      <c r="AQ2815" s="6" t="e">
        <f>MATCH($D2815,'D4 - Provider Council Unsched'!$C$11:$C$234,0)</f>
        <v>#N/A</v>
      </c>
      <c r="AR2815" s="6" t="b">
        <f t="shared" si="288"/>
        <v>1</v>
      </c>
      <c r="AS2815" s="6" t="str">
        <f t="shared" si="292"/>
        <v>OK</v>
      </c>
      <c r="AU2815" s="202"/>
      <c r="AV2815" s="262"/>
      <c r="AW2815" s="274"/>
    </row>
    <row r="2816" spans="1:49" s="13" customFormat="1" ht="45" x14ac:dyDescent="0.2">
      <c r="A2816" s="14">
        <v>2792</v>
      </c>
      <c r="B2816" s="14">
        <v>400022906</v>
      </c>
      <c r="C2816" s="8" t="s">
        <v>5197</v>
      </c>
      <c r="D2816" s="4" t="str">
        <f t="shared" si="290"/>
        <v>400022906R1</v>
      </c>
      <c r="E2816" s="309" t="str">
        <f>VLOOKUP($B2816,'D7 - NDB Impacted SPRF''s'!$E$6:$O$9929,2,FALSE)</f>
        <v>DR Plan Update for Rapid Recovery</v>
      </c>
      <c r="F2816" s="8" t="s">
        <v>2114</v>
      </c>
      <c r="G2816" s="8" t="s">
        <v>4758</v>
      </c>
      <c r="H2816" s="8" t="s">
        <v>2870</v>
      </c>
      <c r="I2816" s="20"/>
      <c r="J2816" s="8"/>
      <c r="K2816" s="182"/>
      <c r="L2816" s="8" t="s">
        <v>4156</v>
      </c>
      <c r="M2816" s="8" t="s">
        <v>2814</v>
      </c>
      <c r="N2816" s="38" t="s">
        <v>8012</v>
      </c>
      <c r="O2816" s="8"/>
      <c r="P2816" s="4" t="str">
        <f>VLOOKUP($B2816,'D7 - NDB Impacted SPRF''s'!$E$16:$O$9929,9,FALSE)</f>
        <v>Y</v>
      </c>
      <c r="Q2816" s="4" t="str">
        <f>VLOOKUP($B2816,'D7 - NDB Impacted SPRF''s'!$E$16:$O$9929,10,FALSE)</f>
        <v>N</v>
      </c>
      <c r="R2816" s="4" t="str">
        <f>VLOOKUP($B2816,'D7 - NDB Impacted SPRF''s'!$E$16:$O$9929,11,FALSE)</f>
        <v>N</v>
      </c>
      <c r="S2816" s="8"/>
      <c r="T2816" s="310"/>
      <c r="U2816" s="310"/>
      <c r="V2816" s="4"/>
      <c r="W2816" s="4"/>
      <c r="X2816" s="4"/>
      <c r="Y2816" s="4"/>
      <c r="Z2816" s="4"/>
      <c r="AA2816" s="4"/>
      <c r="AB2816" s="380" t="str">
        <f>VLOOKUP($B2816,'D7 - NDB Impacted SPRF''s'!$E$16:$O$9929,4,FALSE)</f>
        <v>Cancelled</v>
      </c>
      <c r="AC2816" s="380" t="str">
        <f>VLOOKUP($B2816,'D7 - NDB Impacted SPRF''s'!$E$16:$O$9929,3,FALSE)</f>
        <v>UHG IT - Enterprise Technology Services</v>
      </c>
      <c r="AD2816" s="380" t="str">
        <f>VLOOKUP($B2816,'D7 - NDB Impacted SPRF''s'!$E$16:$O$9929,5,FALSE)</f>
        <v>UHG IT - CS</v>
      </c>
      <c r="AE2816" s="380" t="str">
        <f>VLOOKUP($B2816,'D7 - NDB Impacted SPRF''s'!$E$16:$O$9929,7,FALSE)</f>
        <v>Rich Nechanicky</v>
      </c>
      <c r="AF2816" s="380" t="str">
        <f>VLOOKUP($B2816,'D7 - NDB Impacted SPRF''s'!$E$16:$O$9929,6,FALSE)</f>
        <v>KAREN SAUER</v>
      </c>
      <c r="AG2816" s="282"/>
      <c r="AH2816" s="311" t="e">
        <f>INDEX('D5 - Gatekeeper - Projects'!$A$4:$AF$1010,$AM2816, 17)</f>
        <v>#N/A</v>
      </c>
      <c r="AI2816" s="8"/>
      <c r="AJ2816" s="57"/>
      <c r="AK2816" s="105"/>
      <c r="AM2816" s="6" t="e">
        <f>MATCH(D2816,'D5 - Gatekeeper - Projects'!$C$4:$C$1010,0)</f>
        <v>#N/A</v>
      </c>
      <c r="AN2816" s="6" t="b">
        <f t="shared" si="286"/>
        <v>1</v>
      </c>
      <c r="AO2816" s="6" t="str">
        <f t="shared" si="287"/>
        <v>OK</v>
      </c>
      <c r="AQ2816" s="6" t="e">
        <f>MATCH($D2816,'D4 - Provider Council Unsched'!$C$11:$C$234,0)</f>
        <v>#N/A</v>
      </c>
      <c r="AR2816" s="6" t="b">
        <f t="shared" si="288"/>
        <v>1</v>
      </c>
      <c r="AS2816" s="6" t="str">
        <f t="shared" si="292"/>
        <v>OK</v>
      </c>
      <c r="AU2816" s="202"/>
      <c r="AV2816" s="262"/>
      <c r="AW2816" s="274"/>
    </row>
    <row r="2817" spans="1:49" s="13" customFormat="1" ht="33.75" x14ac:dyDescent="0.2">
      <c r="A2817" s="14">
        <v>2793</v>
      </c>
      <c r="B2817" s="14">
        <v>400022943</v>
      </c>
      <c r="C2817" s="8" t="s">
        <v>5197</v>
      </c>
      <c r="D2817" s="4" t="str">
        <f t="shared" si="290"/>
        <v>400022943R1</v>
      </c>
      <c r="E2817" s="309" t="str">
        <f>VLOOKUP($B2817,'D7 - NDB Impacted SPRF''s'!$E$6:$O$9929,2,FALSE)</f>
        <v>AmeriChoiceOnline to NDB demographic submission</v>
      </c>
      <c r="F2817" s="8" t="s">
        <v>2114</v>
      </c>
      <c r="G2817" s="8" t="s">
        <v>4758</v>
      </c>
      <c r="H2817" s="8" t="s">
        <v>2870</v>
      </c>
      <c r="I2817" s="20">
        <f>5431/150</f>
        <v>36.206666666666663</v>
      </c>
      <c r="J2817" s="8" t="s">
        <v>4862</v>
      </c>
      <c r="K2817" s="182"/>
      <c r="L2817" s="8" t="s">
        <v>4156</v>
      </c>
      <c r="M2817" s="8" t="s">
        <v>2814</v>
      </c>
      <c r="N2817" s="38" t="s">
        <v>3809</v>
      </c>
      <c r="O2817" s="8"/>
      <c r="P2817" s="4" t="str">
        <f>VLOOKUP($B2817,'D7 - NDB Impacted SPRF''s'!$E$16:$O$9929,9,FALSE)</f>
        <v>N</v>
      </c>
      <c r="Q2817" s="4" t="str">
        <f>VLOOKUP($B2817,'D7 - NDB Impacted SPRF''s'!$E$16:$O$9929,10,FALSE)</f>
        <v>N</v>
      </c>
      <c r="R2817" s="4" t="str">
        <f>VLOOKUP($B2817,'D7 - NDB Impacted SPRF''s'!$E$16:$O$9929,11,FALSE)</f>
        <v>N</v>
      </c>
      <c r="S2817" s="8"/>
      <c r="T2817" s="310"/>
      <c r="U2817" s="310"/>
      <c r="V2817" s="4"/>
      <c r="W2817" s="4"/>
      <c r="X2817" s="4"/>
      <c r="Y2817" s="4"/>
      <c r="Z2817" s="4"/>
      <c r="AA2817" s="4"/>
      <c r="AB2817" s="380" t="str">
        <f>VLOOKUP($B2817,'D7 - NDB Impacted SPRF''s'!$E$16:$O$9929,4,FALSE)</f>
        <v>Cancelled</v>
      </c>
      <c r="AC2817" s="380" t="str">
        <f>VLOOKUP($B2817,'D7 - NDB Impacted SPRF''s'!$E$16:$O$9929,3,FALSE)</f>
        <v>UnitedHealthcare Community &amp; State</v>
      </c>
      <c r="AD2817" s="380" t="str">
        <f>VLOOKUP($B2817,'D7 - NDB Impacted SPRF''s'!$E$16:$O$9929,5,FALSE)</f>
        <v>AmeriChoice</v>
      </c>
      <c r="AE2817" s="380" t="str">
        <f>VLOOKUP($B2817,'D7 - NDB Impacted SPRF''s'!$E$16:$O$9929,7,FALSE)</f>
        <v>Garfield Collins</v>
      </c>
      <c r="AF2817" s="380" t="str">
        <f>VLOOKUP($B2817,'D7 - NDB Impacted SPRF''s'!$E$16:$O$9929,6,FALSE)</f>
        <v>MICHAEL CANTOR</v>
      </c>
      <c r="AG2817" s="282"/>
      <c r="AH2817" s="311" t="e">
        <f>INDEX('D5 - Gatekeeper - Projects'!$A$4:$AF$1010,$AM2817, 17)</f>
        <v>#N/A</v>
      </c>
      <c r="AI2817" s="8"/>
      <c r="AJ2817" s="57"/>
      <c r="AK2817" s="105"/>
      <c r="AM2817" s="6" t="e">
        <f>MATCH(D2817,'D5 - Gatekeeper - Projects'!$C$4:$C$1010,0)</f>
        <v>#N/A</v>
      </c>
      <c r="AN2817" s="6" t="b">
        <f t="shared" si="286"/>
        <v>1</v>
      </c>
      <c r="AO2817" s="6" t="str">
        <f t="shared" si="287"/>
        <v>OK</v>
      </c>
      <c r="AQ2817" s="6" t="e">
        <f>MATCH($D2817,'D4 - Provider Council Unsched'!$C$11:$C$234,0)</f>
        <v>#N/A</v>
      </c>
      <c r="AR2817" s="6" t="b">
        <f t="shared" si="288"/>
        <v>1</v>
      </c>
      <c r="AS2817" s="6" t="str">
        <f>IF(AND(H2817="2 - Not Scheduled",AR2817=TRUE,C2817="R1"),"Add","OK")</f>
        <v>OK</v>
      </c>
      <c r="AU2817" s="202"/>
      <c r="AV2817" s="262"/>
      <c r="AW2817" s="274"/>
    </row>
    <row r="2818" spans="1:49" s="13" customFormat="1" ht="33.75" x14ac:dyDescent="0.2">
      <c r="A2818" s="14">
        <v>2794</v>
      </c>
      <c r="B2818" s="14">
        <v>400023030</v>
      </c>
      <c r="C2818" s="8" t="s">
        <v>5197</v>
      </c>
      <c r="D2818" s="4" t="str">
        <f t="shared" si="290"/>
        <v>400023030R1</v>
      </c>
      <c r="E2818" s="309" t="str">
        <f>VLOOKUP($B2818,'D7 - NDB Impacted SPRF''s'!$E$6:$O$9929,2,FALSE)</f>
        <v>CDB MBL Cutover: IVR</v>
      </c>
      <c r="F2818" s="8" t="s">
        <v>2114</v>
      </c>
      <c r="G2818" s="8" t="s">
        <v>4758</v>
      </c>
      <c r="H2818" s="8" t="s">
        <v>2870</v>
      </c>
      <c r="I2818" s="20"/>
      <c r="J2818" s="8"/>
      <c r="K2818" s="182"/>
      <c r="L2818" s="8" t="s">
        <v>4156</v>
      </c>
      <c r="M2818" s="8" t="s">
        <v>2814</v>
      </c>
      <c r="N2818" s="38" t="s">
        <v>4653</v>
      </c>
      <c r="O2818" s="8"/>
      <c r="P2818" s="4" t="str">
        <f>VLOOKUP($B2818,'D7 - NDB Impacted SPRF''s'!$E$16:$O$9929,9,FALSE)</f>
        <v>N</v>
      </c>
      <c r="Q2818" s="4" t="str">
        <f>VLOOKUP($B2818,'D7 - NDB Impacted SPRF''s'!$E$16:$O$9929,10,FALSE)</f>
        <v>N</v>
      </c>
      <c r="R2818" s="4" t="str">
        <f>VLOOKUP($B2818,'D7 - NDB Impacted SPRF''s'!$E$16:$O$9929,11,FALSE)</f>
        <v>N</v>
      </c>
      <c r="S2818" s="8"/>
      <c r="T2818" s="310"/>
      <c r="U2818" s="310"/>
      <c r="V2818" s="4"/>
      <c r="W2818" s="4"/>
      <c r="X2818" s="4"/>
      <c r="Y2818" s="4"/>
      <c r="Z2818" s="4"/>
      <c r="AA2818" s="4"/>
      <c r="AB2818" s="380" t="str">
        <f>VLOOKUP($B2818,'D7 - NDB Impacted SPRF''s'!$E$16:$O$9929,4,FALSE)</f>
        <v>Cancelled</v>
      </c>
      <c r="AC2818" s="380" t="str">
        <f>VLOOKUP($B2818,'D7 - NDB Impacted SPRF''s'!$E$16:$O$9929,3,FALSE)</f>
        <v>UnitedHealthcare Employer &amp; Individual</v>
      </c>
      <c r="AD2818" s="380" t="str">
        <f>VLOOKUP($B2818,'D7 - NDB Impacted SPRF''s'!$E$16:$O$9929,5,FALSE)</f>
        <v>Membership Growth / Revenue Programs</v>
      </c>
      <c r="AE2818" s="380" t="str">
        <f>VLOOKUP($B2818,'D7 - NDB Impacted SPRF''s'!$E$16:$O$9929,7,FALSE)</f>
        <v>Gyan Dwibedy</v>
      </c>
      <c r="AF2818" s="380" t="str">
        <f>VLOOKUP($B2818,'D7 - NDB Impacted SPRF''s'!$E$16:$O$9929,6,FALSE)</f>
        <v>Margaret Kershner</v>
      </c>
      <c r="AG2818" s="282"/>
      <c r="AH2818" s="311" t="e">
        <f>INDEX('D5 - Gatekeeper - Projects'!$A$4:$AF$1010,$AM2818, 17)</f>
        <v>#N/A</v>
      </c>
      <c r="AI2818" s="8"/>
      <c r="AJ2818" s="57"/>
      <c r="AK2818" s="105"/>
      <c r="AM2818" s="6" t="e">
        <f>MATCH(D2818,'D5 - Gatekeeper - Projects'!$C$4:$C$1010,0)</f>
        <v>#N/A</v>
      </c>
      <c r="AN2818" s="6" t="b">
        <f t="shared" si="286"/>
        <v>1</v>
      </c>
      <c r="AO2818" s="6" t="str">
        <f t="shared" si="287"/>
        <v>OK</v>
      </c>
      <c r="AQ2818" s="6" t="e">
        <f>MATCH($D2818,'D4 - Provider Council Unsched'!$C$11:$C$234,0)</f>
        <v>#N/A</v>
      </c>
      <c r="AR2818" s="6" t="b">
        <f t="shared" si="288"/>
        <v>1</v>
      </c>
      <c r="AS2818" s="6" t="str">
        <f>IF(AND(H2818="2 - Not Scheduled",AR2818=TRUE),"Add","OK")</f>
        <v>OK</v>
      </c>
      <c r="AU2818" s="202"/>
      <c r="AV2818" s="262"/>
      <c r="AW2818" s="274"/>
    </row>
    <row r="2819" spans="1:49" s="13" customFormat="1" ht="45" x14ac:dyDescent="0.2">
      <c r="A2819" s="14">
        <v>2795</v>
      </c>
      <c r="B2819" s="14">
        <v>400023067</v>
      </c>
      <c r="C2819" s="8" t="s">
        <v>5197</v>
      </c>
      <c r="D2819" s="4" t="str">
        <f t="shared" si="290"/>
        <v>400023067R1</v>
      </c>
      <c r="E2819" s="309" t="str">
        <f>VLOOKUP($B2819,'D7 - NDB Impacted SPRF''s'!$E$6:$O$9929,2,FALSE)</f>
        <v>Application &amp; Entitlement Review Proof-of-Concept</v>
      </c>
      <c r="F2819" s="8" t="s">
        <v>2114</v>
      </c>
      <c r="G2819" s="8" t="s">
        <v>4758</v>
      </c>
      <c r="H2819" s="8" t="s">
        <v>2870</v>
      </c>
      <c r="I2819" s="20"/>
      <c r="J2819" s="8"/>
      <c r="K2819" s="182"/>
      <c r="L2819" s="8" t="s">
        <v>4156</v>
      </c>
      <c r="M2819" s="8" t="s">
        <v>2814</v>
      </c>
      <c r="N2819" s="38" t="s">
        <v>4653</v>
      </c>
      <c r="O2819" s="8"/>
      <c r="P2819" s="4" t="str">
        <f>VLOOKUP($B2819,'D7 - NDB Impacted SPRF''s'!$E$16:$O$9929,9,FALSE)</f>
        <v>N</v>
      </c>
      <c r="Q2819" s="4" t="str">
        <f>VLOOKUP($B2819,'D7 - NDB Impacted SPRF''s'!$E$16:$O$9929,10,FALSE)</f>
        <v>N</v>
      </c>
      <c r="R2819" s="4" t="str">
        <f>VLOOKUP($B2819,'D7 - NDB Impacted SPRF''s'!$E$16:$O$9929,11,FALSE)</f>
        <v>N</v>
      </c>
      <c r="S2819" s="8"/>
      <c r="T2819" s="310"/>
      <c r="U2819" s="310"/>
      <c r="V2819" s="4"/>
      <c r="W2819" s="4"/>
      <c r="X2819" s="4"/>
      <c r="Y2819" s="4"/>
      <c r="Z2819" s="4"/>
      <c r="AA2819" s="4"/>
      <c r="AB2819" s="380" t="str">
        <f>VLOOKUP($B2819,'D7 - NDB Impacted SPRF''s'!$E$16:$O$9929,4,FALSE)</f>
        <v>Cancelled</v>
      </c>
      <c r="AC2819" s="380" t="str">
        <f>VLOOKUP($B2819,'D7 - NDB Impacted SPRF''s'!$E$16:$O$9929,3,FALSE)</f>
        <v>UHG IT - Enterprise Technology Services</v>
      </c>
      <c r="AD2819" s="380" t="str">
        <f>VLOOKUP($B2819,'D7 - NDB Impacted SPRF''s'!$E$16:$O$9929,5,FALSE)</f>
        <v>IRM</v>
      </c>
      <c r="AE2819" s="380" t="str">
        <f>VLOOKUP($B2819,'D7 - NDB Impacted SPRF''s'!$E$16:$O$9929,7,FALSE)</f>
        <v>Rich Nechanicky</v>
      </c>
      <c r="AF2819" s="380" t="str">
        <f>VLOOKUP($B2819,'D7 - NDB Impacted SPRF''s'!$E$16:$O$9929,6,FALSE)</f>
        <v>Thomas Torborg</v>
      </c>
      <c r="AG2819" s="282"/>
      <c r="AH2819" s="311" t="e">
        <f>INDEX('D5 - Gatekeeper - Projects'!$A$4:$AF$1010,$AM2819, 17)</f>
        <v>#N/A</v>
      </c>
      <c r="AI2819" s="8"/>
      <c r="AJ2819" s="57"/>
      <c r="AK2819" s="105"/>
      <c r="AM2819" s="6" t="e">
        <f>MATCH(D2819,'D5 - Gatekeeper - Projects'!$C$4:$C$1010,0)</f>
        <v>#N/A</v>
      </c>
      <c r="AN2819" s="6" t="b">
        <f t="shared" si="286"/>
        <v>1</v>
      </c>
      <c r="AO2819" s="6" t="str">
        <f t="shared" si="287"/>
        <v>OK</v>
      </c>
      <c r="AQ2819" s="6" t="e">
        <f>MATCH($D2819,'D4 - Provider Council Unsched'!$C$11:$C$234,0)</f>
        <v>#N/A</v>
      </c>
      <c r="AR2819" s="6" t="b">
        <f t="shared" si="288"/>
        <v>1</v>
      </c>
      <c r="AS2819" s="6" t="str">
        <f>IF(AND(H2819="2 - Not Scheduled",AR2819=TRUE),"Add","OK")</f>
        <v>OK</v>
      </c>
      <c r="AU2819" s="202"/>
      <c r="AV2819" s="262"/>
      <c r="AW2819" s="274"/>
    </row>
    <row r="2820" spans="1:49" s="13" customFormat="1" x14ac:dyDescent="0.2">
      <c r="A2820" s="14">
        <v>2796</v>
      </c>
      <c r="B2820" s="14">
        <v>400023129</v>
      </c>
      <c r="C2820" s="8" t="s">
        <v>5197</v>
      </c>
      <c r="D2820" s="4" t="str">
        <f t="shared" si="290"/>
        <v>400023129R1</v>
      </c>
      <c r="E2820" s="309" t="e">
        <f>VLOOKUP($B2820,'D7 - NDB Impacted SPRF''s'!$E$6:$O$9929,2,FALSE)</f>
        <v>#N/A</v>
      </c>
      <c r="F2820" s="8" t="s">
        <v>2114</v>
      </c>
      <c r="G2820" s="8" t="s">
        <v>4758</v>
      </c>
      <c r="H2820" s="8" t="s">
        <v>2870</v>
      </c>
      <c r="I2820" s="20"/>
      <c r="J2820" s="8"/>
      <c r="K2820" s="182"/>
      <c r="L2820" s="8" t="s">
        <v>4156</v>
      </c>
      <c r="M2820" s="8" t="s">
        <v>2814</v>
      </c>
      <c r="N2820" s="38" t="s">
        <v>6775</v>
      </c>
      <c r="O2820" s="8"/>
      <c r="P2820" s="4" t="e">
        <f>VLOOKUP($B2820,'D7 - NDB Impacted SPRF''s'!$E$16:$O$9929,9,FALSE)</f>
        <v>#N/A</v>
      </c>
      <c r="Q2820" s="4" t="e">
        <f>VLOOKUP($B2820,'D7 - NDB Impacted SPRF''s'!$E$16:$O$9929,10,FALSE)</f>
        <v>#N/A</v>
      </c>
      <c r="R2820" s="4" t="e">
        <f>VLOOKUP($B2820,'D7 - NDB Impacted SPRF''s'!$E$16:$O$9929,11,FALSE)</f>
        <v>#N/A</v>
      </c>
      <c r="S2820" s="8"/>
      <c r="T2820" s="310"/>
      <c r="U2820" s="310"/>
      <c r="V2820" s="4"/>
      <c r="W2820" s="4"/>
      <c r="X2820" s="4"/>
      <c r="Y2820" s="4"/>
      <c r="Z2820" s="4"/>
      <c r="AA2820" s="4"/>
      <c r="AB2820" s="380" t="e">
        <f>VLOOKUP($B2820,'D7 - NDB Impacted SPRF''s'!$E$16:$O$9929,4,FALSE)</f>
        <v>#N/A</v>
      </c>
      <c r="AC2820" s="380" t="e">
        <f>VLOOKUP($B2820,'D7 - NDB Impacted SPRF''s'!$E$16:$O$9929,3,FALSE)</f>
        <v>#N/A</v>
      </c>
      <c r="AD2820" s="380" t="e">
        <f>VLOOKUP($B2820,'D7 - NDB Impacted SPRF''s'!$E$16:$O$9929,5,FALSE)</f>
        <v>#N/A</v>
      </c>
      <c r="AE2820" s="380" t="e">
        <f>VLOOKUP($B2820,'D7 - NDB Impacted SPRF''s'!$E$16:$O$9929,7,FALSE)</f>
        <v>#N/A</v>
      </c>
      <c r="AF2820" s="380" t="e">
        <f>VLOOKUP($B2820,'D7 - NDB Impacted SPRF''s'!$E$16:$O$9929,6,FALSE)</f>
        <v>#N/A</v>
      </c>
      <c r="AG2820" s="282"/>
      <c r="AH2820" s="311" t="e">
        <f>INDEX('D5 - Gatekeeper - Projects'!$A$4:$AF$1010,$AM2820, 17)</f>
        <v>#N/A</v>
      </c>
      <c r="AI2820" s="8"/>
      <c r="AJ2820" s="57"/>
      <c r="AK2820" s="105"/>
      <c r="AM2820" s="6" t="e">
        <f>MATCH(D2820,'D5 - Gatekeeper - Projects'!$C$4:$C$1010,0)</f>
        <v>#N/A</v>
      </c>
      <c r="AN2820" s="6" t="b">
        <f t="shared" si="286"/>
        <v>1</v>
      </c>
      <c r="AO2820" s="6" t="str">
        <f t="shared" si="287"/>
        <v>OK</v>
      </c>
      <c r="AQ2820" s="6" t="e">
        <f>MATCH($D2820,'D4 - Provider Council Unsched'!$C$11:$C$234,0)</f>
        <v>#N/A</v>
      </c>
      <c r="AR2820" s="6" t="b">
        <f t="shared" si="288"/>
        <v>1</v>
      </c>
      <c r="AS2820" s="6" t="str">
        <f>IF(AND(H2820="2 - Not Scheduled",AR2820=TRUE),"Add","OK")</f>
        <v>OK</v>
      </c>
      <c r="AU2820" s="202"/>
      <c r="AV2820" s="262"/>
      <c r="AW2820" s="274"/>
    </row>
    <row r="2821" spans="1:49" s="13" customFormat="1" ht="33.75" x14ac:dyDescent="0.2">
      <c r="A2821" s="14">
        <v>2797</v>
      </c>
      <c r="B2821" s="14">
        <v>400023208</v>
      </c>
      <c r="C2821" s="8" t="s">
        <v>5197</v>
      </c>
      <c r="D2821" s="4" t="str">
        <f t="shared" si="290"/>
        <v>400023208R1</v>
      </c>
      <c r="E2821" s="309" t="str">
        <f>VLOOKUP($B2821,'D7 - NDB Impacted SPRF''s'!$E$6:$O$9929,2,FALSE)</f>
        <v>CSS - Clinical IT Composite Data Services</v>
      </c>
      <c r="F2821" s="8" t="s">
        <v>2114</v>
      </c>
      <c r="G2821" s="8" t="s">
        <v>4758</v>
      </c>
      <c r="H2821" s="8" t="s">
        <v>2870</v>
      </c>
      <c r="I2821" s="20">
        <f>555/150</f>
        <v>3.7</v>
      </c>
      <c r="J2821" s="8" t="s">
        <v>4862</v>
      </c>
      <c r="K2821" s="182"/>
      <c r="L2821" s="8" t="s">
        <v>4156</v>
      </c>
      <c r="M2821" s="8" t="s">
        <v>2814</v>
      </c>
      <c r="N2821" s="38" t="s">
        <v>4653</v>
      </c>
      <c r="O2821" s="8"/>
      <c r="P2821" s="4" t="str">
        <f>VLOOKUP($B2821,'D7 - NDB Impacted SPRF''s'!$E$16:$O$9929,9,FALSE)</f>
        <v>N</v>
      </c>
      <c r="Q2821" s="4" t="str">
        <f>VLOOKUP($B2821,'D7 - NDB Impacted SPRF''s'!$E$16:$O$9929,10,FALSE)</f>
        <v>N</v>
      </c>
      <c r="R2821" s="4" t="str">
        <f>VLOOKUP($B2821,'D7 - NDB Impacted SPRF''s'!$E$16:$O$9929,11,FALSE)</f>
        <v>N</v>
      </c>
      <c r="S2821" s="8"/>
      <c r="T2821" s="310"/>
      <c r="U2821" s="310"/>
      <c r="V2821" s="4"/>
      <c r="W2821" s="4"/>
      <c r="X2821" s="4"/>
      <c r="Y2821" s="4"/>
      <c r="Z2821" s="4"/>
      <c r="AA2821" s="4"/>
      <c r="AB2821" s="380" t="str">
        <f>VLOOKUP($B2821,'D7 - NDB Impacted SPRF''s'!$E$16:$O$9929,4,FALSE)</f>
        <v>Cancelled</v>
      </c>
      <c r="AC2821" s="380" t="str">
        <f>VLOOKUP($B2821,'D7 - NDB Impacted SPRF''s'!$E$16:$O$9929,3,FALSE)</f>
        <v>UnitedHealthcare Medicare &amp; Retirement</v>
      </c>
      <c r="AD2821" s="380" t="str">
        <f>VLOOKUP($B2821,'D7 - NDB Impacted SPRF''s'!$E$16:$O$9929,5,FALSE)</f>
        <v>Clinical Engagement Toolbox</v>
      </c>
      <c r="AE2821" s="380" t="str">
        <f>VLOOKUP($B2821,'D7 - NDB Impacted SPRF''s'!$E$16:$O$9929,7,FALSE)</f>
        <v>Cynthia Middaugh/ Bob Shandley</v>
      </c>
      <c r="AF2821" s="380" t="str">
        <f>VLOOKUP($B2821,'D7 - NDB Impacted SPRF''s'!$E$16:$O$9929,6,FALSE)</f>
        <v>Steve Frankel</v>
      </c>
      <c r="AG2821" s="282"/>
      <c r="AH2821" s="311" t="e">
        <f>INDEX('D5 - Gatekeeper - Projects'!$A$4:$AF$1010,$AM2821, 17)</f>
        <v>#N/A</v>
      </c>
      <c r="AI2821" s="8"/>
      <c r="AJ2821" s="57"/>
      <c r="AK2821" s="105"/>
      <c r="AM2821" s="6" t="e">
        <f>MATCH(D2821,'D5 - Gatekeeper - Projects'!$C$4:$C$1010,0)</f>
        <v>#N/A</v>
      </c>
      <c r="AN2821" s="6" t="b">
        <f t="shared" si="286"/>
        <v>1</v>
      </c>
      <c r="AO2821" s="6" t="str">
        <f t="shared" si="287"/>
        <v>OK</v>
      </c>
      <c r="AQ2821" s="6" t="e">
        <f>MATCH($D2821,'D4 - Provider Council Unsched'!$C$11:$C$234,0)</f>
        <v>#N/A</v>
      </c>
      <c r="AR2821" s="6" t="b">
        <f t="shared" si="288"/>
        <v>1</v>
      </c>
      <c r="AS2821" s="6" t="str">
        <f>IF(AND(H2821="2 - Not Scheduled",AR2821=TRUE,C2821="R1"),"Add","OK")</f>
        <v>OK</v>
      </c>
      <c r="AU2821" s="202"/>
      <c r="AV2821" s="262"/>
      <c r="AW2821" s="274"/>
    </row>
    <row r="2822" spans="1:49" s="13" customFormat="1" ht="33.75" x14ac:dyDescent="0.2">
      <c r="A2822" s="14">
        <v>2798</v>
      </c>
      <c r="B2822" s="14">
        <v>400023260</v>
      </c>
      <c r="C2822" s="8" t="s">
        <v>5197</v>
      </c>
      <c r="D2822" s="4" t="str">
        <f t="shared" si="290"/>
        <v>400023260R1</v>
      </c>
      <c r="E2822" s="309" t="str">
        <f>VLOOKUP($B2822,'D7 - NDB Impacted SPRF''s'!$E$6:$O$9929,2,FALSE)</f>
        <v>Access Profile Database Update</v>
      </c>
      <c r="F2822" s="8" t="s">
        <v>2114</v>
      </c>
      <c r="G2822" s="8" t="s">
        <v>4758</v>
      </c>
      <c r="H2822" s="8" t="s">
        <v>2870</v>
      </c>
      <c r="I2822" s="20">
        <f>603/150</f>
        <v>4.0199999999999996</v>
      </c>
      <c r="J2822" s="8" t="s">
        <v>4862</v>
      </c>
      <c r="K2822" s="182"/>
      <c r="L2822" s="8" t="s">
        <v>4156</v>
      </c>
      <c r="M2822" s="8" t="s">
        <v>2814</v>
      </c>
      <c r="N2822" s="38" t="s">
        <v>6166</v>
      </c>
      <c r="O2822" s="8"/>
      <c r="P2822" s="4" t="str">
        <f>VLOOKUP($B2822,'D7 - NDB Impacted SPRF''s'!$E$16:$O$9929,9,FALSE)</f>
        <v>N</v>
      </c>
      <c r="Q2822" s="4" t="str">
        <f>VLOOKUP($B2822,'D7 - NDB Impacted SPRF''s'!$E$16:$O$9929,10,FALSE)</f>
        <v>N</v>
      </c>
      <c r="R2822" s="4" t="str">
        <f>VLOOKUP($B2822,'D7 - NDB Impacted SPRF''s'!$E$16:$O$9929,11,FALSE)</f>
        <v>N</v>
      </c>
      <c r="S2822" s="8"/>
      <c r="T2822" s="310"/>
      <c r="U2822" s="310"/>
      <c r="V2822" s="4"/>
      <c r="W2822" s="4"/>
      <c r="X2822" s="4"/>
      <c r="Y2822" s="4"/>
      <c r="Z2822" s="4"/>
      <c r="AA2822" s="4"/>
      <c r="AB2822" s="380" t="str">
        <f>VLOOKUP($B2822,'D7 - NDB Impacted SPRF''s'!$E$16:$O$9929,4,FALSE)</f>
        <v>Cancelled</v>
      </c>
      <c r="AC2822" s="380" t="str">
        <f>VLOOKUP($B2822,'D7 - NDB Impacted SPRF''s'!$E$16:$O$9929,3,FALSE)</f>
        <v>UnitedHealthcare Employer &amp; Individual</v>
      </c>
      <c r="AD2822" s="380" t="str">
        <f>VLOOKUP($B2822,'D7 - NDB Impacted SPRF''s'!$E$16:$O$9929,5,FALSE)</f>
        <v>Operational Requirements</v>
      </c>
      <c r="AE2822" s="380" t="str">
        <f>VLOOKUP($B2822,'D7 - NDB Impacted SPRF''s'!$E$16:$O$9929,7,FALSE)</f>
        <v>Randy Jacob</v>
      </c>
      <c r="AF2822" s="380" t="str">
        <f>VLOOKUP($B2822,'D7 - NDB Impacted SPRF''s'!$E$16:$O$9929,6,FALSE)</f>
        <v>Jai Narayanan</v>
      </c>
      <c r="AG2822" s="282"/>
      <c r="AH2822" s="311" t="e">
        <f>INDEX('D5 - Gatekeeper - Projects'!$A$4:$AF$1010,$AM2822, 17)</f>
        <v>#N/A</v>
      </c>
      <c r="AI2822" s="8"/>
      <c r="AJ2822" s="57"/>
      <c r="AK2822" s="105"/>
      <c r="AM2822" s="6" t="e">
        <f>MATCH(D2822,'D5 - Gatekeeper - Projects'!$C$4:$C$1010,0)</f>
        <v>#N/A</v>
      </c>
      <c r="AN2822" s="6" t="b">
        <f t="shared" si="286"/>
        <v>1</v>
      </c>
      <c r="AO2822" s="6" t="str">
        <f t="shared" si="287"/>
        <v>OK</v>
      </c>
      <c r="AQ2822" s="6" t="e">
        <f>MATCH($D2822,'D4 - Provider Council Unsched'!$C$11:$C$234,0)</f>
        <v>#N/A</v>
      </c>
      <c r="AR2822" s="6" t="b">
        <f t="shared" si="288"/>
        <v>1</v>
      </c>
      <c r="AS2822" s="6" t="str">
        <f>IF(AND(H2822="2 - Not Scheduled",AR2822=TRUE),"Add","OK")</f>
        <v>OK</v>
      </c>
      <c r="AU2822" s="202"/>
      <c r="AV2822" s="262"/>
      <c r="AW2822" s="274"/>
    </row>
    <row r="2823" spans="1:49" s="13" customFormat="1" x14ac:dyDescent="0.2">
      <c r="A2823" s="14">
        <v>2799</v>
      </c>
      <c r="B2823" s="14">
        <v>400023417</v>
      </c>
      <c r="C2823" s="8" t="s">
        <v>5197</v>
      </c>
      <c r="D2823" s="4" t="str">
        <f t="shared" si="290"/>
        <v>400023417R1</v>
      </c>
      <c r="E2823" s="309" t="e">
        <f>VLOOKUP($B2823,'D7 - NDB Impacted SPRF''s'!$E$6:$O$9929,2,FALSE)</f>
        <v>#N/A</v>
      </c>
      <c r="F2823" s="8" t="s">
        <v>4471</v>
      </c>
      <c r="G2823" s="8" t="s">
        <v>4758</v>
      </c>
      <c r="H2823" s="8" t="s">
        <v>2870</v>
      </c>
      <c r="I2823" s="20"/>
      <c r="J2823" s="8"/>
      <c r="K2823" s="182"/>
      <c r="L2823" s="8" t="s">
        <v>4156</v>
      </c>
      <c r="M2823" s="8" t="s">
        <v>2814</v>
      </c>
      <c r="N2823" s="38" t="s">
        <v>6775</v>
      </c>
      <c r="O2823" s="8"/>
      <c r="P2823" s="4" t="e">
        <f>VLOOKUP($B2823,'D7 - NDB Impacted SPRF''s'!$E$16:$O$9929,9,FALSE)</f>
        <v>#N/A</v>
      </c>
      <c r="Q2823" s="4" t="e">
        <f>VLOOKUP($B2823,'D7 - NDB Impacted SPRF''s'!$E$16:$O$9929,10,FALSE)</f>
        <v>#N/A</v>
      </c>
      <c r="R2823" s="4" t="e">
        <f>VLOOKUP($B2823,'D7 - NDB Impacted SPRF''s'!$E$16:$O$9929,11,FALSE)</f>
        <v>#N/A</v>
      </c>
      <c r="S2823" s="8"/>
      <c r="T2823" s="310"/>
      <c r="U2823" s="310"/>
      <c r="V2823" s="4"/>
      <c r="W2823" s="4"/>
      <c r="X2823" s="4"/>
      <c r="Y2823" s="4"/>
      <c r="Z2823" s="4"/>
      <c r="AA2823" s="4"/>
      <c r="AB2823" s="380" t="e">
        <f>VLOOKUP($B2823,'D7 - NDB Impacted SPRF''s'!$E$16:$O$9929,4,FALSE)</f>
        <v>#N/A</v>
      </c>
      <c r="AC2823" s="380" t="e">
        <f>VLOOKUP($B2823,'D7 - NDB Impacted SPRF''s'!$E$16:$O$9929,3,FALSE)</f>
        <v>#N/A</v>
      </c>
      <c r="AD2823" s="380" t="e">
        <f>VLOOKUP($B2823,'D7 - NDB Impacted SPRF''s'!$E$16:$O$9929,5,FALSE)</f>
        <v>#N/A</v>
      </c>
      <c r="AE2823" s="380" t="e">
        <f>VLOOKUP($B2823,'D7 - NDB Impacted SPRF''s'!$E$16:$O$9929,7,FALSE)</f>
        <v>#N/A</v>
      </c>
      <c r="AF2823" s="380" t="e">
        <f>VLOOKUP($B2823,'D7 - NDB Impacted SPRF''s'!$E$16:$O$9929,6,FALSE)</f>
        <v>#N/A</v>
      </c>
      <c r="AG2823" s="282"/>
      <c r="AH2823" s="311" t="e">
        <f>INDEX('D5 - Gatekeeper - Projects'!$A$4:$AF$1010,$AM2823, 17)</f>
        <v>#N/A</v>
      </c>
      <c r="AI2823" s="8"/>
      <c r="AJ2823" s="57"/>
      <c r="AK2823" s="105"/>
      <c r="AM2823" s="6" t="e">
        <f>MATCH(D2823,'D5 - Gatekeeper - Projects'!$C$4:$C$1010,0)</f>
        <v>#N/A</v>
      </c>
      <c r="AN2823" s="6" t="b">
        <f t="shared" si="286"/>
        <v>1</v>
      </c>
      <c r="AO2823" s="6" t="str">
        <f t="shared" si="287"/>
        <v>OK</v>
      </c>
      <c r="AQ2823" s="6" t="e">
        <f>MATCH($D2823,'D4 - Provider Council Unsched'!$C$11:$C$234,0)</f>
        <v>#N/A</v>
      </c>
      <c r="AR2823" s="6" t="b">
        <f t="shared" si="288"/>
        <v>1</v>
      </c>
      <c r="AS2823" s="6" t="str">
        <f>IF(AND(H2823="2 - Not Scheduled",AR2823=TRUE),"Add","OK")</f>
        <v>OK</v>
      </c>
      <c r="AU2823" s="202"/>
      <c r="AV2823" s="262"/>
      <c r="AW2823" s="274"/>
    </row>
    <row r="2824" spans="1:49" s="13" customFormat="1" ht="33.75" x14ac:dyDescent="0.2">
      <c r="A2824" s="14">
        <v>2800</v>
      </c>
      <c r="B2824" s="14">
        <v>400023425</v>
      </c>
      <c r="C2824" s="8" t="s">
        <v>5197</v>
      </c>
      <c r="D2824" s="4" t="str">
        <f t="shared" si="290"/>
        <v>400023425R1</v>
      </c>
      <c r="E2824" s="309" t="str">
        <f>VLOOKUP($B2824,'D7 - NDB Impacted SPRF''s'!$E$6:$O$9929,2,FALSE)</f>
        <v>HPHC Perot Project</v>
      </c>
      <c r="F2824" s="8" t="s">
        <v>5196</v>
      </c>
      <c r="G2824" s="8" t="s">
        <v>4758</v>
      </c>
      <c r="H2824" s="8" t="s">
        <v>2870</v>
      </c>
      <c r="I2824" s="20"/>
      <c r="J2824" s="8"/>
      <c r="K2824" s="182"/>
      <c r="L2824" s="8" t="s">
        <v>4156</v>
      </c>
      <c r="M2824" s="8" t="s">
        <v>2814</v>
      </c>
      <c r="N2824" s="38"/>
      <c r="O2824" s="8"/>
      <c r="P2824" s="4" t="str">
        <f>VLOOKUP($B2824,'D7 - NDB Impacted SPRF''s'!$E$16:$O$9929,9,FALSE)</f>
        <v>N</v>
      </c>
      <c r="Q2824" s="4" t="str">
        <f>VLOOKUP($B2824,'D7 - NDB Impacted SPRF''s'!$E$16:$O$9929,10,FALSE)</f>
        <v>N</v>
      </c>
      <c r="R2824" s="4" t="str">
        <f>VLOOKUP($B2824,'D7 - NDB Impacted SPRF''s'!$E$16:$O$9929,11,FALSE)</f>
        <v>N</v>
      </c>
      <c r="S2824" s="8"/>
      <c r="T2824" s="310"/>
      <c r="U2824" s="310"/>
      <c r="V2824" s="4"/>
      <c r="W2824" s="4"/>
      <c r="X2824" s="4"/>
      <c r="Y2824" s="4"/>
      <c r="Z2824" s="4"/>
      <c r="AA2824" s="4"/>
      <c r="AB2824" s="380" t="str">
        <f>VLOOKUP($B2824,'D7 - NDB Impacted SPRF''s'!$E$16:$O$9929,4,FALSE)</f>
        <v>Cancelled</v>
      </c>
      <c r="AC2824" s="380" t="str">
        <f>VLOOKUP($B2824,'D7 - NDB Impacted SPRF''s'!$E$16:$O$9929,3,FALSE)</f>
        <v>UnitedHealthcare Employer &amp; Individual</v>
      </c>
      <c r="AD2824" s="380" t="str">
        <f>VLOOKUP($B2824,'D7 - NDB Impacted SPRF''s'!$E$16:$O$9929,5,FALSE)</f>
        <v>HCA - HPHC Operational Support</v>
      </c>
      <c r="AE2824" s="380" t="str">
        <f>VLOOKUP($B2824,'D7 - NDB Impacted SPRF''s'!$E$16:$O$9929,7,FALSE)</f>
        <v>Pam Harmon</v>
      </c>
      <c r="AF2824" s="380" t="str">
        <f>VLOOKUP($B2824,'D7 - NDB Impacted SPRF''s'!$E$16:$O$9929,6,FALSE)</f>
        <v>Jodie Mckie</v>
      </c>
      <c r="AG2824" s="282"/>
      <c r="AH2824" s="311" t="e">
        <f>INDEX('D5 - Gatekeeper - Projects'!$A$4:$AF$1010,$AM2824, 17)</f>
        <v>#N/A</v>
      </c>
      <c r="AI2824" s="8"/>
      <c r="AJ2824" s="57"/>
      <c r="AK2824" s="105"/>
      <c r="AM2824" s="6" t="e">
        <f>MATCH(D2824,'D5 - Gatekeeper - Projects'!$C$4:$C$1010,0)</f>
        <v>#N/A</v>
      </c>
      <c r="AN2824" s="6" t="b">
        <f t="shared" si="286"/>
        <v>1</v>
      </c>
      <c r="AO2824" s="6" t="str">
        <f t="shared" si="287"/>
        <v>OK</v>
      </c>
      <c r="AQ2824" s="6" t="e">
        <f>MATCH($D2824,'D4 - Provider Council Unsched'!$C$11:$C$234,0)</f>
        <v>#N/A</v>
      </c>
      <c r="AR2824" s="6" t="b">
        <f t="shared" si="288"/>
        <v>1</v>
      </c>
      <c r="AS2824" s="6" t="str">
        <f>IF(AND(H2824="2 - Not Scheduled",AR2824=TRUE),"Add","OK")</f>
        <v>OK</v>
      </c>
      <c r="AU2824" s="202"/>
      <c r="AV2824" s="262"/>
      <c r="AW2824" s="274"/>
    </row>
    <row r="2825" spans="1:49" s="13" customFormat="1" ht="33.75" x14ac:dyDescent="0.2">
      <c r="A2825" s="14">
        <v>2801</v>
      </c>
      <c r="B2825" s="14">
        <v>400023532</v>
      </c>
      <c r="C2825" s="8" t="s">
        <v>5197</v>
      </c>
      <c r="D2825" s="4" t="str">
        <f t="shared" si="290"/>
        <v>400023532R1</v>
      </c>
      <c r="E2825" s="309" t="str">
        <f>VLOOKUP($B2825,'D7 - NDB Impacted SPRF''s'!$E$6:$O$9929,2,FALSE)</f>
        <v>Medica Patient Choice Insights</v>
      </c>
      <c r="F2825" s="8" t="s">
        <v>3884</v>
      </c>
      <c r="G2825" s="8" t="s">
        <v>4758</v>
      </c>
      <c r="H2825" s="8" t="s">
        <v>2870</v>
      </c>
      <c r="I2825" s="20"/>
      <c r="J2825" s="8"/>
      <c r="K2825" s="182"/>
      <c r="L2825" s="8" t="s">
        <v>4156</v>
      </c>
      <c r="M2825" s="8" t="s">
        <v>2814</v>
      </c>
      <c r="N2825" s="38"/>
      <c r="O2825" s="8"/>
      <c r="P2825" s="4" t="str">
        <f>VLOOKUP($B2825,'D7 - NDB Impacted SPRF''s'!$E$16:$O$9929,9,FALSE)</f>
        <v>Y</v>
      </c>
      <c r="Q2825" s="4" t="str">
        <f>VLOOKUP($B2825,'D7 - NDB Impacted SPRF''s'!$E$16:$O$9929,10,FALSE)</f>
        <v>N</v>
      </c>
      <c r="R2825" s="4" t="str">
        <f>VLOOKUP($B2825,'D7 - NDB Impacted SPRF''s'!$E$16:$O$9929,11,FALSE)</f>
        <v>N</v>
      </c>
      <c r="S2825" s="8"/>
      <c r="T2825" s="310"/>
      <c r="U2825" s="310"/>
      <c r="V2825" s="4"/>
      <c r="W2825" s="4"/>
      <c r="X2825" s="4"/>
      <c r="Y2825" s="4"/>
      <c r="Z2825" s="4"/>
      <c r="AA2825" s="4"/>
      <c r="AB2825" s="380" t="str">
        <f>VLOOKUP($B2825,'D7 - NDB Impacted SPRF''s'!$E$16:$O$9929,4,FALSE)</f>
        <v>Cancelled</v>
      </c>
      <c r="AC2825" s="380" t="str">
        <f>VLOOKUP($B2825,'D7 - NDB Impacted SPRF''s'!$E$16:$O$9929,3,FALSE)</f>
        <v>UnitedHealthcare Employer &amp; Individual</v>
      </c>
      <c r="AD2825" s="380" t="str">
        <f>VLOOKUP($B2825,'D7 - NDB Impacted SPRF''s'!$E$16:$O$9929,5,FALSE)</f>
        <v>HCA - Medica Operational Support</v>
      </c>
      <c r="AE2825" s="380" t="str">
        <f>VLOOKUP($B2825,'D7 - NDB Impacted SPRF''s'!$E$16:$O$9929,7,FALSE)</f>
        <v>Suzie Parten</v>
      </c>
      <c r="AF2825" s="380" t="str">
        <f>VLOOKUP($B2825,'D7 - NDB Impacted SPRF''s'!$E$16:$O$9929,6,FALSE)</f>
        <v>Linda Dooley</v>
      </c>
      <c r="AG2825" s="282"/>
      <c r="AH2825" s="311" t="e">
        <f>INDEX('D5 - Gatekeeper - Projects'!$A$4:$AF$1010,$AM2825, 17)</f>
        <v>#N/A</v>
      </c>
      <c r="AI2825" s="8"/>
      <c r="AJ2825" s="57"/>
      <c r="AK2825" s="105"/>
      <c r="AM2825" s="6" t="e">
        <f>MATCH(D2825,'D5 - Gatekeeper - Projects'!$C$4:$C$1010,0)</f>
        <v>#N/A</v>
      </c>
      <c r="AN2825" s="6" t="b">
        <f t="shared" si="286"/>
        <v>1</v>
      </c>
      <c r="AO2825" s="6" t="str">
        <f t="shared" si="287"/>
        <v>OK</v>
      </c>
      <c r="AQ2825" s="6" t="e">
        <f>MATCH($D2825,'D4 - Provider Council Unsched'!$C$11:$C$234,0)</f>
        <v>#N/A</v>
      </c>
      <c r="AR2825" s="6" t="b">
        <f t="shared" si="288"/>
        <v>1</v>
      </c>
      <c r="AS2825" s="6" t="str">
        <f>IF(AND(H2825="2 - Not Scheduled",AR2825=TRUE,C2825="R1"),"Add","OK")</f>
        <v>OK</v>
      </c>
      <c r="AU2825" s="202"/>
      <c r="AV2825" s="262"/>
      <c r="AW2825" s="274"/>
    </row>
    <row r="2826" spans="1:49" s="13" customFormat="1" ht="33.75" x14ac:dyDescent="0.2">
      <c r="A2826" s="14">
        <v>2802</v>
      </c>
      <c r="B2826" s="14">
        <v>400023552</v>
      </c>
      <c r="C2826" s="8" t="s">
        <v>5197</v>
      </c>
      <c r="D2826" s="4" t="str">
        <f t="shared" si="290"/>
        <v>400023552R1</v>
      </c>
      <c r="E2826" s="309" t="str">
        <f>VLOOKUP($B2826,'D7 - NDB Impacted SPRF''s'!$E$6:$O$9929,2,FALSE)</f>
        <v>NPI Capture for provider UVP</v>
      </c>
      <c r="F2826" s="8" t="s">
        <v>2114</v>
      </c>
      <c r="G2826" s="8" t="s">
        <v>4758</v>
      </c>
      <c r="H2826" s="8" t="s">
        <v>2870</v>
      </c>
      <c r="I2826" s="20">
        <f>160/150</f>
        <v>1.0666666666666667</v>
      </c>
      <c r="J2826" s="8" t="s">
        <v>4862</v>
      </c>
      <c r="K2826" s="182"/>
      <c r="L2826" s="8" t="s">
        <v>4156</v>
      </c>
      <c r="M2826" s="8" t="s">
        <v>2814</v>
      </c>
      <c r="N2826" s="38" t="s">
        <v>4371</v>
      </c>
      <c r="O2826" s="8"/>
      <c r="P2826" s="4" t="str">
        <f>VLOOKUP($B2826,'D7 - NDB Impacted SPRF''s'!$E$16:$O$9929,9,FALSE)</f>
        <v>N</v>
      </c>
      <c r="Q2826" s="4" t="str">
        <f>VLOOKUP($B2826,'D7 - NDB Impacted SPRF''s'!$E$16:$O$9929,10,FALSE)</f>
        <v>N</v>
      </c>
      <c r="R2826" s="4" t="str">
        <f>VLOOKUP($B2826,'D7 - NDB Impacted SPRF''s'!$E$16:$O$9929,11,FALSE)</f>
        <v>N</v>
      </c>
      <c r="S2826" s="8"/>
      <c r="T2826" s="310"/>
      <c r="U2826" s="310"/>
      <c r="V2826" s="4"/>
      <c r="W2826" s="4"/>
      <c r="X2826" s="4"/>
      <c r="Y2826" s="4"/>
      <c r="Z2826" s="4"/>
      <c r="AA2826" s="4"/>
      <c r="AB2826" s="380" t="str">
        <f>VLOOKUP($B2826,'D7 - NDB Impacted SPRF''s'!$E$16:$O$9929,4,FALSE)</f>
        <v>Cancelled</v>
      </c>
      <c r="AC2826" s="380" t="str">
        <f>VLOOKUP($B2826,'D7 - NDB Impacted SPRF''s'!$E$16:$O$9929,3,FALSE)</f>
        <v>UnitedHealthcare Employer &amp; Individual</v>
      </c>
      <c r="AD2826" s="380" t="str">
        <f>VLOOKUP($B2826,'D7 - NDB Impacted SPRF''s'!$E$16:$O$9929,5,FALSE)</f>
        <v>Process Improvement</v>
      </c>
      <c r="AE2826" s="380" t="str">
        <f>VLOOKUP($B2826,'D7 - NDB Impacted SPRF''s'!$E$16:$O$9929,7,FALSE)</f>
        <v>Hans Christensen</v>
      </c>
      <c r="AF2826" s="380" t="str">
        <f>VLOOKUP($B2826,'D7 - NDB Impacted SPRF''s'!$E$16:$O$9929,6,FALSE)</f>
        <v>Kurt Brenkus</v>
      </c>
      <c r="AG2826" s="282"/>
      <c r="AH2826" s="311" t="e">
        <f>INDEX('D5 - Gatekeeper - Projects'!$A$4:$AF$1010,$AM2826, 17)</f>
        <v>#N/A</v>
      </c>
      <c r="AI2826" s="8"/>
      <c r="AJ2826" s="57"/>
      <c r="AK2826" s="105"/>
      <c r="AM2826" s="6" t="e">
        <f>MATCH(D2826,'D5 - Gatekeeper - Projects'!$C$4:$C$1010,0)</f>
        <v>#N/A</v>
      </c>
      <c r="AN2826" s="6" t="b">
        <f t="shared" ref="AN2826:AN2889" si="293">ISERROR(AM2826)</f>
        <v>1</v>
      </c>
      <c r="AO2826" s="6" t="str">
        <f t="shared" ref="AO2826:AO2889" si="294">IF(AND(H2826="1 - Scheduled",AN2826=TRUE),"Add","OK")</f>
        <v>OK</v>
      </c>
      <c r="AQ2826" s="6" t="e">
        <f>MATCH($D2826,'D4 - Provider Council Unsched'!$C$11:$C$234,0)</f>
        <v>#N/A</v>
      </c>
      <c r="AR2826" s="6" t="b">
        <f t="shared" ref="AR2826:AR2889" si="295">ISERROR(AQ2826)</f>
        <v>1</v>
      </c>
      <c r="AS2826" s="6" t="str">
        <f>IF(AND(H2826="2 - Not Scheduled",AR2826=TRUE),"Add","OK")</f>
        <v>OK</v>
      </c>
      <c r="AU2826" s="202"/>
      <c r="AV2826" s="262"/>
      <c r="AW2826" s="274"/>
    </row>
    <row r="2827" spans="1:49" s="13" customFormat="1" ht="33.75" x14ac:dyDescent="0.2">
      <c r="A2827" s="14">
        <v>2803</v>
      </c>
      <c r="B2827" s="14">
        <v>400023562</v>
      </c>
      <c r="C2827" s="8" t="s">
        <v>5197</v>
      </c>
      <c r="D2827" s="4" t="str">
        <f t="shared" si="290"/>
        <v>400023562R1</v>
      </c>
      <c r="E2827" s="309" t="str">
        <f>VLOOKUP($B2827,'D7 - NDB Impacted SPRF''s'!$E$6:$O$9929,2,FALSE)</f>
        <v>AmeriChoice Diamond Markets to UHC Online</v>
      </c>
      <c r="F2827" s="8" t="s">
        <v>5544</v>
      </c>
      <c r="G2827" s="8" t="s">
        <v>4758</v>
      </c>
      <c r="H2827" s="8" t="s">
        <v>2870</v>
      </c>
      <c r="I2827" s="20">
        <f>49/150</f>
        <v>0.32666666666666666</v>
      </c>
      <c r="J2827" s="8" t="s">
        <v>4862</v>
      </c>
      <c r="K2827" s="182"/>
      <c r="L2827" s="8" t="s">
        <v>4156</v>
      </c>
      <c r="M2827" s="8" t="s">
        <v>6688</v>
      </c>
      <c r="N2827" s="38"/>
      <c r="O2827" s="8"/>
      <c r="P2827" s="4" t="str">
        <f>VLOOKUP($B2827,'D7 - NDB Impacted SPRF''s'!$E$16:$O$9929,9,FALSE)</f>
        <v>N</v>
      </c>
      <c r="Q2827" s="4" t="str">
        <f>VLOOKUP($B2827,'D7 - NDB Impacted SPRF''s'!$E$16:$O$9929,10,FALSE)</f>
        <v>N</v>
      </c>
      <c r="R2827" s="4" t="str">
        <f>VLOOKUP($B2827,'D7 - NDB Impacted SPRF''s'!$E$16:$O$9929,11,FALSE)</f>
        <v>N</v>
      </c>
      <c r="S2827" s="8"/>
      <c r="T2827" s="310"/>
      <c r="U2827" s="310"/>
      <c r="V2827" s="4"/>
      <c r="W2827" s="4"/>
      <c r="X2827" s="4"/>
      <c r="Y2827" s="4"/>
      <c r="Z2827" s="4"/>
      <c r="AA2827" s="4"/>
      <c r="AB2827" s="380" t="str">
        <f>VLOOKUP($B2827,'D7 - NDB Impacted SPRF''s'!$E$16:$O$9929,4,FALSE)</f>
        <v>Cancelled</v>
      </c>
      <c r="AC2827" s="380" t="str">
        <f>VLOOKUP($B2827,'D7 - NDB Impacted SPRF''s'!$E$16:$O$9929,3,FALSE)</f>
        <v>UnitedHealthcare Medicare &amp; Retirement</v>
      </c>
      <c r="AD2827" s="380" t="str">
        <f>VLOOKUP($B2827,'D7 - NDB Impacted SPRF''s'!$E$16:$O$9929,5,FALSE)</f>
        <v>Clinical Engagement Toolbox</v>
      </c>
      <c r="AE2827" s="380" t="str">
        <f>VLOOKUP($B2827,'D7 - NDB Impacted SPRF''s'!$E$16:$O$9929,7,FALSE)</f>
        <v>Cynthia Middaugh</v>
      </c>
      <c r="AF2827" s="380" t="str">
        <f>VLOOKUP($B2827,'D7 - NDB Impacted SPRF''s'!$E$16:$O$9929,6,FALSE)</f>
        <v>CHRISTINA MOSHER</v>
      </c>
      <c r="AG2827" s="282"/>
      <c r="AH2827" s="311" t="e">
        <f>INDEX('D5 - Gatekeeper - Projects'!$A$4:$AF$1010,$AM2827, 17)</f>
        <v>#N/A</v>
      </c>
      <c r="AI2827" s="8"/>
      <c r="AJ2827" s="57"/>
      <c r="AK2827" s="105"/>
      <c r="AM2827" s="6" t="e">
        <f>MATCH(D2827,'D5 - Gatekeeper - Projects'!$C$4:$C$1010,0)</f>
        <v>#N/A</v>
      </c>
      <c r="AN2827" s="6" t="b">
        <f t="shared" si="293"/>
        <v>1</v>
      </c>
      <c r="AO2827" s="6" t="str">
        <f t="shared" si="294"/>
        <v>OK</v>
      </c>
      <c r="AQ2827" s="6" t="e">
        <f>MATCH($D2827,'D4 - Provider Council Unsched'!$C$11:$C$234,0)</f>
        <v>#N/A</v>
      </c>
      <c r="AR2827" s="6" t="b">
        <f t="shared" si="295"/>
        <v>1</v>
      </c>
      <c r="AS2827" s="6" t="str">
        <f>IF(AND(H2827="2 - Not Scheduled",AR2827=TRUE,C2827="R1"),"Add","OK")</f>
        <v>OK</v>
      </c>
      <c r="AU2827" s="202"/>
      <c r="AV2827" s="262"/>
      <c r="AW2827" s="274"/>
    </row>
    <row r="2828" spans="1:49" s="13" customFormat="1" ht="33.75" x14ac:dyDescent="0.2">
      <c r="A2828" s="14">
        <v>2804</v>
      </c>
      <c r="B2828" s="14">
        <v>400023623</v>
      </c>
      <c r="C2828" s="8" t="s">
        <v>5197</v>
      </c>
      <c r="D2828" s="4" t="str">
        <f t="shared" si="290"/>
        <v>400023623R1</v>
      </c>
      <c r="E2828" s="309" t="str">
        <f>VLOOKUP($B2828,'D7 - NDB Impacted SPRF''s'!$E$6:$O$9929,2,FALSE)</f>
        <v>AmeriChoice Michigan (Facets) to UHC Online</v>
      </c>
      <c r="F2828" s="8" t="s">
        <v>2114</v>
      </c>
      <c r="G2828" s="8" t="s">
        <v>4758</v>
      </c>
      <c r="H2828" s="8" t="s">
        <v>2870</v>
      </c>
      <c r="I2828" s="20">
        <f>44/150</f>
        <v>0.29333333333333333</v>
      </c>
      <c r="J2828" s="8" t="s">
        <v>4862</v>
      </c>
      <c r="K2828" s="182"/>
      <c r="L2828" s="8" t="s">
        <v>4156</v>
      </c>
      <c r="M2828" s="8" t="s">
        <v>6688</v>
      </c>
      <c r="N2828" s="38"/>
      <c r="O2828" s="8"/>
      <c r="P2828" s="4" t="str">
        <f>VLOOKUP($B2828,'D7 - NDB Impacted SPRF''s'!$E$16:$O$9929,9,FALSE)</f>
        <v>N</v>
      </c>
      <c r="Q2828" s="4" t="str">
        <f>VLOOKUP($B2828,'D7 - NDB Impacted SPRF''s'!$E$16:$O$9929,10,FALSE)</f>
        <v>N</v>
      </c>
      <c r="R2828" s="4" t="str">
        <f>VLOOKUP($B2828,'D7 - NDB Impacted SPRF''s'!$E$16:$O$9929,11,FALSE)</f>
        <v>N</v>
      </c>
      <c r="S2828" s="8"/>
      <c r="T2828" s="310"/>
      <c r="U2828" s="310"/>
      <c r="V2828" s="4"/>
      <c r="W2828" s="4"/>
      <c r="X2828" s="4"/>
      <c r="Y2828" s="4"/>
      <c r="Z2828" s="4"/>
      <c r="AA2828" s="4"/>
      <c r="AB2828" s="380" t="str">
        <f>VLOOKUP($B2828,'D7 - NDB Impacted SPRF''s'!$E$16:$O$9929,4,FALSE)</f>
        <v>Cancelled</v>
      </c>
      <c r="AC2828" s="380" t="str">
        <f>VLOOKUP($B2828,'D7 - NDB Impacted SPRF''s'!$E$16:$O$9929,3,FALSE)</f>
        <v>UnitedHealthcare Medicare &amp; Retirement</v>
      </c>
      <c r="AD2828" s="380" t="str">
        <f>VLOOKUP($B2828,'D7 - NDB Impacted SPRF''s'!$E$16:$O$9929,5,FALSE)</f>
        <v>Clinical Engagement Toolbox</v>
      </c>
      <c r="AE2828" s="380" t="str">
        <f>VLOOKUP($B2828,'D7 - NDB Impacted SPRF''s'!$E$16:$O$9929,7,FALSE)</f>
        <v>Cynthia Middaugh</v>
      </c>
      <c r="AF2828" s="380" t="str">
        <f>VLOOKUP($B2828,'D7 - NDB Impacted SPRF''s'!$E$16:$O$9929,6,FALSE)</f>
        <v>CHRISTINA MOSHER</v>
      </c>
      <c r="AG2828" s="282"/>
      <c r="AH2828" s="311" t="e">
        <f>INDEX('D5 - Gatekeeper - Projects'!$A$4:$AF$1010,$AM2828, 17)</f>
        <v>#N/A</v>
      </c>
      <c r="AI2828" s="8"/>
      <c r="AJ2828" s="57"/>
      <c r="AK2828" s="105"/>
      <c r="AM2828" s="6" t="e">
        <f>MATCH(D2828,'D5 - Gatekeeper - Projects'!$C$4:$C$1010,0)</f>
        <v>#N/A</v>
      </c>
      <c r="AN2828" s="6" t="b">
        <f t="shared" si="293"/>
        <v>1</v>
      </c>
      <c r="AO2828" s="6" t="str">
        <f t="shared" si="294"/>
        <v>OK</v>
      </c>
      <c r="AQ2828" s="6" t="e">
        <f>MATCH($D2828,'D4 - Provider Council Unsched'!$C$11:$C$234,0)</f>
        <v>#N/A</v>
      </c>
      <c r="AR2828" s="6" t="b">
        <f t="shared" si="295"/>
        <v>1</v>
      </c>
      <c r="AS2828" s="6" t="str">
        <f>IF(AND(H2828="2 - Not Scheduled",AR2828=TRUE),"Add","OK")</f>
        <v>OK</v>
      </c>
      <c r="AU2828" s="202"/>
      <c r="AV2828" s="262"/>
      <c r="AW2828" s="274"/>
    </row>
    <row r="2829" spans="1:49" s="13" customFormat="1" ht="33.75" x14ac:dyDescent="0.2">
      <c r="A2829" s="14">
        <v>2805</v>
      </c>
      <c r="B2829" s="14">
        <v>400023754</v>
      </c>
      <c r="C2829" s="8" t="s">
        <v>5197</v>
      </c>
      <c r="D2829" s="4" t="str">
        <f t="shared" si="290"/>
        <v>400023754R1</v>
      </c>
      <c r="E2829" s="309" t="str">
        <f>VLOOKUP($B2829,'D7 - NDB Impacted SPRF''s'!$E$6:$O$9929,2,FALSE)</f>
        <v>Additional Analysis for NDB EA Project for AmeriCh</v>
      </c>
      <c r="F2829" s="8" t="s">
        <v>4961</v>
      </c>
      <c r="G2829" s="8" t="s">
        <v>4758</v>
      </c>
      <c r="H2829" s="8" t="s">
        <v>2870</v>
      </c>
      <c r="I2829" s="20"/>
      <c r="J2829" s="8"/>
      <c r="K2829" s="182"/>
      <c r="L2829" s="8" t="s">
        <v>4156</v>
      </c>
      <c r="M2829" s="8" t="s">
        <v>2814</v>
      </c>
      <c r="N2829" s="38" t="s">
        <v>6482</v>
      </c>
      <c r="O2829" s="8"/>
      <c r="P2829" s="4" t="str">
        <f>VLOOKUP($B2829,'D7 - NDB Impacted SPRF''s'!$E$16:$O$9929,9,FALSE)</f>
        <v>N</v>
      </c>
      <c r="Q2829" s="4" t="str">
        <f>VLOOKUP($B2829,'D7 - NDB Impacted SPRF''s'!$E$16:$O$9929,10,FALSE)</f>
        <v>N</v>
      </c>
      <c r="R2829" s="4" t="str">
        <f>VLOOKUP($B2829,'D7 - NDB Impacted SPRF''s'!$E$16:$O$9929,11,FALSE)</f>
        <v>N</v>
      </c>
      <c r="S2829" s="8"/>
      <c r="T2829" s="310"/>
      <c r="U2829" s="310"/>
      <c r="V2829" s="4"/>
      <c r="W2829" s="4"/>
      <c r="X2829" s="4"/>
      <c r="Y2829" s="4"/>
      <c r="Z2829" s="4"/>
      <c r="AA2829" s="4"/>
      <c r="AB2829" s="380" t="str">
        <f>VLOOKUP($B2829,'D7 - NDB Impacted SPRF''s'!$E$16:$O$9929,4,FALSE)</f>
        <v>Cancelled</v>
      </c>
      <c r="AC2829" s="380" t="str">
        <f>VLOOKUP($B2829,'D7 - NDB Impacted SPRF''s'!$E$16:$O$9929,3,FALSE)</f>
        <v>UnitedHealthcare Community &amp; State</v>
      </c>
      <c r="AD2829" s="380" t="str">
        <f>VLOOKUP($B2829,'D7 - NDB Impacted SPRF''s'!$E$16:$O$9929,5,FALSE)</f>
        <v>AmeriChoice</v>
      </c>
      <c r="AE2829" s="380" t="str">
        <f>VLOOKUP($B2829,'D7 - NDB Impacted SPRF''s'!$E$16:$O$9929,7,FALSE)</f>
        <v>Collins, Garfield</v>
      </c>
      <c r="AF2829" s="380" t="str">
        <f>VLOOKUP($B2829,'D7 - NDB Impacted SPRF''s'!$E$16:$O$9929,6,FALSE)</f>
        <v>Michael Elert</v>
      </c>
      <c r="AG2829" s="282"/>
      <c r="AH2829" s="311" t="e">
        <f>INDEX('D5 - Gatekeeper - Projects'!$A$4:$AF$1010,$AM2829, 17)</f>
        <v>#N/A</v>
      </c>
      <c r="AI2829" s="8"/>
      <c r="AJ2829" s="57"/>
      <c r="AK2829" s="105"/>
      <c r="AM2829" s="6" t="e">
        <f>MATCH(D2829,'D5 - Gatekeeper - Projects'!$C$4:$C$1010,0)</f>
        <v>#N/A</v>
      </c>
      <c r="AN2829" s="6" t="b">
        <f t="shared" si="293"/>
        <v>1</v>
      </c>
      <c r="AO2829" s="6" t="str">
        <f t="shared" si="294"/>
        <v>OK</v>
      </c>
      <c r="AQ2829" s="6" t="e">
        <f>MATCH($D2829,'D4 - Provider Council Unsched'!$C$11:$C$234,0)</f>
        <v>#N/A</v>
      </c>
      <c r="AR2829" s="6" t="b">
        <f t="shared" si="295"/>
        <v>1</v>
      </c>
      <c r="AS2829" s="6" t="str">
        <f>IF(AND(H2829="2 - Not Scheduled",AR2829=TRUE),"Add","OK")</f>
        <v>OK</v>
      </c>
      <c r="AU2829" s="202"/>
      <c r="AV2829" s="262"/>
      <c r="AW2829" s="274"/>
    </row>
    <row r="2830" spans="1:49" s="13" customFormat="1" ht="33.75" x14ac:dyDescent="0.2">
      <c r="A2830" s="14">
        <v>2806</v>
      </c>
      <c r="B2830" s="14">
        <v>400023791</v>
      </c>
      <c r="C2830" s="8" t="s">
        <v>5197</v>
      </c>
      <c r="D2830" s="4" t="str">
        <f t="shared" si="290"/>
        <v>400023791R1</v>
      </c>
      <c r="E2830" s="309" t="str">
        <f>VLOOKUP($B2830,'D7 - NDB Impacted SPRF''s'!$E$6:$O$9929,2,FALSE)</f>
        <v>COSMOS 835 NPI Enhancements</v>
      </c>
      <c r="F2830" s="8" t="s">
        <v>2114</v>
      </c>
      <c r="G2830" s="8" t="s">
        <v>4758</v>
      </c>
      <c r="H2830" s="8" t="s">
        <v>2870</v>
      </c>
      <c r="I2830" s="20">
        <v>1.07</v>
      </c>
      <c r="J2830" s="8" t="s">
        <v>4862</v>
      </c>
      <c r="K2830" s="182"/>
      <c r="L2830" s="8" t="s">
        <v>4156</v>
      </c>
      <c r="M2830" s="8" t="s">
        <v>2814</v>
      </c>
      <c r="N2830" s="38" t="s">
        <v>7479</v>
      </c>
      <c r="O2830" s="8"/>
      <c r="P2830" s="4" t="str">
        <f>VLOOKUP($B2830,'D7 - NDB Impacted SPRF''s'!$E$16:$O$9929,9,FALSE)</f>
        <v>Y</v>
      </c>
      <c r="Q2830" s="4" t="str">
        <f>VLOOKUP($B2830,'D7 - NDB Impacted SPRF''s'!$E$16:$O$9929,10,FALSE)</f>
        <v>N</v>
      </c>
      <c r="R2830" s="4" t="str">
        <f>VLOOKUP($B2830,'D7 - NDB Impacted SPRF''s'!$E$16:$O$9929,11,FALSE)</f>
        <v>N</v>
      </c>
      <c r="S2830" s="8"/>
      <c r="T2830" s="310"/>
      <c r="U2830" s="310"/>
      <c r="V2830" s="4"/>
      <c r="W2830" s="4"/>
      <c r="X2830" s="4"/>
      <c r="Y2830" s="4"/>
      <c r="Z2830" s="4"/>
      <c r="AA2830" s="4"/>
      <c r="AB2830" s="380" t="str">
        <f>VLOOKUP($B2830,'D7 - NDB Impacted SPRF''s'!$E$16:$O$9929,4,FALSE)</f>
        <v>Cancelled</v>
      </c>
      <c r="AC2830" s="380" t="str">
        <f>VLOOKUP($B2830,'D7 - NDB Impacted SPRF''s'!$E$16:$O$9929,3,FALSE)</f>
        <v>UnitedHealthcare Employer &amp; Individual</v>
      </c>
      <c r="AD2830" s="380" t="str">
        <f>VLOOKUP($B2830,'D7 - NDB Impacted SPRF''s'!$E$16:$O$9929,5,FALSE)</f>
        <v>Process Improvement</v>
      </c>
      <c r="AE2830" s="380" t="str">
        <f>VLOOKUP($B2830,'D7 - NDB Impacted SPRF''s'!$E$16:$O$9929,7,FALSE)</f>
        <v>Jim Congleton</v>
      </c>
      <c r="AF2830" s="380" t="str">
        <f>VLOOKUP($B2830,'D7 - NDB Impacted SPRF''s'!$E$16:$O$9929,6,FALSE)</f>
        <v>Susan Neal</v>
      </c>
      <c r="AG2830" s="282"/>
      <c r="AH2830" s="311" t="e">
        <f>INDEX('D5 - Gatekeeper - Projects'!$A$4:$AF$1010,$AM2830, 17)</f>
        <v>#N/A</v>
      </c>
      <c r="AI2830" s="8"/>
      <c r="AJ2830" s="57"/>
      <c r="AK2830" s="105"/>
      <c r="AM2830" s="6" t="e">
        <f>MATCH(D2830,'D5 - Gatekeeper - Projects'!$C$4:$C$1010,0)</f>
        <v>#N/A</v>
      </c>
      <c r="AN2830" s="6" t="b">
        <f t="shared" si="293"/>
        <v>1</v>
      </c>
      <c r="AO2830" s="6" t="str">
        <f t="shared" si="294"/>
        <v>OK</v>
      </c>
      <c r="AQ2830" s="6" t="e">
        <f>MATCH($D2830,'D4 - Provider Council Unsched'!$C$11:$C$234,0)</f>
        <v>#N/A</v>
      </c>
      <c r="AR2830" s="6" t="b">
        <f t="shared" si="295"/>
        <v>1</v>
      </c>
      <c r="AS2830" s="6" t="str">
        <f>IF(AND(H2830="2 - Not Scheduled",AR2830=TRUE,C2830="R1"),"Add","OK")</f>
        <v>OK</v>
      </c>
      <c r="AU2830" s="202"/>
      <c r="AV2830" s="262"/>
      <c r="AW2830" s="274"/>
    </row>
    <row r="2831" spans="1:49" s="13" customFormat="1" ht="33.75" x14ac:dyDescent="0.2">
      <c r="A2831" s="14">
        <v>2807</v>
      </c>
      <c r="B2831" s="14">
        <v>400023794</v>
      </c>
      <c r="C2831" s="8" t="s">
        <v>5197</v>
      </c>
      <c r="D2831" s="4" t="str">
        <f t="shared" si="290"/>
        <v>400023794R1</v>
      </c>
      <c r="E2831" s="309" t="str">
        <f>VLOOKUP($B2831,'D7 - NDB Impacted SPRF''s'!$E$6:$O$9929,2,FALSE)</f>
        <v>Data Required to Submit Notifications on UHCO</v>
      </c>
      <c r="F2831" s="8" t="s">
        <v>2114</v>
      </c>
      <c r="G2831" s="8" t="s">
        <v>4758</v>
      </c>
      <c r="H2831" s="8" t="s">
        <v>2870</v>
      </c>
      <c r="I2831" s="20">
        <f>23/150</f>
        <v>0.15333333333333332</v>
      </c>
      <c r="J2831" s="8" t="s">
        <v>4862</v>
      </c>
      <c r="K2831" s="182"/>
      <c r="L2831" s="8" t="s">
        <v>4156</v>
      </c>
      <c r="M2831" s="8" t="s">
        <v>2814</v>
      </c>
      <c r="N2831" s="38"/>
      <c r="O2831" s="8"/>
      <c r="P2831" s="4" t="str">
        <f>VLOOKUP($B2831,'D7 - NDB Impacted SPRF''s'!$E$16:$O$9929,9,FALSE)</f>
        <v>N</v>
      </c>
      <c r="Q2831" s="4" t="str">
        <f>VLOOKUP($B2831,'D7 - NDB Impacted SPRF''s'!$E$16:$O$9929,10,FALSE)</f>
        <v>N</v>
      </c>
      <c r="R2831" s="4" t="str">
        <f>VLOOKUP($B2831,'D7 - NDB Impacted SPRF''s'!$E$16:$O$9929,11,FALSE)</f>
        <v>N</v>
      </c>
      <c r="S2831" s="8"/>
      <c r="T2831" s="310"/>
      <c r="U2831" s="310"/>
      <c r="V2831" s="4"/>
      <c r="W2831" s="4"/>
      <c r="X2831" s="4"/>
      <c r="Y2831" s="4"/>
      <c r="Z2831" s="4"/>
      <c r="AA2831" s="4"/>
      <c r="AB2831" s="380" t="str">
        <f>VLOOKUP($B2831,'D7 - NDB Impacted SPRF''s'!$E$16:$O$9929,4,FALSE)</f>
        <v>Cancelled</v>
      </c>
      <c r="AC2831" s="380" t="str">
        <f>VLOOKUP($B2831,'D7 - NDB Impacted SPRF''s'!$E$16:$O$9929,3,FALSE)</f>
        <v>UnitedHealthcare Medicare &amp; Retirement</v>
      </c>
      <c r="AD2831" s="380" t="str">
        <f>VLOOKUP($B2831,'D7 - NDB Impacted SPRF''s'!$E$16:$O$9929,5,FALSE)</f>
        <v>Clinical Engagement Toolbox</v>
      </c>
      <c r="AE2831" s="380" t="str">
        <f>VLOOKUP($B2831,'D7 - NDB Impacted SPRF''s'!$E$16:$O$9929,7,FALSE)</f>
        <v>Cindi Middaugh</v>
      </c>
      <c r="AF2831" s="380" t="str">
        <f>VLOOKUP($B2831,'D7 - NDB Impacted SPRF''s'!$E$16:$O$9929,6,FALSE)</f>
        <v>CHRISTINA MOSHER</v>
      </c>
      <c r="AG2831" s="282"/>
      <c r="AH2831" s="311" t="e">
        <f>INDEX('D5 - Gatekeeper - Projects'!$A$4:$AF$1010,$AM2831, 17)</f>
        <v>#N/A</v>
      </c>
      <c r="AI2831" s="8"/>
      <c r="AJ2831" s="57"/>
      <c r="AK2831" s="105"/>
      <c r="AM2831" s="6" t="e">
        <f>MATCH(D2831,'D5 - Gatekeeper - Projects'!$C$4:$C$1010,0)</f>
        <v>#N/A</v>
      </c>
      <c r="AN2831" s="6" t="b">
        <f t="shared" si="293"/>
        <v>1</v>
      </c>
      <c r="AO2831" s="6" t="str">
        <f t="shared" si="294"/>
        <v>OK</v>
      </c>
      <c r="AQ2831" s="6" t="e">
        <f>MATCH($D2831,'D4 - Provider Council Unsched'!$C$11:$C$234,0)</f>
        <v>#N/A</v>
      </c>
      <c r="AR2831" s="6" t="b">
        <f t="shared" si="295"/>
        <v>1</v>
      </c>
      <c r="AS2831" s="6" t="str">
        <f>IF(AND(H2831="2 - Not Scheduled",AR2831=TRUE),"Add","OK")</f>
        <v>OK</v>
      </c>
      <c r="AU2831" s="202"/>
      <c r="AV2831" s="262"/>
      <c r="AW2831" s="274"/>
    </row>
    <row r="2832" spans="1:49" s="13" customFormat="1" ht="33.75" x14ac:dyDescent="0.2">
      <c r="A2832" s="14">
        <v>2808</v>
      </c>
      <c r="B2832" s="14">
        <v>400023803</v>
      </c>
      <c r="C2832" s="8" t="s">
        <v>5197</v>
      </c>
      <c r="D2832" s="4" t="str">
        <f t="shared" si="290"/>
        <v>400023803R1</v>
      </c>
      <c r="E2832" s="309" t="str">
        <f>VLOOKUP($B2832,'D7 - NDB Impacted SPRF''s'!$E$6:$O$9929,2,FALSE)</f>
        <v>Add rev Code 0948 to RSP Ser Cat in NDB</v>
      </c>
      <c r="F2832" s="8" t="s">
        <v>2114</v>
      </c>
      <c r="G2832" s="8" t="s">
        <v>4758</v>
      </c>
      <c r="H2832" s="8" t="s">
        <v>2870</v>
      </c>
      <c r="I2832" s="20">
        <f>568/150</f>
        <v>3.7866666666666666</v>
      </c>
      <c r="J2832" s="8" t="s">
        <v>4862</v>
      </c>
      <c r="K2832" s="182"/>
      <c r="L2832" s="8" t="s">
        <v>4156</v>
      </c>
      <c r="M2832" s="8" t="s">
        <v>2814</v>
      </c>
      <c r="N2832" s="38" t="s">
        <v>6166</v>
      </c>
      <c r="O2832" s="8"/>
      <c r="P2832" s="4" t="str">
        <f>VLOOKUP($B2832,'D7 - NDB Impacted SPRF''s'!$E$16:$O$9929,9,FALSE)</f>
        <v>N</v>
      </c>
      <c r="Q2832" s="4" t="str">
        <f>VLOOKUP($B2832,'D7 - NDB Impacted SPRF''s'!$E$16:$O$9929,10,FALSE)</f>
        <v>N</v>
      </c>
      <c r="R2832" s="4" t="str">
        <f>VLOOKUP($B2832,'D7 - NDB Impacted SPRF''s'!$E$16:$O$9929,11,FALSE)</f>
        <v>N</v>
      </c>
      <c r="S2832" s="8"/>
      <c r="T2832" s="310"/>
      <c r="U2832" s="310"/>
      <c r="V2832" s="4"/>
      <c r="W2832" s="4"/>
      <c r="X2832" s="4"/>
      <c r="Y2832" s="4"/>
      <c r="Z2832" s="4"/>
      <c r="AA2832" s="4"/>
      <c r="AB2832" s="380" t="str">
        <f>VLOOKUP($B2832,'D7 - NDB Impacted SPRF''s'!$E$16:$O$9929,4,FALSE)</f>
        <v>Cancelled</v>
      </c>
      <c r="AC2832" s="380" t="str">
        <f>VLOOKUP($B2832,'D7 - NDB Impacted SPRF''s'!$E$16:$O$9929,3,FALSE)</f>
        <v>UnitedHealthcare Employer &amp; Individual</v>
      </c>
      <c r="AD2832" s="380" t="str">
        <f>VLOOKUP($B2832,'D7 - NDB Impacted SPRF''s'!$E$16:$O$9929,5,FALSE)</f>
        <v>Operational Requirements</v>
      </c>
      <c r="AE2832" s="380" t="str">
        <f>VLOOKUP($B2832,'D7 - NDB Impacted SPRF''s'!$E$16:$O$9929,7,FALSE)</f>
        <v>Matt Guisinger</v>
      </c>
      <c r="AF2832" s="380" t="str">
        <f>VLOOKUP($B2832,'D7 - NDB Impacted SPRF''s'!$E$16:$O$9929,6,FALSE)</f>
        <v>STEPHEN FINLEY</v>
      </c>
      <c r="AG2832" s="282"/>
      <c r="AH2832" s="311" t="e">
        <f>INDEX('D5 - Gatekeeper - Projects'!$A$4:$AF$1010,$AM2832, 17)</f>
        <v>#N/A</v>
      </c>
      <c r="AI2832" s="8"/>
      <c r="AJ2832" s="57"/>
      <c r="AK2832" s="105"/>
      <c r="AM2832" s="6" t="e">
        <f>MATCH(D2832,'D5 - Gatekeeper - Projects'!$C$4:$C$1010,0)</f>
        <v>#N/A</v>
      </c>
      <c r="AN2832" s="6" t="b">
        <f t="shared" si="293"/>
        <v>1</v>
      </c>
      <c r="AO2832" s="6" t="str">
        <f t="shared" si="294"/>
        <v>OK</v>
      </c>
      <c r="AQ2832" s="6" t="e">
        <f>MATCH($D2832,'D4 - Provider Council Unsched'!$C$11:$C$234,0)</f>
        <v>#N/A</v>
      </c>
      <c r="AR2832" s="6" t="b">
        <f t="shared" si="295"/>
        <v>1</v>
      </c>
      <c r="AS2832" s="6" t="str">
        <f>IF(AND(H2832="2 - Not Scheduled",AR2832=TRUE,C2832="R1"),"Add","OK")</f>
        <v>OK</v>
      </c>
      <c r="AU2832" s="202"/>
      <c r="AV2832" s="262"/>
      <c r="AW2832" s="274"/>
    </row>
    <row r="2833" spans="1:49" s="13" customFormat="1" x14ac:dyDescent="0.2">
      <c r="A2833" s="14">
        <v>2809</v>
      </c>
      <c r="B2833" s="14">
        <v>400023836</v>
      </c>
      <c r="C2833" s="8" t="s">
        <v>5197</v>
      </c>
      <c r="D2833" s="4" t="str">
        <f t="shared" si="290"/>
        <v>400023836R1</v>
      </c>
      <c r="E2833" s="309" t="e">
        <f>VLOOKUP($B2833,'D7 - NDB Impacted SPRF''s'!$E$6:$O$9929,2,FALSE)</f>
        <v>#N/A</v>
      </c>
      <c r="F2833" s="8" t="s">
        <v>2114</v>
      </c>
      <c r="G2833" s="8" t="s">
        <v>4758</v>
      </c>
      <c r="H2833" s="8" t="s">
        <v>2870</v>
      </c>
      <c r="I2833" s="20"/>
      <c r="J2833" s="8"/>
      <c r="K2833" s="182"/>
      <c r="L2833" s="8" t="s">
        <v>4156</v>
      </c>
      <c r="M2833" s="8" t="s">
        <v>2814</v>
      </c>
      <c r="N2833" s="38" t="s">
        <v>6775</v>
      </c>
      <c r="O2833" s="8"/>
      <c r="P2833" s="4" t="e">
        <f>VLOOKUP($B2833,'D7 - NDB Impacted SPRF''s'!$E$16:$O$9929,9,FALSE)</f>
        <v>#N/A</v>
      </c>
      <c r="Q2833" s="4" t="e">
        <f>VLOOKUP($B2833,'D7 - NDB Impacted SPRF''s'!$E$16:$O$9929,10,FALSE)</f>
        <v>#N/A</v>
      </c>
      <c r="R2833" s="4" t="e">
        <f>VLOOKUP($B2833,'D7 - NDB Impacted SPRF''s'!$E$16:$O$9929,11,FALSE)</f>
        <v>#N/A</v>
      </c>
      <c r="S2833" s="8"/>
      <c r="T2833" s="310"/>
      <c r="U2833" s="310"/>
      <c r="V2833" s="4"/>
      <c r="W2833" s="4"/>
      <c r="X2833" s="4"/>
      <c r="Y2833" s="4"/>
      <c r="Z2833" s="4"/>
      <c r="AA2833" s="4"/>
      <c r="AB2833" s="380" t="e">
        <f>VLOOKUP($B2833,'D7 - NDB Impacted SPRF''s'!$E$16:$O$9929,4,FALSE)</f>
        <v>#N/A</v>
      </c>
      <c r="AC2833" s="380" t="e">
        <f>VLOOKUP($B2833,'D7 - NDB Impacted SPRF''s'!$E$16:$O$9929,3,FALSE)</f>
        <v>#N/A</v>
      </c>
      <c r="AD2833" s="380" t="e">
        <f>VLOOKUP($B2833,'D7 - NDB Impacted SPRF''s'!$E$16:$O$9929,5,FALSE)</f>
        <v>#N/A</v>
      </c>
      <c r="AE2833" s="380" t="e">
        <f>VLOOKUP($B2833,'D7 - NDB Impacted SPRF''s'!$E$16:$O$9929,7,FALSE)</f>
        <v>#N/A</v>
      </c>
      <c r="AF2833" s="380" t="e">
        <f>VLOOKUP($B2833,'D7 - NDB Impacted SPRF''s'!$E$16:$O$9929,6,FALSE)</f>
        <v>#N/A</v>
      </c>
      <c r="AG2833" s="282"/>
      <c r="AH2833" s="311" t="e">
        <f>INDEX('D5 - Gatekeeper - Projects'!$A$4:$AF$1010,$AM2833, 17)</f>
        <v>#N/A</v>
      </c>
      <c r="AI2833" s="8"/>
      <c r="AJ2833" s="57"/>
      <c r="AK2833" s="105"/>
      <c r="AM2833" s="6" t="e">
        <f>MATCH(D2833,'D5 - Gatekeeper - Projects'!$C$4:$C$1010,0)</f>
        <v>#N/A</v>
      </c>
      <c r="AN2833" s="6" t="b">
        <f t="shared" si="293"/>
        <v>1</v>
      </c>
      <c r="AO2833" s="6" t="str">
        <f t="shared" si="294"/>
        <v>OK</v>
      </c>
      <c r="AQ2833" s="6" t="e">
        <f>MATCH($D2833,'D4 - Provider Council Unsched'!$C$11:$C$234,0)</f>
        <v>#N/A</v>
      </c>
      <c r="AR2833" s="6" t="b">
        <f t="shared" si="295"/>
        <v>1</v>
      </c>
      <c r="AS2833" s="6" t="str">
        <f>IF(AND(H2833="2 - Not Scheduled",AR2833=TRUE,C2833="R1"),"Add","OK")</f>
        <v>OK</v>
      </c>
      <c r="AU2833" s="202"/>
      <c r="AV2833" s="262"/>
      <c r="AW2833" s="274"/>
    </row>
    <row r="2834" spans="1:49" s="13" customFormat="1" ht="33.75" x14ac:dyDescent="0.2">
      <c r="A2834" s="14">
        <v>2810</v>
      </c>
      <c r="B2834" s="14">
        <v>400023877</v>
      </c>
      <c r="C2834" s="8" t="s">
        <v>5197</v>
      </c>
      <c r="D2834" s="4" t="str">
        <f t="shared" si="290"/>
        <v>400023877R1</v>
      </c>
      <c r="E2834" s="309" t="str">
        <f>VLOOKUP($B2834,'D7 - NDB Impacted SPRF''s'!$E$6:$O$9929,2,FALSE)</f>
        <v>Implement Replication Technology for DDS App.</v>
      </c>
      <c r="F2834" s="8" t="s">
        <v>2114</v>
      </c>
      <c r="G2834" s="8" t="s">
        <v>4758</v>
      </c>
      <c r="H2834" s="8" t="s">
        <v>2870</v>
      </c>
      <c r="I2834" s="20"/>
      <c r="J2834" s="8"/>
      <c r="K2834" s="182"/>
      <c r="L2834" s="8" t="s">
        <v>4156</v>
      </c>
      <c r="M2834" s="8" t="s">
        <v>2814</v>
      </c>
      <c r="N2834" s="38" t="s">
        <v>4653</v>
      </c>
      <c r="O2834" s="8"/>
      <c r="P2834" s="4" t="str">
        <f>VLOOKUP($B2834,'D7 - NDB Impacted SPRF''s'!$E$16:$O$9929,9,FALSE)</f>
        <v>Y</v>
      </c>
      <c r="Q2834" s="4" t="str">
        <f>VLOOKUP($B2834,'D7 - NDB Impacted SPRF''s'!$E$16:$O$9929,10,FALSE)</f>
        <v>N</v>
      </c>
      <c r="R2834" s="4" t="str">
        <f>VLOOKUP($B2834,'D7 - NDB Impacted SPRF''s'!$E$16:$O$9929,11,FALSE)</f>
        <v>N</v>
      </c>
      <c r="S2834" s="8"/>
      <c r="T2834" s="310"/>
      <c r="U2834" s="310"/>
      <c r="V2834" s="4"/>
      <c r="W2834" s="4"/>
      <c r="X2834" s="4"/>
      <c r="Y2834" s="4"/>
      <c r="Z2834" s="4"/>
      <c r="AA2834" s="4"/>
      <c r="AB2834" s="380" t="str">
        <f>VLOOKUP($B2834,'D7 - NDB Impacted SPRF''s'!$E$16:$O$9929,4,FALSE)</f>
        <v>Cancelled</v>
      </c>
      <c r="AC2834" s="380" t="str">
        <f>VLOOKUP($B2834,'D7 - NDB Impacted SPRF''s'!$E$16:$O$9929,3,FALSE)</f>
        <v>UnitedHealthcare Employer &amp; Individual</v>
      </c>
      <c r="AD2834" s="380" t="str">
        <f>VLOOKUP($B2834,'D7 - NDB Impacted SPRF''s'!$E$16:$O$9929,5,FALSE)</f>
        <v>HCA - Medica UNET Conversion</v>
      </c>
      <c r="AE2834" s="380" t="str">
        <f>VLOOKUP($B2834,'D7 - NDB Impacted SPRF''s'!$E$16:$O$9929,7,FALSE)</f>
        <v>Diane Schofield</v>
      </c>
      <c r="AF2834" s="380" t="str">
        <f>VLOOKUP($B2834,'D7 - NDB Impacted SPRF''s'!$E$16:$O$9929,6,FALSE)</f>
        <v>NANCY GRIMALDI</v>
      </c>
      <c r="AG2834" s="282"/>
      <c r="AH2834" s="311" t="e">
        <f>INDEX('D5 - Gatekeeper - Projects'!$A$4:$AF$1010,$AM2834, 17)</f>
        <v>#N/A</v>
      </c>
      <c r="AI2834" s="8"/>
      <c r="AJ2834" s="57"/>
      <c r="AK2834" s="105"/>
      <c r="AM2834" s="6" t="e">
        <f>MATCH(D2834,'D5 - Gatekeeper - Projects'!$C$4:$C$1010,0)</f>
        <v>#N/A</v>
      </c>
      <c r="AN2834" s="6" t="b">
        <f t="shared" si="293"/>
        <v>1</v>
      </c>
      <c r="AO2834" s="6" t="str">
        <f t="shared" si="294"/>
        <v>OK</v>
      </c>
      <c r="AQ2834" s="6" t="e">
        <f>MATCH($D2834,'D4 - Provider Council Unsched'!$C$11:$C$234,0)</f>
        <v>#N/A</v>
      </c>
      <c r="AR2834" s="6" t="b">
        <f t="shared" si="295"/>
        <v>1</v>
      </c>
      <c r="AS2834" s="6" t="str">
        <f>IF(AND(H2834="2 - Not Scheduled",AR2834=TRUE),"Add","OK")</f>
        <v>OK</v>
      </c>
      <c r="AU2834" s="202"/>
      <c r="AV2834" s="262"/>
      <c r="AW2834" s="274"/>
    </row>
    <row r="2835" spans="1:49" s="13" customFormat="1" x14ac:dyDescent="0.2">
      <c r="A2835" s="14">
        <v>2811</v>
      </c>
      <c r="B2835" s="14">
        <v>400023925</v>
      </c>
      <c r="C2835" s="8" t="s">
        <v>5197</v>
      </c>
      <c r="D2835" s="4" t="str">
        <f t="shared" si="290"/>
        <v>400023925R1</v>
      </c>
      <c r="E2835" s="309" t="e">
        <f>VLOOKUP($B2835,'D7 - NDB Impacted SPRF''s'!$E$6:$O$9929,2,FALSE)</f>
        <v>#N/A</v>
      </c>
      <c r="F2835" s="8" t="s">
        <v>2114</v>
      </c>
      <c r="G2835" s="8" t="s">
        <v>4758</v>
      </c>
      <c r="H2835" s="8" t="s">
        <v>2870</v>
      </c>
      <c r="I2835" s="20"/>
      <c r="J2835" s="8"/>
      <c r="K2835" s="182"/>
      <c r="L2835" s="8" t="s">
        <v>4156</v>
      </c>
      <c r="M2835" s="8" t="s">
        <v>2814</v>
      </c>
      <c r="N2835" s="38" t="s">
        <v>6775</v>
      </c>
      <c r="O2835" s="8"/>
      <c r="P2835" s="4" t="e">
        <f>VLOOKUP($B2835,'D7 - NDB Impacted SPRF''s'!$E$16:$O$9929,9,FALSE)</f>
        <v>#N/A</v>
      </c>
      <c r="Q2835" s="4" t="e">
        <f>VLOOKUP($B2835,'D7 - NDB Impacted SPRF''s'!$E$16:$O$9929,10,FALSE)</f>
        <v>#N/A</v>
      </c>
      <c r="R2835" s="4" t="e">
        <f>VLOOKUP($B2835,'D7 - NDB Impacted SPRF''s'!$E$16:$O$9929,11,FALSE)</f>
        <v>#N/A</v>
      </c>
      <c r="S2835" s="8"/>
      <c r="T2835" s="310"/>
      <c r="U2835" s="310"/>
      <c r="V2835" s="4"/>
      <c r="W2835" s="4"/>
      <c r="X2835" s="4"/>
      <c r="Y2835" s="4"/>
      <c r="Z2835" s="4"/>
      <c r="AA2835" s="4"/>
      <c r="AB2835" s="380" t="e">
        <f>VLOOKUP($B2835,'D7 - NDB Impacted SPRF''s'!$E$16:$O$9929,4,FALSE)</f>
        <v>#N/A</v>
      </c>
      <c r="AC2835" s="380" t="e">
        <f>VLOOKUP($B2835,'D7 - NDB Impacted SPRF''s'!$E$16:$O$9929,3,FALSE)</f>
        <v>#N/A</v>
      </c>
      <c r="AD2835" s="380" t="e">
        <f>VLOOKUP($B2835,'D7 - NDB Impacted SPRF''s'!$E$16:$O$9929,5,FALSE)</f>
        <v>#N/A</v>
      </c>
      <c r="AE2835" s="380" t="e">
        <f>VLOOKUP($B2835,'D7 - NDB Impacted SPRF''s'!$E$16:$O$9929,7,FALSE)</f>
        <v>#N/A</v>
      </c>
      <c r="AF2835" s="380" t="e">
        <f>VLOOKUP($B2835,'D7 - NDB Impacted SPRF''s'!$E$16:$O$9929,6,FALSE)</f>
        <v>#N/A</v>
      </c>
      <c r="AG2835" s="282"/>
      <c r="AH2835" s="311" t="e">
        <f>INDEX('D5 - Gatekeeper - Projects'!$A$4:$AF$1010,$AM2835, 17)</f>
        <v>#N/A</v>
      </c>
      <c r="AI2835" s="8"/>
      <c r="AJ2835" s="57"/>
      <c r="AK2835" s="105"/>
      <c r="AM2835" s="6" t="e">
        <f>MATCH(D2835,'D5 - Gatekeeper - Projects'!$C$4:$C$1010,0)</f>
        <v>#N/A</v>
      </c>
      <c r="AN2835" s="6" t="b">
        <f t="shared" si="293"/>
        <v>1</v>
      </c>
      <c r="AO2835" s="6" t="str">
        <f t="shared" si="294"/>
        <v>OK</v>
      </c>
      <c r="AQ2835" s="6" t="e">
        <f>MATCH($D2835,'D4 - Provider Council Unsched'!$C$11:$C$234,0)</f>
        <v>#N/A</v>
      </c>
      <c r="AR2835" s="6" t="b">
        <f t="shared" si="295"/>
        <v>1</v>
      </c>
      <c r="AS2835" s="6" t="str">
        <f>IF(AND(H2835="2 - Not Scheduled",AR2835=TRUE),"Add","OK")</f>
        <v>OK</v>
      </c>
      <c r="AU2835" s="202"/>
      <c r="AV2835" s="262"/>
      <c r="AW2835" s="274"/>
    </row>
    <row r="2836" spans="1:49" s="13" customFormat="1" x14ac:dyDescent="0.2">
      <c r="A2836" s="14">
        <v>2812</v>
      </c>
      <c r="B2836" s="14">
        <v>400023933</v>
      </c>
      <c r="C2836" s="8" t="s">
        <v>5197</v>
      </c>
      <c r="D2836" s="4" t="str">
        <f t="shared" si="290"/>
        <v>400023933R1</v>
      </c>
      <c r="E2836" s="309" t="e">
        <f>VLOOKUP($B2836,'D7 - NDB Impacted SPRF''s'!$E$6:$O$9929,2,FALSE)</f>
        <v>#N/A</v>
      </c>
      <c r="F2836" s="8" t="s">
        <v>2114</v>
      </c>
      <c r="G2836" s="8" t="s">
        <v>4758</v>
      </c>
      <c r="H2836" s="8" t="s">
        <v>2870</v>
      </c>
      <c r="I2836" s="20"/>
      <c r="J2836" s="8"/>
      <c r="K2836" s="182"/>
      <c r="L2836" s="8" t="s">
        <v>4156</v>
      </c>
      <c r="M2836" s="8" t="s">
        <v>2814</v>
      </c>
      <c r="N2836" s="38" t="s">
        <v>6775</v>
      </c>
      <c r="O2836" s="8"/>
      <c r="P2836" s="4" t="e">
        <f>VLOOKUP($B2836,'D7 - NDB Impacted SPRF''s'!$E$16:$O$9929,9,FALSE)</f>
        <v>#N/A</v>
      </c>
      <c r="Q2836" s="4" t="e">
        <f>VLOOKUP($B2836,'D7 - NDB Impacted SPRF''s'!$E$16:$O$9929,10,FALSE)</f>
        <v>#N/A</v>
      </c>
      <c r="R2836" s="4" t="e">
        <f>VLOOKUP($B2836,'D7 - NDB Impacted SPRF''s'!$E$16:$O$9929,11,FALSE)</f>
        <v>#N/A</v>
      </c>
      <c r="S2836" s="8"/>
      <c r="T2836" s="310"/>
      <c r="U2836" s="310"/>
      <c r="V2836" s="4"/>
      <c r="W2836" s="4"/>
      <c r="X2836" s="4"/>
      <c r="Y2836" s="4"/>
      <c r="Z2836" s="4"/>
      <c r="AA2836" s="4"/>
      <c r="AB2836" s="380" t="e">
        <f>VLOOKUP($B2836,'D7 - NDB Impacted SPRF''s'!$E$16:$O$9929,4,FALSE)</f>
        <v>#N/A</v>
      </c>
      <c r="AC2836" s="380" t="e">
        <f>VLOOKUP($B2836,'D7 - NDB Impacted SPRF''s'!$E$16:$O$9929,3,FALSE)</f>
        <v>#N/A</v>
      </c>
      <c r="AD2836" s="380" t="e">
        <f>VLOOKUP($B2836,'D7 - NDB Impacted SPRF''s'!$E$16:$O$9929,5,FALSE)</f>
        <v>#N/A</v>
      </c>
      <c r="AE2836" s="380" t="e">
        <f>VLOOKUP($B2836,'D7 - NDB Impacted SPRF''s'!$E$16:$O$9929,7,FALSE)</f>
        <v>#N/A</v>
      </c>
      <c r="AF2836" s="380" t="e">
        <f>VLOOKUP($B2836,'D7 - NDB Impacted SPRF''s'!$E$16:$O$9929,6,FALSE)</f>
        <v>#N/A</v>
      </c>
      <c r="AG2836" s="282"/>
      <c r="AH2836" s="311" t="e">
        <f>INDEX('D5 - Gatekeeper - Projects'!$A$4:$AF$1010,$AM2836, 17)</f>
        <v>#N/A</v>
      </c>
      <c r="AI2836" s="8"/>
      <c r="AJ2836" s="57"/>
      <c r="AK2836" s="105"/>
      <c r="AM2836" s="6" t="e">
        <f>MATCH(D2836,'D5 - Gatekeeper - Projects'!$C$4:$C$1010,0)</f>
        <v>#N/A</v>
      </c>
      <c r="AN2836" s="6" t="b">
        <f t="shared" si="293"/>
        <v>1</v>
      </c>
      <c r="AO2836" s="6" t="str">
        <f t="shared" si="294"/>
        <v>OK</v>
      </c>
      <c r="AQ2836" s="6" t="e">
        <f>MATCH($D2836,'D4 - Provider Council Unsched'!$C$11:$C$234,0)</f>
        <v>#N/A</v>
      </c>
      <c r="AR2836" s="6" t="b">
        <f t="shared" si="295"/>
        <v>1</v>
      </c>
      <c r="AS2836" s="6" t="str">
        <f>IF(AND(H2836="2 - Not Scheduled",AR2836=TRUE),"Add","OK")</f>
        <v>OK</v>
      </c>
      <c r="AU2836" s="202"/>
      <c r="AV2836" s="262"/>
      <c r="AW2836" s="274"/>
    </row>
    <row r="2837" spans="1:49" s="13" customFormat="1" ht="33.75" x14ac:dyDescent="0.2">
      <c r="A2837" s="14">
        <v>2813</v>
      </c>
      <c r="B2837" s="14">
        <v>400023964</v>
      </c>
      <c r="C2837" s="8" t="s">
        <v>5197</v>
      </c>
      <c r="D2837" s="4" t="str">
        <f t="shared" si="290"/>
        <v>400023964R1</v>
      </c>
      <c r="E2837" s="309" t="str">
        <f>VLOOKUP($B2837,'D7 - NDB Impacted SPRF''s'!$E$6:$O$9929,2,FALSE)</f>
        <v>PHS - UBH Network Integration</v>
      </c>
      <c r="F2837" s="8" t="s">
        <v>6071</v>
      </c>
      <c r="G2837" s="8" t="s">
        <v>4758</v>
      </c>
      <c r="H2837" s="8" t="s">
        <v>2870</v>
      </c>
      <c r="I2837" s="20"/>
      <c r="J2837" s="8"/>
      <c r="K2837" s="182"/>
      <c r="L2837" s="8" t="s">
        <v>4156</v>
      </c>
      <c r="M2837" s="8" t="s">
        <v>2814</v>
      </c>
      <c r="N2837" s="38" t="s">
        <v>4653</v>
      </c>
      <c r="O2837" s="8"/>
      <c r="P2837" s="4" t="str">
        <f>VLOOKUP($B2837,'D7 - NDB Impacted SPRF''s'!$E$16:$O$9929,9,FALSE)</f>
        <v>N</v>
      </c>
      <c r="Q2837" s="4" t="str">
        <f>VLOOKUP($B2837,'D7 - NDB Impacted SPRF''s'!$E$16:$O$9929,10,FALSE)</f>
        <v>N</v>
      </c>
      <c r="R2837" s="4" t="str">
        <f>VLOOKUP($B2837,'D7 - NDB Impacted SPRF''s'!$E$16:$O$9929,11,FALSE)</f>
        <v>N</v>
      </c>
      <c r="S2837" s="8"/>
      <c r="T2837" s="310"/>
      <c r="U2837" s="310"/>
      <c r="V2837" s="4"/>
      <c r="W2837" s="4"/>
      <c r="X2837" s="4"/>
      <c r="Y2837" s="4"/>
      <c r="Z2837" s="4"/>
      <c r="AA2837" s="4"/>
      <c r="AB2837" s="380" t="str">
        <f>VLOOKUP($B2837,'D7 - NDB Impacted SPRF''s'!$E$16:$O$9929,4,FALSE)</f>
        <v>Cancelled</v>
      </c>
      <c r="AC2837" s="380" t="str">
        <f>VLOOKUP($B2837,'D7 - NDB Impacted SPRF''s'!$E$16:$O$9929,3,FALSE)</f>
        <v>UnitedHealthcare Employer &amp; Individual</v>
      </c>
      <c r="AD2837" s="380" t="str">
        <f>VLOOKUP($B2837,'D7 - NDB Impacted SPRF''s'!$E$16:$O$9929,5,FALSE)</f>
        <v>Integration Requirements</v>
      </c>
      <c r="AE2837" s="380" t="str">
        <f>VLOOKUP($B2837,'D7 - NDB Impacted SPRF''s'!$E$16:$O$9929,7,FALSE)</f>
        <v>Sally Verrilli</v>
      </c>
      <c r="AF2837" s="380" t="str">
        <f>VLOOKUP($B2837,'D7 - NDB Impacted SPRF''s'!$E$16:$O$9929,6,FALSE)</f>
        <v>Ellis Miller</v>
      </c>
      <c r="AG2837" s="282"/>
      <c r="AH2837" s="311" t="e">
        <f>INDEX('D5 - Gatekeeper - Projects'!$A$4:$AF$1010,$AM2837, 17)</f>
        <v>#N/A</v>
      </c>
      <c r="AI2837" s="8"/>
      <c r="AJ2837" s="57"/>
      <c r="AK2837" s="105"/>
      <c r="AM2837" s="6" t="e">
        <f>MATCH(D2837,'D5 - Gatekeeper - Projects'!$C$4:$C$1010,0)</f>
        <v>#N/A</v>
      </c>
      <c r="AN2837" s="6" t="b">
        <f t="shared" si="293"/>
        <v>1</v>
      </c>
      <c r="AO2837" s="6" t="str">
        <f t="shared" si="294"/>
        <v>OK</v>
      </c>
      <c r="AQ2837" s="6" t="e">
        <f>MATCH($D2837,'D4 - Provider Council Unsched'!$C$11:$C$234,0)</f>
        <v>#N/A</v>
      </c>
      <c r="AR2837" s="6" t="b">
        <f t="shared" si="295"/>
        <v>1</v>
      </c>
      <c r="AS2837" s="6" t="str">
        <f>IF(AND(H2837="2 - Not Scheduled",AR2837=TRUE,C2837="R1"),"Add","OK")</f>
        <v>OK</v>
      </c>
      <c r="AU2837" s="202"/>
      <c r="AV2837" s="262"/>
      <c r="AW2837" s="274"/>
    </row>
    <row r="2838" spans="1:49" s="13" customFormat="1" x14ac:dyDescent="0.2">
      <c r="A2838" s="14">
        <v>2814</v>
      </c>
      <c r="B2838" s="14">
        <v>400024043</v>
      </c>
      <c r="C2838" s="8" t="s">
        <v>5197</v>
      </c>
      <c r="D2838" s="4" t="str">
        <f t="shared" si="290"/>
        <v>400024043R1</v>
      </c>
      <c r="E2838" s="309" t="e">
        <f>VLOOKUP($B2838,'D7 - NDB Impacted SPRF''s'!$E$6:$O$9929,2,FALSE)</f>
        <v>#N/A</v>
      </c>
      <c r="F2838" s="8" t="s">
        <v>2114</v>
      </c>
      <c r="G2838" s="8" t="s">
        <v>4758</v>
      </c>
      <c r="H2838" s="8" t="s">
        <v>2870</v>
      </c>
      <c r="I2838" s="20"/>
      <c r="J2838" s="8"/>
      <c r="K2838" s="182"/>
      <c r="L2838" s="8" t="s">
        <v>4156</v>
      </c>
      <c r="M2838" s="8" t="s">
        <v>2814</v>
      </c>
      <c r="N2838" s="38" t="s">
        <v>7879</v>
      </c>
      <c r="O2838" s="8"/>
      <c r="P2838" s="4" t="e">
        <f>VLOOKUP($B2838,'D7 - NDB Impacted SPRF''s'!$E$16:$O$9929,9,FALSE)</f>
        <v>#N/A</v>
      </c>
      <c r="Q2838" s="4" t="e">
        <f>VLOOKUP($B2838,'D7 - NDB Impacted SPRF''s'!$E$16:$O$9929,10,FALSE)</f>
        <v>#N/A</v>
      </c>
      <c r="R2838" s="4" t="e">
        <f>VLOOKUP($B2838,'D7 - NDB Impacted SPRF''s'!$E$16:$O$9929,11,FALSE)</f>
        <v>#N/A</v>
      </c>
      <c r="S2838" s="8"/>
      <c r="T2838" s="310"/>
      <c r="U2838" s="310"/>
      <c r="V2838" s="4"/>
      <c r="W2838" s="4"/>
      <c r="X2838" s="4"/>
      <c r="Y2838" s="4"/>
      <c r="Z2838" s="4"/>
      <c r="AA2838" s="4"/>
      <c r="AB2838" s="380" t="e">
        <f>VLOOKUP($B2838,'D7 - NDB Impacted SPRF''s'!$E$16:$O$9929,4,FALSE)</f>
        <v>#N/A</v>
      </c>
      <c r="AC2838" s="380" t="e">
        <f>VLOOKUP($B2838,'D7 - NDB Impacted SPRF''s'!$E$16:$O$9929,3,FALSE)</f>
        <v>#N/A</v>
      </c>
      <c r="AD2838" s="380" t="e">
        <f>VLOOKUP($B2838,'D7 - NDB Impacted SPRF''s'!$E$16:$O$9929,5,FALSE)</f>
        <v>#N/A</v>
      </c>
      <c r="AE2838" s="380" t="e">
        <f>VLOOKUP($B2838,'D7 - NDB Impacted SPRF''s'!$E$16:$O$9929,7,FALSE)</f>
        <v>#N/A</v>
      </c>
      <c r="AF2838" s="380" t="e">
        <f>VLOOKUP($B2838,'D7 - NDB Impacted SPRF''s'!$E$16:$O$9929,6,FALSE)</f>
        <v>#N/A</v>
      </c>
      <c r="AG2838" s="282"/>
      <c r="AH2838" s="311" t="e">
        <f>INDEX('D5 - Gatekeeper - Projects'!$A$4:$AF$1010,$AM2838, 17)</f>
        <v>#N/A</v>
      </c>
      <c r="AI2838" s="8"/>
      <c r="AJ2838" s="57"/>
      <c r="AK2838" s="105"/>
      <c r="AM2838" s="6" t="e">
        <f>MATCH(D2838,'D5 - Gatekeeper - Projects'!$C$4:$C$1010,0)</f>
        <v>#N/A</v>
      </c>
      <c r="AN2838" s="6" t="b">
        <f t="shared" si="293"/>
        <v>1</v>
      </c>
      <c r="AO2838" s="6" t="str">
        <f t="shared" si="294"/>
        <v>OK</v>
      </c>
      <c r="AQ2838" s="6" t="e">
        <f>MATCH($D2838,'D4 - Provider Council Unsched'!$C$11:$C$234,0)</f>
        <v>#N/A</v>
      </c>
      <c r="AR2838" s="6" t="b">
        <f t="shared" si="295"/>
        <v>1</v>
      </c>
      <c r="AS2838" s="6" t="str">
        <f>IF(AND(H2838="2 - Not Scheduled",AR2838=TRUE,C2838="R1"),"Add","OK")</f>
        <v>OK</v>
      </c>
      <c r="AU2838" s="202"/>
      <c r="AV2838" s="262"/>
      <c r="AW2838" s="274"/>
    </row>
    <row r="2839" spans="1:49" s="13" customFormat="1" ht="33.75" x14ac:dyDescent="0.2">
      <c r="A2839" s="14">
        <v>2815</v>
      </c>
      <c r="B2839" s="14">
        <v>400024118</v>
      </c>
      <c r="C2839" s="8" t="s">
        <v>5197</v>
      </c>
      <c r="D2839" s="4" t="str">
        <f t="shared" si="290"/>
        <v>400024118R1</v>
      </c>
      <c r="E2839" s="309" t="str">
        <f>VLOOKUP($B2839,'D7 - NDB Impacted SPRF''s'!$E$6:$O$9929,2,FALSE)</f>
        <v>Insure Missouri Implementation - Cross App</v>
      </c>
      <c r="F2839" s="8" t="s">
        <v>2114</v>
      </c>
      <c r="G2839" s="8" t="s">
        <v>4758</v>
      </c>
      <c r="H2839" s="8" t="s">
        <v>2870</v>
      </c>
      <c r="I2839" s="20">
        <f>160/150</f>
        <v>1.0666666666666667</v>
      </c>
      <c r="J2839" s="8" t="s">
        <v>4862</v>
      </c>
      <c r="K2839" s="182"/>
      <c r="L2839" s="8" t="s">
        <v>4156</v>
      </c>
      <c r="M2839" s="8" t="s">
        <v>2814</v>
      </c>
      <c r="N2839" s="38" t="s">
        <v>6780</v>
      </c>
      <c r="O2839" s="8"/>
      <c r="P2839" s="4" t="str">
        <f>VLOOKUP($B2839,'D7 - NDB Impacted SPRF''s'!$E$16:$O$9929,9,FALSE)</f>
        <v>N</v>
      </c>
      <c r="Q2839" s="4" t="str">
        <f>VLOOKUP($B2839,'D7 - NDB Impacted SPRF''s'!$E$16:$O$9929,10,FALSE)</f>
        <v>N</v>
      </c>
      <c r="R2839" s="4" t="str">
        <f>VLOOKUP($B2839,'D7 - NDB Impacted SPRF''s'!$E$16:$O$9929,11,FALSE)</f>
        <v>N</v>
      </c>
      <c r="S2839" s="8"/>
      <c r="T2839" s="310"/>
      <c r="U2839" s="310"/>
      <c r="V2839" s="4"/>
      <c r="W2839" s="4"/>
      <c r="X2839" s="4"/>
      <c r="Y2839" s="4"/>
      <c r="Z2839" s="4"/>
      <c r="AA2839" s="4"/>
      <c r="AB2839" s="380" t="str">
        <f>VLOOKUP($B2839,'D7 - NDB Impacted SPRF''s'!$E$16:$O$9929,4,FALSE)</f>
        <v>Cancelled</v>
      </c>
      <c r="AC2839" s="380" t="str">
        <f>VLOOKUP($B2839,'D7 - NDB Impacted SPRF''s'!$E$16:$O$9929,3,FALSE)</f>
        <v>UnitedHealthcare Community &amp; State</v>
      </c>
      <c r="AD2839" s="380" t="str">
        <f>VLOOKUP($B2839,'D7 - NDB Impacted SPRF''s'!$E$16:$O$9929,5,FALSE)</f>
        <v>AmeriChoice</v>
      </c>
      <c r="AE2839" s="380" t="str">
        <f>VLOOKUP($B2839,'D7 - NDB Impacted SPRF''s'!$E$16:$O$9929,7,FALSE)</f>
        <v>Jim Donovan</v>
      </c>
      <c r="AF2839" s="380" t="str">
        <f>VLOOKUP($B2839,'D7 - NDB Impacted SPRF''s'!$E$16:$O$9929,6,FALSE)</f>
        <v>MICHAEL CANTOR</v>
      </c>
      <c r="AG2839" s="282"/>
      <c r="AH2839" s="311" t="e">
        <f>INDEX('D5 - Gatekeeper - Projects'!$A$4:$AF$1010,$AM2839, 17)</f>
        <v>#N/A</v>
      </c>
      <c r="AI2839" s="8"/>
      <c r="AJ2839" s="57"/>
      <c r="AK2839" s="105"/>
      <c r="AM2839" s="6" t="e">
        <f>MATCH(D2839,'D5 - Gatekeeper - Projects'!$C$4:$C$1010,0)</f>
        <v>#N/A</v>
      </c>
      <c r="AN2839" s="6" t="b">
        <f t="shared" si="293"/>
        <v>1</v>
      </c>
      <c r="AO2839" s="6" t="str">
        <f t="shared" si="294"/>
        <v>OK</v>
      </c>
      <c r="AQ2839" s="6" t="e">
        <f>MATCH($D2839,'D4 - Provider Council Unsched'!$C$11:$C$234,0)</f>
        <v>#N/A</v>
      </c>
      <c r="AR2839" s="6" t="b">
        <f t="shared" si="295"/>
        <v>1</v>
      </c>
      <c r="AS2839" s="6" t="str">
        <f t="shared" ref="AS2839:AS2845" si="296">IF(AND(H2839="2 - Not Scheduled",AR2839=TRUE),"Add","OK")</f>
        <v>OK</v>
      </c>
      <c r="AU2839" s="202"/>
      <c r="AV2839" s="262"/>
      <c r="AW2839" s="274"/>
    </row>
    <row r="2840" spans="1:49" s="13" customFormat="1" ht="33.75" x14ac:dyDescent="0.2">
      <c r="A2840" s="14">
        <v>2816</v>
      </c>
      <c r="B2840" s="14">
        <v>400024121</v>
      </c>
      <c r="C2840" s="8" t="s">
        <v>5197</v>
      </c>
      <c r="D2840" s="4" t="str">
        <f t="shared" si="290"/>
        <v>400024121R1</v>
      </c>
      <c r="E2840" s="309" t="str">
        <f>VLOOKUP($B2840,'D7 - NDB Impacted SPRF''s'!$E$6:$O$9929,2,FALSE)</f>
        <v>PHS Partner Certification Test WP2</v>
      </c>
      <c r="F2840" s="8" t="s">
        <v>6071</v>
      </c>
      <c r="G2840" s="8" t="s">
        <v>4758</v>
      </c>
      <c r="H2840" s="8" t="s">
        <v>2870</v>
      </c>
      <c r="I2840" s="20"/>
      <c r="J2840" s="8"/>
      <c r="K2840" s="182"/>
      <c r="L2840" s="8" t="s">
        <v>4156</v>
      </c>
      <c r="M2840" s="8" t="s">
        <v>2814</v>
      </c>
      <c r="N2840" s="38"/>
      <c r="O2840" s="8"/>
      <c r="P2840" s="4" t="str">
        <f>VLOOKUP($B2840,'D7 - NDB Impacted SPRF''s'!$E$16:$O$9929,9,FALSE)</f>
        <v>Y</v>
      </c>
      <c r="Q2840" s="4" t="str">
        <f>VLOOKUP($B2840,'D7 - NDB Impacted SPRF''s'!$E$16:$O$9929,10,FALSE)</f>
        <v>N</v>
      </c>
      <c r="R2840" s="4" t="str">
        <f>VLOOKUP($B2840,'D7 - NDB Impacted SPRF''s'!$E$16:$O$9929,11,FALSE)</f>
        <v>N</v>
      </c>
      <c r="S2840" s="8"/>
      <c r="T2840" s="310"/>
      <c r="U2840" s="310"/>
      <c r="V2840" s="4"/>
      <c r="W2840" s="4"/>
      <c r="X2840" s="4"/>
      <c r="Y2840" s="4"/>
      <c r="Z2840" s="4"/>
      <c r="AA2840" s="4"/>
      <c r="AB2840" s="380" t="str">
        <f>VLOOKUP($B2840,'D7 - NDB Impacted SPRF''s'!$E$16:$O$9929,4,FALSE)</f>
        <v>Cancelled</v>
      </c>
      <c r="AC2840" s="380" t="str">
        <f>VLOOKUP($B2840,'D7 - NDB Impacted SPRF''s'!$E$16:$O$9929,3,FALSE)</f>
        <v>UnitedHealthcare Employer &amp; Individual</v>
      </c>
      <c r="AD2840" s="380" t="str">
        <f>VLOOKUP($B2840,'D7 - NDB Impacted SPRF''s'!$E$16:$O$9929,5,FALSE)</f>
        <v>Integration Requirements</v>
      </c>
      <c r="AE2840" s="380" t="str">
        <f>VLOOKUP($B2840,'D7 - NDB Impacted SPRF''s'!$E$16:$O$9929,7,FALSE)</f>
        <v>Diane Schofield</v>
      </c>
      <c r="AF2840" s="380" t="str">
        <f>VLOOKUP($B2840,'D7 - NDB Impacted SPRF''s'!$E$16:$O$9929,6,FALSE)</f>
        <v>Cindy Griggs</v>
      </c>
      <c r="AG2840" s="282"/>
      <c r="AH2840" s="311" t="e">
        <f>INDEX('D5 - Gatekeeper - Projects'!$A$4:$AF$1010,$AM2840, 17)</f>
        <v>#N/A</v>
      </c>
      <c r="AI2840" s="8"/>
      <c r="AJ2840" s="57"/>
      <c r="AK2840" s="105"/>
      <c r="AM2840" s="6" t="e">
        <f>MATCH(D2840,'D5 - Gatekeeper - Projects'!$C$4:$C$1010,0)</f>
        <v>#N/A</v>
      </c>
      <c r="AN2840" s="6" t="b">
        <f t="shared" si="293"/>
        <v>1</v>
      </c>
      <c r="AO2840" s="6" t="str">
        <f t="shared" si="294"/>
        <v>OK</v>
      </c>
      <c r="AQ2840" s="6" t="e">
        <f>MATCH($D2840,'D4 - Provider Council Unsched'!$C$11:$C$234,0)</f>
        <v>#N/A</v>
      </c>
      <c r="AR2840" s="6" t="b">
        <f t="shared" si="295"/>
        <v>1</v>
      </c>
      <c r="AS2840" s="6" t="str">
        <f t="shared" si="296"/>
        <v>OK</v>
      </c>
      <c r="AU2840" s="202"/>
      <c r="AV2840" s="262"/>
      <c r="AW2840" s="274"/>
    </row>
    <row r="2841" spans="1:49" s="13" customFormat="1" ht="33.75" x14ac:dyDescent="0.2">
      <c r="A2841" s="14">
        <v>2817</v>
      </c>
      <c r="B2841" s="14">
        <v>400024224</v>
      </c>
      <c r="C2841" s="8" t="s">
        <v>5197</v>
      </c>
      <c r="D2841" s="4" t="str">
        <f t="shared" si="290"/>
        <v>400024224R1</v>
      </c>
      <c r="E2841" s="309" t="str">
        <f>VLOOKUP($B2841,'D7 - NDB Impacted SPRF''s'!$E$6:$O$9929,2,FALSE)</f>
        <v>UHN Reporting - Premium Designation Code Enhance</v>
      </c>
      <c r="F2841" s="8" t="s">
        <v>2114</v>
      </c>
      <c r="G2841" s="8" t="s">
        <v>4758</v>
      </c>
      <c r="H2841" s="8" t="s">
        <v>2870</v>
      </c>
      <c r="I2841" s="20">
        <f>665/150</f>
        <v>4.4333333333333336</v>
      </c>
      <c r="J2841" s="8" t="s">
        <v>4862</v>
      </c>
      <c r="K2841" s="182"/>
      <c r="L2841" s="8" t="s">
        <v>4156</v>
      </c>
      <c r="M2841" s="8" t="s">
        <v>2814</v>
      </c>
      <c r="N2841" s="38" t="s">
        <v>6332</v>
      </c>
      <c r="O2841" s="8"/>
      <c r="P2841" s="4" t="str">
        <f>VLOOKUP($B2841,'D7 - NDB Impacted SPRF''s'!$E$16:$O$9929,9,FALSE)</f>
        <v>N</v>
      </c>
      <c r="Q2841" s="4" t="str">
        <f>VLOOKUP($B2841,'D7 - NDB Impacted SPRF''s'!$E$16:$O$9929,10,FALSE)</f>
        <v>N</v>
      </c>
      <c r="R2841" s="4" t="str">
        <f>VLOOKUP($B2841,'D7 - NDB Impacted SPRF''s'!$E$16:$O$9929,11,FALSE)</f>
        <v>N</v>
      </c>
      <c r="S2841" s="8"/>
      <c r="T2841" s="310"/>
      <c r="U2841" s="310"/>
      <c r="V2841" s="4"/>
      <c r="W2841" s="4"/>
      <c r="X2841" s="4"/>
      <c r="Y2841" s="4"/>
      <c r="Z2841" s="4"/>
      <c r="AA2841" s="4"/>
      <c r="AB2841" s="380" t="str">
        <f>VLOOKUP($B2841,'D7 - NDB Impacted SPRF''s'!$E$16:$O$9929,4,FALSE)</f>
        <v>Cancelled</v>
      </c>
      <c r="AC2841" s="380" t="str">
        <f>VLOOKUP($B2841,'D7 - NDB Impacted SPRF''s'!$E$16:$O$9929,3,FALSE)</f>
        <v>UnitedHealthcare Employer &amp; Individual</v>
      </c>
      <c r="AD2841" s="380" t="str">
        <f>VLOOKUP($B2841,'D7 - NDB Impacted SPRF''s'!$E$16:$O$9929,5,FALSE)</f>
        <v>Medical Cost Savings Programs</v>
      </c>
      <c r="AE2841" s="380" t="str">
        <f>VLOOKUP($B2841,'D7 - NDB Impacted SPRF''s'!$E$16:$O$9929,7,FALSE)</f>
        <v>Marilyn Levi-Baumgarten</v>
      </c>
      <c r="AF2841" s="380" t="str">
        <f>VLOOKUP($B2841,'D7 - NDB Impacted SPRF''s'!$E$16:$O$9929,6,FALSE)</f>
        <v>John Underwood</v>
      </c>
      <c r="AG2841" s="282"/>
      <c r="AH2841" s="311" t="e">
        <f>INDEX('D5 - Gatekeeper - Projects'!$A$4:$AF$1010,$AM2841, 17)</f>
        <v>#N/A</v>
      </c>
      <c r="AI2841" s="8"/>
      <c r="AJ2841" s="57"/>
      <c r="AK2841" s="105"/>
      <c r="AM2841" s="6" t="e">
        <f>MATCH(D2841,'D5 - Gatekeeper - Projects'!$C$4:$C$1010,0)</f>
        <v>#N/A</v>
      </c>
      <c r="AN2841" s="6" t="b">
        <f t="shared" si="293"/>
        <v>1</v>
      </c>
      <c r="AO2841" s="6" t="str">
        <f t="shared" si="294"/>
        <v>OK</v>
      </c>
      <c r="AQ2841" s="6" t="e">
        <f>MATCH($D2841,'D4 - Provider Council Unsched'!$C$11:$C$234,0)</f>
        <v>#N/A</v>
      </c>
      <c r="AR2841" s="6" t="b">
        <f t="shared" si="295"/>
        <v>1</v>
      </c>
      <c r="AS2841" s="6" t="str">
        <f t="shared" si="296"/>
        <v>OK</v>
      </c>
      <c r="AU2841" s="202"/>
      <c r="AV2841" s="262"/>
      <c r="AW2841" s="274"/>
    </row>
    <row r="2842" spans="1:49" s="13" customFormat="1" ht="33.75" x14ac:dyDescent="0.2">
      <c r="A2842" s="14">
        <v>2818</v>
      </c>
      <c r="B2842" s="14">
        <v>400024353</v>
      </c>
      <c r="C2842" s="8" t="s">
        <v>5197</v>
      </c>
      <c r="D2842" s="4" t="str">
        <f t="shared" si="290"/>
        <v>400024353R1</v>
      </c>
      <c r="E2842" s="309" t="str">
        <f>VLOOKUP($B2842,'D7 - NDB Impacted SPRF''s'!$E$6:$O$9929,2,FALSE)</f>
        <v>Add Provider Termination History to UHN Reporting</v>
      </c>
      <c r="F2842" s="8" t="s">
        <v>4471</v>
      </c>
      <c r="G2842" s="8" t="s">
        <v>4758</v>
      </c>
      <c r="H2842" s="8" t="s">
        <v>2870</v>
      </c>
      <c r="I2842" s="20"/>
      <c r="J2842" s="8"/>
      <c r="K2842" s="182"/>
      <c r="L2842" s="8" t="s">
        <v>4156</v>
      </c>
      <c r="M2842" s="8" t="s">
        <v>2814</v>
      </c>
      <c r="N2842" s="38" t="s">
        <v>8012</v>
      </c>
      <c r="O2842" s="8"/>
      <c r="P2842" s="4" t="str">
        <f>VLOOKUP($B2842,'D7 - NDB Impacted SPRF''s'!$E$16:$O$9929,9,FALSE)</f>
        <v>N</v>
      </c>
      <c r="Q2842" s="4" t="str">
        <f>VLOOKUP($B2842,'D7 - NDB Impacted SPRF''s'!$E$16:$O$9929,10,FALSE)</f>
        <v>N</v>
      </c>
      <c r="R2842" s="4" t="str">
        <f>VLOOKUP($B2842,'D7 - NDB Impacted SPRF''s'!$E$16:$O$9929,11,FALSE)</f>
        <v>N</v>
      </c>
      <c r="S2842" s="8"/>
      <c r="T2842" s="310"/>
      <c r="U2842" s="310"/>
      <c r="V2842" s="4"/>
      <c r="W2842" s="4"/>
      <c r="X2842" s="4"/>
      <c r="Y2842" s="4"/>
      <c r="Z2842" s="4"/>
      <c r="AA2842" s="4"/>
      <c r="AB2842" s="380" t="str">
        <f>VLOOKUP($B2842,'D7 - NDB Impacted SPRF''s'!$E$16:$O$9929,4,FALSE)</f>
        <v>Cancelled</v>
      </c>
      <c r="AC2842" s="380" t="str">
        <f>VLOOKUP($B2842,'D7 - NDB Impacted SPRF''s'!$E$16:$O$9929,3,FALSE)</f>
        <v>UnitedHealthcare Employer &amp; Individual</v>
      </c>
      <c r="AD2842" s="380" t="str">
        <f>VLOOKUP($B2842,'D7 - NDB Impacted SPRF''s'!$E$16:$O$9929,5,FALSE)</f>
        <v>Regulatory / Other</v>
      </c>
      <c r="AE2842" s="380" t="str">
        <f>VLOOKUP($B2842,'D7 - NDB Impacted SPRF''s'!$E$16:$O$9929,7,FALSE)</f>
        <v>Kevin Carlson</v>
      </c>
      <c r="AF2842" s="380" t="str">
        <f>VLOOKUP($B2842,'D7 - NDB Impacted SPRF''s'!$E$16:$O$9929,6,FALSE)</f>
        <v>Pamela Nash</v>
      </c>
      <c r="AG2842" s="282"/>
      <c r="AH2842" s="311" t="e">
        <f>INDEX('D5 - Gatekeeper - Projects'!$A$4:$AF$1010,$AM2842, 17)</f>
        <v>#N/A</v>
      </c>
      <c r="AI2842" s="8"/>
      <c r="AJ2842" s="57"/>
      <c r="AK2842" s="105"/>
      <c r="AM2842" s="6" t="e">
        <f>MATCH(D2842,'D5 - Gatekeeper - Projects'!$C$4:$C$1010,0)</f>
        <v>#N/A</v>
      </c>
      <c r="AN2842" s="6" t="b">
        <f t="shared" si="293"/>
        <v>1</v>
      </c>
      <c r="AO2842" s="6" t="str">
        <f t="shared" si="294"/>
        <v>OK</v>
      </c>
      <c r="AQ2842" s="6" t="e">
        <f>MATCH($D2842,'D4 - Provider Council Unsched'!$C$11:$C$234,0)</f>
        <v>#N/A</v>
      </c>
      <c r="AR2842" s="6" t="b">
        <f t="shared" si="295"/>
        <v>1</v>
      </c>
      <c r="AS2842" s="6" t="str">
        <f t="shared" si="296"/>
        <v>OK</v>
      </c>
      <c r="AU2842" s="202"/>
      <c r="AV2842" s="262"/>
      <c r="AW2842" s="274"/>
    </row>
    <row r="2843" spans="1:49" s="13" customFormat="1" ht="33.75" x14ac:dyDescent="0.2">
      <c r="A2843" s="14">
        <v>2819</v>
      </c>
      <c r="B2843" s="14">
        <v>400024367</v>
      </c>
      <c r="C2843" s="8" t="s">
        <v>5197</v>
      </c>
      <c r="D2843" s="4" t="str">
        <f t="shared" ref="D2843:D2906" si="297">CONCATENATE(B2843,C2843)</f>
        <v>400024367R1</v>
      </c>
      <c r="E2843" s="309" t="str">
        <f>VLOOKUP($B2843,'D7 - NDB Impacted SPRF''s'!$E$6:$O$9929,2,FALSE)</f>
        <v>SMDC Testing Support</v>
      </c>
      <c r="F2843" s="8" t="s">
        <v>2114</v>
      </c>
      <c r="G2843" s="8" t="s">
        <v>4758</v>
      </c>
      <c r="H2843" s="8" t="s">
        <v>2870</v>
      </c>
      <c r="I2843" s="20"/>
      <c r="J2843" s="8"/>
      <c r="K2843" s="182"/>
      <c r="L2843" s="8" t="s">
        <v>4156</v>
      </c>
      <c r="M2843" s="8" t="s">
        <v>2814</v>
      </c>
      <c r="N2843" s="38" t="s">
        <v>5077</v>
      </c>
      <c r="O2843" s="8"/>
      <c r="P2843" s="4" t="str">
        <f>VLOOKUP($B2843,'D7 - NDB Impacted SPRF''s'!$E$16:$O$9929,9,FALSE)</f>
        <v>N</v>
      </c>
      <c r="Q2843" s="4" t="str">
        <f>VLOOKUP($B2843,'D7 - NDB Impacted SPRF''s'!$E$16:$O$9929,10,FALSE)</f>
        <v>N</v>
      </c>
      <c r="R2843" s="4" t="str">
        <f>VLOOKUP($B2843,'D7 - NDB Impacted SPRF''s'!$E$16:$O$9929,11,FALSE)</f>
        <v>N</v>
      </c>
      <c r="S2843" s="8"/>
      <c r="T2843" s="310"/>
      <c r="U2843" s="310"/>
      <c r="V2843" s="4"/>
      <c r="W2843" s="4"/>
      <c r="X2843" s="4"/>
      <c r="Y2843" s="4"/>
      <c r="Z2843" s="4"/>
      <c r="AA2843" s="4"/>
      <c r="AB2843" s="380" t="str">
        <f>VLOOKUP($B2843,'D7 - NDB Impacted SPRF''s'!$E$16:$O$9929,4,FALSE)</f>
        <v>Cancelled</v>
      </c>
      <c r="AC2843" s="380" t="str">
        <f>VLOOKUP($B2843,'D7 - NDB Impacted SPRF''s'!$E$16:$O$9929,3,FALSE)</f>
        <v>UnitedHealthcare Employer &amp; Individual</v>
      </c>
      <c r="AD2843" s="380" t="str">
        <f>VLOOKUP($B2843,'D7 - NDB Impacted SPRF''s'!$E$16:$O$9929,5,FALSE)</f>
        <v>HCA - Medica UNET Conversion</v>
      </c>
      <c r="AE2843" s="380" t="str">
        <f>VLOOKUP($B2843,'D7 - NDB Impacted SPRF''s'!$E$16:$O$9929,7,FALSE)</f>
        <v>Diane Schofield</v>
      </c>
      <c r="AF2843" s="380" t="str">
        <f>VLOOKUP($B2843,'D7 - NDB Impacted SPRF''s'!$E$16:$O$9929,6,FALSE)</f>
        <v>James Genovese</v>
      </c>
      <c r="AG2843" s="282"/>
      <c r="AH2843" s="311" t="e">
        <f>INDEX('D5 - Gatekeeper - Projects'!$A$4:$AF$1010,$AM2843, 17)</f>
        <v>#N/A</v>
      </c>
      <c r="AI2843" s="8"/>
      <c r="AJ2843" s="57"/>
      <c r="AK2843" s="105"/>
      <c r="AM2843" s="6" t="e">
        <f>MATCH(D2843,'D5 - Gatekeeper - Projects'!$C$4:$C$1010,0)</f>
        <v>#N/A</v>
      </c>
      <c r="AN2843" s="6" t="b">
        <f t="shared" si="293"/>
        <v>1</v>
      </c>
      <c r="AO2843" s="6" t="str">
        <f t="shared" si="294"/>
        <v>OK</v>
      </c>
      <c r="AQ2843" s="6" t="e">
        <f>MATCH($D2843,'D4 - Provider Council Unsched'!$C$11:$C$234,0)</f>
        <v>#N/A</v>
      </c>
      <c r="AR2843" s="6" t="b">
        <f t="shared" si="295"/>
        <v>1</v>
      </c>
      <c r="AS2843" s="6" t="str">
        <f t="shared" si="296"/>
        <v>OK</v>
      </c>
      <c r="AU2843" s="202"/>
      <c r="AV2843" s="262"/>
      <c r="AW2843" s="274"/>
    </row>
    <row r="2844" spans="1:49" s="13" customFormat="1" ht="33.75" x14ac:dyDescent="0.2">
      <c r="A2844" s="14">
        <v>2820</v>
      </c>
      <c r="B2844" s="14">
        <v>400024508</v>
      </c>
      <c r="C2844" s="8" t="s">
        <v>5197</v>
      </c>
      <c r="D2844" s="4" t="str">
        <f t="shared" si="297"/>
        <v>400024508R1</v>
      </c>
      <c r="E2844" s="309" t="str">
        <f>VLOOKUP($B2844,'D7 - NDB Impacted SPRF''s'!$E$6:$O$9929,2,FALSE)</f>
        <v xml:space="preserve">ICM Release 5 - Disconnected </v>
      </c>
      <c r="F2844" s="8" t="s">
        <v>2114</v>
      </c>
      <c r="G2844" s="8" t="s">
        <v>4758</v>
      </c>
      <c r="H2844" s="8" t="s">
        <v>2870</v>
      </c>
      <c r="I2844" s="20"/>
      <c r="J2844" s="8"/>
      <c r="K2844" s="182"/>
      <c r="L2844" s="8" t="s">
        <v>4156</v>
      </c>
      <c r="M2844" s="8" t="s">
        <v>2814</v>
      </c>
      <c r="N2844" s="38" t="s">
        <v>5850</v>
      </c>
      <c r="O2844" s="8"/>
      <c r="P2844" s="4" t="str">
        <f>VLOOKUP($B2844,'D7 - NDB Impacted SPRF''s'!$E$16:$O$9929,9,FALSE)</f>
        <v>Y</v>
      </c>
      <c r="Q2844" s="4" t="str">
        <f>VLOOKUP($B2844,'D7 - NDB Impacted SPRF''s'!$E$16:$O$9929,10,FALSE)</f>
        <v>N</v>
      </c>
      <c r="R2844" s="4" t="str">
        <f>VLOOKUP($B2844,'D7 - NDB Impacted SPRF''s'!$E$16:$O$9929,11,FALSE)</f>
        <v>N</v>
      </c>
      <c r="S2844" s="8"/>
      <c r="T2844" s="310"/>
      <c r="U2844" s="310"/>
      <c r="V2844" s="4"/>
      <c r="W2844" s="4"/>
      <c r="X2844" s="4"/>
      <c r="Y2844" s="4"/>
      <c r="Z2844" s="4"/>
      <c r="AA2844" s="4"/>
      <c r="AB2844" s="380" t="str">
        <f>VLOOKUP($B2844,'D7 - NDB Impacted SPRF''s'!$E$6:$O$9929,4,FALSE)</f>
        <v>Cancelled</v>
      </c>
      <c r="AC2844" s="380" t="str">
        <f>VLOOKUP($B2844,'D7 - NDB Impacted SPRF''s'!$E$6:$O$9929,3,FALSE)</f>
        <v>UnitedHealthcare Medicare &amp; Retirement</v>
      </c>
      <c r="AD2844" s="380" t="str">
        <f>VLOOKUP($B2844,'D7 - NDB Impacted SPRF''s'!$E$6:$O$9929,5,FALSE)</f>
        <v>Enterprise Clinical</v>
      </c>
      <c r="AE2844" s="380" t="str">
        <f>VLOOKUP($B2844,'D7 - NDB Impacted SPRF''s'!$E$6:$O$9929,7,FALSE)</f>
        <v>Nancy Sewitch</v>
      </c>
      <c r="AF2844" s="380" t="str">
        <f>VLOOKUP($B2844,'D7 - NDB Impacted SPRF''s'!$E$6:$O$9929,6,FALSE)</f>
        <v>James Untz</v>
      </c>
      <c r="AG2844" s="282"/>
      <c r="AH2844" s="311" t="e">
        <f>INDEX('D5 - Gatekeeper - Projects'!$A$4:$AF$1010,$AM2844, 17)</f>
        <v>#N/A</v>
      </c>
      <c r="AI2844" s="8"/>
      <c r="AJ2844" s="57"/>
      <c r="AK2844" s="105"/>
      <c r="AM2844" s="6" t="e">
        <f>MATCH(D2844,'D5 - Gatekeeper - Projects'!$C$4:$C$1010,0)</f>
        <v>#N/A</v>
      </c>
      <c r="AN2844" s="6" t="b">
        <f t="shared" si="293"/>
        <v>1</v>
      </c>
      <c r="AO2844" s="6" t="str">
        <f t="shared" si="294"/>
        <v>OK</v>
      </c>
      <c r="AQ2844" s="6" t="e">
        <f>MATCH($D2844,'D4 - Provider Council Unsched'!$C$11:$C$234,0)</f>
        <v>#N/A</v>
      </c>
      <c r="AR2844" s="6" t="b">
        <f t="shared" si="295"/>
        <v>1</v>
      </c>
      <c r="AS2844" s="6" t="str">
        <f t="shared" si="296"/>
        <v>OK</v>
      </c>
      <c r="AU2844" s="202"/>
      <c r="AV2844" s="262"/>
      <c r="AW2844" s="274"/>
    </row>
    <row r="2845" spans="1:49" s="13" customFormat="1" ht="33.75" x14ac:dyDescent="0.2">
      <c r="A2845" s="14">
        <v>2821</v>
      </c>
      <c r="B2845" s="14">
        <v>400024723</v>
      </c>
      <c r="C2845" s="8" t="s">
        <v>5197</v>
      </c>
      <c r="D2845" s="4" t="str">
        <f t="shared" si="297"/>
        <v>400024723R1</v>
      </c>
      <c r="E2845" s="309" t="str">
        <f>VLOOKUP($B2845,'D7 - NDB Impacted SPRF''s'!$E$6:$O$9929,2,FALSE)</f>
        <v>B2B/B2C Transactional Reporting Development</v>
      </c>
      <c r="F2845" s="8" t="s">
        <v>2114</v>
      </c>
      <c r="G2845" s="8" t="s">
        <v>4758</v>
      </c>
      <c r="H2845" s="8" t="s">
        <v>2870</v>
      </c>
      <c r="I2845" s="20">
        <v>1.05</v>
      </c>
      <c r="J2845" s="8" t="s">
        <v>4862</v>
      </c>
      <c r="K2845" s="182"/>
      <c r="L2845" s="8" t="s">
        <v>4156</v>
      </c>
      <c r="M2845" s="8" t="s">
        <v>2814</v>
      </c>
      <c r="N2845" s="38" t="s">
        <v>8012</v>
      </c>
      <c r="O2845" s="8"/>
      <c r="P2845" s="4" t="str">
        <f>VLOOKUP($B2845,'D7 - NDB Impacted SPRF''s'!$E$16:$O$9929,9,FALSE)</f>
        <v>N</v>
      </c>
      <c r="Q2845" s="4" t="str">
        <f>VLOOKUP($B2845,'D7 - NDB Impacted SPRF''s'!$E$16:$O$9929,10,FALSE)</f>
        <v>N</v>
      </c>
      <c r="R2845" s="4" t="str">
        <f>VLOOKUP($B2845,'D7 - NDB Impacted SPRF''s'!$E$16:$O$9929,11,FALSE)</f>
        <v>N</v>
      </c>
      <c r="S2845" s="8"/>
      <c r="T2845" s="310"/>
      <c r="U2845" s="310"/>
      <c r="V2845" s="4"/>
      <c r="W2845" s="4"/>
      <c r="X2845" s="4"/>
      <c r="Y2845" s="4"/>
      <c r="Z2845" s="4"/>
      <c r="AA2845" s="4"/>
      <c r="AB2845" s="380" t="str">
        <f>VLOOKUP($B2845,'D7 - NDB Impacted SPRF''s'!$E$16:$O$9929,4,FALSE)</f>
        <v>Cancelled</v>
      </c>
      <c r="AC2845" s="380" t="str">
        <f>VLOOKUP($B2845,'D7 - NDB Impacted SPRF''s'!$E$16:$O$9929,3,FALSE)</f>
        <v>UnitedHealthcare Employer &amp; Individual</v>
      </c>
      <c r="AD2845" s="380" t="str">
        <f>VLOOKUP($B2845,'D7 - NDB Impacted SPRF''s'!$E$16:$O$9929,5,FALSE)</f>
        <v>Operational Requirements</v>
      </c>
      <c r="AE2845" s="380" t="str">
        <f>VLOOKUP($B2845,'D7 - NDB Impacted SPRF''s'!$E$16:$O$9929,7,FALSE)</f>
        <v>Jolly Nanda</v>
      </c>
      <c r="AF2845" s="380" t="str">
        <f>VLOOKUP($B2845,'D7 - NDB Impacted SPRF''s'!$E$16:$O$9929,6,FALSE)</f>
        <v>Jai Narayanan</v>
      </c>
      <c r="AG2845" s="282"/>
      <c r="AH2845" s="311" t="e">
        <f>INDEX('D5 - Gatekeeper - Projects'!$A$4:$AF$1010,$AM2845, 17)</f>
        <v>#N/A</v>
      </c>
      <c r="AI2845" s="8"/>
      <c r="AJ2845" s="57"/>
      <c r="AK2845" s="105"/>
      <c r="AM2845" s="6" t="e">
        <f>MATCH(D2845,'D5 - Gatekeeper - Projects'!$C$4:$C$1010,0)</f>
        <v>#N/A</v>
      </c>
      <c r="AN2845" s="6" t="b">
        <f t="shared" si="293"/>
        <v>1</v>
      </c>
      <c r="AO2845" s="6" t="str">
        <f t="shared" si="294"/>
        <v>OK</v>
      </c>
      <c r="AQ2845" s="6" t="e">
        <f>MATCH($D2845,'D4 - Provider Council Unsched'!$C$11:$C$234,0)</f>
        <v>#N/A</v>
      </c>
      <c r="AR2845" s="6" t="b">
        <f t="shared" si="295"/>
        <v>1</v>
      </c>
      <c r="AS2845" s="6" t="str">
        <f t="shared" si="296"/>
        <v>OK</v>
      </c>
      <c r="AU2845" s="202"/>
      <c r="AV2845" s="262"/>
      <c r="AW2845" s="274"/>
    </row>
    <row r="2846" spans="1:49" s="13" customFormat="1" ht="33.75" x14ac:dyDescent="0.2">
      <c r="A2846" s="14">
        <v>2822</v>
      </c>
      <c r="B2846" s="14">
        <v>400025030</v>
      </c>
      <c r="C2846" s="8" t="s">
        <v>5197</v>
      </c>
      <c r="D2846" s="4" t="str">
        <f t="shared" si="297"/>
        <v>400025030R1</v>
      </c>
      <c r="E2846" s="309" t="str">
        <f>VLOOKUP($B2846,'D7 - NDB Impacted SPRF''s'!$E$6:$O$9929,2,FALSE)</f>
        <v>Integration Playbook Support</v>
      </c>
      <c r="F2846" s="8"/>
      <c r="G2846" s="8" t="s">
        <v>4758</v>
      </c>
      <c r="H2846" s="8" t="s">
        <v>2870</v>
      </c>
      <c r="I2846" s="20"/>
      <c r="J2846" s="8"/>
      <c r="K2846" s="182"/>
      <c r="L2846" s="8" t="s">
        <v>4156</v>
      </c>
      <c r="M2846" s="8" t="s">
        <v>2814</v>
      </c>
      <c r="N2846" s="38"/>
      <c r="O2846" s="8"/>
      <c r="P2846" s="4" t="str">
        <f>VLOOKUP($B2846,'D7 - NDB Impacted SPRF''s'!$E$16:$O$9929,9,FALSE)</f>
        <v>N</v>
      </c>
      <c r="Q2846" s="4" t="str">
        <f>VLOOKUP($B2846,'D7 - NDB Impacted SPRF''s'!$E$16:$O$9929,10,FALSE)</f>
        <v>N</v>
      </c>
      <c r="R2846" s="4" t="str">
        <f>VLOOKUP($B2846,'D7 - NDB Impacted SPRF''s'!$E$16:$O$9929,11,FALSE)</f>
        <v>N</v>
      </c>
      <c r="S2846" s="8"/>
      <c r="T2846" s="310"/>
      <c r="U2846" s="310"/>
      <c r="V2846" s="4"/>
      <c r="W2846" s="4"/>
      <c r="X2846" s="4"/>
      <c r="Y2846" s="4"/>
      <c r="Z2846" s="4"/>
      <c r="AA2846" s="4"/>
      <c r="AB2846" s="380" t="str">
        <f>VLOOKUP($B2846,'D7 - NDB Impacted SPRF''s'!$E$16:$O$9929,4,FALSE)</f>
        <v>Cancelled</v>
      </c>
      <c r="AC2846" s="380" t="str">
        <f>VLOOKUP($B2846,'D7 - NDB Impacted SPRF''s'!$E$16:$O$9929,3,FALSE)</f>
        <v>UnitedHealthcare Employer &amp; Individual</v>
      </c>
      <c r="AD2846" s="380" t="str">
        <f>VLOOKUP($B2846,'D7 - NDB Impacted SPRF''s'!$E$16:$O$9929,5,FALSE)</f>
        <v>Integration Requirements</v>
      </c>
      <c r="AE2846" s="380" t="str">
        <f>VLOOKUP($B2846,'D7 - NDB Impacted SPRF''s'!$E$16:$O$9929,7,FALSE)</f>
        <v>Steven Mueller</v>
      </c>
      <c r="AF2846" s="380" t="str">
        <f>VLOOKUP($B2846,'D7 - NDB Impacted SPRF''s'!$E$16:$O$9929,6,FALSE)</f>
        <v>SUSAN MIMICK</v>
      </c>
      <c r="AG2846" s="282"/>
      <c r="AH2846" s="311" t="e">
        <f>INDEX('D5 - Gatekeeper - Projects'!$A$4:$AF$1010,$AM2846, 17)</f>
        <v>#N/A</v>
      </c>
      <c r="AI2846" s="8"/>
      <c r="AJ2846" s="57"/>
      <c r="AK2846" s="105"/>
      <c r="AM2846" s="6" t="e">
        <f>MATCH(D2846,'D5 - Gatekeeper - Projects'!$C$4:$C$1010,0)</f>
        <v>#N/A</v>
      </c>
      <c r="AN2846" s="6" t="b">
        <f t="shared" si="293"/>
        <v>1</v>
      </c>
      <c r="AO2846" s="6" t="str">
        <f t="shared" si="294"/>
        <v>OK</v>
      </c>
      <c r="AQ2846" s="6" t="e">
        <f>MATCH($D2846,'D4 - Provider Council Unsched'!$C$11:$C$234,0)</f>
        <v>#N/A</v>
      </c>
      <c r="AR2846" s="6" t="b">
        <f t="shared" si="295"/>
        <v>1</v>
      </c>
      <c r="AS2846" s="6" t="str">
        <f t="shared" ref="AS2846:AS2856" si="298">IF(AND(H2846="2 - Not Scheduled",AR2846=TRUE,C2846="R1"),"Add","OK")</f>
        <v>OK</v>
      </c>
      <c r="AU2846" s="202"/>
      <c r="AV2846" s="262"/>
      <c r="AW2846" s="274"/>
    </row>
    <row r="2847" spans="1:49" s="13" customFormat="1" ht="33.75" x14ac:dyDescent="0.2">
      <c r="A2847" s="14">
        <v>2823</v>
      </c>
      <c r="B2847" s="14">
        <v>400025071</v>
      </c>
      <c r="C2847" s="8" t="s">
        <v>5197</v>
      </c>
      <c r="D2847" s="4" t="str">
        <f t="shared" si="297"/>
        <v>400025071R1</v>
      </c>
      <c r="E2847" s="309" t="str">
        <f>VLOOKUP($B2847,'D7 - NDB Impacted SPRF''s'!$E$6:$O$9929,2,FALSE)</f>
        <v>COSMOS to UHCO: Development for 4-22084</v>
      </c>
      <c r="F2847" s="8" t="s">
        <v>2114</v>
      </c>
      <c r="G2847" s="8" t="s">
        <v>4758</v>
      </c>
      <c r="H2847" s="8" t="s">
        <v>2870</v>
      </c>
      <c r="I2847" s="20">
        <v>2.37</v>
      </c>
      <c r="J2847" s="8" t="s">
        <v>4862</v>
      </c>
      <c r="K2847" s="182"/>
      <c r="L2847" s="8" t="s">
        <v>4156</v>
      </c>
      <c r="M2847" s="8" t="s">
        <v>6688</v>
      </c>
      <c r="N2847" s="38" t="s">
        <v>2943</v>
      </c>
      <c r="O2847" s="8"/>
      <c r="P2847" s="4" t="str">
        <f>VLOOKUP($B2847,'D7 - NDB Impacted SPRF''s'!$E$16:$O$9929,9,FALSE)</f>
        <v>N</v>
      </c>
      <c r="Q2847" s="4" t="str">
        <f>VLOOKUP($B2847,'D7 - NDB Impacted SPRF''s'!$E$16:$O$9929,10,FALSE)</f>
        <v>N</v>
      </c>
      <c r="R2847" s="4" t="str">
        <f>VLOOKUP($B2847,'D7 - NDB Impacted SPRF''s'!$E$16:$O$9929,11,FALSE)</f>
        <v>N</v>
      </c>
      <c r="S2847" s="8"/>
      <c r="T2847" s="310"/>
      <c r="U2847" s="310"/>
      <c r="V2847" s="4"/>
      <c r="W2847" s="4"/>
      <c r="X2847" s="4"/>
      <c r="Y2847" s="4"/>
      <c r="Z2847" s="4"/>
      <c r="AA2847" s="4"/>
      <c r="AB2847" s="380" t="str">
        <f>VLOOKUP($B2847,'D7 - NDB Impacted SPRF''s'!$E$16:$O$9929,4,FALSE)</f>
        <v>Cancelled</v>
      </c>
      <c r="AC2847" s="380" t="str">
        <f>VLOOKUP($B2847,'D7 - NDB Impacted SPRF''s'!$E$16:$O$9929,3,FALSE)</f>
        <v>UnitedHealthcare Medicare &amp; Retirement</v>
      </c>
      <c r="AD2847" s="380" t="str">
        <f>VLOOKUP($B2847,'D7 - NDB Impacted SPRF''s'!$E$16:$O$9929,5,FALSE)</f>
        <v>Clinical Engagement Toolbox</v>
      </c>
      <c r="AE2847" s="380" t="str">
        <f>VLOOKUP($B2847,'D7 - NDB Impacted SPRF''s'!$E$16:$O$9929,7,FALSE)</f>
        <v>Cynthia Middaugh</v>
      </c>
      <c r="AF2847" s="380" t="str">
        <f>VLOOKUP($B2847,'D7 - NDB Impacted SPRF''s'!$E$16:$O$9929,6,FALSE)</f>
        <v>CHRISTINA MOSHER</v>
      </c>
      <c r="AG2847" s="282"/>
      <c r="AH2847" s="311" t="e">
        <f>INDEX('D5 - Gatekeeper - Projects'!$A$4:$AF$1010,$AM2847, 17)</f>
        <v>#N/A</v>
      </c>
      <c r="AI2847" s="8"/>
      <c r="AJ2847" s="57"/>
      <c r="AK2847" s="105"/>
      <c r="AM2847" s="6" t="e">
        <f>MATCH(D2847,'D5 - Gatekeeper - Projects'!$C$4:$C$1010,0)</f>
        <v>#N/A</v>
      </c>
      <c r="AN2847" s="6" t="b">
        <f t="shared" si="293"/>
        <v>1</v>
      </c>
      <c r="AO2847" s="6" t="str">
        <f t="shared" si="294"/>
        <v>OK</v>
      </c>
      <c r="AQ2847" s="6" t="e">
        <f>MATCH($D2847,'D4 - Provider Council Unsched'!$C$11:$C$234,0)</f>
        <v>#N/A</v>
      </c>
      <c r="AR2847" s="6" t="b">
        <f t="shared" si="295"/>
        <v>1</v>
      </c>
      <c r="AS2847" s="6" t="str">
        <f t="shared" si="298"/>
        <v>OK</v>
      </c>
      <c r="AU2847" s="202"/>
      <c r="AV2847" s="262"/>
      <c r="AW2847" s="274"/>
    </row>
    <row r="2848" spans="1:49" s="13" customFormat="1" ht="33.75" x14ac:dyDescent="0.2">
      <c r="A2848" s="14">
        <v>2824</v>
      </c>
      <c r="B2848" s="14">
        <v>400025131</v>
      </c>
      <c r="C2848" s="8" t="s">
        <v>5197</v>
      </c>
      <c r="D2848" s="4" t="str">
        <f t="shared" si="297"/>
        <v>400025131R1</v>
      </c>
      <c r="E2848" s="309" t="str">
        <f>VLOOKUP($B2848,'D7 - NDB Impacted SPRF''s'!$E$6:$O$9929,2,FALSE)</f>
        <v>ITI Reimbursement Reductions - Commercial Phase 2</v>
      </c>
      <c r="F2848" s="8" t="s">
        <v>7989</v>
      </c>
      <c r="G2848" s="8" t="s">
        <v>4758</v>
      </c>
      <c r="H2848" s="8" t="s">
        <v>2870</v>
      </c>
      <c r="I2848" s="20"/>
      <c r="J2848" s="8"/>
      <c r="K2848" s="182"/>
      <c r="L2848" s="8" t="s">
        <v>4156</v>
      </c>
      <c r="M2848" s="8" t="s">
        <v>2814</v>
      </c>
      <c r="N2848" s="38" t="s">
        <v>5735</v>
      </c>
      <c r="O2848" s="8"/>
      <c r="P2848" s="4" t="str">
        <f>VLOOKUP($B2848,'D7 - NDB Impacted SPRF''s'!$E$16:$O$9929,9,FALSE)</f>
        <v>Y</v>
      </c>
      <c r="Q2848" s="4" t="str">
        <f>VLOOKUP($B2848,'D7 - NDB Impacted SPRF''s'!$E$16:$O$9929,10,FALSE)</f>
        <v>N</v>
      </c>
      <c r="R2848" s="4" t="str">
        <f>VLOOKUP($B2848,'D7 - NDB Impacted SPRF''s'!$E$16:$O$9929,11,FALSE)</f>
        <v>N</v>
      </c>
      <c r="S2848" s="8"/>
      <c r="T2848" s="310"/>
      <c r="U2848" s="310"/>
      <c r="V2848" s="4"/>
      <c r="W2848" s="4"/>
      <c r="X2848" s="4"/>
      <c r="Y2848" s="4"/>
      <c r="Z2848" s="4"/>
      <c r="AA2848" s="4"/>
      <c r="AB2848" s="380" t="str">
        <f>VLOOKUP($B2848,'D7 - NDB Impacted SPRF''s'!$E$6:$O$9929,4,FALSE)</f>
        <v>Cancelled</v>
      </c>
      <c r="AC2848" s="380" t="str">
        <f>VLOOKUP($B2848,'D7 - NDB Impacted SPRF''s'!$E$16:$O$9929,3,FALSE)</f>
        <v>UnitedHealthcare Employer &amp; Individual</v>
      </c>
      <c r="AD2848" s="380" t="str">
        <f>VLOOKUP($B2848,'D7 - NDB Impacted SPRF''s'!$E$16:$O$9929,5,FALSE)</f>
        <v>Medical Cost Savings Programs</v>
      </c>
      <c r="AE2848" s="380" t="str">
        <f>VLOOKUP($B2848,'D7 - NDB Impacted SPRF''s'!$E$16:$O$9929,7,FALSE)</f>
        <v>Dr. Sam Ho</v>
      </c>
      <c r="AF2848" s="380" t="str">
        <f>VLOOKUP($B2848,'D7 - NDB Impacted SPRF''s'!$E$16:$O$9929,6,FALSE)</f>
        <v>Betty Dahlke</v>
      </c>
      <c r="AG2848" s="282"/>
      <c r="AH2848" s="311" t="e">
        <f>INDEX('D5 - Gatekeeper - Projects'!$A$4:$AF$1010,$AM2848, 17)</f>
        <v>#N/A</v>
      </c>
      <c r="AI2848" s="8"/>
      <c r="AJ2848" s="57"/>
      <c r="AK2848" s="105"/>
      <c r="AM2848" s="6" t="e">
        <f>MATCH(D2848,'D5 - Gatekeeper - Projects'!$C$4:$C$1010,0)</f>
        <v>#N/A</v>
      </c>
      <c r="AN2848" s="6" t="b">
        <f t="shared" si="293"/>
        <v>1</v>
      </c>
      <c r="AO2848" s="6" t="str">
        <f t="shared" si="294"/>
        <v>OK</v>
      </c>
      <c r="AQ2848" s="6" t="e">
        <f>MATCH($D2848,'D4 - Provider Council Unsched'!$C$11:$C$234,0)</f>
        <v>#N/A</v>
      </c>
      <c r="AR2848" s="6" t="b">
        <f t="shared" si="295"/>
        <v>1</v>
      </c>
      <c r="AS2848" s="6" t="str">
        <f t="shared" si="298"/>
        <v>OK</v>
      </c>
      <c r="AU2848" s="202"/>
      <c r="AV2848" s="262"/>
      <c r="AW2848" s="274"/>
    </row>
    <row r="2849" spans="1:49" s="13" customFormat="1" ht="33.75" x14ac:dyDescent="0.2">
      <c r="A2849" s="14">
        <v>2825</v>
      </c>
      <c r="B2849" s="14">
        <v>400025169</v>
      </c>
      <c r="C2849" s="8" t="s">
        <v>5197</v>
      </c>
      <c r="D2849" s="4" t="str">
        <f t="shared" si="297"/>
        <v>400025169R1</v>
      </c>
      <c r="E2849" s="309" t="str">
        <f>VLOOKUP($B2849,'D7 - NDB Impacted SPRF''s'!$E$6:$O$9929,2,FALSE)</f>
        <v>AmeriChoice MI Facets to UHCO(Old A/O SPR 4-23623)</v>
      </c>
      <c r="F2849" s="8" t="s">
        <v>2114</v>
      </c>
      <c r="G2849" s="8" t="s">
        <v>4758</v>
      </c>
      <c r="H2849" s="8" t="s">
        <v>2870</v>
      </c>
      <c r="I2849" s="20">
        <f>144/150</f>
        <v>0.96</v>
      </c>
      <c r="J2849" s="8" t="s">
        <v>4862</v>
      </c>
      <c r="K2849" s="182"/>
      <c r="L2849" s="8" t="s">
        <v>4156</v>
      </c>
      <c r="M2849" s="8" t="s">
        <v>6688</v>
      </c>
      <c r="N2849" s="38" t="s">
        <v>8012</v>
      </c>
      <c r="O2849" s="8"/>
      <c r="P2849" s="4" t="str">
        <f>VLOOKUP($B2849,'D7 - NDB Impacted SPRF''s'!$E$16:$O$9929,9,FALSE)</f>
        <v>N</v>
      </c>
      <c r="Q2849" s="4" t="str">
        <f>VLOOKUP($B2849,'D7 - NDB Impacted SPRF''s'!$E$16:$O$9929,10,FALSE)</f>
        <v>N</v>
      </c>
      <c r="R2849" s="4" t="str">
        <f>VLOOKUP($B2849,'D7 - NDB Impacted SPRF''s'!$E$16:$O$9929,11,FALSE)</f>
        <v>N</v>
      </c>
      <c r="S2849" s="8"/>
      <c r="T2849" s="310"/>
      <c r="U2849" s="310"/>
      <c r="V2849" s="4"/>
      <c r="W2849" s="4"/>
      <c r="X2849" s="4"/>
      <c r="Y2849" s="4"/>
      <c r="Z2849" s="4"/>
      <c r="AA2849" s="4"/>
      <c r="AB2849" s="380" t="str">
        <f>VLOOKUP($B2849,'D7 - NDB Impacted SPRF''s'!$E$16:$O$9929,4,FALSE)</f>
        <v>Cancelled</v>
      </c>
      <c r="AC2849" s="380" t="str">
        <f>VLOOKUP($B2849,'D7 - NDB Impacted SPRF''s'!$E$16:$O$9929,3,FALSE)</f>
        <v>UnitedHealthcare Medicare &amp; Retirement</v>
      </c>
      <c r="AD2849" s="380" t="str">
        <f>VLOOKUP($B2849,'D7 - NDB Impacted SPRF''s'!$E$16:$O$9929,5,FALSE)</f>
        <v>Clinical Engagement Toolbox</v>
      </c>
      <c r="AE2849" s="380" t="str">
        <f>VLOOKUP($B2849,'D7 - NDB Impacted SPRF''s'!$E$16:$O$9929,7,FALSE)</f>
        <v>Cynthia Middaugh</v>
      </c>
      <c r="AF2849" s="380" t="str">
        <f>VLOOKUP($B2849,'D7 - NDB Impacted SPRF''s'!$E$16:$O$9929,6,FALSE)</f>
        <v>CHRISTINA MOSHER</v>
      </c>
      <c r="AG2849" s="282"/>
      <c r="AH2849" s="311" t="e">
        <f>INDEX('D5 - Gatekeeper - Projects'!$A$4:$AF$1010,$AM2849, 17)</f>
        <v>#N/A</v>
      </c>
      <c r="AI2849" s="8"/>
      <c r="AJ2849" s="57"/>
      <c r="AK2849" s="105"/>
      <c r="AM2849" s="6" t="e">
        <f>MATCH(D2849,'D5 - Gatekeeper - Projects'!$C$4:$C$1010,0)</f>
        <v>#N/A</v>
      </c>
      <c r="AN2849" s="6" t="b">
        <f t="shared" si="293"/>
        <v>1</v>
      </c>
      <c r="AO2849" s="6" t="str">
        <f t="shared" si="294"/>
        <v>OK</v>
      </c>
      <c r="AQ2849" s="6" t="e">
        <f>MATCH($D2849,'D4 - Provider Council Unsched'!$C$11:$C$234,0)</f>
        <v>#N/A</v>
      </c>
      <c r="AR2849" s="6" t="b">
        <f t="shared" si="295"/>
        <v>1</v>
      </c>
      <c r="AS2849" s="6" t="str">
        <f t="shared" si="298"/>
        <v>OK</v>
      </c>
      <c r="AU2849" s="202"/>
      <c r="AV2849" s="262"/>
      <c r="AW2849" s="274"/>
    </row>
    <row r="2850" spans="1:49" s="13" customFormat="1" ht="33.75" x14ac:dyDescent="0.2">
      <c r="A2850" s="14">
        <v>2826</v>
      </c>
      <c r="B2850" s="14">
        <v>400025170</v>
      </c>
      <c r="C2850" s="8" t="s">
        <v>5197</v>
      </c>
      <c r="D2850" s="4" t="str">
        <f t="shared" si="297"/>
        <v>400025170R1</v>
      </c>
      <c r="E2850" s="309" t="str">
        <f>VLOOKUP($B2850,'D7 - NDB Impacted SPRF''s'!$E$6:$O$9929,2,FALSE)</f>
        <v>AmeriChoice Diamond to UHCO (Old A/O SPR 4-23562)</v>
      </c>
      <c r="F2850" s="8" t="s">
        <v>2114</v>
      </c>
      <c r="G2850" s="8" t="s">
        <v>4758</v>
      </c>
      <c r="H2850" s="8" t="s">
        <v>2870</v>
      </c>
      <c r="I2850" s="20"/>
      <c r="J2850" s="8"/>
      <c r="K2850" s="182"/>
      <c r="L2850" s="8" t="s">
        <v>4156</v>
      </c>
      <c r="M2850" s="8" t="s">
        <v>5626</v>
      </c>
      <c r="N2850" s="38" t="s">
        <v>1635</v>
      </c>
      <c r="O2850" s="8"/>
      <c r="P2850" s="4" t="str">
        <f>VLOOKUP($B2850,'D7 - NDB Impacted SPRF''s'!$E$16:$O$9929,9,FALSE)</f>
        <v>N</v>
      </c>
      <c r="Q2850" s="4" t="str">
        <f>VLOOKUP($B2850,'D7 - NDB Impacted SPRF''s'!$E$16:$O$9929,10,FALSE)</f>
        <v>N</v>
      </c>
      <c r="R2850" s="4" t="str">
        <f>VLOOKUP($B2850,'D7 - NDB Impacted SPRF''s'!$E$16:$O$9929,11,FALSE)</f>
        <v>N</v>
      </c>
      <c r="S2850" s="8"/>
      <c r="T2850" s="310"/>
      <c r="U2850" s="310"/>
      <c r="V2850" s="4"/>
      <c r="W2850" s="4"/>
      <c r="X2850" s="4"/>
      <c r="Y2850" s="4"/>
      <c r="Z2850" s="4"/>
      <c r="AA2850" s="4"/>
      <c r="AB2850" s="380" t="str">
        <f>VLOOKUP($B2850,'D7 - NDB Impacted SPRF''s'!$E$16:$O$9929,4,FALSE)</f>
        <v>Cancelled</v>
      </c>
      <c r="AC2850" s="380" t="str">
        <f>VLOOKUP($B2850,'D7 - NDB Impacted SPRF''s'!$E$16:$O$9929,3,FALSE)</f>
        <v>UnitedHealthcare Medicare &amp; Retirement</v>
      </c>
      <c r="AD2850" s="380" t="str">
        <f>VLOOKUP($B2850,'D7 - NDB Impacted SPRF''s'!$E$16:$O$9929,5,FALSE)</f>
        <v>Enterprise Clinical</v>
      </c>
      <c r="AE2850" s="380" t="str">
        <f>VLOOKUP($B2850,'D7 - NDB Impacted SPRF''s'!$E$16:$O$9929,7,FALSE)</f>
        <v>Cynthia Middaugh</v>
      </c>
      <c r="AF2850" s="380" t="str">
        <f>VLOOKUP($B2850,'D7 - NDB Impacted SPRF''s'!$E$16:$O$9929,6,FALSE)</f>
        <v>CHRISTINA MOSHER</v>
      </c>
      <c r="AG2850" s="282"/>
      <c r="AH2850" s="311" t="e">
        <f>INDEX('D5 - Gatekeeper - Projects'!$A$4:$AF$1010,$AM2850, 17)</f>
        <v>#N/A</v>
      </c>
      <c r="AI2850" s="8"/>
      <c r="AJ2850" s="57"/>
      <c r="AK2850" s="105"/>
      <c r="AM2850" s="6" t="e">
        <f>MATCH(D2850,'D5 - Gatekeeper - Projects'!$C$4:$C$1010,0)</f>
        <v>#N/A</v>
      </c>
      <c r="AN2850" s="6" t="b">
        <f t="shared" si="293"/>
        <v>1</v>
      </c>
      <c r="AO2850" s="6" t="str">
        <f t="shared" si="294"/>
        <v>OK</v>
      </c>
      <c r="AQ2850" s="6" t="e">
        <f>MATCH($D2850,'D4 - Provider Council Unsched'!$C$11:$C$234,0)</f>
        <v>#N/A</v>
      </c>
      <c r="AR2850" s="6" t="b">
        <f t="shared" si="295"/>
        <v>1</v>
      </c>
      <c r="AS2850" s="6" t="str">
        <f t="shared" si="298"/>
        <v>OK</v>
      </c>
      <c r="AU2850" s="202"/>
      <c r="AV2850" s="262"/>
      <c r="AW2850" s="274"/>
    </row>
    <row r="2851" spans="1:49" s="13" customFormat="1" ht="33.75" x14ac:dyDescent="0.2">
      <c r="A2851" s="14">
        <v>2827</v>
      </c>
      <c r="B2851" s="14">
        <v>400025193</v>
      </c>
      <c r="C2851" s="8" t="s">
        <v>5197</v>
      </c>
      <c r="D2851" s="4" t="str">
        <f t="shared" si="297"/>
        <v>400025193R1</v>
      </c>
      <c r="E2851" s="309" t="str">
        <f>VLOOKUP($B2851,'D7 - NDB Impacted SPRF''s'!$E$6:$O$9929,2,FALSE)</f>
        <v>eCredentialing NDB Provider 170 Code SQL query</v>
      </c>
      <c r="F2851" s="8" t="s">
        <v>2114</v>
      </c>
      <c r="G2851" s="8" t="s">
        <v>4758</v>
      </c>
      <c r="H2851" s="8" t="s">
        <v>2870</v>
      </c>
      <c r="I2851" s="20"/>
      <c r="J2851" s="8"/>
      <c r="K2851" s="182"/>
      <c r="L2851" s="8" t="s">
        <v>4156</v>
      </c>
      <c r="M2851" s="8" t="s">
        <v>6688</v>
      </c>
      <c r="N2851" s="38" t="s">
        <v>4388</v>
      </c>
      <c r="O2851" s="8"/>
      <c r="P2851" s="4" t="str">
        <f>VLOOKUP($B2851,'D7 - NDB Impacted SPRF''s'!$E$16:$O$9929,9,FALSE)</f>
        <v>N</v>
      </c>
      <c r="Q2851" s="4" t="str">
        <f>VLOOKUP($B2851,'D7 - NDB Impacted SPRF''s'!$E$16:$O$9929,10,FALSE)</f>
        <v>N</v>
      </c>
      <c r="R2851" s="4" t="str">
        <f>VLOOKUP($B2851,'D7 - NDB Impacted SPRF''s'!$E$16:$O$9929,11,FALSE)</f>
        <v>N</v>
      </c>
      <c r="S2851" s="8"/>
      <c r="T2851" s="310"/>
      <c r="U2851" s="310"/>
      <c r="V2851" s="4"/>
      <c r="W2851" s="4"/>
      <c r="X2851" s="4"/>
      <c r="Y2851" s="4"/>
      <c r="Z2851" s="4"/>
      <c r="AA2851" s="4"/>
      <c r="AB2851" s="380" t="str">
        <f>VLOOKUP($B2851,'D7 - NDB Impacted SPRF''s'!$E$16:$O$9929,4,FALSE)</f>
        <v>Cancelled</v>
      </c>
      <c r="AC2851" s="380" t="str">
        <f>VLOOKUP($B2851,'D7 - NDB Impacted SPRF''s'!$E$16:$O$9929,3,FALSE)</f>
        <v>UnitedHealthcare Employer &amp; Individual</v>
      </c>
      <c r="AD2851" s="380" t="str">
        <f>VLOOKUP($B2851,'D7 - NDB Impacted SPRF''s'!$E$16:$O$9929,5,FALSE)</f>
        <v>Process Improvement</v>
      </c>
      <c r="AE2851" s="380" t="str">
        <f>VLOOKUP($B2851,'D7 - NDB Impacted SPRF''s'!$E$16:$O$9929,7,FALSE)</f>
        <v>Ross Lippincott</v>
      </c>
      <c r="AF2851" s="380" t="str">
        <f>VLOOKUP($B2851,'D7 - NDB Impacted SPRF''s'!$E$16:$O$9929,6,FALSE)</f>
        <v>Dwayne Macadangdang</v>
      </c>
      <c r="AG2851" s="282"/>
      <c r="AH2851" s="311" t="e">
        <f>INDEX('D5 - Gatekeeper - Projects'!$A$4:$AF$1010,$AM2851, 17)</f>
        <v>#N/A</v>
      </c>
      <c r="AI2851" s="8"/>
      <c r="AJ2851" s="57"/>
      <c r="AK2851" s="105"/>
      <c r="AM2851" s="6" t="e">
        <f>MATCH(D2851,'D5 - Gatekeeper - Projects'!$C$4:$C$1010,0)</f>
        <v>#N/A</v>
      </c>
      <c r="AN2851" s="6" t="b">
        <f t="shared" si="293"/>
        <v>1</v>
      </c>
      <c r="AO2851" s="6" t="str">
        <f t="shared" si="294"/>
        <v>OK</v>
      </c>
      <c r="AQ2851" s="6" t="e">
        <f>MATCH($D2851,'D4 - Provider Council Unsched'!$C$11:$C$234,0)</f>
        <v>#N/A</v>
      </c>
      <c r="AR2851" s="6" t="b">
        <f t="shared" si="295"/>
        <v>1</v>
      </c>
      <c r="AS2851" s="6" t="str">
        <f t="shared" si="298"/>
        <v>OK</v>
      </c>
      <c r="AU2851" s="202"/>
      <c r="AV2851" s="262"/>
      <c r="AW2851" s="274"/>
    </row>
    <row r="2852" spans="1:49" s="13" customFormat="1" ht="33.75" x14ac:dyDescent="0.2">
      <c r="A2852" s="14">
        <v>2828</v>
      </c>
      <c r="B2852" s="14">
        <v>400025310</v>
      </c>
      <c r="C2852" s="8" t="s">
        <v>5197</v>
      </c>
      <c r="D2852" s="4" t="str">
        <f t="shared" si="297"/>
        <v>400025310R1</v>
      </c>
      <c r="E2852" s="309" t="str">
        <f>VLOOKUP($B2852,'D7 - NDB Impacted SPRF''s'!$E$6:$O$9929,2,FALSE)</f>
        <v xml:space="preserve">Provider File Transition - tape to FTP </v>
      </c>
      <c r="F2852" s="8"/>
      <c r="G2852" s="8" t="s">
        <v>4758</v>
      </c>
      <c r="H2852" s="8" t="s">
        <v>2870</v>
      </c>
      <c r="I2852" s="20"/>
      <c r="J2852" s="8"/>
      <c r="K2852" s="182"/>
      <c r="L2852" s="8" t="s">
        <v>4156</v>
      </c>
      <c r="M2852" s="8" t="s">
        <v>2814</v>
      </c>
      <c r="N2852" s="38"/>
      <c r="O2852" s="8"/>
      <c r="P2852" s="4" t="str">
        <f>VLOOKUP($B2852,'D7 - NDB Impacted SPRF''s'!$E$16:$O$9929,9,FALSE)</f>
        <v>N</v>
      </c>
      <c r="Q2852" s="4" t="str">
        <f>VLOOKUP($B2852,'D7 - NDB Impacted SPRF''s'!$E$16:$O$9929,10,FALSE)</f>
        <v>N</v>
      </c>
      <c r="R2852" s="4" t="str">
        <f>VLOOKUP($B2852,'D7 - NDB Impacted SPRF''s'!$E$16:$O$9929,11,FALSE)</f>
        <v>N</v>
      </c>
      <c r="S2852" s="8"/>
      <c r="T2852" s="310"/>
      <c r="U2852" s="310"/>
      <c r="V2852" s="4"/>
      <c r="W2852" s="4"/>
      <c r="X2852" s="4"/>
      <c r="Y2852" s="4"/>
      <c r="Z2852" s="4"/>
      <c r="AA2852" s="4"/>
      <c r="AB2852" s="380" t="str">
        <f>VLOOKUP($B2852,'D7 - NDB Impacted SPRF''s'!$E$16:$O$9929,4,FALSE)</f>
        <v>Cancelled</v>
      </c>
      <c r="AC2852" s="380" t="str">
        <f>VLOOKUP($B2852,'D7 - NDB Impacted SPRF''s'!$E$16:$O$9929,3,FALSE)</f>
        <v>UnitedHealthcare Employer &amp; Individual</v>
      </c>
      <c r="AD2852" s="380" t="str">
        <f>VLOOKUP($B2852,'D7 - NDB Impacted SPRF''s'!$E$16:$O$9929,5,FALSE)</f>
        <v>Membership Growth / Revenue Programs</v>
      </c>
      <c r="AE2852" s="380" t="str">
        <f>VLOOKUP($B2852,'D7 - NDB Impacted SPRF''s'!$E$16:$O$9929,7,FALSE)</f>
        <v>SCE</v>
      </c>
      <c r="AF2852" s="380" t="str">
        <f>VLOOKUP($B2852,'D7 - NDB Impacted SPRF''s'!$E$16:$O$9929,6,FALSE)</f>
        <v>Theresa Drexler</v>
      </c>
      <c r="AG2852" s="282"/>
      <c r="AH2852" s="311" t="e">
        <f>INDEX('D5 - Gatekeeper - Projects'!$A$4:$AF$1010,$AM2852, 17)</f>
        <v>#N/A</v>
      </c>
      <c r="AI2852" s="8"/>
      <c r="AJ2852" s="57"/>
      <c r="AK2852" s="105"/>
      <c r="AM2852" s="6" t="e">
        <f>MATCH(D2852,'D5 - Gatekeeper - Projects'!$C$4:$C$1010,0)</f>
        <v>#N/A</v>
      </c>
      <c r="AN2852" s="6" t="b">
        <f t="shared" si="293"/>
        <v>1</v>
      </c>
      <c r="AO2852" s="6" t="str">
        <f t="shared" si="294"/>
        <v>OK</v>
      </c>
      <c r="AQ2852" s="6" t="e">
        <f>MATCH($D2852,'D4 - Provider Council Unsched'!$C$11:$C$234,0)</f>
        <v>#N/A</v>
      </c>
      <c r="AR2852" s="6" t="b">
        <f t="shared" si="295"/>
        <v>1</v>
      </c>
      <c r="AS2852" s="6" t="str">
        <f t="shared" si="298"/>
        <v>OK</v>
      </c>
      <c r="AU2852" s="202"/>
      <c r="AV2852" s="262"/>
      <c r="AW2852" s="274"/>
    </row>
    <row r="2853" spans="1:49" s="13" customFormat="1" ht="33.75" x14ac:dyDescent="0.2">
      <c r="A2853" s="14">
        <v>2829</v>
      </c>
      <c r="B2853" s="14">
        <v>400025391</v>
      </c>
      <c r="C2853" s="8" t="s">
        <v>5197</v>
      </c>
      <c r="D2853" s="4" t="str">
        <f t="shared" si="297"/>
        <v>400025391R1</v>
      </c>
      <c r="E2853" s="309" t="str">
        <f>VLOOKUP($B2853,'D7 - NDB Impacted SPRF''s'!$E$6:$O$9929,2,FALSE)</f>
        <v>PacifiCare Iliad Pricing through ppoONE</v>
      </c>
      <c r="F2853" s="8" t="s">
        <v>6071</v>
      </c>
      <c r="G2853" s="8" t="s">
        <v>4758</v>
      </c>
      <c r="H2853" s="8" t="s">
        <v>2870</v>
      </c>
      <c r="I2853" s="20"/>
      <c r="J2853" s="8"/>
      <c r="K2853" s="182"/>
      <c r="L2853" s="8" t="s">
        <v>4156</v>
      </c>
      <c r="M2853" s="8" t="s">
        <v>2814</v>
      </c>
      <c r="N2853" s="38"/>
      <c r="O2853" s="8"/>
      <c r="P2853" s="4" t="str">
        <f>VLOOKUP($B2853,'D7 - NDB Impacted SPRF''s'!$E$16:$O$9929,9,FALSE)</f>
        <v>N</v>
      </c>
      <c r="Q2853" s="4" t="str">
        <f>VLOOKUP($B2853,'D7 - NDB Impacted SPRF''s'!$E$16:$O$9929,10,FALSE)</f>
        <v>N</v>
      </c>
      <c r="R2853" s="4" t="str">
        <f>VLOOKUP($B2853,'D7 - NDB Impacted SPRF''s'!$E$16:$O$9929,11,FALSE)</f>
        <v>Y</v>
      </c>
      <c r="S2853" s="8"/>
      <c r="T2853" s="310"/>
      <c r="U2853" s="310"/>
      <c r="V2853" s="4"/>
      <c r="W2853" s="4"/>
      <c r="X2853" s="4"/>
      <c r="Y2853" s="4"/>
      <c r="Z2853" s="4"/>
      <c r="AA2853" s="4"/>
      <c r="AB2853" s="380" t="str">
        <f>VLOOKUP($B2853,'D7 - NDB Impacted SPRF''s'!$E$16:$O$9929,4,FALSE)</f>
        <v>Cancelled</v>
      </c>
      <c r="AC2853" s="380" t="str">
        <f>VLOOKUP($B2853,'D7 - NDB Impacted SPRF''s'!$E$16:$O$9929,3,FALSE)</f>
        <v>UnitedHealthcare Employer &amp; Individual</v>
      </c>
      <c r="AD2853" s="380" t="str">
        <f>VLOOKUP($B2853,'D7 - NDB Impacted SPRF''s'!$E$16:$O$9929,5,FALSE)</f>
        <v>Integration Requirements</v>
      </c>
      <c r="AE2853" s="380" t="str">
        <f>VLOOKUP($B2853,'D7 - NDB Impacted SPRF''s'!$E$16:$O$9929,7,FALSE)</f>
        <v>Sally Verrilli</v>
      </c>
      <c r="AF2853" s="380" t="str">
        <f>VLOOKUP($B2853,'D7 - NDB Impacted SPRF''s'!$E$16:$O$9929,6,FALSE)</f>
        <v>Ronald Wallner</v>
      </c>
      <c r="AG2853" s="282"/>
      <c r="AH2853" s="311" t="e">
        <f>INDEX('D5 - Gatekeeper - Projects'!$A$4:$AF$1010,$AM2853, 17)</f>
        <v>#N/A</v>
      </c>
      <c r="AI2853" s="8"/>
      <c r="AJ2853" s="57"/>
      <c r="AK2853" s="105"/>
      <c r="AM2853" s="6" t="e">
        <f>MATCH(D2853,'D5 - Gatekeeper - Projects'!$C$4:$C$1010,0)</f>
        <v>#N/A</v>
      </c>
      <c r="AN2853" s="6" t="b">
        <f t="shared" si="293"/>
        <v>1</v>
      </c>
      <c r="AO2853" s="6" t="str">
        <f t="shared" si="294"/>
        <v>OK</v>
      </c>
      <c r="AQ2853" s="6" t="e">
        <f>MATCH($D2853,'D4 - Provider Council Unsched'!$C$11:$C$234,0)</f>
        <v>#N/A</v>
      </c>
      <c r="AR2853" s="6" t="b">
        <f t="shared" si="295"/>
        <v>1</v>
      </c>
      <c r="AS2853" s="6" t="str">
        <f t="shared" si="298"/>
        <v>OK</v>
      </c>
      <c r="AU2853" s="202"/>
      <c r="AV2853" s="262"/>
      <c r="AW2853" s="274"/>
    </row>
    <row r="2854" spans="1:49" s="13" customFormat="1" ht="33.75" x14ac:dyDescent="0.2">
      <c r="A2854" s="14">
        <v>2830</v>
      </c>
      <c r="B2854" s="14">
        <v>400025401</v>
      </c>
      <c r="C2854" s="8" t="s">
        <v>5197</v>
      </c>
      <c r="D2854" s="4" t="str">
        <f t="shared" si="297"/>
        <v>400025401R1</v>
      </c>
      <c r="E2854" s="309" t="str">
        <f>VLOOKUP($B2854,'D7 - NDB Impacted SPRF''s'!$E$6:$O$9929,2,FALSE)</f>
        <v>Claim Submission Redesign</v>
      </c>
      <c r="F2854" s="8"/>
      <c r="G2854" s="8" t="s">
        <v>4758</v>
      </c>
      <c r="H2854" s="8" t="s">
        <v>2870</v>
      </c>
      <c r="I2854" s="20"/>
      <c r="J2854" s="8"/>
      <c r="K2854" s="182"/>
      <c r="L2854" s="8" t="s">
        <v>4156</v>
      </c>
      <c r="M2854" s="8" t="s">
        <v>2814</v>
      </c>
      <c r="N2854" s="38"/>
      <c r="O2854" s="8"/>
      <c r="P2854" s="4" t="str">
        <f>VLOOKUP($B2854,'D7 - NDB Impacted SPRF''s'!$E$16:$O$9929,9,FALSE)</f>
        <v>Y</v>
      </c>
      <c r="Q2854" s="4" t="str">
        <f>VLOOKUP($B2854,'D7 - NDB Impacted SPRF''s'!$E$16:$O$9929,10,FALSE)</f>
        <v>N</v>
      </c>
      <c r="R2854" s="4" t="str">
        <f>VLOOKUP($B2854,'D7 - NDB Impacted SPRF''s'!$E$16:$O$9929,11,FALSE)</f>
        <v>N</v>
      </c>
      <c r="S2854" s="8"/>
      <c r="T2854" s="310"/>
      <c r="U2854" s="310"/>
      <c r="V2854" s="4"/>
      <c r="W2854" s="4"/>
      <c r="X2854" s="4"/>
      <c r="Y2854" s="4"/>
      <c r="Z2854" s="4"/>
      <c r="AA2854" s="4"/>
      <c r="AB2854" s="380" t="str">
        <f>VLOOKUP($B2854,'D7 - NDB Impacted SPRF''s'!$E$16:$O$9929,4,FALSE)</f>
        <v>Cancelled</v>
      </c>
      <c r="AC2854" s="380" t="str">
        <f>VLOOKUP($B2854,'D7 - NDB Impacted SPRF''s'!$E$16:$O$9929,3,FALSE)</f>
        <v>UnitedHealthcare Employer &amp; Individual</v>
      </c>
      <c r="AD2854" s="380" t="str">
        <f>VLOOKUP($B2854,'D7 - NDB Impacted SPRF''s'!$E$16:$O$9929,5,FALSE)</f>
        <v>Process Improvement</v>
      </c>
      <c r="AE2854" s="380" t="str">
        <f>VLOOKUP($B2854,'D7 - NDB Impacted SPRF''s'!$E$16:$O$9929,7,FALSE)</f>
        <v>Randy Jacob</v>
      </c>
      <c r="AF2854" s="380" t="str">
        <f>VLOOKUP($B2854,'D7 - NDB Impacted SPRF''s'!$E$16:$O$9929,6,FALSE)</f>
        <v>KIMBERLY DOWNS</v>
      </c>
      <c r="AG2854" s="282"/>
      <c r="AH2854" s="311" t="e">
        <f>INDEX('D5 - Gatekeeper - Projects'!$A$4:$AF$1010,$AM2854, 17)</f>
        <v>#N/A</v>
      </c>
      <c r="AI2854" s="8"/>
      <c r="AJ2854" s="57"/>
      <c r="AK2854" s="105"/>
      <c r="AM2854" s="6" t="e">
        <f>MATCH(D2854,'D5 - Gatekeeper - Projects'!$C$4:$C$1010,0)</f>
        <v>#N/A</v>
      </c>
      <c r="AN2854" s="6" t="b">
        <f t="shared" si="293"/>
        <v>1</v>
      </c>
      <c r="AO2854" s="6" t="str">
        <f t="shared" si="294"/>
        <v>OK</v>
      </c>
      <c r="AQ2854" s="6" t="e">
        <f>MATCH($D2854,'D4 - Provider Council Unsched'!$C$11:$C$234,0)</f>
        <v>#N/A</v>
      </c>
      <c r="AR2854" s="6" t="b">
        <f t="shared" si="295"/>
        <v>1</v>
      </c>
      <c r="AS2854" s="6" t="str">
        <f t="shared" si="298"/>
        <v>OK</v>
      </c>
      <c r="AU2854" s="202"/>
      <c r="AV2854" s="262"/>
      <c r="AW2854" s="274"/>
    </row>
    <row r="2855" spans="1:49" s="13" customFormat="1" ht="33.75" x14ac:dyDescent="0.2">
      <c r="A2855" s="14">
        <v>2831</v>
      </c>
      <c r="B2855" s="14">
        <v>400025411</v>
      </c>
      <c r="C2855" s="8" t="s">
        <v>5197</v>
      </c>
      <c r="D2855" s="4" t="str">
        <f t="shared" si="297"/>
        <v>400025411R1</v>
      </c>
      <c r="E2855" s="309" t="str">
        <f>VLOOKUP($B2855,'D7 - NDB Impacted SPRF''s'!$E$6:$O$9929,2,FALSE)</f>
        <v>PacifiCare NICE Pricing through ppoONE</v>
      </c>
      <c r="F2855" s="8" t="s">
        <v>6071</v>
      </c>
      <c r="G2855" s="8" t="s">
        <v>4758</v>
      </c>
      <c r="H2855" s="8" t="s">
        <v>2870</v>
      </c>
      <c r="I2855" s="20"/>
      <c r="J2855" s="8"/>
      <c r="K2855" s="182"/>
      <c r="L2855" s="8" t="s">
        <v>4156</v>
      </c>
      <c r="M2855" s="8" t="s">
        <v>2814</v>
      </c>
      <c r="N2855" s="38"/>
      <c r="O2855" s="8"/>
      <c r="P2855" s="4" t="str">
        <f>VLOOKUP($B2855,'D7 - NDB Impacted SPRF''s'!$E$16:$O$9929,9,FALSE)</f>
        <v>N</v>
      </c>
      <c r="Q2855" s="4" t="str">
        <f>VLOOKUP($B2855,'D7 - NDB Impacted SPRF''s'!$E$16:$O$9929,10,FALSE)</f>
        <v>N</v>
      </c>
      <c r="R2855" s="4" t="str">
        <f>VLOOKUP($B2855,'D7 - NDB Impacted SPRF''s'!$E$16:$O$9929,11,FALSE)</f>
        <v>Y</v>
      </c>
      <c r="S2855" s="8"/>
      <c r="T2855" s="310"/>
      <c r="U2855" s="310"/>
      <c r="V2855" s="4"/>
      <c r="W2855" s="4"/>
      <c r="X2855" s="4"/>
      <c r="Y2855" s="4"/>
      <c r="Z2855" s="4"/>
      <c r="AA2855" s="4"/>
      <c r="AB2855" s="380" t="str">
        <f>VLOOKUP($B2855,'D7 - NDB Impacted SPRF''s'!$E$16:$O$9929,4,FALSE)</f>
        <v>Cancelled</v>
      </c>
      <c r="AC2855" s="380" t="str">
        <f>VLOOKUP($B2855,'D7 - NDB Impacted SPRF''s'!$E$16:$O$9929,3,FALSE)</f>
        <v>UnitedHealthcare Employer &amp; Individual</v>
      </c>
      <c r="AD2855" s="380" t="str">
        <f>VLOOKUP($B2855,'D7 - NDB Impacted SPRF''s'!$E$16:$O$9929,5,FALSE)</f>
        <v>Integration Requirements</v>
      </c>
      <c r="AE2855" s="380" t="str">
        <f>VLOOKUP($B2855,'D7 - NDB Impacted SPRF''s'!$E$16:$O$9929,7,FALSE)</f>
        <v>Sally Verrilli</v>
      </c>
      <c r="AF2855" s="380" t="str">
        <f>VLOOKUP($B2855,'D7 - NDB Impacted SPRF''s'!$E$16:$O$9929,6,FALSE)</f>
        <v>Ronald Wallner</v>
      </c>
      <c r="AG2855" s="282"/>
      <c r="AH2855" s="311" t="e">
        <f>INDEX('D5 - Gatekeeper - Projects'!$A$4:$AF$1010,$AM2855, 17)</f>
        <v>#N/A</v>
      </c>
      <c r="AI2855" s="8"/>
      <c r="AJ2855" s="57"/>
      <c r="AK2855" s="105"/>
      <c r="AM2855" s="6" t="e">
        <f>MATCH(D2855,'D5 - Gatekeeper - Projects'!$C$4:$C$1010,0)</f>
        <v>#N/A</v>
      </c>
      <c r="AN2855" s="6" t="b">
        <f t="shared" si="293"/>
        <v>1</v>
      </c>
      <c r="AO2855" s="6" t="str">
        <f t="shared" si="294"/>
        <v>OK</v>
      </c>
      <c r="AQ2855" s="6" t="e">
        <f>MATCH($D2855,'D4 - Provider Council Unsched'!$C$11:$C$234,0)</f>
        <v>#N/A</v>
      </c>
      <c r="AR2855" s="6" t="b">
        <f t="shared" si="295"/>
        <v>1</v>
      </c>
      <c r="AS2855" s="6" t="str">
        <f t="shared" si="298"/>
        <v>OK</v>
      </c>
      <c r="AU2855" s="202"/>
      <c r="AV2855" s="262"/>
      <c r="AW2855" s="274"/>
    </row>
    <row r="2856" spans="1:49" s="13" customFormat="1" ht="33.75" x14ac:dyDescent="0.2">
      <c r="A2856" s="14">
        <v>2832</v>
      </c>
      <c r="B2856" s="14">
        <v>400025412</v>
      </c>
      <c r="C2856" s="8" t="s">
        <v>5197</v>
      </c>
      <c r="D2856" s="4" t="str">
        <f t="shared" si="297"/>
        <v>400025412R1</v>
      </c>
      <c r="E2856" s="309" t="str">
        <f>VLOOKUP($B2856,'D7 - NDB Impacted SPRF''s'!$E$6:$O$9929,2,FALSE)</f>
        <v>PacifiCare QicLink Pricing through ppoONE</v>
      </c>
      <c r="F2856" s="8" t="s">
        <v>6071</v>
      </c>
      <c r="G2856" s="8" t="s">
        <v>4758</v>
      </c>
      <c r="H2856" s="8" t="s">
        <v>2870</v>
      </c>
      <c r="I2856" s="20"/>
      <c r="J2856" s="8"/>
      <c r="K2856" s="182"/>
      <c r="L2856" s="8" t="s">
        <v>4156</v>
      </c>
      <c r="M2856" s="8" t="s">
        <v>2814</v>
      </c>
      <c r="N2856" s="38"/>
      <c r="O2856" s="8"/>
      <c r="P2856" s="4" t="str">
        <f>VLOOKUP($B2856,'D7 - NDB Impacted SPRF''s'!$E$16:$O$9929,9,FALSE)</f>
        <v>N</v>
      </c>
      <c r="Q2856" s="4" t="str">
        <f>VLOOKUP($B2856,'D7 - NDB Impacted SPRF''s'!$E$16:$O$9929,10,FALSE)</f>
        <v>N</v>
      </c>
      <c r="R2856" s="4" t="str">
        <f>VLOOKUP($B2856,'D7 - NDB Impacted SPRF''s'!$E$16:$O$9929,11,FALSE)</f>
        <v>Y</v>
      </c>
      <c r="S2856" s="8"/>
      <c r="T2856" s="310"/>
      <c r="U2856" s="310"/>
      <c r="V2856" s="4"/>
      <c r="W2856" s="4"/>
      <c r="X2856" s="4"/>
      <c r="Y2856" s="4"/>
      <c r="Z2856" s="4"/>
      <c r="AA2856" s="4"/>
      <c r="AB2856" s="380" t="str">
        <f>VLOOKUP($B2856,'D7 - NDB Impacted SPRF''s'!$E$16:$O$9929,4,FALSE)</f>
        <v>Cancelled</v>
      </c>
      <c r="AC2856" s="380" t="str">
        <f>VLOOKUP($B2856,'D7 - NDB Impacted SPRF''s'!$E$16:$O$9929,3,FALSE)</f>
        <v>UnitedHealthcare Employer &amp; Individual</v>
      </c>
      <c r="AD2856" s="380" t="str">
        <f>VLOOKUP($B2856,'D7 - NDB Impacted SPRF''s'!$E$16:$O$9929,5,FALSE)</f>
        <v>Integration Requirements</v>
      </c>
      <c r="AE2856" s="380" t="str">
        <f>VLOOKUP($B2856,'D7 - NDB Impacted SPRF''s'!$E$16:$O$9929,7,FALSE)</f>
        <v>Sally Verrilli</v>
      </c>
      <c r="AF2856" s="380" t="str">
        <f>VLOOKUP($B2856,'D7 - NDB Impacted SPRF''s'!$E$16:$O$9929,6,FALSE)</f>
        <v>Ronald Wallner</v>
      </c>
      <c r="AG2856" s="282"/>
      <c r="AH2856" s="311" t="e">
        <f>INDEX('D5 - Gatekeeper - Projects'!$A$4:$AF$1010,$AM2856, 17)</f>
        <v>#N/A</v>
      </c>
      <c r="AI2856" s="8"/>
      <c r="AJ2856" s="57"/>
      <c r="AK2856" s="105"/>
      <c r="AM2856" s="6" t="e">
        <f>MATCH(D2856,'D5 - Gatekeeper - Projects'!$C$4:$C$1010,0)</f>
        <v>#N/A</v>
      </c>
      <c r="AN2856" s="6" t="b">
        <f t="shared" si="293"/>
        <v>1</v>
      </c>
      <c r="AO2856" s="6" t="str">
        <f t="shared" si="294"/>
        <v>OK</v>
      </c>
      <c r="AQ2856" s="6" t="e">
        <f>MATCH($D2856,'D4 - Provider Council Unsched'!$C$11:$C$234,0)</f>
        <v>#N/A</v>
      </c>
      <c r="AR2856" s="6" t="b">
        <f t="shared" si="295"/>
        <v>1</v>
      </c>
      <c r="AS2856" s="6" t="str">
        <f t="shared" si="298"/>
        <v>OK</v>
      </c>
      <c r="AU2856" s="202"/>
      <c r="AV2856" s="262"/>
      <c r="AW2856" s="274"/>
    </row>
    <row r="2857" spans="1:49" s="13" customFormat="1" ht="33.75" x14ac:dyDescent="0.2">
      <c r="A2857" s="14">
        <v>2833</v>
      </c>
      <c r="B2857" s="14">
        <v>400025521</v>
      </c>
      <c r="C2857" s="8" t="s">
        <v>5197</v>
      </c>
      <c r="D2857" s="4" t="str">
        <f t="shared" si="297"/>
        <v>400025521R1</v>
      </c>
      <c r="E2857" s="309" t="str">
        <f>VLOOKUP($B2857,'D7 - NDB Impacted SPRF''s'!$E$6:$O$9929,2,FALSE)</f>
        <v>Logic Change/Read all digits of ORATE on NXI</v>
      </c>
      <c r="F2857" s="8" t="s">
        <v>2114</v>
      </c>
      <c r="G2857" s="8" t="s">
        <v>4758</v>
      </c>
      <c r="H2857" s="8" t="s">
        <v>2870</v>
      </c>
      <c r="I2857" s="20"/>
      <c r="J2857" s="8"/>
      <c r="K2857" s="182"/>
      <c r="L2857" s="8" t="s">
        <v>4156</v>
      </c>
      <c r="M2857" s="8" t="s">
        <v>2814</v>
      </c>
      <c r="N2857" s="38"/>
      <c r="O2857" s="8"/>
      <c r="P2857" s="4" t="str">
        <f>VLOOKUP($B2857,'D7 - NDB Impacted SPRF''s'!$E$16:$O$9929,9,FALSE)</f>
        <v>Y</v>
      </c>
      <c r="Q2857" s="4" t="str">
        <f>VLOOKUP($B2857,'D7 - NDB Impacted SPRF''s'!$E$16:$O$9929,10,FALSE)</f>
        <v>N</v>
      </c>
      <c r="R2857" s="4" t="str">
        <f>VLOOKUP($B2857,'D7 - NDB Impacted SPRF''s'!$E$16:$O$9929,11,FALSE)</f>
        <v>Y</v>
      </c>
      <c r="S2857" s="8"/>
      <c r="T2857" s="310"/>
      <c r="U2857" s="310"/>
      <c r="V2857" s="4"/>
      <c r="W2857" s="4"/>
      <c r="X2857" s="4"/>
      <c r="Y2857" s="4"/>
      <c r="Z2857" s="4"/>
      <c r="AA2857" s="4"/>
      <c r="AB2857" s="380" t="str">
        <f>VLOOKUP($B2857,'D7 - NDB Impacted SPRF''s'!$E$16:$O$9929,4,FALSE)</f>
        <v>Cancelled</v>
      </c>
      <c r="AC2857" s="380" t="str">
        <f>VLOOKUP($B2857,'D7 - NDB Impacted SPRF''s'!$E$16:$O$9929,3,FALSE)</f>
        <v>UnitedHealthcare Employer &amp; Individual</v>
      </c>
      <c r="AD2857" s="380" t="str">
        <f>VLOOKUP($B2857,'D7 - NDB Impacted SPRF''s'!$E$16:$O$9929,5,FALSE)</f>
        <v>Operational Requirements</v>
      </c>
      <c r="AE2857" s="380" t="str">
        <f>VLOOKUP($B2857,'D7 - NDB Impacted SPRF''s'!$E$16:$O$9929,7,FALSE)</f>
        <v>Jill Foucre</v>
      </c>
      <c r="AF2857" s="380" t="str">
        <f>VLOOKUP($B2857,'D7 - NDB Impacted SPRF''s'!$E$16:$O$9929,6,FALSE)</f>
        <v>SHELBY GRAHAM</v>
      </c>
      <c r="AG2857" s="282"/>
      <c r="AH2857" s="311" t="e">
        <f>INDEX('D5 - Gatekeeper - Projects'!$A$4:$AF$1010,$AM2857, 17)</f>
        <v>#N/A</v>
      </c>
      <c r="AI2857" s="8"/>
      <c r="AJ2857" s="57"/>
      <c r="AK2857" s="105"/>
      <c r="AM2857" s="6" t="e">
        <f>MATCH(D2857,'D5 - Gatekeeper - Projects'!$C$4:$C$1010,0)</f>
        <v>#N/A</v>
      </c>
      <c r="AN2857" s="6" t="b">
        <f t="shared" si="293"/>
        <v>1</v>
      </c>
      <c r="AO2857" s="6" t="str">
        <f t="shared" si="294"/>
        <v>OK</v>
      </c>
      <c r="AQ2857" s="6" t="e">
        <f>MATCH($D2857,'D4 - Provider Council Unsched'!$C$11:$C$234,0)</f>
        <v>#N/A</v>
      </c>
      <c r="AR2857" s="6" t="b">
        <f t="shared" si="295"/>
        <v>1</v>
      </c>
      <c r="AS2857" s="6" t="str">
        <f>IF(AND(H2857="2 - Not Scheduled",AR2857=TRUE),"Add","OK")</f>
        <v>OK</v>
      </c>
      <c r="AU2857" s="202"/>
      <c r="AV2857" s="262"/>
      <c r="AW2857" s="274"/>
    </row>
    <row r="2858" spans="1:49" s="13" customFormat="1" x14ac:dyDescent="0.2">
      <c r="A2858" s="14">
        <v>2834</v>
      </c>
      <c r="B2858" s="14">
        <v>400025610</v>
      </c>
      <c r="C2858" s="8" t="s">
        <v>5197</v>
      </c>
      <c r="D2858" s="4" t="str">
        <f t="shared" si="297"/>
        <v>400025610R1</v>
      </c>
      <c r="E2858" s="309" t="e">
        <f>VLOOKUP($B2858,'D7 - NDB Impacted SPRF''s'!$E$6:$O$9929,2,FALSE)</f>
        <v>#N/A</v>
      </c>
      <c r="F2858" s="8" t="s">
        <v>2114</v>
      </c>
      <c r="G2858" s="8" t="s">
        <v>4758</v>
      </c>
      <c r="H2858" s="8" t="s">
        <v>2870</v>
      </c>
      <c r="I2858" s="20"/>
      <c r="J2858" s="8"/>
      <c r="K2858" s="182"/>
      <c r="L2858" s="8" t="s">
        <v>4156</v>
      </c>
      <c r="M2858" s="8" t="s">
        <v>2814</v>
      </c>
      <c r="N2858" s="38"/>
      <c r="O2858" s="8"/>
      <c r="P2858" s="4" t="e">
        <f>VLOOKUP($B2858,'D7 - NDB Impacted SPRF''s'!$E$16:$O$9929,9,FALSE)</f>
        <v>#N/A</v>
      </c>
      <c r="Q2858" s="4" t="e">
        <f>VLOOKUP($B2858,'D7 - NDB Impacted SPRF''s'!$E$16:$O$9929,10,FALSE)</f>
        <v>#N/A</v>
      </c>
      <c r="R2858" s="4" t="e">
        <f>VLOOKUP($B2858,'D7 - NDB Impacted SPRF''s'!$E$16:$O$9929,11,FALSE)</f>
        <v>#N/A</v>
      </c>
      <c r="S2858" s="8"/>
      <c r="T2858" s="310"/>
      <c r="U2858" s="310"/>
      <c r="V2858" s="4"/>
      <c r="W2858" s="4"/>
      <c r="X2858" s="4"/>
      <c r="Y2858" s="4"/>
      <c r="Z2858" s="4"/>
      <c r="AA2858" s="4"/>
      <c r="AB2858" s="380" t="e">
        <f>VLOOKUP($B2858,'D7 - NDB Impacted SPRF''s'!$E$16:$O$9929,4,FALSE)</f>
        <v>#N/A</v>
      </c>
      <c r="AC2858" s="380" t="e">
        <f>VLOOKUP($B2858,'D7 - NDB Impacted SPRF''s'!$E$16:$O$9929,3,FALSE)</f>
        <v>#N/A</v>
      </c>
      <c r="AD2858" s="380" t="e">
        <f>VLOOKUP($B2858,'D7 - NDB Impacted SPRF''s'!$E$16:$O$9929,5,FALSE)</f>
        <v>#N/A</v>
      </c>
      <c r="AE2858" s="380" t="e">
        <f>VLOOKUP($B2858,'D7 - NDB Impacted SPRF''s'!$E$16:$O$9929,7,FALSE)</f>
        <v>#N/A</v>
      </c>
      <c r="AF2858" s="380" t="e">
        <f>VLOOKUP($B2858,'D7 - NDB Impacted SPRF''s'!$E$16:$O$9929,6,FALSE)</f>
        <v>#N/A</v>
      </c>
      <c r="AG2858" s="282"/>
      <c r="AH2858" s="311" t="e">
        <f>INDEX('D5 - Gatekeeper - Projects'!$A$4:$AF$1010,$AM2858, 17)</f>
        <v>#N/A</v>
      </c>
      <c r="AI2858" s="8"/>
      <c r="AJ2858" s="57"/>
      <c r="AK2858" s="105"/>
      <c r="AM2858" s="6" t="e">
        <f>MATCH(D2858,'D5 - Gatekeeper - Projects'!$C$4:$C$1010,0)</f>
        <v>#N/A</v>
      </c>
      <c r="AN2858" s="6" t="b">
        <f t="shared" si="293"/>
        <v>1</v>
      </c>
      <c r="AO2858" s="6" t="str">
        <f t="shared" si="294"/>
        <v>OK</v>
      </c>
      <c r="AQ2858" s="6" t="e">
        <f>MATCH($D2858,'D4 - Provider Council Unsched'!$C$11:$C$234,0)</f>
        <v>#N/A</v>
      </c>
      <c r="AR2858" s="6" t="b">
        <f t="shared" si="295"/>
        <v>1</v>
      </c>
      <c r="AS2858" s="6" t="str">
        <f t="shared" ref="AS2858:AS2889" si="299">IF(AND(H2858="2 - Not Scheduled",AR2858=TRUE,C2858="R1"),"Add","OK")</f>
        <v>OK</v>
      </c>
      <c r="AU2858" s="202"/>
      <c r="AV2858" s="262"/>
      <c r="AW2858" s="274"/>
    </row>
    <row r="2859" spans="1:49" s="13" customFormat="1" ht="33.75" x14ac:dyDescent="0.2">
      <c r="A2859" s="14">
        <v>2835</v>
      </c>
      <c r="B2859" s="14">
        <v>400025663</v>
      </c>
      <c r="C2859" s="8" t="s">
        <v>5197</v>
      </c>
      <c r="D2859" s="4" t="str">
        <f t="shared" si="297"/>
        <v>400025663R1</v>
      </c>
      <c r="E2859" s="309" t="str">
        <f>VLOOKUP($B2859,'D7 - NDB Impacted SPRF''s'!$E$6:$O$9929,2,FALSE)</f>
        <v>CMG 2008 Analysis Only</v>
      </c>
      <c r="F2859" s="8" t="s">
        <v>5544</v>
      </c>
      <c r="G2859" s="8" t="s">
        <v>4758</v>
      </c>
      <c r="H2859" s="8" t="s">
        <v>2870</v>
      </c>
      <c r="I2859" s="20"/>
      <c r="J2859" s="8"/>
      <c r="K2859" s="182"/>
      <c r="L2859" s="8" t="s">
        <v>4156</v>
      </c>
      <c r="M2859" s="8" t="s">
        <v>2814</v>
      </c>
      <c r="N2859" s="38"/>
      <c r="O2859" s="8"/>
      <c r="P2859" s="4" t="str">
        <f>VLOOKUP($B2859,'D7 - NDB Impacted SPRF''s'!$E$16:$O$9929,9,FALSE)</f>
        <v>N</v>
      </c>
      <c r="Q2859" s="4" t="str">
        <f>VLOOKUP($B2859,'D7 - NDB Impacted SPRF''s'!$E$16:$O$9929,10,FALSE)</f>
        <v>N</v>
      </c>
      <c r="R2859" s="4" t="str">
        <f>VLOOKUP($B2859,'D7 - NDB Impacted SPRF''s'!$E$16:$O$9929,11,FALSE)</f>
        <v>N</v>
      </c>
      <c r="S2859" s="8"/>
      <c r="T2859" s="310"/>
      <c r="U2859" s="310"/>
      <c r="V2859" s="4"/>
      <c r="W2859" s="4"/>
      <c r="X2859" s="4"/>
      <c r="Y2859" s="4"/>
      <c r="Z2859" s="4"/>
      <c r="AA2859" s="4"/>
      <c r="AB2859" s="380" t="str">
        <f>VLOOKUP($B2859,'D7 - NDB Impacted SPRF''s'!$E$16:$O$9929,4,FALSE)</f>
        <v>Cancelled</v>
      </c>
      <c r="AC2859" s="380" t="str">
        <f>VLOOKUP($B2859,'D7 - NDB Impacted SPRF''s'!$E$16:$O$9929,3,FALSE)</f>
        <v>UnitedHealthcare Medicare &amp; Retirement</v>
      </c>
      <c r="AD2859" s="380" t="str">
        <f>VLOOKUP($B2859,'D7 - NDB Impacted SPRF''s'!$E$16:$O$9929,5,FALSE)</f>
        <v>Clinical Engagement Toolbox</v>
      </c>
      <c r="AE2859" s="380" t="str">
        <f>VLOOKUP($B2859,'D7 - NDB Impacted SPRF''s'!$E$16:$O$9929,7,FALSE)</f>
        <v>Cynthia Middaugh</v>
      </c>
      <c r="AF2859" s="380" t="str">
        <f>VLOOKUP($B2859,'D7 - NDB Impacted SPRF''s'!$E$16:$O$9929,6,FALSE)</f>
        <v>Shavone Sears</v>
      </c>
      <c r="AG2859" s="282"/>
      <c r="AH2859" s="311" t="e">
        <f>INDEX('D5 - Gatekeeper - Projects'!$A$4:$AF$1010,$AM2859, 17)</f>
        <v>#N/A</v>
      </c>
      <c r="AI2859" s="8"/>
      <c r="AJ2859" s="57"/>
      <c r="AK2859" s="105"/>
      <c r="AM2859" s="6" t="e">
        <f>MATCH(D2859,'D5 - Gatekeeper - Projects'!$C$4:$C$1010,0)</f>
        <v>#N/A</v>
      </c>
      <c r="AN2859" s="6" t="b">
        <f t="shared" si="293"/>
        <v>1</v>
      </c>
      <c r="AO2859" s="6" t="str">
        <f t="shared" si="294"/>
        <v>OK</v>
      </c>
      <c r="AQ2859" s="6" t="e">
        <f>MATCH($D2859,'D4 - Provider Council Unsched'!$C$11:$C$234,0)</f>
        <v>#N/A</v>
      </c>
      <c r="AR2859" s="6" t="b">
        <f t="shared" si="295"/>
        <v>1</v>
      </c>
      <c r="AS2859" s="6" t="str">
        <f t="shared" si="299"/>
        <v>OK</v>
      </c>
      <c r="AU2859" s="202"/>
      <c r="AV2859" s="262"/>
      <c r="AW2859" s="274"/>
    </row>
    <row r="2860" spans="1:49" s="13" customFormat="1" ht="33.75" x14ac:dyDescent="0.2">
      <c r="A2860" s="14">
        <v>2836</v>
      </c>
      <c r="B2860" s="14">
        <v>400025767</v>
      </c>
      <c r="C2860" s="8" t="s">
        <v>5197</v>
      </c>
      <c r="D2860" s="4" t="str">
        <f t="shared" si="297"/>
        <v>400025767R1</v>
      </c>
      <c r="E2860" s="309" t="str">
        <f>VLOOKUP($B2860,'D7 - NDB Impacted SPRF''s'!$E$6:$O$9929,2,FALSE)</f>
        <v>Analyze 5010 format for 835</v>
      </c>
      <c r="F2860" s="8" t="s">
        <v>2114</v>
      </c>
      <c r="G2860" s="8" t="s">
        <v>4758</v>
      </c>
      <c r="H2860" s="8" t="s">
        <v>2870</v>
      </c>
      <c r="I2860" s="20"/>
      <c r="J2860" s="8"/>
      <c r="K2860" s="182"/>
      <c r="L2860" s="8" t="s">
        <v>4156</v>
      </c>
      <c r="M2860" s="8" t="s">
        <v>2814</v>
      </c>
      <c r="N2860" s="38"/>
      <c r="O2860" s="8"/>
      <c r="P2860" s="4" t="str">
        <f>VLOOKUP($B2860,'D7 - NDB Impacted SPRF''s'!$E$16:$O$9929,9,FALSE)</f>
        <v>Y</v>
      </c>
      <c r="Q2860" s="4" t="str">
        <f>VLOOKUP($B2860,'D7 - NDB Impacted SPRF''s'!$E$16:$O$9929,10,FALSE)</f>
        <v>N</v>
      </c>
      <c r="R2860" s="4" t="str">
        <f>VLOOKUP($B2860,'D7 - NDB Impacted SPRF''s'!$E$16:$O$9929,11,FALSE)</f>
        <v>N</v>
      </c>
      <c r="S2860" s="8"/>
      <c r="T2860" s="310"/>
      <c r="U2860" s="310"/>
      <c r="V2860" s="4"/>
      <c r="W2860" s="4"/>
      <c r="X2860" s="4"/>
      <c r="Y2860" s="4"/>
      <c r="Z2860" s="4"/>
      <c r="AA2860" s="4"/>
      <c r="AB2860" s="380" t="str">
        <f>VLOOKUP($B2860,'D7 - NDB Impacted SPRF''s'!$E$16:$O$9929,4,FALSE)</f>
        <v>Cancelled</v>
      </c>
      <c r="AC2860" s="380" t="str">
        <f>VLOOKUP($B2860,'D7 - NDB Impacted SPRF''s'!$E$16:$O$9929,3,FALSE)</f>
        <v>UnitedHealthcare Employer &amp; Individual</v>
      </c>
      <c r="AD2860" s="380" t="str">
        <f>VLOOKUP($B2860,'D7 - NDB Impacted SPRF''s'!$E$16:$O$9929,5,FALSE)</f>
        <v>Process Improvement</v>
      </c>
      <c r="AE2860" s="380" t="str">
        <f>VLOOKUP($B2860,'D7 - NDB Impacted SPRF''s'!$E$16:$O$9929,7,FALSE)</f>
        <v>Sushmeeta Nanda</v>
      </c>
      <c r="AF2860" s="380" t="str">
        <f>VLOOKUP($B2860,'D7 - NDB Impacted SPRF''s'!$E$16:$O$9929,6,FALSE)</f>
        <v>KIMBERLY DOWNS</v>
      </c>
      <c r="AG2860" s="282"/>
      <c r="AH2860" s="311" t="e">
        <f>INDEX('D5 - Gatekeeper - Projects'!$A$4:$AF$1010,$AM2860, 17)</f>
        <v>#N/A</v>
      </c>
      <c r="AI2860" s="8"/>
      <c r="AJ2860" s="57"/>
      <c r="AK2860" s="105"/>
      <c r="AM2860" s="6" t="e">
        <f>MATCH(D2860,'D5 - Gatekeeper - Projects'!$C$4:$C$1010,0)</f>
        <v>#N/A</v>
      </c>
      <c r="AN2860" s="6" t="b">
        <f t="shared" si="293"/>
        <v>1</v>
      </c>
      <c r="AO2860" s="6" t="str">
        <f t="shared" si="294"/>
        <v>OK</v>
      </c>
      <c r="AQ2860" s="6" t="e">
        <f>MATCH($D2860,'D4 - Provider Council Unsched'!$C$11:$C$234,0)</f>
        <v>#N/A</v>
      </c>
      <c r="AR2860" s="6" t="b">
        <f t="shared" si="295"/>
        <v>1</v>
      </c>
      <c r="AS2860" s="6" t="str">
        <f t="shared" si="299"/>
        <v>OK</v>
      </c>
      <c r="AU2860" s="202"/>
      <c r="AV2860" s="262"/>
      <c r="AW2860" s="274"/>
    </row>
    <row r="2861" spans="1:49" s="13" customFormat="1" ht="33.75" x14ac:dyDescent="0.2">
      <c r="A2861" s="14">
        <v>2837</v>
      </c>
      <c r="B2861" s="14">
        <v>400025820</v>
      </c>
      <c r="C2861" s="8" t="s">
        <v>5197</v>
      </c>
      <c r="D2861" s="4" t="str">
        <f t="shared" si="297"/>
        <v>400025820R1</v>
      </c>
      <c r="E2861" s="309" t="str">
        <f>VLOOKUP($B2861,'D7 - NDB Impacted SPRF''s'!$E$6:$O$9929,2,FALSE)</f>
        <v>EOB/HS SSN and Profanity checker</v>
      </c>
      <c r="F2861" s="8" t="s">
        <v>2114</v>
      </c>
      <c r="G2861" s="8" t="s">
        <v>4758</v>
      </c>
      <c r="H2861" s="8" t="s">
        <v>2870</v>
      </c>
      <c r="I2861" s="20"/>
      <c r="J2861" s="8"/>
      <c r="K2861" s="182"/>
      <c r="L2861" s="8" t="s">
        <v>4156</v>
      </c>
      <c r="M2861" s="8" t="s">
        <v>2814</v>
      </c>
      <c r="N2861" s="38" t="s">
        <v>7760</v>
      </c>
      <c r="O2861" s="8"/>
      <c r="P2861" s="4" t="str">
        <f>VLOOKUP($B2861,'D7 - NDB Impacted SPRF''s'!$E$16:$O$9929,9,FALSE)</f>
        <v>Y</v>
      </c>
      <c r="Q2861" s="4" t="str">
        <f>VLOOKUP($B2861,'D7 - NDB Impacted SPRF''s'!$E$16:$O$9929,10,FALSE)</f>
        <v>N</v>
      </c>
      <c r="R2861" s="4" t="str">
        <f>VLOOKUP($B2861,'D7 - NDB Impacted SPRF''s'!$E$16:$O$9929,11,FALSE)</f>
        <v>N</v>
      </c>
      <c r="S2861" s="8"/>
      <c r="T2861" s="310"/>
      <c r="U2861" s="310"/>
      <c r="V2861" s="4"/>
      <c r="W2861" s="4"/>
      <c r="X2861" s="4"/>
      <c r="Y2861" s="4"/>
      <c r="Z2861" s="4"/>
      <c r="AA2861" s="4"/>
      <c r="AB2861" s="380" t="str">
        <f>VLOOKUP($B2861,'D7 - NDB Impacted SPRF''s'!$E$16:$O$9929,4,FALSE)</f>
        <v>Cancelled</v>
      </c>
      <c r="AC2861" s="380" t="str">
        <f>VLOOKUP($B2861,'D7 - NDB Impacted SPRF''s'!$E$16:$O$9929,3,FALSE)</f>
        <v>UnitedHealthcare Employer &amp; Individual</v>
      </c>
      <c r="AD2861" s="380" t="str">
        <f>VLOOKUP($B2861,'D7 - NDB Impacted SPRF''s'!$E$16:$O$9929,5,FALSE)</f>
        <v>Operational Requirements</v>
      </c>
      <c r="AE2861" s="380" t="str">
        <f>VLOOKUP($B2861,'D7 - NDB Impacted SPRF''s'!$E$16:$O$9929,7,FALSE)</f>
        <v>Doug Smith</v>
      </c>
      <c r="AF2861" s="380" t="str">
        <f>VLOOKUP($B2861,'D7 - NDB Impacted SPRF''s'!$E$16:$O$9929,6,FALSE)</f>
        <v>NINA THOMPSON</v>
      </c>
      <c r="AG2861" s="282"/>
      <c r="AH2861" s="311" t="e">
        <f>INDEX('D5 - Gatekeeper - Projects'!$A$4:$AF$1010,$AM2861, 17)</f>
        <v>#N/A</v>
      </c>
      <c r="AI2861" s="8"/>
      <c r="AJ2861" s="57"/>
      <c r="AK2861" s="105"/>
      <c r="AM2861" s="6" t="e">
        <f>MATCH(D2861,'D5 - Gatekeeper - Projects'!$C$4:$C$1010,0)</f>
        <v>#N/A</v>
      </c>
      <c r="AN2861" s="6" t="b">
        <f t="shared" si="293"/>
        <v>1</v>
      </c>
      <c r="AO2861" s="6" t="str">
        <f t="shared" si="294"/>
        <v>OK</v>
      </c>
      <c r="AQ2861" s="6" t="e">
        <f>MATCH($D2861,'D4 - Provider Council Unsched'!$C$11:$C$234,0)</f>
        <v>#N/A</v>
      </c>
      <c r="AR2861" s="6" t="b">
        <f t="shared" si="295"/>
        <v>1</v>
      </c>
      <c r="AS2861" s="6" t="str">
        <f t="shared" si="299"/>
        <v>OK</v>
      </c>
      <c r="AU2861" s="202"/>
      <c r="AV2861" s="262"/>
      <c r="AW2861" s="274"/>
    </row>
    <row r="2862" spans="1:49" s="13" customFormat="1" x14ac:dyDescent="0.2">
      <c r="A2862" s="14">
        <v>2838</v>
      </c>
      <c r="B2862" s="14">
        <v>400026001</v>
      </c>
      <c r="C2862" s="8" t="s">
        <v>5197</v>
      </c>
      <c r="D2862" s="4" t="str">
        <f t="shared" si="297"/>
        <v>400026001R1</v>
      </c>
      <c r="E2862" s="309" t="str">
        <f>VLOOKUP($B2862,'D7 - NDB Impacted SPRF''s'!$E$6:$O$9929,2,FALSE)</f>
        <v>NDB Contract Numbers Increase to 5 digits on Facet</v>
      </c>
      <c r="F2862" s="8" t="s">
        <v>8133</v>
      </c>
      <c r="G2862" s="8" t="s">
        <v>4758</v>
      </c>
      <c r="H2862" s="8" t="s">
        <v>2870</v>
      </c>
      <c r="I2862" s="20"/>
      <c r="J2862" s="8"/>
      <c r="K2862" s="182"/>
      <c r="L2862" s="8" t="s">
        <v>4156</v>
      </c>
      <c r="M2862" s="8" t="s">
        <v>2814</v>
      </c>
      <c r="N2862" s="38"/>
      <c r="O2862" s="8"/>
      <c r="P2862" s="4" t="str">
        <f>VLOOKUP($B2862,'D7 - NDB Impacted SPRF''s'!$E$16:$O$9929,9,FALSE)</f>
        <v>N</v>
      </c>
      <c r="Q2862" s="4" t="str">
        <f>VLOOKUP($B2862,'D7 - NDB Impacted SPRF''s'!$E$16:$O$9929,10,FALSE)</f>
        <v>N</v>
      </c>
      <c r="R2862" s="4" t="str">
        <f>VLOOKUP($B2862,'D7 - NDB Impacted SPRF''s'!$E$16:$O$9929,11,FALSE)</f>
        <v>N</v>
      </c>
      <c r="S2862" s="8"/>
      <c r="T2862" s="310"/>
      <c r="U2862" s="310"/>
      <c r="V2862" s="4"/>
      <c r="W2862" s="4"/>
      <c r="X2862" s="4"/>
      <c r="Y2862" s="4"/>
      <c r="Z2862" s="4"/>
      <c r="AA2862" s="4"/>
      <c r="AB2862" s="380" t="str">
        <f>VLOOKUP($B2862,'D7 - NDB Impacted SPRF''s'!$E$16:$O$9929,4,FALSE)</f>
        <v>Cancelled</v>
      </c>
      <c r="AC2862" s="380" t="str">
        <f>VLOOKUP($B2862,'D7 - NDB Impacted SPRF''s'!$E$16:$O$9929,3,FALSE)</f>
        <v>OptumHealth</v>
      </c>
      <c r="AD2862" s="380" t="str">
        <f>VLOOKUP($B2862,'D7 - NDB Impacted SPRF''s'!$E$16:$O$9929,5,FALSE)</f>
        <v>Behavioral Solutions</v>
      </c>
      <c r="AE2862" s="380" t="str">
        <f>VLOOKUP($B2862,'D7 - NDB Impacted SPRF''s'!$E$16:$O$9929,7,FALSE)</f>
        <v>Michelle Brennen-Cooke</v>
      </c>
      <c r="AF2862" s="380" t="str">
        <f>VLOOKUP($B2862,'D7 - NDB Impacted SPRF''s'!$E$16:$O$9929,6,FALSE)</f>
        <v>Teresa Melchior</v>
      </c>
      <c r="AG2862" s="282"/>
      <c r="AH2862" s="311" t="e">
        <f>INDEX('D5 - Gatekeeper - Projects'!$A$4:$AF$1010,$AM2862, 17)</f>
        <v>#N/A</v>
      </c>
      <c r="AI2862" s="8"/>
      <c r="AJ2862" s="57"/>
      <c r="AK2862" s="105"/>
      <c r="AM2862" s="6" t="e">
        <f>MATCH(D2862,'D5 - Gatekeeper - Projects'!$C$4:$C$1010,0)</f>
        <v>#N/A</v>
      </c>
      <c r="AN2862" s="6" t="b">
        <f t="shared" si="293"/>
        <v>1</v>
      </c>
      <c r="AO2862" s="6" t="str">
        <f t="shared" si="294"/>
        <v>OK</v>
      </c>
      <c r="AQ2862" s="6" t="e">
        <f>MATCH($D2862,'D4 - Provider Council Unsched'!$C$11:$C$234,0)</f>
        <v>#N/A</v>
      </c>
      <c r="AR2862" s="6" t="b">
        <f t="shared" si="295"/>
        <v>1</v>
      </c>
      <c r="AS2862" s="6" t="str">
        <f t="shared" si="299"/>
        <v>OK</v>
      </c>
      <c r="AU2862" s="202"/>
      <c r="AV2862" s="262"/>
      <c r="AW2862" s="274"/>
    </row>
    <row r="2863" spans="1:49" s="13" customFormat="1" x14ac:dyDescent="0.2">
      <c r="A2863" s="14">
        <v>2839</v>
      </c>
      <c r="B2863" s="14">
        <v>400026001</v>
      </c>
      <c r="C2863" s="8" t="s">
        <v>5197</v>
      </c>
      <c r="D2863" s="4" t="str">
        <f t="shared" si="297"/>
        <v>400026001R1</v>
      </c>
      <c r="E2863" s="309" t="str">
        <f>VLOOKUP($B2863,'D7 - NDB Impacted SPRF''s'!$E$6:$O$9929,2,FALSE)</f>
        <v>NDB Contract Numbers Increase to 5 digits on Facet</v>
      </c>
      <c r="F2863" s="8" t="s">
        <v>2114</v>
      </c>
      <c r="G2863" s="8" t="s">
        <v>4758</v>
      </c>
      <c r="H2863" s="8" t="s">
        <v>2870</v>
      </c>
      <c r="I2863" s="20"/>
      <c r="J2863" s="8"/>
      <c r="K2863" s="182"/>
      <c r="L2863" s="8" t="s">
        <v>4156</v>
      </c>
      <c r="M2863" s="8" t="s">
        <v>2814</v>
      </c>
      <c r="N2863" s="38"/>
      <c r="O2863" s="8"/>
      <c r="P2863" s="4" t="str">
        <f>VLOOKUP($B2863,'D7 - NDB Impacted SPRF''s'!$E$16:$O$9929,9,FALSE)</f>
        <v>N</v>
      </c>
      <c r="Q2863" s="4" t="str">
        <f>VLOOKUP($B2863,'D7 - NDB Impacted SPRF''s'!$E$16:$O$9929,10,FALSE)</f>
        <v>N</v>
      </c>
      <c r="R2863" s="4" t="str">
        <f>VLOOKUP($B2863,'D7 - NDB Impacted SPRF''s'!$E$16:$O$9929,11,FALSE)</f>
        <v>N</v>
      </c>
      <c r="S2863" s="8"/>
      <c r="T2863" s="310"/>
      <c r="U2863" s="310"/>
      <c r="V2863" s="4"/>
      <c r="W2863" s="4"/>
      <c r="X2863" s="4"/>
      <c r="Y2863" s="4"/>
      <c r="Z2863" s="4"/>
      <c r="AA2863" s="4"/>
      <c r="AB2863" s="380" t="str">
        <f>VLOOKUP($B2863,'D7 - NDB Impacted SPRF''s'!$E$16:$O$9929,4,FALSE)</f>
        <v>Cancelled</v>
      </c>
      <c r="AC2863" s="380" t="str">
        <f>VLOOKUP($B2863,'D7 - NDB Impacted SPRF''s'!$E$16:$O$9929,3,FALSE)</f>
        <v>OptumHealth</v>
      </c>
      <c r="AD2863" s="380" t="str">
        <f>VLOOKUP($B2863,'D7 - NDB Impacted SPRF''s'!$E$16:$O$9929,5,FALSE)</f>
        <v>Behavioral Solutions</v>
      </c>
      <c r="AE2863" s="380" t="str">
        <f>VLOOKUP($B2863,'D7 - NDB Impacted SPRF''s'!$E$16:$O$9929,7,FALSE)</f>
        <v>Michelle Brennen-Cooke</v>
      </c>
      <c r="AF2863" s="380" t="str">
        <f>VLOOKUP($B2863,'D7 - NDB Impacted SPRF''s'!$E$16:$O$9929,6,FALSE)</f>
        <v>Teresa Melchior</v>
      </c>
      <c r="AG2863" s="282"/>
      <c r="AH2863" s="311" t="e">
        <f>INDEX('D5 - Gatekeeper - Projects'!$A$4:$AF$1010,$AM2863, 17)</f>
        <v>#N/A</v>
      </c>
      <c r="AI2863" s="8"/>
      <c r="AJ2863" s="57"/>
      <c r="AK2863" s="105"/>
      <c r="AM2863" s="6" t="e">
        <f>MATCH(D2863,'D5 - Gatekeeper - Projects'!$C$4:$C$1010,0)</f>
        <v>#N/A</v>
      </c>
      <c r="AN2863" s="6" t="b">
        <f t="shared" si="293"/>
        <v>1</v>
      </c>
      <c r="AO2863" s="6" t="str">
        <f t="shared" si="294"/>
        <v>OK</v>
      </c>
      <c r="AQ2863" s="6" t="e">
        <f>MATCH($D2863,'D4 - Provider Council Unsched'!$C$11:$C$234,0)</f>
        <v>#N/A</v>
      </c>
      <c r="AR2863" s="6" t="b">
        <f t="shared" si="295"/>
        <v>1</v>
      </c>
      <c r="AS2863" s="6" t="str">
        <f t="shared" si="299"/>
        <v>OK</v>
      </c>
      <c r="AU2863" s="202"/>
      <c r="AV2863" s="262"/>
      <c r="AW2863" s="274"/>
    </row>
    <row r="2864" spans="1:49" s="13" customFormat="1" ht="33.75" x14ac:dyDescent="0.2">
      <c r="A2864" s="14">
        <v>2840</v>
      </c>
      <c r="B2864" s="14">
        <v>400026067</v>
      </c>
      <c r="C2864" s="8" t="s">
        <v>5197</v>
      </c>
      <c r="D2864" s="4" t="str">
        <f t="shared" si="297"/>
        <v>400026067R1</v>
      </c>
      <c r="E2864" s="309" t="str">
        <f>VLOOKUP($B2864,'D7 - NDB Impacted SPRF''s'!$E$6:$O$9929,2,FALSE)</f>
        <v>Member Residential Market for Medica Passport Ch</v>
      </c>
      <c r="F2864" s="8" t="s">
        <v>3884</v>
      </c>
      <c r="G2864" s="8" t="s">
        <v>4758</v>
      </c>
      <c r="H2864" s="8" t="s">
        <v>2870</v>
      </c>
      <c r="I2864" s="20"/>
      <c r="J2864" s="8"/>
      <c r="K2864" s="182"/>
      <c r="L2864" s="8" t="s">
        <v>4156</v>
      </c>
      <c r="M2864" s="8" t="s">
        <v>2814</v>
      </c>
      <c r="N2864" s="38"/>
      <c r="O2864" s="8"/>
      <c r="P2864" s="4" t="str">
        <f>VLOOKUP($B2864,'D7 - NDB Impacted SPRF''s'!$E$16:$O$9929,9,FALSE)</f>
        <v>Y</v>
      </c>
      <c r="Q2864" s="4" t="str">
        <f>VLOOKUP($B2864,'D7 - NDB Impacted SPRF''s'!$E$16:$O$9929,10,FALSE)</f>
        <v>N</v>
      </c>
      <c r="R2864" s="4" t="str">
        <f>VLOOKUP($B2864,'D7 - NDB Impacted SPRF''s'!$E$16:$O$9929,11,FALSE)</f>
        <v>N</v>
      </c>
      <c r="S2864" s="8"/>
      <c r="T2864" s="310"/>
      <c r="U2864" s="310"/>
      <c r="V2864" s="4"/>
      <c r="W2864" s="4"/>
      <c r="X2864" s="4"/>
      <c r="Y2864" s="4"/>
      <c r="Z2864" s="4"/>
      <c r="AA2864" s="4"/>
      <c r="AB2864" s="380" t="str">
        <f>VLOOKUP($B2864,'D7 - NDB Impacted SPRF''s'!$E$16:$O$9929,4,FALSE)</f>
        <v>Cancelled</v>
      </c>
      <c r="AC2864" s="380" t="str">
        <f>VLOOKUP($B2864,'D7 - NDB Impacted SPRF''s'!$E$16:$O$9929,3,FALSE)</f>
        <v>UnitedHealthcare Employer &amp; Individual</v>
      </c>
      <c r="AD2864" s="380" t="str">
        <f>VLOOKUP($B2864,'D7 - NDB Impacted SPRF''s'!$E$16:$O$9929,5,FALSE)</f>
        <v>HCA - Medica Operational Support</v>
      </c>
      <c r="AE2864" s="380" t="str">
        <f>VLOOKUP($B2864,'D7 - NDB Impacted SPRF''s'!$E$16:$O$9929,7,FALSE)</f>
        <v>Diane Schofield</v>
      </c>
      <c r="AF2864" s="380" t="str">
        <f>VLOOKUP($B2864,'D7 - NDB Impacted SPRF''s'!$E$16:$O$9929,6,FALSE)</f>
        <v>SUSAN PARTEN</v>
      </c>
      <c r="AG2864" s="282"/>
      <c r="AH2864" s="311" t="e">
        <f>INDEX('D5 - Gatekeeper - Projects'!$A$4:$AF$1010,$AM2864, 17)</f>
        <v>#N/A</v>
      </c>
      <c r="AI2864" s="8"/>
      <c r="AJ2864" s="57"/>
      <c r="AK2864" s="105"/>
      <c r="AM2864" s="6" t="e">
        <f>MATCH(D2864,'D5 - Gatekeeper - Projects'!$C$4:$C$1010,0)</f>
        <v>#N/A</v>
      </c>
      <c r="AN2864" s="6" t="b">
        <f t="shared" si="293"/>
        <v>1</v>
      </c>
      <c r="AO2864" s="6" t="str">
        <f t="shared" si="294"/>
        <v>OK</v>
      </c>
      <c r="AQ2864" s="6" t="e">
        <f>MATCH($D2864,'D4 - Provider Council Unsched'!$C$11:$C$234,0)</f>
        <v>#N/A</v>
      </c>
      <c r="AR2864" s="6" t="b">
        <f t="shared" si="295"/>
        <v>1</v>
      </c>
      <c r="AS2864" s="6" t="str">
        <f t="shared" si="299"/>
        <v>OK</v>
      </c>
      <c r="AU2864" s="202"/>
      <c r="AV2864" s="262"/>
      <c r="AW2864" s="274"/>
    </row>
    <row r="2865" spans="1:49" s="13" customFormat="1" ht="33.75" x14ac:dyDescent="0.2">
      <c r="A2865" s="14">
        <v>2841</v>
      </c>
      <c r="B2865" s="14">
        <v>400026253</v>
      </c>
      <c r="C2865" s="8" t="s">
        <v>5197</v>
      </c>
      <c r="D2865" s="4" t="str">
        <f t="shared" si="297"/>
        <v>400026253R1</v>
      </c>
      <c r="E2865" s="309" t="str">
        <f>VLOOKUP($B2865,'D7 - NDB Impacted SPRF''s'!$E$6:$O$9929,2,FALSE)</f>
        <v xml:space="preserve">Pre-Auth Table Enhancements </v>
      </c>
      <c r="F2865" s="8" t="s">
        <v>2114</v>
      </c>
      <c r="G2865" s="8" t="s">
        <v>4758</v>
      </c>
      <c r="H2865" s="8" t="s">
        <v>2870</v>
      </c>
      <c r="I2865" s="20"/>
      <c r="J2865" s="8"/>
      <c r="K2865" s="182"/>
      <c r="L2865" s="8" t="s">
        <v>4156</v>
      </c>
      <c r="M2865" s="8" t="s">
        <v>2814</v>
      </c>
      <c r="N2865" s="38"/>
      <c r="O2865" s="8"/>
      <c r="P2865" s="4" t="str">
        <f>VLOOKUP($B2865,'D7 - NDB Impacted SPRF''s'!$E$16:$O$9929,9,FALSE)</f>
        <v>Y</v>
      </c>
      <c r="Q2865" s="4" t="str">
        <f>VLOOKUP($B2865,'D7 - NDB Impacted SPRF''s'!$E$16:$O$9929,10,FALSE)</f>
        <v>N</v>
      </c>
      <c r="R2865" s="4" t="str">
        <f>VLOOKUP($B2865,'D7 - NDB Impacted SPRF''s'!$E$16:$O$9929,11,FALSE)</f>
        <v>N</v>
      </c>
      <c r="S2865" s="8"/>
      <c r="T2865" s="310"/>
      <c r="U2865" s="310"/>
      <c r="V2865" s="4"/>
      <c r="W2865" s="4"/>
      <c r="X2865" s="4"/>
      <c r="Y2865" s="4"/>
      <c r="Z2865" s="4"/>
      <c r="AA2865" s="4"/>
      <c r="AB2865" s="380" t="str">
        <f>VLOOKUP($B2865,'D7 - NDB Impacted SPRF''s'!$E$16:$O$9929,4,FALSE)</f>
        <v>Cancelled</v>
      </c>
      <c r="AC2865" s="380" t="str">
        <f>VLOOKUP($B2865,'D7 - NDB Impacted SPRF''s'!$E$16:$O$9929,3,FALSE)</f>
        <v>UnitedHealthcare Employer &amp; Individual</v>
      </c>
      <c r="AD2865" s="380" t="str">
        <f>VLOOKUP($B2865,'D7 - NDB Impacted SPRF''s'!$E$16:$O$9929,5,FALSE)</f>
        <v>Medical Cost Savings Programs</v>
      </c>
      <c r="AE2865" s="380" t="str">
        <f>VLOOKUP($B2865,'D7 - NDB Impacted SPRF''s'!$E$16:$O$9929,7,FALSE)</f>
        <v xml:space="preserve">Paul McCarthy </v>
      </c>
      <c r="AF2865" s="380" t="str">
        <f>VLOOKUP($B2865,'D7 - NDB Impacted SPRF''s'!$E$16:$O$9929,6,FALSE)</f>
        <v>PENNINGTON CAROL</v>
      </c>
      <c r="AG2865" s="282"/>
      <c r="AH2865" s="311" t="e">
        <f>INDEX('D5 - Gatekeeper - Projects'!$A$4:$AF$1010,$AM2865, 17)</f>
        <v>#N/A</v>
      </c>
      <c r="AI2865" s="8"/>
      <c r="AJ2865" s="57"/>
      <c r="AK2865" s="105"/>
      <c r="AM2865" s="6" t="e">
        <f>MATCH(D2865,'D5 - Gatekeeper - Projects'!$C$4:$C$1010,0)</f>
        <v>#N/A</v>
      </c>
      <c r="AN2865" s="6" t="b">
        <f t="shared" si="293"/>
        <v>1</v>
      </c>
      <c r="AO2865" s="6" t="str">
        <f t="shared" si="294"/>
        <v>OK</v>
      </c>
      <c r="AQ2865" s="6" t="e">
        <f>MATCH($D2865,'D4 - Provider Council Unsched'!$C$11:$C$234,0)</f>
        <v>#N/A</v>
      </c>
      <c r="AR2865" s="6" t="b">
        <f t="shared" si="295"/>
        <v>1</v>
      </c>
      <c r="AS2865" s="6" t="str">
        <f t="shared" si="299"/>
        <v>OK</v>
      </c>
      <c r="AU2865" s="202"/>
      <c r="AV2865" s="262"/>
      <c r="AW2865" s="274"/>
    </row>
    <row r="2866" spans="1:49" s="13" customFormat="1" ht="33.75" x14ac:dyDescent="0.2">
      <c r="A2866" s="14">
        <v>2842</v>
      </c>
      <c r="B2866" s="14">
        <v>400026360</v>
      </c>
      <c r="C2866" s="8" t="s">
        <v>5197</v>
      </c>
      <c r="D2866" s="4" t="str">
        <f t="shared" si="297"/>
        <v>400026360R1</v>
      </c>
      <c r="E2866" s="309" t="str">
        <f>VLOOKUP($B2866,'D7 - NDB Impacted SPRF''s'!$E$6:$O$9929,2,FALSE)</f>
        <v>NOS Implant Contract Reporting</v>
      </c>
      <c r="F2866" s="8" t="s">
        <v>2114</v>
      </c>
      <c r="G2866" s="8" t="s">
        <v>4758</v>
      </c>
      <c r="H2866" s="8" t="s">
        <v>2870</v>
      </c>
      <c r="I2866" s="20"/>
      <c r="J2866" s="8"/>
      <c r="K2866" s="182"/>
      <c r="L2866" s="8" t="s">
        <v>4156</v>
      </c>
      <c r="M2866" s="8" t="s">
        <v>2814</v>
      </c>
      <c r="N2866" s="38" t="s">
        <v>7420</v>
      </c>
      <c r="O2866" s="8"/>
      <c r="P2866" s="4" t="str">
        <f>VLOOKUP($B2866,'D7 - NDB Impacted SPRF''s'!$E$16:$O$9929,9,FALSE)</f>
        <v>N</v>
      </c>
      <c r="Q2866" s="4" t="str">
        <f>VLOOKUP($B2866,'D7 - NDB Impacted SPRF''s'!$E$16:$O$9929,10,FALSE)</f>
        <v>N</v>
      </c>
      <c r="R2866" s="4" t="str">
        <f>VLOOKUP($B2866,'D7 - NDB Impacted SPRF''s'!$E$16:$O$9929,11,FALSE)</f>
        <v>N</v>
      </c>
      <c r="S2866" s="8"/>
      <c r="T2866" s="310"/>
      <c r="U2866" s="310"/>
      <c r="V2866" s="4"/>
      <c r="W2866" s="4"/>
      <c r="X2866" s="4"/>
      <c r="Y2866" s="4"/>
      <c r="Z2866" s="4"/>
      <c r="AA2866" s="4"/>
      <c r="AB2866" s="380" t="str">
        <f>VLOOKUP($B2866,'D7 - NDB Impacted SPRF''s'!$E$16:$O$9929,4,FALSE)</f>
        <v>Cancelled</v>
      </c>
      <c r="AC2866" s="380" t="str">
        <f>VLOOKUP($B2866,'D7 - NDB Impacted SPRF''s'!$E$16:$O$9929,3,FALSE)</f>
        <v>UnitedHealthcare Employer &amp; Individual</v>
      </c>
      <c r="AD2866" s="380" t="str">
        <f>VLOOKUP($B2866,'D7 - NDB Impacted SPRF''s'!$E$16:$O$9929,5,FALSE)</f>
        <v>Medical Cost Savings Programs</v>
      </c>
      <c r="AE2866" s="380" t="str">
        <f>VLOOKUP($B2866,'D7 - NDB Impacted SPRF''s'!$E$16:$O$9929,7,FALSE)</f>
        <v>Julie Giese</v>
      </c>
      <c r="AF2866" s="380" t="str">
        <f>VLOOKUP($B2866,'D7 - NDB Impacted SPRF''s'!$E$16:$O$9929,6,FALSE)</f>
        <v>Brendan Dolan</v>
      </c>
      <c r="AG2866" s="282"/>
      <c r="AH2866" s="311" t="e">
        <f>INDEX('D5 - Gatekeeper - Projects'!$A$4:$AF$1010,$AM2866, 17)</f>
        <v>#N/A</v>
      </c>
      <c r="AI2866" s="8"/>
      <c r="AJ2866" s="57"/>
      <c r="AK2866" s="105"/>
      <c r="AM2866" s="6" t="e">
        <f>MATCH(D2866,'D5 - Gatekeeper - Projects'!$C$4:$C$1010,0)</f>
        <v>#N/A</v>
      </c>
      <c r="AN2866" s="6" t="b">
        <f t="shared" si="293"/>
        <v>1</v>
      </c>
      <c r="AO2866" s="6" t="str">
        <f t="shared" si="294"/>
        <v>OK</v>
      </c>
      <c r="AQ2866" s="6" t="e">
        <f>MATCH($D2866,'D4 - Provider Council Unsched'!$C$11:$C$234,0)</f>
        <v>#N/A</v>
      </c>
      <c r="AR2866" s="6" t="b">
        <f t="shared" si="295"/>
        <v>1</v>
      </c>
      <c r="AS2866" s="6" t="str">
        <f t="shared" si="299"/>
        <v>OK</v>
      </c>
      <c r="AU2866" s="202"/>
      <c r="AV2866" s="262"/>
      <c r="AW2866" s="274"/>
    </row>
    <row r="2867" spans="1:49" s="13" customFormat="1" ht="33.75" x14ac:dyDescent="0.2">
      <c r="A2867" s="14">
        <v>2843</v>
      </c>
      <c r="B2867" s="14">
        <v>400026495</v>
      </c>
      <c r="C2867" s="8" t="s">
        <v>5197</v>
      </c>
      <c r="D2867" s="4" t="str">
        <f t="shared" si="297"/>
        <v>400026495R1</v>
      </c>
      <c r="E2867" s="309" t="str">
        <f>VLOOKUP($B2867,'D7 - NDB Impacted SPRF''s'!$E$6:$O$9929,2,FALSE)</f>
        <v xml:space="preserve">HPHC Fee Schedule Modifier UE Clean-up </v>
      </c>
      <c r="F2867" s="8" t="s">
        <v>8133</v>
      </c>
      <c r="G2867" s="8" t="s">
        <v>4758</v>
      </c>
      <c r="H2867" s="8" t="s">
        <v>2870</v>
      </c>
      <c r="I2867" s="20"/>
      <c r="J2867" s="8"/>
      <c r="K2867" s="182"/>
      <c r="L2867" s="8" t="s">
        <v>4156</v>
      </c>
      <c r="M2867" s="8" t="s">
        <v>2814</v>
      </c>
      <c r="N2867" s="38"/>
      <c r="O2867" s="8"/>
      <c r="P2867" s="4" t="str">
        <f>VLOOKUP($B2867,'D7 - NDB Impacted SPRF''s'!$E$16:$O$9929,9,FALSE)</f>
        <v>N</v>
      </c>
      <c r="Q2867" s="4" t="str">
        <f>VLOOKUP($B2867,'D7 - NDB Impacted SPRF''s'!$E$16:$O$9929,10,FALSE)</f>
        <v>N</v>
      </c>
      <c r="R2867" s="4" t="str">
        <f>VLOOKUP($B2867,'D7 - NDB Impacted SPRF''s'!$E$16:$O$9929,11,FALSE)</f>
        <v>Y</v>
      </c>
      <c r="S2867" s="8"/>
      <c r="T2867" s="310"/>
      <c r="U2867" s="310"/>
      <c r="V2867" s="4"/>
      <c r="W2867" s="4"/>
      <c r="X2867" s="4"/>
      <c r="Y2867" s="4"/>
      <c r="Z2867" s="4"/>
      <c r="AA2867" s="4"/>
      <c r="AB2867" s="380" t="str">
        <f>VLOOKUP($B2867,'D7 - NDB Impacted SPRF''s'!$E$16:$O$9929,4,FALSE)</f>
        <v>Cancelled</v>
      </c>
      <c r="AC2867" s="380" t="str">
        <f>VLOOKUP($B2867,'D7 - NDB Impacted SPRF''s'!$E$16:$O$9929,3,FALSE)</f>
        <v>UnitedHealthcare Employer &amp; Individual</v>
      </c>
      <c r="AD2867" s="380" t="str">
        <f>VLOOKUP($B2867,'D7 - NDB Impacted SPRF''s'!$E$16:$O$9929,5,FALSE)</f>
        <v>HCA - HPHC Operational Support</v>
      </c>
      <c r="AE2867" s="380" t="str">
        <f>VLOOKUP($B2867,'D7 - NDB Impacted SPRF''s'!$E$16:$O$9929,7,FALSE)</f>
        <v xml:space="preserve">Tracy Steward </v>
      </c>
      <c r="AF2867" s="380" t="str">
        <f>VLOOKUP($B2867,'D7 - NDB Impacted SPRF''s'!$E$16:$O$9929,6,FALSE)</f>
        <v>PENNINGTON CAROL</v>
      </c>
      <c r="AG2867" s="282"/>
      <c r="AH2867" s="311" t="e">
        <f>INDEX('D5 - Gatekeeper - Projects'!$A$4:$AF$1010,$AM2867, 17)</f>
        <v>#N/A</v>
      </c>
      <c r="AI2867" s="8"/>
      <c r="AJ2867" s="57"/>
      <c r="AK2867" s="105"/>
      <c r="AM2867" s="6" t="e">
        <f>MATCH(D2867,'D5 - Gatekeeper - Projects'!$C$4:$C$1010,0)</f>
        <v>#N/A</v>
      </c>
      <c r="AN2867" s="6" t="b">
        <f t="shared" si="293"/>
        <v>1</v>
      </c>
      <c r="AO2867" s="6" t="str">
        <f t="shared" si="294"/>
        <v>OK</v>
      </c>
      <c r="AQ2867" s="6" t="e">
        <f>MATCH($D2867,'D4 - Provider Council Unsched'!$C$11:$C$234,0)</f>
        <v>#N/A</v>
      </c>
      <c r="AR2867" s="6" t="b">
        <f t="shared" si="295"/>
        <v>1</v>
      </c>
      <c r="AS2867" s="6" t="str">
        <f t="shared" si="299"/>
        <v>OK</v>
      </c>
      <c r="AU2867" s="202"/>
      <c r="AV2867" s="262"/>
      <c r="AW2867" s="274"/>
    </row>
    <row r="2868" spans="1:49" s="13" customFormat="1" x14ac:dyDescent="0.2">
      <c r="A2868" s="14">
        <v>2844</v>
      </c>
      <c r="B2868" s="14">
        <v>400026498</v>
      </c>
      <c r="C2868" s="8" t="s">
        <v>5197</v>
      </c>
      <c r="D2868" s="4" t="str">
        <f t="shared" si="297"/>
        <v>400026498R1</v>
      </c>
      <c r="E2868" s="309" t="e">
        <f>VLOOKUP($B2868,'D7 - NDB Impacted SPRF''s'!$E$6:$O$9929,2,FALSE)</f>
        <v>#N/A</v>
      </c>
      <c r="F2868" s="8" t="s">
        <v>2114</v>
      </c>
      <c r="G2868" s="8" t="s">
        <v>4758</v>
      </c>
      <c r="H2868" s="8" t="s">
        <v>2870</v>
      </c>
      <c r="I2868" s="20"/>
      <c r="J2868" s="8"/>
      <c r="K2868" s="182"/>
      <c r="L2868" s="8" t="s">
        <v>4156</v>
      </c>
      <c r="M2868" s="8" t="s">
        <v>2814</v>
      </c>
      <c r="N2868" s="38"/>
      <c r="O2868" s="8"/>
      <c r="P2868" s="4" t="e">
        <f>VLOOKUP($B2868,'D7 - NDB Impacted SPRF''s'!$E$16:$O$9929,9,FALSE)</f>
        <v>#N/A</v>
      </c>
      <c r="Q2868" s="4" t="e">
        <f>VLOOKUP($B2868,'D7 - NDB Impacted SPRF''s'!$E$16:$O$9929,10,FALSE)</f>
        <v>#N/A</v>
      </c>
      <c r="R2868" s="4" t="e">
        <f>VLOOKUP($B2868,'D7 - NDB Impacted SPRF''s'!$E$16:$O$9929,11,FALSE)</f>
        <v>#N/A</v>
      </c>
      <c r="S2868" s="8"/>
      <c r="T2868" s="310"/>
      <c r="U2868" s="310"/>
      <c r="V2868" s="4"/>
      <c r="W2868" s="4"/>
      <c r="X2868" s="4"/>
      <c r="Y2868" s="4"/>
      <c r="Z2868" s="4"/>
      <c r="AA2868" s="4"/>
      <c r="AB2868" s="380" t="e">
        <f>VLOOKUP($B2868,'D7 - NDB Impacted SPRF''s'!$E$16:$O$9929,4,FALSE)</f>
        <v>#N/A</v>
      </c>
      <c r="AC2868" s="380" t="e">
        <f>VLOOKUP($B2868,'D7 - NDB Impacted SPRF''s'!$E$16:$O$9929,3,FALSE)</f>
        <v>#N/A</v>
      </c>
      <c r="AD2868" s="380" t="e">
        <f>VLOOKUP($B2868,'D7 - NDB Impacted SPRF''s'!$E$16:$O$9929,5,FALSE)</f>
        <v>#N/A</v>
      </c>
      <c r="AE2868" s="380" t="e">
        <f>VLOOKUP($B2868,'D7 - NDB Impacted SPRF''s'!$E$16:$O$9929,7,FALSE)</f>
        <v>#N/A</v>
      </c>
      <c r="AF2868" s="380" t="e">
        <f>VLOOKUP($B2868,'D7 - NDB Impacted SPRF''s'!$E$16:$O$9929,6,FALSE)</f>
        <v>#N/A</v>
      </c>
      <c r="AG2868" s="282"/>
      <c r="AH2868" s="311" t="e">
        <f>INDEX('D5 - Gatekeeper - Projects'!$A$4:$AF$1010,$AM2868, 17)</f>
        <v>#N/A</v>
      </c>
      <c r="AI2868" s="8"/>
      <c r="AJ2868" s="57"/>
      <c r="AK2868" s="105"/>
      <c r="AM2868" s="6" t="e">
        <f>MATCH(D2868,'D5 - Gatekeeper - Projects'!$C$4:$C$1010,0)</f>
        <v>#N/A</v>
      </c>
      <c r="AN2868" s="6" t="b">
        <f t="shared" si="293"/>
        <v>1</v>
      </c>
      <c r="AO2868" s="6" t="str">
        <f t="shared" si="294"/>
        <v>OK</v>
      </c>
      <c r="AQ2868" s="6" t="e">
        <f>MATCH($D2868,'D4 - Provider Council Unsched'!$C$11:$C$234,0)</f>
        <v>#N/A</v>
      </c>
      <c r="AR2868" s="6" t="b">
        <f t="shared" si="295"/>
        <v>1</v>
      </c>
      <c r="AS2868" s="6" t="str">
        <f t="shared" si="299"/>
        <v>OK</v>
      </c>
      <c r="AU2868" s="202"/>
      <c r="AV2868" s="262"/>
      <c r="AW2868" s="274"/>
    </row>
    <row r="2869" spans="1:49" s="13" customFormat="1" ht="33.75" x14ac:dyDescent="0.2">
      <c r="A2869" s="14">
        <v>2845</v>
      </c>
      <c r="B2869" s="14">
        <v>400026540</v>
      </c>
      <c r="C2869" s="8" t="s">
        <v>5197</v>
      </c>
      <c r="D2869" s="4" t="str">
        <f t="shared" si="297"/>
        <v>400026540R1</v>
      </c>
      <c r="E2869" s="309" t="str">
        <f>VLOOKUP($B2869,'D7 - NDB Impacted SPRF''s'!$E$6:$O$9929,2,FALSE)</f>
        <v>AmeriChoice Markets to UHCOnline for Notifications</v>
      </c>
      <c r="F2869" s="8" t="s">
        <v>2114</v>
      </c>
      <c r="G2869" s="8" t="s">
        <v>4758</v>
      </c>
      <c r="H2869" s="8" t="s">
        <v>2870</v>
      </c>
      <c r="I2869" s="20">
        <v>1.07</v>
      </c>
      <c r="J2869" s="8" t="s">
        <v>4862</v>
      </c>
      <c r="K2869" s="182"/>
      <c r="L2869" s="8" t="s">
        <v>4156</v>
      </c>
      <c r="M2869" s="8" t="s">
        <v>6688</v>
      </c>
      <c r="N2869" s="38" t="s">
        <v>2842</v>
      </c>
      <c r="O2869" s="8"/>
      <c r="P2869" s="4" t="str">
        <f>VLOOKUP($B2869,'D7 - NDB Impacted SPRF''s'!$E$16:$O$9929,9,FALSE)</f>
        <v>N</v>
      </c>
      <c r="Q2869" s="4" t="str">
        <f>VLOOKUP($B2869,'D7 - NDB Impacted SPRF''s'!$E$16:$O$9929,10,FALSE)</f>
        <v>N</v>
      </c>
      <c r="R2869" s="4" t="str">
        <f>VLOOKUP($B2869,'D7 - NDB Impacted SPRF''s'!$E$16:$O$9929,11,FALSE)</f>
        <v>N</v>
      </c>
      <c r="S2869" s="8"/>
      <c r="T2869" s="310"/>
      <c r="U2869" s="310"/>
      <c r="V2869" s="4"/>
      <c r="W2869" s="4"/>
      <c r="X2869" s="4"/>
      <c r="Y2869" s="4"/>
      <c r="Z2869" s="4"/>
      <c r="AA2869" s="4"/>
      <c r="AB2869" s="380" t="str">
        <f>VLOOKUP($B2869,'D7 - NDB Impacted SPRF''s'!$E$16:$O$9929,4,FALSE)</f>
        <v>Cancelled</v>
      </c>
      <c r="AC2869" s="380" t="str">
        <f>VLOOKUP($B2869,'D7 - NDB Impacted SPRF''s'!$E$16:$O$9929,3,FALSE)</f>
        <v>UnitedHealthcare Medicare &amp; Retirement</v>
      </c>
      <c r="AD2869" s="380" t="str">
        <f>VLOOKUP($B2869,'D7 - NDB Impacted SPRF''s'!$E$16:$O$9929,5,FALSE)</f>
        <v>Enterprise Clinical</v>
      </c>
      <c r="AE2869" s="380" t="str">
        <f>VLOOKUP($B2869,'D7 - NDB Impacted SPRF''s'!$E$16:$O$9929,7,FALSE)</f>
        <v>Cindi Middaugh</v>
      </c>
      <c r="AF2869" s="380" t="str">
        <f>VLOOKUP($B2869,'D7 - NDB Impacted SPRF''s'!$E$16:$O$9929,6,FALSE)</f>
        <v>CHRISTINA MOSHER</v>
      </c>
      <c r="AG2869" s="282"/>
      <c r="AH2869" s="311" t="e">
        <f>INDEX('D5 - Gatekeeper - Projects'!$A$4:$AF$1010,$AM2869, 17)</f>
        <v>#N/A</v>
      </c>
      <c r="AI2869" s="8"/>
      <c r="AJ2869" s="57"/>
      <c r="AK2869" s="105"/>
      <c r="AM2869" s="6" t="e">
        <f>MATCH(D2869,'D5 - Gatekeeper - Projects'!$C$4:$C$1010,0)</f>
        <v>#N/A</v>
      </c>
      <c r="AN2869" s="6" t="b">
        <f t="shared" si="293"/>
        <v>1</v>
      </c>
      <c r="AO2869" s="6" t="str">
        <f t="shared" si="294"/>
        <v>OK</v>
      </c>
      <c r="AQ2869" s="6" t="e">
        <f>MATCH($D2869,'D4 - Provider Council Unsched'!$C$11:$C$234,0)</f>
        <v>#N/A</v>
      </c>
      <c r="AR2869" s="6" t="b">
        <f t="shared" si="295"/>
        <v>1</v>
      </c>
      <c r="AS2869" s="6" t="str">
        <f t="shared" si="299"/>
        <v>OK</v>
      </c>
      <c r="AU2869" s="202"/>
      <c r="AV2869" s="262"/>
      <c r="AW2869" s="274"/>
    </row>
    <row r="2870" spans="1:49" s="13" customFormat="1" ht="33.75" x14ac:dyDescent="0.2">
      <c r="A2870" s="14">
        <v>2846</v>
      </c>
      <c r="B2870" s="14">
        <v>400026594</v>
      </c>
      <c r="C2870" s="8" t="s">
        <v>5197</v>
      </c>
      <c r="D2870" s="4" t="str">
        <f t="shared" si="297"/>
        <v>400026594R1</v>
      </c>
      <c r="E2870" s="309" t="str">
        <f>VLOOKUP($B2870,'D7 - NDB Impacted SPRF''s'!$E$6:$O$9929,2,FALSE)</f>
        <v>Early Detection PPI Report -  TOPS feed issues</v>
      </c>
      <c r="F2870" s="8" t="s">
        <v>2114</v>
      </c>
      <c r="G2870" s="8" t="s">
        <v>4758</v>
      </c>
      <c r="H2870" s="8" t="s">
        <v>2870</v>
      </c>
      <c r="I2870" s="20"/>
      <c r="J2870" s="8"/>
      <c r="K2870" s="182"/>
      <c r="L2870" s="8" t="s">
        <v>4156</v>
      </c>
      <c r="M2870" s="8" t="s">
        <v>2814</v>
      </c>
      <c r="N2870" s="38"/>
      <c r="O2870" s="8"/>
      <c r="P2870" s="4" t="str">
        <f>VLOOKUP($B2870,'D7 - NDB Impacted SPRF''s'!$E$16:$O$9929,9,FALSE)</f>
        <v>Y</v>
      </c>
      <c r="Q2870" s="4" t="str">
        <f>VLOOKUP($B2870,'D7 - NDB Impacted SPRF''s'!$E$16:$O$9929,10,FALSE)</f>
        <v>N</v>
      </c>
      <c r="R2870" s="4" t="str">
        <f>VLOOKUP($B2870,'D7 - NDB Impacted SPRF''s'!$E$16:$O$9929,11,FALSE)</f>
        <v>N</v>
      </c>
      <c r="S2870" s="8"/>
      <c r="T2870" s="310"/>
      <c r="U2870" s="310"/>
      <c r="V2870" s="4"/>
      <c r="W2870" s="4"/>
      <c r="X2870" s="4"/>
      <c r="Y2870" s="4"/>
      <c r="Z2870" s="4"/>
      <c r="AA2870" s="4"/>
      <c r="AB2870" s="380" t="str">
        <f>VLOOKUP($B2870,'D7 - NDB Impacted SPRF''s'!$E$6:$O$9929,4,FALSE)</f>
        <v>Cancelled</v>
      </c>
      <c r="AC2870" s="380" t="str">
        <f>VLOOKUP($B2870,'D7 - NDB Impacted SPRF''s'!$E$16:$O$9929,3,FALSE)</f>
        <v>UnitedHealthcare Employer &amp; Individual</v>
      </c>
      <c r="AD2870" s="380" t="str">
        <f>VLOOKUP($B2870,'D7 - NDB Impacted SPRF''s'!$E$16:$O$9929,5,FALSE)</f>
        <v>Medical Cost Savings Programs</v>
      </c>
      <c r="AE2870" s="380" t="str">
        <f>VLOOKUP($B2870,'D7 - NDB Impacted SPRF''s'!$E$16:$O$9929,7,FALSE)</f>
        <v>Jill Foucre</v>
      </c>
      <c r="AF2870" s="380" t="str">
        <f>VLOOKUP($B2870,'D7 - NDB Impacted SPRF''s'!$E$16:$O$9929,6,FALSE)</f>
        <v>PENNINGTON CAROL</v>
      </c>
      <c r="AG2870" s="282"/>
      <c r="AH2870" s="311" t="e">
        <f>INDEX('D5 - Gatekeeper - Projects'!$A$4:$AF$1010,$AM2870, 17)</f>
        <v>#N/A</v>
      </c>
      <c r="AI2870" s="8"/>
      <c r="AJ2870" s="57"/>
      <c r="AK2870" s="105"/>
      <c r="AM2870" s="6" t="e">
        <f>MATCH(D2870,'D5 - Gatekeeper - Projects'!$C$4:$C$1010,0)</f>
        <v>#N/A</v>
      </c>
      <c r="AN2870" s="6" t="b">
        <f t="shared" si="293"/>
        <v>1</v>
      </c>
      <c r="AO2870" s="6" t="str">
        <f t="shared" si="294"/>
        <v>OK</v>
      </c>
      <c r="AQ2870" s="6" t="e">
        <f>MATCH($D2870,'D4 - Provider Council Unsched'!$C$11:$C$234,0)</f>
        <v>#N/A</v>
      </c>
      <c r="AR2870" s="6" t="b">
        <f t="shared" si="295"/>
        <v>1</v>
      </c>
      <c r="AS2870" s="6" t="str">
        <f t="shared" si="299"/>
        <v>OK</v>
      </c>
      <c r="AU2870" s="202"/>
      <c r="AV2870" s="262"/>
      <c r="AW2870" s="274"/>
    </row>
    <row r="2871" spans="1:49" s="13" customFormat="1" x14ac:dyDescent="0.2">
      <c r="A2871" s="14">
        <v>2847</v>
      </c>
      <c r="B2871" s="14">
        <v>400026629</v>
      </c>
      <c r="C2871" s="8" t="s">
        <v>5197</v>
      </c>
      <c r="D2871" s="4" t="str">
        <f t="shared" si="297"/>
        <v>400026629R1</v>
      </c>
      <c r="E2871" s="309" t="e">
        <f>VLOOKUP($B2871,'D7 - NDB Impacted SPRF''s'!$E$6:$O$9929,2,FALSE)</f>
        <v>#N/A</v>
      </c>
      <c r="F2871" s="8" t="s">
        <v>2114</v>
      </c>
      <c r="G2871" s="8" t="s">
        <v>4758</v>
      </c>
      <c r="H2871" s="8" t="s">
        <v>2870</v>
      </c>
      <c r="I2871" s="20"/>
      <c r="J2871" s="8"/>
      <c r="K2871" s="182"/>
      <c r="L2871" s="8" t="s">
        <v>4156</v>
      </c>
      <c r="M2871" s="8" t="s">
        <v>2814</v>
      </c>
      <c r="N2871" s="38" t="s">
        <v>7797</v>
      </c>
      <c r="O2871" s="8"/>
      <c r="P2871" s="4" t="e">
        <f>VLOOKUP($B2871,'D7 - NDB Impacted SPRF''s'!$E$16:$O$9929,9,FALSE)</f>
        <v>#N/A</v>
      </c>
      <c r="Q2871" s="4" t="e">
        <f>VLOOKUP($B2871,'D7 - NDB Impacted SPRF''s'!$E$16:$O$9929,10,FALSE)</f>
        <v>#N/A</v>
      </c>
      <c r="R2871" s="4" t="e">
        <f>VLOOKUP($B2871,'D7 - NDB Impacted SPRF''s'!$E$16:$O$9929,11,FALSE)</f>
        <v>#N/A</v>
      </c>
      <c r="S2871" s="8"/>
      <c r="T2871" s="310"/>
      <c r="U2871" s="310"/>
      <c r="V2871" s="4"/>
      <c r="W2871" s="4"/>
      <c r="X2871" s="4"/>
      <c r="Y2871" s="4"/>
      <c r="Z2871" s="4"/>
      <c r="AA2871" s="4"/>
      <c r="AB2871" s="380" t="e">
        <f>VLOOKUP($B2871,'D7 - NDB Impacted SPRF''s'!$E$16:$O$9929,4,FALSE)</f>
        <v>#N/A</v>
      </c>
      <c r="AC2871" s="380" t="e">
        <f>VLOOKUP($B2871,'D7 - NDB Impacted SPRF''s'!$E$16:$O$9929,3,FALSE)</f>
        <v>#N/A</v>
      </c>
      <c r="AD2871" s="380" t="e">
        <f>VLOOKUP($B2871,'D7 - NDB Impacted SPRF''s'!$E$16:$O$9929,5,FALSE)</f>
        <v>#N/A</v>
      </c>
      <c r="AE2871" s="380" t="e">
        <f>VLOOKUP($B2871,'D7 - NDB Impacted SPRF''s'!$E$16:$O$9929,7,FALSE)</f>
        <v>#N/A</v>
      </c>
      <c r="AF2871" s="380" t="e">
        <f>VLOOKUP($B2871,'D7 - NDB Impacted SPRF''s'!$E$16:$O$9929,6,FALSE)</f>
        <v>#N/A</v>
      </c>
      <c r="AG2871" s="282"/>
      <c r="AH2871" s="311" t="e">
        <f>INDEX('D5 - Gatekeeper - Projects'!$A$4:$AF$1010,$AM2871, 17)</f>
        <v>#N/A</v>
      </c>
      <c r="AI2871" s="8"/>
      <c r="AJ2871" s="57"/>
      <c r="AK2871" s="105"/>
      <c r="AM2871" s="6" t="e">
        <f>MATCH(D2871,'D5 - Gatekeeper - Projects'!$C$4:$C$1010,0)</f>
        <v>#N/A</v>
      </c>
      <c r="AN2871" s="6" t="b">
        <f t="shared" si="293"/>
        <v>1</v>
      </c>
      <c r="AO2871" s="6" t="str">
        <f t="shared" si="294"/>
        <v>OK</v>
      </c>
      <c r="AQ2871" s="6" t="e">
        <f>MATCH($D2871,'D4 - Provider Council Unsched'!$C$11:$C$234,0)</f>
        <v>#N/A</v>
      </c>
      <c r="AR2871" s="6" t="b">
        <f t="shared" si="295"/>
        <v>1</v>
      </c>
      <c r="AS2871" s="6" t="str">
        <f t="shared" si="299"/>
        <v>OK</v>
      </c>
      <c r="AU2871" s="202"/>
      <c r="AV2871" s="262"/>
      <c r="AW2871" s="274"/>
    </row>
    <row r="2872" spans="1:49" s="13" customFormat="1" ht="33.75" x14ac:dyDescent="0.2">
      <c r="A2872" s="14">
        <v>2848</v>
      </c>
      <c r="B2872" s="14">
        <v>400026635</v>
      </c>
      <c r="C2872" s="8" t="s">
        <v>5197</v>
      </c>
      <c r="D2872" s="4" t="str">
        <f t="shared" si="297"/>
        <v>400026635R1</v>
      </c>
      <c r="E2872" s="309" t="str">
        <f>VLOOKUP($B2872,'D7 - NDB Impacted SPRF''s'!$E$6:$O$9929,2,FALSE)</f>
        <v>NHP Clinical Migration to the Clinical Toolbox</v>
      </c>
      <c r="F2872" s="8" t="s">
        <v>2114</v>
      </c>
      <c r="G2872" s="8" t="s">
        <v>4758</v>
      </c>
      <c r="H2872" s="8" t="s">
        <v>2870</v>
      </c>
      <c r="I2872" s="20"/>
      <c r="J2872" s="8"/>
      <c r="K2872" s="182"/>
      <c r="L2872" s="8" t="s">
        <v>4156</v>
      </c>
      <c r="M2872" s="8" t="s">
        <v>2814</v>
      </c>
      <c r="N2872" s="38"/>
      <c r="O2872" s="8"/>
      <c r="P2872" s="4" t="str">
        <f>VLOOKUP($B2872,'D7 - NDB Impacted SPRF''s'!$E$16:$O$9929,9,FALSE)</f>
        <v>N</v>
      </c>
      <c r="Q2872" s="4" t="str">
        <f>VLOOKUP($B2872,'D7 - NDB Impacted SPRF''s'!$E$16:$O$9929,10,FALSE)</f>
        <v>N</v>
      </c>
      <c r="R2872" s="4" t="str">
        <f>VLOOKUP($B2872,'D7 - NDB Impacted SPRF''s'!$E$16:$O$9929,11,FALSE)</f>
        <v>N</v>
      </c>
      <c r="S2872" s="8"/>
      <c r="T2872" s="310"/>
      <c r="U2872" s="310"/>
      <c r="V2872" s="4"/>
      <c r="W2872" s="4"/>
      <c r="X2872" s="4"/>
      <c r="Y2872" s="4"/>
      <c r="Z2872" s="4"/>
      <c r="AA2872" s="4"/>
      <c r="AB2872" s="380" t="str">
        <f>VLOOKUP($B2872,'D7 - NDB Impacted SPRF''s'!$E$16:$O$9929,4,FALSE)</f>
        <v>Cancelled</v>
      </c>
      <c r="AC2872" s="380" t="str">
        <f>VLOOKUP($B2872,'D7 - NDB Impacted SPRF''s'!$E$16:$O$9929,3,FALSE)</f>
        <v>UnitedHealthcare Medicare &amp; Retirement</v>
      </c>
      <c r="AD2872" s="380" t="str">
        <f>VLOOKUP($B2872,'D7 - NDB Impacted SPRF''s'!$E$16:$O$9929,5,FALSE)</f>
        <v>Enterprise Clinical</v>
      </c>
      <c r="AE2872" s="380" t="str">
        <f>VLOOKUP($B2872,'D7 - NDB Impacted SPRF''s'!$E$16:$O$9929,7,FALSE)</f>
        <v>Cynthia Middaugh</v>
      </c>
      <c r="AF2872" s="380" t="str">
        <f>VLOOKUP($B2872,'D7 - NDB Impacted SPRF''s'!$E$16:$O$9929,6,FALSE)</f>
        <v>Daniel Clerkin</v>
      </c>
      <c r="AG2872" s="282"/>
      <c r="AH2872" s="311" t="e">
        <f>INDEX('D5 - Gatekeeper - Projects'!$A$4:$AF$1010,$AM2872, 17)</f>
        <v>#N/A</v>
      </c>
      <c r="AI2872" s="8"/>
      <c r="AJ2872" s="57"/>
      <c r="AK2872" s="105"/>
      <c r="AM2872" s="6" t="e">
        <f>MATCH(D2872,'D5 - Gatekeeper - Projects'!$C$4:$C$1010,0)</f>
        <v>#N/A</v>
      </c>
      <c r="AN2872" s="6" t="b">
        <f t="shared" si="293"/>
        <v>1</v>
      </c>
      <c r="AO2872" s="6" t="str">
        <f t="shared" si="294"/>
        <v>OK</v>
      </c>
      <c r="AQ2872" s="6" t="e">
        <f>MATCH($D2872,'D4 - Provider Council Unsched'!$C$11:$C$234,0)</f>
        <v>#N/A</v>
      </c>
      <c r="AR2872" s="6" t="b">
        <f t="shared" si="295"/>
        <v>1</v>
      </c>
      <c r="AS2872" s="6" t="str">
        <f t="shared" si="299"/>
        <v>OK</v>
      </c>
      <c r="AU2872" s="202"/>
      <c r="AV2872" s="262"/>
      <c r="AW2872" s="274"/>
    </row>
    <row r="2873" spans="1:49" s="13" customFormat="1" ht="33.75" x14ac:dyDescent="0.2">
      <c r="A2873" s="14">
        <v>2849</v>
      </c>
      <c r="B2873" s="14">
        <v>400026637</v>
      </c>
      <c r="C2873" s="8" t="s">
        <v>5197</v>
      </c>
      <c r="D2873" s="4" t="str">
        <f t="shared" si="297"/>
        <v>400026637R1</v>
      </c>
      <c r="E2873" s="309" t="str">
        <f>VLOOKUP($B2873,'D7 - NDB Impacted SPRF''s'!$E$6:$O$9929,2,FALSE)</f>
        <v>MAHP Cllincal Migration to the Clinical Toolbox</v>
      </c>
      <c r="F2873" s="8" t="s">
        <v>5752</v>
      </c>
      <c r="G2873" s="8" t="s">
        <v>4758</v>
      </c>
      <c r="H2873" s="8" t="s">
        <v>2870</v>
      </c>
      <c r="I2873" s="20"/>
      <c r="J2873" s="8"/>
      <c r="K2873" s="182"/>
      <c r="L2873" s="8" t="s">
        <v>4156</v>
      </c>
      <c r="M2873" s="8" t="s">
        <v>2814</v>
      </c>
      <c r="N2873" s="38"/>
      <c r="O2873" s="8"/>
      <c r="P2873" s="4" t="str">
        <f>VLOOKUP($B2873,'D7 - NDB Impacted SPRF''s'!$E$16:$O$9929,9,FALSE)</f>
        <v>Y</v>
      </c>
      <c r="Q2873" s="4" t="str">
        <f>VLOOKUP($B2873,'D7 - NDB Impacted SPRF''s'!$E$16:$O$9929,10,FALSE)</f>
        <v>N</v>
      </c>
      <c r="R2873" s="4" t="str">
        <f>VLOOKUP($B2873,'D7 - NDB Impacted SPRF''s'!$E$16:$O$9929,11,FALSE)</f>
        <v>N</v>
      </c>
      <c r="S2873" s="8"/>
      <c r="T2873" s="310"/>
      <c r="U2873" s="310"/>
      <c r="V2873" s="4"/>
      <c r="W2873" s="4"/>
      <c r="X2873" s="4"/>
      <c r="Y2873" s="4"/>
      <c r="Z2873" s="4"/>
      <c r="AA2873" s="4"/>
      <c r="AB2873" s="380" t="str">
        <f>VLOOKUP($B2873,'D7 - NDB Impacted SPRF''s'!$E$16:$O$9929,4,FALSE)</f>
        <v>Cancelled</v>
      </c>
      <c r="AC2873" s="380" t="str">
        <f>VLOOKUP($B2873,'D7 - NDB Impacted SPRF''s'!$E$16:$O$9929,3,FALSE)</f>
        <v>UnitedHealthcare Medicare &amp; Retirement</v>
      </c>
      <c r="AD2873" s="380" t="str">
        <f>VLOOKUP($B2873,'D7 - NDB Impacted SPRF''s'!$E$16:$O$9929,5,FALSE)</f>
        <v>Enterprise Clinical</v>
      </c>
      <c r="AE2873" s="380" t="str">
        <f>VLOOKUP($B2873,'D7 - NDB Impacted SPRF''s'!$E$16:$O$9929,7,FALSE)</f>
        <v>Cynthia Middaugh</v>
      </c>
      <c r="AF2873" s="380" t="str">
        <f>VLOOKUP($B2873,'D7 - NDB Impacted SPRF''s'!$E$16:$O$9929,6,FALSE)</f>
        <v>Daniel Clerkin</v>
      </c>
      <c r="AG2873" s="282"/>
      <c r="AH2873" s="311" t="e">
        <f>INDEX('D5 - Gatekeeper - Projects'!$A$4:$AF$1010,$AM2873, 17)</f>
        <v>#N/A</v>
      </c>
      <c r="AI2873" s="8"/>
      <c r="AJ2873" s="57"/>
      <c r="AK2873" s="105"/>
      <c r="AM2873" s="6" t="e">
        <f>MATCH(D2873,'D5 - Gatekeeper - Projects'!$C$4:$C$1010,0)</f>
        <v>#N/A</v>
      </c>
      <c r="AN2873" s="6" t="b">
        <f t="shared" si="293"/>
        <v>1</v>
      </c>
      <c r="AO2873" s="6" t="str">
        <f t="shared" si="294"/>
        <v>OK</v>
      </c>
      <c r="AQ2873" s="6" t="e">
        <f>MATCH($D2873,'D4 - Provider Council Unsched'!$C$11:$C$234,0)</f>
        <v>#N/A</v>
      </c>
      <c r="AR2873" s="6" t="b">
        <f t="shared" si="295"/>
        <v>1</v>
      </c>
      <c r="AS2873" s="6" t="str">
        <f t="shared" si="299"/>
        <v>OK</v>
      </c>
      <c r="AU2873" s="202"/>
      <c r="AV2873" s="262"/>
      <c r="AW2873" s="274"/>
    </row>
    <row r="2874" spans="1:49" s="13" customFormat="1" ht="33.75" x14ac:dyDescent="0.2">
      <c r="A2874" s="14">
        <v>2850</v>
      </c>
      <c r="B2874" s="14">
        <v>400026735</v>
      </c>
      <c r="C2874" s="8" t="s">
        <v>5197</v>
      </c>
      <c r="D2874" s="4" t="str">
        <f t="shared" si="297"/>
        <v>400026735R1</v>
      </c>
      <c r="E2874" s="309" t="str">
        <f>VLOOKUP($B2874,'D7 - NDB Impacted SPRF''s'!$E$6:$O$9929,2,FALSE)</f>
        <v>Valley Preferred Provider Directory</v>
      </c>
      <c r="F2874" s="8" t="s">
        <v>2114</v>
      </c>
      <c r="G2874" s="8" t="s">
        <v>4758</v>
      </c>
      <c r="H2874" s="8" t="s">
        <v>2870</v>
      </c>
      <c r="I2874" s="20"/>
      <c r="J2874" s="8"/>
      <c r="K2874" s="182"/>
      <c r="L2874" s="8" t="s">
        <v>4156</v>
      </c>
      <c r="M2874" s="8" t="s">
        <v>2814</v>
      </c>
      <c r="N2874" s="38"/>
      <c r="O2874" s="8"/>
      <c r="P2874" s="4" t="str">
        <f>VLOOKUP($B2874,'D7 - NDB Impacted SPRF''s'!$E$16:$O$9929,9,FALSE)</f>
        <v>Y</v>
      </c>
      <c r="Q2874" s="4" t="str">
        <f>VLOOKUP($B2874,'D7 - NDB Impacted SPRF''s'!$E$16:$O$9929,10,FALSE)</f>
        <v>N</v>
      </c>
      <c r="R2874" s="4" t="str">
        <f>VLOOKUP($B2874,'D7 - NDB Impacted SPRF''s'!$E$16:$O$9929,11,FALSE)</f>
        <v>N</v>
      </c>
      <c r="S2874" s="8"/>
      <c r="T2874" s="310"/>
      <c r="U2874" s="310"/>
      <c r="V2874" s="4"/>
      <c r="W2874" s="4"/>
      <c r="X2874" s="4"/>
      <c r="Y2874" s="4"/>
      <c r="Z2874" s="4"/>
      <c r="AA2874" s="4"/>
      <c r="AB2874" s="380" t="str">
        <f>VLOOKUP($B2874,'D7 - NDB Impacted SPRF''s'!$E$16:$O$9929,4,FALSE)</f>
        <v>Cancelled</v>
      </c>
      <c r="AC2874" s="380" t="str">
        <f>VLOOKUP($B2874,'D7 - NDB Impacted SPRF''s'!$E$16:$O$9929,3,FALSE)</f>
        <v>UnitedHealthcare Employer &amp; Individual</v>
      </c>
      <c r="AD2874" s="380" t="str">
        <f>VLOOKUP($B2874,'D7 - NDB Impacted SPRF''s'!$E$16:$O$9929,5,FALSE)</f>
        <v>Membership Growth / Revenue Programs</v>
      </c>
      <c r="AE2874" s="380" t="str">
        <f>VLOOKUP($B2874,'D7 - NDB Impacted SPRF''s'!$E$16:$O$9929,7,FALSE)</f>
        <v>Craig Anderson</v>
      </c>
      <c r="AF2874" s="380" t="str">
        <f>VLOOKUP($B2874,'D7 - NDB Impacted SPRF''s'!$E$16:$O$9929,6,FALSE)</f>
        <v>Frederick Wendte</v>
      </c>
      <c r="AG2874" s="282"/>
      <c r="AH2874" s="311" t="e">
        <f>INDEX('D5 - Gatekeeper - Projects'!$A$4:$AF$1010,$AM2874, 17)</f>
        <v>#N/A</v>
      </c>
      <c r="AI2874" s="8"/>
      <c r="AJ2874" s="57"/>
      <c r="AK2874" s="105"/>
      <c r="AM2874" s="6" t="e">
        <f>MATCH(D2874,'D5 - Gatekeeper - Projects'!$C$4:$C$1010,0)</f>
        <v>#N/A</v>
      </c>
      <c r="AN2874" s="6" t="b">
        <f t="shared" si="293"/>
        <v>1</v>
      </c>
      <c r="AO2874" s="6" t="str">
        <f t="shared" si="294"/>
        <v>OK</v>
      </c>
      <c r="AQ2874" s="6" t="e">
        <f>MATCH($D2874,'D4 - Provider Council Unsched'!$C$11:$C$234,0)</f>
        <v>#N/A</v>
      </c>
      <c r="AR2874" s="6" t="b">
        <f t="shared" si="295"/>
        <v>1</v>
      </c>
      <c r="AS2874" s="6" t="str">
        <f t="shared" si="299"/>
        <v>OK</v>
      </c>
      <c r="AU2874" s="202"/>
      <c r="AV2874" s="262"/>
      <c r="AW2874" s="274"/>
    </row>
    <row r="2875" spans="1:49" s="13" customFormat="1" x14ac:dyDescent="0.2">
      <c r="A2875" s="14">
        <v>2851</v>
      </c>
      <c r="B2875" s="14">
        <v>400026759</v>
      </c>
      <c r="C2875" s="8" t="s">
        <v>5197</v>
      </c>
      <c r="D2875" s="4" t="str">
        <f t="shared" si="297"/>
        <v>400026759R1</v>
      </c>
      <c r="E2875" s="309" t="e">
        <f>VLOOKUP($B2875,'D7 - NDB Impacted SPRF''s'!$E$6:$O$9929,2,FALSE)</f>
        <v>#N/A</v>
      </c>
      <c r="F2875" s="8" t="s">
        <v>2114</v>
      </c>
      <c r="G2875" s="8" t="s">
        <v>4758</v>
      </c>
      <c r="H2875" s="8" t="s">
        <v>2870</v>
      </c>
      <c r="I2875" s="20"/>
      <c r="J2875" s="8"/>
      <c r="K2875" s="182"/>
      <c r="L2875" s="8" t="s">
        <v>4156</v>
      </c>
      <c r="M2875" s="8" t="s">
        <v>2814</v>
      </c>
      <c r="N2875" s="38"/>
      <c r="O2875" s="8"/>
      <c r="P2875" s="4" t="e">
        <f>VLOOKUP($B2875,'D7 - NDB Impacted SPRF''s'!$E$16:$O$9929,9,FALSE)</f>
        <v>#N/A</v>
      </c>
      <c r="Q2875" s="4" t="e">
        <f>VLOOKUP($B2875,'D7 - NDB Impacted SPRF''s'!$E$16:$O$9929,10,FALSE)</f>
        <v>#N/A</v>
      </c>
      <c r="R2875" s="4" t="e">
        <f>VLOOKUP($B2875,'D7 - NDB Impacted SPRF''s'!$E$16:$O$9929,11,FALSE)</f>
        <v>#N/A</v>
      </c>
      <c r="S2875" s="8"/>
      <c r="T2875" s="310"/>
      <c r="U2875" s="310"/>
      <c r="V2875" s="4"/>
      <c r="W2875" s="4"/>
      <c r="X2875" s="4"/>
      <c r="Y2875" s="4"/>
      <c r="Z2875" s="4"/>
      <c r="AA2875" s="4"/>
      <c r="AB2875" s="380" t="e">
        <f>VLOOKUP($B2875,'D7 - NDB Impacted SPRF''s'!$E$16:$O$9929,4,FALSE)</f>
        <v>#N/A</v>
      </c>
      <c r="AC2875" s="380" t="e">
        <f>VLOOKUP($B2875,'D7 - NDB Impacted SPRF''s'!$E$16:$O$9929,3,FALSE)</f>
        <v>#N/A</v>
      </c>
      <c r="AD2875" s="380" t="e">
        <f>VLOOKUP($B2875,'D7 - NDB Impacted SPRF''s'!$E$16:$O$9929,5,FALSE)</f>
        <v>#N/A</v>
      </c>
      <c r="AE2875" s="380" t="e">
        <f>VLOOKUP($B2875,'D7 - NDB Impacted SPRF''s'!$E$16:$O$9929,7,FALSE)</f>
        <v>#N/A</v>
      </c>
      <c r="AF2875" s="380" t="e">
        <f>VLOOKUP($B2875,'D7 - NDB Impacted SPRF''s'!$E$16:$O$9929,6,FALSE)</f>
        <v>#N/A</v>
      </c>
      <c r="AG2875" s="282"/>
      <c r="AH2875" s="311" t="e">
        <f>INDEX('D5 - Gatekeeper - Projects'!$A$4:$AF$1010,$AM2875, 17)</f>
        <v>#N/A</v>
      </c>
      <c r="AI2875" s="8"/>
      <c r="AJ2875" s="57"/>
      <c r="AK2875" s="105"/>
      <c r="AM2875" s="6" t="e">
        <f>MATCH(D2875,'D5 - Gatekeeper - Projects'!$C$4:$C$1010,0)</f>
        <v>#N/A</v>
      </c>
      <c r="AN2875" s="6" t="b">
        <f t="shared" si="293"/>
        <v>1</v>
      </c>
      <c r="AO2875" s="6" t="str">
        <f t="shared" si="294"/>
        <v>OK</v>
      </c>
      <c r="AQ2875" s="6" t="e">
        <f>MATCH($D2875,'D4 - Provider Council Unsched'!$C$11:$C$234,0)</f>
        <v>#N/A</v>
      </c>
      <c r="AR2875" s="6" t="b">
        <f t="shared" si="295"/>
        <v>1</v>
      </c>
      <c r="AS2875" s="6" t="str">
        <f t="shared" si="299"/>
        <v>OK</v>
      </c>
      <c r="AU2875" s="202"/>
      <c r="AV2875" s="262"/>
      <c r="AW2875" s="274"/>
    </row>
    <row r="2876" spans="1:49" s="13" customFormat="1" ht="33.75" x14ac:dyDescent="0.2">
      <c r="A2876" s="14">
        <v>2852</v>
      </c>
      <c r="B2876" s="14">
        <v>400027111</v>
      </c>
      <c r="C2876" s="8" t="s">
        <v>5197</v>
      </c>
      <c r="D2876" s="4" t="str">
        <f t="shared" si="297"/>
        <v>400027111R1</v>
      </c>
      <c r="E2876" s="309" t="str">
        <f>VLOOKUP($B2876,'D7 - NDB Impacted SPRF''s'!$E$6:$O$9929,2,FALSE)</f>
        <v>Provider Mailing Preference Reporting</v>
      </c>
      <c r="F2876" s="8" t="s">
        <v>2114</v>
      </c>
      <c r="G2876" s="8" t="s">
        <v>4758</v>
      </c>
      <c r="H2876" s="8" t="s">
        <v>2870</v>
      </c>
      <c r="I2876" s="20"/>
      <c r="J2876" s="8"/>
      <c r="K2876" s="182"/>
      <c r="L2876" s="8" t="s">
        <v>4156</v>
      </c>
      <c r="M2876" s="8" t="s">
        <v>2814</v>
      </c>
      <c r="N2876" s="38"/>
      <c r="O2876" s="8"/>
      <c r="P2876" s="4" t="str">
        <f>VLOOKUP($B2876,'D7 - NDB Impacted SPRF''s'!$E$16:$O$9929,9,FALSE)</f>
        <v>N</v>
      </c>
      <c r="Q2876" s="4" t="str">
        <f>VLOOKUP($B2876,'D7 - NDB Impacted SPRF''s'!$E$16:$O$9929,10,FALSE)</f>
        <v>N</v>
      </c>
      <c r="R2876" s="4" t="str">
        <f>VLOOKUP($B2876,'D7 - NDB Impacted SPRF''s'!$E$16:$O$9929,11,FALSE)</f>
        <v>N</v>
      </c>
      <c r="S2876" s="8"/>
      <c r="T2876" s="310"/>
      <c r="U2876" s="310"/>
      <c r="V2876" s="4"/>
      <c r="W2876" s="4"/>
      <c r="X2876" s="4"/>
      <c r="Y2876" s="4"/>
      <c r="Z2876" s="4"/>
      <c r="AA2876" s="4"/>
      <c r="AB2876" s="380" t="str">
        <f>VLOOKUP($B2876,'D7 - NDB Impacted SPRF''s'!$E$16:$O$9929,4,FALSE)</f>
        <v>Cancelled</v>
      </c>
      <c r="AC2876" s="380" t="str">
        <f>VLOOKUP($B2876,'D7 - NDB Impacted SPRF''s'!$E$16:$O$9929,3,FALSE)</f>
        <v>UnitedHealthcare Employer &amp; Individual</v>
      </c>
      <c r="AD2876" s="380" t="str">
        <f>VLOOKUP($B2876,'D7 - NDB Impacted SPRF''s'!$E$16:$O$9929,5,FALSE)</f>
        <v>Membership Growth / Revenue Programs</v>
      </c>
      <c r="AE2876" s="380" t="str">
        <f>VLOOKUP($B2876,'D7 - NDB Impacted SPRF''s'!$E$16:$O$9929,7,FALSE)</f>
        <v>Steve Auerbach</v>
      </c>
      <c r="AF2876" s="380" t="str">
        <f>VLOOKUP($B2876,'D7 - NDB Impacted SPRF''s'!$E$16:$O$9929,6,FALSE)</f>
        <v>Doug Trott</v>
      </c>
      <c r="AG2876" s="282"/>
      <c r="AH2876" s="311" t="e">
        <f>INDEX('D5 - Gatekeeper - Projects'!$A$4:$AF$1010,$AM2876, 17)</f>
        <v>#N/A</v>
      </c>
      <c r="AI2876" s="8"/>
      <c r="AJ2876" s="57"/>
      <c r="AK2876" s="105"/>
      <c r="AM2876" s="6" t="e">
        <f>MATCH(D2876,'D5 - Gatekeeper - Projects'!$C$4:$C$1010,0)</f>
        <v>#N/A</v>
      </c>
      <c r="AN2876" s="6" t="b">
        <f t="shared" si="293"/>
        <v>1</v>
      </c>
      <c r="AO2876" s="6" t="str">
        <f t="shared" si="294"/>
        <v>OK</v>
      </c>
      <c r="AQ2876" s="6" t="e">
        <f>MATCH($D2876,'D4 - Provider Council Unsched'!$C$11:$C$234,0)</f>
        <v>#N/A</v>
      </c>
      <c r="AR2876" s="6" t="b">
        <f t="shared" si="295"/>
        <v>1</v>
      </c>
      <c r="AS2876" s="6" t="str">
        <f t="shared" si="299"/>
        <v>OK</v>
      </c>
      <c r="AU2876" s="202"/>
      <c r="AV2876" s="262"/>
      <c r="AW2876" s="274"/>
    </row>
    <row r="2877" spans="1:49" s="13" customFormat="1" ht="33.75" x14ac:dyDescent="0.2">
      <c r="A2877" s="14">
        <v>2853</v>
      </c>
      <c r="B2877" s="14">
        <v>400027287</v>
      </c>
      <c r="C2877" s="8" t="s">
        <v>5197</v>
      </c>
      <c r="D2877" s="4" t="str">
        <f t="shared" si="297"/>
        <v>400027287R1</v>
      </c>
      <c r="E2877" s="309" t="str">
        <f>VLOOKUP($B2877,'D7 - NDB Impacted SPRF''s'!$E$6:$O$9929,2,FALSE)</f>
        <v>Fix to NDB extract for NSD</v>
      </c>
      <c r="F2877" s="8" t="s">
        <v>2114</v>
      </c>
      <c r="G2877" s="8" t="s">
        <v>4758</v>
      </c>
      <c r="H2877" s="8" t="s">
        <v>2870</v>
      </c>
      <c r="I2877" s="20"/>
      <c r="J2877" s="8"/>
      <c r="K2877" s="182"/>
      <c r="L2877" s="8" t="s">
        <v>4156</v>
      </c>
      <c r="M2877" s="8" t="s">
        <v>2814</v>
      </c>
      <c r="N2877" s="38"/>
      <c r="O2877" s="8"/>
      <c r="P2877" s="4" t="str">
        <f>VLOOKUP($B2877,'D7 - NDB Impacted SPRF''s'!$E$16:$O$9929,9,FALSE)</f>
        <v>N</v>
      </c>
      <c r="Q2877" s="4" t="str">
        <f>VLOOKUP($B2877,'D7 - NDB Impacted SPRF''s'!$E$16:$O$9929,10,FALSE)</f>
        <v>N</v>
      </c>
      <c r="R2877" s="4" t="str">
        <f>VLOOKUP($B2877,'D7 - NDB Impacted SPRF''s'!$E$16:$O$9929,11,FALSE)</f>
        <v>N</v>
      </c>
      <c r="S2877" s="8"/>
      <c r="T2877" s="310"/>
      <c r="U2877" s="310"/>
      <c r="V2877" s="4"/>
      <c r="W2877" s="4"/>
      <c r="X2877" s="4"/>
      <c r="Y2877" s="4"/>
      <c r="Z2877" s="4"/>
      <c r="AA2877" s="4"/>
      <c r="AB2877" s="380" t="str">
        <f>VLOOKUP($B2877,'D7 - NDB Impacted SPRF''s'!$E$6:$O$9929,4,FALSE)</f>
        <v>Cancelled</v>
      </c>
      <c r="AC2877" s="380" t="str">
        <f>VLOOKUP($B2877,'D7 - NDB Impacted SPRF''s'!$E$16:$O$9929,3,FALSE)</f>
        <v>UnitedHealthcare Employer &amp; Individual</v>
      </c>
      <c r="AD2877" s="380" t="str">
        <f>VLOOKUP($B2877,'D7 - NDB Impacted SPRF''s'!$E$16:$O$9929,5,FALSE)</f>
        <v>Process Improvement</v>
      </c>
      <c r="AE2877" s="380" t="str">
        <f>VLOOKUP($B2877,'D7 - NDB Impacted SPRF''s'!$E$16:$O$9929,7,FALSE)</f>
        <v>Sarah Dorman</v>
      </c>
      <c r="AF2877" s="380" t="str">
        <f>VLOOKUP($B2877,'D7 - NDB Impacted SPRF''s'!$E$16:$O$9929,6,FALSE)</f>
        <v>Dorman Sarah</v>
      </c>
      <c r="AG2877" s="282"/>
      <c r="AH2877" s="311" t="e">
        <f>INDEX('D5 - Gatekeeper - Projects'!$A$4:$AF$1010,$AM2877, 17)</f>
        <v>#N/A</v>
      </c>
      <c r="AI2877" s="8"/>
      <c r="AJ2877" s="57"/>
      <c r="AK2877" s="57"/>
      <c r="AM2877" s="6" t="e">
        <f>MATCH(D2877,'D5 - Gatekeeper - Projects'!$C$4:$C$1010,0)</f>
        <v>#N/A</v>
      </c>
      <c r="AN2877" s="6" t="b">
        <f t="shared" si="293"/>
        <v>1</v>
      </c>
      <c r="AO2877" s="6" t="str">
        <f t="shared" si="294"/>
        <v>OK</v>
      </c>
      <c r="AQ2877" s="6" t="e">
        <f>MATCH($D2877,'D4 - Provider Council Unsched'!$C$11:$C$234,0)</f>
        <v>#N/A</v>
      </c>
      <c r="AR2877" s="6" t="b">
        <f t="shared" si="295"/>
        <v>1</v>
      </c>
      <c r="AS2877" s="6" t="str">
        <f t="shared" si="299"/>
        <v>OK</v>
      </c>
      <c r="AU2877" s="202"/>
      <c r="AV2877" s="262"/>
      <c r="AW2877" s="274"/>
    </row>
    <row r="2878" spans="1:49" s="13" customFormat="1" ht="33.75" x14ac:dyDescent="0.2">
      <c r="A2878" s="14">
        <v>2854</v>
      </c>
      <c r="B2878" s="14">
        <v>400027325</v>
      </c>
      <c r="C2878" s="8" t="s">
        <v>5197</v>
      </c>
      <c r="D2878" s="4" t="str">
        <f t="shared" si="297"/>
        <v>400027325R1</v>
      </c>
      <c r="E2878" s="309" t="str">
        <f>VLOOKUP($B2878,'D7 - NDB Impacted SPRF''s'!$E$6:$O$9929,2,FALSE)</f>
        <v>NPI Phase 2 COSMOS Enhancements</v>
      </c>
      <c r="F2878" s="8" t="s">
        <v>1059</v>
      </c>
      <c r="G2878" s="8" t="s">
        <v>4758</v>
      </c>
      <c r="H2878" s="8" t="s">
        <v>2870</v>
      </c>
      <c r="I2878" s="20"/>
      <c r="J2878" s="8"/>
      <c r="K2878" s="182"/>
      <c r="L2878" s="8" t="s">
        <v>4156</v>
      </c>
      <c r="M2878" s="8" t="s">
        <v>2814</v>
      </c>
      <c r="N2878" s="38"/>
      <c r="O2878" s="8"/>
      <c r="P2878" s="4" t="str">
        <f>VLOOKUP($B2878,'D7 - NDB Impacted SPRF''s'!$E$16:$O$9929,9,FALSE)</f>
        <v>N</v>
      </c>
      <c r="Q2878" s="4" t="str">
        <f>VLOOKUP($B2878,'D7 - NDB Impacted SPRF''s'!$E$16:$O$9929,10,FALSE)</f>
        <v>N</v>
      </c>
      <c r="R2878" s="4" t="str">
        <f>VLOOKUP($B2878,'D7 - NDB Impacted SPRF''s'!$E$16:$O$9929,11,FALSE)</f>
        <v>N</v>
      </c>
      <c r="S2878" s="8"/>
      <c r="T2878" s="310"/>
      <c r="U2878" s="310"/>
      <c r="V2878" s="4"/>
      <c r="W2878" s="4"/>
      <c r="X2878" s="4"/>
      <c r="Y2878" s="4"/>
      <c r="Z2878" s="4"/>
      <c r="AA2878" s="4"/>
      <c r="AB2878" s="380" t="str">
        <f>VLOOKUP($B2878,'D7 - NDB Impacted SPRF''s'!$E$16:$O$9929,4,FALSE)</f>
        <v>Cancelled</v>
      </c>
      <c r="AC2878" s="380" t="str">
        <f>VLOOKUP($B2878,'D7 - NDB Impacted SPRF''s'!$E$16:$O$9929,3,FALSE)</f>
        <v>UnitedHealthcare Community &amp; State</v>
      </c>
      <c r="AD2878" s="380" t="str">
        <f>VLOOKUP($B2878,'D7 - NDB Impacted SPRF''s'!$E$16:$O$9929,5,FALSE)</f>
        <v>AmeriChoice</v>
      </c>
      <c r="AE2878" s="380" t="str">
        <f>VLOOKUP($B2878,'D7 - NDB Impacted SPRF''s'!$E$16:$O$9929,7,FALSE)</f>
        <v>Paul Balthazor</v>
      </c>
      <c r="AF2878" s="380" t="str">
        <f>VLOOKUP($B2878,'D7 - NDB Impacted SPRF''s'!$E$16:$O$9929,6,FALSE)</f>
        <v>Ronald Wilson</v>
      </c>
      <c r="AG2878" s="282"/>
      <c r="AH2878" s="311" t="e">
        <f>INDEX('D5 - Gatekeeper - Projects'!$A$4:$AF$1010,$AM2878, 17)</f>
        <v>#N/A</v>
      </c>
      <c r="AI2878" s="8"/>
      <c r="AJ2878" s="57"/>
      <c r="AK2878" s="105"/>
      <c r="AM2878" s="6" t="e">
        <f>MATCH(D2878,'D5 - Gatekeeper - Projects'!$C$4:$C$1010,0)</f>
        <v>#N/A</v>
      </c>
      <c r="AN2878" s="6" t="b">
        <f t="shared" si="293"/>
        <v>1</v>
      </c>
      <c r="AO2878" s="6" t="str">
        <f t="shared" si="294"/>
        <v>OK</v>
      </c>
      <c r="AQ2878" s="6" t="e">
        <f>MATCH($D2878,'D4 - Provider Council Unsched'!$C$11:$C$234,0)</f>
        <v>#N/A</v>
      </c>
      <c r="AR2878" s="6" t="b">
        <f t="shared" si="295"/>
        <v>1</v>
      </c>
      <c r="AS2878" s="6" t="str">
        <f t="shared" si="299"/>
        <v>OK</v>
      </c>
      <c r="AU2878" s="202"/>
      <c r="AV2878" s="262"/>
      <c r="AW2878" s="274"/>
    </row>
    <row r="2879" spans="1:49" s="13" customFormat="1" ht="22.5" x14ac:dyDescent="0.2">
      <c r="A2879" s="14">
        <v>2855</v>
      </c>
      <c r="B2879" s="14">
        <v>400027333</v>
      </c>
      <c r="C2879" s="8" t="s">
        <v>5197</v>
      </c>
      <c r="D2879" s="4" t="str">
        <f t="shared" si="297"/>
        <v>400027333R1</v>
      </c>
      <c r="E2879" s="309" t="str">
        <f>VLOOKUP($B2879,'D7 - NDB Impacted SPRF''s'!$E$6:$O$9929,2,FALSE)</f>
        <v>Regulatory Reporting System - Phase 1</v>
      </c>
      <c r="F2879" s="8" t="s">
        <v>3235</v>
      </c>
      <c r="G2879" s="8" t="s">
        <v>4758</v>
      </c>
      <c r="H2879" s="8" t="s">
        <v>2870</v>
      </c>
      <c r="I2879" s="20"/>
      <c r="J2879" s="8"/>
      <c r="K2879" s="182"/>
      <c r="L2879" s="8" t="s">
        <v>4156</v>
      </c>
      <c r="M2879" s="8" t="s">
        <v>2814</v>
      </c>
      <c r="N2879" s="38"/>
      <c r="O2879" s="8"/>
      <c r="P2879" s="4" t="str">
        <f>VLOOKUP($B2879,'D7 - NDB Impacted SPRF''s'!$E$16:$O$9929,9,FALSE)</f>
        <v>Y</v>
      </c>
      <c r="Q2879" s="4" t="str">
        <f>VLOOKUP($B2879,'D7 - NDB Impacted SPRF''s'!$E$16:$O$9929,10,FALSE)</f>
        <v>N</v>
      </c>
      <c r="R2879" s="4" t="str">
        <f>VLOOKUP($B2879,'D7 - NDB Impacted SPRF''s'!$E$16:$O$9929,11,FALSE)</f>
        <v>N</v>
      </c>
      <c r="S2879" s="8"/>
      <c r="T2879" s="310"/>
      <c r="U2879" s="310"/>
      <c r="V2879" s="4"/>
      <c r="W2879" s="4"/>
      <c r="X2879" s="4"/>
      <c r="Y2879" s="4"/>
      <c r="Z2879" s="4"/>
      <c r="AA2879" s="4"/>
      <c r="AB2879" s="380" t="str">
        <f>VLOOKUP($B2879,'D7 - NDB Impacted SPRF''s'!$E$16:$O$9929,4,FALSE)</f>
        <v>Cancelled</v>
      </c>
      <c r="AC2879" s="380" t="str">
        <f>VLOOKUP($B2879,'D7 - NDB Impacted SPRF''s'!$E$16:$O$9929,3,FALSE)</f>
        <v>UHG Corporate</v>
      </c>
      <c r="AD2879" s="380" t="str">
        <f>VLOOKUP($B2879,'D7 - NDB Impacted SPRF''s'!$E$16:$O$9929,5,FALSE)</f>
        <v>Corporate</v>
      </c>
      <c r="AE2879" s="380" t="str">
        <f>VLOOKUP($B2879,'D7 - NDB Impacted SPRF''s'!$E$16:$O$9929,7,FALSE)</f>
        <v>Karen Erickson</v>
      </c>
      <c r="AF2879" s="380" t="str">
        <f>VLOOKUP($B2879,'D7 - NDB Impacted SPRF''s'!$E$16:$O$9929,6,FALSE)</f>
        <v>ROGER AUCLAIR</v>
      </c>
      <c r="AG2879" s="282"/>
      <c r="AH2879" s="311" t="e">
        <f>INDEX('D5 - Gatekeeper - Projects'!$A$4:$AF$1010,$AM2879, 17)</f>
        <v>#N/A</v>
      </c>
      <c r="AI2879" s="8"/>
      <c r="AJ2879" s="57"/>
      <c r="AK2879" s="105"/>
      <c r="AM2879" s="6" t="e">
        <f>MATCH(D2879,'D5 - Gatekeeper - Projects'!$C$4:$C$1010,0)</f>
        <v>#N/A</v>
      </c>
      <c r="AN2879" s="6" t="b">
        <f t="shared" si="293"/>
        <v>1</v>
      </c>
      <c r="AO2879" s="6" t="str">
        <f t="shared" si="294"/>
        <v>OK</v>
      </c>
      <c r="AQ2879" s="6" t="e">
        <f>MATCH($D2879,'D4 - Provider Council Unsched'!$C$11:$C$234,0)</f>
        <v>#N/A</v>
      </c>
      <c r="AR2879" s="6" t="b">
        <f t="shared" si="295"/>
        <v>1</v>
      </c>
      <c r="AS2879" s="6" t="str">
        <f t="shared" si="299"/>
        <v>OK</v>
      </c>
      <c r="AU2879" s="202"/>
      <c r="AV2879" s="262"/>
      <c r="AW2879" s="274"/>
    </row>
    <row r="2880" spans="1:49" s="13" customFormat="1" ht="33.75" x14ac:dyDescent="0.2">
      <c r="A2880" s="14">
        <v>2856</v>
      </c>
      <c r="B2880" s="14">
        <v>400027392</v>
      </c>
      <c r="C2880" s="8" t="s">
        <v>5197</v>
      </c>
      <c r="D2880" s="4" t="str">
        <f t="shared" si="297"/>
        <v>400027392R1</v>
      </c>
      <c r="E2880" s="309" t="str">
        <f>VLOOKUP($B2880,'D7 - NDB Impacted SPRF''s'!$E$6:$O$9929,2,FALSE)</f>
        <v xml:space="preserve">Texas Service Delivery Area (SDA) </v>
      </c>
      <c r="F2880" s="8" t="s">
        <v>2114</v>
      </c>
      <c r="G2880" s="8" t="s">
        <v>4758</v>
      </c>
      <c r="H2880" s="8" t="s">
        <v>2870</v>
      </c>
      <c r="I2880" s="20"/>
      <c r="J2880" s="8"/>
      <c r="K2880" s="182"/>
      <c r="L2880" s="8" t="s">
        <v>4156</v>
      </c>
      <c r="M2880" s="8" t="s">
        <v>2814</v>
      </c>
      <c r="N2880" s="38"/>
      <c r="O2880" s="8"/>
      <c r="P2880" s="4" t="str">
        <f>VLOOKUP($B2880,'D7 - NDB Impacted SPRF''s'!$E$16:$O$9929,9,FALSE)</f>
        <v>N</v>
      </c>
      <c r="Q2880" s="4" t="str">
        <f>VLOOKUP($B2880,'D7 - NDB Impacted SPRF''s'!$E$16:$O$9929,10,FALSE)</f>
        <v>N</v>
      </c>
      <c r="R2880" s="4" t="str">
        <f>VLOOKUP($B2880,'D7 - NDB Impacted SPRF''s'!$E$16:$O$9929,11,FALSE)</f>
        <v>N</v>
      </c>
      <c r="S2880" s="8"/>
      <c r="T2880" s="310"/>
      <c r="U2880" s="310"/>
      <c r="V2880" s="4"/>
      <c r="W2880" s="4"/>
      <c r="X2880" s="4"/>
      <c r="Y2880" s="4"/>
      <c r="Z2880" s="4"/>
      <c r="AA2880" s="4"/>
      <c r="AB2880" s="380" t="str">
        <f>VLOOKUP($B2880,'D7 - NDB Impacted SPRF''s'!$E$16:$O$9929,4,FALSE)</f>
        <v>Cancelled</v>
      </c>
      <c r="AC2880" s="380" t="str">
        <f>VLOOKUP($B2880,'D7 - NDB Impacted SPRF''s'!$E$16:$O$9929,3,FALSE)</f>
        <v>UnitedHealthcare Medicare &amp; Retirement</v>
      </c>
      <c r="AD2880" s="380" t="str">
        <f>VLOOKUP($B2880,'D7 - NDB Impacted SPRF''s'!$E$16:$O$9929,5,FALSE)</f>
        <v>Health Services</v>
      </c>
      <c r="AE2880" s="380" t="str">
        <f>VLOOKUP($B2880,'D7 - NDB Impacted SPRF''s'!$E$16:$O$9929,7,FALSE)</f>
        <v>Bill Guptail</v>
      </c>
      <c r="AF2880" s="380" t="str">
        <f>VLOOKUP($B2880,'D7 - NDB Impacted SPRF''s'!$E$16:$O$9929,6,FALSE)</f>
        <v>CHRISTINE REIN</v>
      </c>
      <c r="AG2880" s="282"/>
      <c r="AH2880" s="311" t="e">
        <f>INDEX('D5 - Gatekeeper - Projects'!$A$4:$AF$1010,$AM2880, 17)</f>
        <v>#N/A</v>
      </c>
      <c r="AI2880" s="8"/>
      <c r="AJ2880" s="57"/>
      <c r="AK2880" s="105"/>
      <c r="AM2880" s="6" t="e">
        <f>MATCH(D2880,'D5 - Gatekeeper - Projects'!$C$4:$C$1010,0)</f>
        <v>#N/A</v>
      </c>
      <c r="AN2880" s="6" t="b">
        <f t="shared" si="293"/>
        <v>1</v>
      </c>
      <c r="AO2880" s="6" t="str">
        <f t="shared" si="294"/>
        <v>OK</v>
      </c>
      <c r="AQ2880" s="6" t="e">
        <f>MATCH($D2880,'D4 - Provider Council Unsched'!$C$11:$C$234,0)</f>
        <v>#N/A</v>
      </c>
      <c r="AR2880" s="6" t="b">
        <f t="shared" si="295"/>
        <v>1</v>
      </c>
      <c r="AS2880" s="6" t="str">
        <f t="shared" si="299"/>
        <v>OK</v>
      </c>
      <c r="AU2880" s="202"/>
      <c r="AV2880" s="262"/>
      <c r="AW2880" s="274"/>
    </row>
    <row r="2881" spans="1:49" s="13" customFormat="1" ht="33.75" x14ac:dyDescent="0.2">
      <c r="A2881" s="14">
        <v>2857</v>
      </c>
      <c r="B2881" s="14">
        <v>400027450</v>
      </c>
      <c r="C2881" s="8" t="s">
        <v>5197</v>
      </c>
      <c r="D2881" s="4" t="str">
        <f t="shared" si="297"/>
        <v>400027450R1</v>
      </c>
      <c r="E2881" s="309" t="str">
        <f>VLOOKUP($B2881,'D7 - NDB Impacted SPRF''s'!$E$6:$O$9929,2,FALSE)</f>
        <v xml:space="preserve">Empire Plan-Update Cover Letter for Provider List </v>
      </c>
      <c r="F2881" s="8" t="s">
        <v>2114</v>
      </c>
      <c r="G2881" s="8" t="s">
        <v>4758</v>
      </c>
      <c r="H2881" s="8" t="s">
        <v>2870</v>
      </c>
      <c r="I2881" s="20"/>
      <c r="J2881" s="8"/>
      <c r="K2881" s="182"/>
      <c r="L2881" s="8" t="s">
        <v>4156</v>
      </c>
      <c r="M2881" s="8" t="s">
        <v>2814</v>
      </c>
      <c r="N2881" s="38"/>
      <c r="O2881" s="8"/>
      <c r="P2881" s="4" t="str">
        <f>VLOOKUP($B2881,'D7 - NDB Impacted SPRF''s'!$E$16:$O$9929,9,FALSE)</f>
        <v>N</v>
      </c>
      <c r="Q2881" s="4" t="str">
        <f>VLOOKUP($B2881,'D7 - NDB Impacted SPRF''s'!$E$16:$O$9929,10,FALSE)</f>
        <v>N</v>
      </c>
      <c r="R2881" s="4" t="str">
        <f>VLOOKUP($B2881,'D7 - NDB Impacted SPRF''s'!$E$16:$O$9929,11,FALSE)</f>
        <v>N</v>
      </c>
      <c r="S2881" s="8"/>
      <c r="T2881" s="310"/>
      <c r="U2881" s="310"/>
      <c r="V2881" s="4"/>
      <c r="W2881" s="4"/>
      <c r="X2881" s="4"/>
      <c r="Y2881" s="4"/>
      <c r="Z2881" s="4"/>
      <c r="AA2881" s="4"/>
      <c r="AB2881" s="380" t="str">
        <f>VLOOKUP($B2881,'D7 - NDB Impacted SPRF''s'!$E$16:$O$9929,4,FALSE)</f>
        <v>Cancelled</v>
      </c>
      <c r="AC2881" s="380" t="str">
        <f>VLOOKUP($B2881,'D7 - NDB Impacted SPRF''s'!$E$16:$O$9929,3,FALSE)</f>
        <v>UnitedHealthcare Employer &amp; Individual</v>
      </c>
      <c r="AD2881" s="380" t="str">
        <f>VLOOKUP($B2881,'D7 - NDB Impacted SPRF''s'!$E$16:$O$9929,5,FALSE)</f>
        <v>Membership Growth / Revenue Programs</v>
      </c>
      <c r="AE2881" s="380" t="str">
        <f>VLOOKUP($B2881,'D7 - NDB Impacted SPRF''s'!$E$16:$O$9929,7,FALSE)</f>
        <v>Donna Pooley</v>
      </c>
      <c r="AF2881" s="380" t="str">
        <f>VLOOKUP($B2881,'D7 - NDB Impacted SPRF''s'!$E$16:$O$9929,6,FALSE)</f>
        <v>Melinda Dukat</v>
      </c>
      <c r="AG2881" s="282"/>
      <c r="AH2881" s="311" t="e">
        <f>INDEX('D5 - Gatekeeper - Projects'!$A$4:$AF$1010,$AM2881, 17)</f>
        <v>#N/A</v>
      </c>
      <c r="AI2881" s="8"/>
      <c r="AJ2881" s="57"/>
      <c r="AK2881" s="105"/>
      <c r="AM2881" s="6" t="e">
        <f>MATCH(D2881,'D5 - Gatekeeper - Projects'!$C$4:$C$1010,0)</f>
        <v>#N/A</v>
      </c>
      <c r="AN2881" s="6" t="b">
        <f t="shared" si="293"/>
        <v>1</v>
      </c>
      <c r="AO2881" s="6" t="str">
        <f t="shared" si="294"/>
        <v>OK</v>
      </c>
      <c r="AQ2881" s="6" t="e">
        <f>MATCH($D2881,'D4 - Provider Council Unsched'!$C$11:$C$234,0)</f>
        <v>#N/A</v>
      </c>
      <c r="AR2881" s="6" t="b">
        <f t="shared" si="295"/>
        <v>1</v>
      </c>
      <c r="AS2881" s="6" t="str">
        <f t="shared" si="299"/>
        <v>OK</v>
      </c>
      <c r="AU2881" s="202"/>
      <c r="AV2881" s="262"/>
      <c r="AW2881" s="274"/>
    </row>
    <row r="2882" spans="1:49" s="13" customFormat="1" ht="33.75" x14ac:dyDescent="0.2">
      <c r="A2882" s="14">
        <v>2858</v>
      </c>
      <c r="B2882" s="14">
        <v>400027470</v>
      </c>
      <c r="C2882" s="8" t="s">
        <v>5197</v>
      </c>
      <c r="D2882" s="4" t="str">
        <f t="shared" si="297"/>
        <v>400027470R1</v>
      </c>
      <c r="E2882" s="309" t="str">
        <f>VLOOKUP($B2882,'D7 - NDB Impacted SPRF''s'!$E$6:$O$9929,2,FALSE)</f>
        <v>976 - Member Attestation &amp; Unproven Reimbursement</v>
      </c>
      <c r="F2882" s="8" t="s">
        <v>2114</v>
      </c>
      <c r="G2882" s="8" t="s">
        <v>4758</v>
      </c>
      <c r="H2882" s="8" t="s">
        <v>2870</v>
      </c>
      <c r="I2882" s="20"/>
      <c r="J2882" s="8"/>
      <c r="K2882" s="182"/>
      <c r="L2882" s="8" t="s">
        <v>4156</v>
      </c>
      <c r="M2882" s="8" t="s">
        <v>2814</v>
      </c>
      <c r="N2882" s="38"/>
      <c r="O2882" s="8"/>
      <c r="P2882" s="4" t="str">
        <f>VLOOKUP($B2882,'D7 - NDB Impacted SPRF''s'!$E$16:$O$9929,9,FALSE)</f>
        <v>Y</v>
      </c>
      <c r="Q2882" s="4" t="str">
        <f>VLOOKUP($B2882,'D7 - NDB Impacted SPRF''s'!$E$16:$O$9929,10,FALSE)</f>
        <v>N</v>
      </c>
      <c r="R2882" s="4" t="str">
        <f>VLOOKUP($B2882,'D7 - NDB Impacted SPRF''s'!$E$16:$O$9929,11,FALSE)</f>
        <v>Y</v>
      </c>
      <c r="S2882" s="8"/>
      <c r="T2882" s="310"/>
      <c r="U2882" s="310"/>
      <c r="V2882" s="4"/>
      <c r="W2882" s="4"/>
      <c r="X2882" s="4"/>
      <c r="Y2882" s="4"/>
      <c r="Z2882" s="4"/>
      <c r="AA2882" s="4"/>
      <c r="AB2882" s="380" t="str">
        <f>VLOOKUP($B2882,'D7 - NDB Impacted SPRF''s'!$E$16:$O$9929,4,FALSE)</f>
        <v>Cancelled</v>
      </c>
      <c r="AC2882" s="380" t="str">
        <f>VLOOKUP($B2882,'D7 - NDB Impacted SPRF''s'!$E$16:$O$9929,3,FALSE)</f>
        <v>UnitedHealthcare Employer &amp; Individual</v>
      </c>
      <c r="AD2882" s="380" t="str">
        <f>VLOOKUP($B2882,'D7 - NDB Impacted SPRF''s'!$E$16:$O$9929,5,FALSE)</f>
        <v>Medical Cost Savings Programs</v>
      </c>
      <c r="AE2882" s="380" t="str">
        <f>VLOOKUP($B2882,'D7 - NDB Impacted SPRF''s'!$E$16:$O$9929,7,FALSE)</f>
        <v>Sam Ho</v>
      </c>
      <c r="AF2882" s="380" t="str">
        <f>VLOOKUP($B2882,'D7 - NDB Impacted SPRF''s'!$E$16:$O$9929,6,FALSE)</f>
        <v>William O'brien</v>
      </c>
      <c r="AG2882" s="282"/>
      <c r="AH2882" s="311" t="e">
        <f>INDEX('D5 - Gatekeeper - Projects'!$A$4:$AF$1010,$AM2882, 17)</f>
        <v>#N/A</v>
      </c>
      <c r="AI2882" s="8"/>
      <c r="AJ2882" s="57"/>
      <c r="AK2882" s="105"/>
      <c r="AM2882" s="6" t="e">
        <f>MATCH(D2882,'D5 - Gatekeeper - Projects'!$C$4:$C$1010,0)</f>
        <v>#N/A</v>
      </c>
      <c r="AN2882" s="6" t="b">
        <f t="shared" si="293"/>
        <v>1</v>
      </c>
      <c r="AO2882" s="6" t="str">
        <f t="shared" si="294"/>
        <v>OK</v>
      </c>
      <c r="AQ2882" s="6" t="e">
        <f>MATCH($D2882,'D4 - Provider Council Unsched'!$C$11:$C$234,0)</f>
        <v>#N/A</v>
      </c>
      <c r="AR2882" s="6" t="b">
        <f t="shared" si="295"/>
        <v>1</v>
      </c>
      <c r="AS2882" s="6" t="str">
        <f t="shared" si="299"/>
        <v>OK</v>
      </c>
      <c r="AU2882" s="202"/>
      <c r="AV2882" s="262"/>
      <c r="AW2882" s="274"/>
    </row>
    <row r="2883" spans="1:49" s="13" customFormat="1" ht="33.75" x14ac:dyDescent="0.2">
      <c r="A2883" s="14">
        <v>2859</v>
      </c>
      <c r="B2883" s="14">
        <v>400027519</v>
      </c>
      <c r="C2883" s="8" t="s">
        <v>5197</v>
      </c>
      <c r="D2883" s="4" t="str">
        <f t="shared" si="297"/>
        <v>400027519R1</v>
      </c>
      <c r="E2883" s="309" t="str">
        <f>VLOOKUP($B2883,'D7 - NDB Impacted SPRF''s'!$E$6:$O$9929,2,FALSE)</f>
        <v>FRP - Provider Data &amp; Reimbursement</v>
      </c>
      <c r="F2883" s="8" t="s">
        <v>2114</v>
      </c>
      <c r="G2883" s="8" t="s">
        <v>4758</v>
      </c>
      <c r="H2883" s="8" t="s">
        <v>2870</v>
      </c>
      <c r="I2883" s="20"/>
      <c r="J2883" s="8"/>
      <c r="K2883" s="182"/>
      <c r="L2883" s="8" t="s">
        <v>4156</v>
      </c>
      <c r="M2883" s="8" t="s">
        <v>2814</v>
      </c>
      <c r="N2883" s="38"/>
      <c r="O2883" s="8"/>
      <c r="P2883" s="4" t="str">
        <f>VLOOKUP($B2883,'D7 - NDB Impacted SPRF''s'!$E$16:$O$9929,9,FALSE)</f>
        <v>Y</v>
      </c>
      <c r="Q2883" s="4" t="str">
        <f>VLOOKUP($B2883,'D7 - NDB Impacted SPRF''s'!$E$16:$O$9929,10,FALSE)</f>
        <v>N</v>
      </c>
      <c r="R2883" s="4" t="str">
        <f>VLOOKUP($B2883,'D7 - NDB Impacted SPRF''s'!$E$16:$O$9929,11,FALSE)</f>
        <v>Y</v>
      </c>
      <c r="S2883" s="8"/>
      <c r="T2883" s="310"/>
      <c r="U2883" s="310"/>
      <c r="V2883" s="4"/>
      <c r="W2883" s="4"/>
      <c r="X2883" s="4"/>
      <c r="Y2883" s="4"/>
      <c r="Z2883" s="4"/>
      <c r="AA2883" s="4"/>
      <c r="AB2883" s="380" t="str">
        <f>VLOOKUP($B2883,'D7 - NDB Impacted SPRF''s'!$E$16:$O$9929,4,FALSE)</f>
        <v>Cancelled</v>
      </c>
      <c r="AC2883" s="380" t="str">
        <f>VLOOKUP($B2883,'D7 - NDB Impacted SPRF''s'!$E$16:$O$9929,3,FALSE)</f>
        <v>UnitedHealthcare Employer &amp; Individual</v>
      </c>
      <c r="AD2883" s="380" t="str">
        <f>VLOOKUP($B2883,'D7 - NDB Impacted SPRF''s'!$E$16:$O$9929,5,FALSE)</f>
        <v>Medical Cost Savings Programs</v>
      </c>
      <c r="AE2883" s="380" t="str">
        <f>VLOOKUP($B2883,'D7 - NDB Impacted SPRF''s'!$E$16:$O$9929,7,FALSE)</f>
        <v>Jillian Foucre</v>
      </c>
      <c r="AF2883" s="380" t="str">
        <f>VLOOKUP($B2883,'D7 - NDB Impacted SPRF''s'!$E$16:$O$9929,6,FALSE)</f>
        <v>Nicole Cartwright</v>
      </c>
      <c r="AG2883" s="282"/>
      <c r="AH2883" s="311" t="e">
        <f>INDEX('D5 - Gatekeeper - Projects'!$A$4:$AF$1010,$AM2883, 17)</f>
        <v>#N/A</v>
      </c>
      <c r="AI2883" s="8"/>
      <c r="AJ2883" s="57"/>
      <c r="AK2883" s="105"/>
      <c r="AM2883" s="6" t="e">
        <f>MATCH(D2883,'D5 - Gatekeeper - Projects'!$C$4:$C$1010,0)</f>
        <v>#N/A</v>
      </c>
      <c r="AN2883" s="6" t="b">
        <f t="shared" si="293"/>
        <v>1</v>
      </c>
      <c r="AO2883" s="6" t="str">
        <f t="shared" si="294"/>
        <v>OK</v>
      </c>
      <c r="AQ2883" s="6" t="e">
        <f>MATCH($D2883,'D4 - Provider Council Unsched'!$C$11:$C$234,0)</f>
        <v>#N/A</v>
      </c>
      <c r="AR2883" s="6" t="b">
        <f t="shared" si="295"/>
        <v>1</v>
      </c>
      <c r="AS2883" s="6" t="str">
        <f t="shared" si="299"/>
        <v>OK</v>
      </c>
      <c r="AU2883" s="202"/>
      <c r="AV2883" s="262"/>
      <c r="AW2883" s="274"/>
    </row>
    <row r="2884" spans="1:49" s="13" customFormat="1" ht="33.75" x14ac:dyDescent="0.2">
      <c r="A2884" s="14">
        <v>2860</v>
      </c>
      <c r="B2884" s="14">
        <v>400027600</v>
      </c>
      <c r="C2884" s="8" t="s">
        <v>5197</v>
      </c>
      <c r="D2884" s="4" t="str">
        <f t="shared" si="297"/>
        <v>400027600R1</v>
      </c>
      <c r="E2884" s="309" t="str">
        <f>VLOOKUP($B2884,'D7 - NDB Impacted SPRF''s'!$E$6:$O$9929,2,FALSE)</f>
        <v>Online Provider Search Enhancements</v>
      </c>
      <c r="F2884" s="8" t="s">
        <v>2114</v>
      </c>
      <c r="G2884" s="8" t="s">
        <v>4758</v>
      </c>
      <c r="H2884" s="8" t="s">
        <v>2870</v>
      </c>
      <c r="I2884" s="20"/>
      <c r="J2884" s="8"/>
      <c r="K2884" s="182"/>
      <c r="L2884" s="8" t="s">
        <v>4156</v>
      </c>
      <c r="M2884" s="8" t="s">
        <v>2814</v>
      </c>
      <c r="N2884" s="38" t="s">
        <v>5213</v>
      </c>
      <c r="O2884" s="8"/>
      <c r="P2884" s="4" t="str">
        <f>VLOOKUP($B2884,'D7 - NDB Impacted SPRF''s'!$E$16:$O$9929,9,FALSE)</f>
        <v>N</v>
      </c>
      <c r="Q2884" s="4" t="str">
        <f>VLOOKUP($B2884,'D7 - NDB Impacted SPRF''s'!$E$16:$O$9929,10,FALSE)</f>
        <v>N</v>
      </c>
      <c r="R2884" s="4" t="str">
        <f>VLOOKUP($B2884,'D7 - NDB Impacted SPRF''s'!$E$16:$O$9929,11,FALSE)</f>
        <v>N</v>
      </c>
      <c r="S2884" s="8"/>
      <c r="T2884" s="310"/>
      <c r="U2884" s="310"/>
      <c r="V2884" s="4"/>
      <c r="W2884" s="4"/>
      <c r="X2884" s="4"/>
      <c r="Y2884" s="4"/>
      <c r="Z2884" s="4"/>
      <c r="AA2884" s="4"/>
      <c r="AB2884" s="380" t="str">
        <f>VLOOKUP($B2884,'D7 - NDB Impacted SPRF''s'!$E$16:$O$9929,4,FALSE)</f>
        <v>Cancelled</v>
      </c>
      <c r="AC2884" s="380" t="str">
        <f>VLOOKUP($B2884,'D7 - NDB Impacted SPRF''s'!$E$16:$O$9929,3,FALSE)</f>
        <v>UnitedHealthcare Employer &amp; Individual</v>
      </c>
      <c r="AD2884" s="380" t="str">
        <f>VLOOKUP($B2884,'D7 - NDB Impacted SPRF''s'!$E$16:$O$9929,5,FALSE)</f>
        <v>Membership Growth / Revenue Programs</v>
      </c>
      <c r="AE2884" s="380" t="str">
        <f>VLOOKUP($B2884,'D7 - NDB Impacted SPRF''s'!$E$16:$O$9929,7,FALSE)</f>
        <v>Ellyn Hosch</v>
      </c>
      <c r="AF2884" s="380" t="str">
        <f>VLOOKUP($B2884,'D7 - NDB Impacted SPRF''s'!$E$16:$O$9929,6,FALSE)</f>
        <v>Chad Wege</v>
      </c>
      <c r="AG2884" s="282"/>
      <c r="AH2884" s="311" t="e">
        <f>INDEX('D5 - Gatekeeper - Projects'!$A$4:$AF$1010,$AM2884, 17)</f>
        <v>#N/A</v>
      </c>
      <c r="AI2884" s="8"/>
      <c r="AJ2884" s="57"/>
      <c r="AK2884" s="105"/>
      <c r="AM2884" s="6" t="e">
        <f>MATCH(D2884,'D5 - Gatekeeper - Projects'!$C$4:$C$1010,0)</f>
        <v>#N/A</v>
      </c>
      <c r="AN2884" s="6" t="b">
        <f t="shared" si="293"/>
        <v>1</v>
      </c>
      <c r="AO2884" s="6" t="str">
        <f t="shared" si="294"/>
        <v>OK</v>
      </c>
      <c r="AQ2884" s="6" t="e">
        <f>MATCH($D2884,'D4 - Provider Council Unsched'!$C$11:$C$234,0)</f>
        <v>#N/A</v>
      </c>
      <c r="AR2884" s="6" t="b">
        <f t="shared" si="295"/>
        <v>1</v>
      </c>
      <c r="AS2884" s="6" t="str">
        <f t="shared" si="299"/>
        <v>OK</v>
      </c>
      <c r="AU2884" s="202"/>
      <c r="AV2884" s="262"/>
      <c r="AW2884" s="274"/>
    </row>
    <row r="2885" spans="1:49" s="13" customFormat="1" ht="33.75" x14ac:dyDescent="0.2">
      <c r="A2885" s="14">
        <v>2861</v>
      </c>
      <c r="B2885" s="14">
        <v>400027602</v>
      </c>
      <c r="C2885" s="8" t="s">
        <v>5197</v>
      </c>
      <c r="D2885" s="4" t="str">
        <f t="shared" si="297"/>
        <v>400027602R1</v>
      </c>
      <c r="E2885" s="309" t="str">
        <f>VLOOKUP($B2885,'D7 - NDB Impacted SPRF''s'!$E$6:$O$9929,2,FALSE)</f>
        <v>Provider TIN Suffix Service</v>
      </c>
      <c r="F2885" s="8" t="s">
        <v>2114</v>
      </c>
      <c r="G2885" s="8" t="s">
        <v>4758</v>
      </c>
      <c r="H2885" s="8" t="s">
        <v>2870</v>
      </c>
      <c r="I2885" s="20"/>
      <c r="J2885" s="8"/>
      <c r="K2885" s="182"/>
      <c r="L2885" s="8" t="s">
        <v>4156</v>
      </c>
      <c r="M2885" s="8" t="s">
        <v>2814</v>
      </c>
      <c r="N2885" s="38" t="s">
        <v>1635</v>
      </c>
      <c r="O2885" s="8"/>
      <c r="P2885" s="4" t="str">
        <f>VLOOKUP($B2885,'D7 - NDB Impacted SPRF''s'!$E$16:$O$9929,9,FALSE)</f>
        <v>N</v>
      </c>
      <c r="Q2885" s="4" t="str">
        <f>VLOOKUP($B2885,'D7 - NDB Impacted SPRF''s'!$E$16:$O$9929,10,FALSE)</f>
        <v>N</v>
      </c>
      <c r="R2885" s="4" t="str">
        <f>VLOOKUP($B2885,'D7 - NDB Impacted SPRF''s'!$E$16:$O$9929,11,FALSE)</f>
        <v>N</v>
      </c>
      <c r="S2885" s="8"/>
      <c r="T2885" s="310"/>
      <c r="U2885" s="310"/>
      <c r="V2885" s="4"/>
      <c r="W2885" s="4"/>
      <c r="X2885" s="4"/>
      <c r="Y2885" s="4"/>
      <c r="Z2885" s="4"/>
      <c r="AA2885" s="4"/>
      <c r="AB2885" s="380" t="str">
        <f>VLOOKUP($B2885,'D7 - NDB Impacted SPRF''s'!$E$16:$O$9929,4,FALSE)</f>
        <v>Cancelled</v>
      </c>
      <c r="AC2885" s="380" t="str">
        <f>VLOOKUP($B2885,'D7 - NDB Impacted SPRF''s'!$E$16:$O$9929,3,FALSE)</f>
        <v>UnitedHealthcare Employer &amp; Individual</v>
      </c>
      <c r="AD2885" s="380" t="str">
        <f>VLOOKUP($B2885,'D7 - NDB Impacted SPRF''s'!$E$16:$O$9929,5,FALSE)</f>
        <v>Membership Growth / Revenue Programs</v>
      </c>
      <c r="AE2885" s="380" t="str">
        <f>VLOOKUP($B2885,'D7 - NDB Impacted SPRF''s'!$E$16:$O$9929,7,FALSE)</f>
        <v>Steve Auerbach</v>
      </c>
      <c r="AF2885" s="380" t="str">
        <f>VLOOKUP($B2885,'D7 - NDB Impacted SPRF''s'!$E$16:$O$9929,6,FALSE)</f>
        <v>Doug Trott</v>
      </c>
      <c r="AG2885" s="282"/>
      <c r="AH2885" s="311" t="e">
        <f>INDEX('D5 - Gatekeeper - Projects'!$A$4:$AF$1010,$AM2885, 17)</f>
        <v>#N/A</v>
      </c>
      <c r="AI2885" s="8"/>
      <c r="AJ2885" s="57"/>
      <c r="AK2885" s="105"/>
      <c r="AM2885" s="6" t="e">
        <f>MATCH(D2885,'D5 - Gatekeeper - Projects'!$C$4:$C$1010,0)</f>
        <v>#N/A</v>
      </c>
      <c r="AN2885" s="6" t="b">
        <f t="shared" si="293"/>
        <v>1</v>
      </c>
      <c r="AO2885" s="6" t="str">
        <f t="shared" si="294"/>
        <v>OK</v>
      </c>
      <c r="AQ2885" s="6" t="e">
        <f>MATCH($D2885,'D4 - Provider Council Unsched'!$C$11:$C$234,0)</f>
        <v>#N/A</v>
      </c>
      <c r="AR2885" s="6" t="b">
        <f t="shared" si="295"/>
        <v>1</v>
      </c>
      <c r="AS2885" s="6" t="str">
        <f t="shared" si="299"/>
        <v>OK</v>
      </c>
      <c r="AU2885" s="202"/>
      <c r="AV2885" s="262"/>
      <c r="AW2885" s="274"/>
    </row>
    <row r="2886" spans="1:49" s="13" customFormat="1" ht="33.75" x14ac:dyDescent="0.2">
      <c r="A2886" s="14">
        <v>2862</v>
      </c>
      <c r="B2886" s="14">
        <v>400027670</v>
      </c>
      <c r="C2886" s="8" t="s">
        <v>5197</v>
      </c>
      <c r="D2886" s="4" t="str">
        <f t="shared" si="297"/>
        <v>400027670R1</v>
      </c>
      <c r="E2886" s="309" t="str">
        <f>VLOOKUP($B2886,'D7 - NDB Impacted SPRF''s'!$E$6:$O$9929,2,FALSE)</f>
        <v>NDB Extract for Connectivity Director</v>
      </c>
      <c r="F2886" s="8" t="s">
        <v>2114</v>
      </c>
      <c r="G2886" s="153" t="s">
        <v>4758</v>
      </c>
      <c r="H2886" s="8" t="s">
        <v>2870</v>
      </c>
      <c r="I2886" s="20"/>
      <c r="J2886" s="8"/>
      <c r="K2886" s="182"/>
      <c r="L2886" s="8" t="s">
        <v>4156</v>
      </c>
      <c r="M2886" s="8" t="s">
        <v>2814</v>
      </c>
      <c r="N2886" s="38"/>
      <c r="O2886" s="8"/>
      <c r="P2886" s="4" t="str">
        <f>VLOOKUP($B2886,'D7 - NDB Impacted SPRF''s'!$E$16:$O$9929,9,FALSE)</f>
        <v>N</v>
      </c>
      <c r="Q2886" s="4" t="str">
        <f>VLOOKUP($B2886,'D7 - NDB Impacted SPRF''s'!$E$16:$O$9929,10,FALSE)</f>
        <v>N</v>
      </c>
      <c r="R2886" s="4" t="str">
        <f>VLOOKUP($B2886,'D7 - NDB Impacted SPRF''s'!$E$16:$O$9929,11,FALSE)</f>
        <v>N</v>
      </c>
      <c r="S2886" s="8"/>
      <c r="T2886" s="310"/>
      <c r="U2886" s="310"/>
      <c r="V2886" s="4"/>
      <c r="W2886" s="4"/>
      <c r="X2886" s="4"/>
      <c r="Y2886" s="4"/>
      <c r="Z2886" s="4"/>
      <c r="AA2886" s="4"/>
      <c r="AB2886" s="380" t="str">
        <f>VLOOKUP($B2886,'D7 - NDB Impacted SPRF''s'!$E$16:$O$9929,4,FALSE)</f>
        <v>Cancelled</v>
      </c>
      <c r="AC2886" s="380" t="str">
        <f>VLOOKUP($B2886,'D7 - NDB Impacted SPRF''s'!$E$16:$O$9929,3,FALSE)</f>
        <v>UnitedHealthcare Employer &amp; Individual</v>
      </c>
      <c r="AD2886" s="380" t="str">
        <f>VLOOKUP($B2886,'D7 - NDB Impacted SPRF''s'!$E$16:$O$9929,5,FALSE)</f>
        <v>Process Improvement</v>
      </c>
      <c r="AE2886" s="380" t="str">
        <f>VLOOKUP($B2886,'D7 - NDB Impacted SPRF''s'!$E$16:$O$9929,7,FALSE)</f>
        <v>Sushmeeta Nanda</v>
      </c>
      <c r="AF2886" s="380" t="str">
        <f>VLOOKUP($B2886,'D7 - NDB Impacted SPRF''s'!$E$16:$O$9929,6,FALSE)</f>
        <v>STEVEN MORELLI</v>
      </c>
      <c r="AG2886" s="282"/>
      <c r="AH2886" s="311" t="e">
        <f>INDEX('D5 - Gatekeeper - Projects'!$A$4:$AF$1010,$AM2886, 17)</f>
        <v>#N/A</v>
      </c>
      <c r="AI2886" s="8"/>
      <c r="AJ2886" s="57"/>
      <c r="AK2886" s="105"/>
      <c r="AM2886" s="6" t="e">
        <f>MATCH(D2886,'D5 - Gatekeeper - Projects'!$C$4:$C$1010,0)</f>
        <v>#N/A</v>
      </c>
      <c r="AN2886" s="6" t="b">
        <f t="shared" si="293"/>
        <v>1</v>
      </c>
      <c r="AO2886" s="6" t="str">
        <f t="shared" si="294"/>
        <v>OK</v>
      </c>
      <c r="AQ2886" s="6" t="e">
        <f>MATCH($D2886,'D4 - Provider Council Unsched'!$C$11:$C$234,0)</f>
        <v>#N/A</v>
      </c>
      <c r="AR2886" s="6" t="b">
        <f t="shared" si="295"/>
        <v>1</v>
      </c>
      <c r="AS2886" s="6" t="str">
        <f t="shared" si="299"/>
        <v>OK</v>
      </c>
      <c r="AU2886" s="202"/>
      <c r="AV2886" s="262"/>
      <c r="AW2886" s="274"/>
    </row>
    <row r="2887" spans="1:49" s="13" customFormat="1" ht="33.75" x14ac:dyDescent="0.2">
      <c r="A2887" s="14">
        <v>2863</v>
      </c>
      <c r="B2887" s="14">
        <v>400027775</v>
      </c>
      <c r="C2887" s="8" t="s">
        <v>5197</v>
      </c>
      <c r="D2887" s="4" t="str">
        <f t="shared" si="297"/>
        <v>400027775R1</v>
      </c>
      <c r="E2887" s="309" t="str">
        <f>VLOOKUP($B2887,'D7 - NDB Impacted SPRF''s'!$E$6:$O$9929,2,FALSE)</f>
        <v>UMR Cincinnat Non-Par Pricing for Legacy Platforms</v>
      </c>
      <c r="F2887" s="8" t="s">
        <v>2114</v>
      </c>
      <c r="G2887" s="8" t="s">
        <v>4758</v>
      </c>
      <c r="H2887" s="8" t="s">
        <v>2870</v>
      </c>
      <c r="I2887" s="20"/>
      <c r="J2887" s="8"/>
      <c r="K2887" s="182"/>
      <c r="L2887" s="8" t="s">
        <v>4156</v>
      </c>
      <c r="M2887" s="8" t="s">
        <v>2814</v>
      </c>
      <c r="N2887" s="38"/>
      <c r="O2887" s="8"/>
      <c r="P2887" s="4" t="str">
        <f>VLOOKUP($B2887,'D7 - NDB Impacted SPRF''s'!$E$16:$O$9929,9,FALSE)</f>
        <v>N</v>
      </c>
      <c r="Q2887" s="4" t="str">
        <f>VLOOKUP($B2887,'D7 - NDB Impacted SPRF''s'!$E$16:$O$9929,10,FALSE)</f>
        <v>N</v>
      </c>
      <c r="R2887" s="4" t="str">
        <f>VLOOKUP($B2887,'D7 - NDB Impacted SPRF''s'!$E$16:$O$9929,11,FALSE)</f>
        <v>N</v>
      </c>
      <c r="S2887" s="8"/>
      <c r="T2887" s="310"/>
      <c r="U2887" s="310"/>
      <c r="V2887" s="4"/>
      <c r="W2887" s="4"/>
      <c r="X2887" s="4"/>
      <c r="Y2887" s="4"/>
      <c r="Z2887" s="4"/>
      <c r="AA2887" s="4"/>
      <c r="AB2887" s="380" t="str">
        <f>VLOOKUP($B2887,'D7 - NDB Impacted SPRF''s'!$E$16:$O$9929,4,FALSE)</f>
        <v>Cancelled</v>
      </c>
      <c r="AC2887" s="380" t="str">
        <f>VLOOKUP($B2887,'D7 - NDB Impacted SPRF''s'!$E$16:$O$9929,3,FALSE)</f>
        <v>UnitedHealthcare Employer &amp; Individual</v>
      </c>
      <c r="AD2887" s="380" t="str">
        <f>VLOOKUP($B2887,'D7 - NDB Impacted SPRF''s'!$E$16:$O$9929,5,FALSE)</f>
        <v>Medical Cost Savings Programs</v>
      </c>
      <c r="AE2887" s="380" t="str">
        <f>VLOOKUP($B2887,'D7 - NDB Impacted SPRF''s'!$E$16:$O$9929,7,FALSE)</f>
        <v>John Haben</v>
      </c>
      <c r="AF2887" s="380" t="str">
        <f>VLOOKUP($B2887,'D7 - NDB Impacted SPRF''s'!$E$16:$O$9929,6,FALSE)</f>
        <v>Ellis Miller</v>
      </c>
      <c r="AG2887" s="282"/>
      <c r="AH2887" s="311" t="e">
        <f>INDEX('D5 - Gatekeeper - Projects'!$A$4:$AF$1010,$AM2887, 17)</f>
        <v>#N/A</v>
      </c>
      <c r="AI2887" s="8"/>
      <c r="AJ2887" s="57"/>
      <c r="AK2887" s="105"/>
      <c r="AM2887" s="6" t="e">
        <f>MATCH(D2887,'D5 - Gatekeeper - Projects'!$C$4:$C$1010,0)</f>
        <v>#N/A</v>
      </c>
      <c r="AN2887" s="6" t="b">
        <f t="shared" si="293"/>
        <v>1</v>
      </c>
      <c r="AO2887" s="6" t="str">
        <f t="shared" si="294"/>
        <v>OK</v>
      </c>
      <c r="AQ2887" s="6" t="e">
        <f>MATCH($D2887,'D4 - Provider Council Unsched'!$C$11:$C$234,0)</f>
        <v>#N/A</v>
      </c>
      <c r="AR2887" s="6" t="b">
        <f t="shared" si="295"/>
        <v>1</v>
      </c>
      <c r="AS2887" s="6" t="str">
        <f t="shared" si="299"/>
        <v>OK</v>
      </c>
      <c r="AU2887" s="202"/>
      <c r="AV2887" s="262"/>
      <c r="AW2887" s="274"/>
    </row>
    <row r="2888" spans="1:49" s="13" customFormat="1" ht="33.75" x14ac:dyDescent="0.2">
      <c r="A2888" s="14">
        <v>2864</v>
      </c>
      <c r="B2888" s="14">
        <v>400027865</v>
      </c>
      <c r="C2888" s="8" t="s">
        <v>5197</v>
      </c>
      <c r="D2888" s="4" t="str">
        <f t="shared" si="297"/>
        <v>400027865R1</v>
      </c>
      <c r="E2888" s="309" t="str">
        <f>VLOOKUP($B2888,'D7 - NDB Impacted SPRF''s'!$E$6:$O$9929,2,FALSE)</f>
        <v>Contract Line Selection by Physical Location</v>
      </c>
      <c r="F2888" s="8" t="s">
        <v>2114</v>
      </c>
      <c r="G2888" s="153" t="s">
        <v>4758</v>
      </c>
      <c r="H2888" s="8" t="s">
        <v>2870</v>
      </c>
      <c r="I2888" s="20"/>
      <c r="J2888" s="8"/>
      <c r="K2888" s="182"/>
      <c r="L2888" s="8" t="s">
        <v>4156</v>
      </c>
      <c r="M2888" s="8" t="s">
        <v>2814</v>
      </c>
      <c r="N2888" s="38"/>
      <c r="O2888" s="8"/>
      <c r="P2888" s="4" t="str">
        <f>VLOOKUP($B2888,'D7 - NDB Impacted SPRF''s'!$E$16:$O$9929,9,FALSE)</f>
        <v>Y</v>
      </c>
      <c r="Q2888" s="4" t="str">
        <f>VLOOKUP($B2888,'D7 - NDB Impacted SPRF''s'!$E$16:$O$9929,10,FALSE)</f>
        <v>N</v>
      </c>
      <c r="R2888" s="4" t="str">
        <f>VLOOKUP($B2888,'D7 - NDB Impacted SPRF''s'!$E$16:$O$9929,11,FALSE)</f>
        <v>Y</v>
      </c>
      <c r="S2888" s="8"/>
      <c r="T2888" s="310"/>
      <c r="U2888" s="310"/>
      <c r="V2888" s="4"/>
      <c r="W2888" s="4"/>
      <c r="X2888" s="4"/>
      <c r="Y2888" s="4"/>
      <c r="Z2888" s="4"/>
      <c r="AA2888" s="4"/>
      <c r="AB2888" s="380" t="str">
        <f>VLOOKUP($B2888,'D7 - NDB Impacted SPRF''s'!$E$16:$O$9929,4,FALSE)</f>
        <v>Cancelled</v>
      </c>
      <c r="AC2888" s="380" t="str">
        <f>VLOOKUP($B2888,'D7 - NDB Impacted SPRF''s'!$E$16:$O$9929,3,FALSE)</f>
        <v>UnitedHealthcare Employer &amp; Individual</v>
      </c>
      <c r="AD2888" s="380" t="str">
        <f>VLOOKUP($B2888,'D7 - NDB Impacted SPRF''s'!$E$16:$O$9929,5,FALSE)</f>
        <v>Process Improvement</v>
      </c>
      <c r="AE2888" s="380" t="str">
        <f>VLOOKUP($B2888,'D7 - NDB Impacted SPRF''s'!$E$16:$O$9929,7,FALSE)</f>
        <v>Tim Kaja</v>
      </c>
      <c r="AF2888" s="380" t="str">
        <f>VLOOKUP($B2888,'D7 - NDB Impacted SPRF''s'!$E$16:$O$9929,6,FALSE)</f>
        <v>CHERYL STAUFFER</v>
      </c>
      <c r="AG2888" s="282"/>
      <c r="AH2888" s="311" t="e">
        <f>INDEX('D5 - Gatekeeper - Projects'!$A$4:$AF$1010,$AM2888, 17)</f>
        <v>#N/A</v>
      </c>
      <c r="AI2888" s="8"/>
      <c r="AJ2888" s="57"/>
      <c r="AK2888" s="105"/>
      <c r="AM2888" s="6" t="e">
        <f>MATCH(D2888,'D5 - Gatekeeper - Projects'!$C$4:$C$1010,0)</f>
        <v>#N/A</v>
      </c>
      <c r="AN2888" s="6" t="b">
        <f t="shared" si="293"/>
        <v>1</v>
      </c>
      <c r="AO2888" s="6" t="str">
        <f t="shared" si="294"/>
        <v>OK</v>
      </c>
      <c r="AQ2888" s="6" t="e">
        <f>MATCH($D2888,'D4 - Provider Council Unsched'!$C$11:$C$234,0)</f>
        <v>#N/A</v>
      </c>
      <c r="AR2888" s="6" t="b">
        <f t="shared" si="295"/>
        <v>1</v>
      </c>
      <c r="AS2888" s="6" t="str">
        <f t="shared" si="299"/>
        <v>OK</v>
      </c>
      <c r="AU2888" s="202"/>
      <c r="AV2888" s="262"/>
      <c r="AW2888" s="274"/>
    </row>
    <row r="2889" spans="1:49" s="13" customFormat="1" ht="33.75" x14ac:dyDescent="0.2">
      <c r="A2889" s="14">
        <v>2865</v>
      </c>
      <c r="B2889" s="14">
        <v>400027875</v>
      </c>
      <c r="C2889" s="8" t="s">
        <v>5197</v>
      </c>
      <c r="D2889" s="4" t="str">
        <f t="shared" si="297"/>
        <v>400027875R1</v>
      </c>
      <c r="E2889" s="309" t="str">
        <f>VLOOKUP($B2889,'D7 - NDB Impacted SPRF''s'!$E$6:$O$9929,2,FALSE)</f>
        <v>Urgent Care Incorrect Copay</v>
      </c>
      <c r="F2889" s="8" t="s">
        <v>2114</v>
      </c>
      <c r="G2889" s="153" t="s">
        <v>4758</v>
      </c>
      <c r="H2889" s="8" t="s">
        <v>2870</v>
      </c>
      <c r="I2889" s="20"/>
      <c r="J2889" s="8"/>
      <c r="K2889" s="182"/>
      <c r="L2889" s="8" t="s">
        <v>4156</v>
      </c>
      <c r="M2889" s="8" t="s">
        <v>2814</v>
      </c>
      <c r="N2889" s="38"/>
      <c r="O2889" s="8"/>
      <c r="P2889" s="4" t="str">
        <f>VLOOKUP($B2889,'D7 - NDB Impacted SPRF''s'!$E$16:$O$9929,9,FALSE)</f>
        <v>Y</v>
      </c>
      <c r="Q2889" s="4" t="str">
        <f>VLOOKUP($B2889,'D7 - NDB Impacted SPRF''s'!$E$16:$O$9929,10,FALSE)</f>
        <v>N</v>
      </c>
      <c r="R2889" s="4" t="str">
        <f>VLOOKUP($B2889,'D7 - NDB Impacted SPRF''s'!$E$16:$O$9929,11,FALSE)</f>
        <v>N</v>
      </c>
      <c r="S2889" s="8"/>
      <c r="T2889" s="310"/>
      <c r="U2889" s="310"/>
      <c r="V2889" s="4"/>
      <c r="W2889" s="4"/>
      <c r="X2889" s="4"/>
      <c r="Y2889" s="4"/>
      <c r="Z2889" s="4"/>
      <c r="AA2889" s="4"/>
      <c r="AB2889" s="380" t="str">
        <f>VLOOKUP($B2889,'D7 - NDB Impacted SPRF''s'!$E$6:$O$9929,4,FALSE)</f>
        <v>Cancelled</v>
      </c>
      <c r="AC2889" s="380" t="str">
        <f>VLOOKUP($B2889,'D7 - NDB Impacted SPRF''s'!$E$16:$O$9929,3,FALSE)</f>
        <v>UnitedHealthcare Employer &amp; Individual</v>
      </c>
      <c r="AD2889" s="380" t="str">
        <f>VLOOKUP($B2889,'D7 - NDB Impacted SPRF''s'!$E$16:$O$9929,5,FALSE)</f>
        <v>Process Improvement</v>
      </c>
      <c r="AE2889" s="380" t="str">
        <f>VLOOKUP($B2889,'D7 - NDB Impacted SPRF''s'!$E$16:$O$9929,7,FALSE)</f>
        <v>Julie Gustafson</v>
      </c>
      <c r="AF2889" s="380" t="str">
        <f>VLOOKUP($B2889,'D7 - NDB Impacted SPRF''s'!$E$16:$O$9929,6,FALSE)</f>
        <v>Nate Flaherty</v>
      </c>
      <c r="AG2889" s="282"/>
      <c r="AH2889" s="311" t="e">
        <f>INDEX('D5 - Gatekeeper - Projects'!$A$4:$AF$1010,$AM2889, 17)</f>
        <v>#N/A</v>
      </c>
      <c r="AI2889" s="8"/>
      <c r="AJ2889" s="57"/>
      <c r="AK2889" s="105"/>
      <c r="AM2889" s="6" t="e">
        <f>MATCH(D2889,'D5 - Gatekeeper - Projects'!$C$4:$C$1010,0)</f>
        <v>#N/A</v>
      </c>
      <c r="AN2889" s="6" t="b">
        <f t="shared" si="293"/>
        <v>1</v>
      </c>
      <c r="AO2889" s="6" t="str">
        <f t="shared" si="294"/>
        <v>OK</v>
      </c>
      <c r="AQ2889" s="6" t="e">
        <f>MATCH($D2889,'D4 - Provider Council Unsched'!$C$11:$C$234,0)</f>
        <v>#N/A</v>
      </c>
      <c r="AR2889" s="6" t="b">
        <f t="shared" si="295"/>
        <v>1</v>
      </c>
      <c r="AS2889" s="6" t="str">
        <f t="shared" si="299"/>
        <v>OK</v>
      </c>
      <c r="AU2889" s="202"/>
      <c r="AV2889" s="262"/>
      <c r="AW2889" s="274"/>
    </row>
    <row r="2890" spans="1:49" s="13" customFormat="1" ht="33.75" x14ac:dyDescent="0.2">
      <c r="A2890" s="14">
        <v>2866</v>
      </c>
      <c r="B2890" s="14">
        <v>400027894</v>
      </c>
      <c r="C2890" s="8" t="s">
        <v>5197</v>
      </c>
      <c r="D2890" s="4" t="str">
        <f t="shared" si="297"/>
        <v>400027894R1</v>
      </c>
      <c r="E2890" s="309" t="str">
        <f>VLOOKUP($B2890,'D7 - NDB Impacted SPRF''s'!$E$6:$O$9929,2,FALSE)</f>
        <v>lower copay for convenience care clinics</v>
      </c>
      <c r="F2890" s="8" t="s">
        <v>2114</v>
      </c>
      <c r="G2890" s="153" t="s">
        <v>4758</v>
      </c>
      <c r="H2890" s="8" t="s">
        <v>2870</v>
      </c>
      <c r="I2890" s="20"/>
      <c r="J2890" s="8"/>
      <c r="K2890" s="182"/>
      <c r="L2890" s="8" t="s">
        <v>4156</v>
      </c>
      <c r="M2890" s="8" t="s">
        <v>2814</v>
      </c>
      <c r="N2890" s="38"/>
      <c r="O2890" s="8"/>
      <c r="P2890" s="4" t="str">
        <f>VLOOKUP($B2890,'D7 - NDB Impacted SPRF''s'!$E$16:$O$9929,9,FALSE)</f>
        <v>Y</v>
      </c>
      <c r="Q2890" s="4" t="str">
        <f>VLOOKUP($B2890,'D7 - NDB Impacted SPRF''s'!$E$16:$O$9929,10,FALSE)</f>
        <v>N</v>
      </c>
      <c r="R2890" s="4" t="str">
        <f>VLOOKUP($B2890,'D7 - NDB Impacted SPRF''s'!$E$16:$O$9929,11,FALSE)</f>
        <v>N</v>
      </c>
      <c r="S2890" s="8"/>
      <c r="T2890" s="310"/>
      <c r="U2890" s="310"/>
      <c r="V2890" s="4"/>
      <c r="W2890" s="4"/>
      <c r="X2890" s="4"/>
      <c r="Y2890" s="4"/>
      <c r="Z2890" s="4"/>
      <c r="AA2890" s="4"/>
      <c r="AB2890" s="380" t="str">
        <f>VLOOKUP($B2890,'D7 - NDB Impacted SPRF''s'!$E$16:$O$9929,4,FALSE)</f>
        <v>Cancelled</v>
      </c>
      <c r="AC2890" s="380" t="str">
        <f>VLOOKUP($B2890,'D7 - NDB Impacted SPRF''s'!$E$16:$O$9929,3,FALSE)</f>
        <v>UnitedHealthcare Employer &amp; Individual</v>
      </c>
      <c r="AD2890" s="380" t="str">
        <f>VLOOKUP($B2890,'D7 - NDB Impacted SPRF''s'!$E$16:$O$9929,5,FALSE)</f>
        <v>Membership Growth / Revenue Programs</v>
      </c>
      <c r="AE2890" s="380" t="str">
        <f>VLOOKUP($B2890,'D7 - NDB Impacted SPRF''s'!$E$16:$O$9929,7,FALSE)</f>
        <v>National Accounts</v>
      </c>
      <c r="AF2890" s="380" t="str">
        <f>VLOOKUP($B2890,'D7 - NDB Impacted SPRF''s'!$E$16:$O$9929,6,FALSE)</f>
        <v>Barbara Fischkelta</v>
      </c>
      <c r="AG2890" s="282"/>
      <c r="AH2890" s="311" t="e">
        <f>INDEX('D5 - Gatekeeper - Projects'!$A$4:$AF$1010,$AM2890, 17)</f>
        <v>#N/A</v>
      </c>
      <c r="AI2890" s="8"/>
      <c r="AJ2890" s="57"/>
      <c r="AK2890" s="105"/>
      <c r="AM2890" s="6" t="e">
        <f>MATCH(D2890,'D5 - Gatekeeper - Projects'!$C$4:$C$1010,0)</f>
        <v>#N/A</v>
      </c>
      <c r="AN2890" s="6" t="b">
        <f t="shared" ref="AN2890:AN2953" si="300">ISERROR(AM2890)</f>
        <v>1</v>
      </c>
      <c r="AO2890" s="6" t="str">
        <f t="shared" ref="AO2890:AO2913" si="301">IF(AND(H2890="1 - Scheduled",AN2890=TRUE),"Add","OK")</f>
        <v>OK</v>
      </c>
      <c r="AQ2890" s="6" t="e">
        <f>MATCH($D2890,'D4 - Provider Council Unsched'!$C$11:$C$234,0)</f>
        <v>#N/A</v>
      </c>
      <c r="AR2890" s="6" t="b">
        <f t="shared" ref="AR2890:AR2953" si="302">ISERROR(AQ2890)</f>
        <v>1</v>
      </c>
      <c r="AS2890" s="6" t="str">
        <f t="shared" ref="AS2890:AS2913" si="303">IF(AND(H2890="2 - Not Scheduled",AR2890=TRUE,C2890="R1"),"Add","OK")</f>
        <v>OK</v>
      </c>
      <c r="AU2890" s="202"/>
      <c r="AV2890" s="262"/>
      <c r="AW2890" s="274"/>
    </row>
    <row r="2891" spans="1:49" s="13" customFormat="1" ht="33.75" x14ac:dyDescent="0.2">
      <c r="A2891" s="14">
        <v>2867</v>
      </c>
      <c r="B2891" s="14">
        <v>400027967</v>
      </c>
      <c r="C2891" s="8" t="s">
        <v>5197</v>
      </c>
      <c r="D2891" s="4" t="str">
        <f t="shared" si="297"/>
        <v>400027967R1</v>
      </c>
      <c r="E2891" s="309" t="str">
        <f>VLOOKUP($B2891,'D7 - NDB Impacted SPRF''s'!$E$6:$O$9929,2,FALSE)</f>
        <v>Empire Plan- Audiology Centers Enhancement</v>
      </c>
      <c r="F2891" s="8" t="s">
        <v>2114</v>
      </c>
      <c r="G2891" s="153" t="s">
        <v>4758</v>
      </c>
      <c r="H2891" s="8" t="s">
        <v>2870</v>
      </c>
      <c r="I2891" s="20"/>
      <c r="J2891" s="8"/>
      <c r="K2891" s="182"/>
      <c r="L2891" s="8" t="s">
        <v>4156</v>
      </c>
      <c r="M2891" s="8" t="s">
        <v>2814</v>
      </c>
      <c r="N2891" s="38" t="s">
        <v>5036</v>
      </c>
      <c r="O2891" s="8"/>
      <c r="P2891" s="4" t="str">
        <f>VLOOKUP($B2891,'D7 - NDB Impacted SPRF''s'!$E$16:$O$9929,9,FALSE)</f>
        <v>N</v>
      </c>
      <c r="Q2891" s="4" t="str">
        <f>VLOOKUP($B2891,'D7 - NDB Impacted SPRF''s'!$E$16:$O$9929,10,FALSE)</f>
        <v>N</v>
      </c>
      <c r="R2891" s="4" t="str">
        <f>VLOOKUP($B2891,'D7 - NDB Impacted SPRF''s'!$E$16:$O$9929,11,FALSE)</f>
        <v>N</v>
      </c>
      <c r="S2891" s="8"/>
      <c r="T2891" s="310"/>
      <c r="U2891" s="310"/>
      <c r="V2891" s="4"/>
      <c r="W2891" s="4"/>
      <c r="X2891" s="4"/>
      <c r="Y2891" s="4"/>
      <c r="Z2891" s="4"/>
      <c r="AA2891" s="4"/>
      <c r="AB2891" s="380" t="str">
        <f>VLOOKUP($B2891,'D7 - NDB Impacted SPRF''s'!$E$6:$O$9929,4,FALSE)</f>
        <v>Completed</v>
      </c>
      <c r="AC2891" s="380" t="str">
        <f>VLOOKUP($B2891,'D7 - NDB Impacted SPRF''s'!$E$16:$O$9929,3,FALSE)</f>
        <v>UnitedHealthcare Employer &amp; Individual</v>
      </c>
      <c r="AD2891" s="380" t="str">
        <f>VLOOKUP($B2891,'D7 - NDB Impacted SPRF''s'!$E$16:$O$9929,5,FALSE)</f>
        <v>Membership Growth / Revenue Programs</v>
      </c>
      <c r="AE2891" s="380" t="str">
        <f>VLOOKUP($B2891,'D7 - NDB Impacted SPRF''s'!$E$16:$O$9929,7,FALSE)</f>
        <v>Georg Muller</v>
      </c>
      <c r="AF2891" s="380" t="str">
        <f>VLOOKUP($B2891,'D7 - NDB Impacted SPRF''s'!$E$16:$O$9929,6,FALSE)</f>
        <v>Melinda Dukat</v>
      </c>
      <c r="AG2891" s="282"/>
      <c r="AH2891" s="311" t="e">
        <f>INDEX('D5 - Gatekeeper - Projects'!$A$4:$AF$1010,$AM2891, 17)</f>
        <v>#N/A</v>
      </c>
      <c r="AI2891" s="8"/>
      <c r="AJ2891" s="57"/>
      <c r="AK2891" s="105"/>
      <c r="AM2891" s="6" t="e">
        <f>MATCH(D2891,'D5 - Gatekeeper - Projects'!$C$4:$C$1010,0)</f>
        <v>#N/A</v>
      </c>
      <c r="AN2891" s="6" t="b">
        <f t="shared" si="300"/>
        <v>1</v>
      </c>
      <c r="AO2891" s="6" t="str">
        <f t="shared" si="301"/>
        <v>OK</v>
      </c>
      <c r="AQ2891" s="6" t="e">
        <f>MATCH($D2891,'D4 - Provider Council Unsched'!$C$11:$C$234,0)</f>
        <v>#N/A</v>
      </c>
      <c r="AR2891" s="6" t="b">
        <f t="shared" si="302"/>
        <v>1</v>
      </c>
      <c r="AS2891" s="6" t="str">
        <f t="shared" si="303"/>
        <v>OK</v>
      </c>
      <c r="AU2891" s="202"/>
      <c r="AV2891" s="262"/>
      <c r="AW2891" s="274"/>
    </row>
    <row r="2892" spans="1:49" s="13" customFormat="1" x14ac:dyDescent="0.2">
      <c r="A2892" s="14">
        <v>2868</v>
      </c>
      <c r="B2892" s="14">
        <v>400028044</v>
      </c>
      <c r="C2892" s="8" t="s">
        <v>5197</v>
      </c>
      <c r="D2892" s="4" t="str">
        <f t="shared" si="297"/>
        <v>400028044R1</v>
      </c>
      <c r="E2892" s="309" t="e">
        <f>VLOOKUP($B2892,'D7 - NDB Impacted SPRF''s'!$E$6:$O$9929,2,FALSE)</f>
        <v>#N/A</v>
      </c>
      <c r="F2892" s="8" t="s">
        <v>2114</v>
      </c>
      <c r="G2892" s="8" t="s">
        <v>4758</v>
      </c>
      <c r="H2892" s="8" t="s">
        <v>2870</v>
      </c>
      <c r="I2892" s="20"/>
      <c r="J2892" s="8"/>
      <c r="K2892" s="182"/>
      <c r="L2892" s="8" t="s">
        <v>4156</v>
      </c>
      <c r="M2892" s="8" t="s">
        <v>2814</v>
      </c>
      <c r="N2892" s="38"/>
      <c r="O2892" s="8"/>
      <c r="P2892" s="4" t="e">
        <f>VLOOKUP($B2892,'D7 - NDB Impacted SPRF''s'!$E$16:$O$9929,9,FALSE)</f>
        <v>#N/A</v>
      </c>
      <c r="Q2892" s="4" t="e">
        <f>VLOOKUP($B2892,'D7 - NDB Impacted SPRF''s'!$E$16:$O$9929,10,FALSE)</f>
        <v>#N/A</v>
      </c>
      <c r="R2892" s="4" t="e">
        <f>VLOOKUP($B2892,'D7 - NDB Impacted SPRF''s'!$E$16:$O$9929,11,FALSE)</f>
        <v>#N/A</v>
      </c>
      <c r="S2892" s="8"/>
      <c r="T2892" s="310"/>
      <c r="U2892" s="310"/>
      <c r="V2892" s="4"/>
      <c r="W2892" s="4"/>
      <c r="X2892" s="4"/>
      <c r="Y2892" s="4"/>
      <c r="Z2892" s="4"/>
      <c r="AA2892" s="4"/>
      <c r="AB2892" s="380" t="e">
        <f>VLOOKUP($B2892,'D7 - NDB Impacted SPRF''s'!$E$16:$O$9929,4,FALSE)</f>
        <v>#N/A</v>
      </c>
      <c r="AC2892" s="380" t="e">
        <f>VLOOKUP($B2892,'D7 - NDB Impacted SPRF''s'!$E$16:$O$9929,3,FALSE)</f>
        <v>#N/A</v>
      </c>
      <c r="AD2892" s="380" t="e">
        <f>VLOOKUP($B2892,'D7 - NDB Impacted SPRF''s'!$E$16:$O$9929,5,FALSE)</f>
        <v>#N/A</v>
      </c>
      <c r="AE2892" s="380" t="e">
        <f>VLOOKUP($B2892,'D7 - NDB Impacted SPRF''s'!$E$16:$O$9929,7,FALSE)</f>
        <v>#N/A</v>
      </c>
      <c r="AF2892" s="380" t="e">
        <f>VLOOKUP($B2892,'D7 - NDB Impacted SPRF''s'!$E$16:$O$9929,6,FALSE)</f>
        <v>#N/A</v>
      </c>
      <c r="AG2892" s="282"/>
      <c r="AH2892" s="311" t="e">
        <f>INDEX('D5 - Gatekeeper - Projects'!$A$4:$AF$1010,$AM2892, 17)</f>
        <v>#N/A</v>
      </c>
      <c r="AI2892" s="8"/>
      <c r="AJ2892" s="57"/>
      <c r="AK2892" s="57"/>
      <c r="AM2892" s="6" t="e">
        <f>MATCH(D2892,'D5 - Gatekeeper - Projects'!$C$4:$C$1010,0)</f>
        <v>#N/A</v>
      </c>
      <c r="AN2892" s="6" t="b">
        <f t="shared" si="300"/>
        <v>1</v>
      </c>
      <c r="AO2892" s="6" t="str">
        <f t="shared" si="301"/>
        <v>OK</v>
      </c>
      <c r="AQ2892" s="6" t="e">
        <f>MATCH($D2892,'D4 - Provider Council Unsched'!$C$11:$C$234,0)</f>
        <v>#N/A</v>
      </c>
      <c r="AR2892" s="6" t="b">
        <f t="shared" si="302"/>
        <v>1</v>
      </c>
      <c r="AS2892" s="6" t="str">
        <f t="shared" si="303"/>
        <v>OK</v>
      </c>
      <c r="AU2892" s="202"/>
      <c r="AV2892" s="262"/>
      <c r="AW2892" s="274"/>
    </row>
    <row r="2893" spans="1:49" s="13" customFormat="1" ht="33.75" x14ac:dyDescent="0.2">
      <c r="A2893" s="14">
        <v>2869</v>
      </c>
      <c r="B2893" s="14">
        <v>400028174</v>
      </c>
      <c r="C2893" s="8" t="s">
        <v>5197</v>
      </c>
      <c r="D2893" s="4" t="str">
        <f t="shared" si="297"/>
        <v>400028174R1</v>
      </c>
      <c r="E2893" s="309" t="str">
        <f>VLOOKUP($B2893,'D7 - NDB Impacted SPRF''s'!$E$6:$O$9929,2,FALSE)</f>
        <v>UMR Onalaska Non-Par Pricing for Legacy Platforms</v>
      </c>
      <c r="F2893" s="8" t="s">
        <v>2114</v>
      </c>
      <c r="G2893" s="8" t="s">
        <v>4758</v>
      </c>
      <c r="H2893" s="8" t="s">
        <v>2870</v>
      </c>
      <c r="I2893" s="20"/>
      <c r="J2893" s="8"/>
      <c r="K2893" s="182"/>
      <c r="L2893" s="8" t="s">
        <v>4156</v>
      </c>
      <c r="M2893" s="8" t="s">
        <v>2814</v>
      </c>
      <c r="N2893" s="38"/>
      <c r="O2893" s="8"/>
      <c r="P2893" s="4" t="str">
        <f>VLOOKUP($B2893,'D7 - NDB Impacted SPRF''s'!$E$16:$O$9929,9,FALSE)</f>
        <v>N</v>
      </c>
      <c r="Q2893" s="4" t="str">
        <f>VLOOKUP($B2893,'D7 - NDB Impacted SPRF''s'!$E$16:$O$9929,10,FALSE)</f>
        <v>N</v>
      </c>
      <c r="R2893" s="4" t="str">
        <f>VLOOKUP($B2893,'D7 - NDB Impacted SPRF''s'!$E$16:$O$9929,11,FALSE)</f>
        <v>Y</v>
      </c>
      <c r="S2893" s="8"/>
      <c r="T2893" s="310"/>
      <c r="U2893" s="310"/>
      <c r="V2893" s="4"/>
      <c r="W2893" s="4"/>
      <c r="X2893" s="4"/>
      <c r="Y2893" s="4"/>
      <c r="Z2893" s="4"/>
      <c r="AA2893" s="4"/>
      <c r="AB2893" s="380" t="str">
        <f>VLOOKUP($B2893,'D7 - NDB Impacted SPRF''s'!$E$16:$O$9929,4,FALSE)</f>
        <v>Cancelled</v>
      </c>
      <c r="AC2893" s="380" t="str">
        <f>VLOOKUP($B2893,'D7 - NDB Impacted SPRF''s'!$E$16:$O$9929,3,FALSE)</f>
        <v>UnitedHealthcare Employer &amp; Individual</v>
      </c>
      <c r="AD2893" s="380" t="str">
        <f>VLOOKUP($B2893,'D7 - NDB Impacted SPRF''s'!$E$16:$O$9929,5,FALSE)</f>
        <v>Medical Cost Savings Programs</v>
      </c>
      <c r="AE2893" s="380" t="str">
        <f>VLOOKUP($B2893,'D7 - NDB Impacted SPRF''s'!$E$16:$O$9929,7,FALSE)</f>
        <v>John Haben</v>
      </c>
      <c r="AF2893" s="380" t="str">
        <f>VLOOKUP($B2893,'D7 - NDB Impacted SPRF''s'!$E$16:$O$9929,6,FALSE)</f>
        <v>Ellis Miller</v>
      </c>
      <c r="AG2893" s="282"/>
      <c r="AH2893" s="311" t="e">
        <f>INDEX('D5 - Gatekeeper - Projects'!$A$4:$AF$1010,$AM2893, 17)</f>
        <v>#N/A</v>
      </c>
      <c r="AI2893" s="8"/>
      <c r="AJ2893" s="57"/>
      <c r="AK2893" s="105"/>
      <c r="AM2893" s="6" t="e">
        <f>MATCH(D2893,'D5 - Gatekeeper - Projects'!$C$4:$C$1010,0)</f>
        <v>#N/A</v>
      </c>
      <c r="AN2893" s="6" t="b">
        <f t="shared" si="300"/>
        <v>1</v>
      </c>
      <c r="AO2893" s="6" t="str">
        <f t="shared" si="301"/>
        <v>OK</v>
      </c>
      <c r="AQ2893" s="6" t="e">
        <f>MATCH($D2893,'D4 - Provider Council Unsched'!$C$11:$C$234,0)</f>
        <v>#N/A</v>
      </c>
      <c r="AR2893" s="6" t="b">
        <f t="shared" si="302"/>
        <v>1</v>
      </c>
      <c r="AS2893" s="6" t="str">
        <f t="shared" si="303"/>
        <v>OK</v>
      </c>
      <c r="AU2893" s="202"/>
      <c r="AV2893" s="262"/>
      <c r="AW2893" s="274"/>
    </row>
    <row r="2894" spans="1:49" s="13" customFormat="1" ht="33.75" x14ac:dyDescent="0.2">
      <c r="A2894" s="14">
        <v>2870</v>
      </c>
      <c r="B2894" s="14">
        <v>400028187</v>
      </c>
      <c r="C2894" s="8" t="s">
        <v>5197</v>
      </c>
      <c r="D2894" s="4" t="str">
        <f t="shared" si="297"/>
        <v>400028187R1</v>
      </c>
      <c r="E2894" s="309" t="str">
        <f>VLOOKUP($B2894,'D7 - NDB Impacted SPRF''s'!$E$6:$O$9929,2,FALSE)</f>
        <v xml:space="preserve">Definity Leased Networks - GeoAccess from NDB </v>
      </c>
      <c r="F2894" s="8" t="s">
        <v>7296</v>
      </c>
      <c r="G2894" s="8" t="s">
        <v>4758</v>
      </c>
      <c r="H2894" s="8" t="s">
        <v>2870</v>
      </c>
      <c r="I2894" s="20"/>
      <c r="J2894" s="8"/>
      <c r="K2894" s="182"/>
      <c r="L2894" s="8" t="s">
        <v>4156</v>
      </c>
      <c r="M2894" s="8" t="s">
        <v>2814</v>
      </c>
      <c r="N2894" s="38"/>
      <c r="O2894" s="8"/>
      <c r="P2894" s="4" t="str">
        <f>VLOOKUP($B2894,'D7 - NDB Impacted SPRF''s'!$E$16:$O$9929,9,FALSE)</f>
        <v>N</v>
      </c>
      <c r="Q2894" s="4" t="str">
        <f>VLOOKUP($B2894,'D7 - NDB Impacted SPRF''s'!$E$16:$O$9929,10,FALSE)</f>
        <v>N</v>
      </c>
      <c r="R2894" s="4" t="str">
        <f>VLOOKUP($B2894,'D7 - NDB Impacted SPRF''s'!$E$16:$O$9929,11,FALSE)</f>
        <v>N</v>
      </c>
      <c r="S2894" s="8"/>
      <c r="T2894" s="310"/>
      <c r="U2894" s="310"/>
      <c r="V2894" s="4"/>
      <c r="W2894" s="4"/>
      <c r="X2894" s="4"/>
      <c r="Y2894" s="4"/>
      <c r="Z2894" s="4"/>
      <c r="AA2894" s="4"/>
      <c r="AB2894" s="380" t="str">
        <f>VLOOKUP($B2894,'D7 - NDB Impacted SPRF''s'!$E$16:$O$9929,4,FALSE)</f>
        <v>Cancelled</v>
      </c>
      <c r="AC2894" s="380" t="str">
        <f>VLOOKUP($B2894,'D7 - NDB Impacted SPRF''s'!$E$16:$O$9929,3,FALSE)</f>
        <v>UnitedHealthcare Employer &amp; Individual</v>
      </c>
      <c r="AD2894" s="380" t="str">
        <f>VLOOKUP($B2894,'D7 - NDB Impacted SPRF''s'!$E$16:$O$9929,5,FALSE)</f>
        <v>Integration Requirements</v>
      </c>
      <c r="AE2894" s="380" t="str">
        <f>VLOOKUP($B2894,'D7 - NDB Impacted SPRF''s'!$E$16:$O$9929,7,FALSE)</f>
        <v>John Haben</v>
      </c>
      <c r="AF2894" s="380" t="str">
        <f>VLOOKUP($B2894,'D7 - NDB Impacted SPRF''s'!$E$16:$O$9929,6,FALSE)</f>
        <v>Cathy Hanson</v>
      </c>
      <c r="AG2894" s="282"/>
      <c r="AH2894" s="311" t="e">
        <f>INDEX('D5 - Gatekeeper - Projects'!$A$4:$AF$1010,$AM2894, 17)</f>
        <v>#N/A</v>
      </c>
      <c r="AI2894" s="8"/>
      <c r="AJ2894" s="57"/>
      <c r="AK2894" s="105"/>
      <c r="AM2894" s="6" t="e">
        <f>MATCH(D2894,'D5 - Gatekeeper - Projects'!$C$4:$C$1010,0)</f>
        <v>#N/A</v>
      </c>
      <c r="AN2894" s="6" t="b">
        <f t="shared" si="300"/>
        <v>1</v>
      </c>
      <c r="AO2894" s="6" t="str">
        <f t="shared" si="301"/>
        <v>OK</v>
      </c>
      <c r="AQ2894" s="6" t="e">
        <f>MATCH($D2894,'D4 - Provider Council Unsched'!$C$11:$C$234,0)</f>
        <v>#N/A</v>
      </c>
      <c r="AR2894" s="6" t="b">
        <f t="shared" si="302"/>
        <v>1</v>
      </c>
      <c r="AS2894" s="6" t="str">
        <f t="shared" si="303"/>
        <v>OK</v>
      </c>
      <c r="AU2894" s="202"/>
      <c r="AV2894" s="262"/>
      <c r="AW2894" s="274"/>
    </row>
    <row r="2895" spans="1:49" s="13" customFormat="1" ht="33.75" x14ac:dyDescent="0.2">
      <c r="A2895" s="14">
        <v>2871</v>
      </c>
      <c r="B2895" s="14">
        <v>400028359</v>
      </c>
      <c r="C2895" s="8" t="s">
        <v>5197</v>
      </c>
      <c r="D2895" s="4" t="str">
        <f t="shared" si="297"/>
        <v>400028359R1</v>
      </c>
      <c r="E2895" s="309" t="str">
        <f>VLOOKUP($B2895,'D7 - NDB Impacted SPRF''s'!$E$6:$O$9929,2,FALSE)</f>
        <v>Tuning Program 2009</v>
      </c>
      <c r="F2895" s="8" t="s">
        <v>8133</v>
      </c>
      <c r="G2895" s="8" t="s">
        <v>4758</v>
      </c>
      <c r="H2895" s="8" t="s">
        <v>2870</v>
      </c>
      <c r="I2895" s="20"/>
      <c r="J2895" s="8"/>
      <c r="K2895" s="182"/>
      <c r="L2895" s="8" t="s">
        <v>4156</v>
      </c>
      <c r="M2895" s="8" t="s">
        <v>2814</v>
      </c>
      <c r="N2895" s="38"/>
      <c r="O2895" s="8"/>
      <c r="P2895" s="4" t="str">
        <f>VLOOKUP($B2895,'D7 - NDB Impacted SPRF''s'!$E$16:$O$9929,9,FALSE)</f>
        <v>Y</v>
      </c>
      <c r="Q2895" s="4" t="str">
        <f>VLOOKUP($B2895,'D7 - NDB Impacted SPRF''s'!$E$16:$O$9929,10,FALSE)</f>
        <v>N</v>
      </c>
      <c r="R2895" s="4" t="str">
        <f>VLOOKUP($B2895,'D7 - NDB Impacted SPRF''s'!$E$16:$O$9929,11,FALSE)</f>
        <v>N</v>
      </c>
      <c r="S2895" s="8"/>
      <c r="T2895" s="310"/>
      <c r="U2895" s="310"/>
      <c r="V2895" s="4"/>
      <c r="W2895" s="4"/>
      <c r="X2895" s="4"/>
      <c r="Y2895" s="4"/>
      <c r="Z2895" s="4"/>
      <c r="AA2895" s="4"/>
      <c r="AB2895" s="380" t="str">
        <f>VLOOKUP($B2895,'D7 - NDB Impacted SPRF''s'!$E$16:$O$9929,4,FALSE)</f>
        <v>Cancelled</v>
      </c>
      <c r="AC2895" s="380" t="str">
        <f>VLOOKUP($B2895,'D7 - NDB Impacted SPRF''s'!$E$16:$O$9929,3,FALSE)</f>
        <v>UHG IT - Application Services Group</v>
      </c>
      <c r="AD2895" s="380" t="str">
        <f>VLOOKUP($B2895,'D7 - NDB Impacted SPRF''s'!$E$16:$O$9929,5,FALSE)</f>
        <v>ASG</v>
      </c>
      <c r="AE2895" s="380" t="str">
        <f>VLOOKUP($B2895,'D7 - NDB Impacted SPRF''s'!$E$16:$O$9929,7,FALSE)</f>
        <v>Steve Kooren</v>
      </c>
      <c r="AF2895" s="380" t="str">
        <f>VLOOKUP($B2895,'D7 - NDB Impacted SPRF''s'!$E$16:$O$9929,6,FALSE)</f>
        <v>Jeffrey Jablonski</v>
      </c>
      <c r="AG2895" s="282"/>
      <c r="AH2895" s="311" t="e">
        <f>INDEX('D5 - Gatekeeper - Projects'!$A$4:$AF$1010,$AM2895, 17)</f>
        <v>#N/A</v>
      </c>
      <c r="AI2895" s="8"/>
      <c r="AJ2895" s="57"/>
      <c r="AK2895" s="57"/>
      <c r="AM2895" s="6" t="e">
        <f>MATCH(D2895,'D5 - Gatekeeper - Projects'!$C$4:$C$1010,0)</f>
        <v>#N/A</v>
      </c>
      <c r="AN2895" s="6" t="b">
        <f t="shared" si="300"/>
        <v>1</v>
      </c>
      <c r="AO2895" s="6" t="str">
        <f t="shared" si="301"/>
        <v>OK</v>
      </c>
      <c r="AQ2895" s="6" t="e">
        <f>MATCH($D2895,'D4 - Provider Council Unsched'!$C$11:$C$234,0)</f>
        <v>#N/A</v>
      </c>
      <c r="AR2895" s="6" t="b">
        <f t="shared" si="302"/>
        <v>1</v>
      </c>
      <c r="AS2895" s="6" t="str">
        <f t="shared" si="303"/>
        <v>OK</v>
      </c>
      <c r="AU2895" s="202"/>
      <c r="AV2895" s="262"/>
      <c r="AW2895" s="274"/>
    </row>
    <row r="2896" spans="1:49" s="13" customFormat="1" x14ac:dyDescent="0.2">
      <c r="A2896" s="14">
        <v>2872</v>
      </c>
      <c r="B2896" s="14">
        <v>400028365</v>
      </c>
      <c r="C2896" s="8" t="s">
        <v>5197</v>
      </c>
      <c r="D2896" s="4" t="str">
        <f t="shared" si="297"/>
        <v>400028365R1</v>
      </c>
      <c r="E2896" s="309" t="e">
        <f>VLOOKUP($B2896,'D7 - NDB Impacted SPRF''s'!$E$6:$O$9929,2,FALSE)</f>
        <v>#N/A</v>
      </c>
      <c r="F2896" s="8" t="s">
        <v>3248</v>
      </c>
      <c r="G2896" s="8" t="s">
        <v>4758</v>
      </c>
      <c r="H2896" s="8" t="s">
        <v>2870</v>
      </c>
      <c r="I2896" s="20"/>
      <c r="J2896" s="8"/>
      <c r="K2896" s="182"/>
      <c r="L2896" s="8" t="s">
        <v>4156</v>
      </c>
      <c r="M2896" s="8" t="s">
        <v>2814</v>
      </c>
      <c r="N2896" s="38" t="s">
        <v>7482</v>
      </c>
      <c r="O2896" s="8"/>
      <c r="P2896" s="4" t="e">
        <f>VLOOKUP($B2896,'D7 - NDB Impacted SPRF''s'!$E$16:$O$9929,9,FALSE)</f>
        <v>#N/A</v>
      </c>
      <c r="Q2896" s="4" t="e">
        <f>VLOOKUP($B2896,'D7 - NDB Impacted SPRF''s'!$E$16:$O$9929,10,FALSE)</f>
        <v>#N/A</v>
      </c>
      <c r="R2896" s="4" t="e">
        <f>VLOOKUP($B2896,'D7 - NDB Impacted SPRF''s'!$E$16:$O$9929,11,FALSE)</f>
        <v>#N/A</v>
      </c>
      <c r="S2896" s="8"/>
      <c r="T2896" s="310"/>
      <c r="U2896" s="310"/>
      <c r="V2896" s="4"/>
      <c r="W2896" s="4"/>
      <c r="X2896" s="4"/>
      <c r="Y2896" s="4"/>
      <c r="Z2896" s="4"/>
      <c r="AA2896" s="4"/>
      <c r="AB2896" s="380" t="e">
        <f>VLOOKUP($B2896,'D7 - NDB Impacted SPRF''s'!$E$16:$O$9929,4,FALSE)</f>
        <v>#N/A</v>
      </c>
      <c r="AC2896" s="380" t="e">
        <f>VLOOKUP($B2896,'D7 - NDB Impacted SPRF''s'!$E$16:$O$9929,3,FALSE)</f>
        <v>#N/A</v>
      </c>
      <c r="AD2896" s="380" t="e">
        <f>VLOOKUP($B2896,'D7 - NDB Impacted SPRF''s'!$E$16:$O$9929,5,FALSE)</f>
        <v>#N/A</v>
      </c>
      <c r="AE2896" s="380" t="e">
        <f>VLOOKUP($B2896,'D7 - NDB Impacted SPRF''s'!$E$16:$O$9929,7,FALSE)</f>
        <v>#N/A</v>
      </c>
      <c r="AF2896" s="380" t="e">
        <f>VLOOKUP($B2896,'D7 - NDB Impacted SPRF''s'!$E$16:$O$9929,6,FALSE)</f>
        <v>#N/A</v>
      </c>
      <c r="AG2896" s="282"/>
      <c r="AH2896" s="311" t="e">
        <f>INDEX('D5 - Gatekeeper - Projects'!$A$4:$AF$1010,$AM2896, 17)</f>
        <v>#N/A</v>
      </c>
      <c r="AI2896" s="8"/>
      <c r="AJ2896" s="57"/>
      <c r="AK2896" s="57"/>
      <c r="AM2896" s="6" t="e">
        <f>MATCH(D2896,'D5 - Gatekeeper - Projects'!$C$4:$C$1010,0)</f>
        <v>#N/A</v>
      </c>
      <c r="AN2896" s="6" t="b">
        <f t="shared" si="300"/>
        <v>1</v>
      </c>
      <c r="AO2896" s="6" t="str">
        <f t="shared" si="301"/>
        <v>OK</v>
      </c>
      <c r="AQ2896" s="6" t="e">
        <f>MATCH($D2896,'D4 - Provider Council Unsched'!$C$11:$C$234,0)</f>
        <v>#N/A</v>
      </c>
      <c r="AR2896" s="6" t="b">
        <f t="shared" si="302"/>
        <v>1</v>
      </c>
      <c r="AS2896" s="6" t="str">
        <f t="shared" si="303"/>
        <v>OK</v>
      </c>
      <c r="AU2896" s="202"/>
      <c r="AV2896" s="262"/>
      <c r="AW2896" s="274"/>
    </row>
    <row r="2897" spans="1:49" s="13" customFormat="1" ht="33.75" x14ac:dyDescent="0.2">
      <c r="A2897" s="14">
        <v>2873</v>
      </c>
      <c r="B2897" s="14">
        <v>400028376</v>
      </c>
      <c r="C2897" s="8" t="s">
        <v>5197</v>
      </c>
      <c r="D2897" s="4" t="str">
        <f t="shared" si="297"/>
        <v>400028376R1</v>
      </c>
      <c r="E2897" s="309" t="str">
        <f>VLOOKUP($B2897,'D7 - NDB Impacted SPRF''s'!$E$6:$O$9929,2,FALSE)</f>
        <v>2009 NDB UT Provider Pick Analysis Only</v>
      </c>
      <c r="F2897" s="8" t="s">
        <v>2114</v>
      </c>
      <c r="G2897" s="8" t="s">
        <v>4758</v>
      </c>
      <c r="H2897" s="8" t="s">
        <v>2870</v>
      </c>
      <c r="I2897" s="20"/>
      <c r="J2897" s="8"/>
      <c r="K2897" s="182"/>
      <c r="L2897" s="8" t="s">
        <v>4156</v>
      </c>
      <c r="M2897" s="8" t="s">
        <v>2814</v>
      </c>
      <c r="N2897" s="38" t="s">
        <v>4680</v>
      </c>
      <c r="O2897" s="8"/>
      <c r="P2897" s="4" t="str">
        <f>VLOOKUP($B2897,'D7 - NDB Impacted SPRF''s'!$E$16:$O$9929,9,FALSE)</f>
        <v>N</v>
      </c>
      <c r="Q2897" s="4" t="str">
        <f>VLOOKUP($B2897,'D7 - NDB Impacted SPRF''s'!$E$16:$O$9929,10,FALSE)</f>
        <v>N</v>
      </c>
      <c r="R2897" s="4" t="str">
        <f>VLOOKUP($B2897,'D7 - NDB Impacted SPRF''s'!$E$16:$O$9929,11,FALSE)</f>
        <v>N</v>
      </c>
      <c r="S2897" s="8"/>
      <c r="T2897" s="310"/>
      <c r="U2897" s="310"/>
      <c r="V2897" s="4"/>
      <c r="W2897" s="4"/>
      <c r="X2897" s="4"/>
      <c r="Y2897" s="4"/>
      <c r="Z2897" s="4"/>
      <c r="AA2897" s="4"/>
      <c r="AB2897" s="380" t="str">
        <f>VLOOKUP($B2897,'D7 - NDB Impacted SPRF''s'!$E$16:$O$9929,4,FALSE)</f>
        <v>Completed</v>
      </c>
      <c r="AC2897" s="380" t="str">
        <f>VLOOKUP($B2897,'D7 - NDB Impacted SPRF''s'!$E$16:$O$9929,3,FALSE)</f>
        <v>UnitedHealthcare Employer &amp; Individual</v>
      </c>
      <c r="AD2897" s="380" t="str">
        <f>VLOOKUP($B2897,'D7 - NDB Impacted SPRF''s'!$E$16:$O$9929,5,FALSE)</f>
        <v>Operational Requirements</v>
      </c>
      <c r="AE2897" s="380" t="str">
        <f>VLOOKUP($B2897,'D7 - NDB Impacted SPRF''s'!$E$16:$O$9929,7,FALSE)</f>
        <v>Jillian Foucre</v>
      </c>
      <c r="AF2897" s="380" t="str">
        <f>VLOOKUP($B2897,'D7 - NDB Impacted SPRF''s'!$E$16:$O$9929,6,FALSE)</f>
        <v>PARK CHRISTINE</v>
      </c>
      <c r="AG2897" s="282"/>
      <c r="AH2897" s="311" t="e">
        <f>INDEX('D5 - Gatekeeper - Projects'!$A$4:$AF$1010,$AM2897, 17)</f>
        <v>#N/A</v>
      </c>
      <c r="AI2897" s="8"/>
      <c r="AJ2897" s="57"/>
      <c r="AK2897" s="57"/>
      <c r="AM2897" s="6" t="e">
        <f>MATCH(D2897,'D5 - Gatekeeper - Projects'!$C$4:$C$1010,0)</f>
        <v>#N/A</v>
      </c>
      <c r="AN2897" s="6" t="b">
        <f t="shared" si="300"/>
        <v>1</v>
      </c>
      <c r="AO2897" s="6" t="str">
        <f t="shared" si="301"/>
        <v>OK</v>
      </c>
      <c r="AQ2897" s="6" t="e">
        <f>MATCH($D2897,'D4 - Provider Council Unsched'!$C$11:$C$234,0)</f>
        <v>#N/A</v>
      </c>
      <c r="AR2897" s="6" t="b">
        <f t="shared" si="302"/>
        <v>1</v>
      </c>
      <c r="AS2897" s="6" t="str">
        <f t="shared" si="303"/>
        <v>OK</v>
      </c>
      <c r="AU2897" s="202"/>
      <c r="AV2897" s="262"/>
      <c r="AW2897" s="274"/>
    </row>
    <row r="2898" spans="1:49" s="13" customFormat="1" ht="33.75" x14ac:dyDescent="0.2">
      <c r="A2898" s="14">
        <v>2874</v>
      </c>
      <c r="B2898" s="14">
        <v>400028474</v>
      </c>
      <c r="C2898" s="8" t="s">
        <v>5197</v>
      </c>
      <c r="D2898" s="4" t="str">
        <f t="shared" si="297"/>
        <v>400028474R1</v>
      </c>
      <c r="E2898" s="309" t="str">
        <f>VLOOKUP($B2898,'D7 - NDB Impacted SPRF''s'!$E$6:$O$9929,2,FALSE)</f>
        <v>Common Intake / Coverage Review Commercial Deploym</v>
      </c>
      <c r="F2898" s="8" t="s">
        <v>6401</v>
      </c>
      <c r="G2898" s="8" t="s">
        <v>4758</v>
      </c>
      <c r="H2898" s="8" t="s">
        <v>2870</v>
      </c>
      <c r="I2898" s="20"/>
      <c r="J2898" s="8"/>
      <c r="K2898" s="182"/>
      <c r="L2898" s="8" t="s">
        <v>4156</v>
      </c>
      <c r="M2898" s="8" t="s">
        <v>2814</v>
      </c>
      <c r="N2898" s="38"/>
      <c r="O2898" s="8"/>
      <c r="P2898" s="4" t="str">
        <f>VLOOKUP($B2898,'D7 - NDB Impacted SPRF''s'!$E$16:$O$9929,9,FALSE)</f>
        <v>Y</v>
      </c>
      <c r="Q2898" s="4" t="str">
        <f>VLOOKUP($B2898,'D7 - NDB Impacted SPRF''s'!$E$16:$O$9929,10,FALSE)</f>
        <v>N</v>
      </c>
      <c r="R2898" s="4" t="str">
        <f>VLOOKUP($B2898,'D7 - NDB Impacted SPRF''s'!$E$16:$O$9929,11,FALSE)</f>
        <v>N</v>
      </c>
      <c r="S2898" s="8"/>
      <c r="T2898" s="310"/>
      <c r="U2898" s="310"/>
      <c r="V2898" s="4"/>
      <c r="W2898" s="4"/>
      <c r="X2898" s="4"/>
      <c r="Y2898" s="4"/>
      <c r="Z2898" s="4"/>
      <c r="AA2898" s="4"/>
      <c r="AB2898" s="380" t="str">
        <f>VLOOKUP($B2898,'D7 - NDB Impacted SPRF''s'!$E$16:$O$9929,4,FALSE)</f>
        <v>Cancelled</v>
      </c>
      <c r="AC2898" s="380" t="str">
        <f>VLOOKUP($B2898,'D7 - NDB Impacted SPRF''s'!$E$16:$O$9929,3,FALSE)</f>
        <v>UnitedHealthcare Medicare &amp; Retirement</v>
      </c>
      <c r="AD2898" s="380" t="str">
        <f>VLOOKUP($B2898,'D7 - NDB Impacted SPRF''s'!$E$16:$O$9929,5,FALSE)</f>
        <v>Enterprise Clinical</v>
      </c>
      <c r="AE2898" s="380" t="str">
        <f>VLOOKUP($B2898,'D7 - NDB Impacted SPRF''s'!$E$16:$O$9929,7,FALSE)</f>
        <v>Mary Jane Beeson</v>
      </c>
      <c r="AF2898" s="380" t="str">
        <f>VLOOKUP($B2898,'D7 - NDB Impacted SPRF''s'!$E$16:$O$9929,6,FALSE)</f>
        <v>DEREK HAAG</v>
      </c>
      <c r="AG2898" s="282"/>
      <c r="AH2898" s="311" t="e">
        <f>INDEX('D5 - Gatekeeper - Projects'!$A$4:$AF$1010,$AM2898, 17)</f>
        <v>#N/A</v>
      </c>
      <c r="AI2898" s="8"/>
      <c r="AJ2898" s="57"/>
      <c r="AK2898" s="105"/>
      <c r="AM2898" s="6" t="e">
        <f>MATCH(D2898,'D5 - Gatekeeper - Projects'!$C$4:$C$1010,0)</f>
        <v>#N/A</v>
      </c>
      <c r="AN2898" s="6" t="b">
        <f t="shared" si="300"/>
        <v>1</v>
      </c>
      <c r="AO2898" s="6" t="str">
        <f t="shared" si="301"/>
        <v>OK</v>
      </c>
      <c r="AQ2898" s="6" t="e">
        <f>MATCH($D2898,'D4 - Provider Council Unsched'!$C$11:$C$234,0)</f>
        <v>#N/A</v>
      </c>
      <c r="AR2898" s="6" t="b">
        <f t="shared" si="302"/>
        <v>1</v>
      </c>
      <c r="AS2898" s="6" t="str">
        <f t="shared" si="303"/>
        <v>OK</v>
      </c>
      <c r="AU2898" s="202"/>
      <c r="AV2898" s="262"/>
      <c r="AW2898" s="274"/>
    </row>
    <row r="2899" spans="1:49" s="13" customFormat="1" ht="33.75" x14ac:dyDescent="0.2">
      <c r="A2899" s="14">
        <v>2875</v>
      </c>
      <c r="B2899" s="14">
        <v>400028636</v>
      </c>
      <c r="C2899" s="8" t="s">
        <v>5197</v>
      </c>
      <c r="D2899" s="4" t="str">
        <f t="shared" si="297"/>
        <v>400028636R1</v>
      </c>
      <c r="E2899" s="309" t="str">
        <f>VLOOKUP($B2899,'D7 - NDB Impacted SPRF''s'!$E$6:$O$9929,2,FALSE)</f>
        <v>NDC Pricing - Phase 2 OHP</v>
      </c>
      <c r="F2899" s="8" t="s">
        <v>7651</v>
      </c>
      <c r="G2899" s="8" t="s">
        <v>4758</v>
      </c>
      <c r="H2899" s="8" t="s">
        <v>2870</v>
      </c>
      <c r="I2899" s="20"/>
      <c r="J2899" s="8"/>
      <c r="K2899" s="182"/>
      <c r="L2899" s="8" t="s">
        <v>4156</v>
      </c>
      <c r="M2899" s="8" t="s">
        <v>2814</v>
      </c>
      <c r="N2899" s="38"/>
      <c r="O2899" s="8"/>
      <c r="P2899" s="4" t="str">
        <f>VLOOKUP($B2899,'D7 - NDB Impacted SPRF''s'!$E$16:$O$9929,9,FALSE)</f>
        <v>N</v>
      </c>
      <c r="Q2899" s="4" t="str">
        <f>VLOOKUP($B2899,'D7 - NDB Impacted SPRF''s'!$E$16:$O$9929,10,FALSE)</f>
        <v>N</v>
      </c>
      <c r="R2899" s="4" t="str">
        <f>VLOOKUP($B2899,'D7 - NDB Impacted SPRF''s'!$E$16:$O$9929,11,FALSE)</f>
        <v>Y</v>
      </c>
      <c r="S2899" s="8"/>
      <c r="T2899" s="310"/>
      <c r="U2899" s="310"/>
      <c r="V2899" s="4"/>
      <c r="W2899" s="4"/>
      <c r="X2899" s="4"/>
      <c r="Y2899" s="4"/>
      <c r="Z2899" s="4"/>
      <c r="AA2899" s="4"/>
      <c r="AB2899" s="380" t="str">
        <f>VLOOKUP($B2899,'D7 - NDB Impacted SPRF''s'!$E$16:$O$9929,4,FALSE)</f>
        <v>Cancelled</v>
      </c>
      <c r="AC2899" s="380" t="str">
        <f>VLOOKUP($B2899,'D7 - NDB Impacted SPRF''s'!$E$16:$O$9929,3,FALSE)</f>
        <v>UnitedHealthcare Employer &amp; Individual</v>
      </c>
      <c r="AD2899" s="380" t="str">
        <f>VLOOKUP($B2899,'D7 - NDB Impacted SPRF''s'!$E$16:$O$9929,5,FALSE)</f>
        <v>Medical Cost Savings Programs</v>
      </c>
      <c r="AE2899" s="380" t="str">
        <f>VLOOKUP($B2899,'D7 - NDB Impacted SPRF''s'!$E$16:$O$9929,7,FALSE)</f>
        <v>Randy Falkenrath</v>
      </c>
      <c r="AF2899" s="380" t="str">
        <f>VLOOKUP($B2899,'D7 - NDB Impacted SPRF''s'!$E$16:$O$9929,6,FALSE)</f>
        <v>Brent Graham</v>
      </c>
      <c r="AG2899" s="282"/>
      <c r="AH2899" s="311" t="e">
        <f>INDEX('D5 - Gatekeeper - Projects'!$A$4:$AF$1010,$AM2899, 17)</f>
        <v>#N/A</v>
      </c>
      <c r="AI2899" s="8"/>
      <c r="AJ2899" s="57"/>
      <c r="AK2899" s="57"/>
      <c r="AM2899" s="6" t="e">
        <f>MATCH(D2899,'D5 - Gatekeeper - Projects'!$C$4:$C$1010,0)</f>
        <v>#N/A</v>
      </c>
      <c r="AN2899" s="6" t="b">
        <f t="shared" si="300"/>
        <v>1</v>
      </c>
      <c r="AO2899" s="6" t="str">
        <f t="shared" si="301"/>
        <v>OK</v>
      </c>
      <c r="AQ2899" s="6" t="e">
        <f>MATCH($D2899,'D4 - Provider Council Unsched'!$C$11:$C$234,0)</f>
        <v>#N/A</v>
      </c>
      <c r="AR2899" s="6" t="b">
        <f t="shared" si="302"/>
        <v>1</v>
      </c>
      <c r="AS2899" s="6" t="str">
        <f t="shared" si="303"/>
        <v>OK</v>
      </c>
      <c r="AU2899" s="202"/>
      <c r="AV2899" s="262"/>
      <c r="AW2899" s="274"/>
    </row>
    <row r="2900" spans="1:49" s="13" customFormat="1" ht="33.75" x14ac:dyDescent="0.2">
      <c r="A2900" s="14">
        <v>2876</v>
      </c>
      <c r="B2900" s="14">
        <v>400028638</v>
      </c>
      <c r="C2900" s="8" t="s">
        <v>5197</v>
      </c>
      <c r="D2900" s="4" t="str">
        <f t="shared" si="297"/>
        <v>400028638R1</v>
      </c>
      <c r="E2900" s="309" t="str">
        <f>VLOOKUP($B2900,'D7 - NDB Impacted SPRF''s'!$E$6:$O$9929,2,FALSE)</f>
        <v>NDC Pricing - Phase 2 PHS (QicLink)</v>
      </c>
      <c r="F2900" s="8" t="s">
        <v>7651</v>
      </c>
      <c r="G2900" s="8" t="s">
        <v>4758</v>
      </c>
      <c r="H2900" s="8" t="s">
        <v>2870</v>
      </c>
      <c r="I2900" s="20"/>
      <c r="J2900" s="8"/>
      <c r="K2900" s="182"/>
      <c r="L2900" s="8" t="s">
        <v>4156</v>
      </c>
      <c r="M2900" s="8" t="s">
        <v>2814</v>
      </c>
      <c r="N2900" s="38" t="s">
        <v>1635</v>
      </c>
      <c r="O2900" s="8"/>
      <c r="P2900" s="4" t="str">
        <f>VLOOKUP($B2900,'D7 - NDB Impacted SPRF''s'!$E$16:$O$9929,9,FALSE)</f>
        <v>N</v>
      </c>
      <c r="Q2900" s="4" t="str">
        <f>VLOOKUP($B2900,'D7 - NDB Impacted SPRF''s'!$E$16:$O$9929,10,FALSE)</f>
        <v>N</v>
      </c>
      <c r="R2900" s="4" t="str">
        <f>VLOOKUP($B2900,'D7 - NDB Impacted SPRF''s'!$E$16:$O$9929,11,FALSE)</f>
        <v>Y</v>
      </c>
      <c r="S2900" s="8"/>
      <c r="T2900" s="310"/>
      <c r="U2900" s="310"/>
      <c r="V2900" s="4"/>
      <c r="W2900" s="4"/>
      <c r="X2900" s="4"/>
      <c r="Y2900" s="4"/>
      <c r="Z2900" s="4"/>
      <c r="AA2900" s="4"/>
      <c r="AB2900" s="380" t="str">
        <f>VLOOKUP($B2900,'D7 - NDB Impacted SPRF''s'!$E$16:$O$9929,4,FALSE)</f>
        <v>Cancelled</v>
      </c>
      <c r="AC2900" s="380" t="str">
        <f>VLOOKUP($B2900,'D7 - NDB Impacted SPRF''s'!$E$16:$O$9929,3,FALSE)</f>
        <v>UnitedHealthcare Employer &amp; Individual</v>
      </c>
      <c r="AD2900" s="380" t="str">
        <f>VLOOKUP($B2900,'D7 - NDB Impacted SPRF''s'!$E$16:$O$9929,5,FALSE)</f>
        <v>Medical Cost Savings Programs</v>
      </c>
      <c r="AE2900" s="380" t="str">
        <f>VLOOKUP($B2900,'D7 - NDB Impacted SPRF''s'!$E$16:$O$9929,7,FALSE)</f>
        <v>Randy Falkenrath</v>
      </c>
      <c r="AF2900" s="380" t="str">
        <f>VLOOKUP($B2900,'D7 - NDB Impacted SPRF''s'!$E$16:$O$9929,6,FALSE)</f>
        <v>Brent Graham</v>
      </c>
      <c r="AG2900" s="282"/>
      <c r="AH2900" s="311" t="e">
        <f>INDEX('D5 - Gatekeeper - Projects'!$A$4:$AF$1010,$AM2900, 17)</f>
        <v>#N/A</v>
      </c>
      <c r="AI2900" s="8"/>
      <c r="AJ2900" s="57"/>
      <c r="AK2900" s="57"/>
      <c r="AM2900" s="6" t="e">
        <f>MATCH(D2900,'D5 - Gatekeeper - Projects'!$C$4:$C$1010,0)</f>
        <v>#N/A</v>
      </c>
      <c r="AN2900" s="6" t="b">
        <f t="shared" si="300"/>
        <v>1</v>
      </c>
      <c r="AO2900" s="6" t="str">
        <f t="shared" si="301"/>
        <v>OK</v>
      </c>
      <c r="AQ2900" s="6" t="e">
        <f>MATCH($D2900,'D4 - Provider Council Unsched'!$C$11:$C$234,0)</f>
        <v>#N/A</v>
      </c>
      <c r="AR2900" s="6" t="b">
        <f t="shared" si="302"/>
        <v>1</v>
      </c>
      <c r="AS2900" s="6" t="str">
        <f t="shared" si="303"/>
        <v>OK</v>
      </c>
      <c r="AU2900" s="202"/>
      <c r="AV2900" s="262"/>
      <c r="AW2900" s="274"/>
    </row>
    <row r="2901" spans="1:49" s="13" customFormat="1" ht="33.75" x14ac:dyDescent="0.2">
      <c r="A2901" s="14">
        <v>2877</v>
      </c>
      <c r="B2901" s="14">
        <v>400028640</v>
      </c>
      <c r="C2901" s="8" t="s">
        <v>5197</v>
      </c>
      <c r="D2901" s="4" t="str">
        <f t="shared" si="297"/>
        <v>400028640R1</v>
      </c>
      <c r="E2901" s="309" t="str">
        <f>VLOOKUP($B2901,'D7 - NDB Impacted SPRF''s'!$E$6:$O$9929,2,FALSE)</f>
        <v>NDC Pricing - Phase 2 PHS (Nice)</v>
      </c>
      <c r="F2901" s="8" t="s">
        <v>7651</v>
      </c>
      <c r="G2901" s="8" t="s">
        <v>4758</v>
      </c>
      <c r="H2901" s="8" t="s">
        <v>2870</v>
      </c>
      <c r="I2901" s="20"/>
      <c r="J2901" s="8"/>
      <c r="K2901" s="182"/>
      <c r="L2901" s="8" t="s">
        <v>4156</v>
      </c>
      <c r="M2901" s="8" t="s">
        <v>2814</v>
      </c>
      <c r="N2901" s="38"/>
      <c r="O2901" s="8"/>
      <c r="P2901" s="4" t="str">
        <f>VLOOKUP($B2901,'D7 - NDB Impacted SPRF''s'!$E$16:$O$9929,9,FALSE)</f>
        <v>N</v>
      </c>
      <c r="Q2901" s="4" t="str">
        <f>VLOOKUP($B2901,'D7 - NDB Impacted SPRF''s'!$E$16:$O$9929,10,FALSE)</f>
        <v>N</v>
      </c>
      <c r="R2901" s="4" t="str">
        <f>VLOOKUP($B2901,'D7 - NDB Impacted SPRF''s'!$E$16:$O$9929,11,FALSE)</f>
        <v>Y</v>
      </c>
      <c r="S2901" s="8"/>
      <c r="T2901" s="310"/>
      <c r="U2901" s="310"/>
      <c r="V2901" s="4"/>
      <c r="W2901" s="4"/>
      <c r="X2901" s="4"/>
      <c r="Y2901" s="4"/>
      <c r="Z2901" s="4"/>
      <c r="AA2901" s="4"/>
      <c r="AB2901" s="380" t="str">
        <f>VLOOKUP($B2901,'D7 - NDB Impacted SPRF''s'!$E$16:$O$9929,4,FALSE)</f>
        <v>Cancelled</v>
      </c>
      <c r="AC2901" s="380" t="str">
        <f>VLOOKUP($B2901,'D7 - NDB Impacted SPRF''s'!$E$16:$O$9929,3,FALSE)</f>
        <v>UnitedHealthcare Employer &amp; Individual</v>
      </c>
      <c r="AD2901" s="380" t="str">
        <f>VLOOKUP($B2901,'D7 - NDB Impacted SPRF''s'!$E$16:$O$9929,5,FALSE)</f>
        <v>Medical Cost Savings Programs</v>
      </c>
      <c r="AE2901" s="380" t="str">
        <f>VLOOKUP($B2901,'D7 - NDB Impacted SPRF''s'!$E$16:$O$9929,7,FALSE)</f>
        <v>Randy Falkenrath</v>
      </c>
      <c r="AF2901" s="380" t="str">
        <f>VLOOKUP($B2901,'D7 - NDB Impacted SPRF''s'!$E$16:$O$9929,6,FALSE)</f>
        <v>Brent Graham</v>
      </c>
      <c r="AG2901" s="282"/>
      <c r="AH2901" s="311" t="e">
        <f>INDEX('D5 - Gatekeeper - Projects'!$A$4:$AF$1010,$AM2901, 17)</f>
        <v>#N/A</v>
      </c>
      <c r="AI2901" s="8"/>
      <c r="AJ2901" s="57"/>
      <c r="AK2901" s="57"/>
      <c r="AM2901" s="6" t="e">
        <f>MATCH(D2901,'D5 - Gatekeeper - Projects'!$C$4:$C$1010,0)</f>
        <v>#N/A</v>
      </c>
      <c r="AN2901" s="6" t="b">
        <f t="shared" si="300"/>
        <v>1</v>
      </c>
      <c r="AO2901" s="6" t="str">
        <f t="shared" si="301"/>
        <v>OK</v>
      </c>
      <c r="AQ2901" s="6" t="e">
        <f>MATCH($D2901,'D4 - Provider Council Unsched'!$C$11:$C$234,0)</f>
        <v>#N/A</v>
      </c>
      <c r="AR2901" s="6" t="b">
        <f t="shared" si="302"/>
        <v>1</v>
      </c>
      <c r="AS2901" s="6" t="str">
        <f t="shared" si="303"/>
        <v>OK</v>
      </c>
      <c r="AU2901" s="202"/>
      <c r="AV2901" s="262"/>
      <c r="AW2901" s="274"/>
    </row>
    <row r="2902" spans="1:49" s="13" customFormat="1" ht="33.75" x14ac:dyDescent="0.2">
      <c r="A2902" s="14">
        <v>2878</v>
      </c>
      <c r="B2902" s="14">
        <v>400028641</v>
      </c>
      <c r="C2902" s="8" t="s">
        <v>5197</v>
      </c>
      <c r="D2902" s="4" t="str">
        <f t="shared" si="297"/>
        <v>400028641R1</v>
      </c>
      <c r="E2902" s="309" t="str">
        <f>VLOOKUP($B2902,'D7 - NDB Impacted SPRF''s'!$E$6:$O$9929,2,FALSE)</f>
        <v>NDC Pricing - Phase 2 PHS (Iliad)</v>
      </c>
      <c r="F2902" s="8" t="s">
        <v>7651</v>
      </c>
      <c r="G2902" s="8" t="s">
        <v>4758</v>
      </c>
      <c r="H2902" s="8" t="s">
        <v>2870</v>
      </c>
      <c r="I2902" s="20"/>
      <c r="J2902" s="8"/>
      <c r="K2902" s="182"/>
      <c r="L2902" s="8" t="s">
        <v>4156</v>
      </c>
      <c r="M2902" s="8" t="s">
        <v>2814</v>
      </c>
      <c r="N2902" s="38" t="s">
        <v>1635</v>
      </c>
      <c r="O2902" s="8"/>
      <c r="P2902" s="4" t="str">
        <f>VLOOKUP($B2902,'D7 - NDB Impacted SPRF''s'!$E$16:$O$9929,9,FALSE)</f>
        <v>N</v>
      </c>
      <c r="Q2902" s="4" t="str">
        <f>VLOOKUP($B2902,'D7 - NDB Impacted SPRF''s'!$E$16:$O$9929,10,FALSE)</f>
        <v>N</v>
      </c>
      <c r="R2902" s="4" t="str">
        <f>VLOOKUP($B2902,'D7 - NDB Impacted SPRF''s'!$E$16:$O$9929,11,FALSE)</f>
        <v>Y</v>
      </c>
      <c r="S2902" s="8"/>
      <c r="T2902" s="310"/>
      <c r="U2902" s="310"/>
      <c r="V2902" s="4"/>
      <c r="W2902" s="4"/>
      <c r="X2902" s="4"/>
      <c r="Y2902" s="4"/>
      <c r="Z2902" s="4"/>
      <c r="AA2902" s="4"/>
      <c r="AB2902" s="380" t="str">
        <f>VLOOKUP($B2902,'D7 - NDB Impacted SPRF''s'!$E$16:$O$9929,4,FALSE)</f>
        <v>Cancelled</v>
      </c>
      <c r="AC2902" s="380" t="str">
        <f>VLOOKUP($B2902,'D7 - NDB Impacted SPRF''s'!$E$16:$O$9929,3,FALSE)</f>
        <v>UnitedHealthcare Employer &amp; Individual</v>
      </c>
      <c r="AD2902" s="380" t="str">
        <f>VLOOKUP($B2902,'D7 - NDB Impacted SPRF''s'!$E$16:$O$9929,5,FALSE)</f>
        <v>Medical Cost Savings Programs</v>
      </c>
      <c r="AE2902" s="380" t="str">
        <f>VLOOKUP($B2902,'D7 - NDB Impacted SPRF''s'!$E$16:$O$9929,7,FALSE)</f>
        <v>Randy Falkenrath</v>
      </c>
      <c r="AF2902" s="380" t="str">
        <f>VLOOKUP($B2902,'D7 - NDB Impacted SPRF''s'!$E$16:$O$9929,6,FALSE)</f>
        <v>Brent Graham</v>
      </c>
      <c r="AG2902" s="282"/>
      <c r="AH2902" s="311" t="e">
        <f>INDEX('D5 - Gatekeeper - Projects'!$A$4:$AF$1010,$AM2902, 17)</f>
        <v>#N/A</v>
      </c>
      <c r="AI2902" s="8"/>
      <c r="AJ2902" s="57"/>
      <c r="AK2902" s="57"/>
      <c r="AM2902" s="6" t="e">
        <f>MATCH(D2902,'D5 - Gatekeeper - Projects'!$C$4:$C$1010,0)</f>
        <v>#N/A</v>
      </c>
      <c r="AN2902" s="6" t="b">
        <f t="shared" si="300"/>
        <v>1</v>
      </c>
      <c r="AO2902" s="6" t="str">
        <f t="shared" si="301"/>
        <v>OK</v>
      </c>
      <c r="AQ2902" s="6" t="e">
        <f>MATCH($D2902,'D4 - Provider Council Unsched'!$C$11:$C$234,0)</f>
        <v>#N/A</v>
      </c>
      <c r="AR2902" s="6" t="b">
        <f t="shared" si="302"/>
        <v>1</v>
      </c>
      <c r="AS2902" s="6" t="str">
        <f t="shared" si="303"/>
        <v>OK</v>
      </c>
      <c r="AU2902" s="202"/>
      <c r="AV2902" s="262"/>
      <c r="AW2902" s="274"/>
    </row>
    <row r="2903" spans="1:49" s="13" customFormat="1" ht="33.75" x14ac:dyDescent="0.2">
      <c r="A2903" s="14">
        <v>2879</v>
      </c>
      <c r="B2903" s="14">
        <v>400028715</v>
      </c>
      <c r="C2903" s="8" t="s">
        <v>5197</v>
      </c>
      <c r="D2903" s="4" t="str">
        <f t="shared" si="297"/>
        <v>400028715R1</v>
      </c>
      <c r="E2903" s="309" t="str">
        <f>VLOOKUP($B2903,'D7 - NDB Impacted SPRF''s'!$E$6:$O$9929,2,FALSE)</f>
        <v>FRP - Optimal Access (name TBD)</v>
      </c>
      <c r="F2903" s="8" t="s">
        <v>2114</v>
      </c>
      <c r="G2903" s="8" t="s">
        <v>4758</v>
      </c>
      <c r="H2903" s="8" t="s">
        <v>2870</v>
      </c>
      <c r="I2903" s="20"/>
      <c r="J2903" s="8"/>
      <c r="K2903" s="182"/>
      <c r="L2903" s="8" t="s">
        <v>4156</v>
      </c>
      <c r="M2903" s="8" t="s">
        <v>6688</v>
      </c>
      <c r="N2903" s="38"/>
      <c r="O2903" s="8"/>
      <c r="P2903" s="4" t="str">
        <f>VLOOKUP($B2903,'D7 - NDB Impacted SPRF''s'!$E$16:$O$9929,9,FALSE)</f>
        <v>Y</v>
      </c>
      <c r="Q2903" s="4" t="str">
        <f>VLOOKUP($B2903,'D7 - NDB Impacted SPRF''s'!$E$16:$O$9929,10,FALSE)</f>
        <v>N</v>
      </c>
      <c r="R2903" s="4" t="str">
        <f>VLOOKUP($B2903,'D7 - NDB Impacted SPRF''s'!$E$16:$O$9929,11,FALSE)</f>
        <v>N</v>
      </c>
      <c r="S2903" s="8"/>
      <c r="T2903" s="310"/>
      <c r="U2903" s="310"/>
      <c r="V2903" s="4"/>
      <c r="W2903" s="4"/>
      <c r="X2903" s="4"/>
      <c r="Y2903" s="4"/>
      <c r="Z2903" s="4"/>
      <c r="AA2903" s="4"/>
      <c r="AB2903" s="380" t="str">
        <f>VLOOKUP($B2903,'D7 - NDB Impacted SPRF''s'!$E$16:$O$9929,4,FALSE)</f>
        <v>Cancelled</v>
      </c>
      <c r="AC2903" s="380" t="str">
        <f>VLOOKUP($B2903,'D7 - NDB Impacted SPRF''s'!$E$16:$O$9929,3,FALSE)</f>
        <v>UnitedHealthcare Employer &amp; Individual</v>
      </c>
      <c r="AD2903" s="380" t="str">
        <f>VLOOKUP($B2903,'D7 - NDB Impacted SPRF''s'!$E$16:$O$9929,5,FALSE)</f>
        <v>Membership Growth / Revenue Programs</v>
      </c>
      <c r="AE2903" s="380" t="str">
        <f>VLOOKUP($B2903,'D7 - NDB Impacted SPRF''s'!$E$16:$O$9929,7,FALSE)</f>
        <v>Jeffrey Lucht</v>
      </c>
      <c r="AF2903" s="380" t="str">
        <f>VLOOKUP($B2903,'D7 - NDB Impacted SPRF''s'!$E$16:$O$9929,6,FALSE)</f>
        <v>LOIS MATTI</v>
      </c>
      <c r="AG2903" s="282"/>
      <c r="AH2903" s="311" t="e">
        <f>INDEX('D5 - Gatekeeper - Projects'!$A$4:$AF$1010,$AM2903, 17)</f>
        <v>#N/A</v>
      </c>
      <c r="AI2903" s="8"/>
      <c r="AJ2903" s="57"/>
      <c r="AK2903" s="105"/>
      <c r="AM2903" s="6" t="e">
        <f>MATCH(D2903,'D5 - Gatekeeper - Projects'!$C$4:$C$1010,0)</f>
        <v>#N/A</v>
      </c>
      <c r="AN2903" s="6" t="b">
        <f t="shared" si="300"/>
        <v>1</v>
      </c>
      <c r="AO2903" s="6" t="str">
        <f t="shared" si="301"/>
        <v>OK</v>
      </c>
      <c r="AQ2903" s="6" t="e">
        <f>MATCH($D2903,'D4 - Provider Council Unsched'!$C$11:$C$234,0)</f>
        <v>#N/A</v>
      </c>
      <c r="AR2903" s="6" t="b">
        <f t="shared" si="302"/>
        <v>1</v>
      </c>
      <c r="AS2903" s="6" t="str">
        <f t="shared" si="303"/>
        <v>OK</v>
      </c>
      <c r="AU2903" s="202"/>
      <c r="AV2903" s="262"/>
      <c r="AW2903" s="274"/>
    </row>
    <row r="2904" spans="1:49" s="13" customFormat="1" ht="45" x14ac:dyDescent="0.2">
      <c r="A2904" s="14">
        <v>2880</v>
      </c>
      <c r="B2904" s="14">
        <v>400028796</v>
      </c>
      <c r="C2904" s="8" t="s">
        <v>5197</v>
      </c>
      <c r="D2904" s="4" t="str">
        <f t="shared" si="297"/>
        <v>400028796R1</v>
      </c>
      <c r="E2904" s="309" t="str">
        <f>VLOOKUP($B2904,'D7 - NDB Impacted SPRF''s'!$E$6:$O$9929,2,FALSE)</f>
        <v>EIS Analysis of Federated Opportunites w/ RV/Facet</v>
      </c>
      <c r="F2904" s="8" t="s">
        <v>5196</v>
      </c>
      <c r="G2904" s="8" t="s">
        <v>4758</v>
      </c>
      <c r="H2904" s="8" t="s">
        <v>2870</v>
      </c>
      <c r="I2904" s="20"/>
      <c r="J2904" s="8"/>
      <c r="K2904" s="182"/>
      <c r="L2904" s="8" t="s">
        <v>4156</v>
      </c>
      <c r="M2904" s="8" t="s">
        <v>2814</v>
      </c>
      <c r="N2904" s="38" t="s">
        <v>5036</v>
      </c>
      <c r="O2904" s="8"/>
      <c r="P2904" s="4" t="str">
        <f>VLOOKUP($B2904,'D7 - NDB Impacted SPRF''s'!$E$16:$O$9929,9,FALSE)</f>
        <v>N</v>
      </c>
      <c r="Q2904" s="4" t="str">
        <f>VLOOKUP($B2904,'D7 - NDB Impacted SPRF''s'!$E$16:$O$9929,10,FALSE)</f>
        <v>N</v>
      </c>
      <c r="R2904" s="4" t="str">
        <f>VLOOKUP($B2904,'D7 - NDB Impacted SPRF''s'!$E$16:$O$9929,11,FALSE)</f>
        <v>Y</v>
      </c>
      <c r="S2904" s="8"/>
      <c r="T2904" s="310"/>
      <c r="U2904" s="310"/>
      <c r="V2904" s="4"/>
      <c r="W2904" s="4"/>
      <c r="X2904" s="4"/>
      <c r="Y2904" s="4"/>
      <c r="Z2904" s="4"/>
      <c r="AA2904" s="4"/>
      <c r="AB2904" s="380" t="str">
        <f>VLOOKUP($B2904,'D7 - NDB Impacted SPRF''s'!$E$16:$O$9929,4,FALSE)</f>
        <v>Completed</v>
      </c>
      <c r="AC2904" s="380" t="str">
        <f>VLOOKUP($B2904,'D7 - NDB Impacted SPRF''s'!$E$16:$O$9929,3,FALSE)</f>
        <v>UHG IT - Enterprise Technology Services</v>
      </c>
      <c r="AD2904" s="380" t="str">
        <f>VLOOKUP($B2904,'D7 - NDB Impacted SPRF''s'!$E$16:$O$9929,5,FALSE)</f>
        <v>Strategic Initiatives</v>
      </c>
      <c r="AE2904" s="380" t="str">
        <f>VLOOKUP($B2904,'D7 - NDB Impacted SPRF''s'!$E$16:$O$9929,7,FALSE)</f>
        <v>Ed Skopas</v>
      </c>
      <c r="AF2904" s="380" t="str">
        <f>VLOOKUP($B2904,'D7 - NDB Impacted SPRF''s'!$E$16:$O$9929,6,FALSE)</f>
        <v>Daniel Sullivan</v>
      </c>
      <c r="AG2904" s="282"/>
      <c r="AH2904" s="311" t="e">
        <f>INDEX('D5 - Gatekeeper - Projects'!$A$4:$AF$1010,$AM2904, 17)</f>
        <v>#N/A</v>
      </c>
      <c r="AI2904" s="8"/>
      <c r="AJ2904" s="57"/>
      <c r="AK2904" s="105"/>
      <c r="AM2904" s="6" t="e">
        <f>MATCH(D2904,'D5 - Gatekeeper - Projects'!$C$4:$C$1010,0)</f>
        <v>#N/A</v>
      </c>
      <c r="AN2904" s="6" t="b">
        <f t="shared" si="300"/>
        <v>1</v>
      </c>
      <c r="AO2904" s="6" t="str">
        <f t="shared" si="301"/>
        <v>OK</v>
      </c>
      <c r="AQ2904" s="6" t="e">
        <f>MATCH($D2904,'D4 - Provider Council Unsched'!$C$11:$C$234,0)</f>
        <v>#N/A</v>
      </c>
      <c r="AR2904" s="6" t="b">
        <f t="shared" si="302"/>
        <v>1</v>
      </c>
      <c r="AS2904" s="6" t="str">
        <f t="shared" si="303"/>
        <v>OK</v>
      </c>
      <c r="AU2904" s="202"/>
      <c r="AV2904" s="262"/>
      <c r="AW2904" s="274"/>
    </row>
    <row r="2905" spans="1:49" s="13" customFormat="1" ht="33.75" x14ac:dyDescent="0.2">
      <c r="A2905" s="14">
        <v>2881</v>
      </c>
      <c r="B2905" s="14">
        <v>400028865</v>
      </c>
      <c r="C2905" s="8" t="s">
        <v>5197</v>
      </c>
      <c r="D2905" s="4" t="str">
        <f t="shared" si="297"/>
        <v>400028865R1</v>
      </c>
      <c r="E2905" s="309" t="str">
        <f>VLOOKUP($B2905,'D7 - NDB Impacted SPRF''s'!$E$6:$O$9929,2,FALSE)</f>
        <v>iCES Clearinghouse - COSMOS</v>
      </c>
      <c r="F2905" s="8" t="s">
        <v>2114</v>
      </c>
      <c r="G2905" s="8" t="s">
        <v>4758</v>
      </c>
      <c r="H2905" s="8" t="s">
        <v>2870</v>
      </c>
      <c r="I2905" s="20"/>
      <c r="J2905" s="8"/>
      <c r="K2905" s="182"/>
      <c r="L2905" s="8" t="s">
        <v>4156</v>
      </c>
      <c r="M2905" s="8" t="s">
        <v>2814</v>
      </c>
      <c r="N2905" s="38"/>
      <c r="O2905" s="8"/>
      <c r="P2905" s="4" t="str">
        <f>VLOOKUP($B2905,'D7 - NDB Impacted SPRF''s'!$E$16:$O$9929,9,FALSE)</f>
        <v>Y</v>
      </c>
      <c r="Q2905" s="4" t="str">
        <f>VLOOKUP($B2905,'D7 - NDB Impacted SPRF''s'!$E$16:$O$9929,10,FALSE)</f>
        <v>N</v>
      </c>
      <c r="R2905" s="4" t="str">
        <f>VLOOKUP($B2905,'D7 - NDB Impacted SPRF''s'!$E$16:$O$9929,11,FALSE)</f>
        <v>Y</v>
      </c>
      <c r="S2905" s="8"/>
      <c r="T2905" s="310"/>
      <c r="U2905" s="310"/>
      <c r="V2905" s="4"/>
      <c r="W2905" s="4"/>
      <c r="X2905" s="4"/>
      <c r="Y2905" s="4"/>
      <c r="Z2905" s="4"/>
      <c r="AA2905" s="4"/>
      <c r="AB2905" s="380" t="str">
        <f>VLOOKUP($B2905,'D7 - NDB Impacted SPRF''s'!$E$16:$O$9929,4,FALSE)</f>
        <v>Cancelled</v>
      </c>
      <c r="AC2905" s="380" t="str">
        <f>VLOOKUP($B2905,'D7 - NDB Impacted SPRF''s'!$E$16:$O$9929,3,FALSE)</f>
        <v>UnitedHealthcare Employer &amp; Individual</v>
      </c>
      <c r="AD2905" s="380" t="str">
        <f>VLOOKUP($B2905,'D7 - NDB Impacted SPRF''s'!$E$16:$O$9929,5,FALSE)</f>
        <v>HCA - Medica Operational Support</v>
      </c>
      <c r="AE2905" s="380" t="str">
        <f>VLOOKUP($B2905,'D7 - NDB Impacted SPRF''s'!$E$16:$O$9929,7,FALSE)</f>
        <v>Tracy Berg</v>
      </c>
      <c r="AF2905" s="380" t="str">
        <f>VLOOKUP($B2905,'D7 - NDB Impacted SPRF''s'!$E$16:$O$9929,6,FALSE)</f>
        <v>Linda Dooley</v>
      </c>
      <c r="AG2905" s="282"/>
      <c r="AH2905" s="311" t="e">
        <f>INDEX('D5 - Gatekeeper - Projects'!$A$4:$AF$1010,$AM2905, 17)</f>
        <v>#N/A</v>
      </c>
      <c r="AI2905" s="8"/>
      <c r="AJ2905" s="57"/>
      <c r="AK2905" s="105"/>
      <c r="AM2905" s="6" t="e">
        <f>MATCH(D2905,'D5 - Gatekeeper - Projects'!$C$4:$C$1010,0)</f>
        <v>#N/A</v>
      </c>
      <c r="AN2905" s="6" t="b">
        <f t="shared" si="300"/>
        <v>1</v>
      </c>
      <c r="AO2905" s="6" t="str">
        <f t="shared" si="301"/>
        <v>OK</v>
      </c>
      <c r="AQ2905" s="6" t="e">
        <f>MATCH($D2905,'D4 - Provider Council Unsched'!$C$11:$C$234,0)</f>
        <v>#N/A</v>
      </c>
      <c r="AR2905" s="6" t="b">
        <f t="shared" si="302"/>
        <v>1</v>
      </c>
      <c r="AS2905" s="6" t="str">
        <f t="shared" si="303"/>
        <v>OK</v>
      </c>
      <c r="AU2905" s="202"/>
      <c r="AV2905" s="262"/>
      <c r="AW2905" s="274"/>
    </row>
    <row r="2906" spans="1:49" s="13" customFormat="1" ht="33.75" x14ac:dyDescent="0.2">
      <c r="A2906" s="14">
        <v>2882</v>
      </c>
      <c r="B2906" s="14">
        <v>400028921</v>
      </c>
      <c r="C2906" s="8" t="s">
        <v>5197</v>
      </c>
      <c r="D2906" s="4" t="str">
        <f t="shared" si="297"/>
        <v>400028921R1</v>
      </c>
      <c r="E2906" s="309" t="str">
        <f>VLOOKUP($B2906,'D7 - NDB Impacted SPRF''s'!$E$6:$O$9929,2,FALSE)</f>
        <v>MWS System Enhancement Testing</v>
      </c>
      <c r="F2906" s="8" t="s">
        <v>2114</v>
      </c>
      <c r="G2906" s="8" t="s">
        <v>4758</v>
      </c>
      <c r="H2906" s="8" t="s">
        <v>2870</v>
      </c>
      <c r="I2906" s="20"/>
      <c r="J2906" s="8"/>
      <c r="K2906" s="182"/>
      <c r="L2906" s="8" t="s">
        <v>4156</v>
      </c>
      <c r="M2906" s="8" t="s">
        <v>2814</v>
      </c>
      <c r="N2906" s="38"/>
      <c r="O2906" s="8"/>
      <c r="P2906" s="4" t="str">
        <f>VLOOKUP($B2906,'D7 - NDB Impacted SPRF''s'!$E$16:$O$9929,9,FALSE)</f>
        <v>N</v>
      </c>
      <c r="Q2906" s="4" t="str">
        <f>VLOOKUP($B2906,'D7 - NDB Impacted SPRF''s'!$E$16:$O$9929,10,FALSE)</f>
        <v>N</v>
      </c>
      <c r="R2906" s="4" t="str">
        <f>VLOOKUP($B2906,'D7 - NDB Impacted SPRF''s'!$E$16:$O$9929,11,FALSE)</f>
        <v>N</v>
      </c>
      <c r="S2906" s="8"/>
      <c r="T2906" s="310"/>
      <c r="U2906" s="310"/>
      <c r="V2906" s="4"/>
      <c r="W2906" s="4"/>
      <c r="X2906" s="4"/>
      <c r="Y2906" s="4"/>
      <c r="Z2906" s="4"/>
      <c r="AA2906" s="4"/>
      <c r="AB2906" s="380" t="str">
        <f>VLOOKUP($B2906,'D7 - NDB Impacted SPRF''s'!$E$16:$O$9929,4,FALSE)</f>
        <v>Cancelled</v>
      </c>
      <c r="AC2906" s="380" t="str">
        <f>VLOOKUP($B2906,'D7 - NDB Impacted SPRF''s'!$E$16:$O$9929,3,FALSE)</f>
        <v>UnitedHealthcare Employer &amp; Individual</v>
      </c>
      <c r="AD2906" s="380" t="str">
        <f>VLOOKUP($B2906,'D7 - NDB Impacted SPRF''s'!$E$16:$O$9929,5,FALSE)</f>
        <v>Process Improvement</v>
      </c>
      <c r="AE2906" s="380" t="str">
        <f>VLOOKUP($B2906,'D7 - NDB Impacted SPRF''s'!$E$16:$O$9929,7,FALSE)</f>
        <v>Sally A Verrilli</v>
      </c>
      <c r="AF2906" s="380" t="str">
        <f>VLOOKUP($B2906,'D7 - NDB Impacted SPRF''s'!$E$16:$O$9929,6,FALSE)</f>
        <v>Ellis Miller</v>
      </c>
      <c r="AG2906" s="282"/>
      <c r="AH2906" s="311" t="e">
        <f>INDEX('D5 - Gatekeeper - Projects'!$A$4:$AF$1010,$AM2906, 17)</f>
        <v>#N/A</v>
      </c>
      <c r="AI2906" s="8"/>
      <c r="AJ2906" s="57"/>
      <c r="AK2906" s="105"/>
      <c r="AM2906" s="6" t="e">
        <f>MATCH(D2906,'D5 - Gatekeeper - Projects'!$C$4:$C$1010,0)</f>
        <v>#N/A</v>
      </c>
      <c r="AN2906" s="6" t="b">
        <f t="shared" si="300"/>
        <v>1</v>
      </c>
      <c r="AO2906" s="6" t="str">
        <f t="shared" si="301"/>
        <v>OK</v>
      </c>
      <c r="AQ2906" s="6" t="e">
        <f>MATCH($D2906,'D4 - Provider Council Unsched'!$C$11:$C$234,0)</f>
        <v>#N/A</v>
      </c>
      <c r="AR2906" s="6" t="b">
        <f t="shared" si="302"/>
        <v>1</v>
      </c>
      <c r="AS2906" s="6" t="str">
        <f t="shared" si="303"/>
        <v>OK</v>
      </c>
      <c r="AU2906" s="202"/>
      <c r="AV2906" s="262"/>
      <c r="AW2906" s="274"/>
    </row>
    <row r="2907" spans="1:49" s="13" customFormat="1" ht="33.75" x14ac:dyDescent="0.2">
      <c r="A2907" s="14">
        <v>2883</v>
      </c>
      <c r="B2907" s="14">
        <v>400029227</v>
      </c>
      <c r="C2907" s="8" t="s">
        <v>5197</v>
      </c>
      <c r="D2907" s="4" t="str">
        <f t="shared" ref="D2907:D2970" si="304">CONCATENATE(B2907,C2907)</f>
        <v>400029227R1</v>
      </c>
      <c r="E2907" s="309" t="str">
        <f>VLOOKUP($B2907,'D7 - NDB Impacted SPRF''s'!$E$6:$O$9929,2,FALSE)</f>
        <v xml:space="preserve">NDB Fee Sched Report - Voids/ Adds done same day </v>
      </c>
      <c r="F2907" s="8" t="s">
        <v>2114</v>
      </c>
      <c r="G2907" s="8" t="s">
        <v>4758</v>
      </c>
      <c r="H2907" s="8" t="s">
        <v>2870</v>
      </c>
      <c r="I2907" s="20"/>
      <c r="J2907" s="8"/>
      <c r="K2907" s="182"/>
      <c r="L2907" s="8" t="s">
        <v>4156</v>
      </c>
      <c r="M2907" s="8" t="s">
        <v>2814</v>
      </c>
      <c r="N2907" s="38"/>
      <c r="O2907" s="8"/>
      <c r="P2907" s="4" t="str">
        <f>VLOOKUP($B2907,'D7 - NDB Impacted SPRF''s'!$E$16:$O$9929,9,FALSE)</f>
        <v>N</v>
      </c>
      <c r="Q2907" s="4" t="str">
        <f>VLOOKUP($B2907,'D7 - NDB Impacted SPRF''s'!$E$16:$O$9929,10,FALSE)</f>
        <v>N</v>
      </c>
      <c r="R2907" s="4" t="str">
        <f>VLOOKUP($B2907,'D7 - NDB Impacted SPRF''s'!$E$16:$O$9929,11,FALSE)</f>
        <v>Y</v>
      </c>
      <c r="S2907" s="8"/>
      <c r="T2907" s="310"/>
      <c r="U2907" s="310"/>
      <c r="V2907" s="4"/>
      <c r="W2907" s="4"/>
      <c r="X2907" s="4"/>
      <c r="Y2907" s="4"/>
      <c r="Z2907" s="4"/>
      <c r="AA2907" s="4"/>
      <c r="AB2907" s="380" t="str">
        <f>VLOOKUP($B2907,'D7 - NDB Impacted SPRF''s'!$E$16:$O$9929,4,FALSE)</f>
        <v>Cancelled</v>
      </c>
      <c r="AC2907" s="380" t="str">
        <f>VLOOKUP($B2907,'D7 - NDB Impacted SPRF''s'!$E$16:$O$9929,3,FALSE)</f>
        <v>UnitedHealthcare Employer &amp; Individual</v>
      </c>
      <c r="AD2907" s="380" t="str">
        <f>VLOOKUP($B2907,'D7 - NDB Impacted SPRF''s'!$E$16:$O$9929,5,FALSE)</f>
        <v>Process Improvement</v>
      </c>
      <c r="AE2907" s="380" t="str">
        <f>VLOOKUP($B2907,'D7 - NDB Impacted SPRF''s'!$E$16:$O$9929,7,FALSE)</f>
        <v>Jill Foucre</v>
      </c>
      <c r="AF2907" s="380" t="str">
        <f>VLOOKUP($B2907,'D7 - NDB Impacted SPRF''s'!$E$16:$O$9929,6,FALSE)</f>
        <v>PENNINGTON CAROL</v>
      </c>
      <c r="AG2907" s="282"/>
      <c r="AH2907" s="311" t="e">
        <f>INDEX('D5 - Gatekeeper - Projects'!$A$4:$AF$1010,$AM2907, 17)</f>
        <v>#N/A</v>
      </c>
      <c r="AI2907" s="8"/>
      <c r="AJ2907" s="57"/>
      <c r="AK2907" s="105"/>
      <c r="AM2907" s="6" t="e">
        <f>MATCH(D2907,'D5 - Gatekeeper - Projects'!$C$4:$C$1010,0)</f>
        <v>#N/A</v>
      </c>
      <c r="AN2907" s="6" t="b">
        <f t="shared" si="300"/>
        <v>1</v>
      </c>
      <c r="AO2907" s="6" t="str">
        <f t="shared" si="301"/>
        <v>OK</v>
      </c>
      <c r="AQ2907" s="6" t="e">
        <f>MATCH($D2907,'D4 - Provider Council Unsched'!$C$11:$C$234,0)</f>
        <v>#N/A</v>
      </c>
      <c r="AR2907" s="6" t="b">
        <f t="shared" si="302"/>
        <v>1</v>
      </c>
      <c r="AS2907" s="6" t="str">
        <f t="shared" si="303"/>
        <v>OK</v>
      </c>
      <c r="AU2907" s="202"/>
      <c r="AV2907" s="262"/>
      <c r="AW2907" s="274"/>
    </row>
    <row r="2908" spans="1:49" s="13" customFormat="1" ht="33.75" x14ac:dyDescent="0.2">
      <c r="A2908" s="14">
        <v>2884</v>
      </c>
      <c r="B2908" s="14">
        <v>400029436</v>
      </c>
      <c r="C2908" s="8" t="s">
        <v>5197</v>
      </c>
      <c r="D2908" s="4" t="str">
        <f t="shared" si="304"/>
        <v>400029436R1</v>
      </c>
      <c r="E2908" s="309" t="str">
        <f>VLOOKUP($B2908,'D7 - NDB Impacted SPRF''s'!$E$6:$O$9929,2,FALSE)</f>
        <v>400029436 Incorrect Duplicate denials - Modifiers</v>
      </c>
      <c r="F2908" s="8" t="s">
        <v>2114</v>
      </c>
      <c r="G2908" s="8" t="s">
        <v>4758</v>
      </c>
      <c r="H2908" s="8" t="s">
        <v>2870</v>
      </c>
      <c r="I2908" s="20"/>
      <c r="J2908" s="8"/>
      <c r="K2908" s="182"/>
      <c r="L2908" s="8" t="s">
        <v>4156</v>
      </c>
      <c r="M2908" s="8" t="s">
        <v>2814</v>
      </c>
      <c r="N2908" s="38" t="s">
        <v>5576</v>
      </c>
      <c r="O2908" s="8"/>
      <c r="P2908" s="4" t="str">
        <f>VLOOKUP($B2908,'D7 - NDB Impacted SPRF''s'!$E$16:$O$9929,9,FALSE)</f>
        <v>Y</v>
      </c>
      <c r="Q2908" s="4" t="str">
        <f>VLOOKUP($B2908,'D7 - NDB Impacted SPRF''s'!$E$16:$O$9929,10,FALSE)</f>
        <v>N</v>
      </c>
      <c r="R2908" s="4" t="str">
        <f>VLOOKUP($B2908,'D7 - NDB Impacted SPRF''s'!$E$16:$O$9929,11,FALSE)</f>
        <v>N</v>
      </c>
      <c r="S2908" s="8"/>
      <c r="T2908" s="310"/>
      <c r="U2908" s="310"/>
      <c r="V2908" s="4"/>
      <c r="W2908" s="4"/>
      <c r="X2908" s="4"/>
      <c r="Y2908" s="4"/>
      <c r="Z2908" s="4"/>
      <c r="AA2908" s="4"/>
      <c r="AB2908" s="380" t="str">
        <f>VLOOKUP($B2908,'D7 - NDB Impacted SPRF''s'!$E$16:$O$9929,4,FALSE)</f>
        <v>Cancelled</v>
      </c>
      <c r="AC2908" s="380" t="str">
        <f>VLOOKUP($B2908,'D7 - NDB Impacted SPRF''s'!$E$16:$O$9929,3,FALSE)</f>
        <v>UnitedHealthcare Employer &amp; Individual</v>
      </c>
      <c r="AD2908" s="380" t="str">
        <f>VLOOKUP($B2908,'D7 - NDB Impacted SPRF''s'!$E$16:$O$9929,5,FALSE)</f>
        <v>Process Improvement</v>
      </c>
      <c r="AE2908" s="380" t="str">
        <f>VLOOKUP($B2908,'D7 - NDB Impacted SPRF''s'!$E$16:$O$9929,7,FALSE)</f>
        <v>Tim Kaja</v>
      </c>
      <c r="AF2908" s="380" t="str">
        <f>VLOOKUP($B2908,'D7 - NDB Impacted SPRF''s'!$E$16:$O$9929,6,FALSE)</f>
        <v>CHERYL STAUFFER</v>
      </c>
      <c r="AG2908" s="282"/>
      <c r="AH2908" s="311" t="e">
        <f>INDEX('D5 - Gatekeeper - Projects'!$A$4:$AF$1010,$AM2908, 17)</f>
        <v>#N/A</v>
      </c>
      <c r="AI2908" s="8"/>
      <c r="AJ2908" s="57"/>
      <c r="AK2908" s="105"/>
      <c r="AM2908" s="6" t="e">
        <f>MATCH(D2908,'D5 - Gatekeeper - Projects'!$C$4:$C$1010,0)</f>
        <v>#N/A</v>
      </c>
      <c r="AN2908" s="6" t="b">
        <f t="shared" si="300"/>
        <v>1</v>
      </c>
      <c r="AO2908" s="6" t="str">
        <f t="shared" si="301"/>
        <v>OK</v>
      </c>
      <c r="AQ2908" s="6" t="e">
        <f>MATCH($D2908,'D4 - Provider Council Unsched'!$C$11:$C$234,0)</f>
        <v>#N/A</v>
      </c>
      <c r="AR2908" s="6" t="b">
        <f t="shared" si="302"/>
        <v>1</v>
      </c>
      <c r="AS2908" s="6" t="str">
        <f t="shared" si="303"/>
        <v>OK</v>
      </c>
      <c r="AU2908" s="202"/>
      <c r="AV2908" s="262"/>
      <c r="AW2908" s="274"/>
    </row>
    <row r="2909" spans="1:49" s="13" customFormat="1" ht="33.75" x14ac:dyDescent="0.2">
      <c r="A2909" s="14">
        <v>2885</v>
      </c>
      <c r="B2909" s="14">
        <v>400029450</v>
      </c>
      <c r="C2909" s="8" t="s">
        <v>5197</v>
      </c>
      <c r="D2909" s="4" t="str">
        <f t="shared" si="304"/>
        <v>400029450R1</v>
      </c>
      <c r="E2909" s="309" t="str">
        <f>VLOOKUP($B2909,'D7 - NDB Impacted SPRF''s'!$E$6:$O$9929,2,FALSE)</f>
        <v>JDRV: FACETS EPDE Enhancements</v>
      </c>
      <c r="F2909" s="8" t="s">
        <v>2114</v>
      </c>
      <c r="G2909" s="8" t="s">
        <v>4758</v>
      </c>
      <c r="H2909" s="8" t="s">
        <v>2870</v>
      </c>
      <c r="I2909" s="20"/>
      <c r="J2909" s="8"/>
      <c r="K2909" s="182"/>
      <c r="L2909" s="8" t="s">
        <v>4156</v>
      </c>
      <c r="M2909" s="8" t="s">
        <v>2814</v>
      </c>
      <c r="N2909" s="38"/>
      <c r="O2909" s="8"/>
      <c r="P2909" s="4" t="str">
        <f>VLOOKUP($B2909,'D7 - NDB Impacted SPRF''s'!$E$16:$O$9929,9,FALSE)</f>
        <v>N</v>
      </c>
      <c r="Q2909" s="4" t="str">
        <f>VLOOKUP($B2909,'D7 - NDB Impacted SPRF''s'!$E$16:$O$9929,10,FALSE)</f>
        <v>N</v>
      </c>
      <c r="R2909" s="4" t="str">
        <f>VLOOKUP($B2909,'D7 - NDB Impacted SPRF''s'!$E$16:$O$9929,11,FALSE)</f>
        <v>N</v>
      </c>
      <c r="S2909" s="8"/>
      <c r="T2909" s="310"/>
      <c r="U2909" s="310"/>
      <c r="V2909" s="4"/>
      <c r="W2909" s="4"/>
      <c r="X2909" s="4"/>
      <c r="Y2909" s="4"/>
      <c r="Z2909" s="4"/>
      <c r="AA2909" s="4"/>
      <c r="AB2909" s="380" t="str">
        <f>VLOOKUP($B2909,'D7 - NDB Impacted SPRF''s'!$E$16:$O$9929,4,FALSE)</f>
        <v>Cancelled</v>
      </c>
      <c r="AC2909" s="380" t="str">
        <f>VLOOKUP($B2909,'D7 - NDB Impacted SPRF''s'!$E$16:$O$9929,3,FALSE)</f>
        <v>UnitedHealthcare Employer &amp; Individual</v>
      </c>
      <c r="AD2909" s="380" t="str">
        <f>VLOOKUP($B2909,'D7 - NDB Impacted SPRF''s'!$E$16:$O$9929,5,FALSE)</f>
        <v>Process Improvement</v>
      </c>
      <c r="AE2909" s="380" t="str">
        <f>VLOOKUP($B2909,'D7 - NDB Impacted SPRF''s'!$E$16:$O$9929,7,FALSE)</f>
        <v>Jim Congleton</v>
      </c>
      <c r="AF2909" s="380" t="str">
        <f>VLOOKUP($B2909,'D7 - NDB Impacted SPRF''s'!$E$16:$O$9929,6,FALSE)</f>
        <v>JOHN HIEBERT</v>
      </c>
      <c r="AG2909" s="282"/>
      <c r="AH2909" s="311" t="e">
        <f>INDEX('D5 - Gatekeeper - Projects'!$A$4:$AF$1010,$AM2909, 17)</f>
        <v>#N/A</v>
      </c>
      <c r="AI2909" s="8"/>
      <c r="AJ2909" s="57"/>
      <c r="AK2909" s="105"/>
      <c r="AM2909" s="6" t="e">
        <f>MATCH(D2909,'D5 - Gatekeeper - Projects'!$C$4:$C$1010,0)</f>
        <v>#N/A</v>
      </c>
      <c r="AN2909" s="6" t="b">
        <f t="shared" si="300"/>
        <v>1</v>
      </c>
      <c r="AO2909" s="6" t="str">
        <f t="shared" si="301"/>
        <v>OK</v>
      </c>
      <c r="AQ2909" s="6" t="e">
        <f>MATCH($D2909,'D4 - Provider Council Unsched'!$C$11:$C$234,0)</f>
        <v>#N/A</v>
      </c>
      <c r="AR2909" s="6" t="b">
        <f t="shared" si="302"/>
        <v>1</v>
      </c>
      <c r="AS2909" s="6" t="str">
        <f t="shared" si="303"/>
        <v>OK</v>
      </c>
      <c r="AU2909" s="202"/>
      <c r="AV2909" s="262"/>
      <c r="AW2909" s="274"/>
    </row>
    <row r="2910" spans="1:49" s="13" customFormat="1" ht="33.75" x14ac:dyDescent="0.2">
      <c r="A2910" s="14">
        <v>2886</v>
      </c>
      <c r="B2910" s="14">
        <v>400029480</v>
      </c>
      <c r="C2910" s="8" t="s">
        <v>5197</v>
      </c>
      <c r="D2910" s="4" t="str">
        <f t="shared" si="304"/>
        <v>400029480R1</v>
      </c>
      <c r="E2910" s="309" t="str">
        <f>VLOOKUP($B2910,'D7 - NDB Impacted SPRF''s'!$E$6:$O$9929,2,FALSE)</f>
        <v>ITI 72-24 Hour On Notification</v>
      </c>
      <c r="F2910" s="8" t="s">
        <v>7989</v>
      </c>
      <c r="G2910" s="8" t="s">
        <v>4758</v>
      </c>
      <c r="H2910" s="8" t="s">
        <v>2870</v>
      </c>
      <c r="I2910" s="20"/>
      <c r="J2910" s="8"/>
      <c r="K2910" s="182"/>
      <c r="L2910" s="8" t="s">
        <v>4156</v>
      </c>
      <c r="M2910" s="8" t="s">
        <v>2814</v>
      </c>
      <c r="N2910" s="38"/>
      <c r="O2910" s="8"/>
      <c r="P2910" s="4" t="str">
        <f>VLOOKUP($B2910,'D7 - NDB Impacted SPRF''s'!$E$16:$O$9929,9,FALSE)</f>
        <v>N</v>
      </c>
      <c r="Q2910" s="4" t="str">
        <f>VLOOKUP($B2910,'D7 - NDB Impacted SPRF''s'!$E$16:$O$9929,10,FALSE)</f>
        <v>N</v>
      </c>
      <c r="R2910" s="4" t="str">
        <f>VLOOKUP($B2910,'D7 - NDB Impacted SPRF''s'!$E$16:$O$9929,11,FALSE)</f>
        <v>N</v>
      </c>
      <c r="S2910" s="8"/>
      <c r="T2910" s="310"/>
      <c r="U2910" s="310"/>
      <c r="V2910" s="4"/>
      <c r="W2910" s="4"/>
      <c r="X2910" s="4"/>
      <c r="Y2910" s="4"/>
      <c r="Z2910" s="4"/>
      <c r="AA2910" s="4"/>
      <c r="AB2910" s="380" t="str">
        <f>VLOOKUP($B2910,'D7 - NDB Impacted SPRF''s'!$E$16:$O$9929,4,FALSE)</f>
        <v>Cancelled</v>
      </c>
      <c r="AC2910" s="380" t="str">
        <f>VLOOKUP($B2910,'D7 - NDB Impacted SPRF''s'!$E$16:$O$9929,3,FALSE)</f>
        <v>UnitedHealthcare Medicare &amp; Retirement</v>
      </c>
      <c r="AD2910" s="380" t="str">
        <f>VLOOKUP($B2910,'D7 - NDB Impacted SPRF''s'!$E$16:$O$9929,5,FALSE)</f>
        <v>Health Services</v>
      </c>
      <c r="AE2910" s="380" t="str">
        <f>VLOOKUP($B2910,'D7 - NDB Impacted SPRF''s'!$E$16:$O$9929,7,FALSE)</f>
        <v>Trent Simpson</v>
      </c>
      <c r="AF2910" s="380" t="str">
        <f>VLOOKUP($B2910,'D7 - NDB Impacted SPRF''s'!$E$16:$O$9929,6,FALSE)</f>
        <v>Brian Schulte</v>
      </c>
      <c r="AG2910" s="282"/>
      <c r="AH2910" s="311" t="e">
        <f>INDEX('D5 - Gatekeeper - Projects'!$A$4:$AF$1010,$AM2910, 17)</f>
        <v>#N/A</v>
      </c>
      <c r="AI2910" s="8"/>
      <c r="AJ2910" s="57"/>
      <c r="AK2910" s="105"/>
      <c r="AM2910" s="6" t="e">
        <f>MATCH(D2910,'D5 - Gatekeeper - Projects'!$C$4:$C$1010,0)</f>
        <v>#N/A</v>
      </c>
      <c r="AN2910" s="6" t="b">
        <f t="shared" si="300"/>
        <v>1</v>
      </c>
      <c r="AO2910" s="6" t="str">
        <f t="shared" si="301"/>
        <v>OK</v>
      </c>
      <c r="AQ2910" s="6" t="e">
        <f>MATCH($D2910,'D4 - Provider Council Unsched'!$C$11:$C$234,0)</f>
        <v>#N/A</v>
      </c>
      <c r="AR2910" s="6" t="b">
        <f t="shared" si="302"/>
        <v>1</v>
      </c>
      <c r="AS2910" s="6" t="str">
        <f t="shared" si="303"/>
        <v>OK</v>
      </c>
      <c r="AU2910" s="202"/>
      <c r="AV2910" s="262"/>
      <c r="AW2910" s="274"/>
    </row>
    <row r="2911" spans="1:49" s="13" customFormat="1" ht="22.5" x14ac:dyDescent="0.2">
      <c r="A2911" s="14">
        <v>2887</v>
      </c>
      <c r="B2911" s="14">
        <v>400029492</v>
      </c>
      <c r="C2911" s="8" t="s">
        <v>5197</v>
      </c>
      <c r="D2911" s="4" t="str">
        <f t="shared" si="304"/>
        <v>400029492R1</v>
      </c>
      <c r="E2911" s="309" t="str">
        <f>VLOOKUP($B2911,'D7 - NDB Impacted SPRF''s'!$E$6:$O$9929,2,FALSE)</f>
        <v>EPS implementation on OHBS Facets - Deferred Scope</v>
      </c>
      <c r="F2911" s="8" t="s">
        <v>2114</v>
      </c>
      <c r="G2911" s="8" t="s">
        <v>4758</v>
      </c>
      <c r="H2911" s="8" t="s">
        <v>2870</v>
      </c>
      <c r="I2911" s="20">
        <v>6.03</v>
      </c>
      <c r="J2911" s="8" t="s">
        <v>4862</v>
      </c>
      <c r="K2911" s="182"/>
      <c r="L2911" s="8" t="s">
        <v>4156</v>
      </c>
      <c r="M2911" s="8" t="s">
        <v>2814</v>
      </c>
      <c r="N2911" s="38"/>
      <c r="O2911" s="8"/>
      <c r="P2911" s="4" t="str">
        <f>VLOOKUP($B2911,'D7 - NDB Impacted SPRF''s'!$E$16:$O$9929,9,FALSE)</f>
        <v>N</v>
      </c>
      <c r="Q2911" s="4" t="str">
        <f>VLOOKUP($B2911,'D7 - NDB Impacted SPRF''s'!$E$16:$O$9929,10,FALSE)</f>
        <v>N</v>
      </c>
      <c r="R2911" s="4" t="str">
        <f>VLOOKUP($B2911,'D7 - NDB Impacted SPRF''s'!$E$16:$O$9929,11,FALSE)</f>
        <v>N</v>
      </c>
      <c r="S2911" s="8"/>
      <c r="T2911" s="310"/>
      <c r="U2911" s="310"/>
      <c r="V2911" s="4"/>
      <c r="W2911" s="4"/>
      <c r="X2911" s="4"/>
      <c r="Y2911" s="4"/>
      <c r="Z2911" s="4"/>
      <c r="AA2911" s="4"/>
      <c r="AB2911" s="380" t="str">
        <f>VLOOKUP($B2911,'D7 - NDB Impacted SPRF''s'!$E$6:$O$9929,4,FALSE)</f>
        <v>Completed</v>
      </c>
      <c r="AC2911" s="380" t="str">
        <f>VLOOKUP($B2911,'D7 - NDB Impacted SPRF''s'!$E$6:$O$9929,3,FALSE)</f>
        <v>OptumHealth</v>
      </c>
      <c r="AD2911" s="380" t="str">
        <f>VLOOKUP($B2911,'D7 - NDB Impacted SPRF''s'!$E$6:$O$9929,5,FALSE)</f>
        <v>Behavioral Solutions</v>
      </c>
      <c r="AE2911" s="380" t="str">
        <f>VLOOKUP($B2911,'D7 - NDB Impacted SPRF''s'!$E$6:$O$9929,7,FALSE)</f>
        <v>Lloyd Dyer</v>
      </c>
      <c r="AF2911" s="380" t="str">
        <f>VLOOKUP($B2911,'D7 - NDB Impacted SPRF''s'!$E$6:$O$9929,6,FALSE)</f>
        <v>Gangadhar Sulkunte</v>
      </c>
      <c r="AG2911" s="282"/>
      <c r="AH2911" s="311" t="e">
        <f>INDEX('D5 - Gatekeeper - Projects'!$A$4:$AF$1010,$AM2911, 17)</f>
        <v>#N/A</v>
      </c>
      <c r="AI2911" s="8"/>
      <c r="AJ2911" s="57"/>
      <c r="AK2911" s="105"/>
      <c r="AM2911" s="6" t="e">
        <f>MATCH(D2911,'D5 - Gatekeeper - Projects'!$C$4:$C$1010,0)</f>
        <v>#N/A</v>
      </c>
      <c r="AN2911" s="6" t="b">
        <f t="shared" si="300"/>
        <v>1</v>
      </c>
      <c r="AO2911" s="6" t="str">
        <f t="shared" si="301"/>
        <v>OK</v>
      </c>
      <c r="AQ2911" s="6" t="e">
        <f>MATCH($D2911,'D4 - Provider Council Unsched'!$C$11:$C$234,0)</f>
        <v>#N/A</v>
      </c>
      <c r="AR2911" s="6" t="b">
        <f t="shared" si="302"/>
        <v>1</v>
      </c>
      <c r="AS2911" s="6" t="str">
        <f t="shared" si="303"/>
        <v>OK</v>
      </c>
      <c r="AU2911" s="202"/>
      <c r="AV2911" s="262"/>
      <c r="AW2911" s="274"/>
    </row>
    <row r="2912" spans="1:49" s="13" customFormat="1" ht="33.75" x14ac:dyDescent="0.2">
      <c r="A2912" s="14">
        <v>2888</v>
      </c>
      <c r="B2912" s="14">
        <v>400029575</v>
      </c>
      <c r="C2912" s="8" t="s">
        <v>5197</v>
      </c>
      <c r="D2912" s="4" t="str">
        <f t="shared" si="304"/>
        <v>400029575R1</v>
      </c>
      <c r="E2912" s="309" t="str">
        <f>VLOOKUP($B2912,'D7 - NDB Impacted SPRF''s'!$E$6:$O$9929,2,FALSE)</f>
        <v>UFE taxonomy table update 2009</v>
      </c>
      <c r="F2912" s="8" t="s">
        <v>2114</v>
      </c>
      <c r="G2912" s="8" t="s">
        <v>4758</v>
      </c>
      <c r="H2912" s="8" t="s">
        <v>2870</v>
      </c>
      <c r="I2912" s="20"/>
      <c r="J2912" s="8"/>
      <c r="K2912" s="182"/>
      <c r="L2912" s="8" t="s">
        <v>4156</v>
      </c>
      <c r="M2912" s="8" t="s">
        <v>2814</v>
      </c>
      <c r="N2912" s="38"/>
      <c r="O2912" s="8"/>
      <c r="P2912" s="4" t="str">
        <f>VLOOKUP($B2912,'D7 - NDB Impacted SPRF''s'!$E$16:$O$9929,9,FALSE)</f>
        <v>Y</v>
      </c>
      <c r="Q2912" s="4" t="str">
        <f>VLOOKUP($B2912,'D7 - NDB Impacted SPRF''s'!$E$16:$O$9929,10,FALSE)</f>
        <v>N</v>
      </c>
      <c r="R2912" s="4" t="str">
        <f>VLOOKUP($B2912,'D7 - NDB Impacted SPRF''s'!$E$16:$O$9929,11,FALSE)</f>
        <v>N</v>
      </c>
      <c r="S2912" s="8"/>
      <c r="T2912" s="310"/>
      <c r="U2912" s="310"/>
      <c r="V2912" s="4"/>
      <c r="W2912" s="4"/>
      <c r="X2912" s="4"/>
      <c r="Y2912" s="4"/>
      <c r="Z2912" s="4"/>
      <c r="AA2912" s="4"/>
      <c r="AB2912" s="380" t="str">
        <f>VLOOKUP($B2912,'D7 - NDB Impacted SPRF''s'!$E$16:$O$9929,4,FALSE)</f>
        <v>Cancelled</v>
      </c>
      <c r="AC2912" s="380" t="str">
        <f>VLOOKUP($B2912,'D7 - NDB Impacted SPRF''s'!$E$16:$O$9929,3,FALSE)</f>
        <v>UnitedHealthcare Employer &amp; Individual</v>
      </c>
      <c r="AD2912" s="380" t="str">
        <f>VLOOKUP($B2912,'D7 - NDB Impacted SPRF''s'!$E$16:$O$9929,5,FALSE)</f>
        <v>Process Improvement</v>
      </c>
      <c r="AE2912" s="380" t="str">
        <f>VLOOKUP($B2912,'D7 - NDB Impacted SPRF''s'!$E$16:$O$9929,7,FALSE)</f>
        <v>Tim Kaja</v>
      </c>
      <c r="AF2912" s="380" t="str">
        <f>VLOOKUP($B2912,'D7 - NDB Impacted SPRF''s'!$E$16:$O$9929,6,FALSE)</f>
        <v>Brenda Colwill</v>
      </c>
      <c r="AG2912" s="282"/>
      <c r="AH2912" s="311" t="e">
        <f>INDEX('D5 - Gatekeeper - Projects'!$A$4:$AF$1010,$AM2912, 17)</f>
        <v>#N/A</v>
      </c>
      <c r="AI2912" s="8"/>
      <c r="AJ2912" s="57"/>
      <c r="AK2912" s="105"/>
      <c r="AM2912" s="6" t="e">
        <f>MATCH(D2912,'D5 - Gatekeeper - Projects'!$C$4:$C$1010,0)</f>
        <v>#N/A</v>
      </c>
      <c r="AN2912" s="6" t="b">
        <f t="shared" si="300"/>
        <v>1</v>
      </c>
      <c r="AO2912" s="6" t="str">
        <f t="shared" si="301"/>
        <v>OK</v>
      </c>
      <c r="AQ2912" s="6" t="e">
        <f>MATCH($D2912,'D4 - Provider Council Unsched'!$C$11:$C$234,0)</f>
        <v>#N/A</v>
      </c>
      <c r="AR2912" s="6" t="b">
        <f t="shared" si="302"/>
        <v>1</v>
      </c>
      <c r="AS2912" s="6" t="str">
        <f t="shared" si="303"/>
        <v>OK</v>
      </c>
      <c r="AU2912" s="202"/>
      <c r="AV2912" s="262"/>
      <c r="AW2912" s="274"/>
    </row>
    <row r="2913" spans="1:49" s="13" customFormat="1" ht="33.75" x14ac:dyDescent="0.2">
      <c r="A2913" s="14">
        <v>2889</v>
      </c>
      <c r="B2913" s="14">
        <v>400029724</v>
      </c>
      <c r="C2913" s="8" t="s">
        <v>5197</v>
      </c>
      <c r="D2913" s="4" t="str">
        <f t="shared" si="304"/>
        <v>400029724R1</v>
      </c>
      <c r="E2913" s="309" t="str">
        <f>VLOOKUP($B2913,'D7 - NDB Impacted SPRF''s'!$E$6:$O$9929,2,FALSE)</f>
        <v>Misdirected Call - Phase 2</v>
      </c>
      <c r="F2913" s="8" t="s">
        <v>2114</v>
      </c>
      <c r="G2913" s="8" t="s">
        <v>4758</v>
      </c>
      <c r="H2913" s="8" t="s">
        <v>2870</v>
      </c>
      <c r="I2913" s="20"/>
      <c r="J2913" s="8"/>
      <c r="K2913" s="182"/>
      <c r="L2913" s="8" t="s">
        <v>4156</v>
      </c>
      <c r="M2913" s="8" t="s">
        <v>2814</v>
      </c>
      <c r="N2913" s="38"/>
      <c r="O2913" s="8"/>
      <c r="P2913" s="4" t="str">
        <f>VLOOKUP($B2913,'D7 - NDB Impacted SPRF''s'!$E$16:$O$9929,9,FALSE)</f>
        <v>N</v>
      </c>
      <c r="Q2913" s="4" t="str">
        <f>VLOOKUP($B2913,'D7 - NDB Impacted SPRF''s'!$E$16:$O$9929,10,FALSE)</f>
        <v>N</v>
      </c>
      <c r="R2913" s="4" t="str">
        <f>VLOOKUP($B2913,'D7 - NDB Impacted SPRF''s'!$E$16:$O$9929,11,FALSE)</f>
        <v>N</v>
      </c>
      <c r="S2913" s="8"/>
      <c r="T2913" s="310"/>
      <c r="U2913" s="310"/>
      <c r="V2913" s="4"/>
      <c r="W2913" s="4"/>
      <c r="X2913" s="4"/>
      <c r="Y2913" s="4"/>
      <c r="Z2913" s="4"/>
      <c r="AA2913" s="4"/>
      <c r="AB2913" s="380" t="str">
        <f>VLOOKUP($B2913,'D7 - NDB Impacted SPRF''s'!$E$6:$O$9929,4,FALSE)</f>
        <v>Cancelled</v>
      </c>
      <c r="AC2913" s="380" t="str">
        <f>VLOOKUP($B2913,'D7 - NDB Impacted SPRF''s'!$E$6:$O$9929,3,FALSE)</f>
        <v>UnitedHealthcare Employer &amp; Individual</v>
      </c>
      <c r="AD2913" s="380" t="str">
        <f>VLOOKUP($B2913,'D7 - NDB Impacted SPRF''s'!$E$6:$O$9929,5,FALSE)</f>
        <v>Membership Growth / Revenue Programs</v>
      </c>
      <c r="AE2913" s="380" t="str">
        <f>VLOOKUP($B2913,'D7 - NDB Impacted SPRF''s'!$E$6:$O$9929,7,FALSE)</f>
        <v>Jo Anne Anderson</v>
      </c>
      <c r="AF2913" s="380" t="str">
        <f>VLOOKUP($B2913,'D7 - NDB Impacted SPRF''s'!$E$6:$O$9929,6,FALSE)</f>
        <v>Chad Wege</v>
      </c>
      <c r="AG2913" s="282"/>
      <c r="AH2913" s="311" t="e">
        <f>INDEX('D5 - Gatekeeper - Projects'!$A$4:$AF$1010,$AM2913, 17)</f>
        <v>#N/A</v>
      </c>
      <c r="AI2913" s="8"/>
      <c r="AJ2913" s="57"/>
      <c r="AK2913" s="57"/>
      <c r="AM2913" s="6" t="e">
        <f>MATCH(D2913,'D5 - Gatekeeper - Projects'!$C$4:$C$1010,0)</f>
        <v>#N/A</v>
      </c>
      <c r="AN2913" s="6" t="b">
        <f t="shared" si="300"/>
        <v>1</v>
      </c>
      <c r="AO2913" s="6" t="str">
        <f t="shared" si="301"/>
        <v>OK</v>
      </c>
      <c r="AQ2913" s="6" t="e">
        <f>MATCH($D2913,'D4 - Provider Council Unsched'!$C$11:$C$234,0)</f>
        <v>#N/A</v>
      </c>
      <c r="AR2913" s="6" t="b">
        <f t="shared" si="302"/>
        <v>1</v>
      </c>
      <c r="AS2913" s="6" t="str">
        <f t="shared" si="303"/>
        <v>OK</v>
      </c>
      <c r="AU2913" s="202"/>
      <c r="AV2913" s="262"/>
      <c r="AW2913" s="274"/>
    </row>
    <row r="2914" spans="1:49" s="13" customFormat="1" ht="33.75" x14ac:dyDescent="0.2">
      <c r="A2914" s="14">
        <v>2890</v>
      </c>
      <c r="B2914" s="14">
        <v>400029829</v>
      </c>
      <c r="C2914" s="8" t="s">
        <v>5197</v>
      </c>
      <c r="D2914" s="4" t="str">
        <f t="shared" si="304"/>
        <v>400029829R1</v>
      </c>
      <c r="E2914" s="309" t="str">
        <f>VLOOKUP($B2914,'D7 - NDB Impacted SPRF''s'!$E$6:$O$9929,2,FALSE)</f>
        <v>ppoONE synchronization to NDB Fee Schedules</v>
      </c>
      <c r="F2914" s="282" t="s">
        <v>2114</v>
      </c>
      <c r="G2914" s="8" t="s">
        <v>4758</v>
      </c>
      <c r="H2914" s="8" t="s">
        <v>2870</v>
      </c>
      <c r="I2914" s="20"/>
      <c r="J2914" s="8"/>
      <c r="K2914" s="182"/>
      <c r="L2914" s="8" t="s">
        <v>4156</v>
      </c>
      <c r="M2914" s="8" t="s">
        <v>2814</v>
      </c>
      <c r="N2914" s="38"/>
      <c r="O2914" s="8"/>
      <c r="P2914" s="4" t="str">
        <f>VLOOKUP($B2914,'D7 - NDB Impacted SPRF''s'!$E$16:$O$9929,9,FALSE)</f>
        <v>N</v>
      </c>
      <c r="Q2914" s="4" t="str">
        <f>VLOOKUP($B2914,'D7 - NDB Impacted SPRF''s'!$E$16:$O$9929,10,FALSE)</f>
        <v>N</v>
      </c>
      <c r="R2914" s="4" t="str">
        <f>VLOOKUP($B2914,'D7 - NDB Impacted SPRF''s'!$E$16:$O$9929,11,FALSE)</f>
        <v>Y</v>
      </c>
      <c r="S2914" s="8"/>
      <c r="T2914" s="310"/>
      <c r="U2914" s="310"/>
      <c r="V2914" s="4"/>
      <c r="W2914" s="4"/>
      <c r="X2914" s="4"/>
      <c r="Y2914" s="4"/>
      <c r="Z2914" s="4"/>
      <c r="AA2914" s="4"/>
      <c r="AB2914" s="380" t="str">
        <f>VLOOKUP($B2914,'D7 - NDB Impacted SPRF''s'!$E$6:$O$9929,4,FALSE)</f>
        <v>Cancelled</v>
      </c>
      <c r="AC2914" s="380" t="str">
        <f>VLOOKUP($B2914,'D7 - NDB Impacted SPRF''s'!$E$6:$O$9929,3,FALSE)</f>
        <v>UnitedHealthcare Employer &amp; Individual</v>
      </c>
      <c r="AD2914" s="380" t="str">
        <f>VLOOKUP($B2914,'D7 - NDB Impacted SPRF''s'!$E$6:$O$9929,5,FALSE)</f>
        <v>Process Improvement</v>
      </c>
      <c r="AE2914" s="380" t="str">
        <f>VLOOKUP($B2914,'D7 - NDB Impacted SPRF''s'!$E$6:$O$9929,7,FALSE)</f>
        <v>Jillian Foucre</v>
      </c>
      <c r="AF2914" s="380" t="str">
        <f>VLOOKUP($B2914,'D7 - NDB Impacted SPRF''s'!$E$6:$O$9929,6,FALSE)</f>
        <v>PENNINGTON CAROL</v>
      </c>
      <c r="AG2914" s="282"/>
      <c r="AH2914" s="311" t="e">
        <f>INDEX('D5 - Gatekeeper - Projects'!$A$4:$AF$1010,$AM2914, 17)</f>
        <v>#N/A</v>
      </c>
      <c r="AI2914" s="8"/>
      <c r="AJ2914" s="57"/>
      <c r="AK2914" s="105"/>
      <c r="AL2914" s="91"/>
      <c r="AM2914" s="46" t="e">
        <f>MATCH(D2914,'D5 - Gatekeeper - Projects'!$C$4:$C$1010,0)</f>
        <v>#N/A</v>
      </c>
      <c r="AN2914" s="47" t="b">
        <f t="shared" si="300"/>
        <v>1</v>
      </c>
      <c r="AO2914" s="347"/>
      <c r="AP2914" s="91"/>
      <c r="AQ2914" s="46" t="e">
        <f>MATCH($D2914,#REF!,0)</f>
        <v>#REF!</v>
      </c>
      <c r="AR2914" s="47" t="b">
        <f t="shared" si="302"/>
        <v>1</v>
      </c>
      <c r="AS2914" s="347"/>
      <c r="AU2914" s="202"/>
      <c r="AV2914" s="262"/>
      <c r="AW2914" s="274"/>
    </row>
    <row r="2915" spans="1:49" s="13" customFormat="1" ht="33.75" x14ac:dyDescent="0.2">
      <c r="A2915" s="14">
        <v>2891</v>
      </c>
      <c r="B2915" s="14">
        <v>400029894</v>
      </c>
      <c r="C2915" s="8" t="s">
        <v>5197</v>
      </c>
      <c r="D2915" s="4" t="str">
        <f t="shared" si="304"/>
        <v>400029894R1</v>
      </c>
      <c r="E2915" s="309" t="str">
        <f>VLOOKUP($B2915,'D7 - NDB Impacted SPRF''s'!$E$6:$O$9929,2,FALSE)</f>
        <v>Provider Search Results</v>
      </c>
      <c r="F2915" s="282" t="s">
        <v>2114</v>
      </c>
      <c r="G2915" s="8" t="s">
        <v>4758</v>
      </c>
      <c r="H2915" s="8" t="s">
        <v>2870</v>
      </c>
      <c r="I2915" s="20"/>
      <c r="J2915" s="8"/>
      <c r="K2915" s="182"/>
      <c r="L2915" s="8" t="s">
        <v>4156</v>
      </c>
      <c r="M2915" s="8" t="s">
        <v>2814</v>
      </c>
      <c r="N2915" s="38"/>
      <c r="O2915" s="8"/>
      <c r="P2915" s="4" t="str">
        <f>VLOOKUP($B2915,'D7 - NDB Impacted SPRF''s'!$E$16:$O$9929,9,FALSE)</f>
        <v>N</v>
      </c>
      <c r="Q2915" s="4" t="str">
        <f>VLOOKUP($B2915,'D7 - NDB Impacted SPRF''s'!$E$16:$O$9929,10,FALSE)</f>
        <v>N</v>
      </c>
      <c r="R2915" s="4" t="str">
        <f>VLOOKUP($B2915,'D7 - NDB Impacted SPRF''s'!$E$16:$O$9929,11,FALSE)</f>
        <v>N</v>
      </c>
      <c r="S2915" s="8"/>
      <c r="T2915" s="310"/>
      <c r="U2915" s="310"/>
      <c r="V2915" s="4"/>
      <c r="W2915" s="4"/>
      <c r="X2915" s="4"/>
      <c r="Y2915" s="4"/>
      <c r="Z2915" s="4"/>
      <c r="AA2915" s="4"/>
      <c r="AB2915" s="380" t="str">
        <f>VLOOKUP($B2915,'D7 - NDB Impacted SPRF''s'!$E$6:$O$9929,4,FALSE)</f>
        <v>Cancelled</v>
      </c>
      <c r="AC2915" s="380" t="str">
        <f>VLOOKUP($B2915,'D7 - NDB Impacted SPRF''s'!$E$6:$O$9929,3,FALSE)</f>
        <v>UnitedHealthcare Employer &amp; Individual</v>
      </c>
      <c r="AD2915" s="380" t="str">
        <f>VLOOKUP($B2915,'D7 - NDB Impacted SPRF''s'!$E$6:$O$9929,5,FALSE)</f>
        <v>Membership Growth / Revenue Programs</v>
      </c>
      <c r="AE2915" s="380" t="str">
        <f>VLOOKUP($B2915,'D7 - NDB Impacted SPRF''s'!$E$6:$O$9929,7,FALSE)</f>
        <v>Jo Anne Anderson</v>
      </c>
      <c r="AF2915" s="380" t="str">
        <f>VLOOKUP($B2915,'D7 - NDB Impacted SPRF''s'!$E$6:$O$9929,6,FALSE)</f>
        <v>KRISTYN EIRING</v>
      </c>
      <c r="AG2915" s="282"/>
      <c r="AH2915" s="311" t="e">
        <f>INDEX('D5 - Gatekeeper - Projects'!$A$4:$AF$1010,$AM2915, 17)</f>
        <v>#N/A</v>
      </c>
      <c r="AI2915" s="8"/>
      <c r="AJ2915" s="57"/>
      <c r="AK2915" s="57"/>
      <c r="AM2915" s="6" t="e">
        <f>MATCH(D2915,'D5 - Gatekeeper - Projects'!$C$4:$C$1010,0)</f>
        <v>#N/A</v>
      </c>
      <c r="AN2915" s="6" t="b">
        <f t="shared" si="300"/>
        <v>1</v>
      </c>
      <c r="AO2915" s="6" t="str">
        <f t="shared" ref="AO2915:AO2956" si="305">IF(AND(H2915="1 - Scheduled",AN2915=TRUE),"Add","OK")</f>
        <v>OK</v>
      </c>
      <c r="AQ2915" s="6" t="e">
        <f>MATCH($D2915,'D4 - Provider Council Unsched'!$C$11:$C$234,0)</f>
        <v>#N/A</v>
      </c>
      <c r="AR2915" s="6" t="b">
        <f t="shared" si="302"/>
        <v>1</v>
      </c>
      <c r="AS2915" s="6" t="str">
        <f t="shared" ref="AS2915:AS2956" si="306">IF(AND(H2915="2 - Not Scheduled",AR2915=TRUE,C2915="R1"),"Add","OK")</f>
        <v>OK</v>
      </c>
      <c r="AU2915" s="202"/>
      <c r="AV2915" s="262"/>
      <c r="AW2915" s="274"/>
    </row>
    <row r="2916" spans="1:49" s="13" customFormat="1" ht="33.75" x14ac:dyDescent="0.2">
      <c r="A2916" s="14">
        <v>2892</v>
      </c>
      <c r="B2916" s="14">
        <v>400030016</v>
      </c>
      <c r="C2916" s="8" t="s">
        <v>5197</v>
      </c>
      <c r="D2916" s="4" t="str">
        <f t="shared" si="304"/>
        <v>400030016R1</v>
      </c>
      <c r="E2916" s="309" t="str">
        <f>VLOOKUP($B2916,'D7 - NDB Impacted SPRF''s'!$E$6:$O$9929,2,FALSE)</f>
        <v>AmeriChoice Unison Provider Data to NDB</v>
      </c>
      <c r="F2916" s="282" t="s">
        <v>6401</v>
      </c>
      <c r="G2916" s="8" t="s">
        <v>4758</v>
      </c>
      <c r="H2916" s="8" t="s">
        <v>2870</v>
      </c>
      <c r="I2916" s="20"/>
      <c r="J2916" s="8"/>
      <c r="K2916" s="182"/>
      <c r="L2916" s="8" t="s">
        <v>4156</v>
      </c>
      <c r="M2916" s="8" t="s">
        <v>2814</v>
      </c>
      <c r="N2916" s="38"/>
      <c r="O2916" s="8"/>
      <c r="P2916" s="4" t="str">
        <f>VLOOKUP($B2916,'D7 - NDB Impacted SPRF''s'!$E$16:$O$9929,9,FALSE)</f>
        <v>N</v>
      </c>
      <c r="Q2916" s="4" t="str">
        <f>VLOOKUP($B2916,'D7 - NDB Impacted SPRF''s'!$E$16:$O$9929,10,FALSE)</f>
        <v>N</v>
      </c>
      <c r="R2916" s="4" t="str">
        <f>VLOOKUP($B2916,'D7 - NDB Impacted SPRF''s'!$E$16:$O$9929,11,FALSE)</f>
        <v>N</v>
      </c>
      <c r="S2916" s="8"/>
      <c r="T2916" s="310"/>
      <c r="U2916" s="310"/>
      <c r="V2916" s="4"/>
      <c r="W2916" s="4"/>
      <c r="X2916" s="4"/>
      <c r="Y2916" s="4"/>
      <c r="Z2916" s="4"/>
      <c r="AA2916" s="4"/>
      <c r="AB2916" s="380" t="str">
        <f>VLOOKUP($B2916,'D7 - NDB Impacted SPRF''s'!$E$6:$O$9929,4,FALSE)</f>
        <v>Cancelled</v>
      </c>
      <c r="AC2916" s="380" t="str">
        <f>VLOOKUP($B2916,'D7 - NDB Impacted SPRF''s'!$E$6:$O$9929,3,FALSE)</f>
        <v>UnitedHealthcare Medicare &amp; Retirement</v>
      </c>
      <c r="AD2916" s="380" t="str">
        <f>VLOOKUP($B2916,'D7 - NDB Impacted SPRF''s'!$E$6:$O$9929,5,FALSE)</f>
        <v>Enterprise Clinical</v>
      </c>
      <c r="AE2916" s="380" t="str">
        <f>VLOOKUP($B2916,'D7 - NDB Impacted SPRF''s'!$E$6:$O$9929,7,FALSE)</f>
        <v>Cynthia Middaugh</v>
      </c>
      <c r="AF2916" s="380" t="str">
        <f>VLOOKUP($B2916,'D7 - NDB Impacted SPRF''s'!$E$6:$O$9929,6,FALSE)</f>
        <v>CHRISTINA MOSHER</v>
      </c>
      <c r="AG2916" s="282"/>
      <c r="AH2916" s="311" t="e">
        <f>INDEX('D5 - Gatekeeper - Projects'!$A$4:$AF$1010,$AM2916, 17)</f>
        <v>#N/A</v>
      </c>
      <c r="AI2916" s="8"/>
      <c r="AJ2916" s="57"/>
      <c r="AK2916" s="105"/>
      <c r="AM2916" s="6" t="e">
        <f>MATCH(D2916,'D5 - Gatekeeper - Projects'!$C$4:$C$1010,0)</f>
        <v>#N/A</v>
      </c>
      <c r="AN2916" s="6" t="b">
        <f t="shared" si="300"/>
        <v>1</v>
      </c>
      <c r="AO2916" s="6" t="str">
        <f t="shared" si="305"/>
        <v>OK</v>
      </c>
      <c r="AQ2916" s="6" t="e">
        <f>MATCH($D2916,'D4 - Provider Council Unsched'!$C$11:$C$234,0)</f>
        <v>#N/A</v>
      </c>
      <c r="AR2916" s="6" t="b">
        <f t="shared" si="302"/>
        <v>1</v>
      </c>
      <c r="AS2916" s="6" t="str">
        <f t="shared" si="306"/>
        <v>OK</v>
      </c>
      <c r="AU2916" s="202"/>
      <c r="AV2916" s="262"/>
      <c r="AW2916" s="274"/>
    </row>
    <row r="2917" spans="1:49" s="13" customFormat="1" ht="33.75" x14ac:dyDescent="0.2">
      <c r="A2917" s="14">
        <v>2893</v>
      </c>
      <c r="B2917" s="14">
        <v>400030018</v>
      </c>
      <c r="C2917" s="8" t="s">
        <v>5197</v>
      </c>
      <c r="D2917" s="4" t="str">
        <f t="shared" si="304"/>
        <v>400030018R1</v>
      </c>
      <c r="E2917" s="309" t="str">
        <f>VLOOKUP($B2917,'D7 - NDB Impacted SPRF''s'!$E$6:$O$9929,2,FALSE)</f>
        <v>Facets GLHP MI Provider Data to NDB</v>
      </c>
      <c r="F2917" s="282" t="s">
        <v>6401</v>
      </c>
      <c r="G2917" s="8" t="s">
        <v>4758</v>
      </c>
      <c r="H2917" s="8" t="s">
        <v>2870</v>
      </c>
      <c r="I2917" s="20"/>
      <c r="J2917" s="8"/>
      <c r="K2917" s="182"/>
      <c r="L2917" s="8" t="s">
        <v>4156</v>
      </c>
      <c r="M2917" s="8" t="s">
        <v>2814</v>
      </c>
      <c r="N2917" s="38"/>
      <c r="O2917" s="8"/>
      <c r="P2917" s="4" t="str">
        <f>VLOOKUP($B2917,'D7 - NDB Impacted SPRF''s'!$E$16:$O$9929,9,FALSE)</f>
        <v>N</v>
      </c>
      <c r="Q2917" s="4" t="str">
        <f>VLOOKUP($B2917,'D7 - NDB Impacted SPRF''s'!$E$16:$O$9929,10,FALSE)</f>
        <v>N</v>
      </c>
      <c r="R2917" s="4" t="str">
        <f>VLOOKUP($B2917,'D7 - NDB Impacted SPRF''s'!$E$16:$O$9929,11,FALSE)</f>
        <v>N</v>
      </c>
      <c r="S2917" s="8"/>
      <c r="T2917" s="310"/>
      <c r="U2917" s="310"/>
      <c r="V2917" s="4"/>
      <c r="W2917" s="4"/>
      <c r="X2917" s="4"/>
      <c r="Y2917" s="4"/>
      <c r="Z2917" s="4"/>
      <c r="AA2917" s="4"/>
      <c r="AB2917" s="380" t="str">
        <f>VLOOKUP($B2917,'D7 - NDB Impacted SPRF''s'!$E$6:$O$9929,4,FALSE)</f>
        <v>Cancelled</v>
      </c>
      <c r="AC2917" s="380" t="str">
        <f>VLOOKUP($B2917,'D7 - NDB Impacted SPRF''s'!$E$6:$O$9929,3,FALSE)</f>
        <v>UnitedHealthcare Medicare &amp; Retirement</v>
      </c>
      <c r="AD2917" s="380" t="str">
        <f>VLOOKUP($B2917,'D7 - NDB Impacted SPRF''s'!$E$6:$O$9929,5,FALSE)</f>
        <v>Enterprise Clinical</v>
      </c>
      <c r="AE2917" s="380" t="str">
        <f>VLOOKUP($B2917,'D7 - NDB Impacted SPRF''s'!$E$6:$O$9929,7,FALSE)</f>
        <v>Cynthia Middaugh</v>
      </c>
      <c r="AF2917" s="380" t="str">
        <f>VLOOKUP($B2917,'D7 - NDB Impacted SPRF''s'!$E$6:$O$9929,6,FALSE)</f>
        <v>CHRISTINA MOSHER</v>
      </c>
      <c r="AG2917" s="282"/>
      <c r="AH2917" s="311" t="e">
        <f>INDEX('D5 - Gatekeeper - Projects'!$A$4:$AF$1010,$AM2917, 17)</f>
        <v>#N/A</v>
      </c>
      <c r="AI2917" s="8"/>
      <c r="AJ2917" s="57"/>
      <c r="AK2917" s="105"/>
      <c r="AM2917" s="6" t="e">
        <f>MATCH(D2917,'D5 - Gatekeeper - Projects'!$C$4:$C$1010,0)</f>
        <v>#N/A</v>
      </c>
      <c r="AN2917" s="6" t="b">
        <f t="shared" si="300"/>
        <v>1</v>
      </c>
      <c r="AO2917" s="6" t="str">
        <f t="shared" si="305"/>
        <v>OK</v>
      </c>
      <c r="AQ2917" s="6" t="e">
        <f>MATCH($D2917,'D4 - Provider Council Unsched'!$C$11:$C$234,0)</f>
        <v>#N/A</v>
      </c>
      <c r="AR2917" s="6" t="b">
        <f t="shared" si="302"/>
        <v>1</v>
      </c>
      <c r="AS2917" s="6" t="str">
        <f t="shared" si="306"/>
        <v>OK</v>
      </c>
      <c r="AU2917" s="202"/>
      <c r="AV2917" s="262"/>
      <c r="AW2917" s="274"/>
    </row>
    <row r="2918" spans="1:49" s="13" customFormat="1" ht="33.75" x14ac:dyDescent="0.2">
      <c r="A2918" s="14">
        <v>2894</v>
      </c>
      <c r="B2918" s="14">
        <v>400030031</v>
      </c>
      <c r="C2918" s="8" t="s">
        <v>5197</v>
      </c>
      <c r="D2918" s="4" t="str">
        <f t="shared" si="304"/>
        <v>400030031R1</v>
      </c>
      <c r="E2918" s="309" t="str">
        <f>VLOOKUP($B2918,'D7 - NDB Impacted SPRF''s'!$E$6:$O$9929,2,FALSE)</f>
        <v>MPQ Enhancements: CPW Migration</v>
      </c>
      <c r="F2918" s="282" t="s">
        <v>4751</v>
      </c>
      <c r="G2918" s="8" t="s">
        <v>4758</v>
      </c>
      <c r="H2918" s="8" t="s">
        <v>2870</v>
      </c>
      <c r="I2918" s="20"/>
      <c r="J2918" s="8"/>
      <c r="K2918" s="182"/>
      <c r="L2918" s="8" t="s">
        <v>4156</v>
      </c>
      <c r="M2918" s="8" t="s">
        <v>2814</v>
      </c>
      <c r="N2918" s="38"/>
      <c r="O2918" s="8"/>
      <c r="P2918" s="4" t="str">
        <f>VLOOKUP($B2918,'D7 - NDB Impacted SPRF''s'!$E$16:$O$9929,9,FALSE)</f>
        <v>N</v>
      </c>
      <c r="Q2918" s="4" t="str">
        <f>VLOOKUP($B2918,'D7 - NDB Impacted SPRF''s'!$E$16:$O$9929,10,FALSE)</f>
        <v>N</v>
      </c>
      <c r="R2918" s="4" t="str">
        <f>VLOOKUP($B2918,'D7 - NDB Impacted SPRF''s'!$E$16:$O$9929,11,FALSE)</f>
        <v>N</v>
      </c>
      <c r="S2918" s="8"/>
      <c r="T2918" s="310"/>
      <c r="U2918" s="310"/>
      <c r="V2918" s="4"/>
      <c r="W2918" s="4"/>
      <c r="X2918" s="4"/>
      <c r="Y2918" s="4"/>
      <c r="Z2918" s="4"/>
      <c r="AA2918" s="4"/>
      <c r="AB2918" s="380" t="str">
        <f>VLOOKUP($B2918,'D7 - NDB Impacted SPRF''s'!$E$6:$O$9929,4,FALSE)</f>
        <v>Cancelled</v>
      </c>
      <c r="AC2918" s="380" t="str">
        <f>VLOOKUP($B2918,'D7 - NDB Impacted SPRF''s'!$E$6:$O$9929,3,FALSE)</f>
        <v>UnitedHealthcare Employer &amp; Individual</v>
      </c>
      <c r="AD2918" s="380" t="str">
        <f>VLOOKUP($B2918,'D7 - NDB Impacted SPRF''s'!$E$6:$O$9929,5,FALSE)</f>
        <v>Process Improvement</v>
      </c>
      <c r="AE2918" s="380" t="str">
        <f>VLOOKUP($B2918,'D7 - NDB Impacted SPRF''s'!$E$6:$O$9929,7,FALSE)</f>
        <v>Jill Foucre</v>
      </c>
      <c r="AF2918" s="380" t="str">
        <f>VLOOKUP($B2918,'D7 - NDB Impacted SPRF''s'!$E$6:$O$9929,6,FALSE)</f>
        <v>JOHN HIEBERT</v>
      </c>
      <c r="AG2918" s="282"/>
      <c r="AH2918" s="311" t="e">
        <f>INDEX('D5 - Gatekeeper - Projects'!$A$4:$AF$1010,$AM2918, 17)</f>
        <v>#N/A</v>
      </c>
      <c r="AI2918" s="8"/>
      <c r="AJ2918" s="57"/>
      <c r="AK2918" s="105"/>
      <c r="AM2918" s="6" t="e">
        <f>MATCH(D2918,'D5 - Gatekeeper - Projects'!$C$4:$C$1010,0)</f>
        <v>#N/A</v>
      </c>
      <c r="AN2918" s="6" t="b">
        <f t="shared" si="300"/>
        <v>1</v>
      </c>
      <c r="AO2918" s="6" t="str">
        <f t="shared" si="305"/>
        <v>OK</v>
      </c>
      <c r="AQ2918" s="6" t="e">
        <f>MATCH($D2918,'D4 - Provider Council Unsched'!$C$11:$C$234,0)</f>
        <v>#N/A</v>
      </c>
      <c r="AR2918" s="6" t="b">
        <f t="shared" si="302"/>
        <v>1</v>
      </c>
      <c r="AS2918" s="6" t="str">
        <f t="shared" si="306"/>
        <v>OK</v>
      </c>
      <c r="AU2918" s="202"/>
      <c r="AV2918" s="262"/>
      <c r="AW2918" s="274"/>
    </row>
    <row r="2919" spans="1:49" s="13" customFormat="1" ht="22.5" x14ac:dyDescent="0.2">
      <c r="A2919" s="14">
        <v>2895</v>
      </c>
      <c r="B2919" s="14">
        <v>400030076</v>
      </c>
      <c r="C2919" s="8" t="s">
        <v>5197</v>
      </c>
      <c r="D2919" s="4" t="str">
        <f t="shared" si="304"/>
        <v>400030076R1</v>
      </c>
      <c r="E2919" s="309" t="str">
        <f>VLOOKUP($B2919,'D7 - NDB Impacted SPRF''s'!$E$6:$O$9929,2,FALSE)</f>
        <v xml:space="preserve">Employer Dashboard </v>
      </c>
      <c r="F2919" s="8" t="s">
        <v>2114</v>
      </c>
      <c r="G2919" s="8" t="s">
        <v>4758</v>
      </c>
      <c r="H2919" s="8" t="s">
        <v>2870</v>
      </c>
      <c r="I2919" s="20"/>
      <c r="J2919" s="8"/>
      <c r="K2919" s="182"/>
      <c r="L2919" s="8" t="s">
        <v>4156</v>
      </c>
      <c r="M2919" s="8" t="s">
        <v>2814</v>
      </c>
      <c r="N2919" s="38" t="s">
        <v>5036</v>
      </c>
      <c r="O2919" s="8"/>
      <c r="P2919" s="4" t="str">
        <f>VLOOKUP($B2919,'D7 - NDB Impacted SPRF''s'!$E$16:$O$9929,9,FALSE)</f>
        <v>N</v>
      </c>
      <c r="Q2919" s="4" t="str">
        <f>VLOOKUP($B2919,'D7 - NDB Impacted SPRF''s'!$E$16:$O$9929,10,FALSE)</f>
        <v>N</v>
      </c>
      <c r="R2919" s="4" t="str">
        <f>VLOOKUP($B2919,'D7 - NDB Impacted SPRF''s'!$E$16:$O$9929,11,FALSE)</f>
        <v>N</v>
      </c>
      <c r="S2919" s="8"/>
      <c r="T2919" s="310"/>
      <c r="U2919" s="310"/>
      <c r="V2919" s="4"/>
      <c r="W2919" s="4"/>
      <c r="X2919" s="4"/>
      <c r="Y2919" s="4"/>
      <c r="Z2919" s="4"/>
      <c r="AA2919" s="4"/>
      <c r="AB2919" s="380" t="str">
        <f>VLOOKUP($B2919,'D7 - NDB Impacted SPRF''s'!$E$6:$O$9929,4,FALSE)</f>
        <v>Scheduled</v>
      </c>
      <c r="AC2919" s="380" t="str">
        <f>VLOOKUP($B2919,'D7 - NDB Impacted SPRF''s'!$E$6:$O$9929,3,FALSE)</f>
        <v>UHG IT - Shared Services</v>
      </c>
      <c r="AD2919" s="380" t="str">
        <f>VLOOKUP($B2919,'D7 - NDB Impacted SPRF''s'!$E$6:$O$9929,5,FALSE)</f>
        <v>ASG</v>
      </c>
      <c r="AE2919" s="380" t="str">
        <f>VLOOKUP($B2919,'D7 - NDB Impacted SPRF''s'!$E$6:$O$9929,7,FALSE)</f>
        <v>Bud Flagstad</v>
      </c>
      <c r="AF2919" s="380" t="str">
        <f>VLOOKUP($B2919,'D7 - NDB Impacted SPRF''s'!$E$6:$O$9929,6,FALSE)</f>
        <v>Tina Marthaler</v>
      </c>
      <c r="AG2919" s="282"/>
      <c r="AH2919" s="311" t="e">
        <f>INDEX('D5 - Gatekeeper - Projects'!$A$4:$AF$1010,$AM2919, 17)</f>
        <v>#N/A</v>
      </c>
      <c r="AI2919" s="8"/>
      <c r="AJ2919" s="57"/>
      <c r="AK2919" s="57"/>
      <c r="AM2919" s="6" t="e">
        <f>MATCH(D2919,'D5 - Gatekeeper - Projects'!$C$4:$C$1010,0)</f>
        <v>#N/A</v>
      </c>
      <c r="AN2919" s="6" t="b">
        <f t="shared" si="300"/>
        <v>1</v>
      </c>
      <c r="AO2919" s="6" t="str">
        <f t="shared" si="305"/>
        <v>OK</v>
      </c>
      <c r="AQ2919" s="6" t="e">
        <f>MATCH($D2919,'D4 - Provider Council Unsched'!$C$11:$C$234,0)</f>
        <v>#N/A</v>
      </c>
      <c r="AR2919" s="6" t="b">
        <f t="shared" si="302"/>
        <v>1</v>
      </c>
      <c r="AS2919" s="6" t="str">
        <f t="shared" si="306"/>
        <v>OK</v>
      </c>
      <c r="AU2919" s="202"/>
      <c r="AV2919" s="262"/>
      <c r="AW2919" s="274"/>
    </row>
    <row r="2920" spans="1:49" s="13" customFormat="1" ht="45" x14ac:dyDescent="0.2">
      <c r="A2920" s="14">
        <v>2896</v>
      </c>
      <c r="B2920" s="14">
        <v>400030284</v>
      </c>
      <c r="C2920" s="8" t="s">
        <v>5197</v>
      </c>
      <c r="D2920" s="4" t="str">
        <f t="shared" si="304"/>
        <v>400030284R1</v>
      </c>
      <c r="E2920" s="309" t="str">
        <f>VLOOKUP($B2920,'D7 - NDB Impacted SPRF''s'!$E$6:$O$9929,2,FALSE)</f>
        <v>PDR -  Fraud &amp; Abuse on Claims Highway</v>
      </c>
      <c r="F2920" s="8" t="s">
        <v>5595</v>
      </c>
      <c r="G2920" s="8" t="s">
        <v>4758</v>
      </c>
      <c r="H2920" s="8" t="s">
        <v>2870</v>
      </c>
      <c r="I2920" s="20"/>
      <c r="J2920" s="8"/>
      <c r="K2920" s="182"/>
      <c r="L2920" s="8" t="s">
        <v>4156</v>
      </c>
      <c r="M2920" s="8" t="s">
        <v>2814</v>
      </c>
      <c r="N2920" s="38" t="s">
        <v>1880</v>
      </c>
      <c r="O2920" s="8"/>
      <c r="P2920" s="4" t="str">
        <f>VLOOKUP($B2920,'D7 - NDB Impacted SPRF''s'!$E$16:$O$9929,9,FALSE)</f>
        <v>Y</v>
      </c>
      <c r="Q2920" s="4" t="str">
        <f>VLOOKUP($B2920,'D7 - NDB Impacted SPRF''s'!$E$16:$O$9929,10,FALSE)</f>
        <v>N</v>
      </c>
      <c r="R2920" s="4" t="str">
        <f>VLOOKUP($B2920,'D7 - NDB Impacted SPRF''s'!$E$16:$O$9929,11,FALSE)</f>
        <v>N</v>
      </c>
      <c r="S2920" s="8"/>
      <c r="T2920" s="310"/>
      <c r="U2920" s="310"/>
      <c r="V2920" s="4"/>
      <c r="W2920" s="4"/>
      <c r="X2920" s="4"/>
      <c r="Y2920" s="4"/>
      <c r="Z2920" s="4"/>
      <c r="AA2920" s="4"/>
      <c r="AB2920" s="380" t="str">
        <f>VLOOKUP($B2920,'D7 - NDB Impacted SPRF''s'!$E$6:$O$9929,4,FALSE)</f>
        <v>Cancelled</v>
      </c>
      <c r="AC2920" s="380" t="str">
        <f>VLOOKUP($B2920,'D7 - NDB Impacted SPRF''s'!$E$6:$O$9929,3,FALSE)</f>
        <v>UHG IT - Enterprise Technology Services</v>
      </c>
      <c r="AD2920" s="380" t="str">
        <f>VLOOKUP($B2920,'D7 - NDB Impacted SPRF''s'!$E$6:$O$9929,5,FALSE)</f>
        <v>Strategic Initiatives</v>
      </c>
      <c r="AE2920" s="380" t="str">
        <f>VLOOKUP($B2920,'D7 - NDB Impacted SPRF''s'!$E$6:$O$9929,7,FALSE)</f>
        <v>Dave Wichmann</v>
      </c>
      <c r="AF2920" s="380" t="str">
        <f>VLOOKUP($B2920,'D7 - NDB Impacted SPRF''s'!$E$6:$O$9929,6,FALSE)</f>
        <v>Nicole Cartwright</v>
      </c>
      <c r="AG2920" s="282"/>
      <c r="AH2920" s="311" t="e">
        <f>INDEX('D5 - Gatekeeper - Projects'!$A$4:$AF$1010,$AM2920, 17)</f>
        <v>#N/A</v>
      </c>
      <c r="AI2920" s="8"/>
      <c r="AJ2920" s="57"/>
      <c r="AK2920" s="105"/>
      <c r="AM2920" s="6" t="e">
        <f>MATCH(D2920,'D5 - Gatekeeper - Projects'!$C$4:$C$1010,0)</f>
        <v>#N/A</v>
      </c>
      <c r="AN2920" s="6" t="b">
        <f t="shared" si="300"/>
        <v>1</v>
      </c>
      <c r="AO2920" s="6" t="str">
        <f t="shared" si="305"/>
        <v>OK</v>
      </c>
      <c r="AQ2920" s="6" t="e">
        <f>MATCH($D2920,'D4 - Provider Council Unsched'!$C$11:$C$234,0)</f>
        <v>#N/A</v>
      </c>
      <c r="AR2920" s="6" t="b">
        <f t="shared" si="302"/>
        <v>1</v>
      </c>
      <c r="AS2920" s="6" t="str">
        <f t="shared" si="306"/>
        <v>OK</v>
      </c>
      <c r="AU2920" s="202"/>
      <c r="AV2920" s="262"/>
      <c r="AW2920" s="274"/>
    </row>
    <row r="2921" spans="1:49" s="13" customFormat="1" ht="22.5" x14ac:dyDescent="0.2">
      <c r="A2921" s="14">
        <v>2897</v>
      </c>
      <c r="B2921" s="14">
        <v>400030352</v>
      </c>
      <c r="C2921" s="8" t="s">
        <v>5197</v>
      </c>
      <c r="D2921" s="4" t="str">
        <f t="shared" si="304"/>
        <v>400030352R1</v>
      </c>
      <c r="E2921" s="309" t="str">
        <f>VLOOKUP($B2921,'D7 - NDB Impacted SPRF''s'!$E$6:$O$9929,2,FALSE)</f>
        <v>NDB sending full files of EPS enrolment to Facets</v>
      </c>
      <c r="F2921" s="8" t="s">
        <v>2114</v>
      </c>
      <c r="G2921" s="8" t="s">
        <v>4758</v>
      </c>
      <c r="H2921" s="8" t="s">
        <v>2870</v>
      </c>
      <c r="I2921" s="20"/>
      <c r="J2921" s="8"/>
      <c r="K2921" s="182"/>
      <c r="L2921" s="8" t="s">
        <v>4156</v>
      </c>
      <c r="M2921" s="8" t="s">
        <v>2814</v>
      </c>
      <c r="N2921" s="38"/>
      <c r="O2921" s="8"/>
      <c r="P2921" s="4" t="str">
        <f>VLOOKUP($B2921,'D7 - NDB Impacted SPRF''s'!$E$16:$O$9929,9,FALSE)</f>
        <v>N</v>
      </c>
      <c r="Q2921" s="4" t="str">
        <f>VLOOKUP($B2921,'D7 - NDB Impacted SPRF''s'!$E$16:$O$9929,10,FALSE)</f>
        <v>N</v>
      </c>
      <c r="R2921" s="4" t="str">
        <f>VLOOKUP($B2921,'D7 - NDB Impacted SPRF''s'!$E$16:$O$9929,11,FALSE)</f>
        <v>N</v>
      </c>
      <c r="S2921" s="8"/>
      <c r="T2921" s="310"/>
      <c r="U2921" s="310"/>
      <c r="V2921" s="4"/>
      <c r="W2921" s="4"/>
      <c r="X2921" s="4"/>
      <c r="Y2921" s="4"/>
      <c r="Z2921" s="4"/>
      <c r="AA2921" s="4"/>
      <c r="AB2921" s="380" t="str">
        <f>VLOOKUP($B2921,'D7 - NDB Impacted SPRF''s'!$E$6:$O$9929,4,FALSE)</f>
        <v>Cancelled</v>
      </c>
      <c r="AC2921" s="380" t="str">
        <f>VLOOKUP($B2921,'D7 - NDB Impacted SPRF''s'!$E$6:$O$9929,3,FALSE)</f>
        <v>OptumHealth</v>
      </c>
      <c r="AD2921" s="380" t="str">
        <f>VLOOKUP($B2921,'D7 - NDB Impacted SPRF''s'!$E$6:$O$9929,5,FALSE)</f>
        <v>Behavioral Solutions</v>
      </c>
      <c r="AE2921" s="380" t="str">
        <f>VLOOKUP($B2921,'D7 - NDB Impacted SPRF''s'!$E$6:$O$9929,7,FALSE)</f>
        <v>Sharon McCullough</v>
      </c>
      <c r="AF2921" s="380" t="str">
        <f>VLOOKUP($B2921,'D7 - NDB Impacted SPRF''s'!$E$6:$O$9929,6,FALSE)</f>
        <v>Gangadhar Sulkunte</v>
      </c>
      <c r="AG2921" s="282"/>
      <c r="AH2921" s="311" t="e">
        <f>INDEX('D5 - Gatekeeper - Projects'!$A$4:$AF$1010,$AM2921, 17)</f>
        <v>#N/A</v>
      </c>
      <c r="AI2921" s="8"/>
      <c r="AJ2921" s="57"/>
      <c r="AK2921" s="105"/>
      <c r="AM2921" s="6" t="e">
        <f>MATCH(D2921,'D5 - Gatekeeper - Projects'!$C$4:$C$1010,0)</f>
        <v>#N/A</v>
      </c>
      <c r="AN2921" s="6" t="b">
        <f t="shared" si="300"/>
        <v>1</v>
      </c>
      <c r="AO2921" s="6" t="str">
        <f t="shared" si="305"/>
        <v>OK</v>
      </c>
      <c r="AQ2921" s="6" t="e">
        <f>MATCH($D2921,'D4 - Provider Council Unsched'!$C$11:$C$234,0)</f>
        <v>#N/A</v>
      </c>
      <c r="AR2921" s="6" t="b">
        <f t="shared" si="302"/>
        <v>1</v>
      </c>
      <c r="AS2921" s="6" t="str">
        <f t="shared" si="306"/>
        <v>OK</v>
      </c>
      <c r="AU2921" s="202"/>
      <c r="AV2921" s="262"/>
      <c r="AW2921" s="274"/>
    </row>
    <row r="2922" spans="1:49" s="13" customFormat="1" x14ac:dyDescent="0.2">
      <c r="A2922" s="14">
        <v>2898</v>
      </c>
      <c r="B2922" s="14">
        <v>400030467</v>
      </c>
      <c r="C2922" s="8" t="s">
        <v>5197</v>
      </c>
      <c r="D2922" s="4" t="str">
        <f t="shared" si="304"/>
        <v>400030467R1</v>
      </c>
      <c r="E2922" s="309" t="str">
        <f>VLOOKUP($B2922,'D7 - NDB Impacted SPRF''s'!$E$6:$O$9929,2,FALSE)</f>
        <v xml:space="preserve">TCE Outpatient Costs for Hospitals </v>
      </c>
      <c r="F2922" s="8" t="s">
        <v>2114</v>
      </c>
      <c r="G2922" s="8" t="s">
        <v>4758</v>
      </c>
      <c r="H2922" s="8" t="s">
        <v>2870</v>
      </c>
      <c r="I2922" s="20"/>
      <c r="J2922" s="8"/>
      <c r="K2922" s="182"/>
      <c r="L2922" s="8" t="s">
        <v>4156</v>
      </c>
      <c r="M2922" s="8" t="s">
        <v>2814</v>
      </c>
      <c r="N2922" s="38" t="s">
        <v>5035</v>
      </c>
      <c r="O2922" s="8"/>
      <c r="P2922" s="4" t="str">
        <f>VLOOKUP($B2922,'D7 - NDB Impacted SPRF''s'!$E$16:$O$9929,9,FALSE)</f>
        <v>Y</v>
      </c>
      <c r="Q2922" s="4" t="str">
        <f>VLOOKUP($B2922,'D7 - NDB Impacted SPRF''s'!$E$16:$O$9929,10,FALSE)</f>
        <v>N</v>
      </c>
      <c r="R2922" s="4" t="str">
        <f>VLOOKUP($B2922,'D7 - NDB Impacted SPRF''s'!$E$16:$O$9929,11,FALSE)</f>
        <v>Y</v>
      </c>
      <c r="S2922" s="8"/>
      <c r="T2922" s="310"/>
      <c r="U2922" s="310"/>
      <c r="V2922" s="4"/>
      <c r="W2922" s="4"/>
      <c r="X2922" s="4"/>
      <c r="Y2922" s="4"/>
      <c r="Z2922" s="4"/>
      <c r="AA2922" s="4"/>
      <c r="AB2922" s="380" t="str">
        <f>VLOOKUP($B2922,'D7 - NDB Impacted SPRF''s'!$E$6:$O$9929,4,FALSE)</f>
        <v>Cancelled</v>
      </c>
      <c r="AC2922" s="380" t="str">
        <f>VLOOKUP($B2922,'D7 - NDB Impacted SPRF''s'!$E$6:$O$9929,3,FALSE)</f>
        <v>OptumInsight</v>
      </c>
      <c r="AD2922" s="380" t="str">
        <f>VLOOKUP($B2922,'D7 - NDB Impacted SPRF''s'!$E$6:$O$9929,5,FALSE)</f>
        <v>Ingenix</v>
      </c>
      <c r="AE2922" s="380" t="str">
        <f>VLOOKUP($B2922,'D7 - NDB Impacted SPRF''s'!$E$6:$O$9929,7,FALSE)</f>
        <v>Chris Brown</v>
      </c>
      <c r="AF2922" s="380" t="str">
        <f>VLOOKUP($B2922,'D7 - NDB Impacted SPRF''s'!$E$6:$O$9929,6,FALSE)</f>
        <v>Michael Feller</v>
      </c>
      <c r="AG2922" s="282"/>
      <c r="AH2922" s="311" t="e">
        <f>INDEX('D5 - Gatekeeper - Projects'!$A$4:$AF$1010,$AM2922, 17)</f>
        <v>#N/A</v>
      </c>
      <c r="AI2922" s="8"/>
      <c r="AJ2922" s="57"/>
      <c r="AK2922" s="57"/>
      <c r="AM2922" s="6" t="e">
        <f>MATCH(D2922,'D5 - Gatekeeper - Projects'!$C$4:$C$1010,0)</f>
        <v>#N/A</v>
      </c>
      <c r="AN2922" s="6" t="b">
        <f t="shared" si="300"/>
        <v>1</v>
      </c>
      <c r="AO2922" s="6" t="str">
        <f t="shared" si="305"/>
        <v>OK</v>
      </c>
      <c r="AQ2922" s="6" t="e">
        <f>MATCH($D2922,'D4 - Provider Council Unsched'!$C$11:$C$234,0)</f>
        <v>#N/A</v>
      </c>
      <c r="AR2922" s="6" t="b">
        <f t="shared" si="302"/>
        <v>1</v>
      </c>
      <c r="AS2922" s="6" t="str">
        <f t="shared" si="306"/>
        <v>OK</v>
      </c>
      <c r="AU2922" s="202"/>
      <c r="AV2922" s="262"/>
      <c r="AW2922" s="274"/>
    </row>
    <row r="2923" spans="1:49" s="13" customFormat="1" ht="33.75" x14ac:dyDescent="0.2">
      <c r="A2923" s="14">
        <v>2899</v>
      </c>
      <c r="B2923" s="14">
        <v>400030543</v>
      </c>
      <c r="C2923" s="8" t="s">
        <v>5197</v>
      </c>
      <c r="D2923" s="4" t="str">
        <f t="shared" si="304"/>
        <v>400030543R1</v>
      </c>
      <c r="E2923" s="309" t="str">
        <f>VLOOKUP($B2923,'D7 - NDB Impacted SPRF''s'!$E$6:$O$9929,2,FALSE)</f>
        <v xml:space="preserve">Capping OON Out Patient Surgery Charges </v>
      </c>
      <c r="F2923" s="8" t="s">
        <v>2114</v>
      </c>
      <c r="G2923" s="8" t="s">
        <v>4758</v>
      </c>
      <c r="H2923" s="8" t="s">
        <v>2870</v>
      </c>
      <c r="I2923" s="20"/>
      <c r="J2923" s="8"/>
      <c r="K2923" s="182"/>
      <c r="L2923" s="8" t="s">
        <v>4156</v>
      </c>
      <c r="M2923" s="8" t="s">
        <v>2814</v>
      </c>
      <c r="N2923" s="38" t="s">
        <v>5844</v>
      </c>
      <c r="O2923" s="8"/>
      <c r="P2923" s="4" t="str">
        <f>VLOOKUP($B2923,'D7 - NDB Impacted SPRF''s'!$E$16:$O$9929,9,FALSE)</f>
        <v>Y</v>
      </c>
      <c r="Q2923" s="4" t="str">
        <f>VLOOKUP($B2923,'D7 - NDB Impacted SPRF''s'!$E$16:$O$9929,10,FALSE)</f>
        <v>N</v>
      </c>
      <c r="R2923" s="4" t="str">
        <f>VLOOKUP($B2923,'D7 - NDB Impacted SPRF''s'!$E$16:$O$9929,11,FALSE)</f>
        <v>N</v>
      </c>
      <c r="S2923" s="8"/>
      <c r="T2923" s="310"/>
      <c r="U2923" s="310"/>
      <c r="V2923" s="4"/>
      <c r="W2923" s="4"/>
      <c r="X2923" s="4"/>
      <c r="Y2923" s="4"/>
      <c r="Z2923" s="4"/>
      <c r="AA2923" s="4"/>
      <c r="AB2923" s="380" t="str">
        <f>VLOOKUP($B2923,'D7 - NDB Impacted SPRF''s'!$E$6:$O$9929,4,FALSE)</f>
        <v>Cancelled</v>
      </c>
      <c r="AC2923" s="380" t="str">
        <f>VLOOKUP($B2923,'D7 - NDB Impacted SPRF''s'!$E$6:$O$9929,3,FALSE)</f>
        <v>UnitedHealthcare Employer &amp; Individual</v>
      </c>
      <c r="AD2923" s="380" t="str">
        <f>VLOOKUP($B2923,'D7 - NDB Impacted SPRF''s'!$E$6:$O$9929,5,FALSE)</f>
        <v>Membership Growth / Revenue Programs</v>
      </c>
      <c r="AE2923" s="380" t="str">
        <f>VLOOKUP($B2923,'D7 - NDB Impacted SPRF''s'!$E$6:$O$9929,7,FALSE)</f>
        <v>Gail Boudreaux</v>
      </c>
      <c r="AF2923" s="380" t="str">
        <f>VLOOKUP($B2923,'D7 - NDB Impacted SPRF''s'!$E$6:$O$9929,6,FALSE)</f>
        <v>Barbara Joyce</v>
      </c>
      <c r="AG2923" s="282"/>
      <c r="AH2923" s="311" t="e">
        <f>INDEX('D5 - Gatekeeper - Projects'!$A$4:$AF$1010,$AM2923, 17)</f>
        <v>#N/A</v>
      </c>
      <c r="AI2923" s="8"/>
      <c r="AJ2923" s="57"/>
      <c r="AK2923" s="105"/>
      <c r="AM2923" s="6" t="e">
        <f>MATCH(D2923,'D5 - Gatekeeper - Projects'!$C$4:$C$1010,0)</f>
        <v>#N/A</v>
      </c>
      <c r="AN2923" s="6" t="b">
        <f t="shared" si="300"/>
        <v>1</v>
      </c>
      <c r="AO2923" s="6" t="str">
        <f t="shared" si="305"/>
        <v>OK</v>
      </c>
      <c r="AQ2923" s="6" t="e">
        <f>MATCH($D2923,'D4 - Provider Council Unsched'!$C$11:$C$234,0)</f>
        <v>#N/A</v>
      </c>
      <c r="AR2923" s="6" t="b">
        <f t="shared" si="302"/>
        <v>1</v>
      </c>
      <c r="AS2923" s="6" t="str">
        <f t="shared" si="306"/>
        <v>OK</v>
      </c>
      <c r="AU2923" s="202"/>
      <c r="AV2923" s="262"/>
      <c r="AW2923" s="274"/>
    </row>
    <row r="2924" spans="1:49" s="13" customFormat="1" ht="33.75" x14ac:dyDescent="0.2">
      <c r="A2924" s="14">
        <v>2900</v>
      </c>
      <c r="B2924" s="14">
        <v>400030595</v>
      </c>
      <c r="C2924" s="8" t="s">
        <v>5197</v>
      </c>
      <c r="D2924" s="4" t="str">
        <f t="shared" si="304"/>
        <v>400030595R1</v>
      </c>
      <c r="E2924" s="309" t="str">
        <f>VLOOKUP($B2924,'D7 - NDB Impacted SPRF''s'!$E$6:$O$9929,2,FALSE)</f>
        <v>Provider Data for QuotIt</v>
      </c>
      <c r="F2924" s="8" t="s">
        <v>2114</v>
      </c>
      <c r="G2924" s="8" t="s">
        <v>4758</v>
      </c>
      <c r="H2924" s="8" t="s">
        <v>2870</v>
      </c>
      <c r="I2924" s="20"/>
      <c r="J2924" s="8"/>
      <c r="K2924" s="182"/>
      <c r="L2924" s="8" t="s">
        <v>4156</v>
      </c>
      <c r="M2924" s="8" t="s">
        <v>2814</v>
      </c>
      <c r="N2924" s="38" t="s">
        <v>7211</v>
      </c>
      <c r="O2924" s="8"/>
      <c r="P2924" s="4" t="str">
        <f>VLOOKUP($B2924,'D7 - NDB Impacted SPRF''s'!$E$16:$O$9929,9,FALSE)</f>
        <v>N</v>
      </c>
      <c r="Q2924" s="4" t="str">
        <f>VLOOKUP($B2924,'D7 - NDB Impacted SPRF''s'!$E$16:$O$9929,10,FALSE)</f>
        <v>N</v>
      </c>
      <c r="R2924" s="4" t="str">
        <f>VLOOKUP($B2924,'D7 - NDB Impacted SPRF''s'!$E$16:$O$9929,11,FALSE)</f>
        <v>N</v>
      </c>
      <c r="S2924" s="8"/>
      <c r="T2924" s="310"/>
      <c r="U2924" s="310"/>
      <c r="V2924" s="4"/>
      <c r="W2924" s="4"/>
      <c r="X2924" s="4"/>
      <c r="Y2924" s="4"/>
      <c r="Z2924" s="4"/>
      <c r="AA2924" s="4"/>
      <c r="AB2924" s="380" t="str">
        <f>VLOOKUP($B2924,'D7 - NDB Impacted SPRF''s'!$E$6:$O$9929,4,FALSE)</f>
        <v>Cancelled</v>
      </c>
      <c r="AC2924" s="380" t="str">
        <f>VLOOKUP($B2924,'D7 - NDB Impacted SPRF''s'!$E$6:$O$9929,3,FALSE)</f>
        <v>UnitedHealthcare Employer &amp; Individual</v>
      </c>
      <c r="AD2924" s="380" t="str">
        <f>VLOOKUP($B2924,'D7 - NDB Impacted SPRF''s'!$E$6:$O$9929,5,FALSE)</f>
        <v>Membership Growth / Revenue Programs</v>
      </c>
      <c r="AE2924" s="380" t="str">
        <f>VLOOKUP($B2924,'D7 - NDB Impacted SPRF''s'!$E$6:$O$9929,7,FALSE)</f>
        <v>Steve Pollack</v>
      </c>
      <c r="AF2924" s="380" t="str">
        <f>VLOOKUP($B2924,'D7 - NDB Impacted SPRF''s'!$E$6:$O$9929,6,FALSE)</f>
        <v>TRACEY HENSEL</v>
      </c>
      <c r="AG2924" s="282"/>
      <c r="AH2924" s="311" t="e">
        <f>INDEX('D5 - Gatekeeper - Projects'!$A$4:$AF$1010,$AM2924, 17)</f>
        <v>#N/A</v>
      </c>
      <c r="AI2924" s="8"/>
      <c r="AJ2924" s="57"/>
      <c r="AK2924" s="57"/>
      <c r="AM2924" s="6" t="e">
        <f>MATCH(D2924,'D5 - Gatekeeper - Projects'!$C$4:$C$1010,0)</f>
        <v>#N/A</v>
      </c>
      <c r="AN2924" s="6" t="b">
        <f t="shared" si="300"/>
        <v>1</v>
      </c>
      <c r="AO2924" s="6" t="str">
        <f t="shared" si="305"/>
        <v>OK</v>
      </c>
      <c r="AQ2924" s="6" t="e">
        <f>MATCH($D2924,'D4 - Provider Council Unsched'!$C$11:$C$234,0)</f>
        <v>#N/A</v>
      </c>
      <c r="AR2924" s="6" t="b">
        <f t="shared" si="302"/>
        <v>1</v>
      </c>
      <c r="AS2924" s="6" t="str">
        <f t="shared" si="306"/>
        <v>OK</v>
      </c>
      <c r="AU2924" s="202"/>
      <c r="AV2924" s="262"/>
      <c r="AW2924" s="274"/>
    </row>
    <row r="2925" spans="1:49" s="13" customFormat="1" ht="33.75" x14ac:dyDescent="0.2">
      <c r="A2925" s="14">
        <v>2901</v>
      </c>
      <c r="B2925" s="14">
        <v>400030633</v>
      </c>
      <c r="C2925" s="8" t="s">
        <v>5197</v>
      </c>
      <c r="D2925" s="4" t="str">
        <f t="shared" si="304"/>
        <v>400030633R1</v>
      </c>
      <c r="E2925" s="309" t="str">
        <f>VLOOKUP($B2925,'D7 - NDB Impacted SPRF''s'!$E$6:$O$9929,2,FALSE)</f>
        <v>Empire Plan-Automate High Tech Radiology</v>
      </c>
      <c r="F2925" s="8" t="s">
        <v>2114</v>
      </c>
      <c r="G2925" s="8" t="s">
        <v>4758</v>
      </c>
      <c r="H2925" s="8" t="s">
        <v>2870</v>
      </c>
      <c r="I2925" s="20"/>
      <c r="J2925" s="8"/>
      <c r="K2925" s="182"/>
      <c r="L2925" s="8" t="s">
        <v>4156</v>
      </c>
      <c r="M2925" s="8" t="s">
        <v>2814</v>
      </c>
      <c r="N2925" s="38" t="s">
        <v>1880</v>
      </c>
      <c r="O2925" s="8"/>
      <c r="P2925" s="4" t="str">
        <f>VLOOKUP($B2925,'D7 - NDB Impacted SPRF''s'!$E$16:$O$9929,9,FALSE)</f>
        <v>Y</v>
      </c>
      <c r="Q2925" s="4" t="str">
        <f>VLOOKUP($B2925,'D7 - NDB Impacted SPRF''s'!$E$16:$O$9929,10,FALSE)</f>
        <v>N</v>
      </c>
      <c r="R2925" s="4" t="str">
        <f>VLOOKUP($B2925,'D7 - NDB Impacted SPRF''s'!$E$16:$O$9929,11,FALSE)</f>
        <v>N</v>
      </c>
      <c r="S2925" s="8"/>
      <c r="T2925" s="310"/>
      <c r="U2925" s="310"/>
      <c r="V2925" s="4"/>
      <c r="W2925" s="4"/>
      <c r="X2925" s="4"/>
      <c r="Y2925" s="4"/>
      <c r="Z2925" s="4"/>
      <c r="AA2925" s="4"/>
      <c r="AB2925" s="380" t="str">
        <f>VLOOKUP($B2925,'D7 - NDB Impacted SPRF''s'!$E$6:$O$9929,4,FALSE)</f>
        <v>Cancelled</v>
      </c>
      <c r="AC2925" s="380" t="str">
        <f>VLOOKUP($B2925,'D7 - NDB Impacted SPRF''s'!$E$6:$O$9929,3,FALSE)</f>
        <v>UnitedHealthcare Employer &amp; Individual</v>
      </c>
      <c r="AD2925" s="380" t="str">
        <f>VLOOKUP($B2925,'D7 - NDB Impacted SPRF''s'!$E$6:$O$9929,5,FALSE)</f>
        <v>Membership Growth / Revenue Programs</v>
      </c>
      <c r="AE2925" s="380" t="str">
        <f>VLOOKUP($B2925,'D7 - NDB Impacted SPRF''s'!$E$6:$O$9929,7,FALSE)</f>
        <v>Donna Pooley</v>
      </c>
      <c r="AF2925" s="380" t="str">
        <f>VLOOKUP($B2925,'D7 - NDB Impacted SPRF''s'!$E$6:$O$9929,6,FALSE)</f>
        <v>Melinda Dukat</v>
      </c>
      <c r="AG2925" s="282"/>
      <c r="AH2925" s="311" t="e">
        <f>INDEX('D5 - Gatekeeper - Projects'!$A$4:$AF$1010,$AM2925, 17)</f>
        <v>#N/A</v>
      </c>
      <c r="AI2925" s="8"/>
      <c r="AJ2925" s="57"/>
      <c r="AK2925" s="105"/>
      <c r="AM2925" s="6" t="e">
        <f>MATCH(D2925,'D5 - Gatekeeper - Projects'!$C$4:$C$1010,0)</f>
        <v>#N/A</v>
      </c>
      <c r="AN2925" s="6" t="b">
        <f t="shared" si="300"/>
        <v>1</v>
      </c>
      <c r="AO2925" s="6" t="str">
        <f t="shared" si="305"/>
        <v>OK</v>
      </c>
      <c r="AQ2925" s="6" t="e">
        <f>MATCH($D2925,'D4 - Provider Council Unsched'!$C$11:$C$234,0)</f>
        <v>#N/A</v>
      </c>
      <c r="AR2925" s="6" t="b">
        <f t="shared" si="302"/>
        <v>1</v>
      </c>
      <c r="AS2925" s="6" t="str">
        <f t="shared" si="306"/>
        <v>OK</v>
      </c>
      <c r="AU2925" s="202"/>
      <c r="AV2925" s="262"/>
      <c r="AW2925" s="274"/>
    </row>
    <row r="2926" spans="1:49" s="13" customFormat="1" ht="33.75" x14ac:dyDescent="0.2">
      <c r="A2926" s="14">
        <v>2902</v>
      </c>
      <c r="B2926" s="14">
        <v>400030803</v>
      </c>
      <c r="C2926" s="8" t="s">
        <v>5197</v>
      </c>
      <c r="D2926" s="4" t="str">
        <f t="shared" si="304"/>
        <v>400030803R1</v>
      </c>
      <c r="E2926" s="309" t="str">
        <f>VLOOKUP($B2926,'D7 - NDB Impacted SPRF''s'!$E$6:$O$9929,2,FALSE)</f>
        <v>Medica IDT/ISET Parity</v>
      </c>
      <c r="F2926" s="8" t="s">
        <v>2114</v>
      </c>
      <c r="G2926" s="8" t="s">
        <v>4758</v>
      </c>
      <c r="H2926" s="8" t="s">
        <v>2870</v>
      </c>
      <c r="I2926" s="20"/>
      <c r="J2926" s="8"/>
      <c r="K2926" s="182"/>
      <c r="L2926" s="8" t="s">
        <v>4156</v>
      </c>
      <c r="M2926" s="8" t="s">
        <v>2814</v>
      </c>
      <c r="N2926" s="38"/>
      <c r="O2926" s="8"/>
      <c r="P2926" s="4" t="str">
        <f>VLOOKUP($B2926,'D7 - NDB Impacted SPRF''s'!$E$16:$O$9929,9,FALSE)</f>
        <v>Y</v>
      </c>
      <c r="Q2926" s="4" t="str">
        <f>VLOOKUP($B2926,'D7 - NDB Impacted SPRF''s'!$E$16:$O$9929,10,FALSE)</f>
        <v>N</v>
      </c>
      <c r="R2926" s="4" t="str">
        <f>VLOOKUP($B2926,'D7 - NDB Impacted SPRF''s'!$E$16:$O$9929,11,FALSE)</f>
        <v>N</v>
      </c>
      <c r="S2926" s="8"/>
      <c r="T2926" s="310"/>
      <c r="U2926" s="310"/>
      <c r="V2926" s="4"/>
      <c r="W2926" s="4"/>
      <c r="X2926" s="4"/>
      <c r="Y2926" s="4"/>
      <c r="Z2926" s="4"/>
      <c r="AA2926" s="4"/>
      <c r="AB2926" s="380" t="str">
        <f>VLOOKUP($B2926,'D7 - NDB Impacted SPRF''s'!$E$6:$O$9929,4,FALSE)</f>
        <v>Cancelled</v>
      </c>
      <c r="AC2926" s="380" t="str">
        <f>VLOOKUP($B2926,'D7 - NDB Impacted SPRF''s'!$E$6:$O$9929,3,FALSE)</f>
        <v>UnitedHealthcare Employer &amp; Individual</v>
      </c>
      <c r="AD2926" s="380" t="str">
        <f>VLOOKUP($B2926,'D7 - NDB Impacted SPRF''s'!$E$6:$O$9929,5,FALSE)</f>
        <v>Membership Growth / Revenue Programs</v>
      </c>
      <c r="AE2926" s="380" t="str">
        <f>VLOOKUP($B2926,'D7 - NDB Impacted SPRF''s'!$E$6:$O$9929,7,FALSE)</f>
        <v>Jo Anne Anderson</v>
      </c>
      <c r="AF2926" s="380" t="str">
        <f>VLOOKUP($B2926,'D7 - NDB Impacted SPRF''s'!$E$6:$O$9929,6,FALSE)</f>
        <v>KRISTYN EIRING</v>
      </c>
      <c r="AG2926" s="282"/>
      <c r="AH2926" s="311" t="e">
        <f>INDEX('D5 - Gatekeeper - Projects'!$A$4:$AF$1010,$AM2926, 17)</f>
        <v>#N/A</v>
      </c>
      <c r="AI2926" s="8"/>
      <c r="AJ2926" s="57"/>
      <c r="AK2926" s="57"/>
      <c r="AM2926" s="6" t="e">
        <f>MATCH(D2926,'D5 - Gatekeeper - Projects'!$C$4:$C$1010,0)</f>
        <v>#N/A</v>
      </c>
      <c r="AN2926" s="6" t="b">
        <f t="shared" si="300"/>
        <v>1</v>
      </c>
      <c r="AO2926" s="6" t="str">
        <f t="shared" si="305"/>
        <v>OK</v>
      </c>
      <c r="AQ2926" s="6" t="e">
        <f>MATCH($D2926,'D4 - Provider Council Unsched'!$C$11:$C$234,0)</f>
        <v>#N/A</v>
      </c>
      <c r="AR2926" s="6" t="b">
        <f t="shared" si="302"/>
        <v>1</v>
      </c>
      <c r="AS2926" s="6" t="str">
        <f t="shared" si="306"/>
        <v>OK</v>
      </c>
      <c r="AU2926" s="202"/>
      <c r="AV2926" s="262"/>
      <c r="AW2926" s="274"/>
    </row>
    <row r="2927" spans="1:49" s="13" customFormat="1" ht="33.75" x14ac:dyDescent="0.2">
      <c r="A2927" s="14">
        <v>2903</v>
      </c>
      <c r="B2927" s="14">
        <v>400030890</v>
      </c>
      <c r="C2927" s="8" t="s">
        <v>5197</v>
      </c>
      <c r="D2927" s="4" t="str">
        <f t="shared" si="304"/>
        <v>400030890R1</v>
      </c>
      <c r="E2927" s="309" t="str">
        <f>VLOOKUP($B2927,'D7 - NDB Impacted SPRF''s'!$E$6:$O$9929,2,FALSE)</f>
        <v xml:space="preserve">Capping OON Out Patient Surgery Charges </v>
      </c>
      <c r="F2927" s="8" t="s">
        <v>2114</v>
      </c>
      <c r="G2927" s="8" t="s">
        <v>4758</v>
      </c>
      <c r="H2927" s="8" t="s">
        <v>2870</v>
      </c>
      <c r="I2927" s="20"/>
      <c r="J2927" s="8"/>
      <c r="K2927" s="182"/>
      <c r="L2927" s="8" t="s">
        <v>4156</v>
      </c>
      <c r="M2927" s="8" t="s">
        <v>2814</v>
      </c>
      <c r="N2927" s="38"/>
      <c r="O2927" s="8"/>
      <c r="P2927" s="4" t="str">
        <f>VLOOKUP($B2927,'D7 - NDB Impacted SPRF''s'!$E$16:$O$9929,9,FALSE)</f>
        <v>Y</v>
      </c>
      <c r="Q2927" s="4" t="str">
        <f>VLOOKUP($B2927,'D7 - NDB Impacted SPRF''s'!$E$16:$O$9929,10,FALSE)</f>
        <v>N</v>
      </c>
      <c r="R2927" s="4" t="str">
        <f>VLOOKUP($B2927,'D7 - NDB Impacted SPRF''s'!$E$16:$O$9929,11,FALSE)</f>
        <v>N</v>
      </c>
      <c r="S2927" s="8"/>
      <c r="T2927" s="310"/>
      <c r="U2927" s="310"/>
      <c r="V2927" s="4"/>
      <c r="W2927" s="4"/>
      <c r="X2927" s="4"/>
      <c r="Y2927" s="4"/>
      <c r="Z2927" s="4"/>
      <c r="AA2927" s="4"/>
      <c r="AB2927" s="380" t="str">
        <f>VLOOKUP($B2927,'D7 - NDB Impacted SPRF''s'!$E$6:$O$9929,4,FALSE)</f>
        <v>Cancelled</v>
      </c>
      <c r="AC2927" s="380" t="str">
        <f>VLOOKUP($B2927,'D7 - NDB Impacted SPRF''s'!$E$6:$O$9929,3,FALSE)</f>
        <v>UnitedHealthcare Employer &amp; Individual</v>
      </c>
      <c r="AD2927" s="380" t="str">
        <f>VLOOKUP($B2927,'D7 - NDB Impacted SPRF''s'!$E$6:$O$9929,5,FALSE)</f>
        <v>Membership Growth / Revenue Programs</v>
      </c>
      <c r="AE2927" s="380" t="str">
        <f>VLOOKUP($B2927,'D7 - NDB Impacted SPRF''s'!$E$6:$O$9929,7,FALSE)</f>
        <v>Gail Boudreaux</v>
      </c>
      <c r="AF2927" s="380" t="str">
        <f>VLOOKUP($B2927,'D7 - NDB Impacted SPRF''s'!$E$6:$O$9929,6,FALSE)</f>
        <v>Barbara Joyce</v>
      </c>
      <c r="AG2927" s="282"/>
      <c r="AH2927" s="311" t="e">
        <f>INDEX('D5 - Gatekeeper - Projects'!$A$4:$AF$1010,$AM2927, 17)</f>
        <v>#N/A</v>
      </c>
      <c r="AI2927" s="8"/>
      <c r="AJ2927" s="57"/>
      <c r="AK2927" s="57"/>
      <c r="AM2927" s="6" t="e">
        <f>MATCH(D2927,'D5 - Gatekeeper - Projects'!$C$4:$C$1010,0)</f>
        <v>#N/A</v>
      </c>
      <c r="AN2927" s="6" t="b">
        <f t="shared" si="300"/>
        <v>1</v>
      </c>
      <c r="AO2927" s="6" t="str">
        <f t="shared" si="305"/>
        <v>OK</v>
      </c>
      <c r="AQ2927" s="6" t="e">
        <f>MATCH($D2927,'D4 - Provider Council Unsched'!$C$11:$C$234,0)</f>
        <v>#N/A</v>
      </c>
      <c r="AR2927" s="6" t="b">
        <f t="shared" si="302"/>
        <v>1</v>
      </c>
      <c r="AS2927" s="6" t="str">
        <f t="shared" si="306"/>
        <v>OK</v>
      </c>
      <c r="AU2927" s="202"/>
      <c r="AV2927" s="262"/>
      <c r="AW2927" s="274"/>
    </row>
    <row r="2928" spans="1:49" s="13" customFormat="1" ht="90" x14ac:dyDescent="0.2">
      <c r="A2928" s="14">
        <v>2904</v>
      </c>
      <c r="B2928" s="14">
        <v>400030954</v>
      </c>
      <c r="C2928" s="8" t="s">
        <v>5197</v>
      </c>
      <c r="D2928" s="4" t="str">
        <f t="shared" si="304"/>
        <v>400030954R1</v>
      </c>
      <c r="E2928" s="309" t="str">
        <f>VLOOKUP($B2928,'D7 - NDB Impacted SPRF''s'!$E$6:$O$9929,2,FALSE)</f>
        <v>Microsoft Windows 7 Upgrade</v>
      </c>
      <c r="F2928" s="8"/>
      <c r="G2928" s="8" t="s">
        <v>4758</v>
      </c>
      <c r="H2928" s="8" t="s">
        <v>2870</v>
      </c>
      <c r="I2928" s="20"/>
      <c r="J2928" s="8"/>
      <c r="K2928" s="182"/>
      <c r="L2928" s="8" t="s">
        <v>4156</v>
      </c>
      <c r="M2928" s="8" t="s">
        <v>2814</v>
      </c>
      <c r="N2928" s="38" t="s">
        <v>2528</v>
      </c>
      <c r="O2928" s="8"/>
      <c r="P2928" s="4" t="e">
        <f>VLOOKUP($B2928,'D7 - NDB Impacted SPRF''s'!$E$16:$O$9929,9,FALSE)</f>
        <v>#N/A</v>
      </c>
      <c r="Q2928" s="4" t="e">
        <f>VLOOKUP($B2928,'D7 - NDB Impacted SPRF''s'!$E$16:$O$9929,10,FALSE)</f>
        <v>#N/A</v>
      </c>
      <c r="R2928" s="4" t="e">
        <f>VLOOKUP($B2928,'D7 - NDB Impacted SPRF''s'!$E$16:$O$9929,11,FALSE)</f>
        <v>#N/A</v>
      </c>
      <c r="S2928" s="8"/>
      <c r="T2928" s="310"/>
      <c r="U2928" s="310"/>
      <c r="V2928" s="4"/>
      <c r="W2928" s="4"/>
      <c r="X2928" s="4"/>
      <c r="Y2928" s="4"/>
      <c r="Z2928" s="4"/>
      <c r="AA2928" s="4"/>
      <c r="AB2928" s="380" t="str">
        <f>VLOOKUP($B2928,'D7 - NDB Impacted SPRF''s'!$E$6:$O$9929,4,FALSE)</f>
        <v>Cancelled</v>
      </c>
      <c r="AC2928" s="380" t="str">
        <f>VLOOKUP($B2928,'D7 - NDB Impacted SPRF''s'!$E$6:$O$9929,3,FALSE)</f>
        <v>UHG IT - Enterprise Technology Services</v>
      </c>
      <c r="AD2928" s="380" t="str">
        <f>VLOOKUP($B2928,'D7 - NDB Impacted SPRF''s'!$E$6:$O$9929,5,FALSE)</f>
        <v>Infrastructure Operations</v>
      </c>
      <c r="AE2928" s="380" t="str">
        <f>VLOOKUP($B2928,'D7 - NDB Impacted SPRF''s'!$E$6:$O$9929,7,FALSE)</f>
        <v>Brian Landwehr</v>
      </c>
      <c r="AF2928" s="380" t="str">
        <f>VLOOKUP($B2928,'D7 - NDB Impacted SPRF''s'!$E$6:$O$9929,6,FALSE)</f>
        <v>GEORGE HUCUL</v>
      </c>
      <c r="AG2928" s="282"/>
      <c r="AH2928" s="311" t="e">
        <f>INDEX('D5 - Gatekeeper - Projects'!$A$4:$AF$1010,$AM2928, 17)</f>
        <v>#N/A</v>
      </c>
      <c r="AI2928" s="8"/>
      <c r="AJ2928" s="57"/>
      <c r="AK2928" s="105"/>
      <c r="AM2928" s="6" t="e">
        <f>MATCH(D2928,'D5 - Gatekeeper - Projects'!$C$4:$C$1010,0)</f>
        <v>#N/A</v>
      </c>
      <c r="AN2928" s="6" t="b">
        <f t="shared" si="300"/>
        <v>1</v>
      </c>
      <c r="AO2928" s="6" t="str">
        <f t="shared" si="305"/>
        <v>OK</v>
      </c>
      <c r="AQ2928" s="6" t="e">
        <f>MATCH($D2928,'D4 - Provider Council Unsched'!$C$11:$C$234,0)</f>
        <v>#N/A</v>
      </c>
      <c r="AR2928" s="6" t="b">
        <f t="shared" si="302"/>
        <v>1</v>
      </c>
      <c r="AS2928" s="6" t="str">
        <f t="shared" si="306"/>
        <v>OK</v>
      </c>
      <c r="AU2928" s="202"/>
      <c r="AV2928" s="262"/>
      <c r="AW2928" s="274"/>
    </row>
    <row r="2929" spans="1:49" s="13" customFormat="1" ht="33.75" x14ac:dyDescent="0.2">
      <c r="A2929" s="14">
        <v>2905</v>
      </c>
      <c r="B2929" s="14">
        <v>400031164</v>
      </c>
      <c r="C2929" s="8" t="s">
        <v>5197</v>
      </c>
      <c r="D2929" s="4" t="str">
        <f t="shared" si="304"/>
        <v>400031164R1</v>
      </c>
      <c r="E2929" s="309" t="str">
        <f>VLOOKUP($B2929,'D7 - NDB Impacted SPRF''s'!$E$6:$O$9929,2,FALSE)</f>
        <v>Full Fee Schedule Look up</v>
      </c>
      <c r="F2929" s="8" t="s">
        <v>2114</v>
      </c>
      <c r="G2929" s="8" t="s">
        <v>4758</v>
      </c>
      <c r="H2929" s="8" t="s">
        <v>2870</v>
      </c>
      <c r="I2929" s="20"/>
      <c r="J2929" s="8"/>
      <c r="K2929" s="182"/>
      <c r="L2929" s="8" t="s">
        <v>4156</v>
      </c>
      <c r="M2929" s="8" t="s">
        <v>2814</v>
      </c>
      <c r="N2929" s="38" t="s">
        <v>6926</v>
      </c>
      <c r="O2929" s="8"/>
      <c r="P2929" s="4" t="str">
        <f>VLOOKUP($B2929,'D7 - NDB Impacted SPRF''s'!$E$16:$O$9929,9,FALSE)</f>
        <v>N</v>
      </c>
      <c r="Q2929" s="4" t="str">
        <f>VLOOKUP($B2929,'D7 - NDB Impacted SPRF''s'!$E$16:$O$9929,10,FALSE)</f>
        <v>N</v>
      </c>
      <c r="R2929" s="4" t="str">
        <f>VLOOKUP($B2929,'D7 - NDB Impacted SPRF''s'!$E$16:$O$9929,11,FALSE)</f>
        <v>N</v>
      </c>
      <c r="S2929" s="8"/>
      <c r="T2929" s="310"/>
      <c r="U2929" s="310"/>
      <c r="V2929" s="4"/>
      <c r="W2929" s="4"/>
      <c r="X2929" s="4"/>
      <c r="Y2929" s="4"/>
      <c r="Z2929" s="4"/>
      <c r="AA2929" s="4"/>
      <c r="AB2929" s="380" t="str">
        <f>VLOOKUP($B2929,'D7 - NDB Impacted SPRF''s'!$E$6:$O$9929,4,FALSE)</f>
        <v>Cancelled</v>
      </c>
      <c r="AC2929" s="380" t="str">
        <f>VLOOKUP($B2929,'D7 - NDB Impacted SPRF''s'!$E$6:$O$9929,3,FALSE)</f>
        <v>UnitedHealthcare Employer &amp; Individual</v>
      </c>
      <c r="AD2929" s="380" t="str">
        <f>VLOOKUP($B2929,'D7 - NDB Impacted SPRF''s'!$E$6:$O$9929,5,FALSE)</f>
        <v>Medical Cost Savings Programs</v>
      </c>
      <c r="AE2929" s="380" t="str">
        <f>VLOOKUP($B2929,'D7 - NDB Impacted SPRF''s'!$E$6:$O$9929,7,FALSE)</f>
        <v>Elena McFann</v>
      </c>
      <c r="AF2929" s="380" t="str">
        <f>VLOOKUP($B2929,'D7 - NDB Impacted SPRF''s'!$E$6:$O$9929,6,FALSE)</f>
        <v>Dianna Worcester</v>
      </c>
      <c r="AG2929" s="282"/>
      <c r="AH2929" s="311" t="e">
        <f>INDEX('D5 - Gatekeeper - Projects'!$A$4:$AF$1010,$AM2929, 17)</f>
        <v>#N/A</v>
      </c>
      <c r="AI2929" s="8"/>
      <c r="AJ2929" s="57"/>
      <c r="AK2929" s="57"/>
      <c r="AM2929" s="6" t="e">
        <f>MATCH(D2929,'D5 - Gatekeeper - Projects'!$C$4:$C$1010,0)</f>
        <v>#N/A</v>
      </c>
      <c r="AN2929" s="6" t="b">
        <f t="shared" si="300"/>
        <v>1</v>
      </c>
      <c r="AO2929" s="6" t="str">
        <f t="shared" si="305"/>
        <v>OK</v>
      </c>
      <c r="AQ2929" s="6" t="e">
        <f>MATCH($D2929,'D4 - Provider Council Unsched'!$C$11:$C$234,0)</f>
        <v>#N/A</v>
      </c>
      <c r="AR2929" s="6" t="b">
        <f t="shared" si="302"/>
        <v>1</v>
      </c>
      <c r="AS2929" s="6" t="str">
        <f t="shared" si="306"/>
        <v>OK</v>
      </c>
      <c r="AU2929" s="202"/>
      <c r="AV2929" s="262"/>
      <c r="AW2929" s="274"/>
    </row>
    <row r="2930" spans="1:49" s="13" customFormat="1" ht="45" x14ac:dyDescent="0.2">
      <c r="A2930" s="14">
        <v>2906</v>
      </c>
      <c r="B2930" s="14">
        <v>400031197</v>
      </c>
      <c r="C2930" s="8" t="s">
        <v>5197</v>
      </c>
      <c r="D2930" s="4" t="str">
        <f t="shared" si="304"/>
        <v>400031197R1</v>
      </c>
      <c r="E2930" s="309" t="str">
        <f>VLOOKUP($B2930,'D7 - NDB Impacted SPRF''s'!$E$6:$O$9929,2,FALSE)</f>
        <v>Enterprise SSN Ctrls - Provider SSN/TIN on EOB/PRA</v>
      </c>
      <c r="F2930" s="8" t="s">
        <v>2114</v>
      </c>
      <c r="G2930" s="8" t="s">
        <v>4758</v>
      </c>
      <c r="H2930" s="8" t="s">
        <v>2870</v>
      </c>
      <c r="I2930" s="20"/>
      <c r="J2930" s="8"/>
      <c r="K2930" s="182"/>
      <c r="L2930" s="8" t="s">
        <v>4156</v>
      </c>
      <c r="M2930" s="8" t="s">
        <v>2814</v>
      </c>
      <c r="N2930" s="38"/>
      <c r="O2930" s="8"/>
      <c r="P2930" s="4" t="str">
        <f>VLOOKUP($B2930,'D7 - NDB Impacted SPRF''s'!$E$16:$O$9929,9,FALSE)</f>
        <v>Y</v>
      </c>
      <c r="Q2930" s="4" t="str">
        <f>VLOOKUP($B2930,'D7 - NDB Impacted SPRF''s'!$E$16:$O$9929,10,FALSE)</f>
        <v>N</v>
      </c>
      <c r="R2930" s="4" t="str">
        <f>VLOOKUP($B2930,'D7 - NDB Impacted SPRF''s'!$E$16:$O$9929,11,FALSE)</f>
        <v>N</v>
      </c>
      <c r="S2930" s="8"/>
      <c r="T2930" s="310"/>
      <c r="U2930" s="310"/>
      <c r="V2930" s="4"/>
      <c r="W2930" s="4"/>
      <c r="X2930" s="4"/>
      <c r="Y2930" s="4"/>
      <c r="Z2930" s="4"/>
      <c r="AA2930" s="4"/>
      <c r="AB2930" s="380" t="str">
        <f>VLOOKUP($B2930,'D7 - NDB Impacted SPRF''s'!$E$6:$O$9929,4,FALSE)</f>
        <v>Cancelled</v>
      </c>
      <c r="AC2930" s="380" t="str">
        <f>VLOOKUP($B2930,'D7 - NDB Impacted SPRF''s'!$E$6:$O$9929,3,FALSE)</f>
        <v>UHG IT - Enterprise Technology Services</v>
      </c>
      <c r="AD2930" s="380" t="str">
        <f>VLOOKUP($B2930,'D7 - NDB Impacted SPRF''s'!$E$6:$O$9929,5,FALSE)</f>
        <v>IRM</v>
      </c>
      <c r="AE2930" s="380" t="str">
        <f>VLOOKUP($B2930,'D7 - NDB Impacted SPRF''s'!$E$6:$O$9929,7,FALSE)</f>
        <v>Robert Booker</v>
      </c>
      <c r="AF2930" s="380" t="str">
        <f>VLOOKUP($B2930,'D7 - NDB Impacted SPRF''s'!$E$6:$O$9929,6,FALSE)</f>
        <v>Shirelyn ZZZZZZBirdwell</v>
      </c>
      <c r="AG2930" s="282"/>
      <c r="AH2930" s="311" t="e">
        <f>INDEX('D5 - Gatekeeper - Projects'!$A$4:$AF$1010,$AM2930, 17)</f>
        <v>#N/A</v>
      </c>
      <c r="AI2930" s="8"/>
      <c r="AJ2930" s="57"/>
      <c r="AK2930" s="105"/>
      <c r="AM2930" s="6" t="e">
        <f>MATCH(D2930,'D5 - Gatekeeper - Projects'!$C$4:$C$1010,0)</f>
        <v>#N/A</v>
      </c>
      <c r="AN2930" s="6" t="b">
        <f t="shared" si="300"/>
        <v>1</v>
      </c>
      <c r="AO2930" s="6" t="str">
        <f t="shared" si="305"/>
        <v>OK</v>
      </c>
      <c r="AQ2930" s="6" t="e">
        <f>MATCH($D2930,'D4 - Provider Council Unsched'!$C$11:$C$234,0)</f>
        <v>#N/A</v>
      </c>
      <c r="AR2930" s="6" t="b">
        <f t="shared" si="302"/>
        <v>1</v>
      </c>
      <c r="AS2930" s="6" t="str">
        <f t="shared" si="306"/>
        <v>OK</v>
      </c>
      <c r="AU2930" s="202"/>
      <c r="AV2930" s="262"/>
      <c r="AW2930" s="274"/>
    </row>
    <row r="2931" spans="1:49" s="13" customFormat="1" ht="33.75" x14ac:dyDescent="0.2">
      <c r="A2931" s="14">
        <v>2907</v>
      </c>
      <c r="B2931" s="14">
        <v>400031433</v>
      </c>
      <c r="C2931" s="8" t="s">
        <v>5197</v>
      </c>
      <c r="D2931" s="4" t="str">
        <f t="shared" si="304"/>
        <v>400031433R1</v>
      </c>
      <c r="E2931" s="309" t="str">
        <f>VLOOKUP($B2931,'D7 - NDB Impacted SPRF''s'!$E$6:$O$9929,2,FALSE)</f>
        <v>Dual Elig Membership Enhanc- A&amp;D</v>
      </c>
      <c r="F2931" s="8" t="s">
        <v>2114</v>
      </c>
      <c r="G2931" s="8" t="s">
        <v>4758</v>
      </c>
      <c r="H2931" s="8" t="s">
        <v>2870</v>
      </c>
      <c r="I2931" s="20"/>
      <c r="J2931" s="8"/>
      <c r="K2931" s="182"/>
      <c r="L2931" s="8" t="s">
        <v>4156</v>
      </c>
      <c r="M2931" s="8" t="s">
        <v>2814</v>
      </c>
      <c r="N2931" s="38"/>
      <c r="O2931" s="8"/>
      <c r="P2931" s="4" t="str">
        <f>VLOOKUP($B2931,'D7 - NDB Impacted SPRF''s'!$E$16:$O$9929,9,FALSE)</f>
        <v>N</v>
      </c>
      <c r="Q2931" s="4" t="str">
        <f>VLOOKUP($B2931,'D7 - NDB Impacted SPRF''s'!$E$16:$O$9929,10,FALSE)</f>
        <v>N</v>
      </c>
      <c r="R2931" s="4" t="str">
        <f>VLOOKUP($B2931,'D7 - NDB Impacted SPRF''s'!$E$16:$O$9929,11,FALSE)</f>
        <v>N</v>
      </c>
      <c r="S2931" s="8"/>
      <c r="T2931" s="310"/>
      <c r="U2931" s="310"/>
      <c r="V2931" s="4"/>
      <c r="W2931" s="4"/>
      <c r="X2931" s="4"/>
      <c r="Y2931" s="4"/>
      <c r="Z2931" s="4"/>
      <c r="AA2931" s="4"/>
      <c r="AB2931" s="380" t="str">
        <f>VLOOKUP($B2931,'D7 - NDB Impacted SPRF''s'!$E$6:$O$9929,4,FALSE)</f>
        <v>Cancelled</v>
      </c>
      <c r="AC2931" s="380" t="str">
        <f>VLOOKUP($B2931,'D7 - NDB Impacted SPRF''s'!$E$6:$O$9929,3,FALSE)</f>
        <v>UnitedHealthcare Medicare &amp; Retirement</v>
      </c>
      <c r="AD2931" s="380" t="str">
        <f>VLOOKUP($B2931,'D7 - NDB Impacted SPRF''s'!$E$6:$O$9929,5,FALSE)</f>
        <v>Operations</v>
      </c>
      <c r="AE2931" s="380" t="str">
        <f>VLOOKUP($B2931,'D7 - NDB Impacted SPRF''s'!$E$6:$O$9929,7,FALSE)</f>
        <v>Carloyn Magill/ Bill Guptail</v>
      </c>
      <c r="AF2931" s="380" t="str">
        <f>VLOOKUP($B2931,'D7 - NDB Impacted SPRF''s'!$E$6:$O$9929,6,FALSE)</f>
        <v>Jessica Tattersall</v>
      </c>
      <c r="AG2931" s="282"/>
      <c r="AH2931" s="311" t="e">
        <f>INDEX('D5 - Gatekeeper - Projects'!$A$4:$AF$1010,$AM2931, 17)</f>
        <v>#N/A</v>
      </c>
      <c r="AI2931" s="8"/>
      <c r="AJ2931" s="57"/>
      <c r="AK2931" s="57"/>
      <c r="AM2931" s="6" t="e">
        <f>MATCH(D2931,'D5 - Gatekeeper - Projects'!$C$4:$C$1010,0)</f>
        <v>#N/A</v>
      </c>
      <c r="AN2931" s="6" t="b">
        <f t="shared" si="300"/>
        <v>1</v>
      </c>
      <c r="AO2931" s="6" t="str">
        <f t="shared" si="305"/>
        <v>OK</v>
      </c>
      <c r="AQ2931" s="6" t="e">
        <f>MATCH($D2931,'D4 - Provider Council Unsched'!$C$11:$C$234,0)</f>
        <v>#N/A</v>
      </c>
      <c r="AR2931" s="6" t="b">
        <f t="shared" si="302"/>
        <v>1</v>
      </c>
      <c r="AS2931" s="6" t="str">
        <f t="shared" si="306"/>
        <v>OK</v>
      </c>
      <c r="AU2931" s="202"/>
      <c r="AV2931" s="262"/>
      <c r="AW2931" s="274"/>
    </row>
    <row r="2932" spans="1:49" s="13" customFormat="1" ht="45" x14ac:dyDescent="0.2">
      <c r="A2932" s="14">
        <v>2908</v>
      </c>
      <c r="B2932" s="14">
        <v>400031770</v>
      </c>
      <c r="C2932" s="8" t="s">
        <v>5197</v>
      </c>
      <c r="D2932" s="4" t="str">
        <f t="shared" si="304"/>
        <v>400031770R1</v>
      </c>
      <c r="E2932" s="309" t="str">
        <f>VLOOKUP($B2932,'D7 - NDB Impacted SPRF''s'!$E$6:$O$9929,2,FALSE)</f>
        <v>EDI Consolidation Proof Concept</v>
      </c>
      <c r="F2932" s="8" t="s">
        <v>2114</v>
      </c>
      <c r="G2932" s="8" t="s">
        <v>4758</v>
      </c>
      <c r="H2932" s="8" t="s">
        <v>2870</v>
      </c>
      <c r="I2932" s="20"/>
      <c r="J2932" s="8"/>
      <c r="K2932" s="182"/>
      <c r="L2932" s="8" t="s">
        <v>4156</v>
      </c>
      <c r="M2932" s="8" t="s">
        <v>2814</v>
      </c>
      <c r="N2932" s="38"/>
      <c r="O2932" s="8"/>
      <c r="P2932" s="4" t="str">
        <f>VLOOKUP($B2932,'D7 - NDB Impacted SPRF''s'!$E$16:$O$9929,9,FALSE)</f>
        <v>N</v>
      </c>
      <c r="Q2932" s="4" t="str">
        <f>VLOOKUP($B2932,'D7 - NDB Impacted SPRF''s'!$E$16:$O$9929,10,FALSE)</f>
        <v>N</v>
      </c>
      <c r="R2932" s="4" t="str">
        <f>VLOOKUP($B2932,'D7 - NDB Impacted SPRF''s'!$E$16:$O$9929,11,FALSE)</f>
        <v>N</v>
      </c>
      <c r="S2932" s="8"/>
      <c r="T2932" s="310"/>
      <c r="U2932" s="310"/>
      <c r="V2932" s="4"/>
      <c r="W2932" s="4"/>
      <c r="X2932" s="4"/>
      <c r="Y2932" s="4"/>
      <c r="Z2932" s="4"/>
      <c r="AA2932" s="4"/>
      <c r="AB2932" s="380" t="str">
        <f>VLOOKUP($B2932,'D7 - NDB Impacted SPRF''s'!$E$6:$O$9929,4,FALSE)</f>
        <v>Cancelled</v>
      </c>
      <c r="AC2932" s="380" t="str">
        <f>VLOOKUP($B2932,'D7 - NDB Impacted SPRF''s'!$E$6:$O$9929,3,FALSE)</f>
        <v>UHG IT - Enterprise Technology Services</v>
      </c>
      <c r="AD2932" s="380" t="str">
        <f>VLOOKUP($B2932,'D7 - NDB Impacted SPRF''s'!$E$6:$O$9929,5,FALSE)</f>
        <v>Strategic Initiatives</v>
      </c>
      <c r="AE2932" s="380" t="str">
        <f>VLOOKUP($B2932,'D7 - NDB Impacted SPRF''s'!$E$6:$O$9929,7,FALSE)</f>
        <v>Jolly Nanda</v>
      </c>
      <c r="AF2932" s="380" t="str">
        <f>VLOOKUP($B2932,'D7 - NDB Impacted SPRF''s'!$E$6:$O$9929,6,FALSE)</f>
        <v>Eileen Cabe</v>
      </c>
      <c r="AG2932" s="282"/>
      <c r="AH2932" s="311" t="e">
        <f>INDEX('D5 - Gatekeeper - Projects'!$A$4:$AF$1010,$AM2932, 17)</f>
        <v>#N/A</v>
      </c>
      <c r="AI2932" s="8"/>
      <c r="AJ2932" s="57"/>
      <c r="AK2932" s="57"/>
      <c r="AM2932" s="6" t="e">
        <f>MATCH(D2932,'D5 - Gatekeeper - Projects'!$C$4:$C$1010,0)</f>
        <v>#N/A</v>
      </c>
      <c r="AN2932" s="6" t="b">
        <f t="shared" si="300"/>
        <v>1</v>
      </c>
      <c r="AO2932" s="6" t="str">
        <f t="shared" si="305"/>
        <v>OK</v>
      </c>
      <c r="AQ2932" s="6" t="e">
        <f>MATCH($D2932,'D4 - Provider Council Unsched'!$C$11:$C$234,0)</f>
        <v>#N/A</v>
      </c>
      <c r="AR2932" s="6" t="b">
        <f t="shared" si="302"/>
        <v>1</v>
      </c>
      <c r="AS2932" s="6" t="str">
        <f t="shared" si="306"/>
        <v>OK</v>
      </c>
      <c r="AU2932" s="202"/>
      <c r="AV2932" s="262"/>
      <c r="AW2932" s="274"/>
    </row>
    <row r="2933" spans="1:49" s="13" customFormat="1" ht="33.75" x14ac:dyDescent="0.2">
      <c r="A2933" s="14">
        <v>2909</v>
      </c>
      <c r="B2933" s="14">
        <v>400031792</v>
      </c>
      <c r="C2933" s="8" t="s">
        <v>5197</v>
      </c>
      <c r="D2933" s="4" t="str">
        <f t="shared" si="304"/>
        <v>400031792R1</v>
      </c>
      <c r="E2933" s="309" t="str">
        <f>VLOOKUP($B2933,'D7 - NDB Impacted SPRF''s'!$E$6:$O$9929,2,FALSE)</f>
        <v xml:space="preserve">Medicare Roadmap - Integration </v>
      </c>
      <c r="F2933" s="8" t="s">
        <v>2114</v>
      </c>
      <c r="G2933" s="8" t="s">
        <v>4758</v>
      </c>
      <c r="H2933" s="8" t="s">
        <v>2870</v>
      </c>
      <c r="I2933" s="20"/>
      <c r="J2933" s="8"/>
      <c r="K2933" s="182"/>
      <c r="L2933" s="8" t="s">
        <v>4156</v>
      </c>
      <c r="M2933" s="8" t="s">
        <v>2814</v>
      </c>
      <c r="N2933" s="38"/>
      <c r="O2933" s="8"/>
      <c r="P2933" s="4" t="str">
        <f>VLOOKUP($B2933,'D7 - NDB Impacted SPRF''s'!$E$16:$O$9929,9,FALSE)</f>
        <v>N</v>
      </c>
      <c r="Q2933" s="4" t="str">
        <f>VLOOKUP($B2933,'D7 - NDB Impacted SPRF''s'!$E$16:$O$9929,10,FALSE)</f>
        <v>N</v>
      </c>
      <c r="R2933" s="4" t="str">
        <f>VLOOKUP($B2933,'D7 - NDB Impacted SPRF''s'!$E$16:$O$9929,11,FALSE)</f>
        <v>N</v>
      </c>
      <c r="S2933" s="8"/>
      <c r="T2933" s="310"/>
      <c r="U2933" s="310"/>
      <c r="V2933" s="4"/>
      <c r="W2933" s="4"/>
      <c r="X2933" s="4"/>
      <c r="Y2933" s="4"/>
      <c r="Z2933" s="4"/>
      <c r="AA2933" s="4"/>
      <c r="AB2933" s="380" t="str">
        <f>VLOOKUP($B2933,'D7 - NDB Impacted SPRF''s'!$E$6:$O$9929,4,FALSE)</f>
        <v>In Estimating</v>
      </c>
      <c r="AC2933" s="380" t="str">
        <f>VLOOKUP($B2933,'D7 - NDB Impacted SPRF''s'!$E$6:$O$9929,3,FALSE)</f>
        <v>AmeriChoice</v>
      </c>
      <c r="AD2933" s="380" t="str">
        <f>VLOOKUP($B2933,'D7 - NDB Impacted SPRF''s'!$E$6:$O$9929,5,FALSE)</f>
        <v xml:space="preserve">Franchise Standardization Medicare Enrollment Integration </v>
      </c>
      <c r="AE2933" s="380" t="str">
        <f>VLOOKUP($B2933,'D7 - NDB Impacted SPRF''s'!$E$6:$O$9929,7,FALSE)</f>
        <v>Lisa Graikowski</v>
      </c>
      <c r="AF2933" s="380" t="str">
        <f>VLOOKUP($B2933,'D7 - NDB Impacted SPRF''s'!$E$6:$O$9929,6,FALSE)</f>
        <v>Judy Garvida</v>
      </c>
      <c r="AG2933" s="282"/>
      <c r="AH2933" s="311" t="e">
        <f>INDEX('D5 - Gatekeeper - Projects'!$A$4:$AF$1010,$AM2933, 17)</f>
        <v>#N/A</v>
      </c>
      <c r="AI2933" s="8"/>
      <c r="AJ2933" s="57"/>
      <c r="AK2933" s="105"/>
      <c r="AM2933" s="6" t="e">
        <f>MATCH(D2933,'D5 - Gatekeeper - Projects'!$C$4:$C$1010,0)</f>
        <v>#N/A</v>
      </c>
      <c r="AN2933" s="6" t="b">
        <f t="shared" si="300"/>
        <v>1</v>
      </c>
      <c r="AO2933" s="6" t="str">
        <f t="shared" si="305"/>
        <v>OK</v>
      </c>
      <c r="AQ2933" s="6" t="e">
        <f>MATCH($D2933,'D4 - Provider Council Unsched'!$C$11:$C$234,0)</f>
        <v>#N/A</v>
      </c>
      <c r="AR2933" s="6" t="b">
        <f t="shared" si="302"/>
        <v>1</v>
      </c>
      <c r="AS2933" s="6" t="str">
        <f t="shared" si="306"/>
        <v>OK</v>
      </c>
      <c r="AU2933" s="202"/>
      <c r="AV2933" s="262"/>
      <c r="AW2933" s="274"/>
    </row>
    <row r="2934" spans="1:49" s="13" customFormat="1" ht="33.75" x14ac:dyDescent="0.2">
      <c r="A2934" s="14">
        <v>2910</v>
      </c>
      <c r="B2934" s="14">
        <v>400032153</v>
      </c>
      <c r="C2934" s="8" t="s">
        <v>3763</v>
      </c>
      <c r="D2934" s="4" t="str">
        <f t="shared" si="304"/>
        <v>400032153R2</v>
      </c>
      <c r="E2934" s="309" t="str">
        <f>VLOOKUP($B2934,'D7 - NDB Impacted SPRF''s'!$E$6:$O$9929,2,FALSE)</f>
        <v>HEDIS Specialty Board Cert Long Term Corrections</v>
      </c>
      <c r="F2934" s="8" t="s">
        <v>2114</v>
      </c>
      <c r="G2934" s="8" t="s">
        <v>4758</v>
      </c>
      <c r="H2934" s="8" t="s">
        <v>2870</v>
      </c>
      <c r="I2934" s="20">
        <v>1.68</v>
      </c>
      <c r="J2934" s="8" t="s">
        <v>4862</v>
      </c>
      <c r="K2934" s="182"/>
      <c r="L2934" s="8" t="s">
        <v>4156</v>
      </c>
      <c r="M2934" s="8" t="s">
        <v>2814</v>
      </c>
      <c r="N2934" s="38"/>
      <c r="O2934" s="8" t="s">
        <v>7299</v>
      </c>
      <c r="P2934" s="4" t="str">
        <f>VLOOKUP($B2934,'D7 - NDB Impacted SPRF''s'!$E$16:$O$9929,9,FALSE)</f>
        <v>N</v>
      </c>
      <c r="Q2934" s="4" t="str">
        <f>VLOOKUP($B2934,'D7 - NDB Impacted SPRF''s'!$E$16:$O$9929,10,FALSE)</f>
        <v>N</v>
      </c>
      <c r="R2934" s="4" t="str">
        <f>VLOOKUP($B2934,'D7 - NDB Impacted SPRF''s'!$E$16:$O$9929,11,FALSE)</f>
        <v>N</v>
      </c>
      <c r="S2934" s="8"/>
      <c r="T2934" s="310"/>
      <c r="U2934" s="310"/>
      <c r="V2934" s="4"/>
      <c r="W2934" s="4"/>
      <c r="X2934" s="4"/>
      <c r="Y2934" s="4"/>
      <c r="Z2934" s="4"/>
      <c r="AA2934" s="4"/>
      <c r="AB2934" s="380" t="str">
        <f>VLOOKUP($B2934,'D7 - NDB Impacted SPRF''s'!$E$6:$O$9929,4,FALSE)</f>
        <v>Completed</v>
      </c>
      <c r="AC2934" s="380" t="str">
        <f>VLOOKUP($B2934,'D7 - NDB Impacted SPRF''s'!$E$6:$O$9929,3,FALSE)</f>
        <v>UnitedHealthcare Medicare &amp; Retirement</v>
      </c>
      <c r="AD2934" s="380" t="str">
        <f>VLOOKUP($B2934,'D7 - NDB Impacted SPRF''s'!$E$6:$O$9929,5,FALSE)</f>
        <v>Enterprise Clinical</v>
      </c>
      <c r="AE2934" s="380" t="str">
        <f>VLOOKUP($B2934,'D7 - NDB Impacted SPRF''s'!$E$6:$O$9929,7,FALSE)</f>
        <v>Annelise Martin</v>
      </c>
      <c r="AF2934" s="380" t="str">
        <f>VLOOKUP($B2934,'D7 - NDB Impacted SPRF''s'!$E$6:$O$9929,6,FALSE)</f>
        <v>STEPHANIE LEAPHART</v>
      </c>
      <c r="AG2934" s="282"/>
      <c r="AH2934" s="311" t="e">
        <f>INDEX('D5 - Gatekeeper - Projects'!$A$4:$AF$1010,$AM2934, 17)</f>
        <v>#N/A</v>
      </c>
      <c r="AI2934" s="8"/>
      <c r="AJ2934" s="57"/>
      <c r="AK2934" s="57"/>
      <c r="AM2934" s="6" t="e">
        <f>MATCH(D2934,'D5 - Gatekeeper - Projects'!$C$4:$C$1010,0)</f>
        <v>#N/A</v>
      </c>
      <c r="AN2934" s="6" t="b">
        <f t="shared" si="300"/>
        <v>1</v>
      </c>
      <c r="AO2934" s="6" t="str">
        <f t="shared" si="305"/>
        <v>OK</v>
      </c>
      <c r="AQ2934" s="6" t="e">
        <f>MATCH($D2934,'D4 - Provider Council Unsched'!$C$11:$C$234,0)</f>
        <v>#N/A</v>
      </c>
      <c r="AR2934" s="6" t="b">
        <f t="shared" si="302"/>
        <v>1</v>
      </c>
      <c r="AS2934" s="6" t="str">
        <f t="shared" si="306"/>
        <v>OK</v>
      </c>
      <c r="AU2934" s="202"/>
      <c r="AV2934" s="262"/>
      <c r="AW2934" s="274"/>
    </row>
    <row r="2935" spans="1:49" s="13" customFormat="1" ht="33.75" x14ac:dyDescent="0.2">
      <c r="A2935" s="14">
        <v>2911</v>
      </c>
      <c r="B2935" s="14">
        <v>400032168</v>
      </c>
      <c r="C2935" s="8" t="s">
        <v>5197</v>
      </c>
      <c r="D2935" s="4" t="str">
        <f t="shared" si="304"/>
        <v>400032168R1</v>
      </c>
      <c r="E2935" s="309" t="str">
        <f>VLOOKUP($B2935,'D7 - NDB Impacted SPRF''s'!$E$6:$O$9929,2,FALSE)</f>
        <v>Notification exclusion info for IDT/ISET</v>
      </c>
      <c r="F2935" s="8" t="s">
        <v>2114</v>
      </c>
      <c r="G2935" s="8" t="s">
        <v>4758</v>
      </c>
      <c r="H2935" s="8" t="s">
        <v>2870</v>
      </c>
      <c r="I2935" s="20"/>
      <c r="J2935" s="8"/>
      <c r="K2935" s="182"/>
      <c r="L2935" s="8" t="s">
        <v>4156</v>
      </c>
      <c r="M2935" s="8" t="s">
        <v>2814</v>
      </c>
      <c r="N2935" s="38"/>
      <c r="O2935" s="8"/>
      <c r="P2935" s="4" t="str">
        <f>VLOOKUP($B2935,'D7 - NDB Impacted SPRF''s'!$E$16:$O$9929,9,FALSE)</f>
        <v>Y</v>
      </c>
      <c r="Q2935" s="4" t="str">
        <f>VLOOKUP($B2935,'D7 - NDB Impacted SPRF''s'!$E$16:$O$9929,10,FALSE)</f>
        <v>N</v>
      </c>
      <c r="R2935" s="4" t="str">
        <f>VLOOKUP($B2935,'D7 - NDB Impacted SPRF''s'!$E$16:$O$9929,11,FALSE)</f>
        <v>N</v>
      </c>
      <c r="S2935" s="8"/>
      <c r="T2935" s="310"/>
      <c r="U2935" s="310"/>
      <c r="V2935" s="4"/>
      <c r="W2935" s="4"/>
      <c r="X2935" s="4"/>
      <c r="Y2935" s="4"/>
      <c r="Z2935" s="4"/>
      <c r="AA2935" s="4"/>
      <c r="AB2935" s="380" t="str">
        <f>VLOOKUP($B2935,'D7 - NDB Impacted SPRF''s'!$E$6:$O$9929,4,FALSE)</f>
        <v>Cancelled</v>
      </c>
      <c r="AC2935" s="380" t="str">
        <f>VLOOKUP($B2935,'D7 - NDB Impacted SPRF''s'!$E$6:$O$9929,3,FALSE)</f>
        <v>UnitedHealthcare Employer &amp; Individual</v>
      </c>
      <c r="AD2935" s="380" t="str">
        <f>VLOOKUP($B2935,'D7 - NDB Impacted SPRF''s'!$E$6:$O$9929,5,FALSE)</f>
        <v>Medical Cost Savings Programs</v>
      </c>
      <c r="AE2935" s="380" t="str">
        <f>VLOOKUP($B2935,'D7 - NDB Impacted SPRF''s'!$E$6:$O$9929,7,FALSE)</f>
        <v>Laurie Paidosh</v>
      </c>
      <c r="AF2935" s="380" t="str">
        <f>VLOOKUP($B2935,'D7 - NDB Impacted SPRF''s'!$E$6:$O$9929,6,FALSE)</f>
        <v>Brendan Dolan</v>
      </c>
      <c r="AG2935" s="282"/>
      <c r="AH2935" s="311" t="e">
        <f>INDEX('D5 - Gatekeeper - Projects'!$A$4:$AF$1010,$AM2935, 17)</f>
        <v>#N/A</v>
      </c>
      <c r="AI2935" s="8"/>
      <c r="AJ2935" s="57"/>
      <c r="AK2935" s="57"/>
      <c r="AM2935" s="6" t="e">
        <f>MATCH(D2935,'D5 - Gatekeeper - Projects'!$C$4:$C$1010,0)</f>
        <v>#N/A</v>
      </c>
      <c r="AN2935" s="6" t="b">
        <f t="shared" si="300"/>
        <v>1</v>
      </c>
      <c r="AO2935" s="6" t="str">
        <f t="shared" si="305"/>
        <v>OK</v>
      </c>
      <c r="AQ2935" s="6" t="e">
        <f>MATCH($D2935,'D4 - Provider Council Unsched'!$C$11:$C$234,0)</f>
        <v>#N/A</v>
      </c>
      <c r="AR2935" s="6" t="b">
        <f t="shared" si="302"/>
        <v>1</v>
      </c>
      <c r="AS2935" s="6" t="str">
        <f t="shared" si="306"/>
        <v>OK</v>
      </c>
      <c r="AU2935" s="202"/>
      <c r="AV2935" s="262"/>
      <c r="AW2935" s="274"/>
    </row>
    <row r="2936" spans="1:49" s="13" customFormat="1" ht="45" x14ac:dyDescent="0.2">
      <c r="A2936" s="14">
        <v>2912</v>
      </c>
      <c r="B2936" s="14">
        <v>400032282</v>
      </c>
      <c r="C2936" s="8" t="s">
        <v>5197</v>
      </c>
      <c r="D2936" s="4" t="str">
        <f t="shared" si="304"/>
        <v>400032282R1</v>
      </c>
      <c r="E2936" s="309" t="str">
        <f>VLOOKUP($B2936,'D7 - NDB Impacted SPRF''s'!$E$6:$O$9929,2,FALSE)</f>
        <v>PDR–Provider Platform Gap Analysis Using Trillium</v>
      </c>
      <c r="F2936" s="8" t="s">
        <v>5595</v>
      </c>
      <c r="G2936" s="8" t="s">
        <v>4758</v>
      </c>
      <c r="H2936" s="8" t="s">
        <v>2870</v>
      </c>
      <c r="I2936" s="20"/>
      <c r="J2936" s="8"/>
      <c r="K2936" s="182"/>
      <c r="L2936" s="8" t="s">
        <v>4156</v>
      </c>
      <c r="M2936" s="8" t="s">
        <v>2814</v>
      </c>
      <c r="N2936" s="38"/>
      <c r="O2936" s="8"/>
      <c r="P2936" s="4" t="str">
        <f>VLOOKUP($B2936,'D7 - NDB Impacted SPRF''s'!$E$16:$O$9929,9,FALSE)</f>
        <v>N</v>
      </c>
      <c r="Q2936" s="4" t="str">
        <f>VLOOKUP($B2936,'D7 - NDB Impacted SPRF''s'!$E$16:$O$9929,10,FALSE)</f>
        <v>N</v>
      </c>
      <c r="R2936" s="4" t="str">
        <f>VLOOKUP($B2936,'D7 - NDB Impacted SPRF''s'!$E$16:$O$9929,11,FALSE)</f>
        <v>N</v>
      </c>
      <c r="S2936" s="8"/>
      <c r="T2936" s="310"/>
      <c r="U2936" s="310"/>
      <c r="V2936" s="4"/>
      <c r="W2936" s="4"/>
      <c r="X2936" s="4"/>
      <c r="Y2936" s="4"/>
      <c r="Z2936" s="4"/>
      <c r="AA2936" s="4"/>
      <c r="AB2936" s="380" t="str">
        <f>VLOOKUP($B2936,'D7 - NDB Impacted SPRF''s'!$E$6:$O$9929,4,FALSE)</f>
        <v>Cancelled</v>
      </c>
      <c r="AC2936" s="380" t="str">
        <f>VLOOKUP($B2936,'D7 - NDB Impacted SPRF''s'!$E$6:$O$9929,3,FALSE)</f>
        <v>UHG IT - Enterprise Technology Services</v>
      </c>
      <c r="AD2936" s="380" t="str">
        <f>VLOOKUP($B2936,'D7 - NDB Impacted SPRF''s'!$E$6:$O$9929,5,FALSE)</f>
        <v>Strategic Initiatives</v>
      </c>
      <c r="AE2936" s="380" t="str">
        <f>VLOOKUP($B2936,'D7 - NDB Impacted SPRF''s'!$E$6:$O$9929,7,FALSE)</f>
        <v>Steven Mueller</v>
      </c>
      <c r="AF2936" s="380" t="str">
        <f>VLOOKUP($B2936,'D7 - NDB Impacted SPRF''s'!$E$6:$O$9929,6,FALSE)</f>
        <v>Brent Graham</v>
      </c>
      <c r="AG2936" s="282"/>
      <c r="AH2936" s="311" t="e">
        <f>INDEX('D5 - Gatekeeper - Projects'!$A$4:$AF$1010,$AM2936, 17)</f>
        <v>#N/A</v>
      </c>
      <c r="AI2936" s="8"/>
      <c r="AJ2936" s="57"/>
      <c r="AK2936" s="105"/>
      <c r="AM2936" s="6" t="e">
        <f>MATCH(D2936,'D5 - Gatekeeper - Projects'!$C$4:$C$1010,0)</f>
        <v>#N/A</v>
      </c>
      <c r="AN2936" s="6" t="b">
        <f t="shared" si="300"/>
        <v>1</v>
      </c>
      <c r="AO2936" s="6" t="str">
        <f t="shared" si="305"/>
        <v>OK</v>
      </c>
      <c r="AQ2936" s="6" t="e">
        <f>MATCH($D2936,'D4 - Provider Council Unsched'!$C$11:$C$234,0)</f>
        <v>#N/A</v>
      </c>
      <c r="AR2936" s="6" t="b">
        <f t="shared" si="302"/>
        <v>1</v>
      </c>
      <c r="AS2936" s="6" t="str">
        <f t="shared" si="306"/>
        <v>OK</v>
      </c>
      <c r="AU2936" s="202"/>
      <c r="AV2936" s="262"/>
      <c r="AW2936" s="274"/>
    </row>
    <row r="2937" spans="1:49" s="13" customFormat="1" ht="33.75" x14ac:dyDescent="0.2">
      <c r="A2937" s="14">
        <v>2913</v>
      </c>
      <c r="B2937" s="14">
        <v>400032295</v>
      </c>
      <c r="C2937" s="8" t="s">
        <v>5197</v>
      </c>
      <c r="D2937" s="4" t="str">
        <f t="shared" si="304"/>
        <v>400032295R1</v>
      </c>
      <c r="E2937" s="309" t="str">
        <f>VLOOKUP($B2937,'D7 - NDB Impacted SPRF''s'!$E$6:$O$9929,2,FALSE)</f>
        <v>IB Product Development</v>
      </c>
      <c r="F2937" s="8" t="s">
        <v>2114</v>
      </c>
      <c r="G2937" s="8" t="s">
        <v>4758</v>
      </c>
      <c r="H2937" s="8" t="s">
        <v>2870</v>
      </c>
      <c r="I2937" s="20"/>
      <c r="J2937" s="8"/>
      <c r="K2937" s="182"/>
      <c r="L2937" s="8" t="s">
        <v>4156</v>
      </c>
      <c r="M2937" s="8" t="s">
        <v>2814</v>
      </c>
      <c r="N2937" s="38"/>
      <c r="O2937" s="8"/>
      <c r="P2937" s="4" t="str">
        <f>VLOOKUP($B2937,'D7 - NDB Impacted SPRF''s'!$E$16:$O$9929,9,FALSE)</f>
        <v>Y</v>
      </c>
      <c r="Q2937" s="4" t="str">
        <f>VLOOKUP($B2937,'D7 - NDB Impacted SPRF''s'!$E$16:$O$9929,10,FALSE)</f>
        <v>N</v>
      </c>
      <c r="R2937" s="4" t="str">
        <f>VLOOKUP($B2937,'D7 - NDB Impacted SPRF''s'!$E$16:$O$9929,11,FALSE)</f>
        <v>N</v>
      </c>
      <c r="S2937" s="8"/>
      <c r="T2937" s="310"/>
      <c r="U2937" s="310"/>
      <c r="V2937" s="4"/>
      <c r="W2937" s="4"/>
      <c r="X2937" s="4"/>
      <c r="Y2937" s="4"/>
      <c r="Z2937" s="4"/>
      <c r="AA2937" s="4"/>
      <c r="AB2937" s="380" t="str">
        <f>VLOOKUP($B2937,'D7 - NDB Impacted SPRF''s'!$E$6:$O$9929,4,FALSE)</f>
        <v>Cancelled</v>
      </c>
      <c r="AC2937" s="380" t="str">
        <f>VLOOKUP($B2937,'D7 - NDB Impacted SPRF''s'!$E$6:$O$9929,3,FALSE)</f>
        <v>UnitedHealthcare Employer &amp; Individual</v>
      </c>
      <c r="AD2937" s="380" t="str">
        <f>VLOOKUP($B2937,'D7 - NDB Impacted SPRF''s'!$E$6:$O$9929,5,FALSE)</f>
        <v>HCA - Medica Operational Support</v>
      </c>
      <c r="AE2937" s="380" t="str">
        <f>VLOOKUP($B2937,'D7 - NDB Impacted SPRF''s'!$E$6:$O$9929,7,FALSE)</f>
        <v>Mimi Taylor</v>
      </c>
      <c r="AF2937" s="380" t="str">
        <f>VLOOKUP($B2937,'D7 - NDB Impacted SPRF''s'!$E$6:$O$9929,6,FALSE)</f>
        <v>Linda Dooley</v>
      </c>
      <c r="AG2937" s="282"/>
      <c r="AH2937" s="311" t="e">
        <f>INDEX('D5 - Gatekeeper - Projects'!$A$4:$AF$1010,$AM2937, 17)</f>
        <v>#N/A</v>
      </c>
      <c r="AI2937" s="8"/>
      <c r="AJ2937" s="57"/>
      <c r="AK2937" s="105"/>
      <c r="AM2937" s="6" t="e">
        <f>MATCH(D2937,'D5 - Gatekeeper - Projects'!$C$4:$C$1010,0)</f>
        <v>#N/A</v>
      </c>
      <c r="AN2937" s="6" t="b">
        <f t="shared" si="300"/>
        <v>1</v>
      </c>
      <c r="AO2937" s="6" t="str">
        <f t="shared" si="305"/>
        <v>OK</v>
      </c>
      <c r="AQ2937" s="6" t="e">
        <f>MATCH($D2937,'D4 - Provider Council Unsched'!$C$11:$C$234,0)</f>
        <v>#N/A</v>
      </c>
      <c r="AR2937" s="6" t="b">
        <f t="shared" si="302"/>
        <v>1</v>
      </c>
      <c r="AS2937" s="6" t="str">
        <f t="shared" si="306"/>
        <v>OK</v>
      </c>
      <c r="AU2937" s="202"/>
      <c r="AV2937" s="262"/>
      <c r="AW2937" s="274"/>
    </row>
    <row r="2938" spans="1:49" s="13" customFormat="1" ht="33.75" x14ac:dyDescent="0.2">
      <c r="A2938" s="14">
        <v>2914</v>
      </c>
      <c r="B2938" s="14">
        <v>400032325</v>
      </c>
      <c r="C2938" s="8" t="s">
        <v>5197</v>
      </c>
      <c r="D2938" s="4" t="str">
        <f t="shared" si="304"/>
        <v>400032325R1</v>
      </c>
      <c r="E2938" s="309" t="str">
        <f>VLOOKUP($B2938,'D7 - NDB Impacted SPRF''s'!$E$6:$O$9929,2,FALSE)</f>
        <v>Dual Elig Membership- Final A&amp;D</v>
      </c>
      <c r="F2938" s="8" t="s">
        <v>2114</v>
      </c>
      <c r="G2938" s="8" t="s">
        <v>4758</v>
      </c>
      <c r="H2938" s="8" t="s">
        <v>2870</v>
      </c>
      <c r="I2938" s="20"/>
      <c r="J2938" s="8"/>
      <c r="K2938" s="182"/>
      <c r="L2938" s="8" t="s">
        <v>4156</v>
      </c>
      <c r="M2938" s="8" t="s">
        <v>2814</v>
      </c>
      <c r="N2938" s="38" t="s">
        <v>1162</v>
      </c>
      <c r="O2938" s="8"/>
      <c r="P2938" s="4" t="str">
        <f>VLOOKUP($B2938,'D7 - NDB Impacted SPRF''s'!$E$16:$O$9929,9,FALSE)</f>
        <v>N</v>
      </c>
      <c r="Q2938" s="4" t="str">
        <f>VLOOKUP($B2938,'D7 - NDB Impacted SPRF''s'!$E$16:$O$9929,10,FALSE)</f>
        <v>N</v>
      </c>
      <c r="R2938" s="4" t="str">
        <f>VLOOKUP($B2938,'D7 - NDB Impacted SPRF''s'!$E$16:$O$9929,11,FALSE)</f>
        <v>N</v>
      </c>
      <c r="S2938" s="8"/>
      <c r="T2938" s="310"/>
      <c r="U2938" s="310"/>
      <c r="V2938" s="4"/>
      <c r="W2938" s="4"/>
      <c r="X2938" s="4"/>
      <c r="Y2938" s="4"/>
      <c r="Z2938" s="4"/>
      <c r="AA2938" s="4"/>
      <c r="AB2938" s="380" t="str">
        <f>VLOOKUP($B2938,'D7 - NDB Impacted SPRF''s'!$E$6:$O$9929,4,FALSE)</f>
        <v>In Funding</v>
      </c>
      <c r="AC2938" s="380" t="str">
        <f>VLOOKUP($B2938,'D7 - NDB Impacted SPRF''s'!$E$6:$O$9929,3,FALSE)</f>
        <v>Ovations</v>
      </c>
      <c r="AD2938" s="380" t="str">
        <f>VLOOKUP($B2938,'D7 - NDB Impacted SPRF''s'!$E$6:$O$9929,5,FALSE)</f>
        <v>COSMOS Dual Eligible Enhancements (04-10210-400)</v>
      </c>
      <c r="AE2938" s="380" t="str">
        <f>VLOOKUP($B2938,'D7 - NDB Impacted SPRF''s'!$E$6:$O$9929,7,FALSE)</f>
        <v xml:space="preserve">Bror Hultgren/ Mark Bjornson </v>
      </c>
      <c r="AF2938" s="380" t="str">
        <f>VLOOKUP($B2938,'D7 - NDB Impacted SPRF''s'!$E$6:$O$9929,6,FALSE)</f>
        <v>Jessica Tattersall</v>
      </c>
      <c r="AG2938" s="282"/>
      <c r="AH2938" s="311" t="e">
        <f>INDEX('D5 - Gatekeeper - Projects'!$A$4:$AF$1010,$AM2938, 17)</f>
        <v>#N/A</v>
      </c>
      <c r="AI2938" s="8"/>
      <c r="AJ2938" s="57"/>
      <c r="AK2938" s="105"/>
      <c r="AM2938" s="6" t="e">
        <f>MATCH(D2938,'D5 - Gatekeeper - Projects'!$C$4:$C$1010,0)</f>
        <v>#N/A</v>
      </c>
      <c r="AN2938" s="6" t="b">
        <f t="shared" si="300"/>
        <v>1</v>
      </c>
      <c r="AO2938" s="6" t="str">
        <f t="shared" si="305"/>
        <v>OK</v>
      </c>
      <c r="AQ2938" s="6" t="e">
        <f>MATCH($D2938,'D4 - Provider Council Unsched'!$C$11:$C$234,0)</f>
        <v>#N/A</v>
      </c>
      <c r="AR2938" s="6" t="b">
        <f t="shared" si="302"/>
        <v>1</v>
      </c>
      <c r="AS2938" s="6" t="str">
        <f t="shared" si="306"/>
        <v>OK</v>
      </c>
      <c r="AU2938" s="202"/>
      <c r="AV2938" s="262"/>
      <c r="AW2938" s="274"/>
    </row>
    <row r="2939" spans="1:49" s="13" customFormat="1" ht="33.75" x14ac:dyDescent="0.2">
      <c r="A2939" s="14">
        <v>2915</v>
      </c>
      <c r="B2939" s="14">
        <v>400032359</v>
      </c>
      <c r="C2939" s="8" t="s">
        <v>5197</v>
      </c>
      <c r="D2939" s="4" t="str">
        <f t="shared" si="304"/>
        <v>400032359R1</v>
      </c>
      <c r="E2939" s="309" t="str">
        <f>VLOOKUP($B2939,'D7 - NDB Impacted SPRF''s'!$E$6:$O$9929,2,FALSE)</f>
        <v>Med Nec-Related Services Claim Processing</v>
      </c>
      <c r="F2939" s="8" t="s">
        <v>7993</v>
      </c>
      <c r="G2939" s="8" t="s">
        <v>4758</v>
      </c>
      <c r="H2939" s="8" t="s">
        <v>2870</v>
      </c>
      <c r="I2939" s="20"/>
      <c r="J2939" s="8"/>
      <c r="K2939" s="182"/>
      <c r="L2939" s="8" t="s">
        <v>4156</v>
      </c>
      <c r="M2939" s="8" t="s">
        <v>2814</v>
      </c>
      <c r="N2939" s="38" t="s">
        <v>7362</v>
      </c>
      <c r="O2939" s="8"/>
      <c r="P2939" s="4" t="str">
        <f>VLOOKUP($B2939,'D7 - NDB Impacted SPRF''s'!$E$16:$O$9929,9,FALSE)</f>
        <v>Y</v>
      </c>
      <c r="Q2939" s="4" t="str">
        <f>VLOOKUP($B2939,'D7 - NDB Impacted SPRF''s'!$E$16:$O$9929,10,FALSE)</f>
        <v>N</v>
      </c>
      <c r="R2939" s="4" t="str">
        <f>VLOOKUP($B2939,'D7 - NDB Impacted SPRF''s'!$E$16:$O$9929,11,FALSE)</f>
        <v>N</v>
      </c>
      <c r="S2939" s="8"/>
      <c r="T2939" s="310"/>
      <c r="U2939" s="310"/>
      <c r="V2939" s="4"/>
      <c r="W2939" s="4"/>
      <c r="X2939" s="4"/>
      <c r="Y2939" s="4"/>
      <c r="Z2939" s="4"/>
      <c r="AA2939" s="4"/>
      <c r="AB2939" s="380" t="str">
        <f>VLOOKUP($B2939,'D7 - NDB Impacted SPRF''s'!$E$6:$O$9929,4,FALSE)</f>
        <v>Completed</v>
      </c>
      <c r="AC2939" s="380" t="str">
        <f>VLOOKUP($B2939,'D7 - NDB Impacted SPRF''s'!$E$6:$O$9929,3,FALSE)</f>
        <v>UnitedHealthcare Employer &amp; Individual</v>
      </c>
      <c r="AD2939" s="380" t="str">
        <f>VLOOKUP($B2939,'D7 - NDB Impacted SPRF''s'!$E$6:$O$9929,5,FALSE)</f>
        <v>Medical Cost Savings Programs</v>
      </c>
      <c r="AE2939" s="380" t="str">
        <f>VLOOKUP($B2939,'D7 - NDB Impacted SPRF''s'!$E$6:$O$9929,7,FALSE)</f>
        <v>Dr. Sam Ho</v>
      </c>
      <c r="AF2939" s="380" t="str">
        <f>VLOOKUP($B2939,'D7 - NDB Impacted SPRF''s'!$E$6:$O$9929,6,FALSE)</f>
        <v>Erin Nelson</v>
      </c>
      <c r="AG2939" s="282"/>
      <c r="AH2939" s="311" t="e">
        <f>INDEX('D5 - Gatekeeper - Projects'!$A$4:$AF$1010,$AM2939, 17)</f>
        <v>#N/A</v>
      </c>
      <c r="AI2939" s="8"/>
      <c r="AJ2939" s="57"/>
      <c r="AK2939" s="105"/>
      <c r="AM2939" s="6" t="e">
        <f>MATCH(D2939,'D5 - Gatekeeper - Projects'!$C$4:$C$1010,0)</f>
        <v>#N/A</v>
      </c>
      <c r="AN2939" s="6" t="b">
        <f t="shared" si="300"/>
        <v>1</v>
      </c>
      <c r="AO2939" s="6" t="str">
        <f t="shared" si="305"/>
        <v>OK</v>
      </c>
      <c r="AQ2939" s="6" t="e">
        <f>MATCH($D2939,'D4 - Provider Council Unsched'!$C$11:$C$234,0)</f>
        <v>#N/A</v>
      </c>
      <c r="AR2939" s="6" t="b">
        <f t="shared" si="302"/>
        <v>1</v>
      </c>
      <c r="AS2939" s="6" t="str">
        <f t="shared" si="306"/>
        <v>OK</v>
      </c>
      <c r="AU2939" s="202"/>
      <c r="AV2939" s="262"/>
      <c r="AW2939" s="274"/>
    </row>
    <row r="2940" spans="1:49" s="13" customFormat="1" ht="22.5" x14ac:dyDescent="0.2">
      <c r="A2940" s="14">
        <v>2916</v>
      </c>
      <c r="B2940" s="14">
        <v>400032363</v>
      </c>
      <c r="C2940" s="8" t="s">
        <v>5197</v>
      </c>
      <c r="D2940" s="4" t="str">
        <f t="shared" si="304"/>
        <v>400032363R1</v>
      </c>
      <c r="E2940" s="309" t="str">
        <f>VLOOKUP($B2940,'D7 - NDB Impacted SPRF''s'!$E$6:$O$9929,2,FALSE)</f>
        <v>Clone the RV Facets Application</v>
      </c>
      <c r="F2940" s="8" t="s">
        <v>2114</v>
      </c>
      <c r="G2940" s="8" t="s">
        <v>4758</v>
      </c>
      <c r="H2940" s="8" t="s">
        <v>2870</v>
      </c>
      <c r="I2940" s="20"/>
      <c r="J2940" s="8"/>
      <c r="K2940" s="182"/>
      <c r="L2940" s="8" t="s">
        <v>4156</v>
      </c>
      <c r="M2940" s="8" t="s">
        <v>2814</v>
      </c>
      <c r="N2940" s="38" t="s">
        <v>5267</v>
      </c>
      <c r="O2940" s="8"/>
      <c r="P2940" s="4" t="str">
        <f>VLOOKUP($B2940,'D7 - NDB Impacted SPRF''s'!$E$16:$O$9929,9,FALSE)</f>
        <v>N</v>
      </c>
      <c r="Q2940" s="4" t="str">
        <f>VLOOKUP($B2940,'D7 - NDB Impacted SPRF''s'!$E$16:$O$9929,10,FALSE)</f>
        <v>N</v>
      </c>
      <c r="R2940" s="4" t="str">
        <f>VLOOKUP($B2940,'D7 - NDB Impacted SPRF''s'!$E$16:$O$9929,11,FALSE)</f>
        <v>N</v>
      </c>
      <c r="S2940" s="8"/>
      <c r="T2940" s="310"/>
      <c r="U2940" s="310"/>
      <c r="V2940" s="4"/>
      <c r="W2940" s="4"/>
      <c r="X2940" s="4"/>
      <c r="Y2940" s="4"/>
      <c r="Z2940" s="4"/>
      <c r="AA2940" s="4"/>
      <c r="AB2940" s="380" t="str">
        <f>VLOOKUP($B2940,'D7 - NDB Impacted SPRF''s'!$E$6:$O$9929,4,FALSE)</f>
        <v>Scheduled</v>
      </c>
      <c r="AC2940" s="380" t="str">
        <f>VLOOKUP($B2940,'D7 - NDB Impacted SPRF''s'!$E$6:$O$9929,3,FALSE)</f>
        <v>AmeriChoice</v>
      </c>
      <c r="AD2940" s="380" t="str">
        <f>VLOOKUP($B2940,'D7 - NDB Impacted SPRF''s'!$E$6:$O$9929,5,FALSE)</f>
        <v>Facets Platform Buildout 01-34040-000</v>
      </c>
      <c r="AE2940" s="380" t="str">
        <f>VLOOKUP($B2940,'D7 - NDB Impacted SPRF''s'!$E$6:$O$9929,7,FALSE)</f>
        <v>Les Sowa</v>
      </c>
      <c r="AF2940" s="380" t="str">
        <f>VLOOKUP($B2940,'D7 - NDB Impacted SPRF''s'!$E$6:$O$9929,6,FALSE)</f>
        <v>Ronald Wilson</v>
      </c>
      <c r="AG2940" s="282"/>
      <c r="AH2940" s="311" t="e">
        <f>INDEX('D5 - Gatekeeper - Projects'!$A$4:$AF$1010,$AM2940, 17)</f>
        <v>#N/A</v>
      </c>
      <c r="AI2940" s="8"/>
      <c r="AJ2940" s="57"/>
      <c r="AK2940" s="105"/>
      <c r="AM2940" s="6" t="e">
        <f>MATCH(D2940,'D5 - Gatekeeper - Projects'!$C$4:$C$1010,0)</f>
        <v>#N/A</v>
      </c>
      <c r="AN2940" s="6" t="b">
        <f t="shared" si="300"/>
        <v>1</v>
      </c>
      <c r="AO2940" s="6" t="str">
        <f t="shared" si="305"/>
        <v>OK</v>
      </c>
      <c r="AQ2940" s="6" t="e">
        <f>MATCH($D2940,'D4 - Provider Council Unsched'!$C$11:$C$234,0)</f>
        <v>#N/A</v>
      </c>
      <c r="AR2940" s="6" t="b">
        <f t="shared" si="302"/>
        <v>1</v>
      </c>
      <c r="AS2940" s="6" t="str">
        <f t="shared" si="306"/>
        <v>OK</v>
      </c>
      <c r="AU2940" s="202"/>
      <c r="AV2940" s="262"/>
      <c r="AW2940" s="274"/>
    </row>
    <row r="2941" spans="1:49" s="13" customFormat="1" ht="33.75" x14ac:dyDescent="0.2">
      <c r="A2941" s="14">
        <v>2917</v>
      </c>
      <c r="B2941" s="14">
        <v>400032368</v>
      </c>
      <c r="C2941" s="8" t="s">
        <v>5197</v>
      </c>
      <c r="D2941" s="4" t="str">
        <f t="shared" si="304"/>
        <v>400032368R1</v>
      </c>
      <c r="E2941" s="309" t="str">
        <f>VLOOKUP($B2941,'D7 - NDB Impacted SPRF''s'!$E$6:$O$9929,2,FALSE)</f>
        <v>HPHC Fee Schedule Audit Error Report Revision</v>
      </c>
      <c r="F2941" s="8" t="s">
        <v>5196</v>
      </c>
      <c r="G2941" s="8" t="s">
        <v>4758</v>
      </c>
      <c r="H2941" s="8" t="s">
        <v>2870</v>
      </c>
      <c r="I2941" s="20"/>
      <c r="J2941" s="8"/>
      <c r="K2941" s="182"/>
      <c r="L2941" s="8" t="s">
        <v>4156</v>
      </c>
      <c r="M2941" s="8" t="s">
        <v>2814</v>
      </c>
      <c r="N2941" s="38"/>
      <c r="O2941" s="8"/>
      <c r="P2941" s="4" t="str">
        <f>VLOOKUP($B2941,'D7 - NDB Impacted SPRF''s'!$E$16:$O$9929,9,FALSE)</f>
        <v>N</v>
      </c>
      <c r="Q2941" s="4" t="str">
        <f>VLOOKUP($B2941,'D7 - NDB Impacted SPRF''s'!$E$16:$O$9929,10,FALSE)</f>
        <v>N</v>
      </c>
      <c r="R2941" s="4" t="str">
        <f>VLOOKUP($B2941,'D7 - NDB Impacted SPRF''s'!$E$16:$O$9929,11,FALSE)</f>
        <v>N</v>
      </c>
      <c r="S2941" s="8"/>
      <c r="T2941" s="310"/>
      <c r="U2941" s="310"/>
      <c r="V2941" s="4"/>
      <c r="W2941" s="4"/>
      <c r="X2941" s="4"/>
      <c r="Y2941" s="4"/>
      <c r="Z2941" s="4"/>
      <c r="AA2941" s="4"/>
      <c r="AB2941" s="380" t="str">
        <f>VLOOKUP($B2941,'D7 - NDB Impacted SPRF''s'!$E$6:$O$9929,4,FALSE)</f>
        <v>Cancelled</v>
      </c>
      <c r="AC2941" s="380" t="str">
        <f>VLOOKUP($B2941,'D7 - NDB Impacted SPRF''s'!$E$6:$O$9929,3,FALSE)</f>
        <v>UnitedHealthcare Employer &amp; Individual</v>
      </c>
      <c r="AD2941" s="380" t="str">
        <f>VLOOKUP($B2941,'D7 - NDB Impacted SPRF''s'!$E$6:$O$9929,5,FALSE)</f>
        <v>HCA - HPHC Operational Support</v>
      </c>
      <c r="AE2941" s="380" t="str">
        <f>VLOOKUP($B2941,'D7 - NDB Impacted SPRF''s'!$E$6:$O$9929,7,FALSE)</f>
        <v>Patrico Cobos</v>
      </c>
      <c r="AF2941" s="380" t="str">
        <f>VLOOKUP($B2941,'D7 - NDB Impacted SPRF''s'!$E$6:$O$9929,6,FALSE)</f>
        <v>LUND ROSS</v>
      </c>
      <c r="AG2941" s="282"/>
      <c r="AH2941" s="311" t="e">
        <f>INDEX('D5 - Gatekeeper - Projects'!$A$4:$AF$1010,$AM2941, 17)</f>
        <v>#N/A</v>
      </c>
      <c r="AI2941" s="8"/>
      <c r="AJ2941" s="57"/>
      <c r="AK2941" s="105"/>
      <c r="AM2941" s="6" t="e">
        <f>MATCH(D2941,'D5 - Gatekeeper - Projects'!$C$4:$C$1010,0)</f>
        <v>#N/A</v>
      </c>
      <c r="AN2941" s="6" t="b">
        <f t="shared" si="300"/>
        <v>1</v>
      </c>
      <c r="AO2941" s="6" t="str">
        <f t="shared" si="305"/>
        <v>OK</v>
      </c>
      <c r="AQ2941" s="6" t="e">
        <f>MATCH($D2941,'D4 - Provider Council Unsched'!$C$11:$C$234,0)</f>
        <v>#N/A</v>
      </c>
      <c r="AR2941" s="6" t="b">
        <f t="shared" si="302"/>
        <v>1</v>
      </c>
      <c r="AS2941" s="6" t="str">
        <f t="shared" si="306"/>
        <v>OK</v>
      </c>
      <c r="AU2941" s="202"/>
      <c r="AV2941" s="262"/>
      <c r="AW2941" s="274"/>
    </row>
    <row r="2942" spans="1:49" s="13" customFormat="1" ht="33.75" x14ac:dyDescent="0.2">
      <c r="A2942" s="14">
        <v>2918</v>
      </c>
      <c r="B2942" s="14">
        <v>400032404</v>
      </c>
      <c r="C2942" s="8" t="s">
        <v>5197</v>
      </c>
      <c r="D2942" s="4" t="str">
        <f t="shared" si="304"/>
        <v>400032404R1</v>
      </c>
      <c r="E2942" s="309" t="str">
        <f>VLOOKUP($B2942,'D7 - NDB Impacted SPRF''s'!$E$6:$O$9929,2,FALSE)</f>
        <v>Provider TCE - TN &amp; TX Regulations</v>
      </c>
      <c r="F2942" s="8" t="s">
        <v>4471</v>
      </c>
      <c r="G2942" s="8" t="s">
        <v>4758</v>
      </c>
      <c r="H2942" s="8" t="s">
        <v>2870</v>
      </c>
      <c r="I2942" s="20"/>
      <c r="J2942" s="8"/>
      <c r="K2942" s="182"/>
      <c r="L2942" s="8" t="s">
        <v>4156</v>
      </c>
      <c r="M2942" s="8" t="s">
        <v>2814</v>
      </c>
      <c r="N2942" s="38"/>
      <c r="O2942" s="8"/>
      <c r="P2942" s="4" t="str">
        <f>VLOOKUP($B2942,'D7 - NDB Impacted SPRF''s'!$E$16:$O$9929,9,FALSE)</f>
        <v>N</v>
      </c>
      <c r="Q2942" s="4" t="str">
        <f>VLOOKUP($B2942,'D7 - NDB Impacted SPRF''s'!$E$16:$O$9929,10,FALSE)</f>
        <v>N</v>
      </c>
      <c r="R2942" s="4" t="str">
        <f>VLOOKUP($B2942,'D7 - NDB Impacted SPRF''s'!$E$16:$O$9929,11,FALSE)</f>
        <v>N</v>
      </c>
      <c r="S2942" s="8"/>
      <c r="T2942" s="310"/>
      <c r="U2942" s="310"/>
      <c r="V2942" s="4"/>
      <c r="W2942" s="4"/>
      <c r="X2942" s="4"/>
      <c r="Y2942" s="4"/>
      <c r="Z2942" s="4"/>
      <c r="AA2942" s="4"/>
      <c r="AB2942" s="380" t="str">
        <f>VLOOKUP($B2942,'D7 - NDB Impacted SPRF''s'!$E$6:$O$9929,4,FALSE)</f>
        <v>Cancelled</v>
      </c>
      <c r="AC2942" s="380" t="str">
        <f>VLOOKUP($B2942,'D7 - NDB Impacted SPRF''s'!$E$6:$O$9929,3,FALSE)</f>
        <v>UnitedHealthcare Employer &amp; Individual</v>
      </c>
      <c r="AD2942" s="380" t="str">
        <f>VLOOKUP($B2942,'D7 - NDB Impacted SPRF''s'!$E$6:$O$9929,5,FALSE)</f>
        <v>Regulatory / Other</v>
      </c>
      <c r="AE2942" s="380" t="str">
        <f>VLOOKUP($B2942,'D7 - NDB Impacted SPRF''s'!$E$6:$O$9929,7,FALSE)</f>
        <v>Jolly Nanda</v>
      </c>
      <c r="AF2942" s="380" t="str">
        <f>VLOOKUP($B2942,'D7 - NDB Impacted SPRF''s'!$E$6:$O$9929,6,FALSE)</f>
        <v>Melinda Banks</v>
      </c>
      <c r="AG2942" s="282"/>
      <c r="AH2942" s="311" t="e">
        <f>INDEX('D5 - Gatekeeper - Projects'!$A$4:$AF$1010,$AM2942, 17)</f>
        <v>#N/A</v>
      </c>
      <c r="AI2942" s="8"/>
      <c r="AJ2942" s="57"/>
      <c r="AK2942" s="105"/>
      <c r="AM2942" s="6" t="e">
        <f>MATCH(D2942,'D5 - Gatekeeper - Projects'!$C$4:$C$1010,0)</f>
        <v>#N/A</v>
      </c>
      <c r="AN2942" s="6" t="b">
        <f t="shared" si="300"/>
        <v>1</v>
      </c>
      <c r="AO2942" s="6" t="str">
        <f t="shared" si="305"/>
        <v>OK</v>
      </c>
      <c r="AQ2942" s="6" t="e">
        <f>MATCH($D2942,'D4 - Provider Council Unsched'!$C$11:$C$234,0)</f>
        <v>#N/A</v>
      </c>
      <c r="AR2942" s="6" t="b">
        <f t="shared" si="302"/>
        <v>1</v>
      </c>
      <c r="AS2942" s="6" t="str">
        <f t="shared" si="306"/>
        <v>OK</v>
      </c>
      <c r="AU2942" s="202"/>
      <c r="AV2942" s="262"/>
      <c r="AW2942" s="274"/>
    </row>
    <row r="2943" spans="1:49" s="13" customFormat="1" ht="33.75" x14ac:dyDescent="0.2">
      <c r="A2943" s="14">
        <v>2919</v>
      </c>
      <c r="B2943" s="14">
        <v>400032528</v>
      </c>
      <c r="C2943" s="8" t="s">
        <v>5197</v>
      </c>
      <c r="D2943" s="4" t="str">
        <f t="shared" si="304"/>
        <v>400032528R1</v>
      </c>
      <c r="E2943" s="309" t="str">
        <f>VLOOKUP($B2943,'D7 - NDB Impacted SPRF''s'!$E$6:$O$9929,2,FALSE)</f>
        <v>UMR-Onalaska (MWS) Non-Par Pricing-Legacy Systems</v>
      </c>
      <c r="F2943" s="8" t="s">
        <v>5891</v>
      </c>
      <c r="G2943" s="8" t="s">
        <v>4758</v>
      </c>
      <c r="H2943" s="8" t="s">
        <v>2870</v>
      </c>
      <c r="I2943" s="20"/>
      <c r="J2943" s="8"/>
      <c r="K2943" s="182"/>
      <c r="L2943" s="8" t="s">
        <v>4156</v>
      </c>
      <c r="M2943" s="8" t="s">
        <v>2814</v>
      </c>
      <c r="N2943" s="38" t="s">
        <v>3685</v>
      </c>
      <c r="O2943" s="8"/>
      <c r="P2943" s="4" t="str">
        <f>VLOOKUP($B2943,'D7 - NDB Impacted SPRF''s'!$E$16:$O$9929,9,FALSE)</f>
        <v>N</v>
      </c>
      <c r="Q2943" s="4" t="str">
        <f>VLOOKUP($B2943,'D7 - NDB Impacted SPRF''s'!$E$16:$O$9929,10,FALSE)</f>
        <v>N</v>
      </c>
      <c r="R2943" s="4" t="str">
        <f>VLOOKUP($B2943,'D7 - NDB Impacted SPRF''s'!$E$16:$O$9929,11,FALSE)</f>
        <v>Y</v>
      </c>
      <c r="S2943" s="8"/>
      <c r="T2943" s="310"/>
      <c r="U2943" s="310"/>
      <c r="V2943" s="4"/>
      <c r="W2943" s="4"/>
      <c r="X2943" s="4"/>
      <c r="Y2943" s="4"/>
      <c r="Z2943" s="4"/>
      <c r="AA2943" s="4"/>
      <c r="AB2943" s="380" t="str">
        <f>VLOOKUP($B2943,'D7 - NDB Impacted SPRF''s'!$E$6:$O$9929,4,FALSE)</f>
        <v>Cancelled</v>
      </c>
      <c r="AC2943" s="380" t="str">
        <f>VLOOKUP($B2943,'D7 - NDB Impacted SPRF''s'!$E$6:$O$9929,3,FALSE)</f>
        <v>UnitedHealthcare Employer &amp; Individual</v>
      </c>
      <c r="AD2943" s="380" t="str">
        <f>VLOOKUP($B2943,'D7 - NDB Impacted SPRF''s'!$E$6:$O$9929,5,FALSE)</f>
        <v>Medical Cost Savings Programs</v>
      </c>
      <c r="AE2943" s="380" t="str">
        <f>VLOOKUP($B2943,'D7 - NDB Impacted SPRF''s'!$E$6:$O$9929,7,FALSE)</f>
        <v>John Haben</v>
      </c>
      <c r="AF2943" s="380" t="str">
        <f>VLOOKUP($B2943,'D7 - NDB Impacted SPRF''s'!$E$6:$O$9929,6,FALSE)</f>
        <v>KAREN MCKINNEY</v>
      </c>
      <c r="AG2943" s="282"/>
      <c r="AH2943" s="311" t="e">
        <f>INDEX('D5 - Gatekeeper - Projects'!$A$4:$AF$1010,$AM2943, 17)</f>
        <v>#N/A</v>
      </c>
      <c r="AI2943" s="8"/>
      <c r="AJ2943" s="57"/>
      <c r="AK2943" s="105"/>
      <c r="AM2943" s="6" t="e">
        <f>MATCH(D2943,'D5 - Gatekeeper - Projects'!$C$4:$C$1010,0)</f>
        <v>#N/A</v>
      </c>
      <c r="AN2943" s="6" t="b">
        <f t="shared" si="300"/>
        <v>1</v>
      </c>
      <c r="AO2943" s="6" t="str">
        <f t="shared" si="305"/>
        <v>OK</v>
      </c>
      <c r="AQ2943" s="6" t="e">
        <f>MATCH($D2943,'D4 - Provider Council Unsched'!$C$11:$C$234,0)</f>
        <v>#N/A</v>
      </c>
      <c r="AR2943" s="6" t="b">
        <f t="shared" si="302"/>
        <v>1</v>
      </c>
      <c r="AS2943" s="6" t="str">
        <f t="shared" si="306"/>
        <v>OK</v>
      </c>
      <c r="AU2943" s="202"/>
      <c r="AV2943" s="262"/>
      <c r="AW2943" s="274"/>
    </row>
    <row r="2944" spans="1:49" s="13" customFormat="1" ht="33.75" x14ac:dyDescent="0.2">
      <c r="A2944" s="14">
        <v>2920</v>
      </c>
      <c r="B2944" s="14">
        <v>400032531</v>
      </c>
      <c r="C2944" s="8" t="s">
        <v>5197</v>
      </c>
      <c r="D2944" s="4" t="str">
        <f t="shared" si="304"/>
        <v>400032531R1</v>
      </c>
      <c r="E2944" s="309" t="str">
        <f>VLOOKUP($B2944,'D7 - NDB Impacted SPRF''s'!$E$6:$O$9929,2,FALSE)</f>
        <v>UMR-Cincinnati Non-Par Pricing Legacy Systems</v>
      </c>
      <c r="F2944" s="8" t="s">
        <v>5891</v>
      </c>
      <c r="G2944" s="8" t="s">
        <v>4758</v>
      </c>
      <c r="H2944" s="8" t="s">
        <v>2870</v>
      </c>
      <c r="I2944" s="20"/>
      <c r="J2944" s="8"/>
      <c r="K2944" s="182"/>
      <c r="L2944" s="8" t="s">
        <v>4156</v>
      </c>
      <c r="M2944" s="8" t="s">
        <v>2814</v>
      </c>
      <c r="N2944" s="38" t="s">
        <v>3685</v>
      </c>
      <c r="O2944" s="8"/>
      <c r="P2944" s="4" t="str">
        <f>VLOOKUP($B2944,'D7 - NDB Impacted SPRF''s'!$E$16:$O$9929,9,FALSE)</f>
        <v>N</v>
      </c>
      <c r="Q2944" s="4" t="str">
        <f>VLOOKUP($B2944,'D7 - NDB Impacted SPRF''s'!$E$16:$O$9929,10,FALSE)</f>
        <v>N</v>
      </c>
      <c r="R2944" s="4" t="str">
        <f>VLOOKUP($B2944,'D7 - NDB Impacted SPRF''s'!$E$16:$O$9929,11,FALSE)</f>
        <v>Y</v>
      </c>
      <c r="S2944" s="8"/>
      <c r="T2944" s="310"/>
      <c r="U2944" s="310"/>
      <c r="V2944" s="4"/>
      <c r="W2944" s="4"/>
      <c r="X2944" s="4"/>
      <c r="Y2944" s="4"/>
      <c r="Z2944" s="4"/>
      <c r="AA2944" s="4"/>
      <c r="AB2944" s="380" t="str">
        <f>VLOOKUP($B2944,'D7 - NDB Impacted SPRF''s'!$E$6:$O$9929,4,FALSE)</f>
        <v>Cancelled</v>
      </c>
      <c r="AC2944" s="380" t="str">
        <f>VLOOKUP($B2944,'D7 - NDB Impacted SPRF''s'!$E$6:$O$9929,3,FALSE)</f>
        <v>UnitedHealthcare Employer &amp; Individual</v>
      </c>
      <c r="AD2944" s="380" t="str">
        <f>VLOOKUP($B2944,'D7 - NDB Impacted SPRF''s'!$E$6:$O$9929,5,FALSE)</f>
        <v>Medical Cost Savings Programs</v>
      </c>
      <c r="AE2944" s="380" t="str">
        <f>VLOOKUP($B2944,'D7 - NDB Impacted SPRF''s'!$E$6:$O$9929,7,FALSE)</f>
        <v>John Haben</v>
      </c>
      <c r="AF2944" s="380" t="str">
        <f>VLOOKUP($B2944,'D7 - NDB Impacted SPRF''s'!$E$6:$O$9929,6,FALSE)</f>
        <v>KAREN MCKINNEY</v>
      </c>
      <c r="AG2944" s="282"/>
      <c r="AH2944" s="311" t="e">
        <f>INDEX('D5 - Gatekeeper - Projects'!$A$4:$AF$1010,$AM2944, 17)</f>
        <v>#N/A</v>
      </c>
      <c r="AI2944" s="8"/>
      <c r="AJ2944" s="57"/>
      <c r="AK2944" s="105"/>
      <c r="AM2944" s="6" t="e">
        <f>MATCH(D2944,'D5 - Gatekeeper - Projects'!$C$4:$C$1010,0)</f>
        <v>#N/A</v>
      </c>
      <c r="AN2944" s="6" t="b">
        <f t="shared" si="300"/>
        <v>1</v>
      </c>
      <c r="AO2944" s="6" t="str">
        <f t="shared" si="305"/>
        <v>OK</v>
      </c>
      <c r="AQ2944" s="6" t="e">
        <f>MATCH($D2944,'D4 - Provider Council Unsched'!$C$11:$C$234,0)</f>
        <v>#N/A</v>
      </c>
      <c r="AR2944" s="6" t="b">
        <f t="shared" si="302"/>
        <v>1</v>
      </c>
      <c r="AS2944" s="6" t="str">
        <f t="shared" si="306"/>
        <v>OK</v>
      </c>
      <c r="AU2944" s="202"/>
      <c r="AV2944" s="262"/>
      <c r="AW2944" s="274"/>
    </row>
    <row r="2945" spans="1:49" s="13" customFormat="1" ht="33.75" x14ac:dyDescent="0.2">
      <c r="A2945" s="14">
        <v>2921</v>
      </c>
      <c r="B2945" s="14">
        <v>400032532</v>
      </c>
      <c r="C2945" s="8" t="s">
        <v>5197</v>
      </c>
      <c r="D2945" s="4" t="str">
        <f t="shared" si="304"/>
        <v>400032532R1</v>
      </c>
      <c r="E2945" s="309" t="str">
        <f>VLOOKUP($B2945,'D7 - NDB Impacted SPRF''s'!$E$6:$O$9929,2,FALSE)</f>
        <v>UMR-HBP Non-Par Pricing Legacy System</v>
      </c>
      <c r="F2945" s="8" t="s">
        <v>5891</v>
      </c>
      <c r="G2945" s="8" t="s">
        <v>4758</v>
      </c>
      <c r="H2945" s="8" t="s">
        <v>2870</v>
      </c>
      <c r="I2945" s="20"/>
      <c r="J2945" s="8"/>
      <c r="K2945" s="182"/>
      <c r="L2945" s="8" t="s">
        <v>4156</v>
      </c>
      <c r="M2945" s="8" t="s">
        <v>2814</v>
      </c>
      <c r="N2945" s="38"/>
      <c r="O2945" s="8"/>
      <c r="P2945" s="4" t="str">
        <f>VLOOKUP($B2945,'D7 - NDB Impacted SPRF''s'!$E$16:$O$9929,9,FALSE)</f>
        <v>N</v>
      </c>
      <c r="Q2945" s="4" t="str">
        <f>VLOOKUP($B2945,'D7 - NDB Impacted SPRF''s'!$E$16:$O$9929,10,FALSE)</f>
        <v>N</v>
      </c>
      <c r="R2945" s="4" t="str">
        <f>VLOOKUP($B2945,'D7 - NDB Impacted SPRF''s'!$E$16:$O$9929,11,FALSE)</f>
        <v>Y</v>
      </c>
      <c r="S2945" s="8"/>
      <c r="T2945" s="310"/>
      <c r="U2945" s="310"/>
      <c r="V2945" s="4"/>
      <c r="W2945" s="4"/>
      <c r="X2945" s="4"/>
      <c r="Y2945" s="4"/>
      <c r="Z2945" s="4"/>
      <c r="AA2945" s="4"/>
      <c r="AB2945" s="380" t="str">
        <f>VLOOKUP($B2945,'D7 - NDB Impacted SPRF''s'!$E$6:$O$9929,4,FALSE)</f>
        <v>Cancelled</v>
      </c>
      <c r="AC2945" s="380" t="str">
        <f>VLOOKUP($B2945,'D7 - NDB Impacted SPRF''s'!$E$6:$O$9929,3,FALSE)</f>
        <v>UnitedHealthcare Employer &amp; Individual</v>
      </c>
      <c r="AD2945" s="380" t="str">
        <f>VLOOKUP($B2945,'D7 - NDB Impacted SPRF''s'!$E$6:$O$9929,5,FALSE)</f>
        <v>Medical Cost Savings Programs</v>
      </c>
      <c r="AE2945" s="380" t="str">
        <f>VLOOKUP($B2945,'D7 - NDB Impacted SPRF''s'!$E$6:$O$9929,7,FALSE)</f>
        <v>John Haben</v>
      </c>
      <c r="AF2945" s="380" t="str">
        <f>VLOOKUP($B2945,'D7 - NDB Impacted SPRF''s'!$E$6:$O$9929,6,FALSE)</f>
        <v>KAREN MCKINNEY</v>
      </c>
      <c r="AG2945" s="282"/>
      <c r="AH2945" s="311" t="e">
        <f>INDEX('D5 - Gatekeeper - Projects'!$A$4:$AF$1010,$AM2945, 17)</f>
        <v>#N/A</v>
      </c>
      <c r="AI2945" s="8"/>
      <c r="AJ2945" s="57"/>
      <c r="AK2945" s="105"/>
      <c r="AM2945" s="6" t="e">
        <f>MATCH(D2945,'D5 - Gatekeeper - Projects'!$C$4:$C$1010,0)</f>
        <v>#N/A</v>
      </c>
      <c r="AN2945" s="6" t="b">
        <f t="shared" si="300"/>
        <v>1</v>
      </c>
      <c r="AO2945" s="6" t="str">
        <f t="shared" si="305"/>
        <v>OK</v>
      </c>
      <c r="AQ2945" s="6" t="e">
        <f>MATCH($D2945,'D4 - Provider Council Unsched'!$C$11:$C$234,0)</f>
        <v>#N/A</v>
      </c>
      <c r="AR2945" s="6" t="b">
        <f t="shared" si="302"/>
        <v>1</v>
      </c>
      <c r="AS2945" s="6" t="str">
        <f t="shared" si="306"/>
        <v>OK</v>
      </c>
      <c r="AU2945" s="202"/>
      <c r="AV2945" s="262"/>
      <c r="AW2945" s="274"/>
    </row>
    <row r="2946" spans="1:49" s="13" customFormat="1" ht="33.75" x14ac:dyDescent="0.2">
      <c r="A2946" s="14">
        <v>2922</v>
      </c>
      <c r="B2946" s="14">
        <v>400032533</v>
      </c>
      <c r="C2946" s="8" t="s">
        <v>5197</v>
      </c>
      <c r="D2946" s="4" t="str">
        <f t="shared" si="304"/>
        <v>400032533R1</v>
      </c>
      <c r="E2946" s="309" t="str">
        <f>VLOOKUP($B2946,'D7 - NDB Impacted SPRF''s'!$E$6:$O$9929,2,FALSE)</f>
        <v>Student Resources Non-Par Pricing Legacy Systems</v>
      </c>
      <c r="F2946" s="8" t="s">
        <v>2114</v>
      </c>
      <c r="G2946" s="8" t="s">
        <v>4758</v>
      </c>
      <c r="H2946" s="8" t="s">
        <v>2870</v>
      </c>
      <c r="I2946" s="20"/>
      <c r="J2946" s="8"/>
      <c r="K2946" s="182"/>
      <c r="L2946" s="8" t="s">
        <v>4156</v>
      </c>
      <c r="M2946" s="8" t="s">
        <v>2814</v>
      </c>
      <c r="N2946" s="38"/>
      <c r="O2946" s="8"/>
      <c r="P2946" s="4" t="str">
        <f>VLOOKUP($B2946,'D7 - NDB Impacted SPRF''s'!$E$16:$O$9929,9,FALSE)</f>
        <v>N</v>
      </c>
      <c r="Q2946" s="4" t="str">
        <f>VLOOKUP($B2946,'D7 - NDB Impacted SPRF''s'!$E$16:$O$9929,10,FALSE)</f>
        <v>N</v>
      </c>
      <c r="R2946" s="4" t="str">
        <f>VLOOKUP($B2946,'D7 - NDB Impacted SPRF''s'!$E$16:$O$9929,11,FALSE)</f>
        <v>Y</v>
      </c>
      <c r="S2946" s="8"/>
      <c r="T2946" s="310"/>
      <c r="U2946" s="310"/>
      <c r="V2946" s="4"/>
      <c r="W2946" s="4"/>
      <c r="X2946" s="4"/>
      <c r="Y2946" s="4"/>
      <c r="Z2946" s="4"/>
      <c r="AA2946" s="4"/>
      <c r="AB2946" s="380" t="str">
        <f>VLOOKUP($B2946,'D7 - NDB Impacted SPRF''s'!$E$6:$O$9929,4,FALSE)</f>
        <v>Cancelled</v>
      </c>
      <c r="AC2946" s="380" t="str">
        <f>VLOOKUP($B2946,'D7 - NDB Impacted SPRF''s'!$E$6:$O$9929,3,FALSE)</f>
        <v>UnitedHealthcare Employer &amp; Individual</v>
      </c>
      <c r="AD2946" s="380" t="str">
        <f>VLOOKUP($B2946,'D7 - NDB Impacted SPRF''s'!$E$6:$O$9929,5,FALSE)</f>
        <v>Medical Cost Savings Programs</v>
      </c>
      <c r="AE2946" s="380" t="str">
        <f>VLOOKUP($B2946,'D7 - NDB Impacted SPRF''s'!$E$6:$O$9929,7,FALSE)</f>
        <v>John Haben</v>
      </c>
      <c r="AF2946" s="380" t="str">
        <f>VLOOKUP($B2946,'D7 - NDB Impacted SPRF''s'!$E$6:$O$9929,6,FALSE)</f>
        <v>KAREN MCKINNEY</v>
      </c>
      <c r="AG2946" s="282"/>
      <c r="AH2946" s="311" t="e">
        <f>INDEX('D5 - Gatekeeper - Projects'!$A$4:$AF$1010,$AM2946, 17)</f>
        <v>#N/A</v>
      </c>
      <c r="AI2946" s="8"/>
      <c r="AJ2946" s="57"/>
      <c r="AK2946" s="105"/>
      <c r="AM2946" s="6" t="e">
        <f>MATCH(D2946,'D5 - Gatekeeper - Projects'!$C$4:$C$1010,0)</f>
        <v>#N/A</v>
      </c>
      <c r="AN2946" s="6" t="b">
        <f t="shared" si="300"/>
        <v>1</v>
      </c>
      <c r="AO2946" s="6" t="str">
        <f t="shared" si="305"/>
        <v>OK</v>
      </c>
      <c r="AQ2946" s="6" t="e">
        <f>MATCH($D2946,'D4 - Provider Council Unsched'!$C$11:$C$234,0)</f>
        <v>#N/A</v>
      </c>
      <c r="AR2946" s="6" t="b">
        <f t="shared" si="302"/>
        <v>1</v>
      </c>
      <c r="AS2946" s="6" t="str">
        <f t="shared" si="306"/>
        <v>OK</v>
      </c>
      <c r="AU2946" s="202"/>
      <c r="AV2946" s="262"/>
      <c r="AW2946" s="274"/>
    </row>
    <row r="2947" spans="1:49" s="13" customFormat="1" ht="33.75" x14ac:dyDescent="0.2">
      <c r="A2947" s="14">
        <v>2923</v>
      </c>
      <c r="B2947" s="14">
        <v>400032571</v>
      </c>
      <c r="C2947" s="8" t="s">
        <v>5197</v>
      </c>
      <c r="D2947" s="4" t="str">
        <f t="shared" si="304"/>
        <v>400032571R1</v>
      </c>
      <c r="E2947" s="309" t="str">
        <f>VLOOKUP($B2947,'D7 - NDB Impacted SPRF''s'!$E$6:$O$9929,2,FALSE)</f>
        <v>Modifier Field Expansion</v>
      </c>
      <c r="F2947" s="8" t="s">
        <v>3924</v>
      </c>
      <c r="G2947" s="8" t="s">
        <v>4758</v>
      </c>
      <c r="H2947" s="8" t="s">
        <v>2870</v>
      </c>
      <c r="I2947" s="20"/>
      <c r="J2947" s="8"/>
      <c r="K2947" s="182"/>
      <c r="L2947" s="8" t="s">
        <v>4156</v>
      </c>
      <c r="M2947" s="8" t="s">
        <v>2814</v>
      </c>
      <c r="N2947" s="38"/>
      <c r="O2947" s="8"/>
      <c r="P2947" s="4" t="str">
        <f>VLOOKUP($B2947,'D7 - NDB Impacted SPRF''s'!$E$16:$O$9929,9,FALSE)</f>
        <v>N</v>
      </c>
      <c r="Q2947" s="4" t="str">
        <f>VLOOKUP($B2947,'D7 - NDB Impacted SPRF''s'!$E$16:$O$9929,10,FALSE)</f>
        <v>N</v>
      </c>
      <c r="R2947" s="4" t="str">
        <f>VLOOKUP($B2947,'D7 - NDB Impacted SPRF''s'!$E$16:$O$9929,11,FALSE)</f>
        <v>N</v>
      </c>
      <c r="S2947" s="8"/>
      <c r="T2947" s="310"/>
      <c r="U2947" s="310"/>
      <c r="V2947" s="4"/>
      <c r="W2947" s="4"/>
      <c r="X2947" s="4"/>
      <c r="Y2947" s="4"/>
      <c r="Z2947" s="4"/>
      <c r="AA2947" s="4"/>
      <c r="AB2947" s="380" t="str">
        <f>VLOOKUP($B2947,'D7 - NDB Impacted SPRF''s'!$E$6:$O$9929,4,FALSE)</f>
        <v>Cancelled</v>
      </c>
      <c r="AC2947" s="380" t="str">
        <f>VLOOKUP($B2947,'D7 - NDB Impacted SPRF''s'!$E$6:$O$9929,3,FALSE)</f>
        <v>UnitedHealthcare Medicare &amp; Retirement</v>
      </c>
      <c r="AD2947" s="380" t="str">
        <f>VLOOKUP($B2947,'D7 - NDB Impacted SPRF''s'!$E$6:$O$9929,5,FALSE)</f>
        <v>Ovations Admin</v>
      </c>
      <c r="AE2947" s="380" t="str">
        <f>VLOOKUP($B2947,'D7 - NDB Impacted SPRF''s'!$E$6:$O$9929,7,FALSE)</f>
        <v>Kelly Gilbertson</v>
      </c>
      <c r="AF2947" s="380" t="str">
        <f>VLOOKUP($B2947,'D7 - NDB Impacted SPRF''s'!$E$6:$O$9929,6,FALSE)</f>
        <v>Jessica Ayers</v>
      </c>
      <c r="AG2947" s="282"/>
      <c r="AH2947" s="311" t="e">
        <f>INDEX('D5 - Gatekeeper - Projects'!$A$4:$AF$1010,$AM2947, 17)</f>
        <v>#N/A</v>
      </c>
      <c r="AI2947" s="8"/>
      <c r="AJ2947" s="57"/>
      <c r="AK2947" s="105"/>
      <c r="AM2947" s="6" t="e">
        <f>MATCH(D2947,'D5 - Gatekeeper - Projects'!$C$4:$C$1010,0)</f>
        <v>#N/A</v>
      </c>
      <c r="AN2947" s="6" t="b">
        <f t="shared" si="300"/>
        <v>1</v>
      </c>
      <c r="AO2947" s="6" t="str">
        <f t="shared" si="305"/>
        <v>OK</v>
      </c>
      <c r="AQ2947" s="6" t="e">
        <f>MATCH($D2947,'D4 - Provider Council Unsched'!$C$11:$C$234,0)</f>
        <v>#N/A</v>
      </c>
      <c r="AR2947" s="6" t="b">
        <f t="shared" si="302"/>
        <v>1</v>
      </c>
      <c r="AS2947" s="6" t="str">
        <f t="shared" si="306"/>
        <v>OK</v>
      </c>
      <c r="AU2947" s="202"/>
      <c r="AV2947" s="262"/>
      <c r="AW2947" s="274"/>
    </row>
    <row r="2948" spans="1:49" s="13" customFormat="1" x14ac:dyDescent="0.2">
      <c r="A2948" s="14">
        <v>2924</v>
      </c>
      <c r="B2948" s="14">
        <v>400032872</v>
      </c>
      <c r="C2948" s="8" t="s">
        <v>5197</v>
      </c>
      <c r="D2948" s="4" t="str">
        <f t="shared" si="304"/>
        <v>400032872R1</v>
      </c>
      <c r="E2948" s="309" t="str">
        <f>VLOOKUP($B2948,'D7 - NDB Impacted SPRF''s'!$E$6:$O$9929,2,FALSE)</f>
        <v>Network Rental Product</v>
      </c>
      <c r="F2948" s="8" t="s">
        <v>2114</v>
      </c>
      <c r="G2948" s="8" t="s">
        <v>4758</v>
      </c>
      <c r="H2948" s="8" t="s">
        <v>2870</v>
      </c>
      <c r="I2948" s="20"/>
      <c r="J2948" s="8"/>
      <c r="K2948" s="182"/>
      <c r="L2948" s="8" t="s">
        <v>4156</v>
      </c>
      <c r="M2948" s="8" t="s">
        <v>2814</v>
      </c>
      <c r="N2948" s="38"/>
      <c r="O2948" s="8"/>
      <c r="P2948" s="4" t="str">
        <f>VLOOKUP($B2948,'D7 - NDB Impacted SPRF''s'!$E$16:$O$9929,9,FALSE)</f>
        <v>N</v>
      </c>
      <c r="Q2948" s="4" t="str">
        <f>VLOOKUP($B2948,'D7 - NDB Impacted SPRF''s'!$E$16:$O$9929,10,FALSE)</f>
        <v>N</v>
      </c>
      <c r="R2948" s="4" t="str">
        <f>VLOOKUP($B2948,'D7 - NDB Impacted SPRF''s'!$E$16:$O$9929,11,FALSE)</f>
        <v>Y</v>
      </c>
      <c r="S2948" s="8"/>
      <c r="T2948" s="310"/>
      <c r="U2948" s="310"/>
      <c r="V2948" s="4"/>
      <c r="W2948" s="4"/>
      <c r="X2948" s="4"/>
      <c r="Y2948" s="4"/>
      <c r="Z2948" s="4"/>
      <c r="AA2948" s="4"/>
      <c r="AB2948" s="380" t="str">
        <f>VLOOKUP($B2948,'D7 - NDB Impacted SPRF''s'!$E$6:$O$9929,4,FALSE)</f>
        <v>Cancelled</v>
      </c>
      <c r="AC2948" s="380" t="str">
        <f>VLOOKUP($B2948,'D7 - NDB Impacted SPRF''s'!$E$6:$O$9929,3,FALSE)</f>
        <v>OptumHealth</v>
      </c>
      <c r="AD2948" s="380" t="str">
        <f>VLOOKUP($B2948,'D7 - NDB Impacted SPRF''s'!$E$6:$O$9929,5,FALSE)</f>
        <v>Behavioral Solutions</v>
      </c>
      <c r="AE2948" s="380" t="str">
        <f>VLOOKUP($B2948,'D7 - NDB Impacted SPRF''s'!$E$6:$O$9929,7,FALSE)</f>
        <v>Rich Keane</v>
      </c>
      <c r="AF2948" s="380" t="str">
        <f>VLOOKUP($B2948,'D7 - NDB Impacted SPRF''s'!$E$6:$O$9929,6,FALSE)</f>
        <v>Deborah Plumb</v>
      </c>
      <c r="AG2948" s="282"/>
      <c r="AH2948" s="311" t="e">
        <f>INDEX('D5 - Gatekeeper - Projects'!$A$4:$AF$1010,$AM2948, 17)</f>
        <v>#N/A</v>
      </c>
      <c r="AI2948" s="8"/>
      <c r="AJ2948" s="57"/>
      <c r="AK2948" s="105"/>
      <c r="AM2948" s="6" t="e">
        <f>MATCH(D2948,'D5 - Gatekeeper - Projects'!$C$4:$C$1010,0)</f>
        <v>#N/A</v>
      </c>
      <c r="AN2948" s="6" t="b">
        <f t="shared" si="300"/>
        <v>1</v>
      </c>
      <c r="AO2948" s="6" t="str">
        <f t="shared" si="305"/>
        <v>OK</v>
      </c>
      <c r="AQ2948" s="6" t="e">
        <f>MATCH($D2948,'D4 - Provider Council Unsched'!$C$11:$C$234,0)</f>
        <v>#N/A</v>
      </c>
      <c r="AR2948" s="6" t="b">
        <f t="shared" si="302"/>
        <v>1</v>
      </c>
      <c r="AS2948" s="6" t="str">
        <f t="shared" si="306"/>
        <v>OK</v>
      </c>
      <c r="AU2948" s="202"/>
      <c r="AV2948" s="262"/>
      <c r="AW2948" s="274"/>
    </row>
    <row r="2949" spans="1:49" s="13" customFormat="1" ht="33.75" x14ac:dyDescent="0.2">
      <c r="A2949" s="14">
        <v>2925</v>
      </c>
      <c r="B2949" s="14">
        <v>400032925</v>
      </c>
      <c r="C2949" s="8" t="s">
        <v>5197</v>
      </c>
      <c r="D2949" s="4" t="str">
        <f t="shared" si="304"/>
        <v>400032925R1</v>
      </c>
      <c r="E2949" s="309" t="str">
        <f>VLOOKUP($B2949,'D7 - NDB Impacted SPRF''s'!$E$6:$O$9929,2,FALSE)</f>
        <v>Claim Search Results Detail Parity Phase 2</v>
      </c>
      <c r="F2949" s="8" t="s">
        <v>2114</v>
      </c>
      <c r="G2949" s="8" t="s">
        <v>4758</v>
      </c>
      <c r="H2949" s="8" t="s">
        <v>2870</v>
      </c>
      <c r="I2949" s="20"/>
      <c r="J2949" s="8"/>
      <c r="K2949" s="182"/>
      <c r="L2949" s="8" t="s">
        <v>4156</v>
      </c>
      <c r="M2949" s="8" t="s">
        <v>2814</v>
      </c>
      <c r="N2949" s="38"/>
      <c r="O2949" s="8"/>
      <c r="P2949" s="4" t="str">
        <f>VLOOKUP($B2949,'D7 - NDB Impacted SPRF''s'!$E$16:$O$9929,9,FALSE)</f>
        <v>Y</v>
      </c>
      <c r="Q2949" s="4" t="str">
        <f>VLOOKUP($B2949,'D7 - NDB Impacted SPRF''s'!$E$16:$O$9929,10,FALSE)</f>
        <v>N</v>
      </c>
      <c r="R2949" s="4" t="str">
        <f>VLOOKUP($B2949,'D7 - NDB Impacted SPRF''s'!$E$16:$O$9929,11,FALSE)</f>
        <v>N</v>
      </c>
      <c r="S2949" s="8"/>
      <c r="T2949" s="310"/>
      <c r="U2949" s="310"/>
      <c r="V2949" s="4"/>
      <c r="W2949" s="4"/>
      <c r="X2949" s="4"/>
      <c r="Y2949" s="4"/>
      <c r="Z2949" s="4"/>
      <c r="AA2949" s="4"/>
      <c r="AB2949" s="380" t="str">
        <f>VLOOKUP($B2949,'D7 - NDB Impacted SPRF''s'!$E$6:$O$9929,4,FALSE)</f>
        <v>Cancelled</v>
      </c>
      <c r="AC2949" s="380" t="str">
        <f>VLOOKUP($B2949,'D7 - NDB Impacted SPRF''s'!$E$6:$O$9929,3,FALSE)</f>
        <v>UnitedHealthcare Employer &amp; Individual</v>
      </c>
      <c r="AD2949" s="380" t="str">
        <f>VLOOKUP($B2949,'D7 - NDB Impacted SPRF''s'!$E$6:$O$9929,5,FALSE)</f>
        <v>Membership Growth / Revenue Programs</v>
      </c>
      <c r="AE2949" s="380" t="str">
        <f>VLOOKUP($B2949,'D7 - NDB Impacted SPRF''s'!$E$6:$O$9929,7,FALSE)</f>
        <v>Roger Wambheim</v>
      </c>
      <c r="AF2949" s="380" t="str">
        <f>VLOOKUP($B2949,'D7 - NDB Impacted SPRF''s'!$E$6:$O$9929,6,FALSE)</f>
        <v>Cassandra Logue</v>
      </c>
      <c r="AG2949" s="282"/>
      <c r="AH2949" s="311" t="e">
        <f>INDEX('D5 - Gatekeeper - Projects'!$A$4:$AF$1010,$AM2949, 17)</f>
        <v>#N/A</v>
      </c>
      <c r="AI2949" s="8"/>
      <c r="AJ2949" s="57"/>
      <c r="AK2949" s="105"/>
      <c r="AM2949" s="6" t="e">
        <f>MATCH(D2949,'D5 - Gatekeeper - Projects'!$C$4:$C$1010,0)</f>
        <v>#N/A</v>
      </c>
      <c r="AN2949" s="6" t="b">
        <f t="shared" si="300"/>
        <v>1</v>
      </c>
      <c r="AO2949" s="6" t="str">
        <f t="shared" si="305"/>
        <v>OK</v>
      </c>
      <c r="AQ2949" s="6" t="e">
        <f>MATCH($D2949,'D4 - Provider Council Unsched'!$C$11:$C$234,0)</f>
        <v>#N/A</v>
      </c>
      <c r="AR2949" s="6" t="b">
        <f t="shared" si="302"/>
        <v>1</v>
      </c>
      <c r="AS2949" s="6" t="str">
        <f t="shared" si="306"/>
        <v>OK</v>
      </c>
      <c r="AU2949" s="202"/>
      <c r="AV2949" s="262"/>
      <c r="AW2949" s="274"/>
    </row>
    <row r="2950" spans="1:49" s="13" customFormat="1" ht="33.75" x14ac:dyDescent="0.2">
      <c r="A2950" s="14">
        <v>2926</v>
      </c>
      <c r="B2950" s="14">
        <v>400033029</v>
      </c>
      <c r="C2950" s="8" t="s">
        <v>5197</v>
      </c>
      <c r="D2950" s="4" t="str">
        <f t="shared" si="304"/>
        <v>400033029R1</v>
      </c>
      <c r="E2950" s="309" t="str">
        <f>VLOOKUP($B2950,'D7 - NDB Impacted SPRF''s'!$E$6:$O$9929,2,FALSE)</f>
        <v>PS305 Medica changes</v>
      </c>
      <c r="F2950" s="8" t="s">
        <v>2114</v>
      </c>
      <c r="G2950" s="8" t="s">
        <v>4758</v>
      </c>
      <c r="H2950" s="8" t="s">
        <v>2870</v>
      </c>
      <c r="I2950" s="20"/>
      <c r="J2950" s="8"/>
      <c r="K2950" s="182"/>
      <c r="L2950" s="8" t="s">
        <v>4156</v>
      </c>
      <c r="M2950" s="8" t="s">
        <v>2814</v>
      </c>
      <c r="N2950" s="38"/>
      <c r="O2950" s="8"/>
      <c r="P2950" s="4" t="str">
        <f>VLOOKUP($B2950,'D7 - NDB Impacted SPRF''s'!$E$16:$O$9929,9,FALSE)</f>
        <v>N</v>
      </c>
      <c r="Q2950" s="4" t="str">
        <f>VLOOKUP($B2950,'D7 - NDB Impacted SPRF''s'!$E$16:$O$9929,10,FALSE)</f>
        <v>N</v>
      </c>
      <c r="R2950" s="4" t="str">
        <f>VLOOKUP($B2950,'D7 - NDB Impacted SPRF''s'!$E$16:$O$9929,11,FALSE)</f>
        <v>N</v>
      </c>
      <c r="S2950" s="8"/>
      <c r="T2950" s="310"/>
      <c r="U2950" s="310"/>
      <c r="V2950" s="4"/>
      <c r="W2950" s="4"/>
      <c r="X2950" s="4"/>
      <c r="Y2950" s="4"/>
      <c r="Z2950" s="4"/>
      <c r="AA2950" s="4"/>
      <c r="AB2950" s="380" t="str">
        <f>VLOOKUP($B2950,'D7 - NDB Impacted SPRF''s'!$E$6:$O$9929,4,FALSE)</f>
        <v>Cancelled</v>
      </c>
      <c r="AC2950" s="380" t="str">
        <f>VLOOKUP($B2950,'D7 - NDB Impacted SPRF''s'!$E$6:$O$9929,3,FALSE)</f>
        <v>UnitedHealthcare Employer &amp; Individual</v>
      </c>
      <c r="AD2950" s="380" t="str">
        <f>VLOOKUP($B2950,'D7 - NDB Impacted SPRF''s'!$E$6:$O$9929,5,FALSE)</f>
        <v>HCA - Medica Operational Support</v>
      </c>
      <c r="AE2950" s="380" t="str">
        <f>VLOOKUP($B2950,'D7 - NDB Impacted SPRF''s'!$E$6:$O$9929,7,FALSE)</f>
        <v>Joanne Houck</v>
      </c>
      <c r="AF2950" s="380" t="str">
        <f>VLOOKUP($B2950,'D7 - NDB Impacted SPRF''s'!$E$6:$O$9929,6,FALSE)</f>
        <v>LISA DAVIDSON</v>
      </c>
      <c r="AG2950" s="282"/>
      <c r="AH2950" s="311" t="e">
        <f>INDEX('D5 - Gatekeeper - Projects'!$A$4:$AF$1010,$AM2950, 17)</f>
        <v>#N/A</v>
      </c>
      <c r="AI2950" s="8"/>
      <c r="AJ2950" s="57"/>
      <c r="AK2950" s="105"/>
      <c r="AM2950" s="6" t="e">
        <f>MATCH(D2950,'D5 - Gatekeeper - Projects'!$C$4:$C$1010,0)</f>
        <v>#N/A</v>
      </c>
      <c r="AN2950" s="6" t="b">
        <f t="shared" si="300"/>
        <v>1</v>
      </c>
      <c r="AO2950" s="6" t="str">
        <f t="shared" si="305"/>
        <v>OK</v>
      </c>
      <c r="AQ2950" s="6" t="e">
        <f>MATCH($D2950,'D4 - Provider Council Unsched'!$C$11:$C$234,0)</f>
        <v>#N/A</v>
      </c>
      <c r="AR2950" s="6" t="b">
        <f t="shared" si="302"/>
        <v>1</v>
      </c>
      <c r="AS2950" s="6" t="str">
        <f t="shared" si="306"/>
        <v>OK</v>
      </c>
      <c r="AU2950" s="202"/>
      <c r="AV2950" s="262"/>
      <c r="AW2950" s="274"/>
    </row>
    <row r="2951" spans="1:49" s="13" customFormat="1" ht="33.75" x14ac:dyDescent="0.2">
      <c r="A2951" s="14">
        <v>2927</v>
      </c>
      <c r="B2951" s="14">
        <v>400033052</v>
      </c>
      <c r="C2951" s="8" t="s">
        <v>5197</v>
      </c>
      <c r="D2951" s="4" t="str">
        <f t="shared" si="304"/>
        <v>400033052R1</v>
      </c>
      <c r="E2951" s="309" t="str">
        <f>VLOOKUP($B2951,'D7 - NDB Impacted SPRF''s'!$E$6:$O$9929,2,FALSE)</f>
        <v>UHC Core For Western PA</v>
      </c>
      <c r="F2951" s="8" t="s">
        <v>2114</v>
      </c>
      <c r="G2951" s="8" t="s">
        <v>4758</v>
      </c>
      <c r="H2951" s="8" t="s">
        <v>2870</v>
      </c>
      <c r="I2951" s="20"/>
      <c r="J2951" s="8"/>
      <c r="K2951" s="182"/>
      <c r="L2951" s="8" t="s">
        <v>4156</v>
      </c>
      <c r="M2951" s="8" t="s">
        <v>2814</v>
      </c>
      <c r="N2951" s="38"/>
      <c r="O2951" s="8"/>
      <c r="P2951" s="4" t="str">
        <f>VLOOKUP($B2951,'D7 - NDB Impacted SPRF''s'!$E$16:$O$9929,9,FALSE)</f>
        <v>Y</v>
      </c>
      <c r="Q2951" s="4" t="str">
        <f>VLOOKUP($B2951,'D7 - NDB Impacted SPRF''s'!$E$16:$O$9929,10,FALSE)</f>
        <v>N</v>
      </c>
      <c r="R2951" s="4" t="str">
        <f>VLOOKUP($B2951,'D7 - NDB Impacted SPRF''s'!$E$16:$O$9929,11,FALSE)</f>
        <v>Y</v>
      </c>
      <c r="S2951" s="8"/>
      <c r="T2951" s="310"/>
      <c r="U2951" s="310"/>
      <c r="V2951" s="4"/>
      <c r="W2951" s="4"/>
      <c r="X2951" s="4"/>
      <c r="Y2951" s="4"/>
      <c r="Z2951" s="4"/>
      <c r="AA2951" s="4"/>
      <c r="AB2951" s="380" t="str">
        <f>VLOOKUP($B2951,'D7 - NDB Impacted SPRF''s'!$E$6:$O$9929,4,FALSE)</f>
        <v>Cancelled</v>
      </c>
      <c r="AC2951" s="380" t="str">
        <f>VLOOKUP($B2951,'D7 - NDB Impacted SPRF''s'!$E$6:$O$9929,3,FALSE)</f>
        <v>UnitedHealthcare Employer &amp; Individual</v>
      </c>
      <c r="AD2951" s="380" t="str">
        <f>VLOOKUP($B2951,'D7 - NDB Impacted SPRF''s'!$E$6:$O$9929,5,FALSE)</f>
        <v>Membership Growth / Revenue Programs</v>
      </c>
      <c r="AE2951" s="380" t="str">
        <f>VLOOKUP($B2951,'D7 - NDB Impacted SPRF''s'!$E$6:$O$9929,7,FALSE)</f>
        <v>Desmond Hussey</v>
      </c>
      <c r="AF2951" s="380" t="str">
        <f>VLOOKUP($B2951,'D7 - NDB Impacted SPRF''s'!$E$6:$O$9929,6,FALSE)</f>
        <v>COBB DOROTHY</v>
      </c>
      <c r="AG2951" s="282"/>
      <c r="AH2951" s="311" t="e">
        <f>INDEX('D5 - Gatekeeper - Projects'!$A$4:$AF$1010,$AM2951, 17)</f>
        <v>#N/A</v>
      </c>
      <c r="AI2951" s="8"/>
      <c r="AJ2951" s="57"/>
      <c r="AK2951" s="105"/>
      <c r="AM2951" s="6" t="e">
        <f>MATCH(D2951,'D5 - Gatekeeper - Projects'!$C$4:$C$1010,0)</f>
        <v>#N/A</v>
      </c>
      <c r="AN2951" s="6" t="b">
        <f t="shared" si="300"/>
        <v>1</v>
      </c>
      <c r="AO2951" s="6" t="str">
        <f t="shared" si="305"/>
        <v>OK</v>
      </c>
      <c r="AQ2951" s="6" t="e">
        <f>MATCH($D2951,'D4 - Provider Council Unsched'!$C$11:$C$234,0)</f>
        <v>#N/A</v>
      </c>
      <c r="AR2951" s="6" t="b">
        <f t="shared" si="302"/>
        <v>1</v>
      </c>
      <c r="AS2951" s="6" t="str">
        <f t="shared" si="306"/>
        <v>OK</v>
      </c>
      <c r="AU2951" s="202"/>
      <c r="AV2951" s="262"/>
      <c r="AW2951" s="274"/>
    </row>
    <row r="2952" spans="1:49" s="13" customFormat="1" ht="45" x14ac:dyDescent="0.2">
      <c r="A2952" s="14">
        <v>2928</v>
      </c>
      <c r="B2952" s="8">
        <v>400033158</v>
      </c>
      <c r="C2952" s="8" t="s">
        <v>1447</v>
      </c>
      <c r="D2952" s="4" t="str">
        <f t="shared" si="304"/>
        <v>400033158A</v>
      </c>
      <c r="E2952" s="309" t="str">
        <f>VLOOKUP($B2952,'D7 - NDB Impacted SPRF''s'!$E$6:$O$9929,2,FALSE)</f>
        <v xml:space="preserve">IDT MT Replacement Implement P4 </v>
      </c>
      <c r="F2952" s="8"/>
      <c r="G2952" s="8" t="s">
        <v>4758</v>
      </c>
      <c r="H2952" s="8" t="s">
        <v>2870</v>
      </c>
      <c r="I2952" s="20"/>
      <c r="J2952" s="8"/>
      <c r="K2952" s="182"/>
      <c r="L2952" s="8" t="s">
        <v>4156</v>
      </c>
      <c r="M2952" s="8" t="s">
        <v>2814</v>
      </c>
      <c r="N2952" s="38" t="s">
        <v>5270</v>
      </c>
      <c r="O2952" s="8"/>
      <c r="P2952" s="4" t="str">
        <f>VLOOKUP($B2952,'D7 - NDB Impacted SPRF''s'!$E$16:$O$9929,9,FALSE)</f>
        <v>Y</v>
      </c>
      <c r="Q2952" s="4" t="str">
        <f>VLOOKUP($B2952,'D7 - NDB Impacted SPRF''s'!$E$16:$O$9929,10,FALSE)</f>
        <v>N</v>
      </c>
      <c r="R2952" s="4" t="str">
        <f>VLOOKUP($B2952,'D7 - NDB Impacted SPRF''s'!$E$16:$O$9929,11,FALSE)</f>
        <v>N</v>
      </c>
      <c r="S2952" s="8"/>
      <c r="T2952" s="310"/>
      <c r="U2952" s="310"/>
      <c r="V2952" s="4"/>
      <c r="W2952" s="4"/>
      <c r="X2952" s="4"/>
      <c r="Y2952" s="4"/>
      <c r="Z2952" s="4"/>
      <c r="AA2952" s="4"/>
      <c r="AB2952" s="380" t="str">
        <f>VLOOKUP($B2952,'D7 - NDB Impacted SPRF''s'!$E$6:$O$9929,4,FALSE)</f>
        <v>Scheduled</v>
      </c>
      <c r="AC2952" s="380" t="str">
        <f>VLOOKUP($B2952,'D7 - NDB Impacted SPRF''s'!$E$6:$O$9929,3,FALSE)</f>
        <v>UHG IT - Enterprise Technology Services</v>
      </c>
      <c r="AD2952" s="380" t="str">
        <f>VLOOKUP($B2952,'D7 - NDB Impacted SPRF''s'!$E$6:$O$9929,5,FALSE)</f>
        <v>SB Design Pattern/Middle Tier Replacement</v>
      </c>
      <c r="AE2952" s="380" t="str">
        <f>VLOOKUP($B2952,'D7 - NDB Impacted SPRF''s'!$E$6:$O$9929,7,FALSE)</f>
        <v>Milla Hautman</v>
      </c>
      <c r="AF2952" s="380" t="str">
        <f>VLOOKUP($B2952,'D7 - NDB Impacted SPRF''s'!$E$6:$O$9929,6,FALSE)</f>
        <v>COLLEEN MEAGHER</v>
      </c>
      <c r="AG2952" s="282"/>
      <c r="AH2952" s="311" t="e">
        <f>INDEX('D5 - Gatekeeper - Projects'!$A$4:$AF$1010,$AM2952, 17)</f>
        <v>#N/A</v>
      </c>
      <c r="AI2952" s="8"/>
      <c r="AJ2952" s="57"/>
      <c r="AK2952" s="105"/>
      <c r="AM2952" s="6" t="e">
        <f>MATCH(D2952,'D5 - Gatekeeper - Projects'!$C$4:$C$1010,0)</f>
        <v>#N/A</v>
      </c>
      <c r="AN2952" s="6" t="b">
        <f t="shared" si="300"/>
        <v>1</v>
      </c>
      <c r="AO2952" s="6" t="str">
        <f t="shared" si="305"/>
        <v>OK</v>
      </c>
      <c r="AQ2952" s="6" t="e">
        <f>MATCH($D2952,'D4 - Provider Council Unsched'!$C$11:$C$234,0)</f>
        <v>#N/A</v>
      </c>
      <c r="AR2952" s="6" t="b">
        <f t="shared" si="302"/>
        <v>1</v>
      </c>
      <c r="AS2952" s="6" t="str">
        <f t="shared" si="306"/>
        <v>OK</v>
      </c>
      <c r="AU2952" s="202"/>
      <c r="AV2952" s="262"/>
      <c r="AW2952" s="274"/>
    </row>
    <row r="2953" spans="1:49" s="13" customFormat="1" ht="33.75" x14ac:dyDescent="0.2">
      <c r="A2953" s="14">
        <v>2929</v>
      </c>
      <c r="B2953" s="14">
        <v>400033277</v>
      </c>
      <c r="C2953" s="8" t="s">
        <v>5197</v>
      </c>
      <c r="D2953" s="4" t="str">
        <f t="shared" si="304"/>
        <v>400033277R1</v>
      </c>
      <c r="E2953" s="309" t="str">
        <f>VLOOKUP($B2953,'D7 - NDB Impacted SPRF''s'!$E$6:$O$9929,2,FALSE)</f>
        <v>Common Intake / Coverage Review Release 3</v>
      </c>
      <c r="F2953" s="8" t="s">
        <v>2114</v>
      </c>
      <c r="G2953" s="8" t="s">
        <v>4758</v>
      </c>
      <c r="H2953" s="8" t="s">
        <v>2870</v>
      </c>
      <c r="I2953" s="20"/>
      <c r="J2953" s="8"/>
      <c r="K2953" s="182"/>
      <c r="L2953" s="8" t="s">
        <v>4156</v>
      </c>
      <c r="M2953" s="8" t="s">
        <v>2814</v>
      </c>
      <c r="N2953" s="38"/>
      <c r="O2953" s="8"/>
      <c r="P2953" s="4" t="str">
        <f>VLOOKUP($B2953,'D7 - NDB Impacted SPRF''s'!$E$16:$O$9929,9,FALSE)</f>
        <v>Y</v>
      </c>
      <c r="Q2953" s="4" t="str">
        <f>VLOOKUP($B2953,'D7 - NDB Impacted SPRF''s'!$E$16:$O$9929,10,FALSE)</f>
        <v>N</v>
      </c>
      <c r="R2953" s="4" t="str">
        <f>VLOOKUP($B2953,'D7 - NDB Impacted SPRF''s'!$E$16:$O$9929,11,FALSE)</f>
        <v>N</v>
      </c>
      <c r="S2953" s="8"/>
      <c r="T2953" s="310"/>
      <c r="U2953" s="310"/>
      <c r="V2953" s="4"/>
      <c r="W2953" s="4"/>
      <c r="X2953" s="4"/>
      <c r="Y2953" s="4"/>
      <c r="Z2953" s="4"/>
      <c r="AA2953" s="4"/>
      <c r="AB2953" s="380" t="str">
        <f>VLOOKUP($B2953,'D7 - NDB Impacted SPRF''s'!$E$6:$O$9929,4,FALSE)</f>
        <v>Cancelled</v>
      </c>
      <c r="AC2953" s="380" t="str">
        <f>VLOOKUP($B2953,'D7 - NDB Impacted SPRF''s'!$E$6:$O$9929,3,FALSE)</f>
        <v>UnitedHealthcare Medicare &amp; Retirement</v>
      </c>
      <c r="AD2953" s="380" t="str">
        <f>VLOOKUP($B2953,'D7 - NDB Impacted SPRF''s'!$E$6:$O$9929,5,FALSE)</f>
        <v>Enterprise Clinical</v>
      </c>
      <c r="AE2953" s="380" t="str">
        <f>VLOOKUP($B2953,'D7 - NDB Impacted SPRF''s'!$E$6:$O$9929,7,FALSE)</f>
        <v>Ellen Koch</v>
      </c>
      <c r="AF2953" s="380" t="str">
        <f>VLOOKUP($B2953,'D7 - NDB Impacted SPRF''s'!$E$6:$O$9929,6,FALSE)</f>
        <v>DEREK HAAG</v>
      </c>
      <c r="AG2953" s="282"/>
      <c r="AH2953" s="311" t="e">
        <f>INDEX('D5 - Gatekeeper - Projects'!$A$4:$AF$1010,$AM2953, 17)</f>
        <v>#N/A</v>
      </c>
      <c r="AI2953" s="8"/>
      <c r="AJ2953" s="57"/>
      <c r="AK2953" s="105"/>
      <c r="AM2953" s="6" t="e">
        <f>MATCH(D2953,'D5 - Gatekeeper - Projects'!$C$4:$C$1010,0)</f>
        <v>#N/A</v>
      </c>
      <c r="AN2953" s="6" t="b">
        <f t="shared" si="300"/>
        <v>1</v>
      </c>
      <c r="AO2953" s="6" t="str">
        <f t="shared" si="305"/>
        <v>OK</v>
      </c>
      <c r="AQ2953" s="6" t="e">
        <f>MATCH($D2953,'D4 - Provider Council Unsched'!$C$11:$C$234,0)</f>
        <v>#N/A</v>
      </c>
      <c r="AR2953" s="6" t="b">
        <f t="shared" si="302"/>
        <v>1</v>
      </c>
      <c r="AS2953" s="6" t="str">
        <f t="shared" si="306"/>
        <v>OK</v>
      </c>
      <c r="AU2953" s="202"/>
      <c r="AV2953" s="262"/>
      <c r="AW2953" s="274"/>
    </row>
    <row r="2954" spans="1:49" s="13" customFormat="1" ht="22.5" x14ac:dyDescent="0.2">
      <c r="A2954" s="14">
        <v>2930</v>
      </c>
      <c r="B2954" s="14">
        <v>400033436</v>
      </c>
      <c r="C2954" s="8" t="s">
        <v>5197</v>
      </c>
      <c r="D2954" s="4" t="str">
        <f t="shared" si="304"/>
        <v>400033436R1</v>
      </c>
      <c r="E2954" s="309" t="str">
        <f>VLOOKUP($B2954,'D7 - NDB Impacted SPRF''s'!$E$6:$O$9929,2,FALSE)</f>
        <v>OHBS-MN AUC EDI  04-42980-000</v>
      </c>
      <c r="F2954" s="8" t="s">
        <v>2114</v>
      </c>
      <c r="G2954" s="8" t="s">
        <v>4758</v>
      </c>
      <c r="H2954" s="8" t="s">
        <v>2870</v>
      </c>
      <c r="I2954" s="20"/>
      <c r="J2954" s="8"/>
      <c r="K2954" s="182"/>
      <c r="L2954" s="8" t="s">
        <v>4156</v>
      </c>
      <c r="M2954" s="8" t="s">
        <v>2814</v>
      </c>
      <c r="N2954" s="38"/>
      <c r="O2954" s="8"/>
      <c r="P2954" s="4" t="str">
        <f>VLOOKUP($B2954,'D7 - NDB Impacted SPRF''s'!$E$16:$O$9929,9,FALSE)</f>
        <v>Y</v>
      </c>
      <c r="Q2954" s="4" t="str">
        <f>VLOOKUP($B2954,'D7 - NDB Impacted SPRF''s'!$E$16:$O$9929,10,FALSE)</f>
        <v>N</v>
      </c>
      <c r="R2954" s="4" t="str">
        <f>VLOOKUP($B2954,'D7 - NDB Impacted SPRF''s'!$E$16:$O$9929,11,FALSE)</f>
        <v>N</v>
      </c>
      <c r="S2954" s="8"/>
      <c r="T2954" s="310"/>
      <c r="U2954" s="310"/>
      <c r="V2954" s="4"/>
      <c r="W2954" s="4"/>
      <c r="X2954" s="4"/>
      <c r="Y2954" s="4"/>
      <c r="Z2954" s="4"/>
      <c r="AA2954" s="4"/>
      <c r="AB2954" s="380" t="str">
        <f>VLOOKUP($B2954,'D7 - NDB Impacted SPRF''s'!$E$6:$O$9929,4,FALSE)</f>
        <v>Cancelled</v>
      </c>
      <c r="AC2954" s="380" t="str">
        <f>VLOOKUP($B2954,'D7 - NDB Impacted SPRF''s'!$E$6:$O$9929,3,FALSE)</f>
        <v>OptumHealth</v>
      </c>
      <c r="AD2954" s="380" t="str">
        <f>VLOOKUP($B2954,'D7 - NDB Impacted SPRF''s'!$E$6:$O$9929,5,FALSE)</f>
        <v>Behavioral Solutions</v>
      </c>
      <c r="AE2954" s="380" t="str">
        <f>VLOOKUP($B2954,'D7 - NDB Impacted SPRF''s'!$E$6:$O$9929,7,FALSE)</f>
        <v>Lloyd Dyer</v>
      </c>
      <c r="AF2954" s="380" t="str">
        <f>VLOOKUP($B2954,'D7 - NDB Impacted SPRF''s'!$E$6:$O$9929,6,FALSE)</f>
        <v>AMY East-Glenn</v>
      </c>
      <c r="AG2954" s="282"/>
      <c r="AH2954" s="311" t="e">
        <f>INDEX('D5 - Gatekeeper - Projects'!$A$4:$AF$1010,$AM2954, 17)</f>
        <v>#N/A</v>
      </c>
      <c r="AI2954" s="8"/>
      <c r="AJ2954" s="57"/>
      <c r="AK2954" s="105"/>
      <c r="AM2954" s="6" t="e">
        <f>MATCH(D2954,'D5 - Gatekeeper - Projects'!$C$4:$C$1010,0)</f>
        <v>#N/A</v>
      </c>
      <c r="AN2954" s="6" t="b">
        <f t="shared" ref="AN2954:AN2956" si="307">ISERROR(AM2954)</f>
        <v>1</v>
      </c>
      <c r="AO2954" s="6" t="str">
        <f t="shared" si="305"/>
        <v>OK</v>
      </c>
      <c r="AQ2954" s="6" t="e">
        <f>MATCH($D2954,'D4 - Provider Council Unsched'!$C$11:$C$234,0)</f>
        <v>#N/A</v>
      </c>
      <c r="AR2954" s="6" t="b">
        <f t="shared" ref="AR2954:AR2956" si="308">ISERROR(AQ2954)</f>
        <v>1</v>
      </c>
      <c r="AS2954" s="6" t="str">
        <f t="shared" si="306"/>
        <v>OK</v>
      </c>
      <c r="AU2954" s="202"/>
      <c r="AV2954" s="262"/>
      <c r="AW2954" s="274"/>
    </row>
    <row r="2955" spans="1:49" s="13" customFormat="1" ht="33.75" x14ac:dyDescent="0.2">
      <c r="A2955" s="14">
        <v>2931</v>
      </c>
      <c r="B2955" s="14">
        <v>400033446</v>
      </c>
      <c r="C2955" s="8" t="s">
        <v>5197</v>
      </c>
      <c r="D2955" s="4" t="str">
        <f t="shared" si="304"/>
        <v>400033446R1</v>
      </c>
      <c r="E2955" s="309" t="str">
        <f>VLOOKUP($B2955,'D7 - NDB Impacted SPRF''s'!$E$6:$O$9929,2,FALSE)</f>
        <v xml:space="preserve">TRICARE Program:  Access to Data (A2D) </v>
      </c>
      <c r="F2955" s="8" t="s">
        <v>3715</v>
      </c>
      <c r="G2955" s="8" t="s">
        <v>4758</v>
      </c>
      <c r="H2955" s="8" t="s">
        <v>2870</v>
      </c>
      <c r="I2955" s="20"/>
      <c r="J2955" s="8"/>
      <c r="K2955" s="182"/>
      <c r="L2955" s="8" t="s">
        <v>4156</v>
      </c>
      <c r="M2955" s="8" t="s">
        <v>2814</v>
      </c>
      <c r="N2955" s="38" t="s">
        <v>663</v>
      </c>
      <c r="O2955" s="8"/>
      <c r="P2955" s="4" t="str">
        <f>VLOOKUP($B2955,'D7 - NDB Impacted SPRF''s'!$E$16:$O$9929,9,FALSE)</f>
        <v>N</v>
      </c>
      <c r="Q2955" s="4" t="str">
        <f>VLOOKUP($B2955,'D7 - NDB Impacted SPRF''s'!$E$16:$O$9929,10,FALSE)</f>
        <v>N</v>
      </c>
      <c r="R2955" s="4" t="str">
        <f>VLOOKUP($B2955,'D7 - NDB Impacted SPRF''s'!$E$16:$O$9929,11,FALSE)</f>
        <v>N</v>
      </c>
      <c r="S2955" s="8"/>
      <c r="T2955" s="310"/>
      <c r="U2955" s="310"/>
      <c r="V2955" s="4"/>
      <c r="W2955" s="4"/>
      <c r="X2955" s="4"/>
      <c r="Y2955" s="4"/>
      <c r="Z2955" s="4"/>
      <c r="AA2955" s="4"/>
      <c r="AB2955" s="380" t="str">
        <f>VLOOKUP($B2955,'D7 - NDB Impacted SPRF''s'!$E$6:$O$9929,4,FALSE)</f>
        <v>Cancelled</v>
      </c>
      <c r="AC2955" s="380" t="str">
        <f>VLOOKUP($B2955,'D7 - NDB Impacted SPRF''s'!$E$6:$O$9929,3,FALSE)</f>
        <v>UnitedHealthcare Military &amp; Veterans</v>
      </c>
      <c r="AD2955" s="380" t="str">
        <f>VLOOKUP($B2955,'D7 - NDB Impacted SPRF''s'!$E$6:$O$9929,5,FALSE)</f>
        <v>TRICARE</v>
      </c>
      <c r="AE2955" s="380" t="str">
        <f>VLOOKUP($B2955,'D7 - NDB Impacted SPRF''s'!$E$6:$O$9929,7,FALSE)</f>
        <v>Chuck Officer</v>
      </c>
      <c r="AF2955" s="380" t="str">
        <f>VLOOKUP($B2955,'D7 - NDB Impacted SPRF''s'!$E$6:$O$9929,6,FALSE)</f>
        <v>Brian Lindell</v>
      </c>
      <c r="AG2955" s="282"/>
      <c r="AH2955" s="311" t="e">
        <f>INDEX('D5 - Gatekeeper - Projects'!$A$4:$AF$1010,$AM2955, 17)</f>
        <v>#N/A</v>
      </c>
      <c r="AI2955" s="8"/>
      <c r="AJ2955" s="57"/>
      <c r="AK2955" s="105"/>
      <c r="AM2955" s="6" t="e">
        <f>MATCH(D2955,'D5 - Gatekeeper - Projects'!$C$4:$C$1010,0)</f>
        <v>#N/A</v>
      </c>
      <c r="AN2955" s="6" t="b">
        <f t="shared" si="307"/>
        <v>1</v>
      </c>
      <c r="AO2955" s="6" t="str">
        <f t="shared" si="305"/>
        <v>OK</v>
      </c>
      <c r="AQ2955" s="6" t="e">
        <f>MATCH($D2955,'D4 - Provider Council Unsched'!$C$11:$C$234,0)</f>
        <v>#N/A</v>
      </c>
      <c r="AR2955" s="6" t="b">
        <f t="shared" si="308"/>
        <v>1</v>
      </c>
      <c r="AS2955" s="6" t="str">
        <f t="shared" si="306"/>
        <v>OK</v>
      </c>
      <c r="AU2955" s="202"/>
      <c r="AV2955" s="262"/>
      <c r="AW2955" s="274"/>
    </row>
    <row r="2956" spans="1:49" s="13" customFormat="1" ht="33.75" x14ac:dyDescent="0.2">
      <c r="A2956" s="14">
        <v>2932</v>
      </c>
      <c r="B2956" s="14">
        <v>400033456</v>
      </c>
      <c r="C2956" s="8" t="s">
        <v>5197</v>
      </c>
      <c r="D2956" s="4" t="str">
        <f t="shared" si="304"/>
        <v>400033456R1</v>
      </c>
      <c r="E2956" s="309" t="str">
        <f>VLOOKUP($B2956,'D7 - NDB Impacted SPRF''s'!$E$6:$O$9929,2,FALSE)</f>
        <v>TRICARE Program:  B2B / Provider Search</v>
      </c>
      <c r="F2956" s="8" t="s">
        <v>5523</v>
      </c>
      <c r="G2956" s="8" t="s">
        <v>4758</v>
      </c>
      <c r="H2956" s="8" t="s">
        <v>2870</v>
      </c>
      <c r="I2956" s="20"/>
      <c r="J2956" s="8"/>
      <c r="K2956" s="182"/>
      <c r="L2956" s="8" t="s">
        <v>4156</v>
      </c>
      <c r="M2956" s="8" t="s">
        <v>2814</v>
      </c>
      <c r="N2956" s="38" t="s">
        <v>663</v>
      </c>
      <c r="O2956" s="8"/>
      <c r="P2956" s="4" t="str">
        <f>VLOOKUP($B2956,'D7 - NDB Impacted SPRF''s'!$E$16:$O$9929,9,FALSE)</f>
        <v>N</v>
      </c>
      <c r="Q2956" s="4" t="str">
        <f>VLOOKUP($B2956,'D7 - NDB Impacted SPRF''s'!$E$16:$O$9929,10,FALSE)</f>
        <v>N</v>
      </c>
      <c r="R2956" s="4" t="str">
        <f>VLOOKUP($B2956,'D7 - NDB Impacted SPRF''s'!$E$16:$O$9929,11,FALSE)</f>
        <v>N</v>
      </c>
      <c r="S2956" s="8"/>
      <c r="T2956" s="310"/>
      <c r="U2956" s="310"/>
      <c r="V2956" s="4"/>
      <c r="W2956" s="4"/>
      <c r="X2956" s="4"/>
      <c r="Y2956" s="4"/>
      <c r="Z2956" s="4"/>
      <c r="AA2956" s="4"/>
      <c r="AB2956" s="380" t="str">
        <f>VLOOKUP($B2956,'D7 - NDB Impacted SPRF''s'!$E$6:$O$9929,4,FALSE)</f>
        <v>Cancelled</v>
      </c>
      <c r="AC2956" s="380" t="str">
        <f>VLOOKUP($B2956,'D7 - NDB Impacted SPRF''s'!$E$6:$O$9929,3,FALSE)</f>
        <v>UnitedHealthcare Military &amp; Veterans</v>
      </c>
      <c r="AD2956" s="380" t="str">
        <f>VLOOKUP($B2956,'D7 - NDB Impacted SPRF''s'!$E$6:$O$9929,5,FALSE)</f>
        <v>TRICARE</v>
      </c>
      <c r="AE2956" s="380" t="str">
        <f>VLOOKUP($B2956,'D7 - NDB Impacted SPRF''s'!$E$6:$O$9929,7,FALSE)</f>
        <v>Randall Smith</v>
      </c>
      <c r="AF2956" s="380" t="str">
        <f>VLOOKUP($B2956,'D7 - NDB Impacted SPRF''s'!$E$6:$O$9929,6,FALSE)</f>
        <v>Brian Lindell</v>
      </c>
      <c r="AG2956" s="282"/>
      <c r="AH2956" s="311" t="e">
        <f>INDEX('D5 - Gatekeeper - Projects'!$A$4:$AF$1010,$AM2956, 17)</f>
        <v>#N/A</v>
      </c>
      <c r="AI2956" s="8"/>
      <c r="AJ2956" s="57"/>
      <c r="AK2956" s="105"/>
      <c r="AM2956" s="6" t="e">
        <f>MATCH(D2956,'D5 - Gatekeeper - Projects'!$C$4:$C$1010,0)</f>
        <v>#N/A</v>
      </c>
      <c r="AN2956" s="6" t="b">
        <f t="shared" si="307"/>
        <v>1</v>
      </c>
      <c r="AO2956" s="6" t="str">
        <f t="shared" si="305"/>
        <v>OK</v>
      </c>
      <c r="AQ2956" s="6" t="e">
        <f>MATCH($D2956,'D4 - Provider Council Unsched'!$C$11:$C$234,0)</f>
        <v>#N/A</v>
      </c>
      <c r="AR2956" s="6" t="b">
        <f t="shared" si="308"/>
        <v>1</v>
      </c>
      <c r="AS2956" s="6" t="str">
        <f t="shared" si="306"/>
        <v>OK</v>
      </c>
      <c r="AU2956" s="202"/>
      <c r="AV2956" s="262"/>
      <c r="AW2956" s="274"/>
    </row>
    <row r="2957" spans="1:49" s="13" customFormat="1" ht="33.75" x14ac:dyDescent="0.2">
      <c r="A2957" s="14">
        <v>2933</v>
      </c>
      <c r="B2957" s="14">
        <v>400033715</v>
      </c>
      <c r="C2957" s="8" t="s">
        <v>5197</v>
      </c>
      <c r="D2957" s="4" t="str">
        <f t="shared" si="304"/>
        <v>400033715R1</v>
      </c>
      <c r="E2957" s="309" t="str">
        <f>VLOOKUP($B2957,'D7 - NDB Impacted SPRF''s'!$E$6:$O$9929,2,FALSE)</f>
        <v>NDC Pricing - Remark Codes</v>
      </c>
      <c r="F2957" s="8" t="s">
        <v>7651</v>
      </c>
      <c r="G2957" s="8" t="s">
        <v>4758</v>
      </c>
      <c r="H2957" s="8" t="s">
        <v>2870</v>
      </c>
      <c r="I2957" s="20"/>
      <c r="J2957" s="8"/>
      <c r="K2957" s="182"/>
      <c r="L2957" s="8" t="s">
        <v>4156</v>
      </c>
      <c r="M2957" s="8" t="s">
        <v>2814</v>
      </c>
      <c r="N2957" s="38"/>
      <c r="O2957" s="8"/>
      <c r="P2957" s="4" t="str">
        <f>VLOOKUP($B2957,'D7 - NDB Impacted SPRF''s'!$E$16:$O$9929,9,FALSE)</f>
        <v>Y</v>
      </c>
      <c r="Q2957" s="4" t="str">
        <f>VLOOKUP($B2957,'D7 - NDB Impacted SPRF''s'!$E$16:$O$9929,10,FALSE)</f>
        <v>N</v>
      </c>
      <c r="R2957" s="4" t="str">
        <f>VLOOKUP($B2957,'D7 - NDB Impacted SPRF''s'!$E$16:$O$9929,11,FALSE)</f>
        <v>Y</v>
      </c>
      <c r="S2957" s="8"/>
      <c r="T2957" s="310"/>
      <c r="U2957" s="310"/>
      <c r="V2957" s="4"/>
      <c r="W2957" s="4"/>
      <c r="X2957" s="4"/>
      <c r="Y2957" s="4"/>
      <c r="Z2957" s="4"/>
      <c r="AA2957" s="4"/>
      <c r="AB2957" s="380" t="str">
        <f>VLOOKUP($B2957,'D7 - NDB Impacted SPRF''s'!$E$6:$O$9929,4,FALSE)</f>
        <v>Cancelled</v>
      </c>
      <c r="AC2957" s="380" t="str">
        <f>VLOOKUP($B2957,'D7 - NDB Impacted SPRF''s'!$E$6:$O$9929,3,FALSE)</f>
        <v>UnitedHealthcare Employer &amp; Individual</v>
      </c>
      <c r="AD2957" s="380" t="str">
        <f>VLOOKUP($B2957,'D7 - NDB Impacted SPRF''s'!$E$6:$O$9929,5,FALSE)</f>
        <v>Medical Cost Savings Programs</v>
      </c>
      <c r="AE2957" s="380" t="str">
        <f>VLOOKUP($B2957,'D7 - NDB Impacted SPRF''s'!$E$6:$O$9929,7,FALSE)</f>
        <v>Randy Falkenrath</v>
      </c>
      <c r="AF2957" s="380" t="str">
        <f>VLOOKUP($B2957,'D7 - NDB Impacted SPRF''s'!$E$6:$O$9929,6,FALSE)</f>
        <v>Bonnie Theis</v>
      </c>
      <c r="AG2957" s="282"/>
      <c r="AH2957" s="311" t="e">
        <f>INDEX('D5 - Gatekeeper - Projects'!$A$4:$AF$1010,$AM2957, 17)</f>
        <v>#VALUE!</v>
      </c>
      <c r="AI2957" s="8"/>
      <c r="AJ2957" s="57"/>
      <c r="AK2957" s="105"/>
      <c r="AL2957" s="49"/>
      <c r="AM2957" s="47"/>
      <c r="AN2957" s="47"/>
      <c r="AO2957" s="47"/>
      <c r="AP2957" s="49"/>
      <c r="AQ2957" s="47"/>
      <c r="AR2957" s="47"/>
      <c r="AS2957" s="47"/>
      <c r="AU2957" s="202"/>
      <c r="AV2957" s="262"/>
      <c r="AW2957" s="274"/>
    </row>
    <row r="2958" spans="1:49" s="13" customFormat="1" ht="33.75" x14ac:dyDescent="0.2">
      <c r="A2958" s="14">
        <v>2934</v>
      </c>
      <c r="B2958" s="14">
        <v>400033725</v>
      </c>
      <c r="C2958" s="8" t="s">
        <v>5197</v>
      </c>
      <c r="D2958" s="4" t="str">
        <f t="shared" si="304"/>
        <v>400033725R1</v>
      </c>
      <c r="E2958" s="309" t="str">
        <f>VLOOKUP($B2958,'D7 - NDB Impacted SPRF''s'!$E$6:$O$9929,2,FALSE)</f>
        <v>CSS-B2C 2010C Release - CSS Funding</v>
      </c>
      <c r="F2958" s="8" t="s">
        <v>6401</v>
      </c>
      <c r="G2958" s="8" t="s">
        <v>4758</v>
      </c>
      <c r="H2958" s="8" t="s">
        <v>2870</v>
      </c>
      <c r="I2958" s="20"/>
      <c r="J2958" s="8"/>
      <c r="K2958" s="182"/>
      <c r="L2958" s="8" t="s">
        <v>4156</v>
      </c>
      <c r="M2958" s="8" t="s">
        <v>2814</v>
      </c>
      <c r="N2958" s="38"/>
      <c r="O2958" s="8"/>
      <c r="P2958" s="4" t="str">
        <f>VLOOKUP($B2958,'D7 - NDB Impacted SPRF''s'!$E$16:$O$9929,9,FALSE)</f>
        <v>Y</v>
      </c>
      <c r="Q2958" s="4" t="str">
        <f>VLOOKUP($B2958,'D7 - NDB Impacted SPRF''s'!$E$16:$O$9929,10,FALSE)</f>
        <v>N</v>
      </c>
      <c r="R2958" s="4" t="str">
        <f>VLOOKUP($B2958,'D7 - NDB Impacted SPRF''s'!$E$16:$O$9929,11,FALSE)</f>
        <v>N</v>
      </c>
      <c r="S2958" s="8"/>
      <c r="T2958" s="310"/>
      <c r="U2958" s="310"/>
      <c r="V2958" s="4"/>
      <c r="W2958" s="4"/>
      <c r="X2958" s="4"/>
      <c r="Y2958" s="4"/>
      <c r="Z2958" s="4"/>
      <c r="AA2958" s="4"/>
      <c r="AB2958" s="380" t="str">
        <f>VLOOKUP($B2958,'D7 - NDB Impacted SPRF''s'!$E$6:$O$9929,4,FALSE)</f>
        <v>Cancelled</v>
      </c>
      <c r="AC2958" s="380" t="str">
        <f>VLOOKUP($B2958,'D7 - NDB Impacted SPRF''s'!$E$6:$O$9929,3,FALSE)</f>
        <v>UnitedHealthcare Medicare &amp; Retirement</v>
      </c>
      <c r="AD2958" s="380" t="str">
        <f>VLOOKUP($B2958,'D7 - NDB Impacted SPRF''s'!$E$6:$O$9929,5,FALSE)</f>
        <v>Enterprise Clinical</v>
      </c>
      <c r="AE2958" s="380" t="str">
        <f>VLOOKUP($B2958,'D7 - NDB Impacted SPRF''s'!$E$6:$O$9929,7,FALSE)</f>
        <v>Cynthia Middaugh</v>
      </c>
      <c r="AF2958" s="380" t="str">
        <f>VLOOKUP($B2958,'D7 - NDB Impacted SPRF''s'!$E$6:$O$9929,6,FALSE)</f>
        <v>Mike Flynn</v>
      </c>
      <c r="AG2958" s="282"/>
      <c r="AH2958" s="311" t="e">
        <f>INDEX('D5 - Gatekeeper - Projects'!$A$4:$AF$1010,$AM2958, 17)</f>
        <v>#N/A</v>
      </c>
      <c r="AI2958" s="8"/>
      <c r="AJ2958" s="57"/>
      <c r="AK2958" s="105"/>
      <c r="AL2958" s="49"/>
      <c r="AM2958" s="6" t="e">
        <f>MATCH(D2958,'D5 - Gatekeeper - Projects'!$C$4:$C$1010,0)</f>
        <v>#N/A</v>
      </c>
      <c r="AN2958" s="6" t="b">
        <f t="shared" ref="AN2958:AN3021" si="309">ISERROR(AM2958)</f>
        <v>1</v>
      </c>
      <c r="AO2958" s="6" t="str">
        <f t="shared" ref="AO2958:AO3021" si="310">IF(AND(H2958="1 - Scheduled",AN2958=TRUE),"Add","OK")</f>
        <v>OK</v>
      </c>
      <c r="AQ2958" s="6" t="e">
        <f>MATCH($D2958,'D4 - Provider Council Unsched'!$C$11:$C$234,0)</f>
        <v>#N/A</v>
      </c>
      <c r="AR2958" s="6" t="b">
        <f t="shared" ref="AR2958:AR3021" si="311">ISERROR(AQ2958)</f>
        <v>1</v>
      </c>
      <c r="AS2958" s="6" t="str">
        <f>IF(AND(H2958="2 - Not Scheduled",AR2958=TRUE),"Add","OK")</f>
        <v>OK</v>
      </c>
      <c r="AU2958" s="202"/>
      <c r="AV2958" s="262"/>
      <c r="AW2958" s="274"/>
    </row>
    <row r="2959" spans="1:49" s="13" customFormat="1" x14ac:dyDescent="0.2">
      <c r="A2959" s="14">
        <v>2935</v>
      </c>
      <c r="B2959" s="14">
        <v>400033792</v>
      </c>
      <c r="C2959" s="8" t="s">
        <v>5197</v>
      </c>
      <c r="D2959" s="4" t="str">
        <f t="shared" si="304"/>
        <v>400033792R1</v>
      </c>
      <c r="E2959" s="309" t="str">
        <f>VLOOKUP($B2959,'D7 - NDB Impacted SPRF''s'!$E$6:$O$9929,2,FALSE)</f>
        <v>Create Empire Behavioral OHBS Network within Tops</v>
      </c>
      <c r="F2959" s="8" t="s">
        <v>2114</v>
      </c>
      <c r="G2959" s="8" t="s">
        <v>4758</v>
      </c>
      <c r="H2959" s="8" t="s">
        <v>2870</v>
      </c>
      <c r="I2959" s="20"/>
      <c r="J2959" s="8"/>
      <c r="K2959" s="182"/>
      <c r="L2959" s="8" t="s">
        <v>4156</v>
      </c>
      <c r="M2959" s="8" t="s">
        <v>2814</v>
      </c>
      <c r="N2959" s="38"/>
      <c r="O2959" s="8"/>
      <c r="P2959" s="4" t="str">
        <f>VLOOKUP($B2959,'D7 - NDB Impacted SPRF''s'!$E$16:$O$9929,9,FALSE)</f>
        <v>N</v>
      </c>
      <c r="Q2959" s="4" t="str">
        <f>VLOOKUP($B2959,'D7 - NDB Impacted SPRF''s'!$E$16:$O$9929,10,FALSE)</f>
        <v>N</v>
      </c>
      <c r="R2959" s="4" t="str">
        <f>VLOOKUP($B2959,'D7 - NDB Impacted SPRF''s'!$E$16:$O$9929,11,FALSE)</f>
        <v>N</v>
      </c>
      <c r="S2959" s="8"/>
      <c r="T2959" s="310"/>
      <c r="U2959" s="310"/>
      <c r="V2959" s="4"/>
      <c r="W2959" s="4"/>
      <c r="X2959" s="4"/>
      <c r="Y2959" s="4"/>
      <c r="Z2959" s="4"/>
      <c r="AA2959" s="4"/>
      <c r="AB2959" s="380" t="str">
        <f>VLOOKUP($B2959,'D7 - NDB Impacted SPRF''s'!$E$6:$O$9929,4,FALSE)</f>
        <v>Cancelled</v>
      </c>
      <c r="AC2959" s="380" t="str">
        <f>VLOOKUP($B2959,'D7 - NDB Impacted SPRF''s'!$E$6:$O$9929,3,FALSE)</f>
        <v>OptumHealth</v>
      </c>
      <c r="AD2959" s="380" t="str">
        <f>VLOOKUP($B2959,'D7 - NDB Impacted SPRF''s'!$E$6:$O$9929,5,FALSE)</f>
        <v>Behavioral Solutions</v>
      </c>
      <c r="AE2959" s="380" t="str">
        <f>VLOOKUP($B2959,'D7 - NDB Impacted SPRF''s'!$E$6:$O$9929,7,FALSE)</f>
        <v>Bob Preston</v>
      </c>
      <c r="AF2959" s="380" t="str">
        <f>VLOOKUP($B2959,'D7 - NDB Impacted SPRF''s'!$E$6:$O$9929,6,FALSE)</f>
        <v>Mark Leone</v>
      </c>
      <c r="AG2959" s="282"/>
      <c r="AH2959" s="311" t="e">
        <f>INDEX('D5 - Gatekeeper - Projects'!$A$4:$AF$1010,$AM2959, 17)</f>
        <v>#N/A</v>
      </c>
      <c r="AI2959" s="8"/>
      <c r="AJ2959" s="57"/>
      <c r="AK2959" s="105"/>
      <c r="AM2959" s="6" t="e">
        <f>MATCH(D2959,'D5 - Gatekeeper - Projects'!$C$4:$C$1010,0)</f>
        <v>#N/A</v>
      </c>
      <c r="AN2959" s="6" t="b">
        <f t="shared" si="309"/>
        <v>1</v>
      </c>
      <c r="AO2959" s="6" t="str">
        <f t="shared" si="310"/>
        <v>OK</v>
      </c>
      <c r="AQ2959" s="6" t="e">
        <f>MATCH($D2959,'D4 - Provider Council Unsched'!$C$11:$C$234,0)</f>
        <v>#N/A</v>
      </c>
      <c r="AR2959" s="6" t="b">
        <f t="shared" si="311"/>
        <v>1</v>
      </c>
      <c r="AS2959" s="6" t="str">
        <f>IF(AND(H2959="2 - Not Scheduled",AR2959=TRUE),"Add","OK")</f>
        <v>OK</v>
      </c>
      <c r="AU2959" s="202"/>
      <c r="AV2959" s="262"/>
      <c r="AW2959" s="274"/>
    </row>
    <row r="2960" spans="1:49" s="13" customFormat="1" ht="33.75" x14ac:dyDescent="0.2">
      <c r="A2960" s="14">
        <v>2936</v>
      </c>
      <c r="B2960" s="14">
        <v>400033840</v>
      </c>
      <c r="C2960" s="8" t="s">
        <v>5197</v>
      </c>
      <c r="D2960" s="4" t="str">
        <f t="shared" si="304"/>
        <v>400033840R1</v>
      </c>
      <c r="E2960" s="309" t="str">
        <f>VLOOKUP($B2960,'D7 - NDB Impacted SPRF''s'!$E$6:$O$9929,2,FALSE)</f>
        <v>NDB-Facets (long term solution; includes Unison)</v>
      </c>
      <c r="F2960" s="8" t="s">
        <v>2114</v>
      </c>
      <c r="G2960" s="8" t="s">
        <v>4758</v>
      </c>
      <c r="H2960" s="8" t="s">
        <v>2870</v>
      </c>
      <c r="I2960" s="20"/>
      <c r="J2960" s="8"/>
      <c r="K2960" s="182"/>
      <c r="L2960" s="8" t="s">
        <v>4156</v>
      </c>
      <c r="M2960" s="8" t="s">
        <v>2814</v>
      </c>
      <c r="N2960" s="38"/>
      <c r="O2960" s="8"/>
      <c r="P2960" s="4" t="str">
        <f>VLOOKUP($B2960,'D7 - NDB Impacted SPRF''s'!$E$16:$O$9929,9,FALSE)</f>
        <v>N</v>
      </c>
      <c r="Q2960" s="4" t="str">
        <f>VLOOKUP($B2960,'D7 - NDB Impacted SPRF''s'!$E$16:$O$9929,10,FALSE)</f>
        <v>N</v>
      </c>
      <c r="R2960" s="4" t="str">
        <f>VLOOKUP($B2960,'D7 - NDB Impacted SPRF''s'!$E$16:$O$9929,11,FALSE)</f>
        <v>N</v>
      </c>
      <c r="S2960" s="8"/>
      <c r="T2960" s="310"/>
      <c r="U2960" s="310"/>
      <c r="V2960" s="4"/>
      <c r="W2960" s="4"/>
      <c r="X2960" s="4"/>
      <c r="Y2960" s="4"/>
      <c r="Z2960" s="4"/>
      <c r="AA2960" s="4"/>
      <c r="AB2960" s="380" t="str">
        <f>VLOOKUP($B2960,'D7 - NDB Impacted SPRF''s'!$E$6:$O$9929,4,FALSE)</f>
        <v>Cancelled</v>
      </c>
      <c r="AC2960" s="380" t="str">
        <f>VLOOKUP($B2960,'D7 - NDB Impacted SPRF''s'!$E$6:$O$9929,3,FALSE)</f>
        <v>UnitedHealthcare Community &amp; State</v>
      </c>
      <c r="AD2960" s="380" t="str">
        <f>VLOOKUP($B2960,'D7 - NDB Impacted SPRF''s'!$E$6:$O$9929,5,FALSE)</f>
        <v>AmeriChoice</v>
      </c>
      <c r="AE2960" s="380" t="str">
        <f>VLOOKUP($B2960,'D7 - NDB Impacted SPRF''s'!$E$6:$O$9929,7,FALSE)</f>
        <v>Paul Balthazor</v>
      </c>
      <c r="AF2960" s="380" t="str">
        <f>VLOOKUP($B2960,'D7 - NDB Impacted SPRF''s'!$E$6:$O$9929,6,FALSE)</f>
        <v>Ronald Wilson</v>
      </c>
      <c r="AG2960" s="282"/>
      <c r="AH2960" s="311" t="e">
        <f>INDEX('D5 - Gatekeeper - Projects'!$A$4:$AF$1010,$AM2960, 17)</f>
        <v>#N/A</v>
      </c>
      <c r="AI2960" s="8"/>
      <c r="AJ2960" s="57"/>
      <c r="AK2960" s="105"/>
      <c r="AM2960" s="6" t="e">
        <f>MATCH(D2960,'D5 - Gatekeeper - Projects'!$C$4:$C$1010,0)</f>
        <v>#N/A</v>
      </c>
      <c r="AN2960" s="6" t="b">
        <f t="shared" si="309"/>
        <v>1</v>
      </c>
      <c r="AO2960" s="6" t="str">
        <f t="shared" si="310"/>
        <v>OK</v>
      </c>
      <c r="AQ2960" s="6" t="e">
        <f>MATCH($D2960,'D4 - Provider Council Unsched'!$C$11:$C$234,0)</f>
        <v>#N/A</v>
      </c>
      <c r="AR2960" s="6" t="b">
        <f t="shared" si="311"/>
        <v>1</v>
      </c>
      <c r="AS2960" s="6" t="str">
        <f>IF(AND(H2960="2 - Not Scheduled",AR2960=TRUE),"Add","OK")</f>
        <v>OK</v>
      </c>
      <c r="AU2960" s="202"/>
      <c r="AV2960" s="262"/>
      <c r="AW2960" s="274"/>
    </row>
    <row r="2961" spans="1:49" s="13" customFormat="1" ht="45" x14ac:dyDescent="0.2">
      <c r="A2961" s="14">
        <v>2937</v>
      </c>
      <c r="B2961" s="14">
        <v>400033861</v>
      </c>
      <c r="C2961" s="8" t="s">
        <v>5197</v>
      </c>
      <c r="D2961" s="4" t="str">
        <f t="shared" si="304"/>
        <v>400033861R1</v>
      </c>
      <c r="E2961" s="309" t="str">
        <f>VLOOKUP($B2961,'D7 - NDB Impacted SPRF''s'!$E$6:$O$9929,2,FALSE)</f>
        <v>CAT project to complete build of PRIME and require</v>
      </c>
      <c r="F2961" s="8" t="s">
        <v>2114</v>
      </c>
      <c r="G2961" s="8" t="s">
        <v>4758</v>
      </c>
      <c r="H2961" s="8" t="s">
        <v>2870</v>
      </c>
      <c r="I2961" s="20"/>
      <c r="J2961" s="8"/>
      <c r="K2961" s="182"/>
      <c r="L2961" s="8" t="s">
        <v>4156</v>
      </c>
      <c r="M2961" s="8" t="s">
        <v>2814</v>
      </c>
      <c r="N2961" s="38" t="s">
        <v>6926</v>
      </c>
      <c r="O2961" s="8"/>
      <c r="P2961" s="4" t="str">
        <f>VLOOKUP($B2961,'D7 - NDB Impacted SPRF''s'!$E$16:$O$9929,9,FALSE)</f>
        <v>Y</v>
      </c>
      <c r="Q2961" s="4" t="str">
        <f>VLOOKUP($B2961,'D7 - NDB Impacted SPRF''s'!$E$16:$O$9929,10,FALSE)</f>
        <v>N</v>
      </c>
      <c r="R2961" s="4" t="str">
        <f>VLOOKUP($B2961,'D7 - NDB Impacted SPRF''s'!$E$16:$O$9929,11,FALSE)</f>
        <v>N</v>
      </c>
      <c r="S2961" s="8"/>
      <c r="T2961" s="310"/>
      <c r="U2961" s="310"/>
      <c r="V2961" s="4"/>
      <c r="W2961" s="4"/>
      <c r="X2961" s="4"/>
      <c r="Y2961" s="4"/>
      <c r="Z2961" s="4"/>
      <c r="AA2961" s="4"/>
      <c r="AB2961" s="380" t="str">
        <f>VLOOKUP($B2961,'D7 - NDB Impacted SPRF''s'!$E$6:$O$9929,4,FALSE)</f>
        <v>Cancelled</v>
      </c>
      <c r="AC2961" s="380" t="str">
        <f>VLOOKUP($B2961,'D7 - NDB Impacted SPRF''s'!$E$6:$O$9929,3,FALSE)</f>
        <v>UHG IT - Enterprise Technology Services</v>
      </c>
      <c r="AD2961" s="380" t="str">
        <f>VLOOKUP($B2961,'D7 - NDB Impacted SPRF''s'!$E$6:$O$9929,5,FALSE)</f>
        <v>ASG</v>
      </c>
      <c r="AE2961" s="380" t="str">
        <f>VLOOKUP($B2961,'D7 - NDB Impacted SPRF''s'!$E$6:$O$9929,7,FALSE)</f>
        <v>Michael Connly</v>
      </c>
      <c r="AF2961" s="380" t="str">
        <f>VLOOKUP($B2961,'D7 - NDB Impacted SPRF''s'!$E$6:$O$9929,6,FALSE)</f>
        <v>EDWARD SIWICKI</v>
      </c>
      <c r="AG2961" s="282"/>
      <c r="AH2961" s="311" t="e">
        <f>INDEX('D5 - Gatekeeper - Projects'!$A$4:$AF$1010,$AM2961, 17)</f>
        <v>#N/A</v>
      </c>
      <c r="AI2961" s="8"/>
      <c r="AJ2961" s="57"/>
      <c r="AK2961" s="105"/>
      <c r="AM2961" s="6" t="e">
        <f>MATCH(D2961,'D5 - Gatekeeper - Projects'!$C$4:$C$1010,0)</f>
        <v>#N/A</v>
      </c>
      <c r="AN2961" s="6" t="b">
        <f t="shared" si="309"/>
        <v>1</v>
      </c>
      <c r="AO2961" s="6" t="str">
        <f t="shared" si="310"/>
        <v>OK</v>
      </c>
      <c r="AQ2961" s="6" t="e">
        <f>MATCH($D2961,'D4 - Provider Council Unsched'!$C$11:$C$234,0)</f>
        <v>#N/A</v>
      </c>
      <c r="AR2961" s="6" t="b">
        <f t="shared" si="311"/>
        <v>1</v>
      </c>
      <c r="AS2961" s="6" t="str">
        <f>IF(AND(H2961="2 - Not Scheduled",AR2961=TRUE,C2961="R1"),"Add","OK")</f>
        <v>OK</v>
      </c>
      <c r="AU2961" s="202"/>
      <c r="AV2961" s="262"/>
      <c r="AW2961" s="274"/>
    </row>
    <row r="2962" spans="1:49" s="13" customFormat="1" ht="33.75" x14ac:dyDescent="0.2">
      <c r="A2962" s="14">
        <v>2938</v>
      </c>
      <c r="B2962" s="14">
        <v>400033863</v>
      </c>
      <c r="C2962" s="8" t="s">
        <v>5197</v>
      </c>
      <c r="D2962" s="4" t="str">
        <f t="shared" si="304"/>
        <v>400033863R1</v>
      </c>
      <c r="E2962" s="309" t="str">
        <f>VLOOKUP($B2962,'D7 - NDB Impacted SPRF''s'!$E$6:$O$9929,2,FALSE)</f>
        <v>Modify NDB-EA Pull Gov Indicator in NDB</v>
      </c>
      <c r="F2962" s="8" t="s">
        <v>4961</v>
      </c>
      <c r="G2962" s="8" t="s">
        <v>4758</v>
      </c>
      <c r="H2962" s="8" t="s">
        <v>2870</v>
      </c>
      <c r="I2962" s="20">
        <v>8.15</v>
      </c>
      <c r="J2962" s="8" t="s">
        <v>4862</v>
      </c>
      <c r="K2962" s="182"/>
      <c r="L2962" s="8" t="s">
        <v>4156</v>
      </c>
      <c r="M2962" s="8" t="s">
        <v>2814</v>
      </c>
      <c r="N2962" s="38"/>
      <c r="O2962" s="8"/>
      <c r="P2962" s="4" t="str">
        <f>VLOOKUP($B2962,'D7 - NDB Impacted SPRF''s'!$E$16:$O$9929,9,FALSE)</f>
        <v>N</v>
      </c>
      <c r="Q2962" s="4" t="str">
        <f>VLOOKUP($B2962,'D7 - NDB Impacted SPRF''s'!$E$16:$O$9929,10,FALSE)</f>
        <v>N</v>
      </c>
      <c r="R2962" s="4" t="str">
        <f>VLOOKUP($B2962,'D7 - NDB Impacted SPRF''s'!$E$16:$O$9929,11,FALSE)</f>
        <v>N</v>
      </c>
      <c r="S2962" s="8"/>
      <c r="T2962" s="310"/>
      <c r="U2962" s="310"/>
      <c r="V2962" s="4"/>
      <c r="W2962" s="4"/>
      <c r="X2962" s="4"/>
      <c r="Y2962" s="4"/>
      <c r="Z2962" s="4"/>
      <c r="AA2962" s="4"/>
      <c r="AB2962" s="380" t="str">
        <f>VLOOKUP($B2962,'D7 - NDB Impacted SPRF''s'!$E$6:$O$9929,4,FALSE)</f>
        <v>Cancelled</v>
      </c>
      <c r="AC2962" s="380" t="str">
        <f>VLOOKUP($B2962,'D7 - NDB Impacted SPRF''s'!$E$6:$O$9929,3,FALSE)</f>
        <v>UnitedHealthcare Community &amp; State</v>
      </c>
      <c r="AD2962" s="380" t="str">
        <f>VLOOKUP($B2962,'D7 - NDB Impacted SPRF''s'!$E$6:$O$9929,5,FALSE)</f>
        <v>AmeriChoice</v>
      </c>
      <c r="AE2962" s="380" t="str">
        <f>VLOOKUP($B2962,'D7 - NDB Impacted SPRF''s'!$E$6:$O$9929,7,FALSE)</f>
        <v>Paul Balthazor</v>
      </c>
      <c r="AF2962" s="380" t="str">
        <f>VLOOKUP($B2962,'D7 - NDB Impacted SPRF''s'!$E$6:$O$9929,6,FALSE)</f>
        <v>Ronald Wilson</v>
      </c>
      <c r="AG2962" s="282"/>
      <c r="AH2962" s="311" t="e">
        <f>INDEX('D5 - Gatekeeper - Projects'!$A$4:$AF$1010,$AM2962, 17)</f>
        <v>#N/A</v>
      </c>
      <c r="AI2962" s="8"/>
      <c r="AJ2962" s="57"/>
      <c r="AK2962" s="105"/>
      <c r="AM2962" s="6" t="e">
        <f>MATCH(D2962,'D5 - Gatekeeper - Projects'!$C$4:$C$1010,0)</f>
        <v>#N/A</v>
      </c>
      <c r="AN2962" s="6" t="b">
        <f t="shared" si="309"/>
        <v>1</v>
      </c>
      <c r="AO2962" s="6" t="str">
        <f t="shared" si="310"/>
        <v>OK</v>
      </c>
      <c r="AQ2962" s="6" t="e">
        <f>MATCH($D2962,'D4 - Provider Council Unsched'!$C$11:$C$234,0)</f>
        <v>#N/A</v>
      </c>
      <c r="AR2962" s="6" t="b">
        <f t="shared" si="311"/>
        <v>1</v>
      </c>
      <c r="AS2962" s="6" t="str">
        <f>IF(AND(H2962="2 - Not Scheduled",AR2962=TRUE),"Add","OK")</f>
        <v>OK</v>
      </c>
      <c r="AU2962" s="202">
        <v>40270</v>
      </c>
      <c r="AV2962" s="262"/>
      <c r="AW2962" s="274"/>
    </row>
    <row r="2963" spans="1:49" s="13" customFormat="1" ht="33.75" x14ac:dyDescent="0.2">
      <c r="A2963" s="14">
        <v>2939</v>
      </c>
      <c r="B2963" s="14">
        <v>400033872</v>
      </c>
      <c r="C2963" s="8" t="s">
        <v>5197</v>
      </c>
      <c r="D2963" s="4" t="str">
        <f t="shared" si="304"/>
        <v>400033872R1</v>
      </c>
      <c r="E2963" s="309" t="str">
        <f>VLOOKUP($B2963,'D7 - NDB Impacted SPRF''s'!$E$6:$O$9929,2,FALSE)</f>
        <v>Complete NDB-EA for remaining Health Plans</v>
      </c>
      <c r="F2963" s="8" t="s">
        <v>4961</v>
      </c>
      <c r="G2963" s="8" t="s">
        <v>4758</v>
      </c>
      <c r="H2963" s="8" t="s">
        <v>2870</v>
      </c>
      <c r="I2963" s="20"/>
      <c r="J2963" s="8"/>
      <c r="K2963" s="182"/>
      <c r="L2963" s="8" t="s">
        <v>4156</v>
      </c>
      <c r="M2963" s="8" t="s">
        <v>2814</v>
      </c>
      <c r="N2963" s="38" t="s">
        <v>6795</v>
      </c>
      <c r="O2963" s="8"/>
      <c r="P2963" s="4" t="str">
        <f>VLOOKUP($B2963,'D7 - NDB Impacted SPRF''s'!$E$16:$O$9929,9,FALSE)</f>
        <v>N</v>
      </c>
      <c r="Q2963" s="4" t="str">
        <f>VLOOKUP($B2963,'D7 - NDB Impacted SPRF''s'!$E$16:$O$9929,10,FALSE)</f>
        <v>N</v>
      </c>
      <c r="R2963" s="4" t="str">
        <f>VLOOKUP($B2963,'D7 - NDB Impacted SPRF''s'!$E$16:$O$9929,11,FALSE)</f>
        <v>N</v>
      </c>
      <c r="S2963" s="8"/>
      <c r="T2963" s="310"/>
      <c r="U2963" s="310"/>
      <c r="V2963" s="4"/>
      <c r="W2963" s="4"/>
      <c r="X2963" s="4"/>
      <c r="Y2963" s="4"/>
      <c r="Z2963" s="4"/>
      <c r="AA2963" s="4"/>
      <c r="AB2963" s="380" t="str">
        <f>VLOOKUP($B2963,'D7 - NDB Impacted SPRF''s'!$E$6:$O$9929,4,FALSE)</f>
        <v>Cancelled</v>
      </c>
      <c r="AC2963" s="380" t="str">
        <f>VLOOKUP($B2963,'D7 - NDB Impacted SPRF''s'!$E$6:$O$9929,3,FALSE)</f>
        <v>UnitedHealthcare Community &amp; State</v>
      </c>
      <c r="AD2963" s="380" t="str">
        <f>VLOOKUP($B2963,'D7 - NDB Impacted SPRF''s'!$E$6:$O$9929,5,FALSE)</f>
        <v>AmeriChoice</v>
      </c>
      <c r="AE2963" s="380" t="str">
        <f>VLOOKUP($B2963,'D7 - NDB Impacted SPRF''s'!$E$6:$O$9929,7,FALSE)</f>
        <v>Paul Balthazor</v>
      </c>
      <c r="AF2963" s="380" t="str">
        <f>VLOOKUP($B2963,'D7 - NDB Impacted SPRF''s'!$E$6:$O$9929,6,FALSE)</f>
        <v>Ronald Wilson</v>
      </c>
      <c r="AG2963" s="282"/>
      <c r="AH2963" s="311" t="e">
        <f>INDEX('D5 - Gatekeeper - Projects'!$A$4:$AF$1010,$AM2963, 17)</f>
        <v>#N/A</v>
      </c>
      <c r="AI2963" s="8"/>
      <c r="AJ2963" s="57"/>
      <c r="AK2963" s="105"/>
      <c r="AM2963" s="6" t="e">
        <f>MATCH(D2963,'D5 - Gatekeeper - Projects'!$C$4:$C$1010,0)</f>
        <v>#N/A</v>
      </c>
      <c r="AN2963" s="6" t="b">
        <f t="shared" si="309"/>
        <v>1</v>
      </c>
      <c r="AO2963" s="6" t="str">
        <f t="shared" si="310"/>
        <v>OK</v>
      </c>
      <c r="AQ2963" s="6" t="e">
        <f>MATCH($D2963,'D4 - Provider Council Unsched'!$C$11:$C$234,0)</f>
        <v>#N/A</v>
      </c>
      <c r="AR2963" s="6" t="b">
        <f t="shared" si="311"/>
        <v>1</v>
      </c>
      <c r="AS2963" s="6" t="str">
        <f>IF(AND(H2963="2 - Not Scheduled",AR2963=TRUE),"Add","OK")</f>
        <v>OK</v>
      </c>
      <c r="AU2963" s="202"/>
      <c r="AV2963" s="262"/>
      <c r="AW2963" s="274"/>
    </row>
    <row r="2964" spans="1:49" s="13" customFormat="1" ht="78.75" x14ac:dyDescent="0.2">
      <c r="A2964" s="14">
        <v>2940</v>
      </c>
      <c r="B2964" s="14">
        <v>400033875</v>
      </c>
      <c r="C2964" s="8" t="s">
        <v>3763</v>
      </c>
      <c r="D2964" s="4" t="str">
        <f t="shared" si="304"/>
        <v>400033875R2</v>
      </c>
      <c r="E2964" s="309" t="str">
        <f>VLOOKUP($B2964,'D7 - NDB Impacted SPRF''s'!$E$6:$O$9929,2,FALSE)</f>
        <v>NDB Roll Out for Facets</v>
      </c>
      <c r="F2964" s="8" t="s">
        <v>4961</v>
      </c>
      <c r="G2964" s="8" t="s">
        <v>4758</v>
      </c>
      <c r="H2964" s="8" t="s">
        <v>2870</v>
      </c>
      <c r="I2964" s="20">
        <v>31.03</v>
      </c>
      <c r="J2964" s="8" t="s">
        <v>4862</v>
      </c>
      <c r="K2964" s="182"/>
      <c r="L2964" s="8" t="s">
        <v>4156</v>
      </c>
      <c r="M2964" s="8" t="s">
        <v>2814</v>
      </c>
      <c r="N2964" s="38" t="s">
        <v>634</v>
      </c>
      <c r="O2964" s="8"/>
      <c r="P2964" s="4" t="str">
        <f>VLOOKUP($B2964,'D7 - NDB Impacted SPRF''s'!$E$16:$O$9929,9,FALSE)</f>
        <v>N</v>
      </c>
      <c r="Q2964" s="4" t="str">
        <f>VLOOKUP($B2964,'D7 - NDB Impacted SPRF''s'!$E$16:$O$9929,10,FALSE)</f>
        <v>N</v>
      </c>
      <c r="R2964" s="4" t="str">
        <f>VLOOKUP($B2964,'D7 - NDB Impacted SPRF''s'!$E$16:$O$9929,11,FALSE)</f>
        <v>N</v>
      </c>
      <c r="S2964" s="8"/>
      <c r="T2964" s="310"/>
      <c r="U2964" s="310"/>
      <c r="V2964" s="4"/>
      <c r="W2964" s="4"/>
      <c r="X2964" s="4"/>
      <c r="Y2964" s="4"/>
      <c r="Z2964" s="4"/>
      <c r="AA2964" s="4"/>
      <c r="AB2964" s="380" t="str">
        <f>VLOOKUP($B2964,'D7 - NDB Impacted SPRF''s'!$E$6:$O$9929,4,FALSE)</f>
        <v>Completed</v>
      </c>
      <c r="AC2964" s="380" t="str">
        <f>VLOOKUP($B2964,'D7 - NDB Impacted SPRF''s'!$E$6:$O$9929,3,FALSE)</f>
        <v>UnitedHealthcare Community &amp; State</v>
      </c>
      <c r="AD2964" s="380" t="str">
        <f>VLOOKUP($B2964,'D7 - NDB Impacted SPRF''s'!$E$6:$O$9929,5,FALSE)</f>
        <v>AmeriChoice</v>
      </c>
      <c r="AE2964" s="380" t="str">
        <f>VLOOKUP($B2964,'D7 - NDB Impacted SPRF''s'!$E$6:$O$9929,7,FALSE)</f>
        <v>Paul Balthazor</v>
      </c>
      <c r="AF2964" s="380" t="str">
        <f>VLOOKUP($B2964,'D7 - NDB Impacted SPRF''s'!$E$6:$O$9929,6,FALSE)</f>
        <v>Ronald Wilson</v>
      </c>
      <c r="AG2964" s="282"/>
      <c r="AH2964" s="311" t="e">
        <f>INDEX('D5 - Gatekeeper - Projects'!$A$4:$AF$1010,$AM2964, 17)</f>
        <v>#N/A</v>
      </c>
      <c r="AI2964" s="8"/>
      <c r="AJ2964" s="57"/>
      <c r="AK2964" s="105"/>
      <c r="AM2964" s="6" t="e">
        <f>MATCH(D2964,'D5 - Gatekeeper - Projects'!$C$4:$C$1010,0)</f>
        <v>#N/A</v>
      </c>
      <c r="AN2964" s="6" t="b">
        <f t="shared" si="309"/>
        <v>1</v>
      </c>
      <c r="AO2964" s="6" t="str">
        <f t="shared" si="310"/>
        <v>OK</v>
      </c>
      <c r="AQ2964" s="6" t="e">
        <f>MATCH($D2964,'D4 - Provider Council Unsched'!$C$11:$C$234,0)</f>
        <v>#N/A</v>
      </c>
      <c r="AR2964" s="6" t="b">
        <f t="shared" si="311"/>
        <v>1</v>
      </c>
      <c r="AS2964" s="6" t="str">
        <f>IF(AND(H2964="2 - Not Scheduled",AR2964=TRUE),"Add","OK")</f>
        <v>OK</v>
      </c>
      <c r="AU2964" s="202"/>
      <c r="AV2964" s="262"/>
      <c r="AW2964" s="274"/>
    </row>
    <row r="2965" spans="1:49" s="13" customFormat="1" ht="33.75" x14ac:dyDescent="0.2">
      <c r="A2965" s="14">
        <v>2941</v>
      </c>
      <c r="B2965" s="14">
        <v>400033967</v>
      </c>
      <c r="C2965" s="8" t="s">
        <v>5197</v>
      </c>
      <c r="D2965" s="4" t="str">
        <f t="shared" si="304"/>
        <v>400033967R1</v>
      </c>
      <c r="E2965" s="309" t="str">
        <f>VLOOKUP($B2965,'D7 - NDB Impacted SPRF''s'!$E$6:$O$9929,2,FALSE)</f>
        <v>ePrescribe System Enhanc for Provider Directory</v>
      </c>
      <c r="F2965" s="8" t="s">
        <v>2114</v>
      </c>
      <c r="G2965" s="8" t="s">
        <v>4758</v>
      </c>
      <c r="H2965" s="8" t="s">
        <v>2870</v>
      </c>
      <c r="I2965" s="20"/>
      <c r="J2965" s="8"/>
      <c r="K2965" s="182"/>
      <c r="L2965" s="8" t="s">
        <v>4156</v>
      </c>
      <c r="M2965" s="8" t="s">
        <v>2814</v>
      </c>
      <c r="N2965" s="38"/>
      <c r="O2965" s="8"/>
      <c r="P2965" s="4" t="str">
        <f>VLOOKUP($B2965,'D7 - NDB Impacted SPRF''s'!$E$16:$O$9929,9,FALSE)</f>
        <v>N</v>
      </c>
      <c r="Q2965" s="4" t="str">
        <f>VLOOKUP($B2965,'D7 - NDB Impacted SPRF''s'!$E$16:$O$9929,10,FALSE)</f>
        <v>N</v>
      </c>
      <c r="R2965" s="4" t="str">
        <f>VLOOKUP($B2965,'D7 - NDB Impacted SPRF''s'!$E$16:$O$9929,11,FALSE)</f>
        <v>N</v>
      </c>
      <c r="S2965" s="8"/>
      <c r="T2965" s="310"/>
      <c r="U2965" s="310"/>
      <c r="V2965" s="4"/>
      <c r="W2965" s="4"/>
      <c r="X2965" s="4"/>
      <c r="Y2965" s="4"/>
      <c r="Z2965" s="4"/>
      <c r="AA2965" s="4"/>
      <c r="AB2965" s="380" t="str">
        <f>VLOOKUP($B2965,'D7 - NDB Impacted SPRF''s'!$E$6:$O$9929,4,FALSE)</f>
        <v>Cancelled</v>
      </c>
      <c r="AC2965" s="380" t="str">
        <f>VLOOKUP($B2965,'D7 - NDB Impacted SPRF''s'!$E$6:$O$9929,3,FALSE)</f>
        <v>UnitedHealthcare Medicare &amp; Retirement</v>
      </c>
      <c r="AD2965" s="380" t="str">
        <f>VLOOKUP($B2965,'D7 - NDB Impacted SPRF''s'!$E$6:$O$9929,5,FALSE)</f>
        <v>Tech and Data Management</v>
      </c>
      <c r="AE2965" s="380" t="str">
        <f>VLOOKUP($B2965,'D7 - NDB Impacted SPRF''s'!$E$6:$O$9929,7,FALSE)</f>
        <v>Keith Koszuta</v>
      </c>
      <c r="AF2965" s="380" t="str">
        <f>VLOOKUP($B2965,'D7 - NDB Impacted SPRF''s'!$E$6:$O$9929,6,FALSE)</f>
        <v>Jessica Tattersall</v>
      </c>
      <c r="AG2965" s="282"/>
      <c r="AH2965" s="311" t="e">
        <f>INDEX('D5 - Gatekeeper - Projects'!$A$4:$AF$1010,$AM2965, 17)</f>
        <v>#N/A</v>
      </c>
      <c r="AI2965" s="8"/>
      <c r="AJ2965" s="57"/>
      <c r="AK2965" s="105"/>
      <c r="AM2965" s="6" t="e">
        <f>MATCH(D2965,'D5 - Gatekeeper - Projects'!$C$4:$C$1010,0)</f>
        <v>#N/A</v>
      </c>
      <c r="AN2965" s="6" t="b">
        <f t="shared" si="309"/>
        <v>1</v>
      </c>
      <c r="AO2965" s="6" t="str">
        <f t="shared" si="310"/>
        <v>OK</v>
      </c>
      <c r="AQ2965" s="6" t="e">
        <f>MATCH($D2965,'D4 - Provider Council Unsched'!$C$11:$C$234,0)</f>
        <v>#N/A</v>
      </c>
      <c r="AR2965" s="6" t="b">
        <f t="shared" si="311"/>
        <v>1</v>
      </c>
      <c r="AS2965" s="6" t="str">
        <f>IF(AND(H2965="2 - Not Scheduled",AR2965=TRUE),"Add","OK")</f>
        <v>OK</v>
      </c>
      <c r="AU2965" s="202"/>
      <c r="AV2965" s="262"/>
      <c r="AW2965" s="274"/>
    </row>
    <row r="2966" spans="1:49" s="13" customFormat="1" ht="33.75" x14ac:dyDescent="0.2">
      <c r="A2966" s="14">
        <v>2942</v>
      </c>
      <c r="B2966" s="14">
        <v>400034075</v>
      </c>
      <c r="C2966" s="8" t="s">
        <v>5197</v>
      </c>
      <c r="D2966" s="4" t="str">
        <f t="shared" si="304"/>
        <v>400034075R1</v>
      </c>
      <c r="E2966" s="309" t="str">
        <f>VLOOKUP($B2966,'D7 - NDB Impacted SPRF''s'!$E$6:$O$9929,2,FALSE)</f>
        <v>ACN for ISET</v>
      </c>
      <c r="F2966" s="8" t="s">
        <v>2114</v>
      </c>
      <c r="G2966" s="8" t="s">
        <v>4758</v>
      </c>
      <c r="H2966" s="8" t="s">
        <v>2870</v>
      </c>
      <c r="I2966" s="20"/>
      <c r="J2966" s="8"/>
      <c r="K2966" s="182"/>
      <c r="L2966" s="8" t="s">
        <v>4156</v>
      </c>
      <c r="M2966" s="8" t="s">
        <v>2814</v>
      </c>
      <c r="N2966" s="38"/>
      <c r="O2966" s="8"/>
      <c r="P2966" s="4" t="str">
        <f>VLOOKUP($B2966,'D7 - NDB Impacted SPRF''s'!$E$16:$O$9929,9,FALSE)</f>
        <v>Y</v>
      </c>
      <c r="Q2966" s="4" t="str">
        <f>VLOOKUP($B2966,'D7 - NDB Impacted SPRF''s'!$E$16:$O$9929,10,FALSE)</f>
        <v>N</v>
      </c>
      <c r="R2966" s="4" t="str">
        <f>VLOOKUP($B2966,'D7 - NDB Impacted SPRF''s'!$E$16:$O$9929,11,FALSE)</f>
        <v>N</v>
      </c>
      <c r="S2966" s="8"/>
      <c r="T2966" s="310"/>
      <c r="U2966" s="310"/>
      <c r="V2966" s="4"/>
      <c r="W2966" s="4"/>
      <c r="X2966" s="4"/>
      <c r="Y2966" s="4"/>
      <c r="Z2966" s="4"/>
      <c r="AA2966" s="4"/>
      <c r="AB2966" s="380" t="str">
        <f>VLOOKUP($B2966,'D7 - NDB Impacted SPRF''s'!$E$6:$O$9929,4,FALSE)</f>
        <v>Cancelled</v>
      </c>
      <c r="AC2966" s="380" t="str">
        <f>VLOOKUP($B2966,'D7 - NDB Impacted SPRF''s'!$E$6:$O$9929,3,FALSE)</f>
        <v>UnitedHealthcare Employer &amp; Individual</v>
      </c>
      <c r="AD2966" s="380" t="str">
        <f>VLOOKUP($B2966,'D7 - NDB Impacted SPRF''s'!$E$6:$O$9929,5,FALSE)</f>
        <v>Membership Growth / Revenue Programs</v>
      </c>
      <c r="AE2966" s="380" t="str">
        <f>VLOOKUP($B2966,'D7 - NDB Impacted SPRF''s'!$E$6:$O$9929,7,FALSE)</f>
        <v>Roger Wambheim</v>
      </c>
      <c r="AF2966" s="380" t="str">
        <f>VLOOKUP($B2966,'D7 - NDB Impacted SPRF''s'!$E$6:$O$9929,6,FALSE)</f>
        <v>Cassandra Logue</v>
      </c>
      <c r="AG2966" s="282"/>
      <c r="AH2966" s="311" t="e">
        <f>INDEX('D5 - Gatekeeper - Projects'!$A$4:$AF$1010,$AM2966, 17)</f>
        <v>#N/A</v>
      </c>
      <c r="AI2966" s="8"/>
      <c r="AJ2966" s="57"/>
      <c r="AK2966" s="105"/>
      <c r="AM2966" s="6" t="e">
        <f>MATCH(D2966,'D5 - Gatekeeper - Projects'!$C$4:$C$1010,0)</f>
        <v>#N/A</v>
      </c>
      <c r="AN2966" s="6" t="b">
        <f t="shared" si="309"/>
        <v>1</v>
      </c>
      <c r="AO2966" s="6" t="str">
        <f t="shared" si="310"/>
        <v>OK</v>
      </c>
      <c r="AQ2966" s="6" t="e">
        <f>MATCH($D2966,'D4 - Provider Council Unsched'!$C$11:$C$234,0)</f>
        <v>#N/A</v>
      </c>
      <c r="AR2966" s="6" t="b">
        <f t="shared" si="311"/>
        <v>1</v>
      </c>
      <c r="AS2966" s="6" t="str">
        <f>IF(AND(H2966="2 - Not Scheduled",AR2966=TRUE,C2966="R1"),"Add","OK")</f>
        <v>OK</v>
      </c>
      <c r="AU2966" s="202"/>
      <c r="AV2966" s="262"/>
      <c r="AW2966" s="274"/>
    </row>
    <row r="2967" spans="1:49" s="13" customFormat="1" ht="33.75" x14ac:dyDescent="0.2">
      <c r="A2967" s="14">
        <v>2943</v>
      </c>
      <c r="B2967" s="14">
        <v>400034135</v>
      </c>
      <c r="C2967" s="8" t="s">
        <v>5197</v>
      </c>
      <c r="D2967" s="4" t="str">
        <f t="shared" si="304"/>
        <v>400034135R1</v>
      </c>
      <c r="E2967" s="309" t="str">
        <f>VLOOKUP($B2967,'D7 - NDB Impacted SPRF''s'!$E$6:$O$9929,2,FALSE)</f>
        <v>Georgia Heritage Expansion to Facets</v>
      </c>
      <c r="F2967" s="8" t="s">
        <v>2114</v>
      </c>
      <c r="G2967" s="8" t="s">
        <v>4758</v>
      </c>
      <c r="H2967" s="8" t="s">
        <v>2870</v>
      </c>
      <c r="I2967" s="20"/>
      <c r="J2967" s="8"/>
      <c r="K2967" s="182"/>
      <c r="L2967" s="8" t="s">
        <v>4156</v>
      </c>
      <c r="M2967" s="8" t="s">
        <v>2814</v>
      </c>
      <c r="N2967" s="38" t="s">
        <v>7420</v>
      </c>
      <c r="O2967" s="8"/>
      <c r="P2967" s="4" t="str">
        <f>VLOOKUP($B2967,'D7 - NDB Impacted SPRF''s'!$E$16:$O$9929,9,FALSE)</f>
        <v>N</v>
      </c>
      <c r="Q2967" s="4" t="str">
        <f>VLOOKUP($B2967,'D7 - NDB Impacted SPRF''s'!$E$16:$O$9929,10,FALSE)</f>
        <v>N</v>
      </c>
      <c r="R2967" s="4" t="str">
        <f>VLOOKUP($B2967,'D7 - NDB Impacted SPRF''s'!$E$16:$O$9929,11,FALSE)</f>
        <v>Y</v>
      </c>
      <c r="S2967" s="8"/>
      <c r="T2967" s="310"/>
      <c r="U2967" s="310"/>
      <c r="V2967" s="4"/>
      <c r="W2967" s="4"/>
      <c r="X2967" s="4"/>
      <c r="Y2967" s="4"/>
      <c r="Z2967" s="4"/>
      <c r="AA2967" s="4"/>
      <c r="AB2967" s="380" t="str">
        <f>VLOOKUP($B2967,'D7 - NDB Impacted SPRF''s'!$E$6:$O$9929,4,FALSE)</f>
        <v>Cancelled</v>
      </c>
      <c r="AC2967" s="380" t="str">
        <f>VLOOKUP($B2967,'D7 - NDB Impacted SPRF''s'!$E$6:$O$9929,3,FALSE)</f>
        <v>UnitedHealthcare Employer &amp; Individual</v>
      </c>
      <c r="AD2967" s="380" t="str">
        <f>VLOOKUP($B2967,'D7 - NDB Impacted SPRF''s'!$E$6:$O$9929,5,FALSE)</f>
        <v>Membership Growth / Revenue Programs</v>
      </c>
      <c r="AE2967" s="380" t="str">
        <f>VLOOKUP($B2967,'D7 - NDB Impacted SPRF''s'!$E$6:$O$9929,7,FALSE)</f>
        <v>Heather Lowe</v>
      </c>
      <c r="AF2967" s="380" t="str">
        <f>VLOOKUP($B2967,'D7 - NDB Impacted SPRF''s'!$E$6:$O$9929,6,FALSE)</f>
        <v>COBB DOROTHY</v>
      </c>
      <c r="AG2967" s="282"/>
      <c r="AH2967" s="311" t="e">
        <f>INDEX('D5 - Gatekeeper - Projects'!$A$4:$AF$1010,$AM2967, 17)</f>
        <v>#N/A</v>
      </c>
      <c r="AI2967" s="8"/>
      <c r="AJ2967" s="57"/>
      <c r="AK2967" s="105"/>
      <c r="AM2967" s="6" t="e">
        <f>MATCH(D2967,'D5 - Gatekeeper - Projects'!$C$4:$C$1010,0)</f>
        <v>#N/A</v>
      </c>
      <c r="AN2967" s="6" t="b">
        <f t="shared" si="309"/>
        <v>1</v>
      </c>
      <c r="AO2967" s="6" t="str">
        <f t="shared" si="310"/>
        <v>OK</v>
      </c>
      <c r="AQ2967" s="6" t="e">
        <f>MATCH($D2967,'D4 - Provider Council Unsched'!$C$11:$C$234,0)</f>
        <v>#N/A</v>
      </c>
      <c r="AR2967" s="6" t="b">
        <f t="shared" si="311"/>
        <v>1</v>
      </c>
      <c r="AS2967" s="6" t="str">
        <f>IF(AND(H2967="2 - Not Scheduled",AR2967=TRUE),"Add","OK")</f>
        <v>OK</v>
      </c>
      <c r="AU2967" s="202"/>
      <c r="AV2967" s="262"/>
      <c r="AW2967" s="274"/>
    </row>
    <row r="2968" spans="1:49" s="13" customFormat="1" ht="33.75" x14ac:dyDescent="0.2">
      <c r="A2968" s="14">
        <v>2944</v>
      </c>
      <c r="B2968" s="14">
        <v>400034455</v>
      </c>
      <c r="C2968" s="8" t="s">
        <v>5197</v>
      </c>
      <c r="D2968" s="4" t="str">
        <f t="shared" si="304"/>
        <v>400034455R1</v>
      </c>
      <c r="E2968" s="309" t="str">
        <f>VLOOKUP($B2968,'D7 - NDB Impacted SPRF''s'!$E$6:$O$9929,2,FALSE)</f>
        <v>Mississippi PP01 Updates</v>
      </c>
      <c r="F2968" s="8"/>
      <c r="G2968" s="8" t="s">
        <v>4758</v>
      </c>
      <c r="H2968" s="8" t="s">
        <v>2870</v>
      </c>
      <c r="I2968" s="20"/>
      <c r="J2968" s="8"/>
      <c r="K2968" s="182"/>
      <c r="L2968" s="8" t="s">
        <v>4156</v>
      </c>
      <c r="M2968" s="8" t="s">
        <v>2814</v>
      </c>
      <c r="N2968" s="38"/>
      <c r="O2968" s="8"/>
      <c r="P2968" s="4" t="str">
        <f>VLOOKUP($B2968,'D7 - NDB Impacted SPRF''s'!$E$16:$O$9929,9,FALSE)</f>
        <v>N</v>
      </c>
      <c r="Q2968" s="4" t="str">
        <f>VLOOKUP($B2968,'D7 - NDB Impacted SPRF''s'!$E$16:$O$9929,10,FALSE)</f>
        <v>N</v>
      </c>
      <c r="R2968" s="4" t="str">
        <f>VLOOKUP($B2968,'D7 - NDB Impacted SPRF''s'!$E$16:$O$9929,11,FALSE)</f>
        <v>Y</v>
      </c>
      <c r="S2968" s="8"/>
      <c r="T2968" s="310"/>
      <c r="U2968" s="310"/>
      <c r="V2968" s="4"/>
      <c r="W2968" s="4"/>
      <c r="X2968" s="4"/>
      <c r="Y2968" s="4"/>
      <c r="Z2968" s="4"/>
      <c r="AA2968" s="4"/>
      <c r="AB2968" s="380" t="str">
        <f>VLOOKUP($B2968,'D7 - NDB Impacted SPRF''s'!$E$6:$O$9929,4,FALSE)</f>
        <v>Cancelled</v>
      </c>
      <c r="AC2968" s="380" t="str">
        <f>VLOOKUP($B2968,'D7 - NDB Impacted SPRF''s'!$E$6:$O$9929,3,FALSE)</f>
        <v>UnitedHealthcare Community &amp; State</v>
      </c>
      <c r="AD2968" s="380" t="str">
        <f>VLOOKUP($B2968,'D7 - NDB Impacted SPRF''s'!$E$6:$O$9929,5,FALSE)</f>
        <v>Growth/Expansion</v>
      </c>
      <c r="AE2968" s="380" t="str">
        <f>VLOOKUP($B2968,'D7 - NDB Impacted SPRF''s'!$E$6:$O$9929,7,FALSE)</f>
        <v>Fred Madill</v>
      </c>
      <c r="AF2968" s="380" t="str">
        <f>VLOOKUP($B2968,'D7 - NDB Impacted SPRF''s'!$E$6:$O$9929,6,FALSE)</f>
        <v>Carol Brunetti</v>
      </c>
      <c r="AG2968" s="282"/>
      <c r="AH2968" s="311" t="e">
        <f>INDEX('D5 - Gatekeeper - Projects'!$A$4:$AF$1010,$AM2968, 17)</f>
        <v>#N/A</v>
      </c>
      <c r="AI2968" s="8"/>
      <c r="AJ2968" s="57"/>
      <c r="AK2968" s="105"/>
      <c r="AM2968" s="6" t="e">
        <f>MATCH(D2968,'D5 - Gatekeeper - Projects'!$C$4:$C$1010,0)</f>
        <v>#N/A</v>
      </c>
      <c r="AN2968" s="6" t="b">
        <f t="shared" si="309"/>
        <v>1</v>
      </c>
      <c r="AO2968" s="6" t="str">
        <f t="shared" si="310"/>
        <v>OK</v>
      </c>
      <c r="AQ2968" s="6" t="e">
        <f>MATCH($D2968,'D4 - Provider Council Unsched'!$C$11:$C$234,0)</f>
        <v>#N/A</v>
      </c>
      <c r="AR2968" s="6" t="b">
        <f t="shared" si="311"/>
        <v>1</v>
      </c>
      <c r="AS2968" s="6" t="str">
        <f t="shared" ref="AS2968:AS3031" si="312">IF(AND(H2968="2 - Not Scheduled",AR2968=TRUE,C2968="R1"),"Add","OK")</f>
        <v>OK</v>
      </c>
      <c r="AU2968" s="202"/>
      <c r="AV2968" s="262"/>
      <c r="AW2968" s="274"/>
    </row>
    <row r="2969" spans="1:49" s="13" customFormat="1" ht="33.75" x14ac:dyDescent="0.2">
      <c r="A2969" s="14">
        <v>2945</v>
      </c>
      <c r="B2969" s="14">
        <v>400034719</v>
      </c>
      <c r="C2969" s="8" t="s">
        <v>5197</v>
      </c>
      <c r="D2969" s="4" t="str">
        <f t="shared" si="304"/>
        <v>400034719R1</v>
      </c>
      <c r="E2969" s="309" t="str">
        <f>VLOOKUP($B2969,'D7 - NDB Impacted SPRF''s'!$E$6:$O$9929,2,FALSE)</f>
        <v>NDC Pricing Phase 1 Stabilization Issues</v>
      </c>
      <c r="F2969" s="8" t="s">
        <v>7651</v>
      </c>
      <c r="G2969" s="8" t="s">
        <v>4758</v>
      </c>
      <c r="H2969" s="8" t="s">
        <v>2870</v>
      </c>
      <c r="I2969" s="20"/>
      <c r="J2969" s="8"/>
      <c r="K2969" s="182"/>
      <c r="L2969" s="8" t="s">
        <v>4156</v>
      </c>
      <c r="M2969" s="8" t="s">
        <v>2814</v>
      </c>
      <c r="N2969" s="38"/>
      <c r="O2969" s="8"/>
      <c r="P2969" s="4" t="str">
        <f>VLOOKUP($B2969,'D7 - NDB Impacted SPRF''s'!$E$16:$O$9929,9,FALSE)</f>
        <v>N</v>
      </c>
      <c r="Q2969" s="4" t="str">
        <f>VLOOKUP($B2969,'D7 - NDB Impacted SPRF''s'!$E$16:$O$9929,10,FALSE)</f>
        <v>N</v>
      </c>
      <c r="R2969" s="4" t="str">
        <f>VLOOKUP($B2969,'D7 - NDB Impacted SPRF''s'!$E$16:$O$9929,11,FALSE)</f>
        <v>Y</v>
      </c>
      <c r="S2969" s="8"/>
      <c r="T2969" s="310"/>
      <c r="U2969" s="310"/>
      <c r="V2969" s="4"/>
      <c r="W2969" s="4"/>
      <c r="X2969" s="4"/>
      <c r="Y2969" s="4"/>
      <c r="Z2969" s="4"/>
      <c r="AA2969" s="4"/>
      <c r="AB2969" s="380" t="str">
        <f>VLOOKUP($B2969,'D7 - NDB Impacted SPRF''s'!$E$6:$O$9929,4,FALSE)</f>
        <v>Cancelled</v>
      </c>
      <c r="AC2969" s="380" t="str">
        <f>VLOOKUP($B2969,'D7 - NDB Impacted SPRF''s'!$E$6:$O$9929,3,FALSE)</f>
        <v>UnitedHealthcare Employer &amp; Individual</v>
      </c>
      <c r="AD2969" s="380" t="str">
        <f>VLOOKUP($B2969,'D7 - NDB Impacted SPRF''s'!$E$6:$O$9929,5,FALSE)</f>
        <v>Medical Cost Savings Programs</v>
      </c>
      <c r="AE2969" s="380" t="str">
        <f>VLOOKUP($B2969,'D7 - NDB Impacted SPRF''s'!$E$6:$O$9929,7,FALSE)</f>
        <v>Molly Knorr</v>
      </c>
      <c r="AF2969" s="380" t="str">
        <f>VLOOKUP($B2969,'D7 - NDB Impacted SPRF''s'!$E$6:$O$9929,6,FALSE)</f>
        <v>Brent Graham</v>
      </c>
      <c r="AG2969" s="282"/>
      <c r="AH2969" s="311" t="e">
        <f>INDEX('D5 - Gatekeeper - Projects'!$A$4:$AF$1010,$AM2969, 17)</f>
        <v>#N/A</v>
      </c>
      <c r="AI2969" s="8"/>
      <c r="AJ2969" s="57"/>
      <c r="AK2969" s="105"/>
      <c r="AM2969" s="6" t="e">
        <f>MATCH(D2969,'D5 - Gatekeeper - Projects'!$C$4:$C$1010,0)</f>
        <v>#N/A</v>
      </c>
      <c r="AN2969" s="6" t="b">
        <f t="shared" si="309"/>
        <v>1</v>
      </c>
      <c r="AO2969" s="6" t="str">
        <f t="shared" si="310"/>
        <v>OK</v>
      </c>
      <c r="AQ2969" s="6" t="e">
        <f>MATCH($D2969,'D4 - Provider Council Unsched'!$C$11:$C$234,0)</f>
        <v>#N/A</v>
      </c>
      <c r="AR2969" s="6" t="b">
        <f t="shared" si="311"/>
        <v>1</v>
      </c>
      <c r="AS2969" s="6" t="str">
        <f t="shared" si="312"/>
        <v>OK</v>
      </c>
      <c r="AU2969" s="202"/>
      <c r="AV2969" s="262"/>
      <c r="AW2969" s="274"/>
    </row>
    <row r="2970" spans="1:49" s="13" customFormat="1" ht="33.75" x14ac:dyDescent="0.2">
      <c r="A2970" s="14">
        <v>2946</v>
      </c>
      <c r="B2970" s="8">
        <v>400034838</v>
      </c>
      <c r="C2970" s="8" t="s">
        <v>1447</v>
      </c>
      <c r="D2970" s="4" t="str">
        <f t="shared" si="304"/>
        <v>400034838A</v>
      </c>
      <c r="E2970" s="309" t="str">
        <f>VLOOKUP($B2970,'D7 - NDB Impacted SPRF''s'!$E$6:$O$9929,2,FALSE)</f>
        <v xml:space="preserve">AmC Texas CareOne Clinical Migration </v>
      </c>
      <c r="F2970" s="8"/>
      <c r="G2970" s="8" t="s">
        <v>4758</v>
      </c>
      <c r="H2970" s="8" t="s">
        <v>2870</v>
      </c>
      <c r="I2970" s="20"/>
      <c r="J2970" s="8"/>
      <c r="K2970" s="182"/>
      <c r="L2970" s="8" t="s">
        <v>4156</v>
      </c>
      <c r="M2970" s="8" t="s">
        <v>2814</v>
      </c>
      <c r="N2970" s="38"/>
      <c r="O2970" s="8"/>
      <c r="P2970" s="4" t="str">
        <f>VLOOKUP($B2970,'D7 - NDB Impacted SPRF''s'!$E$16:$O$9929,9,FALSE)</f>
        <v>N</v>
      </c>
      <c r="Q2970" s="4" t="str">
        <f>VLOOKUP($B2970,'D7 - NDB Impacted SPRF''s'!$E$16:$O$9929,10,FALSE)</f>
        <v>N</v>
      </c>
      <c r="R2970" s="4" t="str">
        <f>VLOOKUP($B2970,'D7 - NDB Impacted SPRF''s'!$E$16:$O$9929,11,FALSE)</f>
        <v>N</v>
      </c>
      <c r="S2970" s="8"/>
      <c r="T2970" s="310"/>
      <c r="U2970" s="310"/>
      <c r="V2970" s="4"/>
      <c r="W2970" s="4"/>
      <c r="X2970" s="4"/>
      <c r="Y2970" s="4"/>
      <c r="Z2970" s="4"/>
      <c r="AA2970" s="4"/>
      <c r="AB2970" s="380" t="str">
        <f>VLOOKUP($B2970,'D7 - NDB Impacted SPRF''s'!$E$6:$O$9929,4,FALSE)</f>
        <v>Completed</v>
      </c>
      <c r="AC2970" s="380" t="str">
        <f>VLOOKUP($B2970,'D7 - NDB Impacted SPRF''s'!$E$6:$O$9929,3,FALSE)</f>
        <v>UnitedHealthcare Employer &amp; Individual</v>
      </c>
      <c r="AD2970" s="380" t="str">
        <f>VLOOKUP($B2970,'D7 - NDB Impacted SPRF''s'!$E$6:$O$9929,5,FALSE)</f>
        <v>Medical Cost Savings Programs</v>
      </c>
      <c r="AE2970" s="380" t="str">
        <f>VLOOKUP($B2970,'D7 - NDB Impacted SPRF''s'!$E$6:$O$9929,7,FALSE)</f>
        <v>Sheila Nelson</v>
      </c>
      <c r="AF2970" s="380" t="str">
        <f>VLOOKUP($B2970,'D7 - NDB Impacted SPRF''s'!$E$6:$O$9929,6,FALSE)</f>
        <v>Steve Gudvangen</v>
      </c>
      <c r="AG2970" s="282"/>
      <c r="AH2970" s="311" t="e">
        <f>INDEX('D5 - Gatekeeper - Projects'!$A$4:$AF$1010,$AM2970, 17)</f>
        <v>#N/A</v>
      </c>
      <c r="AI2970" s="8"/>
      <c r="AJ2970" s="57"/>
      <c r="AK2970" s="105"/>
      <c r="AM2970" s="6" t="e">
        <f>MATCH(D2970,'D5 - Gatekeeper - Projects'!$C$4:$C$1010,0)</f>
        <v>#N/A</v>
      </c>
      <c r="AN2970" s="6" t="b">
        <f t="shared" si="309"/>
        <v>1</v>
      </c>
      <c r="AO2970" s="6" t="str">
        <f t="shared" si="310"/>
        <v>OK</v>
      </c>
      <c r="AQ2970" s="6" t="e">
        <f>MATCH($D2970,'D4 - Provider Council Unsched'!$C$11:$C$234,0)</f>
        <v>#N/A</v>
      </c>
      <c r="AR2970" s="6" t="b">
        <f t="shared" si="311"/>
        <v>1</v>
      </c>
      <c r="AS2970" s="6" t="str">
        <f t="shared" si="312"/>
        <v>OK</v>
      </c>
      <c r="AU2970" s="202"/>
      <c r="AV2970" s="262"/>
      <c r="AW2970" s="274"/>
    </row>
    <row r="2971" spans="1:49" s="13" customFormat="1" ht="22.5" x14ac:dyDescent="0.2">
      <c r="A2971" s="14">
        <v>2947</v>
      </c>
      <c r="B2971" s="14">
        <v>400034948</v>
      </c>
      <c r="C2971" s="8" t="s">
        <v>5197</v>
      </c>
      <c r="D2971" s="4" t="str">
        <f t="shared" ref="D2971:D3034" si="313">CONCATENATE(B2971,C2971)</f>
        <v>400034948R1</v>
      </c>
      <c r="E2971" s="309" t="str">
        <f>VLOOKUP($B2971,'D7 - NDB Impacted SPRF''s'!$E$6:$O$9929,2,FALSE)</f>
        <v>ETS-Replace IDT MT WebServices (UPM / AE)</v>
      </c>
      <c r="F2971" s="8"/>
      <c r="G2971" s="8" t="s">
        <v>4758</v>
      </c>
      <c r="H2971" s="8" t="s">
        <v>2870</v>
      </c>
      <c r="I2971" s="20"/>
      <c r="J2971" s="8"/>
      <c r="K2971" s="182"/>
      <c r="L2971" s="8" t="s">
        <v>4156</v>
      </c>
      <c r="M2971" s="8" t="s">
        <v>2814</v>
      </c>
      <c r="N2971" s="38" t="s">
        <v>1164</v>
      </c>
      <c r="O2971" s="8"/>
      <c r="P2971" s="4" t="str">
        <f>VLOOKUP($B2971,'D7 - NDB Impacted SPRF''s'!$E$16:$O$9929,9,FALSE)</f>
        <v>Y</v>
      </c>
      <c r="Q2971" s="4" t="str">
        <f>VLOOKUP($B2971,'D7 - NDB Impacted SPRF''s'!$E$16:$O$9929,10,FALSE)</f>
        <v>N</v>
      </c>
      <c r="R2971" s="4" t="str">
        <f>VLOOKUP($B2971,'D7 - NDB Impacted SPRF''s'!$E$16:$O$9929,11,FALSE)</f>
        <v>N</v>
      </c>
      <c r="S2971" s="8"/>
      <c r="T2971" s="310"/>
      <c r="U2971" s="310"/>
      <c r="V2971" s="4"/>
      <c r="W2971" s="4"/>
      <c r="X2971" s="4"/>
      <c r="Y2971" s="4"/>
      <c r="Z2971" s="4"/>
      <c r="AA2971" s="4"/>
      <c r="AB2971" s="380" t="str">
        <f>VLOOKUP($B2971,'D7 - NDB Impacted SPRF''s'!$E$6:$O$9929,4,FALSE)</f>
        <v>In Estimating</v>
      </c>
      <c r="AC2971" s="380" t="str">
        <f>VLOOKUP($B2971,'D7 - NDB Impacted SPRF''s'!$E$6:$O$9929,3,FALSE)</f>
        <v>UnitedHealthcare</v>
      </c>
      <c r="AD2971" s="380" t="str">
        <f>VLOOKUP($B2971,'D7 - NDB Impacted SPRF''s'!$E$6:$O$9929,5,FALSE)</f>
        <v>Transaction - Operational Requirements</v>
      </c>
      <c r="AE2971" s="380" t="str">
        <f>VLOOKUP($B2971,'D7 - NDB Impacted SPRF''s'!$E$6:$O$9929,7,FALSE)</f>
        <v>Kelly Vavra</v>
      </c>
      <c r="AF2971" s="380" t="str">
        <f>VLOOKUP($B2971,'D7 - NDB Impacted SPRF''s'!$E$6:$O$9929,6,FALSE)</f>
        <v>Michael Racette</v>
      </c>
      <c r="AG2971" s="282"/>
      <c r="AH2971" s="311" t="e">
        <f>INDEX('D5 - Gatekeeper - Projects'!$A$4:$AF$1010,$AM2971, 17)</f>
        <v>#N/A</v>
      </c>
      <c r="AI2971" s="8"/>
      <c r="AJ2971" s="57"/>
      <c r="AK2971" s="105"/>
      <c r="AM2971" s="6" t="e">
        <f>MATCH(D2971,'D5 - Gatekeeper - Projects'!$C$4:$C$1010,0)</f>
        <v>#N/A</v>
      </c>
      <c r="AN2971" s="6" t="b">
        <f t="shared" si="309"/>
        <v>1</v>
      </c>
      <c r="AO2971" s="6" t="str">
        <f t="shared" si="310"/>
        <v>OK</v>
      </c>
      <c r="AQ2971" s="6" t="e">
        <f>MATCH($D2971,'D4 - Provider Council Unsched'!$C$11:$C$234,0)</f>
        <v>#N/A</v>
      </c>
      <c r="AR2971" s="6" t="b">
        <f t="shared" si="311"/>
        <v>1</v>
      </c>
      <c r="AS2971" s="6" t="str">
        <f t="shared" si="312"/>
        <v>OK</v>
      </c>
      <c r="AU2971" s="202"/>
      <c r="AV2971" s="262"/>
      <c r="AW2971" s="274"/>
    </row>
    <row r="2972" spans="1:49" s="13" customFormat="1" ht="22.5" x14ac:dyDescent="0.2">
      <c r="A2972" s="14">
        <v>2948</v>
      </c>
      <c r="B2972" s="14">
        <v>400035074</v>
      </c>
      <c r="C2972" s="8" t="s">
        <v>5197</v>
      </c>
      <c r="D2972" s="4" t="str">
        <f t="shared" si="313"/>
        <v>400035074R1</v>
      </c>
      <c r="E2972" s="309" t="str">
        <f>VLOOKUP($B2972,'D7 - NDB Impacted SPRF''s'!$E$6:$O$9929,2,FALSE)</f>
        <v>Medica Passport Choice Member Residential Market</v>
      </c>
      <c r="F2972" s="8"/>
      <c r="G2972" s="8" t="s">
        <v>4758</v>
      </c>
      <c r="H2972" s="8" t="s">
        <v>2870</v>
      </c>
      <c r="I2972" s="20"/>
      <c r="J2972" s="8"/>
      <c r="K2972" s="182"/>
      <c r="L2972" s="8" t="s">
        <v>4156</v>
      </c>
      <c r="M2972" s="8" t="s">
        <v>2814</v>
      </c>
      <c r="N2972" s="38" t="s">
        <v>1164</v>
      </c>
      <c r="O2972" s="8"/>
      <c r="P2972" s="4" t="str">
        <f>VLOOKUP($B2972,'D7 - NDB Impacted SPRF''s'!$E$16:$O$9929,9,FALSE)</f>
        <v>Y</v>
      </c>
      <c r="Q2972" s="4" t="str">
        <f>VLOOKUP($B2972,'D7 - NDB Impacted SPRF''s'!$E$16:$O$9929,10,FALSE)</f>
        <v>N</v>
      </c>
      <c r="R2972" s="4" t="str">
        <f>VLOOKUP($B2972,'D7 - NDB Impacted SPRF''s'!$E$16:$O$9929,11,FALSE)</f>
        <v>N</v>
      </c>
      <c r="S2972" s="8"/>
      <c r="T2972" s="310"/>
      <c r="U2972" s="310"/>
      <c r="V2972" s="4"/>
      <c r="W2972" s="4"/>
      <c r="X2972" s="4"/>
      <c r="Y2972" s="4"/>
      <c r="Z2972" s="4"/>
      <c r="AA2972" s="4"/>
      <c r="AB2972" s="380" t="str">
        <f>VLOOKUP($B2972,'D7 - NDB Impacted SPRF''s'!$E$6:$O$9929,4,FALSE)</f>
        <v>In Estimating</v>
      </c>
      <c r="AC2972" s="380" t="str">
        <f>VLOOKUP($B2972,'D7 - NDB Impacted SPRF''s'!$E$6:$O$9929,3,FALSE)</f>
        <v>UnitedHealthcare</v>
      </c>
      <c r="AD2972" s="380" t="str">
        <f>VLOOKUP($B2972,'D7 - NDB Impacted SPRF''s'!$E$6:$O$9929,5,FALSE)</f>
        <v>Medica Alliance - UNET UHG Requested Enhancement</v>
      </c>
      <c r="AE2972" s="380" t="str">
        <f>VLOOKUP($B2972,'D7 - NDB Impacted SPRF''s'!$E$6:$O$9929,7,FALSE)</f>
        <v>Mimi Taylor</v>
      </c>
      <c r="AF2972" s="380" t="str">
        <f>VLOOKUP($B2972,'D7 - NDB Impacted SPRF''s'!$E$6:$O$9929,6,FALSE)</f>
        <v>Linda Dooley</v>
      </c>
      <c r="AG2972" s="282"/>
      <c r="AH2972" s="311" t="e">
        <f>INDEX('D5 - Gatekeeper - Projects'!$A$4:$AF$1010,$AM2972, 17)</f>
        <v>#N/A</v>
      </c>
      <c r="AI2972" s="8"/>
      <c r="AJ2972" s="57"/>
      <c r="AK2972" s="105"/>
      <c r="AM2972" s="6" t="e">
        <f>MATCH(D2972,'D5 - Gatekeeper - Projects'!$C$4:$C$1010,0)</f>
        <v>#N/A</v>
      </c>
      <c r="AN2972" s="6" t="b">
        <f t="shared" si="309"/>
        <v>1</v>
      </c>
      <c r="AO2972" s="6" t="str">
        <f t="shared" si="310"/>
        <v>OK</v>
      </c>
      <c r="AQ2972" s="6" t="e">
        <f>MATCH($D2972,'D4 - Provider Council Unsched'!$C$11:$C$234,0)</f>
        <v>#N/A</v>
      </c>
      <c r="AR2972" s="6" t="b">
        <f t="shared" si="311"/>
        <v>1</v>
      </c>
      <c r="AS2972" s="6" t="str">
        <f t="shared" si="312"/>
        <v>OK</v>
      </c>
      <c r="AU2972" s="202"/>
      <c r="AV2972" s="262"/>
      <c r="AW2972" s="274"/>
    </row>
    <row r="2973" spans="1:49" s="13" customFormat="1" ht="22.5" x14ac:dyDescent="0.2">
      <c r="A2973" s="14">
        <v>2949</v>
      </c>
      <c r="B2973" s="14">
        <v>400035110</v>
      </c>
      <c r="C2973" s="8" t="s">
        <v>5197</v>
      </c>
      <c r="D2973" s="4" t="str">
        <f t="shared" si="313"/>
        <v>400035110R1</v>
      </c>
      <c r="E2973" s="309" t="str">
        <f>VLOOKUP($B2973,'D7 - NDB Impacted SPRF''s'!$E$6:$O$9929,2,FALSE)</f>
        <v xml:space="preserve">Deductible Field Expansion </v>
      </c>
      <c r="F2973" s="8" t="s">
        <v>2114</v>
      </c>
      <c r="G2973" s="8" t="s">
        <v>4758</v>
      </c>
      <c r="H2973" s="8" t="s">
        <v>2870</v>
      </c>
      <c r="I2973" s="20"/>
      <c r="J2973" s="8"/>
      <c r="K2973" s="182"/>
      <c r="L2973" s="8" t="s">
        <v>4156</v>
      </c>
      <c r="M2973" s="8" t="s">
        <v>2814</v>
      </c>
      <c r="N2973" s="38" t="s">
        <v>5269</v>
      </c>
      <c r="O2973" s="8"/>
      <c r="P2973" s="4" t="str">
        <f>VLOOKUP($B2973,'D7 - NDB Impacted SPRF''s'!$E$16:$O$9929,9,FALSE)</f>
        <v>Y</v>
      </c>
      <c r="Q2973" s="4" t="str">
        <f>VLOOKUP($B2973,'D7 - NDB Impacted SPRF''s'!$E$16:$O$9929,10,FALSE)</f>
        <v>N</v>
      </c>
      <c r="R2973" s="4" t="str">
        <f>VLOOKUP($B2973,'D7 - NDB Impacted SPRF''s'!$E$16:$O$9929,11,FALSE)</f>
        <v>N</v>
      </c>
      <c r="S2973" s="8"/>
      <c r="T2973" s="310"/>
      <c r="U2973" s="310"/>
      <c r="V2973" s="4"/>
      <c r="W2973" s="4"/>
      <c r="X2973" s="4"/>
      <c r="Y2973" s="4"/>
      <c r="Z2973" s="4"/>
      <c r="AA2973" s="4"/>
      <c r="AB2973" s="380" t="str">
        <f>VLOOKUP($B2973,'D7 - NDB Impacted SPRF''s'!$E$6:$O$9929,4,FALSE)</f>
        <v>Scheduled</v>
      </c>
      <c r="AC2973" s="380" t="str">
        <f>VLOOKUP($B2973,'D7 - NDB Impacted SPRF''s'!$E$6:$O$9929,3,FALSE)</f>
        <v>UnitedHealthcare</v>
      </c>
      <c r="AD2973" s="380" t="str">
        <f>VLOOKUP($B2973,'D7 - NDB Impacted SPRF''s'!$E$6:$O$9929,5,FALSE)</f>
        <v>Operational Requirements - General Fund</v>
      </c>
      <c r="AE2973" s="380" t="str">
        <f>VLOOKUP($B2973,'D7 - NDB Impacted SPRF''s'!$E$6:$O$9929,7,FALSE)</f>
        <v>Rob Warshaw</v>
      </c>
      <c r="AF2973" s="380" t="str">
        <f>VLOOKUP($B2973,'D7 - NDB Impacted SPRF''s'!$E$6:$O$9929,6,FALSE)</f>
        <v>KELLY JANDT</v>
      </c>
      <c r="AG2973" s="282"/>
      <c r="AH2973" s="311" t="e">
        <f>INDEX('D5 - Gatekeeper - Projects'!$A$4:$AF$1010,$AM2973, 17)</f>
        <v>#N/A</v>
      </c>
      <c r="AI2973" s="8"/>
      <c r="AJ2973" s="57"/>
      <c r="AK2973" s="105"/>
      <c r="AM2973" s="6" t="e">
        <f>MATCH(D2973,'D5 - Gatekeeper - Projects'!$C$4:$C$1010,0)</f>
        <v>#N/A</v>
      </c>
      <c r="AN2973" s="6" t="b">
        <f t="shared" si="309"/>
        <v>1</v>
      </c>
      <c r="AO2973" s="6" t="str">
        <f t="shared" si="310"/>
        <v>OK</v>
      </c>
      <c r="AQ2973" s="6" t="e">
        <f>MATCH($D2973,'D4 - Provider Council Unsched'!$C$11:$C$234,0)</f>
        <v>#N/A</v>
      </c>
      <c r="AR2973" s="6" t="b">
        <f t="shared" si="311"/>
        <v>1</v>
      </c>
      <c r="AS2973" s="6" t="str">
        <f t="shared" si="312"/>
        <v>OK</v>
      </c>
      <c r="AU2973" s="202"/>
      <c r="AV2973" s="262"/>
      <c r="AW2973" s="274"/>
    </row>
    <row r="2974" spans="1:49" s="13" customFormat="1" ht="45" x14ac:dyDescent="0.2">
      <c r="A2974" s="14">
        <v>2950</v>
      </c>
      <c r="B2974" s="14">
        <v>400035185</v>
      </c>
      <c r="C2974" s="8" t="s">
        <v>5197</v>
      </c>
      <c r="D2974" s="4" t="str">
        <f t="shared" si="313"/>
        <v>400035185R1</v>
      </c>
      <c r="E2974" s="309" t="str">
        <f>VLOOKUP($B2974,'D7 - NDB Impacted SPRF''s'!$E$6:$O$9929,2,FALSE)</f>
        <v>Contact Interaction Management System Evaluation</v>
      </c>
      <c r="F2974" s="8" t="s">
        <v>2114</v>
      </c>
      <c r="G2974" s="8" t="s">
        <v>4758</v>
      </c>
      <c r="H2974" s="8" t="s">
        <v>2870</v>
      </c>
      <c r="I2974" s="20"/>
      <c r="J2974" s="8"/>
      <c r="K2974" s="182"/>
      <c r="L2974" s="8" t="s">
        <v>4156</v>
      </c>
      <c r="M2974" s="8" t="s">
        <v>2814</v>
      </c>
      <c r="N2974" s="38" t="s">
        <v>5266</v>
      </c>
      <c r="O2974" s="8"/>
      <c r="P2974" s="4" t="str">
        <f>VLOOKUP($B2974,'D7 - NDB Impacted SPRF''s'!$E$16:$O$9929,9,FALSE)</f>
        <v>N</v>
      </c>
      <c r="Q2974" s="4" t="str">
        <f>VLOOKUP($B2974,'D7 - NDB Impacted SPRF''s'!$E$16:$O$9929,10,FALSE)</f>
        <v>N</v>
      </c>
      <c r="R2974" s="4" t="str">
        <f>VLOOKUP($B2974,'D7 - NDB Impacted SPRF''s'!$E$16:$O$9929,11,FALSE)</f>
        <v>N</v>
      </c>
      <c r="S2974" s="8"/>
      <c r="T2974" s="310"/>
      <c r="U2974" s="310"/>
      <c r="V2974" s="4"/>
      <c r="W2974" s="4"/>
      <c r="X2974" s="4"/>
      <c r="Y2974" s="4"/>
      <c r="Z2974" s="4"/>
      <c r="AA2974" s="4"/>
      <c r="AB2974" s="380" t="str">
        <f>VLOOKUP($B2974,'D7 - NDB Impacted SPRF''s'!$E$6:$O$9929,4,FALSE)</f>
        <v>Cancelled</v>
      </c>
      <c r="AC2974" s="380" t="str">
        <f>VLOOKUP($B2974,'D7 - NDB Impacted SPRF''s'!$E$6:$O$9929,3,FALSE)</f>
        <v>UHG IT - Enterprise Technology Services</v>
      </c>
      <c r="AD2974" s="380" t="str">
        <f>VLOOKUP($B2974,'D7 - NDB Impacted SPRF''s'!$E$6:$O$9929,5,FALSE)</f>
        <v>Network Services</v>
      </c>
      <c r="AE2974" s="380" t="str">
        <f>VLOOKUP($B2974,'D7 - NDB Impacted SPRF''s'!$E$6:$O$9929,7,FALSE)</f>
        <v>Mike Sanderson</v>
      </c>
      <c r="AF2974" s="380" t="str">
        <f>VLOOKUP($B2974,'D7 - NDB Impacted SPRF''s'!$E$6:$O$9929,6,FALSE)</f>
        <v>THOMAS BARTHEL</v>
      </c>
      <c r="AG2974" s="282"/>
      <c r="AH2974" s="311" t="e">
        <f>INDEX('D5 - Gatekeeper - Projects'!$A$4:$AF$1010,$AM2974, 17)</f>
        <v>#N/A</v>
      </c>
      <c r="AI2974" s="8"/>
      <c r="AJ2974" s="57"/>
      <c r="AK2974" s="105"/>
      <c r="AM2974" s="6" t="e">
        <f>MATCH(D2974,'D5 - Gatekeeper - Projects'!$C$4:$C$1010,0)</f>
        <v>#N/A</v>
      </c>
      <c r="AN2974" s="6" t="b">
        <f t="shared" si="309"/>
        <v>1</v>
      </c>
      <c r="AO2974" s="6" t="str">
        <f t="shared" si="310"/>
        <v>OK</v>
      </c>
      <c r="AQ2974" s="6" t="e">
        <f>MATCH($D2974,'D4 - Provider Council Unsched'!$C$11:$C$234,0)</f>
        <v>#N/A</v>
      </c>
      <c r="AR2974" s="6" t="b">
        <f t="shared" si="311"/>
        <v>1</v>
      </c>
      <c r="AS2974" s="6" t="str">
        <f t="shared" si="312"/>
        <v>OK</v>
      </c>
      <c r="AU2974" s="202"/>
      <c r="AV2974" s="262"/>
      <c r="AW2974" s="274"/>
    </row>
    <row r="2975" spans="1:49" s="13" customFormat="1" ht="33.75" x14ac:dyDescent="0.2">
      <c r="A2975" s="14">
        <v>2951</v>
      </c>
      <c r="B2975" s="14">
        <v>400035298</v>
      </c>
      <c r="C2975" s="8" t="s">
        <v>5197</v>
      </c>
      <c r="D2975" s="4" t="str">
        <f t="shared" si="313"/>
        <v>400035298R1</v>
      </c>
      <c r="E2975" s="309" t="str">
        <f>VLOOKUP($B2975,'D7 - NDB Impacted SPRF''s'!$E$6:$O$9929,2,FALSE)</f>
        <v>Deere Premier Provider Directory list from NDB</v>
      </c>
      <c r="F2975" s="8"/>
      <c r="G2975" s="8" t="s">
        <v>4758</v>
      </c>
      <c r="H2975" s="8" t="s">
        <v>2870</v>
      </c>
      <c r="I2975" s="20"/>
      <c r="J2975" s="8"/>
      <c r="K2975" s="182"/>
      <c r="L2975" s="8" t="s">
        <v>4156</v>
      </c>
      <c r="M2975" s="8" t="s">
        <v>2814</v>
      </c>
      <c r="N2975" s="38" t="s">
        <v>6926</v>
      </c>
      <c r="O2975" s="8"/>
      <c r="P2975" s="4" t="str">
        <f>VLOOKUP($B2975,'D7 - NDB Impacted SPRF''s'!$E$16:$O$9929,9,FALSE)</f>
        <v>N</v>
      </c>
      <c r="Q2975" s="4" t="str">
        <f>VLOOKUP($B2975,'D7 - NDB Impacted SPRF''s'!$E$16:$O$9929,10,FALSE)</f>
        <v>N</v>
      </c>
      <c r="R2975" s="4" t="str">
        <f>VLOOKUP($B2975,'D7 - NDB Impacted SPRF''s'!$E$16:$O$9929,11,FALSE)</f>
        <v>N</v>
      </c>
      <c r="S2975" s="8"/>
      <c r="T2975" s="310"/>
      <c r="U2975" s="310"/>
      <c r="V2975" s="4"/>
      <c r="W2975" s="4"/>
      <c r="X2975" s="4"/>
      <c r="Y2975" s="4"/>
      <c r="Z2975" s="4"/>
      <c r="AA2975" s="4"/>
      <c r="AB2975" s="380" t="str">
        <f>VLOOKUP($B2975,'D7 - NDB Impacted SPRF''s'!$E$6:$O$9929,4,FALSE)</f>
        <v>Cancelled</v>
      </c>
      <c r="AC2975" s="380" t="str">
        <f>VLOOKUP($B2975,'D7 - NDB Impacted SPRF''s'!$E$6:$O$9929,3,FALSE)</f>
        <v>UnitedHealthcare Employer &amp; Individual</v>
      </c>
      <c r="AD2975" s="380" t="str">
        <f>VLOOKUP($B2975,'D7 - NDB Impacted SPRF''s'!$E$6:$O$9929,5,FALSE)</f>
        <v>Membership Growth / Revenue Programs</v>
      </c>
      <c r="AE2975" s="380" t="str">
        <f>VLOOKUP($B2975,'D7 - NDB Impacted SPRF''s'!$E$6:$O$9929,7,FALSE)</f>
        <v>John Ryan</v>
      </c>
      <c r="AF2975" s="380" t="str">
        <f>VLOOKUP($B2975,'D7 - NDB Impacted SPRF''s'!$E$6:$O$9929,6,FALSE)</f>
        <v>Patricia Mullins</v>
      </c>
      <c r="AG2975" s="282"/>
      <c r="AH2975" s="311" t="e">
        <f>INDEX('D5 - Gatekeeper - Projects'!$A$4:$AF$1010,$AM2975, 17)</f>
        <v>#N/A</v>
      </c>
      <c r="AI2975" s="8"/>
      <c r="AJ2975" s="57"/>
      <c r="AK2975" s="105"/>
      <c r="AM2975" s="6" t="e">
        <f>MATCH(D2975,'D5 - Gatekeeper - Projects'!$C$4:$C$1010,0)</f>
        <v>#N/A</v>
      </c>
      <c r="AN2975" s="6" t="b">
        <f t="shared" si="309"/>
        <v>1</v>
      </c>
      <c r="AO2975" s="6" t="str">
        <f t="shared" si="310"/>
        <v>OK</v>
      </c>
      <c r="AQ2975" s="6" t="e">
        <f>MATCH($D2975,'D4 - Provider Council Unsched'!$C$11:$C$234,0)</f>
        <v>#N/A</v>
      </c>
      <c r="AR2975" s="6" t="b">
        <f t="shared" si="311"/>
        <v>1</v>
      </c>
      <c r="AS2975" s="6" t="str">
        <f t="shared" si="312"/>
        <v>OK</v>
      </c>
      <c r="AU2975" s="202"/>
      <c r="AV2975" s="262"/>
      <c r="AW2975" s="274"/>
    </row>
    <row r="2976" spans="1:49" s="13" customFormat="1" ht="33.75" x14ac:dyDescent="0.2">
      <c r="A2976" s="14">
        <v>2952</v>
      </c>
      <c r="B2976" s="14">
        <v>400035329</v>
      </c>
      <c r="C2976" s="8" t="s">
        <v>5197</v>
      </c>
      <c r="D2976" s="4" t="str">
        <f t="shared" si="313"/>
        <v>400035329R1</v>
      </c>
      <c r="E2976" s="309" t="str">
        <f>VLOOKUP($B2976,'D7 - NDB Impacted SPRF''s'!$E$6:$O$9929,2,FALSE)</f>
        <v>HPHC Shared Provider-Provider Directory Indicators</v>
      </c>
      <c r="F2976" s="8" t="s">
        <v>2114</v>
      </c>
      <c r="G2976" s="8" t="s">
        <v>4758</v>
      </c>
      <c r="H2976" s="8" t="s">
        <v>2870</v>
      </c>
      <c r="I2976" s="20"/>
      <c r="J2976" s="8"/>
      <c r="K2976" s="182"/>
      <c r="L2976" s="8" t="s">
        <v>4156</v>
      </c>
      <c r="M2976" s="8" t="s">
        <v>2814</v>
      </c>
      <c r="N2976" s="38"/>
      <c r="O2976" s="8"/>
      <c r="P2976" s="4" t="str">
        <f>VLOOKUP($B2976,'D7 - NDB Impacted SPRF''s'!$E$16:$O$9929,9,FALSE)</f>
        <v>N</v>
      </c>
      <c r="Q2976" s="4" t="str">
        <f>VLOOKUP($B2976,'D7 - NDB Impacted SPRF''s'!$E$16:$O$9929,10,FALSE)</f>
        <v>N</v>
      </c>
      <c r="R2976" s="4" t="str">
        <f>VLOOKUP($B2976,'D7 - NDB Impacted SPRF''s'!$E$16:$O$9929,11,FALSE)</f>
        <v>N</v>
      </c>
      <c r="S2976" s="8"/>
      <c r="T2976" s="310"/>
      <c r="U2976" s="310"/>
      <c r="V2976" s="4"/>
      <c r="W2976" s="4"/>
      <c r="X2976" s="4"/>
      <c r="Y2976" s="4"/>
      <c r="Z2976" s="4"/>
      <c r="AA2976" s="4"/>
      <c r="AB2976" s="380" t="str">
        <f>VLOOKUP($B2976,'D7 - NDB Impacted SPRF''s'!$E$6:$O$9929,4,FALSE)</f>
        <v>Cancelled</v>
      </c>
      <c r="AC2976" s="380" t="str">
        <f>VLOOKUP($B2976,'D7 - NDB Impacted SPRF''s'!$E$6:$O$9929,3,FALSE)</f>
        <v>UnitedHealthcare Employer &amp; Individual</v>
      </c>
      <c r="AD2976" s="380" t="str">
        <f>VLOOKUP($B2976,'D7 - NDB Impacted SPRF''s'!$E$6:$O$9929,5,FALSE)</f>
        <v>HCA - HPHC Operational Support</v>
      </c>
      <c r="AE2976" s="380" t="str">
        <f>VLOOKUP($B2976,'D7 - NDB Impacted SPRF''s'!$E$6:$O$9929,7,FALSE)</f>
        <v>Tonkin, Susan</v>
      </c>
      <c r="AF2976" s="380" t="str">
        <f>VLOOKUP($B2976,'D7 - NDB Impacted SPRF''s'!$E$6:$O$9929,6,FALSE)</f>
        <v>Ryan Anderson</v>
      </c>
      <c r="AG2976" s="282"/>
      <c r="AH2976" s="311" t="e">
        <f>INDEX('D5 - Gatekeeper - Projects'!$A$4:$AF$1010,$AM2976, 17)</f>
        <v>#N/A</v>
      </c>
      <c r="AI2976" s="8"/>
      <c r="AJ2976" s="57"/>
      <c r="AK2976" s="105"/>
      <c r="AM2976" s="6" t="e">
        <f>MATCH(D2976,'D5 - Gatekeeper - Projects'!$C$4:$C$1010,0)</f>
        <v>#N/A</v>
      </c>
      <c r="AN2976" s="6" t="b">
        <f t="shared" si="309"/>
        <v>1</v>
      </c>
      <c r="AO2976" s="6" t="str">
        <f t="shared" si="310"/>
        <v>OK</v>
      </c>
      <c r="AQ2976" s="6" t="e">
        <f>MATCH($D2976,'D4 - Provider Council Unsched'!$C$11:$C$234,0)</f>
        <v>#N/A</v>
      </c>
      <c r="AR2976" s="6" t="b">
        <f t="shared" si="311"/>
        <v>1</v>
      </c>
      <c r="AS2976" s="6" t="str">
        <f t="shared" si="312"/>
        <v>OK</v>
      </c>
      <c r="AU2976" s="202"/>
      <c r="AV2976" s="262"/>
      <c r="AW2976" s="274"/>
    </row>
    <row r="2977" spans="1:49" s="13" customFormat="1" ht="33.75" x14ac:dyDescent="0.2">
      <c r="A2977" s="14">
        <v>2953</v>
      </c>
      <c r="B2977" s="14">
        <v>400035330</v>
      </c>
      <c r="C2977" s="8" t="s">
        <v>5197</v>
      </c>
      <c r="D2977" s="4" t="str">
        <f t="shared" si="313"/>
        <v>400035330R1</v>
      </c>
      <c r="E2977" s="309" t="str">
        <f>VLOOKUP($B2977,'D7 - NDB Impacted SPRF''s'!$E$6:$O$9929,2,FALSE)</f>
        <v xml:space="preserve">HPHC Shared Provider - Variable PTI </v>
      </c>
      <c r="F2977" s="8" t="s">
        <v>2114</v>
      </c>
      <c r="G2977" s="8" t="s">
        <v>4758</v>
      </c>
      <c r="H2977" s="8" t="s">
        <v>2870</v>
      </c>
      <c r="I2977" s="20"/>
      <c r="J2977" s="8"/>
      <c r="K2977" s="182"/>
      <c r="L2977" s="8" t="s">
        <v>4156</v>
      </c>
      <c r="M2977" s="8" t="s">
        <v>2814</v>
      </c>
      <c r="N2977" s="38"/>
      <c r="O2977" s="8"/>
      <c r="P2977" s="4" t="str">
        <f>VLOOKUP($B2977,'D7 - NDB Impacted SPRF''s'!$E$16:$O$9929,9,FALSE)</f>
        <v>Y</v>
      </c>
      <c r="Q2977" s="4" t="str">
        <f>VLOOKUP($B2977,'D7 - NDB Impacted SPRF''s'!$E$16:$O$9929,10,FALSE)</f>
        <v>N</v>
      </c>
      <c r="R2977" s="4" t="str">
        <f>VLOOKUP($B2977,'D7 - NDB Impacted SPRF''s'!$E$16:$O$9929,11,FALSE)</f>
        <v>N</v>
      </c>
      <c r="S2977" s="8"/>
      <c r="T2977" s="310"/>
      <c r="U2977" s="310"/>
      <c r="V2977" s="4"/>
      <c r="W2977" s="4"/>
      <c r="X2977" s="4"/>
      <c r="Y2977" s="4"/>
      <c r="Z2977" s="4"/>
      <c r="AA2977" s="4"/>
      <c r="AB2977" s="380" t="str">
        <f>VLOOKUP($B2977,'D7 - NDB Impacted SPRF''s'!$E$6:$O$9929,4,FALSE)</f>
        <v>Cancelled</v>
      </c>
      <c r="AC2977" s="380" t="str">
        <f>VLOOKUP($B2977,'D7 - NDB Impacted SPRF''s'!$E$6:$O$9929,3,FALSE)</f>
        <v>UnitedHealthcare Employer &amp; Individual</v>
      </c>
      <c r="AD2977" s="380" t="str">
        <f>VLOOKUP($B2977,'D7 - NDB Impacted SPRF''s'!$E$6:$O$9929,5,FALSE)</f>
        <v>HCA - HPHC Operational Support</v>
      </c>
      <c r="AE2977" s="380" t="str">
        <f>VLOOKUP($B2977,'D7 - NDB Impacted SPRF''s'!$E$6:$O$9929,7,FALSE)</f>
        <v>Sue Tonkin</v>
      </c>
      <c r="AF2977" s="380" t="str">
        <f>VLOOKUP($B2977,'D7 - NDB Impacted SPRF''s'!$E$6:$O$9929,6,FALSE)</f>
        <v>Ryan Anderson</v>
      </c>
      <c r="AG2977" s="282"/>
      <c r="AH2977" s="311" t="e">
        <f>INDEX('D5 - Gatekeeper - Projects'!$A$4:$AF$1010,$AM2977, 17)</f>
        <v>#N/A</v>
      </c>
      <c r="AI2977" s="8"/>
      <c r="AJ2977" s="57"/>
      <c r="AK2977" s="105"/>
      <c r="AM2977" s="6" t="e">
        <f>MATCH(D2977,'D5 - Gatekeeper - Projects'!$C$4:$C$1010,0)</f>
        <v>#N/A</v>
      </c>
      <c r="AN2977" s="6" t="b">
        <f t="shared" si="309"/>
        <v>1</v>
      </c>
      <c r="AO2977" s="6" t="str">
        <f t="shared" si="310"/>
        <v>OK</v>
      </c>
      <c r="AQ2977" s="6" t="e">
        <f>MATCH($D2977,'D4 - Provider Council Unsched'!$C$11:$C$234,0)</f>
        <v>#N/A</v>
      </c>
      <c r="AR2977" s="6" t="b">
        <f t="shared" si="311"/>
        <v>1</v>
      </c>
      <c r="AS2977" s="6" t="str">
        <f t="shared" si="312"/>
        <v>OK</v>
      </c>
      <c r="AU2977" s="202"/>
      <c r="AV2977" s="262"/>
      <c r="AW2977" s="274"/>
    </row>
    <row r="2978" spans="1:49" s="13" customFormat="1" ht="33.75" x14ac:dyDescent="0.2">
      <c r="A2978" s="14">
        <v>2954</v>
      </c>
      <c r="B2978" s="14">
        <v>400035710</v>
      </c>
      <c r="C2978" s="8" t="s">
        <v>5197</v>
      </c>
      <c r="D2978" s="4" t="str">
        <f t="shared" si="313"/>
        <v>400035710R1</v>
      </c>
      <c r="E2978" s="309" t="str">
        <f>VLOOKUP($B2978,'D7 - NDB Impacted SPRF''s'!$E$6:$O$9929,2,FALSE)</f>
        <v>Medica NPI &amp; Demographic Feed Update</v>
      </c>
      <c r="F2978" s="8"/>
      <c r="G2978" s="8" t="s">
        <v>4758</v>
      </c>
      <c r="H2978" s="8" t="s">
        <v>2870</v>
      </c>
      <c r="I2978" s="20"/>
      <c r="J2978" s="8"/>
      <c r="K2978" s="182"/>
      <c r="L2978" s="8" t="s">
        <v>4156</v>
      </c>
      <c r="M2978" s="8" t="s">
        <v>2814</v>
      </c>
      <c r="N2978" s="38"/>
      <c r="O2978" s="8"/>
      <c r="P2978" s="4" t="str">
        <f>VLOOKUP($B2978,'D7 - NDB Impacted SPRF''s'!$E$16:$O$9929,9,FALSE)</f>
        <v>N</v>
      </c>
      <c r="Q2978" s="4" t="str">
        <f>VLOOKUP($B2978,'D7 - NDB Impacted SPRF''s'!$E$16:$O$9929,10,FALSE)</f>
        <v>N</v>
      </c>
      <c r="R2978" s="4" t="str">
        <f>VLOOKUP($B2978,'D7 - NDB Impacted SPRF''s'!$E$16:$O$9929,11,FALSE)</f>
        <v>N</v>
      </c>
      <c r="S2978" s="8"/>
      <c r="T2978" s="310"/>
      <c r="U2978" s="310"/>
      <c r="V2978" s="4"/>
      <c r="W2978" s="4"/>
      <c r="X2978" s="4"/>
      <c r="Y2978" s="4"/>
      <c r="Z2978" s="4"/>
      <c r="AA2978" s="4"/>
      <c r="AB2978" s="380" t="str">
        <f>VLOOKUP($B2978,'D7 - NDB Impacted SPRF''s'!$E$6:$O$9929,4,FALSE)</f>
        <v>Cancelled</v>
      </c>
      <c r="AC2978" s="380" t="str">
        <f>VLOOKUP($B2978,'D7 - NDB Impacted SPRF''s'!$E$6:$O$9929,3,FALSE)</f>
        <v>UnitedHealthcare Employer &amp; Individual</v>
      </c>
      <c r="AD2978" s="380" t="str">
        <f>VLOOKUP($B2978,'D7 - NDB Impacted SPRF''s'!$E$6:$O$9929,5,FALSE)</f>
        <v>HCA - Medica Operational Support</v>
      </c>
      <c r="AE2978" s="380" t="str">
        <f>VLOOKUP($B2978,'D7 - NDB Impacted SPRF''s'!$E$6:$O$9929,7,FALSE)</f>
        <v>Pam Stegora Axberg</v>
      </c>
      <c r="AF2978" s="380" t="str">
        <f>VLOOKUP($B2978,'D7 - NDB Impacted SPRF''s'!$E$6:$O$9929,6,FALSE)</f>
        <v>Cynthia Collier</v>
      </c>
      <c r="AG2978" s="282"/>
      <c r="AH2978" s="311" t="e">
        <f>INDEX('D5 - Gatekeeper - Projects'!$A$4:$AF$1010,$AM2978, 17)</f>
        <v>#N/A</v>
      </c>
      <c r="AI2978" s="8"/>
      <c r="AJ2978" s="57"/>
      <c r="AK2978" s="105"/>
      <c r="AM2978" s="6" t="e">
        <f>MATCH(D2978,'D5 - Gatekeeper - Projects'!$C$4:$C$1010,0)</f>
        <v>#N/A</v>
      </c>
      <c r="AN2978" s="6" t="b">
        <f t="shared" si="309"/>
        <v>1</v>
      </c>
      <c r="AO2978" s="6" t="str">
        <f t="shared" si="310"/>
        <v>OK</v>
      </c>
      <c r="AQ2978" s="6" t="e">
        <f>MATCH($D2978,'D4 - Provider Council Unsched'!$C$11:$C$234,0)</f>
        <v>#N/A</v>
      </c>
      <c r="AR2978" s="6" t="b">
        <f t="shared" si="311"/>
        <v>1</v>
      </c>
      <c r="AS2978" s="6" t="str">
        <f t="shared" si="312"/>
        <v>OK</v>
      </c>
      <c r="AU2978" s="202"/>
      <c r="AV2978" s="262"/>
      <c r="AW2978" s="274"/>
    </row>
    <row r="2979" spans="1:49" s="13" customFormat="1" ht="33.75" x14ac:dyDescent="0.2">
      <c r="A2979" s="14">
        <v>2955</v>
      </c>
      <c r="B2979" s="14">
        <v>400035720</v>
      </c>
      <c r="C2979" s="8" t="s">
        <v>5197</v>
      </c>
      <c r="D2979" s="4" t="str">
        <f t="shared" si="313"/>
        <v>400035720R1</v>
      </c>
      <c r="E2979" s="309" t="str">
        <f>VLOOKUP($B2979,'D7 - NDB Impacted SPRF''s'!$E$6:$O$9929,2,FALSE)</f>
        <v>EDI 278N 2010 Q4</v>
      </c>
      <c r="F2979" s="8"/>
      <c r="G2979" s="8" t="s">
        <v>4758</v>
      </c>
      <c r="H2979" s="8" t="s">
        <v>2870</v>
      </c>
      <c r="I2979" s="20"/>
      <c r="J2979" s="8"/>
      <c r="K2979" s="182"/>
      <c r="L2979" s="8" t="s">
        <v>4156</v>
      </c>
      <c r="M2979" s="8" t="s">
        <v>2814</v>
      </c>
      <c r="N2979" s="38" t="s">
        <v>5271</v>
      </c>
      <c r="O2979" s="8"/>
      <c r="P2979" s="4" t="str">
        <f>VLOOKUP($B2979,'D7 - NDB Impacted SPRF''s'!$E$16:$O$9929,9,FALSE)</f>
        <v>N</v>
      </c>
      <c r="Q2979" s="4" t="str">
        <f>VLOOKUP($B2979,'D7 - NDB Impacted SPRF''s'!$E$16:$O$9929,10,FALSE)</f>
        <v>N</v>
      </c>
      <c r="R2979" s="4" t="str">
        <f>VLOOKUP($B2979,'D7 - NDB Impacted SPRF''s'!$E$16:$O$9929,11,FALSE)</f>
        <v>N</v>
      </c>
      <c r="S2979" s="8"/>
      <c r="T2979" s="310"/>
      <c r="U2979" s="310"/>
      <c r="V2979" s="4"/>
      <c r="W2979" s="4"/>
      <c r="X2979" s="4"/>
      <c r="Y2979" s="4"/>
      <c r="Z2979" s="4"/>
      <c r="AA2979" s="4"/>
      <c r="AB2979" s="380" t="str">
        <f>VLOOKUP($B2979,'D7 - NDB Impacted SPRF''s'!$E$6:$O$9929,4,FALSE)</f>
        <v>Completed</v>
      </c>
      <c r="AC2979" s="380" t="str">
        <f>VLOOKUP($B2979,'D7 - NDB Impacted SPRF''s'!$E$6:$O$9929,3,FALSE)</f>
        <v>UnitedHealthcare Medicare &amp; Retirement</v>
      </c>
      <c r="AD2979" s="380" t="str">
        <f>VLOOKUP($B2979,'D7 - NDB Impacted SPRF''s'!$E$6:$O$9929,5,FALSE)</f>
        <v>Enterprise Clinical</v>
      </c>
      <c r="AE2979" s="380" t="str">
        <f>VLOOKUP($B2979,'D7 - NDB Impacted SPRF''s'!$E$6:$O$9929,7,FALSE)</f>
        <v>Jim Gillen</v>
      </c>
      <c r="AF2979" s="380" t="str">
        <f>VLOOKUP($B2979,'D7 - NDB Impacted SPRF''s'!$E$6:$O$9929,6,FALSE)</f>
        <v>Mary McDonald</v>
      </c>
      <c r="AG2979" s="282"/>
      <c r="AH2979" s="311" t="e">
        <f>INDEX('D5 - Gatekeeper - Projects'!$A$4:$AF$1010,$AM2979, 17)</f>
        <v>#N/A</v>
      </c>
      <c r="AI2979" s="8"/>
      <c r="AJ2979" s="57"/>
      <c r="AK2979" s="105"/>
      <c r="AM2979" s="6" t="e">
        <f>MATCH(D2979,'D5 - Gatekeeper - Projects'!$C$4:$C$1010,0)</f>
        <v>#N/A</v>
      </c>
      <c r="AN2979" s="6" t="b">
        <f t="shared" si="309"/>
        <v>1</v>
      </c>
      <c r="AO2979" s="6" t="str">
        <f t="shared" si="310"/>
        <v>OK</v>
      </c>
      <c r="AQ2979" s="6" t="e">
        <f>MATCH($D2979,'D4 - Provider Council Unsched'!$C$11:$C$234,0)</f>
        <v>#N/A</v>
      </c>
      <c r="AR2979" s="6" t="b">
        <f t="shared" si="311"/>
        <v>1</v>
      </c>
      <c r="AS2979" s="6" t="str">
        <f t="shared" si="312"/>
        <v>OK</v>
      </c>
      <c r="AU2979" s="202"/>
      <c r="AV2979" s="262"/>
      <c r="AW2979" s="274"/>
    </row>
    <row r="2980" spans="1:49" s="13" customFormat="1" ht="33.75" x14ac:dyDescent="0.2">
      <c r="A2980" s="14">
        <v>2956</v>
      </c>
      <c r="B2980" s="14">
        <v>400035935</v>
      </c>
      <c r="C2980" s="8" t="s">
        <v>5197</v>
      </c>
      <c r="D2980" s="4" t="str">
        <f t="shared" si="313"/>
        <v>400035935R1</v>
      </c>
      <c r="E2980" s="309" t="str">
        <f>VLOOKUP($B2980,'D7 - NDB Impacted SPRF''s'!$E$6:$O$9929,2,FALSE)</f>
        <v>EDI Hub Consolidation: Release 1.0</v>
      </c>
      <c r="F2980" s="8"/>
      <c r="G2980" s="8" t="s">
        <v>4758</v>
      </c>
      <c r="H2980" s="8" t="s">
        <v>2870</v>
      </c>
      <c r="I2980" s="20"/>
      <c r="J2980" s="8"/>
      <c r="K2980" s="182"/>
      <c r="L2980" s="8" t="s">
        <v>4156</v>
      </c>
      <c r="M2980" s="8" t="s">
        <v>2814</v>
      </c>
      <c r="N2980" s="38"/>
      <c r="O2980" s="8"/>
      <c r="P2980" s="4" t="str">
        <f>VLOOKUP($B2980,'D7 - NDB Impacted SPRF''s'!$E$16:$O$9929,9,FALSE)</f>
        <v>N</v>
      </c>
      <c r="Q2980" s="4" t="str">
        <f>VLOOKUP($B2980,'D7 - NDB Impacted SPRF''s'!$E$16:$O$9929,10,FALSE)</f>
        <v>N</v>
      </c>
      <c r="R2980" s="4" t="str">
        <f>VLOOKUP($B2980,'D7 - NDB Impacted SPRF''s'!$E$16:$O$9929,11,FALSE)</f>
        <v>N</v>
      </c>
      <c r="S2980" s="8"/>
      <c r="T2980" s="310"/>
      <c r="U2980" s="310"/>
      <c r="V2980" s="4"/>
      <c r="W2980" s="4"/>
      <c r="X2980" s="4"/>
      <c r="Y2980" s="4"/>
      <c r="Z2980" s="4"/>
      <c r="AA2980" s="4"/>
      <c r="AB2980" s="380" t="str">
        <f>VLOOKUP($B2980,'D7 - NDB Impacted SPRF''s'!$E$6:$O$9929,4,FALSE)</f>
        <v>Cancelled</v>
      </c>
      <c r="AC2980" s="380" t="str">
        <f>VLOOKUP($B2980,'D7 - NDB Impacted SPRF''s'!$E$6:$O$9929,3,FALSE)</f>
        <v>UnitedHealthcare Employer &amp; Individual</v>
      </c>
      <c r="AD2980" s="380" t="str">
        <f>VLOOKUP($B2980,'D7 - NDB Impacted SPRF''s'!$E$6:$O$9929,5,FALSE)</f>
        <v>HIPAA 5010</v>
      </c>
      <c r="AE2980" s="380" t="str">
        <f>VLOOKUP($B2980,'D7 - NDB Impacted SPRF''s'!$E$6:$O$9929,7,FALSE)</f>
        <v>Ellen Dela Rosa-Pearn</v>
      </c>
      <c r="AF2980" s="380" t="str">
        <f>VLOOKUP($B2980,'D7 - NDB Impacted SPRF''s'!$E$6:$O$9929,6,FALSE)</f>
        <v>LISA FRIDLAND</v>
      </c>
      <c r="AG2980" s="282"/>
      <c r="AH2980" s="311" t="e">
        <f>INDEX('D5 - Gatekeeper - Projects'!$A$4:$AF$1010,$AM2980, 17)</f>
        <v>#N/A</v>
      </c>
      <c r="AI2980" s="8"/>
      <c r="AJ2980" s="57"/>
      <c r="AK2980" s="105"/>
      <c r="AM2980" s="6" t="e">
        <f>MATCH(D2980,'D5 - Gatekeeper - Projects'!$C$4:$C$1010,0)</f>
        <v>#N/A</v>
      </c>
      <c r="AN2980" s="6" t="b">
        <f t="shared" si="309"/>
        <v>1</v>
      </c>
      <c r="AO2980" s="6" t="str">
        <f t="shared" si="310"/>
        <v>OK</v>
      </c>
      <c r="AQ2980" s="6" t="e">
        <f>MATCH($D2980,'D4 - Provider Council Unsched'!$C$11:$C$234,0)</f>
        <v>#N/A</v>
      </c>
      <c r="AR2980" s="6" t="b">
        <f t="shared" si="311"/>
        <v>1</v>
      </c>
      <c r="AS2980" s="6" t="str">
        <f t="shared" si="312"/>
        <v>OK</v>
      </c>
      <c r="AU2980" s="202"/>
      <c r="AV2980" s="262"/>
      <c r="AW2980" s="274"/>
    </row>
    <row r="2981" spans="1:49" s="13" customFormat="1" ht="33.75" x14ac:dyDescent="0.2">
      <c r="A2981" s="14">
        <v>2957</v>
      </c>
      <c r="B2981" s="14">
        <v>400035973</v>
      </c>
      <c r="C2981" s="8" t="s">
        <v>5197</v>
      </c>
      <c r="D2981" s="4" t="str">
        <f t="shared" si="313"/>
        <v>400035973R1</v>
      </c>
      <c r="E2981" s="309" t="str">
        <f>VLOOKUP($B2981,'D7 - NDB Impacted SPRF''s'!$E$6:$O$9929,2,FALSE)</f>
        <v>CT - CMP (Care Mgt Plan) - ASO/MSO</v>
      </c>
      <c r="F2981" s="8"/>
      <c r="G2981" s="8" t="s">
        <v>4758</v>
      </c>
      <c r="H2981" s="8" t="s">
        <v>2870</v>
      </c>
      <c r="I2981" s="20"/>
      <c r="J2981" s="8"/>
      <c r="K2981" s="182"/>
      <c r="L2981" s="8" t="s">
        <v>4156</v>
      </c>
      <c r="M2981" s="8" t="s">
        <v>2814</v>
      </c>
      <c r="N2981" s="38" t="s">
        <v>6926</v>
      </c>
      <c r="O2981" s="8"/>
      <c r="P2981" s="4" t="str">
        <f>VLOOKUP($B2981,'D7 - NDB Impacted SPRF''s'!$E$16:$O$9929,9,FALSE)</f>
        <v>N</v>
      </c>
      <c r="Q2981" s="4" t="str">
        <f>VLOOKUP($B2981,'D7 - NDB Impacted SPRF''s'!$E$16:$O$9929,10,FALSE)</f>
        <v>N</v>
      </c>
      <c r="R2981" s="4" t="str">
        <f>VLOOKUP($B2981,'D7 - NDB Impacted SPRF''s'!$E$16:$O$9929,11,FALSE)</f>
        <v>N</v>
      </c>
      <c r="S2981" s="8"/>
      <c r="T2981" s="310"/>
      <c r="U2981" s="310"/>
      <c r="V2981" s="4"/>
      <c r="W2981" s="4"/>
      <c r="X2981" s="4"/>
      <c r="Y2981" s="4"/>
      <c r="Z2981" s="4"/>
      <c r="AA2981" s="4"/>
      <c r="AB2981" s="380" t="str">
        <f>VLOOKUP($B2981,'D7 - NDB Impacted SPRF''s'!$E$6:$O$9929,4,FALSE)</f>
        <v>Cancelled</v>
      </c>
      <c r="AC2981" s="380" t="str">
        <f>VLOOKUP($B2981,'D7 - NDB Impacted SPRF''s'!$E$6:$O$9929,3,FALSE)</f>
        <v>UnitedHealthcare Community &amp; State</v>
      </c>
      <c r="AD2981" s="380" t="str">
        <f>VLOOKUP($B2981,'D7 - NDB Impacted SPRF''s'!$E$6:$O$9929,5,FALSE)</f>
        <v>Evercare Medicaid</v>
      </c>
      <c r="AE2981" s="380" t="str">
        <f>VLOOKUP($B2981,'D7 - NDB Impacted SPRF''s'!$E$6:$O$9929,7,FALSE)</f>
        <v>Don Langer</v>
      </c>
      <c r="AF2981" s="380" t="str">
        <f>VLOOKUP($B2981,'D7 - NDB Impacted SPRF''s'!$E$6:$O$9929,6,FALSE)</f>
        <v>Brian Azzarello</v>
      </c>
      <c r="AG2981" s="282"/>
      <c r="AH2981" s="311" t="e">
        <f>INDEX('D5 - Gatekeeper - Projects'!$A$4:$AF$1010,$AM2981, 17)</f>
        <v>#N/A</v>
      </c>
      <c r="AI2981" s="8"/>
      <c r="AJ2981" s="57"/>
      <c r="AK2981" s="105"/>
      <c r="AM2981" s="6" t="e">
        <f>MATCH(D2981,'D5 - Gatekeeper - Projects'!$C$4:$C$1010,0)</f>
        <v>#N/A</v>
      </c>
      <c r="AN2981" s="6" t="b">
        <f t="shared" si="309"/>
        <v>1</v>
      </c>
      <c r="AO2981" s="6" t="str">
        <f t="shared" si="310"/>
        <v>OK</v>
      </c>
      <c r="AQ2981" s="6" t="e">
        <f>MATCH($D2981,'D4 - Provider Council Unsched'!$C$11:$C$234,0)</f>
        <v>#N/A</v>
      </c>
      <c r="AR2981" s="6" t="b">
        <f t="shared" si="311"/>
        <v>1</v>
      </c>
      <c r="AS2981" s="6" t="str">
        <f t="shared" si="312"/>
        <v>OK</v>
      </c>
      <c r="AU2981" s="202"/>
      <c r="AV2981" s="262"/>
      <c r="AW2981" s="274"/>
    </row>
    <row r="2982" spans="1:49" s="13" customFormat="1" ht="33.75" x14ac:dyDescent="0.2">
      <c r="A2982" s="14">
        <v>2958</v>
      </c>
      <c r="B2982" s="14">
        <v>400036098</v>
      </c>
      <c r="C2982" s="8" t="s">
        <v>5197</v>
      </c>
      <c r="D2982" s="4" t="str">
        <f t="shared" si="313"/>
        <v>400036098R1</v>
      </c>
      <c r="E2982" s="309" t="str">
        <f>VLOOKUP($B2982,'D7 - NDB Impacted SPRF''s'!$E$6:$O$9929,2,FALSE)</f>
        <v>State of Maryland Vision</v>
      </c>
      <c r="F2982" s="8"/>
      <c r="G2982" s="8" t="s">
        <v>4758</v>
      </c>
      <c r="H2982" s="8" t="s">
        <v>2870</v>
      </c>
      <c r="I2982" s="20"/>
      <c r="J2982" s="8"/>
      <c r="K2982" s="182"/>
      <c r="L2982" s="8" t="s">
        <v>4156</v>
      </c>
      <c r="M2982" s="8" t="s">
        <v>2814</v>
      </c>
      <c r="N2982" s="38"/>
      <c r="O2982" s="8"/>
      <c r="P2982" s="4" t="str">
        <f>VLOOKUP($B2982,'D7 - NDB Impacted SPRF''s'!$E$16:$O$9929,9,FALSE)</f>
        <v>Y</v>
      </c>
      <c r="Q2982" s="4" t="str">
        <f>VLOOKUP($B2982,'D7 - NDB Impacted SPRF''s'!$E$16:$O$9929,10,FALSE)</f>
        <v>N</v>
      </c>
      <c r="R2982" s="4" t="str">
        <f>VLOOKUP($B2982,'D7 - NDB Impacted SPRF''s'!$E$16:$O$9929,11,FALSE)</f>
        <v>N</v>
      </c>
      <c r="S2982" s="8"/>
      <c r="T2982" s="310"/>
      <c r="U2982" s="310"/>
      <c r="V2982" s="4"/>
      <c r="W2982" s="4"/>
      <c r="X2982" s="4"/>
      <c r="Y2982" s="4"/>
      <c r="Z2982" s="4"/>
      <c r="AA2982" s="4"/>
      <c r="AB2982" s="380" t="str">
        <f>VLOOKUP($B2982,'D7 - NDB Impacted SPRF''s'!$E$6:$O$9929,4,FALSE)</f>
        <v>Cancelled</v>
      </c>
      <c r="AC2982" s="380" t="str">
        <f>VLOOKUP($B2982,'D7 - NDB Impacted SPRF''s'!$E$6:$O$9929,3,FALSE)</f>
        <v>UnitedHealthcare Employer &amp; Individual</v>
      </c>
      <c r="AD2982" s="380" t="str">
        <f>VLOOKUP($B2982,'D7 - NDB Impacted SPRF''s'!$E$6:$O$9929,5,FALSE)</f>
        <v>Membership Growth / Revenue Programs</v>
      </c>
      <c r="AE2982" s="380" t="str">
        <f>VLOOKUP($B2982,'D7 - NDB Impacted SPRF''s'!$E$6:$O$9929,7,FALSE)</f>
        <v>Sharon Hose</v>
      </c>
      <c r="AF2982" s="380" t="str">
        <f>VLOOKUP($B2982,'D7 - NDB Impacted SPRF''s'!$E$6:$O$9929,6,FALSE)</f>
        <v>Mark Fowler</v>
      </c>
      <c r="AG2982" s="282"/>
      <c r="AH2982" s="311" t="e">
        <f>INDEX('D5 - Gatekeeper - Projects'!$A$4:$AF$1010,$AM2982, 17)</f>
        <v>#N/A</v>
      </c>
      <c r="AI2982" s="8"/>
      <c r="AJ2982" s="57"/>
      <c r="AK2982" s="105"/>
      <c r="AM2982" s="6" t="e">
        <f>MATCH(D2982,'D5 - Gatekeeper - Projects'!$C$4:$C$1010,0)</f>
        <v>#N/A</v>
      </c>
      <c r="AN2982" s="6" t="b">
        <f t="shared" si="309"/>
        <v>1</v>
      </c>
      <c r="AO2982" s="6" t="str">
        <f t="shared" si="310"/>
        <v>OK</v>
      </c>
      <c r="AQ2982" s="6" t="e">
        <f>MATCH($D2982,'D4 - Provider Council Unsched'!$C$11:$C$234,0)</f>
        <v>#N/A</v>
      </c>
      <c r="AR2982" s="6" t="b">
        <f t="shared" si="311"/>
        <v>1</v>
      </c>
      <c r="AS2982" s="6" t="str">
        <f t="shared" si="312"/>
        <v>OK</v>
      </c>
      <c r="AU2982" s="202"/>
      <c r="AV2982" s="262"/>
      <c r="AW2982" s="274"/>
    </row>
    <row r="2983" spans="1:49" s="13" customFormat="1" ht="22.5" x14ac:dyDescent="0.2">
      <c r="A2983" s="14">
        <v>2959</v>
      </c>
      <c r="B2983" s="14">
        <v>400036156</v>
      </c>
      <c r="C2983" s="8" t="s">
        <v>5197</v>
      </c>
      <c r="D2983" s="4" t="str">
        <f t="shared" si="313"/>
        <v>400036156R1</v>
      </c>
      <c r="E2983" s="309" t="str">
        <f>VLOOKUP($B2983,'D7 - NDB Impacted SPRF''s'!$E$6:$O$9929,2,FALSE)</f>
        <v>Global Solutions Enrollment</v>
      </c>
      <c r="F2983" s="8"/>
      <c r="G2983" s="8" t="s">
        <v>4758</v>
      </c>
      <c r="H2983" s="8" t="s">
        <v>2870</v>
      </c>
      <c r="I2983" s="20"/>
      <c r="J2983" s="8"/>
      <c r="K2983" s="182"/>
      <c r="L2983" s="8" t="s">
        <v>4156</v>
      </c>
      <c r="M2983" s="8" t="s">
        <v>2814</v>
      </c>
      <c r="N2983" s="38" t="s">
        <v>1165</v>
      </c>
      <c r="O2983" s="8"/>
      <c r="P2983" s="4" t="str">
        <f>VLOOKUP($B2983,'D7 - NDB Impacted SPRF''s'!$E$16:$O$9929,9,FALSE)</f>
        <v>Y</v>
      </c>
      <c r="Q2983" s="4" t="str">
        <f>VLOOKUP($B2983,'D7 - NDB Impacted SPRF''s'!$E$16:$O$9929,10,FALSE)</f>
        <v>N</v>
      </c>
      <c r="R2983" s="4" t="str">
        <f>VLOOKUP($B2983,'D7 - NDB Impacted SPRF''s'!$E$16:$O$9929,11,FALSE)</f>
        <v>N</v>
      </c>
      <c r="S2983" s="8"/>
      <c r="T2983" s="310"/>
      <c r="U2983" s="310"/>
      <c r="V2983" s="4"/>
      <c r="W2983" s="4"/>
      <c r="X2983" s="4"/>
      <c r="Y2983" s="4"/>
      <c r="Z2983" s="4"/>
      <c r="AA2983" s="4"/>
      <c r="AB2983" s="380" t="str">
        <f>VLOOKUP($B2983,'D7 - NDB Impacted SPRF''s'!$E$6:$O$9929,4,FALSE)</f>
        <v>Scheduled</v>
      </c>
      <c r="AC2983" s="380" t="str">
        <f>VLOOKUP($B2983,'D7 - NDB Impacted SPRF''s'!$E$6:$O$9929,3,FALSE)</f>
        <v>Corporate</v>
      </c>
      <c r="AD2983" s="380" t="str">
        <f>VLOOKUP($B2983,'D7 - NDB Impacted SPRF''s'!$E$6:$O$9929,5,FALSE)</f>
        <v>UHI Expatriate Product Creation</v>
      </c>
      <c r="AE2983" s="380" t="str">
        <f>VLOOKUP($B2983,'D7 - NDB Impacted SPRF''s'!$E$6:$O$9929,7,FALSE)</f>
        <v>Ori Karev</v>
      </c>
      <c r="AF2983" s="380" t="str">
        <f>VLOOKUP($B2983,'D7 - NDB Impacted SPRF''s'!$E$6:$O$9929,6,FALSE)</f>
        <v>Steven Kmoch</v>
      </c>
      <c r="AG2983" s="282"/>
      <c r="AH2983" s="311" t="e">
        <f>INDEX('D5 - Gatekeeper - Projects'!$A$4:$AF$1010,$AM2983, 17)</f>
        <v>#N/A</v>
      </c>
      <c r="AI2983" s="8"/>
      <c r="AJ2983" s="57"/>
      <c r="AK2983" s="105"/>
      <c r="AM2983" s="6" t="e">
        <f>MATCH(D2983,'D5 - Gatekeeper - Projects'!$C$4:$C$1010,0)</f>
        <v>#N/A</v>
      </c>
      <c r="AN2983" s="6" t="b">
        <f t="shared" si="309"/>
        <v>1</v>
      </c>
      <c r="AO2983" s="6" t="str">
        <f t="shared" si="310"/>
        <v>OK</v>
      </c>
      <c r="AQ2983" s="6" t="e">
        <f>MATCH($D2983,'D4 - Provider Council Unsched'!$C$11:$C$234,0)</f>
        <v>#N/A</v>
      </c>
      <c r="AR2983" s="6" t="b">
        <f t="shared" si="311"/>
        <v>1</v>
      </c>
      <c r="AS2983" s="6" t="str">
        <f t="shared" si="312"/>
        <v>OK</v>
      </c>
      <c r="AU2983" s="202"/>
      <c r="AV2983" s="262"/>
      <c r="AW2983" s="274"/>
    </row>
    <row r="2984" spans="1:49" s="13" customFormat="1" x14ac:dyDescent="0.2">
      <c r="A2984" s="14">
        <v>2960</v>
      </c>
      <c r="B2984" s="14">
        <v>400036210</v>
      </c>
      <c r="C2984" s="8" t="s">
        <v>5197</v>
      </c>
      <c r="D2984" s="4" t="str">
        <f t="shared" si="313"/>
        <v>400036210R1</v>
      </c>
      <c r="E2984" s="309" t="str">
        <f>VLOOKUP($B2984,'D7 - NDB Impacted SPRF''s'!$E$6:$O$9929,2,FALSE)</f>
        <v>Electronic EOBs on LAWW</v>
      </c>
      <c r="F2984" s="8" t="s">
        <v>2114</v>
      </c>
      <c r="G2984" s="8" t="s">
        <v>4758</v>
      </c>
      <c r="H2984" s="8" t="s">
        <v>2870</v>
      </c>
      <c r="I2984" s="20"/>
      <c r="J2984" s="8"/>
      <c r="K2984" s="182"/>
      <c r="L2984" s="8" t="s">
        <v>4156</v>
      </c>
      <c r="M2984" s="8" t="s">
        <v>2814</v>
      </c>
      <c r="N2984" s="38"/>
      <c r="O2984" s="8"/>
      <c r="P2984" s="4" t="str">
        <f>VLOOKUP($B2984,'D7 - NDB Impacted SPRF''s'!$E$16:$O$9929,9,FALSE)</f>
        <v>Y</v>
      </c>
      <c r="Q2984" s="4" t="str">
        <f>VLOOKUP($B2984,'D7 - NDB Impacted SPRF''s'!$E$16:$O$9929,10,FALSE)</f>
        <v>N</v>
      </c>
      <c r="R2984" s="4" t="str">
        <f>VLOOKUP($B2984,'D7 - NDB Impacted SPRF''s'!$E$16:$O$9929,11,FALSE)</f>
        <v>N</v>
      </c>
      <c r="S2984" s="8"/>
      <c r="T2984" s="310"/>
      <c r="U2984" s="310"/>
      <c r="V2984" s="4"/>
      <c r="W2984" s="4"/>
      <c r="X2984" s="4"/>
      <c r="Y2984" s="4"/>
      <c r="Z2984" s="4"/>
      <c r="AA2984" s="4"/>
      <c r="AB2984" s="380" t="str">
        <f>VLOOKUP($B2984,'D7 - NDB Impacted SPRF''s'!$E$6:$O$9929,4,FALSE)</f>
        <v>Cancelled</v>
      </c>
      <c r="AC2984" s="380" t="str">
        <f>VLOOKUP($B2984,'D7 - NDB Impacted SPRF''s'!$E$6:$O$9929,3,FALSE)</f>
        <v>OptumHealth</v>
      </c>
      <c r="AD2984" s="380" t="str">
        <f>VLOOKUP($B2984,'D7 - NDB Impacted SPRF''s'!$E$6:$O$9929,5,FALSE)</f>
        <v>Behavioral Solutions</v>
      </c>
      <c r="AE2984" s="380" t="str">
        <f>VLOOKUP($B2984,'D7 - NDB Impacted SPRF''s'!$E$6:$O$9929,7,FALSE)</f>
        <v>Jon Schmidt</v>
      </c>
      <c r="AF2984" s="380" t="str">
        <f>VLOOKUP($B2984,'D7 - NDB Impacted SPRF''s'!$E$6:$O$9929,6,FALSE)</f>
        <v>Liberty Fiala</v>
      </c>
      <c r="AG2984" s="282"/>
      <c r="AH2984" s="311" t="e">
        <f>INDEX('D5 - Gatekeeper - Projects'!$A$4:$AF$1010,$AM2984, 17)</f>
        <v>#N/A</v>
      </c>
      <c r="AI2984" s="8"/>
      <c r="AJ2984" s="57"/>
      <c r="AK2984" s="105"/>
      <c r="AM2984" s="6" t="e">
        <f>MATCH(D2984,'D5 - Gatekeeper - Projects'!$C$4:$C$1010,0)</f>
        <v>#N/A</v>
      </c>
      <c r="AN2984" s="6" t="b">
        <f t="shared" si="309"/>
        <v>1</v>
      </c>
      <c r="AO2984" s="6" t="str">
        <f t="shared" si="310"/>
        <v>OK</v>
      </c>
      <c r="AQ2984" s="6" t="e">
        <f>MATCH($D2984,'D4 - Provider Council Unsched'!$C$11:$C$234,0)</f>
        <v>#N/A</v>
      </c>
      <c r="AR2984" s="6" t="b">
        <f t="shared" si="311"/>
        <v>1</v>
      </c>
      <c r="AS2984" s="6" t="str">
        <f t="shared" si="312"/>
        <v>OK</v>
      </c>
      <c r="AU2984" s="202"/>
      <c r="AV2984" s="262"/>
      <c r="AW2984" s="274"/>
    </row>
    <row r="2985" spans="1:49" s="13" customFormat="1" ht="33.75" x14ac:dyDescent="0.2">
      <c r="A2985" s="14">
        <v>2961</v>
      </c>
      <c r="B2985" s="14">
        <v>400036298</v>
      </c>
      <c r="C2985" s="8" t="s">
        <v>5197</v>
      </c>
      <c r="D2985" s="4" t="str">
        <f t="shared" si="313"/>
        <v>400036298R1</v>
      </c>
      <c r="E2985" s="309" t="str">
        <f>VLOOKUP($B2985,'D7 - NDB Impacted SPRF''s'!$E$6:$O$9929,2,FALSE)</f>
        <v>UMR - Reduce UHN Repricing Turnaround Time</v>
      </c>
      <c r="F2985" s="8" t="s">
        <v>2114</v>
      </c>
      <c r="G2985" s="8" t="s">
        <v>4758</v>
      </c>
      <c r="H2985" s="8" t="s">
        <v>2870</v>
      </c>
      <c r="I2985" s="20"/>
      <c r="J2985" s="8"/>
      <c r="K2985" s="182"/>
      <c r="L2985" s="8" t="s">
        <v>4156</v>
      </c>
      <c r="M2985" s="8" t="s">
        <v>2814</v>
      </c>
      <c r="N2985" s="38"/>
      <c r="O2985" s="8"/>
      <c r="P2985" s="4" t="str">
        <f>VLOOKUP($B2985,'D7 - NDB Impacted SPRF''s'!$E$16:$O$9929,9,FALSE)</f>
        <v>N</v>
      </c>
      <c r="Q2985" s="4" t="str">
        <f>VLOOKUP($B2985,'D7 - NDB Impacted SPRF''s'!$E$16:$O$9929,10,FALSE)</f>
        <v>N</v>
      </c>
      <c r="R2985" s="4" t="str">
        <f>VLOOKUP($B2985,'D7 - NDB Impacted SPRF''s'!$E$16:$O$9929,11,FALSE)</f>
        <v>Y</v>
      </c>
      <c r="S2985" s="8"/>
      <c r="T2985" s="310"/>
      <c r="U2985" s="310"/>
      <c r="V2985" s="4"/>
      <c r="W2985" s="4"/>
      <c r="X2985" s="4"/>
      <c r="Y2985" s="4"/>
      <c r="Z2985" s="4"/>
      <c r="AA2985" s="4"/>
      <c r="AB2985" s="380" t="str">
        <f>VLOOKUP($B2985,'D7 - NDB Impacted SPRF''s'!$E$6:$O$9929,4,FALSE)</f>
        <v>Cancelled</v>
      </c>
      <c r="AC2985" s="380" t="str">
        <f>VLOOKUP($B2985,'D7 - NDB Impacted SPRF''s'!$E$6:$O$9929,3,FALSE)</f>
        <v>UnitedHealthcare Employer &amp; Individual</v>
      </c>
      <c r="AD2985" s="380" t="str">
        <f>VLOOKUP($B2985,'D7 - NDB Impacted SPRF''s'!$E$6:$O$9929,5,FALSE)</f>
        <v>Membership Growth / Revenue Programs</v>
      </c>
      <c r="AE2985" s="380" t="str">
        <f>VLOOKUP($B2985,'D7 - NDB Impacted SPRF''s'!$E$6:$O$9929,7,FALSE)</f>
        <v>Jay Anliker</v>
      </c>
      <c r="AF2985" s="380" t="str">
        <f>VLOOKUP($B2985,'D7 - NDB Impacted SPRF''s'!$E$6:$O$9929,6,FALSE)</f>
        <v>Patrick Lattimer</v>
      </c>
      <c r="AG2985" s="282"/>
      <c r="AH2985" s="311" t="e">
        <f>INDEX('D5 - Gatekeeper - Projects'!$A$4:$AF$1010,$AM2985, 17)</f>
        <v>#N/A</v>
      </c>
      <c r="AI2985" s="8"/>
      <c r="AJ2985" s="57"/>
      <c r="AK2985" s="105"/>
      <c r="AM2985" s="6" t="e">
        <f>MATCH(D2985,'D5 - Gatekeeper - Projects'!$C$4:$C$1010,0)</f>
        <v>#N/A</v>
      </c>
      <c r="AN2985" s="6" t="b">
        <f t="shared" si="309"/>
        <v>1</v>
      </c>
      <c r="AO2985" s="6" t="str">
        <f t="shared" si="310"/>
        <v>OK</v>
      </c>
      <c r="AQ2985" s="6" t="e">
        <f>MATCH($D2985,'D4 - Provider Council Unsched'!$C$11:$C$234,0)</f>
        <v>#N/A</v>
      </c>
      <c r="AR2985" s="6" t="b">
        <f t="shared" si="311"/>
        <v>1</v>
      </c>
      <c r="AS2985" s="6" t="str">
        <f t="shared" si="312"/>
        <v>OK</v>
      </c>
      <c r="AU2985" s="202"/>
      <c r="AV2985" s="262"/>
      <c r="AW2985" s="274"/>
    </row>
    <row r="2986" spans="1:49" s="13" customFormat="1" ht="33.75" x14ac:dyDescent="0.2">
      <c r="A2986" s="14">
        <v>2962</v>
      </c>
      <c r="B2986" s="14">
        <v>400036362</v>
      </c>
      <c r="C2986" s="8" t="s">
        <v>5197</v>
      </c>
      <c r="D2986" s="4" t="str">
        <f t="shared" si="313"/>
        <v>400036362R1</v>
      </c>
      <c r="E2986" s="309" t="str">
        <f>VLOOKUP($B2986,'D7 - NDB Impacted SPRF''s'!$E$6:$O$9929,2,FALSE)</f>
        <v>GRI MNRP Pricing for Legacy Systems</v>
      </c>
      <c r="F2986" s="8"/>
      <c r="G2986" s="8" t="s">
        <v>4758</v>
      </c>
      <c r="H2986" s="8" t="s">
        <v>2870</v>
      </c>
      <c r="I2986" s="20"/>
      <c r="J2986" s="8"/>
      <c r="K2986" s="182"/>
      <c r="L2986" s="8" t="s">
        <v>4156</v>
      </c>
      <c r="M2986" s="8" t="s">
        <v>2814</v>
      </c>
      <c r="N2986" s="38"/>
      <c r="O2986" s="8"/>
      <c r="P2986" s="4" t="str">
        <f>VLOOKUP($B2986,'D7 - NDB Impacted SPRF''s'!$E$16:$O$9929,9,FALSE)</f>
        <v>N</v>
      </c>
      <c r="Q2986" s="4" t="str">
        <f>VLOOKUP($B2986,'D7 - NDB Impacted SPRF''s'!$E$16:$O$9929,10,FALSE)</f>
        <v>N</v>
      </c>
      <c r="R2986" s="4" t="str">
        <f>VLOOKUP($B2986,'D7 - NDB Impacted SPRF''s'!$E$16:$O$9929,11,FALSE)</f>
        <v>Y</v>
      </c>
      <c r="S2986" s="8"/>
      <c r="T2986" s="310"/>
      <c r="U2986" s="310"/>
      <c r="V2986" s="4"/>
      <c r="W2986" s="4"/>
      <c r="X2986" s="4"/>
      <c r="Y2986" s="4"/>
      <c r="Z2986" s="4"/>
      <c r="AA2986" s="4"/>
      <c r="AB2986" s="380" t="str">
        <f>VLOOKUP($B2986,'D7 - NDB Impacted SPRF''s'!$E$6:$O$9929,4,FALSE)</f>
        <v>Cancelled</v>
      </c>
      <c r="AC2986" s="380" t="str">
        <f>VLOOKUP($B2986,'D7 - NDB Impacted SPRF''s'!$E$6:$O$9929,3,FALSE)</f>
        <v>UnitedHealthcare Employer &amp; Individual</v>
      </c>
      <c r="AD2986" s="380" t="str">
        <f>VLOOKUP($B2986,'D7 - NDB Impacted SPRF''s'!$E$6:$O$9929,5,FALSE)</f>
        <v>Medical Cost Savings Programs</v>
      </c>
      <c r="AE2986" s="380" t="str">
        <f>VLOOKUP($B2986,'D7 - NDB Impacted SPRF''s'!$E$6:$O$9929,7,FALSE)</f>
        <v>JOHN HABEN</v>
      </c>
      <c r="AF2986" s="380" t="str">
        <f>VLOOKUP($B2986,'D7 - NDB Impacted SPRF''s'!$E$6:$O$9929,6,FALSE)</f>
        <v>GREGORY DELARUELLE</v>
      </c>
      <c r="AG2986" s="282"/>
      <c r="AH2986" s="311" t="e">
        <f>INDEX('D5 - Gatekeeper - Projects'!$A$4:$AF$1010,$AM2986, 17)</f>
        <v>#N/A</v>
      </c>
      <c r="AI2986" s="8"/>
      <c r="AJ2986" s="57"/>
      <c r="AK2986" s="105"/>
      <c r="AM2986" s="6" t="e">
        <f>MATCH(D2986,'D5 - Gatekeeper - Projects'!$C$4:$C$1010,0)</f>
        <v>#N/A</v>
      </c>
      <c r="AN2986" s="6" t="b">
        <f t="shared" si="309"/>
        <v>1</v>
      </c>
      <c r="AO2986" s="6" t="str">
        <f t="shared" si="310"/>
        <v>OK</v>
      </c>
      <c r="AQ2986" s="6" t="e">
        <f>MATCH($D2986,'D4 - Provider Council Unsched'!$C$11:$C$234,0)</f>
        <v>#N/A</v>
      </c>
      <c r="AR2986" s="6" t="b">
        <f t="shared" si="311"/>
        <v>1</v>
      </c>
      <c r="AS2986" s="6" t="str">
        <f t="shared" si="312"/>
        <v>OK</v>
      </c>
      <c r="AU2986" s="202"/>
      <c r="AV2986" s="262"/>
      <c r="AW2986" s="274"/>
    </row>
    <row r="2987" spans="1:49" s="13" customFormat="1" ht="33.75" x14ac:dyDescent="0.2">
      <c r="A2987" s="14">
        <v>2963</v>
      </c>
      <c r="B2987" s="14">
        <v>400036404</v>
      </c>
      <c r="C2987" s="8" t="s">
        <v>5197</v>
      </c>
      <c r="D2987" s="4" t="str">
        <f t="shared" si="313"/>
        <v>400036404R1</v>
      </c>
      <c r="E2987" s="309" t="str">
        <f>VLOOKUP($B2987,'D7 - NDB Impacted SPRF''s'!$E$6:$O$9929,2,FALSE)</f>
        <v>FACETS to EDI Hub Migration</v>
      </c>
      <c r="F2987" s="8"/>
      <c r="G2987" s="8" t="s">
        <v>4758</v>
      </c>
      <c r="H2987" s="8" t="s">
        <v>2870</v>
      </c>
      <c r="I2987" s="20"/>
      <c r="J2987" s="8"/>
      <c r="K2987" s="182"/>
      <c r="L2987" s="8" t="s">
        <v>4156</v>
      </c>
      <c r="M2987" s="8" t="s">
        <v>2814</v>
      </c>
      <c r="N2987" s="38" t="s">
        <v>6926</v>
      </c>
      <c r="O2987" s="8"/>
      <c r="P2987" s="4" t="str">
        <f>VLOOKUP($B2987,'D7 - NDB Impacted SPRF''s'!$E$16:$O$9929,9,FALSE)</f>
        <v>N</v>
      </c>
      <c r="Q2987" s="4" t="str">
        <f>VLOOKUP($B2987,'D7 - NDB Impacted SPRF''s'!$E$16:$O$9929,10,FALSE)</f>
        <v>N</v>
      </c>
      <c r="R2987" s="4" t="str">
        <f>VLOOKUP($B2987,'D7 - NDB Impacted SPRF''s'!$E$16:$O$9929,11,FALSE)</f>
        <v>N</v>
      </c>
      <c r="S2987" s="8"/>
      <c r="T2987" s="310"/>
      <c r="U2987" s="310"/>
      <c r="V2987" s="4"/>
      <c r="W2987" s="4"/>
      <c r="X2987" s="4"/>
      <c r="Y2987" s="4"/>
      <c r="Z2987" s="4"/>
      <c r="AA2987" s="4"/>
      <c r="AB2987" s="380" t="str">
        <f>VLOOKUP($B2987,'D7 - NDB Impacted SPRF''s'!$E$6:$O$9929,4,FALSE)</f>
        <v>Cancelled</v>
      </c>
      <c r="AC2987" s="380" t="str">
        <f>VLOOKUP($B2987,'D7 - NDB Impacted SPRF''s'!$E$6:$O$9929,3,FALSE)</f>
        <v>UnitedHealthcare Employer &amp; Individual</v>
      </c>
      <c r="AD2987" s="380" t="str">
        <f>VLOOKUP($B2987,'D7 - NDB Impacted SPRF''s'!$E$6:$O$9929,5,FALSE)</f>
        <v>HIPAA 5010</v>
      </c>
      <c r="AE2987" s="380" t="str">
        <f>VLOOKUP($B2987,'D7 - NDB Impacted SPRF''s'!$E$6:$O$9929,7,FALSE)</f>
        <v>Ellen delaRosa-Pearn</v>
      </c>
      <c r="AF2987" s="380" t="str">
        <f>VLOOKUP($B2987,'D7 - NDB Impacted SPRF''s'!$E$6:$O$9929,6,FALSE)</f>
        <v>LISA FRIDLAND</v>
      </c>
      <c r="AG2987" s="282"/>
      <c r="AH2987" s="311" t="e">
        <f>INDEX('D5 - Gatekeeper - Projects'!$A$4:$AF$1010,$AM2987, 17)</f>
        <v>#N/A</v>
      </c>
      <c r="AI2987" s="8"/>
      <c r="AJ2987" s="57"/>
      <c r="AK2987" s="105"/>
      <c r="AM2987" s="6" t="e">
        <f>MATCH(D2987,'D5 - Gatekeeper - Projects'!$C$4:$C$1010,0)</f>
        <v>#N/A</v>
      </c>
      <c r="AN2987" s="6" t="b">
        <f t="shared" si="309"/>
        <v>1</v>
      </c>
      <c r="AO2987" s="6" t="str">
        <f t="shared" si="310"/>
        <v>OK</v>
      </c>
      <c r="AQ2987" s="6" t="e">
        <f>MATCH($D2987,'D4 - Provider Council Unsched'!$C$11:$C$234,0)</f>
        <v>#N/A</v>
      </c>
      <c r="AR2987" s="6" t="b">
        <f t="shared" si="311"/>
        <v>1</v>
      </c>
      <c r="AS2987" s="6" t="str">
        <f t="shared" si="312"/>
        <v>OK</v>
      </c>
      <c r="AU2987" s="202"/>
      <c r="AV2987" s="262"/>
      <c r="AW2987" s="274"/>
    </row>
    <row r="2988" spans="1:49" s="13" customFormat="1" ht="33.75" x14ac:dyDescent="0.2">
      <c r="A2988" s="14">
        <v>2964</v>
      </c>
      <c r="B2988" s="14">
        <v>400036406</v>
      </c>
      <c r="C2988" s="8" t="s">
        <v>5197</v>
      </c>
      <c r="D2988" s="4" t="str">
        <f t="shared" si="313"/>
        <v>400036406R1</v>
      </c>
      <c r="E2988" s="309" t="str">
        <f>VLOOKUP($B2988,'D7 - NDB Impacted SPRF''s'!$E$6:$O$9929,2,FALSE)</f>
        <v>Oxford to EDI Hub Migration</v>
      </c>
      <c r="F2988" s="8"/>
      <c r="G2988" s="8" t="s">
        <v>4758</v>
      </c>
      <c r="H2988" s="8" t="s">
        <v>2870</v>
      </c>
      <c r="I2988" s="20"/>
      <c r="J2988" s="8"/>
      <c r="K2988" s="182"/>
      <c r="L2988" s="8" t="s">
        <v>4156</v>
      </c>
      <c r="M2988" s="8" t="s">
        <v>2814</v>
      </c>
      <c r="N2988" s="38" t="s">
        <v>6926</v>
      </c>
      <c r="O2988" s="8"/>
      <c r="P2988" s="4" t="str">
        <f>VLOOKUP($B2988,'D7 - NDB Impacted SPRF''s'!$E$16:$O$9929,9,FALSE)</f>
        <v>N</v>
      </c>
      <c r="Q2988" s="4" t="str">
        <f>VLOOKUP($B2988,'D7 - NDB Impacted SPRF''s'!$E$16:$O$9929,10,FALSE)</f>
        <v>N</v>
      </c>
      <c r="R2988" s="4" t="str">
        <f>VLOOKUP($B2988,'D7 - NDB Impacted SPRF''s'!$E$16:$O$9929,11,FALSE)</f>
        <v>Y</v>
      </c>
      <c r="S2988" s="8"/>
      <c r="T2988" s="310"/>
      <c r="U2988" s="310"/>
      <c r="V2988" s="4"/>
      <c r="W2988" s="4"/>
      <c r="X2988" s="4"/>
      <c r="Y2988" s="4"/>
      <c r="Z2988" s="4"/>
      <c r="AA2988" s="4"/>
      <c r="AB2988" s="380" t="str">
        <f>VLOOKUP($B2988,'D7 - NDB Impacted SPRF''s'!$E$6:$O$9929,4,FALSE)</f>
        <v>Cancelled</v>
      </c>
      <c r="AC2988" s="380" t="str">
        <f>VLOOKUP($B2988,'D7 - NDB Impacted SPRF''s'!$E$6:$O$9929,3,FALSE)</f>
        <v>UnitedHealthcare Employer &amp; Individual</v>
      </c>
      <c r="AD2988" s="380" t="str">
        <f>VLOOKUP($B2988,'D7 - NDB Impacted SPRF''s'!$E$6:$O$9929,5,FALSE)</f>
        <v>HIPAA 5010</v>
      </c>
      <c r="AE2988" s="380" t="str">
        <f>VLOOKUP($B2988,'D7 - NDB Impacted SPRF''s'!$E$6:$O$9929,7,FALSE)</f>
        <v>Ellen delaRosa Pearn</v>
      </c>
      <c r="AF2988" s="380" t="str">
        <f>VLOOKUP($B2988,'D7 - NDB Impacted SPRF''s'!$E$6:$O$9929,6,FALSE)</f>
        <v>LISA FRIDLAND</v>
      </c>
      <c r="AG2988" s="282"/>
      <c r="AH2988" s="311" t="e">
        <f>INDEX('D5 - Gatekeeper - Projects'!$A$4:$AF$1010,$AM2988, 17)</f>
        <v>#N/A</v>
      </c>
      <c r="AI2988" s="8"/>
      <c r="AJ2988" s="57"/>
      <c r="AK2988" s="105"/>
      <c r="AM2988" s="6" t="e">
        <f>MATCH(D2988,'D5 - Gatekeeper - Projects'!$C$4:$C$1010,0)</f>
        <v>#N/A</v>
      </c>
      <c r="AN2988" s="6" t="b">
        <f t="shared" si="309"/>
        <v>1</v>
      </c>
      <c r="AO2988" s="6" t="str">
        <f t="shared" si="310"/>
        <v>OK</v>
      </c>
      <c r="AQ2988" s="6" t="e">
        <f>MATCH($D2988,'D4 - Provider Council Unsched'!$C$11:$C$234,0)</f>
        <v>#N/A</v>
      </c>
      <c r="AR2988" s="6" t="b">
        <f t="shared" si="311"/>
        <v>1</v>
      </c>
      <c r="AS2988" s="6" t="str">
        <f t="shared" si="312"/>
        <v>OK</v>
      </c>
      <c r="AU2988" s="202"/>
      <c r="AV2988" s="262"/>
      <c r="AW2988" s="274"/>
    </row>
    <row r="2989" spans="1:49" s="13" customFormat="1" x14ac:dyDescent="0.2">
      <c r="A2989" s="14">
        <v>2965</v>
      </c>
      <c r="B2989" s="14">
        <v>400036424</v>
      </c>
      <c r="C2989" s="8" t="s">
        <v>5197</v>
      </c>
      <c r="D2989" s="4" t="str">
        <f t="shared" si="313"/>
        <v>400036424R1</v>
      </c>
      <c r="E2989" s="309" t="str">
        <f>VLOOKUP($B2989,'D7 - NDB Impacted SPRF''s'!$E$6:$O$9929,2,FALSE)</f>
        <v>UBH PTI by Network Contracting Organization EPDL</v>
      </c>
      <c r="F2989" s="8"/>
      <c r="G2989" s="8" t="s">
        <v>4758</v>
      </c>
      <c r="H2989" s="8" t="s">
        <v>2870</v>
      </c>
      <c r="I2989" s="20"/>
      <c r="J2989" s="8"/>
      <c r="K2989" s="182"/>
      <c r="L2989" s="8" t="s">
        <v>4156</v>
      </c>
      <c r="M2989" s="8" t="s">
        <v>2814</v>
      </c>
      <c r="N2989" s="38"/>
      <c r="O2989" s="8"/>
      <c r="P2989" s="4" t="str">
        <f>VLOOKUP($B2989,'D7 - NDB Impacted SPRF''s'!$E$16:$O$9929,9,FALSE)</f>
        <v>N</v>
      </c>
      <c r="Q2989" s="4" t="str">
        <f>VLOOKUP($B2989,'D7 - NDB Impacted SPRF''s'!$E$16:$O$9929,10,FALSE)</f>
        <v>N</v>
      </c>
      <c r="R2989" s="4" t="str">
        <f>VLOOKUP($B2989,'D7 - NDB Impacted SPRF''s'!$E$16:$O$9929,11,FALSE)</f>
        <v>N</v>
      </c>
      <c r="S2989" s="8"/>
      <c r="T2989" s="310"/>
      <c r="U2989" s="310"/>
      <c r="V2989" s="4"/>
      <c r="W2989" s="4"/>
      <c r="X2989" s="4"/>
      <c r="Y2989" s="4"/>
      <c r="Z2989" s="4"/>
      <c r="AA2989" s="4"/>
      <c r="AB2989" s="380" t="str">
        <f>VLOOKUP($B2989,'D7 - NDB Impacted SPRF''s'!$E$6:$O$9929,4,FALSE)</f>
        <v>Cancelled</v>
      </c>
      <c r="AC2989" s="380" t="str">
        <f>VLOOKUP($B2989,'D7 - NDB Impacted SPRF''s'!$E$6:$O$9929,3,FALSE)</f>
        <v>OptumHealth</v>
      </c>
      <c r="AD2989" s="380" t="str">
        <f>VLOOKUP($B2989,'D7 - NDB Impacted SPRF''s'!$E$6:$O$9929,5,FALSE)</f>
        <v>Behavioral Solutions</v>
      </c>
      <c r="AE2989" s="380" t="str">
        <f>VLOOKUP($B2989,'D7 - NDB Impacted SPRF''s'!$E$6:$O$9929,7,FALSE)</f>
        <v>Sunil Sacdev</v>
      </c>
      <c r="AF2989" s="380" t="str">
        <f>VLOOKUP($B2989,'D7 - NDB Impacted SPRF''s'!$E$6:$O$9929,6,FALSE)</f>
        <v>Debra Dee</v>
      </c>
      <c r="AG2989" s="282"/>
      <c r="AH2989" s="311" t="e">
        <f>INDEX('D5 - Gatekeeper - Projects'!$A$4:$AF$1010,$AM2989, 17)</f>
        <v>#N/A</v>
      </c>
      <c r="AI2989" s="8"/>
      <c r="AJ2989" s="57"/>
      <c r="AK2989" s="105"/>
      <c r="AM2989" s="6" t="e">
        <f>MATCH(D2989,'D5 - Gatekeeper - Projects'!$C$4:$C$1010,0)</f>
        <v>#N/A</v>
      </c>
      <c r="AN2989" s="6" t="b">
        <f t="shared" si="309"/>
        <v>1</v>
      </c>
      <c r="AO2989" s="6" t="str">
        <f t="shared" si="310"/>
        <v>OK</v>
      </c>
      <c r="AQ2989" s="6" t="e">
        <f>MATCH($D2989,'D4 - Provider Council Unsched'!$C$11:$C$234,0)</f>
        <v>#N/A</v>
      </c>
      <c r="AR2989" s="6" t="b">
        <f t="shared" si="311"/>
        <v>1</v>
      </c>
      <c r="AS2989" s="6" t="str">
        <f t="shared" si="312"/>
        <v>OK</v>
      </c>
      <c r="AU2989" s="202"/>
      <c r="AV2989" s="262"/>
      <c r="AW2989" s="274"/>
    </row>
    <row r="2990" spans="1:49" s="13" customFormat="1" ht="22.5" x14ac:dyDescent="0.2">
      <c r="A2990" s="14">
        <v>2966</v>
      </c>
      <c r="B2990" s="14">
        <v>400036435</v>
      </c>
      <c r="C2990" s="8" t="s">
        <v>5197</v>
      </c>
      <c r="D2990" s="4" t="str">
        <f t="shared" si="313"/>
        <v>400036435R1</v>
      </c>
      <c r="E2990" s="309" t="str">
        <f>VLOOKUP($B2990,'D7 - NDB Impacted SPRF''s'!$E$6:$O$9929,2,FALSE)</f>
        <v>iLIAD Directory Migration to CPS Process</v>
      </c>
      <c r="F2990" s="8"/>
      <c r="G2990" s="8" t="s">
        <v>4758</v>
      </c>
      <c r="H2990" s="8" t="s">
        <v>2870</v>
      </c>
      <c r="I2990" s="20"/>
      <c r="J2990" s="8"/>
      <c r="K2990" s="182"/>
      <c r="L2990" s="8" t="s">
        <v>4156</v>
      </c>
      <c r="M2990" s="8" t="s">
        <v>2814</v>
      </c>
      <c r="N2990" s="38" t="s">
        <v>1165</v>
      </c>
      <c r="O2990" s="8"/>
      <c r="P2990" s="4" t="str">
        <f>VLOOKUP($B2990,'D7 - NDB Impacted SPRF''s'!$E$16:$O$9929,9,FALSE)</f>
        <v>N</v>
      </c>
      <c r="Q2990" s="4" t="str">
        <f>VLOOKUP($B2990,'D7 - NDB Impacted SPRF''s'!$E$16:$O$9929,10,FALSE)</f>
        <v>N</v>
      </c>
      <c r="R2990" s="4" t="str">
        <f>VLOOKUP($B2990,'D7 - NDB Impacted SPRF''s'!$E$16:$O$9929,11,FALSE)</f>
        <v>N</v>
      </c>
      <c r="S2990" s="8"/>
      <c r="T2990" s="310"/>
      <c r="U2990" s="310"/>
      <c r="V2990" s="4"/>
      <c r="W2990" s="4"/>
      <c r="X2990" s="4"/>
      <c r="Y2990" s="4"/>
      <c r="Z2990" s="4"/>
      <c r="AA2990" s="4"/>
      <c r="AB2990" s="380" t="str">
        <f>VLOOKUP($B2990,'D7 - NDB Impacted SPRF''s'!$E$6:$O$9929,4,FALSE)</f>
        <v>In Funding</v>
      </c>
      <c r="AC2990" s="380" t="str">
        <f>VLOOKUP($B2990,'D7 - NDB Impacted SPRF''s'!$E$6:$O$9929,3,FALSE)</f>
        <v>Ovations</v>
      </c>
      <c r="AD2990" s="380" t="str">
        <f>VLOOKUP($B2990,'D7 - NDB Impacted SPRF''s'!$E$6:$O$9929,5,FALSE)</f>
        <v>Provider Search(Enterprise Portal) (04-27190-000)</v>
      </c>
      <c r="AE2990" s="380" t="str">
        <f>VLOOKUP($B2990,'D7 - NDB Impacted SPRF''s'!$E$6:$O$9929,7,FALSE)</f>
        <v>Kelly Gilberston</v>
      </c>
      <c r="AF2990" s="380" t="str">
        <f>VLOOKUP($B2990,'D7 - NDB Impacted SPRF''s'!$E$6:$O$9929,6,FALSE)</f>
        <v>Brian Schimke</v>
      </c>
      <c r="AG2990" s="282"/>
      <c r="AH2990" s="311" t="e">
        <f>INDEX('D5 - Gatekeeper - Projects'!$A$4:$AF$1010,$AM2990, 17)</f>
        <v>#N/A</v>
      </c>
      <c r="AI2990" s="8"/>
      <c r="AJ2990" s="57"/>
      <c r="AK2990" s="105"/>
      <c r="AM2990" s="6" t="e">
        <f>MATCH(D2990,'D5 - Gatekeeper - Projects'!$C$4:$C$1010,0)</f>
        <v>#N/A</v>
      </c>
      <c r="AN2990" s="6" t="b">
        <f t="shared" si="309"/>
        <v>1</v>
      </c>
      <c r="AO2990" s="6" t="str">
        <f t="shared" si="310"/>
        <v>OK</v>
      </c>
      <c r="AQ2990" s="6" t="e">
        <f>MATCH($D2990,'D4 - Provider Council Unsched'!$C$11:$C$234,0)</f>
        <v>#N/A</v>
      </c>
      <c r="AR2990" s="6" t="b">
        <f t="shared" si="311"/>
        <v>1</v>
      </c>
      <c r="AS2990" s="6" t="str">
        <f t="shared" si="312"/>
        <v>OK</v>
      </c>
      <c r="AU2990" s="202"/>
      <c r="AV2990" s="262"/>
      <c r="AW2990" s="274"/>
    </row>
    <row r="2991" spans="1:49" s="13" customFormat="1" ht="33.75" x14ac:dyDescent="0.2">
      <c r="A2991" s="14">
        <v>2967</v>
      </c>
      <c r="B2991" s="14">
        <v>400036446</v>
      </c>
      <c r="C2991" s="8" t="s">
        <v>5197</v>
      </c>
      <c r="D2991" s="4" t="str">
        <f t="shared" si="313"/>
        <v>400036446R1</v>
      </c>
      <c r="E2991" s="309" t="str">
        <f>VLOOKUP($B2991,'D7 - NDB Impacted SPRF''s'!$E$6:$O$9929,2,FALSE)</f>
        <v xml:space="preserve">URV Facets Provider Extract </v>
      </c>
      <c r="F2991" s="8"/>
      <c r="G2991" s="8" t="s">
        <v>4758</v>
      </c>
      <c r="H2991" s="8" t="s">
        <v>2870</v>
      </c>
      <c r="I2991" s="20"/>
      <c r="J2991" s="8"/>
      <c r="K2991" s="182"/>
      <c r="L2991" s="8" t="s">
        <v>4156</v>
      </c>
      <c r="M2991" s="8" t="s">
        <v>2814</v>
      </c>
      <c r="N2991" s="38" t="s">
        <v>6926</v>
      </c>
      <c r="O2991" s="8"/>
      <c r="P2991" s="4" t="str">
        <f>VLOOKUP($B2991,'D7 - NDB Impacted SPRF''s'!$E$16:$O$9929,9,FALSE)</f>
        <v>N</v>
      </c>
      <c r="Q2991" s="4" t="str">
        <f>VLOOKUP($B2991,'D7 - NDB Impacted SPRF''s'!$E$16:$O$9929,10,FALSE)</f>
        <v>N</v>
      </c>
      <c r="R2991" s="4" t="str">
        <f>VLOOKUP($B2991,'D7 - NDB Impacted SPRF''s'!$E$16:$O$9929,11,FALSE)</f>
        <v>Y</v>
      </c>
      <c r="S2991" s="8"/>
      <c r="T2991" s="310"/>
      <c r="U2991" s="310"/>
      <c r="V2991" s="4"/>
      <c r="W2991" s="4"/>
      <c r="X2991" s="4"/>
      <c r="Y2991" s="4"/>
      <c r="Z2991" s="4"/>
      <c r="AA2991" s="4"/>
      <c r="AB2991" s="380" t="str">
        <f>VLOOKUP($B2991,'D7 - NDB Impacted SPRF''s'!$E$6:$O$9929,4,FALSE)</f>
        <v>Cancelled</v>
      </c>
      <c r="AC2991" s="380" t="str">
        <f>VLOOKUP($B2991,'D7 - NDB Impacted SPRF''s'!$E$6:$O$9929,3,FALSE)</f>
        <v>UnitedHealthcare Employer &amp; Individual</v>
      </c>
      <c r="AD2991" s="380" t="str">
        <f>VLOOKUP($B2991,'D7 - NDB Impacted SPRF''s'!$E$6:$O$9929,5,FALSE)</f>
        <v>Operational Requirements</v>
      </c>
      <c r="AE2991" s="380" t="str">
        <f>VLOOKUP($B2991,'D7 - NDB Impacted SPRF''s'!$E$6:$O$9929,7,FALSE)</f>
        <v>Sally Verrilli</v>
      </c>
      <c r="AF2991" s="380" t="str">
        <f>VLOOKUP($B2991,'D7 - NDB Impacted SPRF''s'!$E$6:$O$9929,6,FALSE)</f>
        <v>Ellis Miller</v>
      </c>
      <c r="AG2991" s="282"/>
      <c r="AH2991" s="311" t="e">
        <f>INDEX('D5 - Gatekeeper - Projects'!$A$4:$AF$1010,$AM2991, 17)</f>
        <v>#N/A</v>
      </c>
      <c r="AI2991" s="8"/>
      <c r="AJ2991" s="57"/>
      <c r="AK2991" s="105"/>
      <c r="AM2991" s="6" t="e">
        <f>MATCH(D2991,'D5 - Gatekeeper - Projects'!$C$4:$C$1010,0)</f>
        <v>#N/A</v>
      </c>
      <c r="AN2991" s="6" t="b">
        <f t="shared" si="309"/>
        <v>1</v>
      </c>
      <c r="AO2991" s="6" t="str">
        <f t="shared" si="310"/>
        <v>OK</v>
      </c>
      <c r="AQ2991" s="6" t="e">
        <f>MATCH($D2991,'D4 - Provider Council Unsched'!$C$11:$C$234,0)</f>
        <v>#N/A</v>
      </c>
      <c r="AR2991" s="6" t="b">
        <f t="shared" si="311"/>
        <v>1</v>
      </c>
      <c r="AS2991" s="6" t="str">
        <f t="shared" si="312"/>
        <v>OK</v>
      </c>
      <c r="AU2991" s="202"/>
      <c r="AV2991" s="262"/>
      <c r="AW2991" s="274"/>
    </row>
    <row r="2992" spans="1:49" s="13" customFormat="1" x14ac:dyDescent="0.2">
      <c r="A2992" s="14">
        <v>2968</v>
      </c>
      <c r="B2992" s="14">
        <v>400036604</v>
      </c>
      <c r="C2992" s="8" t="s">
        <v>5197</v>
      </c>
      <c r="D2992" s="4" t="str">
        <f t="shared" si="313"/>
        <v>400036604R1</v>
      </c>
      <c r="E2992" s="309" t="str">
        <f>VLOOKUP($B2992,'D7 - NDB Impacted SPRF''s'!$E$6:$O$9929,2,FALSE)</f>
        <v>Analysis Only: UBH Providers/Programs in CareOne</v>
      </c>
      <c r="F2992" s="8"/>
      <c r="G2992" s="8" t="s">
        <v>4758</v>
      </c>
      <c r="H2992" s="8" t="s">
        <v>2870</v>
      </c>
      <c r="I2992" s="20"/>
      <c r="J2992" s="8"/>
      <c r="K2992" s="182"/>
      <c r="L2992" s="8" t="s">
        <v>4156</v>
      </c>
      <c r="M2992" s="8" t="s">
        <v>2814</v>
      </c>
      <c r="N2992" s="38"/>
      <c r="O2992" s="8"/>
      <c r="P2992" s="4" t="str">
        <f>VLOOKUP($B2992,'D7 - NDB Impacted SPRF''s'!$E$16:$O$9929,9,FALSE)</f>
        <v>N</v>
      </c>
      <c r="Q2992" s="4" t="str">
        <f>VLOOKUP($B2992,'D7 - NDB Impacted SPRF''s'!$E$16:$O$9929,10,FALSE)</f>
        <v>N</v>
      </c>
      <c r="R2992" s="4" t="str">
        <f>VLOOKUP($B2992,'D7 - NDB Impacted SPRF''s'!$E$16:$O$9929,11,FALSE)</f>
        <v>N</v>
      </c>
      <c r="S2992" s="8"/>
      <c r="T2992" s="310"/>
      <c r="U2992" s="310"/>
      <c r="V2992" s="4"/>
      <c r="W2992" s="4"/>
      <c r="X2992" s="4"/>
      <c r="Y2992" s="4"/>
      <c r="Z2992" s="4"/>
      <c r="AA2992" s="4"/>
      <c r="AB2992" s="380" t="str">
        <f>VLOOKUP($B2992,'D7 - NDB Impacted SPRF''s'!$E$6:$O$9929,4,FALSE)</f>
        <v>Cancelled</v>
      </c>
      <c r="AC2992" s="380" t="str">
        <f>VLOOKUP($B2992,'D7 - NDB Impacted SPRF''s'!$E$6:$O$9929,3,FALSE)</f>
        <v>OptumHealth</v>
      </c>
      <c r="AD2992" s="380" t="str">
        <f>VLOOKUP($B2992,'D7 - NDB Impacted SPRF''s'!$E$6:$O$9929,5,FALSE)</f>
        <v>Behavioral Solutions</v>
      </c>
      <c r="AE2992" s="380" t="str">
        <f>VLOOKUP($B2992,'D7 - NDB Impacted SPRF''s'!$E$6:$O$9929,7,FALSE)</f>
        <v>Craig Herman</v>
      </c>
      <c r="AF2992" s="380" t="str">
        <f>VLOOKUP($B2992,'D7 - NDB Impacted SPRF''s'!$E$6:$O$9929,6,FALSE)</f>
        <v>Doug Fossum</v>
      </c>
      <c r="AG2992" s="282"/>
      <c r="AH2992" s="311" t="e">
        <f>INDEX('D5 - Gatekeeper - Projects'!$A$4:$AF$1010,$AM2992, 17)</f>
        <v>#N/A</v>
      </c>
      <c r="AI2992" s="8"/>
      <c r="AJ2992" s="57"/>
      <c r="AK2992" s="105"/>
      <c r="AM2992" s="6" t="e">
        <f>MATCH(D2992,'D5 - Gatekeeper - Projects'!$C$4:$C$1010,0)</f>
        <v>#N/A</v>
      </c>
      <c r="AN2992" s="6" t="b">
        <f t="shared" si="309"/>
        <v>1</v>
      </c>
      <c r="AO2992" s="6" t="str">
        <f t="shared" si="310"/>
        <v>OK</v>
      </c>
      <c r="AQ2992" s="6" t="e">
        <f>MATCH($D2992,'D4 - Provider Council Unsched'!$C$11:$C$234,0)</f>
        <v>#N/A</v>
      </c>
      <c r="AR2992" s="6" t="b">
        <f t="shared" si="311"/>
        <v>1</v>
      </c>
      <c r="AS2992" s="6" t="str">
        <f t="shared" si="312"/>
        <v>OK</v>
      </c>
      <c r="AU2992" s="202"/>
      <c r="AV2992" s="262"/>
      <c r="AW2992" s="274"/>
    </row>
    <row r="2993" spans="1:49" s="13" customFormat="1" ht="22.5" x14ac:dyDescent="0.2">
      <c r="A2993" s="14">
        <v>2969</v>
      </c>
      <c r="B2993" s="14">
        <v>400036625</v>
      </c>
      <c r="C2993" s="8" t="s">
        <v>5197</v>
      </c>
      <c r="D2993" s="4" t="str">
        <f t="shared" si="313"/>
        <v>400036625R1</v>
      </c>
      <c r="E2993" s="309" t="str">
        <f>VLOOKUP($B2993,'D7 - NDB Impacted SPRF''s'!$E$6:$O$9929,2,FALSE)</f>
        <v>MPQ Operational Improvements</v>
      </c>
      <c r="F2993" s="8" t="s">
        <v>4689</v>
      </c>
      <c r="G2993" s="8" t="s">
        <v>4758</v>
      </c>
      <c r="H2993" s="8" t="s">
        <v>2870</v>
      </c>
      <c r="I2993" s="20"/>
      <c r="J2993" s="8"/>
      <c r="K2993" s="182"/>
      <c r="L2993" s="8" t="s">
        <v>4156</v>
      </c>
      <c r="M2993" s="8" t="s">
        <v>2814</v>
      </c>
      <c r="N2993" s="38" t="s">
        <v>1166</v>
      </c>
      <c r="O2993" s="8"/>
      <c r="P2993" s="4" t="str">
        <f>VLOOKUP($B2993,'D7 - NDB Impacted SPRF''s'!$E$16:$O$9929,9,FALSE)</f>
        <v>N</v>
      </c>
      <c r="Q2993" s="4" t="str">
        <f>VLOOKUP($B2993,'D7 - NDB Impacted SPRF''s'!$E$16:$O$9929,10,FALSE)</f>
        <v>N</v>
      </c>
      <c r="R2993" s="4" t="str">
        <f>VLOOKUP($B2993,'D7 - NDB Impacted SPRF''s'!$E$16:$O$9929,11,FALSE)</f>
        <v>N</v>
      </c>
      <c r="S2993" s="8"/>
      <c r="T2993" s="310"/>
      <c r="U2993" s="310"/>
      <c r="V2993" s="4"/>
      <c r="W2993" s="4"/>
      <c r="X2993" s="4"/>
      <c r="Y2993" s="4"/>
      <c r="Z2993" s="4"/>
      <c r="AA2993" s="4"/>
      <c r="AB2993" s="380" t="str">
        <f>VLOOKUP($B2993,'D7 - NDB Impacted SPRF''s'!$E$6:$O$9929,4,FALSE)</f>
        <v>In Funding</v>
      </c>
      <c r="AC2993" s="380" t="str">
        <f>VLOOKUP($B2993,'D7 - NDB Impacted SPRF''s'!$E$6:$O$9929,3,FALSE)</f>
        <v>UnitedHealthcare</v>
      </c>
      <c r="AD2993" s="380" t="str">
        <f>VLOOKUP($B2993,'D7 - NDB Impacted SPRF''s'!$E$6:$O$9929,5,FALSE)</f>
        <v>Process Improvement - General Fund</v>
      </c>
      <c r="AE2993" s="380" t="str">
        <f>VLOOKUP($B2993,'D7 - NDB Impacted SPRF''s'!$E$6:$O$9929,7,FALSE)</f>
        <v>Karen Davezac</v>
      </c>
      <c r="AF2993" s="380" t="str">
        <f>VLOOKUP($B2993,'D7 - NDB Impacted SPRF''s'!$E$6:$O$9929,6,FALSE)</f>
        <v>Nicole Cartwright</v>
      </c>
      <c r="AG2993" s="282"/>
      <c r="AH2993" s="311" t="e">
        <f>INDEX('D5 - Gatekeeper - Projects'!$A$4:$AF$1010,$AM2993, 17)</f>
        <v>#N/A</v>
      </c>
      <c r="AI2993" s="8"/>
      <c r="AJ2993" s="57"/>
      <c r="AK2993" s="105"/>
      <c r="AM2993" s="6" t="e">
        <f>MATCH(D2993,'D5 - Gatekeeper - Projects'!$C$4:$C$1010,0)</f>
        <v>#N/A</v>
      </c>
      <c r="AN2993" s="6" t="b">
        <f t="shared" si="309"/>
        <v>1</v>
      </c>
      <c r="AO2993" s="6" t="str">
        <f t="shared" si="310"/>
        <v>OK</v>
      </c>
      <c r="AQ2993" s="6" t="e">
        <f>MATCH($D2993,'D4 - Provider Council Unsched'!$C$11:$C$234,0)</f>
        <v>#N/A</v>
      </c>
      <c r="AR2993" s="6" t="b">
        <f t="shared" si="311"/>
        <v>1</v>
      </c>
      <c r="AS2993" s="6" t="str">
        <f t="shared" si="312"/>
        <v>OK</v>
      </c>
      <c r="AU2993" s="202"/>
      <c r="AV2993" s="262"/>
      <c r="AW2993" s="274"/>
    </row>
    <row r="2994" spans="1:49" s="13" customFormat="1" ht="33.75" x14ac:dyDescent="0.2">
      <c r="A2994" s="14">
        <v>2970</v>
      </c>
      <c r="B2994" s="14">
        <v>400036771</v>
      </c>
      <c r="C2994" s="8" t="s">
        <v>5197</v>
      </c>
      <c r="D2994" s="4" t="str">
        <f t="shared" si="313"/>
        <v>400036771R1</v>
      </c>
      <c r="E2994" s="309" t="str">
        <f>VLOOKUP($B2994,'D7 - NDB Impacted SPRF''s'!$E$6:$O$9929,2,FALSE)</f>
        <v>2011 MPQ Enhancement Project</v>
      </c>
      <c r="F2994" s="8"/>
      <c r="G2994" s="8" t="s">
        <v>4758</v>
      </c>
      <c r="H2994" s="8" t="s">
        <v>2870</v>
      </c>
      <c r="I2994" s="20"/>
      <c r="J2994" s="8"/>
      <c r="K2994" s="182"/>
      <c r="L2994" s="8" t="s">
        <v>4156</v>
      </c>
      <c r="M2994" s="8" t="s">
        <v>2814</v>
      </c>
      <c r="N2994" s="38"/>
      <c r="O2994" s="8"/>
      <c r="P2994" s="4" t="str">
        <f>VLOOKUP($B2994,'D7 - NDB Impacted SPRF''s'!$E$16:$O$9929,9,FALSE)</f>
        <v>Y</v>
      </c>
      <c r="Q2994" s="4" t="str">
        <f>VLOOKUP($B2994,'D7 - NDB Impacted SPRF''s'!$E$16:$O$9929,10,FALSE)</f>
        <v>N</v>
      </c>
      <c r="R2994" s="4" t="str">
        <f>VLOOKUP($B2994,'D7 - NDB Impacted SPRF''s'!$E$16:$O$9929,11,FALSE)</f>
        <v>Y</v>
      </c>
      <c r="S2994" s="8"/>
      <c r="T2994" s="310"/>
      <c r="U2994" s="310"/>
      <c r="V2994" s="4"/>
      <c r="W2994" s="4"/>
      <c r="X2994" s="4"/>
      <c r="Y2994" s="4"/>
      <c r="Z2994" s="4"/>
      <c r="AA2994" s="4"/>
      <c r="AB2994" s="380" t="str">
        <f>VLOOKUP($B2994,'D7 - NDB Impacted SPRF''s'!$E$6:$O$9929,4,FALSE)</f>
        <v>Cancelled</v>
      </c>
      <c r="AC2994" s="380" t="str">
        <f>VLOOKUP($B2994,'D7 - NDB Impacted SPRF''s'!$E$6:$O$9929,3,FALSE)</f>
        <v>UnitedHealthcare Employer &amp; Individual</v>
      </c>
      <c r="AD2994" s="380" t="str">
        <f>VLOOKUP($B2994,'D7 - NDB Impacted SPRF''s'!$E$6:$O$9929,5,FALSE)</f>
        <v>Process Improvement</v>
      </c>
      <c r="AE2994" s="380" t="str">
        <f>VLOOKUP($B2994,'D7 - NDB Impacted SPRF''s'!$E$6:$O$9929,7,FALSE)</f>
        <v>Jill Foucre</v>
      </c>
      <c r="AF2994" s="380" t="str">
        <f>VLOOKUP($B2994,'D7 - NDB Impacted SPRF''s'!$E$6:$O$9929,6,FALSE)</f>
        <v>Susan Neal</v>
      </c>
      <c r="AG2994" s="282"/>
      <c r="AH2994" s="311" t="e">
        <f>INDEX('D5 - Gatekeeper - Projects'!$A$4:$AF$1010,$AM2994, 17)</f>
        <v>#N/A</v>
      </c>
      <c r="AI2994" s="8"/>
      <c r="AJ2994" s="57"/>
      <c r="AK2994" s="105"/>
      <c r="AM2994" s="6" t="e">
        <f>MATCH(D2994,'D5 - Gatekeeper - Projects'!$C$4:$C$1010,0)</f>
        <v>#N/A</v>
      </c>
      <c r="AN2994" s="6" t="b">
        <f t="shared" si="309"/>
        <v>1</v>
      </c>
      <c r="AO2994" s="6" t="str">
        <f t="shared" si="310"/>
        <v>OK</v>
      </c>
      <c r="AQ2994" s="6" t="e">
        <f>MATCH($D2994,'D4 - Provider Council Unsched'!$C$11:$C$234,0)</f>
        <v>#N/A</v>
      </c>
      <c r="AR2994" s="6" t="b">
        <f t="shared" si="311"/>
        <v>1</v>
      </c>
      <c r="AS2994" s="6" t="str">
        <f t="shared" si="312"/>
        <v>OK</v>
      </c>
      <c r="AU2994" s="202"/>
      <c r="AV2994" s="262"/>
      <c r="AW2994" s="274"/>
    </row>
    <row r="2995" spans="1:49" s="13" customFormat="1" ht="33.75" x14ac:dyDescent="0.2">
      <c r="A2995" s="14">
        <v>2971</v>
      </c>
      <c r="B2995" s="14">
        <v>400036776</v>
      </c>
      <c r="C2995" s="8" t="s">
        <v>5197</v>
      </c>
      <c r="D2995" s="4" t="str">
        <f t="shared" si="313"/>
        <v>400036776R1</v>
      </c>
      <c r="E2995" s="309" t="str">
        <f>VLOOKUP($B2995,'D7 - NDB Impacted SPRF''s'!$E$6:$O$9929,2,FALSE)</f>
        <v xml:space="preserve">TRICARE Program: ISET Provider Search </v>
      </c>
      <c r="F2995" s="8" t="s">
        <v>5523</v>
      </c>
      <c r="G2995" s="8" t="s">
        <v>4758</v>
      </c>
      <c r="H2995" s="8" t="s">
        <v>2870</v>
      </c>
      <c r="I2995" s="20"/>
      <c r="J2995" s="8"/>
      <c r="K2995" s="182"/>
      <c r="L2995" s="8" t="s">
        <v>4156</v>
      </c>
      <c r="M2995" s="8" t="s">
        <v>2814</v>
      </c>
      <c r="N2995" s="38" t="s">
        <v>1162</v>
      </c>
      <c r="O2995" s="8"/>
      <c r="P2995" s="4" t="str">
        <f>VLOOKUP($B2995,'D7 - NDB Impacted SPRF''s'!$E$16:$O$9929,9,FALSE)</f>
        <v>N</v>
      </c>
      <c r="Q2995" s="4" t="str">
        <f>VLOOKUP($B2995,'D7 - NDB Impacted SPRF''s'!$E$16:$O$9929,10,FALSE)</f>
        <v>N</v>
      </c>
      <c r="R2995" s="4" t="str">
        <f>VLOOKUP($B2995,'D7 - NDB Impacted SPRF''s'!$E$16:$O$9929,11,FALSE)</f>
        <v>N</v>
      </c>
      <c r="S2995" s="8"/>
      <c r="T2995" s="310"/>
      <c r="U2995" s="310"/>
      <c r="V2995" s="4"/>
      <c r="W2995" s="4"/>
      <c r="X2995" s="4"/>
      <c r="Y2995" s="4"/>
      <c r="Z2995" s="4"/>
      <c r="AA2995" s="4"/>
      <c r="AB2995" s="380" t="str">
        <f>VLOOKUP($B2995,'D7 - NDB Impacted SPRF''s'!$E$6:$O$9929,4,FALSE)</f>
        <v>In Program Manager Request Review</v>
      </c>
      <c r="AC2995" s="380" t="str">
        <f>VLOOKUP($B2995,'D7 - NDB Impacted SPRF''s'!$E$6:$O$9929,3,FALSE)</f>
        <v>UMVS</v>
      </c>
      <c r="AD2995" s="380" t="str">
        <f>VLOOKUP($B2995,'D7 - NDB Impacted SPRF''s'!$E$6:$O$9929,5,FALSE)</f>
        <v>TRICARE- Customer Service &amp; Portals</v>
      </c>
      <c r="AE2995" s="380" t="str">
        <f>VLOOKUP($B2995,'D7 - NDB Impacted SPRF''s'!$E$6:$O$9929,7,FALSE)</f>
        <v>Tracy Berg</v>
      </c>
      <c r="AF2995" s="380" t="str">
        <f>VLOOKUP($B2995,'D7 - NDB Impacted SPRF''s'!$E$6:$O$9929,6,FALSE)</f>
        <v>Brian Lindell</v>
      </c>
      <c r="AG2995" s="282"/>
      <c r="AH2995" s="311" t="e">
        <f>INDEX('D5 - Gatekeeper - Projects'!$A$4:$AF$1010,$AM2995, 17)</f>
        <v>#N/A</v>
      </c>
      <c r="AI2995" s="8"/>
      <c r="AJ2995" s="57"/>
      <c r="AK2995" s="105"/>
      <c r="AM2995" s="6" t="e">
        <f>MATCH(D2995,'D5 - Gatekeeper - Projects'!$C$4:$C$1010,0)</f>
        <v>#N/A</v>
      </c>
      <c r="AN2995" s="6" t="b">
        <f t="shared" si="309"/>
        <v>1</v>
      </c>
      <c r="AO2995" s="6" t="str">
        <f t="shared" si="310"/>
        <v>OK</v>
      </c>
      <c r="AQ2995" s="6" t="e">
        <f>MATCH($D2995,'D4 - Provider Council Unsched'!$C$11:$C$234,0)</f>
        <v>#N/A</v>
      </c>
      <c r="AR2995" s="6" t="b">
        <f t="shared" si="311"/>
        <v>1</v>
      </c>
      <c r="AS2995" s="6" t="str">
        <f t="shared" si="312"/>
        <v>OK</v>
      </c>
      <c r="AU2995" s="202"/>
      <c r="AV2995" s="262"/>
      <c r="AW2995" s="274"/>
    </row>
    <row r="2996" spans="1:49" s="13" customFormat="1" ht="33.75" x14ac:dyDescent="0.2">
      <c r="A2996" s="14">
        <v>2972</v>
      </c>
      <c r="B2996" s="14">
        <v>400036845</v>
      </c>
      <c r="C2996" s="8" t="s">
        <v>5197</v>
      </c>
      <c r="D2996" s="4" t="str">
        <f t="shared" si="313"/>
        <v>400036845R1</v>
      </c>
      <c r="E2996" s="309" t="str">
        <f>VLOOKUP($B2996,'D7 - NDB Impacted SPRF''s'!$E$6:$O$9929,2,FALSE)</f>
        <v>Lab Network Reimbursement Program</v>
      </c>
      <c r="F2996" s="8" t="s">
        <v>4516</v>
      </c>
      <c r="G2996" s="8" t="s">
        <v>4758</v>
      </c>
      <c r="H2996" s="8" t="s">
        <v>2870</v>
      </c>
      <c r="I2996" s="20"/>
      <c r="J2996" s="8"/>
      <c r="K2996" s="182"/>
      <c r="L2996" s="8" t="s">
        <v>4156</v>
      </c>
      <c r="M2996" s="8" t="s">
        <v>2814</v>
      </c>
      <c r="N2996" s="38"/>
      <c r="O2996" s="8"/>
      <c r="P2996" s="4" t="str">
        <f>VLOOKUP($B2996,'D7 - NDB Impacted SPRF''s'!$E$16:$O$9929,9,FALSE)</f>
        <v>Y</v>
      </c>
      <c r="Q2996" s="4" t="str">
        <f>VLOOKUP($B2996,'D7 - NDB Impacted SPRF''s'!$E$16:$O$9929,10,FALSE)</f>
        <v>N</v>
      </c>
      <c r="R2996" s="4" t="str">
        <f>VLOOKUP($B2996,'D7 - NDB Impacted SPRF''s'!$E$16:$O$9929,11,FALSE)</f>
        <v>N</v>
      </c>
      <c r="S2996" s="8"/>
      <c r="T2996" s="310"/>
      <c r="U2996" s="310"/>
      <c r="V2996" s="4"/>
      <c r="W2996" s="4"/>
      <c r="X2996" s="4"/>
      <c r="Y2996" s="4"/>
      <c r="Z2996" s="4"/>
      <c r="AA2996" s="4"/>
      <c r="AB2996" s="380" t="str">
        <f>VLOOKUP($B2996,'D7 - NDB Impacted SPRF''s'!$E$6:$O$9929,4,FALSE)</f>
        <v>Cancelled</v>
      </c>
      <c r="AC2996" s="380" t="str">
        <f>VLOOKUP($B2996,'D7 - NDB Impacted SPRF''s'!$E$6:$O$9929,3,FALSE)</f>
        <v>UnitedHealthcare Employer &amp; Individual</v>
      </c>
      <c r="AD2996" s="380" t="str">
        <f>VLOOKUP($B2996,'D7 - NDB Impacted SPRF''s'!$E$6:$O$9929,5,FALSE)</f>
        <v>Medical Cost Savings Programs</v>
      </c>
      <c r="AE2996" s="380" t="str">
        <f>VLOOKUP($B2996,'D7 - NDB Impacted SPRF''s'!$E$6:$O$9929,7,FALSE)</f>
        <v>Linda Stewart</v>
      </c>
      <c r="AF2996" s="380" t="str">
        <f>VLOOKUP($B2996,'D7 - NDB Impacted SPRF''s'!$E$6:$O$9929,6,FALSE)</f>
        <v>Bonnie Theis</v>
      </c>
      <c r="AG2996" s="282"/>
      <c r="AH2996" s="311" t="e">
        <f>INDEX('D5 - Gatekeeper - Projects'!$A$4:$AF$1010,$AM2996, 17)</f>
        <v>#N/A</v>
      </c>
      <c r="AI2996" s="8"/>
      <c r="AJ2996" s="57"/>
      <c r="AK2996" s="105"/>
      <c r="AM2996" s="6" t="e">
        <f>MATCH(D2996,'D5 - Gatekeeper - Projects'!$C$4:$C$1010,0)</f>
        <v>#N/A</v>
      </c>
      <c r="AN2996" s="6" t="b">
        <f t="shared" si="309"/>
        <v>1</v>
      </c>
      <c r="AO2996" s="6" t="str">
        <f t="shared" si="310"/>
        <v>OK</v>
      </c>
      <c r="AQ2996" s="6" t="e">
        <f>MATCH($D2996,'D4 - Provider Council Unsched'!$C$11:$C$234,0)</f>
        <v>#N/A</v>
      </c>
      <c r="AR2996" s="6" t="b">
        <f t="shared" si="311"/>
        <v>1</v>
      </c>
      <c r="AS2996" s="6" t="str">
        <f t="shared" si="312"/>
        <v>OK</v>
      </c>
      <c r="AU2996" s="202"/>
      <c r="AV2996" s="262"/>
      <c r="AW2996" s="274"/>
    </row>
    <row r="2997" spans="1:49" s="13" customFormat="1" ht="22.5" x14ac:dyDescent="0.2">
      <c r="A2997" s="14">
        <v>2973</v>
      </c>
      <c r="B2997" s="8">
        <v>400036974</v>
      </c>
      <c r="C2997" s="8" t="s">
        <v>1447</v>
      </c>
      <c r="D2997" s="4" t="str">
        <f t="shared" si="313"/>
        <v>400036974A</v>
      </c>
      <c r="E2997" s="309" t="str">
        <f>VLOOKUP($B2997,'D7 - NDB Impacted SPRF''s'!$E$6:$O$9929,2,FALSE)</f>
        <v>4-36974 - Medica (COSMOS) Implementation</v>
      </c>
      <c r="F2997" s="8"/>
      <c r="G2997" s="8" t="s">
        <v>4758</v>
      </c>
      <c r="H2997" s="8" t="s">
        <v>2870</v>
      </c>
      <c r="I2997" s="20"/>
      <c r="J2997" s="8"/>
      <c r="K2997" s="182"/>
      <c r="L2997" s="8" t="s">
        <v>4156</v>
      </c>
      <c r="M2997" s="8" t="s">
        <v>2814</v>
      </c>
      <c r="N2997" s="38" t="s">
        <v>5273</v>
      </c>
      <c r="O2997" s="8"/>
      <c r="P2997" s="4" t="str">
        <f>VLOOKUP($B2997,'D7 - NDB Impacted SPRF''s'!$E$16:$O$9929,9,FALSE)</f>
        <v>N</v>
      </c>
      <c r="Q2997" s="4" t="str">
        <f>VLOOKUP($B2997,'D7 - NDB Impacted SPRF''s'!$E$16:$O$9929,10,FALSE)</f>
        <v>N</v>
      </c>
      <c r="R2997" s="4" t="str">
        <f>VLOOKUP($B2997,'D7 - NDB Impacted SPRF''s'!$E$16:$O$9929,11,FALSE)</f>
        <v>N</v>
      </c>
      <c r="S2997" s="8"/>
      <c r="T2997" s="310"/>
      <c r="U2997" s="310"/>
      <c r="V2997" s="4"/>
      <c r="W2997" s="4"/>
      <c r="X2997" s="4"/>
      <c r="Y2997" s="4"/>
      <c r="Z2997" s="4"/>
      <c r="AA2997" s="4"/>
      <c r="AB2997" s="380" t="str">
        <f>VLOOKUP($B2997,'D7 - NDB Impacted SPRF''s'!$E$6:$O$9929,4,FALSE)</f>
        <v>Scheduled</v>
      </c>
      <c r="AC2997" s="380" t="str">
        <f>VLOOKUP($B2997,'D7 - NDB Impacted SPRF''s'!$E$6:$O$9929,3,FALSE)</f>
        <v>OptumHealth</v>
      </c>
      <c r="AD2997" s="380" t="str">
        <f>VLOOKUP($B2997,'D7 - NDB Impacted SPRF''s'!$E$6:$O$9929,5,FALSE)</f>
        <v>FS-Payables Implementations (2010)05-49580-000</v>
      </c>
      <c r="AE2997" s="380" t="str">
        <f>VLOOKUP($B2997,'D7 - NDB Impacted SPRF''s'!$E$6:$O$9929,7,FALSE)</f>
        <v>Doug Price</v>
      </c>
      <c r="AF2997" s="380" t="str">
        <f>VLOOKUP($B2997,'D7 - NDB Impacted SPRF''s'!$E$6:$O$9929,6,FALSE)</f>
        <v>Therese Anderson</v>
      </c>
      <c r="AG2997" s="282"/>
      <c r="AH2997" s="311" t="e">
        <f>INDEX('D5 - Gatekeeper - Projects'!$A$4:$AF$1010,$AM2997, 17)</f>
        <v>#N/A</v>
      </c>
      <c r="AI2997" s="8"/>
      <c r="AJ2997" s="57"/>
      <c r="AK2997" s="105"/>
      <c r="AM2997" s="6" t="e">
        <f>MATCH(D2997,'D5 - Gatekeeper - Projects'!$C$4:$C$1010,0)</f>
        <v>#N/A</v>
      </c>
      <c r="AN2997" s="6" t="b">
        <f t="shared" si="309"/>
        <v>1</v>
      </c>
      <c r="AO2997" s="6" t="str">
        <f t="shared" si="310"/>
        <v>OK</v>
      </c>
      <c r="AQ2997" s="6" t="e">
        <f>MATCH($D2997,'D4 - Provider Council Unsched'!$C$11:$C$234,0)</f>
        <v>#N/A</v>
      </c>
      <c r="AR2997" s="6" t="b">
        <f t="shared" si="311"/>
        <v>1</v>
      </c>
      <c r="AS2997" s="6" t="str">
        <f t="shared" si="312"/>
        <v>OK</v>
      </c>
      <c r="AU2997" s="202"/>
      <c r="AV2997" s="262"/>
      <c r="AW2997" s="274"/>
    </row>
    <row r="2998" spans="1:49" s="13" customFormat="1" ht="22.5" x14ac:dyDescent="0.2">
      <c r="A2998" s="14">
        <v>2974</v>
      </c>
      <c r="B2998" s="14">
        <v>400036980</v>
      </c>
      <c r="C2998" s="8" t="s">
        <v>5197</v>
      </c>
      <c r="D2998" s="4" t="str">
        <f t="shared" si="313"/>
        <v>400036980R1</v>
      </c>
      <c r="E2998" s="309" t="str">
        <f>VLOOKUP($B2998,'D7 - NDB Impacted SPRF''s'!$E$6:$O$9929,2,FALSE)</f>
        <v>Par Providers by Zip Code and Fee Schedule</v>
      </c>
      <c r="F2998" s="8"/>
      <c r="G2998" s="8" t="s">
        <v>4758</v>
      </c>
      <c r="H2998" s="8" t="s">
        <v>2870</v>
      </c>
      <c r="I2998" s="20"/>
      <c r="J2998" s="8"/>
      <c r="K2998" s="182"/>
      <c r="L2998" s="8" t="s">
        <v>4156</v>
      </c>
      <c r="M2998" s="8" t="s">
        <v>2814</v>
      </c>
      <c r="N2998" s="38" t="s">
        <v>1162</v>
      </c>
      <c r="O2998" s="8"/>
      <c r="P2998" s="4" t="str">
        <f>VLOOKUP($B2998,'D7 - NDB Impacted SPRF''s'!$E$16:$O$9929,9,FALSE)</f>
        <v>N</v>
      </c>
      <c r="Q2998" s="4" t="str">
        <f>VLOOKUP($B2998,'D7 - NDB Impacted SPRF''s'!$E$16:$O$9929,10,FALSE)</f>
        <v>N</v>
      </c>
      <c r="R2998" s="4" t="str">
        <f>VLOOKUP($B2998,'D7 - NDB Impacted SPRF''s'!$E$16:$O$9929,11,FALSE)</f>
        <v>N</v>
      </c>
      <c r="S2998" s="8"/>
      <c r="T2998" s="310"/>
      <c r="U2998" s="310"/>
      <c r="V2998" s="4"/>
      <c r="W2998" s="4"/>
      <c r="X2998" s="4"/>
      <c r="Y2998" s="4"/>
      <c r="Z2998" s="4"/>
      <c r="AA2998" s="4"/>
      <c r="AB2998" s="380" t="str">
        <f>VLOOKUP($B2998,'D7 - NDB Impacted SPRF''s'!$E$6:$O$9929,4,FALSE)</f>
        <v>In Funding</v>
      </c>
      <c r="AC2998" s="380" t="str">
        <f>VLOOKUP($B2998,'D7 - NDB Impacted SPRF''s'!$E$6:$O$9929,3,FALSE)</f>
        <v>UnitedHealthcare</v>
      </c>
      <c r="AD2998" s="380" t="str">
        <f>VLOOKUP($B2998,'D7 - NDB Impacted SPRF''s'!$E$6:$O$9929,5,FALSE)</f>
        <v>End to End Physician Contracting</v>
      </c>
      <c r="AE2998" s="380" t="str">
        <f>VLOOKUP($B2998,'D7 - NDB Impacted SPRF''s'!$E$6:$O$9929,7,FALSE)</f>
        <v>UHC</v>
      </c>
      <c r="AF2998" s="380" t="str">
        <f>VLOOKUP($B2998,'D7 - NDB Impacted SPRF''s'!$E$6:$O$9929,6,FALSE)</f>
        <v>Julie Newman</v>
      </c>
      <c r="AG2998" s="282"/>
      <c r="AH2998" s="311" t="e">
        <f>INDEX('D5 - Gatekeeper - Projects'!$A$4:$AF$1010,$AM2998, 17)</f>
        <v>#N/A</v>
      </c>
      <c r="AI2998" s="8"/>
      <c r="AJ2998" s="57"/>
      <c r="AK2998" s="105"/>
      <c r="AM2998" s="6" t="e">
        <f>MATCH(D2998,'D5 - Gatekeeper - Projects'!$C$4:$C$1010,0)</f>
        <v>#N/A</v>
      </c>
      <c r="AN2998" s="6" t="b">
        <f t="shared" si="309"/>
        <v>1</v>
      </c>
      <c r="AO2998" s="6" t="str">
        <f t="shared" si="310"/>
        <v>OK</v>
      </c>
      <c r="AQ2998" s="6" t="e">
        <f>MATCH($D2998,'D4 - Provider Council Unsched'!$C$11:$C$234,0)</f>
        <v>#N/A</v>
      </c>
      <c r="AR2998" s="6" t="b">
        <f t="shared" si="311"/>
        <v>1</v>
      </c>
      <c r="AS2998" s="6" t="str">
        <f t="shared" si="312"/>
        <v>OK</v>
      </c>
      <c r="AU2998" s="202"/>
      <c r="AV2998" s="262"/>
      <c r="AW2998" s="274"/>
    </row>
    <row r="2999" spans="1:49" s="13" customFormat="1" ht="33.75" x14ac:dyDescent="0.2">
      <c r="A2999" s="14">
        <v>2975</v>
      </c>
      <c r="B2999" s="14">
        <v>400037001</v>
      </c>
      <c r="C2999" s="8" t="s">
        <v>5197</v>
      </c>
      <c r="D2999" s="4" t="str">
        <f t="shared" si="313"/>
        <v>400037001R1</v>
      </c>
      <c r="E2999" s="309" t="str">
        <f>VLOOKUP($B2999,'D7 - NDB Impacted SPRF''s'!$E$6:$O$9929,2,FALSE)</f>
        <v>Enhance NDB to track disclosure forms (Medicaid)</v>
      </c>
      <c r="F2999" s="8"/>
      <c r="G2999" s="8" t="s">
        <v>4758</v>
      </c>
      <c r="H2999" s="8" t="s">
        <v>2870</v>
      </c>
      <c r="I2999" s="20"/>
      <c r="J2999" s="8"/>
      <c r="K2999" s="182"/>
      <c r="L2999" s="8" t="s">
        <v>4156</v>
      </c>
      <c r="M2999" s="8" t="s">
        <v>2814</v>
      </c>
      <c r="N2999" s="38"/>
      <c r="O2999" s="8"/>
      <c r="P2999" s="4" t="str">
        <f>VLOOKUP($B2999,'D7 - NDB Impacted SPRF''s'!$E$16:$O$9929,9,FALSE)</f>
        <v>N</v>
      </c>
      <c r="Q2999" s="4" t="str">
        <f>VLOOKUP($B2999,'D7 - NDB Impacted SPRF''s'!$E$16:$O$9929,10,FALSE)</f>
        <v>N</v>
      </c>
      <c r="R2999" s="4" t="str">
        <f>VLOOKUP($B2999,'D7 - NDB Impacted SPRF''s'!$E$16:$O$9929,11,FALSE)</f>
        <v>N</v>
      </c>
      <c r="S2999" s="8"/>
      <c r="T2999" s="310"/>
      <c r="U2999" s="310"/>
      <c r="V2999" s="4"/>
      <c r="W2999" s="4"/>
      <c r="X2999" s="4"/>
      <c r="Y2999" s="4"/>
      <c r="Z2999" s="4"/>
      <c r="AA2999" s="4"/>
      <c r="AB2999" s="380" t="str">
        <f>VLOOKUP($B2999,'D7 - NDB Impacted SPRF''s'!$E$6:$O$9929,4,FALSE)</f>
        <v>Cancelled</v>
      </c>
      <c r="AC2999" s="380" t="str">
        <f>VLOOKUP($B2999,'D7 - NDB Impacted SPRF''s'!$E$6:$O$9929,3,FALSE)</f>
        <v>UnitedHealthcare Community &amp; State</v>
      </c>
      <c r="AD2999" s="380" t="str">
        <f>VLOOKUP($B2999,'D7 - NDB Impacted SPRF''s'!$E$6:$O$9929,5,FALSE)</f>
        <v>AmeriChoice</v>
      </c>
      <c r="AE2999" s="380" t="str">
        <f>VLOOKUP($B2999,'D7 - NDB Impacted SPRF''s'!$E$6:$O$9929,7,FALSE)</f>
        <v>Paul Balthazor</v>
      </c>
      <c r="AF2999" s="380" t="str">
        <f>VLOOKUP($B2999,'D7 - NDB Impacted SPRF''s'!$E$6:$O$9929,6,FALSE)</f>
        <v>Carol Brunetti</v>
      </c>
      <c r="AG2999" s="282"/>
      <c r="AH2999" s="311" t="e">
        <f>INDEX('D5 - Gatekeeper - Projects'!$A$4:$AF$1010,$AM2999, 17)</f>
        <v>#N/A</v>
      </c>
      <c r="AI2999" s="8"/>
      <c r="AJ2999" s="57"/>
      <c r="AK2999" s="105"/>
      <c r="AM2999" s="6" t="e">
        <f>MATCH(D2999,'D5 - Gatekeeper - Projects'!$C$4:$C$1010,0)</f>
        <v>#N/A</v>
      </c>
      <c r="AN2999" s="6" t="b">
        <f t="shared" si="309"/>
        <v>1</v>
      </c>
      <c r="AO2999" s="6" t="str">
        <f t="shared" si="310"/>
        <v>OK</v>
      </c>
      <c r="AQ2999" s="6" t="e">
        <f>MATCH($D2999,'D4 - Provider Council Unsched'!$C$11:$C$234,0)</f>
        <v>#N/A</v>
      </c>
      <c r="AR2999" s="6" t="b">
        <f t="shared" si="311"/>
        <v>1</v>
      </c>
      <c r="AS2999" s="6" t="str">
        <f t="shared" si="312"/>
        <v>OK</v>
      </c>
      <c r="AU2999" s="202"/>
      <c r="AV2999" s="262"/>
      <c r="AW2999" s="274"/>
    </row>
    <row r="3000" spans="1:49" s="13" customFormat="1" ht="33.75" x14ac:dyDescent="0.2">
      <c r="A3000" s="14">
        <v>2976</v>
      </c>
      <c r="B3000" s="14">
        <v>400037203</v>
      </c>
      <c r="C3000" s="8" t="s">
        <v>5197</v>
      </c>
      <c r="D3000" s="4" t="str">
        <f t="shared" si="313"/>
        <v>400037203R1</v>
      </c>
      <c r="E3000" s="309" t="str">
        <f>VLOOKUP($B3000,'D7 - NDB Impacted SPRF''s'!$E$6:$O$9929,2,FALSE)</f>
        <v>HPHC Premium Designation Access Controls</v>
      </c>
      <c r="F3000" s="8"/>
      <c r="G3000" s="8" t="s">
        <v>4758</v>
      </c>
      <c r="H3000" s="8" t="s">
        <v>2870</v>
      </c>
      <c r="I3000" s="20"/>
      <c r="J3000" s="8"/>
      <c r="K3000" s="182"/>
      <c r="L3000" s="8" t="s">
        <v>4156</v>
      </c>
      <c r="M3000" s="8" t="s">
        <v>2814</v>
      </c>
      <c r="N3000" s="38"/>
      <c r="O3000" s="8"/>
      <c r="P3000" s="4" t="str">
        <f>VLOOKUP($B3000,'D7 - NDB Impacted SPRF''s'!$E$16:$O$9929,9,FALSE)</f>
        <v>Y</v>
      </c>
      <c r="Q3000" s="4" t="str">
        <f>VLOOKUP($B3000,'D7 - NDB Impacted SPRF''s'!$E$16:$O$9929,10,FALSE)</f>
        <v>N</v>
      </c>
      <c r="R3000" s="4" t="str">
        <f>VLOOKUP($B3000,'D7 - NDB Impacted SPRF''s'!$E$16:$O$9929,11,FALSE)</f>
        <v>N</v>
      </c>
      <c r="S3000" s="8"/>
      <c r="T3000" s="310"/>
      <c r="U3000" s="310"/>
      <c r="V3000" s="4"/>
      <c r="W3000" s="4"/>
      <c r="X3000" s="4"/>
      <c r="Y3000" s="4"/>
      <c r="Z3000" s="4"/>
      <c r="AA3000" s="4"/>
      <c r="AB3000" s="380" t="str">
        <f>VLOOKUP($B3000,'D7 - NDB Impacted SPRF''s'!$E$6:$O$9929,4,FALSE)</f>
        <v>Cancelled</v>
      </c>
      <c r="AC3000" s="380" t="str">
        <f>VLOOKUP($B3000,'D7 - NDB Impacted SPRF''s'!$E$6:$O$9929,3,FALSE)</f>
        <v>UnitedHealthcare Employer &amp; Individual</v>
      </c>
      <c r="AD3000" s="380" t="str">
        <f>VLOOKUP($B3000,'D7 - NDB Impacted SPRF''s'!$E$6:$O$9929,5,FALSE)</f>
        <v>HCA - HPHC Operational Support</v>
      </c>
      <c r="AE3000" s="380" t="str">
        <f>VLOOKUP($B3000,'D7 - NDB Impacted SPRF''s'!$E$6:$O$9929,7,FALSE)</f>
        <v>Pam Stegora Axberg</v>
      </c>
      <c r="AF3000" s="380" t="str">
        <f>VLOOKUP($B3000,'D7 - NDB Impacted SPRF''s'!$E$6:$O$9929,6,FALSE)</f>
        <v>Ryan Anderson</v>
      </c>
      <c r="AG3000" s="282"/>
      <c r="AH3000" s="311" t="e">
        <f>INDEX('D5 - Gatekeeper - Projects'!$A$4:$AF$1010,$AM3000, 17)</f>
        <v>#N/A</v>
      </c>
      <c r="AI3000" s="8"/>
      <c r="AJ3000" s="57"/>
      <c r="AK3000" s="105"/>
      <c r="AM3000" s="6" t="e">
        <f>MATCH(D3000,'D5 - Gatekeeper - Projects'!$C$4:$C$1010,0)</f>
        <v>#N/A</v>
      </c>
      <c r="AN3000" s="6" t="b">
        <f t="shared" si="309"/>
        <v>1</v>
      </c>
      <c r="AO3000" s="6" t="str">
        <f t="shared" si="310"/>
        <v>OK</v>
      </c>
      <c r="AQ3000" s="6" t="e">
        <f>MATCH($D3000,'D4 - Provider Council Unsched'!$C$11:$C$234,0)</f>
        <v>#N/A</v>
      </c>
      <c r="AR3000" s="6" t="b">
        <f t="shared" si="311"/>
        <v>1</v>
      </c>
      <c r="AS3000" s="6" t="str">
        <f t="shared" si="312"/>
        <v>OK</v>
      </c>
      <c r="AU3000" s="202"/>
      <c r="AV3000" s="262"/>
      <c r="AW3000" s="274"/>
    </row>
    <row r="3001" spans="1:49" s="13" customFormat="1" x14ac:dyDescent="0.2">
      <c r="A3001" s="14">
        <v>2977</v>
      </c>
      <c r="B3001" s="14">
        <v>400037260</v>
      </c>
      <c r="C3001" s="8" t="s">
        <v>5197</v>
      </c>
      <c r="D3001" s="4" t="str">
        <f t="shared" si="313"/>
        <v>400037260R1</v>
      </c>
      <c r="E3001" s="309" t="str">
        <f>VLOOKUP($B3001,'D7 - NDB Impacted SPRF''s'!$E$6:$O$9929,2,FALSE)</f>
        <v>OHBS Auth Changes</v>
      </c>
      <c r="F3001" s="8"/>
      <c r="G3001" s="8" t="s">
        <v>4758</v>
      </c>
      <c r="H3001" s="8" t="s">
        <v>2870</v>
      </c>
      <c r="I3001" s="20"/>
      <c r="J3001" s="8"/>
      <c r="K3001" s="182"/>
      <c r="L3001" s="8" t="s">
        <v>4156</v>
      </c>
      <c r="M3001" s="8" t="s">
        <v>2814</v>
      </c>
      <c r="N3001" s="38"/>
      <c r="O3001" s="8"/>
      <c r="P3001" s="4" t="str">
        <f>VLOOKUP($B3001,'D7 - NDB Impacted SPRF''s'!$E$16:$O$9929,9,FALSE)</f>
        <v>Y</v>
      </c>
      <c r="Q3001" s="4" t="str">
        <f>VLOOKUP($B3001,'D7 - NDB Impacted SPRF''s'!$E$16:$O$9929,10,FALSE)</f>
        <v>N</v>
      </c>
      <c r="R3001" s="4" t="str">
        <f>VLOOKUP($B3001,'D7 - NDB Impacted SPRF''s'!$E$16:$O$9929,11,FALSE)</f>
        <v>N</v>
      </c>
      <c r="S3001" s="8"/>
      <c r="T3001" s="310"/>
      <c r="U3001" s="310"/>
      <c r="V3001" s="4"/>
      <c r="W3001" s="4"/>
      <c r="X3001" s="4"/>
      <c r="Y3001" s="4"/>
      <c r="Z3001" s="4"/>
      <c r="AA3001" s="4"/>
      <c r="AB3001" s="380" t="str">
        <f>VLOOKUP($B3001,'D7 - NDB Impacted SPRF''s'!$E$6:$O$9929,4,FALSE)</f>
        <v>Cancelled</v>
      </c>
      <c r="AC3001" s="380" t="str">
        <f>VLOOKUP($B3001,'D7 - NDB Impacted SPRF''s'!$E$6:$O$9929,3,FALSE)</f>
        <v>OptumHealth</v>
      </c>
      <c r="AD3001" s="380" t="str">
        <f>VLOOKUP($B3001,'D7 - NDB Impacted SPRF''s'!$E$6:$O$9929,5,FALSE)</f>
        <v>Behavioral Solutions</v>
      </c>
      <c r="AE3001" s="380" t="str">
        <f>VLOOKUP($B3001,'D7 - NDB Impacted SPRF''s'!$E$6:$O$9929,7,FALSE)</f>
        <v>Robert Preston</v>
      </c>
      <c r="AF3001" s="380" t="str">
        <f>VLOOKUP($B3001,'D7 - NDB Impacted SPRF''s'!$E$6:$O$9929,6,FALSE)</f>
        <v>Rebecca Embry</v>
      </c>
      <c r="AG3001" s="282"/>
      <c r="AH3001" s="311" t="e">
        <f>INDEX('D5 - Gatekeeper - Projects'!$A$4:$AF$1010,$AM3001, 17)</f>
        <v>#N/A</v>
      </c>
      <c r="AI3001" s="8"/>
      <c r="AJ3001" s="57"/>
      <c r="AK3001" s="105"/>
      <c r="AM3001" s="6" t="e">
        <f>MATCH(D3001,'D5 - Gatekeeper - Projects'!$C$4:$C$1010,0)</f>
        <v>#N/A</v>
      </c>
      <c r="AN3001" s="6" t="b">
        <f t="shared" si="309"/>
        <v>1</v>
      </c>
      <c r="AO3001" s="6" t="str">
        <f t="shared" si="310"/>
        <v>OK</v>
      </c>
      <c r="AQ3001" s="6" t="e">
        <f>MATCH($D3001,'D4 - Provider Council Unsched'!$C$11:$C$234,0)</f>
        <v>#N/A</v>
      </c>
      <c r="AR3001" s="6" t="b">
        <f t="shared" si="311"/>
        <v>1</v>
      </c>
      <c r="AS3001" s="6" t="str">
        <f t="shared" si="312"/>
        <v>OK</v>
      </c>
      <c r="AU3001" s="202"/>
      <c r="AV3001" s="262"/>
      <c r="AW3001" s="274"/>
    </row>
    <row r="3002" spans="1:49" s="13" customFormat="1" ht="33.75" x14ac:dyDescent="0.2">
      <c r="A3002" s="14">
        <v>2978</v>
      </c>
      <c r="B3002" s="14">
        <v>400037290</v>
      </c>
      <c r="C3002" s="8" t="s">
        <v>5197</v>
      </c>
      <c r="D3002" s="4" t="str">
        <f t="shared" si="313"/>
        <v>400037290R1</v>
      </c>
      <c r="E3002" s="309" t="str">
        <f>VLOOKUP($B3002,'D7 - NDB Impacted SPRF''s'!$E$6:$O$9929,2,FALSE)</f>
        <v xml:space="preserve">NPI Phase 2 enhancements for COSMOS			</v>
      </c>
      <c r="F3002" s="8"/>
      <c r="G3002" s="8" t="s">
        <v>4758</v>
      </c>
      <c r="H3002" s="8" t="s">
        <v>2870</v>
      </c>
      <c r="I3002" s="20"/>
      <c r="J3002" s="8"/>
      <c r="K3002" s="182"/>
      <c r="L3002" s="8" t="s">
        <v>4156</v>
      </c>
      <c r="M3002" s="8" t="s">
        <v>2814</v>
      </c>
      <c r="N3002" s="38" t="s">
        <v>6926</v>
      </c>
      <c r="O3002" s="8"/>
      <c r="P3002" s="4" t="str">
        <f>VLOOKUP($B3002,'D7 - NDB Impacted SPRF''s'!$E$16:$O$9929,9,FALSE)</f>
        <v>N</v>
      </c>
      <c r="Q3002" s="4" t="str">
        <f>VLOOKUP($B3002,'D7 - NDB Impacted SPRF''s'!$E$16:$O$9929,10,FALSE)</f>
        <v>N</v>
      </c>
      <c r="R3002" s="4" t="str">
        <f>VLOOKUP($B3002,'D7 - NDB Impacted SPRF''s'!$E$16:$O$9929,11,FALSE)</f>
        <v>N</v>
      </c>
      <c r="S3002" s="8"/>
      <c r="T3002" s="310"/>
      <c r="U3002" s="310"/>
      <c r="V3002" s="4"/>
      <c r="W3002" s="4"/>
      <c r="X3002" s="4"/>
      <c r="Y3002" s="4"/>
      <c r="Z3002" s="4"/>
      <c r="AA3002" s="4"/>
      <c r="AB3002" s="380" t="str">
        <f>VLOOKUP($B3002,'D7 - NDB Impacted SPRF''s'!$E$6:$O$9929,4,FALSE)</f>
        <v>Cancelled</v>
      </c>
      <c r="AC3002" s="380" t="str">
        <f>VLOOKUP($B3002,'D7 - NDB Impacted SPRF''s'!$E$6:$O$9929,3,FALSE)</f>
        <v>UnitedHealthcare Community &amp; State</v>
      </c>
      <c r="AD3002" s="380" t="str">
        <f>VLOOKUP($B3002,'D7 - NDB Impacted SPRF''s'!$E$6:$O$9929,5,FALSE)</f>
        <v>Evercare Medicaid</v>
      </c>
      <c r="AE3002" s="380" t="str">
        <f>VLOOKUP($B3002,'D7 - NDB Impacted SPRF''s'!$E$6:$O$9929,7,FALSE)</f>
        <v>Paul Balthazor</v>
      </c>
      <c r="AF3002" s="380" t="str">
        <f>VLOOKUP($B3002,'D7 - NDB Impacted SPRF''s'!$E$6:$O$9929,6,FALSE)</f>
        <v>Ronald Wilson</v>
      </c>
      <c r="AG3002" s="282"/>
      <c r="AH3002" s="311" t="e">
        <f>INDEX('D5 - Gatekeeper - Projects'!$A$4:$AF$1010,$AM3002, 17)</f>
        <v>#N/A</v>
      </c>
      <c r="AI3002" s="8"/>
      <c r="AJ3002" s="57"/>
      <c r="AK3002" s="105"/>
      <c r="AM3002" s="6" t="e">
        <f>MATCH(D3002,'D5 - Gatekeeper - Projects'!$C$4:$C$1010,0)</f>
        <v>#N/A</v>
      </c>
      <c r="AN3002" s="6" t="b">
        <f t="shared" si="309"/>
        <v>1</v>
      </c>
      <c r="AO3002" s="6" t="str">
        <f t="shared" si="310"/>
        <v>OK</v>
      </c>
      <c r="AQ3002" s="6" t="e">
        <f>MATCH($D3002,'D4 - Provider Council Unsched'!$C$11:$C$234,0)</f>
        <v>#N/A</v>
      </c>
      <c r="AR3002" s="6" t="b">
        <f t="shared" si="311"/>
        <v>1</v>
      </c>
      <c r="AS3002" s="6" t="str">
        <f t="shared" si="312"/>
        <v>OK</v>
      </c>
      <c r="AU3002" s="202"/>
      <c r="AV3002" s="262"/>
      <c r="AW3002" s="274"/>
    </row>
    <row r="3003" spans="1:49" s="13" customFormat="1" ht="33.75" x14ac:dyDescent="0.2">
      <c r="A3003" s="14">
        <v>2979</v>
      </c>
      <c r="B3003" s="14">
        <v>400037626</v>
      </c>
      <c r="C3003" s="8" t="s">
        <v>5197</v>
      </c>
      <c r="D3003" s="4" t="str">
        <f t="shared" si="313"/>
        <v>400037626R1</v>
      </c>
      <c r="E3003" s="309" t="str">
        <f>VLOOKUP($B3003,'D7 - NDB Impacted SPRF''s'!$E$6:$O$9929,2,FALSE)</f>
        <v>RSA Definition - Lab Network Reimbursement Program</v>
      </c>
      <c r="F3003" s="8"/>
      <c r="G3003" s="8" t="s">
        <v>4758</v>
      </c>
      <c r="H3003" s="8" t="s">
        <v>2870</v>
      </c>
      <c r="I3003" s="20"/>
      <c r="J3003" s="8"/>
      <c r="K3003" s="182"/>
      <c r="L3003" s="8" t="s">
        <v>4156</v>
      </c>
      <c r="M3003" s="8" t="s">
        <v>2814</v>
      </c>
      <c r="N3003" s="38" t="s">
        <v>6926</v>
      </c>
      <c r="O3003" s="8"/>
      <c r="P3003" s="4" t="str">
        <f>VLOOKUP($B3003,'D7 - NDB Impacted SPRF''s'!$E$16:$O$9929,9,FALSE)</f>
        <v>Y</v>
      </c>
      <c r="Q3003" s="4" t="str">
        <f>VLOOKUP($B3003,'D7 - NDB Impacted SPRF''s'!$E$16:$O$9929,10,FALSE)</f>
        <v>N</v>
      </c>
      <c r="R3003" s="4" t="str">
        <f>VLOOKUP($B3003,'D7 - NDB Impacted SPRF''s'!$E$16:$O$9929,11,FALSE)</f>
        <v>N</v>
      </c>
      <c r="S3003" s="8"/>
      <c r="T3003" s="310"/>
      <c r="U3003" s="310"/>
      <c r="V3003" s="4"/>
      <c r="W3003" s="4"/>
      <c r="X3003" s="4"/>
      <c r="Y3003" s="4"/>
      <c r="Z3003" s="4"/>
      <c r="AA3003" s="4"/>
      <c r="AB3003" s="380" t="str">
        <f>VLOOKUP($B3003,'D7 - NDB Impacted SPRF''s'!$E$6:$O$9929,4,FALSE)</f>
        <v>Cancelled</v>
      </c>
      <c r="AC3003" s="380" t="str">
        <f>VLOOKUP($B3003,'D7 - NDB Impacted SPRF''s'!$E$6:$O$9929,3,FALSE)</f>
        <v>UnitedHealthcare Employer &amp; Individual</v>
      </c>
      <c r="AD3003" s="380" t="str">
        <f>VLOOKUP($B3003,'D7 - NDB Impacted SPRF''s'!$E$6:$O$9929,5,FALSE)</f>
        <v>Medical Cost Savings Programs</v>
      </c>
      <c r="AE3003" s="380" t="str">
        <f>VLOOKUP($B3003,'D7 - NDB Impacted SPRF''s'!$E$6:$O$9929,7,FALSE)</f>
        <v>Linda Stewart</v>
      </c>
      <c r="AF3003" s="380" t="str">
        <f>VLOOKUP($B3003,'D7 - NDB Impacted SPRF''s'!$E$6:$O$9929,6,FALSE)</f>
        <v>Brendan Dolan</v>
      </c>
      <c r="AG3003" s="282"/>
      <c r="AH3003" s="311" t="e">
        <f>INDEX('D5 - Gatekeeper - Projects'!$A$4:$AF$1010,$AM3003, 17)</f>
        <v>#N/A</v>
      </c>
      <c r="AI3003" s="8"/>
      <c r="AJ3003" s="57"/>
      <c r="AK3003" s="105"/>
      <c r="AM3003" s="6" t="e">
        <f>MATCH(D3003,'D5 - Gatekeeper - Projects'!$C$4:$C$1010,0)</f>
        <v>#N/A</v>
      </c>
      <c r="AN3003" s="6" t="b">
        <f t="shared" si="309"/>
        <v>1</v>
      </c>
      <c r="AO3003" s="6" t="str">
        <f t="shared" si="310"/>
        <v>OK</v>
      </c>
      <c r="AQ3003" s="6" t="e">
        <f>MATCH($D3003,'D4 - Provider Council Unsched'!$C$11:$C$234,0)</f>
        <v>#N/A</v>
      </c>
      <c r="AR3003" s="6" t="b">
        <f t="shared" si="311"/>
        <v>1</v>
      </c>
      <c r="AS3003" s="6" t="str">
        <f t="shared" si="312"/>
        <v>OK</v>
      </c>
      <c r="AU3003" s="202"/>
      <c r="AV3003" s="262"/>
      <c r="AW3003" s="274"/>
    </row>
    <row r="3004" spans="1:49" s="13" customFormat="1" ht="22.5" x14ac:dyDescent="0.2">
      <c r="A3004" s="14">
        <v>2980</v>
      </c>
      <c r="B3004" s="14">
        <v>400037636</v>
      </c>
      <c r="C3004" s="8" t="s">
        <v>5197</v>
      </c>
      <c r="D3004" s="4" t="str">
        <f t="shared" si="313"/>
        <v>400037636R1</v>
      </c>
      <c r="E3004" s="309" t="str">
        <f>VLOOKUP($B3004,'D7 - NDB Impacted SPRF''s'!$E$6:$O$9929,2,FALSE)</f>
        <v>Lifeprint - Sierra FACETS Implementation</v>
      </c>
      <c r="F3004" s="8"/>
      <c r="G3004" s="8" t="s">
        <v>4758</v>
      </c>
      <c r="H3004" s="8" t="s">
        <v>2870</v>
      </c>
      <c r="I3004" s="20"/>
      <c r="J3004" s="8"/>
      <c r="K3004" s="182"/>
      <c r="L3004" s="8" t="s">
        <v>4156</v>
      </c>
      <c r="M3004" s="8" t="s">
        <v>2814</v>
      </c>
      <c r="N3004" s="38" t="s">
        <v>1165</v>
      </c>
      <c r="O3004" s="8"/>
      <c r="P3004" s="4" t="str">
        <f>VLOOKUP($B3004,'D7 - NDB Impacted SPRF''s'!$E$16:$O$9929,9,FALSE)</f>
        <v>N</v>
      </c>
      <c r="Q3004" s="4" t="str">
        <f>VLOOKUP($B3004,'D7 - NDB Impacted SPRF''s'!$E$16:$O$9929,10,FALSE)</f>
        <v>N</v>
      </c>
      <c r="R3004" s="4" t="str">
        <f>VLOOKUP($B3004,'D7 - NDB Impacted SPRF''s'!$E$16:$O$9929,11,FALSE)</f>
        <v>Y</v>
      </c>
      <c r="S3004" s="8"/>
      <c r="T3004" s="310"/>
      <c r="U3004" s="310"/>
      <c r="V3004" s="4"/>
      <c r="W3004" s="4"/>
      <c r="X3004" s="4"/>
      <c r="Y3004" s="4"/>
      <c r="Z3004" s="4"/>
      <c r="AA3004" s="4"/>
      <c r="AB3004" s="380" t="str">
        <f>VLOOKUP($B3004,'D7 - NDB Impacted SPRF''s'!$E$6:$O$9929,4,FALSE)</f>
        <v>In IT Leadership Estimate Review</v>
      </c>
      <c r="AC3004" s="380" t="str">
        <f>VLOOKUP($B3004,'D7 - NDB Impacted SPRF''s'!$E$6:$O$9929,3,FALSE)</f>
        <v>OptumHealth</v>
      </c>
      <c r="AD3004" s="380" t="str">
        <f>VLOOKUP($B3004,'D7 - NDB Impacted SPRF''s'!$E$6:$O$9929,5,FALSE)</f>
        <v xml:space="preserve">Life Print 05-53880-000  </v>
      </c>
      <c r="AE3004" s="380" t="str">
        <f>VLOOKUP($B3004,'D7 - NDB Impacted SPRF''s'!$E$6:$O$9929,7,FALSE)</f>
        <v>Steve Rodgers</v>
      </c>
      <c r="AF3004" s="380" t="str">
        <f>VLOOKUP($B3004,'D7 - NDB Impacted SPRF''s'!$E$6:$O$9929,6,FALSE)</f>
        <v>Andrew Start</v>
      </c>
      <c r="AG3004" s="282"/>
      <c r="AH3004" s="311" t="e">
        <f>INDEX('D5 - Gatekeeper - Projects'!$A$4:$AF$1010,$AM3004, 17)</f>
        <v>#N/A</v>
      </c>
      <c r="AI3004" s="8"/>
      <c r="AJ3004" s="57"/>
      <c r="AK3004" s="105"/>
      <c r="AM3004" s="6" t="e">
        <f>MATCH(D3004,'D5 - Gatekeeper - Projects'!$C$4:$C$1010,0)</f>
        <v>#N/A</v>
      </c>
      <c r="AN3004" s="6" t="b">
        <f t="shared" si="309"/>
        <v>1</v>
      </c>
      <c r="AO3004" s="6" t="str">
        <f t="shared" si="310"/>
        <v>OK</v>
      </c>
      <c r="AQ3004" s="6" t="e">
        <f>MATCH($D3004,'D4 - Provider Council Unsched'!$C$11:$C$234,0)</f>
        <v>#N/A</v>
      </c>
      <c r="AR3004" s="6" t="b">
        <f t="shared" si="311"/>
        <v>1</v>
      </c>
      <c r="AS3004" s="6" t="str">
        <f t="shared" si="312"/>
        <v>OK</v>
      </c>
      <c r="AU3004" s="202"/>
      <c r="AV3004" s="262"/>
      <c r="AW3004" s="274"/>
    </row>
    <row r="3005" spans="1:49" s="13" customFormat="1" ht="33.75" x14ac:dyDescent="0.2">
      <c r="A3005" s="14">
        <v>2981</v>
      </c>
      <c r="B3005" s="14">
        <v>400037786</v>
      </c>
      <c r="C3005" s="8" t="s">
        <v>5197</v>
      </c>
      <c r="D3005" s="4" t="str">
        <f t="shared" si="313"/>
        <v>400037786R1</v>
      </c>
      <c r="E3005" s="309" t="str">
        <f>VLOOKUP($B3005,'D7 - NDB Impacted SPRF''s'!$E$6:$O$9929,2,FALSE)</f>
        <v>RSA UMR Premium Designation - Long Term Solution</v>
      </c>
      <c r="F3005" s="8"/>
      <c r="G3005" s="8" t="s">
        <v>4758</v>
      </c>
      <c r="H3005" s="8" t="s">
        <v>2870</v>
      </c>
      <c r="I3005" s="20"/>
      <c r="J3005" s="8"/>
      <c r="K3005" s="182"/>
      <c r="L3005" s="8" t="s">
        <v>4156</v>
      </c>
      <c r="M3005" s="8" t="s">
        <v>2814</v>
      </c>
      <c r="N3005" s="38"/>
      <c r="O3005" s="8"/>
      <c r="P3005" s="4" t="str">
        <f>VLOOKUP($B3005,'D7 - NDB Impacted SPRF''s'!$E$16:$O$9929,9,FALSE)</f>
        <v>N</v>
      </c>
      <c r="Q3005" s="4" t="str">
        <f>VLOOKUP($B3005,'D7 - NDB Impacted SPRF''s'!$E$16:$O$9929,10,FALSE)</f>
        <v>N</v>
      </c>
      <c r="R3005" s="4" t="str">
        <f>VLOOKUP($B3005,'D7 - NDB Impacted SPRF''s'!$E$16:$O$9929,11,FALSE)</f>
        <v>Y</v>
      </c>
      <c r="S3005" s="8"/>
      <c r="T3005" s="310"/>
      <c r="U3005" s="310"/>
      <c r="V3005" s="4"/>
      <c r="W3005" s="4"/>
      <c r="X3005" s="4"/>
      <c r="Y3005" s="4"/>
      <c r="Z3005" s="4"/>
      <c r="AA3005" s="4"/>
      <c r="AB3005" s="380" t="str">
        <f>VLOOKUP($B3005,'D7 - NDB Impacted SPRF''s'!$E$6:$O$9929,4,FALSE)</f>
        <v>Cancelled</v>
      </c>
      <c r="AC3005" s="380" t="str">
        <f>VLOOKUP($B3005,'D7 - NDB Impacted SPRF''s'!$E$6:$O$9929,3,FALSE)</f>
        <v>UnitedHealthcare Employer &amp; Individual</v>
      </c>
      <c r="AD3005" s="380" t="str">
        <f>VLOOKUP($B3005,'D7 - NDB Impacted SPRF''s'!$E$6:$O$9929,5,FALSE)</f>
        <v>Operational Requirements</v>
      </c>
      <c r="AE3005" s="380" t="str">
        <f>VLOOKUP($B3005,'D7 - NDB Impacted SPRF''s'!$E$6:$O$9929,7,FALSE)</f>
        <v>Mike Kriofsky</v>
      </c>
      <c r="AF3005" s="380" t="str">
        <f>VLOOKUP($B3005,'D7 - NDB Impacted SPRF''s'!$E$6:$O$9929,6,FALSE)</f>
        <v>Sue Thompson</v>
      </c>
      <c r="AG3005" s="282"/>
      <c r="AH3005" s="311" t="e">
        <f>INDEX('D5 - Gatekeeper - Projects'!$A$4:$AF$1010,$AM3005, 17)</f>
        <v>#N/A</v>
      </c>
      <c r="AI3005" s="8"/>
      <c r="AJ3005" s="57"/>
      <c r="AK3005" s="105"/>
      <c r="AM3005" s="6" t="e">
        <f>MATCH(D3005,'D5 - Gatekeeper - Projects'!$C$4:$C$1010,0)</f>
        <v>#N/A</v>
      </c>
      <c r="AN3005" s="6" t="b">
        <f t="shared" si="309"/>
        <v>1</v>
      </c>
      <c r="AO3005" s="6" t="str">
        <f t="shared" si="310"/>
        <v>OK</v>
      </c>
      <c r="AQ3005" s="6" t="e">
        <f>MATCH($D3005,'D4 - Provider Council Unsched'!$C$11:$C$234,0)</f>
        <v>#N/A</v>
      </c>
      <c r="AR3005" s="6" t="b">
        <f t="shared" si="311"/>
        <v>1</v>
      </c>
      <c r="AS3005" s="6" t="str">
        <f t="shared" si="312"/>
        <v>OK</v>
      </c>
      <c r="AU3005" s="202"/>
      <c r="AV3005" s="262"/>
      <c r="AW3005" s="274"/>
    </row>
    <row r="3006" spans="1:49" s="13" customFormat="1" ht="33.75" x14ac:dyDescent="0.2">
      <c r="A3006" s="14">
        <v>2982</v>
      </c>
      <c r="B3006" s="14">
        <v>400037801</v>
      </c>
      <c r="C3006" s="8" t="s">
        <v>5197</v>
      </c>
      <c r="D3006" s="4" t="str">
        <f t="shared" si="313"/>
        <v>400037801R1</v>
      </c>
      <c r="E3006" s="309" t="str">
        <f>VLOOKUP($B3006,'D7 - NDB Impacted SPRF''s'!$E$6:$O$9929,2,FALSE)</f>
        <v>Capture and store Medicaid IDs, NPIs, Taxonomy</v>
      </c>
      <c r="F3006" s="8"/>
      <c r="G3006" s="8" t="s">
        <v>4758</v>
      </c>
      <c r="H3006" s="8" t="s">
        <v>2870</v>
      </c>
      <c r="I3006" s="20"/>
      <c r="J3006" s="8"/>
      <c r="K3006" s="182"/>
      <c r="L3006" s="8" t="s">
        <v>4156</v>
      </c>
      <c r="M3006" s="8" t="s">
        <v>2814</v>
      </c>
      <c r="N3006" s="38"/>
      <c r="O3006" s="8"/>
      <c r="P3006" s="4" t="str">
        <f>VLOOKUP($B3006,'D7 - NDB Impacted SPRF''s'!$E$16:$O$9929,9,FALSE)</f>
        <v>N</v>
      </c>
      <c r="Q3006" s="4" t="str">
        <f>VLOOKUP($B3006,'D7 - NDB Impacted SPRF''s'!$E$16:$O$9929,10,FALSE)</f>
        <v>N</v>
      </c>
      <c r="R3006" s="4" t="str">
        <f>VLOOKUP($B3006,'D7 - NDB Impacted SPRF''s'!$E$16:$O$9929,11,FALSE)</f>
        <v>N</v>
      </c>
      <c r="S3006" s="8"/>
      <c r="T3006" s="310"/>
      <c r="U3006" s="310"/>
      <c r="V3006" s="4"/>
      <c r="W3006" s="4"/>
      <c r="X3006" s="4"/>
      <c r="Y3006" s="4"/>
      <c r="Z3006" s="4"/>
      <c r="AA3006" s="4"/>
      <c r="AB3006" s="380" t="str">
        <f>VLOOKUP($B3006,'D7 - NDB Impacted SPRF''s'!$E$6:$O$9929,4,FALSE)</f>
        <v>Cancelled</v>
      </c>
      <c r="AC3006" s="380" t="str">
        <f>VLOOKUP($B3006,'D7 - NDB Impacted SPRF''s'!$E$6:$O$9929,3,FALSE)</f>
        <v>UnitedHealthcare Community &amp; State</v>
      </c>
      <c r="AD3006" s="380" t="str">
        <f>VLOOKUP($B3006,'D7 - NDB Impacted SPRF''s'!$E$6:$O$9929,5,FALSE)</f>
        <v>AmeriChoice</v>
      </c>
      <c r="AE3006" s="380" t="str">
        <f>VLOOKUP($B3006,'D7 - NDB Impacted SPRF''s'!$E$6:$O$9929,7,FALSE)</f>
        <v>Paul Balthazor</v>
      </c>
      <c r="AF3006" s="380" t="str">
        <f>VLOOKUP($B3006,'D7 - NDB Impacted SPRF''s'!$E$6:$O$9929,6,FALSE)</f>
        <v>Ronald Wilson</v>
      </c>
      <c r="AG3006" s="282"/>
      <c r="AH3006" s="311" t="e">
        <f>INDEX('D5 - Gatekeeper - Projects'!$A$4:$AF$1010,$AM3006, 17)</f>
        <v>#N/A</v>
      </c>
      <c r="AI3006" s="8"/>
      <c r="AJ3006" s="57"/>
      <c r="AK3006" s="105"/>
      <c r="AM3006" s="6" t="e">
        <f>MATCH(D3006,'D5 - Gatekeeper - Projects'!$C$4:$C$1010,0)</f>
        <v>#N/A</v>
      </c>
      <c r="AN3006" s="6" t="b">
        <f t="shared" si="309"/>
        <v>1</v>
      </c>
      <c r="AO3006" s="6" t="str">
        <f t="shared" si="310"/>
        <v>OK</v>
      </c>
      <c r="AQ3006" s="6" t="e">
        <f>MATCH($D3006,'D4 - Provider Council Unsched'!$C$11:$C$234,0)</f>
        <v>#N/A</v>
      </c>
      <c r="AR3006" s="6" t="b">
        <f t="shared" si="311"/>
        <v>1</v>
      </c>
      <c r="AS3006" s="6" t="str">
        <f t="shared" si="312"/>
        <v>OK</v>
      </c>
      <c r="AU3006" s="202"/>
      <c r="AV3006" s="262"/>
      <c r="AW3006" s="274"/>
    </row>
    <row r="3007" spans="1:49" s="13" customFormat="1" ht="33.75" x14ac:dyDescent="0.2">
      <c r="A3007" s="14">
        <v>2983</v>
      </c>
      <c r="B3007" s="8">
        <v>400037882</v>
      </c>
      <c r="C3007" s="8" t="s">
        <v>7292</v>
      </c>
      <c r="D3007" s="4" t="str">
        <f t="shared" si="313"/>
        <v>400037882C</v>
      </c>
      <c r="E3007" s="309" t="str">
        <f>VLOOKUP($B3007,'D7 - NDB Impacted SPRF''s'!$E$6:$O$9929,2,FALSE)</f>
        <v>NDB to Facets for Pittsburgh Facets/ASP</v>
      </c>
      <c r="F3007" s="8"/>
      <c r="G3007" s="8" t="s">
        <v>4758</v>
      </c>
      <c r="H3007" s="8" t="s">
        <v>2870</v>
      </c>
      <c r="I3007" s="20">
        <v>4.9800000000000004</v>
      </c>
      <c r="J3007" s="8" t="s">
        <v>4862</v>
      </c>
      <c r="K3007" s="182"/>
      <c r="L3007" s="8" t="s">
        <v>4156</v>
      </c>
      <c r="M3007" s="8" t="s">
        <v>5626</v>
      </c>
      <c r="N3007" s="38" t="s">
        <v>5320</v>
      </c>
      <c r="O3007" s="8"/>
      <c r="P3007" s="4" t="str">
        <f>VLOOKUP($B3007,'D7 - NDB Impacted SPRF''s'!$E$16:$O$9929,9,FALSE)</f>
        <v>N</v>
      </c>
      <c r="Q3007" s="4" t="str">
        <f>VLOOKUP($B3007,'D7 - NDB Impacted SPRF''s'!$E$16:$O$9929,10,FALSE)</f>
        <v>N</v>
      </c>
      <c r="R3007" s="4" t="str">
        <f>VLOOKUP($B3007,'D7 - NDB Impacted SPRF''s'!$E$16:$O$9929,11,FALSE)</f>
        <v>N</v>
      </c>
      <c r="S3007" s="8"/>
      <c r="T3007" s="310"/>
      <c r="U3007" s="310"/>
      <c r="V3007" s="4"/>
      <c r="W3007" s="4"/>
      <c r="X3007" s="4"/>
      <c r="Y3007" s="4"/>
      <c r="Z3007" s="4"/>
      <c r="AA3007" s="4"/>
      <c r="AB3007" s="380" t="str">
        <f>VLOOKUP($B3007,'D7 - NDB Impacted SPRF''s'!$E$6:$O$9929,4,FALSE)</f>
        <v>Completed</v>
      </c>
      <c r="AC3007" s="380" t="str">
        <f>VLOOKUP($B3007,'D7 - NDB Impacted SPRF''s'!$E$6:$O$9929,3,FALSE)</f>
        <v>UnitedHealthcare Community &amp; State</v>
      </c>
      <c r="AD3007" s="380" t="str">
        <f>VLOOKUP($B3007,'D7 - NDB Impacted SPRF''s'!$E$6:$O$9929,5,FALSE)</f>
        <v>AmeriChoice</v>
      </c>
      <c r="AE3007" s="380" t="str">
        <f>VLOOKUP($B3007,'D7 - NDB Impacted SPRF''s'!$E$6:$O$9929,7,FALSE)</f>
        <v>Paul Balthazor</v>
      </c>
      <c r="AF3007" s="380" t="str">
        <f>VLOOKUP($B3007,'D7 - NDB Impacted SPRF''s'!$E$6:$O$9929,6,FALSE)</f>
        <v>Carol Brunetti</v>
      </c>
      <c r="AG3007" s="282"/>
      <c r="AH3007" s="311" t="e">
        <f>INDEX('D5 - Gatekeeper - Projects'!$A$4:$AF$1010,$AM3007, 17)</f>
        <v>#N/A</v>
      </c>
      <c r="AI3007" s="8"/>
      <c r="AJ3007" s="57"/>
      <c r="AK3007" s="105"/>
      <c r="AM3007" s="6" t="e">
        <f>MATCH(D3007,'D5 - Gatekeeper - Projects'!$C$4:$C$1010,0)</f>
        <v>#N/A</v>
      </c>
      <c r="AN3007" s="6" t="b">
        <f t="shared" si="309"/>
        <v>1</v>
      </c>
      <c r="AO3007" s="6" t="str">
        <f t="shared" si="310"/>
        <v>OK</v>
      </c>
      <c r="AQ3007" s="6" t="e">
        <f>MATCH($D3007,'D4 - Provider Council Unsched'!$C$11:$C$234,0)</f>
        <v>#N/A</v>
      </c>
      <c r="AR3007" s="6" t="b">
        <f t="shared" si="311"/>
        <v>1</v>
      </c>
      <c r="AS3007" s="6" t="str">
        <f t="shared" si="312"/>
        <v>OK</v>
      </c>
      <c r="AU3007" s="202"/>
      <c r="AV3007" s="262"/>
      <c r="AW3007" s="274"/>
    </row>
    <row r="3008" spans="1:49" s="13" customFormat="1" ht="45" x14ac:dyDescent="0.2">
      <c r="A3008" s="14">
        <v>2984</v>
      </c>
      <c r="B3008" s="14">
        <v>400037917</v>
      </c>
      <c r="C3008" s="8" t="s">
        <v>5197</v>
      </c>
      <c r="D3008" s="4" t="str">
        <f t="shared" si="313"/>
        <v>400037917R1</v>
      </c>
      <c r="E3008" s="309" t="str">
        <f>VLOOKUP($B3008,'D7 - NDB Impacted SPRF''s'!$E$6:$O$9929,2,FALSE)</f>
        <v>PDR-PULSE remediated providers (demographics)</v>
      </c>
      <c r="F3008" s="8" t="s">
        <v>5595</v>
      </c>
      <c r="G3008" s="8" t="s">
        <v>4758</v>
      </c>
      <c r="H3008" s="8" t="s">
        <v>2870</v>
      </c>
      <c r="I3008" s="20"/>
      <c r="J3008" s="8"/>
      <c r="K3008" s="182"/>
      <c r="L3008" s="8" t="s">
        <v>4156</v>
      </c>
      <c r="M3008" s="8" t="s">
        <v>2814</v>
      </c>
      <c r="N3008" s="38" t="s">
        <v>664</v>
      </c>
      <c r="O3008" s="8"/>
      <c r="P3008" s="4" t="str">
        <f>VLOOKUP($B3008,'D7 - NDB Impacted SPRF''s'!$E$16:$O$9929,9,FALSE)</f>
        <v>N</v>
      </c>
      <c r="Q3008" s="4" t="str">
        <f>VLOOKUP($B3008,'D7 - NDB Impacted SPRF''s'!$E$16:$O$9929,10,FALSE)</f>
        <v>N</v>
      </c>
      <c r="R3008" s="4" t="str">
        <f>VLOOKUP($B3008,'D7 - NDB Impacted SPRF''s'!$E$16:$O$9929,11,FALSE)</f>
        <v>N</v>
      </c>
      <c r="S3008" s="8"/>
      <c r="T3008" s="310"/>
      <c r="U3008" s="310"/>
      <c r="V3008" s="4"/>
      <c r="W3008" s="4"/>
      <c r="X3008" s="4"/>
      <c r="Y3008" s="4"/>
      <c r="Z3008" s="4"/>
      <c r="AA3008" s="4"/>
      <c r="AB3008" s="380" t="str">
        <f>VLOOKUP($B3008,'D7 - NDB Impacted SPRF''s'!$E$6:$O$9929,4,FALSE)</f>
        <v>Cancelled</v>
      </c>
      <c r="AC3008" s="380" t="str">
        <f>VLOOKUP($B3008,'D7 - NDB Impacted SPRF''s'!$E$6:$O$9929,3,FALSE)</f>
        <v>UHG IT - Enterprise Technology Services</v>
      </c>
      <c r="AD3008" s="380" t="str">
        <f>VLOOKUP($B3008,'D7 - NDB Impacted SPRF''s'!$E$6:$O$9929,5,FALSE)</f>
        <v>Strategic Initiatives</v>
      </c>
      <c r="AE3008" s="380" t="str">
        <f>VLOOKUP($B3008,'D7 - NDB Impacted SPRF''s'!$E$6:$O$9929,7,FALSE)</f>
        <v>Karen Davezac</v>
      </c>
      <c r="AF3008" s="380" t="str">
        <f>VLOOKUP($B3008,'D7 - NDB Impacted SPRF''s'!$E$6:$O$9929,6,FALSE)</f>
        <v>Joshua Ely</v>
      </c>
      <c r="AG3008" s="282"/>
      <c r="AH3008" s="311" t="e">
        <f>INDEX('D5 - Gatekeeper - Projects'!$A$4:$AF$1010,$AM3008, 17)</f>
        <v>#N/A</v>
      </c>
      <c r="AI3008" s="8"/>
      <c r="AJ3008" s="57"/>
      <c r="AK3008" s="105"/>
      <c r="AM3008" s="6" t="e">
        <f>MATCH(D3008,'D5 - Gatekeeper - Projects'!$C$4:$C$1010,0)</f>
        <v>#N/A</v>
      </c>
      <c r="AN3008" s="6" t="b">
        <f t="shared" si="309"/>
        <v>1</v>
      </c>
      <c r="AO3008" s="6" t="str">
        <f t="shared" si="310"/>
        <v>OK</v>
      </c>
      <c r="AQ3008" s="6" t="e">
        <f>MATCH($D3008,'D4 - Provider Council Unsched'!$C$11:$C$234,0)</f>
        <v>#N/A</v>
      </c>
      <c r="AR3008" s="6" t="b">
        <f t="shared" si="311"/>
        <v>1</v>
      </c>
      <c r="AS3008" s="6" t="str">
        <f t="shared" si="312"/>
        <v>OK</v>
      </c>
      <c r="AU3008" s="202"/>
      <c r="AV3008" s="262"/>
      <c r="AW3008" s="274"/>
    </row>
    <row r="3009" spans="1:49" s="13" customFormat="1" ht="45" x14ac:dyDescent="0.2">
      <c r="A3009" s="14">
        <v>2985</v>
      </c>
      <c r="B3009" s="14">
        <v>400037933</v>
      </c>
      <c r="C3009" s="8" t="s">
        <v>5197</v>
      </c>
      <c r="D3009" s="4" t="str">
        <f t="shared" si="313"/>
        <v>400037933R1</v>
      </c>
      <c r="E3009" s="309" t="str">
        <f>VLOOKUP($B3009,'D7 - NDB Impacted SPRF''s'!$E$6:$O$9929,2,FALSE)</f>
        <v xml:space="preserve">Conversion of CES update capable foundation views </v>
      </c>
      <c r="F3009" s="8"/>
      <c r="G3009" s="8" t="s">
        <v>4758</v>
      </c>
      <c r="H3009" s="8" t="s">
        <v>2870</v>
      </c>
      <c r="I3009" s="20"/>
      <c r="J3009" s="8"/>
      <c r="K3009" s="182"/>
      <c r="L3009" s="8" t="s">
        <v>4156</v>
      </c>
      <c r="M3009" s="8" t="s">
        <v>2814</v>
      </c>
      <c r="N3009" s="38" t="s">
        <v>6926</v>
      </c>
      <c r="O3009" s="8"/>
      <c r="P3009" s="4" t="str">
        <f>VLOOKUP($B3009,'D7 - NDB Impacted SPRF''s'!$E$16:$O$9929,9,FALSE)</f>
        <v>N</v>
      </c>
      <c r="Q3009" s="4" t="str">
        <f>VLOOKUP($B3009,'D7 - NDB Impacted SPRF''s'!$E$16:$O$9929,10,FALSE)</f>
        <v>N</v>
      </c>
      <c r="R3009" s="4" t="str">
        <f>VLOOKUP($B3009,'D7 - NDB Impacted SPRF''s'!$E$16:$O$9929,11,FALSE)</f>
        <v>N</v>
      </c>
      <c r="S3009" s="8"/>
      <c r="T3009" s="310"/>
      <c r="U3009" s="310"/>
      <c r="V3009" s="4"/>
      <c r="W3009" s="4"/>
      <c r="X3009" s="4"/>
      <c r="Y3009" s="4"/>
      <c r="Z3009" s="4"/>
      <c r="AA3009" s="4"/>
      <c r="AB3009" s="380" t="str">
        <f>VLOOKUP($B3009,'D7 - NDB Impacted SPRF''s'!$E$6:$O$9929,4,FALSE)</f>
        <v>Cancelled</v>
      </c>
      <c r="AC3009" s="380" t="str">
        <f>VLOOKUP($B3009,'D7 - NDB Impacted SPRF''s'!$E$6:$O$9929,3,FALSE)</f>
        <v>UHG IT - Enterprise Technology Services</v>
      </c>
      <c r="AD3009" s="380" t="str">
        <f>VLOOKUP($B3009,'D7 - NDB Impacted SPRF''s'!$E$6:$O$9929,5,FALSE)</f>
        <v>Strategic Initiatives</v>
      </c>
      <c r="AE3009" s="380" t="str">
        <f>VLOOKUP($B3009,'D7 - NDB Impacted SPRF''s'!$E$6:$O$9929,7,FALSE)</f>
        <v>Patrick Casey</v>
      </c>
      <c r="AF3009" s="380" t="str">
        <f>VLOOKUP($B3009,'D7 - NDB Impacted SPRF''s'!$E$6:$O$9929,6,FALSE)</f>
        <v>Joanne Hepp</v>
      </c>
      <c r="AG3009" s="282"/>
      <c r="AH3009" s="311" t="e">
        <f>INDEX('D5 - Gatekeeper - Projects'!$A$4:$AF$1010,$AM3009, 17)</f>
        <v>#N/A</v>
      </c>
      <c r="AI3009" s="8"/>
      <c r="AJ3009" s="57"/>
      <c r="AK3009" s="105"/>
      <c r="AM3009" s="6" t="e">
        <f>MATCH(D3009,'D5 - Gatekeeper - Projects'!$C$4:$C$1010,0)</f>
        <v>#N/A</v>
      </c>
      <c r="AN3009" s="6" t="b">
        <f t="shared" si="309"/>
        <v>1</v>
      </c>
      <c r="AO3009" s="6" t="str">
        <f t="shared" si="310"/>
        <v>OK</v>
      </c>
      <c r="AQ3009" s="6" t="e">
        <f>MATCH($D3009,'D4 - Provider Council Unsched'!$C$11:$C$234,0)</f>
        <v>#N/A</v>
      </c>
      <c r="AR3009" s="6" t="b">
        <f t="shared" si="311"/>
        <v>1</v>
      </c>
      <c r="AS3009" s="6" t="str">
        <f t="shared" si="312"/>
        <v>OK</v>
      </c>
      <c r="AU3009" s="202"/>
      <c r="AV3009" s="262"/>
      <c r="AW3009" s="274"/>
    </row>
    <row r="3010" spans="1:49" s="13" customFormat="1" ht="33.75" x14ac:dyDescent="0.2">
      <c r="A3010" s="14">
        <v>2986</v>
      </c>
      <c r="B3010" s="14">
        <v>400038063</v>
      </c>
      <c r="C3010" s="8" t="s">
        <v>5197</v>
      </c>
      <c r="D3010" s="4" t="str">
        <f t="shared" si="313"/>
        <v>400038063R1</v>
      </c>
      <c r="E3010" s="309" t="str">
        <f>VLOOKUP($B3010,'D7 - NDB Impacted SPRF''s'!$E$6:$O$9929,2,FALSE)</f>
        <v>Comcast Accolade Super User Access - USEC WO</v>
      </c>
      <c r="F3010" s="8"/>
      <c r="G3010" s="8" t="s">
        <v>4758</v>
      </c>
      <c r="H3010" s="8" t="s">
        <v>2870</v>
      </c>
      <c r="I3010" s="20"/>
      <c r="J3010" s="8"/>
      <c r="K3010" s="182"/>
      <c r="L3010" s="8" t="s">
        <v>4156</v>
      </c>
      <c r="M3010" s="8" t="s">
        <v>2814</v>
      </c>
      <c r="N3010" s="38"/>
      <c r="O3010" s="8"/>
      <c r="P3010" s="4" t="str">
        <f>VLOOKUP($B3010,'D7 - NDB Impacted SPRF''s'!$E$16:$O$9929,9,FALSE)</f>
        <v>N</v>
      </c>
      <c r="Q3010" s="4" t="str">
        <f>VLOOKUP($B3010,'D7 - NDB Impacted SPRF''s'!$E$16:$O$9929,10,FALSE)</f>
        <v>N</v>
      </c>
      <c r="R3010" s="4" t="str">
        <f>VLOOKUP($B3010,'D7 - NDB Impacted SPRF''s'!$E$16:$O$9929,11,FALSE)</f>
        <v>N</v>
      </c>
      <c r="S3010" s="8"/>
      <c r="T3010" s="310"/>
      <c r="U3010" s="310"/>
      <c r="V3010" s="4"/>
      <c r="W3010" s="4"/>
      <c r="X3010" s="4"/>
      <c r="Y3010" s="4"/>
      <c r="Z3010" s="4"/>
      <c r="AA3010" s="4"/>
      <c r="AB3010" s="380" t="str">
        <f>VLOOKUP($B3010,'D7 - NDB Impacted SPRF''s'!$E$6:$O$9929,4,FALSE)</f>
        <v>Cancelled</v>
      </c>
      <c r="AC3010" s="380" t="str">
        <f>VLOOKUP($B3010,'D7 - NDB Impacted SPRF''s'!$E$6:$O$9929,3,FALSE)</f>
        <v>UnitedHealthcare Employer &amp; Individual</v>
      </c>
      <c r="AD3010" s="380" t="str">
        <f>VLOOKUP($B3010,'D7 - NDB Impacted SPRF''s'!$E$6:$O$9929,5,FALSE)</f>
        <v>Membership Growth / Revenue Programs</v>
      </c>
      <c r="AE3010" s="380" t="str">
        <f>VLOOKUP($B3010,'D7 - NDB Impacted SPRF''s'!$E$6:$O$9929,7,FALSE)</f>
        <v>Mike Cunningham</v>
      </c>
      <c r="AF3010" s="380" t="str">
        <f>VLOOKUP($B3010,'D7 - NDB Impacted SPRF''s'!$E$6:$O$9929,6,FALSE)</f>
        <v>Brian Foppes</v>
      </c>
      <c r="AG3010" s="282"/>
      <c r="AH3010" s="311" t="e">
        <f>INDEX('D5 - Gatekeeper - Projects'!$A$4:$AF$1010,$AM3010, 17)</f>
        <v>#N/A</v>
      </c>
      <c r="AI3010" s="8"/>
      <c r="AJ3010" s="57"/>
      <c r="AK3010" s="105"/>
      <c r="AM3010" s="6" t="e">
        <f>MATCH(D3010,'D5 - Gatekeeper - Projects'!$C$4:$C$1010,0)</f>
        <v>#N/A</v>
      </c>
      <c r="AN3010" s="6" t="b">
        <f t="shared" si="309"/>
        <v>1</v>
      </c>
      <c r="AO3010" s="6" t="str">
        <f t="shared" si="310"/>
        <v>OK</v>
      </c>
      <c r="AQ3010" s="6" t="e">
        <f>MATCH($D3010,'D4 - Provider Council Unsched'!$C$11:$C$234,0)</f>
        <v>#N/A</v>
      </c>
      <c r="AR3010" s="6" t="b">
        <f t="shared" si="311"/>
        <v>1</v>
      </c>
      <c r="AS3010" s="6" t="str">
        <f t="shared" si="312"/>
        <v>OK</v>
      </c>
      <c r="AU3010" s="202"/>
      <c r="AV3010" s="262"/>
      <c r="AW3010" s="274"/>
    </row>
    <row r="3011" spans="1:49" s="13" customFormat="1" ht="33.75" x14ac:dyDescent="0.2">
      <c r="A3011" s="14">
        <v>2987</v>
      </c>
      <c r="B3011" s="14">
        <v>400038076</v>
      </c>
      <c r="C3011" s="8" t="s">
        <v>5197</v>
      </c>
      <c r="D3011" s="4" t="str">
        <f t="shared" si="313"/>
        <v>400038076R1</v>
      </c>
      <c r="E3011" s="309" t="str">
        <f>VLOOKUP($B3011,'D7 - NDB Impacted SPRF''s'!$E$6:$O$9929,2,FALSE)</f>
        <v xml:space="preserve">MASCO Med Connect Portal Pilots for LTC Site HI &amp; </v>
      </c>
      <c r="F3011" s="8"/>
      <c r="G3011" s="8" t="s">
        <v>4758</v>
      </c>
      <c r="H3011" s="8" t="s">
        <v>2870</v>
      </c>
      <c r="I3011" s="20"/>
      <c r="J3011" s="8"/>
      <c r="K3011" s="182"/>
      <c r="L3011" s="8" t="s">
        <v>4156</v>
      </c>
      <c r="M3011" s="8" t="s">
        <v>2814</v>
      </c>
      <c r="N3011" s="38" t="s">
        <v>3522</v>
      </c>
      <c r="O3011" s="8"/>
      <c r="P3011" s="4" t="str">
        <f>VLOOKUP($B3011,'D7 - NDB Impacted SPRF''s'!$E$16:$O$9929,9,FALSE)</f>
        <v>N</v>
      </c>
      <c r="Q3011" s="4" t="str">
        <f>VLOOKUP($B3011,'D7 - NDB Impacted SPRF''s'!$E$16:$O$9929,10,FALSE)</f>
        <v>N</v>
      </c>
      <c r="R3011" s="4" t="str">
        <f>VLOOKUP($B3011,'D7 - NDB Impacted SPRF''s'!$E$16:$O$9929,11,FALSE)</f>
        <v>N</v>
      </c>
      <c r="S3011" s="8"/>
      <c r="T3011" s="310"/>
      <c r="U3011" s="310"/>
      <c r="V3011" s="4"/>
      <c r="W3011" s="4"/>
      <c r="X3011" s="4"/>
      <c r="Y3011" s="4"/>
      <c r="Z3011" s="4"/>
      <c r="AA3011" s="4"/>
      <c r="AB3011" s="380" t="str">
        <f>VLOOKUP($B3011,'D7 - NDB Impacted SPRF''s'!$E$6:$O$9929,4,FALSE)</f>
        <v>Cancelled</v>
      </c>
      <c r="AC3011" s="380" t="str">
        <f>VLOOKUP($B3011,'D7 - NDB Impacted SPRF''s'!$E$6:$O$9929,3,FALSE)</f>
        <v>UnitedHealthcare Community &amp; State</v>
      </c>
      <c r="AD3011" s="380" t="str">
        <f>VLOOKUP($B3011,'D7 - NDB Impacted SPRF''s'!$E$6:$O$9929,5,FALSE)</f>
        <v>Evercare Medicaid</v>
      </c>
      <c r="AE3011" s="380" t="str">
        <f>VLOOKUP($B3011,'D7 - NDB Impacted SPRF''s'!$E$6:$O$9929,7,FALSE)</f>
        <v>Heidi Wold</v>
      </c>
      <c r="AF3011" s="380" t="str">
        <f>VLOOKUP($B3011,'D7 - NDB Impacted SPRF''s'!$E$6:$O$9929,6,FALSE)</f>
        <v>Alicia Houske</v>
      </c>
      <c r="AG3011" s="282"/>
      <c r="AH3011" s="311" t="e">
        <f>INDEX('D5 - Gatekeeper - Projects'!$A$4:$AF$1010,$AM3011, 17)</f>
        <v>#N/A</v>
      </c>
      <c r="AI3011" s="8"/>
      <c r="AJ3011" s="57"/>
      <c r="AK3011" s="105"/>
      <c r="AM3011" s="6" t="e">
        <f>MATCH(D3011,'D5 - Gatekeeper - Projects'!$C$4:$C$1010,0)</f>
        <v>#N/A</v>
      </c>
      <c r="AN3011" s="6" t="b">
        <f t="shared" si="309"/>
        <v>1</v>
      </c>
      <c r="AO3011" s="6" t="str">
        <f t="shared" si="310"/>
        <v>OK</v>
      </c>
      <c r="AQ3011" s="6" t="e">
        <f>MATCH($D3011,'D4 - Provider Council Unsched'!$C$11:$C$234,0)</f>
        <v>#N/A</v>
      </c>
      <c r="AR3011" s="6" t="b">
        <f t="shared" si="311"/>
        <v>1</v>
      </c>
      <c r="AS3011" s="6" t="str">
        <f t="shared" si="312"/>
        <v>OK</v>
      </c>
      <c r="AU3011" s="202"/>
      <c r="AV3011" s="262"/>
      <c r="AW3011" s="274"/>
    </row>
    <row r="3012" spans="1:49" s="13" customFormat="1" ht="33.75" x14ac:dyDescent="0.2">
      <c r="A3012" s="14">
        <v>2988</v>
      </c>
      <c r="B3012" s="14">
        <v>400038169</v>
      </c>
      <c r="C3012" s="8" t="s">
        <v>5197</v>
      </c>
      <c r="D3012" s="4" t="str">
        <f t="shared" si="313"/>
        <v>400038169R1</v>
      </c>
      <c r="E3012" s="309" t="str">
        <f>VLOOKUP($B3012,'D7 - NDB Impacted SPRF''s'!$E$6:$O$9929,2,FALSE)</f>
        <v>AL All Kids</v>
      </c>
      <c r="F3012" s="8"/>
      <c r="G3012" s="8" t="s">
        <v>4758</v>
      </c>
      <c r="H3012" s="8" t="s">
        <v>2870</v>
      </c>
      <c r="I3012" s="20"/>
      <c r="J3012" s="8"/>
      <c r="K3012" s="182"/>
      <c r="L3012" s="8" t="s">
        <v>4156</v>
      </c>
      <c r="M3012" s="8" t="s">
        <v>2814</v>
      </c>
      <c r="N3012" s="38"/>
      <c r="O3012" s="8"/>
      <c r="P3012" s="4" t="str">
        <f>VLOOKUP($B3012,'D7 - NDB Impacted SPRF''s'!$E$16:$O$9929,9,FALSE)</f>
        <v>N</v>
      </c>
      <c r="Q3012" s="4" t="str">
        <f>VLOOKUP($B3012,'D7 - NDB Impacted SPRF''s'!$E$16:$O$9929,10,FALSE)</f>
        <v>N</v>
      </c>
      <c r="R3012" s="4" t="str">
        <f>VLOOKUP($B3012,'D7 - NDB Impacted SPRF''s'!$E$16:$O$9929,11,FALSE)</f>
        <v>Y</v>
      </c>
      <c r="S3012" s="8"/>
      <c r="T3012" s="310"/>
      <c r="U3012" s="310"/>
      <c r="V3012" s="4"/>
      <c r="W3012" s="4"/>
      <c r="X3012" s="4"/>
      <c r="Y3012" s="4"/>
      <c r="Z3012" s="4"/>
      <c r="AA3012" s="4"/>
      <c r="AB3012" s="380" t="str">
        <f>VLOOKUP($B3012,'D7 - NDB Impacted SPRF''s'!$E$6:$O$9929,4,FALSE)</f>
        <v>Cancelled</v>
      </c>
      <c r="AC3012" s="380" t="str">
        <f>VLOOKUP($B3012,'D7 - NDB Impacted SPRF''s'!$E$6:$O$9929,3,FALSE)</f>
        <v>UnitedHealthcare Community &amp; State</v>
      </c>
      <c r="AD3012" s="380" t="str">
        <f>VLOOKUP($B3012,'D7 - NDB Impacted SPRF''s'!$E$6:$O$9929,5,FALSE)</f>
        <v>Growth/Expansion</v>
      </c>
      <c r="AE3012" s="380" t="str">
        <f>VLOOKUP($B3012,'D7 - NDB Impacted SPRF''s'!$E$6:$O$9929,7,FALSE)</f>
        <v>Dave Decker</v>
      </c>
      <c r="AF3012" s="380" t="str">
        <f>VLOOKUP($B3012,'D7 - NDB Impacted SPRF''s'!$E$6:$O$9929,6,FALSE)</f>
        <v>Ronald Wilson</v>
      </c>
      <c r="AG3012" s="282"/>
      <c r="AH3012" s="311" t="e">
        <f>INDEX('D5 - Gatekeeper - Projects'!$A$4:$AF$1010,$AM3012, 17)</f>
        <v>#N/A</v>
      </c>
      <c r="AI3012" s="8"/>
      <c r="AJ3012" s="57"/>
      <c r="AK3012" s="105"/>
      <c r="AM3012" s="6" t="e">
        <f>MATCH(D3012,'D5 - Gatekeeper - Projects'!$C$4:$C$1010,0)</f>
        <v>#N/A</v>
      </c>
      <c r="AN3012" s="6" t="b">
        <f t="shared" si="309"/>
        <v>1</v>
      </c>
      <c r="AO3012" s="6" t="str">
        <f t="shared" si="310"/>
        <v>OK</v>
      </c>
      <c r="AQ3012" s="6" t="e">
        <f>MATCH($D3012,'D4 - Provider Council Unsched'!$C$11:$C$234,0)</f>
        <v>#N/A</v>
      </c>
      <c r="AR3012" s="6" t="b">
        <f t="shared" si="311"/>
        <v>1</v>
      </c>
      <c r="AS3012" s="6" t="str">
        <f t="shared" si="312"/>
        <v>OK</v>
      </c>
      <c r="AU3012" s="202"/>
      <c r="AV3012" s="262"/>
      <c r="AW3012" s="274"/>
    </row>
    <row r="3013" spans="1:49" s="13" customFormat="1" ht="33.75" x14ac:dyDescent="0.2">
      <c r="A3013" s="14">
        <v>2989</v>
      </c>
      <c r="B3013" s="14">
        <v>400038282</v>
      </c>
      <c r="C3013" s="8" t="s">
        <v>5197</v>
      </c>
      <c r="D3013" s="4" t="str">
        <f t="shared" si="313"/>
        <v>400038282R1</v>
      </c>
      <c r="E3013" s="309" t="str">
        <f>VLOOKUP($B3013,'D7 - NDB Impacted SPRF''s'!$E$6:$O$9929,2,FALSE)</f>
        <v>DX/PX Requirement Changes for Paper Claims Process</v>
      </c>
      <c r="F3013" s="8"/>
      <c r="G3013" s="8" t="s">
        <v>4758</v>
      </c>
      <c r="H3013" s="8" t="s">
        <v>2870</v>
      </c>
      <c r="I3013" s="20"/>
      <c r="J3013" s="8"/>
      <c r="K3013" s="182"/>
      <c r="L3013" s="8" t="s">
        <v>4156</v>
      </c>
      <c r="M3013" s="8" t="s">
        <v>2814</v>
      </c>
      <c r="N3013" s="38" t="s">
        <v>663</v>
      </c>
      <c r="O3013" s="8"/>
      <c r="P3013" s="4" t="str">
        <f>VLOOKUP($B3013,'D7 - NDB Impacted SPRF''s'!$E$16:$O$9929,9,FALSE)</f>
        <v>Y</v>
      </c>
      <c r="Q3013" s="4" t="str">
        <f>VLOOKUP($B3013,'D7 - NDB Impacted SPRF''s'!$E$16:$O$9929,10,FALSE)</f>
        <v>N</v>
      </c>
      <c r="R3013" s="4" t="str">
        <f>VLOOKUP($B3013,'D7 - NDB Impacted SPRF''s'!$E$16:$O$9929,11,FALSE)</f>
        <v>Y</v>
      </c>
      <c r="S3013" s="8"/>
      <c r="T3013" s="310"/>
      <c r="U3013" s="310"/>
      <c r="V3013" s="4"/>
      <c r="W3013" s="4"/>
      <c r="X3013" s="4"/>
      <c r="Y3013" s="4"/>
      <c r="Z3013" s="4"/>
      <c r="AA3013" s="4"/>
      <c r="AB3013" s="380" t="str">
        <f>VLOOKUP($B3013,'D7 - NDB Impacted SPRF''s'!$E$6:$O$9929,4,FALSE)</f>
        <v>Cancelled</v>
      </c>
      <c r="AC3013" s="380" t="str">
        <f>VLOOKUP($B3013,'D7 - NDB Impacted SPRF''s'!$E$6:$O$9929,3,FALSE)</f>
        <v>UnitedHealthcare Employer &amp; Individual</v>
      </c>
      <c r="AD3013" s="380" t="str">
        <f>VLOOKUP($B3013,'D7 - NDB Impacted SPRF''s'!$E$6:$O$9929,5,FALSE)</f>
        <v>Regulatory / Other</v>
      </c>
      <c r="AE3013" s="380" t="str">
        <f>VLOOKUP($B3013,'D7 - NDB Impacted SPRF''s'!$E$6:$O$9929,7,FALSE)</f>
        <v>Barb Stenger</v>
      </c>
      <c r="AF3013" s="380" t="str">
        <f>VLOOKUP($B3013,'D7 - NDB Impacted SPRF''s'!$E$6:$O$9929,6,FALSE)</f>
        <v>Blake Norby</v>
      </c>
      <c r="AG3013" s="282"/>
      <c r="AH3013" s="311" t="e">
        <f>INDEX('D5 - Gatekeeper - Projects'!$A$4:$AF$1010,$AM3013, 17)</f>
        <v>#N/A</v>
      </c>
      <c r="AI3013" s="8"/>
      <c r="AJ3013" s="57"/>
      <c r="AK3013" s="105"/>
      <c r="AM3013" s="6" t="e">
        <f>MATCH(D3013,'D5 - Gatekeeper - Projects'!$C$4:$C$1010,0)</f>
        <v>#N/A</v>
      </c>
      <c r="AN3013" s="6" t="b">
        <f t="shared" si="309"/>
        <v>1</v>
      </c>
      <c r="AO3013" s="6" t="str">
        <f t="shared" si="310"/>
        <v>OK</v>
      </c>
      <c r="AQ3013" s="6" t="e">
        <f>MATCH($D3013,'D4 - Provider Council Unsched'!$C$11:$C$234,0)</f>
        <v>#N/A</v>
      </c>
      <c r="AR3013" s="6" t="b">
        <f t="shared" si="311"/>
        <v>1</v>
      </c>
      <c r="AS3013" s="6" t="str">
        <f t="shared" si="312"/>
        <v>OK</v>
      </c>
      <c r="AU3013" s="202"/>
      <c r="AV3013" s="262"/>
      <c r="AW3013" s="274"/>
    </row>
    <row r="3014" spans="1:49" s="13" customFormat="1" ht="33.75" x14ac:dyDescent="0.2">
      <c r="A3014" s="14">
        <v>2990</v>
      </c>
      <c r="B3014" s="14">
        <v>400038314</v>
      </c>
      <c r="C3014" s="8" t="s">
        <v>5197</v>
      </c>
      <c r="D3014" s="4" t="str">
        <f t="shared" si="313"/>
        <v>400038314R1</v>
      </c>
      <c r="E3014" s="309" t="str">
        <f>VLOOKUP($B3014,'D7 - NDB Impacted SPRF''s'!$E$6:$O$9929,2,FALSE)</f>
        <v>Texas Medicaid Taxonomy Matching</v>
      </c>
      <c r="F3014" s="8"/>
      <c r="G3014" s="8" t="s">
        <v>4758</v>
      </c>
      <c r="H3014" s="8" t="s">
        <v>2870</v>
      </c>
      <c r="I3014" s="20"/>
      <c r="J3014" s="8"/>
      <c r="K3014" s="182"/>
      <c r="L3014" s="8" t="s">
        <v>4156</v>
      </c>
      <c r="M3014" s="8" t="s">
        <v>2814</v>
      </c>
      <c r="N3014" s="38"/>
      <c r="O3014" s="8"/>
      <c r="P3014" s="4" t="str">
        <f>VLOOKUP($B3014,'D7 - NDB Impacted SPRF''s'!$E$16:$O$9929,9,FALSE)</f>
        <v>N</v>
      </c>
      <c r="Q3014" s="4" t="str">
        <f>VLOOKUP($B3014,'D7 - NDB Impacted SPRF''s'!$E$16:$O$9929,10,FALSE)</f>
        <v>N</v>
      </c>
      <c r="R3014" s="4" t="str">
        <f>VLOOKUP($B3014,'D7 - NDB Impacted SPRF''s'!$E$16:$O$9929,11,FALSE)</f>
        <v>N</v>
      </c>
      <c r="S3014" s="8"/>
      <c r="T3014" s="310"/>
      <c r="U3014" s="310"/>
      <c r="V3014" s="4"/>
      <c r="W3014" s="4"/>
      <c r="X3014" s="4"/>
      <c r="Y3014" s="4"/>
      <c r="Z3014" s="4"/>
      <c r="AA3014" s="4"/>
      <c r="AB3014" s="380" t="str">
        <f>VLOOKUP($B3014,'D7 - NDB Impacted SPRF''s'!$E$6:$O$9929,4,FALSE)</f>
        <v>Cancelled</v>
      </c>
      <c r="AC3014" s="380" t="str">
        <f>VLOOKUP($B3014,'D7 - NDB Impacted SPRF''s'!$E$6:$O$9929,3,FALSE)</f>
        <v>UnitedHealthcare Community &amp; State</v>
      </c>
      <c r="AD3014" s="380" t="str">
        <f>VLOOKUP($B3014,'D7 - NDB Impacted SPRF''s'!$E$6:$O$9929,5,FALSE)</f>
        <v>Evercare Medicaid</v>
      </c>
      <c r="AE3014" s="380" t="str">
        <f>VLOOKUP($B3014,'D7 - NDB Impacted SPRF''s'!$E$6:$O$9929,7,FALSE)</f>
        <v>Bror Hultgren</v>
      </c>
      <c r="AF3014" s="380" t="str">
        <f>VLOOKUP($B3014,'D7 - NDB Impacted SPRF''s'!$E$6:$O$9929,6,FALSE)</f>
        <v>CHRISTINE REIN</v>
      </c>
      <c r="AG3014" s="282"/>
      <c r="AH3014" s="311" t="e">
        <f>INDEX('D5 - Gatekeeper - Projects'!$A$4:$AF$1010,$AM3014, 17)</f>
        <v>#N/A</v>
      </c>
      <c r="AI3014" s="8"/>
      <c r="AJ3014" s="57"/>
      <c r="AK3014" s="105"/>
      <c r="AM3014" s="6" t="e">
        <f>MATCH(D3014,'D5 - Gatekeeper - Projects'!$C$4:$C$1010,0)</f>
        <v>#N/A</v>
      </c>
      <c r="AN3014" s="6" t="b">
        <f t="shared" si="309"/>
        <v>1</v>
      </c>
      <c r="AO3014" s="6" t="str">
        <f t="shared" si="310"/>
        <v>OK</v>
      </c>
      <c r="AQ3014" s="6" t="e">
        <f>MATCH($D3014,'D4 - Provider Council Unsched'!$C$11:$C$234,0)</f>
        <v>#N/A</v>
      </c>
      <c r="AR3014" s="6" t="b">
        <f t="shared" si="311"/>
        <v>1</v>
      </c>
      <c r="AS3014" s="6" t="str">
        <f t="shared" si="312"/>
        <v>OK</v>
      </c>
      <c r="AU3014" s="202"/>
      <c r="AV3014" s="262"/>
      <c r="AW3014" s="274"/>
    </row>
    <row r="3015" spans="1:49" s="13" customFormat="1" ht="33.75" x14ac:dyDescent="0.2">
      <c r="A3015" s="14">
        <v>2991</v>
      </c>
      <c r="B3015" s="14">
        <v>400038322</v>
      </c>
      <c r="C3015" s="8" t="s">
        <v>5197</v>
      </c>
      <c r="D3015" s="4" t="str">
        <f t="shared" si="313"/>
        <v>400038322R1</v>
      </c>
      <c r="E3015" s="309" t="str">
        <f>VLOOKUP($B3015,'D7 - NDB Impacted SPRF''s'!$E$6:$O$9929,2,FALSE)</f>
        <v xml:space="preserve">Medicaid Portal Access Notification for HI only  </v>
      </c>
      <c r="F3015" s="8"/>
      <c r="G3015" s="8" t="s">
        <v>4758</v>
      </c>
      <c r="H3015" s="8" t="s">
        <v>2870</v>
      </c>
      <c r="I3015" s="20"/>
      <c r="J3015" s="8"/>
      <c r="K3015" s="182"/>
      <c r="L3015" s="8" t="s">
        <v>4156</v>
      </c>
      <c r="M3015" s="8" t="s">
        <v>2814</v>
      </c>
      <c r="N3015" s="38"/>
      <c r="O3015" s="8"/>
      <c r="P3015" s="4" t="str">
        <f>VLOOKUP($B3015,'D7 - NDB Impacted SPRF''s'!$E$16:$O$9929,9,FALSE)</f>
        <v>N</v>
      </c>
      <c r="Q3015" s="4" t="str">
        <f>VLOOKUP($B3015,'D7 - NDB Impacted SPRF''s'!$E$16:$O$9929,10,FALSE)</f>
        <v>N</v>
      </c>
      <c r="R3015" s="4" t="str">
        <f>VLOOKUP($B3015,'D7 - NDB Impacted SPRF''s'!$E$16:$O$9929,11,FALSE)</f>
        <v>N</v>
      </c>
      <c r="S3015" s="8"/>
      <c r="T3015" s="310"/>
      <c r="U3015" s="310"/>
      <c r="V3015" s="4"/>
      <c r="W3015" s="4"/>
      <c r="X3015" s="4"/>
      <c r="Y3015" s="4"/>
      <c r="Z3015" s="4"/>
      <c r="AA3015" s="4"/>
      <c r="AB3015" s="380" t="str">
        <f>VLOOKUP($B3015,'D7 - NDB Impacted SPRF''s'!$E$6:$O$9929,4,FALSE)</f>
        <v>Cancelled</v>
      </c>
      <c r="AC3015" s="380" t="str">
        <f>VLOOKUP($B3015,'D7 - NDB Impacted SPRF''s'!$E$6:$O$9929,3,FALSE)</f>
        <v>UnitedHealthcare Community &amp; State</v>
      </c>
      <c r="AD3015" s="380" t="str">
        <f>VLOOKUP($B3015,'D7 - NDB Impacted SPRF''s'!$E$6:$O$9929,5,FALSE)</f>
        <v>AmeriChoice</v>
      </c>
      <c r="AE3015" s="380" t="str">
        <f>VLOOKUP($B3015,'D7 - NDB Impacted SPRF''s'!$E$6:$O$9929,7,FALSE)</f>
        <v>Heidi Wold</v>
      </c>
      <c r="AF3015" s="380" t="str">
        <f>VLOOKUP($B3015,'D7 - NDB Impacted SPRF''s'!$E$6:$O$9929,6,FALSE)</f>
        <v>Alicia Houske</v>
      </c>
      <c r="AG3015" s="282"/>
      <c r="AH3015" s="311" t="e">
        <f>INDEX('D5 - Gatekeeper - Projects'!$A$4:$AF$1010,$AM3015, 17)</f>
        <v>#N/A</v>
      </c>
      <c r="AI3015" s="8"/>
      <c r="AJ3015" s="57"/>
      <c r="AK3015" s="105"/>
      <c r="AM3015" s="6" t="e">
        <f>MATCH(D3015,'D5 - Gatekeeper - Projects'!$C$4:$C$1010,0)</f>
        <v>#N/A</v>
      </c>
      <c r="AN3015" s="6" t="b">
        <f t="shared" si="309"/>
        <v>1</v>
      </c>
      <c r="AO3015" s="6" t="str">
        <f t="shared" si="310"/>
        <v>OK</v>
      </c>
      <c r="AQ3015" s="6" t="e">
        <f>MATCH($D3015,'D4 - Provider Council Unsched'!$C$11:$C$234,0)</f>
        <v>#N/A</v>
      </c>
      <c r="AR3015" s="6" t="b">
        <f t="shared" si="311"/>
        <v>1</v>
      </c>
      <c r="AS3015" s="6" t="str">
        <f t="shared" si="312"/>
        <v>OK</v>
      </c>
      <c r="AU3015" s="202"/>
      <c r="AV3015" s="216"/>
      <c r="AW3015" s="274"/>
    </row>
    <row r="3016" spans="1:49" s="13" customFormat="1" ht="45" x14ac:dyDescent="0.2">
      <c r="A3016" s="14">
        <v>2992</v>
      </c>
      <c r="B3016" s="14">
        <v>400038413</v>
      </c>
      <c r="C3016" s="8" t="s">
        <v>5197</v>
      </c>
      <c r="D3016" s="4" t="str">
        <f t="shared" si="313"/>
        <v>400038413R1</v>
      </c>
      <c r="E3016" s="309" t="str">
        <f>VLOOKUP($B3016,'D7 - NDB Impacted SPRF''s'!$E$6:$O$9929,2,FALSE)</f>
        <v>EPDE UHCRV remaining enhancements</v>
      </c>
      <c r="F3016" s="8"/>
      <c r="G3016" s="8" t="s">
        <v>4758</v>
      </c>
      <c r="H3016" s="8" t="s">
        <v>2870</v>
      </c>
      <c r="I3016" s="20"/>
      <c r="J3016" s="8"/>
      <c r="K3016" s="182"/>
      <c r="L3016" s="8" t="s">
        <v>4156</v>
      </c>
      <c r="M3016" s="8" t="s">
        <v>2814</v>
      </c>
      <c r="N3016" s="38" t="s">
        <v>1162</v>
      </c>
      <c r="O3016" s="8"/>
      <c r="P3016" s="4" t="str">
        <f>VLOOKUP($B3016,'D7 - NDB Impacted SPRF''s'!$E$16:$O$9929,9,FALSE)</f>
        <v>N</v>
      </c>
      <c r="Q3016" s="4" t="str">
        <f>VLOOKUP($B3016,'D7 - NDB Impacted SPRF''s'!$E$16:$O$9929,10,FALSE)</f>
        <v>N</v>
      </c>
      <c r="R3016" s="4" t="str">
        <f>VLOOKUP($B3016,'D7 - NDB Impacted SPRF''s'!$E$16:$O$9929,11,FALSE)</f>
        <v>N</v>
      </c>
      <c r="S3016" s="8"/>
      <c r="T3016" s="310"/>
      <c r="U3016" s="310"/>
      <c r="V3016" s="4"/>
      <c r="W3016" s="4"/>
      <c r="X3016" s="4"/>
      <c r="Y3016" s="4"/>
      <c r="Z3016" s="4"/>
      <c r="AA3016" s="4"/>
      <c r="AB3016" s="380" t="str">
        <f>VLOOKUP($B3016,'D7 - NDB Impacted SPRF''s'!$E$6:$O$9929,4,FALSE)</f>
        <v>In Program Manager Request Review</v>
      </c>
      <c r="AC3016" s="380" t="str">
        <f>VLOOKUP($B3016,'D7 - NDB Impacted SPRF''s'!$E$6:$O$9929,3,FALSE)</f>
        <v>UHG IT - Enterprise Technology Services</v>
      </c>
      <c r="AD3016" s="380" t="str">
        <f>VLOOKUP($B3016,'D7 - NDB Impacted SPRF''s'!$E$6:$O$9929,5,FALSE)</f>
        <v>Provider Data &amp; Reimbursement</v>
      </c>
      <c r="AE3016" s="380" t="str">
        <f>VLOOKUP($B3016,'D7 - NDB Impacted SPRF''s'!$E$6:$O$9929,7,FALSE)</f>
        <v>Sally Verrilli</v>
      </c>
      <c r="AF3016" s="380" t="str">
        <f>VLOOKUP($B3016,'D7 - NDB Impacted SPRF''s'!$E$6:$O$9929,6,FALSE)</f>
        <v>Junal Polcaro</v>
      </c>
      <c r="AG3016" s="282"/>
      <c r="AH3016" s="311" t="e">
        <f>INDEX('D5 - Gatekeeper - Projects'!$A$4:$AF$1010,$AM3016, 17)</f>
        <v>#N/A</v>
      </c>
      <c r="AI3016" s="8"/>
      <c r="AJ3016" s="57"/>
      <c r="AK3016" s="105"/>
      <c r="AM3016" s="6" t="e">
        <f>MATCH(D3016,'D5 - Gatekeeper - Projects'!$C$4:$C$1010,0)</f>
        <v>#N/A</v>
      </c>
      <c r="AN3016" s="6" t="b">
        <f t="shared" si="309"/>
        <v>1</v>
      </c>
      <c r="AO3016" s="6" t="str">
        <f t="shared" si="310"/>
        <v>OK</v>
      </c>
      <c r="AQ3016" s="6" t="e">
        <f>MATCH($D3016,'D4 - Provider Council Unsched'!$C$11:$C$234,0)</f>
        <v>#N/A</v>
      </c>
      <c r="AR3016" s="6" t="b">
        <f t="shared" si="311"/>
        <v>1</v>
      </c>
      <c r="AS3016" s="6" t="str">
        <f t="shared" si="312"/>
        <v>OK</v>
      </c>
      <c r="AU3016" s="202"/>
      <c r="AV3016" s="216"/>
      <c r="AW3016" s="274"/>
    </row>
    <row r="3017" spans="1:49" s="13" customFormat="1" ht="45" x14ac:dyDescent="0.2">
      <c r="A3017" s="14">
        <v>2993</v>
      </c>
      <c r="B3017" s="14">
        <v>400038434</v>
      </c>
      <c r="C3017" s="8" t="s">
        <v>5197</v>
      </c>
      <c r="D3017" s="4" t="str">
        <f t="shared" si="313"/>
        <v>400038434R1</v>
      </c>
      <c r="E3017" s="309" t="str">
        <f>VLOOKUP($B3017,'D7 - NDB Impacted SPRF''s'!$E$6:$O$9929,2,FALSE)</f>
        <v>PDR - UNET Provider Pick on Claims Highway</v>
      </c>
      <c r="F3017" s="8"/>
      <c r="G3017" s="8" t="s">
        <v>4758</v>
      </c>
      <c r="H3017" s="8" t="s">
        <v>2870</v>
      </c>
      <c r="I3017" s="20"/>
      <c r="J3017" s="8"/>
      <c r="K3017" s="182"/>
      <c r="L3017" s="8" t="s">
        <v>4156</v>
      </c>
      <c r="M3017" s="8" t="s">
        <v>2814</v>
      </c>
      <c r="N3017" s="38" t="s">
        <v>664</v>
      </c>
      <c r="O3017" s="8"/>
      <c r="P3017" s="4" t="str">
        <f>VLOOKUP($B3017,'D7 - NDB Impacted SPRF''s'!$E$16:$O$9929,9,FALSE)</f>
        <v>Y</v>
      </c>
      <c r="Q3017" s="4" t="str">
        <f>VLOOKUP($B3017,'D7 - NDB Impacted SPRF''s'!$E$16:$O$9929,10,FALSE)</f>
        <v>N</v>
      </c>
      <c r="R3017" s="4" t="str">
        <f>VLOOKUP($B3017,'D7 - NDB Impacted SPRF''s'!$E$16:$O$9929,11,FALSE)</f>
        <v>N</v>
      </c>
      <c r="S3017" s="8"/>
      <c r="T3017" s="310"/>
      <c r="U3017" s="310"/>
      <c r="V3017" s="4"/>
      <c r="W3017" s="4"/>
      <c r="X3017" s="4"/>
      <c r="Y3017" s="4"/>
      <c r="Z3017" s="4"/>
      <c r="AA3017" s="4"/>
      <c r="AB3017" s="380" t="str">
        <f>VLOOKUP($B3017,'D7 - NDB Impacted SPRF''s'!$E$6:$O$9929,4,FALSE)</f>
        <v>Cancelled</v>
      </c>
      <c r="AC3017" s="380" t="str">
        <f>VLOOKUP($B3017,'D7 - NDB Impacted SPRF''s'!$E$6:$O$9929,3,FALSE)</f>
        <v>UHG IT - Enterprise Technology Services</v>
      </c>
      <c r="AD3017" s="380" t="str">
        <f>VLOOKUP($B3017,'D7 - NDB Impacted SPRF''s'!$E$6:$O$9929,5,FALSE)</f>
        <v>Strategic Initiatives</v>
      </c>
      <c r="AE3017" s="380" t="str">
        <f>VLOOKUP($B3017,'D7 - NDB Impacted SPRF''s'!$E$6:$O$9929,7,FALSE)</f>
        <v>Dave Wichmann</v>
      </c>
      <c r="AF3017" s="380" t="str">
        <f>VLOOKUP($B3017,'D7 - NDB Impacted SPRF''s'!$E$6:$O$9929,6,FALSE)</f>
        <v>Nicole Cartwright</v>
      </c>
      <c r="AG3017" s="282"/>
      <c r="AH3017" s="311" t="e">
        <f>INDEX('D5 - Gatekeeper - Projects'!$A$4:$AF$1010,$AM3017, 17)</f>
        <v>#N/A</v>
      </c>
      <c r="AI3017" s="8"/>
      <c r="AJ3017" s="57"/>
      <c r="AK3017" s="105"/>
      <c r="AM3017" s="6" t="e">
        <f>MATCH(D3017,'D5 - Gatekeeper - Projects'!$C$4:$C$1010,0)</f>
        <v>#N/A</v>
      </c>
      <c r="AN3017" s="6" t="b">
        <f t="shared" si="309"/>
        <v>1</v>
      </c>
      <c r="AO3017" s="6" t="str">
        <f t="shared" si="310"/>
        <v>OK</v>
      </c>
      <c r="AQ3017" s="6" t="e">
        <f>MATCH($D3017,'D4 - Provider Council Unsched'!$C$11:$C$234,0)</f>
        <v>#N/A</v>
      </c>
      <c r="AR3017" s="6" t="b">
        <f t="shared" si="311"/>
        <v>1</v>
      </c>
      <c r="AS3017" s="6" t="str">
        <f t="shared" si="312"/>
        <v>OK</v>
      </c>
      <c r="AU3017" s="202"/>
      <c r="AV3017" s="6"/>
      <c r="AW3017" s="274"/>
    </row>
    <row r="3018" spans="1:49" s="13" customFormat="1" ht="22.5" x14ac:dyDescent="0.2">
      <c r="A3018" s="14">
        <v>2994</v>
      </c>
      <c r="B3018" s="8">
        <v>400038612</v>
      </c>
      <c r="C3018" s="8" t="s">
        <v>1447</v>
      </c>
      <c r="D3018" s="4" t="str">
        <f t="shared" si="313"/>
        <v>400038612A</v>
      </c>
      <c r="E3018" s="309" t="str">
        <f>VLOOKUP($B3018,'D7 - NDB Impacted SPRF''s'!$E$6:$O$9929,2,FALSE)</f>
        <v>Stand-alone UM for TPAs IT Infrastructure</v>
      </c>
      <c r="F3018" s="8"/>
      <c r="G3018" s="8" t="s">
        <v>4758</v>
      </c>
      <c r="H3018" s="8" t="s">
        <v>2870</v>
      </c>
      <c r="I3018" s="20"/>
      <c r="J3018" s="8"/>
      <c r="K3018" s="182"/>
      <c r="L3018" s="8" t="s">
        <v>4156</v>
      </c>
      <c r="M3018" s="8" t="s">
        <v>2814</v>
      </c>
      <c r="N3018" s="38"/>
      <c r="O3018" s="8"/>
      <c r="P3018" s="4" t="str">
        <f>VLOOKUP($B3018,'D7 - NDB Impacted SPRF''s'!$E$16:$O$9929,9,FALSE)</f>
        <v>N</v>
      </c>
      <c r="Q3018" s="4" t="str">
        <f>VLOOKUP($B3018,'D7 - NDB Impacted SPRF''s'!$E$16:$O$9929,10,FALSE)</f>
        <v>N</v>
      </c>
      <c r="R3018" s="4" t="str">
        <f>VLOOKUP($B3018,'D7 - NDB Impacted SPRF''s'!$E$16:$O$9929,11,FALSE)</f>
        <v>N</v>
      </c>
      <c r="S3018" s="8"/>
      <c r="T3018" s="310"/>
      <c r="U3018" s="310"/>
      <c r="V3018" s="4"/>
      <c r="W3018" s="4"/>
      <c r="X3018" s="4"/>
      <c r="Y3018" s="4"/>
      <c r="Z3018" s="4"/>
      <c r="AA3018" s="4"/>
      <c r="AB3018" s="380" t="str">
        <f>VLOOKUP($B3018,'D7 - NDB Impacted SPRF''s'!$E$6:$O$9929,4,FALSE)</f>
        <v>Cancelled</v>
      </c>
      <c r="AC3018" s="380" t="str">
        <f>VLOOKUP($B3018,'D7 - NDB Impacted SPRF''s'!$E$6:$O$9929,3,FALSE)</f>
        <v>OptumHealth</v>
      </c>
      <c r="AD3018" s="380" t="str">
        <f>VLOOKUP($B3018,'D7 - NDB Impacted SPRF''s'!$E$6:$O$9929,5,FALSE)</f>
        <v>Behavioral Solutions</v>
      </c>
      <c r="AE3018" s="380" t="str">
        <f>VLOOKUP($B3018,'D7 - NDB Impacted SPRF''s'!$E$6:$O$9929,7,FALSE)</f>
        <v>Richard Keane</v>
      </c>
      <c r="AF3018" s="380" t="str">
        <f>VLOOKUP($B3018,'D7 - NDB Impacted SPRF''s'!$E$6:$O$9929,6,FALSE)</f>
        <v>Lawrence Feinstein</v>
      </c>
      <c r="AG3018" s="282"/>
      <c r="AH3018" s="311" t="e">
        <f>INDEX('D5 - Gatekeeper - Projects'!$A$4:$AF$1010,$AM3018, 17)</f>
        <v>#N/A</v>
      </c>
      <c r="AI3018" s="8"/>
      <c r="AJ3018" s="57"/>
      <c r="AK3018" s="105"/>
      <c r="AM3018" s="6" t="e">
        <f>MATCH(D3018,'D5 - Gatekeeper - Projects'!$C$4:$C$1010,0)</f>
        <v>#N/A</v>
      </c>
      <c r="AN3018" s="6" t="b">
        <f t="shared" si="309"/>
        <v>1</v>
      </c>
      <c r="AO3018" s="6" t="str">
        <f t="shared" si="310"/>
        <v>OK</v>
      </c>
      <c r="AQ3018" s="6" t="e">
        <f>MATCH($D3018,'D4 - Provider Council Unsched'!$C$11:$C$234,0)</f>
        <v>#N/A</v>
      </c>
      <c r="AR3018" s="6" t="b">
        <f t="shared" si="311"/>
        <v>1</v>
      </c>
      <c r="AS3018" s="6" t="str">
        <f t="shared" si="312"/>
        <v>OK</v>
      </c>
      <c r="AU3018" s="202"/>
      <c r="AV3018" s="6"/>
      <c r="AW3018" s="274"/>
    </row>
    <row r="3019" spans="1:49" s="13" customFormat="1" ht="33.75" x14ac:dyDescent="0.2">
      <c r="A3019" s="14">
        <v>2995</v>
      </c>
      <c r="B3019" s="8">
        <v>400038687</v>
      </c>
      <c r="C3019" s="8" t="s">
        <v>1447</v>
      </c>
      <c r="D3019" s="4" t="str">
        <f t="shared" si="313"/>
        <v>400038687A</v>
      </c>
      <c r="E3019" s="309" t="str">
        <f>VLOOKUP($B3019,'D7 - NDB Impacted SPRF''s'!$E$6:$O$9929,2,FALSE)</f>
        <v>AMC Behavioral Health</v>
      </c>
      <c r="F3019" s="8"/>
      <c r="G3019" s="8" t="s">
        <v>4758</v>
      </c>
      <c r="H3019" s="8" t="s">
        <v>2870</v>
      </c>
      <c r="I3019" s="20"/>
      <c r="J3019" s="8"/>
      <c r="K3019" s="182"/>
      <c r="L3019" s="8" t="s">
        <v>4156</v>
      </c>
      <c r="M3019" s="8" t="s">
        <v>2814</v>
      </c>
      <c r="N3019" s="365" t="s">
        <v>5264</v>
      </c>
      <c r="O3019" s="8"/>
      <c r="P3019" s="4" t="str">
        <f>VLOOKUP($B3019,'D7 - NDB Impacted SPRF''s'!$E$16:$O$9929,9,FALSE)</f>
        <v>N</v>
      </c>
      <c r="Q3019" s="4" t="str">
        <f>VLOOKUP($B3019,'D7 - NDB Impacted SPRF''s'!$E$16:$O$9929,10,FALSE)</f>
        <v>N</v>
      </c>
      <c r="R3019" s="4" t="str">
        <f>VLOOKUP($B3019,'D7 - NDB Impacted SPRF''s'!$E$16:$O$9929,11,FALSE)</f>
        <v>N</v>
      </c>
      <c r="S3019" s="8"/>
      <c r="T3019" s="310"/>
      <c r="U3019" s="310"/>
      <c r="V3019" s="4"/>
      <c r="W3019" s="4"/>
      <c r="X3019" s="4"/>
      <c r="Y3019" s="4"/>
      <c r="Z3019" s="4"/>
      <c r="AA3019" s="4"/>
      <c r="AB3019" s="380" t="str">
        <f>VLOOKUP($B3019,'D7 - NDB Impacted SPRF''s'!$E$6:$O$9929,4,FALSE)</f>
        <v>Cancelled</v>
      </c>
      <c r="AC3019" s="380" t="str">
        <f>VLOOKUP($B3019,'D7 - NDB Impacted SPRF''s'!$E$6:$O$9929,3,FALSE)</f>
        <v>UnitedHealthcare Community &amp; State</v>
      </c>
      <c r="AD3019" s="380" t="str">
        <f>VLOOKUP($B3019,'D7 - NDB Impacted SPRF''s'!$E$6:$O$9929,5,FALSE)</f>
        <v>Community Strategic Platform</v>
      </c>
      <c r="AE3019" s="380" t="str">
        <f>VLOOKUP($B3019,'D7 - NDB Impacted SPRF''s'!$E$6:$O$9929,7,FALSE)</f>
        <v>Chris Scherer</v>
      </c>
      <c r="AF3019" s="380" t="str">
        <f>VLOOKUP($B3019,'D7 - NDB Impacted SPRF''s'!$E$6:$O$9929,6,FALSE)</f>
        <v>JEFFREY KINNEMANN</v>
      </c>
      <c r="AG3019" s="282"/>
      <c r="AH3019" s="311" t="e">
        <f>INDEX('D5 - Gatekeeper - Projects'!$A$4:$AF$1010,$AM3019, 17)</f>
        <v>#N/A</v>
      </c>
      <c r="AI3019" s="8"/>
      <c r="AJ3019" s="57"/>
      <c r="AK3019" s="105"/>
      <c r="AM3019" s="6" t="e">
        <f>MATCH(D3019,'D5 - Gatekeeper - Projects'!$C$4:$C$1010,0)</f>
        <v>#N/A</v>
      </c>
      <c r="AN3019" s="6" t="b">
        <f t="shared" si="309"/>
        <v>1</v>
      </c>
      <c r="AO3019" s="6" t="str">
        <f t="shared" si="310"/>
        <v>OK</v>
      </c>
      <c r="AQ3019" s="6" t="e">
        <f>MATCH($D3019,'D4 - Provider Council Unsched'!$C$11:$C$234,0)</f>
        <v>#N/A</v>
      </c>
      <c r="AR3019" s="6" t="b">
        <f t="shared" si="311"/>
        <v>1</v>
      </c>
      <c r="AS3019" s="6" t="str">
        <f t="shared" si="312"/>
        <v>OK</v>
      </c>
      <c r="AU3019" s="202"/>
      <c r="AV3019" s="6"/>
      <c r="AW3019" s="274"/>
    </row>
    <row r="3020" spans="1:49" s="13" customFormat="1" ht="33.75" x14ac:dyDescent="0.2">
      <c r="A3020" s="14">
        <v>2996</v>
      </c>
      <c r="B3020" s="8">
        <v>400038704</v>
      </c>
      <c r="C3020" s="8" t="s">
        <v>1447</v>
      </c>
      <c r="D3020" s="4" t="str">
        <f t="shared" si="313"/>
        <v>400038704A</v>
      </c>
      <c r="E3020" s="309" t="str">
        <f>VLOOKUP($B3020,'D7 - NDB Impacted SPRF''s'!$E$6:$O$9929,2,FALSE)</f>
        <v>Primary Care Transformation - Withhold capability</v>
      </c>
      <c r="F3020" s="8"/>
      <c r="G3020" s="8" t="s">
        <v>4758</v>
      </c>
      <c r="H3020" s="8" t="s">
        <v>2870</v>
      </c>
      <c r="I3020" s="20"/>
      <c r="J3020" s="8"/>
      <c r="K3020" s="182"/>
      <c r="L3020" s="8" t="s">
        <v>4156</v>
      </c>
      <c r="M3020" s="8" t="s">
        <v>2814</v>
      </c>
      <c r="N3020" s="38"/>
      <c r="O3020" s="8"/>
      <c r="P3020" s="4" t="str">
        <f>VLOOKUP($B3020,'D7 - NDB Impacted SPRF''s'!$E$16:$O$9929,9,FALSE)</f>
        <v>N</v>
      </c>
      <c r="Q3020" s="4" t="str">
        <f>VLOOKUP($B3020,'D7 - NDB Impacted SPRF''s'!$E$16:$O$9929,10,FALSE)</f>
        <v>N</v>
      </c>
      <c r="R3020" s="4" t="str">
        <f>VLOOKUP($B3020,'D7 - NDB Impacted SPRF''s'!$E$16:$O$9929,11,FALSE)</f>
        <v>N</v>
      </c>
      <c r="S3020" s="8"/>
      <c r="T3020" s="310"/>
      <c r="U3020" s="310"/>
      <c r="V3020" s="4"/>
      <c r="W3020" s="4"/>
      <c r="X3020" s="4"/>
      <c r="Y3020" s="4"/>
      <c r="Z3020" s="4"/>
      <c r="AA3020" s="4"/>
      <c r="AB3020" s="380" t="str">
        <f>VLOOKUP($B3020,'D7 - NDB Impacted SPRF''s'!$E$6:$O$9929,4,FALSE)</f>
        <v>Cancelled</v>
      </c>
      <c r="AC3020" s="380" t="str">
        <f>VLOOKUP($B3020,'D7 - NDB Impacted SPRF''s'!$E$6:$O$9929,3,FALSE)</f>
        <v>UnitedHealthcare Employer &amp; Individual</v>
      </c>
      <c r="AD3020" s="380" t="str">
        <f>VLOOKUP($B3020,'D7 - NDB Impacted SPRF''s'!$E$6:$O$9929,5,FALSE)</f>
        <v>Medical Cost Savings Programs</v>
      </c>
      <c r="AE3020" s="380" t="str">
        <f>VLOOKUP($B3020,'D7 - NDB Impacted SPRF''s'!$E$6:$O$9929,7,FALSE)</f>
        <v>Kevin Ruth</v>
      </c>
      <c r="AF3020" s="380" t="str">
        <f>VLOOKUP($B3020,'D7 - NDB Impacted SPRF''s'!$E$6:$O$9929,6,FALSE)</f>
        <v>Chris Ritchie</v>
      </c>
      <c r="AG3020" s="282"/>
      <c r="AH3020" s="311" t="e">
        <f>INDEX('D5 - Gatekeeper - Projects'!$A$4:$AF$1010,$AM3020, 17)</f>
        <v>#N/A</v>
      </c>
      <c r="AI3020" s="8"/>
      <c r="AJ3020" s="57"/>
      <c r="AK3020" s="105"/>
      <c r="AM3020" s="6" t="e">
        <f>MATCH(D3020,'D5 - Gatekeeper - Projects'!$C$4:$C$1010,0)</f>
        <v>#N/A</v>
      </c>
      <c r="AN3020" s="6" t="b">
        <f t="shared" si="309"/>
        <v>1</v>
      </c>
      <c r="AO3020" s="6" t="str">
        <f t="shared" si="310"/>
        <v>OK</v>
      </c>
      <c r="AQ3020" s="6" t="e">
        <f>MATCH($D3020,'D4 - Provider Council Unsched'!$C$11:$C$234,0)</f>
        <v>#N/A</v>
      </c>
      <c r="AR3020" s="6" t="b">
        <f t="shared" si="311"/>
        <v>1</v>
      </c>
      <c r="AS3020" s="6" t="str">
        <f t="shared" si="312"/>
        <v>OK</v>
      </c>
      <c r="AU3020" s="202"/>
      <c r="AV3020" s="216"/>
      <c r="AW3020" s="274"/>
    </row>
    <row r="3021" spans="1:49" s="13" customFormat="1" ht="33.75" x14ac:dyDescent="0.2">
      <c r="A3021" s="14">
        <v>2997</v>
      </c>
      <c r="B3021" s="8">
        <v>400038788</v>
      </c>
      <c r="C3021" s="8" t="s">
        <v>1447</v>
      </c>
      <c r="D3021" s="4" t="str">
        <f t="shared" si="313"/>
        <v>400038788A</v>
      </c>
      <c r="E3021" s="309" t="str">
        <f>VLOOKUP($B3021,'D7 - NDB Impacted SPRF''s'!$E$6:$O$9929,2,FALSE)</f>
        <v>PRIME Policy Number Capacity Expansion</v>
      </c>
      <c r="F3021" s="8"/>
      <c r="G3021" s="8" t="s">
        <v>4758</v>
      </c>
      <c r="H3021" s="8" t="s">
        <v>2870</v>
      </c>
      <c r="I3021" s="20"/>
      <c r="J3021" s="8"/>
      <c r="K3021" s="182"/>
      <c r="L3021" s="8" t="s">
        <v>4156</v>
      </c>
      <c r="M3021" s="8" t="s">
        <v>2814</v>
      </c>
      <c r="N3021" s="38" t="s">
        <v>1148</v>
      </c>
      <c r="O3021" s="8"/>
      <c r="P3021" s="4" t="e">
        <f>VLOOKUP($B3021,'D7 - NDB Impacted SPRF''s'!$E$16:$O$9929,9,FALSE)</f>
        <v>#N/A</v>
      </c>
      <c r="Q3021" s="4" t="e">
        <f>VLOOKUP($B3021,'D7 - NDB Impacted SPRF''s'!$E$16:$O$9929,10,FALSE)</f>
        <v>#N/A</v>
      </c>
      <c r="R3021" s="4" t="e">
        <f>VLOOKUP($B3021,'D7 - NDB Impacted SPRF''s'!$E$16:$O$9929,11,FALSE)</f>
        <v>#N/A</v>
      </c>
      <c r="S3021" s="8"/>
      <c r="T3021" s="310"/>
      <c r="U3021" s="310"/>
      <c r="V3021" s="4"/>
      <c r="W3021" s="4"/>
      <c r="X3021" s="4"/>
      <c r="Y3021" s="4"/>
      <c r="Z3021" s="4"/>
      <c r="AA3021" s="4"/>
      <c r="AB3021" s="380" t="str">
        <f>VLOOKUP($B3021,'D7 - NDB Impacted SPRF''s'!$E$6:$O$9929,4,FALSE)</f>
        <v>Cancelled</v>
      </c>
      <c r="AC3021" s="380" t="str">
        <f>VLOOKUP($B3021,'D7 - NDB Impacted SPRF''s'!$E$6:$O$9929,3,FALSE)</f>
        <v>UnitedHealthcare Employer &amp; Individual</v>
      </c>
      <c r="AD3021" s="380" t="str">
        <f>VLOOKUP($B3021,'D7 - NDB Impacted SPRF''s'!$E$6:$O$9929,5,FALSE)</f>
        <v>Membership Growth / Revenue Programs</v>
      </c>
      <c r="AE3021" s="380" t="str">
        <f>VLOOKUP($B3021,'D7 - NDB Impacted SPRF''s'!$E$6:$O$9929,7,FALSE)</f>
        <v>Patrick Casey</v>
      </c>
      <c r="AF3021" s="380" t="str">
        <f>VLOOKUP($B3021,'D7 - NDB Impacted SPRF''s'!$E$6:$O$9929,6,FALSE)</f>
        <v>Guess Vince</v>
      </c>
      <c r="AG3021" s="282"/>
      <c r="AH3021" s="311" t="e">
        <f>INDEX('D5 - Gatekeeper - Projects'!$A$4:$AF$1010,$AM3021, 17)</f>
        <v>#N/A</v>
      </c>
      <c r="AI3021" s="8"/>
      <c r="AJ3021" s="57"/>
      <c r="AK3021" s="105"/>
      <c r="AM3021" s="6" t="e">
        <f>MATCH(D3021,'D5 - Gatekeeper - Projects'!$C$4:$C$1010,0)</f>
        <v>#N/A</v>
      </c>
      <c r="AN3021" s="6" t="b">
        <f t="shared" si="309"/>
        <v>1</v>
      </c>
      <c r="AO3021" s="6" t="str">
        <f t="shared" si="310"/>
        <v>OK</v>
      </c>
      <c r="AQ3021" s="6" t="e">
        <f>MATCH($D3021,'D4 - Provider Council Unsched'!$C$11:$C$234,0)</f>
        <v>#N/A</v>
      </c>
      <c r="AR3021" s="6" t="b">
        <f t="shared" si="311"/>
        <v>1</v>
      </c>
      <c r="AS3021" s="6" t="str">
        <f t="shared" si="312"/>
        <v>OK</v>
      </c>
      <c r="AU3021" s="202"/>
      <c r="AV3021" s="262"/>
      <c r="AW3021" s="274"/>
    </row>
    <row r="3022" spans="1:49" s="13" customFormat="1" ht="33.75" x14ac:dyDescent="0.2">
      <c r="A3022" s="14">
        <v>2998</v>
      </c>
      <c r="B3022" s="8">
        <v>400039147</v>
      </c>
      <c r="C3022" s="8" t="s">
        <v>1447</v>
      </c>
      <c r="D3022" s="4" t="str">
        <f t="shared" si="313"/>
        <v>400039147A</v>
      </c>
      <c r="E3022" s="309" t="str">
        <f>VLOOKUP($B3022,'D7 - NDB Impacted SPRF''s'!$E$6:$O$9929,2,FALSE)</f>
        <v>Provider Contract Line Selection by Physical Locat</v>
      </c>
      <c r="F3022" s="8"/>
      <c r="G3022" s="8" t="s">
        <v>4758</v>
      </c>
      <c r="H3022" s="8" t="s">
        <v>2870</v>
      </c>
      <c r="I3022" s="20"/>
      <c r="J3022" s="8"/>
      <c r="K3022" s="182"/>
      <c r="L3022" s="8" t="s">
        <v>4156</v>
      </c>
      <c r="M3022" s="8" t="s">
        <v>2814</v>
      </c>
      <c r="N3022" s="38" t="s">
        <v>664</v>
      </c>
      <c r="O3022" s="8"/>
      <c r="P3022" s="4" t="str">
        <f>VLOOKUP($B3022,'D7 - NDB Impacted SPRF''s'!$E$16:$O$9929,9,FALSE)</f>
        <v>Y</v>
      </c>
      <c r="Q3022" s="4" t="str">
        <f>VLOOKUP($B3022,'D7 - NDB Impacted SPRF''s'!$E$16:$O$9929,10,FALSE)</f>
        <v>N</v>
      </c>
      <c r="R3022" s="4" t="str">
        <f>VLOOKUP($B3022,'D7 - NDB Impacted SPRF''s'!$E$16:$O$9929,11,FALSE)</f>
        <v>Y</v>
      </c>
      <c r="S3022" s="8"/>
      <c r="T3022" s="310"/>
      <c r="U3022" s="310"/>
      <c r="V3022" s="4"/>
      <c r="W3022" s="4"/>
      <c r="X3022" s="4"/>
      <c r="Y3022" s="4"/>
      <c r="Z3022" s="4"/>
      <c r="AA3022" s="4"/>
      <c r="AB3022" s="380" t="str">
        <f>VLOOKUP($B3022,'D7 - NDB Impacted SPRF''s'!$E$6:$O$9929,4,FALSE)</f>
        <v>Cancelled</v>
      </c>
      <c r="AC3022" s="380" t="str">
        <f>VLOOKUP($B3022,'D7 - NDB Impacted SPRF''s'!$E$6:$O$9929,3,FALSE)</f>
        <v>UnitedHealthcare Employer &amp; Individual</v>
      </c>
      <c r="AD3022" s="380" t="str">
        <f>VLOOKUP($B3022,'D7 - NDB Impacted SPRF''s'!$E$6:$O$9929,5,FALSE)</f>
        <v>Process Improvement</v>
      </c>
      <c r="AE3022" s="380" t="str">
        <f>VLOOKUP($B3022,'D7 - NDB Impacted SPRF''s'!$E$6:$O$9929,7,FALSE)</f>
        <v>Tim Kaja</v>
      </c>
      <c r="AF3022" s="380" t="str">
        <f>VLOOKUP($B3022,'D7 - NDB Impacted SPRF''s'!$E$6:$O$9929,6,FALSE)</f>
        <v>CHERYL STAUFFER</v>
      </c>
      <c r="AG3022" s="282"/>
      <c r="AH3022" s="311" t="e">
        <f>INDEX('D5 - Gatekeeper - Projects'!$A$4:$AF$1010,$AM3022, 17)</f>
        <v>#N/A</v>
      </c>
      <c r="AI3022" s="8"/>
      <c r="AJ3022" s="57"/>
      <c r="AK3022" s="105"/>
      <c r="AM3022" s="6" t="e">
        <f>MATCH(D3022,'D5 - Gatekeeper - Projects'!$C$4:$C$1010,0)</f>
        <v>#N/A</v>
      </c>
      <c r="AN3022" s="6" t="b">
        <f t="shared" ref="AN3022:AN3085" si="314">ISERROR(AM3022)</f>
        <v>1</v>
      </c>
      <c r="AO3022" s="6" t="str">
        <f t="shared" ref="AO3022:AO3085" si="315">IF(AND(H3022="1 - Scheduled",AN3022=TRUE),"Add","OK")</f>
        <v>OK</v>
      </c>
      <c r="AQ3022" s="6" t="e">
        <f>MATCH($D3022,'D4 - Provider Council Unsched'!$C$11:$C$234,0)</f>
        <v>#N/A</v>
      </c>
      <c r="AR3022" s="6" t="b">
        <f t="shared" ref="AR3022:AR3085" si="316">ISERROR(AQ3022)</f>
        <v>1</v>
      </c>
      <c r="AS3022" s="6" t="str">
        <f t="shared" si="312"/>
        <v>OK</v>
      </c>
      <c r="AU3022" s="202"/>
      <c r="AV3022" s="262"/>
      <c r="AW3022" s="274"/>
    </row>
    <row r="3023" spans="1:49" s="13" customFormat="1" ht="33.75" x14ac:dyDescent="0.2">
      <c r="A3023" s="14">
        <v>2999</v>
      </c>
      <c r="B3023" s="8">
        <v>400039290</v>
      </c>
      <c r="C3023" s="8" t="s">
        <v>1447</v>
      </c>
      <c r="D3023" s="4" t="str">
        <f t="shared" si="313"/>
        <v>400039290A</v>
      </c>
      <c r="E3023" s="309" t="str">
        <f>VLOOKUP($B3023,'D7 - NDB Impacted SPRF''s'!$E$6:$O$9929,2,FALSE)</f>
        <v>OXHP (Comm) Clinical Migration to ICUE</v>
      </c>
      <c r="F3023" s="8"/>
      <c r="G3023" s="8" t="s">
        <v>4758</v>
      </c>
      <c r="H3023" s="8" t="s">
        <v>2870</v>
      </c>
      <c r="I3023" s="20"/>
      <c r="J3023" s="8"/>
      <c r="K3023" s="182"/>
      <c r="L3023" s="8" t="s">
        <v>4156</v>
      </c>
      <c r="M3023" s="8" t="s">
        <v>2814</v>
      </c>
      <c r="N3023" s="38" t="s">
        <v>5264</v>
      </c>
      <c r="O3023" s="8"/>
      <c r="P3023" s="4" t="str">
        <f>VLOOKUP($B3023,'D7 - NDB Impacted SPRF''s'!$E$16:$O$9929,9,FALSE)</f>
        <v>N</v>
      </c>
      <c r="Q3023" s="4" t="str">
        <f>VLOOKUP($B3023,'D7 - NDB Impacted SPRF''s'!$E$16:$O$9929,10,FALSE)</f>
        <v>N</v>
      </c>
      <c r="R3023" s="4" t="str">
        <f>VLOOKUP($B3023,'D7 - NDB Impacted SPRF''s'!$E$16:$O$9929,11,FALSE)</f>
        <v>N</v>
      </c>
      <c r="S3023" s="8"/>
      <c r="T3023" s="310"/>
      <c r="U3023" s="310"/>
      <c r="V3023" s="4"/>
      <c r="W3023" s="4"/>
      <c r="X3023" s="4"/>
      <c r="Y3023" s="4"/>
      <c r="Z3023" s="4"/>
      <c r="AA3023" s="4"/>
      <c r="AB3023" s="380" t="str">
        <f>VLOOKUP($B3023,'D7 - NDB Impacted SPRF''s'!$E$6:$O$9929,4,FALSE)</f>
        <v>Cancelled</v>
      </c>
      <c r="AC3023" s="380" t="str">
        <f>VLOOKUP($B3023,'D7 - NDB Impacted SPRF''s'!$E$6:$O$9929,3,FALSE)</f>
        <v>UnitedHealthcare Medicare &amp; Retirement</v>
      </c>
      <c r="AD3023" s="380" t="str">
        <f>VLOOKUP($B3023,'D7 - NDB Impacted SPRF''s'!$E$6:$O$9929,5,FALSE)</f>
        <v>Enterprise Clinical</v>
      </c>
      <c r="AE3023" s="380" t="str">
        <f>VLOOKUP($B3023,'D7 - NDB Impacted SPRF''s'!$E$6:$O$9929,7,FALSE)</f>
        <v>Sheila Nelson</v>
      </c>
      <c r="AF3023" s="380" t="str">
        <f>VLOOKUP($B3023,'D7 - NDB Impacted SPRF''s'!$E$6:$O$9929,6,FALSE)</f>
        <v>Steve Gudvangen</v>
      </c>
      <c r="AG3023" s="282"/>
      <c r="AH3023" s="311" t="e">
        <f>INDEX('D5 - Gatekeeper - Projects'!$A$4:$AF$1010,$AM3023, 17)</f>
        <v>#N/A</v>
      </c>
      <c r="AI3023" s="8"/>
      <c r="AJ3023" s="57"/>
      <c r="AK3023" s="105"/>
      <c r="AM3023" s="6" t="e">
        <f>MATCH(D3023,'D5 - Gatekeeper - Projects'!$C$4:$C$1010,0)</f>
        <v>#N/A</v>
      </c>
      <c r="AN3023" s="6" t="b">
        <f t="shared" si="314"/>
        <v>1</v>
      </c>
      <c r="AO3023" s="6" t="str">
        <f t="shared" si="315"/>
        <v>OK</v>
      </c>
      <c r="AQ3023" s="6" t="e">
        <f>MATCH($D3023,'D4 - Provider Council Unsched'!$C$11:$C$234,0)</f>
        <v>#N/A</v>
      </c>
      <c r="AR3023" s="6" t="b">
        <f t="shared" si="316"/>
        <v>1</v>
      </c>
      <c r="AS3023" s="6" t="str">
        <f t="shared" si="312"/>
        <v>OK</v>
      </c>
      <c r="AU3023" s="202"/>
      <c r="AV3023" s="262"/>
      <c r="AW3023" s="274"/>
    </row>
    <row r="3024" spans="1:49" s="13" customFormat="1" ht="33.75" x14ac:dyDescent="0.2">
      <c r="A3024" s="14">
        <v>3000</v>
      </c>
      <c r="B3024" s="8">
        <v>400039301</v>
      </c>
      <c r="C3024" s="8" t="s">
        <v>1447</v>
      </c>
      <c r="D3024" s="4" t="str">
        <f t="shared" si="313"/>
        <v>400039301A</v>
      </c>
      <c r="E3024" s="309" t="str">
        <f>VLOOKUP($B3024,'D7 - NDB Impacted SPRF''s'!$E$6:$O$9929,2,FALSE)</f>
        <v>AMC Care Core NDB Extract COSMOS Field Additions</v>
      </c>
      <c r="F3024" s="8"/>
      <c r="G3024" s="8" t="s">
        <v>4758</v>
      </c>
      <c r="H3024" s="8" t="s">
        <v>2870</v>
      </c>
      <c r="I3024" s="20"/>
      <c r="J3024" s="8"/>
      <c r="K3024" s="182"/>
      <c r="L3024" s="8" t="s">
        <v>4156</v>
      </c>
      <c r="M3024" s="8" t="s">
        <v>2814</v>
      </c>
      <c r="N3024" s="38" t="s">
        <v>5330</v>
      </c>
      <c r="O3024" s="8"/>
      <c r="P3024" s="4" t="str">
        <f>VLOOKUP($B3024,'D7 - NDB Impacted SPRF''s'!$E$16:$O$9929,9,FALSE)</f>
        <v>N</v>
      </c>
      <c r="Q3024" s="4" t="str">
        <f>VLOOKUP($B3024,'D7 - NDB Impacted SPRF''s'!$E$16:$O$9929,10,FALSE)</f>
        <v>N</v>
      </c>
      <c r="R3024" s="4" t="str">
        <f>VLOOKUP($B3024,'D7 - NDB Impacted SPRF''s'!$E$16:$O$9929,11,FALSE)</f>
        <v>N</v>
      </c>
      <c r="S3024" s="8"/>
      <c r="T3024" s="310"/>
      <c r="U3024" s="310"/>
      <c r="V3024" s="4"/>
      <c r="W3024" s="4"/>
      <c r="X3024" s="4"/>
      <c r="Y3024" s="4"/>
      <c r="Z3024" s="4"/>
      <c r="AA3024" s="4"/>
      <c r="AB3024" s="380" t="str">
        <f>VLOOKUP($B3024,'D7 - NDB Impacted SPRF''s'!$E$6:$O$9929,4,FALSE)</f>
        <v>Cancelled</v>
      </c>
      <c r="AC3024" s="380" t="str">
        <f>VLOOKUP($B3024,'D7 - NDB Impacted SPRF''s'!$E$6:$O$9929,3,FALSE)</f>
        <v>UnitedHealthcare Community &amp; State</v>
      </c>
      <c r="AD3024" s="380" t="str">
        <f>VLOOKUP($B3024,'D7 - NDB Impacted SPRF''s'!$E$6:$O$9929,5,FALSE)</f>
        <v>AmeriChoice</v>
      </c>
      <c r="AE3024" s="380" t="str">
        <f>VLOOKUP($B3024,'D7 - NDB Impacted SPRF''s'!$E$6:$O$9929,7,FALSE)</f>
        <v>Eric Yoder</v>
      </c>
      <c r="AF3024" s="380" t="str">
        <f>VLOOKUP($B3024,'D7 - NDB Impacted SPRF''s'!$E$6:$O$9929,6,FALSE)</f>
        <v>Ronald Wilson</v>
      </c>
      <c r="AG3024" s="282"/>
      <c r="AH3024" s="311" t="e">
        <f>INDEX('D5 - Gatekeeper - Projects'!$A$4:$AF$1010,$AM3024, 17)</f>
        <v>#N/A</v>
      </c>
      <c r="AI3024" s="8"/>
      <c r="AJ3024" s="57"/>
      <c r="AK3024" s="105"/>
      <c r="AM3024" s="6" t="e">
        <f>MATCH(D3024,'D5 - Gatekeeper - Projects'!$C$4:$C$1010,0)</f>
        <v>#N/A</v>
      </c>
      <c r="AN3024" s="6" t="b">
        <f t="shared" si="314"/>
        <v>1</v>
      </c>
      <c r="AO3024" s="6" t="str">
        <f t="shared" si="315"/>
        <v>OK</v>
      </c>
      <c r="AQ3024" s="6" t="e">
        <f>MATCH($D3024,'D4 - Provider Council Unsched'!$C$11:$C$234,0)</f>
        <v>#N/A</v>
      </c>
      <c r="AR3024" s="6" t="b">
        <f t="shared" si="316"/>
        <v>1</v>
      </c>
      <c r="AS3024" s="6" t="str">
        <f t="shared" si="312"/>
        <v>OK</v>
      </c>
      <c r="AU3024" s="202"/>
      <c r="AV3024" s="216"/>
      <c r="AW3024" s="274"/>
    </row>
    <row r="3025" spans="1:49" s="13" customFormat="1" ht="33.75" x14ac:dyDescent="0.2">
      <c r="A3025" s="14">
        <v>3001</v>
      </c>
      <c r="B3025" s="8">
        <v>400039328</v>
      </c>
      <c r="C3025" s="8" t="s">
        <v>1447</v>
      </c>
      <c r="D3025" s="4" t="str">
        <f t="shared" si="313"/>
        <v>400039328A</v>
      </c>
      <c r="E3025" s="309" t="str">
        <f>VLOOKUP($B3025,'D7 - NDB Impacted SPRF''s'!$E$6:$O$9929,2,FALSE)</f>
        <v>Lab Network Reimbursement Model - New Remark Code</v>
      </c>
      <c r="F3025" s="8"/>
      <c r="G3025" s="8" t="s">
        <v>4758</v>
      </c>
      <c r="H3025" s="8" t="s">
        <v>2870</v>
      </c>
      <c r="I3025" s="20"/>
      <c r="J3025" s="8"/>
      <c r="K3025" s="182"/>
      <c r="L3025" s="8" t="s">
        <v>4156</v>
      </c>
      <c r="M3025" s="8" t="s">
        <v>2814</v>
      </c>
      <c r="N3025" s="38" t="s">
        <v>5378</v>
      </c>
      <c r="O3025" s="8"/>
      <c r="P3025" s="4" t="str">
        <f>VLOOKUP($B3025,'D7 - NDB Impacted SPRF''s'!$E$16:$O$9929,9,FALSE)</f>
        <v>Y</v>
      </c>
      <c r="Q3025" s="4" t="str">
        <f>VLOOKUP($B3025,'D7 - NDB Impacted SPRF''s'!$E$16:$O$9929,10,FALSE)</f>
        <v>N</v>
      </c>
      <c r="R3025" s="4" t="str">
        <f>VLOOKUP($B3025,'D7 - NDB Impacted SPRF''s'!$E$16:$O$9929,11,FALSE)</f>
        <v>N</v>
      </c>
      <c r="S3025" s="8"/>
      <c r="T3025" s="310"/>
      <c r="U3025" s="310"/>
      <c r="V3025" s="4"/>
      <c r="W3025" s="4"/>
      <c r="X3025" s="4"/>
      <c r="Y3025" s="4"/>
      <c r="Z3025" s="4"/>
      <c r="AA3025" s="4"/>
      <c r="AB3025" s="380" t="str">
        <f>VLOOKUP($B3025,'D7 - NDB Impacted SPRF''s'!$E$6:$O$9929,4,FALSE)</f>
        <v>Cancelled</v>
      </c>
      <c r="AC3025" s="380" t="str">
        <f>VLOOKUP($B3025,'D7 - NDB Impacted SPRF''s'!$E$6:$O$9929,3,FALSE)</f>
        <v>UnitedHealthcare Employer &amp; Individual</v>
      </c>
      <c r="AD3025" s="380" t="str">
        <f>VLOOKUP($B3025,'D7 - NDB Impacted SPRF''s'!$E$6:$O$9929,5,FALSE)</f>
        <v>Medical Cost Savings Programs</v>
      </c>
      <c r="AE3025" s="380" t="str">
        <f>VLOOKUP($B3025,'D7 - NDB Impacted SPRF''s'!$E$6:$O$9929,7,FALSE)</f>
        <v>Linda Stewart / Mark Allen</v>
      </c>
      <c r="AF3025" s="380" t="str">
        <f>VLOOKUP($B3025,'D7 - NDB Impacted SPRF''s'!$E$6:$O$9929,6,FALSE)</f>
        <v>Melanie Lidster</v>
      </c>
      <c r="AG3025" s="282"/>
      <c r="AH3025" s="311" t="e">
        <f>INDEX('D5 - Gatekeeper - Projects'!$A$4:$AF$1010,$AM3025, 17)</f>
        <v>#N/A</v>
      </c>
      <c r="AI3025" s="8"/>
      <c r="AJ3025" s="57"/>
      <c r="AK3025" s="105"/>
      <c r="AM3025" s="6" t="e">
        <f>MATCH(D3025,'D5 - Gatekeeper - Projects'!$C$4:$C$1010,0)</f>
        <v>#N/A</v>
      </c>
      <c r="AN3025" s="6" t="b">
        <f t="shared" si="314"/>
        <v>1</v>
      </c>
      <c r="AO3025" s="6" t="str">
        <f t="shared" si="315"/>
        <v>OK</v>
      </c>
      <c r="AQ3025" s="6" t="e">
        <f>MATCH($D3025,'D4 - Provider Council Unsched'!$C$11:$C$234,0)</f>
        <v>#N/A</v>
      </c>
      <c r="AR3025" s="6" t="b">
        <f t="shared" si="316"/>
        <v>1</v>
      </c>
      <c r="AS3025" s="6" t="str">
        <f t="shared" si="312"/>
        <v>OK</v>
      </c>
      <c r="AU3025" s="202"/>
      <c r="AV3025" s="262"/>
      <c r="AW3025" s="274"/>
    </row>
    <row r="3026" spans="1:49" s="13" customFormat="1" ht="22.5" x14ac:dyDescent="0.2">
      <c r="A3026" s="14">
        <v>3002</v>
      </c>
      <c r="B3026" s="8">
        <v>400039379</v>
      </c>
      <c r="C3026" s="8" t="s">
        <v>1447</v>
      </c>
      <c r="D3026" s="4" t="str">
        <f t="shared" si="313"/>
        <v>400039379A</v>
      </c>
      <c r="E3026" s="309" t="str">
        <f>VLOOKUP($B3026,'D7 - NDB Impacted SPRF''s'!$E$6:$O$9929,2,FALSE)</f>
        <v>NYHCRA System Analysis</v>
      </c>
      <c r="F3026" s="8"/>
      <c r="G3026" s="8" t="s">
        <v>4758</v>
      </c>
      <c r="H3026" s="8" t="s">
        <v>2870</v>
      </c>
      <c r="I3026" s="20"/>
      <c r="J3026" s="8"/>
      <c r="K3026" s="182"/>
      <c r="L3026" s="8" t="s">
        <v>4156</v>
      </c>
      <c r="M3026" s="8" t="s">
        <v>2814</v>
      </c>
      <c r="N3026" s="38" t="s">
        <v>1376</v>
      </c>
      <c r="O3026" s="8"/>
      <c r="P3026" s="4" t="str">
        <f>VLOOKUP($B3026,'D7 - NDB Impacted SPRF''s'!$E$16:$O$9929,9,FALSE)</f>
        <v>Y</v>
      </c>
      <c r="Q3026" s="4" t="str">
        <f>VLOOKUP($B3026,'D7 - NDB Impacted SPRF''s'!$E$16:$O$9929,10,FALSE)</f>
        <v>N</v>
      </c>
      <c r="R3026" s="4" t="str">
        <f>VLOOKUP($B3026,'D7 - NDB Impacted SPRF''s'!$E$16:$O$9929,11,FALSE)</f>
        <v>N</v>
      </c>
      <c r="S3026" s="8"/>
      <c r="T3026" s="310"/>
      <c r="U3026" s="310"/>
      <c r="V3026" s="4"/>
      <c r="W3026" s="4"/>
      <c r="X3026" s="4"/>
      <c r="Y3026" s="4"/>
      <c r="Z3026" s="4"/>
      <c r="AA3026" s="4"/>
      <c r="AB3026" s="380" t="str">
        <f>VLOOKUP($B3026,'D7 - NDB Impacted SPRF''s'!$E$6:$O$9929,4,FALSE)</f>
        <v>Cancelled</v>
      </c>
      <c r="AC3026" s="380" t="str">
        <f>VLOOKUP($B3026,'D7 - NDB Impacted SPRF''s'!$E$6:$O$9929,3,FALSE)</f>
        <v>UHG Corporate</v>
      </c>
      <c r="AD3026" s="380" t="str">
        <f>VLOOKUP($B3026,'D7 - NDB Impacted SPRF''s'!$E$6:$O$9929,5,FALSE)</f>
        <v>Corporate</v>
      </c>
      <c r="AE3026" s="380" t="str">
        <f>VLOOKUP($B3026,'D7 - NDB Impacted SPRF''s'!$E$6:$O$9929,7,FALSE)</f>
        <v>Kevin Ericson</v>
      </c>
      <c r="AF3026" s="380" t="str">
        <f>VLOOKUP($B3026,'D7 - NDB Impacted SPRF''s'!$E$6:$O$9929,6,FALSE)</f>
        <v>William Wallberg</v>
      </c>
      <c r="AG3026" s="282"/>
      <c r="AH3026" s="311" t="e">
        <f>INDEX('D5 - Gatekeeper - Projects'!$A$4:$AF$1010,$AM3026, 17)</f>
        <v>#N/A</v>
      </c>
      <c r="AI3026" s="8"/>
      <c r="AJ3026" s="57"/>
      <c r="AK3026" s="105"/>
      <c r="AM3026" s="6" t="e">
        <f>MATCH(D3026,'D5 - Gatekeeper - Projects'!$C$4:$C$1010,0)</f>
        <v>#N/A</v>
      </c>
      <c r="AN3026" s="6" t="b">
        <f t="shared" si="314"/>
        <v>1</v>
      </c>
      <c r="AO3026" s="6" t="str">
        <f t="shared" si="315"/>
        <v>OK</v>
      </c>
      <c r="AQ3026" s="6" t="e">
        <f>MATCH($D3026,'D4 - Provider Council Unsched'!$C$11:$C$234,0)</f>
        <v>#N/A</v>
      </c>
      <c r="AR3026" s="6" t="b">
        <f t="shared" si="316"/>
        <v>1</v>
      </c>
      <c r="AS3026" s="6" t="str">
        <f t="shared" si="312"/>
        <v>OK</v>
      </c>
      <c r="AU3026" s="202"/>
      <c r="AV3026" s="216" t="e">
        <v>#N/A</v>
      </c>
      <c r="AW3026" s="274"/>
    </row>
    <row r="3027" spans="1:49" s="13" customFormat="1" ht="33.75" x14ac:dyDescent="0.2">
      <c r="A3027" s="14">
        <v>3003</v>
      </c>
      <c r="B3027" s="8">
        <v>400039428</v>
      </c>
      <c r="C3027" s="8" t="s">
        <v>1447</v>
      </c>
      <c r="D3027" s="4" t="str">
        <f t="shared" si="313"/>
        <v>400039428A</v>
      </c>
      <c r="E3027" s="309" t="str">
        <f>VLOOKUP($B3027,'D7 - NDB Impacted SPRF''s'!$E$6:$O$9929,2,FALSE)</f>
        <v>Cosmos Modifier Field Expansion</v>
      </c>
      <c r="F3027" s="8"/>
      <c r="G3027" s="8" t="s">
        <v>4758</v>
      </c>
      <c r="H3027" s="8" t="s">
        <v>2870</v>
      </c>
      <c r="I3027" s="20"/>
      <c r="J3027" s="8"/>
      <c r="K3027" s="182"/>
      <c r="L3027" s="8" t="s">
        <v>4156</v>
      </c>
      <c r="M3027" s="8" t="s">
        <v>2814</v>
      </c>
      <c r="N3027" s="38" t="s">
        <v>663</v>
      </c>
      <c r="O3027" s="8"/>
      <c r="P3027" s="4" t="str">
        <f>VLOOKUP($B3027,'D7 - NDB Impacted SPRF''s'!$E$16:$O$9929,9,FALSE)</f>
        <v>Y</v>
      </c>
      <c r="Q3027" s="4" t="str">
        <f>VLOOKUP($B3027,'D7 - NDB Impacted SPRF''s'!$E$16:$O$9929,10,FALSE)</f>
        <v>N</v>
      </c>
      <c r="R3027" s="4" t="str">
        <f>VLOOKUP($B3027,'D7 - NDB Impacted SPRF''s'!$E$16:$O$9929,11,FALSE)</f>
        <v>Y</v>
      </c>
      <c r="S3027" s="8"/>
      <c r="T3027" s="310"/>
      <c r="U3027" s="310"/>
      <c r="V3027" s="4"/>
      <c r="W3027" s="4"/>
      <c r="X3027" s="4"/>
      <c r="Y3027" s="4"/>
      <c r="Z3027" s="4"/>
      <c r="AA3027" s="4"/>
      <c r="AB3027" s="380" t="str">
        <f>VLOOKUP($B3027,'D7 - NDB Impacted SPRF''s'!$E$6:$O$9929,4,FALSE)</f>
        <v>Cancelled</v>
      </c>
      <c r="AC3027" s="380" t="str">
        <f>VLOOKUP($B3027,'D7 - NDB Impacted SPRF''s'!$E$6:$O$9929,3,FALSE)</f>
        <v>UnitedHealthcare Medicare &amp; Retirement</v>
      </c>
      <c r="AD3027" s="380" t="str">
        <f>VLOOKUP($B3027,'D7 - NDB Impacted SPRF''s'!$E$6:$O$9929,5,FALSE)</f>
        <v>Claims Remediation</v>
      </c>
      <c r="AE3027" s="380" t="str">
        <f>VLOOKUP($B3027,'D7 - NDB Impacted SPRF''s'!$E$6:$O$9929,7,FALSE)</f>
        <v>Kelly Gilbertson</v>
      </c>
      <c r="AF3027" s="380" t="str">
        <f>VLOOKUP($B3027,'D7 - NDB Impacted SPRF''s'!$E$6:$O$9929,6,FALSE)</f>
        <v>Jessica Tattersall</v>
      </c>
      <c r="AG3027" s="282"/>
      <c r="AH3027" s="311" t="e">
        <f>INDEX('D5 - Gatekeeper - Projects'!$A$4:$AF$1010,$AM3027, 17)</f>
        <v>#N/A</v>
      </c>
      <c r="AI3027" s="8"/>
      <c r="AJ3027" s="57"/>
      <c r="AK3027" s="105"/>
      <c r="AM3027" s="6" t="e">
        <f>MATCH(D3027,'D5 - Gatekeeper - Projects'!$C$4:$C$1010,0)</f>
        <v>#N/A</v>
      </c>
      <c r="AN3027" s="6" t="b">
        <f t="shared" si="314"/>
        <v>1</v>
      </c>
      <c r="AO3027" s="6" t="str">
        <f t="shared" si="315"/>
        <v>OK</v>
      </c>
      <c r="AQ3027" s="6" t="e">
        <f>MATCH($D3027,'D4 - Provider Council Unsched'!$C$11:$C$234,0)</f>
        <v>#N/A</v>
      </c>
      <c r="AR3027" s="6" t="b">
        <f t="shared" si="316"/>
        <v>1</v>
      </c>
      <c r="AS3027" s="6" t="str">
        <f t="shared" si="312"/>
        <v>OK</v>
      </c>
      <c r="AU3027" s="202"/>
      <c r="AV3027" s="6"/>
      <c r="AW3027" s="274"/>
    </row>
    <row r="3028" spans="1:49" s="13" customFormat="1" ht="33.75" x14ac:dyDescent="0.2">
      <c r="A3028" s="14">
        <v>3004</v>
      </c>
      <c r="B3028" s="8">
        <v>400039474</v>
      </c>
      <c r="C3028" s="8" t="s">
        <v>1447</v>
      </c>
      <c r="D3028" s="4" t="str">
        <f t="shared" si="313"/>
        <v>400039474A</v>
      </c>
      <c r="E3028" s="309" t="str">
        <f>VLOOKUP($B3028,'D7 - NDB Impacted SPRF''s'!$E$6:$O$9929,2,FALSE)</f>
        <v>Lab Ntwrk- iSET  Testing Only Cap-Indicator Field</v>
      </c>
      <c r="F3028" s="8"/>
      <c r="G3028" s="8" t="s">
        <v>4758</v>
      </c>
      <c r="H3028" s="8" t="s">
        <v>2870</v>
      </c>
      <c r="I3028" s="20"/>
      <c r="J3028" s="8"/>
      <c r="K3028" s="182"/>
      <c r="L3028" s="8" t="s">
        <v>4156</v>
      </c>
      <c r="M3028" s="8" t="s">
        <v>2814</v>
      </c>
      <c r="N3028" s="38"/>
      <c r="O3028" s="8"/>
      <c r="P3028" s="4" t="str">
        <f>VLOOKUP($B3028,'D7 - NDB Impacted SPRF''s'!$E$16:$O$9929,9,FALSE)</f>
        <v>N</v>
      </c>
      <c r="Q3028" s="4" t="str">
        <f>VLOOKUP($B3028,'D7 - NDB Impacted SPRF''s'!$E$16:$O$9929,10,FALSE)</f>
        <v>N</v>
      </c>
      <c r="R3028" s="4" t="str">
        <f>VLOOKUP($B3028,'D7 - NDB Impacted SPRF''s'!$E$16:$O$9929,11,FALSE)</f>
        <v>N</v>
      </c>
      <c r="S3028" s="8"/>
      <c r="T3028" s="310"/>
      <c r="U3028" s="310"/>
      <c r="V3028" s="4"/>
      <c r="W3028" s="4"/>
      <c r="X3028" s="4"/>
      <c r="Y3028" s="4"/>
      <c r="Z3028" s="4"/>
      <c r="AA3028" s="4"/>
      <c r="AB3028" s="380" t="str">
        <f>VLOOKUP($B3028,'D7 - NDB Impacted SPRF''s'!$E$6:$O$9929,4,FALSE)</f>
        <v>Cancelled</v>
      </c>
      <c r="AC3028" s="380" t="str">
        <f>VLOOKUP($B3028,'D7 - NDB Impacted SPRF''s'!$E$6:$O$9929,3,FALSE)</f>
        <v>UnitedHealthcare Employer &amp; Individual</v>
      </c>
      <c r="AD3028" s="380" t="str">
        <f>VLOOKUP($B3028,'D7 - NDB Impacted SPRF''s'!$E$6:$O$9929,5,FALSE)</f>
        <v>Medical Cost Savings Programs</v>
      </c>
      <c r="AE3028" s="380" t="str">
        <f>VLOOKUP($B3028,'D7 - NDB Impacted SPRF''s'!$E$6:$O$9929,7,FALSE)</f>
        <v>Linda Stewart / Mark Allen</v>
      </c>
      <c r="AF3028" s="380" t="str">
        <f>VLOOKUP($B3028,'D7 - NDB Impacted SPRF''s'!$E$6:$O$9929,6,FALSE)</f>
        <v>Melanie Lidster</v>
      </c>
      <c r="AG3028" s="282"/>
      <c r="AH3028" s="311" t="e">
        <f>INDEX('D5 - Gatekeeper - Projects'!$A$4:$AF$1010,$AM3028, 17)</f>
        <v>#N/A</v>
      </c>
      <c r="AI3028" s="8"/>
      <c r="AJ3028" s="57"/>
      <c r="AK3028" s="105"/>
      <c r="AM3028" s="6" t="e">
        <f>MATCH(D3028,'D5 - Gatekeeper - Projects'!$C$4:$C$1010,0)</f>
        <v>#N/A</v>
      </c>
      <c r="AN3028" s="6" t="b">
        <f t="shared" si="314"/>
        <v>1</v>
      </c>
      <c r="AO3028" s="6" t="str">
        <f t="shared" si="315"/>
        <v>OK</v>
      </c>
      <c r="AQ3028" s="6" t="e">
        <f>MATCH($D3028,'D4 - Provider Council Unsched'!$C$11:$C$234,0)</f>
        <v>#N/A</v>
      </c>
      <c r="AR3028" s="6" t="b">
        <f t="shared" si="316"/>
        <v>1</v>
      </c>
      <c r="AS3028" s="6" t="str">
        <f t="shared" si="312"/>
        <v>OK</v>
      </c>
      <c r="AU3028" s="202"/>
      <c r="AV3028" s="6"/>
      <c r="AW3028" s="274"/>
    </row>
    <row r="3029" spans="1:49" s="13" customFormat="1" ht="33.75" x14ac:dyDescent="0.2">
      <c r="A3029" s="14">
        <v>3005</v>
      </c>
      <c r="B3029" s="8">
        <v>400039624</v>
      </c>
      <c r="C3029" s="8" t="s">
        <v>1447</v>
      </c>
      <c r="D3029" s="4" t="str">
        <f t="shared" si="313"/>
        <v>400039624A</v>
      </c>
      <c r="E3029" s="309" t="str">
        <f>VLOOKUP($B3029,'D7 - NDB Impacted SPRF''s'!$E$6:$O$9929,2,FALSE)</f>
        <v>NDC Pricing - Phase 2 OHP</v>
      </c>
      <c r="F3029" s="8"/>
      <c r="G3029" s="8" t="s">
        <v>4758</v>
      </c>
      <c r="H3029" s="8" t="s">
        <v>2870</v>
      </c>
      <c r="I3029" s="20"/>
      <c r="J3029" s="8"/>
      <c r="K3029" s="182"/>
      <c r="L3029" s="8" t="s">
        <v>4156</v>
      </c>
      <c r="M3029" s="8" t="s">
        <v>2814</v>
      </c>
      <c r="N3029" s="38" t="s">
        <v>2703</v>
      </c>
      <c r="O3029" s="8"/>
      <c r="P3029" s="4" t="str">
        <f>VLOOKUP($B3029,'D7 - NDB Impacted SPRF''s'!$E$16:$O$9929,9,FALSE)</f>
        <v>N</v>
      </c>
      <c r="Q3029" s="4" t="str">
        <f>VLOOKUP($B3029,'D7 - NDB Impacted SPRF''s'!$E$16:$O$9929,10,FALSE)</f>
        <v>N</v>
      </c>
      <c r="R3029" s="4" t="str">
        <f>VLOOKUP($B3029,'D7 - NDB Impacted SPRF''s'!$E$16:$O$9929,11,FALSE)</f>
        <v>Y</v>
      </c>
      <c r="S3029" s="8"/>
      <c r="T3029" s="310"/>
      <c r="U3029" s="310"/>
      <c r="V3029" s="4"/>
      <c r="W3029" s="4"/>
      <c r="X3029" s="4"/>
      <c r="Y3029" s="4"/>
      <c r="Z3029" s="4"/>
      <c r="AA3029" s="4"/>
      <c r="AB3029" s="380" t="str">
        <f>VLOOKUP($B3029,'D7 - NDB Impacted SPRF''s'!$E$6:$O$9929,4,FALSE)</f>
        <v>Cancelled</v>
      </c>
      <c r="AC3029" s="380" t="str">
        <f>VLOOKUP($B3029,'D7 - NDB Impacted SPRF''s'!$E$6:$O$9929,3,FALSE)</f>
        <v>UnitedHealthcare Employer &amp; Individual</v>
      </c>
      <c r="AD3029" s="380" t="str">
        <f>VLOOKUP($B3029,'D7 - NDB Impacted SPRF''s'!$E$6:$O$9929,5,FALSE)</f>
        <v>Medical Cost Savings Programs</v>
      </c>
      <c r="AE3029" s="380" t="str">
        <f>VLOOKUP($B3029,'D7 - NDB Impacted SPRF''s'!$E$6:$O$9929,7,FALSE)</f>
        <v>Randy Falkenrath</v>
      </c>
      <c r="AF3029" s="380" t="str">
        <f>VLOOKUP($B3029,'D7 - NDB Impacted SPRF''s'!$E$6:$O$9929,6,FALSE)</f>
        <v>Thekkot Suresh</v>
      </c>
      <c r="AG3029" s="282"/>
      <c r="AH3029" s="311" t="e">
        <f>INDEX('D5 - Gatekeeper - Projects'!$A$4:$AF$1010,$AM3029, 17)</f>
        <v>#N/A</v>
      </c>
      <c r="AI3029" s="8"/>
      <c r="AJ3029" s="57"/>
      <c r="AK3029" s="105"/>
      <c r="AM3029" s="6" t="e">
        <f>MATCH(D3029,'D5 - Gatekeeper - Projects'!$C$4:$C$1010,0)</f>
        <v>#N/A</v>
      </c>
      <c r="AN3029" s="6" t="b">
        <f t="shared" si="314"/>
        <v>1</v>
      </c>
      <c r="AO3029" s="6" t="str">
        <f t="shared" si="315"/>
        <v>OK</v>
      </c>
      <c r="AQ3029" s="6" t="e">
        <f>MATCH($D3029,'D4 - Provider Council Unsched'!$C$11:$C$234,0)</f>
        <v>#N/A</v>
      </c>
      <c r="AR3029" s="6" t="b">
        <f t="shared" si="316"/>
        <v>1</v>
      </c>
      <c r="AS3029" s="6" t="str">
        <f t="shared" si="312"/>
        <v>OK</v>
      </c>
      <c r="AU3029" s="202"/>
      <c r="AV3029" s="6"/>
      <c r="AW3029" s="274"/>
    </row>
    <row r="3030" spans="1:49" s="13" customFormat="1" ht="33.75" x14ac:dyDescent="0.2">
      <c r="A3030" s="14">
        <v>3006</v>
      </c>
      <c r="B3030" s="8">
        <v>400039641</v>
      </c>
      <c r="C3030" s="8" t="s">
        <v>1447</v>
      </c>
      <c r="D3030" s="4" t="str">
        <f t="shared" si="313"/>
        <v>400039641A</v>
      </c>
      <c r="E3030" s="309" t="str">
        <f>VLOOKUP($B3030,'D7 - NDB Impacted SPRF''s'!$E$6:$O$9929,2,FALSE)</f>
        <v>NDC Pricing - Phase 2 PHS (Nice)</v>
      </c>
      <c r="F3030" s="8"/>
      <c r="G3030" s="8" t="s">
        <v>4758</v>
      </c>
      <c r="H3030" s="8" t="s">
        <v>2870</v>
      </c>
      <c r="I3030" s="20"/>
      <c r="J3030" s="8"/>
      <c r="K3030" s="182"/>
      <c r="L3030" s="8" t="s">
        <v>4156</v>
      </c>
      <c r="M3030" s="8" t="s">
        <v>2814</v>
      </c>
      <c r="N3030" s="38" t="s">
        <v>2703</v>
      </c>
      <c r="O3030" s="8"/>
      <c r="P3030" s="4" t="str">
        <f>VLOOKUP($B3030,'D7 - NDB Impacted SPRF''s'!$E$16:$O$9929,9,FALSE)</f>
        <v>N</v>
      </c>
      <c r="Q3030" s="4" t="str">
        <f>VLOOKUP($B3030,'D7 - NDB Impacted SPRF''s'!$E$16:$O$9929,10,FALSE)</f>
        <v>N</v>
      </c>
      <c r="R3030" s="4" t="str">
        <f>VLOOKUP($B3030,'D7 - NDB Impacted SPRF''s'!$E$16:$O$9929,11,FALSE)</f>
        <v>Y</v>
      </c>
      <c r="S3030" s="8"/>
      <c r="T3030" s="310"/>
      <c r="U3030" s="310"/>
      <c r="V3030" s="4"/>
      <c r="W3030" s="4"/>
      <c r="X3030" s="4"/>
      <c r="Y3030" s="4"/>
      <c r="Z3030" s="4"/>
      <c r="AA3030" s="4"/>
      <c r="AB3030" s="380" t="str">
        <f>VLOOKUP($B3030,'D7 - NDB Impacted SPRF''s'!$E$6:$O$9929,4,FALSE)</f>
        <v>Cancelled</v>
      </c>
      <c r="AC3030" s="380" t="str">
        <f>VLOOKUP($B3030,'D7 - NDB Impacted SPRF''s'!$E$6:$O$9929,3,FALSE)</f>
        <v>UnitedHealthcare Employer &amp; Individual</v>
      </c>
      <c r="AD3030" s="380" t="str">
        <f>VLOOKUP($B3030,'D7 - NDB Impacted SPRF''s'!$E$6:$O$9929,5,FALSE)</f>
        <v>Medical Cost Savings Programs</v>
      </c>
      <c r="AE3030" s="380" t="str">
        <f>VLOOKUP($B3030,'D7 - NDB Impacted SPRF''s'!$E$6:$O$9929,7,FALSE)</f>
        <v>Randy Falkenrath</v>
      </c>
      <c r="AF3030" s="380" t="str">
        <f>VLOOKUP($B3030,'D7 - NDB Impacted SPRF''s'!$E$6:$O$9929,6,FALSE)</f>
        <v>Thekkot Suresh</v>
      </c>
      <c r="AG3030" s="282"/>
      <c r="AH3030" s="311" t="e">
        <f>INDEX('D5 - Gatekeeper - Projects'!$A$4:$AF$1010,$AM3030, 17)</f>
        <v>#N/A</v>
      </c>
      <c r="AI3030" s="8"/>
      <c r="AJ3030" s="57"/>
      <c r="AK3030" s="105"/>
      <c r="AM3030" s="6" t="e">
        <f>MATCH(D3030,'D5 - Gatekeeper - Projects'!$C$4:$C$1010,0)</f>
        <v>#N/A</v>
      </c>
      <c r="AN3030" s="6" t="b">
        <f t="shared" si="314"/>
        <v>1</v>
      </c>
      <c r="AO3030" s="6" t="str">
        <f t="shared" si="315"/>
        <v>OK</v>
      </c>
      <c r="AQ3030" s="6" t="e">
        <f>MATCH($D3030,'D4 - Provider Council Unsched'!$C$11:$C$234,0)</f>
        <v>#N/A</v>
      </c>
      <c r="AR3030" s="6" t="b">
        <f t="shared" si="316"/>
        <v>1</v>
      </c>
      <c r="AS3030" s="6" t="str">
        <f t="shared" si="312"/>
        <v>OK</v>
      </c>
      <c r="AU3030" s="202"/>
      <c r="AV3030" s="6"/>
      <c r="AW3030" s="274"/>
    </row>
    <row r="3031" spans="1:49" s="13" customFormat="1" ht="33.75" x14ac:dyDescent="0.2">
      <c r="A3031" s="14">
        <v>3007</v>
      </c>
      <c r="B3031" s="8">
        <v>400039648</v>
      </c>
      <c r="C3031" s="8" t="s">
        <v>1447</v>
      </c>
      <c r="D3031" s="4" t="str">
        <f t="shared" si="313"/>
        <v>400039648A</v>
      </c>
      <c r="E3031" s="309" t="str">
        <f>VLOOKUP($B3031,'D7 - NDB Impacted SPRF''s'!$E$6:$O$9929,2,FALSE)</f>
        <v>FL - NDB County Code Enhancement</v>
      </c>
      <c r="F3031" s="8"/>
      <c r="G3031" s="8" t="s">
        <v>4758</v>
      </c>
      <c r="H3031" s="8" t="s">
        <v>2870</v>
      </c>
      <c r="I3031" s="20"/>
      <c r="J3031" s="8"/>
      <c r="K3031" s="182"/>
      <c r="L3031" s="8" t="s">
        <v>4156</v>
      </c>
      <c r="M3031" s="8" t="s">
        <v>2814</v>
      </c>
      <c r="N3031" s="38"/>
      <c r="O3031" s="8"/>
      <c r="P3031" s="4" t="str">
        <f>VLOOKUP($B3031,'D7 - NDB Impacted SPRF''s'!$E$16:$O$9929,9,FALSE)</f>
        <v>N</v>
      </c>
      <c r="Q3031" s="4" t="str">
        <f>VLOOKUP($B3031,'D7 - NDB Impacted SPRF''s'!$E$16:$O$9929,10,FALSE)</f>
        <v>N</v>
      </c>
      <c r="R3031" s="4" t="str">
        <f>VLOOKUP($B3031,'D7 - NDB Impacted SPRF''s'!$E$16:$O$9929,11,FALSE)</f>
        <v>N</v>
      </c>
      <c r="S3031" s="8"/>
      <c r="T3031" s="310"/>
      <c r="U3031" s="310"/>
      <c r="V3031" s="4"/>
      <c r="W3031" s="4"/>
      <c r="X3031" s="4"/>
      <c r="Y3031" s="4"/>
      <c r="Z3031" s="4"/>
      <c r="AA3031" s="4"/>
      <c r="AB3031" s="380" t="str">
        <f>VLOOKUP($B3031,'D7 - NDB Impacted SPRF''s'!$E$6:$O$9929,4,FALSE)</f>
        <v>Cancelled</v>
      </c>
      <c r="AC3031" s="380" t="str">
        <f>VLOOKUP($B3031,'D7 - NDB Impacted SPRF''s'!$E$6:$O$9929,3,FALSE)</f>
        <v>UnitedHealthcare Community &amp; State</v>
      </c>
      <c r="AD3031" s="380" t="str">
        <f>VLOOKUP($B3031,'D7 - NDB Impacted SPRF''s'!$E$6:$O$9929,5,FALSE)</f>
        <v>Evercare Medicaid</v>
      </c>
      <c r="AE3031" s="380" t="str">
        <f>VLOOKUP($B3031,'D7 - NDB Impacted SPRF''s'!$E$6:$O$9929,7,FALSE)</f>
        <v>Mike Radu</v>
      </c>
      <c r="AF3031" s="380" t="str">
        <f>VLOOKUP($B3031,'D7 - NDB Impacted SPRF''s'!$E$6:$O$9929,6,FALSE)</f>
        <v>Carol Brunetti</v>
      </c>
      <c r="AG3031" s="282"/>
      <c r="AH3031" s="311" t="e">
        <f>INDEX('D5 - Gatekeeper - Projects'!$A$4:$AF$1010,$AM3031, 17)</f>
        <v>#N/A</v>
      </c>
      <c r="AI3031" s="8"/>
      <c r="AJ3031" s="57"/>
      <c r="AK3031" s="105"/>
      <c r="AM3031" s="6" t="e">
        <f>MATCH(D3031,'D5 - Gatekeeper - Projects'!$C$4:$C$1010,0)</f>
        <v>#N/A</v>
      </c>
      <c r="AN3031" s="6" t="b">
        <f t="shared" si="314"/>
        <v>1</v>
      </c>
      <c r="AO3031" s="6" t="str">
        <f t="shared" si="315"/>
        <v>OK</v>
      </c>
      <c r="AQ3031" s="6" t="e">
        <f>MATCH($D3031,'D4 - Provider Council Unsched'!$C$11:$C$234,0)</f>
        <v>#N/A</v>
      </c>
      <c r="AR3031" s="6" t="b">
        <f t="shared" si="316"/>
        <v>1</v>
      </c>
      <c r="AS3031" s="6" t="str">
        <f t="shared" si="312"/>
        <v>OK</v>
      </c>
      <c r="AU3031" s="202"/>
      <c r="AV3031" s="6"/>
      <c r="AW3031" s="274"/>
    </row>
    <row r="3032" spans="1:49" s="13" customFormat="1" ht="33.75" x14ac:dyDescent="0.2">
      <c r="A3032" s="14">
        <v>3008</v>
      </c>
      <c r="B3032" s="8">
        <v>400039666</v>
      </c>
      <c r="C3032" s="8" t="s">
        <v>1447</v>
      </c>
      <c r="D3032" s="4" t="str">
        <f t="shared" si="313"/>
        <v>400039666A</v>
      </c>
      <c r="E3032" s="309" t="str">
        <f>VLOOKUP($B3032,'D7 - NDB Impacted SPRF''s'!$E$6:$O$9929,2,FALSE)</f>
        <v>FL - New Encounter NPI Implementation</v>
      </c>
      <c r="F3032" s="8"/>
      <c r="G3032" s="8" t="s">
        <v>4758</v>
      </c>
      <c r="H3032" s="8" t="s">
        <v>2870</v>
      </c>
      <c r="I3032" s="20"/>
      <c r="J3032" s="8"/>
      <c r="K3032" s="182"/>
      <c r="L3032" s="8" t="s">
        <v>4156</v>
      </c>
      <c r="M3032" s="8" t="s">
        <v>2814</v>
      </c>
      <c r="N3032" s="38" t="s">
        <v>1331</v>
      </c>
      <c r="O3032" s="8"/>
      <c r="P3032" s="4" t="str">
        <f>VLOOKUP($B3032,'D7 - NDB Impacted SPRF''s'!$E$16:$O$9929,9,FALSE)</f>
        <v>N</v>
      </c>
      <c r="Q3032" s="4" t="str">
        <f>VLOOKUP($B3032,'D7 - NDB Impacted SPRF''s'!$E$16:$O$9929,10,FALSE)</f>
        <v>N</v>
      </c>
      <c r="R3032" s="4" t="str">
        <f>VLOOKUP($B3032,'D7 - NDB Impacted SPRF''s'!$E$16:$O$9929,11,FALSE)</f>
        <v>N</v>
      </c>
      <c r="S3032" s="8"/>
      <c r="T3032" s="310"/>
      <c r="U3032" s="310"/>
      <c r="V3032" s="4"/>
      <c r="W3032" s="4"/>
      <c r="X3032" s="4"/>
      <c r="Y3032" s="4"/>
      <c r="Z3032" s="4"/>
      <c r="AA3032" s="4"/>
      <c r="AB3032" s="380" t="str">
        <f>VLOOKUP($B3032,'D7 - NDB Impacted SPRF''s'!$E$6:$O$9929,4,FALSE)</f>
        <v>Cancelled</v>
      </c>
      <c r="AC3032" s="380" t="str">
        <f>VLOOKUP($B3032,'D7 - NDB Impacted SPRF''s'!$E$6:$O$9929,3,FALSE)</f>
        <v>UnitedHealthcare Community &amp; State</v>
      </c>
      <c r="AD3032" s="380" t="str">
        <f>VLOOKUP($B3032,'D7 - NDB Impacted SPRF''s'!$E$6:$O$9929,5,FALSE)</f>
        <v>AmeriChoice</v>
      </c>
      <c r="AE3032" s="380" t="str">
        <f>VLOOKUP($B3032,'D7 - NDB Impacted SPRF''s'!$E$6:$O$9929,7,FALSE)</f>
        <v>Mike Radu</v>
      </c>
      <c r="AF3032" s="380" t="str">
        <f>VLOOKUP($B3032,'D7 - NDB Impacted SPRF''s'!$E$6:$O$9929,6,FALSE)</f>
        <v>Carol Brunetti</v>
      </c>
      <c r="AG3032" s="282"/>
      <c r="AH3032" s="311" t="e">
        <f>INDEX('D5 - Gatekeeper - Projects'!$A$4:$AF$1010,$AM3032, 17)</f>
        <v>#N/A</v>
      </c>
      <c r="AI3032" s="8"/>
      <c r="AJ3032" s="57"/>
      <c r="AK3032" s="105"/>
      <c r="AM3032" s="6" t="e">
        <f>MATCH(D3032,'D5 - Gatekeeper - Projects'!$C$4:$C$1010,0)</f>
        <v>#N/A</v>
      </c>
      <c r="AN3032" s="6" t="b">
        <f t="shared" si="314"/>
        <v>1</v>
      </c>
      <c r="AO3032" s="6" t="str">
        <f t="shared" si="315"/>
        <v>OK</v>
      </c>
      <c r="AQ3032" s="6" t="e">
        <f>MATCH($D3032,'D4 - Provider Council Unsched'!$C$11:$C$234,0)</f>
        <v>#N/A</v>
      </c>
      <c r="AR3032" s="6" t="b">
        <f t="shared" si="316"/>
        <v>1</v>
      </c>
      <c r="AS3032" s="6" t="str">
        <f t="shared" ref="AS3032:AS3095" si="317">IF(AND(H3032="2 - Not Scheduled",AR3032=TRUE,C3032="R1"),"Add","OK")</f>
        <v>OK</v>
      </c>
      <c r="AU3032" s="202"/>
      <c r="AV3032" s="6"/>
      <c r="AW3032" s="274"/>
    </row>
    <row r="3033" spans="1:49" s="13" customFormat="1" ht="33.75" x14ac:dyDescent="0.2">
      <c r="A3033" s="14">
        <v>3009</v>
      </c>
      <c r="B3033" s="8">
        <v>400039828</v>
      </c>
      <c r="C3033" s="8" t="s">
        <v>1447</v>
      </c>
      <c r="D3033" s="4" t="str">
        <f t="shared" si="313"/>
        <v>400039828A</v>
      </c>
      <c r="E3033" s="309" t="str">
        <f>VLOOKUP($B3033,'D7 - NDB Impacted SPRF''s'!$E$6:$O$9929,2,FALSE)</f>
        <v xml:space="preserve">Lab Ntwrk Model Portal Lab Search Indicator GeoAc </v>
      </c>
      <c r="F3033" s="8"/>
      <c r="G3033" s="8" t="s">
        <v>4758</v>
      </c>
      <c r="H3033" s="8" t="s">
        <v>2870</v>
      </c>
      <c r="I3033" s="20"/>
      <c r="J3033" s="8"/>
      <c r="K3033" s="182"/>
      <c r="L3033" s="8" t="s">
        <v>4156</v>
      </c>
      <c r="M3033" s="8" t="s">
        <v>2814</v>
      </c>
      <c r="N3033" s="38" t="s">
        <v>5377</v>
      </c>
      <c r="O3033" s="8"/>
      <c r="P3033" s="4" t="str">
        <f>VLOOKUP($B3033,'D7 - NDB Impacted SPRF''s'!$E$16:$O$9929,9,FALSE)</f>
        <v>N</v>
      </c>
      <c r="Q3033" s="4" t="str">
        <f>VLOOKUP($B3033,'D7 - NDB Impacted SPRF''s'!$E$16:$O$9929,10,FALSE)</f>
        <v>N</v>
      </c>
      <c r="R3033" s="4" t="str">
        <f>VLOOKUP($B3033,'D7 - NDB Impacted SPRF''s'!$E$16:$O$9929,11,FALSE)</f>
        <v>N</v>
      </c>
      <c r="S3033" s="8"/>
      <c r="T3033" s="310"/>
      <c r="U3033" s="310"/>
      <c r="V3033" s="4"/>
      <c r="W3033" s="4"/>
      <c r="X3033" s="4"/>
      <c r="Y3033" s="4"/>
      <c r="Z3033" s="4"/>
      <c r="AA3033" s="4"/>
      <c r="AB3033" s="380" t="str">
        <f>VLOOKUP($B3033,'D7 - NDB Impacted SPRF''s'!$E$6:$O$9929,4,FALSE)</f>
        <v>Cancelled</v>
      </c>
      <c r="AC3033" s="380" t="str">
        <f>VLOOKUP($B3033,'D7 - NDB Impacted SPRF''s'!$E$6:$O$9929,3,FALSE)</f>
        <v>UnitedHealthcare Employer &amp; Individual</v>
      </c>
      <c r="AD3033" s="380" t="str">
        <f>VLOOKUP($B3033,'D7 - NDB Impacted SPRF''s'!$E$6:$O$9929,5,FALSE)</f>
        <v>Medical Cost Savings Programs</v>
      </c>
      <c r="AE3033" s="380" t="str">
        <f>VLOOKUP($B3033,'D7 - NDB Impacted SPRF''s'!$E$6:$O$9929,7,FALSE)</f>
        <v>Linda Stewart / Mark Allen</v>
      </c>
      <c r="AF3033" s="380" t="str">
        <f>VLOOKUP($B3033,'D7 - NDB Impacted SPRF''s'!$E$6:$O$9929,6,FALSE)</f>
        <v>Melanie Lidster</v>
      </c>
      <c r="AG3033" s="282"/>
      <c r="AH3033" s="311" t="e">
        <f>INDEX('D5 - Gatekeeper - Projects'!$A$4:$AF$1010,$AM3033, 17)</f>
        <v>#N/A</v>
      </c>
      <c r="AI3033" s="8"/>
      <c r="AJ3033" s="57"/>
      <c r="AK3033" s="105"/>
      <c r="AM3033" s="6" t="e">
        <f>MATCH(D3033,'D5 - Gatekeeper - Projects'!$C$4:$C$1010,0)</f>
        <v>#N/A</v>
      </c>
      <c r="AN3033" s="6" t="b">
        <f t="shared" si="314"/>
        <v>1</v>
      </c>
      <c r="AO3033" s="6" t="str">
        <f t="shared" si="315"/>
        <v>OK</v>
      </c>
      <c r="AQ3033" s="6" t="e">
        <f>MATCH($D3033,'D4 - Provider Council Unsched'!$C$11:$C$234,0)</f>
        <v>#N/A</v>
      </c>
      <c r="AR3033" s="6" t="b">
        <f t="shared" si="316"/>
        <v>1</v>
      </c>
      <c r="AS3033" s="6" t="str">
        <f t="shared" si="317"/>
        <v>OK</v>
      </c>
      <c r="AU3033" s="202"/>
      <c r="AV3033" s="6"/>
      <c r="AW3033" s="274"/>
    </row>
    <row r="3034" spans="1:49" s="13" customFormat="1" ht="33.75" x14ac:dyDescent="0.2">
      <c r="A3034" s="14">
        <v>3010</v>
      </c>
      <c r="B3034" s="8">
        <v>400039846</v>
      </c>
      <c r="C3034" s="8" t="s">
        <v>1447</v>
      </c>
      <c r="D3034" s="4" t="str">
        <f t="shared" si="313"/>
        <v>400039846A</v>
      </c>
      <c r="E3034" s="309" t="str">
        <f>VLOOKUP($B3034,'D7 - NDB Impacted SPRF''s'!$E$6:$O$9929,2,FALSE)</f>
        <v xml:space="preserve">HPHC-UHG Shared Provider Contract Line Selection </v>
      </c>
      <c r="F3034" s="8"/>
      <c r="G3034" s="8" t="s">
        <v>4758</v>
      </c>
      <c r="H3034" s="8" t="s">
        <v>2870</v>
      </c>
      <c r="I3034" s="20"/>
      <c r="J3034" s="8"/>
      <c r="K3034" s="182"/>
      <c r="L3034" s="8" t="s">
        <v>4156</v>
      </c>
      <c r="M3034" s="8" t="s">
        <v>2814</v>
      </c>
      <c r="N3034" s="38" t="s">
        <v>2255</v>
      </c>
      <c r="O3034" s="8"/>
      <c r="P3034" s="4" t="str">
        <f>VLOOKUP($B3034,'D7 - NDB Impacted SPRF''s'!$E$16:$O$9929,9,FALSE)</f>
        <v>Y</v>
      </c>
      <c r="Q3034" s="4" t="str">
        <f>VLOOKUP($B3034,'D7 - NDB Impacted SPRF''s'!$E$16:$O$9929,10,FALSE)</f>
        <v>N</v>
      </c>
      <c r="R3034" s="4" t="str">
        <f>VLOOKUP($B3034,'D7 - NDB Impacted SPRF''s'!$E$16:$O$9929,11,FALSE)</f>
        <v>N</v>
      </c>
      <c r="S3034" s="8"/>
      <c r="T3034" s="310"/>
      <c r="U3034" s="310"/>
      <c r="V3034" s="4"/>
      <c r="W3034" s="4"/>
      <c r="X3034" s="4"/>
      <c r="Y3034" s="4"/>
      <c r="Z3034" s="4"/>
      <c r="AA3034" s="4"/>
      <c r="AB3034" s="380" t="str">
        <f>VLOOKUP($B3034,'D7 - NDB Impacted SPRF''s'!$E$6:$O$9929,4,FALSE)</f>
        <v>Cancelled</v>
      </c>
      <c r="AC3034" s="380" t="str">
        <f>VLOOKUP($B3034,'D7 - NDB Impacted SPRF''s'!$E$6:$O$9929,3,FALSE)</f>
        <v>UnitedHealthcare Employer &amp; Individual</v>
      </c>
      <c r="AD3034" s="380" t="str">
        <f>VLOOKUP($B3034,'D7 - NDB Impacted SPRF''s'!$E$6:$O$9929,5,FALSE)</f>
        <v>HCA - Operational Requirements</v>
      </c>
      <c r="AE3034" s="380" t="str">
        <f>VLOOKUP($B3034,'D7 - NDB Impacted SPRF''s'!$E$6:$O$9929,7,FALSE)</f>
        <v>Kelly Lee</v>
      </c>
      <c r="AF3034" s="380" t="str">
        <f>VLOOKUP($B3034,'D7 - NDB Impacted SPRF''s'!$E$6:$O$9929,6,FALSE)</f>
        <v>LUND ROSS</v>
      </c>
      <c r="AG3034" s="282"/>
      <c r="AH3034" s="311" t="e">
        <f>INDEX('D5 - Gatekeeper - Projects'!$A$4:$AF$1010,$AM3034, 17)</f>
        <v>#N/A</v>
      </c>
      <c r="AI3034" s="8"/>
      <c r="AJ3034" s="57"/>
      <c r="AK3034" s="105"/>
      <c r="AM3034" s="6" t="e">
        <f>MATCH(D3034,'D5 - Gatekeeper - Projects'!$C$4:$C$1010,0)</f>
        <v>#N/A</v>
      </c>
      <c r="AN3034" s="6" t="b">
        <f t="shared" si="314"/>
        <v>1</v>
      </c>
      <c r="AO3034" s="6" t="str">
        <f t="shared" si="315"/>
        <v>OK</v>
      </c>
      <c r="AQ3034" s="6" t="e">
        <f>MATCH($D3034,'D4 - Provider Council Unsched'!$C$11:$C$234,0)</f>
        <v>#N/A</v>
      </c>
      <c r="AR3034" s="6" t="b">
        <f t="shared" si="316"/>
        <v>1</v>
      </c>
      <c r="AS3034" s="6" t="str">
        <f t="shared" si="317"/>
        <v>OK</v>
      </c>
      <c r="AU3034" s="202"/>
      <c r="AV3034" s="6"/>
      <c r="AW3034" s="274"/>
    </row>
    <row r="3035" spans="1:49" s="13" customFormat="1" ht="22.5" x14ac:dyDescent="0.2">
      <c r="A3035" s="14">
        <v>3011</v>
      </c>
      <c r="B3035" s="8">
        <v>400039912</v>
      </c>
      <c r="C3035" s="8" t="s">
        <v>1447</v>
      </c>
      <c r="D3035" s="4" t="str">
        <f t="shared" ref="D3035:D3098" si="318">CONCATENATE(B3035,C3035)</f>
        <v>400039912A</v>
      </c>
      <c r="E3035" s="309" t="str">
        <f>VLOOKUP($B3035,'D7 - NDB Impacted SPRF''s'!$E$6:$O$9929,2,FALSE)</f>
        <v>TCE Member Eligibility &amp; Benefit Data Feed Error</v>
      </c>
      <c r="F3035" s="8"/>
      <c r="G3035" s="8" t="s">
        <v>4758</v>
      </c>
      <c r="H3035" s="8" t="s">
        <v>2870</v>
      </c>
      <c r="I3035" s="20"/>
      <c r="J3035" s="8"/>
      <c r="K3035" s="182"/>
      <c r="L3035" s="8" t="s">
        <v>4156</v>
      </c>
      <c r="M3035" s="8" t="s">
        <v>2814</v>
      </c>
      <c r="N3035" s="38" t="s">
        <v>202</v>
      </c>
      <c r="O3035" s="8"/>
      <c r="P3035" s="4" t="str">
        <f>VLOOKUP($B3035,'D7 - NDB Impacted SPRF''s'!$E$16:$O$9929,9,FALSE)</f>
        <v>Y</v>
      </c>
      <c r="Q3035" s="4" t="str">
        <f>VLOOKUP($B3035,'D7 - NDB Impacted SPRF''s'!$E$16:$O$9929,10,FALSE)</f>
        <v>N</v>
      </c>
      <c r="R3035" s="4" t="str">
        <f>VLOOKUP($B3035,'D7 - NDB Impacted SPRF''s'!$E$16:$O$9929,11,FALSE)</f>
        <v>N</v>
      </c>
      <c r="S3035" s="8"/>
      <c r="T3035" s="310"/>
      <c r="U3035" s="310"/>
      <c r="V3035" s="4"/>
      <c r="W3035" s="4"/>
      <c r="X3035" s="4"/>
      <c r="Y3035" s="4"/>
      <c r="Z3035" s="4"/>
      <c r="AA3035" s="4"/>
      <c r="AB3035" s="380" t="str">
        <f>VLOOKUP($B3035,'D7 - NDB Impacted SPRF''s'!$E$6:$O$9929,4,FALSE)</f>
        <v>In Funding</v>
      </c>
      <c r="AC3035" s="380" t="str">
        <f>VLOOKUP($B3035,'D7 - NDB Impacted SPRF''s'!$E$6:$O$9929,3,FALSE)</f>
        <v>OptumHealth</v>
      </c>
      <c r="AD3035" s="380" t="str">
        <f>VLOOKUP($B3035,'D7 - NDB Impacted SPRF''s'!$E$6:$O$9929,5,FALSE)</f>
        <v xml:space="preserve">CS - eSync Portal (TPM)05-41000-000  </v>
      </c>
      <c r="AE3035" s="380" t="str">
        <f>VLOOKUP($B3035,'D7 - NDB Impacted SPRF''s'!$E$6:$O$9929,7,FALSE)</f>
        <v>Karl Ulfers</v>
      </c>
      <c r="AF3035" s="380" t="str">
        <f>VLOOKUP($B3035,'D7 - NDB Impacted SPRF''s'!$E$6:$O$9929,6,FALSE)</f>
        <v>Meridyth Pettis</v>
      </c>
      <c r="AG3035" s="282"/>
      <c r="AH3035" s="311" t="e">
        <f>INDEX('D5 - Gatekeeper - Projects'!$A$4:$AF$1010,$AM3035, 17)</f>
        <v>#N/A</v>
      </c>
      <c r="AI3035" s="8"/>
      <c r="AJ3035" s="57"/>
      <c r="AK3035" s="105"/>
      <c r="AM3035" s="6" t="e">
        <f>MATCH(D3035,'D5 - Gatekeeper - Projects'!$C$4:$C$1010,0)</f>
        <v>#N/A</v>
      </c>
      <c r="AN3035" s="6" t="b">
        <f t="shared" si="314"/>
        <v>1</v>
      </c>
      <c r="AO3035" s="6" t="str">
        <f t="shared" si="315"/>
        <v>OK</v>
      </c>
      <c r="AQ3035" s="6" t="e">
        <f>MATCH($D3035,'D4 - Provider Council Unsched'!$C$11:$C$234,0)</f>
        <v>#N/A</v>
      </c>
      <c r="AR3035" s="6" t="b">
        <f t="shared" si="316"/>
        <v>1</v>
      </c>
      <c r="AS3035" s="6" t="str">
        <f t="shared" si="317"/>
        <v>OK</v>
      </c>
      <c r="AU3035" s="202"/>
      <c r="AV3035" s="6" t="e">
        <v>#N/A</v>
      </c>
      <c r="AW3035" s="274"/>
    </row>
    <row r="3036" spans="1:49" s="13" customFormat="1" ht="22.5" x14ac:dyDescent="0.2">
      <c r="A3036" s="14">
        <v>3012</v>
      </c>
      <c r="B3036" s="8">
        <v>400039928</v>
      </c>
      <c r="C3036" s="8" t="s">
        <v>1447</v>
      </c>
      <c r="D3036" s="4" t="str">
        <f t="shared" si="318"/>
        <v>400039928A</v>
      </c>
      <c r="E3036" s="309" t="str">
        <f>VLOOKUP($B3036,'D7 - NDB Impacted SPRF''s'!$E$6:$O$9929,2,FALSE)</f>
        <v>PCE TCE HEALTH PLAN FLEXIBILITY</v>
      </c>
      <c r="F3036" s="8"/>
      <c r="G3036" s="8" t="s">
        <v>4758</v>
      </c>
      <c r="H3036" s="8" t="s">
        <v>2870</v>
      </c>
      <c r="I3036" s="20"/>
      <c r="J3036" s="8"/>
      <c r="K3036" s="182"/>
      <c r="L3036" s="8" t="s">
        <v>4156</v>
      </c>
      <c r="M3036" s="8" t="s">
        <v>2814</v>
      </c>
      <c r="N3036" s="38" t="s">
        <v>203</v>
      </c>
      <c r="O3036" s="8"/>
      <c r="P3036" s="4" t="str">
        <f>VLOOKUP($B3036,'D7 - NDB Impacted SPRF''s'!$E$16:$O$9929,9,FALSE)</f>
        <v>N</v>
      </c>
      <c r="Q3036" s="4" t="str">
        <f>VLOOKUP($B3036,'D7 - NDB Impacted SPRF''s'!$E$16:$O$9929,10,FALSE)</f>
        <v>N</v>
      </c>
      <c r="R3036" s="4" t="str">
        <f>VLOOKUP($B3036,'D7 - NDB Impacted SPRF''s'!$E$16:$O$9929,11,FALSE)</f>
        <v>N</v>
      </c>
      <c r="S3036" s="8"/>
      <c r="T3036" s="310"/>
      <c r="U3036" s="310"/>
      <c r="V3036" s="4"/>
      <c r="W3036" s="4"/>
      <c r="X3036" s="4"/>
      <c r="Y3036" s="4"/>
      <c r="Z3036" s="4"/>
      <c r="AA3036" s="4"/>
      <c r="AB3036" s="380" t="str">
        <f>VLOOKUP($B3036,'D7 - NDB Impacted SPRF''s'!$E$6:$O$9929,4,FALSE)</f>
        <v>In Funding</v>
      </c>
      <c r="AC3036" s="380" t="str">
        <f>VLOOKUP($B3036,'D7 - NDB Impacted SPRF''s'!$E$6:$O$9929,3,FALSE)</f>
        <v>OptumHealth</v>
      </c>
      <c r="AD3036" s="380" t="str">
        <f>VLOOKUP($B3036,'D7 - NDB Impacted SPRF''s'!$E$6:$O$9929,5,FALSE)</f>
        <v xml:space="preserve">CS - eSync Portal (TPM)05-41000-000  </v>
      </c>
      <c r="AE3036" s="380" t="str">
        <f>VLOOKUP($B3036,'D7 - NDB Impacted SPRF''s'!$E$6:$O$9929,7,FALSE)</f>
        <v>Karl Ulfers</v>
      </c>
      <c r="AF3036" s="380" t="str">
        <f>VLOOKUP($B3036,'D7 - NDB Impacted SPRF''s'!$E$6:$O$9929,6,FALSE)</f>
        <v>Meridyth Pettis</v>
      </c>
      <c r="AG3036" s="282"/>
      <c r="AH3036" s="311" t="e">
        <f>INDEX('D5 - Gatekeeper - Projects'!$A$4:$AF$1010,$AM3036, 17)</f>
        <v>#N/A</v>
      </c>
      <c r="AI3036" s="8"/>
      <c r="AJ3036" s="57"/>
      <c r="AK3036" s="105"/>
      <c r="AM3036" s="6" t="e">
        <f>MATCH(D3036,'D5 - Gatekeeper - Projects'!$C$4:$C$1010,0)</f>
        <v>#N/A</v>
      </c>
      <c r="AN3036" s="6" t="b">
        <f t="shared" si="314"/>
        <v>1</v>
      </c>
      <c r="AO3036" s="6" t="str">
        <f t="shared" si="315"/>
        <v>OK</v>
      </c>
      <c r="AQ3036" s="6" t="e">
        <f>MATCH($D3036,'D4 - Provider Council Unsched'!$C$11:$C$234,0)</f>
        <v>#N/A</v>
      </c>
      <c r="AR3036" s="6" t="b">
        <f t="shared" si="316"/>
        <v>1</v>
      </c>
      <c r="AS3036" s="6" t="str">
        <f t="shared" si="317"/>
        <v>OK</v>
      </c>
      <c r="AU3036" s="202"/>
      <c r="AV3036" s="6" t="s">
        <v>472</v>
      </c>
      <c r="AW3036" s="274"/>
    </row>
    <row r="3037" spans="1:49" s="13" customFormat="1" ht="33.75" x14ac:dyDescent="0.2">
      <c r="A3037" s="14">
        <v>3013</v>
      </c>
      <c r="B3037" s="8">
        <v>400039951</v>
      </c>
      <c r="C3037" s="8" t="s">
        <v>1447</v>
      </c>
      <c r="D3037" s="4" t="str">
        <f t="shared" si="318"/>
        <v>400039951A</v>
      </c>
      <c r="E3037" s="309" t="str">
        <f>VLOOKUP($B3037,'D7 - NDB Impacted SPRF''s'!$E$6:$O$9929,2,FALSE)</f>
        <v xml:space="preserve">Deere Premier ISET Provider Network Selection </v>
      </c>
      <c r="F3037" s="8"/>
      <c r="G3037" s="8" t="s">
        <v>4758</v>
      </c>
      <c r="H3037" s="8" t="s">
        <v>2870</v>
      </c>
      <c r="I3037" s="20"/>
      <c r="J3037" s="8"/>
      <c r="K3037" s="182"/>
      <c r="L3037" s="8" t="s">
        <v>4156</v>
      </c>
      <c r="M3037" s="8" t="s">
        <v>2814</v>
      </c>
      <c r="N3037" s="38" t="s">
        <v>663</v>
      </c>
      <c r="O3037" s="8"/>
      <c r="P3037" s="4" t="str">
        <f>VLOOKUP($B3037,'D7 - NDB Impacted SPRF''s'!$E$16:$O$9929,9,FALSE)</f>
        <v>N</v>
      </c>
      <c r="Q3037" s="4" t="str">
        <f>VLOOKUP($B3037,'D7 - NDB Impacted SPRF''s'!$E$16:$O$9929,10,FALSE)</f>
        <v>N</v>
      </c>
      <c r="R3037" s="4" t="str">
        <f>VLOOKUP($B3037,'D7 - NDB Impacted SPRF''s'!$E$16:$O$9929,11,FALSE)</f>
        <v>N</v>
      </c>
      <c r="S3037" s="8"/>
      <c r="T3037" s="310"/>
      <c r="U3037" s="310"/>
      <c r="V3037" s="4"/>
      <c r="W3037" s="4"/>
      <c r="X3037" s="4"/>
      <c r="Y3037" s="4"/>
      <c r="Z3037" s="4"/>
      <c r="AA3037" s="4"/>
      <c r="AB3037" s="380" t="str">
        <f>VLOOKUP($B3037,'D7 - NDB Impacted SPRF''s'!$E$6:$O$9929,4,FALSE)</f>
        <v>Cancelled</v>
      </c>
      <c r="AC3037" s="380" t="str">
        <f>VLOOKUP($B3037,'D7 - NDB Impacted SPRF''s'!$E$6:$O$9929,3,FALSE)</f>
        <v>UnitedHealthcare Employer &amp; Individual</v>
      </c>
      <c r="AD3037" s="380" t="str">
        <f>VLOOKUP($B3037,'D7 - NDB Impacted SPRF''s'!$E$6:$O$9929,5,FALSE)</f>
        <v>Membership Growth / Revenue Programs</v>
      </c>
      <c r="AE3037" s="380" t="str">
        <f>VLOOKUP($B3037,'D7 - NDB Impacted SPRF''s'!$E$6:$O$9929,7,FALSE)</f>
        <v>Dirk McMahon</v>
      </c>
      <c r="AF3037" s="380" t="str">
        <f>VLOOKUP($B3037,'D7 - NDB Impacted SPRF''s'!$E$6:$O$9929,6,FALSE)</f>
        <v>Patricia Mullins</v>
      </c>
      <c r="AG3037" s="282"/>
      <c r="AH3037" s="311" t="e">
        <f>INDEX('D5 - Gatekeeper - Projects'!$A$4:$AF$1010,$AM3037, 17)</f>
        <v>#N/A</v>
      </c>
      <c r="AI3037" s="8"/>
      <c r="AJ3037" s="57"/>
      <c r="AK3037" s="105"/>
      <c r="AM3037" s="6" t="e">
        <f>MATCH(D3037,'D5 - Gatekeeper - Projects'!$C$4:$C$1010,0)</f>
        <v>#N/A</v>
      </c>
      <c r="AN3037" s="6" t="b">
        <f t="shared" si="314"/>
        <v>1</v>
      </c>
      <c r="AO3037" s="6" t="str">
        <f t="shared" si="315"/>
        <v>OK</v>
      </c>
      <c r="AQ3037" s="6" t="e">
        <f>MATCH($D3037,'D4 - Provider Council Unsched'!$C$11:$C$234,0)</f>
        <v>#N/A</v>
      </c>
      <c r="AR3037" s="6" t="b">
        <f t="shared" si="316"/>
        <v>1</v>
      </c>
      <c r="AS3037" s="6" t="str">
        <f t="shared" si="317"/>
        <v>OK</v>
      </c>
      <c r="AU3037" s="202"/>
      <c r="AV3037" s="6"/>
      <c r="AW3037" s="274"/>
    </row>
    <row r="3038" spans="1:49" s="13" customFormat="1" ht="33.75" x14ac:dyDescent="0.2">
      <c r="A3038" s="14">
        <v>3014</v>
      </c>
      <c r="B3038" s="8">
        <v>400039974</v>
      </c>
      <c r="C3038" s="8" t="s">
        <v>1447</v>
      </c>
      <c r="D3038" s="4" t="str">
        <f t="shared" si="318"/>
        <v>400039974A</v>
      </c>
      <c r="E3038" s="309" t="str">
        <f>VLOOKUP($B3038,'D7 - NDB Impacted SPRF''s'!$E$6:$O$9929,2,FALSE)</f>
        <v>APIPA Medicaid ID Cleanup Sweep</v>
      </c>
      <c r="F3038" s="8"/>
      <c r="G3038" s="8" t="s">
        <v>4758</v>
      </c>
      <c r="H3038" s="8" t="s">
        <v>2870</v>
      </c>
      <c r="I3038" s="20"/>
      <c r="J3038" s="8"/>
      <c r="K3038" s="182"/>
      <c r="L3038" s="8" t="s">
        <v>4156</v>
      </c>
      <c r="M3038" s="8" t="s">
        <v>2814</v>
      </c>
      <c r="N3038" s="38"/>
      <c r="O3038" s="8"/>
      <c r="P3038" s="4" t="str">
        <f>VLOOKUP($B3038,'D7 - NDB Impacted SPRF''s'!$E$16:$O$9929,9,FALSE)</f>
        <v>N</v>
      </c>
      <c r="Q3038" s="4" t="str">
        <f>VLOOKUP($B3038,'D7 - NDB Impacted SPRF''s'!$E$16:$O$9929,10,FALSE)</f>
        <v>N</v>
      </c>
      <c r="R3038" s="4" t="str">
        <f>VLOOKUP($B3038,'D7 - NDB Impacted SPRF''s'!$E$16:$O$9929,11,FALSE)</f>
        <v>N</v>
      </c>
      <c r="S3038" s="8"/>
      <c r="T3038" s="310"/>
      <c r="U3038" s="310"/>
      <c r="V3038" s="4"/>
      <c r="W3038" s="4"/>
      <c r="X3038" s="4"/>
      <c r="Y3038" s="4"/>
      <c r="Z3038" s="4"/>
      <c r="AA3038" s="4"/>
      <c r="AB3038" s="380" t="str">
        <f>VLOOKUP($B3038,'D7 - NDB Impacted SPRF''s'!$E$6:$O$9929,4,FALSE)</f>
        <v>Cancelled</v>
      </c>
      <c r="AC3038" s="380" t="str">
        <f>VLOOKUP($B3038,'D7 - NDB Impacted SPRF''s'!$E$6:$O$9929,3,FALSE)</f>
        <v>UnitedHealthcare Community &amp; State</v>
      </c>
      <c r="AD3038" s="380" t="str">
        <f>VLOOKUP($B3038,'D7 - NDB Impacted SPRF''s'!$E$6:$O$9929,5,FALSE)</f>
        <v>AmeriChoice</v>
      </c>
      <c r="AE3038" s="380" t="str">
        <f>VLOOKUP($B3038,'D7 - NDB Impacted SPRF''s'!$E$6:$O$9929,7,FALSE)</f>
        <v>Paul Balthazor</v>
      </c>
      <c r="AF3038" s="380" t="str">
        <f>VLOOKUP($B3038,'D7 - NDB Impacted SPRF''s'!$E$6:$O$9929,6,FALSE)</f>
        <v>Carol Brunetti</v>
      </c>
      <c r="AG3038" s="282"/>
      <c r="AH3038" s="311" t="e">
        <f>INDEX('D5 - Gatekeeper - Projects'!$A$4:$AF$1010,$AM3038, 17)</f>
        <v>#N/A</v>
      </c>
      <c r="AI3038" s="8"/>
      <c r="AJ3038" s="57"/>
      <c r="AK3038" s="105"/>
      <c r="AM3038" s="6" t="e">
        <f>MATCH(D3038,'D5 - Gatekeeper - Projects'!$C$4:$C$1010,0)</f>
        <v>#N/A</v>
      </c>
      <c r="AN3038" s="6" t="b">
        <f t="shared" si="314"/>
        <v>1</v>
      </c>
      <c r="AO3038" s="6" t="str">
        <f t="shared" si="315"/>
        <v>OK</v>
      </c>
      <c r="AQ3038" s="6" t="e">
        <f>MATCH($D3038,'D4 - Provider Council Unsched'!$C$11:$C$234,0)</f>
        <v>#N/A</v>
      </c>
      <c r="AR3038" s="6" t="b">
        <f t="shared" si="316"/>
        <v>1</v>
      </c>
      <c r="AS3038" s="6" t="str">
        <f t="shared" si="317"/>
        <v>OK</v>
      </c>
      <c r="AU3038" s="202"/>
      <c r="AV3038" s="6"/>
      <c r="AW3038" s="274"/>
    </row>
    <row r="3039" spans="1:49" s="13" customFormat="1" x14ac:dyDescent="0.2">
      <c r="A3039" s="14">
        <v>3015</v>
      </c>
      <c r="B3039" s="8">
        <v>400040082</v>
      </c>
      <c r="C3039" s="8" t="s">
        <v>1447</v>
      </c>
      <c r="D3039" s="4" t="str">
        <f t="shared" si="318"/>
        <v>400040082A</v>
      </c>
      <c r="E3039" s="309" t="str">
        <f>VLOOKUP($B3039,'D7 - NDB Impacted SPRF''s'!$E$6:$O$9929,2,FALSE)</f>
        <v>Collaborative Care Platform 2/2011 - provider data</v>
      </c>
      <c r="F3039" s="8"/>
      <c r="G3039" s="8" t="s">
        <v>4758</v>
      </c>
      <c r="H3039" s="8" t="s">
        <v>2870</v>
      </c>
      <c r="I3039" s="20"/>
      <c r="J3039" s="8"/>
      <c r="K3039" s="182"/>
      <c r="L3039" s="8" t="s">
        <v>4156</v>
      </c>
      <c r="M3039" s="8" t="s">
        <v>2814</v>
      </c>
      <c r="N3039" s="38" t="s">
        <v>664</v>
      </c>
      <c r="O3039" s="8"/>
      <c r="P3039" s="4" t="str">
        <f>VLOOKUP($B3039,'D7 - NDB Impacted SPRF''s'!$E$16:$O$9929,9,FALSE)</f>
        <v>N</v>
      </c>
      <c r="Q3039" s="4" t="str">
        <f>VLOOKUP($B3039,'D7 - NDB Impacted SPRF''s'!$E$16:$O$9929,10,FALSE)</f>
        <v>N</v>
      </c>
      <c r="R3039" s="4" t="str">
        <f>VLOOKUP($B3039,'D7 - NDB Impacted SPRF''s'!$E$16:$O$9929,11,FALSE)</f>
        <v>N</v>
      </c>
      <c r="S3039" s="8"/>
      <c r="T3039" s="310"/>
      <c r="U3039" s="310"/>
      <c r="V3039" s="4"/>
      <c r="W3039" s="4"/>
      <c r="X3039" s="4"/>
      <c r="Y3039" s="4"/>
      <c r="Z3039" s="4"/>
      <c r="AA3039" s="4"/>
      <c r="AB3039" s="380" t="str">
        <f>VLOOKUP($B3039,'D7 - NDB Impacted SPRF''s'!$E$6:$O$9929,4,FALSE)</f>
        <v>Cancelled</v>
      </c>
      <c r="AC3039" s="380" t="str">
        <f>VLOOKUP($B3039,'D7 - NDB Impacted SPRF''s'!$E$6:$O$9929,3,FALSE)</f>
        <v>OptumHealth</v>
      </c>
      <c r="AD3039" s="380" t="str">
        <f>VLOOKUP($B3039,'D7 - NDB Impacted SPRF''s'!$E$6:$O$9929,5,FALSE)</f>
        <v>Collaborative Care</v>
      </c>
      <c r="AE3039" s="380" t="str">
        <f>VLOOKUP($B3039,'D7 - NDB Impacted SPRF''s'!$E$6:$O$9929,7,FALSE)</f>
        <v>Mark Caron</v>
      </c>
      <c r="AF3039" s="380" t="str">
        <f>VLOOKUP($B3039,'D7 - NDB Impacted SPRF''s'!$E$6:$O$9929,6,FALSE)</f>
        <v>Mark Hinnenthal</v>
      </c>
      <c r="AG3039" s="282"/>
      <c r="AH3039" s="311" t="e">
        <f>INDEX('D5 - Gatekeeper - Projects'!$A$4:$AF$1010,$AM3039, 17)</f>
        <v>#N/A</v>
      </c>
      <c r="AI3039" s="8"/>
      <c r="AJ3039" s="57"/>
      <c r="AK3039" s="105"/>
      <c r="AM3039" s="6" t="e">
        <f>MATCH(D3039,'D5 - Gatekeeper - Projects'!$C$4:$C$1010,0)</f>
        <v>#N/A</v>
      </c>
      <c r="AN3039" s="6" t="b">
        <f t="shared" si="314"/>
        <v>1</v>
      </c>
      <c r="AO3039" s="6" t="str">
        <f t="shared" si="315"/>
        <v>OK</v>
      </c>
      <c r="AQ3039" s="6" t="e">
        <f>MATCH($D3039,'D4 - Provider Council Unsched'!$C$11:$C$234,0)</f>
        <v>#N/A</v>
      </c>
      <c r="AR3039" s="6" t="b">
        <f t="shared" si="316"/>
        <v>1</v>
      </c>
      <c r="AS3039" s="6" t="str">
        <f t="shared" si="317"/>
        <v>OK</v>
      </c>
      <c r="AU3039" s="202"/>
      <c r="AV3039" s="6"/>
      <c r="AW3039" s="274"/>
    </row>
    <row r="3040" spans="1:49" s="13" customFormat="1" ht="45" x14ac:dyDescent="0.2">
      <c r="A3040" s="14">
        <v>3016</v>
      </c>
      <c r="B3040" s="8">
        <v>400040275</v>
      </c>
      <c r="C3040" s="8" t="s">
        <v>1447</v>
      </c>
      <c r="D3040" s="4" t="str">
        <f t="shared" si="318"/>
        <v>400040275A</v>
      </c>
      <c r="E3040" s="309" t="str">
        <f>VLOOKUP($B3040,'D7 - NDB Impacted SPRF''s'!$E$6:$O$9929,2,FALSE)</f>
        <v>Telehealth - NDB Adding Clinic Types</v>
      </c>
      <c r="F3040" s="8"/>
      <c r="G3040" s="8" t="s">
        <v>4758</v>
      </c>
      <c r="H3040" s="8" t="s">
        <v>2870</v>
      </c>
      <c r="I3040" s="20"/>
      <c r="J3040" s="8"/>
      <c r="K3040" s="182"/>
      <c r="L3040" s="8" t="s">
        <v>4156</v>
      </c>
      <c r="M3040" s="8" t="s">
        <v>2814</v>
      </c>
      <c r="N3040" s="38" t="s">
        <v>2218</v>
      </c>
      <c r="O3040" s="8"/>
      <c r="P3040" s="4" t="str">
        <f>VLOOKUP($B3040,'D7 - NDB Impacted SPRF''s'!$E$16:$O$9929,9,FALSE)</f>
        <v>N</v>
      </c>
      <c r="Q3040" s="4" t="str">
        <f>VLOOKUP($B3040,'D7 - NDB Impacted SPRF''s'!$E$16:$O$9929,10,FALSE)</f>
        <v>N</v>
      </c>
      <c r="R3040" s="4" t="str">
        <f>VLOOKUP($B3040,'D7 - NDB Impacted SPRF''s'!$E$16:$O$9929,11,FALSE)</f>
        <v>N</v>
      </c>
      <c r="S3040" s="8"/>
      <c r="T3040" s="310"/>
      <c r="U3040" s="310"/>
      <c r="V3040" s="4"/>
      <c r="W3040" s="4"/>
      <c r="X3040" s="4"/>
      <c r="Y3040" s="4"/>
      <c r="Z3040" s="4"/>
      <c r="AA3040" s="4"/>
      <c r="AB3040" s="380" t="str">
        <f>VLOOKUP($B3040,'D7 - NDB Impacted SPRF''s'!$E$6:$O$9929,4,FALSE)</f>
        <v>Cancelled</v>
      </c>
      <c r="AC3040" s="380" t="str">
        <f>VLOOKUP($B3040,'D7 - NDB Impacted SPRF''s'!$E$6:$O$9929,3,FALSE)</f>
        <v>UHG IT - Enterprise Technology Services</v>
      </c>
      <c r="AD3040" s="380" t="str">
        <f>VLOOKUP($B3040,'D7 - NDB Impacted SPRF''s'!$E$6:$O$9929,5,FALSE)</f>
        <v>Strategic Initiatives</v>
      </c>
      <c r="AE3040" s="380" t="str">
        <f>VLOOKUP($B3040,'D7 - NDB Impacted SPRF''s'!$E$6:$O$9929,7,FALSE)</f>
        <v>Mark Duhaime</v>
      </c>
      <c r="AF3040" s="380" t="str">
        <f>VLOOKUP($B3040,'D7 - NDB Impacted SPRF''s'!$E$6:$O$9929,6,FALSE)</f>
        <v>John Hodgson</v>
      </c>
      <c r="AG3040" s="282"/>
      <c r="AH3040" s="311" t="e">
        <f>INDEX('D5 - Gatekeeper - Projects'!$A$4:$AF$1010,$AM3040, 17)</f>
        <v>#N/A</v>
      </c>
      <c r="AI3040" s="8"/>
      <c r="AJ3040" s="57"/>
      <c r="AK3040" s="105"/>
      <c r="AM3040" s="6" t="e">
        <f>MATCH(D3040,'D5 - Gatekeeper - Projects'!$C$4:$C$1010,0)</f>
        <v>#N/A</v>
      </c>
      <c r="AN3040" s="6" t="b">
        <f t="shared" si="314"/>
        <v>1</v>
      </c>
      <c r="AO3040" s="6" t="str">
        <f t="shared" si="315"/>
        <v>OK</v>
      </c>
      <c r="AQ3040" s="6" t="e">
        <f>MATCH($D3040,'D4 - Provider Council Unsched'!$C$11:$C$234,0)</f>
        <v>#N/A</v>
      </c>
      <c r="AR3040" s="6" t="b">
        <f t="shared" si="316"/>
        <v>1</v>
      </c>
      <c r="AS3040" s="6" t="str">
        <f t="shared" si="317"/>
        <v>OK</v>
      </c>
      <c r="AU3040" s="202"/>
      <c r="AV3040" s="216"/>
      <c r="AW3040" s="274"/>
    </row>
    <row r="3041" spans="1:49" s="13" customFormat="1" ht="33.75" x14ac:dyDescent="0.2">
      <c r="A3041" s="14">
        <v>3017</v>
      </c>
      <c r="B3041" s="8">
        <v>400040283</v>
      </c>
      <c r="C3041" s="8" t="s">
        <v>1447</v>
      </c>
      <c r="D3041" s="4" t="str">
        <f t="shared" si="318"/>
        <v>400040283A</v>
      </c>
      <c r="E3041" s="309" t="str">
        <f>VLOOKUP($B3041,'D7 - NDB Impacted SPRF''s'!$E$6:$O$9929,2,FALSE)</f>
        <v xml:space="preserve">NDB System Input and User Update Review </v>
      </c>
      <c r="F3041" s="8"/>
      <c r="G3041" s="8" t="s">
        <v>4758</v>
      </c>
      <c r="H3041" s="8" t="s">
        <v>2870</v>
      </c>
      <c r="I3041" s="20"/>
      <c r="J3041" s="8"/>
      <c r="K3041" s="182"/>
      <c r="L3041" s="8" t="s">
        <v>4156</v>
      </c>
      <c r="M3041" s="8" t="s">
        <v>2814</v>
      </c>
      <c r="N3041" s="38"/>
      <c r="O3041" s="8"/>
      <c r="P3041" s="4" t="str">
        <f>VLOOKUP($B3041,'D7 - NDB Impacted SPRF''s'!$E$16:$O$9929,9,FALSE)</f>
        <v>N</v>
      </c>
      <c r="Q3041" s="4" t="str">
        <f>VLOOKUP($B3041,'D7 - NDB Impacted SPRF''s'!$E$16:$O$9929,10,FALSE)</f>
        <v>N</v>
      </c>
      <c r="R3041" s="4" t="str">
        <f>VLOOKUP($B3041,'D7 - NDB Impacted SPRF''s'!$E$16:$O$9929,11,FALSE)</f>
        <v>N</v>
      </c>
      <c r="S3041" s="8"/>
      <c r="T3041" s="310"/>
      <c r="U3041" s="310"/>
      <c r="V3041" s="4"/>
      <c r="W3041" s="4"/>
      <c r="X3041" s="4"/>
      <c r="Y3041" s="4"/>
      <c r="Z3041" s="4"/>
      <c r="AA3041" s="4"/>
      <c r="AB3041" s="380" t="str">
        <f>VLOOKUP($B3041,'D7 - NDB Impacted SPRF''s'!$E$6:$O$9929,4,FALSE)</f>
        <v>Cancelled</v>
      </c>
      <c r="AC3041" s="380" t="str">
        <f>VLOOKUP($B3041,'D7 - NDB Impacted SPRF''s'!$E$6:$O$9929,3,FALSE)</f>
        <v>UnitedHealthcare Employer &amp; Individual</v>
      </c>
      <c r="AD3041" s="380" t="str">
        <f>VLOOKUP($B3041,'D7 - NDB Impacted SPRF''s'!$E$6:$O$9929,5,FALSE)</f>
        <v>Operational Requirements</v>
      </c>
      <c r="AE3041" s="380" t="str">
        <f>VLOOKUP($B3041,'D7 - NDB Impacted SPRF''s'!$E$6:$O$9929,7,FALSE)</f>
        <v>Judy Perlman</v>
      </c>
      <c r="AF3041" s="380" t="str">
        <f>VLOOKUP($B3041,'D7 - NDB Impacted SPRF''s'!$E$6:$O$9929,6,FALSE)</f>
        <v>James Maher</v>
      </c>
      <c r="AG3041" s="282"/>
      <c r="AH3041" s="311" t="e">
        <f>INDEX('D5 - Gatekeeper - Projects'!$A$4:$AF$1010,$AM3041, 17)</f>
        <v>#N/A</v>
      </c>
      <c r="AI3041" s="8"/>
      <c r="AJ3041" s="57"/>
      <c r="AK3041" s="105"/>
      <c r="AM3041" s="6" t="e">
        <f>MATCH(D3041,'D5 - Gatekeeper - Projects'!$C$4:$C$1010,0)</f>
        <v>#N/A</v>
      </c>
      <c r="AN3041" s="6" t="b">
        <f t="shared" si="314"/>
        <v>1</v>
      </c>
      <c r="AO3041" s="6" t="str">
        <f t="shared" si="315"/>
        <v>OK</v>
      </c>
      <c r="AQ3041" s="6" t="e">
        <f>MATCH($D3041,'D4 - Provider Council Unsched'!$C$11:$C$234,0)</f>
        <v>#N/A</v>
      </c>
      <c r="AR3041" s="6" t="b">
        <f t="shared" si="316"/>
        <v>1</v>
      </c>
      <c r="AS3041" s="6" t="str">
        <f t="shared" si="317"/>
        <v>OK</v>
      </c>
      <c r="AU3041" s="202"/>
      <c r="AV3041" s="304"/>
      <c r="AW3041" s="274"/>
    </row>
    <row r="3042" spans="1:49" s="13" customFormat="1" ht="33.75" x14ac:dyDescent="0.2">
      <c r="A3042" s="14">
        <v>3018</v>
      </c>
      <c r="B3042" s="8">
        <v>400040395</v>
      </c>
      <c r="C3042" s="8" t="s">
        <v>1447</v>
      </c>
      <c r="D3042" s="4" t="str">
        <f t="shared" si="318"/>
        <v>400040395A</v>
      </c>
      <c r="E3042" s="309" t="str">
        <f>VLOOKUP($B3042,'D7 - NDB Impacted SPRF''s'!$E$6:$O$9929,2,FALSE)</f>
        <v>HCR-RSA-1099 Changes in Support of HC Reform</v>
      </c>
      <c r="F3042" s="8"/>
      <c r="G3042" s="8" t="s">
        <v>4758</v>
      </c>
      <c r="H3042" s="8" t="s">
        <v>2870</v>
      </c>
      <c r="I3042" s="20"/>
      <c r="J3042" s="8"/>
      <c r="K3042" s="182"/>
      <c r="L3042" s="8" t="s">
        <v>4156</v>
      </c>
      <c r="M3042" s="8" t="s">
        <v>2814</v>
      </c>
      <c r="N3042" s="38" t="s">
        <v>3522</v>
      </c>
      <c r="O3042" s="8"/>
      <c r="P3042" s="4" t="str">
        <f>VLOOKUP($B3042,'D7 - NDB Impacted SPRF''s'!$E$16:$O$9929,9,FALSE)</f>
        <v>Y</v>
      </c>
      <c r="Q3042" s="4" t="str">
        <f>VLOOKUP($B3042,'D7 - NDB Impacted SPRF''s'!$E$16:$O$9929,10,FALSE)</f>
        <v>N</v>
      </c>
      <c r="R3042" s="4" t="str">
        <f>VLOOKUP($B3042,'D7 - NDB Impacted SPRF''s'!$E$16:$O$9929,11,FALSE)</f>
        <v>N</v>
      </c>
      <c r="S3042" s="8"/>
      <c r="T3042" s="310"/>
      <c r="U3042" s="310"/>
      <c r="V3042" s="4"/>
      <c r="W3042" s="4"/>
      <c r="X3042" s="4"/>
      <c r="Y3042" s="4"/>
      <c r="Z3042" s="4"/>
      <c r="AA3042" s="4"/>
      <c r="AB3042" s="380" t="str">
        <f>VLOOKUP($B3042,'D7 - NDB Impacted SPRF''s'!$E$6:$O$9929,4,FALSE)</f>
        <v>Cancelled</v>
      </c>
      <c r="AC3042" s="380" t="s">
        <v>5324</v>
      </c>
      <c r="AD3042" s="380" t="str">
        <f>VLOOKUP($B3042,'D7 - NDB Impacted SPRF''s'!$E$6:$O$9929,5,FALSE)</f>
        <v>Regulatory / Other</v>
      </c>
      <c r="AE3042" s="380" t="str">
        <f>VLOOKUP($B3042,'D7 - NDB Impacted SPRF''s'!$E$6:$O$9929,7,FALSE)</f>
        <v>John Kelly, Corporate Tax</v>
      </c>
      <c r="AF3042" s="380" t="str">
        <f>VLOOKUP($B3042,'D7 - NDB Impacted SPRF''s'!$E$6:$O$9929,6,FALSE)</f>
        <v>JENNIFER RICE</v>
      </c>
      <c r="AG3042" s="282"/>
      <c r="AH3042" s="311" t="e">
        <f>INDEX('D5 - Gatekeeper - Projects'!$A$4:$AF$1010,$AM3042, 17)</f>
        <v>#N/A</v>
      </c>
      <c r="AI3042" s="8"/>
      <c r="AJ3042" s="57"/>
      <c r="AK3042" s="105"/>
      <c r="AM3042" s="6" t="e">
        <f>MATCH(D3042,'D5 - Gatekeeper - Projects'!$C$4:$C$1010,0)</f>
        <v>#N/A</v>
      </c>
      <c r="AN3042" s="6" t="b">
        <f t="shared" si="314"/>
        <v>1</v>
      </c>
      <c r="AO3042" s="6" t="str">
        <f t="shared" si="315"/>
        <v>OK</v>
      </c>
      <c r="AQ3042" s="6" t="e">
        <f>MATCH($D3042,'D4 - Provider Council Unsched'!$C$11:$C$234,0)</f>
        <v>#N/A</v>
      </c>
      <c r="AR3042" s="6" t="b">
        <f t="shared" si="316"/>
        <v>1</v>
      </c>
      <c r="AS3042" s="6" t="str">
        <f t="shared" si="317"/>
        <v>OK</v>
      </c>
      <c r="AU3042" s="202"/>
      <c r="AV3042" s="262"/>
      <c r="AW3042" s="274"/>
    </row>
    <row r="3043" spans="1:49" s="13" customFormat="1" ht="33.75" x14ac:dyDescent="0.2">
      <c r="A3043" s="14">
        <v>3019</v>
      </c>
      <c r="B3043" s="8">
        <v>400040444</v>
      </c>
      <c r="C3043" s="8" t="s">
        <v>1447</v>
      </c>
      <c r="D3043" s="4" t="str">
        <f t="shared" si="318"/>
        <v>400040444A</v>
      </c>
      <c r="E3043" s="309" t="str">
        <f>VLOOKUP($B3043,'D7 - NDB Impacted SPRF''s'!$E$6:$O$9929,2,FALSE)</f>
        <v>NDB Edit - Tax Levy Address</v>
      </c>
      <c r="F3043" s="8"/>
      <c r="G3043" s="8" t="s">
        <v>4758</v>
      </c>
      <c r="H3043" s="8" t="s">
        <v>2870</v>
      </c>
      <c r="I3043" s="20"/>
      <c r="J3043" s="8"/>
      <c r="K3043" s="182"/>
      <c r="L3043" s="8" t="s">
        <v>4156</v>
      </c>
      <c r="M3043" s="8" t="s">
        <v>2814</v>
      </c>
      <c r="N3043" s="38"/>
      <c r="O3043" s="8"/>
      <c r="P3043" s="4" t="str">
        <f>VLOOKUP($B3043,'D7 - NDB Impacted SPRF''s'!$E$16:$O$9929,9,FALSE)</f>
        <v>N</v>
      </c>
      <c r="Q3043" s="4" t="str">
        <f>VLOOKUP($B3043,'D7 - NDB Impacted SPRF''s'!$E$16:$O$9929,10,FALSE)</f>
        <v>N</v>
      </c>
      <c r="R3043" s="4" t="str">
        <f>VLOOKUP($B3043,'D7 - NDB Impacted SPRF''s'!$E$16:$O$9929,11,FALSE)</f>
        <v>N</v>
      </c>
      <c r="S3043" s="8"/>
      <c r="T3043" s="310"/>
      <c r="U3043" s="310"/>
      <c r="V3043" s="4"/>
      <c r="W3043" s="4"/>
      <c r="X3043" s="4"/>
      <c r="Y3043" s="4"/>
      <c r="Z3043" s="4"/>
      <c r="AA3043" s="4"/>
      <c r="AB3043" s="380" t="str">
        <f>VLOOKUP($B3043,'D7 - NDB Impacted SPRF''s'!$E$6:$O$9929,4,FALSE)</f>
        <v>Cancelled</v>
      </c>
      <c r="AC3043" s="380" t="str">
        <f>VLOOKUP($B3043,'D7 - NDB Impacted SPRF''s'!$E$6:$O$9929,3,FALSE)</f>
        <v>UnitedHealthcare Employer &amp; Individual</v>
      </c>
      <c r="AD3043" s="380" t="str">
        <f>VLOOKUP($B3043,'D7 - NDB Impacted SPRF''s'!$E$6:$O$9929,5,FALSE)</f>
        <v>Regulatory / Other</v>
      </c>
      <c r="AE3043" s="380" t="str">
        <f>VLOOKUP($B3043,'D7 - NDB Impacted SPRF''s'!$E$6:$O$9929,7,FALSE)</f>
        <v>Domenick Furfari</v>
      </c>
      <c r="AF3043" s="380" t="str">
        <f>VLOOKUP($B3043,'D7 - NDB Impacted SPRF''s'!$E$6:$O$9929,6,FALSE)</f>
        <v>Michael Brisko</v>
      </c>
      <c r="AG3043" s="282"/>
      <c r="AH3043" s="311" t="e">
        <f>INDEX('D5 - Gatekeeper - Projects'!$A$4:$AF$1010,$AM3043, 17)</f>
        <v>#N/A</v>
      </c>
      <c r="AI3043" s="8"/>
      <c r="AJ3043" s="57"/>
      <c r="AK3043" s="105"/>
      <c r="AM3043" s="6" t="e">
        <f>MATCH(D3043,'D5 - Gatekeeper - Projects'!$C$4:$C$1010,0)</f>
        <v>#N/A</v>
      </c>
      <c r="AN3043" s="6" t="b">
        <f t="shared" si="314"/>
        <v>1</v>
      </c>
      <c r="AO3043" s="6" t="str">
        <f t="shared" si="315"/>
        <v>OK</v>
      </c>
      <c r="AQ3043" s="6" t="e">
        <f>MATCH($D3043,'D4 - Provider Council Unsched'!$C$11:$C$234,0)</f>
        <v>#N/A</v>
      </c>
      <c r="AR3043" s="6" t="b">
        <f t="shared" si="316"/>
        <v>1</v>
      </c>
      <c r="AS3043" s="6" t="str">
        <f t="shared" si="317"/>
        <v>OK</v>
      </c>
      <c r="AU3043" s="202"/>
      <c r="AV3043" s="262"/>
      <c r="AW3043" s="274"/>
    </row>
    <row r="3044" spans="1:49" s="13" customFormat="1" ht="33.75" x14ac:dyDescent="0.2">
      <c r="A3044" s="14">
        <v>3020</v>
      </c>
      <c r="B3044" s="8">
        <v>400040569</v>
      </c>
      <c r="C3044" s="8" t="s">
        <v>1447</v>
      </c>
      <c r="D3044" s="4" t="str">
        <f t="shared" si="318"/>
        <v>400040569A</v>
      </c>
      <c r="E3044" s="309" t="str">
        <f>VLOOKUP($B3044,'D7 - NDB Impacted SPRF''s'!$E$6:$O$9929,2,FALSE)</f>
        <v>APCD Provider Reporting</v>
      </c>
      <c r="F3044" s="8"/>
      <c r="G3044" s="8" t="s">
        <v>4758</v>
      </c>
      <c r="H3044" s="8" t="s">
        <v>2870</v>
      </c>
      <c r="I3044" s="20"/>
      <c r="J3044" s="8"/>
      <c r="K3044" s="182"/>
      <c r="L3044" s="8" t="s">
        <v>4156</v>
      </c>
      <c r="M3044" s="8" t="s">
        <v>2814</v>
      </c>
      <c r="N3044" s="38" t="s">
        <v>663</v>
      </c>
      <c r="O3044" s="8"/>
      <c r="P3044" s="4" t="str">
        <f>VLOOKUP($B3044,'D7 - NDB Impacted SPRF''s'!$E$16:$O$9929,9,FALSE)</f>
        <v>N</v>
      </c>
      <c r="Q3044" s="4" t="str">
        <f>VLOOKUP($B3044,'D7 - NDB Impacted SPRF''s'!$E$16:$O$9929,10,FALSE)</f>
        <v>N</v>
      </c>
      <c r="R3044" s="4" t="str">
        <f>VLOOKUP($B3044,'D7 - NDB Impacted SPRF''s'!$E$16:$O$9929,11,FALSE)</f>
        <v>N</v>
      </c>
      <c r="S3044" s="8"/>
      <c r="T3044" s="310"/>
      <c r="U3044" s="310"/>
      <c r="V3044" s="4"/>
      <c r="W3044" s="4"/>
      <c r="X3044" s="4"/>
      <c r="Y3044" s="4"/>
      <c r="Z3044" s="4"/>
      <c r="AA3044" s="4"/>
      <c r="AB3044" s="380" t="str">
        <f>VLOOKUP($B3044,'D7 - NDB Impacted SPRF''s'!$E$6:$O$9929,4,FALSE)</f>
        <v>Cancelled</v>
      </c>
      <c r="AC3044" s="380" t="str">
        <f>VLOOKUP($B3044,'D7 - NDB Impacted SPRF''s'!$E$6:$O$9929,3,FALSE)</f>
        <v>UnitedHealthcare Employer &amp; Individual</v>
      </c>
      <c r="AD3044" s="380" t="str">
        <f>VLOOKUP($B3044,'D7 - NDB Impacted SPRF''s'!$E$6:$O$9929,5,FALSE)</f>
        <v>Regulatory / Other</v>
      </c>
      <c r="AE3044" s="380" t="str">
        <f>VLOOKUP($B3044,'D7 - NDB Impacted SPRF''s'!$E$6:$O$9929,7,FALSE)</f>
        <v>Kevin Ericson</v>
      </c>
      <c r="AF3044" s="380" t="str">
        <f>VLOOKUP($B3044,'D7 - NDB Impacted SPRF''s'!$E$6:$O$9929,6,FALSE)</f>
        <v>ROGER AUCLAIR</v>
      </c>
      <c r="AG3044" s="282"/>
      <c r="AH3044" s="311" t="e">
        <f>INDEX('D5 - Gatekeeper - Projects'!$A$4:$AF$1010,$AM3044, 17)</f>
        <v>#N/A</v>
      </c>
      <c r="AI3044" s="8"/>
      <c r="AJ3044" s="57"/>
      <c r="AK3044" s="105"/>
      <c r="AM3044" s="6" t="e">
        <f>MATCH(D3044,'D5 - Gatekeeper - Projects'!$C$4:$C$1010,0)</f>
        <v>#N/A</v>
      </c>
      <c r="AN3044" s="6" t="b">
        <f t="shared" si="314"/>
        <v>1</v>
      </c>
      <c r="AO3044" s="6" t="str">
        <f t="shared" si="315"/>
        <v>OK</v>
      </c>
      <c r="AQ3044" s="6" t="e">
        <f>MATCH($D3044,'D4 - Provider Council Unsched'!$C$11:$C$234,0)</f>
        <v>#N/A</v>
      </c>
      <c r="AR3044" s="6" t="b">
        <f t="shared" si="316"/>
        <v>1</v>
      </c>
      <c r="AS3044" s="6" t="str">
        <f t="shared" si="317"/>
        <v>OK</v>
      </c>
      <c r="AU3044" s="202"/>
      <c r="AV3044" s="262"/>
      <c r="AW3044" s="274"/>
    </row>
    <row r="3045" spans="1:49" s="13" customFormat="1" ht="45" x14ac:dyDescent="0.2">
      <c r="A3045" s="14">
        <v>3021</v>
      </c>
      <c r="B3045" s="8">
        <v>400040764</v>
      </c>
      <c r="C3045" s="8" t="s">
        <v>1447</v>
      </c>
      <c r="D3045" s="4" t="str">
        <f t="shared" si="318"/>
        <v>400040764A</v>
      </c>
      <c r="E3045" s="309" t="str">
        <f>VLOOKUP($B3045,'D7 - NDB Impacted SPRF''s'!$E$6:$O$9929,2,FALSE)</f>
        <v>2011 ETC Data Center Migration</v>
      </c>
      <c r="F3045" s="8"/>
      <c r="G3045" s="8" t="s">
        <v>4758</v>
      </c>
      <c r="H3045" s="8" t="s">
        <v>2870</v>
      </c>
      <c r="I3045" s="20"/>
      <c r="J3045" s="8"/>
      <c r="K3045" s="182"/>
      <c r="L3045" s="8" t="s">
        <v>4156</v>
      </c>
      <c r="M3045" s="8" t="s">
        <v>5626</v>
      </c>
      <c r="N3045" s="38" t="s">
        <v>1344</v>
      </c>
      <c r="O3045" s="8"/>
      <c r="P3045" s="4" t="str">
        <f>VLOOKUP($B3045,'D7 - NDB Impacted SPRF''s'!$E$16:$O$9929,9,FALSE)</f>
        <v>Y</v>
      </c>
      <c r="Q3045" s="4" t="str">
        <f>VLOOKUP($B3045,'D7 - NDB Impacted SPRF''s'!$E$16:$O$9929,10,FALSE)</f>
        <v>N</v>
      </c>
      <c r="R3045" s="4" t="str">
        <f>VLOOKUP($B3045,'D7 - NDB Impacted SPRF''s'!$E$16:$O$9929,11,FALSE)</f>
        <v>Y</v>
      </c>
      <c r="S3045" s="8"/>
      <c r="T3045" s="310"/>
      <c r="U3045" s="310"/>
      <c r="V3045" s="4"/>
      <c r="W3045" s="4"/>
      <c r="X3045" s="4"/>
      <c r="Y3045" s="4"/>
      <c r="Z3045" s="4"/>
      <c r="AA3045" s="4"/>
      <c r="AB3045" s="380" t="str">
        <f>VLOOKUP($B3045,'D7 - NDB Impacted SPRF''s'!$E$6:$O$9929,4,FALSE)</f>
        <v>Completed</v>
      </c>
      <c r="AC3045" s="380" t="str">
        <f>VLOOKUP($B3045,'D7 - NDB Impacted SPRF''s'!$E$6:$O$9929,3,FALSE)</f>
        <v>UHG IT - Enterprise Technology Services</v>
      </c>
      <c r="AD3045" s="380" t="str">
        <f>VLOOKUP($B3045,'D7 - NDB Impacted SPRF''s'!$E$6:$O$9929,5,FALSE)</f>
        <v>Ops Planning &amp; IS Delivery</v>
      </c>
      <c r="AE3045" s="380" t="str">
        <f>VLOOKUP($B3045,'D7 - NDB Impacted SPRF''s'!$E$6:$O$9929,7,FALSE)</f>
        <v>Jamie Burnett</v>
      </c>
      <c r="AF3045" s="380" t="str">
        <f>VLOOKUP($B3045,'D7 - NDB Impacted SPRF''s'!$E$6:$O$9929,6,FALSE)</f>
        <v>Victoria Host</v>
      </c>
      <c r="AG3045" s="282"/>
      <c r="AH3045" s="311" t="e">
        <f>INDEX('D5 - Gatekeeper - Projects'!$A$4:$AF$1010,$AM3045, 17)</f>
        <v>#N/A</v>
      </c>
      <c r="AI3045" s="8"/>
      <c r="AJ3045" s="57"/>
      <c r="AK3045" s="105"/>
      <c r="AM3045" s="6" t="e">
        <f>MATCH(D3045,'D5 - Gatekeeper - Projects'!$C$4:$C$1010,0)</f>
        <v>#N/A</v>
      </c>
      <c r="AN3045" s="6" t="b">
        <f t="shared" si="314"/>
        <v>1</v>
      </c>
      <c r="AO3045" s="6" t="str">
        <f t="shared" si="315"/>
        <v>OK</v>
      </c>
      <c r="AQ3045" s="6" t="e">
        <f>MATCH($D3045,'D4 - Provider Council Unsched'!$C$11:$C$234,0)</f>
        <v>#N/A</v>
      </c>
      <c r="AR3045" s="6" t="b">
        <f t="shared" si="316"/>
        <v>1</v>
      </c>
      <c r="AS3045" s="6" t="str">
        <f t="shared" si="317"/>
        <v>OK</v>
      </c>
      <c r="AU3045" s="202"/>
      <c r="AV3045" s="216"/>
      <c r="AW3045" s="274"/>
    </row>
    <row r="3046" spans="1:49" s="13" customFormat="1" x14ac:dyDescent="0.2">
      <c r="A3046" s="14">
        <v>3022</v>
      </c>
      <c r="B3046" s="8">
        <v>400040814</v>
      </c>
      <c r="C3046" s="8" t="s">
        <v>1447</v>
      </c>
      <c r="D3046" s="4" t="str">
        <f t="shared" si="318"/>
        <v>400040814A</v>
      </c>
      <c r="E3046" s="309" t="str">
        <f>VLOOKUP($B3046,'D7 - NDB Impacted SPRF''s'!$E$6:$O$9929,2,FALSE)</f>
        <v xml:space="preserve">Q2 Consumer Transparency </v>
      </c>
      <c r="F3046" s="8"/>
      <c r="G3046" s="8" t="s">
        <v>4758</v>
      </c>
      <c r="H3046" s="8" t="s">
        <v>2870</v>
      </c>
      <c r="I3046" s="20"/>
      <c r="J3046" s="8"/>
      <c r="K3046" s="182"/>
      <c r="L3046" s="8" t="s">
        <v>4156</v>
      </c>
      <c r="M3046" s="8" t="s">
        <v>2814</v>
      </c>
      <c r="N3046" s="38" t="s">
        <v>2255</v>
      </c>
      <c r="O3046" s="8"/>
      <c r="P3046" s="4" t="str">
        <f>VLOOKUP($B3046,'D7 - NDB Impacted SPRF''s'!$E$16:$O$9929,9,FALSE)</f>
        <v>N</v>
      </c>
      <c r="Q3046" s="4" t="str">
        <f>VLOOKUP($B3046,'D7 - NDB Impacted SPRF''s'!$E$16:$O$9929,10,FALSE)</f>
        <v>N</v>
      </c>
      <c r="R3046" s="4" t="str">
        <f>VLOOKUP($B3046,'D7 - NDB Impacted SPRF''s'!$E$16:$O$9929,11,FALSE)</f>
        <v>N</v>
      </c>
      <c r="S3046" s="8"/>
      <c r="T3046" s="310"/>
      <c r="U3046" s="310"/>
      <c r="V3046" s="4"/>
      <c r="W3046" s="4"/>
      <c r="X3046" s="4"/>
      <c r="Y3046" s="4"/>
      <c r="Z3046" s="4"/>
      <c r="AA3046" s="4"/>
      <c r="AB3046" s="380" t="str">
        <f>VLOOKUP($B3046,'D7 - NDB Impacted SPRF''s'!$E$6:$O$9929,4,FALSE)</f>
        <v>Cancelled</v>
      </c>
      <c r="AC3046" s="380" t="str">
        <f>VLOOKUP($B3046,'D7 - NDB Impacted SPRF''s'!$E$6:$O$9929,3,FALSE)</f>
        <v>OptumHealth</v>
      </c>
      <c r="AD3046" s="380" t="str">
        <f>VLOOKUP($B3046,'D7 - NDB Impacted SPRF''s'!$E$6:$O$9929,5,FALSE)</f>
        <v>OptumHealth Care Solutions</v>
      </c>
      <c r="AE3046" s="380" t="str">
        <f>VLOOKUP($B3046,'D7 - NDB Impacted SPRF''s'!$E$6:$O$9929,7,FALSE)</f>
        <v>Karl Ulfers</v>
      </c>
      <c r="AF3046" s="380" t="str">
        <f>VLOOKUP($B3046,'D7 - NDB Impacted SPRF''s'!$E$6:$O$9929,6,FALSE)</f>
        <v>Kari Mclarty</v>
      </c>
      <c r="AG3046" s="282"/>
      <c r="AH3046" s="311" t="e">
        <f>INDEX('D5 - Gatekeeper - Projects'!$A$4:$AF$1010,$AM3046, 17)</f>
        <v>#N/A</v>
      </c>
      <c r="AI3046" s="8"/>
      <c r="AJ3046" s="57"/>
      <c r="AK3046" s="105"/>
      <c r="AM3046" s="6" t="e">
        <f>MATCH(D3046,'D5 - Gatekeeper - Projects'!$C$4:$C$1010,0)</f>
        <v>#N/A</v>
      </c>
      <c r="AN3046" s="6" t="b">
        <f t="shared" si="314"/>
        <v>1</v>
      </c>
      <c r="AO3046" s="6" t="str">
        <f t="shared" si="315"/>
        <v>OK</v>
      </c>
      <c r="AQ3046" s="6" t="e">
        <f>MATCH($D3046,'D4 - Provider Council Unsched'!$C$11:$C$234,0)</f>
        <v>#N/A</v>
      </c>
      <c r="AR3046" s="6" t="b">
        <f t="shared" si="316"/>
        <v>1</v>
      </c>
      <c r="AS3046" s="6" t="str">
        <f t="shared" si="317"/>
        <v>OK</v>
      </c>
      <c r="AU3046" s="202"/>
      <c r="AV3046" s="216"/>
      <c r="AW3046" s="274"/>
    </row>
    <row r="3047" spans="1:49" s="13" customFormat="1" ht="33.75" x14ac:dyDescent="0.2">
      <c r="A3047" s="14">
        <v>3023</v>
      </c>
      <c r="B3047" s="8">
        <v>400040926</v>
      </c>
      <c r="C3047" s="8" t="s">
        <v>1447</v>
      </c>
      <c r="D3047" s="4" t="str">
        <f t="shared" si="318"/>
        <v>400040926A</v>
      </c>
      <c r="E3047" s="309" t="str">
        <f>VLOOKUP($B3047,'D7 - NDB Impacted SPRF''s'!$E$6:$O$9929,2,FALSE)</f>
        <v>Build provider db to capture fields not in NDB</v>
      </c>
      <c r="F3047" s="8"/>
      <c r="G3047" s="8" t="s">
        <v>4758</v>
      </c>
      <c r="H3047" s="8" t="s">
        <v>2870</v>
      </c>
      <c r="I3047" s="20"/>
      <c r="J3047" s="8"/>
      <c r="K3047" s="182"/>
      <c r="L3047" s="8" t="s">
        <v>4156</v>
      </c>
      <c r="M3047" s="8" t="s">
        <v>2814</v>
      </c>
      <c r="N3047" s="38" t="s">
        <v>5462</v>
      </c>
      <c r="O3047" s="8"/>
      <c r="P3047" s="4" t="str">
        <f>VLOOKUP($B3047,'D7 - NDB Impacted SPRF''s'!$E$16:$O$9929,9,FALSE)</f>
        <v>N</v>
      </c>
      <c r="Q3047" s="4" t="str">
        <f>VLOOKUP($B3047,'D7 - NDB Impacted SPRF''s'!$E$16:$O$9929,10,FALSE)</f>
        <v>N</v>
      </c>
      <c r="R3047" s="4" t="str">
        <f>VLOOKUP($B3047,'D7 - NDB Impacted SPRF''s'!$E$16:$O$9929,11,FALSE)</f>
        <v>N</v>
      </c>
      <c r="S3047" s="8"/>
      <c r="T3047" s="310"/>
      <c r="U3047" s="310"/>
      <c r="V3047" s="4"/>
      <c r="W3047" s="4"/>
      <c r="X3047" s="4"/>
      <c r="Y3047" s="4"/>
      <c r="Z3047" s="4"/>
      <c r="AA3047" s="4"/>
      <c r="AB3047" s="380" t="str">
        <f>VLOOKUP($B3047,'D7 - NDB Impacted SPRF''s'!$E$6:$O$9929,4,FALSE)</f>
        <v>In Estimating</v>
      </c>
      <c r="AC3047" s="380" t="s">
        <v>6322</v>
      </c>
      <c r="AD3047" s="380" t="str">
        <f>VLOOKUP($B3047,'D7 - NDB Impacted SPRF''s'!$E$6:$O$9929,5,FALSE)</f>
        <v>ABD/LTC Regulatory Projects 01-53260-000</v>
      </c>
      <c r="AE3047" s="380" t="str">
        <f>VLOOKUP($B3047,'D7 - NDB Impacted SPRF''s'!$E$6:$O$9929,7,FALSE)</f>
        <v>Bror Hultgren</v>
      </c>
      <c r="AF3047" s="380" t="str">
        <f>VLOOKUP($B3047,'D7 - NDB Impacted SPRF''s'!$E$6:$O$9929,6,FALSE)</f>
        <v>Carol Brunetti</v>
      </c>
      <c r="AG3047" s="282"/>
      <c r="AH3047" s="311" t="e">
        <f>INDEX('D5 - Gatekeeper - Projects'!$A$4:$AF$1010,$AM3047, 17)</f>
        <v>#N/A</v>
      </c>
      <c r="AI3047" s="8"/>
      <c r="AJ3047" s="57"/>
      <c r="AK3047" s="105"/>
      <c r="AM3047" s="6" t="e">
        <f>MATCH(D3047,'D5 - Gatekeeper - Projects'!$C$4:$C$1010,0)</f>
        <v>#N/A</v>
      </c>
      <c r="AN3047" s="6" t="b">
        <f t="shared" si="314"/>
        <v>1</v>
      </c>
      <c r="AO3047" s="6" t="str">
        <f t="shared" si="315"/>
        <v>OK</v>
      </c>
      <c r="AQ3047" s="6" t="e">
        <f>MATCH($D3047,'D4 - Provider Council Unsched'!$C$11:$C$234,0)</f>
        <v>#N/A</v>
      </c>
      <c r="AR3047" s="6" t="b">
        <f t="shared" si="316"/>
        <v>1</v>
      </c>
      <c r="AS3047" s="6" t="str">
        <f t="shared" si="317"/>
        <v>OK</v>
      </c>
      <c r="AU3047" s="202"/>
      <c r="AV3047" s="216" t="e">
        <v>#N/A</v>
      </c>
      <c r="AW3047" s="274">
        <v>29057</v>
      </c>
    </row>
    <row r="3048" spans="1:49" s="13" customFormat="1" ht="33.75" x14ac:dyDescent="0.2">
      <c r="A3048" s="14">
        <v>3024</v>
      </c>
      <c r="B3048" s="8">
        <v>400040928</v>
      </c>
      <c r="C3048" s="8" t="s">
        <v>1447</v>
      </c>
      <c r="D3048" s="4" t="str">
        <f t="shared" si="318"/>
        <v>400040928A</v>
      </c>
      <c r="E3048" s="309" t="str">
        <f>VLOOKUP($B3048,'D7 - NDB Impacted SPRF''s'!$E$6:$O$9929,2,FALSE)</f>
        <v>E2E Medicare Clinical Authorization Matching</v>
      </c>
      <c r="F3048" s="8"/>
      <c r="G3048" s="8" t="s">
        <v>4758</v>
      </c>
      <c r="H3048" s="8" t="s">
        <v>2870</v>
      </c>
      <c r="I3048" s="20"/>
      <c r="J3048" s="8"/>
      <c r="K3048" s="182"/>
      <c r="L3048" s="8" t="s">
        <v>4156</v>
      </c>
      <c r="M3048" s="8" t="s">
        <v>2814</v>
      </c>
      <c r="N3048" s="38" t="s">
        <v>1149</v>
      </c>
      <c r="O3048" s="8"/>
      <c r="P3048" s="4" t="str">
        <f>VLOOKUP($B3048,'D7 - NDB Impacted SPRF''s'!$E$16:$O$9929,9,FALSE)</f>
        <v>N</v>
      </c>
      <c r="Q3048" s="4" t="str">
        <f>VLOOKUP($B3048,'D7 - NDB Impacted SPRF''s'!$E$16:$O$9929,10,FALSE)</f>
        <v>N</v>
      </c>
      <c r="R3048" s="4" t="str">
        <f>VLOOKUP($B3048,'D7 - NDB Impacted SPRF''s'!$E$16:$O$9929,11,FALSE)</f>
        <v>N</v>
      </c>
      <c r="S3048" s="8"/>
      <c r="T3048" s="310"/>
      <c r="U3048" s="310"/>
      <c r="V3048" s="4"/>
      <c r="W3048" s="4"/>
      <c r="X3048" s="4"/>
      <c r="Y3048" s="4"/>
      <c r="Z3048" s="4"/>
      <c r="AA3048" s="4"/>
      <c r="AB3048" s="380" t="str">
        <f>VLOOKUP($B3048,'D7 - NDB Impacted SPRF''s'!$E$6:$O$9929,4,FALSE)</f>
        <v>Cancelled</v>
      </c>
      <c r="AC3048" s="380" t="str">
        <f>VLOOKUP($B3048,'D7 - NDB Impacted SPRF''s'!$E$6:$O$9929,3,FALSE)</f>
        <v>UnitedHealthcare Medicare &amp; Retirement</v>
      </c>
      <c r="AD3048" s="380" t="str">
        <f>VLOOKUP($B3048,'D7 - NDB Impacted SPRF''s'!$E$6:$O$9929,5,FALSE)</f>
        <v>Health Care Delivery</v>
      </c>
      <c r="AE3048" s="380" t="str">
        <f>VLOOKUP($B3048,'D7 - NDB Impacted SPRF''s'!$E$6:$O$9929,7,FALSE)</f>
        <v>Rhonda Randall</v>
      </c>
      <c r="AF3048" s="380" t="str">
        <f>VLOOKUP($B3048,'D7 - NDB Impacted SPRF''s'!$E$6:$O$9929,6,FALSE)</f>
        <v>Brendan Dolan</v>
      </c>
      <c r="AG3048" s="282"/>
      <c r="AH3048" s="311" t="e">
        <f>INDEX('D5 - Gatekeeper - Projects'!$A$4:$AF$1010,$AM3048, 17)</f>
        <v>#N/A</v>
      </c>
      <c r="AI3048" s="8"/>
      <c r="AJ3048" s="57"/>
      <c r="AK3048" s="105"/>
      <c r="AM3048" s="6" t="e">
        <f>MATCH(D3048,'D5 - Gatekeeper - Projects'!$C$4:$C$1010,0)</f>
        <v>#N/A</v>
      </c>
      <c r="AN3048" s="6" t="b">
        <f t="shared" si="314"/>
        <v>1</v>
      </c>
      <c r="AO3048" s="6" t="str">
        <f t="shared" si="315"/>
        <v>OK</v>
      </c>
      <c r="AQ3048" s="6" t="e">
        <f>MATCH($D3048,'D4 - Provider Council Unsched'!$C$11:$C$234,0)</f>
        <v>#N/A</v>
      </c>
      <c r="AR3048" s="6" t="b">
        <f t="shared" si="316"/>
        <v>1</v>
      </c>
      <c r="AS3048" s="6" t="str">
        <f t="shared" si="317"/>
        <v>OK</v>
      </c>
      <c r="AU3048" s="202"/>
      <c r="AV3048" s="216"/>
      <c r="AW3048" s="274"/>
    </row>
    <row r="3049" spans="1:49" s="13" customFormat="1" ht="33.75" x14ac:dyDescent="0.2">
      <c r="A3049" s="14">
        <v>3025</v>
      </c>
      <c r="B3049" s="8">
        <v>400041022</v>
      </c>
      <c r="C3049" s="8" t="s">
        <v>1447</v>
      </c>
      <c r="D3049" s="4" t="str">
        <f t="shared" si="318"/>
        <v>400041022A</v>
      </c>
      <c r="E3049" s="309" t="str">
        <f>VLOOKUP($B3049,'D7 - NDB Impacted SPRF''s'!$E$6:$O$9929,2,FALSE)</f>
        <v xml:space="preserve">New TOPS Remark Code for VA Facilities </v>
      </c>
      <c r="F3049" s="8"/>
      <c r="G3049" s="8" t="s">
        <v>4758</v>
      </c>
      <c r="H3049" s="8" t="s">
        <v>2870</v>
      </c>
      <c r="I3049" s="20"/>
      <c r="J3049" s="8"/>
      <c r="K3049" s="182"/>
      <c r="L3049" s="8" t="s">
        <v>4156</v>
      </c>
      <c r="M3049" s="8" t="s">
        <v>2814</v>
      </c>
      <c r="N3049" s="38" t="s">
        <v>2703</v>
      </c>
      <c r="O3049" s="8"/>
      <c r="P3049" s="4" t="str">
        <f>VLOOKUP($B3049,'D7 - NDB Impacted SPRF''s'!$E$16:$O$9929,9,FALSE)</f>
        <v>Y</v>
      </c>
      <c r="Q3049" s="4" t="str">
        <f>VLOOKUP($B3049,'D7 - NDB Impacted SPRF''s'!$E$16:$O$9929,10,FALSE)</f>
        <v>N</v>
      </c>
      <c r="R3049" s="4" t="str">
        <f>VLOOKUP($B3049,'D7 - NDB Impacted SPRF''s'!$E$16:$O$9929,11,FALSE)</f>
        <v>N</v>
      </c>
      <c r="S3049" s="8"/>
      <c r="T3049" s="310"/>
      <c r="U3049" s="310"/>
      <c r="V3049" s="4"/>
      <c r="W3049" s="4"/>
      <c r="X3049" s="4"/>
      <c r="Y3049" s="4"/>
      <c r="Z3049" s="4"/>
      <c r="AA3049" s="4"/>
      <c r="AB3049" s="380" t="str">
        <f>VLOOKUP($B3049,'D7 - NDB Impacted SPRF''s'!$E$6:$O$9929,4,FALSE)</f>
        <v>Cancelled</v>
      </c>
      <c r="AC3049" s="380" t="str">
        <f>VLOOKUP($B3049,'D7 - NDB Impacted SPRF''s'!$E$6:$O$9929,3,FALSE)</f>
        <v>UnitedHealthcare Employer &amp; Individual</v>
      </c>
      <c r="AD3049" s="380" t="str">
        <f>VLOOKUP($B3049,'D7 - NDB Impacted SPRF''s'!$E$6:$O$9929,5,FALSE)</f>
        <v>Operational Requirements</v>
      </c>
      <c r="AE3049" s="380" t="str">
        <f>VLOOKUP($B3049,'D7 - NDB Impacted SPRF''s'!$E$6:$O$9929,7,FALSE)</f>
        <v>kelly clarke</v>
      </c>
      <c r="AF3049" s="380" t="str">
        <f>VLOOKUP($B3049,'D7 - NDB Impacted SPRF''s'!$E$6:$O$9929,6,FALSE)</f>
        <v>TERRY ROBILLARD</v>
      </c>
      <c r="AG3049" s="282"/>
      <c r="AH3049" s="311" t="e">
        <f>INDEX('D5 - Gatekeeper - Projects'!$A$4:$AF$1010,$AM3049, 17)</f>
        <v>#N/A</v>
      </c>
      <c r="AI3049" s="8"/>
      <c r="AJ3049" s="57"/>
      <c r="AK3049" s="105"/>
      <c r="AM3049" s="6" t="e">
        <f>MATCH(D3049,'D5 - Gatekeeper - Projects'!$C$4:$C$1010,0)</f>
        <v>#N/A</v>
      </c>
      <c r="AN3049" s="6" t="b">
        <f t="shared" si="314"/>
        <v>1</v>
      </c>
      <c r="AO3049" s="6" t="str">
        <f t="shared" si="315"/>
        <v>OK</v>
      </c>
      <c r="AQ3049" s="6" t="e">
        <f>MATCH($D3049,'D4 - Provider Council Unsched'!$C$11:$C$234,0)</f>
        <v>#N/A</v>
      </c>
      <c r="AR3049" s="6" t="b">
        <f t="shared" si="316"/>
        <v>1</v>
      </c>
      <c r="AS3049" s="6" t="str">
        <f t="shared" si="317"/>
        <v>OK</v>
      </c>
      <c r="AU3049" s="202"/>
      <c r="AV3049" s="216"/>
      <c r="AW3049" s="274"/>
    </row>
    <row r="3050" spans="1:49" s="13" customFormat="1" ht="22.5" x14ac:dyDescent="0.2">
      <c r="A3050" s="14">
        <v>3026</v>
      </c>
      <c r="B3050" s="8">
        <v>400041067</v>
      </c>
      <c r="C3050" s="8" t="s">
        <v>1447</v>
      </c>
      <c r="D3050" s="4" t="str">
        <f t="shared" si="318"/>
        <v>400041067A</v>
      </c>
      <c r="E3050" s="309" t="str">
        <f>VLOOKUP($B3050,'D7 - NDB Impacted SPRF''s'!$E$6:$O$9929,2,FALSE)</f>
        <v>UHC Pharmacy Line Item Billing</v>
      </c>
      <c r="F3050" s="8"/>
      <c r="G3050" s="8" t="s">
        <v>4758</v>
      </c>
      <c r="H3050" s="8" t="s">
        <v>2870</v>
      </c>
      <c r="I3050" s="20"/>
      <c r="J3050" s="8"/>
      <c r="K3050" s="182"/>
      <c r="L3050" s="8" t="s">
        <v>4156</v>
      </c>
      <c r="M3050" s="8" t="s">
        <v>2814</v>
      </c>
      <c r="N3050" s="38" t="s">
        <v>1167</v>
      </c>
      <c r="O3050" s="8"/>
      <c r="P3050" s="4" t="str">
        <f>VLOOKUP($B3050,'D7 - NDB Impacted SPRF''s'!$E$16:$O$9929,9,FALSE)</f>
        <v>N</v>
      </c>
      <c r="Q3050" s="4" t="str">
        <f>VLOOKUP($B3050,'D7 - NDB Impacted SPRF''s'!$E$16:$O$9929,10,FALSE)</f>
        <v>N</v>
      </c>
      <c r="R3050" s="4" t="str">
        <f>VLOOKUP($B3050,'D7 - NDB Impacted SPRF''s'!$E$16:$O$9929,11,FALSE)</f>
        <v>N</v>
      </c>
      <c r="S3050" s="8"/>
      <c r="T3050" s="310"/>
      <c r="U3050" s="310"/>
      <c r="V3050" s="4"/>
      <c r="W3050" s="4"/>
      <c r="X3050" s="4"/>
      <c r="Y3050" s="4"/>
      <c r="Z3050" s="4"/>
      <c r="AA3050" s="4"/>
      <c r="AB3050" s="380" t="str">
        <f>VLOOKUP($B3050,'D7 - NDB Impacted SPRF''s'!$E$6:$O$9929,4,FALSE)</f>
        <v>In Estimating</v>
      </c>
      <c r="AC3050" s="380" t="str">
        <f>VLOOKUP($B3050,'D7 - NDB Impacted SPRF''s'!$E$6:$O$9929,3,FALSE)</f>
        <v>UnitedHealthcare</v>
      </c>
      <c r="AD3050" s="380" t="str">
        <f>VLOOKUP($B3050,'D7 - NDB Impacted SPRF''s'!$E$6:$O$9929,5,FALSE)</f>
        <v>Process Improvement - General Fund</v>
      </c>
      <c r="AE3050" s="380" t="str">
        <f>VLOOKUP($B3050,'D7 - NDB Impacted SPRF''s'!$E$6:$O$9929,7,FALSE)</f>
        <v>Mitch Davis/Dave Harvey</v>
      </c>
      <c r="AF3050" s="380" t="str">
        <f>VLOOKUP($B3050,'D7 - NDB Impacted SPRF''s'!$E$6:$O$9929,6,FALSE)</f>
        <v>Diane Knutson</v>
      </c>
      <c r="AG3050" s="282"/>
      <c r="AH3050" s="311" t="e">
        <f>INDEX('D5 - Gatekeeper - Projects'!$A$4:$AF$1010,$AM3050, 17)</f>
        <v>#N/A</v>
      </c>
      <c r="AI3050" s="8"/>
      <c r="AJ3050" s="57"/>
      <c r="AK3050" s="105"/>
      <c r="AM3050" s="6" t="e">
        <f>MATCH(D3050,'D5 - Gatekeeper - Projects'!$C$4:$C$1010,0)</f>
        <v>#N/A</v>
      </c>
      <c r="AN3050" s="6" t="b">
        <f t="shared" si="314"/>
        <v>1</v>
      </c>
      <c r="AO3050" s="6" t="str">
        <f t="shared" si="315"/>
        <v>OK</v>
      </c>
      <c r="AQ3050" s="6" t="e">
        <f>MATCH($D3050,'D4 - Provider Council Unsched'!$C$11:$C$234,0)</f>
        <v>#N/A</v>
      </c>
      <c r="AR3050" s="6" t="b">
        <f t="shared" si="316"/>
        <v>1</v>
      </c>
      <c r="AS3050" s="6" t="str">
        <f t="shared" si="317"/>
        <v>OK</v>
      </c>
      <c r="AU3050" s="202"/>
      <c r="AV3050" s="216"/>
      <c r="AW3050" s="274"/>
    </row>
    <row r="3051" spans="1:49" s="13" customFormat="1" ht="33.75" x14ac:dyDescent="0.2">
      <c r="A3051" s="14">
        <v>3027</v>
      </c>
      <c r="B3051" s="8">
        <v>400041107</v>
      </c>
      <c r="C3051" s="8" t="s">
        <v>1447</v>
      </c>
      <c r="D3051" s="4" t="str">
        <f t="shared" si="318"/>
        <v>400041107A</v>
      </c>
      <c r="E3051" s="309" t="str">
        <f>VLOOKUP($B3051,'D7 - NDB Impacted SPRF''s'!$E$6:$O$9929,2,FALSE)</f>
        <v>NPI Non-Covered File</v>
      </c>
      <c r="F3051" s="8"/>
      <c r="G3051" s="8" t="s">
        <v>4758</v>
      </c>
      <c r="H3051" s="8" t="s">
        <v>2870</v>
      </c>
      <c r="I3051" s="20"/>
      <c r="J3051" s="8"/>
      <c r="K3051" s="182"/>
      <c r="L3051" s="8" t="s">
        <v>4156</v>
      </c>
      <c r="M3051" s="8" t="s">
        <v>2814</v>
      </c>
      <c r="N3051" s="38" t="s">
        <v>5459</v>
      </c>
      <c r="O3051" s="8"/>
      <c r="P3051" s="4" t="str">
        <f>VLOOKUP($B3051,'D7 - NDB Impacted SPRF''s'!$E$16:$O$9929,9,FALSE)</f>
        <v>N</v>
      </c>
      <c r="Q3051" s="4" t="str">
        <f>VLOOKUP($B3051,'D7 - NDB Impacted SPRF''s'!$E$16:$O$9929,10,FALSE)</f>
        <v>N</v>
      </c>
      <c r="R3051" s="4" t="str">
        <f>VLOOKUP($B3051,'D7 - NDB Impacted SPRF''s'!$E$16:$O$9929,11,FALSE)</f>
        <v>N</v>
      </c>
      <c r="S3051" s="8"/>
      <c r="T3051" s="310"/>
      <c r="U3051" s="310"/>
      <c r="V3051" s="4"/>
      <c r="W3051" s="4"/>
      <c r="X3051" s="4"/>
      <c r="Y3051" s="4"/>
      <c r="Z3051" s="4"/>
      <c r="AA3051" s="4"/>
      <c r="AB3051" s="380" t="str">
        <f>VLOOKUP($B3051,'D7 - NDB Impacted SPRF''s'!$E$6:$O$9929,4,FALSE)</f>
        <v>In Estimating</v>
      </c>
      <c r="AC3051" s="380" t="str">
        <f>VLOOKUP($B3051,'D7 - NDB Impacted SPRF''s'!$E$6:$O$9929,3,FALSE)</f>
        <v>UnitedHealthcare Community &amp; State</v>
      </c>
      <c r="AD3051" s="380" t="str">
        <f>VLOOKUP($B3051,'D7 - NDB Impacted SPRF''s'!$E$6:$O$9929,5,FALSE)</f>
        <v>Regulatory (01-19260-000)</v>
      </c>
      <c r="AE3051" s="380" t="str">
        <f>VLOOKUP($B3051,'D7 - NDB Impacted SPRF''s'!$E$6:$O$9929,7,FALSE)</f>
        <v>Rodney Armstead</v>
      </c>
      <c r="AF3051" s="380" t="str">
        <f>VLOOKUP($B3051,'D7 - NDB Impacted SPRF''s'!$E$6:$O$9929,6,FALSE)</f>
        <v>Carol Brunetti</v>
      </c>
      <c r="AG3051" s="282"/>
      <c r="AH3051" s="311" t="e">
        <f>INDEX('D5 - Gatekeeper - Projects'!$A$4:$AF$1010,$AM3051, 17)</f>
        <v>#N/A</v>
      </c>
      <c r="AI3051" s="8"/>
      <c r="AJ3051" s="57"/>
      <c r="AK3051" s="105"/>
      <c r="AM3051" s="6" t="e">
        <f>MATCH(D3051,'D5 - Gatekeeper - Projects'!$C$4:$C$1010,0)</f>
        <v>#N/A</v>
      </c>
      <c r="AN3051" s="6" t="b">
        <f t="shared" si="314"/>
        <v>1</v>
      </c>
      <c r="AO3051" s="6" t="str">
        <f t="shared" si="315"/>
        <v>OK</v>
      </c>
      <c r="AQ3051" s="6" t="e">
        <f>MATCH($D3051,'D4 - Provider Council Unsched'!$C$11:$C$234,0)</f>
        <v>#N/A</v>
      </c>
      <c r="AR3051" s="6" t="b">
        <f t="shared" si="316"/>
        <v>1</v>
      </c>
      <c r="AS3051" s="6" t="str">
        <f t="shared" si="317"/>
        <v>OK</v>
      </c>
      <c r="AU3051" s="202"/>
      <c r="AV3051" s="216" t="e">
        <v>#N/A</v>
      </c>
      <c r="AW3051" s="274">
        <v>29051</v>
      </c>
    </row>
    <row r="3052" spans="1:49" s="13" customFormat="1" ht="33.75" x14ac:dyDescent="0.2">
      <c r="A3052" s="14">
        <v>3028</v>
      </c>
      <c r="B3052" s="8">
        <v>400041109</v>
      </c>
      <c r="C3052" s="8" t="s">
        <v>1447</v>
      </c>
      <c r="D3052" s="4" t="str">
        <f t="shared" si="318"/>
        <v>400041109A</v>
      </c>
      <c r="E3052" s="309" t="str">
        <f>VLOOKUP($B3052,'D7 - NDB Impacted SPRF''s'!$E$6:$O$9929,2,FALSE)</f>
        <v>Load multiple NPIs to a provider per state file</v>
      </c>
      <c r="F3052" s="8"/>
      <c r="G3052" s="8" t="s">
        <v>4758</v>
      </c>
      <c r="H3052" s="8" t="s">
        <v>2870</v>
      </c>
      <c r="I3052" s="20"/>
      <c r="J3052" s="8"/>
      <c r="K3052" s="182"/>
      <c r="L3052" s="8" t="s">
        <v>4156</v>
      </c>
      <c r="M3052" s="8" t="s">
        <v>2814</v>
      </c>
      <c r="N3052" s="38"/>
      <c r="O3052" s="8"/>
      <c r="P3052" s="4" t="str">
        <f>VLOOKUP($B3052,'D7 - NDB Impacted SPRF''s'!$E$16:$O$9929,9,FALSE)</f>
        <v>N</v>
      </c>
      <c r="Q3052" s="4" t="str">
        <f>VLOOKUP($B3052,'D7 - NDB Impacted SPRF''s'!$E$16:$O$9929,10,FALSE)</f>
        <v>N</v>
      </c>
      <c r="R3052" s="4" t="str">
        <f>VLOOKUP($B3052,'D7 - NDB Impacted SPRF''s'!$E$16:$O$9929,11,FALSE)</f>
        <v>N</v>
      </c>
      <c r="S3052" s="8"/>
      <c r="T3052" s="310"/>
      <c r="U3052" s="310"/>
      <c r="V3052" s="4"/>
      <c r="W3052" s="4"/>
      <c r="X3052" s="4"/>
      <c r="Y3052" s="4"/>
      <c r="Z3052" s="4"/>
      <c r="AA3052" s="4"/>
      <c r="AB3052" s="380" t="str">
        <f>VLOOKUP($B3052,'D7 - NDB Impacted SPRF''s'!$E$6:$O$9929,4,FALSE)</f>
        <v>Cancelled</v>
      </c>
      <c r="AC3052" s="380" t="str">
        <f>VLOOKUP($B3052,'D7 - NDB Impacted SPRF''s'!$E$6:$O$9929,3,FALSE)</f>
        <v>UnitedHealthcare Community &amp; State</v>
      </c>
      <c r="AD3052" s="380" t="str">
        <f>VLOOKUP($B3052,'D7 - NDB Impacted SPRF''s'!$E$6:$O$9929,5,FALSE)</f>
        <v>Regulatory / Other</v>
      </c>
      <c r="AE3052" s="380" t="str">
        <f>VLOOKUP($B3052,'D7 - NDB Impacted SPRF''s'!$E$6:$O$9929,7,FALSE)</f>
        <v>Bill Hagan</v>
      </c>
      <c r="AF3052" s="380" t="str">
        <f>VLOOKUP($B3052,'D7 - NDB Impacted SPRF''s'!$E$6:$O$9929,6,FALSE)</f>
        <v>Carol Brunetti</v>
      </c>
      <c r="AG3052" s="282"/>
      <c r="AH3052" s="311" t="e">
        <f>INDEX('D5 - Gatekeeper - Projects'!$A$4:$AF$1010,$AM3052, 17)</f>
        <v>#N/A</v>
      </c>
      <c r="AI3052" s="8"/>
      <c r="AJ3052" s="57"/>
      <c r="AK3052" s="105"/>
      <c r="AM3052" s="6" t="e">
        <f>MATCH(D3052,'D5 - Gatekeeper - Projects'!$C$4:$C$1010,0)</f>
        <v>#N/A</v>
      </c>
      <c r="AN3052" s="6" t="b">
        <f t="shared" si="314"/>
        <v>1</v>
      </c>
      <c r="AO3052" s="6" t="str">
        <f t="shared" si="315"/>
        <v>OK</v>
      </c>
      <c r="AQ3052" s="6" t="e">
        <f>MATCH($D3052,'D4 - Provider Council Unsched'!$C$11:$C$234,0)</f>
        <v>#N/A</v>
      </c>
      <c r="AR3052" s="6" t="b">
        <f t="shared" si="316"/>
        <v>1</v>
      </c>
      <c r="AS3052" s="6" t="str">
        <f t="shared" si="317"/>
        <v>OK</v>
      </c>
      <c r="AU3052" s="202"/>
      <c r="AV3052" s="216" t="s">
        <v>473</v>
      </c>
      <c r="AW3052" s="274"/>
    </row>
    <row r="3053" spans="1:49" s="13" customFormat="1" ht="33.75" x14ac:dyDescent="0.2">
      <c r="A3053" s="14">
        <v>3029</v>
      </c>
      <c r="B3053" s="8">
        <v>400041243</v>
      </c>
      <c r="C3053" s="8" t="s">
        <v>1447</v>
      </c>
      <c r="D3053" s="4" t="str">
        <f t="shared" si="318"/>
        <v>400041243A</v>
      </c>
      <c r="E3053" s="309" t="str">
        <f>VLOOKUP($B3053,'D7 - NDB Impacted SPRF''s'!$E$6:$O$9929,2,FALSE)</f>
        <v>Automate online provider search &amp; directory produc</v>
      </c>
      <c r="F3053" s="8"/>
      <c r="G3053" s="8" t="s">
        <v>4758</v>
      </c>
      <c r="H3053" s="8" t="s">
        <v>2870</v>
      </c>
      <c r="I3053" s="20"/>
      <c r="J3053" s="8"/>
      <c r="K3053" s="182"/>
      <c r="L3053" s="8" t="s">
        <v>4156</v>
      </c>
      <c r="M3053" s="8" t="s">
        <v>2814</v>
      </c>
      <c r="N3053" s="38" t="s">
        <v>4297</v>
      </c>
      <c r="O3053" s="8"/>
      <c r="P3053" s="4" t="str">
        <f>VLOOKUP($B3053,'D7 - NDB Impacted SPRF''s'!$E$16:$O$9929,9,FALSE)</f>
        <v>N</v>
      </c>
      <c r="Q3053" s="4" t="str">
        <f>VLOOKUP($B3053,'D7 - NDB Impacted SPRF''s'!$E$16:$O$9929,10,FALSE)</f>
        <v>N</v>
      </c>
      <c r="R3053" s="4" t="str">
        <f>VLOOKUP($B3053,'D7 - NDB Impacted SPRF''s'!$E$16:$O$9929,11,FALSE)</f>
        <v>N</v>
      </c>
      <c r="S3053" s="8"/>
      <c r="T3053" s="310"/>
      <c r="U3053" s="310"/>
      <c r="V3053" s="4"/>
      <c r="W3053" s="4"/>
      <c r="X3053" s="4"/>
      <c r="Y3053" s="4"/>
      <c r="Z3053" s="4"/>
      <c r="AA3053" s="4"/>
      <c r="AB3053" s="380" t="str">
        <f>VLOOKUP($B3053,'D7 - NDB Impacted SPRF''s'!$E$6:$O$9929,4,FALSE)</f>
        <v>Cancelled</v>
      </c>
      <c r="AC3053" s="380" t="str">
        <f>VLOOKUP($B3053,'D7 - NDB Impacted SPRF''s'!$E$6:$O$9929,3,FALSE)</f>
        <v>UnitedHealthcare Community &amp; State</v>
      </c>
      <c r="AD3053" s="380" t="str">
        <f>VLOOKUP($B3053,'D7 - NDB Impacted SPRF''s'!$E$6:$O$9929,5,FALSE)</f>
        <v>AmeriChoice</v>
      </c>
      <c r="AE3053" s="380" t="str">
        <f>VLOOKUP($B3053,'D7 - NDB Impacted SPRF''s'!$E$6:$O$9929,7,FALSE)</f>
        <v>Mike Radu</v>
      </c>
      <c r="AF3053" s="380" t="str">
        <f>VLOOKUP($B3053,'D7 - NDB Impacted SPRF''s'!$E$6:$O$9929,6,FALSE)</f>
        <v>Carol Brunetti</v>
      </c>
      <c r="AG3053" s="282"/>
      <c r="AH3053" s="311" t="e">
        <f>INDEX('D5 - Gatekeeper - Projects'!$A$4:$AF$1010,$AM3053, 17)</f>
        <v>#N/A</v>
      </c>
      <c r="AI3053" s="8"/>
      <c r="AJ3053" s="57"/>
      <c r="AK3053" s="105"/>
      <c r="AM3053" s="6" t="e">
        <f>MATCH(D3053,'D5 - Gatekeeper - Projects'!$C$4:$C$1010,0)</f>
        <v>#N/A</v>
      </c>
      <c r="AN3053" s="6" t="b">
        <f t="shared" si="314"/>
        <v>1</v>
      </c>
      <c r="AO3053" s="6" t="str">
        <f t="shared" si="315"/>
        <v>OK</v>
      </c>
      <c r="AQ3053" s="6" t="e">
        <f>MATCH($D3053,'D4 - Provider Council Unsched'!$C$11:$C$234,0)</f>
        <v>#N/A</v>
      </c>
      <c r="AR3053" s="6" t="b">
        <f t="shared" si="316"/>
        <v>1</v>
      </c>
      <c r="AS3053" s="6" t="str">
        <f t="shared" si="317"/>
        <v>OK</v>
      </c>
      <c r="AU3053" s="202"/>
      <c r="AV3053" s="216"/>
      <c r="AW3053" s="274"/>
    </row>
    <row r="3054" spans="1:49" s="13" customFormat="1" ht="33.75" x14ac:dyDescent="0.2">
      <c r="A3054" s="14">
        <v>3030</v>
      </c>
      <c r="B3054" s="8">
        <v>400041330</v>
      </c>
      <c r="C3054" s="8" t="s">
        <v>1447</v>
      </c>
      <c r="D3054" s="4" t="str">
        <f t="shared" si="318"/>
        <v>400041330A</v>
      </c>
      <c r="E3054" s="309" t="str">
        <f>VLOOKUP($B3054,'D7 - NDB Impacted SPRF''s'!$E$6:$O$9929,2,FALSE)</f>
        <v>HCR - RSA Appeals Provision modifications A&amp;D</v>
      </c>
      <c r="F3054" s="8"/>
      <c r="G3054" s="8" t="s">
        <v>4758</v>
      </c>
      <c r="H3054" s="8" t="s">
        <v>2870</v>
      </c>
      <c r="I3054" s="20"/>
      <c r="J3054" s="8"/>
      <c r="K3054" s="182"/>
      <c r="L3054" s="8" t="s">
        <v>4156</v>
      </c>
      <c r="M3054" s="8" t="s">
        <v>2814</v>
      </c>
      <c r="N3054" s="38" t="s">
        <v>2880</v>
      </c>
      <c r="O3054" s="8"/>
      <c r="P3054" s="4" t="str">
        <f>VLOOKUP($B3054,'D7 - NDB Impacted SPRF''s'!$E$16:$O$9929,9,FALSE)</f>
        <v>Y</v>
      </c>
      <c r="Q3054" s="4" t="str">
        <f>VLOOKUP($B3054,'D7 - NDB Impacted SPRF''s'!$E$16:$O$9929,10,FALSE)</f>
        <v>N</v>
      </c>
      <c r="R3054" s="4" t="str">
        <f>VLOOKUP($B3054,'D7 - NDB Impacted SPRF''s'!$E$16:$O$9929,11,FALSE)</f>
        <v>N</v>
      </c>
      <c r="S3054" s="8"/>
      <c r="T3054" s="310"/>
      <c r="U3054" s="310"/>
      <c r="V3054" s="4"/>
      <c r="W3054" s="4"/>
      <c r="X3054" s="4"/>
      <c r="Y3054" s="4"/>
      <c r="Z3054" s="4"/>
      <c r="AA3054" s="4"/>
      <c r="AB3054" s="380" t="str">
        <f>VLOOKUP($B3054,'D7 - NDB Impacted SPRF''s'!$E$6:$O$9929,4,FALSE)</f>
        <v>Completed</v>
      </c>
      <c r="AC3054" s="380" t="str">
        <f>VLOOKUP($B3054,'D7 - NDB Impacted SPRF''s'!$E$6:$O$9929,3,FALSE)</f>
        <v>UnitedHealthcare Employer &amp; Individual</v>
      </c>
      <c r="AD3054" s="380" t="str">
        <f>VLOOKUP($B3054,'D7 - NDB Impacted SPRF''s'!$E$6:$O$9929,5,FALSE)</f>
        <v>Regulatory / Other</v>
      </c>
      <c r="AE3054" s="380" t="str">
        <f>VLOOKUP($B3054,'D7 - NDB Impacted SPRF''s'!$E$6:$O$9929,7,FALSE)</f>
        <v>Regis O'Neil</v>
      </c>
      <c r="AF3054" s="380" t="str">
        <f>VLOOKUP($B3054,'D7 - NDB Impacted SPRF''s'!$E$6:$O$9929,6,FALSE)</f>
        <v>Susan Smith</v>
      </c>
      <c r="AG3054" s="282"/>
      <c r="AH3054" s="311" t="e">
        <f>INDEX('D5 - Gatekeeper - Projects'!$A$4:$AF$1010,$AM3054, 17)</f>
        <v>#N/A</v>
      </c>
      <c r="AI3054" s="8"/>
      <c r="AJ3054" s="57"/>
      <c r="AK3054" s="105"/>
      <c r="AM3054" s="6" t="e">
        <f>MATCH(D3054,'D5 - Gatekeeper - Projects'!$C$4:$C$1010,0)</f>
        <v>#N/A</v>
      </c>
      <c r="AN3054" s="6" t="b">
        <f t="shared" si="314"/>
        <v>1</v>
      </c>
      <c r="AO3054" s="6" t="str">
        <f t="shared" si="315"/>
        <v>OK</v>
      </c>
      <c r="AQ3054" s="6" t="e">
        <f>MATCH($D3054,'D4 - Provider Council Unsched'!$C$11:$C$234,0)</f>
        <v>#N/A</v>
      </c>
      <c r="AR3054" s="6" t="b">
        <f t="shared" si="316"/>
        <v>1</v>
      </c>
      <c r="AS3054" s="6" t="str">
        <f t="shared" si="317"/>
        <v>OK</v>
      </c>
      <c r="AU3054" s="202"/>
      <c r="AV3054" s="216"/>
      <c r="AW3054" s="274"/>
    </row>
    <row r="3055" spans="1:49" s="13" customFormat="1" ht="33.75" x14ac:dyDescent="0.2">
      <c r="A3055" s="14">
        <v>3031</v>
      </c>
      <c r="B3055" s="8">
        <v>400041515</v>
      </c>
      <c r="C3055" s="8" t="s">
        <v>1447</v>
      </c>
      <c r="D3055" s="4" t="str">
        <f t="shared" si="318"/>
        <v>400041515A</v>
      </c>
      <c r="E3055" s="309" t="str">
        <f>VLOOKUP($B3055,'D7 - NDB Impacted SPRF''s'!$E$6:$O$9929,2,FALSE)</f>
        <v>QCare</v>
      </c>
      <c r="F3055" s="8"/>
      <c r="G3055" s="8" t="s">
        <v>4758</v>
      </c>
      <c r="H3055" s="8" t="s">
        <v>2870</v>
      </c>
      <c r="I3055" s="20"/>
      <c r="J3055" s="8"/>
      <c r="K3055" s="182"/>
      <c r="L3055" s="8" t="s">
        <v>4156</v>
      </c>
      <c r="M3055" s="8" t="s">
        <v>2814</v>
      </c>
      <c r="N3055" s="38" t="s">
        <v>8126</v>
      </c>
      <c r="O3055" s="8"/>
      <c r="P3055" s="4" t="str">
        <f>VLOOKUP($B3055,'D7 - NDB Impacted SPRF''s'!$E$16:$O$9929,9,FALSE)</f>
        <v>N</v>
      </c>
      <c r="Q3055" s="4" t="str">
        <f>VLOOKUP($B3055,'D7 - NDB Impacted SPRF''s'!$E$16:$O$9929,10,FALSE)</f>
        <v>N</v>
      </c>
      <c r="R3055" s="4" t="str">
        <f>VLOOKUP($B3055,'D7 - NDB Impacted SPRF''s'!$E$16:$O$9929,11,FALSE)</f>
        <v>N</v>
      </c>
      <c r="S3055" s="8"/>
      <c r="T3055" s="310"/>
      <c r="U3055" s="310"/>
      <c r="V3055" s="4"/>
      <c r="W3055" s="4"/>
      <c r="X3055" s="4"/>
      <c r="Y3055" s="4"/>
      <c r="Z3055" s="4"/>
      <c r="AA3055" s="4"/>
      <c r="AB3055" s="380" t="str">
        <f>VLOOKUP($B3055,'D7 - NDB Impacted SPRF''s'!$E$6:$O$9929,4,FALSE)</f>
        <v>Cancelled</v>
      </c>
      <c r="AC3055" s="380" t="str">
        <f>VLOOKUP($B3055,'D7 - NDB Impacted SPRF''s'!$E$6:$O$9929,3,FALSE)</f>
        <v>UnitedHealthcare Employer &amp; Individual</v>
      </c>
      <c r="AD3055" s="380" t="str">
        <f>VLOOKUP($B3055,'D7 - NDB Impacted SPRF''s'!$E$6:$O$9929,5,FALSE)</f>
        <v>Operational Requirements</v>
      </c>
      <c r="AE3055" s="380" t="str">
        <f>VLOOKUP($B3055,'D7 - NDB Impacted SPRF''s'!$E$6:$O$9929,7,FALSE)</f>
        <v>Ed Sakamoto</v>
      </c>
      <c r="AF3055" s="380" t="str">
        <f>VLOOKUP($B3055,'D7 - NDB Impacted SPRF''s'!$E$6:$O$9929,6,FALSE)</f>
        <v>Mark Stockhowe</v>
      </c>
      <c r="AG3055" s="282"/>
      <c r="AH3055" s="311" t="e">
        <f>INDEX('D5 - Gatekeeper - Projects'!$A$4:$AF$1010,$AM3055, 17)</f>
        <v>#N/A</v>
      </c>
      <c r="AI3055" s="8"/>
      <c r="AJ3055" s="57"/>
      <c r="AK3055" s="105"/>
      <c r="AM3055" s="6" t="e">
        <f>MATCH(D3055,'D5 - Gatekeeper - Projects'!$C$4:$C$1010,0)</f>
        <v>#N/A</v>
      </c>
      <c r="AN3055" s="6" t="b">
        <f t="shared" si="314"/>
        <v>1</v>
      </c>
      <c r="AO3055" s="6" t="str">
        <f t="shared" si="315"/>
        <v>OK</v>
      </c>
      <c r="AQ3055" s="6" t="e">
        <f>MATCH($D3055,'D4 - Provider Council Unsched'!$C$11:$C$234,0)</f>
        <v>#N/A</v>
      </c>
      <c r="AR3055" s="6" t="b">
        <f t="shared" si="316"/>
        <v>1</v>
      </c>
      <c r="AS3055" s="6" t="str">
        <f t="shared" si="317"/>
        <v>OK</v>
      </c>
      <c r="AU3055" s="202"/>
      <c r="AV3055" s="262"/>
      <c r="AW3055" s="274"/>
    </row>
    <row r="3056" spans="1:49" s="13" customFormat="1" ht="45" x14ac:dyDescent="0.2">
      <c r="A3056" s="14">
        <v>3032</v>
      </c>
      <c r="B3056" s="8">
        <v>400041622</v>
      </c>
      <c r="C3056" s="8" t="s">
        <v>1447</v>
      </c>
      <c r="D3056" s="4" t="str">
        <f t="shared" si="318"/>
        <v>400041622A</v>
      </c>
      <c r="E3056" s="309" t="str">
        <f>VLOOKUP($B3056,'D7 - NDB Impacted SPRF''s'!$E$6:$O$9929,2,FALSE)</f>
        <v>PDR Pulse Migration to COSMOS – Data Migration</v>
      </c>
      <c r="F3056" s="8"/>
      <c r="G3056" s="8" t="s">
        <v>4758</v>
      </c>
      <c r="H3056" s="8" t="s">
        <v>2870</v>
      </c>
      <c r="I3056" s="20"/>
      <c r="J3056" s="8"/>
      <c r="K3056" s="182"/>
      <c r="L3056" s="8" t="s">
        <v>4156</v>
      </c>
      <c r="M3056" s="8" t="s">
        <v>2814</v>
      </c>
      <c r="N3056" s="38" t="s">
        <v>1161</v>
      </c>
      <c r="O3056" s="8"/>
      <c r="P3056" s="4" t="str">
        <f>VLOOKUP($B3056,'D7 - NDB Impacted SPRF''s'!$E$16:$O$9929,9,FALSE)</f>
        <v>N</v>
      </c>
      <c r="Q3056" s="4" t="str">
        <f>VLOOKUP($B3056,'D7 - NDB Impacted SPRF''s'!$E$16:$O$9929,10,FALSE)</f>
        <v>N</v>
      </c>
      <c r="R3056" s="4" t="str">
        <f>VLOOKUP($B3056,'D7 - NDB Impacted SPRF''s'!$E$16:$O$9929,11,FALSE)</f>
        <v>N</v>
      </c>
      <c r="S3056" s="8"/>
      <c r="T3056" s="310"/>
      <c r="U3056" s="310"/>
      <c r="V3056" s="4"/>
      <c r="W3056" s="4"/>
      <c r="X3056" s="4"/>
      <c r="Y3056" s="4"/>
      <c r="Z3056" s="4"/>
      <c r="AA3056" s="4"/>
      <c r="AB3056" s="380" t="str">
        <f>VLOOKUP($B3056,'D7 - NDB Impacted SPRF''s'!$E$6:$O$9929,4,FALSE)</f>
        <v>Completed</v>
      </c>
      <c r="AC3056" s="380" t="str">
        <f>VLOOKUP($B3056,'D7 - NDB Impacted SPRF''s'!$E$6:$O$9929,3,FALSE)</f>
        <v>UHG IT - Enterprise Technology Services</v>
      </c>
      <c r="AD3056" s="380" t="str">
        <f>VLOOKUP($B3056,'D7 - NDB Impacted SPRF''s'!$E$6:$O$9929,5,FALSE)</f>
        <v>Strategic Initiatives</v>
      </c>
      <c r="AE3056" s="380" t="str">
        <f>VLOOKUP($B3056,'D7 - NDB Impacted SPRF''s'!$E$6:$O$9929,7,FALSE)</f>
        <v>Wichmann</v>
      </c>
      <c r="AF3056" s="380" t="str">
        <f>VLOOKUP($B3056,'D7 - NDB Impacted SPRF''s'!$E$6:$O$9929,6,FALSE)</f>
        <v>Joshua Ely</v>
      </c>
      <c r="AG3056" s="282"/>
      <c r="AH3056" s="311" t="e">
        <f>INDEX('D5 - Gatekeeper - Projects'!$A$4:$AF$1010,$AM3056, 17)</f>
        <v>#N/A</v>
      </c>
      <c r="AI3056" s="8"/>
      <c r="AJ3056" s="57"/>
      <c r="AK3056" s="105"/>
      <c r="AM3056" s="6" t="e">
        <f>MATCH(D3056,'D5 - Gatekeeper - Projects'!$C$4:$C$1010,0)</f>
        <v>#N/A</v>
      </c>
      <c r="AN3056" s="6" t="b">
        <f t="shared" si="314"/>
        <v>1</v>
      </c>
      <c r="AO3056" s="6" t="str">
        <f t="shared" si="315"/>
        <v>OK</v>
      </c>
      <c r="AQ3056" s="6" t="e">
        <f>MATCH($D3056,'D4 - Provider Council Unsched'!$C$11:$C$234,0)</f>
        <v>#N/A</v>
      </c>
      <c r="AR3056" s="6" t="b">
        <f t="shared" si="316"/>
        <v>1</v>
      </c>
      <c r="AS3056" s="6" t="str">
        <f t="shared" si="317"/>
        <v>OK</v>
      </c>
      <c r="AU3056" s="202"/>
      <c r="AV3056" s="6"/>
      <c r="AW3056" s="274"/>
    </row>
    <row r="3057" spans="1:49" s="13" customFormat="1" ht="45" x14ac:dyDescent="0.2">
      <c r="A3057" s="14">
        <v>3033</v>
      </c>
      <c r="B3057" s="8">
        <v>400041626</v>
      </c>
      <c r="C3057" s="8" t="s">
        <v>1447</v>
      </c>
      <c r="D3057" s="4" t="str">
        <f t="shared" si="318"/>
        <v>400041626A</v>
      </c>
      <c r="E3057" s="309" t="str">
        <f>VLOOKUP($B3057,'D7 - NDB Impacted SPRF''s'!$E$6:$O$9929,2,FALSE)</f>
        <v>PDR Pulse Migration to COSMSOS – Claim Processing</v>
      </c>
      <c r="F3057" s="8"/>
      <c r="G3057" s="8" t="s">
        <v>4758</v>
      </c>
      <c r="H3057" s="8" t="s">
        <v>2870</v>
      </c>
      <c r="I3057" s="20"/>
      <c r="J3057" s="8"/>
      <c r="K3057" s="182"/>
      <c r="L3057" s="8" t="s">
        <v>4156</v>
      </c>
      <c r="M3057" s="8" t="s">
        <v>2814</v>
      </c>
      <c r="N3057" s="38" t="s">
        <v>1148</v>
      </c>
      <c r="O3057" s="8"/>
      <c r="P3057" s="4" t="str">
        <f>VLOOKUP($B3057,'D7 - NDB Impacted SPRF''s'!$E$16:$O$9929,9,FALSE)</f>
        <v>N</v>
      </c>
      <c r="Q3057" s="4" t="str">
        <f>VLOOKUP($B3057,'D7 - NDB Impacted SPRF''s'!$E$16:$O$9929,10,FALSE)</f>
        <v>N</v>
      </c>
      <c r="R3057" s="4" t="str">
        <f>VLOOKUP($B3057,'D7 - NDB Impacted SPRF''s'!$E$16:$O$9929,11,FALSE)</f>
        <v>Y</v>
      </c>
      <c r="S3057" s="8"/>
      <c r="T3057" s="310"/>
      <c r="U3057" s="310"/>
      <c r="V3057" s="4"/>
      <c r="W3057" s="4"/>
      <c r="X3057" s="4"/>
      <c r="Y3057" s="4"/>
      <c r="Z3057" s="4"/>
      <c r="AA3057" s="4"/>
      <c r="AB3057" s="380" t="str">
        <f>VLOOKUP($B3057,'D7 - NDB Impacted SPRF''s'!$E$6:$O$9929,4,FALSE)</f>
        <v>Completed</v>
      </c>
      <c r="AC3057" s="380" t="str">
        <f>VLOOKUP($B3057,'D7 - NDB Impacted SPRF''s'!$E$6:$O$9929,3,FALSE)</f>
        <v>UHG IT - Enterprise Technology Services</v>
      </c>
      <c r="AD3057" s="380" t="str">
        <f>VLOOKUP($B3057,'D7 - NDB Impacted SPRF''s'!$E$6:$O$9929,5,FALSE)</f>
        <v>Strategic Initiatives</v>
      </c>
      <c r="AE3057" s="380" t="str">
        <f>VLOOKUP($B3057,'D7 - NDB Impacted SPRF''s'!$E$6:$O$9929,7,FALSE)</f>
        <v>Wichmann</v>
      </c>
      <c r="AF3057" s="380" t="str">
        <f>VLOOKUP($B3057,'D7 - NDB Impacted SPRF''s'!$E$6:$O$9929,6,FALSE)</f>
        <v>Joshua Ely</v>
      </c>
      <c r="AG3057" s="282"/>
      <c r="AH3057" s="311" t="e">
        <f>INDEX('D5 - Gatekeeper - Projects'!$A$4:$AF$1010,$AM3057, 17)</f>
        <v>#N/A</v>
      </c>
      <c r="AI3057" s="8"/>
      <c r="AJ3057" s="57"/>
      <c r="AK3057" s="105"/>
      <c r="AM3057" s="6" t="e">
        <f>MATCH(D3057,'D5 - Gatekeeper - Projects'!$C$4:$C$1010,0)</f>
        <v>#N/A</v>
      </c>
      <c r="AN3057" s="6" t="b">
        <f t="shared" si="314"/>
        <v>1</v>
      </c>
      <c r="AO3057" s="6" t="str">
        <f t="shared" si="315"/>
        <v>OK</v>
      </c>
      <c r="AQ3057" s="6" t="e">
        <f>MATCH($D3057,'D4 - Provider Council Unsched'!$C$11:$C$234,0)</f>
        <v>#N/A</v>
      </c>
      <c r="AR3057" s="6" t="b">
        <f t="shared" si="316"/>
        <v>1</v>
      </c>
      <c r="AS3057" s="6" t="str">
        <f t="shared" si="317"/>
        <v>OK</v>
      </c>
      <c r="AU3057" s="202"/>
      <c r="AV3057" s="6"/>
      <c r="AW3057" s="274"/>
    </row>
    <row r="3058" spans="1:49" s="13" customFormat="1" ht="33.75" x14ac:dyDescent="0.2">
      <c r="A3058" s="14">
        <v>3034</v>
      </c>
      <c r="B3058" s="8">
        <v>400041818</v>
      </c>
      <c r="C3058" s="8" t="s">
        <v>1447</v>
      </c>
      <c r="D3058" s="4" t="str">
        <f t="shared" si="318"/>
        <v>400041818A</v>
      </c>
      <c r="E3058" s="309" t="str">
        <f>VLOOKUP($B3058,'D7 - NDB Impacted SPRF''s'!$E$6:$O$9929,2,FALSE)</f>
        <v>Emptoris 2011 Feed Reconciliation Enhancements</v>
      </c>
      <c r="F3058" s="8"/>
      <c r="G3058" s="8" t="s">
        <v>4758</v>
      </c>
      <c r="H3058" s="8" t="s">
        <v>2870</v>
      </c>
      <c r="I3058" s="20"/>
      <c r="J3058" s="8"/>
      <c r="K3058" s="182"/>
      <c r="L3058" s="8" t="s">
        <v>4156</v>
      </c>
      <c r="M3058" s="8" t="s">
        <v>2814</v>
      </c>
      <c r="N3058" s="38" t="s">
        <v>5272</v>
      </c>
      <c r="O3058" s="8"/>
      <c r="P3058" s="4" t="str">
        <f>VLOOKUP($B3058,'D7 - NDB Impacted SPRF''s'!$E$16:$O$9929,9,FALSE)</f>
        <v>N</v>
      </c>
      <c r="Q3058" s="4" t="str">
        <f>VLOOKUP($B3058,'D7 - NDB Impacted SPRF''s'!$E$16:$O$9929,10,FALSE)</f>
        <v>N</v>
      </c>
      <c r="R3058" s="4" t="str">
        <f>VLOOKUP($B3058,'D7 - NDB Impacted SPRF''s'!$E$16:$O$9929,11,FALSE)</f>
        <v>N</v>
      </c>
      <c r="S3058" s="8"/>
      <c r="T3058" s="310"/>
      <c r="U3058" s="310"/>
      <c r="V3058" s="4"/>
      <c r="W3058" s="4"/>
      <c r="X3058" s="4"/>
      <c r="Y3058" s="4"/>
      <c r="Z3058" s="4"/>
      <c r="AA3058" s="4"/>
      <c r="AB3058" s="380" t="str">
        <f>VLOOKUP($B3058,'D7 - NDB Impacted SPRF''s'!$E$6:$O$9929,4,FALSE)</f>
        <v>Completed</v>
      </c>
      <c r="AC3058" s="380" t="str">
        <f>VLOOKUP($B3058,'D7 - NDB Impacted SPRF''s'!$E$6:$O$9929,3,FALSE)</f>
        <v>UnitedHealthcare Employer &amp; Individual</v>
      </c>
      <c r="AD3058" s="380" t="str">
        <f>VLOOKUP($B3058,'D7 - NDB Impacted SPRF''s'!$E$6:$O$9929,5,FALSE)</f>
        <v>Process Improvement</v>
      </c>
      <c r="AE3058" s="380" t="str">
        <f>VLOOKUP($B3058,'D7 - NDB Impacted SPRF''s'!$E$6:$O$9929,7,FALSE)</f>
        <v>Sally Verrilli</v>
      </c>
      <c r="AF3058" s="380" t="str">
        <f>VLOOKUP($B3058,'D7 - NDB Impacted SPRF''s'!$E$6:$O$9929,6,FALSE)</f>
        <v>Shelly Heit</v>
      </c>
      <c r="AG3058" s="282"/>
      <c r="AH3058" s="311" t="e">
        <f>INDEX('D5 - Gatekeeper - Projects'!$A$4:$AF$1010,$AM3058, 17)</f>
        <v>#N/A</v>
      </c>
      <c r="AI3058" s="8"/>
      <c r="AJ3058" s="57"/>
      <c r="AK3058" s="105"/>
      <c r="AM3058" s="6" t="e">
        <f>MATCH(D3058,'D5 - Gatekeeper - Projects'!$C$4:$C$1010,0)</f>
        <v>#N/A</v>
      </c>
      <c r="AN3058" s="6" t="b">
        <f t="shared" si="314"/>
        <v>1</v>
      </c>
      <c r="AO3058" s="6" t="str">
        <f t="shared" si="315"/>
        <v>OK</v>
      </c>
      <c r="AQ3058" s="6" t="e">
        <f>MATCH($D3058,'D4 - Provider Council Unsched'!$C$11:$C$234,0)</f>
        <v>#N/A</v>
      </c>
      <c r="AR3058" s="6" t="b">
        <f t="shared" si="316"/>
        <v>1</v>
      </c>
      <c r="AS3058" s="6" t="str">
        <f t="shared" si="317"/>
        <v>OK</v>
      </c>
      <c r="AU3058" s="202"/>
      <c r="AV3058" s="6"/>
      <c r="AW3058" s="274"/>
    </row>
    <row r="3059" spans="1:49" s="13" customFormat="1" ht="33.75" x14ac:dyDescent="0.2">
      <c r="A3059" s="14">
        <v>3035</v>
      </c>
      <c r="B3059" s="8">
        <v>400041921</v>
      </c>
      <c r="C3059" s="8" t="s">
        <v>1447</v>
      </c>
      <c r="D3059" s="4" t="str">
        <f t="shared" si="318"/>
        <v>400041921A</v>
      </c>
      <c r="E3059" s="309" t="str">
        <f>VLOOKUP($B3059,'D7 - NDB Impacted SPRF''s'!$E$6:$O$9929,2,FALSE)</f>
        <v>PPO-1 Updates to include NDC Information</v>
      </c>
      <c r="F3059" s="8"/>
      <c r="G3059" s="8" t="s">
        <v>4758</v>
      </c>
      <c r="H3059" s="8" t="s">
        <v>2870</v>
      </c>
      <c r="I3059" s="20"/>
      <c r="J3059" s="8"/>
      <c r="K3059" s="182"/>
      <c r="L3059" s="8" t="s">
        <v>4156</v>
      </c>
      <c r="M3059" s="8" t="s">
        <v>2814</v>
      </c>
      <c r="N3059" s="38" t="s">
        <v>1343</v>
      </c>
      <c r="O3059" s="8"/>
      <c r="P3059" s="4" t="str">
        <f>VLOOKUP($B3059,'D7 - NDB Impacted SPRF''s'!$E$16:$O$9929,9,FALSE)</f>
        <v>Y</v>
      </c>
      <c r="Q3059" s="4" t="str">
        <f>VLOOKUP($B3059,'D7 - NDB Impacted SPRF''s'!$E$16:$O$9929,10,FALSE)</f>
        <v>N</v>
      </c>
      <c r="R3059" s="4" t="str">
        <f>VLOOKUP($B3059,'D7 - NDB Impacted SPRF''s'!$E$16:$O$9929,11,FALSE)</f>
        <v>Y</v>
      </c>
      <c r="S3059" s="8"/>
      <c r="T3059" s="310"/>
      <c r="U3059" s="310"/>
      <c r="V3059" s="4"/>
      <c r="W3059" s="4"/>
      <c r="X3059" s="4"/>
      <c r="Y3059" s="4"/>
      <c r="Z3059" s="4"/>
      <c r="AA3059" s="4"/>
      <c r="AB3059" s="380" t="str">
        <f>VLOOKUP($B3059,'D7 - NDB Impacted SPRF''s'!$E$6:$O$9929,4,FALSE)</f>
        <v>Completed</v>
      </c>
      <c r="AC3059" s="380" t="str">
        <f>VLOOKUP($B3059,'D7 - NDB Impacted SPRF''s'!$E$6:$O$9929,3,FALSE)</f>
        <v>UnitedHealthcare Community &amp; State</v>
      </c>
      <c r="AD3059" s="380" t="str">
        <f>VLOOKUP($B3059,'D7 - NDB Impacted SPRF''s'!$E$6:$O$9929,5,FALSE)</f>
        <v>Regulatory / Other</v>
      </c>
      <c r="AE3059" s="380" t="str">
        <f>VLOOKUP($B3059,'D7 - NDB Impacted SPRF''s'!$E$6:$O$9929,7,FALSE)</f>
        <v>Paul Balthazor</v>
      </c>
      <c r="AF3059" s="380" t="str">
        <f>VLOOKUP($B3059,'D7 - NDB Impacted SPRF''s'!$E$6:$O$9929,6,FALSE)</f>
        <v>Barbara Petrauschke</v>
      </c>
      <c r="AG3059" s="282"/>
      <c r="AH3059" s="311" t="e">
        <f>INDEX('D5 - Gatekeeper - Projects'!$A$4:$AF$1010,$AM3059, 17)</f>
        <v>#N/A</v>
      </c>
      <c r="AI3059" s="8"/>
      <c r="AJ3059" s="57"/>
      <c r="AK3059" s="105"/>
      <c r="AM3059" s="6" t="e">
        <f>MATCH(D3059,'D5 - Gatekeeper - Projects'!$C$4:$C$1010,0)</f>
        <v>#N/A</v>
      </c>
      <c r="AN3059" s="6" t="b">
        <f t="shared" si="314"/>
        <v>1</v>
      </c>
      <c r="AO3059" s="6" t="str">
        <f t="shared" si="315"/>
        <v>OK</v>
      </c>
      <c r="AQ3059" s="6" t="e">
        <f>MATCH($D3059,'D4 - Provider Council Unsched'!$C$11:$C$234,0)</f>
        <v>#N/A</v>
      </c>
      <c r="AR3059" s="6" t="b">
        <f t="shared" si="316"/>
        <v>1</v>
      </c>
      <c r="AS3059" s="6" t="str">
        <f t="shared" si="317"/>
        <v>OK</v>
      </c>
      <c r="AU3059" s="202"/>
      <c r="AV3059" s="6"/>
      <c r="AW3059" s="274"/>
    </row>
    <row r="3060" spans="1:49" s="13" customFormat="1" ht="33.75" x14ac:dyDescent="0.2">
      <c r="A3060" s="14">
        <v>3036</v>
      </c>
      <c r="B3060" s="8">
        <v>400042159</v>
      </c>
      <c r="C3060" s="8" t="s">
        <v>1447</v>
      </c>
      <c r="D3060" s="4" t="str">
        <f t="shared" si="318"/>
        <v>400042159A</v>
      </c>
      <c r="E3060" s="309" t="str">
        <f>VLOOKUP($B3060,'D7 - NDB Impacted SPRF''s'!$E$6:$O$9929,2,FALSE)</f>
        <v>WP1 - Member Matching Logic Enhancements</v>
      </c>
      <c r="F3060" s="8"/>
      <c r="G3060" s="8" t="s">
        <v>4758</v>
      </c>
      <c r="H3060" s="8" t="s">
        <v>2870</v>
      </c>
      <c r="I3060" s="20"/>
      <c r="J3060" s="8"/>
      <c r="K3060" s="182"/>
      <c r="L3060" s="8" t="s">
        <v>4156</v>
      </c>
      <c r="M3060" s="8" t="s">
        <v>2814</v>
      </c>
      <c r="N3060" s="38" t="s">
        <v>2226</v>
      </c>
      <c r="O3060" s="8"/>
      <c r="P3060" s="4" t="str">
        <f>VLOOKUP($B3060,'D7 - NDB Impacted SPRF''s'!$E$16:$O$9929,9,FALSE)</f>
        <v>N</v>
      </c>
      <c r="Q3060" s="4" t="str">
        <f>VLOOKUP($B3060,'D7 - NDB Impacted SPRF''s'!$E$16:$O$9929,10,FALSE)</f>
        <v>N</v>
      </c>
      <c r="R3060" s="4" t="str">
        <f>VLOOKUP($B3060,'D7 - NDB Impacted SPRF''s'!$E$16:$O$9929,11,FALSE)</f>
        <v>N</v>
      </c>
      <c r="S3060" s="8"/>
      <c r="T3060" s="310"/>
      <c r="U3060" s="310"/>
      <c r="V3060" s="4"/>
      <c r="W3060" s="4"/>
      <c r="X3060" s="4"/>
      <c r="Y3060" s="4"/>
      <c r="Z3060" s="4"/>
      <c r="AA3060" s="4"/>
      <c r="AB3060" s="380" t="str">
        <f>VLOOKUP($B3060,'D7 - NDB Impacted SPRF''s'!$E$6:$O$9929,4,FALSE)</f>
        <v>Completed</v>
      </c>
      <c r="AC3060" s="380" t="str">
        <f>VLOOKUP($B3060,'D7 - NDB Impacted SPRF''s'!$E$6:$O$9929,3,FALSE)</f>
        <v>UnitedHealthcare Employer &amp; Individual</v>
      </c>
      <c r="AD3060" s="380" t="str">
        <f>VLOOKUP($B3060,'D7 - NDB Impacted SPRF''s'!$E$6:$O$9929,5,FALSE)</f>
        <v>Integration Requirements</v>
      </c>
      <c r="AE3060" s="380" t="str">
        <f>VLOOKUP($B3060,'D7 - NDB Impacted SPRF''s'!$E$6:$O$9929,7,FALSE)</f>
        <v>Diane Schofield</v>
      </c>
      <c r="AF3060" s="380" t="str">
        <f>VLOOKUP($B3060,'D7 - NDB Impacted SPRF''s'!$E$6:$O$9929,6,FALSE)</f>
        <v>Rebecca Gent</v>
      </c>
      <c r="AG3060" s="282"/>
      <c r="AH3060" s="311" t="e">
        <f>INDEX('D5 - Gatekeeper - Projects'!$A$4:$AF$1010,$AM3060, 17)</f>
        <v>#N/A</v>
      </c>
      <c r="AI3060" s="8"/>
      <c r="AJ3060" s="57"/>
      <c r="AK3060" s="105"/>
      <c r="AM3060" s="6" t="e">
        <f>MATCH(D3060,'D5 - Gatekeeper - Projects'!$C$4:$C$1010,0)</f>
        <v>#N/A</v>
      </c>
      <c r="AN3060" s="6" t="b">
        <f t="shared" si="314"/>
        <v>1</v>
      </c>
      <c r="AO3060" s="6" t="str">
        <f t="shared" si="315"/>
        <v>OK</v>
      </c>
      <c r="AQ3060" s="6" t="e">
        <f>MATCH($D3060,'D4 - Provider Council Unsched'!$C$11:$C$234,0)</f>
        <v>#N/A</v>
      </c>
      <c r="AR3060" s="6" t="b">
        <f t="shared" si="316"/>
        <v>1</v>
      </c>
      <c r="AS3060" s="6" t="str">
        <f t="shared" si="317"/>
        <v>OK</v>
      </c>
      <c r="AU3060" s="202"/>
      <c r="AV3060" s="6" t="s">
        <v>474</v>
      </c>
      <c r="AW3060" s="274"/>
    </row>
    <row r="3061" spans="1:49" s="13" customFormat="1" ht="33.75" x14ac:dyDescent="0.2">
      <c r="A3061" s="14">
        <v>3037</v>
      </c>
      <c r="B3061" s="8">
        <v>400042325</v>
      </c>
      <c r="C3061" s="8" t="s">
        <v>1447</v>
      </c>
      <c r="D3061" s="4" t="str">
        <f t="shared" si="318"/>
        <v>400042325A</v>
      </c>
      <c r="E3061" s="309" t="str">
        <f>VLOOKUP($B3061,'D7 - NDB Impacted SPRF''s'!$E$6:$O$9929,2,FALSE)</f>
        <v>Convey eStatement - UHC Online Hosting</v>
      </c>
      <c r="F3061" s="8"/>
      <c r="G3061" s="8" t="s">
        <v>4758</v>
      </c>
      <c r="H3061" s="8" t="s">
        <v>2870</v>
      </c>
      <c r="I3061" s="20"/>
      <c r="J3061" s="8"/>
      <c r="K3061" s="182"/>
      <c r="L3061" s="8" t="s">
        <v>4156</v>
      </c>
      <c r="M3061" s="8" t="s">
        <v>2814</v>
      </c>
      <c r="N3061" s="38"/>
      <c r="O3061" s="8"/>
      <c r="P3061" s="4" t="str">
        <f>VLOOKUP($B3061,'D7 - NDB Impacted SPRF''s'!$E$16:$O$9929,9,FALSE)</f>
        <v>N</v>
      </c>
      <c r="Q3061" s="4" t="str">
        <f>VLOOKUP($B3061,'D7 - NDB Impacted SPRF''s'!$E$16:$O$9929,10,FALSE)</f>
        <v>N</v>
      </c>
      <c r="R3061" s="4" t="str">
        <f>VLOOKUP($B3061,'D7 - NDB Impacted SPRF''s'!$E$16:$O$9929,11,FALSE)</f>
        <v>N</v>
      </c>
      <c r="S3061" s="8"/>
      <c r="T3061" s="310"/>
      <c r="U3061" s="310"/>
      <c r="V3061" s="4"/>
      <c r="W3061" s="4"/>
      <c r="X3061" s="4"/>
      <c r="Y3061" s="4"/>
      <c r="Z3061" s="4"/>
      <c r="AA3061" s="4"/>
      <c r="AB3061" s="380" t="str">
        <f>VLOOKUP($B3061,'D7 - NDB Impacted SPRF''s'!$E$6:$O$9929,4,FALSE)</f>
        <v>Cancelled</v>
      </c>
      <c r="AC3061" s="380" t="s">
        <v>5324</v>
      </c>
      <c r="AD3061" s="380" t="str">
        <f>VLOOKUP($B3061,'D7 - NDB Impacted SPRF''s'!$E$6:$O$9929,5,FALSE)</f>
        <v>Corporate Systems</v>
      </c>
      <c r="AE3061" s="380" t="str">
        <f>VLOOKUP($B3061,'D7 - NDB Impacted SPRF''s'!$E$6:$O$9929,7,FALSE)</f>
        <v>John E. Wallace</v>
      </c>
      <c r="AF3061" s="380" t="str">
        <f>VLOOKUP($B3061,'D7 - NDB Impacted SPRF''s'!$E$6:$O$9929,6,FALSE)</f>
        <v>Probir Mukerjee</v>
      </c>
      <c r="AG3061" s="282"/>
      <c r="AH3061" s="311" t="e">
        <f>INDEX('D5 - Gatekeeper - Projects'!$A$4:$AF$1010,$AM3061, 17)</f>
        <v>#N/A</v>
      </c>
      <c r="AI3061" s="8"/>
      <c r="AJ3061" s="57"/>
      <c r="AK3061" s="105"/>
      <c r="AM3061" s="6" t="e">
        <f>MATCH(D3061,'D5 - Gatekeeper - Projects'!$C$4:$C$1010,0)</f>
        <v>#N/A</v>
      </c>
      <c r="AN3061" s="6" t="b">
        <f t="shared" si="314"/>
        <v>1</v>
      </c>
      <c r="AO3061" s="6" t="str">
        <f t="shared" si="315"/>
        <v>OK</v>
      </c>
      <c r="AQ3061" s="6" t="e">
        <f>MATCH($D3061,'D4 - Provider Council Unsched'!$C$11:$C$234,0)</f>
        <v>#N/A</v>
      </c>
      <c r="AR3061" s="6" t="b">
        <f t="shared" si="316"/>
        <v>1</v>
      </c>
      <c r="AS3061" s="6" t="str">
        <f t="shared" si="317"/>
        <v>OK</v>
      </c>
      <c r="AU3061" s="202"/>
      <c r="AV3061" s="216"/>
      <c r="AW3061" s="274"/>
    </row>
    <row r="3062" spans="1:49" s="13" customFormat="1" ht="33.75" x14ac:dyDescent="0.2">
      <c r="A3062" s="14">
        <v>3038</v>
      </c>
      <c r="B3062" s="8">
        <v>400042436</v>
      </c>
      <c r="C3062" s="8" t="s">
        <v>1447</v>
      </c>
      <c r="D3062" s="4" t="str">
        <f t="shared" si="318"/>
        <v>400042436A</v>
      </c>
      <c r="E3062" s="309" t="str">
        <f>VLOOKUP($B3062,'D7 - NDB Impacted SPRF''s'!$E$6:$O$9929,2,FALSE)</f>
        <v>OHBS - IVR Self Service Find a Clinician</v>
      </c>
      <c r="F3062" s="8"/>
      <c r="G3062" s="8" t="s">
        <v>4758</v>
      </c>
      <c r="H3062" s="8" t="s">
        <v>2870</v>
      </c>
      <c r="I3062" s="20"/>
      <c r="J3062" s="8"/>
      <c r="K3062" s="182"/>
      <c r="L3062" s="8" t="s">
        <v>4156</v>
      </c>
      <c r="M3062" s="8" t="s">
        <v>2814</v>
      </c>
      <c r="N3062" s="38" t="s">
        <v>3066</v>
      </c>
      <c r="O3062" s="8"/>
      <c r="P3062" s="4" t="str">
        <f>VLOOKUP($B3062,'D7 - NDB Impacted SPRF''s'!$E$16:$O$9929,9,FALSE)</f>
        <v>N</v>
      </c>
      <c r="Q3062" s="4" t="str">
        <f>VLOOKUP($B3062,'D7 - NDB Impacted SPRF''s'!$E$16:$O$9929,10,FALSE)</f>
        <v>N</v>
      </c>
      <c r="R3062" s="4" t="str">
        <f>VLOOKUP($B3062,'D7 - NDB Impacted SPRF''s'!$E$16:$O$9929,11,FALSE)</f>
        <v>N</v>
      </c>
      <c r="S3062" s="8"/>
      <c r="T3062" s="310"/>
      <c r="U3062" s="310"/>
      <c r="V3062" s="4"/>
      <c r="W3062" s="4"/>
      <c r="X3062" s="4"/>
      <c r="Y3062" s="4"/>
      <c r="Z3062" s="4"/>
      <c r="AA3062" s="4"/>
      <c r="AB3062" s="380" t="str">
        <f>VLOOKUP($B3062,'D7 - NDB Impacted SPRF''s'!$E$6:$O$9929,4,FALSE)</f>
        <v>Cancelled</v>
      </c>
      <c r="AC3062" s="380" t="s">
        <v>5324</v>
      </c>
      <c r="AD3062" s="380" t="str">
        <f>VLOOKUP($B3062,'D7 - NDB Impacted SPRF''s'!$E$6:$O$9929,5,FALSE)</f>
        <v>Behavioral Solutions</v>
      </c>
      <c r="AE3062" s="380" t="str">
        <f>VLOOKUP($B3062,'D7 - NDB Impacted SPRF''s'!$E$6:$O$9929,7,FALSE)</f>
        <v>Tyler Moore</v>
      </c>
      <c r="AF3062" s="380" t="str">
        <f>VLOOKUP($B3062,'D7 - NDB Impacted SPRF''s'!$E$6:$O$9929,6,FALSE)</f>
        <v>John Howalt</v>
      </c>
      <c r="AG3062" s="282"/>
      <c r="AH3062" s="311" t="e">
        <f>INDEX('D5 - Gatekeeper - Projects'!$A$4:$AF$1010,$AM3062, 17)</f>
        <v>#N/A</v>
      </c>
      <c r="AI3062" s="8"/>
      <c r="AJ3062" s="57"/>
      <c r="AK3062" s="105"/>
      <c r="AM3062" s="6" t="e">
        <f>MATCH(D3062,'D5 - Gatekeeper - Projects'!$C$4:$C$1010,0)</f>
        <v>#N/A</v>
      </c>
      <c r="AN3062" s="6" t="b">
        <f t="shared" si="314"/>
        <v>1</v>
      </c>
      <c r="AO3062" s="6" t="str">
        <f t="shared" si="315"/>
        <v>OK</v>
      </c>
      <c r="AQ3062" s="6" t="e">
        <f>MATCH($D3062,'D4 - Provider Council Unsched'!$C$11:$C$234,0)</f>
        <v>#N/A</v>
      </c>
      <c r="AR3062" s="6" t="b">
        <f t="shared" si="316"/>
        <v>1</v>
      </c>
      <c r="AS3062" s="6" t="str">
        <f t="shared" si="317"/>
        <v>OK</v>
      </c>
      <c r="AU3062" s="202"/>
      <c r="AV3062" s="216"/>
      <c r="AW3062" s="274"/>
    </row>
    <row r="3063" spans="1:49" s="13" customFormat="1" ht="33.75" x14ac:dyDescent="0.2">
      <c r="A3063" s="14">
        <v>3039</v>
      </c>
      <c r="B3063" s="8">
        <v>400042460</v>
      </c>
      <c r="C3063" s="8" t="s">
        <v>1447</v>
      </c>
      <c r="D3063" s="4" t="str">
        <f t="shared" si="318"/>
        <v>400042460A</v>
      </c>
      <c r="E3063" s="309" t="str">
        <f>VLOOKUP($B3063,'D7 - NDB Impacted SPRF''s'!$E$6:$O$9929,2,FALSE)</f>
        <v>TaaS - External Identity Management and Authorizat</v>
      </c>
      <c r="F3063" s="8"/>
      <c r="G3063" s="8" t="s">
        <v>4758</v>
      </c>
      <c r="H3063" s="8" t="s">
        <v>2870</v>
      </c>
      <c r="I3063" s="20"/>
      <c r="J3063" s="8"/>
      <c r="K3063" s="182"/>
      <c r="L3063" s="8" t="s">
        <v>4156</v>
      </c>
      <c r="M3063" s="8" t="s">
        <v>6688</v>
      </c>
      <c r="N3063" s="38" t="s">
        <v>1004</v>
      </c>
      <c r="O3063" s="8"/>
      <c r="P3063" s="4" t="str">
        <f>VLOOKUP($B3063,'D7 - NDB Impacted SPRF''s'!$E$16:$O$9929,9,FALSE)</f>
        <v>N</v>
      </c>
      <c r="Q3063" s="4" t="str">
        <f>VLOOKUP($B3063,'D7 - NDB Impacted SPRF''s'!$E$16:$O$9929,10,FALSE)</f>
        <v>N</v>
      </c>
      <c r="R3063" s="4" t="str">
        <f>VLOOKUP($B3063,'D7 - NDB Impacted SPRF''s'!$E$16:$O$9929,11,FALSE)</f>
        <v>N</v>
      </c>
      <c r="S3063" s="8"/>
      <c r="T3063" s="310"/>
      <c r="U3063" s="310"/>
      <c r="V3063" s="4"/>
      <c r="W3063" s="4"/>
      <c r="X3063" s="4"/>
      <c r="Y3063" s="4"/>
      <c r="Z3063" s="4"/>
      <c r="AA3063" s="4"/>
      <c r="AB3063" s="380" t="str">
        <f>VLOOKUP($B3063,'D7 - NDB Impacted SPRF''s'!$E$6:$O$9929,4,FALSE)</f>
        <v>Completed</v>
      </c>
      <c r="AC3063" s="380" t="s">
        <v>5324</v>
      </c>
      <c r="AD3063" s="380" t="str">
        <f>VLOOKUP($B3063,'D7 - NDB Impacted SPRF''s'!$E$6:$O$9929,5,FALSE)</f>
        <v>Strategic Initiatives</v>
      </c>
      <c r="AE3063" s="380" t="str">
        <f>VLOOKUP($B3063,'D7 - NDB Impacted SPRF''s'!$E$6:$O$9929,7,FALSE)</f>
        <v>Mark Duhaime</v>
      </c>
      <c r="AF3063" s="380" t="str">
        <f>VLOOKUP($B3063,'D7 - NDB Impacted SPRF''s'!$E$6:$O$9929,6,FALSE)</f>
        <v>Bill Schofield</v>
      </c>
      <c r="AG3063" s="282"/>
      <c r="AH3063" s="311" t="e">
        <f>INDEX('D5 - Gatekeeper - Projects'!$A$4:$AF$1010,$AM3063, 17)</f>
        <v>#N/A</v>
      </c>
      <c r="AI3063" s="8"/>
      <c r="AJ3063" s="57"/>
      <c r="AK3063" s="105"/>
      <c r="AM3063" s="6" t="e">
        <f>MATCH(D3063,'D5 - Gatekeeper - Projects'!$C$4:$C$1010,0)</f>
        <v>#N/A</v>
      </c>
      <c r="AN3063" s="6" t="b">
        <f t="shared" si="314"/>
        <v>1</v>
      </c>
      <c r="AO3063" s="6" t="str">
        <f t="shared" si="315"/>
        <v>OK</v>
      </c>
      <c r="AQ3063" s="6" t="e">
        <f>MATCH($D3063,'D4 - Provider Council Unsched'!$C$11:$C$234,0)</f>
        <v>#N/A</v>
      </c>
      <c r="AR3063" s="6" t="b">
        <f t="shared" si="316"/>
        <v>1</v>
      </c>
      <c r="AS3063" s="6" t="str">
        <f t="shared" si="317"/>
        <v>OK</v>
      </c>
      <c r="AU3063" s="202"/>
      <c r="AV3063" s="216"/>
      <c r="AW3063" s="274"/>
    </row>
    <row r="3064" spans="1:49" s="13" customFormat="1" ht="33.75" x14ac:dyDescent="0.2">
      <c r="A3064" s="14">
        <v>3040</v>
      </c>
      <c r="B3064" s="8">
        <v>400042532</v>
      </c>
      <c r="C3064" s="8" t="s">
        <v>1447</v>
      </c>
      <c r="D3064" s="4" t="str">
        <f t="shared" si="318"/>
        <v>400042532A</v>
      </c>
      <c r="E3064" s="309" t="str">
        <f>VLOOKUP($B3064,'D7 - NDB Impacted SPRF''s'!$E$6:$O$9929,2,FALSE)</f>
        <v>Lab Network Reimbursement Program</v>
      </c>
      <c r="F3064" s="8"/>
      <c r="G3064" s="8" t="s">
        <v>4758</v>
      </c>
      <c r="H3064" s="8" t="s">
        <v>2870</v>
      </c>
      <c r="I3064" s="20"/>
      <c r="J3064" s="8"/>
      <c r="K3064" s="182"/>
      <c r="L3064" s="8" t="s">
        <v>4156</v>
      </c>
      <c r="M3064" s="8" t="s">
        <v>2814</v>
      </c>
      <c r="N3064" s="364" t="s">
        <v>2715</v>
      </c>
      <c r="O3064" s="8"/>
      <c r="P3064" s="4" t="str">
        <f>VLOOKUP($B3064,'D7 - NDB Impacted SPRF''s'!$E$16:$O$9929,9,FALSE)</f>
        <v>N</v>
      </c>
      <c r="Q3064" s="4" t="str">
        <f>VLOOKUP($B3064,'D7 - NDB Impacted SPRF''s'!$E$16:$O$9929,10,FALSE)</f>
        <v>N</v>
      </c>
      <c r="R3064" s="4" t="str">
        <f>VLOOKUP($B3064,'D7 - NDB Impacted SPRF''s'!$E$16:$O$9929,11,FALSE)</f>
        <v>N</v>
      </c>
      <c r="S3064" s="8"/>
      <c r="T3064" s="310"/>
      <c r="U3064" s="310"/>
      <c r="V3064" s="4"/>
      <c r="W3064" s="4"/>
      <c r="X3064" s="4"/>
      <c r="Y3064" s="4"/>
      <c r="Z3064" s="4"/>
      <c r="AA3064" s="4"/>
      <c r="AB3064" s="380" t="str">
        <f>VLOOKUP($B3064,'D7 - NDB Impacted SPRF''s'!$E$6:$O$9929,4,FALSE)</f>
        <v>Cancelled</v>
      </c>
      <c r="AC3064" s="380" t="s">
        <v>5324</v>
      </c>
      <c r="AD3064" s="380" t="str">
        <f>VLOOKUP($B3064,'D7 - NDB Impacted SPRF''s'!$E$6:$O$9929,5,FALSE)</f>
        <v>AmeriChoice</v>
      </c>
      <c r="AE3064" s="380" t="str">
        <f>VLOOKUP($B3064,'D7 - NDB Impacted SPRF''s'!$E$6:$O$9929,7,FALSE)</f>
        <v>Paul Balthazor</v>
      </c>
      <c r="AF3064" s="380" t="str">
        <f>VLOOKUP($B3064,'D7 - NDB Impacted SPRF''s'!$E$6:$O$9929,6,FALSE)</f>
        <v>Carol Brunetti</v>
      </c>
      <c r="AG3064" s="282"/>
      <c r="AH3064" s="311" t="e">
        <f>INDEX('D5 - Gatekeeper - Projects'!$A$4:$AF$1010,$AM3064, 17)</f>
        <v>#N/A</v>
      </c>
      <c r="AI3064" s="8"/>
      <c r="AJ3064" s="57"/>
      <c r="AK3064" s="105"/>
      <c r="AM3064" s="6" t="e">
        <f>MATCH(D3064,'D5 - Gatekeeper - Projects'!$C$4:$C$1010,0)</f>
        <v>#N/A</v>
      </c>
      <c r="AN3064" s="6" t="b">
        <f t="shared" si="314"/>
        <v>1</v>
      </c>
      <c r="AO3064" s="6" t="str">
        <f t="shared" si="315"/>
        <v>OK</v>
      </c>
      <c r="AQ3064" s="6" t="e">
        <f>MATCH($D3064,'D4 - Provider Council Unsched'!$C$11:$C$234,0)</f>
        <v>#N/A</v>
      </c>
      <c r="AR3064" s="6" t="b">
        <f t="shared" si="316"/>
        <v>1</v>
      </c>
      <c r="AS3064" s="6" t="str">
        <f t="shared" si="317"/>
        <v>OK</v>
      </c>
      <c r="AU3064" s="202"/>
      <c r="AV3064" s="216"/>
      <c r="AW3064" s="274"/>
    </row>
    <row r="3065" spans="1:49" s="13" customFormat="1" ht="33.75" x14ac:dyDescent="0.2">
      <c r="A3065" s="14">
        <v>3041</v>
      </c>
      <c r="B3065" s="8">
        <v>400042751</v>
      </c>
      <c r="C3065" s="8" t="s">
        <v>1447</v>
      </c>
      <c r="D3065" s="4" t="str">
        <f t="shared" si="318"/>
        <v>400042751A</v>
      </c>
      <c r="E3065" s="309" t="str">
        <f>VLOOKUP($B3065,'D7 - NDB Impacted SPRF''s'!$E$6:$O$9929,2,FALSE)</f>
        <v xml:space="preserve">Care Core Migration to 274/NDB Extract  </v>
      </c>
      <c r="F3065" s="8"/>
      <c r="G3065" s="8" t="s">
        <v>4758</v>
      </c>
      <c r="H3065" s="8" t="s">
        <v>2870</v>
      </c>
      <c r="I3065" s="20"/>
      <c r="J3065" s="8"/>
      <c r="K3065" s="182"/>
      <c r="L3065" s="8" t="s">
        <v>4156</v>
      </c>
      <c r="M3065" s="8" t="s">
        <v>2814</v>
      </c>
      <c r="N3065" s="38" t="s">
        <v>126</v>
      </c>
      <c r="O3065" s="8"/>
      <c r="P3065" s="4" t="str">
        <f>VLOOKUP($B3065,'D7 - NDB Impacted SPRF''s'!$E$16:$O$9929,9,FALSE)</f>
        <v>N</v>
      </c>
      <c r="Q3065" s="4" t="str">
        <f>VLOOKUP($B3065,'D7 - NDB Impacted SPRF''s'!$E$16:$O$9929,10,FALSE)</f>
        <v>N</v>
      </c>
      <c r="R3065" s="4" t="str">
        <f>VLOOKUP($B3065,'D7 - NDB Impacted SPRF''s'!$E$16:$O$9929,11,FALSE)</f>
        <v>N</v>
      </c>
      <c r="S3065" s="8"/>
      <c r="T3065" s="310"/>
      <c r="U3065" s="310"/>
      <c r="V3065" s="4"/>
      <c r="W3065" s="4"/>
      <c r="X3065" s="4"/>
      <c r="Y3065" s="4"/>
      <c r="Z3065" s="4"/>
      <c r="AA3065" s="4"/>
      <c r="AB3065" s="380" t="str">
        <f>VLOOKUP($B3065,'D7 - NDB Impacted SPRF''s'!$E$6:$O$9929,4,FALSE)</f>
        <v>Cancelled</v>
      </c>
      <c r="AC3065" s="380" t="s">
        <v>5324</v>
      </c>
      <c r="AD3065" s="380" t="str">
        <f>VLOOKUP($B3065,'D7 - NDB Impacted SPRF''s'!$E$6:$O$9929,5,FALSE)</f>
        <v>AmeriChoice</v>
      </c>
      <c r="AE3065" s="380" t="str">
        <f>VLOOKUP($B3065,'D7 - NDB Impacted SPRF''s'!$E$6:$O$9929,7,FALSE)</f>
        <v>Barb Walker</v>
      </c>
      <c r="AF3065" s="380" t="str">
        <f>VLOOKUP($B3065,'D7 - NDB Impacted SPRF''s'!$E$6:$O$9929,6,FALSE)</f>
        <v>Rebecca Stelter</v>
      </c>
      <c r="AG3065" s="282"/>
      <c r="AH3065" s="311" t="e">
        <f>INDEX('D5 - Gatekeeper - Projects'!$A$4:$AF$1010,$AM3065, 17)</f>
        <v>#N/A</v>
      </c>
      <c r="AI3065" s="8"/>
      <c r="AJ3065" s="57"/>
      <c r="AK3065" s="105"/>
      <c r="AM3065" s="6" t="e">
        <f>MATCH(D3065,'D5 - Gatekeeper - Projects'!$C$4:$C$1010,0)</f>
        <v>#N/A</v>
      </c>
      <c r="AN3065" s="6" t="b">
        <f t="shared" si="314"/>
        <v>1</v>
      </c>
      <c r="AO3065" s="6" t="str">
        <f t="shared" si="315"/>
        <v>OK</v>
      </c>
      <c r="AQ3065" s="6" t="e">
        <f>MATCH($D3065,'D4 - Provider Council Unsched'!$C$11:$C$234,0)</f>
        <v>#N/A</v>
      </c>
      <c r="AR3065" s="6" t="b">
        <f t="shared" si="316"/>
        <v>1</v>
      </c>
      <c r="AS3065" s="6" t="str">
        <f t="shared" si="317"/>
        <v>OK</v>
      </c>
      <c r="AU3065" s="202"/>
      <c r="AV3065" s="216"/>
      <c r="AW3065" s="274"/>
    </row>
    <row r="3066" spans="1:49" s="13" customFormat="1" ht="33.75" x14ac:dyDescent="0.2">
      <c r="A3066" s="14">
        <v>3042</v>
      </c>
      <c r="B3066" s="8">
        <v>400042821</v>
      </c>
      <c r="C3066" s="8" t="s">
        <v>1447</v>
      </c>
      <c r="D3066" s="4" t="str">
        <f t="shared" si="318"/>
        <v>400042821A</v>
      </c>
      <c r="E3066" s="309" t="str">
        <f>VLOOKUP($B3066,'D7 - NDB Impacted SPRF''s'!$E$6:$O$9929,2,FALSE)</f>
        <v>Provider Data from Pulse for iCUE &amp; UHC Online</v>
      </c>
      <c r="F3066" s="8"/>
      <c r="G3066" s="8" t="s">
        <v>4758</v>
      </c>
      <c r="H3066" s="8" t="s">
        <v>2870</v>
      </c>
      <c r="I3066" s="20"/>
      <c r="J3066" s="8"/>
      <c r="K3066" s="182"/>
      <c r="L3066" s="8" t="s">
        <v>4156</v>
      </c>
      <c r="M3066" s="8" t="s">
        <v>2814</v>
      </c>
      <c r="N3066" s="38" t="s">
        <v>1942</v>
      </c>
      <c r="O3066" s="8"/>
      <c r="P3066" s="4" t="str">
        <f>VLOOKUP($B3066,'D7 - NDB Impacted SPRF''s'!$E$16:$O$9929,9,FALSE)</f>
        <v>N</v>
      </c>
      <c r="Q3066" s="4" t="str">
        <f>VLOOKUP($B3066,'D7 - NDB Impacted SPRF''s'!$E$16:$O$9929,10,FALSE)</f>
        <v>N</v>
      </c>
      <c r="R3066" s="4" t="str">
        <f>VLOOKUP($B3066,'D7 - NDB Impacted SPRF''s'!$E$16:$O$9929,11,FALSE)</f>
        <v>N</v>
      </c>
      <c r="S3066" s="8"/>
      <c r="T3066" s="310"/>
      <c r="U3066" s="310"/>
      <c r="V3066" s="4"/>
      <c r="W3066" s="4"/>
      <c r="X3066" s="4"/>
      <c r="Y3066" s="4"/>
      <c r="Z3066" s="4"/>
      <c r="AA3066" s="4"/>
      <c r="AB3066" s="380" t="str">
        <f>VLOOKUP($B3066,'D7 - NDB Impacted SPRF''s'!$E$6:$O$9929,4,FALSE)</f>
        <v>Cancelled</v>
      </c>
      <c r="AC3066" s="380" t="s">
        <v>5324</v>
      </c>
      <c r="AD3066" s="380" t="str">
        <f>VLOOKUP($B3066,'D7 - NDB Impacted SPRF''s'!$E$6:$O$9929,5,FALSE)</f>
        <v>Enterprise Clinical</v>
      </c>
      <c r="AE3066" s="380" t="str">
        <f>VLOOKUP($B3066,'D7 - NDB Impacted SPRF''s'!$E$6:$O$9929,7,FALSE)</f>
        <v>Cynthia Middaugh</v>
      </c>
      <c r="AF3066" s="380" t="str">
        <f>VLOOKUP($B3066,'D7 - NDB Impacted SPRF''s'!$E$6:$O$9929,6,FALSE)</f>
        <v>CHRISTINA MOSHER</v>
      </c>
      <c r="AG3066" s="282"/>
      <c r="AH3066" s="311" t="e">
        <f>INDEX('D5 - Gatekeeper - Projects'!$A$4:$AF$1010,$AM3066, 17)</f>
        <v>#N/A</v>
      </c>
      <c r="AI3066" s="8"/>
      <c r="AJ3066" s="57"/>
      <c r="AK3066" s="105"/>
      <c r="AM3066" s="6" t="e">
        <f>MATCH(D3066,'D5 - Gatekeeper - Projects'!$C$4:$C$1010,0)</f>
        <v>#N/A</v>
      </c>
      <c r="AN3066" s="6" t="b">
        <f t="shared" si="314"/>
        <v>1</v>
      </c>
      <c r="AO3066" s="6" t="str">
        <f t="shared" si="315"/>
        <v>OK</v>
      </c>
      <c r="AQ3066" s="6" t="e">
        <f>MATCH($D3066,'D4 - Provider Council Unsched'!$C$11:$C$234,0)</f>
        <v>#N/A</v>
      </c>
      <c r="AR3066" s="6" t="b">
        <f t="shared" si="316"/>
        <v>1</v>
      </c>
      <c r="AS3066" s="6" t="str">
        <f t="shared" si="317"/>
        <v>OK</v>
      </c>
      <c r="AU3066" s="202"/>
      <c r="AV3066" s="216"/>
      <c r="AW3066" s="274"/>
    </row>
    <row r="3067" spans="1:49" s="13" customFormat="1" ht="33.75" x14ac:dyDescent="0.2">
      <c r="A3067" s="14">
        <v>3043</v>
      </c>
      <c r="B3067" s="8">
        <v>400042908</v>
      </c>
      <c r="C3067" s="8" t="s">
        <v>1447</v>
      </c>
      <c r="D3067" s="4" t="str">
        <f t="shared" si="318"/>
        <v>400042908A</v>
      </c>
      <c r="E3067" s="309" t="str">
        <f>VLOOKUP($B3067,'D7 - NDB Impacted SPRF''s'!$E$6:$O$9929,2,FALSE)</f>
        <v>PHS CLINICAL MIGRATION TO I-CUE (AO)</v>
      </c>
      <c r="F3067" s="8"/>
      <c r="G3067" s="8" t="s">
        <v>4758</v>
      </c>
      <c r="H3067" s="8" t="s">
        <v>2870</v>
      </c>
      <c r="I3067" s="20"/>
      <c r="J3067" s="8"/>
      <c r="K3067" s="182"/>
      <c r="L3067" s="8" t="s">
        <v>4156</v>
      </c>
      <c r="M3067" s="8" t="s">
        <v>2814</v>
      </c>
      <c r="N3067" s="38" t="s">
        <v>5464</v>
      </c>
      <c r="O3067" s="8"/>
      <c r="P3067" s="4" t="str">
        <f>VLOOKUP($B3067,'D7 - NDB Impacted SPRF''s'!$E$16:$O$9929,9,FALSE)</f>
        <v>N</v>
      </c>
      <c r="Q3067" s="4" t="str">
        <f>VLOOKUP($B3067,'D7 - NDB Impacted SPRF''s'!$E$16:$O$9929,10,FALSE)</f>
        <v>N</v>
      </c>
      <c r="R3067" s="4" t="str">
        <f>VLOOKUP($B3067,'D7 - NDB Impacted SPRF''s'!$E$16:$O$9929,11,FALSE)</f>
        <v>N</v>
      </c>
      <c r="S3067" s="8"/>
      <c r="T3067" s="310"/>
      <c r="U3067" s="310"/>
      <c r="V3067" s="4"/>
      <c r="W3067" s="4"/>
      <c r="X3067" s="4"/>
      <c r="Y3067" s="4"/>
      <c r="Z3067" s="4"/>
      <c r="AA3067" s="4"/>
      <c r="AB3067" s="380" t="str">
        <f>VLOOKUP($B3067,'D7 - NDB Impacted SPRF''s'!$E$6:$O$9929,4,FALSE)</f>
        <v>In Funding</v>
      </c>
      <c r="AC3067" s="380" t="s">
        <v>5324</v>
      </c>
      <c r="AD3067" s="380" t="str">
        <f>VLOOKUP($B3067,'D7 - NDB Impacted SPRF''s'!$E$6:$O$9929,5,FALSE)</f>
        <v>UHG Clinical Toolbox Migrations (04-27560-000)</v>
      </c>
      <c r="AE3067" s="380" t="str">
        <f>VLOOKUP($B3067,'D7 - NDB Impacted SPRF''s'!$E$6:$O$9929,7,FALSE)</f>
        <v>SHEILA NELSON</v>
      </c>
      <c r="AF3067" s="380" t="str">
        <f>VLOOKUP($B3067,'D7 - NDB Impacted SPRF''s'!$E$6:$O$9929,6,FALSE)</f>
        <v>KAREN SCHLIESSER</v>
      </c>
      <c r="AG3067" s="282"/>
      <c r="AH3067" s="311" t="e">
        <f>INDEX('D5 - Gatekeeper - Projects'!$A$4:$AF$1010,$AM3067, 17)</f>
        <v>#N/A</v>
      </c>
      <c r="AI3067" s="8"/>
      <c r="AJ3067" s="57"/>
      <c r="AK3067" s="105"/>
      <c r="AM3067" s="6" t="e">
        <f>MATCH(D3067,'D5 - Gatekeeper - Projects'!$C$4:$C$1010,0)</f>
        <v>#N/A</v>
      </c>
      <c r="AN3067" s="6" t="b">
        <f t="shared" si="314"/>
        <v>1</v>
      </c>
      <c r="AO3067" s="6" t="str">
        <f t="shared" si="315"/>
        <v>OK</v>
      </c>
      <c r="AQ3067" s="6" t="e">
        <f>MATCH($D3067,'D4 - Provider Council Unsched'!$C$11:$C$234,0)</f>
        <v>#N/A</v>
      </c>
      <c r="AR3067" s="6" t="b">
        <f t="shared" si="316"/>
        <v>1</v>
      </c>
      <c r="AS3067" s="6" t="str">
        <f t="shared" si="317"/>
        <v>OK</v>
      </c>
      <c r="AU3067" s="202"/>
      <c r="AV3067" s="216" t="s">
        <v>1080</v>
      </c>
      <c r="AW3067" s="274"/>
    </row>
    <row r="3068" spans="1:49" s="13" customFormat="1" ht="33.75" x14ac:dyDescent="0.2">
      <c r="A3068" s="14">
        <v>3044</v>
      </c>
      <c r="B3068" s="8">
        <v>400042934</v>
      </c>
      <c r="C3068" s="8" t="s">
        <v>1447</v>
      </c>
      <c r="D3068" s="4" t="str">
        <f t="shared" si="318"/>
        <v>400042934A</v>
      </c>
      <c r="E3068" s="309" t="str">
        <f>VLOOKUP($B3068,'D7 - NDB Impacted SPRF''s'!$E$6:$O$9929,2,FALSE)</f>
        <v>New TOPS Remark Code for VA Providers</v>
      </c>
      <c r="F3068" s="8"/>
      <c r="G3068" s="8" t="s">
        <v>4758</v>
      </c>
      <c r="H3068" s="8" t="s">
        <v>2870</v>
      </c>
      <c r="I3068" s="20"/>
      <c r="J3068" s="8"/>
      <c r="K3068" s="182"/>
      <c r="L3068" s="8" t="s">
        <v>4156</v>
      </c>
      <c r="M3068" s="8" t="s">
        <v>2814</v>
      </c>
      <c r="N3068" s="38" t="s">
        <v>1366</v>
      </c>
      <c r="O3068" s="8"/>
      <c r="P3068" s="4" t="str">
        <f>VLOOKUP($B3068,'D7 - NDB Impacted SPRF''s'!$E$16:$O$9929,9,FALSE)</f>
        <v>Y</v>
      </c>
      <c r="Q3068" s="4" t="str">
        <f>VLOOKUP($B3068,'D7 - NDB Impacted SPRF''s'!$E$16:$O$9929,10,FALSE)</f>
        <v>N</v>
      </c>
      <c r="R3068" s="4" t="str">
        <f>VLOOKUP($B3068,'D7 - NDB Impacted SPRF''s'!$E$16:$O$9929,11,FALSE)</f>
        <v>N</v>
      </c>
      <c r="S3068" s="8"/>
      <c r="T3068" s="310"/>
      <c r="U3068" s="310"/>
      <c r="V3068" s="4"/>
      <c r="W3068" s="4"/>
      <c r="X3068" s="4"/>
      <c r="Y3068" s="4"/>
      <c r="Z3068" s="4"/>
      <c r="AA3068" s="4"/>
      <c r="AB3068" s="380" t="str">
        <f>VLOOKUP($B3068,'D7 - NDB Impacted SPRF''s'!$E$6:$O$9929,4,FALSE)</f>
        <v>Cancelled</v>
      </c>
      <c r="AC3068" s="380" t="str">
        <f>VLOOKUP($B3068,'D7 - NDB Impacted SPRF''s'!$E$6:$O$9929,3,FALSE)</f>
        <v>UnitedHealthcare Employer &amp; Individual</v>
      </c>
      <c r="AD3068" s="380" t="str">
        <f>VLOOKUP($B3068,'D7 - NDB Impacted SPRF''s'!$E$6:$O$9929,5,FALSE)</f>
        <v>Regulatory / Other</v>
      </c>
      <c r="AE3068" s="380" t="str">
        <f>VLOOKUP($B3068,'D7 - NDB Impacted SPRF''s'!$E$6:$O$9929,7,FALSE)</f>
        <v>Lisa Stamm</v>
      </c>
      <c r="AF3068" s="380" t="str">
        <f>VLOOKUP($B3068,'D7 - NDB Impacted SPRF''s'!$E$6:$O$9929,6,FALSE)</f>
        <v>Lila Brand</v>
      </c>
      <c r="AG3068" s="282"/>
      <c r="AH3068" s="311" t="e">
        <f>INDEX('D5 - Gatekeeper - Projects'!$A$4:$AF$1010,$AM3068, 17)</f>
        <v>#N/A</v>
      </c>
      <c r="AI3068" s="8"/>
      <c r="AJ3068" s="57"/>
      <c r="AK3068" s="105"/>
      <c r="AM3068" s="6" t="e">
        <f>MATCH(D3068,'D5 - Gatekeeper - Projects'!$C$4:$C$1010,0)</f>
        <v>#N/A</v>
      </c>
      <c r="AN3068" s="6" t="b">
        <f t="shared" si="314"/>
        <v>1</v>
      </c>
      <c r="AO3068" s="6" t="str">
        <f t="shared" si="315"/>
        <v>OK</v>
      </c>
      <c r="AQ3068" s="6" t="e">
        <f>MATCH($D3068,'D4 - Provider Council Unsched'!$C$11:$C$234,0)</f>
        <v>#N/A</v>
      </c>
      <c r="AR3068" s="6" t="b">
        <f t="shared" si="316"/>
        <v>1</v>
      </c>
      <c r="AS3068" s="6" t="str">
        <f t="shared" si="317"/>
        <v>OK</v>
      </c>
      <c r="AU3068" s="202"/>
      <c r="AV3068" s="216" t="s">
        <v>476</v>
      </c>
      <c r="AW3068" s="274">
        <v>56485</v>
      </c>
    </row>
    <row r="3069" spans="1:49" s="13" customFormat="1" ht="33.75" x14ac:dyDescent="0.2">
      <c r="A3069" s="14">
        <v>3045</v>
      </c>
      <c r="B3069" s="8">
        <v>400042997</v>
      </c>
      <c r="C3069" s="8" t="s">
        <v>1447</v>
      </c>
      <c r="D3069" s="4" t="str">
        <f t="shared" si="318"/>
        <v>400042997A</v>
      </c>
      <c r="E3069" s="309" t="str">
        <f>VLOOKUP($B3069,'D7 - NDB Impacted SPRF''s'!$E$6:$O$9929,2,FALSE)</f>
        <v>PBH Facets Migration - Public Sector Health Plans</v>
      </c>
      <c r="F3069" s="8"/>
      <c r="G3069" s="8" t="s">
        <v>4758</v>
      </c>
      <c r="H3069" s="8" t="s">
        <v>2870</v>
      </c>
      <c r="I3069" s="20"/>
      <c r="J3069" s="8"/>
      <c r="K3069" s="182"/>
      <c r="L3069" s="8" t="s">
        <v>4156</v>
      </c>
      <c r="M3069" s="8" t="s">
        <v>2814</v>
      </c>
      <c r="N3069" s="38" t="s">
        <v>403</v>
      </c>
      <c r="O3069" s="8"/>
      <c r="P3069" s="4" t="str">
        <f>VLOOKUP($B3069,'D7 - NDB Impacted SPRF''s'!$E$16:$O$9929,9,FALSE)</f>
        <v>N</v>
      </c>
      <c r="Q3069" s="4" t="str">
        <f>VLOOKUP($B3069,'D7 - NDB Impacted SPRF''s'!$E$16:$O$9929,10,FALSE)</f>
        <v>N</v>
      </c>
      <c r="R3069" s="4" t="str">
        <f>VLOOKUP($B3069,'D7 - NDB Impacted SPRF''s'!$E$16:$O$9929,11,FALSE)</f>
        <v>N</v>
      </c>
      <c r="S3069" s="8"/>
      <c r="T3069" s="310"/>
      <c r="U3069" s="310"/>
      <c r="V3069" s="4"/>
      <c r="W3069" s="4"/>
      <c r="X3069" s="4"/>
      <c r="Y3069" s="4"/>
      <c r="Z3069" s="4"/>
      <c r="AA3069" s="4"/>
      <c r="AB3069" s="380" t="str">
        <f>VLOOKUP($B3069,'D7 - NDB Impacted SPRF''s'!$E$6:$O$9929,4,FALSE)</f>
        <v>Cancelled</v>
      </c>
      <c r="AC3069" s="380" t="s">
        <v>5324</v>
      </c>
      <c r="AD3069" s="380" t="str">
        <f>VLOOKUP($B3069,'D7 - NDB Impacted SPRF''s'!$E$6:$O$9929,5,FALSE)</f>
        <v>Behavioral Solutions</v>
      </c>
      <c r="AE3069" s="380" t="str">
        <f>VLOOKUP($B3069,'D7 - NDB Impacted SPRF''s'!$E$6:$O$9929,7,FALSE)</f>
        <v>Lloyd Dyer</v>
      </c>
      <c r="AF3069" s="380" t="str">
        <f>VLOOKUP($B3069,'D7 - NDB Impacted SPRF''s'!$E$6:$O$9929,6,FALSE)</f>
        <v>Jennifer Weed</v>
      </c>
      <c r="AG3069" s="282"/>
      <c r="AH3069" s="311" t="e">
        <f>INDEX('D5 - Gatekeeper - Projects'!$A$4:$AF$1010,$AM3069, 17)</f>
        <v>#N/A</v>
      </c>
      <c r="AI3069" s="8"/>
      <c r="AJ3069" s="57"/>
      <c r="AK3069" s="105"/>
      <c r="AM3069" s="6" t="e">
        <f>MATCH(D3069,'D5 - Gatekeeper - Projects'!$C$4:$C$1010,0)</f>
        <v>#N/A</v>
      </c>
      <c r="AN3069" s="6" t="b">
        <f t="shared" si="314"/>
        <v>1</v>
      </c>
      <c r="AO3069" s="6" t="str">
        <f t="shared" si="315"/>
        <v>OK</v>
      </c>
      <c r="AQ3069" s="6" t="e">
        <f>MATCH($D3069,'D4 - Provider Council Unsched'!$C$11:$C$234,0)</f>
        <v>#N/A</v>
      </c>
      <c r="AR3069" s="6" t="b">
        <f t="shared" si="316"/>
        <v>1</v>
      </c>
      <c r="AS3069" s="6" t="str">
        <f t="shared" si="317"/>
        <v>OK</v>
      </c>
      <c r="AU3069" s="202"/>
      <c r="AV3069" s="216"/>
      <c r="AW3069" s="274">
        <v>35375</v>
      </c>
    </row>
    <row r="3070" spans="1:49" s="13" customFormat="1" ht="33.75" x14ac:dyDescent="0.2">
      <c r="A3070" s="14">
        <v>3046</v>
      </c>
      <c r="B3070" s="8">
        <v>400043056</v>
      </c>
      <c r="C3070" s="8" t="s">
        <v>1447</v>
      </c>
      <c r="D3070" s="4" t="str">
        <f t="shared" si="318"/>
        <v>400043056A</v>
      </c>
      <c r="E3070" s="309" t="str">
        <f>VLOOKUP($B3070,'D7 - NDB Impacted SPRF''s'!$E$6:$O$9929,2,FALSE)</f>
        <v>E2E M&amp;R MedNec - Intake and Authorization Determin</v>
      </c>
      <c r="F3070" s="8"/>
      <c r="G3070" s="8" t="s">
        <v>4758</v>
      </c>
      <c r="H3070" s="8" t="s">
        <v>2870</v>
      </c>
      <c r="I3070" s="20"/>
      <c r="J3070" s="8"/>
      <c r="K3070" s="182"/>
      <c r="L3070" s="8" t="s">
        <v>4156</v>
      </c>
      <c r="M3070" s="8" t="s">
        <v>2814</v>
      </c>
      <c r="N3070" s="38" t="s">
        <v>1830</v>
      </c>
      <c r="O3070" s="8"/>
      <c r="P3070" s="4" t="str">
        <f>VLOOKUP($B3070,'D7 - NDB Impacted SPRF''s'!$E$16:$O$9929,9,FALSE)</f>
        <v>N</v>
      </c>
      <c r="Q3070" s="4" t="str">
        <f>VLOOKUP($B3070,'D7 - NDB Impacted SPRF''s'!$E$16:$O$9929,10,FALSE)</f>
        <v>N</v>
      </c>
      <c r="R3070" s="4" t="str">
        <f>VLOOKUP($B3070,'D7 - NDB Impacted SPRF''s'!$E$16:$O$9929,11,FALSE)</f>
        <v>N</v>
      </c>
      <c r="S3070" s="8"/>
      <c r="T3070" s="310"/>
      <c r="U3070" s="310"/>
      <c r="V3070" s="4"/>
      <c r="W3070" s="4"/>
      <c r="X3070" s="4"/>
      <c r="Y3070" s="4"/>
      <c r="Z3070" s="4"/>
      <c r="AA3070" s="4"/>
      <c r="AB3070" s="380" t="str">
        <f>VLOOKUP($B3070,'D7 - NDB Impacted SPRF''s'!$E$6:$O$9929,4,FALSE)</f>
        <v>Cancelled</v>
      </c>
      <c r="AC3070" s="380" t="s">
        <v>5324</v>
      </c>
      <c r="AD3070" s="380" t="str">
        <f>VLOOKUP($B3070,'D7 - NDB Impacted SPRF''s'!$E$6:$O$9929,5,FALSE)</f>
        <v>Health Services</v>
      </c>
      <c r="AE3070" s="380" t="str">
        <f>VLOOKUP($B3070,'D7 - NDB Impacted SPRF''s'!$E$6:$O$9929,7,FALSE)</f>
        <v>Rhonda Randall</v>
      </c>
      <c r="AF3070" s="380" t="str">
        <f>VLOOKUP($B3070,'D7 - NDB Impacted SPRF''s'!$E$6:$O$9929,6,FALSE)</f>
        <v>Chen-yuan Dumnmuh</v>
      </c>
      <c r="AG3070" s="282"/>
      <c r="AH3070" s="311" t="e">
        <f>INDEX('D5 - Gatekeeper - Projects'!$A$4:$AF$1010,$AM3070, 17)</f>
        <v>#N/A</v>
      </c>
      <c r="AI3070" s="8"/>
      <c r="AJ3070" s="57"/>
      <c r="AK3070" s="105"/>
      <c r="AM3070" s="6" t="e">
        <f>MATCH(D3070,'D5 - Gatekeeper - Projects'!$C$4:$C$1010,0)</f>
        <v>#N/A</v>
      </c>
      <c r="AN3070" s="6" t="b">
        <f t="shared" si="314"/>
        <v>1</v>
      </c>
      <c r="AO3070" s="6" t="str">
        <f t="shared" si="315"/>
        <v>OK</v>
      </c>
      <c r="AQ3070" s="6" t="e">
        <f>MATCH($D3070,'D4 - Provider Council Unsched'!$C$11:$C$234,0)</f>
        <v>#N/A</v>
      </c>
      <c r="AR3070" s="6" t="b">
        <f t="shared" si="316"/>
        <v>1</v>
      </c>
      <c r="AS3070" s="6" t="str">
        <f t="shared" si="317"/>
        <v>OK</v>
      </c>
      <c r="AU3070" s="202"/>
      <c r="AV3070" s="216" t="s">
        <v>477</v>
      </c>
      <c r="AW3070" s="274">
        <v>34834</v>
      </c>
    </row>
    <row r="3071" spans="1:49" s="13" customFormat="1" ht="33.75" x14ac:dyDescent="0.2">
      <c r="A3071" s="14">
        <v>3047</v>
      </c>
      <c r="B3071" s="8">
        <v>400043057</v>
      </c>
      <c r="C3071" s="8" t="s">
        <v>1447</v>
      </c>
      <c r="D3071" s="4" t="str">
        <f t="shared" si="318"/>
        <v>400043057A</v>
      </c>
      <c r="E3071" s="309" t="str">
        <f>VLOOKUP($B3071,'D7 - NDB Impacted SPRF''s'!$E$6:$O$9929,2,FALSE)</f>
        <v>E2E M&amp;R MedNec - Claims to Authorization Matching</v>
      </c>
      <c r="F3071" s="8"/>
      <c r="G3071" s="8" t="s">
        <v>4758</v>
      </c>
      <c r="H3071" s="8" t="s">
        <v>2870</v>
      </c>
      <c r="I3071" s="20"/>
      <c r="J3071" s="8"/>
      <c r="K3071" s="182"/>
      <c r="L3071" s="8" t="s">
        <v>4156</v>
      </c>
      <c r="M3071" s="8" t="s">
        <v>2814</v>
      </c>
      <c r="N3071" s="38" t="s">
        <v>1830</v>
      </c>
      <c r="O3071" s="8"/>
      <c r="P3071" s="4" t="str">
        <f>VLOOKUP($B3071,'D7 - NDB Impacted SPRF''s'!$E$16:$O$9929,9,FALSE)</f>
        <v>N</v>
      </c>
      <c r="Q3071" s="4" t="str">
        <f>VLOOKUP($B3071,'D7 - NDB Impacted SPRF''s'!$E$16:$O$9929,10,FALSE)</f>
        <v>N</v>
      </c>
      <c r="R3071" s="4" t="str">
        <f>VLOOKUP($B3071,'D7 - NDB Impacted SPRF''s'!$E$16:$O$9929,11,FALSE)</f>
        <v>Y</v>
      </c>
      <c r="S3071" s="8"/>
      <c r="T3071" s="310"/>
      <c r="U3071" s="310"/>
      <c r="V3071" s="4"/>
      <c r="W3071" s="4"/>
      <c r="X3071" s="4"/>
      <c r="Y3071" s="4"/>
      <c r="Z3071" s="4"/>
      <c r="AA3071" s="4"/>
      <c r="AB3071" s="380" t="str">
        <f>VLOOKUP($B3071,'D7 - NDB Impacted SPRF''s'!$E$6:$O$9929,4,FALSE)</f>
        <v>Cancelled</v>
      </c>
      <c r="AC3071" s="380" t="s">
        <v>5324</v>
      </c>
      <c r="AD3071" s="380" t="str">
        <f>VLOOKUP($B3071,'D7 - NDB Impacted SPRF''s'!$E$6:$O$9929,5,FALSE)</f>
        <v>Health Services</v>
      </c>
      <c r="AE3071" s="380" t="str">
        <f>VLOOKUP($B3071,'D7 - NDB Impacted SPRF''s'!$E$6:$O$9929,7,FALSE)</f>
        <v>Rhonda Randall</v>
      </c>
      <c r="AF3071" s="380" t="str">
        <f>VLOOKUP($B3071,'D7 - NDB Impacted SPRF''s'!$E$6:$O$9929,6,FALSE)</f>
        <v>Chen-yuan Dumnmuh</v>
      </c>
      <c r="AG3071" s="282"/>
      <c r="AH3071" s="311" t="e">
        <f>INDEX('D5 - Gatekeeper - Projects'!$A$4:$AF$1010,$AM3071, 17)</f>
        <v>#N/A</v>
      </c>
      <c r="AI3071" s="8"/>
      <c r="AJ3071" s="57"/>
      <c r="AK3071" s="105"/>
      <c r="AM3071" s="6" t="e">
        <f>MATCH(D3071,'D5 - Gatekeeper - Projects'!$C$4:$C$1010,0)</f>
        <v>#N/A</v>
      </c>
      <c r="AN3071" s="6" t="b">
        <f t="shared" si="314"/>
        <v>1</v>
      </c>
      <c r="AO3071" s="6" t="str">
        <f t="shared" si="315"/>
        <v>OK</v>
      </c>
      <c r="AQ3071" s="6" t="e">
        <f>MATCH($D3071,'D4 - Provider Council Unsched'!$C$11:$C$234,0)</f>
        <v>#N/A</v>
      </c>
      <c r="AR3071" s="6" t="b">
        <f t="shared" si="316"/>
        <v>1</v>
      </c>
      <c r="AS3071" s="6" t="str">
        <f t="shared" si="317"/>
        <v>OK</v>
      </c>
      <c r="AU3071" s="202"/>
      <c r="AV3071" s="216" t="s">
        <v>477</v>
      </c>
      <c r="AW3071" s="274">
        <v>34841</v>
      </c>
    </row>
    <row r="3072" spans="1:49" s="13" customFormat="1" ht="33.75" x14ac:dyDescent="0.2">
      <c r="A3072" s="14">
        <v>3048</v>
      </c>
      <c r="B3072" s="8">
        <v>400043058</v>
      </c>
      <c r="C3072" s="8" t="s">
        <v>1447</v>
      </c>
      <c r="D3072" s="4" t="str">
        <f t="shared" si="318"/>
        <v>400043058A</v>
      </c>
      <c r="E3072" s="309" t="str">
        <f>VLOOKUP($B3072,'D7 - NDB Impacted SPRF''s'!$E$6:$O$9929,2,FALSE)</f>
        <v>E2E M&amp;R MedNec - Consequence Determination</v>
      </c>
      <c r="F3072" s="8"/>
      <c r="G3072" s="8" t="s">
        <v>4758</v>
      </c>
      <c r="H3072" s="8" t="s">
        <v>2870</v>
      </c>
      <c r="I3072" s="20"/>
      <c r="J3072" s="8"/>
      <c r="K3072" s="182"/>
      <c r="L3072" s="8" t="s">
        <v>4156</v>
      </c>
      <c r="M3072" s="8" t="s">
        <v>2814</v>
      </c>
      <c r="N3072" s="38" t="s">
        <v>1830</v>
      </c>
      <c r="O3072" s="8"/>
      <c r="P3072" s="4" t="str">
        <f>VLOOKUP($B3072,'D7 - NDB Impacted SPRF''s'!$E$16:$O$9929,9,FALSE)</f>
        <v>N</v>
      </c>
      <c r="Q3072" s="4" t="str">
        <f>VLOOKUP($B3072,'D7 - NDB Impacted SPRF''s'!$E$16:$O$9929,10,FALSE)</f>
        <v>N</v>
      </c>
      <c r="R3072" s="4" t="str">
        <f>VLOOKUP($B3072,'D7 - NDB Impacted SPRF''s'!$E$16:$O$9929,11,FALSE)</f>
        <v>N</v>
      </c>
      <c r="S3072" s="8"/>
      <c r="T3072" s="310"/>
      <c r="U3072" s="310"/>
      <c r="V3072" s="4"/>
      <c r="W3072" s="4"/>
      <c r="X3072" s="4"/>
      <c r="Y3072" s="4"/>
      <c r="Z3072" s="4"/>
      <c r="AA3072" s="4"/>
      <c r="AB3072" s="380" t="str">
        <f>VLOOKUP($B3072,'D7 - NDB Impacted SPRF''s'!$E$6:$O$9929,4,FALSE)</f>
        <v>Cancelled</v>
      </c>
      <c r="AC3072" s="380" t="s">
        <v>5324</v>
      </c>
      <c r="AD3072" s="380" t="str">
        <f>VLOOKUP($B3072,'D7 - NDB Impacted SPRF''s'!$E$6:$O$9929,5,FALSE)</f>
        <v>Health Services</v>
      </c>
      <c r="AE3072" s="380" t="str">
        <f>VLOOKUP($B3072,'D7 - NDB Impacted SPRF''s'!$E$6:$O$9929,7,FALSE)</f>
        <v>Rhonda Randall</v>
      </c>
      <c r="AF3072" s="380" t="str">
        <f>VLOOKUP($B3072,'D7 - NDB Impacted SPRF''s'!$E$6:$O$9929,6,FALSE)</f>
        <v>Chen-yuan Dumnmuh</v>
      </c>
      <c r="AG3072" s="282"/>
      <c r="AH3072" s="311" t="e">
        <f>INDEX('D5 - Gatekeeper - Projects'!$A$4:$AF$1010,$AM3072, 17)</f>
        <v>#N/A</v>
      </c>
      <c r="AI3072" s="8"/>
      <c r="AJ3072" s="57"/>
      <c r="AK3072" s="105"/>
      <c r="AM3072" s="6" t="e">
        <f>MATCH(D3072,'D5 - Gatekeeper - Projects'!$C$4:$C$1010,0)</f>
        <v>#N/A</v>
      </c>
      <c r="AN3072" s="6" t="b">
        <f t="shared" si="314"/>
        <v>1</v>
      </c>
      <c r="AO3072" s="6" t="str">
        <f t="shared" si="315"/>
        <v>OK</v>
      </c>
      <c r="AQ3072" s="6" t="e">
        <f>MATCH($D3072,'D4 - Provider Council Unsched'!$C$11:$C$234,0)</f>
        <v>#N/A</v>
      </c>
      <c r="AR3072" s="6" t="b">
        <f t="shared" si="316"/>
        <v>1</v>
      </c>
      <c r="AS3072" s="6" t="str">
        <f t="shared" si="317"/>
        <v>OK</v>
      </c>
      <c r="AU3072" s="202"/>
      <c r="AV3072" s="216" t="s">
        <v>477</v>
      </c>
      <c r="AW3072" s="274">
        <v>34843</v>
      </c>
    </row>
    <row r="3073" spans="1:49" s="13" customFormat="1" ht="33.75" x14ac:dyDescent="0.2">
      <c r="A3073" s="14">
        <v>3049</v>
      </c>
      <c r="B3073" s="8">
        <v>400043075</v>
      </c>
      <c r="C3073" s="8" t="s">
        <v>1447</v>
      </c>
      <c r="D3073" s="4" t="str">
        <f t="shared" si="318"/>
        <v>400043075A</v>
      </c>
      <c r="E3073" s="309" t="str">
        <f>VLOOKUP($B3073,'D7 - NDB Impacted SPRF''s'!$E$6:$O$9929,2,FALSE)</f>
        <v>ICD10 compliance Package 1 UHC E &amp; I</v>
      </c>
      <c r="F3073" s="8"/>
      <c r="G3073" s="8" t="s">
        <v>4758</v>
      </c>
      <c r="H3073" s="8" t="s">
        <v>2870</v>
      </c>
      <c r="I3073" s="20"/>
      <c r="J3073" s="8"/>
      <c r="K3073" s="182"/>
      <c r="L3073" s="8" t="s">
        <v>4156</v>
      </c>
      <c r="M3073" s="8" t="s">
        <v>2814</v>
      </c>
      <c r="N3073" s="38" t="s">
        <v>2218</v>
      </c>
      <c r="O3073" s="8"/>
      <c r="P3073" s="4" t="str">
        <f>VLOOKUP($B3073,'D7 - NDB Impacted SPRF''s'!$E$16:$O$9929,9,FALSE)</f>
        <v>Y</v>
      </c>
      <c r="Q3073" s="4" t="str">
        <f>VLOOKUP($B3073,'D7 - NDB Impacted SPRF''s'!$E$16:$O$9929,10,FALSE)</f>
        <v>N</v>
      </c>
      <c r="R3073" s="4" t="str">
        <f>VLOOKUP($B3073,'D7 - NDB Impacted SPRF''s'!$E$16:$O$9929,11,FALSE)</f>
        <v>Y</v>
      </c>
      <c r="S3073" s="8"/>
      <c r="T3073" s="310"/>
      <c r="U3073" s="310"/>
      <c r="V3073" s="4"/>
      <c r="W3073" s="4"/>
      <c r="X3073" s="4"/>
      <c r="Y3073" s="4"/>
      <c r="Z3073" s="4"/>
      <c r="AA3073" s="4"/>
      <c r="AB3073" s="380" t="str">
        <f>VLOOKUP($B3073,'D7 - NDB Impacted SPRF''s'!$E$6:$O$9929,4,FALSE)</f>
        <v>Cancelled</v>
      </c>
      <c r="AC3073" s="380" t="s">
        <v>5324</v>
      </c>
      <c r="AD3073" s="380" t="str">
        <f>VLOOKUP($B3073,'D7 - NDB Impacted SPRF''s'!$E$6:$O$9929,5,FALSE)</f>
        <v>Regulatory / Other</v>
      </c>
      <c r="AE3073" s="380" t="str">
        <f>VLOOKUP($B3073,'D7 - NDB Impacted SPRF''s'!$E$6:$O$9929,7,FALSE)</f>
        <v>Tim Kaja</v>
      </c>
      <c r="AF3073" s="380" t="str">
        <f>VLOOKUP($B3073,'D7 - NDB Impacted SPRF''s'!$E$6:$O$9929,6,FALSE)</f>
        <v>William Porri</v>
      </c>
      <c r="AG3073" s="282"/>
      <c r="AH3073" s="311" t="e">
        <f>INDEX('D5 - Gatekeeper - Projects'!$A$4:$AF$1010,$AM3073, 17)</f>
        <v>#N/A</v>
      </c>
      <c r="AI3073" s="8"/>
      <c r="AJ3073" s="57"/>
      <c r="AK3073" s="105"/>
      <c r="AM3073" s="6" t="e">
        <f>MATCH(D3073,'D5 - Gatekeeper - Projects'!$C$4:$C$1010,0)</f>
        <v>#N/A</v>
      </c>
      <c r="AN3073" s="6" t="b">
        <f t="shared" si="314"/>
        <v>1</v>
      </c>
      <c r="AO3073" s="6" t="str">
        <f t="shared" si="315"/>
        <v>OK</v>
      </c>
      <c r="AQ3073" s="6" t="e">
        <f>MATCH($D3073,'D4 - Provider Council Unsched'!$C$11:$C$234,0)</f>
        <v>#N/A</v>
      </c>
      <c r="AR3073" s="6" t="b">
        <f t="shared" si="316"/>
        <v>1</v>
      </c>
      <c r="AS3073" s="6" t="str">
        <f t="shared" si="317"/>
        <v>OK</v>
      </c>
      <c r="AU3073" s="202"/>
      <c r="AV3073" s="216"/>
      <c r="AW3073" s="274"/>
    </row>
    <row r="3074" spans="1:49" s="13" customFormat="1" ht="33.75" x14ac:dyDescent="0.2">
      <c r="A3074" s="14">
        <v>3050</v>
      </c>
      <c r="B3074" s="8">
        <v>400043228</v>
      </c>
      <c r="C3074" s="8" t="s">
        <v>1447</v>
      </c>
      <c r="D3074" s="4" t="str">
        <f t="shared" si="318"/>
        <v>400043228A</v>
      </c>
      <c r="E3074" s="309" t="str">
        <f>VLOOKUP($B3074,'D7 - NDB Impacted SPRF''s'!$E$6:$O$9929,2,FALSE)</f>
        <v xml:space="preserve">Young Influentials Pilot - RSA </v>
      </c>
      <c r="F3074" s="8"/>
      <c r="G3074" s="8" t="s">
        <v>4758</v>
      </c>
      <c r="H3074" s="8" t="s">
        <v>2870</v>
      </c>
      <c r="I3074" s="20"/>
      <c r="J3074" s="8"/>
      <c r="K3074" s="182"/>
      <c r="L3074" s="8" t="s">
        <v>4156</v>
      </c>
      <c r="M3074" s="8" t="s">
        <v>2814</v>
      </c>
      <c r="N3074" s="38" t="s">
        <v>3030</v>
      </c>
      <c r="O3074" s="8"/>
      <c r="P3074" s="4" t="str">
        <f>VLOOKUP($B3074,'D7 - NDB Impacted SPRF''s'!$E$16:$O$9929,9,FALSE)</f>
        <v>Y</v>
      </c>
      <c r="Q3074" s="4" t="str">
        <f>VLOOKUP($B3074,'D7 - NDB Impacted SPRF''s'!$E$16:$O$9929,10,FALSE)</f>
        <v>N</v>
      </c>
      <c r="R3074" s="4" t="str">
        <f>VLOOKUP($B3074,'D7 - NDB Impacted SPRF''s'!$E$16:$O$9929,11,FALSE)</f>
        <v>N</v>
      </c>
      <c r="S3074" s="8"/>
      <c r="T3074" s="310"/>
      <c r="U3074" s="310"/>
      <c r="V3074" s="4"/>
      <c r="W3074" s="4"/>
      <c r="X3074" s="4"/>
      <c r="Y3074" s="4"/>
      <c r="Z3074" s="4"/>
      <c r="AA3074" s="4"/>
      <c r="AB3074" s="380" t="str">
        <f>VLOOKUP($B3074,'D7 - NDB Impacted SPRF''s'!$E$6:$O$9929,4,FALSE)</f>
        <v>Completed</v>
      </c>
      <c r="AC3074" s="380" t="str">
        <f>VLOOKUP($B3074,'D7 - NDB Impacted SPRF''s'!$E$6:$O$9929,3,FALSE)</f>
        <v>UnitedHealthcare Employer &amp; Individual</v>
      </c>
      <c r="AD3074" s="380" t="str">
        <f>VLOOKUP($B3074,'D7 - NDB Impacted SPRF''s'!$E$6:$O$9929,5,FALSE)</f>
        <v>Membership Growth / Revenue Programs</v>
      </c>
      <c r="AE3074" s="380" t="str">
        <f>VLOOKUP($B3074,'D7 - NDB Impacted SPRF''s'!$E$6:$O$9929,7,FALSE)</f>
        <v xml:space="preserve">WINKLER, YASMINE </v>
      </c>
      <c r="AF3074" s="380" t="str">
        <f>VLOOKUP($B3074,'D7 - NDB Impacted SPRF''s'!$E$6:$O$9929,6,FALSE)</f>
        <v>Margaret Ciechanowski</v>
      </c>
      <c r="AG3074" s="282"/>
      <c r="AH3074" s="311" t="e">
        <f>INDEX('D5 - Gatekeeper - Projects'!$A$4:$AF$1010,$AM3074, 17)</f>
        <v>#N/A</v>
      </c>
      <c r="AI3074" s="8"/>
      <c r="AJ3074" s="57"/>
      <c r="AK3074" s="105"/>
      <c r="AM3074" s="6" t="e">
        <f>MATCH(D3074,'D5 - Gatekeeper - Projects'!$C$4:$C$1010,0)</f>
        <v>#N/A</v>
      </c>
      <c r="AN3074" s="6" t="b">
        <f t="shared" si="314"/>
        <v>1</v>
      </c>
      <c r="AO3074" s="6" t="str">
        <f t="shared" si="315"/>
        <v>OK</v>
      </c>
      <c r="AQ3074" s="6" t="e">
        <f>MATCH($D3074,'D4 - Provider Council Unsched'!$C$11:$C$234,0)</f>
        <v>#N/A</v>
      </c>
      <c r="AR3074" s="6" t="b">
        <f t="shared" si="316"/>
        <v>1</v>
      </c>
      <c r="AS3074" s="6" t="str">
        <f t="shared" si="317"/>
        <v>OK</v>
      </c>
      <c r="AU3074" s="202"/>
      <c r="AV3074" s="262"/>
      <c r="AW3074" s="274"/>
    </row>
    <row r="3075" spans="1:49" s="13" customFormat="1" x14ac:dyDescent="0.2">
      <c r="A3075" s="14">
        <v>3051</v>
      </c>
      <c r="B3075" s="8">
        <v>400043272</v>
      </c>
      <c r="C3075" s="8" t="s">
        <v>1447</v>
      </c>
      <c r="D3075" s="4" t="str">
        <f t="shared" si="318"/>
        <v>400043272A</v>
      </c>
      <c r="E3075" s="309" t="str">
        <f>VLOOKUP($B3075,'D7 - NDB Impacted SPRF''s'!$E$6:$O$9929,2,FALSE)</f>
        <v>OHBS TBS Provider Data Cleansing and Validation</v>
      </c>
      <c r="F3075" s="8"/>
      <c r="G3075" s="8" t="s">
        <v>4758</v>
      </c>
      <c r="H3075" s="8" t="s">
        <v>2870</v>
      </c>
      <c r="I3075" s="20"/>
      <c r="J3075" s="8"/>
      <c r="K3075" s="182"/>
      <c r="L3075" s="8" t="s">
        <v>4156</v>
      </c>
      <c r="M3075" s="8" t="s">
        <v>2814</v>
      </c>
      <c r="N3075" s="38" t="s">
        <v>1285</v>
      </c>
      <c r="O3075" s="8"/>
      <c r="P3075" s="4" t="str">
        <f>VLOOKUP($B3075,'D7 - NDB Impacted SPRF''s'!$E$16:$O$9929,9,FALSE)</f>
        <v>N</v>
      </c>
      <c r="Q3075" s="4" t="str">
        <f>VLOOKUP($B3075,'D7 - NDB Impacted SPRF''s'!$E$16:$O$9929,10,FALSE)</f>
        <v>N</v>
      </c>
      <c r="R3075" s="4" t="str">
        <f>VLOOKUP($B3075,'D7 - NDB Impacted SPRF''s'!$E$16:$O$9929,11,FALSE)</f>
        <v>N</v>
      </c>
      <c r="S3075" s="8"/>
      <c r="T3075" s="310"/>
      <c r="U3075" s="310"/>
      <c r="V3075" s="4"/>
      <c r="W3075" s="4"/>
      <c r="X3075" s="4"/>
      <c r="Y3075" s="4"/>
      <c r="Z3075" s="4"/>
      <c r="AA3075" s="4"/>
      <c r="AB3075" s="380" t="str">
        <f>VLOOKUP($B3075,'D7 - NDB Impacted SPRF''s'!$E$6:$O$9929,4,FALSE)</f>
        <v>Completed</v>
      </c>
      <c r="AC3075" s="380" t="str">
        <f>VLOOKUP($B3075,'D7 - NDB Impacted SPRF''s'!$E$6:$O$9929,3,FALSE)</f>
        <v>OptumHealth</v>
      </c>
      <c r="AD3075" s="380" t="str">
        <f>VLOOKUP($B3075,'D7 - NDB Impacted SPRF''s'!$E$6:$O$9929,5,FALSE)</f>
        <v>Behavioral Solutions</v>
      </c>
      <c r="AE3075" s="380" t="str">
        <f>VLOOKUP($B3075,'D7 - NDB Impacted SPRF''s'!$E$6:$O$9929,7,FALSE)</f>
        <v>Deb Adler</v>
      </c>
      <c r="AF3075" s="380" t="str">
        <f>VLOOKUP($B3075,'D7 - NDB Impacted SPRF''s'!$E$6:$O$9929,6,FALSE)</f>
        <v>Daniel Zeh</v>
      </c>
      <c r="AG3075" s="282"/>
      <c r="AH3075" s="311" t="e">
        <f>INDEX('D5 - Gatekeeper - Projects'!$A$4:$AF$1010,$AM3075, 17)</f>
        <v>#N/A</v>
      </c>
      <c r="AI3075" s="8"/>
      <c r="AJ3075" s="57"/>
      <c r="AK3075" s="105"/>
      <c r="AM3075" s="6" t="e">
        <f>MATCH(D3075,'D5 - Gatekeeper - Projects'!$C$4:$C$1010,0)</f>
        <v>#N/A</v>
      </c>
      <c r="AN3075" s="6" t="b">
        <f t="shared" si="314"/>
        <v>1</v>
      </c>
      <c r="AO3075" s="6" t="str">
        <f t="shared" si="315"/>
        <v>OK</v>
      </c>
      <c r="AQ3075" s="6" t="e">
        <f>MATCH($D3075,'D4 - Provider Council Unsched'!$C$11:$C$234,0)</f>
        <v>#N/A</v>
      </c>
      <c r="AR3075" s="6" t="b">
        <f t="shared" si="316"/>
        <v>1</v>
      </c>
      <c r="AS3075" s="6" t="str">
        <f t="shared" si="317"/>
        <v>OK</v>
      </c>
      <c r="AU3075" s="202"/>
      <c r="AV3075" s="262" t="s">
        <v>2300</v>
      </c>
      <c r="AW3075" s="274"/>
    </row>
    <row r="3076" spans="1:49" s="13" customFormat="1" ht="33.75" x14ac:dyDescent="0.2">
      <c r="A3076" s="14">
        <v>3052</v>
      </c>
      <c r="B3076" s="8">
        <v>400043280</v>
      </c>
      <c r="C3076" s="8" t="s">
        <v>1447</v>
      </c>
      <c r="D3076" s="4" t="str">
        <f t="shared" si="318"/>
        <v>400043280A</v>
      </c>
      <c r="E3076" s="309" t="str">
        <f>VLOOKUP($B3076,'D7 - NDB Impacted SPRF''s'!$E$6:$O$9929,2,FALSE)</f>
        <v xml:space="preserve">C&amp;S CLINICAL MIGRATION TO I-CUE </v>
      </c>
      <c r="F3076" s="8"/>
      <c r="G3076" s="8" t="s">
        <v>4758</v>
      </c>
      <c r="H3076" s="8" t="s">
        <v>2870</v>
      </c>
      <c r="I3076" s="20"/>
      <c r="J3076" s="8"/>
      <c r="K3076" s="182"/>
      <c r="L3076" s="8" t="s">
        <v>4156</v>
      </c>
      <c r="M3076" s="8" t="s">
        <v>2814</v>
      </c>
      <c r="N3076" s="38" t="s">
        <v>1315</v>
      </c>
      <c r="O3076" s="8"/>
      <c r="P3076" s="4" t="str">
        <f>VLOOKUP($B3076,'D7 - NDB Impacted SPRF''s'!$E$16:$O$9929,9,FALSE)</f>
        <v>N</v>
      </c>
      <c r="Q3076" s="4" t="str">
        <f>VLOOKUP($B3076,'D7 - NDB Impacted SPRF''s'!$E$16:$O$9929,10,FALSE)</f>
        <v>N</v>
      </c>
      <c r="R3076" s="4" t="str">
        <f>VLOOKUP($B3076,'D7 - NDB Impacted SPRF''s'!$E$16:$O$9929,11,FALSE)</f>
        <v>N</v>
      </c>
      <c r="S3076" s="8"/>
      <c r="T3076" s="310"/>
      <c r="U3076" s="310"/>
      <c r="V3076" s="4"/>
      <c r="W3076" s="4"/>
      <c r="X3076" s="4"/>
      <c r="Y3076" s="4"/>
      <c r="Z3076" s="4"/>
      <c r="AA3076" s="4"/>
      <c r="AB3076" s="380" t="str">
        <f>VLOOKUP($B3076,'D7 - NDB Impacted SPRF''s'!$E$6:$O$9929,4,FALSE)</f>
        <v>Cancelled</v>
      </c>
      <c r="AC3076" s="380" t="str">
        <f>VLOOKUP($B3076,'D7 - NDB Impacted SPRF''s'!$E$6:$O$9929,3,FALSE)</f>
        <v>UnitedHealthcare Medicare &amp; Retirement</v>
      </c>
      <c r="AD3076" s="380" t="str">
        <f>VLOOKUP($B3076,'D7 - NDB Impacted SPRF''s'!$E$6:$O$9929,5,FALSE)</f>
        <v>Enterprise Clinical</v>
      </c>
      <c r="AE3076" s="380" t="str">
        <f>VLOOKUP($B3076,'D7 - NDB Impacted SPRF''s'!$E$6:$O$9929,7,FALSE)</f>
        <v>Sheila Nelson</v>
      </c>
      <c r="AF3076" s="380" t="str">
        <f>VLOOKUP($B3076,'D7 - NDB Impacted SPRF''s'!$E$6:$O$9929,6,FALSE)</f>
        <v>Stephen Maciosek</v>
      </c>
      <c r="AG3076" s="282"/>
      <c r="AH3076" s="311" t="e">
        <f>INDEX('D5 - Gatekeeper - Projects'!$A$4:$AF$1010,$AM3076, 17)</f>
        <v>#N/A</v>
      </c>
      <c r="AI3076" s="8"/>
      <c r="AJ3076" s="57"/>
      <c r="AK3076" s="105"/>
      <c r="AM3076" s="6" t="e">
        <f>MATCH(D3076,'D5 - Gatekeeper - Projects'!$C$4:$C$1010,0)</f>
        <v>#N/A</v>
      </c>
      <c r="AN3076" s="6" t="b">
        <f t="shared" si="314"/>
        <v>1</v>
      </c>
      <c r="AO3076" s="6" t="str">
        <f t="shared" si="315"/>
        <v>OK</v>
      </c>
      <c r="AQ3076" s="6" t="e">
        <f>MATCH($D3076,'D4 - Provider Council Unsched'!$C$11:$C$234,0)</f>
        <v>#N/A</v>
      </c>
      <c r="AR3076" s="6" t="b">
        <f t="shared" si="316"/>
        <v>1</v>
      </c>
      <c r="AS3076" s="6" t="str">
        <f t="shared" si="317"/>
        <v>OK</v>
      </c>
      <c r="AU3076" s="202"/>
      <c r="AV3076" s="216"/>
      <c r="AW3076" s="274"/>
    </row>
    <row r="3077" spans="1:49" s="13" customFormat="1" x14ac:dyDescent="0.2">
      <c r="A3077" s="14">
        <v>3053</v>
      </c>
      <c r="B3077" s="8">
        <v>400043423</v>
      </c>
      <c r="C3077" s="8" t="s">
        <v>1447</v>
      </c>
      <c r="D3077" s="4" t="str">
        <f t="shared" si="318"/>
        <v>400043423A</v>
      </c>
      <c r="E3077" s="309" t="str">
        <f>VLOOKUP($B3077,'D7 - NDB Impacted SPRF''s'!$E$6:$O$9929,2,FALSE)</f>
        <v>Rate table feed from NDB for prospective fraud</v>
      </c>
      <c r="F3077" s="8"/>
      <c r="G3077" s="8" t="s">
        <v>4758</v>
      </c>
      <c r="H3077" s="8" t="s">
        <v>2870</v>
      </c>
      <c r="I3077" s="20"/>
      <c r="J3077" s="8"/>
      <c r="K3077" s="182"/>
      <c r="L3077" s="8" t="s">
        <v>4156</v>
      </c>
      <c r="M3077" s="8" t="s">
        <v>2814</v>
      </c>
      <c r="N3077" s="38" t="s">
        <v>240</v>
      </c>
      <c r="O3077" s="8"/>
      <c r="P3077" s="4" t="str">
        <f>VLOOKUP($B3077,'D7 - NDB Impacted SPRF''s'!$E$16:$O$9929,9,FALSE)</f>
        <v>N</v>
      </c>
      <c r="Q3077" s="4" t="str">
        <f>VLOOKUP($B3077,'D7 - NDB Impacted SPRF''s'!$E$16:$O$9929,10,FALSE)</f>
        <v>N</v>
      </c>
      <c r="R3077" s="4" t="str">
        <f>VLOOKUP($B3077,'D7 - NDB Impacted SPRF''s'!$E$16:$O$9929,11,FALSE)</f>
        <v>N</v>
      </c>
      <c r="S3077" s="8"/>
      <c r="T3077" s="310"/>
      <c r="U3077" s="310"/>
      <c r="V3077" s="4"/>
      <c r="W3077" s="4"/>
      <c r="X3077" s="4"/>
      <c r="Y3077" s="4"/>
      <c r="Z3077" s="4"/>
      <c r="AA3077" s="4"/>
      <c r="AB3077" s="380" t="str">
        <f>VLOOKUP($B3077,'D7 - NDB Impacted SPRF''s'!$E$6:$O$9929,4,FALSE)</f>
        <v>Cancelled</v>
      </c>
      <c r="AC3077" s="380" t="str">
        <f>VLOOKUP($B3077,'D7 - NDB Impacted SPRF''s'!$E$6:$O$9929,3,FALSE)</f>
        <v>OptumInsight</v>
      </c>
      <c r="AD3077" s="380" t="str">
        <f>VLOOKUP($B3077,'D7 - NDB Impacted SPRF''s'!$E$6:$O$9929,5,FALSE)</f>
        <v>Ingenix</v>
      </c>
      <c r="AE3077" s="380" t="str">
        <f>VLOOKUP($B3077,'D7 - NDB Impacted SPRF''s'!$E$6:$O$9929,7,FALSE)</f>
        <v>Westcott, Wendy</v>
      </c>
      <c r="AF3077" s="380" t="str">
        <f>VLOOKUP($B3077,'D7 - NDB Impacted SPRF''s'!$E$6:$O$9929,6,FALSE)</f>
        <v>James Brady</v>
      </c>
      <c r="AG3077" s="282"/>
      <c r="AH3077" s="311" t="e">
        <f>INDEX('D5 - Gatekeeper - Projects'!$A$4:$AF$1010,$AM3077, 17)</f>
        <v>#N/A</v>
      </c>
      <c r="AI3077" s="8"/>
      <c r="AJ3077" s="57"/>
      <c r="AK3077" s="105"/>
      <c r="AM3077" s="6" t="e">
        <f>MATCH(D3077,'D5 - Gatekeeper - Projects'!$C$4:$C$1010,0)</f>
        <v>#N/A</v>
      </c>
      <c r="AN3077" s="6" t="b">
        <f t="shared" si="314"/>
        <v>1</v>
      </c>
      <c r="AO3077" s="6" t="str">
        <f t="shared" si="315"/>
        <v>OK</v>
      </c>
      <c r="AQ3077" s="6" t="e">
        <f>MATCH($D3077,'D4 - Provider Council Unsched'!$C$11:$C$234,0)</f>
        <v>#N/A</v>
      </c>
      <c r="AR3077" s="6" t="b">
        <f t="shared" si="316"/>
        <v>1</v>
      </c>
      <c r="AS3077" s="6" t="str">
        <f t="shared" si="317"/>
        <v>OK</v>
      </c>
      <c r="AU3077" s="202"/>
      <c r="AV3077" s="216" t="e">
        <v>#N/A</v>
      </c>
      <c r="AW3077" s="274"/>
    </row>
    <row r="3078" spans="1:49" s="13" customFormat="1" ht="33.75" x14ac:dyDescent="0.2">
      <c r="A3078" s="14">
        <v>3054</v>
      </c>
      <c r="B3078" s="8">
        <v>400043528</v>
      </c>
      <c r="C3078" s="8" t="s">
        <v>1447</v>
      </c>
      <c r="D3078" s="4" t="str">
        <f t="shared" si="318"/>
        <v>400043528A</v>
      </c>
      <c r="E3078" s="309" t="str">
        <f>VLOOKUP($B3078,'D7 - NDB Impacted SPRF''s'!$E$6:$O$9929,2,FALSE)</f>
        <v>Sleep Test Optimization</v>
      </c>
      <c r="F3078" s="8"/>
      <c r="G3078" s="8" t="s">
        <v>4758</v>
      </c>
      <c r="H3078" s="8" t="s">
        <v>2870</v>
      </c>
      <c r="I3078" s="20"/>
      <c r="J3078" s="8"/>
      <c r="K3078" s="182"/>
      <c r="L3078" s="8" t="s">
        <v>4156</v>
      </c>
      <c r="M3078" s="8" t="s">
        <v>2814</v>
      </c>
      <c r="N3078" s="38" t="s">
        <v>2607</v>
      </c>
      <c r="O3078" s="8"/>
      <c r="P3078" s="4" t="str">
        <f>VLOOKUP($B3078,'D7 - NDB Impacted SPRF''s'!$E$16:$O$9929,9,FALSE)</f>
        <v>Y</v>
      </c>
      <c r="Q3078" s="4" t="str">
        <f>VLOOKUP($B3078,'D7 - NDB Impacted SPRF''s'!$E$16:$O$9929,10,FALSE)</f>
        <v>N</v>
      </c>
      <c r="R3078" s="4" t="str">
        <f>VLOOKUP($B3078,'D7 - NDB Impacted SPRF''s'!$E$16:$O$9929,11,FALSE)</f>
        <v>N</v>
      </c>
      <c r="S3078" s="8"/>
      <c r="T3078" s="310"/>
      <c r="U3078" s="310"/>
      <c r="V3078" s="4"/>
      <c r="W3078" s="4"/>
      <c r="X3078" s="4"/>
      <c r="Y3078" s="4"/>
      <c r="Z3078" s="4"/>
      <c r="AA3078" s="4"/>
      <c r="AB3078" s="380" t="str">
        <f>VLOOKUP($B3078,'D7 - NDB Impacted SPRF''s'!$E$6:$O$9929,4,FALSE)</f>
        <v>Cancelled</v>
      </c>
      <c r="AC3078" s="380" t="str">
        <f>VLOOKUP($B3078,'D7 - NDB Impacted SPRF''s'!$E$6:$O$9929,3,FALSE)</f>
        <v>UnitedHealthcare Employer &amp; Individual</v>
      </c>
      <c r="AD3078" s="380" t="str">
        <f>VLOOKUP($B3078,'D7 - NDB Impacted SPRF''s'!$E$6:$O$9929,5,FALSE)</f>
        <v>Medical Cost Savings Programs</v>
      </c>
      <c r="AE3078" s="380" t="str">
        <f>VLOOKUP($B3078,'D7 - NDB Impacted SPRF''s'!$E$6:$O$9929,7,FALSE)</f>
        <v>Molly Knorr</v>
      </c>
      <c r="AF3078" s="380" t="str">
        <f>VLOOKUP($B3078,'D7 - NDB Impacted SPRF''s'!$E$6:$O$9929,6,FALSE)</f>
        <v>SARA CHANDLER</v>
      </c>
      <c r="AG3078" s="282"/>
      <c r="AH3078" s="311" t="e">
        <f>INDEX('D5 - Gatekeeper - Projects'!$A$4:$AF$1010,$AM3078, 17)</f>
        <v>#N/A</v>
      </c>
      <c r="AI3078" s="8"/>
      <c r="AJ3078" s="57"/>
      <c r="AK3078" s="105"/>
      <c r="AM3078" s="6" t="e">
        <f>MATCH(D3078,'D5 - Gatekeeper - Projects'!$C$4:$C$1010,0)</f>
        <v>#N/A</v>
      </c>
      <c r="AN3078" s="6" t="b">
        <f t="shared" si="314"/>
        <v>1</v>
      </c>
      <c r="AO3078" s="6" t="str">
        <f t="shared" si="315"/>
        <v>OK</v>
      </c>
      <c r="AQ3078" s="6" t="e">
        <f>MATCH($D3078,'D4 - Provider Council Unsched'!$C$11:$C$234,0)</f>
        <v>#N/A</v>
      </c>
      <c r="AR3078" s="6" t="b">
        <f t="shared" si="316"/>
        <v>1</v>
      </c>
      <c r="AS3078" s="6" t="str">
        <f t="shared" si="317"/>
        <v>OK</v>
      </c>
      <c r="AU3078" s="202"/>
      <c r="AV3078" s="216" t="e">
        <v>#N/A</v>
      </c>
      <c r="AW3078" s="274"/>
    </row>
    <row r="3079" spans="1:49" s="13" customFormat="1" ht="33.75" x14ac:dyDescent="0.2">
      <c r="A3079" s="14">
        <v>3055</v>
      </c>
      <c r="B3079" s="8">
        <v>400043583</v>
      </c>
      <c r="C3079" s="8" t="s">
        <v>1447</v>
      </c>
      <c r="D3079" s="4" t="str">
        <f t="shared" si="318"/>
        <v>400043583A</v>
      </c>
      <c r="E3079" s="309" t="str">
        <f>VLOOKUP($B3079,'D7 - NDB Impacted SPRF''s'!$E$6:$O$9929,2,FALSE)</f>
        <v>Analysis-only:  C&amp;S NDB Strategic Direction</v>
      </c>
      <c r="F3079" s="8"/>
      <c r="G3079" s="8" t="s">
        <v>4758</v>
      </c>
      <c r="H3079" s="8" t="s">
        <v>2870</v>
      </c>
      <c r="I3079" s="20"/>
      <c r="J3079" s="8"/>
      <c r="K3079" s="182"/>
      <c r="L3079" s="8" t="s">
        <v>4156</v>
      </c>
      <c r="M3079" s="8" t="s">
        <v>2814</v>
      </c>
      <c r="N3079" s="38" t="s">
        <v>3596</v>
      </c>
      <c r="O3079" s="8"/>
      <c r="P3079" s="4" t="str">
        <f>VLOOKUP($B3079,'D7 - NDB Impacted SPRF''s'!$E$16:$O$9929,9,FALSE)</f>
        <v>N</v>
      </c>
      <c r="Q3079" s="4" t="str">
        <f>VLOOKUP($B3079,'D7 - NDB Impacted SPRF''s'!$E$16:$O$9929,10,FALSE)</f>
        <v>N</v>
      </c>
      <c r="R3079" s="4" t="str">
        <f>VLOOKUP($B3079,'D7 - NDB Impacted SPRF''s'!$E$16:$O$9929,11,FALSE)</f>
        <v>N</v>
      </c>
      <c r="S3079" s="8"/>
      <c r="T3079" s="310"/>
      <c r="U3079" s="310"/>
      <c r="V3079" s="4"/>
      <c r="W3079" s="4"/>
      <c r="X3079" s="4"/>
      <c r="Y3079" s="4"/>
      <c r="Z3079" s="4"/>
      <c r="AA3079" s="4"/>
      <c r="AB3079" s="380" t="str">
        <f>VLOOKUP($B3079,'D7 - NDB Impacted SPRF''s'!$E$6:$O$9929,4,FALSE)</f>
        <v>Cancelled</v>
      </c>
      <c r="AC3079" s="380" t="str">
        <f>VLOOKUP($B3079,'D7 - NDB Impacted SPRF''s'!$E$6:$O$9929,3,FALSE)</f>
        <v>UnitedHealthcare Community &amp; State</v>
      </c>
      <c r="AD3079" s="380" t="str">
        <f>VLOOKUP($B3079,'D7 - NDB Impacted SPRF''s'!$E$6:$O$9929,5,FALSE)</f>
        <v>AmeriChoice</v>
      </c>
      <c r="AE3079" s="380" t="str">
        <f>VLOOKUP($B3079,'D7 - NDB Impacted SPRF''s'!$E$6:$O$9929,7,FALSE)</f>
        <v>Paul Balthazor</v>
      </c>
      <c r="AF3079" s="380" t="str">
        <f>VLOOKUP($B3079,'D7 - NDB Impacted SPRF''s'!$E$6:$O$9929,6,FALSE)</f>
        <v>ELIZABETH Young</v>
      </c>
      <c r="AG3079" s="282"/>
      <c r="AH3079" s="311" t="e">
        <f>INDEX('D5 - Gatekeeper - Projects'!$A$4:$AF$1010,$AM3079, 17)</f>
        <v>#N/A</v>
      </c>
      <c r="AI3079" s="8"/>
      <c r="AJ3079" s="57"/>
      <c r="AK3079" s="105"/>
      <c r="AM3079" s="6" t="e">
        <f>MATCH(D3079,'D5 - Gatekeeper - Projects'!$C$4:$C$1010,0)</f>
        <v>#N/A</v>
      </c>
      <c r="AN3079" s="6" t="b">
        <f t="shared" si="314"/>
        <v>1</v>
      </c>
      <c r="AO3079" s="6" t="str">
        <f t="shared" si="315"/>
        <v>OK</v>
      </c>
      <c r="AQ3079" s="6" t="e">
        <f>MATCH($D3079,'D4 - Provider Council Unsched'!$C$11:$C$234,0)</f>
        <v>#N/A</v>
      </c>
      <c r="AR3079" s="6" t="b">
        <f t="shared" si="316"/>
        <v>1</v>
      </c>
      <c r="AS3079" s="6" t="str">
        <f t="shared" si="317"/>
        <v>OK</v>
      </c>
      <c r="AU3079" s="202"/>
      <c r="AV3079" s="216"/>
      <c r="AW3079" s="274"/>
    </row>
    <row r="3080" spans="1:49" s="13" customFormat="1" ht="22.5" x14ac:dyDescent="0.2">
      <c r="A3080" s="14">
        <v>3056</v>
      </c>
      <c r="B3080" s="8">
        <v>400043799</v>
      </c>
      <c r="C3080" s="8" t="s">
        <v>1447</v>
      </c>
      <c r="D3080" s="4" t="str">
        <f t="shared" si="318"/>
        <v>400043799A</v>
      </c>
      <c r="E3080" s="309" t="e">
        <f>VLOOKUP($B3080,'D7 - NDB Impacted SPRF''s'!$E$6:$O$9929,2,FALSE)</f>
        <v>#N/A</v>
      </c>
      <c r="F3080" s="8"/>
      <c r="G3080" s="8" t="s">
        <v>4758</v>
      </c>
      <c r="H3080" s="8" t="s">
        <v>2870</v>
      </c>
      <c r="I3080" s="20"/>
      <c r="J3080" s="8"/>
      <c r="K3080" s="182"/>
      <c r="L3080" s="8" t="s">
        <v>4156</v>
      </c>
      <c r="M3080" s="8" t="s">
        <v>2814</v>
      </c>
      <c r="N3080" s="38" t="s">
        <v>1000</v>
      </c>
      <c r="O3080" s="8"/>
      <c r="P3080" s="4" t="e">
        <f>VLOOKUP($B3080,'D7 - NDB Impacted SPRF''s'!$E$16:$O$9929,9,FALSE)</f>
        <v>#N/A</v>
      </c>
      <c r="Q3080" s="4" t="e">
        <f>VLOOKUP($B3080,'D7 - NDB Impacted SPRF''s'!$E$16:$O$9929,10,FALSE)</f>
        <v>#N/A</v>
      </c>
      <c r="R3080" s="4" t="e">
        <f>VLOOKUP($B3080,'D7 - NDB Impacted SPRF''s'!$E$16:$O$9929,11,FALSE)</f>
        <v>#N/A</v>
      </c>
      <c r="S3080" s="8"/>
      <c r="T3080" s="310"/>
      <c r="U3080" s="310"/>
      <c r="V3080" s="4"/>
      <c r="W3080" s="4"/>
      <c r="X3080" s="4"/>
      <c r="Y3080" s="4"/>
      <c r="Z3080" s="4"/>
      <c r="AA3080" s="4"/>
      <c r="AB3080" s="380" t="e">
        <f>VLOOKUP($B3080,'D7 - NDB Impacted SPRF''s'!$E$6:$O$9929,4,FALSE)</f>
        <v>#N/A</v>
      </c>
      <c r="AC3080" s="380" t="e">
        <f>VLOOKUP($B3080,'D7 - NDB Impacted SPRF''s'!$E$6:$O$9929,3,FALSE)</f>
        <v>#N/A</v>
      </c>
      <c r="AD3080" s="380" t="e">
        <f>VLOOKUP($B3080,'D7 - NDB Impacted SPRF''s'!$E$6:$O$9929,5,FALSE)</f>
        <v>#N/A</v>
      </c>
      <c r="AE3080" s="380" t="e">
        <f>VLOOKUP($B3080,'D7 - NDB Impacted SPRF''s'!$E$6:$O$9929,7,FALSE)</f>
        <v>#N/A</v>
      </c>
      <c r="AF3080" s="380" t="e">
        <f>VLOOKUP($B3080,'D7 - NDB Impacted SPRF''s'!$E$6:$O$9929,6,FALSE)</f>
        <v>#N/A</v>
      </c>
      <c r="AG3080" s="282"/>
      <c r="AH3080" s="311" t="e">
        <f>INDEX('D5 - Gatekeeper - Projects'!$A$4:$AF$1010,$AM3080, 17)</f>
        <v>#N/A</v>
      </c>
      <c r="AI3080" s="8"/>
      <c r="AJ3080" s="57"/>
      <c r="AK3080" s="105"/>
      <c r="AM3080" s="6" t="e">
        <f>MATCH(D3080,'D5 - Gatekeeper - Projects'!$C$4:$C$1010,0)</f>
        <v>#N/A</v>
      </c>
      <c r="AN3080" s="6" t="b">
        <f t="shared" si="314"/>
        <v>1</v>
      </c>
      <c r="AO3080" s="6" t="str">
        <f t="shared" si="315"/>
        <v>OK</v>
      </c>
      <c r="AQ3080" s="6" t="e">
        <f>MATCH($D3080,'D4 - Provider Council Unsched'!$C$11:$C$234,0)</f>
        <v>#N/A</v>
      </c>
      <c r="AR3080" s="6" t="b">
        <f t="shared" si="316"/>
        <v>1</v>
      </c>
      <c r="AS3080" s="6" t="str">
        <f t="shared" si="317"/>
        <v>OK</v>
      </c>
      <c r="AU3080" s="202"/>
      <c r="AV3080" s="216"/>
      <c r="AW3080" s="274"/>
    </row>
    <row r="3081" spans="1:49" s="13" customFormat="1" ht="33.75" x14ac:dyDescent="0.2">
      <c r="A3081" s="14">
        <v>3057</v>
      </c>
      <c r="B3081" s="8">
        <v>400043957</v>
      </c>
      <c r="C3081" s="8" t="s">
        <v>1447</v>
      </c>
      <c r="D3081" s="4" t="str">
        <f t="shared" si="318"/>
        <v>400043957A</v>
      </c>
      <c r="E3081" s="309" t="str">
        <f>VLOOKUP($B3081,'D7 - NDB Impacted SPRF''s'!$E$6:$O$9929,2,FALSE)</f>
        <v>Transparency</v>
      </c>
      <c r="F3081" s="8"/>
      <c r="G3081" s="8" t="s">
        <v>4758</v>
      </c>
      <c r="H3081" s="8" t="s">
        <v>2870</v>
      </c>
      <c r="I3081" s="20"/>
      <c r="J3081" s="8"/>
      <c r="K3081" s="182"/>
      <c r="L3081" s="8" t="s">
        <v>4156</v>
      </c>
      <c r="M3081" s="8" t="s">
        <v>2814</v>
      </c>
      <c r="N3081" s="38" t="s">
        <v>2716</v>
      </c>
      <c r="O3081" s="8"/>
      <c r="P3081" s="4" t="str">
        <f>VLOOKUP($B3081,'D7 - NDB Impacted SPRF''s'!$E$16:$O$9929,9,FALSE)</f>
        <v>Y</v>
      </c>
      <c r="Q3081" s="4" t="str">
        <f>VLOOKUP($B3081,'D7 - NDB Impacted SPRF''s'!$E$16:$O$9929,10,FALSE)</f>
        <v>N</v>
      </c>
      <c r="R3081" s="4" t="str">
        <f>VLOOKUP($B3081,'D7 - NDB Impacted SPRF''s'!$E$16:$O$9929,11,FALSE)</f>
        <v>Y</v>
      </c>
      <c r="S3081" s="8"/>
      <c r="T3081" s="310"/>
      <c r="U3081" s="310"/>
      <c r="V3081" s="4"/>
      <c r="W3081" s="4"/>
      <c r="X3081" s="4"/>
      <c r="Y3081" s="4"/>
      <c r="Z3081" s="4"/>
      <c r="AA3081" s="4"/>
      <c r="AB3081" s="380" t="str">
        <f>VLOOKUP($B3081,'D7 - NDB Impacted SPRF''s'!$E$6:$O$9929,4,FALSE)</f>
        <v>In Estimating</v>
      </c>
      <c r="AC3081" s="380" t="str">
        <f>VLOOKUP($B3081,'D7 - NDB Impacted SPRF''s'!$E$6:$O$9929,3,FALSE)</f>
        <v>UnitedHealthcare Employer &amp; Individual</v>
      </c>
      <c r="AD3081" s="380" t="str">
        <f>VLOOKUP($B3081,'D7 - NDB Impacted SPRF''s'!$E$6:$O$9929,5,FALSE)</f>
        <v>Consumer Transparency (TCE)</v>
      </c>
      <c r="AE3081" s="380" t="str">
        <f>VLOOKUP($B3081,'D7 - NDB Impacted SPRF''s'!$E$6:$O$9929,7,FALSE)</f>
        <v>Tory Bogatyrenko</v>
      </c>
      <c r="AF3081" s="380" t="str">
        <f>VLOOKUP($B3081,'D7 - NDB Impacted SPRF''s'!$E$6:$O$9929,6,FALSE)</f>
        <v>COBB DOROTHY</v>
      </c>
      <c r="AG3081" s="282"/>
      <c r="AH3081" s="311" t="e">
        <f>INDEX('D5 - Gatekeeper - Projects'!$A$4:$AF$1010,$AM3081, 17)</f>
        <v>#N/A</v>
      </c>
      <c r="AI3081" s="8"/>
      <c r="AJ3081" s="57"/>
      <c r="AK3081" s="105"/>
      <c r="AM3081" s="6" t="e">
        <f>MATCH(D3081,'D5 - Gatekeeper - Projects'!$C$4:$C$1010,0)</f>
        <v>#N/A</v>
      </c>
      <c r="AN3081" s="6" t="b">
        <f t="shared" si="314"/>
        <v>1</v>
      </c>
      <c r="AO3081" s="6" t="str">
        <f t="shared" si="315"/>
        <v>OK</v>
      </c>
      <c r="AQ3081" s="6" t="e">
        <f>MATCH($D3081,'D4 - Provider Council Unsched'!$C$11:$C$234,0)</f>
        <v>#N/A</v>
      </c>
      <c r="AR3081" s="6" t="b">
        <f t="shared" si="316"/>
        <v>1</v>
      </c>
      <c r="AS3081" s="6" t="str">
        <f t="shared" si="317"/>
        <v>OK</v>
      </c>
      <c r="AU3081" s="202"/>
      <c r="AV3081" s="216"/>
      <c r="AW3081" s="274"/>
    </row>
    <row r="3082" spans="1:49" s="13" customFormat="1" ht="33.75" x14ac:dyDescent="0.2">
      <c r="A3082" s="14">
        <v>3058</v>
      </c>
      <c r="B3082" s="8">
        <v>400044141</v>
      </c>
      <c r="C3082" s="8" t="s">
        <v>1447</v>
      </c>
      <c r="D3082" s="4" t="str">
        <f t="shared" si="318"/>
        <v>400044141A</v>
      </c>
      <c r="E3082" s="309" t="str">
        <f>VLOOKUP($B3082,'D7 - NDB Impacted SPRF''s'!$E$6:$O$9929,2,FALSE)</f>
        <v xml:space="preserve">UHC E&amp;I Vision and Dental: Alignment to NDB </v>
      </c>
      <c r="F3082" s="8"/>
      <c r="G3082" s="8" t="s">
        <v>4758</v>
      </c>
      <c r="H3082" s="8" t="s">
        <v>2870</v>
      </c>
      <c r="I3082" s="20"/>
      <c r="J3082" s="8"/>
      <c r="K3082" s="182"/>
      <c r="L3082" s="8" t="s">
        <v>4156</v>
      </c>
      <c r="M3082" s="8" t="s">
        <v>2814</v>
      </c>
      <c r="N3082" s="38" t="s">
        <v>3522</v>
      </c>
      <c r="O3082" s="8"/>
      <c r="P3082" s="4" t="str">
        <f>VLOOKUP($B3082,'D7 - NDB Impacted SPRF''s'!$E$16:$O$9929,9,FALSE)</f>
        <v>N</v>
      </c>
      <c r="Q3082" s="4" t="str">
        <f>VLOOKUP($B3082,'D7 - NDB Impacted SPRF''s'!$E$16:$O$9929,10,FALSE)</f>
        <v>N</v>
      </c>
      <c r="R3082" s="4" t="str">
        <f>VLOOKUP($B3082,'D7 - NDB Impacted SPRF''s'!$E$16:$O$9929,11,FALSE)</f>
        <v>N</v>
      </c>
      <c r="S3082" s="8"/>
      <c r="T3082" s="310"/>
      <c r="U3082" s="310"/>
      <c r="V3082" s="4"/>
      <c r="W3082" s="4"/>
      <c r="X3082" s="4"/>
      <c r="Y3082" s="4"/>
      <c r="Z3082" s="4"/>
      <c r="AA3082" s="4"/>
      <c r="AB3082" s="380" t="str">
        <f>VLOOKUP($B3082,'D7 - NDB Impacted SPRF''s'!$E$6:$O$9929,4,FALSE)</f>
        <v>Cancelled</v>
      </c>
      <c r="AC3082" s="380" t="str">
        <f>VLOOKUP($B3082,'D7 - NDB Impacted SPRF''s'!$E$6:$O$9929,3,FALSE)</f>
        <v>UnitedHealthcare Employer &amp; Individual</v>
      </c>
      <c r="AD3082" s="380" t="str">
        <f>VLOOKUP($B3082,'D7 - NDB Impacted SPRF''s'!$E$6:$O$9929,5,FALSE)</f>
        <v>Specialty Benefits</v>
      </c>
      <c r="AE3082" s="380" t="str">
        <f>VLOOKUP($B3082,'D7 - NDB Impacted SPRF''s'!$E$6:$O$9929,7,FALSE)</f>
        <v>Paul Hebert</v>
      </c>
      <c r="AF3082" s="380" t="str">
        <f>VLOOKUP($B3082,'D7 - NDB Impacted SPRF''s'!$E$6:$O$9929,6,FALSE)</f>
        <v>Tamara Zwirtz</v>
      </c>
      <c r="AG3082" s="282"/>
      <c r="AH3082" s="311" t="e">
        <f>INDEX('D5 - Gatekeeper - Projects'!$A$4:$AF$1010,$AM3082, 17)</f>
        <v>#N/A</v>
      </c>
      <c r="AI3082" s="8"/>
      <c r="AJ3082" s="57"/>
      <c r="AK3082" s="105"/>
      <c r="AM3082" s="6" t="e">
        <f>MATCH(D3082,'D5 - Gatekeeper - Projects'!$C$4:$C$1010,0)</f>
        <v>#N/A</v>
      </c>
      <c r="AN3082" s="6" t="b">
        <f t="shared" si="314"/>
        <v>1</v>
      </c>
      <c r="AO3082" s="6" t="str">
        <f t="shared" si="315"/>
        <v>OK</v>
      </c>
      <c r="AQ3082" s="6" t="e">
        <f>MATCH($D3082,'D4 - Provider Council Unsched'!$C$11:$C$234,0)</f>
        <v>#N/A</v>
      </c>
      <c r="AR3082" s="6" t="b">
        <f t="shared" si="316"/>
        <v>1</v>
      </c>
      <c r="AS3082" s="6" t="str">
        <f t="shared" si="317"/>
        <v>OK</v>
      </c>
      <c r="AU3082" s="202"/>
      <c r="AV3082" s="216"/>
      <c r="AW3082" s="274"/>
    </row>
    <row r="3083" spans="1:49" s="13" customFormat="1" ht="33.75" x14ac:dyDescent="0.2">
      <c r="A3083" s="14">
        <v>3059</v>
      </c>
      <c r="B3083" s="8">
        <v>400044587</v>
      </c>
      <c r="C3083" s="8" t="s">
        <v>1447</v>
      </c>
      <c r="D3083" s="4" t="str">
        <f t="shared" si="318"/>
        <v>400044587A</v>
      </c>
      <c r="E3083" s="309" t="str">
        <f>VLOOKUP($B3083,'D7 - NDB Impacted SPRF''s'!$E$6:$O$9929,2,FALSE)</f>
        <v>ICUE Q3 2012</v>
      </c>
      <c r="F3083" s="8"/>
      <c r="G3083" s="8" t="s">
        <v>4758</v>
      </c>
      <c r="H3083" s="8" t="s">
        <v>2870</v>
      </c>
      <c r="I3083" s="20"/>
      <c r="J3083" s="8"/>
      <c r="K3083" s="182"/>
      <c r="L3083" s="8" t="s">
        <v>4156</v>
      </c>
      <c r="M3083" s="8" t="s">
        <v>2814</v>
      </c>
      <c r="N3083" s="38" t="s">
        <v>2735</v>
      </c>
      <c r="O3083" s="8"/>
      <c r="P3083" s="4" t="str">
        <f>VLOOKUP($B3083,'D7 - NDB Impacted SPRF''s'!$E$16:$O$9929,9,FALSE)</f>
        <v>Y</v>
      </c>
      <c r="Q3083" s="4" t="str">
        <f>VLOOKUP($B3083,'D7 - NDB Impacted SPRF''s'!$E$16:$O$9929,10,FALSE)</f>
        <v>N</v>
      </c>
      <c r="R3083" s="4" t="str">
        <f>VLOOKUP($B3083,'D7 - NDB Impacted SPRF''s'!$E$16:$O$9929,11,FALSE)</f>
        <v>N</v>
      </c>
      <c r="S3083" s="8"/>
      <c r="T3083" s="310"/>
      <c r="U3083" s="310"/>
      <c r="V3083" s="4"/>
      <c r="W3083" s="4"/>
      <c r="X3083" s="4"/>
      <c r="Y3083" s="4"/>
      <c r="Z3083" s="4"/>
      <c r="AA3083" s="4"/>
      <c r="AB3083" s="380" t="str">
        <f>VLOOKUP($B3083,'D7 - NDB Impacted SPRF''s'!$E$6:$O$9929,4,FALSE)</f>
        <v>Cancelled</v>
      </c>
      <c r="AC3083" s="380" t="str">
        <f>VLOOKUP($B3083,'D7 - NDB Impacted SPRF''s'!$E$6:$O$9929,3,FALSE)</f>
        <v>UnitedHealthcare Medicare &amp; Retirement</v>
      </c>
      <c r="AD3083" s="380" t="str">
        <f>VLOOKUP($B3083,'D7 - NDB Impacted SPRF''s'!$E$6:$O$9929,5,FALSE)</f>
        <v>Enterprise Clinical</v>
      </c>
      <c r="AE3083" s="380" t="str">
        <f>VLOOKUP($B3083,'D7 - NDB Impacted SPRF''s'!$E$6:$O$9929,7,FALSE)</f>
        <v>Ellen Koch</v>
      </c>
      <c r="AF3083" s="380" t="str">
        <f>VLOOKUP($B3083,'D7 - NDB Impacted SPRF''s'!$E$6:$O$9929,6,FALSE)</f>
        <v>Carol Buske</v>
      </c>
      <c r="AG3083" s="282"/>
      <c r="AH3083" s="311" t="e">
        <f>INDEX('D5 - Gatekeeper - Projects'!$A$4:$AF$1010,$AM3083, 17)</f>
        <v>#N/A</v>
      </c>
      <c r="AI3083" s="8"/>
      <c r="AJ3083" s="57"/>
      <c r="AK3083" s="105"/>
      <c r="AM3083" s="6" t="e">
        <f>MATCH(D3083,'D5 - Gatekeeper - Projects'!$C$4:$C$1010,0)</f>
        <v>#N/A</v>
      </c>
      <c r="AN3083" s="6" t="b">
        <f t="shared" si="314"/>
        <v>1</v>
      </c>
      <c r="AO3083" s="6" t="str">
        <f t="shared" si="315"/>
        <v>OK</v>
      </c>
      <c r="AQ3083" s="6" t="e">
        <f>MATCH($D3083,'D4 - Provider Council Unsched'!$C$11:$C$234,0)</f>
        <v>#N/A</v>
      </c>
      <c r="AR3083" s="6" t="b">
        <f t="shared" si="316"/>
        <v>1</v>
      </c>
      <c r="AS3083" s="6" t="str">
        <f t="shared" si="317"/>
        <v>OK</v>
      </c>
      <c r="AU3083" s="202"/>
      <c r="AV3083" s="216" t="e">
        <v>#N/A</v>
      </c>
      <c r="AW3083" s="274"/>
    </row>
    <row r="3084" spans="1:49" s="13" customFormat="1" ht="33.75" x14ac:dyDescent="0.2">
      <c r="A3084" s="14">
        <v>3060</v>
      </c>
      <c r="B3084" s="8">
        <v>400044769</v>
      </c>
      <c r="C3084" s="8" t="s">
        <v>1447</v>
      </c>
      <c r="D3084" s="4" t="str">
        <f t="shared" si="318"/>
        <v>400044769A</v>
      </c>
      <c r="E3084" s="309" t="str">
        <f>VLOOKUP($B3084,'D7 - NDB Impacted SPRF''s'!$E$6:$O$9929,2,FALSE)</f>
        <v>TBS Provider Data Quality Remediation - Phase 1</v>
      </c>
      <c r="F3084" s="8"/>
      <c r="G3084" s="8" t="s">
        <v>4758</v>
      </c>
      <c r="H3084" s="8" t="s">
        <v>2870</v>
      </c>
      <c r="I3084" s="20"/>
      <c r="J3084" s="8"/>
      <c r="K3084" s="182"/>
      <c r="L3084" s="8" t="s">
        <v>4156</v>
      </c>
      <c r="M3084" s="8" t="s">
        <v>2814</v>
      </c>
      <c r="N3084" s="38" t="s">
        <v>2714</v>
      </c>
      <c r="O3084" s="8"/>
      <c r="P3084" s="4" t="str">
        <f>VLOOKUP($B3084,'D7 - NDB Impacted SPRF''s'!$E$16:$O$9929,9,FALSE)</f>
        <v>N</v>
      </c>
      <c r="Q3084" s="4" t="str">
        <f>VLOOKUP($B3084,'D7 - NDB Impacted SPRF''s'!$E$16:$O$9929,10,FALSE)</f>
        <v>N</v>
      </c>
      <c r="R3084" s="4" t="str">
        <f>VLOOKUP($B3084,'D7 - NDB Impacted SPRF''s'!$E$16:$O$9929,11,FALSE)</f>
        <v>N</v>
      </c>
      <c r="S3084" s="8"/>
      <c r="T3084" s="310"/>
      <c r="U3084" s="310"/>
      <c r="V3084" s="4"/>
      <c r="W3084" s="4"/>
      <c r="X3084" s="4"/>
      <c r="Y3084" s="4"/>
      <c r="Z3084" s="4"/>
      <c r="AA3084" s="4"/>
      <c r="AB3084" s="380" t="str">
        <f>VLOOKUP($B3084,'D7 - NDB Impacted SPRF''s'!$E$6:$O$9929,4,FALSE)</f>
        <v>Completed</v>
      </c>
      <c r="AC3084" s="380" t="str">
        <f>VLOOKUP($B3084,'D7 - NDB Impacted SPRF''s'!$E$6:$O$9929,3,FALSE)</f>
        <v>OptumHealth</v>
      </c>
      <c r="AD3084" s="380" t="str">
        <f>VLOOKUP($B3084,'D7 - NDB Impacted SPRF''s'!$E$6:$O$9929,5,FALSE)</f>
        <v>Behavioral Solutions</v>
      </c>
      <c r="AE3084" s="380" t="str">
        <f>VLOOKUP($B3084,'D7 - NDB Impacted SPRF''s'!$E$6:$O$9929,7,FALSE)</f>
        <v>Deb Adler</v>
      </c>
      <c r="AF3084" s="380" t="str">
        <f>VLOOKUP($B3084,'D7 - NDB Impacted SPRF''s'!$E$6:$O$9929,6,FALSE)</f>
        <v>Stephanie Logan</v>
      </c>
      <c r="AG3084" s="282"/>
      <c r="AH3084" s="311" t="e">
        <f>INDEX('D5 - Gatekeeper - Projects'!$A$4:$AF$1010,$AM3084, 17)</f>
        <v>#N/A</v>
      </c>
      <c r="AI3084" s="8"/>
      <c r="AJ3084" s="57"/>
      <c r="AK3084" s="105"/>
      <c r="AM3084" s="6" t="e">
        <f>MATCH(D3084,'D5 - Gatekeeper - Projects'!$C$4:$C$1010,0)</f>
        <v>#N/A</v>
      </c>
      <c r="AN3084" s="6" t="b">
        <f t="shared" si="314"/>
        <v>1</v>
      </c>
      <c r="AO3084" s="6" t="str">
        <f t="shared" si="315"/>
        <v>OK</v>
      </c>
      <c r="AQ3084" s="6" t="e">
        <f>MATCH($D3084,'D4 - Provider Council Unsched'!$C$11:$C$234,0)</f>
        <v>#N/A</v>
      </c>
      <c r="AR3084" s="6" t="b">
        <f t="shared" si="316"/>
        <v>1</v>
      </c>
      <c r="AS3084" s="6" t="str">
        <f t="shared" si="317"/>
        <v>OK</v>
      </c>
      <c r="AU3084" s="202"/>
      <c r="AV3084" s="216"/>
      <c r="AW3084" s="274"/>
    </row>
    <row r="3085" spans="1:49" s="13" customFormat="1" ht="33.75" x14ac:dyDescent="0.2">
      <c r="A3085" s="14">
        <v>3061</v>
      </c>
      <c r="B3085" s="8">
        <v>400044772</v>
      </c>
      <c r="C3085" s="8" t="s">
        <v>1447</v>
      </c>
      <c r="D3085" s="4" t="str">
        <f t="shared" si="318"/>
        <v>400044772A</v>
      </c>
      <c r="E3085" s="309" t="str">
        <f>VLOOKUP($B3085,'D7 - NDB Impacted SPRF''s'!$E$6:$O$9929,2,FALSE)</f>
        <v>Connecticut ASO RFP Implementation (2011)</v>
      </c>
      <c r="F3085" s="8"/>
      <c r="G3085" s="8" t="s">
        <v>4758</v>
      </c>
      <c r="H3085" s="8" t="s">
        <v>2870</v>
      </c>
      <c r="I3085" s="20"/>
      <c r="J3085" s="8"/>
      <c r="K3085" s="182"/>
      <c r="L3085" s="8" t="s">
        <v>4156</v>
      </c>
      <c r="M3085" s="8" t="s">
        <v>2814</v>
      </c>
      <c r="N3085" s="38" t="s">
        <v>1316</v>
      </c>
      <c r="O3085" s="8"/>
      <c r="P3085" s="4" t="str">
        <f>VLOOKUP($B3085,'D7 - NDB Impacted SPRF''s'!$E$16:$O$9929,9,FALSE)</f>
        <v>N</v>
      </c>
      <c r="Q3085" s="4" t="str">
        <f>VLOOKUP($B3085,'D7 - NDB Impacted SPRF''s'!$E$16:$O$9929,10,FALSE)</f>
        <v>N</v>
      </c>
      <c r="R3085" s="4" t="str">
        <f>VLOOKUP($B3085,'D7 - NDB Impacted SPRF''s'!$E$16:$O$9929,11,FALSE)</f>
        <v>N</v>
      </c>
      <c r="S3085" s="8"/>
      <c r="T3085" s="310"/>
      <c r="U3085" s="310"/>
      <c r="V3085" s="4"/>
      <c r="W3085" s="4"/>
      <c r="X3085" s="4"/>
      <c r="Y3085" s="4"/>
      <c r="Z3085" s="4"/>
      <c r="AA3085" s="4"/>
      <c r="AB3085" s="380" t="str">
        <f>VLOOKUP($B3085,'D7 - NDB Impacted SPRF''s'!$E$6:$O$9929,4,FALSE)</f>
        <v>Cancelled</v>
      </c>
      <c r="AC3085" s="380" t="str">
        <f>VLOOKUP($B3085,'D7 - NDB Impacted SPRF''s'!$E$6:$O$9929,3,FALSE)</f>
        <v>UnitedHealthcare Community &amp; State</v>
      </c>
      <c r="AD3085" s="380" t="str">
        <f>VLOOKUP($B3085,'D7 - NDB Impacted SPRF''s'!$E$6:$O$9929,5,FALSE)</f>
        <v>Growth/Expansion</v>
      </c>
      <c r="AE3085" s="380" t="str">
        <f>VLOOKUP($B3085,'D7 - NDB Impacted SPRF''s'!$E$6:$O$9929,7,FALSE)</f>
        <v>Don Langer</v>
      </c>
      <c r="AF3085" s="380" t="str">
        <f>VLOOKUP($B3085,'D7 - NDB Impacted SPRF''s'!$E$6:$O$9929,6,FALSE)</f>
        <v>Michele Nelson</v>
      </c>
      <c r="AG3085" s="282"/>
      <c r="AH3085" s="311" t="e">
        <f>INDEX('D5 - Gatekeeper - Projects'!$A$4:$AF$1010,$AM3085, 17)</f>
        <v>#N/A</v>
      </c>
      <c r="AI3085" s="8"/>
      <c r="AJ3085" s="57"/>
      <c r="AK3085" s="105"/>
      <c r="AM3085" s="6" t="e">
        <f>MATCH(D3085,'D5 - Gatekeeper - Projects'!$C$4:$C$1010,0)</f>
        <v>#N/A</v>
      </c>
      <c r="AN3085" s="6" t="b">
        <f t="shared" si="314"/>
        <v>1</v>
      </c>
      <c r="AO3085" s="6" t="str">
        <f t="shared" si="315"/>
        <v>OK</v>
      </c>
      <c r="AQ3085" s="6" t="e">
        <f>MATCH($D3085,'D4 - Provider Council Unsched'!$C$11:$C$234,0)</f>
        <v>#N/A</v>
      </c>
      <c r="AR3085" s="6" t="b">
        <f t="shared" si="316"/>
        <v>1</v>
      </c>
      <c r="AS3085" s="6" t="str">
        <f t="shared" si="317"/>
        <v>OK</v>
      </c>
      <c r="AU3085" s="202"/>
      <c r="AV3085" s="216"/>
      <c r="AW3085" s="274"/>
    </row>
    <row r="3086" spans="1:49" s="13" customFormat="1" x14ac:dyDescent="0.2">
      <c r="A3086" s="14">
        <v>3062</v>
      </c>
      <c r="B3086" s="8">
        <v>400044782</v>
      </c>
      <c r="C3086" s="8" t="s">
        <v>1447</v>
      </c>
      <c r="D3086" s="4" t="str">
        <f t="shared" si="318"/>
        <v>400044782A</v>
      </c>
      <c r="E3086" s="309" t="str">
        <f>VLOOKUP($B3086,'D7 - NDB Impacted SPRF''s'!$E$6:$O$9929,2,FALSE)</f>
        <v>TBS Provider Data Quality - Enable EPDE Extract</v>
      </c>
      <c r="F3086" s="8"/>
      <c r="G3086" s="8" t="s">
        <v>4758</v>
      </c>
      <c r="H3086" s="8" t="s">
        <v>2870</v>
      </c>
      <c r="I3086" s="20"/>
      <c r="J3086" s="8"/>
      <c r="K3086" s="182"/>
      <c r="L3086" s="8" t="s">
        <v>4156</v>
      </c>
      <c r="M3086" s="8" t="s">
        <v>2814</v>
      </c>
      <c r="N3086" s="38" t="s">
        <v>1026</v>
      </c>
      <c r="O3086" s="8"/>
      <c r="P3086" s="4" t="str">
        <f>VLOOKUP($B3086,'D7 - NDB Impacted SPRF''s'!$E$16:$O$9929,9,FALSE)</f>
        <v>N</v>
      </c>
      <c r="Q3086" s="4" t="str">
        <f>VLOOKUP($B3086,'D7 - NDB Impacted SPRF''s'!$E$16:$O$9929,10,FALSE)</f>
        <v>N</v>
      </c>
      <c r="R3086" s="4" t="str">
        <f>VLOOKUP($B3086,'D7 - NDB Impacted SPRF''s'!$E$16:$O$9929,11,FALSE)</f>
        <v>N</v>
      </c>
      <c r="S3086" s="8"/>
      <c r="T3086" s="310"/>
      <c r="U3086" s="310"/>
      <c r="V3086" s="4"/>
      <c r="W3086" s="4"/>
      <c r="X3086" s="4"/>
      <c r="Y3086" s="4"/>
      <c r="Z3086" s="4"/>
      <c r="AA3086" s="4"/>
      <c r="AB3086" s="380" t="str">
        <f>VLOOKUP($B3086,'D7 - NDB Impacted SPRF''s'!$E$6:$O$9929,4,FALSE)</f>
        <v>Cancelled</v>
      </c>
      <c r="AC3086" s="380" t="str">
        <f>VLOOKUP($B3086,'D7 - NDB Impacted SPRF''s'!$E$6:$O$9929,3,FALSE)</f>
        <v>OptumHealth</v>
      </c>
      <c r="AD3086" s="380" t="str">
        <f>VLOOKUP($B3086,'D7 - NDB Impacted SPRF''s'!$E$6:$O$9929,5,FALSE)</f>
        <v>Behavioral Solutions</v>
      </c>
      <c r="AE3086" s="380" t="str">
        <f>VLOOKUP($B3086,'D7 - NDB Impacted SPRF''s'!$E$6:$O$9929,7,FALSE)</f>
        <v>Deb Adler</v>
      </c>
      <c r="AF3086" s="380" t="str">
        <f>VLOOKUP($B3086,'D7 - NDB Impacted SPRF''s'!$E$6:$O$9929,6,FALSE)</f>
        <v>Jane Narup</v>
      </c>
      <c r="AG3086" s="282"/>
      <c r="AH3086" s="311" t="e">
        <f>INDEX('D5 - Gatekeeper - Projects'!$A$4:$AF$1010,$AM3086, 17)</f>
        <v>#N/A</v>
      </c>
      <c r="AI3086" s="8"/>
      <c r="AJ3086" s="57"/>
      <c r="AK3086" s="105"/>
      <c r="AM3086" s="6" t="e">
        <f>MATCH(D3086,'D5 - Gatekeeper - Projects'!$C$4:$C$1010,0)</f>
        <v>#N/A</v>
      </c>
      <c r="AN3086" s="6" t="b">
        <f t="shared" ref="AN3086:AN3149" si="319">ISERROR(AM3086)</f>
        <v>1</v>
      </c>
      <c r="AO3086" s="6" t="str">
        <f t="shared" ref="AO3086:AO3149" si="320">IF(AND(H3086="1 - Scheduled",AN3086=TRUE),"Add","OK")</f>
        <v>OK</v>
      </c>
      <c r="AQ3086" s="6" t="e">
        <f>MATCH($D3086,'D4 - Provider Council Unsched'!$C$11:$C$234,0)</f>
        <v>#N/A</v>
      </c>
      <c r="AR3086" s="6" t="b">
        <f t="shared" ref="AR3086:AR3149" si="321">ISERROR(AQ3086)</f>
        <v>1</v>
      </c>
      <c r="AS3086" s="6" t="str">
        <f t="shared" si="317"/>
        <v>OK</v>
      </c>
      <c r="AU3086" s="202"/>
      <c r="AV3086" s="216" t="e">
        <v>#N/A</v>
      </c>
      <c r="AW3086" s="274">
        <v>39833</v>
      </c>
    </row>
    <row r="3087" spans="1:49" s="13" customFormat="1" ht="33.75" x14ac:dyDescent="0.2">
      <c r="A3087" s="14">
        <v>3063</v>
      </c>
      <c r="B3087" s="8">
        <v>400044784</v>
      </c>
      <c r="C3087" s="8" t="s">
        <v>1447</v>
      </c>
      <c r="D3087" s="4" t="str">
        <f t="shared" si="318"/>
        <v>400044784A</v>
      </c>
      <c r="E3087" s="309" t="str">
        <f>VLOOKUP($B3087,'D7 - NDB Impacted SPRF''s'!$E$6:$O$9929,2,FALSE)</f>
        <v>RSA DHP Fully Scaleable Launch</v>
      </c>
      <c r="F3087" s="8" t="s">
        <v>7420</v>
      </c>
      <c r="G3087" s="8" t="s">
        <v>4758</v>
      </c>
      <c r="H3087" s="8" t="s">
        <v>2870</v>
      </c>
      <c r="I3087" s="20"/>
      <c r="J3087" s="8"/>
      <c r="K3087" s="182"/>
      <c r="L3087" s="8" t="s">
        <v>4156</v>
      </c>
      <c r="M3087" s="8" t="s">
        <v>2814</v>
      </c>
      <c r="N3087" s="38" t="s">
        <v>793</v>
      </c>
      <c r="O3087" s="8"/>
      <c r="P3087" s="4" t="str">
        <f>VLOOKUP($B3087,'D7 - NDB Impacted SPRF''s'!$E$16:$O$9929,9,FALSE)</f>
        <v>Y</v>
      </c>
      <c r="Q3087" s="4" t="str">
        <f>VLOOKUP($B3087,'D7 - NDB Impacted SPRF''s'!$E$16:$O$9929,10,FALSE)</f>
        <v>N</v>
      </c>
      <c r="R3087" s="4" t="str">
        <f>VLOOKUP($B3087,'D7 - NDB Impacted SPRF''s'!$E$16:$O$9929,11,FALSE)</f>
        <v>N</v>
      </c>
      <c r="S3087" s="8"/>
      <c r="T3087" s="310"/>
      <c r="U3087" s="310"/>
      <c r="V3087" s="4"/>
      <c r="W3087" s="4"/>
      <c r="X3087" s="4"/>
      <c r="Y3087" s="4"/>
      <c r="Z3087" s="4"/>
      <c r="AA3087" s="4"/>
      <c r="AB3087" s="380" t="str">
        <f>VLOOKUP($B3087,'D7 - NDB Impacted SPRF''s'!$E$6:$O$9929,4,FALSE)</f>
        <v>Completed</v>
      </c>
      <c r="AC3087" s="380" t="str">
        <f>VLOOKUP($B3087,'D7 - NDB Impacted SPRF''s'!$E$6:$O$9929,3,FALSE)</f>
        <v>UnitedHealthcare Employer &amp; Individual</v>
      </c>
      <c r="AD3087" s="380" t="str">
        <f>VLOOKUP($B3087,'D7 - NDB Impacted SPRF''s'!$E$6:$O$9929,5,FALSE)</f>
        <v>Membership Growth / Revenue Programs</v>
      </c>
      <c r="AE3087" s="380" t="str">
        <f>VLOOKUP($B3087,'D7 - NDB Impacted SPRF''s'!$E$6:$O$9929,7,FALSE)</f>
        <v>Tory Bogatyrenko</v>
      </c>
      <c r="AF3087" s="380" t="str">
        <f>VLOOKUP($B3087,'D7 - NDB Impacted SPRF''s'!$E$6:$O$9929,6,FALSE)</f>
        <v>Joan Roby</v>
      </c>
      <c r="AG3087" s="282"/>
      <c r="AH3087" s="311" t="e">
        <f>INDEX('D5 - Gatekeeper - Projects'!$A$4:$AF$1010,$AM3087, 17)</f>
        <v>#N/A</v>
      </c>
      <c r="AI3087" s="8"/>
      <c r="AJ3087" s="57"/>
      <c r="AK3087" s="105"/>
      <c r="AM3087" s="6" t="e">
        <f>MATCH(D3087,'D5 - Gatekeeper - Projects'!$C$4:$C$1010,0)</f>
        <v>#N/A</v>
      </c>
      <c r="AN3087" s="6" t="b">
        <f t="shared" si="319"/>
        <v>1</v>
      </c>
      <c r="AO3087" s="6" t="str">
        <f t="shared" si="320"/>
        <v>OK</v>
      </c>
      <c r="AQ3087" s="6" t="e">
        <f>MATCH($D3087,'D4 - Provider Council Unsched'!$C$11:$C$234,0)</f>
        <v>#N/A</v>
      </c>
      <c r="AR3087" s="6" t="b">
        <f t="shared" si="321"/>
        <v>1</v>
      </c>
      <c r="AS3087" s="6" t="str">
        <f t="shared" si="317"/>
        <v>OK</v>
      </c>
      <c r="AU3087" s="202"/>
      <c r="AV3087" s="216"/>
      <c r="AW3087" s="274"/>
    </row>
    <row r="3088" spans="1:49" s="13" customFormat="1" ht="33.75" x14ac:dyDescent="0.2">
      <c r="A3088" s="14">
        <v>3064</v>
      </c>
      <c r="B3088" s="8">
        <v>400044868</v>
      </c>
      <c r="C3088" s="8" t="s">
        <v>1447</v>
      </c>
      <c r="D3088" s="4" t="str">
        <f t="shared" si="318"/>
        <v>400044868A</v>
      </c>
      <c r="E3088" s="309" t="str">
        <f>VLOOKUP($B3088,'D7 - NDB Impacted SPRF''s'!$E$6:$O$9929,2,FALSE)</f>
        <v>Kentucky Medicaid Implementation</v>
      </c>
      <c r="F3088" s="8"/>
      <c r="G3088" s="8" t="s">
        <v>4758</v>
      </c>
      <c r="H3088" s="8" t="s">
        <v>2870</v>
      </c>
      <c r="I3088" s="20"/>
      <c r="J3088" s="8"/>
      <c r="K3088" s="182"/>
      <c r="L3088" s="8" t="s">
        <v>4156</v>
      </c>
      <c r="M3088" s="8" t="s">
        <v>2814</v>
      </c>
      <c r="N3088" s="38" t="s">
        <v>5381</v>
      </c>
      <c r="O3088" s="8"/>
      <c r="P3088" s="4" t="str">
        <f>VLOOKUP($B3088,'D7 - NDB Impacted SPRF''s'!$E$16:$O$9929,9,FALSE)</f>
        <v>N</v>
      </c>
      <c r="Q3088" s="4" t="str">
        <f>VLOOKUP($B3088,'D7 - NDB Impacted SPRF''s'!$E$16:$O$9929,10,FALSE)</f>
        <v>N</v>
      </c>
      <c r="R3088" s="4" t="str">
        <f>VLOOKUP($B3088,'D7 - NDB Impacted SPRF''s'!$E$16:$O$9929,11,FALSE)</f>
        <v>N</v>
      </c>
      <c r="S3088" s="8"/>
      <c r="T3088" s="310"/>
      <c r="U3088" s="310"/>
      <c r="V3088" s="4"/>
      <c r="W3088" s="4"/>
      <c r="X3088" s="4"/>
      <c r="Y3088" s="4"/>
      <c r="Z3088" s="4"/>
      <c r="AA3088" s="4"/>
      <c r="AB3088" s="380" t="str">
        <f>VLOOKUP($B3088,'D7 - NDB Impacted SPRF''s'!$E$6:$O$9929,4,FALSE)</f>
        <v>Cancelled</v>
      </c>
      <c r="AC3088" s="380" t="str">
        <f>VLOOKUP($B3088,'D7 - NDB Impacted SPRF''s'!$E$6:$O$9929,3,FALSE)</f>
        <v>UnitedHealthcare Community &amp; State</v>
      </c>
      <c r="AD3088" s="380" t="str">
        <f>VLOOKUP($B3088,'D7 - NDB Impacted SPRF''s'!$E$6:$O$9929,5,FALSE)</f>
        <v>Growth/Expansion</v>
      </c>
      <c r="AE3088" s="380" t="str">
        <f>VLOOKUP($B3088,'D7 - NDB Impacted SPRF''s'!$E$6:$O$9929,7,FALSE)</f>
        <v>Jim Donovan</v>
      </c>
      <c r="AF3088" s="380" t="str">
        <f>VLOOKUP($B3088,'D7 - NDB Impacted SPRF''s'!$E$6:$O$9929,6,FALSE)</f>
        <v>LAN HOANG</v>
      </c>
      <c r="AG3088" s="282"/>
      <c r="AH3088" s="311" t="e">
        <f>INDEX('D5 - Gatekeeper - Projects'!$A$4:$AF$1010,$AM3088, 17)</f>
        <v>#N/A</v>
      </c>
      <c r="AI3088" s="8"/>
      <c r="AJ3088" s="57"/>
      <c r="AK3088" s="105"/>
      <c r="AM3088" s="6" t="e">
        <f>MATCH(D3088,'D5 - Gatekeeper - Projects'!$C$4:$C$1010,0)</f>
        <v>#N/A</v>
      </c>
      <c r="AN3088" s="6" t="b">
        <f t="shared" si="319"/>
        <v>1</v>
      </c>
      <c r="AO3088" s="6" t="str">
        <f t="shared" si="320"/>
        <v>OK</v>
      </c>
      <c r="AQ3088" s="6" t="e">
        <f>MATCH($D3088,'D4 - Provider Council Unsched'!$C$11:$C$234,0)</f>
        <v>#N/A</v>
      </c>
      <c r="AR3088" s="6" t="b">
        <f t="shared" si="321"/>
        <v>1</v>
      </c>
      <c r="AS3088" s="6" t="str">
        <f t="shared" si="317"/>
        <v>OK</v>
      </c>
      <c r="AU3088" s="202"/>
      <c r="AV3088" s="216"/>
      <c r="AW3088" s="274"/>
    </row>
    <row r="3089" spans="1:49" s="13" customFormat="1" ht="45" x14ac:dyDescent="0.2">
      <c r="A3089" s="14">
        <v>3065</v>
      </c>
      <c r="B3089" s="8">
        <v>400044879</v>
      </c>
      <c r="C3089" s="8" t="s">
        <v>1447</v>
      </c>
      <c r="D3089" s="4" t="str">
        <f t="shared" si="318"/>
        <v>400044879A</v>
      </c>
      <c r="E3089" s="309" t="str">
        <f>VLOOKUP($B3089,'D7 - NDB Impacted SPRF''s'!$E$6:$O$9929,2,FALSE)</f>
        <v>PDR -DRG CH / Transfer Pricing-Continuation</v>
      </c>
      <c r="F3089" s="8"/>
      <c r="G3089" s="8" t="s">
        <v>4758</v>
      </c>
      <c r="H3089" s="8" t="s">
        <v>2870</v>
      </c>
      <c r="I3089" s="20"/>
      <c r="J3089" s="8"/>
      <c r="K3089" s="182"/>
      <c r="L3089" s="8" t="s">
        <v>4156</v>
      </c>
      <c r="M3089" s="8" t="s">
        <v>2814</v>
      </c>
      <c r="N3089" s="38"/>
      <c r="O3089" s="8"/>
      <c r="P3089" s="4" t="str">
        <f>VLOOKUP($B3089,'D7 - NDB Impacted SPRF''s'!$E$16:$O$9929,9,FALSE)</f>
        <v>Y</v>
      </c>
      <c r="Q3089" s="4" t="str">
        <f>VLOOKUP($B3089,'D7 - NDB Impacted SPRF''s'!$E$16:$O$9929,10,FALSE)</f>
        <v>N</v>
      </c>
      <c r="R3089" s="4" t="str">
        <f>VLOOKUP($B3089,'D7 - NDB Impacted SPRF''s'!$E$16:$O$9929,11,FALSE)</f>
        <v>Y</v>
      </c>
      <c r="S3089" s="8"/>
      <c r="T3089" s="310"/>
      <c r="U3089" s="310"/>
      <c r="V3089" s="4"/>
      <c r="W3089" s="4"/>
      <c r="X3089" s="4"/>
      <c r="Y3089" s="4"/>
      <c r="Z3089" s="4"/>
      <c r="AA3089" s="4"/>
      <c r="AB3089" s="380" t="str">
        <f>VLOOKUP($B3089,'D7 - NDB Impacted SPRF''s'!$E$6:$O$9929,4,FALSE)</f>
        <v>Cancelled</v>
      </c>
      <c r="AC3089" s="380" t="str">
        <f>VLOOKUP($B3089,'D7 - NDB Impacted SPRF''s'!$E$6:$O$9929,3,FALSE)</f>
        <v>UHG IT - Enterprise Technology Services</v>
      </c>
      <c r="AD3089" s="380" t="str">
        <f>VLOOKUP($B3089,'D7 - NDB Impacted SPRF''s'!$E$6:$O$9929,5,FALSE)</f>
        <v>Strategic Initiatives</v>
      </c>
      <c r="AE3089" s="380" t="str">
        <f>VLOOKUP($B3089,'D7 - NDB Impacted SPRF''s'!$E$6:$O$9929,7,FALSE)</f>
        <v>Tim Kaja</v>
      </c>
      <c r="AF3089" s="380" t="str">
        <f>VLOOKUP($B3089,'D7 - NDB Impacted SPRF''s'!$E$6:$O$9929,6,FALSE)</f>
        <v>Suzanne Smith</v>
      </c>
      <c r="AG3089" s="282"/>
      <c r="AH3089" s="311" t="e">
        <f>INDEX('D5 - Gatekeeper - Projects'!$A$4:$AF$1010,$AM3089, 17)</f>
        <v>#N/A</v>
      </c>
      <c r="AI3089" s="8"/>
      <c r="AJ3089" s="57"/>
      <c r="AK3089" s="105"/>
      <c r="AM3089" s="6" t="e">
        <f>MATCH(D3089,'D5 - Gatekeeper - Projects'!$C$4:$C$1010,0)</f>
        <v>#N/A</v>
      </c>
      <c r="AN3089" s="6" t="b">
        <f t="shared" si="319"/>
        <v>1</v>
      </c>
      <c r="AO3089" s="6" t="str">
        <f t="shared" si="320"/>
        <v>OK</v>
      </c>
      <c r="AQ3089" s="6" t="e">
        <f>MATCH($D3089,'D4 - Provider Council Unsched'!$C$11:$C$234,0)</f>
        <v>#N/A</v>
      </c>
      <c r="AR3089" s="6" t="b">
        <f t="shared" si="321"/>
        <v>1</v>
      </c>
      <c r="AS3089" s="6" t="str">
        <f t="shared" si="317"/>
        <v>OK</v>
      </c>
      <c r="AU3089" s="202"/>
      <c r="AV3089" s="216" t="s">
        <v>2754</v>
      </c>
      <c r="AW3089" s="274"/>
    </row>
    <row r="3090" spans="1:49" s="13" customFormat="1" ht="22.5" x14ac:dyDescent="0.2">
      <c r="A3090" s="14">
        <v>3066</v>
      </c>
      <c r="B3090" s="8">
        <v>400045033</v>
      </c>
      <c r="C3090" s="8" t="s">
        <v>1447</v>
      </c>
      <c r="D3090" s="4" t="str">
        <f t="shared" si="318"/>
        <v>400045033A</v>
      </c>
      <c r="E3090" s="309" t="e">
        <f>VLOOKUP($B3090,'D7 - NDB Impacted SPRF''s'!$E$6:$O$9929,2,FALSE)</f>
        <v>#N/A</v>
      </c>
      <c r="F3090" s="8"/>
      <c r="G3090" s="8" t="s">
        <v>4758</v>
      </c>
      <c r="H3090" s="8" t="s">
        <v>2870</v>
      </c>
      <c r="I3090" s="20"/>
      <c r="J3090" s="8"/>
      <c r="K3090" s="182"/>
      <c r="L3090" s="8" t="s">
        <v>4156</v>
      </c>
      <c r="M3090" s="8" t="s">
        <v>2814</v>
      </c>
      <c r="N3090" s="38" t="s">
        <v>5380</v>
      </c>
      <c r="O3090" s="8"/>
      <c r="P3090" s="4" t="e">
        <f>VLOOKUP($B3090,'D7 - NDB Impacted SPRF''s'!$E$16:$O$9929,9,FALSE)</f>
        <v>#N/A</v>
      </c>
      <c r="Q3090" s="4" t="e">
        <f>VLOOKUP($B3090,'D7 - NDB Impacted SPRF''s'!$E$16:$O$9929,10,FALSE)</f>
        <v>#N/A</v>
      </c>
      <c r="R3090" s="4" t="e">
        <f>VLOOKUP($B3090,'D7 - NDB Impacted SPRF''s'!$E$16:$O$9929,11,FALSE)</f>
        <v>#N/A</v>
      </c>
      <c r="S3090" s="8"/>
      <c r="T3090" s="310"/>
      <c r="U3090" s="310"/>
      <c r="V3090" s="4"/>
      <c r="W3090" s="4"/>
      <c r="X3090" s="4"/>
      <c r="Y3090" s="4"/>
      <c r="Z3090" s="4"/>
      <c r="AA3090" s="4"/>
      <c r="AB3090" s="380" t="e">
        <f>VLOOKUP($B3090,'D7 - NDB Impacted SPRF''s'!$E$6:$O$9929,4,FALSE)</f>
        <v>#N/A</v>
      </c>
      <c r="AC3090" s="380" t="e">
        <f>VLOOKUP($B3090,'D7 - NDB Impacted SPRF''s'!$E$6:$O$9929,3,FALSE)</f>
        <v>#N/A</v>
      </c>
      <c r="AD3090" s="380" t="e">
        <f>VLOOKUP($B3090,'D7 - NDB Impacted SPRF''s'!$E$6:$O$9929,5,FALSE)</f>
        <v>#N/A</v>
      </c>
      <c r="AE3090" s="380" t="e">
        <f>VLOOKUP($B3090,'D7 - NDB Impacted SPRF''s'!$E$6:$O$9929,7,FALSE)</f>
        <v>#N/A</v>
      </c>
      <c r="AF3090" s="380" t="e">
        <f>VLOOKUP($B3090,'D7 - NDB Impacted SPRF''s'!$E$6:$O$9929,6,FALSE)</f>
        <v>#N/A</v>
      </c>
      <c r="AG3090" s="282"/>
      <c r="AH3090" s="311" t="e">
        <f>INDEX('D5 - Gatekeeper - Projects'!$A$4:$AF$1010,$AM3090, 17)</f>
        <v>#N/A</v>
      </c>
      <c r="AI3090" s="8"/>
      <c r="AJ3090" s="57"/>
      <c r="AK3090" s="105"/>
      <c r="AM3090" s="6" t="e">
        <f>MATCH(D3090,'D5 - Gatekeeper - Projects'!$C$4:$C$1010,0)</f>
        <v>#N/A</v>
      </c>
      <c r="AN3090" s="6" t="b">
        <f t="shared" si="319"/>
        <v>1</v>
      </c>
      <c r="AO3090" s="6" t="str">
        <f t="shared" si="320"/>
        <v>OK</v>
      </c>
      <c r="AQ3090" s="6" t="e">
        <f>MATCH($D3090,'D4 - Provider Council Unsched'!$C$11:$C$234,0)</f>
        <v>#N/A</v>
      </c>
      <c r="AR3090" s="6" t="b">
        <f t="shared" si="321"/>
        <v>1</v>
      </c>
      <c r="AS3090" s="6" t="str">
        <f t="shared" si="317"/>
        <v>OK</v>
      </c>
      <c r="AU3090" s="202"/>
      <c r="AV3090" s="262"/>
      <c r="AW3090" s="274">
        <v>40934</v>
      </c>
    </row>
    <row r="3091" spans="1:49" s="13" customFormat="1" ht="33.75" x14ac:dyDescent="0.2">
      <c r="A3091" s="14">
        <v>3067</v>
      </c>
      <c r="B3091" s="8">
        <v>400045042</v>
      </c>
      <c r="C3091" s="8" t="s">
        <v>1447</v>
      </c>
      <c r="D3091" s="4" t="str">
        <f t="shared" si="318"/>
        <v>400045042A</v>
      </c>
      <c r="E3091" s="309" t="str">
        <f>VLOOKUP($B3091,'D7 - NDB Impacted SPRF''s'!$E$6:$O$9929,2,FALSE)</f>
        <v>E&amp;I HCR- Admin.Simplif (HPID) RSA A/O Phase-1</v>
      </c>
      <c r="F3091" s="8"/>
      <c r="G3091" s="8" t="s">
        <v>4758</v>
      </c>
      <c r="H3091" s="8" t="s">
        <v>2870</v>
      </c>
      <c r="I3091" s="20"/>
      <c r="J3091" s="8"/>
      <c r="K3091" s="182"/>
      <c r="L3091" s="8" t="s">
        <v>4156</v>
      </c>
      <c r="M3091" s="8" t="s">
        <v>2814</v>
      </c>
      <c r="N3091" s="38"/>
      <c r="O3091" s="8"/>
      <c r="P3091" s="4" t="str">
        <f>VLOOKUP($B3091,'D7 - NDB Impacted SPRF''s'!$E$16:$O$9929,9,FALSE)</f>
        <v>Y</v>
      </c>
      <c r="Q3091" s="4" t="str">
        <f>VLOOKUP($B3091,'D7 - NDB Impacted SPRF''s'!$E$16:$O$9929,10,FALSE)</f>
        <v>N</v>
      </c>
      <c r="R3091" s="4" t="str">
        <f>VLOOKUP($B3091,'D7 - NDB Impacted SPRF''s'!$E$16:$O$9929,11,FALSE)</f>
        <v>Y</v>
      </c>
      <c r="S3091" s="8"/>
      <c r="T3091" s="310"/>
      <c r="U3091" s="310"/>
      <c r="V3091" s="4"/>
      <c r="W3091" s="4"/>
      <c r="X3091" s="4"/>
      <c r="Y3091" s="4"/>
      <c r="Z3091" s="4"/>
      <c r="AA3091" s="4"/>
      <c r="AB3091" s="380" t="str">
        <f>VLOOKUP($B3091,'D7 - NDB Impacted SPRF''s'!$E$6:$O$9929,4,FALSE)</f>
        <v>Cancelled</v>
      </c>
      <c r="AC3091" s="380" t="str">
        <f>VLOOKUP($B3091,'D7 - NDB Impacted SPRF''s'!$E$6:$O$9929,3,FALSE)</f>
        <v>UnitedHealthcare Employer &amp; Individual</v>
      </c>
      <c r="AD3091" s="380" t="str">
        <f>VLOOKUP($B3091,'D7 - NDB Impacted SPRF''s'!$E$6:$O$9929,5,FALSE)</f>
        <v>Regulatory / Other</v>
      </c>
      <c r="AE3091" s="380" t="str">
        <f>VLOOKUP($B3091,'D7 - NDB Impacted SPRF''s'!$E$6:$O$9929,7,FALSE)</f>
        <v>Tim Kaja</v>
      </c>
      <c r="AF3091" s="380" t="str">
        <f>VLOOKUP($B3091,'D7 - NDB Impacted SPRF''s'!$E$6:$O$9929,6,FALSE)</f>
        <v>Neil Sinclair</v>
      </c>
      <c r="AG3091" s="282"/>
      <c r="AH3091" s="311" t="e">
        <f>INDEX('D5 - Gatekeeper - Projects'!$A$4:$AF$1010,$AM3091, 17)</f>
        <v>#N/A</v>
      </c>
      <c r="AI3091" s="8"/>
      <c r="AJ3091" s="57"/>
      <c r="AK3091" s="105"/>
      <c r="AM3091" s="6" t="e">
        <f>MATCH(D3091,'D5 - Gatekeeper - Projects'!$C$4:$C$1010,0)</f>
        <v>#N/A</v>
      </c>
      <c r="AN3091" s="6" t="b">
        <f t="shared" si="319"/>
        <v>1</v>
      </c>
      <c r="AO3091" s="6" t="str">
        <f t="shared" si="320"/>
        <v>OK</v>
      </c>
      <c r="AQ3091" s="6" t="e">
        <f>MATCH($D3091,'D4 - Provider Council Unsched'!$C$11:$C$234,0)</f>
        <v>#N/A</v>
      </c>
      <c r="AR3091" s="6" t="b">
        <f t="shared" si="321"/>
        <v>1</v>
      </c>
      <c r="AS3091" s="6" t="str">
        <f t="shared" si="317"/>
        <v>OK</v>
      </c>
      <c r="AU3091" s="202"/>
      <c r="AV3091" s="216" t="s">
        <v>480</v>
      </c>
      <c r="AW3091" s="274"/>
    </row>
    <row r="3092" spans="1:49" s="13" customFormat="1" ht="33.75" x14ac:dyDescent="0.2">
      <c r="A3092" s="14">
        <v>3068</v>
      </c>
      <c r="B3092" s="8">
        <v>400045714</v>
      </c>
      <c r="C3092" s="8" t="s">
        <v>1447</v>
      </c>
      <c r="D3092" s="4" t="str">
        <f t="shared" si="318"/>
        <v>400045714A</v>
      </c>
      <c r="E3092" s="309" t="str">
        <f>VLOOKUP($B3092,'D7 - NDB Impacted SPRF''s'!$E$6:$O$9929,2,FALSE)</f>
        <v>GE Thomson Provider Data - Append Labcorp data</v>
      </c>
      <c r="F3092" s="8"/>
      <c r="G3092" s="8" t="s">
        <v>4758</v>
      </c>
      <c r="H3092" s="8" t="s">
        <v>2870</v>
      </c>
      <c r="I3092" s="20"/>
      <c r="J3092" s="8"/>
      <c r="K3092" s="182"/>
      <c r="L3092" s="8" t="s">
        <v>4156</v>
      </c>
      <c r="M3092" s="8" t="s">
        <v>2814</v>
      </c>
      <c r="N3092" s="38" t="s">
        <v>959</v>
      </c>
      <c r="O3092" s="8"/>
      <c r="P3092" s="4" t="str">
        <f>VLOOKUP($B3092,'D7 - NDB Impacted SPRF''s'!$E$16:$O$9929,9,FALSE)</f>
        <v>N</v>
      </c>
      <c r="Q3092" s="4" t="str">
        <f>VLOOKUP($B3092,'D7 - NDB Impacted SPRF''s'!$E$16:$O$9929,10,FALSE)</f>
        <v>N</v>
      </c>
      <c r="R3092" s="4" t="str">
        <f>VLOOKUP($B3092,'D7 - NDB Impacted SPRF''s'!$E$16:$O$9929,11,FALSE)</f>
        <v>N</v>
      </c>
      <c r="S3092" s="8"/>
      <c r="T3092" s="310"/>
      <c r="U3092" s="310"/>
      <c r="V3092" s="4"/>
      <c r="W3092" s="4"/>
      <c r="X3092" s="4"/>
      <c r="Y3092" s="4"/>
      <c r="Z3092" s="4"/>
      <c r="AA3092" s="4"/>
      <c r="AB3092" s="380" t="str">
        <f>VLOOKUP($B3092,'D7 - NDB Impacted SPRF''s'!$E$6:$O$9929,4,FALSE)</f>
        <v>Cancelled</v>
      </c>
      <c r="AC3092" s="380" t="str">
        <f>VLOOKUP($B3092,'D7 - NDB Impacted SPRF''s'!$E$6:$O$9929,3,FALSE)</f>
        <v>UnitedHealthcare Employer &amp; Individual</v>
      </c>
      <c r="AD3092" s="380" t="str">
        <f>VLOOKUP($B3092,'D7 - NDB Impacted SPRF''s'!$E$6:$O$9929,5,FALSE)</f>
        <v>Customer Requirements</v>
      </c>
      <c r="AE3092" s="380" t="str">
        <f>VLOOKUP($B3092,'D7 - NDB Impacted SPRF''s'!$E$6:$O$9929,7,FALSE)</f>
        <v>Scott Roberge</v>
      </c>
      <c r="AF3092" s="380" t="str">
        <f>VLOOKUP($B3092,'D7 - NDB Impacted SPRF''s'!$E$6:$O$9929,6,FALSE)</f>
        <v>Brian Foppes</v>
      </c>
      <c r="AG3092" s="282"/>
      <c r="AH3092" s="311" t="e">
        <f>INDEX('D5 - Gatekeeper - Projects'!$A$4:$AF$1010,$AM3092, 17)</f>
        <v>#N/A</v>
      </c>
      <c r="AI3092" s="8"/>
      <c r="AJ3092" s="57"/>
      <c r="AK3092" s="105"/>
      <c r="AM3092" s="6" t="e">
        <f>MATCH(D3092,'D5 - Gatekeeper - Projects'!$C$4:$C$1010,0)</f>
        <v>#N/A</v>
      </c>
      <c r="AN3092" s="6" t="b">
        <f t="shared" si="319"/>
        <v>1</v>
      </c>
      <c r="AO3092" s="6" t="str">
        <f t="shared" si="320"/>
        <v>OK</v>
      </c>
      <c r="AQ3092" s="6" t="e">
        <f>MATCH($D3092,'D4 - Provider Council Unsched'!$C$11:$C$234,0)</f>
        <v>#N/A</v>
      </c>
      <c r="AR3092" s="6" t="b">
        <f t="shared" si="321"/>
        <v>1</v>
      </c>
      <c r="AS3092" s="6" t="str">
        <f t="shared" si="317"/>
        <v>OK</v>
      </c>
      <c r="AU3092" s="202"/>
      <c r="AV3092" s="216" t="s">
        <v>484</v>
      </c>
      <c r="AW3092" s="274"/>
    </row>
    <row r="3093" spans="1:49" s="13" customFormat="1" ht="33.75" x14ac:dyDescent="0.2">
      <c r="A3093" s="14">
        <v>3069</v>
      </c>
      <c r="B3093" s="8">
        <v>400045748</v>
      </c>
      <c r="C3093" s="8" t="s">
        <v>1447</v>
      </c>
      <c r="D3093" s="4" t="str">
        <f t="shared" si="318"/>
        <v>400045748A</v>
      </c>
      <c r="E3093" s="309" t="str">
        <f>VLOOKUP($B3093,'D7 - NDB Impacted SPRF''s'!$E$6:$O$9929,2,FALSE)</f>
        <v>CSS-B2X 2012B Release</v>
      </c>
      <c r="F3093" s="8"/>
      <c r="G3093" s="8" t="s">
        <v>4758</v>
      </c>
      <c r="H3093" s="8" t="s">
        <v>2870</v>
      </c>
      <c r="I3093" s="20"/>
      <c r="J3093" s="8"/>
      <c r="K3093" s="182"/>
      <c r="L3093" s="8" t="s">
        <v>4156</v>
      </c>
      <c r="M3093" s="8" t="s">
        <v>2814</v>
      </c>
      <c r="N3093" s="38" t="s">
        <v>789</v>
      </c>
      <c r="O3093" s="8"/>
      <c r="P3093" s="4" t="str">
        <f>VLOOKUP($B3093,'D7 - NDB Impacted SPRF''s'!$E$16:$O$9929,9,FALSE)</f>
        <v>N</v>
      </c>
      <c r="Q3093" s="4" t="str">
        <f>VLOOKUP($B3093,'D7 - NDB Impacted SPRF''s'!$E$16:$O$9929,10,FALSE)</f>
        <v>N</v>
      </c>
      <c r="R3093" s="4" t="str">
        <f>VLOOKUP($B3093,'D7 - NDB Impacted SPRF''s'!$E$16:$O$9929,11,FALSE)</f>
        <v>N</v>
      </c>
      <c r="S3093" s="8"/>
      <c r="T3093" s="310"/>
      <c r="U3093" s="310"/>
      <c r="V3093" s="4"/>
      <c r="W3093" s="4"/>
      <c r="X3093" s="4"/>
      <c r="Y3093" s="4"/>
      <c r="Z3093" s="4"/>
      <c r="AA3093" s="4"/>
      <c r="AB3093" s="380" t="str">
        <f>VLOOKUP($B3093,'D7 - NDB Impacted SPRF''s'!$E$6:$O$9929,4,FALSE)</f>
        <v>Cancelled</v>
      </c>
      <c r="AC3093" s="380" t="str">
        <f>VLOOKUP($B3093,'D7 - NDB Impacted SPRF''s'!$E$6:$O$9929,3,FALSE)</f>
        <v>UnitedHealthcare Medicare &amp; Retirement</v>
      </c>
      <c r="AD3093" s="380" t="str">
        <f>VLOOKUP($B3093,'D7 - NDB Impacted SPRF''s'!$E$6:$O$9929,5,FALSE)</f>
        <v>Enterprise Clinical</v>
      </c>
      <c r="AE3093" s="380" t="str">
        <f>VLOOKUP($B3093,'D7 - NDB Impacted SPRF''s'!$E$6:$O$9929,7,FALSE)</f>
        <v>Cindi Middaugh</v>
      </c>
      <c r="AF3093" s="380" t="str">
        <f>VLOOKUP($B3093,'D7 - NDB Impacted SPRF''s'!$E$6:$O$9929,6,FALSE)</f>
        <v>CHRISTINA MOSHER</v>
      </c>
      <c r="AG3093" s="282"/>
      <c r="AH3093" s="311" t="e">
        <f>INDEX('D5 - Gatekeeper - Projects'!$A$4:$AF$1010,$AM3093, 17)</f>
        <v>#N/A</v>
      </c>
      <c r="AI3093" s="8"/>
      <c r="AJ3093" s="57"/>
      <c r="AK3093" s="105"/>
      <c r="AM3093" s="6" t="e">
        <f>MATCH(D3093,'D5 - Gatekeeper - Projects'!$C$4:$C$1010,0)</f>
        <v>#N/A</v>
      </c>
      <c r="AN3093" s="6" t="b">
        <f t="shared" si="319"/>
        <v>1</v>
      </c>
      <c r="AO3093" s="6" t="str">
        <f t="shared" si="320"/>
        <v>OK</v>
      </c>
      <c r="AQ3093" s="6" t="e">
        <f>MATCH($D3093,'D4 - Provider Council Unsched'!$C$11:$C$234,0)</f>
        <v>#N/A</v>
      </c>
      <c r="AR3093" s="6" t="b">
        <f t="shared" si="321"/>
        <v>1</v>
      </c>
      <c r="AS3093" s="6" t="str">
        <f t="shared" si="317"/>
        <v>OK</v>
      </c>
      <c r="AU3093" s="202"/>
      <c r="AV3093" s="216"/>
      <c r="AW3093" s="274"/>
    </row>
    <row r="3094" spans="1:49" s="13" customFormat="1" ht="33.75" x14ac:dyDescent="0.2">
      <c r="A3094" s="14">
        <v>3070</v>
      </c>
      <c r="B3094" s="8">
        <v>400045759</v>
      </c>
      <c r="C3094" s="8" t="s">
        <v>1447</v>
      </c>
      <c r="D3094" s="4" t="str">
        <f t="shared" si="318"/>
        <v>400045759A</v>
      </c>
      <c r="E3094" s="309" t="str">
        <f>VLOOKUP($B3094,'D7 - NDB Impacted SPRF''s'!$E$6:$O$9929,2,FALSE)</f>
        <v>M&amp;R Clinical Programs ICUE Migration</v>
      </c>
      <c r="F3094" s="8"/>
      <c r="G3094" s="8" t="s">
        <v>4758</v>
      </c>
      <c r="H3094" s="8" t="s">
        <v>2870</v>
      </c>
      <c r="I3094" s="20"/>
      <c r="J3094" s="8"/>
      <c r="K3094" s="182"/>
      <c r="L3094" s="8" t="s">
        <v>4156</v>
      </c>
      <c r="M3094" s="8" t="s">
        <v>2814</v>
      </c>
      <c r="N3094" s="38" t="s">
        <v>5463</v>
      </c>
      <c r="O3094" s="8"/>
      <c r="P3094" s="4" t="str">
        <f>VLOOKUP($B3094,'D7 - NDB Impacted SPRF''s'!$E$16:$O$9929,9,FALSE)</f>
        <v>N</v>
      </c>
      <c r="Q3094" s="4" t="str">
        <f>VLOOKUP($B3094,'D7 - NDB Impacted SPRF''s'!$E$16:$O$9929,10,FALSE)</f>
        <v>N</v>
      </c>
      <c r="R3094" s="4" t="str">
        <f>VLOOKUP($B3094,'D7 - NDB Impacted SPRF''s'!$E$16:$O$9929,11,FALSE)</f>
        <v>N</v>
      </c>
      <c r="S3094" s="8"/>
      <c r="T3094" s="310"/>
      <c r="U3094" s="310"/>
      <c r="V3094" s="4"/>
      <c r="W3094" s="4"/>
      <c r="X3094" s="4"/>
      <c r="Y3094" s="4"/>
      <c r="Z3094" s="4"/>
      <c r="AA3094" s="4"/>
      <c r="AB3094" s="380" t="str">
        <f>VLOOKUP($B3094,'D7 - NDB Impacted SPRF''s'!$E$6:$O$9929,4,FALSE)</f>
        <v>In Funding</v>
      </c>
      <c r="AC3094" s="380" t="str">
        <f>VLOOKUP($B3094,'D7 - NDB Impacted SPRF''s'!$E$6:$O$9929,3,FALSE)</f>
        <v>UnitedHealthcare Medicare &amp; Retirement</v>
      </c>
      <c r="AD3094" s="380" t="str">
        <f>VLOOKUP($B3094,'D7 - NDB Impacted SPRF''s'!$E$6:$O$9929,5,FALSE)</f>
        <v>UHG Clinical Toolbox Migrations (04-27560-000)</v>
      </c>
      <c r="AE3094" s="380" t="str">
        <f>VLOOKUP($B3094,'D7 - NDB Impacted SPRF''s'!$E$6:$O$9929,7,FALSE)</f>
        <v>Anne Marie Gavel</v>
      </c>
      <c r="AF3094" s="380" t="str">
        <f>VLOOKUP($B3094,'D7 - NDB Impacted SPRF''s'!$E$6:$O$9929,6,FALSE)</f>
        <v>Stephen Maciosek</v>
      </c>
      <c r="AG3094" s="282"/>
      <c r="AH3094" s="311" t="e">
        <f>INDEX('D5 - Gatekeeper - Projects'!$A$4:$AF$1010,$AM3094, 17)</f>
        <v>#N/A</v>
      </c>
      <c r="AI3094" s="8"/>
      <c r="AJ3094" s="57"/>
      <c r="AK3094" s="105"/>
      <c r="AM3094" s="6" t="e">
        <f>MATCH(D3094,'D5 - Gatekeeper - Projects'!$C$4:$C$1010,0)</f>
        <v>#N/A</v>
      </c>
      <c r="AN3094" s="6" t="b">
        <f t="shared" si="319"/>
        <v>1</v>
      </c>
      <c r="AO3094" s="6" t="str">
        <f t="shared" si="320"/>
        <v>OK</v>
      </c>
      <c r="AQ3094" s="6" t="e">
        <f>MATCH($D3094,'D4 - Provider Council Unsched'!$C$11:$C$234,0)</f>
        <v>#N/A</v>
      </c>
      <c r="AR3094" s="6" t="b">
        <f t="shared" si="321"/>
        <v>1</v>
      </c>
      <c r="AS3094" s="6" t="str">
        <f t="shared" si="317"/>
        <v>OK</v>
      </c>
      <c r="AU3094" s="202"/>
      <c r="AV3094" s="216" t="e">
        <v>#N/A</v>
      </c>
      <c r="AW3094" s="274"/>
    </row>
    <row r="3095" spans="1:49" s="13" customFormat="1" ht="33.75" x14ac:dyDescent="0.2">
      <c r="A3095" s="14">
        <v>3071</v>
      </c>
      <c r="B3095" s="8">
        <v>400045800</v>
      </c>
      <c r="C3095" s="8" t="s">
        <v>1447</v>
      </c>
      <c r="D3095" s="4" t="str">
        <f t="shared" si="318"/>
        <v>400045800A</v>
      </c>
      <c r="E3095" s="309" t="str">
        <f>VLOOKUP($B3095,'D7 - NDB Impacted SPRF''s'!$E$6:$O$9929,2,FALSE)</f>
        <v>Medical Necessity Provider Contracting</v>
      </c>
      <c r="F3095" s="8"/>
      <c r="G3095" s="8" t="s">
        <v>4758</v>
      </c>
      <c r="H3095" s="8" t="s">
        <v>2870</v>
      </c>
      <c r="I3095" s="20"/>
      <c r="J3095" s="8"/>
      <c r="K3095" s="182"/>
      <c r="L3095" s="8" t="s">
        <v>4156</v>
      </c>
      <c r="M3095" s="8" t="s">
        <v>2814</v>
      </c>
      <c r="N3095" s="38" t="s">
        <v>1830</v>
      </c>
      <c r="O3095" s="8"/>
      <c r="P3095" s="4" t="str">
        <f>VLOOKUP($B3095,'D7 - NDB Impacted SPRF''s'!$E$16:$O$9929,9,FALSE)</f>
        <v>N</v>
      </c>
      <c r="Q3095" s="4" t="str">
        <f>VLOOKUP($B3095,'D7 - NDB Impacted SPRF''s'!$E$16:$O$9929,10,FALSE)</f>
        <v>N</v>
      </c>
      <c r="R3095" s="4" t="str">
        <f>VLOOKUP($B3095,'D7 - NDB Impacted SPRF''s'!$E$16:$O$9929,11,FALSE)</f>
        <v>N</v>
      </c>
      <c r="S3095" s="8"/>
      <c r="T3095" s="310"/>
      <c r="U3095" s="310"/>
      <c r="V3095" s="4"/>
      <c r="W3095" s="4"/>
      <c r="X3095" s="4"/>
      <c r="Y3095" s="4"/>
      <c r="Z3095" s="4"/>
      <c r="AA3095" s="4"/>
      <c r="AB3095" s="380" t="str">
        <f>VLOOKUP($B3095,'D7 - NDB Impacted SPRF''s'!$E$6:$O$9929,4,FALSE)</f>
        <v>Cancelled</v>
      </c>
      <c r="AC3095" s="380" t="str">
        <f>VLOOKUP($B3095,'D7 - NDB Impacted SPRF''s'!$E$6:$O$9929,3,FALSE)</f>
        <v>UnitedHealthcare Medicare &amp; Retirement</v>
      </c>
      <c r="AD3095" s="380" t="str">
        <f>VLOOKUP($B3095,'D7 - NDB Impacted SPRF''s'!$E$6:$O$9929,5,FALSE)</f>
        <v>Health Services</v>
      </c>
      <c r="AE3095" s="380" t="str">
        <f>VLOOKUP($B3095,'D7 - NDB Impacted SPRF''s'!$E$6:$O$9929,7,FALSE)</f>
        <v>Rhonda Randall</v>
      </c>
      <c r="AF3095" s="380" t="str">
        <f>VLOOKUP($B3095,'D7 - NDB Impacted SPRF''s'!$E$6:$O$9929,6,FALSE)</f>
        <v>Chen-yuan Dumnmuh</v>
      </c>
      <c r="AG3095" s="282"/>
      <c r="AH3095" s="311" t="e">
        <f>INDEX('D5 - Gatekeeper - Projects'!$A$4:$AF$1010,$AM3095, 17)</f>
        <v>#N/A</v>
      </c>
      <c r="AI3095" s="8"/>
      <c r="AJ3095" s="57"/>
      <c r="AK3095" s="105"/>
      <c r="AM3095" s="6" t="e">
        <f>MATCH(D3095,'D5 - Gatekeeper - Projects'!$C$4:$C$1010,0)</f>
        <v>#N/A</v>
      </c>
      <c r="AN3095" s="6" t="b">
        <f t="shared" si="319"/>
        <v>1</v>
      </c>
      <c r="AO3095" s="6" t="str">
        <f t="shared" si="320"/>
        <v>OK</v>
      </c>
      <c r="AQ3095" s="6" t="e">
        <f>MATCH($D3095,'D4 - Provider Council Unsched'!$C$11:$C$234,0)</f>
        <v>#N/A</v>
      </c>
      <c r="AR3095" s="6" t="b">
        <f t="shared" si="321"/>
        <v>1</v>
      </c>
      <c r="AS3095" s="6" t="str">
        <f t="shared" si="317"/>
        <v>OK</v>
      </c>
      <c r="AU3095" s="202"/>
      <c r="AV3095" s="216" t="s">
        <v>485</v>
      </c>
      <c r="AW3095" s="274">
        <v>43273</v>
      </c>
    </row>
    <row r="3096" spans="1:49" s="13" customFormat="1" ht="33.75" x14ac:dyDescent="0.2">
      <c r="A3096" s="14">
        <v>3072</v>
      </c>
      <c r="B3096" s="8">
        <v>400045957</v>
      </c>
      <c r="C3096" s="8" t="s">
        <v>1447</v>
      </c>
      <c r="D3096" s="4" t="str">
        <f t="shared" si="318"/>
        <v>400045957A</v>
      </c>
      <c r="E3096" s="309" t="str">
        <f>VLOOKUP($B3096,'D7 - NDB Impacted SPRF''s'!$E$6:$O$9929,2,FALSE)</f>
        <v xml:space="preserve">ICD10 2012 Initiatives - Phase 1 - UHC E&amp;I </v>
      </c>
      <c r="F3096" s="8"/>
      <c r="G3096" s="8" t="s">
        <v>4758</v>
      </c>
      <c r="H3096" s="8" t="s">
        <v>2870</v>
      </c>
      <c r="I3096" s="20"/>
      <c r="J3096" s="8"/>
      <c r="K3096" s="182"/>
      <c r="L3096" s="8" t="s">
        <v>4156</v>
      </c>
      <c r="M3096" s="8" t="s">
        <v>2814</v>
      </c>
      <c r="N3096" s="38" t="s">
        <v>1320</v>
      </c>
      <c r="O3096" s="8"/>
      <c r="P3096" s="4" t="str">
        <f>VLOOKUP($B3096,'D7 - NDB Impacted SPRF''s'!$E$16:$O$9929,9,FALSE)</f>
        <v>Y</v>
      </c>
      <c r="Q3096" s="4" t="str">
        <f>VLOOKUP($B3096,'D7 - NDB Impacted SPRF''s'!$E$16:$O$9929,10,FALSE)</f>
        <v>N</v>
      </c>
      <c r="R3096" s="4" t="str">
        <f>VLOOKUP($B3096,'D7 - NDB Impacted SPRF''s'!$E$16:$O$9929,11,FALSE)</f>
        <v>Y</v>
      </c>
      <c r="S3096" s="8"/>
      <c r="T3096" s="310"/>
      <c r="U3096" s="310"/>
      <c r="V3096" s="4"/>
      <c r="W3096" s="4"/>
      <c r="X3096" s="4"/>
      <c r="Y3096" s="4"/>
      <c r="Z3096" s="4"/>
      <c r="AA3096" s="4"/>
      <c r="AB3096" s="380" t="str">
        <f>VLOOKUP($B3096,'D7 - NDB Impacted SPRF''s'!$E$6:$O$9929,4,FALSE)</f>
        <v>Cancelled</v>
      </c>
      <c r="AC3096" s="380" t="str">
        <f>VLOOKUP($B3096,'D7 - NDB Impacted SPRF''s'!$E$6:$O$9929,3,FALSE)</f>
        <v>UnitedHealthcare Employer &amp; Individual</v>
      </c>
      <c r="AD3096" s="380" t="str">
        <f>VLOOKUP($B3096,'D7 - NDB Impacted SPRF''s'!$E$6:$O$9929,5,FALSE)</f>
        <v>Regulatory / Other</v>
      </c>
      <c r="AE3096" s="380" t="str">
        <f>VLOOKUP($B3096,'D7 - NDB Impacted SPRF''s'!$E$6:$O$9929,7,FALSE)</f>
        <v>Tim Kaja</v>
      </c>
      <c r="AF3096" s="380" t="str">
        <f>VLOOKUP($B3096,'D7 - NDB Impacted SPRF''s'!$E$6:$O$9929,6,FALSE)</f>
        <v>William Porri</v>
      </c>
      <c r="AG3096" s="282"/>
      <c r="AH3096" s="311" t="e">
        <f>INDEX('D5 - Gatekeeper - Projects'!$A$4:$AF$1010,$AM3096, 17)</f>
        <v>#N/A</v>
      </c>
      <c r="AI3096" s="8"/>
      <c r="AJ3096" s="57"/>
      <c r="AK3096" s="105"/>
      <c r="AM3096" s="6" t="e">
        <f>MATCH(D3096,'D5 - Gatekeeper - Projects'!$C$4:$C$1010,0)</f>
        <v>#N/A</v>
      </c>
      <c r="AN3096" s="6" t="b">
        <f t="shared" si="319"/>
        <v>1</v>
      </c>
      <c r="AO3096" s="6" t="str">
        <f t="shared" si="320"/>
        <v>OK</v>
      </c>
      <c r="AQ3096" s="6" t="e">
        <f>MATCH($D3096,'D4 - Provider Council Unsched'!$C$11:$C$234,0)</f>
        <v>#N/A</v>
      </c>
      <c r="AR3096" s="6" t="b">
        <f t="shared" si="321"/>
        <v>1</v>
      </c>
      <c r="AS3096" s="6" t="str">
        <f t="shared" ref="AS3096:AS3159" si="322">IF(AND(H3096="2 - Not Scheduled",AR3096=TRUE,C3096="R1"),"Add","OK")</f>
        <v>OK</v>
      </c>
      <c r="AU3096" s="202"/>
      <c r="AV3096" s="216"/>
      <c r="AW3096" s="274">
        <v>45030</v>
      </c>
    </row>
    <row r="3097" spans="1:49" s="13" customFormat="1" ht="33.75" x14ac:dyDescent="0.2">
      <c r="A3097" s="14">
        <v>3073</v>
      </c>
      <c r="B3097" s="8">
        <v>400045960</v>
      </c>
      <c r="C3097" s="8" t="s">
        <v>1447</v>
      </c>
      <c r="D3097" s="4" t="str">
        <f t="shared" si="318"/>
        <v>400045960A</v>
      </c>
      <c r="E3097" s="309" t="str">
        <f>VLOOKUP($B3097,'D7 - NDB Impacted SPRF''s'!$E$6:$O$9929,2,FALSE)</f>
        <v>ICD10 Compliance E&amp;I Common Services</v>
      </c>
      <c r="F3097" s="8"/>
      <c r="G3097" s="8" t="s">
        <v>4758</v>
      </c>
      <c r="H3097" s="8" t="s">
        <v>2870</v>
      </c>
      <c r="I3097" s="20"/>
      <c r="J3097" s="8"/>
      <c r="K3097" s="182"/>
      <c r="L3097" s="8" t="s">
        <v>4156</v>
      </c>
      <c r="M3097" s="8" t="s">
        <v>2814</v>
      </c>
      <c r="N3097" s="38" t="s">
        <v>1337</v>
      </c>
      <c r="O3097" s="8"/>
      <c r="P3097" s="4" t="str">
        <f>VLOOKUP($B3097,'D7 - NDB Impacted SPRF''s'!$E$16:$O$9929,9,FALSE)</f>
        <v>Y</v>
      </c>
      <c r="Q3097" s="4" t="str">
        <f>VLOOKUP($B3097,'D7 - NDB Impacted SPRF''s'!$E$16:$O$9929,10,FALSE)</f>
        <v>N</v>
      </c>
      <c r="R3097" s="4" t="str">
        <f>VLOOKUP($B3097,'D7 - NDB Impacted SPRF''s'!$E$16:$O$9929,11,FALSE)</f>
        <v>Y</v>
      </c>
      <c r="S3097" s="8"/>
      <c r="T3097" s="310"/>
      <c r="U3097" s="310"/>
      <c r="V3097" s="4"/>
      <c r="W3097" s="4"/>
      <c r="X3097" s="4"/>
      <c r="Y3097" s="4"/>
      <c r="Z3097" s="4"/>
      <c r="AA3097" s="4"/>
      <c r="AB3097" s="380" t="str">
        <f>VLOOKUP($B3097,'D7 - NDB Impacted SPRF''s'!$E$6:$O$9929,4,FALSE)</f>
        <v>In Program Manager Request Review</v>
      </c>
      <c r="AC3097" s="380" t="str">
        <f>VLOOKUP($B3097,'D7 - NDB Impacted SPRF''s'!$E$6:$O$9929,3,FALSE)</f>
        <v>UnitedHealthcare Employer &amp; Individual</v>
      </c>
      <c r="AD3097" s="380" t="str">
        <f>VLOOKUP($B3097,'D7 - NDB Impacted SPRF''s'!$E$6:$O$9929,5,FALSE)</f>
        <v>ICD 10 UHC E&amp;I Reg 11-57640-000</v>
      </c>
      <c r="AE3097" s="380" t="str">
        <f>VLOOKUP($B3097,'D7 - NDB Impacted SPRF''s'!$E$6:$O$9929,7,FALSE)</f>
        <v>Tim Kaja</v>
      </c>
      <c r="AF3097" s="380" t="str">
        <f>VLOOKUP($B3097,'D7 - NDB Impacted SPRF''s'!$E$6:$O$9929,6,FALSE)</f>
        <v>BARBARA COAKLEY</v>
      </c>
      <c r="AG3097" s="282"/>
      <c r="AH3097" s="311" t="e">
        <f>INDEX('D5 - Gatekeeper - Projects'!$A$4:$AF$1010,$AM3097, 17)</f>
        <v>#N/A</v>
      </c>
      <c r="AI3097" s="8"/>
      <c r="AJ3097" s="57"/>
      <c r="AK3097" s="105"/>
      <c r="AM3097" s="6" t="e">
        <f>MATCH(D3097,'D5 - Gatekeeper - Projects'!$C$4:$C$1010,0)</f>
        <v>#N/A</v>
      </c>
      <c r="AN3097" s="6" t="b">
        <f t="shared" si="319"/>
        <v>1</v>
      </c>
      <c r="AO3097" s="6" t="str">
        <f t="shared" si="320"/>
        <v>OK</v>
      </c>
      <c r="AQ3097" s="6" t="e">
        <f>MATCH($D3097,'D4 - Provider Council Unsched'!$C$11:$C$234,0)</f>
        <v>#N/A</v>
      </c>
      <c r="AR3097" s="6" t="b">
        <f t="shared" si="321"/>
        <v>1</v>
      </c>
      <c r="AS3097" s="6" t="str">
        <f t="shared" si="322"/>
        <v>OK</v>
      </c>
      <c r="AU3097" s="202"/>
      <c r="AV3097" s="216"/>
      <c r="AW3097" s="274"/>
    </row>
    <row r="3098" spans="1:49" s="13" customFormat="1" ht="33.75" x14ac:dyDescent="0.2">
      <c r="A3098" s="14">
        <v>3074</v>
      </c>
      <c r="B3098" s="8">
        <v>400046290</v>
      </c>
      <c r="C3098" s="8" t="s">
        <v>1447</v>
      </c>
      <c r="D3098" s="4" t="str">
        <f t="shared" si="318"/>
        <v>400046290A</v>
      </c>
      <c r="E3098" s="309" t="str">
        <f>VLOOKUP($B3098,'D7 - NDB Impacted SPRF''s'!$E$6:$O$9929,2,FALSE)</f>
        <v>HCE Data Warehouse:  Move to Managed Services</v>
      </c>
      <c r="F3098" s="8"/>
      <c r="G3098" s="8" t="s">
        <v>4758</v>
      </c>
      <c r="H3098" s="8" t="s">
        <v>2870</v>
      </c>
      <c r="I3098" s="20"/>
      <c r="J3098" s="8"/>
      <c r="K3098" s="182"/>
      <c r="L3098" s="8" t="s">
        <v>4156</v>
      </c>
      <c r="M3098" s="8" t="s">
        <v>2814</v>
      </c>
      <c r="N3098" s="38"/>
      <c r="O3098" s="8"/>
      <c r="P3098" s="4" t="str">
        <f>VLOOKUP($B3098,'D7 - NDB Impacted SPRF''s'!$E$16:$O$9929,9,FALSE)</f>
        <v>N</v>
      </c>
      <c r="Q3098" s="4" t="str">
        <f>VLOOKUP($B3098,'D7 - NDB Impacted SPRF''s'!$E$16:$O$9929,10,FALSE)</f>
        <v>N</v>
      </c>
      <c r="R3098" s="4" t="str">
        <f>VLOOKUP($B3098,'D7 - NDB Impacted SPRF''s'!$E$16:$O$9929,11,FALSE)</f>
        <v>N</v>
      </c>
      <c r="S3098" s="8"/>
      <c r="T3098" s="310"/>
      <c r="U3098" s="310"/>
      <c r="V3098" s="4"/>
      <c r="W3098" s="4"/>
      <c r="X3098" s="4"/>
      <c r="Y3098" s="4"/>
      <c r="Z3098" s="4"/>
      <c r="AA3098" s="4"/>
      <c r="AB3098" s="380" t="str">
        <f>VLOOKUP($B3098,'D7 - NDB Impacted SPRF''s'!$E$6:$O$9929,4,FALSE)</f>
        <v>Cancelled</v>
      </c>
      <c r="AC3098" s="380" t="str">
        <f>VLOOKUP($B3098,'D7 - NDB Impacted SPRF''s'!$E$6:$O$9929,3,FALSE)</f>
        <v>UnitedHealthcare Employer &amp; Individual</v>
      </c>
      <c r="AD3098" s="380" t="str">
        <f>VLOOKUP($B3098,'D7 - NDB Impacted SPRF''s'!$E$6:$O$9929,5,FALSE)</f>
        <v>Integration Requirements</v>
      </c>
      <c r="AE3098" s="380" t="str">
        <f>VLOOKUP($B3098,'D7 - NDB Impacted SPRF''s'!$E$6:$O$9929,7,FALSE)</f>
        <v>Dewayne Ullsperger</v>
      </c>
      <c r="AF3098" s="380" t="str">
        <f>VLOOKUP($B3098,'D7 - NDB Impacted SPRF''s'!$E$6:$O$9929,6,FALSE)</f>
        <v>SHELDON KLUKAS</v>
      </c>
      <c r="AG3098" s="282"/>
      <c r="AH3098" s="311" t="e">
        <f>INDEX('D5 - Gatekeeper - Projects'!$A$4:$AF$1010,$AM3098, 17)</f>
        <v>#N/A</v>
      </c>
      <c r="AI3098" s="8"/>
      <c r="AJ3098" s="57"/>
      <c r="AK3098" s="105"/>
      <c r="AM3098" s="6" t="e">
        <f>MATCH(D3098,'D5 - Gatekeeper - Projects'!$C$4:$C$1010,0)</f>
        <v>#N/A</v>
      </c>
      <c r="AN3098" s="6" t="b">
        <f t="shared" si="319"/>
        <v>1</v>
      </c>
      <c r="AO3098" s="6" t="str">
        <f t="shared" si="320"/>
        <v>OK</v>
      </c>
      <c r="AQ3098" s="6" t="e">
        <f>MATCH($D3098,'D4 - Provider Council Unsched'!$C$11:$C$234,0)</f>
        <v>#N/A</v>
      </c>
      <c r="AR3098" s="6" t="b">
        <f t="shared" si="321"/>
        <v>1</v>
      </c>
      <c r="AS3098" s="6" t="str">
        <f t="shared" si="322"/>
        <v>OK</v>
      </c>
      <c r="AU3098" s="202"/>
      <c r="AV3098" s="216" t="s">
        <v>2305</v>
      </c>
      <c r="AW3098" s="274"/>
    </row>
    <row r="3099" spans="1:49" s="13" customFormat="1" ht="33.75" x14ac:dyDescent="0.2">
      <c r="A3099" s="14">
        <v>3075</v>
      </c>
      <c r="B3099" s="8">
        <v>400046373</v>
      </c>
      <c r="C3099" s="8" t="s">
        <v>1447</v>
      </c>
      <c r="D3099" s="4" t="str">
        <f t="shared" ref="D3099:D3162" si="323">CONCATENATE(B3099,C3099)</f>
        <v>400046373A</v>
      </c>
      <c r="E3099" s="309" t="str">
        <f>VLOOKUP($B3099,'D7 - NDB Impacted SPRF''s'!$E$6:$O$9929,2,FALSE)</f>
        <v>TOPS Password Strength Remediation</v>
      </c>
      <c r="F3099" s="8"/>
      <c r="G3099" s="8" t="s">
        <v>4758</v>
      </c>
      <c r="H3099" s="8" t="s">
        <v>2870</v>
      </c>
      <c r="I3099" s="20"/>
      <c r="J3099" s="8"/>
      <c r="K3099" s="182"/>
      <c r="L3099" s="8" t="s">
        <v>4156</v>
      </c>
      <c r="M3099" s="8" t="s">
        <v>2814</v>
      </c>
      <c r="N3099" s="38"/>
      <c r="O3099" s="8"/>
      <c r="P3099" s="4" t="str">
        <f>VLOOKUP($B3099,'D7 - NDB Impacted SPRF''s'!$E$16:$O$9929,9,FALSE)</f>
        <v>Y</v>
      </c>
      <c r="Q3099" s="4" t="str">
        <f>VLOOKUP($B3099,'D7 - NDB Impacted SPRF''s'!$E$16:$O$9929,10,FALSE)</f>
        <v>N</v>
      </c>
      <c r="R3099" s="4" t="str">
        <f>VLOOKUP($B3099,'D7 - NDB Impacted SPRF''s'!$E$16:$O$9929,11,FALSE)</f>
        <v>N</v>
      </c>
      <c r="S3099" s="8"/>
      <c r="T3099" s="310"/>
      <c r="U3099" s="310"/>
      <c r="V3099" s="4"/>
      <c r="W3099" s="4"/>
      <c r="X3099" s="4"/>
      <c r="Y3099" s="4"/>
      <c r="Z3099" s="4"/>
      <c r="AA3099" s="4"/>
      <c r="AB3099" s="380" t="str">
        <f>VLOOKUP($B3099,'D7 - NDB Impacted SPRF''s'!$E$6:$O$9929,4,FALSE)</f>
        <v>Cancelled</v>
      </c>
      <c r="AC3099" s="380" t="str">
        <f>VLOOKUP($B3099,'D7 - NDB Impacted SPRF''s'!$E$6:$O$9929,3,FALSE)</f>
        <v>UnitedHealthcare Employer &amp; Individual</v>
      </c>
      <c r="AD3099" s="380" t="str">
        <f>VLOOKUP($B3099,'D7 - NDB Impacted SPRF''s'!$E$6:$O$9929,5,FALSE)</f>
        <v>Regulatory / Other</v>
      </c>
      <c r="AE3099" s="380" t="str">
        <f>VLOOKUP($B3099,'D7 - NDB Impacted SPRF''s'!$E$6:$O$9929,7,FALSE)</f>
        <v>Rob Warshaw</v>
      </c>
      <c r="AF3099" s="380" t="str">
        <f>VLOOKUP($B3099,'D7 - NDB Impacted SPRF''s'!$E$6:$O$9929,6,FALSE)</f>
        <v>Powers A</v>
      </c>
      <c r="AG3099" s="282"/>
      <c r="AH3099" s="311" t="e">
        <f>INDEX('D5 - Gatekeeper - Projects'!$A$4:$AF$1010,$AM3099, 17)</f>
        <v>#N/A</v>
      </c>
      <c r="AI3099" s="8"/>
      <c r="AJ3099" s="57"/>
      <c r="AK3099" s="105"/>
      <c r="AM3099" s="6" t="e">
        <f>MATCH(D3099,'D5 - Gatekeeper - Projects'!$C$4:$C$1010,0)</f>
        <v>#N/A</v>
      </c>
      <c r="AN3099" s="6" t="b">
        <f t="shared" si="319"/>
        <v>1</v>
      </c>
      <c r="AO3099" s="6" t="str">
        <f t="shared" si="320"/>
        <v>OK</v>
      </c>
      <c r="AQ3099" s="6" t="e">
        <f>MATCH($D3099,'D4 - Provider Council Unsched'!$C$11:$C$234,0)</f>
        <v>#N/A</v>
      </c>
      <c r="AR3099" s="6" t="b">
        <f t="shared" si="321"/>
        <v>1</v>
      </c>
      <c r="AS3099" s="6" t="str">
        <f t="shared" si="322"/>
        <v>OK</v>
      </c>
      <c r="AU3099" s="202"/>
      <c r="AV3099" s="216" t="s">
        <v>476</v>
      </c>
      <c r="AW3099" s="274"/>
    </row>
    <row r="3100" spans="1:49" s="13" customFormat="1" ht="33.75" x14ac:dyDescent="0.2">
      <c r="A3100" s="14">
        <v>3076</v>
      </c>
      <c r="B3100" s="8">
        <v>400046415</v>
      </c>
      <c r="C3100" s="8" t="s">
        <v>1447</v>
      </c>
      <c r="D3100" s="4" t="str">
        <f t="shared" si="323"/>
        <v>400046415A</v>
      </c>
      <c r="E3100" s="309" t="str">
        <f>VLOOKUP($B3100,'D7 - NDB Impacted SPRF''s'!$E$6:$O$9929,2,FALSE)</f>
        <v>CSS-B2X 2012C Release</v>
      </c>
      <c r="F3100" s="8"/>
      <c r="G3100" s="8" t="s">
        <v>4758</v>
      </c>
      <c r="H3100" s="8" t="s">
        <v>2870</v>
      </c>
      <c r="I3100" s="20"/>
      <c r="J3100" s="8"/>
      <c r="K3100" s="182"/>
      <c r="L3100" s="8" t="s">
        <v>4156</v>
      </c>
      <c r="M3100" s="8" t="s">
        <v>2814</v>
      </c>
      <c r="N3100" s="38" t="s">
        <v>1285</v>
      </c>
      <c r="O3100" s="8"/>
      <c r="P3100" s="4" t="str">
        <f>VLOOKUP($B3100,'D7 - NDB Impacted SPRF''s'!$E$16:$O$9929,9,FALSE)</f>
        <v>N</v>
      </c>
      <c r="Q3100" s="4" t="str">
        <f>VLOOKUP($B3100,'D7 - NDB Impacted SPRF''s'!$E$16:$O$9929,10,FALSE)</f>
        <v>N</v>
      </c>
      <c r="R3100" s="4" t="str">
        <f>VLOOKUP($B3100,'D7 - NDB Impacted SPRF''s'!$E$16:$O$9929,11,FALSE)</f>
        <v>N</v>
      </c>
      <c r="S3100" s="8"/>
      <c r="T3100" s="310"/>
      <c r="U3100" s="310"/>
      <c r="V3100" s="4"/>
      <c r="W3100" s="4"/>
      <c r="X3100" s="4"/>
      <c r="Y3100" s="4"/>
      <c r="Z3100" s="4"/>
      <c r="AA3100" s="4"/>
      <c r="AB3100" s="380" t="str">
        <f>VLOOKUP($B3100,'D7 - NDB Impacted SPRF''s'!$E$6:$O$9929,4,FALSE)</f>
        <v>Cancelled</v>
      </c>
      <c r="AC3100" s="380" t="str">
        <f>VLOOKUP($B3100,'D7 - NDB Impacted SPRF''s'!$E$6:$O$9929,3,FALSE)</f>
        <v>UnitedHealthcare Medicare &amp; Retirement</v>
      </c>
      <c r="AD3100" s="380" t="str">
        <f>VLOOKUP($B3100,'D7 - NDB Impacted SPRF''s'!$E$6:$O$9929,5,FALSE)</f>
        <v>Enterprise Clinical</v>
      </c>
      <c r="AE3100" s="380" t="str">
        <f>VLOOKUP($B3100,'D7 - NDB Impacted SPRF''s'!$E$6:$O$9929,7,FALSE)</f>
        <v>Cynthia Middaugh</v>
      </c>
      <c r="AF3100" s="380" t="str">
        <f>VLOOKUP($B3100,'D7 - NDB Impacted SPRF''s'!$E$6:$O$9929,6,FALSE)</f>
        <v>CHRISTINA MOSHER</v>
      </c>
      <c r="AG3100" s="282"/>
      <c r="AH3100" s="311" t="e">
        <f>INDEX('D5 - Gatekeeper - Projects'!$A$4:$AF$1010,$AM3100, 17)</f>
        <v>#N/A</v>
      </c>
      <c r="AI3100" s="8"/>
      <c r="AJ3100" s="57"/>
      <c r="AK3100" s="105"/>
      <c r="AM3100" s="6" t="e">
        <f>MATCH(D3100,'D5 - Gatekeeper - Projects'!$C$4:$C$1010,0)</f>
        <v>#N/A</v>
      </c>
      <c r="AN3100" s="6" t="b">
        <f t="shared" si="319"/>
        <v>1</v>
      </c>
      <c r="AO3100" s="6" t="str">
        <f t="shared" si="320"/>
        <v>OK</v>
      </c>
      <c r="AQ3100" s="6" t="e">
        <f>MATCH($D3100,'D4 - Provider Council Unsched'!$C$11:$C$234,0)</f>
        <v>#N/A</v>
      </c>
      <c r="AR3100" s="6" t="b">
        <f t="shared" si="321"/>
        <v>1</v>
      </c>
      <c r="AS3100" s="6" t="str">
        <f t="shared" si="322"/>
        <v>OK</v>
      </c>
      <c r="AU3100" s="202"/>
      <c r="AV3100" s="216" t="s">
        <v>436</v>
      </c>
      <c r="AW3100" s="274"/>
    </row>
    <row r="3101" spans="1:49" s="13" customFormat="1" ht="33.75" x14ac:dyDescent="0.2">
      <c r="A3101" s="14">
        <v>3077</v>
      </c>
      <c r="B3101" s="8">
        <v>400046521</v>
      </c>
      <c r="C3101" s="8" t="s">
        <v>1447</v>
      </c>
      <c r="D3101" s="4" t="str">
        <f t="shared" si="323"/>
        <v>400046521A</v>
      </c>
      <c r="E3101" s="309" t="str">
        <f>VLOOKUP($B3101,'D7 - NDB Impacted SPRF''s'!$E$6:$O$9929,2,FALSE)</f>
        <v xml:space="preserve">M&amp;R Clinical Programs ICUE - Data Conversion </v>
      </c>
      <c r="F3101" s="8"/>
      <c r="G3101" s="8" t="s">
        <v>4758</v>
      </c>
      <c r="H3101" s="8" t="s">
        <v>2870</v>
      </c>
      <c r="I3101" s="20"/>
      <c r="J3101" s="8"/>
      <c r="K3101" s="182"/>
      <c r="L3101" s="8" t="s">
        <v>4156</v>
      </c>
      <c r="M3101" s="8" t="s">
        <v>2814</v>
      </c>
      <c r="N3101" s="38" t="s">
        <v>6498</v>
      </c>
      <c r="O3101" s="8"/>
      <c r="P3101" s="4" t="str">
        <f>VLOOKUP($B3101,'D7 - NDB Impacted SPRF''s'!$E$16:$O$9929,9,FALSE)</f>
        <v>N</v>
      </c>
      <c r="Q3101" s="4" t="str">
        <f>VLOOKUP($B3101,'D7 - NDB Impacted SPRF''s'!$E$16:$O$9929,10,FALSE)</f>
        <v>N</v>
      </c>
      <c r="R3101" s="4" t="str">
        <f>VLOOKUP($B3101,'D7 - NDB Impacted SPRF''s'!$E$16:$O$9929,11,FALSE)</f>
        <v>N</v>
      </c>
      <c r="S3101" s="8"/>
      <c r="T3101" s="310"/>
      <c r="U3101" s="310"/>
      <c r="V3101" s="4"/>
      <c r="W3101" s="4"/>
      <c r="X3101" s="4"/>
      <c r="Y3101" s="4"/>
      <c r="Z3101" s="4"/>
      <c r="AA3101" s="4"/>
      <c r="AB3101" s="380" t="str">
        <f>VLOOKUP($B3101,'D7 - NDB Impacted SPRF''s'!$E$6:$O$9929,4,FALSE)</f>
        <v>In Estimating</v>
      </c>
      <c r="AC3101" s="380" t="str">
        <f>VLOOKUP($B3101,'D7 - NDB Impacted SPRF''s'!$E$6:$O$9929,3,FALSE)</f>
        <v>UnitedHealthcare Medicare &amp; Retirement</v>
      </c>
      <c r="AD3101" s="380" t="str">
        <f>VLOOKUP($B3101,'D7 - NDB Impacted SPRF''s'!$E$6:$O$9929,5,FALSE)</f>
        <v>UHG Clinical Toolbox Migrations (04-27560-000)</v>
      </c>
      <c r="AE3101" s="380" t="str">
        <f>VLOOKUP($B3101,'D7 - NDB Impacted SPRF''s'!$E$6:$O$9929,7,FALSE)</f>
        <v>Anne Marie Gavel</v>
      </c>
      <c r="AF3101" s="380" t="str">
        <f>VLOOKUP($B3101,'D7 - NDB Impacted SPRF''s'!$E$6:$O$9929,6,FALSE)</f>
        <v>Stephen Maciosek</v>
      </c>
      <c r="AG3101" s="282"/>
      <c r="AH3101" s="311" t="e">
        <f>INDEX('D5 - Gatekeeper - Projects'!$A$4:$AF$1010,$AM3101, 17)</f>
        <v>#N/A</v>
      </c>
      <c r="AI3101" s="8"/>
      <c r="AJ3101" s="57"/>
      <c r="AK3101" s="105"/>
      <c r="AM3101" s="6" t="e">
        <f>MATCH(D3101,'D5 - Gatekeeper - Projects'!$C$4:$C$1010,0)</f>
        <v>#N/A</v>
      </c>
      <c r="AN3101" s="6" t="b">
        <f t="shared" si="319"/>
        <v>1</v>
      </c>
      <c r="AO3101" s="6" t="str">
        <f t="shared" si="320"/>
        <v>OK</v>
      </c>
      <c r="AQ3101" s="6" t="e">
        <f>MATCH($D3101,'D4 - Provider Council Unsched'!$C$11:$C$234,0)</f>
        <v>#N/A</v>
      </c>
      <c r="AR3101" s="6" t="b">
        <f t="shared" si="321"/>
        <v>1</v>
      </c>
      <c r="AS3101" s="6" t="str">
        <f t="shared" si="322"/>
        <v>OK</v>
      </c>
      <c r="AU3101" s="202"/>
      <c r="AV3101" s="216" t="e">
        <v>#N/A</v>
      </c>
      <c r="AW3101" s="274"/>
    </row>
    <row r="3102" spans="1:49" s="13" customFormat="1" ht="56.25" x14ac:dyDescent="0.2">
      <c r="A3102" s="14">
        <v>3078</v>
      </c>
      <c r="B3102" s="8">
        <v>400046543</v>
      </c>
      <c r="C3102" s="8" t="s">
        <v>1447</v>
      </c>
      <c r="D3102" s="4" t="str">
        <f t="shared" si="323"/>
        <v>400046543A</v>
      </c>
      <c r="E3102" s="309" t="str">
        <f>VLOOKUP($B3102,'D7 - NDB Impacted SPRF''s'!$E$6:$O$9929,2,FALSE)</f>
        <v>Correctional Health Solutions (CHS) -CCA/IHS pilot</v>
      </c>
      <c r="F3102" s="8"/>
      <c r="G3102" s="8" t="s">
        <v>4758</v>
      </c>
      <c r="H3102" s="8" t="s">
        <v>2870</v>
      </c>
      <c r="I3102" s="20"/>
      <c r="J3102" s="8"/>
      <c r="K3102" s="182"/>
      <c r="L3102" s="8" t="s">
        <v>4156</v>
      </c>
      <c r="M3102" s="8" t="s">
        <v>2814</v>
      </c>
      <c r="N3102" s="38" t="s">
        <v>8159</v>
      </c>
      <c r="O3102" s="8"/>
      <c r="P3102" s="4" t="str">
        <f>VLOOKUP($B3102,'D7 - NDB Impacted SPRF''s'!$E$16:$O$9929,9,FALSE)</f>
        <v>N</v>
      </c>
      <c r="Q3102" s="4" t="str">
        <f>VLOOKUP($B3102,'D7 - NDB Impacted SPRF''s'!$E$16:$O$9929,10,FALSE)</f>
        <v>N</v>
      </c>
      <c r="R3102" s="4" t="str">
        <f>VLOOKUP($B3102,'D7 - NDB Impacted SPRF''s'!$E$16:$O$9929,11,FALSE)</f>
        <v>N</v>
      </c>
      <c r="S3102" s="8"/>
      <c r="T3102" s="310"/>
      <c r="U3102" s="310"/>
      <c r="V3102" s="4"/>
      <c r="W3102" s="4"/>
      <c r="X3102" s="4"/>
      <c r="Y3102" s="4"/>
      <c r="Z3102" s="4"/>
      <c r="AA3102" s="4"/>
      <c r="AB3102" s="380" t="str">
        <f>VLOOKUP($B3102,'D7 - NDB Impacted SPRF''s'!$E$6:$O$9929,4,FALSE)</f>
        <v>In Funding</v>
      </c>
      <c r="AC3102" s="380" t="str">
        <f>VLOOKUP($B3102,'D7 - NDB Impacted SPRF''s'!$E$6:$O$9929,3,FALSE)</f>
        <v>UnitedHealthcare Employer &amp; Individual</v>
      </c>
      <c r="AD3102" s="380" t="str">
        <f>VLOOKUP($B3102,'D7 - NDB Impacted SPRF''s'!$E$6:$O$9929,5,FALSE)</f>
        <v>Product Ideation</v>
      </c>
      <c r="AE3102" s="380" t="str">
        <f>VLOOKUP($B3102,'D7 - NDB Impacted SPRF''s'!$E$6:$O$9929,7,FALSE)</f>
        <v>Fo Burke</v>
      </c>
      <c r="AF3102" s="380" t="str">
        <f>VLOOKUP($B3102,'D7 - NDB Impacted SPRF''s'!$E$6:$O$9929,6,FALSE)</f>
        <v>Goldberg A</v>
      </c>
      <c r="AG3102" s="282"/>
      <c r="AH3102" s="311" t="e">
        <f>INDEX('D5 - Gatekeeper - Projects'!$A$4:$AF$1010,$AM3102, 17)</f>
        <v>#N/A</v>
      </c>
      <c r="AI3102" s="8"/>
      <c r="AJ3102" s="57"/>
      <c r="AK3102" s="105"/>
      <c r="AM3102" s="6" t="e">
        <f>MATCH(D3102,'D5 - Gatekeeper - Projects'!$C$4:$C$1010,0)</f>
        <v>#N/A</v>
      </c>
      <c r="AN3102" s="6" t="b">
        <f t="shared" si="319"/>
        <v>1</v>
      </c>
      <c r="AO3102" s="6" t="str">
        <f t="shared" si="320"/>
        <v>OK</v>
      </c>
      <c r="AQ3102" s="6" t="e">
        <f>MATCH($D3102,'D4 - Provider Council Unsched'!$C$11:$C$234,0)</f>
        <v>#N/A</v>
      </c>
      <c r="AR3102" s="6" t="b">
        <f t="shared" si="321"/>
        <v>1</v>
      </c>
      <c r="AS3102" s="6" t="str">
        <f t="shared" si="322"/>
        <v>OK</v>
      </c>
      <c r="AU3102" s="202"/>
      <c r="AV3102" s="216" t="s">
        <v>488</v>
      </c>
      <c r="AW3102" s="274"/>
    </row>
    <row r="3103" spans="1:49" s="13" customFormat="1" ht="33.75" x14ac:dyDescent="0.2">
      <c r="A3103" s="14">
        <v>3079</v>
      </c>
      <c r="B3103" s="8">
        <v>400046600</v>
      </c>
      <c r="C3103" s="8" t="s">
        <v>1447</v>
      </c>
      <c r="D3103" s="4" t="str">
        <f t="shared" si="323"/>
        <v>400046600A</v>
      </c>
      <c r="E3103" s="309" t="str">
        <f>VLOOKUP($B3103,'D7 - NDB Impacted SPRF''s'!$E$6:$O$9929,2,FALSE)</f>
        <v>London Medical Repricing for AT&amp;T Non-Net. Claims</v>
      </c>
      <c r="F3103" s="8"/>
      <c r="G3103" s="8" t="s">
        <v>4758</v>
      </c>
      <c r="H3103" s="8" t="s">
        <v>2870</v>
      </c>
      <c r="I3103" s="20"/>
      <c r="J3103" s="8"/>
      <c r="K3103" s="182"/>
      <c r="L3103" s="8" t="s">
        <v>4156</v>
      </c>
      <c r="M3103" s="8" t="s">
        <v>2814</v>
      </c>
      <c r="N3103" s="38" t="s">
        <v>2329</v>
      </c>
      <c r="O3103" s="8"/>
      <c r="P3103" s="4" t="str">
        <f>VLOOKUP($B3103,'D7 - NDB Impacted SPRF''s'!$E$16:$O$9929,9,FALSE)</f>
        <v>Y</v>
      </c>
      <c r="Q3103" s="4" t="str">
        <f>VLOOKUP($B3103,'D7 - NDB Impacted SPRF''s'!$E$16:$O$9929,10,FALSE)</f>
        <v>N</v>
      </c>
      <c r="R3103" s="4" t="str">
        <f>VLOOKUP($B3103,'D7 - NDB Impacted SPRF''s'!$E$16:$O$9929,11,FALSE)</f>
        <v>Y</v>
      </c>
      <c r="S3103" s="8"/>
      <c r="T3103" s="310"/>
      <c r="U3103" s="310"/>
      <c r="V3103" s="4"/>
      <c r="W3103" s="4"/>
      <c r="X3103" s="4"/>
      <c r="Y3103" s="4"/>
      <c r="Z3103" s="4"/>
      <c r="AA3103" s="4"/>
      <c r="AB3103" s="380" t="str">
        <f>VLOOKUP($B3103,'D7 - NDB Impacted SPRF''s'!$E$6:$O$9929,4,FALSE)</f>
        <v>Cancelled</v>
      </c>
      <c r="AC3103" s="380" t="str">
        <f>VLOOKUP($B3103,'D7 - NDB Impacted SPRF''s'!$E$6:$O$9929,3,FALSE)</f>
        <v>UnitedHealthcare Employer &amp; Individual</v>
      </c>
      <c r="AD3103" s="380" t="str">
        <f>VLOOKUP($B3103,'D7 - NDB Impacted SPRF''s'!$E$6:$O$9929,5,FALSE)</f>
        <v>Customer Requirements</v>
      </c>
      <c r="AE3103" s="380" t="str">
        <f>VLOOKUP($B3103,'D7 - NDB Impacted SPRF''s'!$E$6:$O$9929,7,FALSE)</f>
        <v>John Cravero</v>
      </c>
      <c r="AF3103" s="380" t="str">
        <f>VLOOKUP($B3103,'D7 - NDB Impacted SPRF''s'!$E$6:$O$9929,6,FALSE)</f>
        <v>DOREEN DESPIERRE</v>
      </c>
      <c r="AG3103" s="282"/>
      <c r="AH3103" s="311" t="e">
        <f>INDEX('D5 - Gatekeeper - Projects'!$A$4:$AF$1010,$AM3103, 17)</f>
        <v>#N/A</v>
      </c>
      <c r="AI3103" s="8"/>
      <c r="AJ3103" s="57"/>
      <c r="AK3103" s="105"/>
      <c r="AM3103" s="6" t="e">
        <f>MATCH(D3103,'D5 - Gatekeeper - Projects'!$C$4:$C$1010,0)</f>
        <v>#N/A</v>
      </c>
      <c r="AN3103" s="6" t="b">
        <f t="shared" si="319"/>
        <v>1</v>
      </c>
      <c r="AO3103" s="6" t="str">
        <f t="shared" si="320"/>
        <v>OK</v>
      </c>
      <c r="AQ3103" s="6" t="e">
        <f>MATCH($D3103,'D4 - Provider Council Unsched'!$C$11:$C$234,0)</f>
        <v>#N/A</v>
      </c>
      <c r="AR3103" s="6" t="b">
        <f t="shared" si="321"/>
        <v>1</v>
      </c>
      <c r="AS3103" s="6" t="str">
        <f t="shared" si="322"/>
        <v>OK</v>
      </c>
      <c r="AU3103" s="202"/>
      <c r="AV3103" s="348" t="s">
        <v>1356</v>
      </c>
      <c r="AW3103" s="274">
        <v>47052</v>
      </c>
    </row>
    <row r="3104" spans="1:49" s="13" customFormat="1" ht="33.75" x14ac:dyDescent="0.2">
      <c r="A3104" s="14">
        <v>3080</v>
      </c>
      <c r="B3104" s="8">
        <v>400047030</v>
      </c>
      <c r="C3104" s="8" t="s">
        <v>1447</v>
      </c>
      <c r="D3104" s="4" t="str">
        <f t="shared" si="323"/>
        <v>400047030A</v>
      </c>
      <c r="E3104" s="309" t="str">
        <f>VLOOKUP($B3104,'D7 - NDB Impacted SPRF''s'!$E$6:$O$9929,2,FALSE)</f>
        <v>Radiology EDI 274 Segment Update</v>
      </c>
      <c r="F3104" s="8"/>
      <c r="G3104" s="8" t="s">
        <v>4758</v>
      </c>
      <c r="H3104" s="8" t="s">
        <v>2870</v>
      </c>
      <c r="I3104" s="20"/>
      <c r="J3104" s="8"/>
      <c r="K3104" s="182"/>
      <c r="L3104" s="8" t="s">
        <v>4156</v>
      </c>
      <c r="M3104" s="8" t="s">
        <v>2814</v>
      </c>
      <c r="N3104" s="38"/>
      <c r="O3104" s="8"/>
      <c r="P3104" s="4" t="str">
        <f>VLOOKUP($B3104,'D7 - NDB Impacted SPRF''s'!$E$16:$O$9929,9,FALSE)</f>
        <v>N</v>
      </c>
      <c r="Q3104" s="4" t="str">
        <f>VLOOKUP($B3104,'D7 - NDB Impacted SPRF''s'!$E$16:$O$9929,10,FALSE)</f>
        <v>N</v>
      </c>
      <c r="R3104" s="4" t="str">
        <f>VLOOKUP($B3104,'D7 - NDB Impacted SPRF''s'!$E$16:$O$9929,11,FALSE)</f>
        <v>N</v>
      </c>
      <c r="S3104" s="8"/>
      <c r="T3104" s="310"/>
      <c r="U3104" s="310"/>
      <c r="V3104" s="4"/>
      <c r="W3104" s="4"/>
      <c r="X3104" s="4"/>
      <c r="Y3104" s="4"/>
      <c r="Z3104" s="4"/>
      <c r="AA3104" s="4"/>
      <c r="AB3104" s="380" t="str">
        <f>VLOOKUP($B3104,'D7 - NDB Impacted SPRF''s'!$E$6:$O$9929,4,FALSE)</f>
        <v>Cancelled</v>
      </c>
      <c r="AC3104" s="380" t="str">
        <f>VLOOKUP($B3104,'D7 - NDB Impacted SPRF''s'!$E$6:$O$9929,3,FALSE)</f>
        <v>UnitedHealthcare Employer &amp; Individual</v>
      </c>
      <c r="AD3104" s="380" t="str">
        <f>VLOOKUP($B3104,'D7 - NDB Impacted SPRF''s'!$E$6:$O$9929,5,FALSE)</f>
        <v>Process Improvement</v>
      </c>
      <c r="AE3104" s="380" t="str">
        <f>VLOOKUP($B3104,'D7 - NDB Impacted SPRF''s'!$E$6:$O$9929,7,FALSE)</f>
        <v>Laurie Paidosh</v>
      </c>
      <c r="AF3104" s="380" t="str">
        <f>VLOOKUP($B3104,'D7 - NDB Impacted SPRF''s'!$E$6:$O$9929,6,FALSE)</f>
        <v>Dwayne Pettway</v>
      </c>
      <c r="AG3104" s="282"/>
      <c r="AH3104" s="311" t="e">
        <f>INDEX('D5 - Gatekeeper - Projects'!$A$4:$AF$1010,$AM3104, 17)</f>
        <v>#N/A</v>
      </c>
      <c r="AI3104" s="8"/>
      <c r="AJ3104" s="57"/>
      <c r="AK3104" s="105"/>
      <c r="AM3104" s="6" t="e">
        <f>MATCH(D3104,'D5 - Gatekeeper - Projects'!$C$4:$C$1010,0)</f>
        <v>#N/A</v>
      </c>
      <c r="AN3104" s="6" t="b">
        <f t="shared" si="319"/>
        <v>1</v>
      </c>
      <c r="AO3104" s="6" t="str">
        <f t="shared" si="320"/>
        <v>OK</v>
      </c>
      <c r="AQ3104" s="6" t="e">
        <f>MATCH($D3104,'D4 - Provider Council Unsched'!$C$11:$C$234,0)</f>
        <v>#N/A</v>
      </c>
      <c r="AR3104" s="6" t="b">
        <f t="shared" si="321"/>
        <v>1</v>
      </c>
      <c r="AS3104" s="6" t="str">
        <f t="shared" si="322"/>
        <v>OK</v>
      </c>
      <c r="AU3104" s="202"/>
      <c r="AV3104" s="216" t="s">
        <v>2311</v>
      </c>
      <c r="AW3104" s="274"/>
    </row>
    <row r="3105" spans="1:49" s="13" customFormat="1" ht="33.75" x14ac:dyDescent="0.2">
      <c r="A3105" s="14">
        <v>3081</v>
      </c>
      <c r="B3105" s="8">
        <v>400047130</v>
      </c>
      <c r="C3105" s="8" t="s">
        <v>1447</v>
      </c>
      <c r="D3105" s="4" t="str">
        <f t="shared" si="323"/>
        <v>400047130A</v>
      </c>
      <c r="E3105" s="309" t="str">
        <f>VLOOKUP($B3105,'D7 - NDB Impacted SPRF''s'!$E$6:$O$9929,2,FALSE)</f>
        <v>HIPAA 5010 Rendering Provider ID (TIN) not avail</v>
      </c>
      <c r="F3105" s="8"/>
      <c r="G3105" s="8" t="s">
        <v>4758</v>
      </c>
      <c r="H3105" s="8" t="s">
        <v>2870</v>
      </c>
      <c r="I3105" s="20"/>
      <c r="J3105" s="8"/>
      <c r="K3105" s="182"/>
      <c r="L3105" s="8" t="s">
        <v>4156</v>
      </c>
      <c r="M3105" s="8" t="s">
        <v>2814</v>
      </c>
      <c r="N3105" s="38" t="s">
        <v>3536</v>
      </c>
      <c r="O3105" s="8"/>
      <c r="P3105" s="4" t="str">
        <f>VLOOKUP($B3105,'D7 - NDB Impacted SPRF''s'!$E$16:$O$9929,9,FALSE)</f>
        <v>Y</v>
      </c>
      <c r="Q3105" s="4" t="str">
        <f>VLOOKUP($B3105,'D7 - NDB Impacted SPRF''s'!$E$16:$O$9929,10,FALSE)</f>
        <v>N</v>
      </c>
      <c r="R3105" s="4" t="str">
        <f>VLOOKUP($B3105,'D7 - NDB Impacted SPRF''s'!$E$16:$O$9929,11,FALSE)</f>
        <v>Y</v>
      </c>
      <c r="S3105" s="8"/>
      <c r="T3105" s="310"/>
      <c r="U3105" s="310"/>
      <c r="V3105" s="4"/>
      <c r="W3105" s="4"/>
      <c r="X3105" s="4"/>
      <c r="Y3105" s="4"/>
      <c r="Z3105" s="4"/>
      <c r="AA3105" s="4"/>
      <c r="AB3105" s="380" t="str">
        <f>VLOOKUP($B3105,'D7 - NDB Impacted SPRF''s'!$E$6:$O$9929,4,FALSE)</f>
        <v>Cancelled</v>
      </c>
      <c r="AC3105" s="380" t="str">
        <f>VLOOKUP($B3105,'D7 - NDB Impacted SPRF''s'!$E$6:$O$9929,3,FALSE)</f>
        <v>UnitedHealthcare Employer &amp; Individual</v>
      </c>
      <c r="AD3105" s="380" t="str">
        <f>VLOOKUP($B3105,'D7 - NDB Impacted SPRF''s'!$E$6:$O$9929,5,FALSE)</f>
        <v>HIPAA 5010</v>
      </c>
      <c r="AE3105" s="380" t="str">
        <f>VLOOKUP($B3105,'D7 - NDB Impacted SPRF''s'!$E$6:$O$9929,7,FALSE)</f>
        <v>Ross Lippincott</v>
      </c>
      <c r="AF3105" s="380" t="str">
        <f>VLOOKUP($B3105,'D7 - NDB Impacted SPRF''s'!$E$6:$O$9929,6,FALSE)</f>
        <v>JEFFREY ZIEL</v>
      </c>
      <c r="AG3105" s="282"/>
      <c r="AH3105" s="311" t="e">
        <f>INDEX('D5 - Gatekeeper - Projects'!$A$4:$AF$1010,$AM3105, 17)</f>
        <v>#N/A</v>
      </c>
      <c r="AI3105" s="8"/>
      <c r="AJ3105" s="57"/>
      <c r="AK3105" s="105"/>
      <c r="AM3105" s="6" t="e">
        <f>MATCH(D3105,'D5 - Gatekeeper - Projects'!$C$4:$C$1010,0)</f>
        <v>#N/A</v>
      </c>
      <c r="AN3105" s="6" t="b">
        <f t="shared" si="319"/>
        <v>1</v>
      </c>
      <c r="AO3105" s="6" t="str">
        <f t="shared" si="320"/>
        <v>OK</v>
      </c>
      <c r="AQ3105" s="6" t="e">
        <f>MATCH($D3105,'D4 - Provider Council Unsched'!$C$11:$C$234,0)</f>
        <v>#N/A</v>
      </c>
      <c r="AR3105" s="6" t="b">
        <f t="shared" si="321"/>
        <v>1</v>
      </c>
      <c r="AS3105" s="6" t="str">
        <f t="shared" si="322"/>
        <v>OK</v>
      </c>
      <c r="AU3105" s="202"/>
      <c r="AV3105" s="216" t="e">
        <v>#N/A</v>
      </c>
      <c r="AW3105" s="274">
        <v>48030</v>
      </c>
    </row>
    <row r="3106" spans="1:49" s="13" customFormat="1" ht="33.75" x14ac:dyDescent="0.2">
      <c r="A3106" s="14">
        <v>3082</v>
      </c>
      <c r="B3106" s="8">
        <v>400047232</v>
      </c>
      <c r="C3106" s="8" t="s">
        <v>1447</v>
      </c>
      <c r="D3106" s="4" t="str">
        <f t="shared" si="323"/>
        <v>400047232A</v>
      </c>
      <c r="E3106" s="309" t="str">
        <f>VLOOKUP($B3106,'D7 - NDB Impacted SPRF''s'!$E$6:$O$9929,2,FALSE)</f>
        <v>Turn Off NDB Feed to PA Diamond</v>
      </c>
      <c r="F3106" s="8"/>
      <c r="G3106" s="8" t="s">
        <v>4758</v>
      </c>
      <c r="H3106" s="8" t="s">
        <v>2870</v>
      </c>
      <c r="I3106" s="20"/>
      <c r="J3106" s="8"/>
      <c r="K3106" s="182"/>
      <c r="L3106" s="8" t="s">
        <v>4156</v>
      </c>
      <c r="M3106" s="8" t="s">
        <v>2814</v>
      </c>
      <c r="N3106" s="38" t="s">
        <v>771</v>
      </c>
      <c r="O3106" s="8"/>
      <c r="P3106" s="4" t="str">
        <f>VLOOKUP($B3106,'D7 - NDB Impacted SPRF''s'!$E$16:$O$9929,9,FALSE)</f>
        <v>N</v>
      </c>
      <c r="Q3106" s="4" t="str">
        <f>VLOOKUP($B3106,'D7 - NDB Impacted SPRF''s'!$E$16:$O$9929,10,FALSE)</f>
        <v>N</v>
      </c>
      <c r="R3106" s="4" t="str">
        <f>VLOOKUP($B3106,'D7 - NDB Impacted SPRF''s'!$E$16:$O$9929,11,FALSE)</f>
        <v>N</v>
      </c>
      <c r="S3106" s="8"/>
      <c r="T3106" s="310"/>
      <c r="U3106" s="310"/>
      <c r="V3106" s="4"/>
      <c r="W3106" s="4"/>
      <c r="X3106" s="4"/>
      <c r="Y3106" s="4"/>
      <c r="Z3106" s="4"/>
      <c r="AA3106" s="4"/>
      <c r="AB3106" s="380" t="str">
        <f>VLOOKUP($B3106,'D7 - NDB Impacted SPRF''s'!$E$6:$O$9929,4,FALSE)</f>
        <v>Cancelled</v>
      </c>
      <c r="AC3106" s="380" t="str">
        <f>VLOOKUP($B3106,'D7 - NDB Impacted SPRF''s'!$E$6:$O$9929,3,FALSE)</f>
        <v>UnitedHealthcare Community &amp; State</v>
      </c>
      <c r="AD3106" s="380" t="str">
        <f>VLOOKUP($B3106,'D7 - NDB Impacted SPRF''s'!$E$6:$O$9929,5,FALSE)</f>
        <v>Community Strategic Platform</v>
      </c>
      <c r="AE3106" s="380" t="str">
        <f>VLOOKUP($B3106,'D7 - NDB Impacted SPRF''s'!$E$6:$O$9929,7,FALSE)</f>
        <v>Heidi Kemmer</v>
      </c>
      <c r="AF3106" s="380" t="str">
        <f>VLOOKUP($B3106,'D7 - NDB Impacted SPRF''s'!$E$6:$O$9929,6,FALSE)</f>
        <v>GREGORY MILLS</v>
      </c>
      <c r="AG3106" s="282"/>
      <c r="AH3106" s="311" t="e">
        <f>INDEX('D5 - Gatekeeper - Projects'!$A$4:$AF$1010,$AM3106, 17)</f>
        <v>#N/A</v>
      </c>
      <c r="AI3106" s="8"/>
      <c r="AJ3106" s="57"/>
      <c r="AK3106" s="105"/>
      <c r="AM3106" s="6" t="e">
        <f>MATCH(D3106,'D5 - Gatekeeper - Projects'!$C$4:$C$1010,0)</f>
        <v>#N/A</v>
      </c>
      <c r="AN3106" s="6" t="b">
        <f t="shared" si="319"/>
        <v>1</v>
      </c>
      <c r="AO3106" s="6" t="str">
        <f t="shared" si="320"/>
        <v>OK</v>
      </c>
      <c r="AQ3106" s="6" t="e">
        <f>MATCH($D3106,'D4 - Provider Council Unsched'!$C$11:$C$234,0)</f>
        <v>#N/A</v>
      </c>
      <c r="AR3106" s="6" t="b">
        <f t="shared" si="321"/>
        <v>1</v>
      </c>
      <c r="AS3106" s="6" t="str">
        <f t="shared" si="322"/>
        <v>OK</v>
      </c>
      <c r="AU3106" s="202"/>
      <c r="AV3106" s="216" t="e">
        <v>#N/A</v>
      </c>
      <c r="AW3106" s="274"/>
    </row>
    <row r="3107" spans="1:49" s="13" customFormat="1" ht="56.25" x14ac:dyDescent="0.2">
      <c r="A3107" s="14">
        <v>3083</v>
      </c>
      <c r="B3107" s="8">
        <v>400047302</v>
      </c>
      <c r="C3107" s="8" t="s">
        <v>1447</v>
      </c>
      <c r="D3107" s="4" t="str">
        <f t="shared" si="323"/>
        <v>400047302A</v>
      </c>
      <c r="E3107" s="309" t="str">
        <f>VLOOKUP($B3107,'D7 - NDB Impacted SPRF''s'!$E$6:$O$9929,2,FALSE)</f>
        <v>Emptoris Rigel Release Preparation</v>
      </c>
      <c r="F3107" s="8"/>
      <c r="G3107" s="8" t="s">
        <v>4758</v>
      </c>
      <c r="H3107" s="8" t="s">
        <v>2870</v>
      </c>
      <c r="I3107" s="20"/>
      <c r="J3107" s="8"/>
      <c r="K3107" s="182"/>
      <c r="L3107" s="8" t="s">
        <v>4156</v>
      </c>
      <c r="M3107" s="8" t="s">
        <v>2814</v>
      </c>
      <c r="N3107" s="38" t="s">
        <v>8162</v>
      </c>
      <c r="O3107" s="8"/>
      <c r="P3107" s="4" t="str">
        <f>VLOOKUP($B3107,'D7 - NDB Impacted SPRF''s'!$E$16:$O$9929,9,FALSE)</f>
        <v>N</v>
      </c>
      <c r="Q3107" s="4" t="str">
        <f>VLOOKUP($B3107,'D7 - NDB Impacted SPRF''s'!$E$16:$O$9929,10,FALSE)</f>
        <v>N</v>
      </c>
      <c r="R3107" s="4" t="str">
        <f>VLOOKUP($B3107,'D7 - NDB Impacted SPRF''s'!$E$16:$O$9929,11,FALSE)</f>
        <v>N</v>
      </c>
      <c r="S3107" s="8"/>
      <c r="T3107" s="310"/>
      <c r="U3107" s="310"/>
      <c r="V3107" s="4"/>
      <c r="W3107" s="4"/>
      <c r="X3107" s="4"/>
      <c r="Y3107" s="4"/>
      <c r="Z3107" s="4"/>
      <c r="AA3107" s="4"/>
      <c r="AB3107" s="380" t="str">
        <f>VLOOKUP($B3107,'D7 - NDB Impacted SPRF''s'!$E$6:$O$9929,4,FALSE)</f>
        <v>Completed</v>
      </c>
      <c r="AC3107" s="380" t="str">
        <f>VLOOKUP($B3107,'D7 - NDB Impacted SPRF''s'!$E$6:$O$9929,3,FALSE)</f>
        <v>UnitedHealthcare Employer &amp; Individual</v>
      </c>
      <c r="AD3107" s="380" t="str">
        <f>VLOOKUP($B3107,'D7 - NDB Impacted SPRF''s'!$E$6:$O$9929,5,FALSE)</f>
        <v>Infrastructure Requirements</v>
      </c>
      <c r="AE3107" s="380" t="str">
        <f>VLOOKUP($B3107,'D7 - NDB Impacted SPRF''s'!$E$6:$O$9929,7,FALSE)</f>
        <v>Cheryl Popeck</v>
      </c>
      <c r="AF3107" s="380" t="str">
        <f>VLOOKUP($B3107,'D7 - NDB Impacted SPRF''s'!$E$6:$O$9929,6,FALSE)</f>
        <v>Robert Wright</v>
      </c>
      <c r="AG3107" s="282"/>
      <c r="AH3107" s="311" t="e">
        <f>INDEX('D5 - Gatekeeper - Projects'!$A$4:$AF$1010,$AM3107, 17)</f>
        <v>#N/A</v>
      </c>
      <c r="AI3107" s="8"/>
      <c r="AJ3107" s="57"/>
      <c r="AK3107" s="105"/>
      <c r="AM3107" s="6" t="e">
        <f>MATCH(D3107,'D5 - Gatekeeper - Projects'!$C$4:$C$1010,0)</f>
        <v>#N/A</v>
      </c>
      <c r="AN3107" s="6" t="b">
        <f t="shared" si="319"/>
        <v>1</v>
      </c>
      <c r="AO3107" s="6" t="str">
        <f t="shared" si="320"/>
        <v>OK</v>
      </c>
      <c r="AQ3107" s="6" t="e">
        <f>MATCH($D3107,'D4 - Provider Council Unsched'!$C$11:$C$234,0)</f>
        <v>#N/A</v>
      </c>
      <c r="AR3107" s="6" t="b">
        <f t="shared" si="321"/>
        <v>1</v>
      </c>
      <c r="AS3107" s="6" t="str">
        <f t="shared" si="322"/>
        <v>OK</v>
      </c>
      <c r="AU3107" s="202"/>
      <c r="AV3107" s="349" t="s">
        <v>2311</v>
      </c>
      <c r="AW3107" s="274"/>
    </row>
    <row r="3108" spans="1:49" s="13" customFormat="1" ht="33.75" x14ac:dyDescent="0.2">
      <c r="A3108" s="14">
        <v>3084</v>
      </c>
      <c r="B3108" s="8">
        <v>400047927</v>
      </c>
      <c r="C3108" s="8" t="s">
        <v>1447</v>
      </c>
      <c r="D3108" s="4" t="str">
        <f t="shared" si="323"/>
        <v>400047927A</v>
      </c>
      <c r="E3108" s="309" t="str">
        <f>VLOOKUP($B3108,'D7 - NDB Impacted SPRF''s'!$E$6:$O$9929,2,FALSE)</f>
        <v xml:space="preserve">C&amp;S QCare segment -wide deployment </v>
      </c>
      <c r="F3108" s="8"/>
      <c r="G3108" s="8" t="s">
        <v>4758</v>
      </c>
      <c r="H3108" s="8" t="s">
        <v>2870</v>
      </c>
      <c r="I3108" s="20"/>
      <c r="J3108" s="8"/>
      <c r="K3108" s="182"/>
      <c r="L3108" s="8" t="s">
        <v>4156</v>
      </c>
      <c r="M3108" s="8" t="s">
        <v>2814</v>
      </c>
      <c r="N3108" s="38" t="s">
        <v>6504</v>
      </c>
      <c r="O3108" s="8"/>
      <c r="P3108" s="4" t="str">
        <f>VLOOKUP($B3108,'D7 - NDB Impacted SPRF''s'!$E$16:$O$9929,9,FALSE)</f>
        <v>N</v>
      </c>
      <c r="Q3108" s="4" t="str">
        <f>VLOOKUP($B3108,'D7 - NDB Impacted SPRF''s'!$E$16:$O$9929,10,FALSE)</f>
        <v>N</v>
      </c>
      <c r="R3108" s="4" t="str">
        <f>VLOOKUP($B3108,'D7 - NDB Impacted SPRF''s'!$E$16:$O$9929,11,FALSE)</f>
        <v>N</v>
      </c>
      <c r="S3108" s="8"/>
      <c r="T3108" s="310"/>
      <c r="U3108" s="310"/>
      <c r="V3108" s="4"/>
      <c r="W3108" s="4"/>
      <c r="X3108" s="4"/>
      <c r="Y3108" s="4"/>
      <c r="Z3108" s="4"/>
      <c r="AA3108" s="4"/>
      <c r="AB3108" s="380" t="str">
        <f>VLOOKUP($B3108,'D7 - NDB Impacted SPRF''s'!$E$6:$O$9929,4,FALSE)</f>
        <v>Cancelled</v>
      </c>
      <c r="AC3108" s="380" t="str">
        <f>VLOOKUP($B3108,'D7 - NDB Impacted SPRF''s'!$E$6:$O$9929,3,FALSE)</f>
        <v>UnitedHealthcare Community &amp; State</v>
      </c>
      <c r="AD3108" s="380" t="str">
        <f>VLOOKUP($B3108,'D7 - NDB Impacted SPRF''s'!$E$6:$O$9929,5,FALSE)</f>
        <v>Process Improvement</v>
      </c>
      <c r="AE3108" s="380" t="str">
        <f>VLOOKUP($B3108,'D7 - NDB Impacted SPRF''s'!$E$6:$O$9929,7,FALSE)</f>
        <v xml:space="preserve">Kim Johnston </v>
      </c>
      <c r="AF3108" s="380" t="str">
        <f>VLOOKUP($B3108,'D7 - NDB Impacted SPRF''s'!$E$6:$O$9929,6,FALSE)</f>
        <v>Marykay Jones</v>
      </c>
      <c r="AG3108" s="282"/>
      <c r="AH3108" s="311" t="e">
        <f>INDEX('D5 - Gatekeeper - Projects'!$A$4:$AF$1010,$AM3108, 17)</f>
        <v>#N/A</v>
      </c>
      <c r="AI3108" s="8"/>
      <c r="AJ3108" s="57"/>
      <c r="AK3108" s="105"/>
      <c r="AM3108" s="6" t="e">
        <f>MATCH(D3108,'D5 - Gatekeeper - Projects'!$C$4:$C$1010,0)</f>
        <v>#N/A</v>
      </c>
      <c r="AN3108" s="6" t="b">
        <f t="shared" si="319"/>
        <v>1</v>
      </c>
      <c r="AO3108" s="6" t="str">
        <f t="shared" si="320"/>
        <v>OK</v>
      </c>
      <c r="AQ3108" s="6" t="e">
        <f>MATCH($D3108,'D4 - Provider Council Unsched'!$C$11:$C$234,0)</f>
        <v>#N/A</v>
      </c>
      <c r="AR3108" s="6" t="b">
        <f t="shared" si="321"/>
        <v>1</v>
      </c>
      <c r="AS3108" s="6" t="str">
        <f t="shared" si="322"/>
        <v>OK</v>
      </c>
      <c r="AU3108" s="202"/>
      <c r="AV3108" s="216" t="s">
        <v>495</v>
      </c>
      <c r="AW3108" s="274"/>
    </row>
    <row r="3109" spans="1:49" s="13" customFormat="1" ht="33.75" x14ac:dyDescent="0.2">
      <c r="A3109" s="14">
        <v>3085</v>
      </c>
      <c r="B3109" s="8">
        <v>400048069</v>
      </c>
      <c r="C3109" s="8" t="s">
        <v>1447</v>
      </c>
      <c r="D3109" s="4" t="str">
        <f t="shared" si="323"/>
        <v>400048069A</v>
      </c>
      <c r="E3109" s="309" t="str">
        <f>VLOOKUP($B3109,'D7 - NDB Impacted SPRF''s'!$E$6:$O$9929,2,FALSE)</f>
        <v>Medica Migration to GPS A&amp;D</v>
      </c>
      <c r="F3109" s="8"/>
      <c r="G3109" s="8" t="s">
        <v>4758</v>
      </c>
      <c r="H3109" s="8" t="s">
        <v>2870</v>
      </c>
      <c r="I3109" s="20"/>
      <c r="J3109" s="8"/>
      <c r="K3109" s="182"/>
      <c r="L3109" s="8" t="s">
        <v>4156</v>
      </c>
      <c r="M3109" s="8" t="s">
        <v>2814</v>
      </c>
      <c r="N3109" s="38" t="s">
        <v>6509</v>
      </c>
      <c r="O3109" s="8"/>
      <c r="P3109" s="4" t="str">
        <f>VLOOKUP($B3109,'D7 - NDB Impacted SPRF''s'!$E$16:$O$9929,9,FALSE)</f>
        <v>N</v>
      </c>
      <c r="Q3109" s="4" t="str">
        <f>VLOOKUP($B3109,'D7 - NDB Impacted SPRF''s'!$E$16:$O$9929,10,FALSE)</f>
        <v>N</v>
      </c>
      <c r="R3109" s="4" t="str">
        <f>VLOOKUP($B3109,'D7 - NDB Impacted SPRF''s'!$E$16:$O$9929,11,FALSE)</f>
        <v>N</v>
      </c>
      <c r="S3109" s="8"/>
      <c r="T3109" s="310"/>
      <c r="U3109" s="310"/>
      <c r="V3109" s="4"/>
      <c r="W3109" s="4"/>
      <c r="X3109" s="4"/>
      <c r="Y3109" s="4"/>
      <c r="Z3109" s="4"/>
      <c r="AA3109" s="4"/>
      <c r="AB3109" s="380" t="str">
        <f>VLOOKUP($B3109,'D7 - NDB Impacted SPRF''s'!$E$6:$O$9929,4,FALSE)</f>
        <v>Cancelled</v>
      </c>
      <c r="AC3109" s="380" t="str">
        <f>VLOOKUP($B3109,'D7 - NDB Impacted SPRF''s'!$E$6:$O$9929,3,FALSE)</f>
        <v>UnitedHealthcare Medicare &amp; Retirement</v>
      </c>
      <c r="AD3109" s="380" t="str">
        <f>VLOOKUP($B3109,'D7 - NDB Impacted SPRF''s'!$E$6:$O$9929,5,FALSE)</f>
        <v>Integration Requirements</v>
      </c>
      <c r="AE3109" s="380" t="str">
        <f>VLOOKUP($B3109,'D7 - NDB Impacted SPRF''s'!$E$6:$O$9929,7,FALSE)</f>
        <v>Debi Streb</v>
      </c>
      <c r="AF3109" s="380" t="str">
        <f>VLOOKUP($B3109,'D7 - NDB Impacted SPRF''s'!$E$6:$O$9929,6,FALSE)</f>
        <v>Jessica Ayers</v>
      </c>
      <c r="AG3109" s="282"/>
      <c r="AH3109" s="311" t="e">
        <f>INDEX('D5 - Gatekeeper - Projects'!$A$4:$AF$1010,$AM3109, 17)</f>
        <v>#N/A</v>
      </c>
      <c r="AI3109" s="8"/>
      <c r="AJ3109" s="57"/>
      <c r="AK3109" s="105"/>
      <c r="AM3109" s="6" t="e">
        <f>MATCH(D3109,'D5 - Gatekeeper - Projects'!$C$4:$C$1010,0)</f>
        <v>#N/A</v>
      </c>
      <c r="AN3109" s="6" t="b">
        <f t="shared" si="319"/>
        <v>1</v>
      </c>
      <c r="AO3109" s="6" t="str">
        <f t="shared" si="320"/>
        <v>OK</v>
      </c>
      <c r="AQ3109" s="6" t="e">
        <f>MATCH($D3109,'D4 - Provider Council Unsched'!$C$11:$C$234,0)</f>
        <v>#N/A</v>
      </c>
      <c r="AR3109" s="6" t="b">
        <f t="shared" si="321"/>
        <v>1</v>
      </c>
      <c r="AS3109" s="6" t="str">
        <f t="shared" si="322"/>
        <v>OK</v>
      </c>
      <c r="AU3109" s="202"/>
      <c r="AV3109" s="216" t="s">
        <v>1127</v>
      </c>
      <c r="AW3109" s="274">
        <v>50451</v>
      </c>
    </row>
    <row r="3110" spans="1:49" s="13" customFormat="1" ht="33.75" x14ac:dyDescent="0.2">
      <c r="A3110" s="14">
        <v>3086</v>
      </c>
      <c r="B3110" s="8">
        <v>400048148</v>
      </c>
      <c r="C3110" s="8" t="s">
        <v>1447</v>
      </c>
      <c r="D3110" s="4" t="str">
        <f t="shared" si="323"/>
        <v>400048148A</v>
      </c>
      <c r="E3110" s="309" t="str">
        <f>VLOOKUP($B3110,'D7 - NDB Impacted SPRF''s'!$E$6:$O$9929,2,FALSE)</f>
        <v xml:space="preserve">River Valley ppoONE Commercial Claim Extract </v>
      </c>
      <c r="F3110" s="8"/>
      <c r="G3110" s="8" t="s">
        <v>4758</v>
      </c>
      <c r="H3110" s="8" t="s">
        <v>2870</v>
      </c>
      <c r="I3110" s="20"/>
      <c r="J3110" s="8"/>
      <c r="K3110" s="182"/>
      <c r="L3110" s="8" t="s">
        <v>4156</v>
      </c>
      <c r="M3110" s="8" t="s">
        <v>2814</v>
      </c>
      <c r="N3110" s="38" t="s">
        <v>6506</v>
      </c>
      <c r="O3110" s="8"/>
      <c r="P3110" s="4" t="str">
        <f>VLOOKUP($B3110,'D7 - NDB Impacted SPRF''s'!$E$16:$O$9929,9,FALSE)</f>
        <v>N</v>
      </c>
      <c r="Q3110" s="4" t="str">
        <f>VLOOKUP($B3110,'D7 - NDB Impacted SPRF''s'!$E$16:$O$9929,10,FALSE)</f>
        <v>N</v>
      </c>
      <c r="R3110" s="4" t="str">
        <f>VLOOKUP($B3110,'D7 - NDB Impacted SPRF''s'!$E$16:$O$9929,11,FALSE)</f>
        <v>N</v>
      </c>
      <c r="S3110" s="8"/>
      <c r="T3110" s="310"/>
      <c r="U3110" s="310"/>
      <c r="V3110" s="4"/>
      <c r="W3110" s="4"/>
      <c r="X3110" s="4"/>
      <c r="Y3110" s="4"/>
      <c r="Z3110" s="4"/>
      <c r="AA3110" s="4"/>
      <c r="AB3110" s="380" t="str">
        <f>VLOOKUP($B3110,'D7 - NDB Impacted SPRF''s'!$E$6:$O$9929,4,FALSE)</f>
        <v>In Funding</v>
      </c>
      <c r="AC3110" s="380" t="str">
        <f>VLOOKUP($B3110,'D7 - NDB Impacted SPRF''s'!$E$6:$O$9929,3,FALSE)</f>
        <v>UnitedHealthcare Employer &amp; Individual</v>
      </c>
      <c r="AD3110" s="380" t="str">
        <f>VLOOKUP($B3110,'D7 - NDB Impacted SPRF''s'!$E$6:$O$9929,5,FALSE)</f>
        <v>Acquisition Legacy Application Support</v>
      </c>
      <c r="AE3110" s="380" t="str">
        <f>VLOOKUP($B3110,'D7 - NDB Impacted SPRF''s'!$E$6:$O$9929,7,FALSE)</f>
        <v xml:space="preserve">Verrilli, Sally </v>
      </c>
      <c r="AF3110" s="380" t="str">
        <f>VLOOKUP($B3110,'D7 - NDB Impacted SPRF''s'!$E$6:$O$9929,6,FALSE)</f>
        <v>Ellis Miller</v>
      </c>
      <c r="AG3110" s="282"/>
      <c r="AH3110" s="311" t="e">
        <f>INDEX('D5 - Gatekeeper - Projects'!$A$4:$AF$1010,$AM3110, 17)</f>
        <v>#N/A</v>
      </c>
      <c r="AI3110" s="8"/>
      <c r="AJ3110" s="57"/>
      <c r="AK3110" s="105"/>
      <c r="AM3110" s="6" t="e">
        <f>MATCH(D3110,'D5 - Gatekeeper - Projects'!$C$4:$C$1010,0)</f>
        <v>#N/A</v>
      </c>
      <c r="AN3110" s="6" t="b">
        <f t="shared" si="319"/>
        <v>1</v>
      </c>
      <c r="AO3110" s="6" t="str">
        <f t="shared" si="320"/>
        <v>OK</v>
      </c>
      <c r="AQ3110" s="6" t="e">
        <f>MATCH($D3110,'D4 - Provider Council Unsched'!$C$11:$C$234,0)</f>
        <v>#N/A</v>
      </c>
      <c r="AR3110" s="6" t="b">
        <f t="shared" si="321"/>
        <v>1</v>
      </c>
      <c r="AS3110" s="6" t="str">
        <f t="shared" si="322"/>
        <v>OK</v>
      </c>
      <c r="AU3110" s="202"/>
      <c r="AV3110" s="216" t="s">
        <v>1128</v>
      </c>
      <c r="AW3110" s="274"/>
    </row>
    <row r="3111" spans="1:49" s="13" customFormat="1" ht="33.75" x14ac:dyDescent="0.2">
      <c r="A3111" s="14">
        <v>3087</v>
      </c>
      <c r="B3111" s="8">
        <v>400048172</v>
      </c>
      <c r="C3111" s="8" t="s">
        <v>1447</v>
      </c>
      <c r="D3111" s="4" t="str">
        <f t="shared" si="323"/>
        <v>400048172A</v>
      </c>
      <c r="E3111" s="309" t="str">
        <f>VLOOKUP($B3111,'D7 - NDB Impacted SPRF''s'!$E$6:$O$9929,2,FALSE)</f>
        <v>Full Provider File load to APWU- One time only</v>
      </c>
      <c r="F3111" s="8"/>
      <c r="G3111" s="8" t="s">
        <v>4758</v>
      </c>
      <c r="H3111" s="8" t="s">
        <v>2870</v>
      </c>
      <c r="I3111" s="20"/>
      <c r="J3111" s="8"/>
      <c r="K3111" s="182"/>
      <c r="L3111" s="8" t="s">
        <v>4156</v>
      </c>
      <c r="M3111" s="8" t="s">
        <v>2814</v>
      </c>
      <c r="N3111" s="38" t="s">
        <v>788</v>
      </c>
      <c r="O3111" s="8"/>
      <c r="P3111" s="4" t="str">
        <f>VLOOKUP($B3111,'D7 - NDB Impacted SPRF''s'!$E$16:$O$9929,9,FALSE)</f>
        <v>N</v>
      </c>
      <c r="Q3111" s="4" t="str">
        <f>VLOOKUP($B3111,'D7 - NDB Impacted SPRF''s'!$E$16:$O$9929,10,FALSE)</f>
        <v>N</v>
      </c>
      <c r="R3111" s="4" t="str">
        <f>VLOOKUP($B3111,'D7 - NDB Impacted SPRF''s'!$E$16:$O$9929,11,FALSE)</f>
        <v>N</v>
      </c>
      <c r="S3111" s="8"/>
      <c r="T3111" s="310"/>
      <c r="U3111" s="310"/>
      <c r="V3111" s="4"/>
      <c r="W3111" s="4"/>
      <c r="X3111" s="4"/>
      <c r="Y3111" s="4"/>
      <c r="Z3111" s="4"/>
      <c r="AA3111" s="4"/>
      <c r="AB3111" s="380" t="str">
        <f>VLOOKUP($B3111,'D7 - NDB Impacted SPRF''s'!$E$6:$O$9929,4,FALSE)</f>
        <v>Cancelled</v>
      </c>
      <c r="AC3111" s="380" t="str">
        <f>VLOOKUP($B3111,'D7 - NDB Impacted SPRF''s'!$E$6:$O$9929,3,FALSE)</f>
        <v>UnitedHealthcare Employer &amp; Individual</v>
      </c>
      <c r="AD3111" s="380" t="str">
        <f>VLOOKUP($B3111,'D7 - NDB Impacted SPRF''s'!$E$6:$O$9929,5,FALSE)</f>
        <v>Customer Requirements</v>
      </c>
      <c r="AE3111" s="380" t="str">
        <f>VLOOKUP($B3111,'D7 - NDB Impacted SPRF''s'!$E$6:$O$9929,7,FALSE)</f>
        <v>Craig Condon</v>
      </c>
      <c r="AF3111" s="380" t="str">
        <f>VLOOKUP($B3111,'D7 - NDB Impacted SPRF''s'!$E$6:$O$9929,6,FALSE)</f>
        <v>Wood Kay</v>
      </c>
      <c r="AG3111" s="282"/>
      <c r="AH3111" s="311" t="e">
        <f>INDEX('D5 - Gatekeeper - Projects'!$A$4:$AF$1010,$AM3111, 17)</f>
        <v>#N/A</v>
      </c>
      <c r="AI3111" s="8"/>
      <c r="AJ3111" s="57"/>
      <c r="AK3111" s="105"/>
      <c r="AM3111" s="6" t="e">
        <f>MATCH(D3111,'D5 - Gatekeeper - Projects'!$C$4:$C$1010,0)</f>
        <v>#N/A</v>
      </c>
      <c r="AN3111" s="6" t="b">
        <f t="shared" si="319"/>
        <v>1</v>
      </c>
      <c r="AO3111" s="6" t="str">
        <f t="shared" si="320"/>
        <v>OK</v>
      </c>
      <c r="AQ3111" s="6" t="e">
        <f>MATCH($D3111,'D4 - Provider Council Unsched'!$C$11:$C$234,0)</f>
        <v>#N/A</v>
      </c>
      <c r="AR3111" s="6" t="b">
        <f t="shared" si="321"/>
        <v>1</v>
      </c>
      <c r="AS3111" s="6" t="str">
        <f t="shared" si="322"/>
        <v>OK</v>
      </c>
      <c r="AU3111" s="202"/>
      <c r="AV3111" s="262"/>
      <c r="AW3111" s="274"/>
    </row>
    <row r="3112" spans="1:49" s="13" customFormat="1" ht="45" x14ac:dyDescent="0.2">
      <c r="A3112" s="14">
        <v>3088</v>
      </c>
      <c r="B3112" s="8">
        <v>400048329</v>
      </c>
      <c r="C3112" s="8" t="s">
        <v>1447</v>
      </c>
      <c r="D3112" s="4" t="str">
        <f t="shared" si="323"/>
        <v>400048329A</v>
      </c>
      <c r="E3112" s="309" t="str">
        <f>VLOOKUP($B3112,'D7 - NDB Impacted SPRF''s'!$E$6:$O$9929,2,FALSE)</f>
        <v xml:space="preserve">NDB Cosmos Demo SoT- Physician Panel </v>
      </c>
      <c r="F3112" s="8"/>
      <c r="G3112" s="8" t="s">
        <v>4758</v>
      </c>
      <c r="H3112" s="8" t="s">
        <v>2870</v>
      </c>
      <c r="I3112" s="20"/>
      <c r="J3112" s="8"/>
      <c r="K3112" s="182"/>
      <c r="L3112" s="8" t="s">
        <v>4156</v>
      </c>
      <c r="M3112" s="8" t="s">
        <v>2814</v>
      </c>
      <c r="N3112" s="38" t="s">
        <v>1407</v>
      </c>
      <c r="O3112" s="8"/>
      <c r="P3112" s="4" t="str">
        <f>VLOOKUP($B3112,'D7 - NDB Impacted SPRF''s'!$E$16:$O$9929,9,FALSE)</f>
        <v>N</v>
      </c>
      <c r="Q3112" s="4" t="str">
        <f>VLOOKUP($B3112,'D7 - NDB Impacted SPRF''s'!$E$16:$O$9929,10,FALSE)</f>
        <v>N</v>
      </c>
      <c r="R3112" s="4" t="str">
        <f>VLOOKUP($B3112,'D7 - NDB Impacted SPRF''s'!$E$16:$O$9929,11,FALSE)</f>
        <v>Y</v>
      </c>
      <c r="S3112" s="8"/>
      <c r="T3112" s="310"/>
      <c r="U3112" s="310"/>
      <c r="V3112" s="4"/>
      <c r="W3112" s="4"/>
      <c r="X3112" s="4"/>
      <c r="Y3112" s="4"/>
      <c r="Z3112" s="4"/>
      <c r="AA3112" s="4"/>
      <c r="AB3112" s="380" t="str">
        <f>VLOOKUP($B3112,'D7 - NDB Impacted SPRF''s'!$E$6:$O$9929,4,FALSE)</f>
        <v>Cancelled</v>
      </c>
      <c r="AC3112" s="380" t="str">
        <f>VLOOKUP($B3112,'D7 - NDB Impacted SPRF''s'!$E$6:$O$9929,3,FALSE)</f>
        <v>UHG IT - Enterprise Technology Services</v>
      </c>
      <c r="AD3112" s="380" t="str">
        <f>VLOOKUP($B3112,'D7 - NDB Impacted SPRF''s'!$E$6:$O$9929,5,FALSE)</f>
        <v>Strategic Initiatives</v>
      </c>
      <c r="AE3112" s="380" t="str">
        <f>VLOOKUP($B3112,'D7 - NDB Impacted SPRF''s'!$E$6:$O$9929,7,FALSE)</f>
        <v>Kaja, Tim</v>
      </c>
      <c r="AF3112" s="380" t="str">
        <f>VLOOKUP($B3112,'D7 - NDB Impacted SPRF''s'!$E$6:$O$9929,6,FALSE)</f>
        <v>SUSAN HINES</v>
      </c>
      <c r="AG3112" s="282"/>
      <c r="AH3112" s="311" t="e">
        <f>INDEX('D5 - Gatekeeper - Projects'!$A$4:$AF$1010,$AM3112, 17)</f>
        <v>#N/A</v>
      </c>
      <c r="AI3112" s="8"/>
      <c r="AJ3112" s="57"/>
      <c r="AK3112" s="105"/>
      <c r="AM3112" s="6" t="e">
        <f>MATCH(D3112,'D5 - Gatekeeper - Projects'!$C$4:$C$1010,0)</f>
        <v>#N/A</v>
      </c>
      <c r="AN3112" s="6" t="b">
        <f t="shared" si="319"/>
        <v>1</v>
      </c>
      <c r="AO3112" s="6" t="str">
        <f t="shared" si="320"/>
        <v>OK</v>
      </c>
      <c r="AQ3112" s="6" t="e">
        <f>MATCH($D3112,'D4 - Provider Council Unsched'!$C$11:$C$234,0)</f>
        <v>#N/A</v>
      </c>
      <c r="AR3112" s="6" t="b">
        <f t="shared" si="321"/>
        <v>1</v>
      </c>
      <c r="AS3112" s="6" t="str">
        <f t="shared" si="322"/>
        <v>OK</v>
      </c>
      <c r="AU3112" s="202"/>
      <c r="AV3112" s="262" t="s">
        <v>2754</v>
      </c>
      <c r="AW3112" s="274"/>
    </row>
    <row r="3113" spans="1:49" s="13" customFormat="1" ht="33.75" x14ac:dyDescent="0.2">
      <c r="A3113" s="14">
        <v>3089</v>
      </c>
      <c r="B3113" s="8">
        <v>400048402</v>
      </c>
      <c r="C3113" s="8" t="s">
        <v>1447</v>
      </c>
      <c r="D3113" s="4" t="str">
        <f t="shared" si="323"/>
        <v>400048402A</v>
      </c>
      <c r="E3113" s="309" t="str">
        <f>VLOOKUP($B3113,'D7 - NDB Impacted SPRF''s'!$E$6:$O$9929,2,FALSE)</f>
        <v>Multiple Networks and Tiered Benefits/Networks</v>
      </c>
      <c r="F3113" s="8"/>
      <c r="G3113" s="8" t="s">
        <v>4758</v>
      </c>
      <c r="H3113" s="8" t="s">
        <v>2870</v>
      </c>
      <c r="I3113" s="20"/>
      <c r="J3113" s="8"/>
      <c r="K3113" s="182"/>
      <c r="L3113" s="8" t="s">
        <v>4156</v>
      </c>
      <c r="M3113" s="8" t="s">
        <v>2814</v>
      </c>
      <c r="N3113" s="38" t="s">
        <v>349</v>
      </c>
      <c r="O3113" s="8"/>
      <c r="P3113" s="4" t="str">
        <f>VLOOKUP($B3113,'D7 - NDB Impacted SPRF''s'!$E$16:$O$9929,9,FALSE)</f>
        <v>Y</v>
      </c>
      <c r="Q3113" s="4" t="str">
        <f>VLOOKUP($B3113,'D7 - NDB Impacted SPRF''s'!$E$16:$O$9929,10,FALSE)</f>
        <v>N</v>
      </c>
      <c r="R3113" s="4" t="str">
        <f>VLOOKUP($B3113,'D7 - NDB Impacted SPRF''s'!$E$16:$O$9929,11,FALSE)</f>
        <v>Y</v>
      </c>
      <c r="S3113" s="8"/>
      <c r="T3113" s="310"/>
      <c r="U3113" s="310"/>
      <c r="V3113" s="4"/>
      <c r="W3113" s="4"/>
      <c r="X3113" s="4"/>
      <c r="Y3113" s="4"/>
      <c r="Z3113" s="4"/>
      <c r="AA3113" s="4"/>
      <c r="AB3113" s="380" t="str">
        <f>VLOOKUP($B3113,'D7 - NDB Impacted SPRF''s'!$E$6:$O$9929,4,FALSE)</f>
        <v>Completed</v>
      </c>
      <c r="AC3113" s="380" t="str">
        <f>VLOOKUP($B3113,'D7 - NDB Impacted SPRF''s'!$E$6:$O$9929,3,FALSE)</f>
        <v>UnitedHealthcare Employer &amp; Individual</v>
      </c>
      <c r="AD3113" s="380" t="str">
        <f>VLOOKUP($B3113,'D7 - NDB Impacted SPRF''s'!$E$6:$O$9929,5,FALSE)</f>
        <v>Membership Growth / Revenue Programs</v>
      </c>
      <c r="AE3113" s="380" t="str">
        <f>VLOOKUP($B3113,'D7 - NDB Impacted SPRF''s'!$E$6:$O$9929,7,FALSE)</f>
        <v>Denise Mount</v>
      </c>
      <c r="AF3113" s="380" t="str">
        <f>VLOOKUP($B3113,'D7 - NDB Impacted SPRF''s'!$E$6:$O$9929,6,FALSE)</f>
        <v>Jane Boston</v>
      </c>
      <c r="AG3113" s="282"/>
      <c r="AH3113" s="311" t="e">
        <f>INDEX('D5 - Gatekeeper - Projects'!$A$4:$AF$1010,$AM3113, 17)</f>
        <v>#N/A</v>
      </c>
      <c r="AI3113" s="8"/>
      <c r="AJ3113" s="57"/>
      <c r="AK3113" s="105"/>
      <c r="AM3113" s="6" t="e">
        <f>MATCH(D3113,'D5 - Gatekeeper - Projects'!$C$4:$C$1010,0)</f>
        <v>#N/A</v>
      </c>
      <c r="AN3113" s="6" t="b">
        <f t="shared" si="319"/>
        <v>1</v>
      </c>
      <c r="AO3113" s="6" t="str">
        <f t="shared" si="320"/>
        <v>OK</v>
      </c>
      <c r="AQ3113" s="6" t="e">
        <f>MATCH($D3113,'D4 - Provider Council Unsched'!$C$11:$C$234,0)</f>
        <v>#N/A</v>
      </c>
      <c r="AR3113" s="6" t="b">
        <f t="shared" si="321"/>
        <v>1</v>
      </c>
      <c r="AS3113" s="6" t="str">
        <f t="shared" si="322"/>
        <v>OK</v>
      </c>
      <c r="AU3113" s="202"/>
      <c r="AV3113" s="216" t="s">
        <v>1130</v>
      </c>
      <c r="AW3113" s="274">
        <v>51876</v>
      </c>
    </row>
    <row r="3114" spans="1:49" s="13" customFormat="1" ht="33.75" x14ac:dyDescent="0.2">
      <c r="A3114" s="14">
        <v>3090</v>
      </c>
      <c r="B3114" s="8">
        <v>400048601</v>
      </c>
      <c r="C3114" s="8" t="s">
        <v>1447</v>
      </c>
      <c r="D3114" s="4" t="str">
        <f t="shared" si="323"/>
        <v>400048601A</v>
      </c>
      <c r="E3114" s="309" t="str">
        <f>VLOOKUP($B3114,'D7 - NDB Impacted SPRF''s'!$E$6:$O$9929,2,FALSE)</f>
        <v>CSP:  CLIA data automation</v>
      </c>
      <c r="F3114" s="8"/>
      <c r="G3114" s="8" t="s">
        <v>4758</v>
      </c>
      <c r="H3114" s="8" t="s">
        <v>2870</v>
      </c>
      <c r="I3114" s="20"/>
      <c r="J3114" s="8"/>
      <c r="K3114" s="182"/>
      <c r="L3114" s="8" t="s">
        <v>4156</v>
      </c>
      <c r="M3114" s="8" t="s">
        <v>2814</v>
      </c>
      <c r="N3114" s="38"/>
      <c r="O3114" s="8"/>
      <c r="P3114" s="4" t="str">
        <f>VLOOKUP($B3114,'D7 - NDB Impacted SPRF''s'!$E$16:$O$9929,9,FALSE)</f>
        <v>N</v>
      </c>
      <c r="Q3114" s="4" t="str">
        <f>VLOOKUP($B3114,'D7 - NDB Impacted SPRF''s'!$E$16:$O$9929,10,FALSE)</f>
        <v>N</v>
      </c>
      <c r="R3114" s="4" t="str">
        <f>VLOOKUP($B3114,'D7 - NDB Impacted SPRF''s'!$E$16:$O$9929,11,FALSE)</f>
        <v>N</v>
      </c>
      <c r="S3114" s="8"/>
      <c r="T3114" s="310"/>
      <c r="U3114" s="310"/>
      <c r="V3114" s="4"/>
      <c r="W3114" s="4"/>
      <c r="X3114" s="4"/>
      <c r="Y3114" s="4"/>
      <c r="Z3114" s="4"/>
      <c r="AA3114" s="4"/>
      <c r="AB3114" s="380" t="str">
        <f>VLOOKUP($B3114,'D7 - NDB Impacted SPRF''s'!$E$6:$O$9929,4,FALSE)</f>
        <v>Cancelled</v>
      </c>
      <c r="AC3114" s="380" t="str">
        <f>VLOOKUP($B3114,'D7 - NDB Impacted SPRF''s'!$E$6:$O$9929,3,FALSE)</f>
        <v>UnitedHealthcare Community &amp; State</v>
      </c>
      <c r="AD3114" s="380" t="str">
        <f>VLOOKUP($B3114,'D7 - NDB Impacted SPRF''s'!$E$6:$O$9929,5,FALSE)</f>
        <v>Operational Requirements</v>
      </c>
      <c r="AE3114" s="380" t="str">
        <f>VLOOKUP($B3114,'D7 - NDB Impacted SPRF''s'!$E$6:$O$9929,7,FALSE)</f>
        <v>Chris Scherer</v>
      </c>
      <c r="AF3114" s="380" t="str">
        <f>VLOOKUP($B3114,'D7 - NDB Impacted SPRF''s'!$E$6:$O$9929,6,FALSE)</f>
        <v>Diane Kochol</v>
      </c>
      <c r="AG3114" s="282"/>
      <c r="AH3114" s="311" t="e">
        <f>INDEX('D5 - Gatekeeper - Projects'!$A$4:$AF$1010,$AM3114, 17)</f>
        <v>#N/A</v>
      </c>
      <c r="AI3114" s="8"/>
      <c r="AJ3114" s="57"/>
      <c r="AK3114" s="105"/>
      <c r="AM3114" s="6" t="e">
        <f>MATCH(D3114,'D5 - Gatekeeper - Projects'!$C$4:$C$1010,0)</f>
        <v>#N/A</v>
      </c>
      <c r="AN3114" s="6" t="b">
        <f t="shared" si="319"/>
        <v>1</v>
      </c>
      <c r="AO3114" s="6" t="str">
        <f t="shared" si="320"/>
        <v>OK</v>
      </c>
      <c r="AQ3114" s="6" t="e">
        <f>MATCH($D3114,'D4 - Provider Council Unsched'!$C$11:$C$234,0)</f>
        <v>#N/A</v>
      </c>
      <c r="AR3114" s="6" t="b">
        <f t="shared" si="321"/>
        <v>1</v>
      </c>
      <c r="AS3114" s="6" t="str">
        <f t="shared" si="322"/>
        <v>OK</v>
      </c>
      <c r="AU3114" s="202"/>
      <c r="AV3114" s="216" t="s">
        <v>1132</v>
      </c>
      <c r="AW3114" s="274"/>
    </row>
    <row r="3115" spans="1:49" s="13" customFormat="1" ht="33.75" x14ac:dyDescent="0.2">
      <c r="A3115" s="14">
        <v>3091</v>
      </c>
      <c r="B3115" s="8">
        <v>400048794</v>
      </c>
      <c r="C3115" s="8" t="s">
        <v>1447</v>
      </c>
      <c r="D3115" s="4" t="str">
        <f t="shared" si="323"/>
        <v>400048794A</v>
      </c>
      <c r="E3115" s="309" t="str">
        <f>VLOOKUP($B3115,'D7 - NDB Impacted SPRF''s'!$E$6:$O$9929,2,FALSE)</f>
        <v>NDB Q1 2012 OI Release</v>
      </c>
      <c r="F3115" s="8"/>
      <c r="G3115" s="8" t="s">
        <v>4758</v>
      </c>
      <c r="H3115" s="8" t="s">
        <v>2870</v>
      </c>
      <c r="I3115" s="20"/>
      <c r="J3115" s="8"/>
      <c r="K3115" s="182"/>
      <c r="L3115" s="8" t="s">
        <v>4156</v>
      </c>
      <c r="M3115" s="8" t="s">
        <v>2814</v>
      </c>
      <c r="N3115" s="38" t="s">
        <v>160</v>
      </c>
      <c r="O3115" s="8"/>
      <c r="P3115" s="4" t="str">
        <f>VLOOKUP($B3115,'D7 - NDB Impacted SPRF''s'!$E$16:$O$9929,9,FALSE)</f>
        <v>N</v>
      </c>
      <c r="Q3115" s="4" t="str">
        <f>VLOOKUP($B3115,'D7 - NDB Impacted SPRF''s'!$E$16:$O$9929,10,FALSE)</f>
        <v>N</v>
      </c>
      <c r="R3115" s="4" t="str">
        <f>VLOOKUP($B3115,'D7 - NDB Impacted SPRF''s'!$E$16:$O$9929,11,FALSE)</f>
        <v>N</v>
      </c>
      <c r="S3115" s="8"/>
      <c r="T3115" s="310"/>
      <c r="U3115" s="310"/>
      <c r="V3115" s="4"/>
      <c r="W3115" s="4"/>
      <c r="X3115" s="4"/>
      <c r="Y3115" s="4"/>
      <c r="Z3115" s="4"/>
      <c r="AA3115" s="4"/>
      <c r="AB3115" s="380" t="str">
        <f>VLOOKUP($B3115,'D7 - NDB Impacted SPRF''s'!$E$6:$O$9929,4,FALSE)</f>
        <v>Cancelled</v>
      </c>
      <c r="AC3115" s="380" t="str">
        <f>VLOOKUP($B3115,'D7 - NDB Impacted SPRF''s'!$E$6:$O$9929,3,FALSE)</f>
        <v>UnitedHealthcare Employer &amp; Individual</v>
      </c>
      <c r="AD3115" s="380" t="str">
        <f>VLOOKUP($B3115,'D7 - NDB Impacted SPRF''s'!$E$6:$O$9929,5,FALSE)</f>
        <v>Operational Requirements</v>
      </c>
      <c r="AE3115" s="380" t="str">
        <f>VLOOKUP($B3115,'D7 - NDB Impacted SPRF''s'!$E$6:$O$9929,7,FALSE)</f>
        <v>Eileen Dock</v>
      </c>
      <c r="AF3115" s="380" t="str">
        <f>VLOOKUP($B3115,'D7 - NDB Impacted SPRF''s'!$E$6:$O$9929,6,FALSE)</f>
        <v>Robert Wright</v>
      </c>
      <c r="AG3115" s="282"/>
      <c r="AH3115" s="311" t="e">
        <f>INDEX('D5 - Gatekeeper - Projects'!$A$4:$AF$1010,$AM3115, 17)</f>
        <v>#N/A</v>
      </c>
      <c r="AI3115" s="8"/>
      <c r="AJ3115" s="57"/>
      <c r="AK3115" s="105"/>
      <c r="AM3115" s="6" t="e">
        <f>MATCH(D3115,'D5 - Gatekeeper - Projects'!$C$4:$C$1010,0)</f>
        <v>#N/A</v>
      </c>
      <c r="AN3115" s="6" t="b">
        <f t="shared" si="319"/>
        <v>1</v>
      </c>
      <c r="AO3115" s="6" t="str">
        <f t="shared" si="320"/>
        <v>OK</v>
      </c>
      <c r="AQ3115" s="6" t="e">
        <f>MATCH($D3115,'D4 - Provider Council Unsched'!$C$11:$C$234,0)</f>
        <v>#N/A</v>
      </c>
      <c r="AR3115" s="6" t="b">
        <f t="shared" si="321"/>
        <v>1</v>
      </c>
      <c r="AS3115" s="6" t="str">
        <f t="shared" si="322"/>
        <v>OK</v>
      </c>
      <c r="AU3115" s="202"/>
      <c r="AV3115" s="216"/>
      <c r="AW3115" s="274"/>
    </row>
    <row r="3116" spans="1:49" s="13" customFormat="1" ht="33.75" x14ac:dyDescent="0.2">
      <c r="A3116" s="14">
        <v>3092</v>
      </c>
      <c r="B3116" s="8">
        <v>400049101</v>
      </c>
      <c r="C3116" s="8" t="s">
        <v>1447</v>
      </c>
      <c r="D3116" s="4" t="str">
        <f t="shared" si="323"/>
        <v>400049101A</v>
      </c>
      <c r="E3116" s="309" t="str">
        <f>VLOOKUP($B3116,'D7 - NDB Impacted SPRF''s'!$E$6:$O$9929,2,FALSE)</f>
        <v>2012 ROBOTs for COSMOS</v>
      </c>
      <c r="F3116" s="8"/>
      <c r="G3116" s="8" t="s">
        <v>4758</v>
      </c>
      <c r="H3116" s="8" t="s">
        <v>2870</v>
      </c>
      <c r="I3116" s="20"/>
      <c r="J3116" s="8"/>
      <c r="K3116" s="182"/>
      <c r="L3116" s="8" t="s">
        <v>4156</v>
      </c>
      <c r="M3116" s="8" t="s">
        <v>2814</v>
      </c>
      <c r="N3116" s="38" t="s">
        <v>1310</v>
      </c>
      <c r="O3116" s="8"/>
      <c r="P3116" s="4" t="str">
        <f>VLOOKUP($B3116,'D7 - NDB Impacted SPRF''s'!$E$16:$O$9929,9,FALSE)</f>
        <v>N</v>
      </c>
      <c r="Q3116" s="4" t="str">
        <f>VLOOKUP($B3116,'D7 - NDB Impacted SPRF''s'!$E$16:$O$9929,10,FALSE)</f>
        <v>N</v>
      </c>
      <c r="R3116" s="4" t="str">
        <f>VLOOKUP($B3116,'D7 - NDB Impacted SPRF''s'!$E$16:$O$9929,11,FALSE)</f>
        <v>N</v>
      </c>
      <c r="S3116" s="8"/>
      <c r="T3116" s="310"/>
      <c r="U3116" s="310"/>
      <c r="V3116" s="4"/>
      <c r="W3116" s="4"/>
      <c r="X3116" s="4"/>
      <c r="Y3116" s="4"/>
      <c r="Z3116" s="4"/>
      <c r="AA3116" s="4"/>
      <c r="AB3116" s="380" t="str">
        <f>VLOOKUP($B3116,'D7 - NDB Impacted SPRF''s'!$E$6:$O$9929,4,FALSE)</f>
        <v>Completed</v>
      </c>
      <c r="AC3116" s="380" t="str">
        <f>VLOOKUP($B3116,'D7 - NDB Impacted SPRF''s'!$E$6:$O$9929,3,FALSE)</f>
        <v>UnitedHealthcare Medicare &amp; Retirement</v>
      </c>
      <c r="AD3116" s="380" t="str">
        <f>VLOOKUP($B3116,'D7 - NDB Impacted SPRF''s'!$E$6:$O$9929,5,FALSE)</f>
        <v>Process Improvement</v>
      </c>
      <c r="AE3116" s="380" t="str">
        <f>VLOOKUP($B3116,'D7 - NDB Impacted SPRF''s'!$E$6:$O$9929,7,FALSE)</f>
        <v>Kelly Gilbertson</v>
      </c>
      <c r="AF3116" s="380" t="str">
        <f>VLOOKUP($B3116,'D7 - NDB Impacted SPRF''s'!$E$6:$O$9929,6,FALSE)</f>
        <v>Brian Schimke</v>
      </c>
      <c r="AG3116" s="282"/>
      <c r="AH3116" s="311" t="e">
        <f>INDEX('D5 - Gatekeeper - Projects'!$A$4:$AF$1010,$AM3116, 17)</f>
        <v>#N/A</v>
      </c>
      <c r="AI3116" s="8"/>
      <c r="AJ3116" s="57"/>
      <c r="AK3116" s="105"/>
      <c r="AM3116" s="6" t="e">
        <f>MATCH(D3116,'D5 - Gatekeeper - Projects'!$C$4:$C$1010,0)</f>
        <v>#N/A</v>
      </c>
      <c r="AN3116" s="6" t="b">
        <f t="shared" si="319"/>
        <v>1</v>
      </c>
      <c r="AO3116" s="6" t="str">
        <f t="shared" si="320"/>
        <v>OK</v>
      </c>
      <c r="AQ3116" s="6" t="e">
        <f>MATCH($D3116,'D4 - Provider Council Unsched'!$C$11:$C$234,0)</f>
        <v>#N/A</v>
      </c>
      <c r="AR3116" s="6" t="b">
        <f t="shared" si="321"/>
        <v>1</v>
      </c>
      <c r="AS3116" s="6" t="str">
        <f t="shared" si="322"/>
        <v>OK</v>
      </c>
      <c r="AU3116" s="202"/>
      <c r="AV3116" s="349" t="s">
        <v>2235</v>
      </c>
      <c r="AW3116" s="274"/>
    </row>
    <row r="3117" spans="1:49" s="13" customFormat="1" ht="33.75" x14ac:dyDescent="0.2">
      <c r="A3117" s="14">
        <v>3093</v>
      </c>
      <c r="B3117" s="8">
        <v>400049157</v>
      </c>
      <c r="C3117" s="8" t="s">
        <v>1447</v>
      </c>
      <c r="D3117" s="4" t="str">
        <f t="shared" si="323"/>
        <v>400049157A</v>
      </c>
      <c r="E3117" s="309" t="str">
        <f>VLOOKUP($B3117,'D7 - NDB Impacted SPRF''s'!$E$6:$O$9929,2,FALSE)</f>
        <v>Accepting Assignment: Phase 3</v>
      </c>
      <c r="F3117" s="8"/>
      <c r="G3117" s="8" t="s">
        <v>4758</v>
      </c>
      <c r="H3117" s="8" t="s">
        <v>2870</v>
      </c>
      <c r="I3117" s="20"/>
      <c r="J3117" s="8"/>
      <c r="K3117" s="182"/>
      <c r="L3117" s="8" t="s">
        <v>4156</v>
      </c>
      <c r="M3117" s="8" t="s">
        <v>2814</v>
      </c>
      <c r="N3117" s="38" t="s">
        <v>1465</v>
      </c>
      <c r="O3117" s="8"/>
      <c r="P3117" s="4" t="str">
        <f>VLOOKUP($B3117,'D7 - NDB Impacted SPRF''s'!$E$16:$O$9929,9,FALSE)</f>
        <v>N</v>
      </c>
      <c r="Q3117" s="4" t="str">
        <f>VLOOKUP($B3117,'D7 - NDB Impacted SPRF''s'!$E$16:$O$9929,10,FALSE)</f>
        <v>N</v>
      </c>
      <c r="R3117" s="4" t="str">
        <f>VLOOKUP($B3117,'D7 - NDB Impacted SPRF''s'!$E$16:$O$9929,11,FALSE)</f>
        <v>N</v>
      </c>
      <c r="S3117" s="8"/>
      <c r="T3117" s="310"/>
      <c r="U3117" s="310"/>
      <c r="V3117" s="4"/>
      <c r="W3117" s="4"/>
      <c r="X3117" s="4"/>
      <c r="Y3117" s="4"/>
      <c r="Z3117" s="4"/>
      <c r="AA3117" s="4"/>
      <c r="AB3117" s="380" t="str">
        <f>VLOOKUP($B3117,'D7 - NDB Impacted SPRF''s'!$E$6:$O$9929,4,FALSE)</f>
        <v>Cancelled</v>
      </c>
      <c r="AC3117" s="380" t="str">
        <f>VLOOKUP($B3117,'D7 - NDB Impacted SPRF''s'!$E$6:$O$9929,3,FALSE)</f>
        <v>UnitedHealthcare Medicare &amp; Retirement</v>
      </c>
      <c r="AD3117" s="380" t="str">
        <f>VLOOKUP($B3117,'D7 - NDB Impacted SPRF''s'!$E$6:$O$9929,5,FALSE)</f>
        <v>Process Improvement</v>
      </c>
      <c r="AE3117" s="380" t="str">
        <f>VLOOKUP($B3117,'D7 - NDB Impacted SPRF''s'!$E$6:$O$9929,7,FALSE)</f>
        <v>Kelly Gilbertson</v>
      </c>
      <c r="AF3117" s="380" t="str">
        <f>VLOOKUP($B3117,'D7 - NDB Impacted SPRF''s'!$E$6:$O$9929,6,FALSE)</f>
        <v>Jessica Ayers</v>
      </c>
      <c r="AG3117" s="282"/>
      <c r="AH3117" s="311" t="e">
        <f>INDEX('D5 - Gatekeeper - Projects'!$A$4:$AF$1010,$AM3117, 17)</f>
        <v>#N/A</v>
      </c>
      <c r="AI3117" s="8"/>
      <c r="AJ3117" s="57"/>
      <c r="AK3117" s="105"/>
      <c r="AM3117" s="6" t="e">
        <f>MATCH(D3117,'D5 - Gatekeeper - Projects'!$C$4:$C$1010,0)</f>
        <v>#N/A</v>
      </c>
      <c r="AN3117" s="6" t="b">
        <f t="shared" si="319"/>
        <v>1</v>
      </c>
      <c r="AO3117" s="6" t="str">
        <f t="shared" si="320"/>
        <v>OK</v>
      </c>
      <c r="AQ3117" s="6" t="e">
        <f>MATCH($D3117,'D4 - Provider Council Unsched'!$C$11:$C$234,0)</f>
        <v>#N/A</v>
      </c>
      <c r="AR3117" s="6" t="b">
        <f t="shared" si="321"/>
        <v>1</v>
      </c>
      <c r="AS3117" s="6" t="str">
        <f t="shared" si="322"/>
        <v>OK</v>
      </c>
      <c r="AU3117" s="202"/>
      <c r="AV3117" s="216" t="s">
        <v>2235</v>
      </c>
      <c r="AW3117" s="274"/>
    </row>
    <row r="3118" spans="1:49" s="13" customFormat="1" ht="45" x14ac:dyDescent="0.2">
      <c r="A3118" s="14">
        <v>3094</v>
      </c>
      <c r="B3118" s="8">
        <v>400049346</v>
      </c>
      <c r="C3118" s="8" t="s">
        <v>1447</v>
      </c>
      <c r="D3118" s="4" t="str">
        <f t="shared" si="323"/>
        <v>400049346A</v>
      </c>
      <c r="E3118" s="309" t="str">
        <f>VLOOKUP($B3118,'D7 - NDB Impacted SPRF''s'!$E$6:$O$9929,2,FALSE)</f>
        <v>NDB COSMOS Demo SOT- Final Demographics Project</v>
      </c>
      <c r="F3118" s="8"/>
      <c r="G3118" s="8" t="s">
        <v>4758</v>
      </c>
      <c r="H3118" s="8" t="s">
        <v>2870</v>
      </c>
      <c r="I3118" s="20"/>
      <c r="J3118" s="8"/>
      <c r="K3118" s="182"/>
      <c r="L3118" s="8" t="s">
        <v>4156</v>
      </c>
      <c r="M3118" s="8" t="s">
        <v>2814</v>
      </c>
      <c r="N3118" s="38"/>
      <c r="O3118" s="8"/>
      <c r="P3118" s="4" t="str">
        <f>VLOOKUP($B3118,'D7 - NDB Impacted SPRF''s'!$E$16:$O$9929,9,FALSE)</f>
        <v>N</v>
      </c>
      <c r="Q3118" s="4" t="str">
        <f>VLOOKUP($B3118,'D7 - NDB Impacted SPRF''s'!$E$16:$O$9929,10,FALSE)</f>
        <v>N</v>
      </c>
      <c r="R3118" s="4" t="str">
        <f>VLOOKUP($B3118,'D7 - NDB Impacted SPRF''s'!$E$16:$O$9929,11,FALSE)</f>
        <v>N</v>
      </c>
      <c r="S3118" s="8"/>
      <c r="T3118" s="310"/>
      <c r="U3118" s="310"/>
      <c r="V3118" s="4"/>
      <c r="W3118" s="4"/>
      <c r="X3118" s="4"/>
      <c r="Y3118" s="4"/>
      <c r="Z3118" s="4"/>
      <c r="AA3118" s="4"/>
      <c r="AB3118" s="380" t="str">
        <f>VLOOKUP($B3118,'D7 - NDB Impacted SPRF''s'!$E$6:$O$9929,4,FALSE)</f>
        <v>Cancelled</v>
      </c>
      <c r="AC3118" s="380" t="str">
        <f>VLOOKUP($B3118,'D7 - NDB Impacted SPRF''s'!$E$6:$O$9929,3,FALSE)</f>
        <v>UHG IT - Enterprise Technology Services</v>
      </c>
      <c r="AD3118" s="380" t="str">
        <f>VLOOKUP($B3118,'D7 - NDB Impacted SPRF''s'!$E$6:$O$9929,5,FALSE)</f>
        <v>Strategic Initiatives</v>
      </c>
      <c r="AE3118" s="380" t="str">
        <f>VLOOKUP($B3118,'D7 - NDB Impacted SPRF''s'!$E$6:$O$9929,7,FALSE)</f>
        <v>Tim Kaja</v>
      </c>
      <c r="AF3118" s="380" t="str">
        <f>VLOOKUP($B3118,'D7 - NDB Impacted SPRF''s'!$E$6:$O$9929,6,FALSE)</f>
        <v>SUSAN HINES</v>
      </c>
      <c r="AG3118" s="282"/>
      <c r="AH3118" s="311" t="e">
        <f>INDEX('D5 - Gatekeeper - Projects'!$A$4:$AF$1010,$AM3118, 17)</f>
        <v>#N/A</v>
      </c>
      <c r="AI3118" s="8"/>
      <c r="AJ3118" s="57"/>
      <c r="AK3118" s="105"/>
      <c r="AM3118" s="6" t="e">
        <f>MATCH(D3118,'D5 - Gatekeeper - Projects'!$C$4:$C$1010,0)</f>
        <v>#N/A</v>
      </c>
      <c r="AN3118" s="6" t="b">
        <f t="shared" si="319"/>
        <v>1</v>
      </c>
      <c r="AO3118" s="6" t="str">
        <f t="shared" si="320"/>
        <v>OK</v>
      </c>
      <c r="AQ3118" s="6" t="e">
        <f>MATCH($D3118,'D4 - Provider Council Unsched'!$C$11:$C$234,0)</f>
        <v>#N/A</v>
      </c>
      <c r="AR3118" s="6" t="b">
        <f t="shared" si="321"/>
        <v>1</v>
      </c>
      <c r="AS3118" s="6" t="str">
        <f t="shared" si="322"/>
        <v>OK</v>
      </c>
      <c r="AU3118" s="202"/>
      <c r="AV3118" s="216" t="s">
        <v>2754</v>
      </c>
      <c r="AW3118" s="274"/>
    </row>
    <row r="3119" spans="1:49" s="13" customFormat="1" ht="33.75" x14ac:dyDescent="0.2">
      <c r="A3119" s="14">
        <v>3095</v>
      </c>
      <c r="B3119" s="8">
        <v>400049869</v>
      </c>
      <c r="C3119" s="8" t="s">
        <v>1447</v>
      </c>
      <c r="D3119" s="4" t="str">
        <f t="shared" si="323"/>
        <v>400049869A</v>
      </c>
      <c r="E3119" s="309" t="str">
        <f>VLOOKUP($B3119,'D7 - NDB Impacted SPRF''s'!$E$6:$O$9929,2,FALSE)</f>
        <v>RV FACETS CMS DRG Outlier move to NDB Webstrat</v>
      </c>
      <c r="F3119" s="8"/>
      <c r="G3119" s="8" t="s">
        <v>4758</v>
      </c>
      <c r="H3119" s="8" t="s">
        <v>2870</v>
      </c>
      <c r="I3119" s="20"/>
      <c r="J3119" s="8"/>
      <c r="K3119" s="182"/>
      <c r="L3119" s="8" t="s">
        <v>4156</v>
      </c>
      <c r="M3119" s="8" t="s">
        <v>2814</v>
      </c>
      <c r="N3119" s="38" t="s">
        <v>298</v>
      </c>
      <c r="O3119" s="8"/>
      <c r="P3119" s="4" t="str">
        <f>VLOOKUP($B3119,'D7 - NDB Impacted SPRF''s'!$E$16:$O$9929,9,FALSE)</f>
        <v>N</v>
      </c>
      <c r="Q3119" s="4" t="str">
        <f>VLOOKUP($B3119,'D7 - NDB Impacted SPRF''s'!$E$16:$O$9929,10,FALSE)</f>
        <v>N</v>
      </c>
      <c r="R3119" s="4" t="str">
        <f>VLOOKUP($B3119,'D7 - NDB Impacted SPRF''s'!$E$16:$O$9929,11,FALSE)</f>
        <v>Y</v>
      </c>
      <c r="S3119" s="8"/>
      <c r="T3119" s="310"/>
      <c r="U3119" s="310"/>
      <c r="V3119" s="4"/>
      <c r="W3119" s="4"/>
      <c r="X3119" s="4"/>
      <c r="Y3119" s="4"/>
      <c r="Z3119" s="4"/>
      <c r="AA3119" s="4"/>
      <c r="AB3119" s="380" t="str">
        <f>VLOOKUP($B3119,'D7 - NDB Impacted SPRF''s'!$E$6:$O$9929,4,FALSE)</f>
        <v>Cancelled</v>
      </c>
      <c r="AC3119" s="380" t="str">
        <f>VLOOKUP($B3119,'D7 - NDB Impacted SPRF''s'!$E$6:$O$9929,3,FALSE)</f>
        <v>UnitedHealthcare Community &amp; State</v>
      </c>
      <c r="AD3119" s="380" t="str">
        <f>VLOOKUP($B3119,'D7 - NDB Impacted SPRF''s'!$E$6:$O$9929,5,FALSE)</f>
        <v>Regulatory / Other</v>
      </c>
      <c r="AE3119" s="380" t="str">
        <f>VLOOKUP($B3119,'D7 - NDB Impacted SPRF''s'!$E$6:$O$9929,7,FALSE)</f>
        <v>Scott Bower</v>
      </c>
      <c r="AF3119" s="380" t="str">
        <f>VLOOKUP($B3119,'D7 - NDB Impacted SPRF''s'!$E$6:$O$9929,6,FALSE)</f>
        <v>Mary Vanspeybroeck</v>
      </c>
      <c r="AG3119" s="282"/>
      <c r="AH3119" s="311" t="e">
        <f>INDEX('D5 - Gatekeeper - Projects'!$A$4:$AF$1010,$AM3119, 17)</f>
        <v>#N/A</v>
      </c>
      <c r="AI3119" s="8"/>
      <c r="AJ3119" s="57"/>
      <c r="AK3119" s="105"/>
      <c r="AM3119" s="6" t="e">
        <f>MATCH(D3119,'D5 - Gatekeeper - Projects'!$C$4:$C$1010,0)</f>
        <v>#N/A</v>
      </c>
      <c r="AN3119" s="6" t="b">
        <f t="shared" si="319"/>
        <v>1</v>
      </c>
      <c r="AO3119" s="6" t="str">
        <f t="shared" si="320"/>
        <v>OK</v>
      </c>
      <c r="AQ3119" s="6" t="e">
        <f>MATCH($D3119,'D4 - Provider Council Unsched'!$C$11:$C$234,0)</f>
        <v>#N/A</v>
      </c>
      <c r="AR3119" s="6" t="b">
        <f t="shared" si="321"/>
        <v>1</v>
      </c>
      <c r="AS3119" s="6" t="str">
        <f t="shared" si="322"/>
        <v>OK</v>
      </c>
      <c r="AU3119" s="202"/>
      <c r="AV3119" s="216" t="s">
        <v>470</v>
      </c>
      <c r="AW3119" s="274"/>
    </row>
    <row r="3120" spans="1:49" s="13" customFormat="1" ht="33.75" x14ac:dyDescent="0.2">
      <c r="A3120" s="14">
        <v>3096</v>
      </c>
      <c r="B3120" s="8">
        <v>400050081</v>
      </c>
      <c r="C3120" s="8" t="s">
        <v>1447</v>
      </c>
      <c r="D3120" s="4" t="str">
        <f t="shared" si="323"/>
        <v>400050081A</v>
      </c>
      <c r="E3120" s="309" t="str">
        <f>VLOOKUP($B3120,'D7 - NDB Impacted SPRF''s'!$E$6:$O$9929,2,FALSE)</f>
        <v>Creation of new COSMOS PEND codes for MPQ tool</v>
      </c>
      <c r="F3120" s="8"/>
      <c r="G3120" s="8" t="s">
        <v>4758</v>
      </c>
      <c r="H3120" s="8" t="s">
        <v>2870</v>
      </c>
      <c r="I3120" s="20"/>
      <c r="J3120" s="8"/>
      <c r="K3120" s="182"/>
      <c r="L3120" s="8" t="s">
        <v>4156</v>
      </c>
      <c r="M3120" s="8" t="s">
        <v>2814</v>
      </c>
      <c r="N3120" s="38" t="s">
        <v>6513</v>
      </c>
      <c r="O3120" s="8"/>
      <c r="P3120" s="4" t="str">
        <f>VLOOKUP($B3120,'D7 - NDB Impacted SPRF''s'!$E$16:$O$9929,9,FALSE)</f>
        <v>N</v>
      </c>
      <c r="Q3120" s="4" t="str">
        <f>VLOOKUP($B3120,'D7 - NDB Impacted SPRF''s'!$E$16:$O$9929,10,FALSE)</f>
        <v>N</v>
      </c>
      <c r="R3120" s="4" t="str">
        <f>VLOOKUP($B3120,'D7 - NDB Impacted SPRF''s'!$E$16:$O$9929,11,FALSE)</f>
        <v>N</v>
      </c>
      <c r="S3120" s="8"/>
      <c r="T3120" s="310"/>
      <c r="U3120" s="310"/>
      <c r="V3120" s="4"/>
      <c r="W3120" s="4"/>
      <c r="X3120" s="4"/>
      <c r="Y3120" s="4"/>
      <c r="Z3120" s="4"/>
      <c r="AA3120" s="4"/>
      <c r="AB3120" s="380" t="str">
        <f>VLOOKUP($B3120,'D7 - NDB Impacted SPRF''s'!$E$6:$O$9929,4,FALSE)</f>
        <v>Completed</v>
      </c>
      <c r="AC3120" s="380" t="str">
        <f>VLOOKUP($B3120,'D7 - NDB Impacted SPRF''s'!$E$6:$O$9929,3,FALSE)</f>
        <v>UnitedHealthcare Employer &amp; Individual</v>
      </c>
      <c r="AD3120" s="380" t="str">
        <f>VLOOKUP($B3120,'D7 - NDB Impacted SPRF''s'!$E$6:$O$9929,5,FALSE)</f>
        <v>Operational Requirements</v>
      </c>
      <c r="AE3120" s="380" t="str">
        <f>VLOOKUP($B3120,'D7 - NDB Impacted SPRF''s'!$E$6:$O$9929,7,FALSE)</f>
        <v>Dom Furfari</v>
      </c>
      <c r="AF3120" s="380" t="str">
        <f>VLOOKUP($B3120,'D7 - NDB Impacted SPRF''s'!$E$6:$O$9929,6,FALSE)</f>
        <v>Jessica Tapani</v>
      </c>
      <c r="AG3120" s="282"/>
      <c r="AH3120" s="311" t="e">
        <f>INDEX('D5 - Gatekeeper - Projects'!$A$4:$AF$1010,$AM3120, 17)</f>
        <v>#N/A</v>
      </c>
      <c r="AI3120" s="8"/>
      <c r="AJ3120" s="57"/>
      <c r="AK3120" s="105"/>
      <c r="AM3120" s="6" t="e">
        <f>MATCH(D3120,'D5 - Gatekeeper - Projects'!$C$4:$C$1010,0)</f>
        <v>#N/A</v>
      </c>
      <c r="AN3120" s="6" t="b">
        <f t="shared" si="319"/>
        <v>1</v>
      </c>
      <c r="AO3120" s="6" t="str">
        <f t="shared" si="320"/>
        <v>OK</v>
      </c>
      <c r="AQ3120" s="6" t="e">
        <f>MATCH($D3120,'D4 - Provider Council Unsched'!$C$11:$C$234,0)</f>
        <v>#N/A</v>
      </c>
      <c r="AR3120" s="6" t="b">
        <f t="shared" si="321"/>
        <v>1</v>
      </c>
      <c r="AS3120" s="6" t="str">
        <f t="shared" si="322"/>
        <v>OK</v>
      </c>
      <c r="AU3120" s="202"/>
      <c r="AV3120" s="216" t="s">
        <v>2237</v>
      </c>
      <c r="AW3120" s="274"/>
    </row>
    <row r="3121" spans="1:49" s="13" customFormat="1" ht="33.75" x14ac:dyDescent="0.2">
      <c r="A3121" s="14">
        <v>3097</v>
      </c>
      <c r="B3121" s="8">
        <v>400050192</v>
      </c>
      <c r="C3121" s="8" t="s">
        <v>1447</v>
      </c>
      <c r="D3121" s="4" t="str">
        <f t="shared" si="323"/>
        <v>400050192A</v>
      </c>
      <c r="E3121" s="309" t="str">
        <f>VLOOKUP($B3121,'D7 - NDB Impacted SPRF''s'!$E$6:$O$9929,2,FALSE)</f>
        <v>NDB CD Migration Tools and Manual Pricing</v>
      </c>
      <c r="F3121" s="8"/>
      <c r="G3121" s="8" t="s">
        <v>4758</v>
      </c>
      <c r="H3121" s="8" t="s">
        <v>2870</v>
      </c>
      <c r="I3121" s="20"/>
      <c r="J3121" s="8"/>
      <c r="K3121" s="182"/>
      <c r="L3121" s="8" t="s">
        <v>4156</v>
      </c>
      <c r="M3121" s="8" t="s">
        <v>2814</v>
      </c>
      <c r="N3121" s="38"/>
      <c r="O3121" s="8"/>
      <c r="P3121" s="4" t="str">
        <f>VLOOKUP($B3121,'D7 - NDB Impacted SPRF''s'!$E$16:$O$9929,9,FALSE)</f>
        <v>N</v>
      </c>
      <c r="Q3121" s="4" t="str">
        <f>VLOOKUP($B3121,'D7 - NDB Impacted SPRF''s'!$E$16:$O$9929,10,FALSE)</f>
        <v>N</v>
      </c>
      <c r="R3121" s="4" t="str">
        <f>VLOOKUP($B3121,'D7 - NDB Impacted SPRF''s'!$E$16:$O$9929,11,FALSE)</f>
        <v>Y</v>
      </c>
      <c r="S3121" s="8"/>
      <c r="T3121" s="310"/>
      <c r="U3121" s="310"/>
      <c r="V3121" s="4"/>
      <c r="W3121" s="4"/>
      <c r="X3121" s="4"/>
      <c r="Y3121" s="4"/>
      <c r="Z3121" s="4"/>
      <c r="AA3121" s="4"/>
      <c r="AB3121" s="380" t="str">
        <f>VLOOKUP($B3121,'D7 - NDB Impacted SPRF''s'!$E$6:$O$9929,4,FALSE)</f>
        <v>Cancelled</v>
      </c>
      <c r="AC3121" s="380" t="str">
        <f>VLOOKUP($B3121,'D7 - NDB Impacted SPRF''s'!$E$6:$O$9929,3,FALSE)</f>
        <v>UnitedHealthcare Medicare &amp; Retirement</v>
      </c>
      <c r="AD3121" s="380" t="str">
        <f>VLOOKUP($B3121,'D7 - NDB Impacted SPRF''s'!$E$6:$O$9929,5,FALSE)</f>
        <v>Regulatory / Other</v>
      </c>
      <c r="AE3121" s="380" t="str">
        <f>VLOOKUP($B3121,'D7 - NDB Impacted SPRF''s'!$E$6:$O$9929,7,FALSE)</f>
        <v>Kaja</v>
      </c>
      <c r="AF3121" s="380" t="str">
        <f>VLOOKUP($B3121,'D7 - NDB Impacted SPRF''s'!$E$6:$O$9929,6,FALSE)</f>
        <v>SUSAN HINES</v>
      </c>
      <c r="AG3121" s="282"/>
      <c r="AH3121" s="311" t="e">
        <f>INDEX('D5 - Gatekeeper - Projects'!$A$4:$AF$1010,$AM3121, 17)</f>
        <v>#N/A</v>
      </c>
      <c r="AI3121" s="8"/>
      <c r="AJ3121" s="57"/>
      <c r="AK3121" s="105"/>
      <c r="AM3121" s="6" t="e">
        <f>MATCH(D3121,'D5 - Gatekeeper - Projects'!$C$4:$C$1010,0)</f>
        <v>#N/A</v>
      </c>
      <c r="AN3121" s="6" t="b">
        <f t="shared" si="319"/>
        <v>1</v>
      </c>
      <c r="AO3121" s="6" t="str">
        <f t="shared" si="320"/>
        <v>OK</v>
      </c>
      <c r="AQ3121" s="6" t="e">
        <f>MATCH($D3121,'D4 - Provider Council Unsched'!$C$11:$C$234,0)</f>
        <v>#N/A</v>
      </c>
      <c r="AR3121" s="6" t="b">
        <f t="shared" si="321"/>
        <v>1</v>
      </c>
      <c r="AS3121" s="6" t="str">
        <f t="shared" si="322"/>
        <v>OK</v>
      </c>
      <c r="AU3121" s="202"/>
      <c r="AV3121" s="216" t="s">
        <v>1133</v>
      </c>
      <c r="AW3121" s="274"/>
    </row>
    <row r="3122" spans="1:49" s="13" customFormat="1" ht="33.75" x14ac:dyDescent="0.2">
      <c r="A3122" s="14">
        <v>3098</v>
      </c>
      <c r="B3122" s="8">
        <v>400050304</v>
      </c>
      <c r="C3122" s="8" t="s">
        <v>1447</v>
      </c>
      <c r="D3122" s="4" t="str">
        <f t="shared" si="323"/>
        <v>400050304A</v>
      </c>
      <c r="E3122" s="309" t="str">
        <f>VLOOKUP($B3122,'D7 - NDB Impacted SPRF''s'!$E$6:$O$9929,2,FALSE)</f>
        <v>Add NPI data to provider file extract</v>
      </c>
      <c r="F3122" s="8"/>
      <c r="G3122" s="8" t="s">
        <v>4758</v>
      </c>
      <c r="H3122" s="8" t="s">
        <v>2870</v>
      </c>
      <c r="I3122" s="20"/>
      <c r="J3122" s="8"/>
      <c r="K3122" s="182"/>
      <c r="L3122" s="8" t="s">
        <v>4156</v>
      </c>
      <c r="M3122" s="8" t="s">
        <v>2814</v>
      </c>
      <c r="N3122" s="38" t="s">
        <v>8248</v>
      </c>
      <c r="O3122" s="8"/>
      <c r="P3122" s="4" t="str">
        <f>VLOOKUP($B3122,'D7 - NDB Impacted SPRF''s'!$E$16:$O$9929,9,FALSE)</f>
        <v>N</v>
      </c>
      <c r="Q3122" s="4" t="str">
        <f>VLOOKUP($B3122,'D7 - NDB Impacted SPRF''s'!$E$16:$O$9929,10,FALSE)</f>
        <v>N</v>
      </c>
      <c r="R3122" s="4" t="str">
        <f>VLOOKUP($B3122,'D7 - NDB Impacted SPRF''s'!$E$16:$O$9929,11,FALSE)</f>
        <v>N</v>
      </c>
      <c r="S3122" s="8"/>
      <c r="T3122" s="310"/>
      <c r="U3122" s="310"/>
      <c r="V3122" s="4"/>
      <c r="W3122" s="4"/>
      <c r="X3122" s="4"/>
      <c r="Y3122" s="4"/>
      <c r="Z3122" s="4"/>
      <c r="AA3122" s="4"/>
      <c r="AB3122" s="380" t="str">
        <f>VLOOKUP($B3122,'D7 - NDB Impacted SPRF''s'!$E$6:$O$9929,4,FALSE)</f>
        <v>Cancelled</v>
      </c>
      <c r="AC3122" s="380" t="str">
        <f>VLOOKUP($B3122,'D7 - NDB Impacted SPRF''s'!$E$6:$O$9929,3,FALSE)</f>
        <v>UnitedHealthcare Employer &amp; Individual</v>
      </c>
      <c r="AD3122" s="380" t="str">
        <f>VLOOKUP($B3122,'D7 - NDB Impacted SPRF''s'!$E$6:$O$9929,5,FALSE)</f>
        <v>Operational Requirements</v>
      </c>
      <c r="AE3122" s="380" t="str">
        <f>VLOOKUP($B3122,'D7 - NDB Impacted SPRF''s'!$E$6:$O$9929,7,FALSE)</f>
        <v>Scott Powell</v>
      </c>
      <c r="AF3122" s="380" t="str">
        <f>VLOOKUP($B3122,'D7 - NDB Impacted SPRF''s'!$E$6:$O$9929,6,FALSE)</f>
        <v>JOHNSON KIMBERLY</v>
      </c>
      <c r="AG3122" s="282"/>
      <c r="AH3122" s="311" t="e">
        <f>INDEX('D5 - Gatekeeper - Projects'!$A$4:$AF$1010,$AM3122, 17)</f>
        <v>#N/A</v>
      </c>
      <c r="AI3122" s="8"/>
      <c r="AJ3122" s="57"/>
      <c r="AK3122" s="105"/>
      <c r="AM3122" s="6" t="e">
        <f>MATCH(D3122,'D5 - Gatekeeper - Projects'!$C$4:$C$1010,0)</f>
        <v>#N/A</v>
      </c>
      <c r="AN3122" s="6" t="b">
        <f t="shared" si="319"/>
        <v>1</v>
      </c>
      <c r="AO3122" s="6" t="str">
        <f t="shared" si="320"/>
        <v>OK</v>
      </c>
      <c r="AQ3122" s="6" t="e">
        <f>MATCH($D3122,'D4 - Provider Council Unsched'!$C$11:$C$234,0)</f>
        <v>#N/A</v>
      </c>
      <c r="AR3122" s="6" t="b">
        <f t="shared" si="321"/>
        <v>1</v>
      </c>
      <c r="AS3122" s="6" t="str">
        <f t="shared" si="322"/>
        <v>OK</v>
      </c>
      <c r="AU3122" s="202"/>
      <c r="AV3122" s="216" t="s">
        <v>2237</v>
      </c>
      <c r="AW3122" s="274"/>
    </row>
    <row r="3123" spans="1:49" s="13" customFormat="1" ht="33.75" x14ac:dyDescent="0.2">
      <c r="A3123" s="14">
        <v>3099</v>
      </c>
      <c r="B3123" s="8">
        <v>400050542</v>
      </c>
      <c r="C3123" s="8" t="s">
        <v>1447</v>
      </c>
      <c r="D3123" s="4" t="str">
        <f t="shared" si="323"/>
        <v>400050542A</v>
      </c>
      <c r="E3123" s="309" t="str">
        <f>VLOOKUP($B3123,'D7 - NDB Impacted SPRF''s'!$E$6:$O$9929,2,FALSE)</f>
        <v>UHC West Clinical Adoption - Letters AD</v>
      </c>
      <c r="F3123" s="8"/>
      <c r="G3123" s="8" t="s">
        <v>4758</v>
      </c>
      <c r="H3123" s="8" t="s">
        <v>2870</v>
      </c>
      <c r="I3123" s="20"/>
      <c r="J3123" s="8"/>
      <c r="K3123" s="182"/>
      <c r="L3123" s="8" t="s">
        <v>4156</v>
      </c>
      <c r="M3123" s="8" t="s">
        <v>2814</v>
      </c>
      <c r="N3123" s="38" t="s">
        <v>753</v>
      </c>
      <c r="O3123" s="8"/>
      <c r="P3123" s="4" t="str">
        <f>VLOOKUP($B3123,'D7 - NDB Impacted SPRF''s'!$E$16:$O$9929,9,FALSE)</f>
        <v>N</v>
      </c>
      <c r="Q3123" s="4" t="str">
        <f>VLOOKUP($B3123,'D7 - NDB Impacted SPRF''s'!$E$16:$O$9929,10,FALSE)</f>
        <v>N</v>
      </c>
      <c r="R3123" s="4" t="str">
        <f>VLOOKUP($B3123,'D7 - NDB Impacted SPRF''s'!$E$16:$O$9929,11,FALSE)</f>
        <v>N</v>
      </c>
      <c r="S3123" s="8"/>
      <c r="T3123" s="310"/>
      <c r="U3123" s="310"/>
      <c r="V3123" s="4"/>
      <c r="W3123" s="4"/>
      <c r="X3123" s="4"/>
      <c r="Y3123" s="4"/>
      <c r="Z3123" s="4"/>
      <c r="AA3123" s="4"/>
      <c r="AB3123" s="380" t="str">
        <f>VLOOKUP($B3123,'D7 - NDB Impacted SPRF''s'!$E$6:$O$9929,4,FALSE)</f>
        <v>Cancelled</v>
      </c>
      <c r="AC3123" s="380" t="str">
        <f>VLOOKUP($B3123,'D7 - NDB Impacted SPRF''s'!$E$6:$O$9929,3,FALSE)</f>
        <v>UnitedHealthcare Employer &amp; Individual</v>
      </c>
      <c r="AD3123" s="380" t="str">
        <f>VLOOKUP($B3123,'D7 - NDB Impacted SPRF''s'!$E$6:$O$9929,5,FALSE)</f>
        <v>Medical Cost Savings Programs</v>
      </c>
      <c r="AE3123" s="380" t="str">
        <f>VLOOKUP($B3123,'D7 - NDB Impacted SPRF''s'!$E$6:$O$9929,7,FALSE)</f>
        <v>Sheila Nelson</v>
      </c>
      <c r="AF3123" s="380" t="str">
        <f>VLOOKUP($B3123,'D7 - NDB Impacted SPRF''s'!$E$6:$O$9929,6,FALSE)</f>
        <v>Algino Joseph</v>
      </c>
      <c r="AG3123" s="282"/>
      <c r="AH3123" s="311" t="e">
        <f>INDEX('D5 - Gatekeeper - Projects'!$A$4:$AF$1010,$AM3123, 17)</f>
        <v>#N/A</v>
      </c>
      <c r="AI3123" s="8"/>
      <c r="AJ3123" s="57"/>
      <c r="AK3123" s="105"/>
      <c r="AM3123" s="6" t="e">
        <f>MATCH(D3123,'D5 - Gatekeeper - Projects'!$C$4:$C$1010,0)</f>
        <v>#N/A</v>
      </c>
      <c r="AN3123" s="6" t="b">
        <f t="shared" si="319"/>
        <v>1</v>
      </c>
      <c r="AO3123" s="6" t="str">
        <f t="shared" si="320"/>
        <v>OK</v>
      </c>
      <c r="AQ3123" s="6" t="e">
        <f>MATCH($D3123,'D4 - Provider Council Unsched'!$C$11:$C$234,0)</f>
        <v>#N/A</v>
      </c>
      <c r="AR3123" s="6" t="b">
        <f t="shared" si="321"/>
        <v>1</v>
      </c>
      <c r="AS3123" s="6" t="str">
        <f t="shared" si="322"/>
        <v>OK</v>
      </c>
      <c r="AU3123" s="202"/>
      <c r="AV3123" s="216" t="s">
        <v>2241</v>
      </c>
      <c r="AW3123" s="274">
        <v>58166</v>
      </c>
    </row>
    <row r="3124" spans="1:49" s="13" customFormat="1" ht="33.75" x14ac:dyDescent="0.2">
      <c r="A3124" s="14">
        <v>3100</v>
      </c>
      <c r="B3124" s="8">
        <v>400050809</v>
      </c>
      <c r="C3124" s="8" t="s">
        <v>1447</v>
      </c>
      <c r="D3124" s="4" t="str">
        <f t="shared" si="323"/>
        <v>400050809A</v>
      </c>
      <c r="E3124" s="309" t="str">
        <f>VLOOKUP($B3124,'D7 - NDB Impacted SPRF''s'!$E$6:$O$9929,2,FALSE)</f>
        <v>Sleep Test Optimization on UNET</v>
      </c>
      <c r="F3124" s="8"/>
      <c r="G3124" s="8" t="s">
        <v>4758</v>
      </c>
      <c r="H3124" s="8" t="s">
        <v>2870</v>
      </c>
      <c r="I3124" s="20"/>
      <c r="J3124" s="8"/>
      <c r="K3124" s="182"/>
      <c r="L3124" s="8" t="s">
        <v>4156</v>
      </c>
      <c r="M3124" s="8" t="s">
        <v>2814</v>
      </c>
      <c r="N3124" s="38" t="s">
        <v>2378</v>
      </c>
      <c r="O3124" s="8"/>
      <c r="P3124" s="4" t="str">
        <f>VLOOKUP($B3124,'D7 - NDB Impacted SPRF''s'!$E$16:$O$9929,9,FALSE)</f>
        <v>Y</v>
      </c>
      <c r="Q3124" s="4" t="str">
        <f>VLOOKUP($B3124,'D7 - NDB Impacted SPRF''s'!$E$16:$O$9929,10,FALSE)</f>
        <v>N</v>
      </c>
      <c r="R3124" s="4" t="str">
        <f>VLOOKUP($B3124,'D7 - NDB Impacted SPRF''s'!$E$16:$O$9929,11,FALSE)</f>
        <v>N</v>
      </c>
      <c r="S3124" s="8"/>
      <c r="T3124" s="310"/>
      <c r="U3124" s="310"/>
      <c r="V3124" s="4"/>
      <c r="W3124" s="4"/>
      <c r="X3124" s="4"/>
      <c r="Y3124" s="4"/>
      <c r="Z3124" s="4"/>
      <c r="AA3124" s="4"/>
      <c r="AB3124" s="380" t="str">
        <f>VLOOKUP($B3124,'D7 - NDB Impacted SPRF''s'!$E$6:$O$9929,4,FALSE)</f>
        <v>Cancelled</v>
      </c>
      <c r="AC3124" s="380" t="str">
        <f>VLOOKUP($B3124,'D7 - NDB Impacted SPRF''s'!$E$6:$O$9929,3,FALSE)</f>
        <v>UnitedHealthcare Employer &amp; Individual</v>
      </c>
      <c r="AD3124" s="380" t="str">
        <f>VLOOKUP($B3124,'D7 - NDB Impacted SPRF''s'!$E$6:$O$9929,5,FALSE)</f>
        <v>Medical Cost Savings Programs</v>
      </c>
      <c r="AE3124" s="380" t="str">
        <f>VLOOKUP($B3124,'D7 - NDB Impacted SPRF''s'!$E$6:$O$9929,7,FALSE)</f>
        <v>Molly Knorr</v>
      </c>
      <c r="AF3124" s="380" t="str">
        <f>VLOOKUP($B3124,'D7 - NDB Impacted SPRF''s'!$E$6:$O$9929,6,FALSE)</f>
        <v>SARA CHANDLER</v>
      </c>
      <c r="AG3124" s="282"/>
      <c r="AH3124" s="311" t="e">
        <f>INDEX('D5 - Gatekeeper - Projects'!$A$4:$AF$1010,$AM3124, 17)</f>
        <v>#N/A</v>
      </c>
      <c r="AI3124" s="8"/>
      <c r="AJ3124" s="57"/>
      <c r="AK3124" s="105"/>
      <c r="AM3124" s="6" t="e">
        <f>MATCH(D3124,'D5 - Gatekeeper - Projects'!$C$4:$C$1010,0)</f>
        <v>#N/A</v>
      </c>
      <c r="AN3124" s="6" t="b">
        <f t="shared" si="319"/>
        <v>1</v>
      </c>
      <c r="AO3124" s="6" t="str">
        <f t="shared" si="320"/>
        <v>OK</v>
      </c>
      <c r="AQ3124" s="6" t="e">
        <f>MATCH($D3124,'D4 - Provider Council Unsched'!$C$11:$C$234,0)</f>
        <v>#N/A</v>
      </c>
      <c r="AR3124" s="6" t="b">
        <f t="shared" si="321"/>
        <v>1</v>
      </c>
      <c r="AS3124" s="6" t="str">
        <f t="shared" si="322"/>
        <v>OK</v>
      </c>
      <c r="AU3124" s="202"/>
      <c r="AV3124" s="216" t="s">
        <v>439</v>
      </c>
      <c r="AW3124" s="274">
        <v>58965</v>
      </c>
    </row>
    <row r="3125" spans="1:49" s="13" customFormat="1" ht="22.5" x14ac:dyDescent="0.2">
      <c r="A3125" s="14">
        <v>3101</v>
      </c>
      <c r="B3125" s="8">
        <v>400051092</v>
      </c>
      <c r="C3125" s="8" t="s">
        <v>1447</v>
      </c>
      <c r="D3125" s="4" t="str">
        <f t="shared" si="323"/>
        <v>400051092A</v>
      </c>
      <c r="E3125" s="309" t="str">
        <f>VLOOKUP($B3125,'D7 - NDB Impacted SPRF''s'!$E$6:$O$9929,2,FALSE)</f>
        <v>Bridge NDB Gaps-Release 2</v>
      </c>
      <c r="F3125" s="8"/>
      <c r="G3125" s="8" t="s">
        <v>4758</v>
      </c>
      <c r="H3125" s="8" t="s">
        <v>2870</v>
      </c>
      <c r="I3125" s="20"/>
      <c r="J3125" s="8"/>
      <c r="K3125" s="182"/>
      <c r="L3125" s="8" t="s">
        <v>4156</v>
      </c>
      <c r="M3125" s="8" t="s">
        <v>2814</v>
      </c>
      <c r="N3125" s="38" t="s">
        <v>5464</v>
      </c>
      <c r="O3125" s="8"/>
      <c r="P3125" s="4" t="str">
        <f>VLOOKUP($B3125,'D7 - NDB Impacted SPRF''s'!$E$16:$O$9929,9,FALSE)</f>
        <v>N</v>
      </c>
      <c r="Q3125" s="4" t="str">
        <f>VLOOKUP($B3125,'D7 - NDB Impacted SPRF''s'!$E$16:$O$9929,10,FALSE)</f>
        <v>N</v>
      </c>
      <c r="R3125" s="4" t="str">
        <f>VLOOKUP($B3125,'D7 - NDB Impacted SPRF''s'!$E$16:$O$9929,11,FALSE)</f>
        <v>N</v>
      </c>
      <c r="S3125" s="8"/>
      <c r="T3125" s="310"/>
      <c r="U3125" s="310"/>
      <c r="V3125" s="4"/>
      <c r="W3125" s="4"/>
      <c r="X3125" s="4"/>
      <c r="Y3125" s="4"/>
      <c r="Z3125" s="4"/>
      <c r="AA3125" s="4"/>
      <c r="AB3125" s="380" t="str">
        <f>VLOOKUP($B3125,'D7 - NDB Impacted SPRF''s'!$E$6:$O$9929,4,FALSE)</f>
        <v>In Funding</v>
      </c>
      <c r="AC3125" s="380" t="str">
        <f>VLOOKUP($B3125,'D7 - NDB Impacted SPRF''s'!$E$6:$O$9929,3,FALSE)</f>
        <v>OptumHealth</v>
      </c>
      <c r="AD3125" s="380" t="str">
        <f>VLOOKUP($B3125,'D7 - NDB Impacted SPRF''s'!$E$6:$O$9929,5,FALSE)</f>
        <v>Behavioral Solutions</v>
      </c>
      <c r="AE3125" s="380" t="str">
        <f>VLOOKUP($B3125,'D7 - NDB Impacted SPRF''s'!$E$6:$O$9929,7,FALSE)</f>
        <v>Deb Adler</v>
      </c>
      <c r="AF3125" s="380" t="str">
        <f>VLOOKUP($B3125,'D7 - NDB Impacted SPRF''s'!$E$6:$O$9929,6,FALSE)</f>
        <v>Jane Narup</v>
      </c>
      <c r="AG3125" s="282"/>
      <c r="AH3125" s="311" t="e">
        <f>INDEX('D5 - Gatekeeper - Projects'!$A$4:$AF$1010,$AM3125, 17)</f>
        <v>#N/A</v>
      </c>
      <c r="AI3125" s="8"/>
      <c r="AJ3125" s="57"/>
      <c r="AK3125" s="105"/>
      <c r="AM3125" s="6" t="e">
        <f>MATCH(D3125,'D5 - Gatekeeper - Projects'!$C$4:$C$1010,0)</f>
        <v>#N/A</v>
      </c>
      <c r="AN3125" s="6" t="b">
        <f t="shared" si="319"/>
        <v>1</v>
      </c>
      <c r="AO3125" s="6" t="str">
        <f t="shared" si="320"/>
        <v>OK</v>
      </c>
      <c r="AQ3125" s="6" t="e">
        <f>MATCH($D3125,'D4 - Provider Council Unsched'!$C$11:$C$234,0)</f>
        <v>#N/A</v>
      </c>
      <c r="AR3125" s="6" t="b">
        <f t="shared" si="321"/>
        <v>1</v>
      </c>
      <c r="AS3125" s="6" t="str">
        <f t="shared" si="322"/>
        <v>OK</v>
      </c>
      <c r="AU3125" s="202"/>
      <c r="AV3125" s="216"/>
      <c r="AW3125" s="274"/>
    </row>
    <row r="3126" spans="1:49" s="13" customFormat="1" ht="33.75" x14ac:dyDescent="0.2">
      <c r="A3126" s="14">
        <v>3102</v>
      </c>
      <c r="B3126" s="8">
        <v>400051135</v>
      </c>
      <c r="C3126" s="8" t="s">
        <v>1447</v>
      </c>
      <c r="D3126" s="4" t="str">
        <f t="shared" si="323"/>
        <v>400051135A</v>
      </c>
      <c r="E3126" s="309" t="str">
        <f>VLOOKUP($B3126,'D7 - NDB Impacted SPRF''s'!$E$6:$O$9929,2,FALSE)</f>
        <v>RBP_RSA</v>
      </c>
      <c r="F3126" s="8"/>
      <c r="G3126" s="8" t="s">
        <v>4758</v>
      </c>
      <c r="H3126" s="8" t="s">
        <v>2870</v>
      </c>
      <c r="I3126" s="20"/>
      <c r="J3126" s="8"/>
      <c r="K3126" s="182"/>
      <c r="L3126" s="8" t="s">
        <v>4156</v>
      </c>
      <c r="M3126" s="8" t="s">
        <v>2814</v>
      </c>
      <c r="N3126" s="38"/>
      <c r="O3126" s="8"/>
      <c r="P3126" s="4" t="str">
        <f>VLOOKUP($B3126,'D7 - NDB Impacted SPRF''s'!$E$16:$O$9929,9,FALSE)</f>
        <v>Y</v>
      </c>
      <c r="Q3126" s="4" t="str">
        <f>VLOOKUP($B3126,'D7 - NDB Impacted SPRF''s'!$E$16:$O$9929,10,FALSE)</f>
        <v>N</v>
      </c>
      <c r="R3126" s="4" t="str">
        <f>VLOOKUP($B3126,'D7 - NDB Impacted SPRF''s'!$E$16:$O$9929,11,FALSE)</f>
        <v>N</v>
      </c>
      <c r="S3126" s="8"/>
      <c r="T3126" s="310"/>
      <c r="U3126" s="310"/>
      <c r="V3126" s="4"/>
      <c r="W3126" s="4"/>
      <c r="X3126" s="4"/>
      <c r="Y3126" s="4"/>
      <c r="Z3126" s="4"/>
      <c r="AA3126" s="4"/>
      <c r="AB3126" s="380" t="str">
        <f>VLOOKUP($B3126,'D7 - NDB Impacted SPRF''s'!$E$6:$O$9929,4,FALSE)</f>
        <v>Cancelled</v>
      </c>
      <c r="AC3126" s="380" t="str">
        <f>VLOOKUP($B3126,'D7 - NDB Impacted SPRF''s'!$E$6:$O$9929,3,FALSE)</f>
        <v>UnitedHealthcare Employer &amp; Individual</v>
      </c>
      <c r="AD3126" s="380" t="str">
        <f>VLOOKUP($B3126,'D7 - NDB Impacted SPRF''s'!$E$6:$O$9929,5,FALSE)</f>
        <v>Membership Growth / Revenue Programs</v>
      </c>
      <c r="AE3126" s="380" t="str">
        <f>VLOOKUP($B3126,'D7 - NDB Impacted SPRF''s'!$E$6:$O$9929,7,FALSE)</f>
        <v>Denise Mount</v>
      </c>
      <c r="AF3126" s="380" t="str">
        <f>VLOOKUP($B3126,'D7 - NDB Impacted SPRF''s'!$E$6:$O$9929,6,FALSE)</f>
        <v>Heidi Jacobson</v>
      </c>
      <c r="AG3126" s="282"/>
      <c r="AH3126" s="311" t="e">
        <f>INDEX('D5 - Gatekeeper - Projects'!$A$4:$AF$1010,$AM3126, 17)</f>
        <v>#N/A</v>
      </c>
      <c r="AI3126" s="8"/>
      <c r="AJ3126" s="57"/>
      <c r="AK3126" s="105"/>
      <c r="AM3126" s="6" t="e">
        <f>MATCH(D3126,'D5 - Gatekeeper - Projects'!$C$4:$C$1010,0)</f>
        <v>#N/A</v>
      </c>
      <c r="AN3126" s="6" t="b">
        <f t="shared" si="319"/>
        <v>1</v>
      </c>
      <c r="AO3126" s="6" t="str">
        <f t="shared" si="320"/>
        <v>OK</v>
      </c>
      <c r="AQ3126" s="6" t="e">
        <f>MATCH($D3126,'D4 - Provider Council Unsched'!$C$11:$C$234,0)</f>
        <v>#N/A</v>
      </c>
      <c r="AR3126" s="6" t="b">
        <f t="shared" si="321"/>
        <v>1</v>
      </c>
      <c r="AS3126" s="6" t="str">
        <f t="shared" si="322"/>
        <v>OK</v>
      </c>
      <c r="AU3126" s="202"/>
      <c r="AV3126" s="349" t="s">
        <v>1130</v>
      </c>
      <c r="AW3126" s="274"/>
    </row>
    <row r="3127" spans="1:49" s="13" customFormat="1" ht="33.75" x14ac:dyDescent="0.2">
      <c r="A3127" s="14">
        <v>3103</v>
      </c>
      <c r="B3127" s="8">
        <v>400051198</v>
      </c>
      <c r="C3127" s="8" t="s">
        <v>1447</v>
      </c>
      <c r="D3127" s="4" t="str">
        <f t="shared" si="323"/>
        <v>400051198A</v>
      </c>
      <c r="E3127" s="309" t="str">
        <f>VLOOKUP($B3127,'D7 - NDB Impacted SPRF''s'!$E$6:$O$9929,2,FALSE)</f>
        <v>WellMed Florida Utilization Mangement Delegation</v>
      </c>
      <c r="F3127" s="8"/>
      <c r="G3127" s="8" t="s">
        <v>4758</v>
      </c>
      <c r="H3127" s="8" t="s">
        <v>2870</v>
      </c>
      <c r="I3127" s="20"/>
      <c r="J3127" s="8"/>
      <c r="K3127" s="182"/>
      <c r="L3127" s="8" t="s">
        <v>4156</v>
      </c>
      <c r="M3127" s="8" t="s">
        <v>2814</v>
      </c>
      <c r="N3127" s="38" t="s">
        <v>5464</v>
      </c>
      <c r="O3127" s="8"/>
      <c r="P3127" s="4" t="str">
        <f>VLOOKUP($B3127,'D7 - NDB Impacted SPRF''s'!$E$16:$O$9929,9,FALSE)</f>
        <v>N</v>
      </c>
      <c r="Q3127" s="4" t="str">
        <f>VLOOKUP($B3127,'D7 - NDB Impacted SPRF''s'!$E$16:$O$9929,10,FALSE)</f>
        <v>N</v>
      </c>
      <c r="R3127" s="4" t="str">
        <f>VLOOKUP($B3127,'D7 - NDB Impacted SPRF''s'!$E$16:$O$9929,11,FALSE)</f>
        <v>N</v>
      </c>
      <c r="S3127" s="8"/>
      <c r="T3127" s="310"/>
      <c r="U3127" s="310"/>
      <c r="V3127" s="4"/>
      <c r="W3127" s="4"/>
      <c r="X3127" s="4"/>
      <c r="Y3127" s="4"/>
      <c r="Z3127" s="4"/>
      <c r="AA3127" s="4"/>
      <c r="AB3127" s="380" t="str">
        <f>VLOOKUP($B3127,'D7 - NDB Impacted SPRF''s'!$E$6:$O$9929,4,FALSE)</f>
        <v>In Program Manager Request Review</v>
      </c>
      <c r="AC3127" s="380" t="str">
        <f>VLOOKUP($B3127,'D7 - NDB Impacted SPRF''s'!$E$6:$O$9929,3,FALSE)</f>
        <v>UnitedHealthcare Medicare &amp; Retirement</v>
      </c>
      <c r="AD3127" s="380" t="str">
        <f>VLOOKUP($B3127,'D7 - NDB Impacted SPRF''s'!$E$6:$O$9929,5,FALSE)</f>
        <v>Health Services</v>
      </c>
      <c r="AE3127" s="380" t="str">
        <f>VLOOKUP($B3127,'D7 - NDB Impacted SPRF''s'!$E$6:$O$9929,7,FALSE)</f>
        <v>Cindy Polich</v>
      </c>
      <c r="AF3127" s="380" t="str">
        <f>VLOOKUP($B3127,'D7 - NDB Impacted SPRF''s'!$E$6:$O$9929,6,FALSE)</f>
        <v>Karen Altro</v>
      </c>
      <c r="AG3127" s="282"/>
      <c r="AH3127" s="311" t="e">
        <f>INDEX('D5 - Gatekeeper - Projects'!$A$4:$AF$1010,$AM3127, 17)</f>
        <v>#N/A</v>
      </c>
      <c r="AI3127" s="8"/>
      <c r="AJ3127" s="57"/>
      <c r="AK3127" s="105"/>
      <c r="AM3127" s="6" t="e">
        <f>MATCH(D3127,'D5 - Gatekeeper - Projects'!$C$4:$C$1010,0)</f>
        <v>#N/A</v>
      </c>
      <c r="AN3127" s="6" t="b">
        <f t="shared" si="319"/>
        <v>1</v>
      </c>
      <c r="AO3127" s="6" t="str">
        <f t="shared" si="320"/>
        <v>OK</v>
      </c>
      <c r="AQ3127" s="6" t="e">
        <f>MATCH($D3127,'D4 - Provider Council Unsched'!$C$11:$C$234,0)</f>
        <v>#N/A</v>
      </c>
      <c r="AR3127" s="6" t="b">
        <f t="shared" si="321"/>
        <v>1</v>
      </c>
      <c r="AS3127" s="6" t="str">
        <f t="shared" si="322"/>
        <v>OK</v>
      </c>
      <c r="AU3127" s="202"/>
      <c r="AV3127" s="216"/>
      <c r="AW3127" s="274"/>
    </row>
    <row r="3128" spans="1:49" s="13" customFormat="1" ht="33.75" x14ac:dyDescent="0.2">
      <c r="A3128" s="14">
        <v>3104</v>
      </c>
      <c r="B3128" s="8">
        <v>400051315</v>
      </c>
      <c r="C3128" s="8" t="s">
        <v>1447</v>
      </c>
      <c r="D3128" s="4" t="str">
        <f t="shared" si="323"/>
        <v>400051315A</v>
      </c>
      <c r="E3128" s="309" t="str">
        <f>VLOOKUP($B3128,'D7 - NDB Impacted SPRF''s'!$E$6:$O$9929,2,FALSE)</f>
        <v>Lab Benefit Management-Benefit Admin/Provider Mgt</v>
      </c>
      <c r="F3128" s="8"/>
      <c r="G3128" s="8" t="s">
        <v>4758</v>
      </c>
      <c r="H3128" s="8" t="s">
        <v>2870</v>
      </c>
      <c r="I3128" s="20"/>
      <c r="J3128" s="8"/>
      <c r="K3128" s="182"/>
      <c r="L3128" s="8" t="s">
        <v>4156</v>
      </c>
      <c r="M3128" s="8" t="s">
        <v>2814</v>
      </c>
      <c r="N3128" s="38" t="s">
        <v>6514</v>
      </c>
      <c r="O3128" s="8"/>
      <c r="P3128" s="4" t="str">
        <f>VLOOKUP($B3128,'D7 - NDB Impacted SPRF''s'!$E$16:$O$9929,9,FALSE)</f>
        <v>Y</v>
      </c>
      <c r="Q3128" s="4" t="str">
        <f>VLOOKUP($B3128,'D7 - NDB Impacted SPRF''s'!$E$16:$O$9929,10,FALSE)</f>
        <v>N</v>
      </c>
      <c r="R3128" s="4" t="str">
        <f>VLOOKUP($B3128,'D7 - NDB Impacted SPRF''s'!$E$16:$O$9929,11,FALSE)</f>
        <v>Y</v>
      </c>
      <c r="S3128" s="8"/>
      <c r="T3128" s="310"/>
      <c r="U3128" s="310"/>
      <c r="V3128" s="4"/>
      <c r="W3128" s="4"/>
      <c r="X3128" s="4"/>
      <c r="Y3128" s="4"/>
      <c r="Z3128" s="4"/>
      <c r="AA3128" s="4"/>
      <c r="AB3128" s="380" t="str">
        <f>VLOOKUP($B3128,'D7 - NDB Impacted SPRF''s'!$E$6:$O$9929,4,FALSE)</f>
        <v>Cancelled</v>
      </c>
      <c r="AC3128" s="380" t="str">
        <f>VLOOKUP($B3128,'D7 - NDB Impacted SPRF''s'!$E$6:$O$9929,3,FALSE)</f>
        <v>UnitedHealthcare Employer &amp; Individual</v>
      </c>
      <c r="AD3128" s="380" t="str">
        <f>VLOOKUP($B3128,'D7 - NDB Impacted SPRF''s'!$E$6:$O$9929,5,FALSE)</f>
        <v>Medical Cost Savings Programs</v>
      </c>
      <c r="AE3128" s="380" t="str">
        <f>VLOOKUP($B3128,'D7 - NDB Impacted SPRF''s'!$E$6:$O$9929,7,FALSE)</f>
        <v>Linda Stewart; Ed Lagerstrom</v>
      </c>
      <c r="AF3128" s="380" t="str">
        <f>VLOOKUP($B3128,'D7 - NDB Impacted SPRF''s'!$E$6:$O$9929,6,FALSE)</f>
        <v>Roma Adipat</v>
      </c>
      <c r="AG3128" s="282"/>
      <c r="AH3128" s="311" t="e">
        <f>INDEX('D5 - Gatekeeper - Projects'!$A$4:$AF$1010,$AM3128, 17)</f>
        <v>#N/A</v>
      </c>
      <c r="AI3128" s="8"/>
      <c r="AJ3128" s="57"/>
      <c r="AK3128" s="105"/>
      <c r="AM3128" s="6" t="e">
        <f>MATCH(D3128,'D5 - Gatekeeper - Projects'!$C$4:$C$1010,0)</f>
        <v>#N/A</v>
      </c>
      <c r="AN3128" s="6" t="b">
        <f t="shared" si="319"/>
        <v>1</v>
      </c>
      <c r="AO3128" s="6" t="str">
        <f t="shared" si="320"/>
        <v>OK</v>
      </c>
      <c r="AQ3128" s="6" t="e">
        <f>MATCH($D3128,'D4 - Provider Council Unsched'!$C$11:$C$234,0)</f>
        <v>#N/A</v>
      </c>
      <c r="AR3128" s="6" t="b">
        <f t="shared" si="321"/>
        <v>1</v>
      </c>
      <c r="AS3128" s="6" t="str">
        <f t="shared" si="322"/>
        <v>OK</v>
      </c>
      <c r="AU3128" s="202"/>
      <c r="AV3128" s="216" t="s">
        <v>439</v>
      </c>
      <c r="AW3128" s="274"/>
    </row>
    <row r="3129" spans="1:49" s="13" customFormat="1" ht="33.75" x14ac:dyDescent="0.2">
      <c r="A3129" s="14">
        <v>3105</v>
      </c>
      <c r="B3129" s="8">
        <v>400051327</v>
      </c>
      <c r="C3129" s="8" t="s">
        <v>1447</v>
      </c>
      <c r="D3129" s="4" t="str">
        <f t="shared" si="323"/>
        <v>400051327A</v>
      </c>
      <c r="E3129" s="309" t="str">
        <f>VLOOKUP($B3129,'D7 - NDB Impacted SPRF''s'!$E$6:$O$9929,2,FALSE)</f>
        <v>Lab Benefit Management - Capitation</v>
      </c>
      <c r="F3129" s="8"/>
      <c r="G3129" s="8" t="s">
        <v>4758</v>
      </c>
      <c r="H3129" s="8" t="s">
        <v>2870</v>
      </c>
      <c r="I3129" s="20"/>
      <c r="J3129" s="8"/>
      <c r="K3129" s="182"/>
      <c r="L3129" s="8" t="s">
        <v>4156</v>
      </c>
      <c r="M3129" s="8" t="s">
        <v>2814</v>
      </c>
      <c r="N3129" s="38" t="s">
        <v>6514</v>
      </c>
      <c r="O3129" s="8"/>
      <c r="P3129" s="4" t="str">
        <f>VLOOKUP($B3129,'D7 - NDB Impacted SPRF''s'!$E$16:$O$9929,9,FALSE)</f>
        <v>N</v>
      </c>
      <c r="Q3129" s="4" t="str">
        <f>VLOOKUP($B3129,'D7 - NDB Impacted SPRF''s'!$E$16:$O$9929,10,FALSE)</f>
        <v>N</v>
      </c>
      <c r="R3129" s="4" t="str">
        <f>VLOOKUP($B3129,'D7 - NDB Impacted SPRF''s'!$E$16:$O$9929,11,FALSE)</f>
        <v>N</v>
      </c>
      <c r="S3129" s="8"/>
      <c r="T3129" s="310"/>
      <c r="U3129" s="310"/>
      <c r="V3129" s="4"/>
      <c r="W3129" s="4"/>
      <c r="X3129" s="4"/>
      <c r="Y3129" s="4"/>
      <c r="Z3129" s="4"/>
      <c r="AA3129" s="4"/>
      <c r="AB3129" s="380" t="str">
        <f>VLOOKUP($B3129,'D7 - NDB Impacted SPRF''s'!$E$6:$O$9929,4,FALSE)</f>
        <v>Cancelled</v>
      </c>
      <c r="AC3129" s="380" t="str">
        <f>VLOOKUP($B3129,'D7 - NDB Impacted SPRF''s'!$E$6:$O$9929,3,FALSE)</f>
        <v>UnitedHealthcare Employer &amp; Individual</v>
      </c>
      <c r="AD3129" s="380" t="str">
        <f>VLOOKUP($B3129,'D7 - NDB Impacted SPRF''s'!$E$6:$O$9929,5,FALSE)</f>
        <v>Medical Cost Savings Programs</v>
      </c>
      <c r="AE3129" s="380" t="str">
        <f>VLOOKUP($B3129,'D7 - NDB Impacted SPRF''s'!$E$6:$O$9929,7,FALSE)</f>
        <v>Linda Stewart; Ed Lagerstrom</v>
      </c>
      <c r="AF3129" s="380" t="str">
        <f>VLOOKUP($B3129,'D7 - NDB Impacted SPRF''s'!$E$6:$O$9929,6,FALSE)</f>
        <v>Roma Adipat</v>
      </c>
      <c r="AG3129" s="282"/>
      <c r="AH3129" s="311" t="e">
        <f>INDEX('D5 - Gatekeeper - Projects'!$A$4:$AF$1010,$AM3129, 17)</f>
        <v>#N/A</v>
      </c>
      <c r="AI3129" s="8"/>
      <c r="AJ3129" s="57"/>
      <c r="AK3129" s="105"/>
      <c r="AM3129" s="6" t="e">
        <f>MATCH(D3129,'D5 - Gatekeeper - Projects'!$C$4:$C$1010,0)</f>
        <v>#N/A</v>
      </c>
      <c r="AN3129" s="6" t="b">
        <f t="shared" si="319"/>
        <v>1</v>
      </c>
      <c r="AO3129" s="6" t="str">
        <f t="shared" si="320"/>
        <v>OK</v>
      </c>
      <c r="AQ3129" s="6" t="e">
        <f>MATCH($D3129,'D4 - Provider Council Unsched'!$C$11:$C$234,0)</f>
        <v>#N/A</v>
      </c>
      <c r="AR3129" s="6" t="b">
        <f t="shared" si="321"/>
        <v>1</v>
      </c>
      <c r="AS3129" s="6" t="str">
        <f t="shared" si="322"/>
        <v>OK</v>
      </c>
      <c r="AU3129" s="202"/>
      <c r="AV3129" s="216" t="s">
        <v>439</v>
      </c>
      <c r="AW3129" s="274"/>
    </row>
    <row r="3130" spans="1:49" s="13" customFormat="1" ht="45" x14ac:dyDescent="0.2">
      <c r="A3130" s="14">
        <v>3106</v>
      </c>
      <c r="B3130" s="8">
        <v>400051334</v>
      </c>
      <c r="C3130" s="8" t="s">
        <v>1447</v>
      </c>
      <c r="D3130" s="4" t="str">
        <f t="shared" si="323"/>
        <v>400051334A</v>
      </c>
      <c r="E3130" s="309" t="str">
        <f>VLOOKUP($B3130,'D7 - NDB Impacted SPRF''s'!$E$6:$O$9929,2,FALSE)</f>
        <v>NDB SoT Directory Enhancements – Release 2</v>
      </c>
      <c r="F3130" s="8"/>
      <c r="G3130" s="8" t="s">
        <v>4758</v>
      </c>
      <c r="H3130" s="8" t="s">
        <v>2870</v>
      </c>
      <c r="I3130" s="20"/>
      <c r="J3130" s="8"/>
      <c r="K3130" s="182"/>
      <c r="L3130" s="8" t="s">
        <v>4156</v>
      </c>
      <c r="M3130" s="8" t="s">
        <v>2814</v>
      </c>
      <c r="N3130" s="38"/>
      <c r="O3130" s="8"/>
      <c r="P3130" s="4" t="str">
        <f>VLOOKUP($B3130,'D7 - NDB Impacted SPRF''s'!$E$16:$O$9929,9,FALSE)</f>
        <v>N</v>
      </c>
      <c r="Q3130" s="4" t="str">
        <f>VLOOKUP($B3130,'D7 - NDB Impacted SPRF''s'!$E$16:$O$9929,10,FALSE)</f>
        <v>N</v>
      </c>
      <c r="R3130" s="4" t="str">
        <f>VLOOKUP($B3130,'D7 - NDB Impacted SPRF''s'!$E$16:$O$9929,11,FALSE)</f>
        <v>N</v>
      </c>
      <c r="S3130" s="8"/>
      <c r="T3130" s="310"/>
      <c r="U3130" s="310"/>
      <c r="V3130" s="4"/>
      <c r="W3130" s="4"/>
      <c r="X3130" s="4"/>
      <c r="Y3130" s="4"/>
      <c r="Z3130" s="4"/>
      <c r="AA3130" s="4"/>
      <c r="AB3130" s="380" t="str">
        <f>VLOOKUP($B3130,'D7 - NDB Impacted SPRF''s'!$E$6:$O$9929,4,FALSE)</f>
        <v>Cancelled</v>
      </c>
      <c r="AC3130" s="380" t="str">
        <f>VLOOKUP($B3130,'D7 - NDB Impacted SPRF''s'!$E$6:$O$9929,3,FALSE)</f>
        <v>UHG IT - Enterprise Technology Services</v>
      </c>
      <c r="AD3130" s="380" t="str">
        <f>VLOOKUP($B3130,'D7 - NDB Impacted SPRF''s'!$E$6:$O$9929,5,FALSE)</f>
        <v>Strategic Initiatives</v>
      </c>
      <c r="AE3130" s="380" t="str">
        <f>VLOOKUP($B3130,'D7 - NDB Impacted SPRF''s'!$E$6:$O$9929,7,FALSE)</f>
        <v>Kaja, Tim</v>
      </c>
      <c r="AF3130" s="380" t="str">
        <f>VLOOKUP($B3130,'D7 - NDB Impacted SPRF''s'!$E$6:$O$9929,6,FALSE)</f>
        <v>Shelly Heit</v>
      </c>
      <c r="AG3130" s="282"/>
      <c r="AH3130" s="311" t="e">
        <f>INDEX('D5 - Gatekeeper - Projects'!$A$4:$AF$1010,$AM3130, 17)</f>
        <v>#N/A</v>
      </c>
      <c r="AI3130" s="8"/>
      <c r="AJ3130" s="57"/>
      <c r="AK3130" s="105"/>
      <c r="AM3130" s="6" t="e">
        <f>MATCH(D3130,'D5 - Gatekeeper - Projects'!$C$4:$C$1010,0)</f>
        <v>#N/A</v>
      </c>
      <c r="AN3130" s="6" t="b">
        <f t="shared" si="319"/>
        <v>1</v>
      </c>
      <c r="AO3130" s="6" t="str">
        <f t="shared" si="320"/>
        <v>OK</v>
      </c>
      <c r="AQ3130" s="6" t="e">
        <f>MATCH($D3130,'D4 - Provider Council Unsched'!$C$11:$C$234,0)</f>
        <v>#N/A</v>
      </c>
      <c r="AR3130" s="6" t="b">
        <f t="shared" si="321"/>
        <v>1</v>
      </c>
      <c r="AS3130" s="6" t="str">
        <f t="shared" si="322"/>
        <v>OK</v>
      </c>
      <c r="AU3130" s="202"/>
      <c r="AV3130" s="216" t="s">
        <v>1081</v>
      </c>
      <c r="AW3130" s="274"/>
    </row>
    <row r="3131" spans="1:49" s="13" customFormat="1" ht="45" x14ac:dyDescent="0.2">
      <c r="A3131" s="14">
        <v>3107</v>
      </c>
      <c r="B3131" s="8">
        <v>400051460</v>
      </c>
      <c r="C3131" s="8" t="s">
        <v>1447</v>
      </c>
      <c r="D3131" s="4" t="str">
        <f t="shared" si="323"/>
        <v>400051460A</v>
      </c>
      <c r="E3131" s="309" t="str">
        <f>VLOOKUP($B3131,'D7 - NDB Impacted SPRF''s'!$E$6:$O$9929,2,FALSE)</f>
        <v>Replace Log Analyzer AO</v>
      </c>
      <c r="F3131" s="8"/>
      <c r="G3131" s="8" t="s">
        <v>4758</v>
      </c>
      <c r="H3131" s="8" t="s">
        <v>2870</v>
      </c>
      <c r="I3131" s="20"/>
      <c r="J3131" s="8"/>
      <c r="K3131" s="182"/>
      <c r="L3131" s="8" t="s">
        <v>4156</v>
      </c>
      <c r="M3131" s="8" t="s">
        <v>2814</v>
      </c>
      <c r="N3131" s="38" t="s">
        <v>740</v>
      </c>
      <c r="O3131" s="8"/>
      <c r="P3131" s="4" t="str">
        <f>VLOOKUP($B3131,'D7 - NDB Impacted SPRF''s'!$E$16:$O$9929,9,FALSE)</f>
        <v>N</v>
      </c>
      <c r="Q3131" s="4" t="str">
        <f>VLOOKUP($B3131,'D7 - NDB Impacted SPRF''s'!$E$16:$O$9929,10,FALSE)</f>
        <v>N</v>
      </c>
      <c r="R3131" s="4" t="str">
        <f>VLOOKUP($B3131,'D7 - NDB Impacted SPRF''s'!$E$16:$O$9929,11,FALSE)</f>
        <v>N</v>
      </c>
      <c r="S3131" s="8"/>
      <c r="T3131" s="310"/>
      <c r="U3131" s="310"/>
      <c r="V3131" s="4"/>
      <c r="W3131" s="4"/>
      <c r="X3131" s="4"/>
      <c r="Y3131" s="4"/>
      <c r="Z3131" s="4"/>
      <c r="AA3131" s="4"/>
      <c r="AB3131" s="380" t="str">
        <f>VLOOKUP($B3131,'D7 - NDB Impacted SPRF''s'!$E$6:$O$9929,4,FALSE)</f>
        <v>Cancelled</v>
      </c>
      <c r="AC3131" s="380" t="str">
        <f>VLOOKUP($B3131,'D7 - NDB Impacted SPRF''s'!$E$6:$O$9929,3,FALSE)</f>
        <v>UHG IT - Enterprise Technology Services</v>
      </c>
      <c r="AD3131" s="380" t="str">
        <f>VLOOKUP($B3131,'D7 - NDB Impacted SPRF''s'!$E$6:$O$9929,5,FALSE)</f>
        <v>ASG</v>
      </c>
      <c r="AE3131" s="380" t="str">
        <f>VLOOKUP($B3131,'D7 - NDB Impacted SPRF''s'!$E$6:$O$9929,7,FALSE)</f>
        <v>John Doddy</v>
      </c>
      <c r="AF3131" s="380" t="str">
        <f>VLOOKUP($B3131,'D7 - NDB Impacted SPRF''s'!$E$6:$O$9929,6,FALSE)</f>
        <v>Elena Filimonova</v>
      </c>
      <c r="AG3131" s="282"/>
      <c r="AH3131" s="311" t="e">
        <f>INDEX('D5 - Gatekeeper - Projects'!$A$4:$AF$1010,$AM3131, 17)</f>
        <v>#N/A</v>
      </c>
      <c r="AI3131" s="8"/>
      <c r="AJ3131" s="57"/>
      <c r="AK3131" s="105"/>
      <c r="AM3131" s="6" t="e">
        <f>MATCH(D3131,'D5 - Gatekeeper - Projects'!$C$4:$C$1010,0)</f>
        <v>#N/A</v>
      </c>
      <c r="AN3131" s="6" t="b">
        <f t="shared" si="319"/>
        <v>1</v>
      </c>
      <c r="AO3131" s="6" t="str">
        <f t="shared" si="320"/>
        <v>OK</v>
      </c>
      <c r="AQ3131" s="6" t="e">
        <f>MATCH($D3131,'D4 - Provider Council Unsched'!$C$11:$C$234,0)</f>
        <v>#N/A</v>
      </c>
      <c r="AR3131" s="6" t="b">
        <f t="shared" si="321"/>
        <v>1</v>
      </c>
      <c r="AS3131" s="6" t="str">
        <f t="shared" si="322"/>
        <v>OK</v>
      </c>
      <c r="AU3131" s="202"/>
      <c r="AV3131" s="348" t="s">
        <v>3208</v>
      </c>
      <c r="AW3131" s="274"/>
    </row>
    <row r="3132" spans="1:49" s="13" customFormat="1" ht="33.75" x14ac:dyDescent="0.2">
      <c r="A3132" s="14">
        <v>3108</v>
      </c>
      <c r="B3132" s="8">
        <v>400051668</v>
      </c>
      <c r="C3132" s="8" t="s">
        <v>1447</v>
      </c>
      <c r="D3132" s="4" t="str">
        <f t="shared" si="323"/>
        <v>400051668A</v>
      </c>
      <c r="E3132" s="309" t="str">
        <f>VLOOKUP($B3132,'D7 - NDB Impacted SPRF''s'!$E$6:$O$9929,2,FALSE)</f>
        <v>RFP Reqeuest for PA Expansion New Bid</v>
      </c>
      <c r="F3132" s="8"/>
      <c r="G3132" s="8" t="s">
        <v>4758</v>
      </c>
      <c r="H3132" s="8" t="s">
        <v>2870</v>
      </c>
      <c r="I3132" s="20"/>
      <c r="J3132" s="8"/>
      <c r="K3132" s="182"/>
      <c r="L3132" s="8" t="s">
        <v>4156</v>
      </c>
      <c r="M3132" s="8" t="s">
        <v>2814</v>
      </c>
      <c r="N3132" s="38" t="s">
        <v>781</v>
      </c>
      <c r="O3132" s="8"/>
      <c r="P3132" s="4" t="str">
        <f>VLOOKUP($B3132,'D7 - NDB Impacted SPRF''s'!$E$16:$O$9929,9,FALSE)</f>
        <v>N</v>
      </c>
      <c r="Q3132" s="4" t="str">
        <f>VLOOKUP($B3132,'D7 - NDB Impacted SPRF''s'!$E$16:$O$9929,10,FALSE)</f>
        <v>N</v>
      </c>
      <c r="R3132" s="4" t="str">
        <f>VLOOKUP($B3132,'D7 - NDB Impacted SPRF''s'!$E$16:$O$9929,11,FALSE)</f>
        <v>N</v>
      </c>
      <c r="S3132" s="8"/>
      <c r="T3132" s="310"/>
      <c r="U3132" s="310"/>
      <c r="V3132" s="4"/>
      <c r="W3132" s="4"/>
      <c r="X3132" s="4"/>
      <c r="Y3132" s="4"/>
      <c r="Z3132" s="4"/>
      <c r="AA3132" s="4"/>
      <c r="AB3132" s="380" t="str">
        <f>VLOOKUP($B3132,'D7 - NDB Impacted SPRF''s'!$E$6:$O$9929,4,FALSE)</f>
        <v>Cancelled</v>
      </c>
      <c r="AC3132" s="380" t="str">
        <f>VLOOKUP($B3132,'D7 - NDB Impacted SPRF''s'!$E$6:$O$9929,3,FALSE)</f>
        <v>UnitedHealthcare Community &amp; State</v>
      </c>
      <c r="AD3132" s="380" t="str">
        <f>VLOOKUP($B3132,'D7 - NDB Impacted SPRF''s'!$E$6:$O$9929,5,FALSE)</f>
        <v>Membership Growth / Revenue Programs</v>
      </c>
      <c r="AE3132" s="380" t="str">
        <f>VLOOKUP($B3132,'D7 - NDB Impacted SPRF''s'!$E$6:$O$9929,7,FALSE)</f>
        <v>Cianfrocco, Heather</v>
      </c>
      <c r="AF3132" s="380" t="str">
        <f>VLOOKUP($B3132,'D7 - NDB Impacted SPRF''s'!$E$6:$O$9929,6,FALSE)</f>
        <v>Jennifer Kosecki</v>
      </c>
      <c r="AG3132" s="282"/>
      <c r="AH3132" s="311" t="e">
        <f>INDEX('D5 - Gatekeeper - Projects'!$A$4:$AF$1010,$AM3132, 17)</f>
        <v>#N/A</v>
      </c>
      <c r="AI3132" s="8"/>
      <c r="AJ3132" s="57"/>
      <c r="AK3132" s="105"/>
      <c r="AM3132" s="6" t="e">
        <f>MATCH(D3132,'D5 - Gatekeeper - Projects'!$C$4:$C$1010,0)</f>
        <v>#N/A</v>
      </c>
      <c r="AN3132" s="6" t="b">
        <f t="shared" si="319"/>
        <v>1</v>
      </c>
      <c r="AO3132" s="6" t="str">
        <f t="shared" si="320"/>
        <v>OK</v>
      </c>
      <c r="AQ3132" s="6" t="e">
        <f>MATCH($D3132,'D4 - Provider Council Unsched'!$C$11:$C$234,0)</f>
        <v>#N/A</v>
      </c>
      <c r="AR3132" s="6" t="b">
        <f t="shared" si="321"/>
        <v>1</v>
      </c>
      <c r="AS3132" s="6" t="str">
        <f t="shared" si="322"/>
        <v>OK</v>
      </c>
      <c r="AU3132" s="202"/>
      <c r="AV3132" s="348" t="s">
        <v>3206</v>
      </c>
      <c r="AW3132" s="274"/>
    </row>
    <row r="3133" spans="1:49" s="13" customFormat="1" ht="135" x14ac:dyDescent="0.2">
      <c r="A3133" s="14">
        <v>3109</v>
      </c>
      <c r="B3133" s="8">
        <v>400051811</v>
      </c>
      <c r="C3133" s="8" t="s">
        <v>1447</v>
      </c>
      <c r="D3133" s="4" t="str">
        <f t="shared" si="323"/>
        <v>400051811A</v>
      </c>
      <c r="E3133" s="309" t="str">
        <f>VLOOKUP($B3133,'D7 - NDB Impacted SPRF''s'!$E$6:$O$9929,2,FALSE)</f>
        <v>Clinical Research Data Mart (Analysis Only)</v>
      </c>
      <c r="F3133" s="8"/>
      <c r="G3133" s="8" t="s">
        <v>4758</v>
      </c>
      <c r="H3133" s="8" t="s">
        <v>2870</v>
      </c>
      <c r="I3133" s="20"/>
      <c r="J3133" s="8"/>
      <c r="K3133" s="182"/>
      <c r="L3133" s="8" t="s">
        <v>4156</v>
      </c>
      <c r="M3133" s="8" t="s">
        <v>2814</v>
      </c>
      <c r="N3133" s="38" t="s">
        <v>6518</v>
      </c>
      <c r="O3133" s="8"/>
      <c r="P3133" s="4" t="str">
        <f>VLOOKUP($B3133,'D7 - NDB Impacted SPRF''s'!$E$16:$O$9929,9,FALSE)</f>
        <v>N</v>
      </c>
      <c r="Q3133" s="4" t="str">
        <f>VLOOKUP($B3133,'D7 - NDB Impacted SPRF''s'!$E$16:$O$9929,10,FALSE)</f>
        <v>N</v>
      </c>
      <c r="R3133" s="4" t="str">
        <f>VLOOKUP($B3133,'D7 - NDB Impacted SPRF''s'!$E$16:$O$9929,11,FALSE)</f>
        <v>N</v>
      </c>
      <c r="S3133" s="8"/>
      <c r="T3133" s="310"/>
      <c r="U3133" s="310"/>
      <c r="V3133" s="4"/>
      <c r="W3133" s="4"/>
      <c r="X3133" s="4"/>
      <c r="Y3133" s="4"/>
      <c r="Z3133" s="4"/>
      <c r="AA3133" s="4"/>
      <c r="AB3133" s="380" t="str">
        <f>VLOOKUP($B3133,'D7 - NDB Impacted SPRF''s'!$E$6:$O$9929,4,FALSE)</f>
        <v>Cancelled</v>
      </c>
      <c r="AC3133" s="380" t="str">
        <f>VLOOKUP($B3133,'D7 - NDB Impacted SPRF''s'!$E$6:$O$9929,3,FALSE)</f>
        <v>UnitedHealthcare Employer &amp; Individual</v>
      </c>
      <c r="AD3133" s="380" t="str">
        <f>VLOOKUP($B3133,'D7 - NDB Impacted SPRF''s'!$E$6:$O$9929,5,FALSE)</f>
        <v>Infrastructure Requirements</v>
      </c>
      <c r="AE3133" s="380" t="str">
        <f>VLOOKUP($B3133,'D7 - NDB Impacted SPRF''s'!$E$6:$O$9929,7,FALSE)</f>
        <v>Doug Arlich</v>
      </c>
      <c r="AF3133" s="380" t="str">
        <f>VLOOKUP($B3133,'D7 - NDB Impacted SPRF''s'!$E$6:$O$9929,6,FALSE)</f>
        <v>Ryan McClung</v>
      </c>
      <c r="AG3133" s="282"/>
      <c r="AH3133" s="311" t="e">
        <f>INDEX('D5 - Gatekeeper - Projects'!$A$4:$AF$1010,$AM3133, 17)</f>
        <v>#N/A</v>
      </c>
      <c r="AI3133" s="8"/>
      <c r="AJ3133" s="57"/>
      <c r="AK3133" s="105"/>
      <c r="AM3133" s="6" t="e">
        <f>MATCH(D3133,'D5 - Gatekeeper - Projects'!$C$4:$C$1010,0)</f>
        <v>#N/A</v>
      </c>
      <c r="AN3133" s="6" t="b">
        <f t="shared" si="319"/>
        <v>1</v>
      </c>
      <c r="AO3133" s="6" t="str">
        <f t="shared" si="320"/>
        <v>OK</v>
      </c>
      <c r="AQ3133" s="6" t="e">
        <f>MATCH($D3133,'D4 - Provider Council Unsched'!$C$11:$C$234,0)</f>
        <v>#N/A</v>
      </c>
      <c r="AR3133" s="6" t="b">
        <f t="shared" si="321"/>
        <v>1</v>
      </c>
      <c r="AS3133" s="6" t="str">
        <f t="shared" si="322"/>
        <v>OK</v>
      </c>
      <c r="AU3133" s="202"/>
      <c r="AV3133" s="216" t="s">
        <v>736</v>
      </c>
      <c r="AW3133" s="274"/>
    </row>
    <row r="3134" spans="1:49" s="13" customFormat="1" ht="22.5" x14ac:dyDescent="0.2">
      <c r="A3134" s="14">
        <v>3110</v>
      </c>
      <c r="B3134" s="8">
        <v>400051979</v>
      </c>
      <c r="C3134" s="8" t="s">
        <v>1447</v>
      </c>
      <c r="D3134" s="4" t="str">
        <f t="shared" si="323"/>
        <v>400051979A</v>
      </c>
      <c r="E3134" s="309" t="str">
        <f>VLOOKUP($B3134,'D7 - NDB Impacted SPRF''s'!$E$6:$O$9929,2,FALSE)</f>
        <v>Facets NDB Alt Id Updates</v>
      </c>
      <c r="F3134" s="8"/>
      <c r="G3134" s="8" t="s">
        <v>4758</v>
      </c>
      <c r="H3134" s="8" t="s">
        <v>2870</v>
      </c>
      <c r="I3134" s="20"/>
      <c r="J3134" s="8"/>
      <c r="K3134" s="182"/>
      <c r="L3134" s="8" t="s">
        <v>4156</v>
      </c>
      <c r="M3134" s="8" t="s">
        <v>2814</v>
      </c>
      <c r="N3134" s="38" t="s">
        <v>8019</v>
      </c>
      <c r="O3134" s="8"/>
      <c r="P3134" s="4" t="str">
        <f>VLOOKUP($B3134,'D7 - NDB Impacted SPRF''s'!$E$16:$O$9929,9,FALSE)</f>
        <v>N</v>
      </c>
      <c r="Q3134" s="4" t="str">
        <f>VLOOKUP($B3134,'D7 - NDB Impacted SPRF''s'!$E$16:$O$9929,10,FALSE)</f>
        <v>N</v>
      </c>
      <c r="R3134" s="4" t="str">
        <f>VLOOKUP($B3134,'D7 - NDB Impacted SPRF''s'!$E$16:$O$9929,11,FALSE)</f>
        <v>N</v>
      </c>
      <c r="S3134" s="8"/>
      <c r="T3134" s="310"/>
      <c r="U3134" s="310"/>
      <c r="V3134" s="4"/>
      <c r="W3134" s="4"/>
      <c r="X3134" s="4"/>
      <c r="Y3134" s="4"/>
      <c r="Z3134" s="4"/>
      <c r="AA3134" s="4"/>
      <c r="AB3134" s="380" t="str">
        <f>VLOOKUP($B3134,'D7 - NDB Impacted SPRF''s'!$E$6:$O$9929,4,FALSE)</f>
        <v>In Funding</v>
      </c>
      <c r="AC3134" s="380" t="str">
        <f>VLOOKUP($B3134,'D7 - NDB Impacted SPRF''s'!$E$6:$O$9929,3,FALSE)</f>
        <v>OptumHealth</v>
      </c>
      <c r="AD3134" s="380" t="str">
        <f>VLOOKUP($B3134,'D7 - NDB Impacted SPRF''s'!$E$6:$O$9929,5,FALSE)</f>
        <v>Behavioral Solutions</v>
      </c>
      <c r="AE3134" s="380" t="str">
        <f>VLOOKUP($B3134,'D7 - NDB Impacted SPRF''s'!$E$6:$O$9929,7,FALSE)</f>
        <v>Stephanie Logan</v>
      </c>
      <c r="AF3134" s="380" t="str">
        <f>VLOOKUP($B3134,'D7 - NDB Impacted SPRF''s'!$E$6:$O$9929,6,FALSE)</f>
        <v>Jane Narup</v>
      </c>
      <c r="AG3134" s="282"/>
      <c r="AH3134" s="311" t="e">
        <f>INDEX('D5 - Gatekeeper - Projects'!$A$4:$AF$1010,$AM3134, 17)</f>
        <v>#N/A</v>
      </c>
      <c r="AI3134" s="8"/>
      <c r="AJ3134" s="57"/>
      <c r="AK3134" s="105"/>
      <c r="AM3134" s="6" t="e">
        <f>MATCH(D3134,'D5 - Gatekeeper - Projects'!$C$4:$C$1010,0)</f>
        <v>#N/A</v>
      </c>
      <c r="AN3134" s="6" t="b">
        <f t="shared" si="319"/>
        <v>1</v>
      </c>
      <c r="AO3134" s="6" t="str">
        <f t="shared" si="320"/>
        <v>OK</v>
      </c>
      <c r="AQ3134" s="6" t="e">
        <f>MATCH($D3134,'D4 - Provider Council Unsched'!$C$11:$C$234,0)</f>
        <v>#N/A</v>
      </c>
      <c r="AR3134" s="6" t="b">
        <f t="shared" si="321"/>
        <v>1</v>
      </c>
      <c r="AS3134" s="6" t="str">
        <f t="shared" si="322"/>
        <v>OK</v>
      </c>
      <c r="AU3134" s="202"/>
      <c r="AV3134" s="216" t="s">
        <v>492</v>
      </c>
      <c r="AW3134" s="274"/>
    </row>
    <row r="3135" spans="1:49" s="13" customFormat="1" ht="146.25" x14ac:dyDescent="0.2">
      <c r="A3135" s="14">
        <v>3111</v>
      </c>
      <c r="B3135" s="8">
        <v>400052035</v>
      </c>
      <c r="C3135" s="8" t="s">
        <v>1447</v>
      </c>
      <c r="D3135" s="4" t="str">
        <f t="shared" si="323"/>
        <v>400052035A</v>
      </c>
      <c r="E3135" s="309" t="str">
        <f>VLOOKUP($B3135,'D7 - NDB Impacted SPRF''s'!$E$6:$O$9929,2,FALSE)</f>
        <v>Innovation Continuity for Cosmos-based Plans</v>
      </c>
      <c r="F3135" s="8"/>
      <c r="G3135" s="8" t="s">
        <v>4758</v>
      </c>
      <c r="H3135" s="8" t="s">
        <v>2870</v>
      </c>
      <c r="I3135" s="20"/>
      <c r="J3135" s="8"/>
      <c r="K3135" s="182"/>
      <c r="L3135" s="8" t="s">
        <v>4156</v>
      </c>
      <c r="M3135" s="8" t="s">
        <v>2814</v>
      </c>
      <c r="N3135" s="38" t="s">
        <v>6593</v>
      </c>
      <c r="O3135" s="8"/>
      <c r="P3135" s="4" t="str">
        <f>VLOOKUP($B3135,'D7 - NDB Impacted SPRF''s'!$E$16:$O$9929,9,FALSE)</f>
        <v>N</v>
      </c>
      <c r="Q3135" s="4" t="str">
        <f>VLOOKUP($B3135,'D7 - NDB Impacted SPRF''s'!$E$16:$O$9929,10,FALSE)</f>
        <v>N</v>
      </c>
      <c r="R3135" s="4" t="str">
        <f>VLOOKUP($B3135,'D7 - NDB Impacted SPRF''s'!$E$16:$O$9929,11,FALSE)</f>
        <v>N</v>
      </c>
      <c r="S3135" s="8"/>
      <c r="T3135" s="310"/>
      <c r="U3135" s="310"/>
      <c r="V3135" s="4"/>
      <c r="W3135" s="4"/>
      <c r="X3135" s="4"/>
      <c r="Y3135" s="4"/>
      <c r="Z3135" s="4"/>
      <c r="AA3135" s="4"/>
      <c r="AB3135" s="380" t="str">
        <f>VLOOKUP($B3135,'D7 - NDB Impacted SPRF''s'!$E$6:$O$9929,4,FALSE)</f>
        <v>Cancelled</v>
      </c>
      <c r="AC3135" s="380" t="str">
        <f>VLOOKUP($B3135,'D7 - NDB Impacted SPRF''s'!$E$6:$O$9929,3,FALSE)</f>
        <v>UnitedHealthcare Community &amp; State</v>
      </c>
      <c r="AD3135" s="380" t="str">
        <f>VLOOKUP($B3135,'D7 - NDB Impacted SPRF''s'!$E$6:$O$9929,5,FALSE)</f>
        <v>Regulatory / Other</v>
      </c>
      <c r="AE3135" s="380" t="str">
        <f>VLOOKUP($B3135,'D7 - NDB Impacted SPRF''s'!$E$6:$O$9929,7,FALSE)</f>
        <v>Chris Scherer</v>
      </c>
      <c r="AF3135" s="380" t="str">
        <f>VLOOKUP($B3135,'D7 - NDB Impacted SPRF''s'!$E$6:$O$9929,6,FALSE)</f>
        <v>Bree Drenning</v>
      </c>
      <c r="AG3135" s="282"/>
      <c r="AH3135" s="311" t="e">
        <f>INDEX('D5 - Gatekeeper - Projects'!$A$4:$AF$1010,$AM3135, 17)</f>
        <v>#N/A</v>
      </c>
      <c r="AI3135" s="8"/>
      <c r="AJ3135" s="57"/>
      <c r="AK3135" s="105"/>
      <c r="AM3135" s="6" t="e">
        <f>MATCH(D3135,'D5 - Gatekeeper - Projects'!$C$4:$C$1010,0)</f>
        <v>#N/A</v>
      </c>
      <c r="AN3135" s="6" t="b">
        <f t="shared" si="319"/>
        <v>1</v>
      </c>
      <c r="AO3135" s="6" t="str">
        <f t="shared" si="320"/>
        <v>OK</v>
      </c>
      <c r="AQ3135" s="6" t="e">
        <f>MATCH($D3135,'D4 - Provider Council Unsched'!$C$11:$C$234,0)</f>
        <v>#N/A</v>
      </c>
      <c r="AR3135" s="6" t="b">
        <f t="shared" si="321"/>
        <v>1</v>
      </c>
      <c r="AS3135" s="6" t="str">
        <f t="shared" si="322"/>
        <v>OK</v>
      </c>
      <c r="AU3135" s="202"/>
      <c r="AV3135" s="216" t="s">
        <v>1076</v>
      </c>
      <c r="AW3135" s="274"/>
    </row>
    <row r="3136" spans="1:49" s="13" customFormat="1" ht="33.75" x14ac:dyDescent="0.2">
      <c r="A3136" s="14">
        <v>3112</v>
      </c>
      <c r="B3136" s="8">
        <v>400052076</v>
      </c>
      <c r="C3136" s="8" t="s">
        <v>1447</v>
      </c>
      <c r="D3136" s="4" t="str">
        <f t="shared" si="323"/>
        <v>400052076A</v>
      </c>
      <c r="E3136" s="309" t="str">
        <f>VLOOKUP($B3136,'D7 - NDB Impacted SPRF''s'!$E$6:$O$9929,2,FALSE)</f>
        <v>Medica myPlan Passport with &amp; without ACO offering</v>
      </c>
      <c r="F3136" s="8"/>
      <c r="G3136" s="8" t="s">
        <v>4758</v>
      </c>
      <c r="H3136" s="8" t="s">
        <v>2870</v>
      </c>
      <c r="I3136" s="20"/>
      <c r="J3136" s="8"/>
      <c r="K3136" s="182"/>
      <c r="L3136" s="8" t="s">
        <v>4156</v>
      </c>
      <c r="M3136" s="8" t="s">
        <v>2814</v>
      </c>
      <c r="N3136" s="38" t="s">
        <v>226</v>
      </c>
      <c r="O3136" s="8"/>
      <c r="P3136" s="4" t="str">
        <f>VLOOKUP($B3136,'D7 - NDB Impacted SPRF''s'!$E$16:$O$9929,9,FALSE)</f>
        <v>Y</v>
      </c>
      <c r="Q3136" s="4" t="str">
        <f>VLOOKUP($B3136,'D7 - NDB Impacted SPRF''s'!$E$16:$O$9929,10,FALSE)</f>
        <v>N</v>
      </c>
      <c r="R3136" s="4" t="str">
        <f>VLOOKUP($B3136,'D7 - NDB Impacted SPRF''s'!$E$16:$O$9929,11,FALSE)</f>
        <v>N</v>
      </c>
      <c r="S3136" s="8"/>
      <c r="T3136" s="310"/>
      <c r="U3136" s="310"/>
      <c r="V3136" s="4"/>
      <c r="W3136" s="4"/>
      <c r="X3136" s="4"/>
      <c r="Y3136" s="4"/>
      <c r="Z3136" s="4"/>
      <c r="AA3136" s="4"/>
      <c r="AB3136" s="380" t="str">
        <f>VLOOKUP($B3136,'D7 - NDB Impacted SPRF''s'!$E$6:$O$9929,4,FALSE)</f>
        <v>Cancelled</v>
      </c>
      <c r="AC3136" s="380" t="str">
        <f>VLOOKUP($B3136,'D7 - NDB Impacted SPRF''s'!$E$6:$O$9929,3,FALSE)</f>
        <v>UnitedHealthcare Employer &amp; Individual</v>
      </c>
      <c r="AD3136" s="380" t="str">
        <f>VLOOKUP($B3136,'D7 - NDB Impacted SPRF''s'!$E$6:$O$9929,5,FALSE)</f>
        <v>Customer Requirements</v>
      </c>
      <c r="AE3136" s="380" t="str">
        <f>VLOOKUP($B3136,'D7 - NDB Impacted SPRF''s'!$E$6:$O$9929,7,FALSE)</f>
        <v>Robyn Athmann</v>
      </c>
      <c r="AF3136" s="380" t="str">
        <f>VLOOKUP($B3136,'D7 - NDB Impacted SPRF''s'!$E$6:$O$9929,6,FALSE)</f>
        <v>Linda Dooley</v>
      </c>
      <c r="AG3136" s="282"/>
      <c r="AH3136" s="311" t="e">
        <f>INDEX('D5 - Gatekeeper - Projects'!$A$4:$AF$1010,$AM3136, 17)</f>
        <v>#N/A</v>
      </c>
      <c r="AI3136" s="8"/>
      <c r="AJ3136" s="57"/>
      <c r="AK3136" s="105"/>
      <c r="AM3136" s="6" t="e">
        <f>MATCH(D3136,'D5 - Gatekeeper - Projects'!$C$4:$C$1010,0)</f>
        <v>#N/A</v>
      </c>
      <c r="AN3136" s="6" t="b">
        <f t="shared" si="319"/>
        <v>1</v>
      </c>
      <c r="AO3136" s="6" t="str">
        <f t="shared" si="320"/>
        <v>OK</v>
      </c>
      <c r="AQ3136" s="6" t="e">
        <f>MATCH($D3136,'D4 - Provider Council Unsched'!$C$11:$C$234,0)</f>
        <v>#N/A</v>
      </c>
      <c r="AR3136" s="6" t="b">
        <f t="shared" si="321"/>
        <v>1</v>
      </c>
      <c r="AS3136" s="6" t="str">
        <f t="shared" si="322"/>
        <v>OK</v>
      </c>
      <c r="AU3136" s="202"/>
      <c r="AV3136" s="216" t="s">
        <v>2236</v>
      </c>
      <c r="AW3136" s="274">
        <v>61360</v>
      </c>
    </row>
    <row r="3137" spans="1:49" s="13" customFormat="1" ht="33.75" x14ac:dyDescent="0.2">
      <c r="A3137" s="14">
        <v>3113</v>
      </c>
      <c r="B3137" s="8">
        <v>400052162</v>
      </c>
      <c r="C3137" s="8" t="s">
        <v>1447</v>
      </c>
      <c r="D3137" s="4" t="str">
        <f t="shared" si="323"/>
        <v>400052162A</v>
      </c>
      <c r="E3137" s="309" t="str">
        <f>VLOOKUP($B3137,'D7 - NDB Impacted SPRF''s'!$E$6:$O$9929,2,FALSE)</f>
        <v>Clinical Adoption - M&amp;R Supplemental Plans AO</v>
      </c>
      <c r="F3137" s="8"/>
      <c r="G3137" s="8" t="s">
        <v>4758</v>
      </c>
      <c r="H3137" s="8" t="s">
        <v>2870</v>
      </c>
      <c r="I3137" s="20"/>
      <c r="J3137" s="8"/>
      <c r="K3137" s="182"/>
      <c r="L3137" s="8" t="s">
        <v>4156</v>
      </c>
      <c r="M3137" s="8" t="s">
        <v>2814</v>
      </c>
      <c r="N3137" s="38" t="s">
        <v>4653</v>
      </c>
      <c r="O3137" s="8"/>
      <c r="P3137" s="4" t="str">
        <f>VLOOKUP($B3137,'D7 - NDB Impacted SPRF''s'!$E$16:$O$9929,9,FALSE)</f>
        <v>N</v>
      </c>
      <c r="Q3137" s="4" t="str">
        <f>VLOOKUP($B3137,'D7 - NDB Impacted SPRF''s'!$E$16:$O$9929,10,FALSE)</f>
        <v>N</v>
      </c>
      <c r="R3137" s="4" t="str">
        <f>VLOOKUP($B3137,'D7 - NDB Impacted SPRF''s'!$E$16:$O$9929,11,FALSE)</f>
        <v>N</v>
      </c>
      <c r="S3137" s="8"/>
      <c r="T3137" s="310"/>
      <c r="U3137" s="310"/>
      <c r="V3137" s="4"/>
      <c r="W3137" s="4"/>
      <c r="X3137" s="4"/>
      <c r="Y3137" s="4"/>
      <c r="Z3137" s="4"/>
      <c r="AA3137" s="4"/>
      <c r="AB3137" s="380" t="str">
        <f>VLOOKUP($B3137,'D7 - NDB Impacted SPRF''s'!$E$6:$O$9929,4,FALSE)</f>
        <v>Cancelled</v>
      </c>
      <c r="AC3137" s="380" t="str">
        <f>VLOOKUP($B3137,'D7 - NDB Impacted SPRF''s'!$E$6:$O$9929,3,FALSE)</f>
        <v>UnitedHealthcare Employer &amp; Individual</v>
      </c>
      <c r="AD3137" s="380" t="str">
        <f>VLOOKUP($B3137,'D7 - NDB Impacted SPRF''s'!$E$6:$O$9929,5,FALSE)</f>
        <v>Medical Cost Savings Programs</v>
      </c>
      <c r="AE3137" s="380" t="str">
        <f>VLOOKUP($B3137,'D7 - NDB Impacted SPRF''s'!$E$6:$O$9929,7,FALSE)</f>
        <v>Sheila Nelson</v>
      </c>
      <c r="AF3137" s="380" t="str">
        <f>VLOOKUP($B3137,'D7 - NDB Impacted SPRF''s'!$E$6:$O$9929,6,FALSE)</f>
        <v>Tonya Maurer</v>
      </c>
      <c r="AG3137" s="282"/>
      <c r="AH3137" s="311" t="e">
        <f>INDEX('D5 - Gatekeeper - Projects'!$A$4:$AF$1010,$AM3137, 17)</f>
        <v>#N/A</v>
      </c>
      <c r="AI3137" s="8"/>
      <c r="AJ3137" s="57"/>
      <c r="AK3137" s="105"/>
      <c r="AM3137" s="6" t="e">
        <f>MATCH(D3137,'D5 - Gatekeeper - Projects'!$C$4:$C$1010,0)</f>
        <v>#N/A</v>
      </c>
      <c r="AN3137" s="6" t="b">
        <f t="shared" si="319"/>
        <v>1</v>
      </c>
      <c r="AO3137" s="6" t="str">
        <f t="shared" si="320"/>
        <v>OK</v>
      </c>
      <c r="AQ3137" s="6" t="e">
        <f>MATCH($D3137,'D4 - Provider Council Unsched'!$C$11:$C$234,0)</f>
        <v>#N/A</v>
      </c>
      <c r="AR3137" s="6" t="b">
        <f t="shared" si="321"/>
        <v>1</v>
      </c>
      <c r="AS3137" s="6" t="str">
        <f t="shared" si="322"/>
        <v>OK</v>
      </c>
      <c r="AU3137" s="202"/>
      <c r="AV3137" s="348" t="s">
        <v>1080</v>
      </c>
      <c r="AW3137" s="274">
        <v>62020</v>
      </c>
    </row>
    <row r="3138" spans="1:49" s="13" customFormat="1" ht="33.75" x14ac:dyDescent="0.2">
      <c r="A3138" s="14">
        <v>3114</v>
      </c>
      <c r="B3138" s="8">
        <v>400052210</v>
      </c>
      <c r="C3138" s="8" t="s">
        <v>1447</v>
      </c>
      <c r="D3138" s="4" t="str">
        <f t="shared" si="323"/>
        <v>400052210A</v>
      </c>
      <c r="E3138" s="309" t="str">
        <f>VLOOKUP($B3138,'D7 - NDB Impacted SPRF''s'!$E$6:$O$9929,2,FALSE)</f>
        <v>NICE Oklahoma Migration</v>
      </c>
      <c r="F3138" s="8"/>
      <c r="G3138" s="8" t="s">
        <v>4758</v>
      </c>
      <c r="H3138" s="8" t="s">
        <v>2870</v>
      </c>
      <c r="I3138" s="20"/>
      <c r="J3138" s="8"/>
      <c r="K3138" s="182"/>
      <c r="L3138" s="8" t="s">
        <v>4156</v>
      </c>
      <c r="M3138" s="8" t="s">
        <v>2814</v>
      </c>
      <c r="N3138" s="38" t="s">
        <v>2316</v>
      </c>
      <c r="O3138" s="8"/>
      <c r="P3138" s="4" t="str">
        <f>VLOOKUP($B3138,'D7 - NDB Impacted SPRF''s'!$E$16:$O$9929,9,FALSE)</f>
        <v>N</v>
      </c>
      <c r="Q3138" s="4" t="str">
        <f>VLOOKUP($B3138,'D7 - NDB Impacted SPRF''s'!$E$16:$O$9929,10,FALSE)</f>
        <v>N</v>
      </c>
      <c r="R3138" s="4" t="str">
        <f>VLOOKUP($B3138,'D7 - NDB Impacted SPRF''s'!$E$16:$O$9929,11,FALSE)</f>
        <v>N</v>
      </c>
      <c r="S3138" s="8"/>
      <c r="T3138" s="310"/>
      <c r="U3138" s="310"/>
      <c r="V3138" s="4"/>
      <c r="W3138" s="4"/>
      <c r="X3138" s="4"/>
      <c r="Y3138" s="4"/>
      <c r="Z3138" s="4"/>
      <c r="AA3138" s="4"/>
      <c r="AB3138" s="380" t="str">
        <f>VLOOKUP($B3138,'D7 - NDB Impacted SPRF''s'!$E$6:$O$9929,4,FALSE)</f>
        <v>Cancelled</v>
      </c>
      <c r="AC3138" s="380" t="str">
        <f>VLOOKUP($B3138,'D7 - NDB Impacted SPRF''s'!$E$6:$O$9929,3,FALSE)</f>
        <v>UnitedHealthcare Medicare &amp; Retirement</v>
      </c>
      <c r="AD3138" s="380" t="str">
        <f>VLOOKUP($B3138,'D7 - NDB Impacted SPRF''s'!$E$6:$O$9929,5,FALSE)</f>
        <v>Integration Requirements</v>
      </c>
      <c r="AE3138" s="380" t="str">
        <f>VLOOKUP($B3138,'D7 - NDB Impacted SPRF''s'!$E$6:$O$9929,7,FALSE)</f>
        <v>Heather Selseth</v>
      </c>
      <c r="AF3138" s="380" t="str">
        <f>VLOOKUP($B3138,'D7 - NDB Impacted SPRF''s'!$E$6:$O$9929,6,FALSE)</f>
        <v>Lisa Kellner</v>
      </c>
      <c r="AG3138" s="282"/>
      <c r="AH3138" s="311" t="e">
        <f>INDEX('D5 - Gatekeeper - Projects'!$A$4:$AF$1010,$AM3138, 17)</f>
        <v>#N/A</v>
      </c>
      <c r="AI3138" s="8"/>
      <c r="AJ3138" s="57"/>
      <c r="AK3138" s="105"/>
      <c r="AM3138" s="6" t="e">
        <f>MATCH(D3138,'D5 - Gatekeeper - Projects'!$C$4:$C$1010,0)</f>
        <v>#N/A</v>
      </c>
      <c r="AN3138" s="6" t="b">
        <f t="shared" si="319"/>
        <v>1</v>
      </c>
      <c r="AO3138" s="6" t="str">
        <f t="shared" si="320"/>
        <v>OK</v>
      </c>
      <c r="AQ3138" s="6" t="e">
        <f>MATCH($D3138,'D4 - Provider Council Unsched'!$C$11:$C$234,0)</f>
        <v>#N/A</v>
      </c>
      <c r="AR3138" s="6" t="b">
        <f t="shared" si="321"/>
        <v>1</v>
      </c>
      <c r="AS3138" s="6" t="str">
        <f t="shared" si="322"/>
        <v>OK</v>
      </c>
      <c r="AU3138" s="202"/>
      <c r="AV3138" s="216" t="s">
        <v>1078</v>
      </c>
      <c r="AW3138" s="274">
        <v>62783</v>
      </c>
    </row>
    <row r="3139" spans="1:49" s="13" customFormat="1" ht="22.5" x14ac:dyDescent="0.2">
      <c r="A3139" s="14">
        <v>3115</v>
      </c>
      <c r="B3139" s="8">
        <v>400052277</v>
      </c>
      <c r="C3139" s="8" t="s">
        <v>1447</v>
      </c>
      <c r="D3139" s="4" t="str">
        <f t="shared" si="323"/>
        <v>400052277A</v>
      </c>
      <c r="E3139" s="309" t="str">
        <f>VLOOKUP($B3139,'D7 - NDB Impacted SPRF''s'!$E$6:$O$9929,2,FALSE)</f>
        <v>ED – Resolution (PHS) - Migration</v>
      </c>
      <c r="F3139" s="8"/>
      <c r="G3139" s="8" t="s">
        <v>4758</v>
      </c>
      <c r="H3139" s="8" t="s">
        <v>2870</v>
      </c>
      <c r="I3139" s="20"/>
      <c r="J3139" s="8"/>
      <c r="K3139" s="182"/>
      <c r="L3139" s="8" t="s">
        <v>4156</v>
      </c>
      <c r="M3139" s="8" t="s">
        <v>2814</v>
      </c>
      <c r="N3139" s="38" t="s">
        <v>958</v>
      </c>
      <c r="O3139" s="8"/>
      <c r="P3139" s="4" t="str">
        <f>VLOOKUP($B3139,'D7 - NDB Impacted SPRF''s'!$E$16:$O$9929,9,FALSE)</f>
        <v>N</v>
      </c>
      <c r="Q3139" s="4" t="str">
        <f>VLOOKUP($B3139,'D7 - NDB Impacted SPRF''s'!$E$16:$O$9929,10,FALSE)</f>
        <v>N</v>
      </c>
      <c r="R3139" s="4" t="str">
        <f>VLOOKUP($B3139,'D7 - NDB Impacted SPRF''s'!$E$16:$O$9929,11,FALSE)</f>
        <v>N</v>
      </c>
      <c r="S3139" s="8"/>
      <c r="T3139" s="310"/>
      <c r="U3139" s="310"/>
      <c r="V3139" s="4"/>
      <c r="W3139" s="4"/>
      <c r="X3139" s="4"/>
      <c r="Y3139" s="4"/>
      <c r="Z3139" s="4"/>
      <c r="AA3139" s="4"/>
      <c r="AB3139" s="380" t="str">
        <f>VLOOKUP($B3139,'D7 - NDB Impacted SPRF''s'!$E$6:$O$9929,4,FALSE)</f>
        <v>Cancelled</v>
      </c>
      <c r="AC3139" s="380" t="str">
        <f>VLOOKUP($B3139,'D7 - NDB Impacted SPRF''s'!$E$6:$O$9929,3,FALSE)</f>
        <v>UHG IT - Shared Services</v>
      </c>
      <c r="AD3139" s="380" t="str">
        <f>VLOOKUP($B3139,'D7 - NDB Impacted SPRF''s'!$E$6:$O$9929,5,FALSE)</f>
        <v>Strategic Initiatives</v>
      </c>
      <c r="AE3139" s="380" t="str">
        <f>VLOOKUP($B3139,'D7 - NDB Impacted SPRF''s'!$E$6:$O$9929,7,FALSE)</f>
        <v>Kevin Cogle</v>
      </c>
      <c r="AF3139" s="380" t="str">
        <f>VLOOKUP($B3139,'D7 - NDB Impacted SPRF''s'!$E$6:$O$9929,6,FALSE)</f>
        <v>PATRICK TIMA</v>
      </c>
      <c r="AG3139" s="282"/>
      <c r="AH3139" s="311" t="e">
        <f>INDEX('D5 - Gatekeeper - Projects'!$A$4:$AF$1010,$AM3139, 17)</f>
        <v>#N/A</v>
      </c>
      <c r="AI3139" s="8"/>
      <c r="AJ3139" s="57"/>
      <c r="AK3139" s="105"/>
      <c r="AM3139" s="6" t="e">
        <f>MATCH(D3139,'D5 - Gatekeeper - Projects'!$C$4:$C$1010,0)</f>
        <v>#N/A</v>
      </c>
      <c r="AN3139" s="6" t="b">
        <f t="shared" si="319"/>
        <v>1</v>
      </c>
      <c r="AO3139" s="6" t="str">
        <f t="shared" si="320"/>
        <v>OK</v>
      </c>
      <c r="AQ3139" s="6" t="e">
        <f>MATCH($D3139,'D4 - Provider Council Unsched'!$C$11:$C$234,0)</f>
        <v>#N/A</v>
      </c>
      <c r="AR3139" s="6" t="b">
        <f t="shared" si="321"/>
        <v>1</v>
      </c>
      <c r="AS3139" s="6" t="str">
        <f t="shared" si="322"/>
        <v>OK</v>
      </c>
      <c r="AU3139" s="202"/>
      <c r="AV3139" s="216" t="s">
        <v>1088</v>
      </c>
      <c r="AW3139" s="274">
        <v>62148</v>
      </c>
    </row>
    <row r="3140" spans="1:49" s="13" customFormat="1" ht="33.75" x14ac:dyDescent="0.2">
      <c r="A3140" s="14">
        <v>3116</v>
      </c>
      <c r="B3140" s="8">
        <v>400052290</v>
      </c>
      <c r="C3140" s="8" t="s">
        <v>1447</v>
      </c>
      <c r="D3140" s="4" t="str">
        <f t="shared" si="323"/>
        <v>400052290A</v>
      </c>
      <c r="E3140" s="309" t="str">
        <f>VLOOKUP($B3140,'D7 - NDB Impacted SPRF''s'!$E$6:$O$9929,2,FALSE)</f>
        <v>NJ LTC Waiver Expansion</v>
      </c>
      <c r="F3140" s="8"/>
      <c r="G3140" s="8" t="s">
        <v>4758</v>
      </c>
      <c r="H3140" s="8" t="s">
        <v>2870</v>
      </c>
      <c r="I3140" s="20"/>
      <c r="J3140" s="8"/>
      <c r="K3140" s="182"/>
      <c r="L3140" s="8" t="s">
        <v>4156</v>
      </c>
      <c r="M3140" s="8" t="s">
        <v>2814</v>
      </c>
      <c r="N3140" s="38" t="s">
        <v>9204</v>
      </c>
      <c r="O3140" s="8"/>
      <c r="P3140" s="4" t="str">
        <f>VLOOKUP($B3140,'D7 - NDB Impacted SPRF''s'!$E$16:$O$9929,9,FALSE)</f>
        <v>N</v>
      </c>
      <c r="Q3140" s="4" t="str">
        <f>VLOOKUP($B3140,'D7 - NDB Impacted SPRF''s'!$E$16:$O$9929,10,FALSE)</f>
        <v>N</v>
      </c>
      <c r="R3140" s="4" t="str">
        <f>VLOOKUP($B3140,'D7 - NDB Impacted SPRF''s'!$E$16:$O$9929,11,FALSE)</f>
        <v>N</v>
      </c>
      <c r="S3140" s="8"/>
      <c r="T3140" s="310"/>
      <c r="U3140" s="310"/>
      <c r="V3140" s="4"/>
      <c r="W3140" s="4"/>
      <c r="X3140" s="4"/>
      <c r="Y3140" s="4"/>
      <c r="Z3140" s="4"/>
      <c r="AA3140" s="4"/>
      <c r="AB3140" s="380" t="str">
        <f>VLOOKUP($B3140,'D7 - NDB Impacted SPRF''s'!$E$6:$O$9929,4,FALSE)</f>
        <v>Cancelled</v>
      </c>
      <c r="AC3140" s="380" t="str">
        <f>VLOOKUP($B3140,'D7 - NDB Impacted SPRF''s'!$E$6:$O$9929,3,FALSE)</f>
        <v>UnitedHealthcare Community &amp; State</v>
      </c>
      <c r="AD3140" s="380" t="str">
        <f>VLOOKUP($B3140,'D7 - NDB Impacted SPRF''s'!$E$6:$O$9929,5,FALSE)</f>
        <v>Membership Growth / Revenue Programs</v>
      </c>
      <c r="AE3140" s="380" t="str">
        <f>VLOOKUP($B3140,'D7 - NDB Impacted SPRF''s'!$E$6:$O$9929,7,FALSE)</f>
        <v>Scott Waulters</v>
      </c>
      <c r="AF3140" s="380" t="str">
        <f>VLOOKUP($B3140,'D7 - NDB Impacted SPRF''s'!$E$6:$O$9929,6,FALSE)</f>
        <v>Sharon Slotnick</v>
      </c>
      <c r="AG3140" s="282"/>
      <c r="AH3140" s="311" t="e">
        <f>INDEX('D5 - Gatekeeper - Projects'!$A$4:$AF$1010,$AM3140, 17)</f>
        <v>#N/A</v>
      </c>
      <c r="AI3140" s="8"/>
      <c r="AJ3140" s="57"/>
      <c r="AK3140" s="105"/>
      <c r="AM3140" s="6" t="e">
        <f>MATCH(D3140,'D5 - Gatekeeper - Projects'!$C$4:$C$1010,0)</f>
        <v>#N/A</v>
      </c>
      <c r="AN3140" s="6" t="b">
        <f t="shared" si="319"/>
        <v>1</v>
      </c>
      <c r="AO3140" s="6" t="str">
        <f t="shared" si="320"/>
        <v>OK</v>
      </c>
      <c r="AQ3140" s="6" t="e">
        <f>MATCH($D3140,'D4 - Provider Council Unsched'!$C$11:$C$234,0)</f>
        <v>#N/A</v>
      </c>
      <c r="AR3140" s="6" t="b">
        <f t="shared" si="321"/>
        <v>1</v>
      </c>
      <c r="AS3140" s="6" t="str">
        <f t="shared" si="322"/>
        <v>OK</v>
      </c>
      <c r="AU3140" s="202"/>
      <c r="AV3140" s="349" t="s">
        <v>3206</v>
      </c>
      <c r="AW3140" s="274"/>
    </row>
    <row r="3141" spans="1:49" s="13" customFormat="1" ht="33.75" x14ac:dyDescent="0.2">
      <c r="A3141" s="14">
        <v>3117</v>
      </c>
      <c r="B3141" s="8">
        <v>400052540</v>
      </c>
      <c r="C3141" s="8" t="s">
        <v>1447</v>
      </c>
      <c r="D3141" s="4" t="str">
        <f t="shared" si="323"/>
        <v>400052540A</v>
      </c>
      <c r="E3141" s="309" t="str">
        <f>VLOOKUP($B3141,'D7 - NDB Impacted SPRF''s'!$E$6:$O$9929,2,FALSE)</f>
        <v>271 7 Digit Group Number</v>
      </c>
      <c r="F3141" s="8"/>
      <c r="G3141" s="8" t="s">
        <v>4758</v>
      </c>
      <c r="H3141" s="8" t="s">
        <v>2870</v>
      </c>
      <c r="I3141" s="20"/>
      <c r="J3141" s="8"/>
      <c r="K3141" s="182"/>
      <c r="L3141" s="8" t="s">
        <v>4156</v>
      </c>
      <c r="M3141" s="8" t="s">
        <v>2814</v>
      </c>
      <c r="N3141" s="38" t="s">
        <v>127</v>
      </c>
      <c r="O3141" s="8"/>
      <c r="P3141" s="4" t="str">
        <f>VLOOKUP($B3141,'D7 - NDB Impacted SPRF''s'!$E$16:$O$9929,9,FALSE)</f>
        <v>Y</v>
      </c>
      <c r="Q3141" s="4" t="str">
        <f>VLOOKUP($B3141,'D7 - NDB Impacted SPRF''s'!$E$16:$O$9929,10,FALSE)</f>
        <v>N</v>
      </c>
      <c r="R3141" s="4" t="str">
        <f>VLOOKUP($B3141,'D7 - NDB Impacted SPRF''s'!$E$16:$O$9929,11,FALSE)</f>
        <v>N</v>
      </c>
      <c r="S3141" s="8"/>
      <c r="T3141" s="310"/>
      <c r="U3141" s="310"/>
      <c r="V3141" s="4"/>
      <c r="W3141" s="4"/>
      <c r="X3141" s="4"/>
      <c r="Y3141" s="4"/>
      <c r="Z3141" s="4"/>
      <c r="AA3141" s="4"/>
      <c r="AB3141" s="380" t="str">
        <f>VLOOKUP($B3141,'D7 - NDB Impacted SPRF''s'!$E$6:$O$9929,4,FALSE)</f>
        <v>Completed</v>
      </c>
      <c r="AC3141" s="380" t="str">
        <f>VLOOKUP($B3141,'D7 - NDB Impacted SPRF''s'!$E$6:$O$9929,3,FALSE)</f>
        <v>UnitedHealthcare Employer &amp; Individual</v>
      </c>
      <c r="AD3141" s="380" t="str">
        <f>VLOOKUP($B3141,'D7 - NDB Impacted SPRF''s'!$E$6:$O$9929,5,FALSE)</f>
        <v>Regulatory / Other</v>
      </c>
      <c r="AE3141" s="380" t="str">
        <f>VLOOKUP($B3141,'D7 - NDB Impacted SPRF''s'!$E$6:$O$9929,7,FALSE)</f>
        <v>Ross Lippincott</v>
      </c>
      <c r="AF3141" s="380" t="str">
        <f>VLOOKUP($B3141,'D7 - NDB Impacted SPRF''s'!$E$6:$O$9929,6,FALSE)</f>
        <v>Alexandria Nordstrom</v>
      </c>
      <c r="AG3141" s="282"/>
      <c r="AH3141" s="311" t="e">
        <f>INDEX('D5 - Gatekeeper - Projects'!$A$4:$AF$1010,$AM3141, 17)</f>
        <v>#N/A</v>
      </c>
      <c r="AI3141" s="8"/>
      <c r="AJ3141" s="57"/>
      <c r="AK3141" s="105"/>
      <c r="AM3141" s="6" t="e">
        <f>MATCH(D3141,'D5 - Gatekeeper - Projects'!$C$4:$C$1010,0)</f>
        <v>#N/A</v>
      </c>
      <c r="AN3141" s="6" t="b">
        <f t="shared" si="319"/>
        <v>1</v>
      </c>
      <c r="AO3141" s="6" t="str">
        <f t="shared" si="320"/>
        <v>OK</v>
      </c>
      <c r="AQ3141" s="6" t="e">
        <f>MATCH($D3141,'D4 - Provider Council Unsched'!$C$11:$C$234,0)</f>
        <v>#N/A</v>
      </c>
      <c r="AR3141" s="6" t="b">
        <f t="shared" si="321"/>
        <v>1</v>
      </c>
      <c r="AS3141" s="6" t="str">
        <f t="shared" si="322"/>
        <v>OK</v>
      </c>
      <c r="AU3141" s="202"/>
      <c r="AV3141" s="216" t="s">
        <v>610</v>
      </c>
      <c r="AW3141" s="274"/>
    </row>
    <row r="3142" spans="1:49" s="13" customFormat="1" ht="33.75" x14ac:dyDescent="0.2">
      <c r="A3142" s="14">
        <v>3118</v>
      </c>
      <c r="B3142" s="8">
        <v>400052576</v>
      </c>
      <c r="C3142" s="8" t="s">
        <v>1447</v>
      </c>
      <c r="D3142" s="4" t="str">
        <f t="shared" si="323"/>
        <v>400052576A</v>
      </c>
      <c r="E3142" s="309" t="str">
        <f>VLOOKUP($B3142,'D7 - NDB Impacted SPRF''s'!$E$6:$O$9929,2,FALSE)</f>
        <v xml:space="preserve">Medica Commerical Business- COSMOS MEC DIV </v>
      </c>
      <c r="F3142" s="8"/>
      <c r="G3142" s="8" t="s">
        <v>4758</v>
      </c>
      <c r="H3142" s="8" t="s">
        <v>2870</v>
      </c>
      <c r="I3142" s="20"/>
      <c r="J3142" s="8"/>
      <c r="K3142" s="182"/>
      <c r="L3142" s="8" t="s">
        <v>4156</v>
      </c>
      <c r="M3142" s="8" t="s">
        <v>2814</v>
      </c>
      <c r="N3142" s="38" t="s">
        <v>929</v>
      </c>
      <c r="O3142" s="8"/>
      <c r="P3142" s="4" t="str">
        <f>VLOOKUP($B3142,'D7 - NDB Impacted SPRF''s'!$E$16:$O$9929,9,FALSE)</f>
        <v>N</v>
      </c>
      <c r="Q3142" s="4" t="str">
        <f>VLOOKUP($B3142,'D7 - NDB Impacted SPRF''s'!$E$16:$O$9929,10,FALSE)</f>
        <v>N</v>
      </c>
      <c r="R3142" s="4" t="str">
        <f>VLOOKUP($B3142,'D7 - NDB Impacted SPRF''s'!$E$16:$O$9929,11,FALSE)</f>
        <v>Y</v>
      </c>
      <c r="S3142" s="8"/>
      <c r="T3142" s="310"/>
      <c r="U3142" s="310"/>
      <c r="V3142" s="4"/>
      <c r="W3142" s="4"/>
      <c r="X3142" s="4"/>
      <c r="Y3142" s="4"/>
      <c r="Z3142" s="4"/>
      <c r="AA3142" s="4"/>
      <c r="AB3142" s="380" t="str">
        <f>VLOOKUP($B3142,'D7 - NDB Impacted SPRF''s'!$E$6:$O$9929,4,FALSE)</f>
        <v>Cancelled</v>
      </c>
      <c r="AC3142" s="380" t="str">
        <f>VLOOKUP($B3142,'D7 - NDB Impacted SPRF''s'!$E$6:$O$9929,3,FALSE)</f>
        <v>UnitedHealthcare Employer &amp; Individual</v>
      </c>
      <c r="AD3142" s="380" t="str">
        <f>VLOOKUP($B3142,'D7 - NDB Impacted SPRF''s'!$E$6:$O$9929,5,FALSE)</f>
        <v>Customer Requirements</v>
      </c>
      <c r="AE3142" s="380" t="str">
        <f>VLOOKUP($B3142,'D7 - NDB Impacted SPRF''s'!$E$6:$O$9929,7,FALSE)</f>
        <v>Mimi Taylor</v>
      </c>
      <c r="AF3142" s="380" t="str">
        <f>VLOOKUP($B3142,'D7 - NDB Impacted SPRF''s'!$E$6:$O$9929,6,FALSE)</f>
        <v>Lori Zurlo</v>
      </c>
      <c r="AG3142" s="282"/>
      <c r="AH3142" s="311" t="e">
        <f>INDEX('D5 - Gatekeeper - Projects'!$A$4:$AF$1010,$AM3142, 17)</f>
        <v>#N/A</v>
      </c>
      <c r="AI3142" s="8"/>
      <c r="AJ3142" s="57"/>
      <c r="AK3142" s="105"/>
      <c r="AM3142" s="6" t="e">
        <f>MATCH(D3142,'D5 - Gatekeeper - Projects'!$C$4:$C$1010,0)</f>
        <v>#N/A</v>
      </c>
      <c r="AN3142" s="6" t="b">
        <f t="shared" si="319"/>
        <v>1</v>
      </c>
      <c r="AO3142" s="6" t="str">
        <f t="shared" si="320"/>
        <v>OK</v>
      </c>
      <c r="AQ3142" s="6" t="e">
        <f>MATCH($D3142,'D4 - Provider Council Unsched'!$C$11:$C$234,0)</f>
        <v>#N/A</v>
      </c>
      <c r="AR3142" s="6" t="b">
        <f t="shared" si="321"/>
        <v>1</v>
      </c>
      <c r="AS3142" s="6" t="str">
        <f t="shared" si="322"/>
        <v>OK</v>
      </c>
      <c r="AU3142" s="202"/>
      <c r="AV3142" s="216" t="s">
        <v>2236</v>
      </c>
      <c r="AW3142" s="274">
        <v>62683</v>
      </c>
    </row>
    <row r="3143" spans="1:49" s="13" customFormat="1" ht="33.75" x14ac:dyDescent="0.2">
      <c r="A3143" s="14">
        <v>3119</v>
      </c>
      <c r="B3143" s="8">
        <v>400052607</v>
      </c>
      <c r="C3143" s="8" t="s">
        <v>1447</v>
      </c>
      <c r="D3143" s="4" t="str">
        <f t="shared" si="323"/>
        <v>400052607A</v>
      </c>
      <c r="E3143" s="309" t="str">
        <f>VLOOKUP($B3143,'D7 - NDB Impacted SPRF''s'!$E$6:$O$9929,2,FALSE)</f>
        <v>Directory Hosp Accreditation status RV C&amp;S Plans</v>
      </c>
      <c r="F3143" s="8"/>
      <c r="G3143" s="8" t="s">
        <v>4758</v>
      </c>
      <c r="H3143" s="8" t="s">
        <v>2870</v>
      </c>
      <c r="I3143" s="20"/>
      <c r="J3143" s="8"/>
      <c r="K3143" s="182"/>
      <c r="L3143" s="8" t="s">
        <v>4156</v>
      </c>
      <c r="M3143" s="8" t="s">
        <v>2814</v>
      </c>
      <c r="N3143" s="38" t="s">
        <v>961</v>
      </c>
      <c r="O3143" s="8"/>
      <c r="P3143" s="4" t="str">
        <f>VLOOKUP($B3143,'D7 - NDB Impacted SPRF''s'!$E$16:$O$9929,9,FALSE)</f>
        <v>N</v>
      </c>
      <c r="Q3143" s="4" t="str">
        <f>VLOOKUP($B3143,'D7 - NDB Impacted SPRF''s'!$E$16:$O$9929,10,FALSE)</f>
        <v>N</v>
      </c>
      <c r="R3143" s="4" t="str">
        <f>VLOOKUP($B3143,'D7 - NDB Impacted SPRF''s'!$E$16:$O$9929,11,FALSE)</f>
        <v>N</v>
      </c>
      <c r="S3143" s="8"/>
      <c r="T3143" s="310"/>
      <c r="U3143" s="310"/>
      <c r="V3143" s="4"/>
      <c r="W3143" s="4"/>
      <c r="X3143" s="4"/>
      <c r="Y3143" s="4"/>
      <c r="Z3143" s="4"/>
      <c r="AA3143" s="4"/>
      <c r="AB3143" s="380" t="str">
        <f>VLOOKUP($B3143,'D7 - NDB Impacted SPRF''s'!$E$6:$O$9929,4,FALSE)</f>
        <v>Cancelled</v>
      </c>
      <c r="AC3143" s="380" t="str">
        <f>VLOOKUP($B3143,'D7 - NDB Impacted SPRF''s'!$E$6:$O$9929,3,FALSE)</f>
        <v>UnitedHealthcare Community &amp; State</v>
      </c>
      <c r="AD3143" s="380" t="str">
        <f>VLOOKUP($B3143,'D7 - NDB Impacted SPRF''s'!$E$6:$O$9929,5,FALSE)</f>
        <v>Regulatory / Other</v>
      </c>
      <c r="AE3143" s="380" t="str">
        <f>VLOOKUP($B3143,'D7 - NDB Impacted SPRF''s'!$E$6:$O$9929,7,FALSE)</f>
        <v>Bror Hultgren</v>
      </c>
      <c r="AF3143" s="380" t="str">
        <f>VLOOKUP($B3143,'D7 - NDB Impacted SPRF''s'!$E$6:$O$9929,6,FALSE)</f>
        <v>Kristine Klauer</v>
      </c>
      <c r="AG3143" s="282"/>
      <c r="AH3143" s="311" t="e">
        <f>INDEX('D5 - Gatekeeper - Projects'!$A$4:$AF$1010,$AM3143, 17)</f>
        <v>#N/A</v>
      </c>
      <c r="AI3143" s="8"/>
      <c r="AJ3143" s="57"/>
      <c r="AK3143" s="105"/>
      <c r="AM3143" s="6" t="e">
        <f>MATCH(D3143,'D5 - Gatekeeper - Projects'!$C$4:$C$1010,0)</f>
        <v>#N/A</v>
      </c>
      <c r="AN3143" s="6" t="b">
        <f t="shared" si="319"/>
        <v>1</v>
      </c>
      <c r="AO3143" s="6" t="str">
        <f t="shared" si="320"/>
        <v>OK</v>
      </c>
      <c r="AQ3143" s="6" t="e">
        <f>MATCH($D3143,'D4 - Provider Council Unsched'!$C$11:$C$234,0)</f>
        <v>#N/A</v>
      </c>
      <c r="AR3143" s="6" t="b">
        <f t="shared" si="321"/>
        <v>1</v>
      </c>
      <c r="AS3143" s="6" t="str">
        <f t="shared" si="322"/>
        <v>OK</v>
      </c>
      <c r="AU3143" s="202"/>
      <c r="AV3143" s="216" t="s">
        <v>2772</v>
      </c>
      <c r="AW3143" s="274"/>
    </row>
    <row r="3144" spans="1:49" s="13" customFormat="1" ht="33.75" x14ac:dyDescent="0.2">
      <c r="A3144" s="14">
        <v>3120</v>
      </c>
      <c r="B3144" s="8">
        <v>400052617</v>
      </c>
      <c r="C3144" s="8" t="s">
        <v>1447</v>
      </c>
      <c r="D3144" s="4" t="str">
        <f t="shared" si="323"/>
        <v>400052617A</v>
      </c>
      <c r="E3144" s="309" t="str">
        <f>VLOOKUP($B3144,'D7 - NDB Impacted SPRF''s'!$E$6:$O$9929,2,FALSE)</f>
        <v>Electronic Group returns for NICE</v>
      </c>
      <c r="F3144" s="8"/>
      <c r="G3144" s="8" t="s">
        <v>4758</v>
      </c>
      <c r="H3144" s="8" t="s">
        <v>2870</v>
      </c>
      <c r="I3144" s="20"/>
      <c r="J3144" s="8"/>
      <c r="K3144" s="182"/>
      <c r="L3144" s="8" t="s">
        <v>4156</v>
      </c>
      <c r="M3144" s="8" t="s">
        <v>2814</v>
      </c>
      <c r="N3144" s="38" t="s">
        <v>8018</v>
      </c>
      <c r="O3144" s="8"/>
      <c r="P3144" s="4" t="str">
        <f>VLOOKUP($B3144,'D7 - NDB Impacted SPRF''s'!$E$16:$O$9929,9,FALSE)</f>
        <v>N</v>
      </c>
      <c r="Q3144" s="4" t="str">
        <f>VLOOKUP($B3144,'D7 - NDB Impacted SPRF''s'!$E$16:$O$9929,10,FALSE)</f>
        <v>N</v>
      </c>
      <c r="R3144" s="4" t="str">
        <f>VLOOKUP($B3144,'D7 - NDB Impacted SPRF''s'!$E$16:$O$9929,11,FALSE)</f>
        <v>N</v>
      </c>
      <c r="S3144" s="8"/>
      <c r="T3144" s="310"/>
      <c r="U3144" s="310"/>
      <c r="V3144" s="4"/>
      <c r="W3144" s="4"/>
      <c r="X3144" s="4"/>
      <c r="Y3144" s="4"/>
      <c r="Z3144" s="4"/>
      <c r="AA3144" s="4"/>
      <c r="AB3144" s="380" t="str">
        <f>VLOOKUP($B3144,'D7 - NDB Impacted SPRF''s'!$E$6:$O$9929,4,FALSE)</f>
        <v>In Funding</v>
      </c>
      <c r="AC3144" s="380" t="str">
        <f>VLOOKUP($B3144,'D7 - NDB Impacted SPRF''s'!$E$6:$O$9929,3,FALSE)</f>
        <v>UnitedHealthcare Employer &amp; Individual</v>
      </c>
      <c r="AD3144" s="380" t="str">
        <f>VLOOKUP($B3144,'D7 - NDB Impacted SPRF''s'!$E$6:$O$9929,5,FALSE)</f>
        <v>Operational Requirements</v>
      </c>
      <c r="AE3144" s="380" t="str">
        <f>VLOOKUP($B3144,'D7 - NDB Impacted SPRF''s'!$E$6:$O$9929,7,FALSE)</f>
        <v>Claire Hannan</v>
      </c>
      <c r="AF3144" s="380" t="str">
        <f>VLOOKUP($B3144,'D7 - NDB Impacted SPRF''s'!$E$6:$O$9929,6,FALSE)</f>
        <v>SANDRA MAULDEN</v>
      </c>
      <c r="AG3144" s="282"/>
      <c r="AH3144" s="311" t="e">
        <f>INDEX('D5 - Gatekeeper - Projects'!$A$4:$AF$1010,$AM3144, 17)</f>
        <v>#N/A</v>
      </c>
      <c r="AI3144" s="8"/>
      <c r="AJ3144" s="57"/>
      <c r="AK3144" s="105"/>
      <c r="AM3144" s="6" t="e">
        <f>MATCH(D3144,'D5 - Gatekeeper - Projects'!$C$4:$C$1010,0)</f>
        <v>#N/A</v>
      </c>
      <c r="AN3144" s="6" t="b">
        <f t="shared" si="319"/>
        <v>1</v>
      </c>
      <c r="AO3144" s="6" t="str">
        <f t="shared" si="320"/>
        <v>OK</v>
      </c>
      <c r="AQ3144" s="6" t="e">
        <f>MATCH($D3144,'D4 - Provider Council Unsched'!$C$11:$C$234,0)</f>
        <v>#N/A</v>
      </c>
      <c r="AR3144" s="6" t="b">
        <f t="shared" si="321"/>
        <v>1</v>
      </c>
      <c r="AS3144" s="6" t="str">
        <f t="shared" si="322"/>
        <v>OK</v>
      </c>
      <c r="AU3144" s="202"/>
      <c r="AV3144" s="216" t="s">
        <v>611</v>
      </c>
      <c r="AW3144" s="274"/>
    </row>
    <row r="3145" spans="1:49" s="13" customFormat="1" ht="33.75" x14ac:dyDescent="0.2">
      <c r="A3145" s="14">
        <v>3121</v>
      </c>
      <c r="B3145" s="8">
        <v>400052759</v>
      </c>
      <c r="C3145" s="8" t="s">
        <v>1447</v>
      </c>
      <c r="D3145" s="4" t="str">
        <f t="shared" si="323"/>
        <v>400052759A</v>
      </c>
      <c r="E3145" s="309" t="str">
        <f>VLOOKUP($B3145,'D7 - NDB Impacted SPRF''s'!$E$6:$O$9929,2,FALSE)</f>
        <v>Longmont United Hospital Modified B1 file</v>
      </c>
      <c r="F3145" s="8"/>
      <c r="G3145" s="8" t="s">
        <v>4758</v>
      </c>
      <c r="H3145" s="8" t="s">
        <v>2870</v>
      </c>
      <c r="I3145" s="20"/>
      <c r="J3145" s="8"/>
      <c r="K3145" s="182"/>
      <c r="L3145" s="8" t="s">
        <v>4156</v>
      </c>
      <c r="M3145" s="8" t="s">
        <v>2814</v>
      </c>
      <c r="N3145" s="38" t="s">
        <v>8030</v>
      </c>
      <c r="O3145" s="8"/>
      <c r="P3145" s="4" t="str">
        <f>VLOOKUP($B3145,'D7 - NDB Impacted SPRF''s'!$E$16:$O$9929,9,FALSE)</f>
        <v>Y</v>
      </c>
      <c r="Q3145" s="4" t="str">
        <f>VLOOKUP($B3145,'D7 - NDB Impacted SPRF''s'!$E$16:$O$9929,10,FALSE)</f>
        <v>N</v>
      </c>
      <c r="R3145" s="4" t="str">
        <f>VLOOKUP($B3145,'D7 - NDB Impacted SPRF''s'!$E$16:$O$9929,11,FALSE)</f>
        <v>N</v>
      </c>
      <c r="S3145" s="8"/>
      <c r="T3145" s="310"/>
      <c r="U3145" s="310"/>
      <c r="V3145" s="4"/>
      <c r="W3145" s="4"/>
      <c r="X3145" s="4"/>
      <c r="Y3145" s="4"/>
      <c r="Z3145" s="4"/>
      <c r="AA3145" s="4"/>
      <c r="AB3145" s="380" t="str">
        <f>VLOOKUP($B3145,'D7 - NDB Impacted SPRF''s'!$E$6:$O$9929,4,FALSE)</f>
        <v>Cancelled</v>
      </c>
      <c r="AC3145" s="380" t="str">
        <f>VLOOKUP($B3145,'D7 - NDB Impacted SPRF''s'!$E$6:$O$9929,3,FALSE)</f>
        <v>UnitedHealthcare Employer &amp; Individual</v>
      </c>
      <c r="AD3145" s="380" t="str">
        <f>VLOOKUP($B3145,'D7 - NDB Impacted SPRF''s'!$E$6:$O$9929,5,FALSE)</f>
        <v>Customer Requirements</v>
      </c>
      <c r="AE3145" s="380" t="str">
        <f>VLOOKUP($B3145,'D7 - NDB Impacted SPRF''s'!$E$6:$O$9929,7,FALSE)</f>
        <v>Stephen Scheneman</v>
      </c>
      <c r="AF3145" s="380" t="str">
        <f>VLOOKUP($B3145,'D7 - NDB Impacted SPRF''s'!$E$6:$O$9929,6,FALSE)</f>
        <v>Dianna Hamilton</v>
      </c>
      <c r="AG3145" s="282"/>
      <c r="AH3145" s="311" t="e">
        <f>INDEX('D5 - Gatekeeper - Projects'!$A$4:$AF$1010,$AM3145, 17)</f>
        <v>#N/A</v>
      </c>
      <c r="AI3145" s="8"/>
      <c r="AJ3145" s="57"/>
      <c r="AK3145" s="105"/>
      <c r="AM3145" s="6" t="e">
        <f>MATCH(D3145,'D5 - Gatekeeper - Projects'!$C$4:$C$1010,0)</f>
        <v>#N/A</v>
      </c>
      <c r="AN3145" s="6" t="b">
        <f t="shared" si="319"/>
        <v>1</v>
      </c>
      <c r="AO3145" s="6" t="str">
        <f t="shared" si="320"/>
        <v>OK</v>
      </c>
      <c r="AQ3145" s="6" t="e">
        <f>MATCH($D3145,'D4 - Provider Council Unsched'!$C$11:$C$234,0)</f>
        <v>#N/A</v>
      </c>
      <c r="AR3145" s="6" t="b">
        <f t="shared" si="321"/>
        <v>1</v>
      </c>
      <c r="AS3145" s="6" t="str">
        <f t="shared" si="322"/>
        <v>OK</v>
      </c>
      <c r="AU3145" s="202"/>
      <c r="AV3145" s="349" t="s">
        <v>2157</v>
      </c>
      <c r="AW3145" s="274"/>
    </row>
    <row r="3146" spans="1:49" s="13" customFormat="1" ht="33.75" x14ac:dyDescent="0.2">
      <c r="A3146" s="14">
        <v>3122</v>
      </c>
      <c r="B3146" s="8">
        <v>400052785</v>
      </c>
      <c r="C3146" s="8" t="s">
        <v>1447</v>
      </c>
      <c r="D3146" s="4" t="str">
        <f t="shared" si="323"/>
        <v>400052785A</v>
      </c>
      <c r="E3146" s="309" t="str">
        <f>VLOOKUP($B3146,'D7 - NDB Impacted SPRF''s'!$E$6:$O$9929,2,FALSE)</f>
        <v xml:space="preserve">GE Thomson File layout changes - </v>
      </c>
      <c r="F3146" s="8"/>
      <c r="G3146" s="8" t="s">
        <v>4758</v>
      </c>
      <c r="H3146" s="8" t="s">
        <v>2870</v>
      </c>
      <c r="I3146" s="20"/>
      <c r="J3146" s="8"/>
      <c r="K3146" s="182"/>
      <c r="L3146" s="8" t="s">
        <v>4156</v>
      </c>
      <c r="M3146" s="8" t="s">
        <v>2814</v>
      </c>
      <c r="N3146" s="38" t="s">
        <v>9374</v>
      </c>
      <c r="O3146" s="8"/>
      <c r="P3146" s="4" t="str">
        <f>VLOOKUP($B3146,'D7 - NDB Impacted SPRF''s'!$E$16:$O$9929,9,FALSE)</f>
        <v>N</v>
      </c>
      <c r="Q3146" s="4" t="str">
        <f>VLOOKUP($B3146,'D7 - NDB Impacted SPRF''s'!$E$16:$O$9929,10,FALSE)</f>
        <v>N</v>
      </c>
      <c r="R3146" s="4" t="str">
        <f>VLOOKUP($B3146,'D7 - NDB Impacted SPRF''s'!$E$16:$O$9929,11,FALSE)</f>
        <v>N</v>
      </c>
      <c r="S3146" s="8"/>
      <c r="T3146" s="310"/>
      <c r="U3146" s="310"/>
      <c r="V3146" s="4"/>
      <c r="W3146" s="4"/>
      <c r="X3146" s="4"/>
      <c r="Y3146" s="4"/>
      <c r="Z3146" s="4"/>
      <c r="AA3146" s="4"/>
      <c r="AB3146" s="380" t="str">
        <f>VLOOKUP($B3146,'D7 - NDB Impacted SPRF''s'!$E$6:$O$9929,4,FALSE)</f>
        <v>Cancelled</v>
      </c>
      <c r="AC3146" s="380" t="str">
        <f>VLOOKUP($B3146,'D7 - NDB Impacted SPRF''s'!$E$6:$O$9929,3,FALSE)</f>
        <v>UnitedHealthcare Employer &amp; Individual</v>
      </c>
      <c r="AD3146" s="380" t="str">
        <f>VLOOKUP($B3146,'D7 - NDB Impacted SPRF''s'!$E$6:$O$9929,5,FALSE)</f>
        <v>Customer Requirements</v>
      </c>
      <c r="AE3146" s="380" t="str">
        <f>VLOOKUP($B3146,'D7 - NDB Impacted SPRF''s'!$E$6:$O$9929,7,FALSE)</f>
        <v>Cravero</v>
      </c>
      <c r="AF3146" s="380" t="str">
        <f>VLOOKUP($B3146,'D7 - NDB Impacted SPRF''s'!$E$6:$O$9929,6,FALSE)</f>
        <v>STALEY CHERYL</v>
      </c>
      <c r="AG3146" s="282"/>
      <c r="AH3146" s="311" t="e">
        <f>INDEX('D5 - Gatekeeper - Projects'!$A$4:$AF$1010,$AM3146, 17)</f>
        <v>#N/A</v>
      </c>
      <c r="AI3146" s="8"/>
      <c r="AJ3146" s="57"/>
      <c r="AK3146" s="105"/>
      <c r="AM3146" s="6" t="e">
        <f>MATCH(D3146,'D5 - Gatekeeper - Projects'!$C$4:$C$1010,0)</f>
        <v>#N/A</v>
      </c>
      <c r="AN3146" s="6" t="b">
        <f t="shared" si="319"/>
        <v>1</v>
      </c>
      <c r="AO3146" s="6" t="str">
        <f t="shared" si="320"/>
        <v>OK</v>
      </c>
      <c r="AQ3146" s="6" t="e">
        <f>MATCH($D3146,'D4 - Provider Council Unsched'!$C$11:$C$234,0)</f>
        <v>#N/A</v>
      </c>
      <c r="AR3146" s="6" t="b">
        <f t="shared" si="321"/>
        <v>1</v>
      </c>
      <c r="AS3146" s="6" t="str">
        <f t="shared" si="322"/>
        <v>OK</v>
      </c>
      <c r="AU3146" s="202"/>
      <c r="AV3146" s="216" t="s">
        <v>484</v>
      </c>
      <c r="AW3146" s="287"/>
    </row>
    <row r="3147" spans="1:49" s="13" customFormat="1" ht="33.75" x14ac:dyDescent="0.2">
      <c r="A3147" s="14">
        <v>3123</v>
      </c>
      <c r="B3147" s="8">
        <v>400052833</v>
      </c>
      <c r="C3147" s="8" t="s">
        <v>1447</v>
      </c>
      <c r="D3147" s="4" t="str">
        <f t="shared" si="323"/>
        <v>400052833A</v>
      </c>
      <c r="E3147" s="309" t="str">
        <f>VLOOKUP($B3147,'D7 - NDB Impacted SPRF''s'!$E$6:$O$9929,2,FALSE)</f>
        <v>Heritage Access to National Chiro and Claims mng</v>
      </c>
      <c r="F3147" s="8"/>
      <c r="G3147" s="8" t="s">
        <v>4758</v>
      </c>
      <c r="H3147" s="8" t="s">
        <v>2870</v>
      </c>
      <c r="I3147" s="20"/>
      <c r="J3147" s="8"/>
      <c r="K3147" s="182"/>
      <c r="L3147" s="8" t="s">
        <v>4156</v>
      </c>
      <c r="M3147" s="8" t="s">
        <v>2814</v>
      </c>
      <c r="N3147" s="38" t="s">
        <v>3499</v>
      </c>
      <c r="O3147" s="8"/>
      <c r="P3147" s="4" t="str">
        <f>VLOOKUP($B3147,'D7 - NDB Impacted SPRF''s'!$E$16:$O$9929,9,FALSE)</f>
        <v>N</v>
      </c>
      <c r="Q3147" s="4" t="str">
        <f>VLOOKUP($B3147,'D7 - NDB Impacted SPRF''s'!$E$16:$O$9929,10,FALSE)</f>
        <v>N</v>
      </c>
      <c r="R3147" s="4" t="str">
        <f>VLOOKUP($B3147,'D7 - NDB Impacted SPRF''s'!$E$16:$O$9929,11,FALSE)</f>
        <v>Y</v>
      </c>
      <c r="S3147" s="8"/>
      <c r="T3147" s="310"/>
      <c r="U3147" s="310"/>
      <c r="V3147" s="4"/>
      <c r="W3147" s="4"/>
      <c r="X3147" s="4"/>
      <c r="Y3147" s="4"/>
      <c r="Z3147" s="4"/>
      <c r="AA3147" s="4"/>
      <c r="AB3147" s="380" t="str">
        <f>VLOOKUP($B3147,'D7 - NDB Impacted SPRF''s'!$E$6:$O$9929,4,FALSE)</f>
        <v>Cancelled</v>
      </c>
      <c r="AC3147" s="380" t="str">
        <f>VLOOKUP($B3147,'D7 - NDB Impacted SPRF''s'!$E$6:$O$9929,3,FALSE)</f>
        <v>UnitedHealthcare Employer &amp; Individual</v>
      </c>
      <c r="AD3147" s="380" t="str">
        <f>VLOOKUP($B3147,'D7 - NDB Impacted SPRF''s'!$E$6:$O$9929,5,FALSE)</f>
        <v>Operational Requirements</v>
      </c>
      <c r="AE3147" s="380" t="str">
        <f>VLOOKUP($B3147,'D7 - NDB Impacted SPRF''s'!$E$6:$O$9929,7,FALSE)</f>
        <v>Dan Kueter</v>
      </c>
      <c r="AF3147" s="380" t="str">
        <f>VLOOKUP($B3147,'D7 - NDB Impacted SPRF''s'!$E$6:$O$9929,6,FALSE)</f>
        <v>Judith Blake</v>
      </c>
      <c r="AG3147" s="282"/>
      <c r="AH3147" s="311" t="e">
        <f>INDEX('D5 - Gatekeeper - Projects'!$A$4:$AF$1010,$AM3147, 17)</f>
        <v>#N/A</v>
      </c>
      <c r="AI3147" s="8"/>
      <c r="AJ3147" s="57"/>
      <c r="AK3147" s="105"/>
      <c r="AM3147" s="6" t="e">
        <f>MATCH(D3147,'D5 - Gatekeeper - Projects'!$C$4:$C$1010,0)</f>
        <v>#N/A</v>
      </c>
      <c r="AN3147" s="6" t="b">
        <f t="shared" si="319"/>
        <v>1</v>
      </c>
      <c r="AO3147" s="6" t="str">
        <f t="shared" si="320"/>
        <v>OK</v>
      </c>
      <c r="AQ3147" s="6" t="e">
        <f>MATCH($D3147,'D4 - Provider Council Unsched'!$C$11:$C$234,0)</f>
        <v>#N/A</v>
      </c>
      <c r="AR3147" s="6" t="b">
        <f t="shared" si="321"/>
        <v>1</v>
      </c>
      <c r="AS3147" s="6" t="str">
        <f t="shared" si="322"/>
        <v>OK</v>
      </c>
      <c r="AU3147" s="202"/>
      <c r="AV3147" s="216" t="s">
        <v>1128</v>
      </c>
      <c r="AW3147" s="274"/>
    </row>
    <row r="3148" spans="1:49" s="13" customFormat="1" ht="33.75" x14ac:dyDescent="0.2">
      <c r="A3148" s="14">
        <v>3124</v>
      </c>
      <c r="B3148" s="8">
        <v>400052853</v>
      </c>
      <c r="C3148" s="8" t="s">
        <v>1447</v>
      </c>
      <c r="D3148" s="4" t="str">
        <f t="shared" si="323"/>
        <v>400052853A</v>
      </c>
      <c r="E3148" s="309" t="str">
        <f>VLOOKUP($B3148,'D7 - NDB Impacted SPRF''s'!$E$6:$O$9929,2,FALSE)</f>
        <v>Provider Issues - NDB Changes - Q4 2012</v>
      </c>
      <c r="F3148" s="8"/>
      <c r="G3148" s="8" t="s">
        <v>4758</v>
      </c>
      <c r="H3148" s="8" t="s">
        <v>2870</v>
      </c>
      <c r="I3148" s="20"/>
      <c r="J3148" s="8"/>
      <c r="K3148" s="182"/>
      <c r="L3148" s="8" t="s">
        <v>4156</v>
      </c>
      <c r="M3148" s="8" t="s">
        <v>2814</v>
      </c>
      <c r="N3148" s="38" t="s">
        <v>8019</v>
      </c>
      <c r="O3148" s="8"/>
      <c r="P3148" s="4" t="str">
        <f>VLOOKUP($B3148,'D7 - NDB Impacted SPRF''s'!$E$16:$O$9929,9,FALSE)</f>
        <v>N</v>
      </c>
      <c r="Q3148" s="4" t="str">
        <f>VLOOKUP($B3148,'D7 - NDB Impacted SPRF''s'!$E$16:$O$9929,10,FALSE)</f>
        <v>N</v>
      </c>
      <c r="R3148" s="4" t="str">
        <f>VLOOKUP($B3148,'D7 - NDB Impacted SPRF''s'!$E$16:$O$9929,11,FALSE)</f>
        <v>N</v>
      </c>
      <c r="S3148" s="8"/>
      <c r="T3148" s="310"/>
      <c r="U3148" s="310"/>
      <c r="V3148" s="4"/>
      <c r="W3148" s="4"/>
      <c r="X3148" s="4"/>
      <c r="Y3148" s="4"/>
      <c r="Z3148" s="4"/>
      <c r="AA3148" s="4"/>
      <c r="AB3148" s="380" t="str">
        <f>VLOOKUP($B3148,'D7 - NDB Impacted SPRF''s'!$E$6:$O$9929,4,FALSE)</f>
        <v>In Program Manager Request Review</v>
      </c>
      <c r="AC3148" s="380" t="str">
        <f>VLOOKUP($B3148,'D7 - NDB Impacted SPRF''s'!$E$6:$O$9929,3,FALSE)</f>
        <v>UnitedHealthcare Medicare &amp; Retirement</v>
      </c>
      <c r="AD3148" s="380" t="str">
        <f>VLOOKUP($B3148,'D7 - NDB Impacted SPRF''s'!$E$6:$O$9929,5,FALSE)</f>
        <v>Medical Cost Savings Programs</v>
      </c>
      <c r="AE3148" s="380" t="str">
        <f>VLOOKUP($B3148,'D7 - NDB Impacted SPRF''s'!$E$6:$O$9929,7,FALSE)</f>
        <v>Nelson, Sheila M</v>
      </c>
      <c r="AF3148" s="380" t="str">
        <f>VLOOKUP($B3148,'D7 - NDB Impacted SPRF''s'!$E$6:$O$9929,6,FALSE)</f>
        <v>Manoj Viswanathan</v>
      </c>
      <c r="AG3148" s="282"/>
      <c r="AH3148" s="311" t="e">
        <f>INDEX('D5 - Gatekeeper - Projects'!$A$4:$AF$1010,$AM3148, 17)</f>
        <v>#N/A</v>
      </c>
      <c r="AI3148" s="8"/>
      <c r="AJ3148" s="57"/>
      <c r="AK3148" s="105"/>
      <c r="AM3148" s="6" t="e">
        <f>MATCH(D3148,'D5 - Gatekeeper - Projects'!$C$4:$C$1010,0)</f>
        <v>#N/A</v>
      </c>
      <c r="AN3148" s="6" t="b">
        <f t="shared" si="319"/>
        <v>1</v>
      </c>
      <c r="AO3148" s="6" t="str">
        <f t="shared" si="320"/>
        <v>OK</v>
      </c>
      <c r="AQ3148" s="6" t="e">
        <f>MATCH($D3148,'D4 - Provider Council Unsched'!$C$11:$C$234,0)</f>
        <v>#N/A</v>
      </c>
      <c r="AR3148" s="6" t="b">
        <f t="shared" si="321"/>
        <v>1</v>
      </c>
      <c r="AS3148" s="6" t="str">
        <f t="shared" si="322"/>
        <v>OK</v>
      </c>
      <c r="AU3148" s="202"/>
      <c r="AV3148" s="216"/>
      <c r="AW3148" s="274"/>
    </row>
    <row r="3149" spans="1:49" s="13" customFormat="1" ht="33.75" x14ac:dyDescent="0.2">
      <c r="A3149" s="14">
        <v>3125</v>
      </c>
      <c r="B3149" s="8">
        <v>400052855</v>
      </c>
      <c r="C3149" s="8" t="s">
        <v>1447</v>
      </c>
      <c r="D3149" s="4" t="str">
        <f t="shared" si="323"/>
        <v>400052855A</v>
      </c>
      <c r="E3149" s="309" t="str">
        <f>VLOOKUP($B3149,'D7 - NDB Impacted SPRF''s'!$E$6:$O$9929,2,FALSE)</f>
        <v>Provider Issues - B2X Changes - Q1 2013</v>
      </c>
      <c r="F3149" s="8"/>
      <c r="G3149" s="8" t="s">
        <v>4758</v>
      </c>
      <c r="H3149" s="8" t="s">
        <v>2870</v>
      </c>
      <c r="I3149" s="20"/>
      <c r="J3149" s="8"/>
      <c r="K3149" s="182"/>
      <c r="L3149" s="8" t="s">
        <v>4156</v>
      </c>
      <c r="M3149" s="8" t="s">
        <v>2814</v>
      </c>
      <c r="N3149" s="38"/>
      <c r="O3149" s="8"/>
      <c r="P3149" s="4" t="str">
        <f>VLOOKUP($B3149,'D7 - NDB Impacted SPRF''s'!$E$16:$O$9929,9,FALSE)</f>
        <v>N</v>
      </c>
      <c r="Q3149" s="4" t="str">
        <f>VLOOKUP($B3149,'D7 - NDB Impacted SPRF''s'!$E$16:$O$9929,10,FALSE)</f>
        <v>N</v>
      </c>
      <c r="R3149" s="4" t="str">
        <f>VLOOKUP($B3149,'D7 - NDB Impacted SPRF''s'!$E$16:$O$9929,11,FALSE)</f>
        <v>N</v>
      </c>
      <c r="S3149" s="8"/>
      <c r="T3149" s="310"/>
      <c r="U3149" s="310"/>
      <c r="V3149" s="4"/>
      <c r="W3149" s="4"/>
      <c r="X3149" s="4"/>
      <c r="Y3149" s="4"/>
      <c r="Z3149" s="4"/>
      <c r="AA3149" s="4"/>
      <c r="AB3149" s="380" t="str">
        <f>VLOOKUP($B3149,'D7 - NDB Impacted SPRF''s'!$E$6:$O$9929,4,FALSE)</f>
        <v>Cancelled</v>
      </c>
      <c r="AC3149" s="380" t="str">
        <f>VLOOKUP($B3149,'D7 - NDB Impacted SPRF''s'!$E$6:$O$9929,3,FALSE)</f>
        <v>UnitedHealthcare Medicare &amp; Retirement</v>
      </c>
      <c r="AD3149" s="380" t="str">
        <f>VLOOKUP($B3149,'D7 - NDB Impacted SPRF''s'!$E$6:$O$9929,5,FALSE)</f>
        <v>Medical Cost Savings Programs</v>
      </c>
      <c r="AE3149" s="380" t="str">
        <f>VLOOKUP($B3149,'D7 - NDB Impacted SPRF''s'!$E$6:$O$9929,7,FALSE)</f>
        <v>Nelson, Sheila M</v>
      </c>
      <c r="AF3149" s="380" t="str">
        <f>VLOOKUP($B3149,'D7 - NDB Impacted SPRF''s'!$E$6:$O$9929,6,FALSE)</f>
        <v>Manoj Viswanathan</v>
      </c>
      <c r="AG3149" s="282"/>
      <c r="AH3149" s="311" t="e">
        <f>INDEX('D5 - Gatekeeper - Projects'!$A$4:$AF$1010,$AM3149, 17)</f>
        <v>#N/A</v>
      </c>
      <c r="AI3149" s="8"/>
      <c r="AJ3149" s="57"/>
      <c r="AK3149" s="105"/>
      <c r="AM3149" s="6" t="e">
        <f>MATCH(D3149,'D5 - Gatekeeper - Projects'!$C$4:$C$1010,0)</f>
        <v>#N/A</v>
      </c>
      <c r="AN3149" s="6" t="b">
        <f t="shared" si="319"/>
        <v>1</v>
      </c>
      <c r="AO3149" s="6" t="str">
        <f t="shared" si="320"/>
        <v>OK</v>
      </c>
      <c r="AQ3149" s="6" t="e">
        <f>MATCH($D3149,'D4 - Provider Council Unsched'!$C$11:$C$234,0)</f>
        <v>#N/A</v>
      </c>
      <c r="AR3149" s="6" t="b">
        <f t="shared" si="321"/>
        <v>1</v>
      </c>
      <c r="AS3149" s="6" t="str">
        <f t="shared" si="322"/>
        <v>OK</v>
      </c>
      <c r="AU3149" s="202"/>
      <c r="AV3149" s="348" t="s">
        <v>1080</v>
      </c>
      <c r="AW3149" s="274"/>
    </row>
    <row r="3150" spans="1:49" s="13" customFormat="1" ht="33.75" x14ac:dyDescent="0.2">
      <c r="A3150" s="14">
        <v>3126</v>
      </c>
      <c r="B3150" s="8">
        <v>400052856</v>
      </c>
      <c r="C3150" s="8" t="s">
        <v>1447</v>
      </c>
      <c r="D3150" s="4" t="str">
        <f t="shared" si="323"/>
        <v>400052856A</v>
      </c>
      <c r="E3150" s="309" t="str">
        <f>VLOOKUP($B3150,'D7 - NDB Impacted SPRF''s'!$E$6:$O$9929,2,FALSE)</f>
        <v>Provider Issues - ICUE Changes - Q1 2013</v>
      </c>
      <c r="F3150" s="8"/>
      <c r="G3150" s="8" t="s">
        <v>4758</v>
      </c>
      <c r="H3150" s="8" t="s">
        <v>2870</v>
      </c>
      <c r="I3150" s="20"/>
      <c r="J3150" s="8"/>
      <c r="K3150" s="182"/>
      <c r="L3150" s="8" t="s">
        <v>4156</v>
      </c>
      <c r="M3150" s="8" t="s">
        <v>2814</v>
      </c>
      <c r="N3150" s="38" t="s">
        <v>8019</v>
      </c>
      <c r="O3150" s="8"/>
      <c r="P3150" s="4" t="str">
        <f>VLOOKUP($B3150,'D7 - NDB Impacted SPRF''s'!$E$16:$O$9929,9,FALSE)</f>
        <v>N</v>
      </c>
      <c r="Q3150" s="4" t="str">
        <f>VLOOKUP($B3150,'D7 - NDB Impacted SPRF''s'!$E$16:$O$9929,10,FALSE)</f>
        <v>N</v>
      </c>
      <c r="R3150" s="4" t="str">
        <f>VLOOKUP($B3150,'D7 - NDB Impacted SPRF''s'!$E$16:$O$9929,11,FALSE)</f>
        <v>N</v>
      </c>
      <c r="S3150" s="8"/>
      <c r="T3150" s="310"/>
      <c r="U3150" s="310"/>
      <c r="V3150" s="4"/>
      <c r="W3150" s="4"/>
      <c r="X3150" s="4"/>
      <c r="Y3150" s="4"/>
      <c r="Z3150" s="4"/>
      <c r="AA3150" s="4"/>
      <c r="AB3150" s="380" t="str">
        <f>VLOOKUP($B3150,'D7 - NDB Impacted SPRF''s'!$E$6:$O$9929,4,FALSE)</f>
        <v>In Program Manager Request Review</v>
      </c>
      <c r="AC3150" s="380" t="str">
        <f>VLOOKUP($B3150,'D7 - NDB Impacted SPRF''s'!$E$6:$O$9929,3,FALSE)</f>
        <v>UnitedHealthcare Medicare &amp; Retirement</v>
      </c>
      <c r="AD3150" s="380" t="str">
        <f>VLOOKUP($B3150,'D7 - NDB Impacted SPRF''s'!$E$6:$O$9929,5,FALSE)</f>
        <v>Medical Cost Savings Programs</v>
      </c>
      <c r="AE3150" s="380" t="str">
        <f>VLOOKUP($B3150,'D7 - NDB Impacted SPRF''s'!$E$6:$O$9929,7,FALSE)</f>
        <v>Nelson, Sheila M</v>
      </c>
      <c r="AF3150" s="380" t="str">
        <f>VLOOKUP($B3150,'D7 - NDB Impacted SPRF''s'!$E$6:$O$9929,6,FALSE)</f>
        <v>Manoj Viswanathan</v>
      </c>
      <c r="AG3150" s="282"/>
      <c r="AH3150" s="311" t="e">
        <f>INDEX('D5 - Gatekeeper - Projects'!$A$4:$AF$1010,$AM3150, 17)</f>
        <v>#N/A</v>
      </c>
      <c r="AI3150" s="8"/>
      <c r="AJ3150" s="57"/>
      <c r="AK3150" s="105"/>
      <c r="AM3150" s="6" t="e">
        <f>MATCH(D3150,'D5 - Gatekeeper - Projects'!$C$4:$C$1010,0)</f>
        <v>#N/A</v>
      </c>
      <c r="AN3150" s="6" t="b">
        <f t="shared" ref="AN3150:AN3213" si="324">ISERROR(AM3150)</f>
        <v>1</v>
      </c>
      <c r="AO3150" s="6" t="str">
        <f t="shared" ref="AO3150:AO3213" si="325">IF(AND(H3150="1 - Scheduled",AN3150=TRUE),"Add","OK")</f>
        <v>OK</v>
      </c>
      <c r="AQ3150" s="6" t="e">
        <f>MATCH($D3150,'D4 - Provider Council Unsched'!$C$11:$C$234,0)</f>
        <v>#N/A</v>
      </c>
      <c r="AR3150" s="6" t="b">
        <f t="shared" ref="AR3150:AR3213" si="326">ISERROR(AQ3150)</f>
        <v>1</v>
      </c>
      <c r="AS3150" s="6" t="str">
        <f t="shared" si="322"/>
        <v>OK</v>
      </c>
      <c r="AU3150" s="202"/>
      <c r="AV3150" s="216"/>
      <c r="AW3150" s="274"/>
    </row>
    <row r="3151" spans="1:49" s="13" customFormat="1" ht="45" x14ac:dyDescent="0.2">
      <c r="A3151" s="14">
        <v>3127</v>
      </c>
      <c r="B3151" s="8">
        <v>400053186</v>
      </c>
      <c r="C3151" s="8" t="s">
        <v>1447</v>
      </c>
      <c r="D3151" s="4" t="str">
        <f t="shared" si="323"/>
        <v>400053186A</v>
      </c>
      <c r="E3151" s="309" t="str">
        <f>VLOOKUP($B3151,'D7 - NDB Impacted SPRF''s'!$E$6:$O$9929,2,FALSE)</f>
        <v>Claim 2.0 End-to-end Proof-of-Concept (Phase 0)</v>
      </c>
      <c r="F3151" s="8"/>
      <c r="G3151" s="8" t="s">
        <v>4758</v>
      </c>
      <c r="H3151" s="8" t="s">
        <v>2870</v>
      </c>
      <c r="I3151" s="20"/>
      <c r="J3151" s="8"/>
      <c r="K3151" s="182"/>
      <c r="L3151" s="8" t="s">
        <v>4156</v>
      </c>
      <c r="M3151" s="8" t="s">
        <v>2814</v>
      </c>
      <c r="N3151" s="38" t="s">
        <v>1309</v>
      </c>
      <c r="O3151" s="8"/>
      <c r="P3151" s="4" t="str">
        <f>VLOOKUP($B3151,'D7 - NDB Impacted SPRF''s'!$E$16:$O$9929,9,FALSE)</f>
        <v>Y</v>
      </c>
      <c r="Q3151" s="4" t="str">
        <f>VLOOKUP($B3151,'D7 - NDB Impacted SPRF''s'!$E$16:$O$9929,10,FALSE)</f>
        <v>N</v>
      </c>
      <c r="R3151" s="4" t="str">
        <f>VLOOKUP($B3151,'D7 - NDB Impacted SPRF''s'!$E$16:$O$9929,11,FALSE)</f>
        <v>N</v>
      </c>
      <c r="S3151" s="8"/>
      <c r="T3151" s="310"/>
      <c r="U3151" s="310"/>
      <c r="V3151" s="4"/>
      <c r="W3151" s="4"/>
      <c r="X3151" s="4"/>
      <c r="Y3151" s="4"/>
      <c r="Z3151" s="4"/>
      <c r="AA3151" s="4"/>
      <c r="AB3151" s="380" t="str">
        <f>VLOOKUP($B3151,'D7 - NDB Impacted SPRF''s'!$E$6:$O$9929,4,FALSE)</f>
        <v>Cancelled</v>
      </c>
      <c r="AC3151" s="380" t="str">
        <f>VLOOKUP($B3151,'D7 - NDB Impacted SPRF''s'!$E$6:$O$9929,3,FALSE)</f>
        <v>UHG IT - Enterprise Technology Services</v>
      </c>
      <c r="AD3151" s="380" t="str">
        <f>VLOOKUP($B3151,'D7 - NDB Impacted SPRF''s'!$E$6:$O$9929,5,FALSE)</f>
        <v>Strategic Initiatives</v>
      </c>
      <c r="AE3151" s="380" t="str">
        <f>VLOOKUP($B3151,'D7 - NDB Impacted SPRF''s'!$E$6:$O$9929,7,FALSE)</f>
        <v>Jim Becker</v>
      </c>
      <c r="AF3151" s="380" t="str">
        <f>VLOOKUP($B3151,'D7 - NDB Impacted SPRF''s'!$E$6:$O$9929,6,FALSE)</f>
        <v>AMELIA HINRICHS</v>
      </c>
      <c r="AG3151" s="282"/>
      <c r="AH3151" s="311" t="e">
        <f>INDEX('D5 - Gatekeeper - Projects'!$A$4:$AF$1010,$AM3151, 17)</f>
        <v>#N/A</v>
      </c>
      <c r="AI3151" s="8"/>
      <c r="AJ3151" s="57"/>
      <c r="AK3151" s="105"/>
      <c r="AM3151" s="6" t="e">
        <f>MATCH(D3151,'D5 - Gatekeeper - Projects'!$C$4:$C$1010,0)</f>
        <v>#N/A</v>
      </c>
      <c r="AN3151" s="6" t="b">
        <f t="shared" si="324"/>
        <v>1</v>
      </c>
      <c r="AO3151" s="6" t="str">
        <f t="shared" si="325"/>
        <v>OK</v>
      </c>
      <c r="AQ3151" s="6" t="e">
        <f>MATCH($D3151,'D4 - Provider Council Unsched'!$C$11:$C$234,0)</f>
        <v>#N/A</v>
      </c>
      <c r="AR3151" s="6" t="b">
        <f t="shared" si="326"/>
        <v>1</v>
      </c>
      <c r="AS3151" s="6" t="str">
        <f t="shared" si="322"/>
        <v>OK</v>
      </c>
      <c r="AU3151" s="202"/>
      <c r="AV3151" s="216" t="s">
        <v>1134</v>
      </c>
      <c r="AW3151" s="274"/>
    </row>
    <row r="3152" spans="1:49" s="13" customFormat="1" ht="67.5" x14ac:dyDescent="0.2">
      <c r="A3152" s="14">
        <v>204</v>
      </c>
      <c r="B3152" s="8">
        <v>400053772</v>
      </c>
      <c r="C3152" s="8" t="s">
        <v>1447</v>
      </c>
      <c r="D3152" s="4" t="str">
        <f t="shared" si="323"/>
        <v>400053772A</v>
      </c>
      <c r="E3152" s="309" t="str">
        <f>VLOOKUP($B3152,'D7 - NDB Impacted SPRF''s'!$E$6:$O$9929,2,FALSE)</f>
        <v xml:space="preserve">LA Provider Directory </v>
      </c>
      <c r="F3152" s="8"/>
      <c r="G3152" s="8" t="s">
        <v>4758</v>
      </c>
      <c r="H3152" s="8" t="s">
        <v>2870</v>
      </c>
      <c r="I3152" s="20"/>
      <c r="J3152" s="8"/>
      <c r="K3152" s="182"/>
      <c r="L3152" s="8" t="s">
        <v>4156</v>
      </c>
      <c r="M3152" s="8" t="s">
        <v>2814</v>
      </c>
      <c r="N3152" s="38" t="s">
        <v>9518</v>
      </c>
      <c r="O3152" s="8"/>
      <c r="P3152" s="4" t="str">
        <f>VLOOKUP($B3152,'D7 - NDB Impacted SPRF''s'!$E$16:$O$9929,9,FALSE)</f>
        <v>N</v>
      </c>
      <c r="Q3152" s="4" t="str">
        <f>VLOOKUP($B3152,'D7 - NDB Impacted SPRF''s'!$E$16:$O$9929,10,FALSE)</f>
        <v>N</v>
      </c>
      <c r="R3152" s="4" t="str">
        <f>VLOOKUP($B3152,'D7 - NDB Impacted SPRF''s'!$E$16:$O$9929,11,FALSE)</f>
        <v>N</v>
      </c>
      <c r="S3152" s="8"/>
      <c r="T3152" s="310"/>
      <c r="U3152" s="310"/>
      <c r="V3152" s="4"/>
      <c r="W3152" s="4"/>
      <c r="X3152" s="4"/>
      <c r="Y3152" s="4"/>
      <c r="Z3152" s="4"/>
      <c r="AA3152" s="4"/>
      <c r="AB3152" s="380" t="str">
        <f>VLOOKUP($B3152,'D7 - NDB Impacted SPRF''s'!$E$6:$O$9929,4,FALSE)</f>
        <v>In Strategy Council</v>
      </c>
      <c r="AC3152" s="380" t="str">
        <f>VLOOKUP($B3152,'D7 - NDB Impacted SPRF''s'!$E$6:$O$9929,3,FALSE)</f>
        <v>UnitedHealthcare Community &amp; State</v>
      </c>
      <c r="AD3152" s="380" t="str">
        <f>VLOOKUP($B3152,'D7 - NDB Impacted SPRF''s'!$E$6:$O$9929,5,FALSE)</f>
        <v>Regulatory / Other</v>
      </c>
      <c r="AE3152" s="380" t="str">
        <f>VLOOKUP($B3152,'D7 - NDB Impacted SPRF''s'!$E$6:$O$9929,7,FALSE)</f>
        <v>Kurt Johnson</v>
      </c>
      <c r="AF3152" s="380" t="str">
        <f>VLOOKUP($B3152,'D7 - NDB Impacted SPRF''s'!$E$6:$O$9929,6,FALSE)</f>
        <v>Christine Vall</v>
      </c>
      <c r="AG3152" s="282"/>
      <c r="AH3152" s="311" t="e">
        <f>INDEX('D5 - Gatekeeper - Projects'!$A$4:$AF$1010,$AM3152, 17)</f>
        <v>#N/A</v>
      </c>
      <c r="AI3152" s="8"/>
      <c r="AJ3152" s="57"/>
      <c r="AK3152" s="105"/>
      <c r="AM3152" s="6" t="e">
        <f>MATCH(D3152,'D5 - Gatekeeper - Projects'!$C$4:$C$1010,0)</f>
        <v>#N/A</v>
      </c>
      <c r="AN3152" s="6" t="b">
        <f t="shared" si="324"/>
        <v>1</v>
      </c>
      <c r="AO3152" s="6" t="str">
        <f t="shared" si="325"/>
        <v>OK</v>
      </c>
      <c r="AQ3152" s="6" t="e">
        <f>MATCH($D3152,'D4 - Provider Council Unsched'!$C$11:$C$234,0)</f>
        <v>#N/A</v>
      </c>
      <c r="AR3152" s="6" t="b">
        <f t="shared" si="326"/>
        <v>1</v>
      </c>
      <c r="AS3152" s="6" t="str">
        <f t="shared" si="322"/>
        <v>OK</v>
      </c>
      <c r="AU3152" s="202"/>
      <c r="AV3152" s="417" t="s">
        <v>470</v>
      </c>
      <c r="AW3152" s="319"/>
    </row>
    <row r="3153" spans="1:49" s="13" customFormat="1" ht="33.75" x14ac:dyDescent="0.2">
      <c r="A3153" s="14">
        <v>3128</v>
      </c>
      <c r="B3153" s="8">
        <v>400053861</v>
      </c>
      <c r="C3153" s="8" t="s">
        <v>1447</v>
      </c>
      <c r="D3153" s="4" t="str">
        <f t="shared" si="323"/>
        <v>400053861A</v>
      </c>
      <c r="E3153" s="309" t="str">
        <f>VLOOKUP($B3153,'D7 - NDB Impacted SPRF''s'!$E$6:$O$9929,2,FALSE)</f>
        <v>NDB Data Quality Pre-Assessment</v>
      </c>
      <c r="F3153" s="8"/>
      <c r="G3153" s="8" t="s">
        <v>4758</v>
      </c>
      <c r="H3153" s="8" t="s">
        <v>2870</v>
      </c>
      <c r="I3153" s="20"/>
      <c r="J3153" s="8"/>
      <c r="K3153" s="182"/>
      <c r="L3153" s="8" t="s">
        <v>4156</v>
      </c>
      <c r="M3153" s="8" t="s">
        <v>2814</v>
      </c>
      <c r="N3153" s="38" t="s">
        <v>960</v>
      </c>
      <c r="O3153" s="8"/>
      <c r="P3153" s="4" t="str">
        <f>VLOOKUP($B3153,'D7 - NDB Impacted SPRF''s'!$E$16:$O$9929,9,FALSE)</f>
        <v>N</v>
      </c>
      <c r="Q3153" s="4" t="str">
        <f>VLOOKUP($B3153,'D7 - NDB Impacted SPRF''s'!$E$16:$O$9929,10,FALSE)</f>
        <v>N</v>
      </c>
      <c r="R3153" s="4" t="str">
        <f>VLOOKUP($B3153,'D7 - NDB Impacted SPRF''s'!$E$16:$O$9929,11,FALSE)</f>
        <v>N</v>
      </c>
      <c r="S3153" s="8"/>
      <c r="T3153" s="310"/>
      <c r="U3153" s="310"/>
      <c r="V3153" s="4"/>
      <c r="W3153" s="4"/>
      <c r="X3153" s="4"/>
      <c r="Y3153" s="4"/>
      <c r="Z3153" s="4"/>
      <c r="AA3153" s="4"/>
      <c r="AB3153" s="380" t="str">
        <f>VLOOKUP($B3153,'D7 - NDB Impacted SPRF''s'!$E$6:$O$9929,4,FALSE)</f>
        <v>In Program Manager Request Review</v>
      </c>
      <c r="AC3153" s="380" t="str">
        <f>VLOOKUP($B3153,'D7 - NDB Impacted SPRF''s'!$E$6:$O$9929,3,FALSE)</f>
        <v>UnitedHealthcare Employer &amp; Individual</v>
      </c>
      <c r="AD3153" s="380" t="str">
        <f>VLOOKUP($B3153,'D7 - NDB Impacted SPRF''s'!$E$6:$O$9929,5,FALSE)</f>
        <v>Operational Requirements</v>
      </c>
      <c r="AE3153" s="380" t="str">
        <f>VLOOKUP($B3153,'D7 - NDB Impacted SPRF''s'!$E$6:$O$9929,7,FALSE)</f>
        <v>Eileen Dock</v>
      </c>
      <c r="AF3153" s="380" t="str">
        <f>VLOOKUP($B3153,'D7 - NDB Impacted SPRF''s'!$E$6:$O$9929,6,FALSE)</f>
        <v>Sharon Childs</v>
      </c>
      <c r="AG3153" s="282"/>
      <c r="AH3153" s="311" t="e">
        <f>INDEX('D5 - Gatekeeper - Projects'!$A$4:$AF$1010,$AM3153, 17)</f>
        <v>#N/A</v>
      </c>
      <c r="AI3153" s="8"/>
      <c r="AJ3153" s="57"/>
      <c r="AK3153" s="105"/>
      <c r="AM3153" s="6" t="e">
        <f>MATCH(D3153,'D5 - Gatekeeper - Projects'!$C$4:$C$1010,0)</f>
        <v>#N/A</v>
      </c>
      <c r="AN3153" s="6" t="b">
        <f t="shared" si="324"/>
        <v>1</v>
      </c>
      <c r="AO3153" s="6" t="str">
        <f t="shared" si="325"/>
        <v>OK</v>
      </c>
      <c r="AQ3153" s="6" t="e">
        <f>MATCH($D3153,'D4 - Provider Council Unsched'!$C$11:$C$234,0)</f>
        <v>#N/A</v>
      </c>
      <c r="AR3153" s="6" t="b">
        <f t="shared" si="326"/>
        <v>1</v>
      </c>
      <c r="AS3153" s="6" t="str">
        <f t="shared" si="322"/>
        <v>OK</v>
      </c>
      <c r="AU3153" s="202"/>
      <c r="AV3153" s="349" t="s">
        <v>442</v>
      </c>
      <c r="AW3153" s="274"/>
    </row>
    <row r="3154" spans="1:49" s="13" customFormat="1" ht="33.75" x14ac:dyDescent="0.2">
      <c r="A3154" s="14">
        <v>3129</v>
      </c>
      <c r="B3154" s="8">
        <v>400054133</v>
      </c>
      <c r="C3154" s="8" t="s">
        <v>1447</v>
      </c>
      <c r="D3154" s="4" t="str">
        <f t="shared" si="323"/>
        <v>400054133A</v>
      </c>
      <c r="E3154" s="309" t="str">
        <f>VLOOKUP($B3154,'D7 - NDB Impacted SPRF''s'!$E$6:$O$9929,2,FALSE)</f>
        <v>UHSS-GEHA.PCIP</v>
      </c>
      <c r="F3154" s="8"/>
      <c r="G3154" s="8" t="s">
        <v>4758</v>
      </c>
      <c r="H3154" s="8" t="s">
        <v>2870</v>
      </c>
      <c r="I3154" s="20"/>
      <c r="J3154" s="8"/>
      <c r="K3154" s="182"/>
      <c r="L3154" s="8" t="s">
        <v>4156</v>
      </c>
      <c r="M3154" s="8" t="s">
        <v>2814</v>
      </c>
      <c r="N3154" s="38" t="s">
        <v>3502</v>
      </c>
      <c r="O3154" s="8"/>
      <c r="P3154" s="4" t="str">
        <f>VLOOKUP($B3154,'D7 - NDB Impacted SPRF''s'!$E$16:$O$9929,9,FALSE)</f>
        <v>N</v>
      </c>
      <c r="Q3154" s="4" t="str">
        <f>VLOOKUP($B3154,'D7 - NDB Impacted SPRF''s'!$E$16:$O$9929,10,FALSE)</f>
        <v>N</v>
      </c>
      <c r="R3154" s="4" t="str">
        <f>VLOOKUP($B3154,'D7 - NDB Impacted SPRF''s'!$E$16:$O$9929,11,FALSE)</f>
        <v>Y</v>
      </c>
      <c r="S3154" s="8"/>
      <c r="T3154" s="310"/>
      <c r="U3154" s="310"/>
      <c r="V3154" s="4"/>
      <c r="W3154" s="4"/>
      <c r="X3154" s="4"/>
      <c r="Y3154" s="4"/>
      <c r="Z3154" s="4"/>
      <c r="AA3154" s="4"/>
      <c r="AB3154" s="380" t="str">
        <f>VLOOKUP($B3154,'D7 - NDB Impacted SPRF''s'!$E$6:$O$9929,4,FALSE)</f>
        <v>Scheduled</v>
      </c>
      <c r="AC3154" s="380" t="str">
        <f>VLOOKUP($B3154,'D7 - NDB Impacted SPRF''s'!$E$6:$O$9929,3,FALSE)</f>
        <v>UnitedHealthcare Employer &amp; Individual</v>
      </c>
      <c r="AD3154" s="380" t="str">
        <f>VLOOKUP($B3154,'D7 - NDB Impacted SPRF''s'!$E$6:$O$9929,5,FALSE)</f>
        <v>Customer Requirements</v>
      </c>
      <c r="AE3154" s="380" t="str">
        <f>VLOOKUP($B3154,'D7 - NDB Impacted SPRF''s'!$E$6:$O$9929,7,FALSE)</f>
        <v>Phil Buttress</v>
      </c>
      <c r="AF3154" s="380" t="str">
        <f>VLOOKUP($B3154,'D7 - NDB Impacted SPRF''s'!$E$6:$O$9929,6,FALSE)</f>
        <v>Rory Green</v>
      </c>
      <c r="AG3154" s="282"/>
      <c r="AH3154" s="311" t="e">
        <f>INDEX('D5 - Gatekeeper - Projects'!$A$4:$AF$1010,$AM3154, 17)</f>
        <v>#N/A</v>
      </c>
      <c r="AI3154" s="8"/>
      <c r="AJ3154" s="57"/>
      <c r="AK3154" s="105"/>
      <c r="AM3154" s="6" t="e">
        <f>MATCH(D3154,'D5 - Gatekeeper - Projects'!$C$4:$C$1010,0)</f>
        <v>#N/A</v>
      </c>
      <c r="AN3154" s="6" t="b">
        <f t="shared" si="324"/>
        <v>1</v>
      </c>
      <c r="AO3154" s="6" t="str">
        <f t="shared" si="325"/>
        <v>OK</v>
      </c>
      <c r="AQ3154" s="6" t="e">
        <f>MATCH($D3154,'D4 - Provider Council Unsched'!$C$11:$C$234,0)</f>
        <v>#N/A</v>
      </c>
      <c r="AR3154" s="6" t="b">
        <f t="shared" si="326"/>
        <v>1</v>
      </c>
      <c r="AS3154" s="6" t="str">
        <f t="shared" si="322"/>
        <v>OK</v>
      </c>
      <c r="AU3154" s="202"/>
      <c r="AV3154" s="349" t="s">
        <v>488</v>
      </c>
      <c r="AW3154" s="274"/>
    </row>
    <row r="3155" spans="1:49" s="13" customFormat="1" ht="33.75" x14ac:dyDescent="0.2">
      <c r="A3155" s="14">
        <v>3130</v>
      </c>
      <c r="B3155" s="8">
        <v>400054155</v>
      </c>
      <c r="C3155" s="8" t="s">
        <v>1447</v>
      </c>
      <c r="D3155" s="4" t="str">
        <f t="shared" si="323"/>
        <v>400054155A</v>
      </c>
      <c r="E3155" s="309" t="str">
        <f>VLOOKUP($B3155,'D7 - NDB Impacted SPRF''s'!$E$6:$O$9929,2,FALSE)</f>
        <v>NJ HP LTC Expansion - CSP Facets Migration</v>
      </c>
      <c r="F3155" s="8"/>
      <c r="G3155" s="8" t="s">
        <v>4758</v>
      </c>
      <c r="H3155" s="8" t="s">
        <v>2870</v>
      </c>
      <c r="I3155" s="20"/>
      <c r="J3155" s="8"/>
      <c r="K3155" s="182"/>
      <c r="L3155" s="8" t="s">
        <v>4156</v>
      </c>
      <c r="M3155" s="8" t="s">
        <v>2814</v>
      </c>
      <c r="N3155" s="38" t="s">
        <v>7420</v>
      </c>
      <c r="O3155" s="8"/>
      <c r="P3155" s="4" t="str">
        <f>VLOOKUP($B3155,'D7 - NDB Impacted SPRF''s'!$E$16:$O$9929,9,FALSE)</f>
        <v>N</v>
      </c>
      <c r="Q3155" s="4" t="str">
        <f>VLOOKUP($B3155,'D7 - NDB Impacted SPRF''s'!$E$16:$O$9929,10,FALSE)</f>
        <v>N</v>
      </c>
      <c r="R3155" s="4" t="str">
        <f>VLOOKUP($B3155,'D7 - NDB Impacted SPRF''s'!$E$16:$O$9929,11,FALSE)</f>
        <v>Y</v>
      </c>
      <c r="S3155" s="8"/>
      <c r="T3155" s="310"/>
      <c r="U3155" s="310"/>
      <c r="V3155" s="4"/>
      <c r="W3155" s="4"/>
      <c r="X3155" s="4"/>
      <c r="Y3155" s="4"/>
      <c r="Z3155" s="4"/>
      <c r="AA3155" s="4"/>
      <c r="AB3155" s="380" t="str">
        <f>VLOOKUP($B3155,'D7 - NDB Impacted SPRF''s'!$E$6:$O$9929,4,FALSE)</f>
        <v>Cancelled</v>
      </c>
      <c r="AC3155" s="380" t="str">
        <f>VLOOKUP($B3155,'D7 - NDB Impacted SPRF''s'!$E$6:$O$9929,3,FALSE)</f>
        <v>UnitedHealthcare Community &amp; State</v>
      </c>
      <c r="AD3155" s="380" t="str">
        <f>VLOOKUP($B3155,'D7 - NDB Impacted SPRF''s'!$E$6:$O$9929,5,FALSE)</f>
        <v>Integration Requirements</v>
      </c>
      <c r="AE3155" s="380" t="str">
        <f>VLOOKUP($B3155,'D7 - NDB Impacted SPRF''s'!$E$6:$O$9929,7,FALSE)</f>
        <v>Chris Scherer</v>
      </c>
      <c r="AF3155" s="380" t="str">
        <f>VLOOKUP($B3155,'D7 - NDB Impacted SPRF''s'!$E$6:$O$9929,6,FALSE)</f>
        <v>Dawn Ramos</v>
      </c>
      <c r="AG3155" s="282"/>
      <c r="AH3155" s="311" t="e">
        <f>INDEX('D5 - Gatekeeper - Projects'!$A$4:$AF$1010,$AM3155, 17)</f>
        <v>#N/A</v>
      </c>
      <c r="AI3155" s="8"/>
      <c r="AJ3155" s="57"/>
      <c r="AK3155" s="105"/>
      <c r="AM3155" s="6" t="e">
        <f>MATCH(D3155,'D5 - Gatekeeper - Projects'!$C$4:$C$1010,0)</f>
        <v>#N/A</v>
      </c>
      <c r="AN3155" s="6" t="b">
        <f t="shared" si="324"/>
        <v>1</v>
      </c>
      <c r="AO3155" s="6" t="str">
        <f t="shared" si="325"/>
        <v>OK</v>
      </c>
      <c r="AQ3155" s="6" t="e">
        <f>MATCH($D3155,'D4 - Provider Council Unsched'!$C$11:$C$234,0)</f>
        <v>#N/A</v>
      </c>
      <c r="AR3155" s="6" t="b">
        <f t="shared" si="326"/>
        <v>1</v>
      </c>
      <c r="AS3155" s="6" t="str">
        <f t="shared" si="322"/>
        <v>OK</v>
      </c>
      <c r="AU3155" s="202"/>
      <c r="AV3155" s="349" t="s">
        <v>1089</v>
      </c>
      <c r="AW3155" s="274"/>
    </row>
    <row r="3156" spans="1:49" s="13" customFormat="1" ht="33.75" x14ac:dyDescent="0.2">
      <c r="A3156" s="14">
        <v>3131</v>
      </c>
      <c r="B3156" s="8">
        <v>400054386</v>
      </c>
      <c r="C3156" s="8" t="s">
        <v>1447</v>
      </c>
      <c r="D3156" s="4" t="str">
        <f t="shared" si="323"/>
        <v>400054386A</v>
      </c>
      <c r="E3156" s="309" t="str">
        <f>VLOOKUP($B3156,'D7 - NDB Impacted SPRF''s'!$E$6:$O$9929,2,FALSE)</f>
        <v>Second+ Touch Program</v>
      </c>
      <c r="F3156" s="8"/>
      <c r="G3156" s="8" t="s">
        <v>4758</v>
      </c>
      <c r="H3156" s="8" t="s">
        <v>2870</v>
      </c>
      <c r="I3156" s="20"/>
      <c r="J3156" s="8"/>
      <c r="K3156" s="182"/>
      <c r="L3156" s="8" t="s">
        <v>4156</v>
      </c>
      <c r="M3156" s="8" t="s">
        <v>2814</v>
      </c>
      <c r="N3156" s="38"/>
      <c r="O3156" s="8"/>
      <c r="P3156" s="4" t="str">
        <f>VLOOKUP($B3156,'D7 - NDB Impacted SPRF''s'!$E$16:$O$9929,9,FALSE)</f>
        <v>Y</v>
      </c>
      <c r="Q3156" s="4" t="str">
        <f>VLOOKUP($B3156,'D7 - NDB Impacted SPRF''s'!$E$16:$O$9929,10,FALSE)</f>
        <v>N</v>
      </c>
      <c r="R3156" s="4" t="str">
        <f>VLOOKUP($B3156,'D7 - NDB Impacted SPRF''s'!$E$16:$O$9929,11,FALSE)</f>
        <v>N</v>
      </c>
      <c r="S3156" s="8"/>
      <c r="T3156" s="310"/>
      <c r="U3156" s="310"/>
      <c r="V3156" s="4"/>
      <c r="W3156" s="4"/>
      <c r="X3156" s="4"/>
      <c r="Y3156" s="4"/>
      <c r="Z3156" s="4"/>
      <c r="AA3156" s="4"/>
      <c r="AB3156" s="380" t="str">
        <f>VLOOKUP($B3156,'D7 - NDB Impacted SPRF''s'!$E$6:$O$9929,4,FALSE)</f>
        <v>Cancelled</v>
      </c>
      <c r="AC3156" s="380" t="str">
        <f>VLOOKUP($B3156,'D7 - NDB Impacted SPRF''s'!$E$6:$O$9929,3,FALSE)</f>
        <v>UnitedHealthcare Medicare &amp; Retirement</v>
      </c>
      <c r="AD3156" s="380" t="str">
        <f>VLOOKUP($B3156,'D7 - NDB Impacted SPRF''s'!$E$6:$O$9929,5,FALSE)</f>
        <v>Process Improvement</v>
      </c>
      <c r="AE3156" s="380" t="str">
        <f>VLOOKUP($B3156,'D7 - NDB Impacted SPRF''s'!$E$6:$O$9929,7,FALSE)</f>
        <v>Sue Berkel</v>
      </c>
      <c r="AF3156" s="380" t="str">
        <f>VLOOKUP($B3156,'D7 - NDB Impacted SPRF''s'!$E$6:$O$9929,6,FALSE)</f>
        <v>Jen Skrabak</v>
      </c>
      <c r="AG3156" s="282"/>
      <c r="AH3156" s="311" t="e">
        <f>INDEX('D5 - Gatekeeper - Projects'!$A$4:$AF$1010,$AM3156, 17)</f>
        <v>#N/A</v>
      </c>
      <c r="AI3156" s="8"/>
      <c r="AJ3156" s="57"/>
      <c r="AK3156" s="105"/>
      <c r="AM3156" s="6" t="e">
        <f>MATCH(D3156,'D5 - Gatekeeper - Projects'!$C$4:$C$1010,0)</f>
        <v>#N/A</v>
      </c>
      <c r="AN3156" s="6" t="b">
        <f t="shared" si="324"/>
        <v>1</v>
      </c>
      <c r="AO3156" s="6" t="str">
        <f t="shared" si="325"/>
        <v>OK</v>
      </c>
      <c r="AQ3156" s="6" t="e">
        <f>MATCH($D3156,'D4 - Provider Council Unsched'!$C$11:$C$234,0)</f>
        <v>#N/A</v>
      </c>
      <c r="AR3156" s="6" t="b">
        <f t="shared" si="326"/>
        <v>1</v>
      </c>
      <c r="AS3156" s="6" t="str">
        <f t="shared" si="322"/>
        <v>OK</v>
      </c>
      <c r="AU3156" s="202"/>
      <c r="AV3156" s="349" t="s">
        <v>1384</v>
      </c>
      <c r="AW3156" s="274"/>
    </row>
    <row r="3157" spans="1:49" s="13" customFormat="1" ht="33.75" x14ac:dyDescent="0.2">
      <c r="A3157" s="14">
        <v>3132</v>
      </c>
      <c r="B3157" s="8">
        <v>400054432</v>
      </c>
      <c r="C3157" s="8" t="s">
        <v>1447</v>
      </c>
      <c r="D3157" s="4" t="str">
        <f t="shared" si="323"/>
        <v>400054432A</v>
      </c>
      <c r="E3157" s="309" t="str">
        <f>VLOOKUP($B3157,'D7 - NDB Impacted SPRF''s'!$E$6:$O$9929,2,FALSE)</f>
        <v xml:space="preserve">Facets to Facets Migration 2013 - A/O </v>
      </c>
      <c r="F3157" s="8"/>
      <c r="G3157" s="8" t="s">
        <v>4758</v>
      </c>
      <c r="H3157" s="8" t="s">
        <v>2870</v>
      </c>
      <c r="I3157" s="20"/>
      <c r="J3157" s="8"/>
      <c r="K3157" s="182"/>
      <c r="L3157" s="8" t="s">
        <v>4156</v>
      </c>
      <c r="M3157" s="8" t="s">
        <v>2814</v>
      </c>
      <c r="N3157" s="38"/>
      <c r="O3157" s="8"/>
      <c r="P3157" s="4" t="str">
        <f>VLOOKUP($B3157,'D7 - NDB Impacted SPRF''s'!$E$16:$O$9929,9,FALSE)</f>
        <v>N</v>
      </c>
      <c r="Q3157" s="4" t="str">
        <f>VLOOKUP($B3157,'D7 - NDB Impacted SPRF''s'!$E$16:$O$9929,10,FALSE)</f>
        <v>N</v>
      </c>
      <c r="R3157" s="4" t="str">
        <f>VLOOKUP($B3157,'D7 - NDB Impacted SPRF''s'!$E$16:$O$9929,11,FALSE)</f>
        <v>N</v>
      </c>
      <c r="S3157" s="8"/>
      <c r="T3157" s="310"/>
      <c r="U3157" s="310"/>
      <c r="V3157" s="4"/>
      <c r="W3157" s="4"/>
      <c r="X3157" s="4"/>
      <c r="Y3157" s="4"/>
      <c r="Z3157" s="4"/>
      <c r="AA3157" s="4"/>
      <c r="AB3157" s="380" t="str">
        <f>VLOOKUP($B3157,'D7 - NDB Impacted SPRF''s'!$E$6:$O$9929,4,FALSE)</f>
        <v>Cancelled</v>
      </c>
      <c r="AC3157" s="380" t="str">
        <f>VLOOKUP($B3157,'D7 - NDB Impacted SPRF''s'!$E$6:$O$9929,3,FALSE)</f>
        <v>UnitedHealthcare Community &amp; State</v>
      </c>
      <c r="AD3157" s="380" t="str">
        <f>VLOOKUP($B3157,'D7 - NDB Impacted SPRF''s'!$E$6:$O$9929,5,FALSE)</f>
        <v>Integration Requirements</v>
      </c>
      <c r="AE3157" s="380" t="str">
        <f>VLOOKUP($B3157,'D7 - NDB Impacted SPRF''s'!$E$6:$O$9929,7,FALSE)</f>
        <v>Chris Scherer</v>
      </c>
      <c r="AF3157" s="380" t="str">
        <f>VLOOKUP($B3157,'D7 - NDB Impacted SPRF''s'!$E$6:$O$9929,6,FALSE)</f>
        <v>Mahesh Siddanati</v>
      </c>
      <c r="AG3157" s="282"/>
      <c r="AH3157" s="311" t="e">
        <f>INDEX('D5 - Gatekeeper - Projects'!$A$4:$AF$1010,$AM3157, 17)</f>
        <v>#N/A</v>
      </c>
      <c r="AI3157" s="8"/>
      <c r="AJ3157" s="57"/>
      <c r="AK3157" s="105"/>
      <c r="AM3157" s="6" t="e">
        <f>MATCH(D3157,'D5 - Gatekeeper - Projects'!$C$4:$C$1010,0)</f>
        <v>#N/A</v>
      </c>
      <c r="AN3157" s="6" t="b">
        <f t="shared" si="324"/>
        <v>1</v>
      </c>
      <c r="AO3157" s="6" t="str">
        <f t="shared" si="325"/>
        <v>OK</v>
      </c>
      <c r="AQ3157" s="6" t="e">
        <f>MATCH($D3157,'D4 - Provider Council Unsched'!$C$11:$C$234,0)</f>
        <v>#N/A</v>
      </c>
      <c r="AR3157" s="6" t="b">
        <f t="shared" si="326"/>
        <v>1</v>
      </c>
      <c r="AS3157" s="6" t="str">
        <f t="shared" si="322"/>
        <v>OK</v>
      </c>
      <c r="AU3157" s="202"/>
      <c r="AV3157" s="349" t="s">
        <v>915</v>
      </c>
      <c r="AW3157" s="274"/>
    </row>
    <row r="3158" spans="1:49" s="13" customFormat="1" ht="33.75" x14ac:dyDescent="0.2">
      <c r="A3158" s="14">
        <v>3133</v>
      </c>
      <c r="B3158" s="8">
        <v>400054513</v>
      </c>
      <c r="C3158" s="8" t="s">
        <v>1447</v>
      </c>
      <c r="D3158" s="4" t="str">
        <f t="shared" si="323"/>
        <v>400054513A</v>
      </c>
      <c r="E3158" s="309" t="str">
        <f>VLOOKUP($B3158,'D7 - NDB Impacted SPRF''s'!$E$6:$O$9929,2,FALSE)</f>
        <v>New NDB edits to support IPA</v>
      </c>
      <c r="F3158" s="8"/>
      <c r="G3158" s="8" t="s">
        <v>4758</v>
      </c>
      <c r="H3158" s="8" t="s">
        <v>2870</v>
      </c>
      <c r="I3158" s="20"/>
      <c r="J3158" s="8"/>
      <c r="K3158" s="182"/>
      <c r="L3158" s="8" t="s">
        <v>4156</v>
      </c>
      <c r="M3158" s="8" t="s">
        <v>2814</v>
      </c>
      <c r="N3158" s="38" t="s">
        <v>1861</v>
      </c>
      <c r="O3158" s="8"/>
      <c r="P3158" s="4" t="str">
        <f>VLOOKUP($B3158,'D7 - NDB Impacted SPRF''s'!$E$16:$O$9929,9,FALSE)</f>
        <v>N</v>
      </c>
      <c r="Q3158" s="4" t="str">
        <f>VLOOKUP($B3158,'D7 - NDB Impacted SPRF''s'!$E$16:$O$9929,10,FALSE)</f>
        <v>N</v>
      </c>
      <c r="R3158" s="4" t="str">
        <f>VLOOKUP($B3158,'D7 - NDB Impacted SPRF''s'!$E$16:$O$9929,11,FALSE)</f>
        <v>N</v>
      </c>
      <c r="S3158" s="8"/>
      <c r="T3158" s="310"/>
      <c r="U3158" s="310"/>
      <c r="V3158" s="4"/>
      <c r="W3158" s="4"/>
      <c r="X3158" s="4"/>
      <c r="Y3158" s="4"/>
      <c r="Z3158" s="4"/>
      <c r="AA3158" s="4"/>
      <c r="AB3158" s="380" t="str">
        <f>VLOOKUP($B3158,'D7 - NDB Impacted SPRF''s'!$E$6:$O$9929,4,FALSE)</f>
        <v>Cancelled</v>
      </c>
      <c r="AC3158" s="380" t="str">
        <f>VLOOKUP($B3158,'D7 - NDB Impacted SPRF''s'!$E$6:$O$9929,3,FALSE)</f>
        <v>UnitedHealthcare Community &amp; State</v>
      </c>
      <c r="AD3158" s="380" t="str">
        <f>VLOOKUP($B3158,'D7 - NDB Impacted SPRF''s'!$E$6:$O$9929,5,FALSE)</f>
        <v>Integration Requirements</v>
      </c>
      <c r="AE3158" s="380" t="str">
        <f>VLOOKUP($B3158,'D7 - NDB Impacted SPRF''s'!$E$6:$O$9929,7,FALSE)</f>
        <v>Chris Scherer</v>
      </c>
      <c r="AF3158" s="380" t="str">
        <f>VLOOKUP($B3158,'D7 - NDB Impacted SPRF''s'!$E$6:$O$9929,6,FALSE)</f>
        <v>GREGORY MILLS</v>
      </c>
      <c r="AG3158" s="282"/>
      <c r="AH3158" s="311" t="e">
        <f>INDEX('D5 - Gatekeeper - Projects'!$A$4:$AF$1010,$AM3158, 17)</f>
        <v>#N/A</v>
      </c>
      <c r="AI3158" s="8"/>
      <c r="AJ3158" s="57"/>
      <c r="AK3158" s="105"/>
      <c r="AM3158" s="6" t="e">
        <f>MATCH(D3158,'D5 - Gatekeeper - Projects'!$C$4:$C$1010,0)</f>
        <v>#N/A</v>
      </c>
      <c r="AN3158" s="6" t="b">
        <f t="shared" si="324"/>
        <v>1</v>
      </c>
      <c r="AO3158" s="6" t="str">
        <f t="shared" si="325"/>
        <v>OK</v>
      </c>
      <c r="AQ3158" s="6" t="e">
        <f>MATCH($D3158,'D4 - Provider Council Unsched'!$C$11:$C$234,0)</f>
        <v>#N/A</v>
      </c>
      <c r="AR3158" s="6" t="b">
        <f t="shared" si="326"/>
        <v>1</v>
      </c>
      <c r="AS3158" s="6" t="str">
        <f t="shared" si="322"/>
        <v>OK</v>
      </c>
      <c r="AU3158" s="202"/>
      <c r="AV3158" s="349" t="s">
        <v>936</v>
      </c>
      <c r="AW3158" s="274"/>
    </row>
    <row r="3159" spans="1:49" s="13" customFormat="1" ht="11.25" customHeight="1" x14ac:dyDescent="0.2">
      <c r="A3159" s="14">
        <v>3134</v>
      </c>
      <c r="B3159" s="8">
        <v>400054610</v>
      </c>
      <c r="C3159" s="8" t="s">
        <v>1447</v>
      </c>
      <c r="D3159" s="4" t="str">
        <f t="shared" si="323"/>
        <v>400054610A</v>
      </c>
      <c r="E3159" s="309" t="str">
        <f>VLOOKUP($B3159,'D7 - NDB Impacted SPRF''s'!$E$6:$O$9929,2,FALSE)</f>
        <v>C&amp;S Q1 Portal Enhamcements</v>
      </c>
      <c r="F3159" s="8"/>
      <c r="G3159" s="8" t="s">
        <v>4758</v>
      </c>
      <c r="H3159" s="8" t="s">
        <v>2870</v>
      </c>
      <c r="I3159" s="20"/>
      <c r="J3159" s="8"/>
      <c r="K3159" s="182"/>
      <c r="L3159" s="8" t="s">
        <v>4156</v>
      </c>
      <c r="M3159" s="8" t="s">
        <v>2814</v>
      </c>
      <c r="N3159" s="38" t="s">
        <v>1862</v>
      </c>
      <c r="O3159" s="8"/>
      <c r="P3159" s="4" t="str">
        <f>VLOOKUP($B3159,'D7 - NDB Impacted SPRF''s'!$E$16:$O$9929,9,FALSE)</f>
        <v>N</v>
      </c>
      <c r="Q3159" s="4" t="str">
        <f>VLOOKUP($B3159,'D7 - NDB Impacted SPRF''s'!$E$16:$O$9929,10,FALSE)</f>
        <v>N</v>
      </c>
      <c r="R3159" s="4" t="str">
        <f>VLOOKUP($B3159,'D7 - NDB Impacted SPRF''s'!$E$16:$O$9929,11,FALSE)</f>
        <v>N</v>
      </c>
      <c r="S3159" s="8"/>
      <c r="T3159" s="310"/>
      <c r="U3159" s="310"/>
      <c r="V3159" s="4"/>
      <c r="W3159" s="4"/>
      <c r="X3159" s="4"/>
      <c r="Y3159" s="4"/>
      <c r="Z3159" s="4"/>
      <c r="AA3159" s="4"/>
      <c r="AB3159" s="380" t="str">
        <f>VLOOKUP($B3159,'D7 - NDB Impacted SPRF''s'!$E$6:$O$9929,4,FALSE)</f>
        <v>Cancelled</v>
      </c>
      <c r="AC3159" s="380" t="str">
        <f>VLOOKUP($B3159,'D7 - NDB Impacted SPRF''s'!$E$6:$O$9929,3,FALSE)</f>
        <v>UnitedHealthcare Community &amp; State</v>
      </c>
      <c r="AD3159" s="380" t="str">
        <f>VLOOKUP($B3159,'D7 - NDB Impacted SPRF''s'!$E$6:$O$9929,5,FALSE)</f>
        <v>Membership Growth / Revenue Programs</v>
      </c>
      <c r="AE3159" s="380" t="str">
        <f>VLOOKUP($B3159,'D7 - NDB Impacted SPRF''s'!$E$6:$O$9929,7,FALSE)</f>
        <v>Barb Walker</v>
      </c>
      <c r="AF3159" s="380" t="str">
        <f>VLOOKUP($B3159,'D7 - NDB Impacted SPRF''s'!$E$6:$O$9929,6,FALSE)</f>
        <v>Alicia Houske</v>
      </c>
      <c r="AG3159" s="282"/>
      <c r="AH3159" s="311" t="e">
        <f>INDEX('D5 - Gatekeeper - Projects'!$A$4:$AF$1010,$AM3159, 17)</f>
        <v>#N/A</v>
      </c>
      <c r="AI3159" s="8"/>
      <c r="AJ3159" s="57"/>
      <c r="AK3159" s="105"/>
      <c r="AM3159" s="6" t="e">
        <f>MATCH(D3159,'D5 - Gatekeeper - Projects'!$C$4:$C$1010,0)</f>
        <v>#N/A</v>
      </c>
      <c r="AN3159" s="6" t="b">
        <f t="shared" si="324"/>
        <v>1</v>
      </c>
      <c r="AO3159" s="6" t="str">
        <f t="shared" si="325"/>
        <v>OK</v>
      </c>
      <c r="AQ3159" s="6" t="e">
        <f>MATCH($D3159,'D4 - Provider Council Unsched'!$C$11:$C$234,0)</f>
        <v>#N/A</v>
      </c>
      <c r="AR3159" s="6" t="b">
        <f t="shared" si="326"/>
        <v>1</v>
      </c>
      <c r="AS3159" s="6" t="str">
        <f t="shared" si="322"/>
        <v>OK</v>
      </c>
      <c r="AU3159" s="202"/>
      <c r="AV3159" s="349" t="s">
        <v>952</v>
      </c>
      <c r="AW3159" s="274"/>
    </row>
    <row r="3160" spans="1:49" s="13" customFormat="1" ht="112.5" x14ac:dyDescent="0.2">
      <c r="A3160" s="14">
        <v>212</v>
      </c>
      <c r="B3160" s="8">
        <v>400054963</v>
      </c>
      <c r="C3160" s="8" t="s">
        <v>1447</v>
      </c>
      <c r="D3160" s="4" t="str">
        <f t="shared" si="323"/>
        <v>400054963A</v>
      </c>
      <c r="E3160" s="309" t="str">
        <f>VLOOKUP($B3160,'D7 - NDB Impacted SPRF''s'!$E$6:$O$9929,2,FALSE)</f>
        <v>Medica Zostavax System Enhancement</v>
      </c>
      <c r="F3160" s="8"/>
      <c r="G3160" s="8" t="s">
        <v>4758</v>
      </c>
      <c r="H3160" s="8" t="s">
        <v>2870</v>
      </c>
      <c r="I3160" s="20"/>
      <c r="J3160" s="8"/>
      <c r="K3160" s="182"/>
      <c r="L3160" s="8" t="s">
        <v>4156</v>
      </c>
      <c r="M3160" s="8" t="s">
        <v>2814</v>
      </c>
      <c r="N3160" s="38" t="s">
        <v>9561</v>
      </c>
      <c r="O3160" s="8"/>
      <c r="P3160" s="4" t="str">
        <f>VLOOKUP($B3160,'D7 - NDB Impacted SPRF''s'!$E$16:$O$9929,9,FALSE)</f>
        <v>Y</v>
      </c>
      <c r="Q3160" s="4" t="str">
        <f>VLOOKUP($B3160,'D7 - NDB Impacted SPRF''s'!$E$16:$O$9929,10,FALSE)</f>
        <v>N</v>
      </c>
      <c r="R3160" s="4" t="str">
        <f>VLOOKUP($B3160,'D7 - NDB Impacted SPRF''s'!$E$16:$O$9929,11,FALSE)</f>
        <v>N</v>
      </c>
      <c r="S3160" s="8"/>
      <c r="T3160" s="310"/>
      <c r="U3160" s="310"/>
      <c r="V3160" s="4"/>
      <c r="W3160" s="4"/>
      <c r="X3160" s="4"/>
      <c r="Y3160" s="4"/>
      <c r="Z3160" s="4"/>
      <c r="AA3160" s="4"/>
      <c r="AB3160" s="380" t="str">
        <f>VLOOKUP($B3160,'D7 - NDB Impacted SPRF''s'!$E$6:$O$9929,4,FALSE)</f>
        <v>In Estimating</v>
      </c>
      <c r="AC3160" s="380" t="str">
        <f>VLOOKUP($B3160,'D7 - NDB Impacted SPRF''s'!$E$6:$O$9929,3,FALSE)</f>
        <v>UHG IT - Shared Services</v>
      </c>
      <c r="AD3160" s="380" t="str">
        <f>VLOOKUP($B3160,'D7 - NDB Impacted SPRF''s'!$E$6:$O$9929,5,FALSE)</f>
        <v>Medica Funded</v>
      </c>
      <c r="AE3160" s="380" t="str">
        <f>VLOOKUP($B3160,'D7 - NDB Impacted SPRF''s'!$E$6:$O$9929,7,FALSE)</f>
        <v>Peg Ohme</v>
      </c>
      <c r="AF3160" s="380" t="str">
        <f>VLOOKUP($B3160,'D7 - NDB Impacted SPRF''s'!$E$6:$O$9929,6,FALSE)</f>
        <v>Linda Dooley</v>
      </c>
      <c r="AG3160" s="282"/>
      <c r="AH3160" s="311" t="e">
        <f>INDEX('D5 - Gatekeeper - Projects'!$A$4:$AF$1010,$AM3160, 17)</f>
        <v>#N/A</v>
      </c>
      <c r="AI3160" s="8"/>
      <c r="AJ3160" s="57"/>
      <c r="AK3160" s="105"/>
      <c r="AM3160" s="6" t="e">
        <f>MATCH(D3160,'D5 - Gatekeeper - Projects'!$C$4:$C$1010,0)</f>
        <v>#N/A</v>
      </c>
      <c r="AN3160" s="6" t="b">
        <f t="shared" si="324"/>
        <v>1</v>
      </c>
      <c r="AO3160" s="6" t="str">
        <f t="shared" si="325"/>
        <v>OK</v>
      </c>
      <c r="AQ3160" s="6" t="e">
        <f>MATCH($D3160,'D4 - Provider Council Unsched'!$C$11:$C$234,0)</f>
        <v>#N/A</v>
      </c>
      <c r="AR3160" s="6" t="b">
        <f t="shared" si="326"/>
        <v>1</v>
      </c>
      <c r="AS3160" s="6" t="str">
        <f t="shared" ref="AS3160:AS3177" si="327">IF(AND(H3160="2 - Not Scheduled",AR3160=TRUE,C3160="R1"),"Add","OK")</f>
        <v>OK</v>
      </c>
      <c r="AU3160" s="202"/>
      <c r="AV3160" s="323" t="s">
        <v>2236</v>
      </c>
      <c r="AW3160" s="274"/>
    </row>
    <row r="3161" spans="1:49" s="13" customFormat="1" ht="33.75" x14ac:dyDescent="0.2">
      <c r="A3161" s="14">
        <v>3135</v>
      </c>
      <c r="B3161" s="8">
        <v>400055269</v>
      </c>
      <c r="C3161" s="8" t="s">
        <v>1447</v>
      </c>
      <c r="D3161" s="4" t="str">
        <f t="shared" si="323"/>
        <v>400055269A</v>
      </c>
      <c r="E3161" s="309" t="str">
        <f>VLOOKUP($B3161,'D7 - NDB Impacted SPRF''s'!$E$6:$O$9929,2,FALSE)</f>
        <v>Q2 MME/BH Auth Enhancements</v>
      </c>
      <c r="F3161" s="8"/>
      <c r="G3161" s="8" t="s">
        <v>4758</v>
      </c>
      <c r="H3161" s="8" t="s">
        <v>2870</v>
      </c>
      <c r="I3161" s="20"/>
      <c r="J3161" s="8"/>
      <c r="K3161" s="182"/>
      <c r="L3161" s="8" t="s">
        <v>4156</v>
      </c>
      <c r="M3161" s="8" t="s">
        <v>2814</v>
      </c>
      <c r="N3161" s="38"/>
      <c r="O3161" s="8"/>
      <c r="P3161" s="4" t="str">
        <f>VLOOKUP($B3161,'D7 - NDB Impacted SPRF''s'!$E$16:$O$9929,9,FALSE)</f>
        <v>N</v>
      </c>
      <c r="Q3161" s="4" t="str">
        <f>VLOOKUP($B3161,'D7 - NDB Impacted SPRF''s'!$E$16:$O$9929,10,FALSE)</f>
        <v>N</v>
      </c>
      <c r="R3161" s="4" t="str">
        <f>VLOOKUP($B3161,'D7 - NDB Impacted SPRF''s'!$E$16:$O$9929,11,FALSE)</f>
        <v>N</v>
      </c>
      <c r="S3161" s="8"/>
      <c r="T3161" s="310"/>
      <c r="U3161" s="310"/>
      <c r="V3161" s="4"/>
      <c r="W3161" s="4"/>
      <c r="X3161" s="4"/>
      <c r="Y3161" s="4"/>
      <c r="Z3161" s="4"/>
      <c r="AA3161" s="4"/>
      <c r="AB3161" s="380" t="str">
        <f>VLOOKUP($B3161,'D7 - NDB Impacted SPRF''s'!$E$6:$O$9929,4,FALSE)</f>
        <v>Cancelled</v>
      </c>
      <c r="AC3161" s="380" t="str">
        <f>VLOOKUP($B3161,'D7 - NDB Impacted SPRF''s'!$E$6:$O$9929,3,FALSE)</f>
        <v>UnitedHealthcare Community &amp; State</v>
      </c>
      <c r="AD3161" s="380" t="str">
        <f>VLOOKUP($B3161,'D7 - NDB Impacted SPRF''s'!$E$6:$O$9929,5,FALSE)</f>
        <v>Membership Growth / Revenue Programs</v>
      </c>
      <c r="AE3161" s="380" t="str">
        <f>VLOOKUP($B3161,'D7 - NDB Impacted SPRF''s'!$E$6:$O$9929,7,FALSE)</f>
        <v>Deborha Happ</v>
      </c>
      <c r="AF3161" s="380" t="str">
        <f>VLOOKUP($B3161,'D7 - NDB Impacted SPRF''s'!$E$6:$O$9929,6,FALSE)</f>
        <v>Alicia Houske</v>
      </c>
      <c r="AG3161" s="282"/>
      <c r="AH3161" s="311" t="e">
        <f>INDEX('D5 - Gatekeeper - Projects'!$A$4:$AF$1010,$AM3161, 17)</f>
        <v>#N/A</v>
      </c>
      <c r="AI3161" s="8"/>
      <c r="AJ3161" s="57"/>
      <c r="AK3161" s="105"/>
      <c r="AM3161" s="6" t="e">
        <f>MATCH(D3161,'D5 - Gatekeeper - Projects'!$C$4:$C$1010,0)</f>
        <v>#N/A</v>
      </c>
      <c r="AN3161" s="6" t="b">
        <f t="shared" si="324"/>
        <v>1</v>
      </c>
      <c r="AO3161" s="6" t="str">
        <f t="shared" si="325"/>
        <v>OK</v>
      </c>
      <c r="AQ3161" s="6" t="e">
        <f>MATCH($D3161,'D4 - Provider Council Unsched'!$C$11:$C$234,0)</f>
        <v>#N/A</v>
      </c>
      <c r="AR3161" s="6" t="b">
        <f t="shared" si="326"/>
        <v>1</v>
      </c>
      <c r="AS3161" s="6" t="str">
        <f t="shared" si="327"/>
        <v>OK</v>
      </c>
      <c r="AU3161" s="202"/>
      <c r="AV3161" s="429" t="s">
        <v>34</v>
      </c>
      <c r="AW3161" s="331"/>
    </row>
    <row r="3162" spans="1:49" s="13" customFormat="1" ht="90" x14ac:dyDescent="0.2">
      <c r="A3162" s="14">
        <v>3136</v>
      </c>
      <c r="B3162" s="8">
        <v>400055272</v>
      </c>
      <c r="C3162" s="8" t="s">
        <v>1447</v>
      </c>
      <c r="D3162" s="4" t="str">
        <f t="shared" si="323"/>
        <v>400055272A</v>
      </c>
      <c r="E3162" s="309" t="str">
        <f>VLOOKUP($B3162,'D7 - NDB Impacted SPRF''s'!$E$6:$O$9929,2,FALSE)</f>
        <v>Q2 MME/BH Interface Enhancements</v>
      </c>
      <c r="F3162" s="8"/>
      <c r="G3162" s="8" t="s">
        <v>4758</v>
      </c>
      <c r="H3162" s="8" t="s">
        <v>2870</v>
      </c>
      <c r="I3162" s="20"/>
      <c r="J3162" s="8"/>
      <c r="K3162" s="182"/>
      <c r="L3162" s="8" t="s">
        <v>4156</v>
      </c>
      <c r="M3162" s="8" t="s">
        <v>2814</v>
      </c>
      <c r="N3162" s="38" t="s">
        <v>9181</v>
      </c>
      <c r="O3162" s="8"/>
      <c r="P3162" s="4" t="str">
        <f>VLOOKUP($B3162,'D7 - NDB Impacted SPRF''s'!$E$16:$O$9929,9,FALSE)</f>
        <v>N</v>
      </c>
      <c r="Q3162" s="4" t="str">
        <f>VLOOKUP($B3162,'D7 - NDB Impacted SPRF''s'!$E$16:$O$9929,10,FALSE)</f>
        <v>N</v>
      </c>
      <c r="R3162" s="4" t="str">
        <f>VLOOKUP($B3162,'D7 - NDB Impacted SPRF''s'!$E$16:$O$9929,11,FALSE)</f>
        <v>N</v>
      </c>
      <c r="S3162" s="8"/>
      <c r="T3162" s="310"/>
      <c r="U3162" s="310"/>
      <c r="V3162" s="4"/>
      <c r="W3162" s="4"/>
      <c r="X3162" s="4"/>
      <c r="Y3162" s="4"/>
      <c r="Z3162" s="4"/>
      <c r="AA3162" s="4"/>
      <c r="AB3162" s="380" t="str">
        <f>VLOOKUP($B3162,'D7 - NDB Impacted SPRF''s'!$E$6:$O$9929,4,FALSE)</f>
        <v>Cancelled</v>
      </c>
      <c r="AC3162" s="380" t="str">
        <f>VLOOKUP($B3162,'D7 - NDB Impacted SPRF''s'!$E$6:$O$9929,3,FALSE)</f>
        <v>UnitedHealthcare Community &amp; State</v>
      </c>
      <c r="AD3162" s="380" t="str">
        <f>VLOOKUP($B3162,'D7 - NDB Impacted SPRF''s'!$E$6:$O$9929,5,FALSE)</f>
        <v>Membership Growth / Revenue Programs</v>
      </c>
      <c r="AE3162" s="380" t="str">
        <f>VLOOKUP($B3162,'D7 - NDB Impacted SPRF''s'!$E$6:$O$9929,7,FALSE)</f>
        <v>Deborah Happ</v>
      </c>
      <c r="AF3162" s="380" t="str">
        <f>VLOOKUP($B3162,'D7 - NDB Impacted SPRF''s'!$E$6:$O$9929,6,FALSE)</f>
        <v>Alicia Houske</v>
      </c>
      <c r="AG3162" s="282"/>
      <c r="AH3162" s="311" t="e">
        <f>INDEX('D5 - Gatekeeper - Projects'!$A$4:$AF$1010,$AM3162, 17)</f>
        <v>#N/A</v>
      </c>
      <c r="AI3162" s="8"/>
      <c r="AJ3162" s="57"/>
      <c r="AK3162" s="105"/>
      <c r="AM3162" s="6" t="e">
        <f>MATCH(D3162,'D5 - Gatekeeper - Projects'!$C$4:$C$1010,0)</f>
        <v>#N/A</v>
      </c>
      <c r="AN3162" s="6" t="b">
        <f t="shared" si="324"/>
        <v>1</v>
      </c>
      <c r="AO3162" s="6" t="str">
        <f t="shared" si="325"/>
        <v>OK</v>
      </c>
      <c r="AQ3162" s="6" t="e">
        <f>MATCH($D3162,'D4 - Provider Council Unsched'!$C$11:$C$234,0)</f>
        <v>#N/A</v>
      </c>
      <c r="AR3162" s="6" t="b">
        <f t="shared" si="326"/>
        <v>1</v>
      </c>
      <c r="AS3162" s="6" t="str">
        <f t="shared" si="327"/>
        <v>OK</v>
      </c>
      <c r="AU3162" s="202"/>
      <c r="AV3162" s="349" t="s">
        <v>34</v>
      </c>
      <c r="AW3162" s="274"/>
    </row>
    <row r="3163" spans="1:49" s="13" customFormat="1" ht="33.75" x14ac:dyDescent="0.2">
      <c r="A3163" s="14">
        <v>3137</v>
      </c>
      <c r="B3163" s="8">
        <v>400056183</v>
      </c>
      <c r="C3163" s="8" t="s">
        <v>1447</v>
      </c>
      <c r="D3163" s="4" t="str">
        <f t="shared" ref="D3163:D3177" si="328">CONCATENATE(B3163,C3163)</f>
        <v>400056183A</v>
      </c>
      <c r="E3163" s="309" t="str">
        <f>VLOOKUP($B3163,'D7 - NDB Impacted SPRF''s'!$E$6:$O$9929,2,FALSE)</f>
        <v>AZ SMI - MARICOPA (WHOLE HEALTH ALLIANCE)</v>
      </c>
      <c r="F3163" s="8"/>
      <c r="G3163" s="8" t="s">
        <v>4758</v>
      </c>
      <c r="H3163" s="8" t="s">
        <v>2870</v>
      </c>
      <c r="I3163" s="20"/>
      <c r="J3163" s="8"/>
      <c r="K3163" s="182"/>
      <c r="L3163" s="8" t="s">
        <v>4156</v>
      </c>
      <c r="M3163" s="8" t="s">
        <v>2814</v>
      </c>
      <c r="N3163" s="38" t="s">
        <v>9159</v>
      </c>
      <c r="O3163" s="8"/>
      <c r="P3163" s="4" t="str">
        <f>VLOOKUP($B3163,'D7 - NDB Impacted SPRF''s'!$E$16:$O$9929,9,FALSE)</f>
        <v>N</v>
      </c>
      <c r="Q3163" s="4" t="str">
        <f>VLOOKUP($B3163,'D7 - NDB Impacted SPRF''s'!$E$16:$O$9929,10,FALSE)</f>
        <v>N</v>
      </c>
      <c r="R3163" s="4" t="str">
        <f>VLOOKUP($B3163,'D7 - NDB Impacted SPRF''s'!$E$16:$O$9929,11,FALSE)</f>
        <v>Y</v>
      </c>
      <c r="S3163" s="8"/>
      <c r="T3163" s="310"/>
      <c r="U3163" s="310"/>
      <c r="V3163" s="4"/>
      <c r="W3163" s="4"/>
      <c r="X3163" s="4"/>
      <c r="Y3163" s="4"/>
      <c r="Z3163" s="4"/>
      <c r="AA3163" s="4"/>
      <c r="AB3163" s="380" t="str">
        <f>VLOOKUP($B3163,'D7 - NDB Impacted SPRF''s'!$E$6:$O$9929,4,FALSE)</f>
        <v>Cancelled</v>
      </c>
      <c r="AC3163" s="380" t="str">
        <f>VLOOKUP($B3163,'D7 - NDB Impacted SPRF''s'!$E$6:$O$9929,3,FALSE)</f>
        <v>UnitedHealthcare Community &amp; State</v>
      </c>
      <c r="AD3163" s="380" t="str">
        <f>VLOOKUP($B3163,'D7 - NDB Impacted SPRF''s'!$E$6:$O$9929,5,FALSE)</f>
        <v>Membership Growth / Revenue Programs</v>
      </c>
      <c r="AE3163" s="380" t="str">
        <f>VLOOKUP($B3163,'D7 - NDB Impacted SPRF''s'!$E$6:$O$9929,7,FALSE)</f>
        <v>Kent Monical/Bill Hagan</v>
      </c>
      <c r="AF3163" s="380" t="str">
        <f>VLOOKUP($B3163,'D7 - NDB Impacted SPRF''s'!$E$6:$O$9929,6,FALSE)</f>
        <v>Katie Selman</v>
      </c>
      <c r="AG3163" s="282"/>
      <c r="AH3163" s="311" t="e">
        <f>INDEX('D5 - Gatekeeper - Projects'!$A$4:$AF$1010,$AM3163, 17)</f>
        <v>#N/A</v>
      </c>
      <c r="AI3163" s="8"/>
      <c r="AJ3163" s="57"/>
      <c r="AK3163" s="105"/>
      <c r="AM3163" s="6" t="e">
        <f>MATCH(D3163,'D5 - Gatekeeper - Projects'!$C$4:$C$1010,0)</f>
        <v>#N/A</v>
      </c>
      <c r="AN3163" s="6" t="b">
        <f t="shared" si="324"/>
        <v>1</v>
      </c>
      <c r="AO3163" s="6" t="str">
        <f t="shared" si="325"/>
        <v>OK</v>
      </c>
      <c r="AQ3163" s="6" t="e">
        <f>MATCH($D3163,'D4 - Provider Council Unsched'!$C$11:$C$234,0)</f>
        <v>#N/A</v>
      </c>
      <c r="AR3163" s="6" t="b">
        <f t="shared" si="326"/>
        <v>1</v>
      </c>
      <c r="AS3163" s="6" t="str">
        <f t="shared" si="327"/>
        <v>OK</v>
      </c>
      <c r="AU3163" s="202" t="s">
        <v>7420</v>
      </c>
      <c r="AV3163" s="414" t="s">
        <v>3206</v>
      </c>
      <c r="AW3163" s="274"/>
    </row>
    <row r="3164" spans="1:49" s="13" customFormat="1" ht="11.25" customHeight="1" x14ac:dyDescent="0.2">
      <c r="A3164" s="14">
        <v>3138</v>
      </c>
      <c r="B3164" s="8">
        <v>400056328</v>
      </c>
      <c r="C3164" s="8" t="s">
        <v>1447</v>
      </c>
      <c r="D3164" s="4" t="str">
        <f t="shared" si="328"/>
        <v>400056328A</v>
      </c>
      <c r="E3164" s="309" t="str">
        <f>VLOOKUP($B3164,'D7 - NDB Impacted SPRF''s'!$E$6:$O$9929,2,FALSE)</f>
        <v>Peer Bridger and Case Management Codes</v>
      </c>
      <c r="F3164" s="8"/>
      <c r="G3164" s="8" t="s">
        <v>4758</v>
      </c>
      <c r="H3164" s="8" t="s">
        <v>2870</v>
      </c>
      <c r="I3164" s="20"/>
      <c r="J3164" s="8"/>
      <c r="K3164" s="182"/>
      <c r="L3164" s="8" t="s">
        <v>4156</v>
      </c>
      <c r="M3164" s="8" t="s">
        <v>2814</v>
      </c>
      <c r="N3164" s="38"/>
      <c r="O3164" s="8"/>
      <c r="P3164" s="4" t="str">
        <f>VLOOKUP($B3164,'D7 - NDB Impacted SPRF''s'!$E$16:$O$9929,9,FALSE)</f>
        <v>Y</v>
      </c>
      <c r="Q3164" s="4" t="str">
        <f>VLOOKUP($B3164,'D7 - NDB Impacted SPRF''s'!$E$16:$O$9929,10,FALSE)</f>
        <v>N</v>
      </c>
      <c r="R3164" s="4" t="str">
        <f>VLOOKUP($B3164,'D7 - NDB Impacted SPRF''s'!$E$16:$O$9929,11,FALSE)</f>
        <v>N</v>
      </c>
      <c r="S3164" s="8"/>
      <c r="T3164" s="310"/>
      <c r="U3164" s="310"/>
      <c r="V3164" s="4"/>
      <c r="W3164" s="4"/>
      <c r="X3164" s="4"/>
      <c r="Y3164" s="4"/>
      <c r="Z3164" s="4"/>
      <c r="AA3164" s="4"/>
      <c r="AB3164" s="380" t="str">
        <f>VLOOKUP($B3164,'D7 - NDB Impacted SPRF''s'!$E$6:$O$9929,4,FALSE)</f>
        <v>Cancelled</v>
      </c>
      <c r="AC3164" s="380" t="str">
        <f>VLOOKUP($B3164,'D7 - NDB Impacted SPRF''s'!$E$6:$O$9929,3,FALSE)</f>
        <v>OptumHealth</v>
      </c>
      <c r="AD3164" s="380" t="str">
        <f>VLOOKUP($B3164,'D7 - NDB Impacted SPRF''s'!$E$6:$O$9929,5,FALSE)</f>
        <v>Behavioral Solutions</v>
      </c>
      <c r="AE3164" s="380" t="str">
        <f>VLOOKUP($B3164,'D7 - NDB Impacted SPRF''s'!$E$6:$O$9929,7,FALSE)</f>
        <v>Deb Adler</v>
      </c>
      <c r="AF3164" s="380" t="str">
        <f>VLOOKUP($B3164,'D7 - NDB Impacted SPRF''s'!$E$6:$O$9929,6,FALSE)</f>
        <v>Terri Fanaselle</v>
      </c>
      <c r="AG3164" s="282"/>
      <c r="AH3164" s="311" t="e">
        <f>INDEX('D5 - Gatekeeper - Projects'!$A$4:$AF$1010,$AM3164, 17)</f>
        <v>#N/A</v>
      </c>
      <c r="AI3164" s="8"/>
      <c r="AJ3164" s="57"/>
      <c r="AK3164" s="105"/>
      <c r="AM3164" s="6" t="e">
        <f>MATCH(D3164,'D5 - Gatekeeper - Projects'!$C$4:$C$1010,0)</f>
        <v>#N/A</v>
      </c>
      <c r="AN3164" s="6" t="b">
        <f t="shared" si="324"/>
        <v>1</v>
      </c>
      <c r="AO3164" s="6" t="str">
        <f t="shared" si="325"/>
        <v>OK</v>
      </c>
      <c r="AQ3164" s="6" t="e">
        <f>MATCH($D3164,'D4 - Provider Council Unsched'!$C$11:$C$234,0)</f>
        <v>#N/A</v>
      </c>
      <c r="AR3164" s="6" t="b">
        <f t="shared" si="326"/>
        <v>1</v>
      </c>
      <c r="AS3164" s="6" t="str">
        <f t="shared" si="327"/>
        <v>OK</v>
      </c>
      <c r="AU3164" s="202"/>
      <c r="AV3164" s="350" t="s">
        <v>492</v>
      </c>
      <c r="AW3164" s="274"/>
    </row>
    <row r="3165" spans="1:49" s="13" customFormat="1" ht="12.75" x14ac:dyDescent="0.2">
      <c r="A3165" s="14">
        <v>3139</v>
      </c>
      <c r="B3165" s="8">
        <v>400056398</v>
      </c>
      <c r="C3165" s="8" t="s">
        <v>1447</v>
      </c>
      <c r="D3165" s="4" t="str">
        <f t="shared" si="328"/>
        <v>400056398A</v>
      </c>
      <c r="E3165" s="309" t="str">
        <f>VLOOKUP($B3165,'D7 - NDB Impacted SPRF''s'!$E$6:$O$9929,2,FALSE)</f>
        <v>Peer Bridger Code H0038</v>
      </c>
      <c r="F3165" s="8"/>
      <c r="G3165" s="8" t="s">
        <v>4758</v>
      </c>
      <c r="H3165" s="8" t="s">
        <v>2870</v>
      </c>
      <c r="I3165" s="20"/>
      <c r="J3165" s="8"/>
      <c r="K3165" s="182"/>
      <c r="L3165" s="8" t="s">
        <v>4156</v>
      </c>
      <c r="M3165" s="8" t="s">
        <v>2814</v>
      </c>
      <c r="N3165" s="38"/>
      <c r="O3165" s="8"/>
      <c r="P3165" s="4" t="str">
        <f>VLOOKUP($B3165,'D7 - NDB Impacted SPRF''s'!$E$16:$O$9929,9,FALSE)</f>
        <v>Y</v>
      </c>
      <c r="Q3165" s="4" t="str">
        <f>VLOOKUP($B3165,'D7 - NDB Impacted SPRF''s'!$E$16:$O$9929,10,FALSE)</f>
        <v>N</v>
      </c>
      <c r="R3165" s="4" t="str">
        <f>VLOOKUP($B3165,'D7 - NDB Impacted SPRF''s'!$E$16:$O$9929,11,FALSE)</f>
        <v>N</v>
      </c>
      <c r="S3165" s="8"/>
      <c r="T3165" s="310"/>
      <c r="U3165" s="310"/>
      <c r="V3165" s="4"/>
      <c r="W3165" s="4"/>
      <c r="X3165" s="4"/>
      <c r="Y3165" s="4"/>
      <c r="Z3165" s="4"/>
      <c r="AA3165" s="4"/>
      <c r="AB3165" s="380" t="str">
        <f>VLOOKUP($B3165,'D7 - NDB Impacted SPRF''s'!$E$6:$O$9929,4,FALSE)</f>
        <v>Cancelled</v>
      </c>
      <c r="AC3165" s="380" t="str">
        <f>VLOOKUP($B3165,'D7 - NDB Impacted SPRF''s'!$E$6:$O$9929,3,FALSE)</f>
        <v>OptumHealth</v>
      </c>
      <c r="AD3165" s="380" t="str">
        <f>VLOOKUP($B3165,'D7 - NDB Impacted SPRF''s'!$E$6:$O$9929,5,FALSE)</f>
        <v>Behavioral Solutions</v>
      </c>
      <c r="AE3165" s="380" t="str">
        <f>VLOOKUP($B3165,'D7 - NDB Impacted SPRF''s'!$E$6:$O$9929,7,FALSE)</f>
        <v>Deb Adler</v>
      </c>
      <c r="AF3165" s="380" t="str">
        <f>VLOOKUP($B3165,'D7 - NDB Impacted SPRF''s'!$E$6:$O$9929,6,FALSE)</f>
        <v>Terri Fanaselle</v>
      </c>
      <c r="AG3165" s="282"/>
      <c r="AH3165" s="311" t="e">
        <f>INDEX('D5 - Gatekeeper - Projects'!$A$4:$AF$1010,$AM3165, 17)</f>
        <v>#N/A</v>
      </c>
      <c r="AI3165" s="8"/>
      <c r="AJ3165" s="57"/>
      <c r="AK3165" s="105"/>
      <c r="AM3165" s="6" t="e">
        <f>MATCH(D3165,'D5 - Gatekeeper - Projects'!$C$4:$C$1010,0)</f>
        <v>#N/A</v>
      </c>
      <c r="AN3165" s="6" t="b">
        <f t="shared" si="324"/>
        <v>1</v>
      </c>
      <c r="AO3165" s="6" t="str">
        <f t="shared" si="325"/>
        <v>OK</v>
      </c>
      <c r="AQ3165" s="6" t="e">
        <f>MATCH($D3165,'D4 - Provider Council Unsched'!$C$11:$C$234,0)</f>
        <v>#N/A</v>
      </c>
      <c r="AR3165" s="6" t="b">
        <f t="shared" si="326"/>
        <v>1</v>
      </c>
      <c r="AS3165" s="6" t="str">
        <f t="shared" si="327"/>
        <v>OK</v>
      </c>
      <c r="AU3165" s="202"/>
      <c r="AV3165" s="350" t="s">
        <v>492</v>
      </c>
      <c r="AW3165" s="274"/>
    </row>
    <row r="3166" spans="1:49" s="13" customFormat="1" ht="33.75" x14ac:dyDescent="0.2">
      <c r="A3166" s="14">
        <v>3140</v>
      </c>
      <c r="B3166" s="8">
        <v>400056929</v>
      </c>
      <c r="C3166" s="8" t="s">
        <v>1447</v>
      </c>
      <c r="D3166" s="4" t="str">
        <f t="shared" si="328"/>
        <v>400056929A</v>
      </c>
      <c r="E3166" s="309" t="str">
        <f>VLOOKUP($B3166,'D7 - NDB Impacted SPRF''s'!$E$6:$O$9929,2,FALSE)</f>
        <v>Insource LA Claims v2</v>
      </c>
      <c r="F3166" s="8"/>
      <c r="G3166" s="8" t="s">
        <v>4758</v>
      </c>
      <c r="H3166" s="8" t="s">
        <v>2870</v>
      </c>
      <c r="I3166" s="20"/>
      <c r="J3166" s="8"/>
      <c r="K3166" s="182"/>
      <c r="L3166" s="8" t="s">
        <v>4156</v>
      </c>
      <c r="M3166" s="8" t="s">
        <v>2814</v>
      </c>
      <c r="N3166" s="38" t="s">
        <v>9381</v>
      </c>
      <c r="O3166" s="8"/>
      <c r="P3166" s="4" t="str">
        <f>VLOOKUP($B3166,'D7 - NDB Impacted SPRF''s'!$E$16:$O$9929,9,FALSE)</f>
        <v>N</v>
      </c>
      <c r="Q3166" s="4" t="str">
        <f>VLOOKUP($B3166,'D7 - NDB Impacted SPRF''s'!$E$16:$O$9929,10,FALSE)</f>
        <v>N</v>
      </c>
      <c r="R3166" s="4" t="str">
        <f>VLOOKUP($B3166,'D7 - NDB Impacted SPRF''s'!$E$16:$O$9929,11,FALSE)</f>
        <v>Y</v>
      </c>
      <c r="S3166" s="8"/>
      <c r="T3166" s="310"/>
      <c r="U3166" s="310"/>
      <c r="V3166" s="4"/>
      <c r="W3166" s="4"/>
      <c r="X3166" s="4"/>
      <c r="Y3166" s="4"/>
      <c r="Z3166" s="4"/>
      <c r="AA3166" s="4"/>
      <c r="AB3166" s="380" t="str">
        <f>VLOOKUP($B3166,'D7 - NDB Impacted SPRF''s'!$E$6:$O$9929,4,FALSE)</f>
        <v>Cancelled</v>
      </c>
      <c r="AC3166" s="380" t="str">
        <f>VLOOKUP($B3166,'D7 - NDB Impacted SPRF''s'!$E$6:$O$9929,3,FALSE)</f>
        <v>UnitedHealthcare Community &amp; State</v>
      </c>
      <c r="AD3166" s="380" t="str">
        <f>VLOOKUP($B3166,'D7 - NDB Impacted SPRF''s'!$E$6:$O$9929,5,FALSE)</f>
        <v>Regulatory / Other</v>
      </c>
      <c r="AE3166" s="380" t="str">
        <f>VLOOKUP($B3166,'D7 - NDB Impacted SPRF''s'!$E$6:$O$9929,7,FALSE)</f>
        <v>Suzanne Pierce COO</v>
      </c>
      <c r="AF3166" s="380" t="str">
        <f>VLOOKUP($B3166,'D7 - NDB Impacted SPRF''s'!$E$6:$O$9929,6,FALSE)</f>
        <v>Susan Mieras</v>
      </c>
      <c r="AG3166" s="282"/>
      <c r="AH3166" s="311" t="e">
        <f>INDEX('D5 - Gatekeeper - Projects'!$A$4:$AF$1010,$AM3166, 17)</f>
        <v>#N/A</v>
      </c>
      <c r="AI3166" s="8"/>
      <c r="AJ3166" s="57"/>
      <c r="AK3166" s="105"/>
      <c r="AM3166" s="6" t="e">
        <f>MATCH(D3166,'D5 - Gatekeeper - Projects'!$C$4:$C$1010,0)</f>
        <v>#N/A</v>
      </c>
      <c r="AN3166" s="6" t="b">
        <f t="shared" si="324"/>
        <v>1</v>
      </c>
      <c r="AO3166" s="6" t="str">
        <f t="shared" si="325"/>
        <v>OK</v>
      </c>
      <c r="AQ3166" s="6" t="e">
        <f>MATCH($D3166,'D4 - Provider Council Unsched'!$C$11:$C$234,0)</f>
        <v>#N/A</v>
      </c>
      <c r="AR3166" s="6" t="b">
        <f t="shared" si="326"/>
        <v>1</v>
      </c>
      <c r="AS3166" s="6" t="str">
        <f t="shared" si="327"/>
        <v>OK</v>
      </c>
      <c r="AU3166" s="202"/>
      <c r="AV3166" s="414" t="s">
        <v>470</v>
      </c>
      <c r="AW3166" s="274"/>
    </row>
    <row r="3167" spans="1:49" s="13" customFormat="1" ht="11.25" customHeight="1" x14ac:dyDescent="0.2">
      <c r="A3167" s="14">
        <v>3141</v>
      </c>
      <c r="B3167" s="8">
        <v>400056997</v>
      </c>
      <c r="C3167" s="8" t="s">
        <v>1447</v>
      </c>
      <c r="D3167" s="4" t="str">
        <f t="shared" si="328"/>
        <v>400056997A</v>
      </c>
      <c r="E3167" s="309" t="str">
        <f>VLOOKUP($B3167,'D7 - NDB Impacted SPRF''s'!$E$6:$O$9929,2,FALSE)</f>
        <v>Enhance OHBS Facets EPDL Feed to NDB</v>
      </c>
      <c r="F3167" s="8"/>
      <c r="G3167" s="8" t="s">
        <v>4758</v>
      </c>
      <c r="H3167" s="8" t="s">
        <v>2870</v>
      </c>
      <c r="I3167" s="20"/>
      <c r="J3167" s="8"/>
      <c r="K3167" s="182"/>
      <c r="L3167" s="8" t="s">
        <v>4156</v>
      </c>
      <c r="M3167" s="8" t="s">
        <v>2814</v>
      </c>
      <c r="N3167" s="38"/>
      <c r="O3167" s="8"/>
      <c r="P3167" s="4" t="str">
        <f>VLOOKUP($B3167,'D7 - NDB Impacted SPRF''s'!$E$16:$O$9929,9,FALSE)</f>
        <v>N</v>
      </c>
      <c r="Q3167" s="4" t="str">
        <f>VLOOKUP($B3167,'D7 - NDB Impacted SPRF''s'!$E$16:$O$9929,10,FALSE)</f>
        <v>N</v>
      </c>
      <c r="R3167" s="4" t="str">
        <f>VLOOKUP($B3167,'D7 - NDB Impacted SPRF''s'!$E$16:$O$9929,11,FALSE)</f>
        <v>N</v>
      </c>
      <c r="S3167" s="8"/>
      <c r="T3167" s="310"/>
      <c r="U3167" s="310"/>
      <c r="V3167" s="4"/>
      <c r="W3167" s="4"/>
      <c r="X3167" s="4"/>
      <c r="Y3167" s="4"/>
      <c r="Z3167" s="4"/>
      <c r="AA3167" s="4"/>
      <c r="AB3167" s="380" t="str">
        <f>VLOOKUP($B3167,'D7 - NDB Impacted SPRF''s'!$E$6:$O$9929,4,FALSE)</f>
        <v>Cancelled</v>
      </c>
      <c r="AC3167" s="380" t="str">
        <f>VLOOKUP($B3167,'D7 - NDB Impacted SPRF''s'!$E$6:$O$9929,3,FALSE)</f>
        <v>OptumHealth</v>
      </c>
      <c r="AD3167" s="380" t="str">
        <f>VLOOKUP($B3167,'D7 - NDB Impacted SPRF''s'!$E$6:$O$9929,5,FALSE)</f>
        <v>Behavioral Solutions</v>
      </c>
      <c r="AE3167" s="380" t="str">
        <f>VLOOKUP($B3167,'D7 - NDB Impacted SPRF''s'!$E$6:$O$9929,7,FALSE)</f>
        <v>Stephanie Logan</v>
      </c>
      <c r="AF3167" s="380" t="str">
        <f>VLOOKUP($B3167,'D7 - NDB Impacted SPRF''s'!$E$6:$O$9929,6,FALSE)</f>
        <v>Jane Narup</v>
      </c>
      <c r="AG3167" s="282"/>
      <c r="AH3167" s="311" t="e">
        <f>INDEX('D5 - Gatekeeper - Projects'!$A$4:$AF$1010,$AM3167, 17)</f>
        <v>#N/A</v>
      </c>
      <c r="AI3167" s="8"/>
      <c r="AJ3167" s="57"/>
      <c r="AK3167" s="105"/>
      <c r="AM3167" s="6" t="e">
        <f>MATCH(D3167,'D5 - Gatekeeper - Projects'!$C$4:$C$1010,0)</f>
        <v>#N/A</v>
      </c>
      <c r="AN3167" s="6" t="b">
        <f t="shared" si="324"/>
        <v>1</v>
      </c>
      <c r="AO3167" s="6" t="str">
        <f t="shared" si="325"/>
        <v>OK</v>
      </c>
      <c r="AQ3167" s="6" t="e">
        <f>MATCH($D3167,'D4 - Provider Council Unsched'!$C$11:$C$234,0)</f>
        <v>#N/A</v>
      </c>
      <c r="AR3167" s="6" t="b">
        <f t="shared" si="326"/>
        <v>1</v>
      </c>
      <c r="AS3167" s="6" t="str">
        <f t="shared" si="327"/>
        <v>OK</v>
      </c>
      <c r="AU3167" s="202"/>
      <c r="AV3167" s="351" t="s">
        <v>7714</v>
      </c>
      <c r="AW3167" s="274"/>
    </row>
    <row r="3168" spans="1:49" s="13" customFormat="1" ht="11.25" customHeight="1" x14ac:dyDescent="0.2">
      <c r="A3168" s="14">
        <v>3142</v>
      </c>
      <c r="B3168" s="8">
        <v>400057143</v>
      </c>
      <c r="C3168" s="8" t="s">
        <v>1447</v>
      </c>
      <c r="D3168" s="4" t="str">
        <f t="shared" si="328"/>
        <v>400057143A</v>
      </c>
      <c r="E3168" s="309" t="str">
        <f>VLOOKUP($B3168,'D7 - NDB Impacted SPRF''s'!$E$6:$O$9929,2,FALSE)</f>
        <v>CIMMP- Provider Data Maintenance Workstream- Q3</v>
      </c>
      <c r="F3168" s="8"/>
      <c r="G3168" s="8" t="s">
        <v>4758</v>
      </c>
      <c r="H3168" s="8" t="s">
        <v>2870</v>
      </c>
      <c r="I3168" s="20"/>
      <c r="J3168" s="8"/>
      <c r="K3168" s="182"/>
      <c r="L3168" s="8" t="s">
        <v>4156</v>
      </c>
      <c r="M3168" s="8" t="s">
        <v>2814</v>
      </c>
      <c r="N3168" s="38" t="s">
        <v>9202</v>
      </c>
      <c r="O3168" s="8"/>
      <c r="P3168" s="4" t="str">
        <f>VLOOKUP($B3168,'D7 - NDB Impacted SPRF''s'!$E$16:$O$9929,9,FALSE)</f>
        <v>N</v>
      </c>
      <c r="Q3168" s="4" t="str">
        <f>VLOOKUP($B3168,'D7 - NDB Impacted SPRF''s'!$E$16:$O$9929,10,FALSE)</f>
        <v>N</v>
      </c>
      <c r="R3168" s="4" t="str">
        <f>VLOOKUP($B3168,'D7 - NDB Impacted SPRF''s'!$E$16:$O$9929,11,FALSE)</f>
        <v>N</v>
      </c>
      <c r="S3168" s="8"/>
      <c r="T3168" s="310"/>
      <c r="U3168" s="310"/>
      <c r="V3168" s="4"/>
      <c r="W3168" s="4"/>
      <c r="X3168" s="4"/>
      <c r="Y3168" s="4"/>
      <c r="Z3168" s="4"/>
      <c r="AA3168" s="4"/>
      <c r="AB3168" s="380" t="str">
        <f>VLOOKUP($B3168,'D7 - NDB Impacted SPRF''s'!$E$6:$O$9929,4,FALSE)</f>
        <v>Cancelled</v>
      </c>
      <c r="AC3168" s="380" t="str">
        <f>VLOOKUP($B3168,'D7 - NDB Impacted SPRF''s'!$E$6:$O$9929,3,FALSE)</f>
        <v>OptumHealth</v>
      </c>
      <c r="AD3168" s="380" t="str">
        <f>VLOOKUP($B3168,'D7 - NDB Impacted SPRF''s'!$E$6:$O$9929,5,FALSE)</f>
        <v>Behavioral Solutions</v>
      </c>
      <c r="AE3168" s="380" t="str">
        <f>VLOOKUP($B3168,'D7 - NDB Impacted SPRF''s'!$E$6:$O$9929,7,FALSE)</f>
        <v>Amy Joy</v>
      </c>
      <c r="AF3168" s="380" t="str">
        <f>VLOOKUP($B3168,'D7 - NDB Impacted SPRF''s'!$E$6:$O$9929,6,FALSE)</f>
        <v>Amy Joy</v>
      </c>
      <c r="AG3168" s="282"/>
      <c r="AH3168" s="311" t="e">
        <f>INDEX('D5 - Gatekeeper - Projects'!$A$4:$AF$1010,$AM3168, 17)</f>
        <v>#N/A</v>
      </c>
      <c r="AI3168" s="8"/>
      <c r="AJ3168" s="57"/>
      <c r="AK3168" s="105"/>
      <c r="AM3168" s="6" t="e">
        <f>MATCH(D3168,'D5 - Gatekeeper - Projects'!$C$4:$C$1010,0)</f>
        <v>#N/A</v>
      </c>
      <c r="AN3168" s="6" t="b">
        <f t="shared" si="324"/>
        <v>1</v>
      </c>
      <c r="AO3168" s="6" t="str">
        <f t="shared" si="325"/>
        <v>OK</v>
      </c>
      <c r="AQ3168" s="6" t="e">
        <f>MATCH($D3168,'D4 - Provider Council Unsched'!$C$11:$C$234,0)</f>
        <v>#N/A</v>
      </c>
      <c r="AR3168" s="6" t="b">
        <f t="shared" si="326"/>
        <v>1</v>
      </c>
      <c r="AS3168" s="6" t="str">
        <f t="shared" si="327"/>
        <v>OK</v>
      </c>
      <c r="AU3168" s="202"/>
      <c r="AV3168" s="352" t="s">
        <v>7714</v>
      </c>
      <c r="AW3168" s="274"/>
    </row>
    <row r="3169" spans="1:49" s="13" customFormat="1" ht="11.25" customHeight="1" x14ac:dyDescent="0.2">
      <c r="A3169" s="14">
        <v>3143</v>
      </c>
      <c r="B3169" s="8">
        <v>400057192</v>
      </c>
      <c r="C3169" s="8" t="s">
        <v>1447</v>
      </c>
      <c r="D3169" s="4" t="str">
        <f t="shared" si="328"/>
        <v>400057192A</v>
      </c>
      <c r="E3169" s="309" t="str">
        <f>VLOOKUP($B3169,'D7 - NDB Impacted SPRF''s'!$E$6:$O$9929,2,FALSE)</f>
        <v>AZ PAT Files - Phase II - Vendor Info</v>
      </c>
      <c r="F3169" s="8"/>
      <c r="G3169" s="8" t="s">
        <v>4758</v>
      </c>
      <c r="H3169" s="8" t="s">
        <v>2870</v>
      </c>
      <c r="I3169" s="20"/>
      <c r="J3169" s="8"/>
      <c r="K3169" s="182"/>
      <c r="L3169" s="8" t="s">
        <v>4156</v>
      </c>
      <c r="M3169" s="8" t="s">
        <v>2814</v>
      </c>
      <c r="N3169" s="38" t="s">
        <v>8227</v>
      </c>
      <c r="O3169" s="8"/>
      <c r="P3169" s="4" t="str">
        <f>VLOOKUP($B3169,'D7 - NDB Impacted SPRF''s'!$E$16:$O$9929,9,FALSE)</f>
        <v>N</v>
      </c>
      <c r="Q3169" s="4" t="str">
        <f>VLOOKUP($B3169,'D7 - NDB Impacted SPRF''s'!$E$16:$O$9929,10,FALSE)</f>
        <v>N</v>
      </c>
      <c r="R3169" s="4" t="str">
        <f>VLOOKUP($B3169,'D7 - NDB Impacted SPRF''s'!$E$16:$O$9929,11,FALSE)</f>
        <v>N</v>
      </c>
      <c r="S3169" s="8"/>
      <c r="T3169" s="310"/>
      <c r="U3169" s="310"/>
      <c r="V3169" s="4"/>
      <c r="W3169" s="4"/>
      <c r="X3169" s="4"/>
      <c r="Y3169" s="4"/>
      <c r="Z3169" s="4"/>
      <c r="AA3169" s="4"/>
      <c r="AB3169" s="380" t="str">
        <f>VLOOKUP($B3169,'D7 - NDB Impacted SPRF''s'!$E$6:$O$9929,4,FALSE)</f>
        <v>In Estimating</v>
      </c>
      <c r="AC3169" s="380" t="str">
        <f>VLOOKUP($B3169,'D7 - NDB Impacted SPRF''s'!$E$6:$O$9929,3,FALSE)</f>
        <v>UnitedHealthcare Community &amp; State</v>
      </c>
      <c r="AD3169" s="380" t="str">
        <f>VLOOKUP($B3169,'D7 - NDB Impacted SPRF''s'!$E$6:$O$9929,5,FALSE)</f>
        <v>Regulatory / Other</v>
      </c>
      <c r="AE3169" s="380" t="str">
        <f>VLOOKUP($B3169,'D7 - NDB Impacted SPRF''s'!$E$6:$O$9929,7,FALSE)</f>
        <v>Kent Monical</v>
      </c>
      <c r="AF3169" s="380" t="str">
        <f>VLOOKUP($B3169,'D7 - NDB Impacted SPRF''s'!$E$6:$O$9929,6,FALSE)</f>
        <v>Jeffrey Greenspan</v>
      </c>
      <c r="AG3169" s="282"/>
      <c r="AH3169" s="311" t="e">
        <f>INDEX('D5 - Gatekeeper - Projects'!$A$4:$AF$1010,$AM3169, 17)</f>
        <v>#N/A</v>
      </c>
      <c r="AI3169" s="8"/>
      <c r="AJ3169" s="57"/>
      <c r="AK3169" s="105"/>
      <c r="AM3169" s="6" t="e">
        <f>MATCH(D3169,'D5 - Gatekeeper - Projects'!$C$4:$C$1010,0)</f>
        <v>#N/A</v>
      </c>
      <c r="AN3169" s="6" t="b">
        <f t="shared" si="324"/>
        <v>1</v>
      </c>
      <c r="AO3169" s="6" t="str">
        <f t="shared" si="325"/>
        <v>OK</v>
      </c>
      <c r="AQ3169" s="6" t="e">
        <f>MATCH($D3169,'D4 - Provider Council Unsched'!$C$11:$C$234,0)</f>
        <v>#N/A</v>
      </c>
      <c r="AR3169" s="6" t="b">
        <f t="shared" si="326"/>
        <v>1</v>
      </c>
      <c r="AS3169" s="6" t="str">
        <f t="shared" si="327"/>
        <v>OK</v>
      </c>
      <c r="AU3169" s="202"/>
      <c r="AV3169" s="403" t="s">
        <v>473</v>
      </c>
      <c r="AW3169" s="274"/>
    </row>
    <row r="3170" spans="1:49" s="13" customFormat="1" ht="11.25" customHeight="1" x14ac:dyDescent="0.2">
      <c r="A3170" s="14">
        <v>3144</v>
      </c>
      <c r="B3170" s="8">
        <v>400057300</v>
      </c>
      <c r="C3170" s="8" t="s">
        <v>1447</v>
      </c>
      <c r="D3170" s="4" t="str">
        <f t="shared" si="328"/>
        <v>400057300A</v>
      </c>
      <c r="E3170" s="309" t="str">
        <f>VLOOKUP($B3170,'D7 - NDB Impacted SPRF''s'!$E$6:$O$9929,2,FALSE)</f>
        <v>Legacy PHS Migration Warranty</v>
      </c>
      <c r="F3170" s="8"/>
      <c r="G3170" s="8" t="s">
        <v>4758</v>
      </c>
      <c r="H3170" s="8" t="s">
        <v>2870</v>
      </c>
      <c r="I3170" s="20"/>
      <c r="J3170" s="8"/>
      <c r="K3170" s="182"/>
      <c r="L3170" s="8" t="s">
        <v>4156</v>
      </c>
      <c r="M3170" s="8" t="s">
        <v>2814</v>
      </c>
      <c r="N3170" s="38"/>
      <c r="O3170" s="8"/>
      <c r="P3170" s="4" t="str">
        <f>VLOOKUP($B3170,'D7 - NDB Impacted SPRF''s'!$E$16:$O$9929,9,FALSE)</f>
        <v>N</v>
      </c>
      <c r="Q3170" s="4" t="str">
        <f>VLOOKUP($B3170,'D7 - NDB Impacted SPRF''s'!$E$16:$O$9929,10,FALSE)</f>
        <v>N</v>
      </c>
      <c r="R3170" s="4" t="str">
        <f>VLOOKUP($B3170,'D7 - NDB Impacted SPRF''s'!$E$16:$O$9929,11,FALSE)</f>
        <v>N</v>
      </c>
      <c r="S3170" s="8"/>
      <c r="T3170" s="310"/>
      <c r="U3170" s="310"/>
      <c r="V3170" s="4"/>
      <c r="W3170" s="4"/>
      <c r="X3170" s="4"/>
      <c r="Y3170" s="4"/>
      <c r="Z3170" s="4"/>
      <c r="AA3170" s="4"/>
      <c r="AB3170" s="380" t="str">
        <f>VLOOKUP($B3170,'D7 - NDB Impacted SPRF''s'!$E$6:$O$9929,4,FALSE)</f>
        <v>Cancelled</v>
      </c>
      <c r="AC3170" s="380" t="str">
        <f>VLOOKUP($B3170,'D7 - NDB Impacted SPRF''s'!$E$6:$O$9929,3,FALSE)</f>
        <v>UnitedHealthcare Employer &amp; Individual</v>
      </c>
      <c r="AD3170" s="380" t="str">
        <f>VLOOKUP($B3170,'D7 - NDB Impacted SPRF''s'!$E$6:$O$9929,5,FALSE)</f>
        <v>Medical Cost Savings Programs</v>
      </c>
      <c r="AE3170" s="380" t="str">
        <f>VLOOKUP($B3170,'D7 - NDB Impacted SPRF''s'!$E$6:$O$9929,7,FALSE)</f>
        <v>Sheila Nelson</v>
      </c>
      <c r="AF3170" s="380" t="str">
        <f>VLOOKUP($B3170,'D7 - NDB Impacted SPRF''s'!$E$6:$O$9929,6,FALSE)</f>
        <v>Algino Joseph</v>
      </c>
      <c r="AG3170" s="282"/>
      <c r="AH3170" s="311" t="e">
        <f>INDEX('D5 - Gatekeeper - Projects'!$A$4:$AF$1010,$AM3170, 17)</f>
        <v>#N/A</v>
      </c>
      <c r="AI3170" s="8"/>
      <c r="AJ3170" s="57"/>
      <c r="AK3170" s="105"/>
      <c r="AM3170" s="6" t="e">
        <f>MATCH(D3170,'D5 - Gatekeeper - Projects'!$C$4:$C$1010,0)</f>
        <v>#N/A</v>
      </c>
      <c r="AN3170" s="6" t="b">
        <f t="shared" si="324"/>
        <v>1</v>
      </c>
      <c r="AO3170" s="6" t="str">
        <f t="shared" si="325"/>
        <v>OK</v>
      </c>
      <c r="AQ3170" s="6" t="e">
        <f>MATCH($D3170,'D4 - Provider Council Unsched'!$C$11:$C$234,0)</f>
        <v>#N/A</v>
      </c>
      <c r="AR3170" s="6" t="b">
        <f t="shared" si="326"/>
        <v>1</v>
      </c>
      <c r="AS3170" s="6" t="str">
        <f t="shared" si="327"/>
        <v>OK</v>
      </c>
      <c r="AU3170" s="202"/>
      <c r="AV3170" s="352" t="s">
        <v>2241</v>
      </c>
      <c r="AW3170" s="274"/>
    </row>
    <row r="3171" spans="1:49" s="13" customFormat="1" ht="33.75" x14ac:dyDescent="0.2">
      <c r="A3171" s="14">
        <v>3145</v>
      </c>
      <c r="B3171" s="8">
        <v>400057548</v>
      </c>
      <c r="C3171" s="8" t="s">
        <v>1447</v>
      </c>
      <c r="D3171" s="4" t="str">
        <f t="shared" si="328"/>
        <v>400057548A</v>
      </c>
      <c r="E3171" s="309" t="str">
        <f>VLOOKUP($B3171,'D7 - NDB Impacted SPRF''s'!$E$6:$O$9929,2,FALSE)</f>
        <v>NDB support for Texas ERS Eligibility File</v>
      </c>
      <c r="F3171" s="8"/>
      <c r="G3171" s="8" t="s">
        <v>7980</v>
      </c>
      <c r="H3171" s="8" t="s">
        <v>2870</v>
      </c>
      <c r="I3171" s="20"/>
      <c r="J3171" s="8"/>
      <c r="K3171" s="182"/>
      <c r="L3171" s="8" t="s">
        <v>4156</v>
      </c>
      <c r="M3171" s="8" t="s">
        <v>2814</v>
      </c>
      <c r="N3171" s="38" t="s">
        <v>8244</v>
      </c>
      <c r="O3171" s="8"/>
      <c r="P3171" s="4" t="str">
        <f>VLOOKUP($B3171,'D7 - NDB Impacted SPRF''s'!$E$16:$O$9929,9,FALSE)</f>
        <v>N</v>
      </c>
      <c r="Q3171" s="4" t="str">
        <f>VLOOKUP($B3171,'D7 - NDB Impacted SPRF''s'!$E$16:$O$9929,10,FALSE)</f>
        <v>N</v>
      </c>
      <c r="R3171" s="4" t="str">
        <f>VLOOKUP($B3171,'D7 - NDB Impacted SPRF''s'!$E$16:$O$9929,11,FALSE)</f>
        <v>N</v>
      </c>
      <c r="S3171" s="8"/>
      <c r="T3171" s="310"/>
      <c r="U3171" s="310"/>
      <c r="V3171" s="4"/>
      <c r="W3171" s="4"/>
      <c r="X3171" s="4"/>
      <c r="Y3171" s="4"/>
      <c r="Z3171" s="4"/>
      <c r="AA3171" s="4"/>
      <c r="AB3171" s="380" t="str">
        <f>VLOOKUP($B3171,'D7 - NDB Impacted SPRF''s'!$E$6:$O$9929,4,FALSE)</f>
        <v>Cancelled</v>
      </c>
      <c r="AC3171" s="380" t="str">
        <f>VLOOKUP($B3171,'D7 - NDB Impacted SPRF''s'!$E$6:$O$9929,3,FALSE)</f>
        <v>UnitedHealthcare Employer &amp; Individual</v>
      </c>
      <c r="AD3171" s="380" t="str">
        <f>VLOOKUP($B3171,'D7 - NDB Impacted SPRF''s'!$E$6:$O$9929,5,FALSE)</f>
        <v>Customer Requirements</v>
      </c>
      <c r="AE3171" s="380" t="str">
        <f>VLOOKUP($B3171,'D7 - NDB Impacted SPRF''s'!$E$6:$O$9929,7,FALSE)</f>
        <v>Mark Gale</v>
      </c>
      <c r="AF3171" s="380" t="str">
        <f>VLOOKUP($B3171,'D7 - NDB Impacted SPRF''s'!$E$6:$O$9929,6,FALSE)</f>
        <v>Joanne Hepp</v>
      </c>
      <c r="AG3171" s="282"/>
      <c r="AH3171" s="311" t="e">
        <f>INDEX('D5 - Gatekeeper - Projects'!$A$4:$AF$1010,$AM3171, 17)</f>
        <v>#N/A</v>
      </c>
      <c r="AI3171" s="8"/>
      <c r="AJ3171" s="57"/>
      <c r="AK3171" s="105"/>
      <c r="AM3171" s="6" t="e">
        <f>MATCH(D3171,'D5 - Gatekeeper - Projects'!$C$4:$C$1010,0)</f>
        <v>#N/A</v>
      </c>
      <c r="AN3171" s="6" t="b">
        <f t="shared" si="324"/>
        <v>1</v>
      </c>
      <c r="AO3171" s="6" t="str">
        <f t="shared" si="325"/>
        <v>OK</v>
      </c>
      <c r="AQ3171" s="6" t="e">
        <f>MATCH($D3171,'D4 - Provider Council Unsched'!$C$11:$C$234,0)</f>
        <v>#N/A</v>
      </c>
      <c r="AR3171" s="6" t="b">
        <f t="shared" si="326"/>
        <v>1</v>
      </c>
      <c r="AS3171" s="6" t="str">
        <f t="shared" si="327"/>
        <v>OK</v>
      </c>
      <c r="AU3171" s="202"/>
      <c r="AV3171" s="389" t="s">
        <v>1700</v>
      </c>
      <c r="AW3171" s="274"/>
    </row>
    <row r="3172" spans="1:49" s="13" customFormat="1" ht="11.25" customHeight="1" x14ac:dyDescent="0.2">
      <c r="A3172" s="14">
        <v>3146</v>
      </c>
      <c r="B3172" s="8">
        <v>400057942</v>
      </c>
      <c r="C3172" s="8" t="s">
        <v>1447</v>
      </c>
      <c r="D3172" s="4" t="str">
        <f t="shared" si="328"/>
        <v>400057942A</v>
      </c>
      <c r="E3172" s="309" t="str">
        <f>VLOOKUP($B3172,'D7 - NDB Impacted SPRF''s'!$E$6:$O$9929,2,FALSE)</f>
        <v>NextGen HSR- CSS</v>
      </c>
      <c r="F3172" s="8"/>
      <c r="G3172" s="8" t="s">
        <v>4758</v>
      </c>
      <c r="H3172" s="8" t="s">
        <v>2870</v>
      </c>
      <c r="I3172" s="20"/>
      <c r="J3172" s="8"/>
      <c r="K3172" s="182"/>
      <c r="L3172" s="8" t="s">
        <v>4156</v>
      </c>
      <c r="M3172" s="8" t="s">
        <v>2814</v>
      </c>
      <c r="N3172" s="38"/>
      <c r="O3172" s="8"/>
      <c r="P3172" s="4" t="str">
        <f>VLOOKUP($B3172,'D7 - NDB Impacted SPRF''s'!$E$16:$O$9929,9,FALSE)</f>
        <v>Y</v>
      </c>
      <c r="Q3172" s="4" t="str">
        <f>VLOOKUP($B3172,'D7 - NDB Impacted SPRF''s'!$E$16:$O$9929,10,FALSE)</f>
        <v>N</v>
      </c>
      <c r="R3172" s="4" t="str">
        <f>VLOOKUP($B3172,'D7 - NDB Impacted SPRF''s'!$E$16:$O$9929,11,FALSE)</f>
        <v>N</v>
      </c>
      <c r="S3172" s="8"/>
      <c r="T3172" s="310"/>
      <c r="U3172" s="310"/>
      <c r="V3172" s="4"/>
      <c r="W3172" s="4"/>
      <c r="X3172" s="4"/>
      <c r="Y3172" s="4"/>
      <c r="Z3172" s="4"/>
      <c r="AA3172" s="4"/>
      <c r="AB3172" s="380" t="str">
        <f>VLOOKUP($B3172,'D7 - NDB Impacted SPRF''s'!$E$6:$O$9929,4,FALSE)</f>
        <v>Cancelled</v>
      </c>
      <c r="AC3172" s="380" t="str">
        <f>VLOOKUP($B3172,'D7 - NDB Impacted SPRF''s'!$E$6:$O$9929,3,FALSE)</f>
        <v>UnitedHealthcare Employer &amp; Individual</v>
      </c>
      <c r="AD3172" s="380" t="str">
        <f>VLOOKUP($B3172,'D7 - NDB Impacted SPRF''s'!$E$6:$O$9929,5,FALSE)</f>
        <v>Medical Cost Savings Programs</v>
      </c>
      <c r="AE3172" s="380" t="str">
        <f>VLOOKUP($B3172,'D7 - NDB Impacted SPRF''s'!$E$6:$O$9929,7,FALSE)</f>
        <v>Nick Dewey</v>
      </c>
      <c r="AF3172" s="380" t="str">
        <f>VLOOKUP($B3172,'D7 - NDB Impacted SPRF''s'!$E$6:$O$9929,6,FALSE)</f>
        <v>CHRISTINA MOSHER</v>
      </c>
      <c r="AG3172" s="282"/>
      <c r="AH3172" s="311" t="e">
        <f>INDEX('D5 - Gatekeeper - Projects'!$A$4:$AF$1010,$AM3172, 17)</f>
        <v>#N/A</v>
      </c>
      <c r="AI3172" s="8"/>
      <c r="AJ3172" s="57"/>
      <c r="AK3172" s="105"/>
      <c r="AM3172" s="6" t="e">
        <f>MATCH(D3172,'D5 - Gatekeeper - Projects'!$C$4:$C$1010,0)</f>
        <v>#N/A</v>
      </c>
      <c r="AN3172" s="6" t="b">
        <f t="shared" si="324"/>
        <v>1</v>
      </c>
      <c r="AO3172" s="6" t="str">
        <f t="shared" si="325"/>
        <v>OK</v>
      </c>
      <c r="AQ3172" s="6" t="e">
        <f>MATCH($D3172,'D4 - Provider Council Unsched'!$C$11:$C$234,0)</f>
        <v>#N/A</v>
      </c>
      <c r="AR3172" s="6" t="b">
        <f t="shared" si="326"/>
        <v>1</v>
      </c>
      <c r="AS3172" s="6" t="str">
        <f t="shared" si="327"/>
        <v>OK</v>
      </c>
      <c r="AU3172" s="202"/>
      <c r="AV3172" s="412" t="s">
        <v>439</v>
      </c>
      <c r="AW3172" s="274"/>
    </row>
    <row r="3173" spans="1:49" s="13" customFormat="1" ht="33.75" x14ac:dyDescent="0.2">
      <c r="A3173" s="14">
        <v>244</v>
      </c>
      <c r="B3173" s="8">
        <v>400058226</v>
      </c>
      <c r="C3173" s="8" t="s">
        <v>1447</v>
      </c>
      <c r="D3173" s="4" t="str">
        <f t="shared" si="328"/>
        <v>400058226A</v>
      </c>
      <c r="E3173" s="309" t="str">
        <f>VLOOKUP($B3173,'D7 - NDB Impacted SPRF''s'!$E$6:$O$9929,2,FALSE)</f>
        <v>A&amp;D Veterans Admin. Prov not to pay from CAMS</v>
      </c>
      <c r="F3173" s="8"/>
      <c r="G3173" s="8" t="s">
        <v>4758</v>
      </c>
      <c r="H3173" s="8" t="s">
        <v>2870</v>
      </c>
      <c r="I3173" s="20"/>
      <c r="J3173" s="8"/>
      <c r="K3173" s="182"/>
      <c r="L3173" s="8" t="s">
        <v>4156</v>
      </c>
      <c r="M3173" s="8" t="s">
        <v>2814</v>
      </c>
      <c r="N3173" s="38" t="s">
        <v>9566</v>
      </c>
      <c r="O3173" s="8"/>
      <c r="P3173" s="4" t="str">
        <f>VLOOKUP($B3173,'D7 - NDB Impacted SPRF''s'!$E$16:$O$9929,9,FALSE)</f>
        <v>Y</v>
      </c>
      <c r="Q3173" s="4" t="str">
        <f>VLOOKUP($B3173,'D7 - NDB Impacted SPRF''s'!$E$16:$O$9929,10,FALSE)</f>
        <v>N</v>
      </c>
      <c r="R3173" s="4" t="str">
        <f>VLOOKUP($B3173,'D7 - NDB Impacted SPRF''s'!$E$16:$O$9929,11,FALSE)</f>
        <v>N</v>
      </c>
      <c r="S3173" s="8"/>
      <c r="T3173" s="310"/>
      <c r="U3173" s="310"/>
      <c r="V3173" s="4"/>
      <c r="W3173" s="4"/>
      <c r="X3173" s="4"/>
      <c r="Y3173" s="4"/>
      <c r="Z3173" s="4"/>
      <c r="AA3173" s="4"/>
      <c r="AB3173" s="380" t="str">
        <f>VLOOKUP($B3173,'D7 - NDB Impacted SPRF''s'!$E$6:$O$9929,4,FALSE)</f>
        <v>In Strategy Council</v>
      </c>
      <c r="AC3173" s="380" t="str">
        <f>VLOOKUP($B3173,'D7 - NDB Impacted SPRF''s'!$E$6:$O$9929,3,FALSE)</f>
        <v>UnitedHealthcare Employer &amp; Individual</v>
      </c>
      <c r="AD3173" s="380" t="str">
        <f>VLOOKUP($B3173,'D7 - NDB Impacted SPRF''s'!$E$6:$O$9929,5,FALSE)</f>
        <v>Regulatory / Other</v>
      </c>
      <c r="AE3173" s="380" t="str">
        <f>VLOOKUP($B3173,'D7 - NDB Impacted SPRF''s'!$E$6:$O$9929,7,FALSE)</f>
        <v>Crausaz, Jennifer E</v>
      </c>
      <c r="AF3173" s="380" t="str">
        <f>VLOOKUP($B3173,'D7 - NDB Impacted SPRF''s'!$E$6:$O$9929,6,FALSE)</f>
        <v>Carrie Reno</v>
      </c>
      <c r="AG3173" s="282"/>
      <c r="AH3173" s="311" t="e">
        <f>INDEX('D5 - Gatekeeper - Projects'!$A$4:$AF$1010,$AM3173, 17)</f>
        <v>#N/A</v>
      </c>
      <c r="AI3173" s="8"/>
      <c r="AJ3173" s="57"/>
      <c r="AK3173" s="105"/>
      <c r="AM3173" s="6" t="e">
        <f>MATCH(D3173,'D5 - Gatekeeper - Projects'!$C$4:$C$1010,0)</f>
        <v>#N/A</v>
      </c>
      <c r="AN3173" s="6" t="b">
        <f t="shared" si="324"/>
        <v>1</v>
      </c>
      <c r="AO3173" s="6" t="str">
        <f t="shared" si="325"/>
        <v>OK</v>
      </c>
      <c r="AQ3173" s="6" t="e">
        <f>MATCH($D3173,'D4 - Provider Council Unsched'!$C$11:$C$234,0)</f>
        <v>#N/A</v>
      </c>
      <c r="AR3173" s="6" t="b">
        <f t="shared" si="326"/>
        <v>1</v>
      </c>
      <c r="AS3173" s="6" t="str">
        <f t="shared" si="327"/>
        <v>OK</v>
      </c>
      <c r="AU3173" s="202"/>
      <c r="AV3173" s="412" t="s">
        <v>476</v>
      </c>
      <c r="AW3173" s="274"/>
    </row>
    <row r="3174" spans="1:49" s="13" customFormat="1" ht="33.75" x14ac:dyDescent="0.2">
      <c r="A3174" s="14">
        <v>3147</v>
      </c>
      <c r="B3174" s="8">
        <v>400058375</v>
      </c>
      <c r="C3174" s="8" t="s">
        <v>1447</v>
      </c>
      <c r="D3174" s="4" t="str">
        <f t="shared" si="328"/>
        <v>400058375A</v>
      </c>
      <c r="E3174" s="309" t="str">
        <f>VLOOKUP($B3174,'D7 - NDB Impacted SPRF''s'!$E$6:$O$9929,2,FALSE)</f>
        <v>Change an existing eff dt on Grp Links &amp; Contracts</v>
      </c>
      <c r="F3174" s="8"/>
      <c r="G3174" s="8" t="s">
        <v>4758</v>
      </c>
      <c r="H3174" s="8" t="s">
        <v>2870</v>
      </c>
      <c r="I3174" s="20"/>
      <c r="J3174" s="8"/>
      <c r="K3174" s="182"/>
      <c r="L3174" s="8" t="s">
        <v>4156</v>
      </c>
      <c r="M3174" s="8" t="s">
        <v>2814</v>
      </c>
      <c r="N3174" s="38" t="s">
        <v>9184</v>
      </c>
      <c r="O3174" s="8"/>
      <c r="P3174" s="4" t="str">
        <f>VLOOKUP($B3174,'D7 - NDB Impacted SPRF''s'!$E$16:$O$9929,9,FALSE)</f>
        <v>N</v>
      </c>
      <c r="Q3174" s="4" t="str">
        <f>VLOOKUP($B3174,'D7 - NDB Impacted SPRF''s'!$E$16:$O$9929,10,FALSE)</f>
        <v>N</v>
      </c>
      <c r="R3174" s="4" t="str">
        <f>VLOOKUP($B3174,'D7 - NDB Impacted SPRF''s'!$E$16:$O$9929,11,FALSE)</f>
        <v>N</v>
      </c>
      <c r="S3174" s="8"/>
      <c r="T3174" s="310"/>
      <c r="U3174" s="310"/>
      <c r="V3174" s="4"/>
      <c r="W3174" s="4"/>
      <c r="X3174" s="4"/>
      <c r="Y3174" s="4"/>
      <c r="Z3174" s="4"/>
      <c r="AA3174" s="4"/>
      <c r="AB3174" s="380" t="str">
        <f>VLOOKUP($B3174,'D7 - NDB Impacted SPRF''s'!$E$6:$O$9929,4,FALSE)</f>
        <v>Cancelled</v>
      </c>
      <c r="AC3174" s="380" t="str">
        <f>VLOOKUP($B3174,'D7 - NDB Impacted SPRF''s'!$E$6:$O$9929,3,FALSE)</f>
        <v>UnitedHealthcare Community &amp; State</v>
      </c>
      <c r="AD3174" s="380" t="str">
        <f>VLOOKUP($B3174,'D7 - NDB Impacted SPRF''s'!$E$6:$O$9929,5,FALSE)</f>
        <v>Operational Requirements</v>
      </c>
      <c r="AE3174" s="380" t="str">
        <f>VLOOKUP($B3174,'D7 - NDB Impacted SPRF''s'!$E$6:$O$9929,7,FALSE)</f>
        <v xml:space="preserve">DONALD R REILLY </v>
      </c>
      <c r="AF3174" s="380" t="str">
        <f>VLOOKUP($B3174,'D7 - NDB Impacted SPRF''s'!$E$6:$O$9929,6,FALSE)</f>
        <v>William Calhoun</v>
      </c>
      <c r="AG3174" s="282"/>
      <c r="AH3174" s="311" t="e">
        <f>INDEX('D5 - Gatekeeper - Projects'!$A$4:$AF$1010,$AM3174, 17)</f>
        <v>#N/A</v>
      </c>
      <c r="AI3174" s="8"/>
      <c r="AJ3174" s="57"/>
      <c r="AK3174" s="105"/>
      <c r="AM3174" s="6" t="e">
        <f>MATCH(D3174,'D5 - Gatekeeper - Projects'!$C$4:$C$1010,0)</f>
        <v>#N/A</v>
      </c>
      <c r="AN3174" s="6" t="b">
        <f t="shared" si="324"/>
        <v>1</v>
      </c>
      <c r="AO3174" s="6" t="str">
        <f t="shared" si="325"/>
        <v>OK</v>
      </c>
      <c r="AQ3174" s="6" t="e">
        <f>MATCH($D3174,'D4 - Provider Council Unsched'!$C$11:$C$234,0)</f>
        <v>#N/A</v>
      </c>
      <c r="AR3174" s="6" t="b">
        <f t="shared" si="326"/>
        <v>1</v>
      </c>
      <c r="AS3174" s="6" t="str">
        <f t="shared" si="327"/>
        <v>OK</v>
      </c>
      <c r="AU3174" s="202"/>
      <c r="AV3174" s="412" t="s">
        <v>9116</v>
      </c>
      <c r="AW3174" s="274"/>
    </row>
    <row r="3175" spans="1:49" s="13" customFormat="1" ht="33.75" x14ac:dyDescent="0.2">
      <c r="A3175" s="14">
        <v>3148</v>
      </c>
      <c r="B3175" s="8">
        <v>400058376</v>
      </c>
      <c r="C3175" s="8" t="s">
        <v>1447</v>
      </c>
      <c r="D3175" s="4" t="str">
        <f t="shared" si="328"/>
        <v>400058376A</v>
      </c>
      <c r="E3175" s="309" t="str">
        <f>VLOOKUP($B3175,'D7 - NDB Impacted SPRF''s'!$E$6:$O$9929,2,FALSE)</f>
        <v>Partial Bill Replace Func feed to Facets</v>
      </c>
      <c r="F3175" s="8"/>
      <c r="G3175" s="8" t="s">
        <v>4758</v>
      </c>
      <c r="H3175" s="8" t="s">
        <v>2870</v>
      </c>
      <c r="I3175" s="20"/>
      <c r="J3175" s="8"/>
      <c r="K3175" s="182"/>
      <c r="L3175" s="8" t="s">
        <v>4156</v>
      </c>
      <c r="M3175" s="8" t="s">
        <v>2814</v>
      </c>
      <c r="N3175" s="38" t="s">
        <v>9184</v>
      </c>
      <c r="O3175" s="8"/>
      <c r="P3175" s="4" t="str">
        <f>VLOOKUP($B3175,'D7 - NDB Impacted SPRF''s'!$E$16:$O$9929,9,FALSE)</f>
        <v>N</v>
      </c>
      <c r="Q3175" s="4" t="str">
        <f>VLOOKUP($B3175,'D7 - NDB Impacted SPRF''s'!$E$16:$O$9929,10,FALSE)</f>
        <v>N</v>
      </c>
      <c r="R3175" s="4" t="str">
        <f>VLOOKUP($B3175,'D7 - NDB Impacted SPRF''s'!$E$16:$O$9929,11,FALSE)</f>
        <v>N</v>
      </c>
      <c r="S3175" s="8"/>
      <c r="T3175" s="310"/>
      <c r="U3175" s="310"/>
      <c r="V3175" s="4"/>
      <c r="W3175" s="4"/>
      <c r="X3175" s="4"/>
      <c r="Y3175" s="4"/>
      <c r="Z3175" s="4"/>
      <c r="AA3175" s="4"/>
      <c r="AB3175" s="380" t="str">
        <f>VLOOKUP($B3175,'D7 - NDB Impacted SPRF''s'!$E$6:$O$9929,4,FALSE)</f>
        <v>Cancelled</v>
      </c>
      <c r="AC3175" s="380" t="str">
        <f>VLOOKUP($B3175,'D7 - NDB Impacted SPRF''s'!$E$6:$O$9929,3,FALSE)</f>
        <v>UnitedHealthcare Community &amp; State</v>
      </c>
      <c r="AD3175" s="380" t="str">
        <f>VLOOKUP($B3175,'D7 - NDB Impacted SPRF''s'!$E$6:$O$9929,5,FALSE)</f>
        <v>Operational Requirements</v>
      </c>
      <c r="AE3175" s="380" t="str">
        <f>VLOOKUP($B3175,'D7 - NDB Impacted SPRF''s'!$E$6:$O$9929,7,FALSE)</f>
        <v xml:space="preserve">DONALD R REILLY </v>
      </c>
      <c r="AF3175" s="380" t="str">
        <f>VLOOKUP($B3175,'D7 - NDB Impacted SPRF''s'!$E$6:$O$9929,6,FALSE)</f>
        <v>William Calhoun</v>
      </c>
      <c r="AG3175" s="282"/>
      <c r="AH3175" s="311" t="e">
        <f>INDEX('D5 - Gatekeeper - Projects'!$A$4:$AF$1010,$AM3175, 17)</f>
        <v>#N/A</v>
      </c>
      <c r="AI3175" s="8"/>
      <c r="AJ3175" s="57"/>
      <c r="AK3175" s="105"/>
      <c r="AM3175" s="6" t="e">
        <f>MATCH(D3175,'D5 - Gatekeeper - Projects'!$C$4:$C$1010,0)</f>
        <v>#N/A</v>
      </c>
      <c r="AN3175" s="6" t="b">
        <f t="shared" si="324"/>
        <v>1</v>
      </c>
      <c r="AO3175" s="6" t="str">
        <f t="shared" si="325"/>
        <v>OK</v>
      </c>
      <c r="AQ3175" s="6" t="e">
        <f>MATCH($D3175,'D4 - Provider Council Unsched'!$C$11:$C$234,0)</f>
        <v>#N/A</v>
      </c>
      <c r="AR3175" s="6" t="b">
        <f t="shared" si="326"/>
        <v>1</v>
      </c>
      <c r="AS3175" s="6" t="str">
        <f t="shared" si="327"/>
        <v>OK</v>
      </c>
      <c r="AU3175" s="202"/>
      <c r="AV3175" s="412" t="s">
        <v>9116</v>
      </c>
      <c r="AW3175" s="274"/>
    </row>
    <row r="3176" spans="1:49" s="13" customFormat="1" ht="11.25" customHeight="1" x14ac:dyDescent="0.2">
      <c r="A3176" s="14">
        <v>3149</v>
      </c>
      <c r="B3176" s="8">
        <v>400058699</v>
      </c>
      <c r="C3176" s="8" t="s">
        <v>1447</v>
      </c>
      <c r="D3176" s="4" t="str">
        <f t="shared" si="328"/>
        <v>400058699A</v>
      </c>
      <c r="E3176" s="309" t="str">
        <f>VLOOKUP($B3176,'D7 - NDB Impacted SPRF''s'!$E$6:$O$9929,2,FALSE)</f>
        <v xml:space="preserve">Send/Receive all Provider License Numbers </v>
      </c>
      <c r="F3176" s="8"/>
      <c r="G3176" s="8" t="s">
        <v>4758</v>
      </c>
      <c r="H3176" s="8" t="s">
        <v>2870</v>
      </c>
      <c r="I3176" s="20"/>
      <c r="J3176" s="8"/>
      <c r="K3176" s="182"/>
      <c r="L3176" s="8" t="s">
        <v>4156</v>
      </c>
      <c r="M3176" s="8" t="s">
        <v>2814</v>
      </c>
      <c r="N3176" s="38"/>
      <c r="O3176" s="8"/>
      <c r="P3176" s="4" t="str">
        <f>VLOOKUP($B3176,'D7 - NDB Impacted SPRF''s'!$E$16:$O$9929,9,FALSE)</f>
        <v>N</v>
      </c>
      <c r="Q3176" s="4" t="str">
        <f>VLOOKUP($B3176,'D7 - NDB Impacted SPRF''s'!$E$16:$O$9929,10,FALSE)</f>
        <v>N</v>
      </c>
      <c r="R3176" s="4" t="str">
        <f>VLOOKUP($B3176,'D7 - NDB Impacted SPRF''s'!$E$16:$O$9929,11,FALSE)</f>
        <v>N</v>
      </c>
      <c r="S3176" s="8"/>
      <c r="T3176" s="310"/>
      <c r="U3176" s="310"/>
      <c r="V3176" s="4"/>
      <c r="W3176" s="4"/>
      <c r="X3176" s="4"/>
      <c r="Y3176" s="4"/>
      <c r="Z3176" s="4"/>
      <c r="AA3176" s="4"/>
      <c r="AB3176" s="380" t="str">
        <f>VLOOKUP($B3176,'D7 - NDB Impacted SPRF''s'!$E$6:$O$9929,4,FALSE)</f>
        <v>Cancelled</v>
      </c>
      <c r="AC3176" s="380" t="str">
        <f>VLOOKUP($B3176,'D7 - NDB Impacted SPRF''s'!$E$6:$O$9929,3,FALSE)</f>
        <v>UnitedHealthcare Community &amp; State</v>
      </c>
      <c r="AD3176" s="380" t="str">
        <f>VLOOKUP($B3176,'D7 - NDB Impacted SPRF''s'!$E$6:$O$9929,5,FALSE)</f>
        <v>Integration Requirements</v>
      </c>
      <c r="AE3176" s="380" t="str">
        <f>VLOOKUP($B3176,'D7 - NDB Impacted SPRF''s'!$E$6:$O$9929,7,FALSE)</f>
        <v>Diane Kochol</v>
      </c>
      <c r="AF3176" s="380" t="str">
        <f>VLOOKUP($B3176,'D7 - NDB Impacted SPRF''s'!$E$6:$O$9929,6,FALSE)</f>
        <v>Diane Kochol</v>
      </c>
      <c r="AG3176" s="282"/>
      <c r="AH3176" s="311" t="e">
        <f>INDEX('D5 - Gatekeeper - Projects'!$A$4:$AF$1010,$AM3176, 17)</f>
        <v>#N/A</v>
      </c>
      <c r="AI3176" s="8"/>
      <c r="AJ3176" s="57"/>
      <c r="AK3176" s="105"/>
      <c r="AM3176" s="6" t="e">
        <f>MATCH(D3176,'D5 - Gatekeeper - Projects'!$C$4:$C$1010,0)</f>
        <v>#N/A</v>
      </c>
      <c r="AN3176" s="6" t="b">
        <f t="shared" si="324"/>
        <v>1</v>
      </c>
      <c r="AO3176" s="6" t="str">
        <f t="shared" si="325"/>
        <v>OK</v>
      </c>
      <c r="AQ3176" s="6" t="e">
        <f>MATCH($D3176,'D4 - Provider Council Unsched'!$C$11:$C$234,0)</f>
        <v>#N/A</v>
      </c>
      <c r="AR3176" s="6" t="b">
        <f t="shared" si="326"/>
        <v>1</v>
      </c>
      <c r="AS3176" s="6" t="str">
        <f t="shared" si="327"/>
        <v>OK</v>
      </c>
      <c r="AU3176" s="202"/>
      <c r="AV3176" s="412" t="s">
        <v>915</v>
      </c>
      <c r="AW3176" s="274"/>
    </row>
    <row r="3177" spans="1:49" s="13" customFormat="1" ht="33.75" x14ac:dyDescent="0.2">
      <c r="A3177" s="14">
        <v>3150</v>
      </c>
      <c r="B3177" s="8">
        <v>400058982</v>
      </c>
      <c r="C3177" s="8" t="s">
        <v>1447</v>
      </c>
      <c r="D3177" s="4" t="str">
        <f t="shared" si="328"/>
        <v>400058982A</v>
      </c>
      <c r="E3177" s="309" t="str">
        <f>VLOOKUP($B3177,'D7 - NDB Impacted SPRF''s'!$E$6:$O$9929,2,FALSE)</f>
        <v>TX THSteps indicator in NDB</v>
      </c>
      <c r="F3177" s="8"/>
      <c r="G3177" s="8" t="s">
        <v>4758</v>
      </c>
      <c r="H3177" s="8" t="s">
        <v>2870</v>
      </c>
      <c r="I3177" s="20"/>
      <c r="J3177" s="8"/>
      <c r="K3177" s="182"/>
      <c r="L3177" s="8" t="s">
        <v>4156</v>
      </c>
      <c r="M3177" s="8" t="s">
        <v>2814</v>
      </c>
      <c r="N3177" s="38" t="s">
        <v>9381</v>
      </c>
      <c r="O3177" s="8"/>
      <c r="P3177" s="4" t="str">
        <f>VLOOKUP($B3177,'D7 - NDB Impacted SPRF''s'!$E$16:$O$9929,9,FALSE)</f>
        <v>N</v>
      </c>
      <c r="Q3177" s="4" t="str">
        <f>VLOOKUP($B3177,'D7 - NDB Impacted SPRF''s'!$E$16:$O$9929,10,FALSE)</f>
        <v>N</v>
      </c>
      <c r="R3177" s="4" t="str">
        <f>VLOOKUP($B3177,'D7 - NDB Impacted SPRF''s'!$E$16:$O$9929,11,FALSE)</f>
        <v>N</v>
      </c>
      <c r="S3177" s="8"/>
      <c r="T3177" s="310"/>
      <c r="U3177" s="310"/>
      <c r="V3177" s="4"/>
      <c r="W3177" s="4"/>
      <c r="X3177" s="4"/>
      <c r="Y3177" s="4"/>
      <c r="Z3177" s="4"/>
      <c r="AA3177" s="4"/>
      <c r="AB3177" s="380" t="str">
        <f>VLOOKUP($B3177,'D7 - NDB Impacted SPRF''s'!$E$6:$O$9929,4,FALSE)</f>
        <v>Cancelled</v>
      </c>
      <c r="AC3177" s="380" t="str">
        <f>VLOOKUP($B3177,'D7 - NDB Impacted SPRF''s'!$E$6:$O$9929,3,FALSE)</f>
        <v>UnitedHealthcare Community &amp; State</v>
      </c>
      <c r="AD3177" s="380" t="str">
        <f>VLOOKUP($B3177,'D7 - NDB Impacted SPRF''s'!$E$6:$O$9929,5,FALSE)</f>
        <v>Operational Requirements</v>
      </c>
      <c r="AE3177" s="380" t="str">
        <f>VLOOKUP($B3177,'D7 - NDB Impacted SPRF''s'!$E$6:$O$9929,7,FALSE)</f>
        <v>Robert Hilliard</v>
      </c>
      <c r="AF3177" s="380" t="str">
        <f>VLOOKUP($B3177,'D7 - NDB Impacted SPRF''s'!$E$6:$O$9929,6,FALSE)</f>
        <v>David Solyom</v>
      </c>
      <c r="AG3177" s="282"/>
      <c r="AH3177" s="311" t="e">
        <f>INDEX('D5 - Gatekeeper - Projects'!$A$4:$AF$1010,$AM3177, 17)</f>
        <v>#N/A</v>
      </c>
      <c r="AI3177" s="8"/>
      <c r="AJ3177" s="57"/>
      <c r="AK3177" s="105"/>
      <c r="AM3177" s="6" t="e">
        <f>MATCH(D3177,'D5 - Gatekeeper - Projects'!$C$4:$C$1010,0)</f>
        <v>#N/A</v>
      </c>
      <c r="AN3177" s="6" t="b">
        <f t="shared" si="324"/>
        <v>1</v>
      </c>
      <c r="AO3177" s="6" t="str">
        <f t="shared" si="325"/>
        <v>OK</v>
      </c>
      <c r="AQ3177" s="6" t="e">
        <f>MATCH($D3177,'D4 - Provider Council Unsched'!$C$11:$C$234,0)</f>
        <v>#N/A</v>
      </c>
      <c r="AR3177" s="6" t="b">
        <f t="shared" si="326"/>
        <v>1</v>
      </c>
      <c r="AS3177" s="6" t="str">
        <f t="shared" si="327"/>
        <v>OK</v>
      </c>
      <c r="AU3177" s="202"/>
      <c r="AV3177" s="412" t="s">
        <v>1132</v>
      </c>
      <c r="AW3177" s="274"/>
    </row>
    <row r="3178" spans="1:49" s="13" customFormat="1" ht="33.75" x14ac:dyDescent="0.2">
      <c r="A3178" s="14">
        <v>3151</v>
      </c>
      <c r="B3178" s="14" t="s">
        <v>4044</v>
      </c>
      <c r="C3178" s="8" t="s">
        <v>5197</v>
      </c>
      <c r="D3178" s="4" t="s">
        <v>7346</v>
      </c>
      <c r="E3178" s="341" t="s">
        <v>7973</v>
      </c>
      <c r="F3178" s="8" t="s">
        <v>2114</v>
      </c>
      <c r="G3178" s="8" t="s">
        <v>4758</v>
      </c>
      <c r="H3178" s="8" t="s">
        <v>2870</v>
      </c>
      <c r="I3178" s="20">
        <v>1.33</v>
      </c>
      <c r="J3178" s="8" t="s">
        <v>4862</v>
      </c>
      <c r="K3178" s="182"/>
      <c r="L3178" s="8" t="s">
        <v>5743</v>
      </c>
      <c r="M3178" s="8" t="s">
        <v>6688</v>
      </c>
      <c r="N3178" s="38" t="s">
        <v>2243</v>
      </c>
      <c r="O3178" s="8" t="s">
        <v>3572</v>
      </c>
      <c r="P3178" s="4" t="e">
        <f>VLOOKUP($B3178,'D7 - NDB Impacted SPRF''s'!$E$16:$O$9929,9,FALSE)</f>
        <v>#N/A</v>
      </c>
      <c r="Q3178" s="4" t="e">
        <f>VLOOKUP($B3178,'D7 - NDB Impacted SPRF''s'!$E$16:$O$9929,10,FALSE)</f>
        <v>#N/A</v>
      </c>
      <c r="R3178" s="4" t="e">
        <f>VLOOKUP($B3178,'D7 - NDB Impacted SPRF''s'!$E$16:$O$9929,11,FALSE)</f>
        <v>#N/A</v>
      </c>
      <c r="S3178" s="8"/>
      <c r="T3178" s="310"/>
      <c r="U3178" s="310"/>
      <c r="V3178" s="4"/>
      <c r="W3178" s="4"/>
      <c r="X3178" s="4"/>
      <c r="Y3178" s="4"/>
      <c r="Z3178" s="4"/>
      <c r="AA3178" s="4"/>
      <c r="AB3178" s="383" t="e">
        <f>VLOOKUP($B3178,'D7 - NDB Impacted SPRF''s'!$E$16:$O$9929,4,FALSE)</f>
        <v>#N/A</v>
      </c>
      <c r="AC3178" s="380" t="s">
        <v>5324</v>
      </c>
      <c r="AD3178" s="380" t="e">
        <f>VLOOKUP($B3178,'D7 - NDB Impacted SPRF''s'!$E$16:$O$9929,5,FALSE)</f>
        <v>#N/A</v>
      </c>
      <c r="AE3178" s="380" t="e">
        <f>VLOOKUP($B3178,'D7 - NDB Impacted SPRF''s'!$E$16:$O$9929,7,FALSE)</f>
        <v>#N/A</v>
      </c>
      <c r="AF3178" s="380" t="e">
        <f>VLOOKUP($B3178,'D7 - NDB Impacted SPRF''s'!$E$16:$O$9929,6,FALSE)</f>
        <v>#N/A</v>
      </c>
      <c r="AG3178" s="282"/>
      <c r="AH3178" s="311" t="e">
        <f>INDEX('D5 - Gatekeeper - Projects'!$A$4:$AF$1010,$AM3178, 17)</f>
        <v>#N/A</v>
      </c>
      <c r="AI3178" s="8"/>
      <c r="AJ3178" s="57"/>
      <c r="AK3178" s="105"/>
      <c r="AM3178" s="6" t="e">
        <f>MATCH(D3178,'D5 - Gatekeeper - Projects'!$C$4:$C$1010,0)</f>
        <v>#N/A</v>
      </c>
      <c r="AN3178" s="6" t="b">
        <f t="shared" si="324"/>
        <v>1</v>
      </c>
      <c r="AO3178" s="6" t="str">
        <f t="shared" si="325"/>
        <v>OK</v>
      </c>
      <c r="AQ3178" s="6" t="e">
        <f>MATCH($D3178,'D4 - Provider Council Unsched'!$C$11:$C$234,0)</f>
        <v>#N/A</v>
      </c>
      <c r="AR3178" s="6" t="b">
        <f t="shared" si="326"/>
        <v>1</v>
      </c>
      <c r="AS3178" s="6" t="str">
        <f t="shared" ref="AS3178:AS3183" si="329">IF(AND(H3178="2 - Not Scheduled",AR3178=TRUE),"Add","OK")</f>
        <v>OK</v>
      </c>
      <c r="AU3178" s="202"/>
      <c r="AV3178" s="216" t="e">
        <v>#N/A</v>
      </c>
      <c r="AW3178" s="274"/>
    </row>
    <row r="3179" spans="1:49" s="13" customFormat="1" x14ac:dyDescent="0.2">
      <c r="A3179" s="14">
        <v>3152</v>
      </c>
      <c r="B3179" s="14" t="s">
        <v>7343</v>
      </c>
      <c r="C3179" s="8" t="s">
        <v>3763</v>
      </c>
      <c r="D3179" s="4" t="s">
        <v>7347</v>
      </c>
      <c r="E3179" s="309" t="s">
        <v>7974</v>
      </c>
      <c r="F3179" s="8" t="s">
        <v>2114</v>
      </c>
      <c r="G3179" s="8" t="s">
        <v>4758</v>
      </c>
      <c r="H3179" s="8" t="s">
        <v>2870</v>
      </c>
      <c r="I3179" s="20">
        <v>3.5</v>
      </c>
      <c r="J3179" s="8" t="s">
        <v>4862</v>
      </c>
      <c r="K3179" s="182"/>
      <c r="L3179" s="8" t="s">
        <v>5743</v>
      </c>
      <c r="M3179" s="8" t="s">
        <v>2814</v>
      </c>
      <c r="N3179" s="38" t="s">
        <v>2243</v>
      </c>
      <c r="O3179" s="8" t="s">
        <v>3572</v>
      </c>
      <c r="P3179" s="4" t="e">
        <f>VLOOKUP($B3179,'D7 - NDB Impacted SPRF''s'!$E$16:$O$9929,9,FALSE)</f>
        <v>#N/A</v>
      </c>
      <c r="Q3179" s="4" t="e">
        <f>VLOOKUP($B3179,'D7 - NDB Impacted SPRF''s'!$E$16:$O$9929,10,FALSE)</f>
        <v>#N/A</v>
      </c>
      <c r="R3179" s="4" t="e">
        <f>VLOOKUP($B3179,'D7 - NDB Impacted SPRF''s'!$E$16:$O$9929,11,FALSE)</f>
        <v>#N/A</v>
      </c>
      <c r="S3179" s="8"/>
      <c r="T3179" s="310"/>
      <c r="U3179" s="310"/>
      <c r="V3179" s="4"/>
      <c r="W3179" s="4"/>
      <c r="X3179" s="4"/>
      <c r="Y3179" s="4"/>
      <c r="Z3179" s="4"/>
      <c r="AA3179" s="4"/>
      <c r="AB3179" s="383" t="e">
        <f>VLOOKUP($B3179,'D7 - NDB Impacted SPRF''s'!$E$16:$O$9929,4,FALSE)</f>
        <v>#N/A</v>
      </c>
      <c r="AC3179" s="380" t="e">
        <f>VLOOKUP($B3179,'D7 - NDB Impacted SPRF''s'!$E$16:$O$9929,3,FALSE)</f>
        <v>#N/A</v>
      </c>
      <c r="AD3179" s="380" t="e">
        <f>VLOOKUP($B3179,'D7 - NDB Impacted SPRF''s'!$E$16:$O$9929,5,FALSE)</f>
        <v>#N/A</v>
      </c>
      <c r="AE3179" s="380" t="e">
        <f>VLOOKUP($B3179,'D7 - NDB Impacted SPRF''s'!$E$16:$O$9929,7,FALSE)</f>
        <v>#N/A</v>
      </c>
      <c r="AF3179" s="380" t="e">
        <f>VLOOKUP($B3179,'D7 - NDB Impacted SPRF''s'!$E$16:$O$9929,6,FALSE)</f>
        <v>#N/A</v>
      </c>
      <c r="AG3179" s="282"/>
      <c r="AH3179" s="311" t="e">
        <f>INDEX('D5 - Gatekeeper - Projects'!$A$4:$AF$1010,$AM3179, 17)</f>
        <v>#N/A</v>
      </c>
      <c r="AI3179" s="8"/>
      <c r="AJ3179" s="57"/>
      <c r="AK3179" s="105"/>
      <c r="AM3179" s="6" t="e">
        <f>MATCH(D3179,'D5 - Gatekeeper - Projects'!$C$4:$C$1010,0)</f>
        <v>#N/A</v>
      </c>
      <c r="AN3179" s="6" t="b">
        <f t="shared" si="324"/>
        <v>1</v>
      </c>
      <c r="AO3179" s="6" t="str">
        <f t="shared" si="325"/>
        <v>OK</v>
      </c>
      <c r="AQ3179" s="6" t="e">
        <f>MATCH($D3179,'D4 - Provider Council Unsched'!$C$11:$C$234,0)</f>
        <v>#N/A</v>
      </c>
      <c r="AR3179" s="6" t="b">
        <f t="shared" si="326"/>
        <v>1</v>
      </c>
      <c r="AS3179" s="6" t="str">
        <f t="shared" si="329"/>
        <v>OK</v>
      </c>
      <c r="AU3179" s="202"/>
      <c r="AV3179" s="216" t="e">
        <v>#N/A</v>
      </c>
      <c r="AW3179" s="274"/>
    </row>
    <row r="3180" spans="1:49" s="13" customFormat="1" x14ac:dyDescent="0.2">
      <c r="A3180" s="14">
        <v>3153</v>
      </c>
      <c r="B3180" s="14" t="s">
        <v>3071</v>
      </c>
      <c r="C3180" s="8" t="s">
        <v>5197</v>
      </c>
      <c r="D3180" s="4" t="s">
        <v>2281</v>
      </c>
      <c r="E3180" s="339" t="s">
        <v>3112</v>
      </c>
      <c r="F3180" s="8" t="s">
        <v>2114</v>
      </c>
      <c r="G3180" s="8" t="s">
        <v>4758</v>
      </c>
      <c r="H3180" s="8" t="s">
        <v>2870</v>
      </c>
      <c r="I3180" s="20">
        <v>2.6</v>
      </c>
      <c r="J3180" s="8" t="s">
        <v>4862</v>
      </c>
      <c r="K3180" s="182"/>
      <c r="L3180" s="8" t="s">
        <v>5743</v>
      </c>
      <c r="M3180" s="8" t="s">
        <v>5626</v>
      </c>
      <c r="N3180" s="38" t="s">
        <v>2243</v>
      </c>
      <c r="O3180" s="8" t="s">
        <v>3572</v>
      </c>
      <c r="P3180" s="4" t="e">
        <f>VLOOKUP($B3180,'D7 - NDB Impacted SPRF''s'!$E$16:$O$9929,9,FALSE)</f>
        <v>#N/A</v>
      </c>
      <c r="Q3180" s="4" t="e">
        <f>VLOOKUP($B3180,'D7 - NDB Impacted SPRF''s'!$E$16:$O$9929,10,FALSE)</f>
        <v>#N/A</v>
      </c>
      <c r="R3180" s="4" t="e">
        <f>VLOOKUP($B3180,'D7 - NDB Impacted SPRF''s'!$E$16:$O$9929,11,FALSE)</f>
        <v>#N/A</v>
      </c>
      <c r="S3180" s="8"/>
      <c r="T3180" s="310"/>
      <c r="U3180" s="310"/>
      <c r="V3180" s="4"/>
      <c r="W3180" s="4"/>
      <c r="X3180" s="4"/>
      <c r="Y3180" s="4"/>
      <c r="Z3180" s="4"/>
      <c r="AA3180" s="4"/>
      <c r="AB3180" s="383" t="e">
        <f>VLOOKUP($B3180,'D7 - NDB Impacted SPRF''s'!$E$16:$O$9929,4,FALSE)</f>
        <v>#N/A</v>
      </c>
      <c r="AC3180" s="380" t="e">
        <f>VLOOKUP($B3180,'D7 - NDB Impacted SPRF''s'!$E$16:$O$9929,3,FALSE)</f>
        <v>#N/A</v>
      </c>
      <c r="AD3180" s="380" t="e">
        <f>VLOOKUP($B3180,'D7 - NDB Impacted SPRF''s'!$E$16:$O$9929,5,FALSE)</f>
        <v>#N/A</v>
      </c>
      <c r="AE3180" s="380" t="e">
        <f>VLOOKUP($B3180,'D7 - NDB Impacted SPRF''s'!$E$16:$O$9929,7,FALSE)</f>
        <v>#N/A</v>
      </c>
      <c r="AF3180" s="380" t="e">
        <f>VLOOKUP($B3180,'D7 - NDB Impacted SPRF''s'!$E$16:$O$9929,6,FALSE)</f>
        <v>#N/A</v>
      </c>
      <c r="AG3180" s="282"/>
      <c r="AH3180" s="311" t="e">
        <f>INDEX('D5 - Gatekeeper - Projects'!$A$4:$AF$1010,$AM3180, 17)</f>
        <v>#N/A</v>
      </c>
      <c r="AI3180" s="8"/>
      <c r="AJ3180" s="57"/>
      <c r="AK3180" s="105"/>
      <c r="AM3180" s="6" t="e">
        <f>MATCH(D3180,'D5 - Gatekeeper - Projects'!$C$4:$C$1010,0)</f>
        <v>#N/A</v>
      </c>
      <c r="AN3180" s="6" t="b">
        <f t="shared" si="324"/>
        <v>1</v>
      </c>
      <c r="AO3180" s="6" t="str">
        <f t="shared" si="325"/>
        <v>OK</v>
      </c>
      <c r="AQ3180" s="6" t="e">
        <f>MATCH($D3180,'D4 - Provider Council Unsched'!$C$11:$C$234,0)</f>
        <v>#N/A</v>
      </c>
      <c r="AR3180" s="6" t="b">
        <f t="shared" si="326"/>
        <v>1</v>
      </c>
      <c r="AS3180" s="6" t="str">
        <f t="shared" si="329"/>
        <v>OK</v>
      </c>
      <c r="AU3180" s="202">
        <v>40651</v>
      </c>
      <c r="AV3180" s="216" t="e">
        <v>#N/A</v>
      </c>
      <c r="AW3180" s="274"/>
    </row>
    <row r="3181" spans="1:49" s="13" customFormat="1" x14ac:dyDescent="0.2">
      <c r="A3181" s="14">
        <v>3154</v>
      </c>
      <c r="B3181" s="14" t="s">
        <v>3072</v>
      </c>
      <c r="C3181" s="8" t="s">
        <v>5197</v>
      </c>
      <c r="D3181" s="4" t="s">
        <v>2282</v>
      </c>
      <c r="E3181" s="339" t="s">
        <v>3113</v>
      </c>
      <c r="F3181" s="8" t="s">
        <v>2114</v>
      </c>
      <c r="G3181" s="8" t="s">
        <v>4758</v>
      </c>
      <c r="H3181" s="8" t="s">
        <v>2870</v>
      </c>
      <c r="I3181" s="20">
        <v>2.9</v>
      </c>
      <c r="J3181" s="8" t="s">
        <v>4862</v>
      </c>
      <c r="K3181" s="182"/>
      <c r="L3181" s="8" t="s">
        <v>5743</v>
      </c>
      <c r="M3181" s="8" t="s">
        <v>5626</v>
      </c>
      <c r="N3181" s="38" t="s">
        <v>2243</v>
      </c>
      <c r="O3181" s="8" t="s">
        <v>3572</v>
      </c>
      <c r="P3181" s="4" t="e">
        <f>VLOOKUP($B3181,'D7 - NDB Impacted SPRF''s'!$E$16:$O$9929,9,FALSE)</f>
        <v>#N/A</v>
      </c>
      <c r="Q3181" s="4" t="e">
        <f>VLOOKUP($B3181,'D7 - NDB Impacted SPRF''s'!$E$16:$O$9929,10,FALSE)</f>
        <v>#N/A</v>
      </c>
      <c r="R3181" s="4" t="e">
        <f>VLOOKUP($B3181,'D7 - NDB Impacted SPRF''s'!$E$16:$O$9929,11,FALSE)</f>
        <v>#N/A</v>
      </c>
      <c r="S3181" s="8"/>
      <c r="T3181" s="310"/>
      <c r="U3181" s="310"/>
      <c r="V3181" s="4"/>
      <c r="W3181" s="4"/>
      <c r="X3181" s="4"/>
      <c r="Y3181" s="4"/>
      <c r="Z3181" s="4"/>
      <c r="AA3181" s="4"/>
      <c r="AB3181" s="383" t="e">
        <f>VLOOKUP($B3181,'D7 - NDB Impacted SPRF''s'!$E$16:$O$9929,4,FALSE)</f>
        <v>#N/A</v>
      </c>
      <c r="AC3181" s="380" t="e">
        <f>VLOOKUP($B3181,'D7 - NDB Impacted SPRF''s'!$E$16:$O$9929,3,FALSE)</f>
        <v>#N/A</v>
      </c>
      <c r="AD3181" s="380" t="e">
        <f>VLOOKUP($B3181,'D7 - NDB Impacted SPRF''s'!$E$16:$O$9929,5,FALSE)</f>
        <v>#N/A</v>
      </c>
      <c r="AE3181" s="380" t="e">
        <f>VLOOKUP($B3181,'D7 - NDB Impacted SPRF''s'!$E$16:$O$9929,7,FALSE)</f>
        <v>#N/A</v>
      </c>
      <c r="AF3181" s="380" t="e">
        <f>VLOOKUP($B3181,'D7 - NDB Impacted SPRF''s'!$E$16:$O$9929,6,FALSE)</f>
        <v>#N/A</v>
      </c>
      <c r="AG3181" s="282"/>
      <c r="AH3181" s="311" t="e">
        <f>INDEX('D5 - Gatekeeper - Projects'!$A$4:$AF$1010,$AM3181, 17)</f>
        <v>#N/A</v>
      </c>
      <c r="AI3181" s="8"/>
      <c r="AJ3181" s="57"/>
      <c r="AK3181" s="105"/>
      <c r="AM3181" s="6" t="e">
        <f>MATCH(D3181,'D5 - Gatekeeper - Projects'!$C$4:$C$1010,0)</f>
        <v>#N/A</v>
      </c>
      <c r="AN3181" s="6" t="b">
        <f t="shared" si="324"/>
        <v>1</v>
      </c>
      <c r="AO3181" s="6" t="str">
        <f t="shared" si="325"/>
        <v>OK</v>
      </c>
      <c r="AQ3181" s="6" t="e">
        <f>MATCH($D3181,'D4 - Provider Council Unsched'!$C$11:$C$234,0)</f>
        <v>#N/A</v>
      </c>
      <c r="AR3181" s="6" t="b">
        <f t="shared" si="326"/>
        <v>1</v>
      </c>
      <c r="AS3181" s="6" t="str">
        <f t="shared" si="329"/>
        <v>OK</v>
      </c>
      <c r="AU3181" s="202">
        <v>40651</v>
      </c>
      <c r="AV3181" s="216" t="e">
        <v>#N/A</v>
      </c>
      <c r="AW3181" s="274"/>
    </row>
    <row r="3182" spans="1:49" s="13" customFormat="1" ht="12.75" x14ac:dyDescent="0.2">
      <c r="A3182" s="14">
        <v>3155</v>
      </c>
      <c r="B3182" s="14" t="s">
        <v>6561</v>
      </c>
      <c r="C3182" s="8" t="s">
        <v>5197</v>
      </c>
      <c r="D3182" s="4" t="s">
        <v>6565</v>
      </c>
      <c r="E3182" s="341" t="s">
        <v>4061</v>
      </c>
      <c r="F3182" s="8" t="s">
        <v>2114</v>
      </c>
      <c r="G3182" s="8" t="s">
        <v>4758</v>
      </c>
      <c r="H3182" s="8" t="s">
        <v>2870</v>
      </c>
      <c r="I3182" s="20">
        <v>4</v>
      </c>
      <c r="J3182" s="8" t="s">
        <v>4862</v>
      </c>
      <c r="K3182" s="182"/>
      <c r="L3182" s="8" t="s">
        <v>5743</v>
      </c>
      <c r="M3182" s="8" t="s">
        <v>2814</v>
      </c>
      <c r="N3182" s="38" t="s">
        <v>2243</v>
      </c>
      <c r="O3182" s="8" t="s">
        <v>3572</v>
      </c>
      <c r="P3182" s="4" t="e">
        <f>VLOOKUP($B3182,'D7 - NDB Impacted SPRF''s'!$E$16:$O$9929,9,FALSE)</f>
        <v>#N/A</v>
      </c>
      <c r="Q3182" s="4" t="e">
        <f>VLOOKUP($B3182,'D7 - NDB Impacted SPRF''s'!$E$16:$O$9929,10,FALSE)</f>
        <v>#N/A</v>
      </c>
      <c r="R3182" s="4" t="e">
        <f>VLOOKUP($B3182,'D7 - NDB Impacted SPRF''s'!$E$16:$O$9929,11,FALSE)</f>
        <v>#N/A</v>
      </c>
      <c r="S3182" s="8"/>
      <c r="T3182" s="310"/>
      <c r="U3182" s="310"/>
      <c r="V3182" s="4"/>
      <c r="W3182" s="4"/>
      <c r="X3182" s="4"/>
      <c r="Y3182" s="4"/>
      <c r="Z3182" s="4"/>
      <c r="AA3182" s="4"/>
      <c r="AB3182" s="383" t="e">
        <f>VLOOKUP($B3182,'D7 - NDB Impacted SPRF''s'!$E$16:$O$9929,4,FALSE)</f>
        <v>#N/A</v>
      </c>
      <c r="AC3182" s="380" t="e">
        <f>VLOOKUP($B3182,'D7 - NDB Impacted SPRF''s'!$E$16:$O$9929,3,FALSE)</f>
        <v>#N/A</v>
      </c>
      <c r="AD3182" s="380" t="e">
        <f>VLOOKUP($B3182,'D7 - NDB Impacted SPRF''s'!$E$16:$O$9929,5,FALSE)</f>
        <v>#N/A</v>
      </c>
      <c r="AE3182" s="380" t="e">
        <f>VLOOKUP($B3182,'D7 - NDB Impacted SPRF''s'!$E$16:$O$9929,7,FALSE)</f>
        <v>#N/A</v>
      </c>
      <c r="AF3182" s="380" t="e">
        <f>VLOOKUP($B3182,'D7 - NDB Impacted SPRF''s'!$E$16:$O$9929,6,FALSE)</f>
        <v>#N/A</v>
      </c>
      <c r="AG3182" s="282"/>
      <c r="AH3182" s="311" t="e">
        <f>INDEX('D5 - Gatekeeper - Projects'!$A$4:$AF$1010,$AM3182, 17)</f>
        <v>#N/A</v>
      </c>
      <c r="AI3182" s="8"/>
      <c r="AJ3182" s="57"/>
      <c r="AK3182" s="105"/>
      <c r="AM3182" s="6" t="e">
        <f>MATCH(D3182,'D5 - Gatekeeper - Projects'!$C$4:$C$1010,0)</f>
        <v>#N/A</v>
      </c>
      <c r="AN3182" s="6" t="b">
        <f t="shared" si="324"/>
        <v>1</v>
      </c>
      <c r="AO3182" s="6" t="str">
        <f t="shared" si="325"/>
        <v>OK</v>
      </c>
      <c r="AQ3182" s="6" t="e">
        <f>MATCH($D3182,'D4 - Provider Council Unsched'!$C$11:$C$234,0)</f>
        <v>#N/A</v>
      </c>
      <c r="AR3182" s="6" t="b">
        <f t="shared" si="326"/>
        <v>1</v>
      </c>
      <c r="AS3182" s="6" t="str">
        <f t="shared" si="329"/>
        <v>OK</v>
      </c>
      <c r="AU3182" s="202">
        <v>40288</v>
      </c>
      <c r="AV3182" s="216" t="e">
        <v>#N/A</v>
      </c>
      <c r="AW3182" s="274"/>
    </row>
    <row r="3183" spans="1:49" s="13" customFormat="1" ht="12.75" x14ac:dyDescent="0.2">
      <c r="A3183" s="14">
        <v>3156</v>
      </c>
      <c r="B3183" s="14" t="s">
        <v>6562</v>
      </c>
      <c r="C3183" s="8" t="s">
        <v>5197</v>
      </c>
      <c r="D3183" s="4" t="s">
        <v>6566</v>
      </c>
      <c r="E3183" s="341" t="s">
        <v>4060</v>
      </c>
      <c r="F3183" s="8" t="s">
        <v>2114</v>
      </c>
      <c r="G3183" s="8" t="s">
        <v>4758</v>
      </c>
      <c r="H3183" s="8" t="s">
        <v>2870</v>
      </c>
      <c r="I3183" s="20">
        <v>4</v>
      </c>
      <c r="J3183" s="8" t="s">
        <v>4862</v>
      </c>
      <c r="K3183" s="182"/>
      <c r="L3183" s="8" t="s">
        <v>5743</v>
      </c>
      <c r="M3183" s="8" t="s">
        <v>2814</v>
      </c>
      <c r="N3183" s="38" t="s">
        <v>2243</v>
      </c>
      <c r="O3183" s="8" t="s">
        <v>3572</v>
      </c>
      <c r="P3183" s="4" t="e">
        <f>VLOOKUP($B3183,'D7 - NDB Impacted SPRF''s'!$E$16:$O$9929,9,FALSE)</f>
        <v>#N/A</v>
      </c>
      <c r="Q3183" s="4" t="e">
        <f>VLOOKUP($B3183,'D7 - NDB Impacted SPRF''s'!$E$16:$O$9929,10,FALSE)</f>
        <v>#N/A</v>
      </c>
      <c r="R3183" s="4" t="e">
        <f>VLOOKUP($B3183,'D7 - NDB Impacted SPRF''s'!$E$16:$O$9929,11,FALSE)</f>
        <v>#N/A</v>
      </c>
      <c r="S3183" s="8"/>
      <c r="T3183" s="310"/>
      <c r="U3183" s="310"/>
      <c r="V3183" s="4"/>
      <c r="W3183" s="4"/>
      <c r="X3183" s="4"/>
      <c r="Y3183" s="4"/>
      <c r="Z3183" s="4"/>
      <c r="AA3183" s="4"/>
      <c r="AB3183" s="383" t="e">
        <f>VLOOKUP($B3183,'D7 - NDB Impacted SPRF''s'!$E$16:$O$9929,4,FALSE)</f>
        <v>#N/A</v>
      </c>
      <c r="AC3183" s="380" t="e">
        <f>VLOOKUP($B3183,'D7 - NDB Impacted SPRF''s'!$E$16:$O$9929,3,FALSE)</f>
        <v>#N/A</v>
      </c>
      <c r="AD3183" s="380" t="e">
        <f>VLOOKUP($B3183,'D7 - NDB Impacted SPRF''s'!$E$16:$O$9929,5,FALSE)</f>
        <v>#N/A</v>
      </c>
      <c r="AE3183" s="380" t="e">
        <f>VLOOKUP($B3183,'D7 - NDB Impacted SPRF''s'!$E$16:$O$9929,7,FALSE)</f>
        <v>#N/A</v>
      </c>
      <c r="AF3183" s="380" t="e">
        <f>VLOOKUP($B3183,'D7 - NDB Impacted SPRF''s'!$E$16:$O$9929,6,FALSE)</f>
        <v>#N/A</v>
      </c>
      <c r="AG3183" s="282"/>
      <c r="AH3183" s="311" t="e">
        <f>INDEX('D5 - Gatekeeper - Projects'!$A$4:$AF$1010,$AM3183, 17)</f>
        <v>#N/A</v>
      </c>
      <c r="AI3183" s="8"/>
      <c r="AJ3183" s="57"/>
      <c r="AK3183" s="105"/>
      <c r="AM3183" s="6" t="e">
        <f>MATCH(D3183,'D5 - Gatekeeper - Projects'!$C$4:$C$1010,0)</f>
        <v>#N/A</v>
      </c>
      <c r="AN3183" s="6" t="b">
        <f t="shared" si="324"/>
        <v>1</v>
      </c>
      <c r="AO3183" s="6" t="str">
        <f t="shared" si="325"/>
        <v>OK</v>
      </c>
      <c r="AQ3183" s="6" t="e">
        <f>MATCH($D3183,'D4 - Provider Council Unsched'!$C$11:$C$234,0)</f>
        <v>#N/A</v>
      </c>
      <c r="AR3183" s="6" t="b">
        <f t="shared" si="326"/>
        <v>1</v>
      </c>
      <c r="AS3183" s="6" t="str">
        <f t="shared" si="329"/>
        <v>OK</v>
      </c>
      <c r="AU3183" s="202">
        <v>40288</v>
      </c>
      <c r="AV3183" s="262" t="e">
        <v>#N/A</v>
      </c>
      <c r="AW3183" s="274"/>
    </row>
    <row r="3184" spans="1:49" s="13" customFormat="1" x14ac:dyDescent="0.2">
      <c r="A3184" s="14">
        <v>3157</v>
      </c>
      <c r="B3184" s="205" t="s">
        <v>5577</v>
      </c>
      <c r="C3184" s="47"/>
      <c r="D3184" s="46" t="str">
        <f>CONCATENATE(B3184,C3184)</f>
        <v>ZZ - New Add</v>
      </c>
      <c r="E3184" s="46" t="str">
        <f>CONCATENATE(C3184,D3184)</f>
        <v>ZZ - New Add</v>
      </c>
      <c r="F3184" s="47"/>
      <c r="G3184" s="47" t="s">
        <v>4758</v>
      </c>
      <c r="H3184" s="47" t="s">
        <v>5382</v>
      </c>
      <c r="I3184" s="48"/>
      <c r="J3184" s="47"/>
      <c r="K3184" s="184">
        <v>36892</v>
      </c>
      <c r="L3184" s="46"/>
      <c r="M3184" s="46" t="s">
        <v>2814</v>
      </c>
      <c r="N3184" s="366"/>
      <c r="O3184" s="47"/>
      <c r="P3184" s="46" t="e">
        <f>VLOOKUP($B3184,'D7 - NDB Impacted SPRF''s'!$E$16:$O$9929,9,FALSE)</f>
        <v>#N/A</v>
      </c>
      <c r="Q3184" s="46" t="e">
        <f>VLOOKUP($B3184,'D7 - NDB Impacted SPRF''s'!$E$16:$O$9929,10,FALSE)</f>
        <v>#N/A</v>
      </c>
      <c r="R3184" s="46" t="e">
        <f>VLOOKUP($B3184,'D7 - NDB Impacted SPRF''s'!$E$16:$O$9929,11,FALSE)</f>
        <v>#N/A</v>
      </c>
      <c r="S3184" s="47"/>
      <c r="T3184" s="325" t="str">
        <f>IF($H3184=$H$1,INDEX('D5 - Gatekeeper - Projects'!$A$4:$AF$1010,$AM3184,27),"NA")</f>
        <v>NA</v>
      </c>
      <c r="U3184" s="325" t="str">
        <f>IF($H3184=$H$1,INDEX('D5 - Gatekeeper - Projects'!$A$4:$AF$1010,$AM3184,28),"NA")</f>
        <v>NA</v>
      </c>
      <c r="V3184" s="325" t="str">
        <f>IF($H3184=$H$1,INDEX('D5 - Gatekeeper - Projects'!$A$4:$AF$1010,$AM3184,28),"NA")</f>
        <v>NA</v>
      </c>
      <c r="W3184" s="325" t="str">
        <f>IF($H3184=$H$1,INDEX('D5 - Gatekeeper - Projects'!$A$4:$AF$1010,$AM3184,28),"NA")</f>
        <v>NA</v>
      </c>
      <c r="X3184" s="325" t="str">
        <f>IF($H3184=$H$1,INDEX('D5 - Gatekeeper - Projects'!$A$4:$AF$1010,$AM3184,28),"NA")</f>
        <v>NA</v>
      </c>
      <c r="Y3184" s="325" t="str">
        <f>IF($H3184=$H$1,INDEX('D5 - Gatekeeper - Projects'!$A$4:$AF$1010,$AM3184,28),"NA")</f>
        <v>NA</v>
      </c>
      <c r="Z3184" s="325" t="str">
        <f>IF($H3184=$H$1,INDEX('D5 - Gatekeeper - Projects'!$A$4:$AF$1010,$AM3184,28),"NA")</f>
        <v>NA</v>
      </c>
      <c r="AA3184" s="325" t="str">
        <f>IF($H3184=$H$1,INDEX('D5 - Gatekeeper - Projects'!$A$4:$AF$1010,$AM3184,28),"NA")</f>
        <v>NA</v>
      </c>
      <c r="AB3184" s="381" t="e">
        <f>VLOOKUP($B3184,'D7 - NDB Impacted SPRF''s'!$E$16:$O$9929,4,FALSE)</f>
        <v>#N/A</v>
      </c>
      <c r="AC3184" s="381" t="e">
        <f>VLOOKUP($B3184,'D7 - NDB Impacted SPRF''s'!$E$16:$O$9929,3,FALSE)</f>
        <v>#N/A</v>
      </c>
      <c r="AD3184" s="381" t="e">
        <f>VLOOKUP($B3184,'D7 - NDB Impacted SPRF''s'!$E$16:$O$9929,5,FALSE)</f>
        <v>#N/A</v>
      </c>
      <c r="AE3184" s="381" t="e">
        <f>VLOOKUP($B3184,'D7 - NDB Impacted SPRF''s'!$E$16:$O$9929,7,FALSE)</f>
        <v>#N/A</v>
      </c>
      <c r="AF3184" s="381" t="e">
        <f>VLOOKUP($B3184,'D7 - NDB Impacted SPRF''s'!$E$16:$O$9929,6,FALSE)</f>
        <v>#N/A</v>
      </c>
      <c r="AG3184" s="324"/>
      <c r="AH3184" s="326"/>
      <c r="AI3184" s="47"/>
      <c r="AJ3184" s="58"/>
      <c r="AK3184" s="106"/>
      <c r="AM3184" s="6" t="e">
        <f>MATCH(D3184,'D5 - Gatekeeper - Projects'!$C$4:$C$1010,0)</f>
        <v>#N/A</v>
      </c>
      <c r="AN3184" s="6" t="b">
        <f t="shared" si="324"/>
        <v>1</v>
      </c>
      <c r="AO3184" s="6" t="str">
        <f t="shared" si="325"/>
        <v>OK</v>
      </c>
      <c r="AQ3184" s="6" t="e">
        <f>MATCH($D3184,'D4 - Provider Council Unsched'!$C$11:$C$234,0)</f>
        <v>#N/A</v>
      </c>
      <c r="AR3184" s="6" t="b">
        <f t="shared" si="326"/>
        <v>1</v>
      </c>
      <c r="AS3184" s="6" t="str">
        <f t="shared" ref="AS3184:AS3215" si="330">IF(AND(H3184="2 - Not Scheduled",AR3184=TRUE,C3184="R1"),"Add","OK")</f>
        <v>OK</v>
      </c>
      <c r="AU3184" s="202"/>
      <c r="AV3184" s="216"/>
      <c r="AW3184" s="274"/>
    </row>
    <row r="3185" spans="1:49" s="13" customFormat="1" ht="45" x14ac:dyDescent="0.2">
      <c r="A3185" s="14">
        <v>3158</v>
      </c>
      <c r="B3185" s="14">
        <v>400038567</v>
      </c>
      <c r="C3185" s="8" t="s">
        <v>5197</v>
      </c>
      <c r="D3185" s="4" t="str">
        <f t="shared" ref="D3185:D3216" si="331">CONCATENATE(B3185,C3185)</f>
        <v>400038567R1</v>
      </c>
      <c r="E3185" s="309" t="str">
        <f>VLOOKUP($B3185,'D7 - NDB Impacted SPRF''s'!$E$6:$O$9929,2,FALSE)</f>
        <v>Master Data Mgmt: Enterprise Logical DM [ELDM]</v>
      </c>
      <c r="F3185" s="8"/>
      <c r="G3185" s="8" t="s">
        <v>4758</v>
      </c>
      <c r="H3185" s="8" t="s">
        <v>5382</v>
      </c>
      <c r="I3185" s="20">
        <v>2.6666666666666665</v>
      </c>
      <c r="J3185" s="8" t="s">
        <v>4862</v>
      </c>
      <c r="K3185" s="182">
        <v>40614</v>
      </c>
      <c r="L3185" s="8" t="s">
        <v>4156</v>
      </c>
      <c r="M3185" s="8" t="s">
        <v>6688</v>
      </c>
      <c r="N3185" s="38" t="s">
        <v>1375</v>
      </c>
      <c r="O3185" s="8"/>
      <c r="P3185" s="4" t="str">
        <f>VLOOKUP($B3185,'D7 - NDB Impacted SPRF''s'!$E$16:$O$9929,9,FALSE)</f>
        <v>Y</v>
      </c>
      <c r="Q3185" s="4" t="str">
        <f>VLOOKUP($B3185,'D7 - NDB Impacted SPRF''s'!$E$16:$O$9929,10,FALSE)</f>
        <v>N</v>
      </c>
      <c r="R3185" s="4" t="str">
        <f>VLOOKUP($B3185,'D7 - NDB Impacted SPRF''s'!$E$16:$O$9929,11,FALSE)</f>
        <v>N</v>
      </c>
      <c r="S3185" s="8"/>
      <c r="T3185" s="310"/>
      <c r="U3185" s="310"/>
      <c r="V3185" s="4"/>
      <c r="W3185" s="4"/>
      <c r="X3185" s="4"/>
      <c r="Y3185" s="4"/>
      <c r="Z3185" s="4"/>
      <c r="AA3185" s="4"/>
      <c r="AB3185" s="380" t="str">
        <f>VLOOKUP($B3185,'D7 - NDB Impacted SPRF''s'!$E$6:$O$9929,4,FALSE)</f>
        <v>Completed</v>
      </c>
      <c r="AC3185" s="380" t="str">
        <f>VLOOKUP($B3185,'D7 - NDB Impacted SPRF''s'!$E$6:$O$9929,3,FALSE)</f>
        <v>UHG IT - Enterprise Technology Services</v>
      </c>
      <c r="AD3185" s="380" t="str">
        <f>VLOOKUP($B3185,'D7 - NDB Impacted SPRF''s'!$E$6:$O$9929,5,FALSE)</f>
        <v>ASG</v>
      </c>
      <c r="AE3185" s="380" t="str">
        <f>VLOOKUP($B3185,'D7 - NDB Impacted SPRF''s'!$E$6:$O$9929,7,FALSE)</f>
        <v>Timothy G. Peterson</v>
      </c>
      <c r="AF3185" s="380" t="str">
        <f>VLOOKUP($B3185,'D7 - NDB Impacted SPRF''s'!$E$6:$O$9929,6,FALSE)</f>
        <v>Tanya Rainey</v>
      </c>
      <c r="AG3185" s="282"/>
      <c r="AH3185" s="311" t="e">
        <f>INDEX('D5 - Gatekeeper - Projects'!$A$4:$AF$1010,$AM3185, 17)</f>
        <v>#N/A</v>
      </c>
      <c r="AI3185" s="8"/>
      <c r="AJ3185" s="57"/>
      <c r="AK3185" s="105"/>
      <c r="AM3185" s="6" t="e">
        <f>MATCH(D3185,'D5 - Gatekeeper - Projects'!$C$4:$C$1010,0)</f>
        <v>#N/A</v>
      </c>
      <c r="AN3185" s="6" t="b">
        <f t="shared" si="324"/>
        <v>1</v>
      </c>
      <c r="AO3185" s="6" t="str">
        <f t="shared" si="325"/>
        <v>OK</v>
      </c>
      <c r="AQ3185" s="6" t="e">
        <f>MATCH($D3185,'D4 - Provider Council Unsched'!$C$11:$C$234,0)</f>
        <v>#N/A</v>
      </c>
      <c r="AR3185" s="6" t="b">
        <f t="shared" si="326"/>
        <v>1</v>
      </c>
      <c r="AS3185" s="6" t="str">
        <f t="shared" si="330"/>
        <v>OK</v>
      </c>
      <c r="AU3185" s="202">
        <v>40476</v>
      </c>
      <c r="AV3185" s="216" t="s">
        <v>467</v>
      </c>
      <c r="AW3185" s="274"/>
    </row>
    <row r="3186" spans="1:49" s="13" customFormat="1" ht="33.75" x14ac:dyDescent="0.2">
      <c r="A3186" s="14">
        <v>3159</v>
      </c>
      <c r="B3186" s="8">
        <v>400044491</v>
      </c>
      <c r="C3186" s="8" t="s">
        <v>1447</v>
      </c>
      <c r="D3186" s="4" t="str">
        <f t="shared" si="331"/>
        <v>400044491A</v>
      </c>
      <c r="E3186" s="309" t="str">
        <f>VLOOKUP($B3186,'D7 - NDB Impacted SPRF''s'!$E$6:$O$9929,2,FALSE)</f>
        <v>HIPAA 5010 - PHS NICE 5010 / EDI Completion</v>
      </c>
      <c r="F3186" s="8"/>
      <c r="G3186" s="8" t="s">
        <v>4758</v>
      </c>
      <c r="H3186" s="8" t="s">
        <v>5382</v>
      </c>
      <c r="I3186" s="20">
        <v>0.4</v>
      </c>
      <c r="J3186" s="8" t="s">
        <v>4862</v>
      </c>
      <c r="K3186" s="182">
        <v>40768</v>
      </c>
      <c r="L3186" s="8" t="s">
        <v>4156</v>
      </c>
      <c r="M3186" s="8" t="s">
        <v>5626</v>
      </c>
      <c r="N3186" s="38" t="s">
        <v>3615</v>
      </c>
      <c r="O3186" s="8"/>
      <c r="P3186" s="4" t="str">
        <f>VLOOKUP($B3186,'D7 - NDB Impacted SPRF''s'!$E$16:$O$9929,9,FALSE)</f>
        <v>N</v>
      </c>
      <c r="Q3186" s="4" t="str">
        <f>VLOOKUP($B3186,'D7 - NDB Impacted SPRF''s'!$E$16:$O$9929,10,FALSE)</f>
        <v>N</v>
      </c>
      <c r="R3186" s="4" t="str">
        <f>VLOOKUP($B3186,'D7 - NDB Impacted SPRF''s'!$E$16:$O$9929,11,FALSE)</f>
        <v>N</v>
      </c>
      <c r="S3186" s="8"/>
      <c r="T3186" s="310"/>
      <c r="U3186" s="310"/>
      <c r="V3186" s="4"/>
      <c r="W3186" s="4"/>
      <c r="X3186" s="4"/>
      <c r="Y3186" s="4"/>
      <c r="Z3186" s="4"/>
      <c r="AA3186" s="4"/>
      <c r="AB3186" s="380" t="str">
        <f>VLOOKUP($B3186,'D7 - NDB Impacted SPRF''s'!$E$6:$O$9929,4,FALSE)</f>
        <v>Completed</v>
      </c>
      <c r="AC3186" s="380" t="str">
        <f>VLOOKUP($B3186,'D7 - NDB Impacted SPRF''s'!$E$6:$O$9929,3,FALSE)</f>
        <v>UnitedHealthcare Employer &amp; Individual</v>
      </c>
      <c r="AD3186" s="380" t="str">
        <f>VLOOKUP($B3186,'D7 - NDB Impacted SPRF''s'!$E$6:$O$9929,5,FALSE)</f>
        <v>HIPAA 5010</v>
      </c>
      <c r="AE3186" s="380" t="str">
        <f>VLOOKUP($B3186,'D7 - NDB Impacted SPRF''s'!$E$6:$O$9929,7,FALSE)</f>
        <v>Ross Lippincott</v>
      </c>
      <c r="AF3186" s="380" t="str">
        <f>VLOOKUP($B3186,'D7 - NDB Impacted SPRF''s'!$E$6:$O$9929,6,FALSE)</f>
        <v>Peter Hessedal</v>
      </c>
      <c r="AG3186" s="282"/>
      <c r="AH3186" s="311" t="e">
        <f>INDEX('D5 - Gatekeeper - Projects'!$A$4:$AF$1010,$AM3186, 17)</f>
        <v>#N/A</v>
      </c>
      <c r="AI3186" s="8"/>
      <c r="AJ3186" s="57"/>
      <c r="AK3186" s="105"/>
      <c r="AM3186" s="6" t="e">
        <f>MATCH(D3186,'D5 - Gatekeeper - Projects'!$C$4:$C$1010,0)</f>
        <v>#N/A</v>
      </c>
      <c r="AN3186" s="6" t="b">
        <f t="shared" si="324"/>
        <v>1</v>
      </c>
      <c r="AO3186" s="6" t="str">
        <f t="shared" si="325"/>
        <v>OK</v>
      </c>
      <c r="AQ3186" s="6" t="e">
        <f>MATCH($D3186,'D4 - Provider Council Unsched'!$C$11:$C$234,0)</f>
        <v>#N/A</v>
      </c>
      <c r="AR3186" s="6" t="b">
        <f t="shared" si="326"/>
        <v>1</v>
      </c>
      <c r="AS3186" s="6" t="str">
        <f t="shared" si="330"/>
        <v>OK</v>
      </c>
      <c r="AU3186" s="202">
        <v>40701</v>
      </c>
      <c r="AV3186" s="216"/>
      <c r="AW3186" s="274"/>
    </row>
    <row r="3187" spans="1:49" s="13" customFormat="1" ht="11.25" customHeight="1" x14ac:dyDescent="0.2">
      <c r="A3187" s="14">
        <v>3160</v>
      </c>
      <c r="B3187" s="8">
        <v>400037512</v>
      </c>
      <c r="C3187" s="8" t="s">
        <v>1447</v>
      </c>
      <c r="D3187" s="4" t="str">
        <f t="shared" si="331"/>
        <v>400037512A</v>
      </c>
      <c r="E3187" s="309" t="str">
        <f>VLOOKUP($B3187,'D7 - NDB Impacted SPRF''s'!$E$6:$O$9929,2,FALSE)</f>
        <v>OHBS MNAUC 270/271 5010</v>
      </c>
      <c r="F3187" s="8"/>
      <c r="G3187" s="8" t="s">
        <v>4758</v>
      </c>
      <c r="H3187" s="8" t="s">
        <v>5382</v>
      </c>
      <c r="I3187" s="20">
        <v>1.91</v>
      </c>
      <c r="J3187" s="8" t="s">
        <v>4862</v>
      </c>
      <c r="K3187" s="182">
        <v>40859</v>
      </c>
      <c r="L3187" s="8" t="s">
        <v>4156</v>
      </c>
      <c r="M3187" s="8" t="s">
        <v>2814</v>
      </c>
      <c r="N3187" s="38" t="s">
        <v>1099</v>
      </c>
      <c r="O3187" s="8"/>
      <c r="P3187" s="4" t="str">
        <f>VLOOKUP($B3187,'D7 - NDB Impacted SPRF''s'!$E$16:$O$9929,9,FALSE)</f>
        <v>Y</v>
      </c>
      <c r="Q3187" s="4" t="str">
        <f>VLOOKUP($B3187,'D7 - NDB Impacted SPRF''s'!$E$16:$O$9929,10,FALSE)</f>
        <v>N</v>
      </c>
      <c r="R3187" s="4" t="str">
        <f>VLOOKUP($B3187,'D7 - NDB Impacted SPRF''s'!$E$16:$O$9929,11,FALSE)</f>
        <v>N</v>
      </c>
      <c r="S3187" s="8"/>
      <c r="T3187" s="310"/>
      <c r="U3187" s="310"/>
      <c r="V3187" s="4"/>
      <c r="W3187" s="4"/>
      <c r="X3187" s="4"/>
      <c r="Y3187" s="4"/>
      <c r="Z3187" s="4"/>
      <c r="AA3187" s="4"/>
      <c r="AB3187" s="380" t="str">
        <f>VLOOKUP($B3187,'D7 - NDB Impacted SPRF''s'!$E$6:$O$9929,4,FALSE)</f>
        <v>Completed</v>
      </c>
      <c r="AC3187" s="380" t="str">
        <f>VLOOKUP($B3187,'D7 - NDB Impacted SPRF''s'!$E$6:$O$9929,3,FALSE)</f>
        <v>OptumHealth</v>
      </c>
      <c r="AD3187" s="380" t="str">
        <f>VLOOKUP($B3187,'D7 - NDB Impacted SPRF''s'!$E$6:$O$9929,5,FALSE)</f>
        <v>Behavioral Solutions</v>
      </c>
      <c r="AE3187" s="380" t="str">
        <f>VLOOKUP($B3187,'D7 - NDB Impacted SPRF''s'!$E$6:$O$9929,7,FALSE)</f>
        <v>Lloyd Dyer</v>
      </c>
      <c r="AF3187" s="380" t="str">
        <f>VLOOKUP($B3187,'D7 - NDB Impacted SPRF''s'!$E$6:$O$9929,6,FALSE)</f>
        <v>Jill Knightschwitalla</v>
      </c>
      <c r="AG3187" s="282"/>
      <c r="AH3187" s="311" t="e">
        <f>INDEX('D5 - Gatekeeper - Projects'!$A$4:$AF$1010,$AM3187, 17)</f>
        <v>#N/A</v>
      </c>
      <c r="AI3187" s="8"/>
      <c r="AJ3187" s="57"/>
      <c r="AK3187" s="105"/>
      <c r="AM3187" s="6" t="e">
        <f>MATCH(D3187,'D5 - Gatekeeper - Projects'!$C$4:$C$1010,0)</f>
        <v>#N/A</v>
      </c>
      <c r="AN3187" s="6" t="b">
        <f t="shared" si="324"/>
        <v>1</v>
      </c>
      <c r="AO3187" s="6" t="str">
        <f t="shared" si="325"/>
        <v>OK</v>
      </c>
      <c r="AQ3187" s="6" t="e">
        <f>MATCH($D3187,'D4 - Provider Council Unsched'!$C$11:$C$234,0)</f>
        <v>#N/A</v>
      </c>
      <c r="AR3187" s="6" t="b">
        <f t="shared" si="326"/>
        <v>1</v>
      </c>
      <c r="AS3187" s="6" t="str">
        <f t="shared" si="330"/>
        <v>OK</v>
      </c>
      <c r="AU3187" s="202"/>
      <c r="AV3187" s="216"/>
      <c r="AW3187" s="274"/>
    </row>
    <row r="3188" spans="1:49" s="13" customFormat="1" ht="33.75" x14ac:dyDescent="0.2">
      <c r="A3188" s="14">
        <v>3161</v>
      </c>
      <c r="B3188" s="8">
        <v>400043359</v>
      </c>
      <c r="C3188" s="8" t="s">
        <v>7290</v>
      </c>
      <c r="D3188" s="4" t="str">
        <f t="shared" si="331"/>
        <v>400043359B</v>
      </c>
      <c r="E3188" s="309" t="str">
        <f>VLOOKUP($B3188,'D7 - NDB Impacted SPRF''s'!$E$6:$O$9929,2,FALSE)</f>
        <v>PM&amp;R: Multiple Therapy Procedure Reduction</v>
      </c>
      <c r="F3188" s="8"/>
      <c r="G3188" s="8" t="s">
        <v>4758</v>
      </c>
      <c r="H3188" s="8" t="s">
        <v>5382</v>
      </c>
      <c r="I3188" s="20">
        <v>10.66</v>
      </c>
      <c r="J3188" s="8" t="s">
        <v>4862</v>
      </c>
      <c r="K3188" s="182">
        <v>40950</v>
      </c>
      <c r="L3188" s="8" t="s">
        <v>4156</v>
      </c>
      <c r="M3188" s="8" t="s">
        <v>2814</v>
      </c>
      <c r="N3188" s="38" t="s">
        <v>2911</v>
      </c>
      <c r="O3188" s="8"/>
      <c r="P3188" s="4" t="str">
        <f>VLOOKUP($B3188,'D7 - NDB Impacted SPRF''s'!$E$16:$O$9929,9,FALSE)</f>
        <v>Y</v>
      </c>
      <c r="Q3188" s="4" t="str">
        <f>VLOOKUP($B3188,'D7 - NDB Impacted SPRF''s'!$E$16:$O$9929,10,FALSE)</f>
        <v>N</v>
      </c>
      <c r="R3188" s="4" t="str">
        <f>VLOOKUP($B3188,'D7 - NDB Impacted SPRF''s'!$E$16:$O$9929,11,FALSE)</f>
        <v>Y</v>
      </c>
      <c r="S3188" s="8"/>
      <c r="T3188" s="310"/>
      <c r="U3188" s="310"/>
      <c r="V3188" s="4"/>
      <c r="W3188" s="4"/>
      <c r="X3188" s="4"/>
      <c r="Y3188" s="4"/>
      <c r="Z3188" s="4"/>
      <c r="AA3188" s="4"/>
      <c r="AB3188" s="380" t="str">
        <f>VLOOKUP($B3188,'D7 - NDB Impacted SPRF''s'!$E$6:$O$9929,4,FALSE)</f>
        <v>Completed</v>
      </c>
      <c r="AC3188" s="380" t="str">
        <f>VLOOKUP($B3188,'D7 - NDB Impacted SPRF''s'!$E$6:$O$9929,3,FALSE)</f>
        <v>UnitedHealthcare Employer &amp; Individual</v>
      </c>
      <c r="AD3188" s="380" t="str">
        <f>VLOOKUP($B3188,'D7 - NDB Impacted SPRF''s'!$E$6:$O$9929,5,FALSE)</f>
        <v>Medical Cost Savings Programs</v>
      </c>
      <c r="AE3188" s="380" t="str">
        <f>VLOOKUP($B3188,'D7 - NDB Impacted SPRF''s'!$E$6:$O$9929,7,FALSE)</f>
        <v>Lisa McDonnel</v>
      </c>
      <c r="AF3188" s="380" t="str">
        <f>VLOOKUP($B3188,'D7 - NDB Impacted SPRF''s'!$E$6:$O$9929,6,FALSE)</f>
        <v>DAWN BOLLER</v>
      </c>
      <c r="AG3188" s="282"/>
      <c r="AH3188" s="311" t="e">
        <f>INDEX('D5 - Gatekeeper - Projects'!$A$4:$AF$1010,$AM3188, 17)</f>
        <v>#N/A</v>
      </c>
      <c r="AI3188" s="8"/>
      <c r="AJ3188" s="57"/>
      <c r="AK3188" s="105"/>
      <c r="AM3188" s="6" t="e">
        <f>MATCH(D3188,'D5 - Gatekeeper - Projects'!$C$4:$C$1010,0)</f>
        <v>#N/A</v>
      </c>
      <c r="AN3188" s="6" t="b">
        <f t="shared" si="324"/>
        <v>1</v>
      </c>
      <c r="AO3188" s="6" t="str">
        <f t="shared" si="325"/>
        <v>OK</v>
      </c>
      <c r="AQ3188" s="6" t="e">
        <f>MATCH($D3188,'D4 - Provider Council Unsched'!$C$11:$C$234,0)</f>
        <v>#N/A</v>
      </c>
      <c r="AR3188" s="6" t="b">
        <f t="shared" si="326"/>
        <v>1</v>
      </c>
      <c r="AS3188" s="6" t="str">
        <f t="shared" si="330"/>
        <v>OK</v>
      </c>
      <c r="AU3188" s="202">
        <v>40781</v>
      </c>
      <c r="AV3188" s="216"/>
      <c r="AW3188" s="274">
        <v>36192</v>
      </c>
    </row>
    <row r="3189" spans="1:49" s="13" customFormat="1" ht="33.75" x14ac:dyDescent="0.2">
      <c r="A3189" s="14">
        <v>3162</v>
      </c>
      <c r="B3189" s="14">
        <v>400037515</v>
      </c>
      <c r="C3189" s="8" t="s">
        <v>3763</v>
      </c>
      <c r="D3189" s="4" t="str">
        <f t="shared" si="331"/>
        <v>400037515R2</v>
      </c>
      <c r="E3189" s="309" t="str">
        <f>VLOOKUP($B3189,'D7 - NDB Impacted SPRF''s'!$E$6:$O$9929,2,FALSE)</f>
        <v>OHBS MNAUC 837 5010</v>
      </c>
      <c r="F3189" s="8"/>
      <c r="G3189" s="8" t="s">
        <v>4758</v>
      </c>
      <c r="H3189" s="8" t="s">
        <v>5382</v>
      </c>
      <c r="I3189" s="20">
        <v>0.57999999999999996</v>
      </c>
      <c r="J3189" s="8" t="s">
        <v>4862</v>
      </c>
      <c r="K3189" s="182">
        <v>40963</v>
      </c>
      <c r="L3189" s="8" t="s">
        <v>4156</v>
      </c>
      <c r="M3189" s="8" t="s">
        <v>5626</v>
      </c>
      <c r="N3189" s="38" t="s">
        <v>2758</v>
      </c>
      <c r="O3189" s="8"/>
      <c r="P3189" s="4" t="str">
        <f>VLOOKUP($B3189,'D7 - NDB Impacted SPRF''s'!$E$16:$O$9929,9,FALSE)</f>
        <v>N</v>
      </c>
      <c r="Q3189" s="4" t="str">
        <f>VLOOKUP($B3189,'D7 - NDB Impacted SPRF''s'!$E$16:$O$9929,10,FALSE)</f>
        <v>N</v>
      </c>
      <c r="R3189" s="4" t="str">
        <f>VLOOKUP($B3189,'D7 - NDB Impacted SPRF''s'!$E$16:$O$9929,11,FALSE)</f>
        <v>N</v>
      </c>
      <c r="S3189" s="8"/>
      <c r="T3189" s="310"/>
      <c r="U3189" s="310"/>
      <c r="V3189" s="4"/>
      <c r="W3189" s="4"/>
      <c r="X3189" s="4"/>
      <c r="Y3189" s="4"/>
      <c r="Z3189" s="4"/>
      <c r="AA3189" s="4"/>
      <c r="AB3189" s="380" t="str">
        <f>VLOOKUP($B3189,'D7 - NDB Impacted SPRF''s'!$E$6:$O$9929,4,FALSE)</f>
        <v>Completed</v>
      </c>
      <c r="AC3189" s="380" t="str">
        <f>VLOOKUP($B3189,'D7 - NDB Impacted SPRF''s'!$E$6:$O$9929,3,FALSE)</f>
        <v>OptumHealth</v>
      </c>
      <c r="AD3189" s="380" t="str">
        <f>VLOOKUP($B3189,'D7 - NDB Impacted SPRF''s'!$E$6:$O$9929,5,FALSE)</f>
        <v>Behavioral Solutions</v>
      </c>
      <c r="AE3189" s="380" t="str">
        <f>VLOOKUP($B3189,'D7 - NDB Impacted SPRF''s'!$E$6:$O$9929,7,FALSE)</f>
        <v>Lloyd Dyer</v>
      </c>
      <c r="AF3189" s="380" t="str">
        <f>VLOOKUP($B3189,'D7 - NDB Impacted SPRF''s'!$E$6:$O$9929,6,FALSE)</f>
        <v>Pujji Anu</v>
      </c>
      <c r="AG3189" s="282"/>
      <c r="AH3189" s="311" t="e">
        <f>INDEX('D5 - Gatekeeper - Projects'!$A$4:$AF$1010,$AM3189, 17)</f>
        <v>#N/A</v>
      </c>
      <c r="AI3189" s="8"/>
      <c r="AJ3189" s="57"/>
      <c r="AK3189" s="105"/>
      <c r="AM3189" s="6" t="e">
        <f>MATCH(D3189,'D5 - Gatekeeper - Projects'!$C$4:$C$1010,0)</f>
        <v>#N/A</v>
      </c>
      <c r="AN3189" s="6" t="b">
        <f t="shared" si="324"/>
        <v>1</v>
      </c>
      <c r="AO3189" s="6" t="str">
        <f t="shared" si="325"/>
        <v>OK</v>
      </c>
      <c r="AQ3189" s="6" t="e">
        <f>MATCH($D3189,'D4 - Provider Council Unsched'!$C$11:$C$234,0)</f>
        <v>#N/A</v>
      </c>
      <c r="AR3189" s="6" t="b">
        <f t="shared" si="326"/>
        <v>1</v>
      </c>
      <c r="AS3189" s="6" t="str">
        <f t="shared" si="330"/>
        <v>OK</v>
      </c>
      <c r="AU3189" s="202">
        <v>40914</v>
      </c>
      <c r="AV3189" s="216"/>
      <c r="AW3189" s="274">
        <v>52685</v>
      </c>
    </row>
    <row r="3190" spans="1:49" s="13" customFormat="1" ht="90" x14ac:dyDescent="0.2">
      <c r="A3190" s="14">
        <v>3163</v>
      </c>
      <c r="B3190" s="8">
        <v>400033825</v>
      </c>
      <c r="C3190" s="8" t="s">
        <v>1103</v>
      </c>
      <c r="D3190" s="4" t="str">
        <f t="shared" si="331"/>
        <v>400033825UC</v>
      </c>
      <c r="E3190" s="309" t="str">
        <f>VLOOKUP($B3190,'D7 - NDB Impacted SPRF''s'!$E$6:$O$9929,2,FALSE)</f>
        <v>CDB Online:  Update /Channels Other</v>
      </c>
      <c r="F3190" s="8"/>
      <c r="G3190" s="8" t="s">
        <v>4758</v>
      </c>
      <c r="H3190" s="8" t="s">
        <v>5382</v>
      </c>
      <c r="I3190" s="20">
        <v>0.6</v>
      </c>
      <c r="J3190" s="8" t="s">
        <v>4862</v>
      </c>
      <c r="K3190" s="182">
        <v>41041</v>
      </c>
      <c r="L3190" s="8" t="s">
        <v>4156</v>
      </c>
      <c r="M3190" s="8" t="s">
        <v>5626</v>
      </c>
      <c r="N3190" s="38" t="s">
        <v>1370</v>
      </c>
      <c r="O3190" s="8"/>
      <c r="P3190" s="4" t="str">
        <f>VLOOKUP($B3190,'D7 - NDB Impacted SPRF''s'!$E$16:$O$9929,9,FALSE)</f>
        <v>N</v>
      </c>
      <c r="Q3190" s="4" t="str">
        <f>VLOOKUP($B3190,'D7 - NDB Impacted SPRF''s'!$E$16:$O$9929,10,FALSE)</f>
        <v>N</v>
      </c>
      <c r="R3190" s="4" t="str">
        <f>VLOOKUP($B3190,'D7 - NDB Impacted SPRF''s'!$E$16:$O$9929,11,FALSE)</f>
        <v>N</v>
      </c>
      <c r="S3190" s="8"/>
      <c r="T3190" s="310"/>
      <c r="U3190" s="310"/>
      <c r="V3190" s="4"/>
      <c r="W3190" s="4"/>
      <c r="X3190" s="4"/>
      <c r="Y3190" s="4"/>
      <c r="Z3190" s="4"/>
      <c r="AA3190" s="4"/>
      <c r="AB3190" s="380" t="str">
        <f>VLOOKUP($B3190,'D7 - NDB Impacted SPRF''s'!$E$6:$O$9929,4,FALSE)</f>
        <v>Scheduled</v>
      </c>
      <c r="AC3190" s="380" t="str">
        <f>VLOOKUP($B3190,'D7 - NDB Impacted SPRF''s'!$E$6:$O$9929,3,FALSE)</f>
        <v>UHG IT - Shared Services</v>
      </c>
      <c r="AD3190" s="380" t="str">
        <f>VLOOKUP($B3190,'D7 - NDB Impacted SPRF''s'!$E$6:$O$9929,5,FALSE)</f>
        <v>Strategic Initiatives</v>
      </c>
      <c r="AE3190" s="380" t="str">
        <f>VLOOKUP($B3190,'D7 - NDB Impacted SPRF''s'!$E$6:$O$9929,7,FALSE)</f>
        <v>Patrick Casey</v>
      </c>
      <c r="AF3190" s="380" t="str">
        <f>VLOOKUP($B3190,'D7 - NDB Impacted SPRF''s'!$E$6:$O$9929,6,FALSE)</f>
        <v>Sue Meotti</v>
      </c>
      <c r="AG3190" s="282"/>
      <c r="AH3190" s="311" t="e">
        <f>INDEX('D5 - Gatekeeper - Projects'!$A$4:$AF$1010,$AM3190, 17)</f>
        <v>#N/A</v>
      </c>
      <c r="AI3190" s="8"/>
      <c r="AJ3190" s="57"/>
      <c r="AK3190" s="105"/>
      <c r="AM3190" s="6" t="e">
        <f>MATCH(D3190,'D5 - Gatekeeper - Projects'!$C$4:$C$1010,0)</f>
        <v>#N/A</v>
      </c>
      <c r="AN3190" s="6" t="b">
        <f t="shared" si="324"/>
        <v>1</v>
      </c>
      <c r="AO3190" s="6" t="str">
        <f t="shared" si="325"/>
        <v>OK</v>
      </c>
      <c r="AQ3190" s="6" t="e">
        <f>MATCH($D3190,'D4 - Provider Council Unsched'!$C$11:$C$234,0)</f>
        <v>#N/A</v>
      </c>
      <c r="AR3190" s="6" t="b">
        <f t="shared" si="326"/>
        <v>1</v>
      </c>
      <c r="AS3190" s="6" t="str">
        <f t="shared" si="330"/>
        <v>OK</v>
      </c>
      <c r="AU3190" s="202">
        <v>40590</v>
      </c>
      <c r="AV3190" s="216" t="s">
        <v>2309</v>
      </c>
      <c r="AW3190" s="274"/>
    </row>
    <row r="3191" spans="1:49" s="13" customFormat="1" ht="22.5" x14ac:dyDescent="0.2">
      <c r="A3191" s="14">
        <v>3164</v>
      </c>
      <c r="B3191" s="8">
        <v>400041452</v>
      </c>
      <c r="C3191" s="8" t="s">
        <v>7291</v>
      </c>
      <c r="D3191" s="4" t="str">
        <f t="shared" si="331"/>
        <v>400041452E</v>
      </c>
      <c r="E3191" s="309" t="str">
        <f>VLOOKUP($B3191,'D7 - NDB Impacted SPRF''s'!$E$6:$O$9929,2,FALSE)</f>
        <v>Cont CDB Core Processing: Inc View Cutovers</v>
      </c>
      <c r="F3191" s="8"/>
      <c r="G3191" s="8" t="s">
        <v>4758</v>
      </c>
      <c r="H3191" s="8" t="s">
        <v>5382</v>
      </c>
      <c r="I3191" s="20">
        <v>0.69</v>
      </c>
      <c r="J3191" s="8" t="s">
        <v>4862</v>
      </c>
      <c r="K3191" s="182">
        <v>41041</v>
      </c>
      <c r="L3191" s="8" t="s">
        <v>4156</v>
      </c>
      <c r="M3191" s="8" t="s">
        <v>5626</v>
      </c>
      <c r="N3191" s="38" t="s">
        <v>261</v>
      </c>
      <c r="O3191" s="8"/>
      <c r="P3191" s="4" t="str">
        <f>VLOOKUP($B3191,'D7 - NDB Impacted SPRF''s'!$E$16:$O$9929,9,FALSE)</f>
        <v>Y</v>
      </c>
      <c r="Q3191" s="4" t="str">
        <f>VLOOKUP($B3191,'D7 - NDB Impacted SPRF''s'!$E$16:$O$9929,10,FALSE)</f>
        <v>N</v>
      </c>
      <c r="R3191" s="4" t="str">
        <f>VLOOKUP($B3191,'D7 - NDB Impacted SPRF''s'!$E$16:$O$9929,11,FALSE)</f>
        <v>N</v>
      </c>
      <c r="S3191" s="8"/>
      <c r="T3191" s="310"/>
      <c r="U3191" s="310"/>
      <c r="V3191" s="4"/>
      <c r="W3191" s="4"/>
      <c r="X3191" s="4"/>
      <c r="Y3191" s="4"/>
      <c r="Z3191" s="4"/>
      <c r="AA3191" s="4"/>
      <c r="AB3191" s="380" t="str">
        <f>VLOOKUP($B3191,'D7 - NDB Impacted SPRF''s'!$E$6:$O$9929,4,FALSE)</f>
        <v>Scheduled</v>
      </c>
      <c r="AC3191" s="380" t="str">
        <f>VLOOKUP($B3191,'D7 - NDB Impacted SPRF''s'!$E$6:$O$9929,3,FALSE)</f>
        <v>UHG IT - Shared Services</v>
      </c>
      <c r="AD3191" s="380" t="str">
        <f>VLOOKUP($B3191,'D7 - NDB Impacted SPRF''s'!$E$6:$O$9929,5,FALSE)</f>
        <v>Strategic Initiatives</v>
      </c>
      <c r="AE3191" s="380" t="str">
        <f>VLOOKUP($B3191,'D7 - NDB Impacted SPRF''s'!$E$6:$O$9929,7,FALSE)</f>
        <v>Patrick Casey</v>
      </c>
      <c r="AF3191" s="380" t="str">
        <f>VLOOKUP($B3191,'D7 - NDB Impacted SPRF''s'!$E$6:$O$9929,6,FALSE)</f>
        <v>DIANE KOWAL</v>
      </c>
      <c r="AG3191" s="282"/>
      <c r="AH3191" s="311" t="e">
        <f>INDEX('D5 - Gatekeeper - Projects'!$A$4:$AF$1010,$AM3191, 17)</f>
        <v>#N/A</v>
      </c>
      <c r="AI3191" s="8"/>
      <c r="AJ3191" s="57"/>
      <c r="AK3191" s="105"/>
      <c r="AM3191" s="6" t="e">
        <f>MATCH(D3191,'D5 - Gatekeeper - Projects'!$C$4:$C$1010,0)</f>
        <v>#N/A</v>
      </c>
      <c r="AN3191" s="6" t="b">
        <f t="shared" si="324"/>
        <v>1</v>
      </c>
      <c r="AO3191" s="6" t="str">
        <f t="shared" si="325"/>
        <v>OK</v>
      </c>
      <c r="AQ3191" s="6" t="e">
        <f>MATCH($D3191,'D4 - Provider Council Unsched'!$C$11:$C$234,0)</f>
        <v>#N/A</v>
      </c>
      <c r="AR3191" s="6" t="b">
        <f t="shared" si="326"/>
        <v>1</v>
      </c>
      <c r="AS3191" s="6" t="str">
        <f t="shared" si="330"/>
        <v>OK</v>
      </c>
      <c r="AU3191" s="202">
        <v>40828</v>
      </c>
      <c r="AV3191" s="216" t="s">
        <v>2309</v>
      </c>
      <c r="AW3191" s="274">
        <v>48936</v>
      </c>
    </row>
    <row r="3192" spans="1:49" s="13" customFormat="1" ht="22.5" x14ac:dyDescent="0.2">
      <c r="A3192" s="14">
        <v>3165</v>
      </c>
      <c r="B3192" s="8">
        <v>400041452</v>
      </c>
      <c r="C3192" s="8" t="s">
        <v>1196</v>
      </c>
      <c r="D3192" s="4" t="str">
        <f t="shared" si="331"/>
        <v>400041452F</v>
      </c>
      <c r="E3192" s="309" t="str">
        <f>VLOOKUP($B3192,'D7 - NDB Impacted SPRF''s'!$E$6:$O$9929,2,FALSE)</f>
        <v>Cont CDB Core Processing: Inc View Cutovers</v>
      </c>
      <c r="F3192" s="8"/>
      <c r="G3192" s="8" t="s">
        <v>4758</v>
      </c>
      <c r="H3192" s="8" t="s">
        <v>5382</v>
      </c>
      <c r="I3192" s="20">
        <v>0.75</v>
      </c>
      <c r="J3192" s="8" t="s">
        <v>4862</v>
      </c>
      <c r="K3192" s="182">
        <v>41041</v>
      </c>
      <c r="L3192" s="8" t="s">
        <v>4156</v>
      </c>
      <c r="M3192" s="8" t="s">
        <v>5626</v>
      </c>
      <c r="N3192" s="38" t="s">
        <v>260</v>
      </c>
      <c r="O3192" s="8"/>
      <c r="P3192" s="4" t="str">
        <f>VLOOKUP($B3192,'D7 - NDB Impacted SPRF''s'!$E$16:$O$9929,9,FALSE)</f>
        <v>Y</v>
      </c>
      <c r="Q3192" s="4" t="str">
        <f>VLOOKUP($B3192,'D7 - NDB Impacted SPRF''s'!$E$16:$O$9929,10,FALSE)</f>
        <v>N</v>
      </c>
      <c r="R3192" s="4" t="str">
        <f>VLOOKUP($B3192,'D7 - NDB Impacted SPRF''s'!$E$16:$O$9929,11,FALSE)</f>
        <v>N</v>
      </c>
      <c r="S3192" s="8"/>
      <c r="T3192" s="310"/>
      <c r="U3192" s="310"/>
      <c r="V3192" s="4"/>
      <c r="W3192" s="4"/>
      <c r="X3192" s="4"/>
      <c r="Y3192" s="4"/>
      <c r="Z3192" s="4"/>
      <c r="AA3192" s="4"/>
      <c r="AB3192" s="380" t="str">
        <f>VLOOKUP($B3192,'D7 - NDB Impacted SPRF''s'!$E$6:$O$9929,4,FALSE)</f>
        <v>Scheduled</v>
      </c>
      <c r="AC3192" s="380" t="str">
        <f>VLOOKUP($B3192,'D7 - NDB Impacted SPRF''s'!$E$6:$O$9929,3,FALSE)</f>
        <v>UHG IT - Shared Services</v>
      </c>
      <c r="AD3192" s="380" t="str">
        <f>VLOOKUP($B3192,'D7 - NDB Impacted SPRF''s'!$E$6:$O$9929,5,FALSE)</f>
        <v>Strategic Initiatives</v>
      </c>
      <c r="AE3192" s="380" t="str">
        <f>VLOOKUP($B3192,'D7 - NDB Impacted SPRF''s'!$E$6:$O$9929,7,FALSE)</f>
        <v>Patrick Casey</v>
      </c>
      <c r="AF3192" s="380" t="str">
        <f>VLOOKUP($B3192,'D7 - NDB Impacted SPRF''s'!$E$6:$O$9929,6,FALSE)</f>
        <v>DIANE KOWAL</v>
      </c>
      <c r="AG3192" s="282"/>
      <c r="AH3192" s="311" t="e">
        <f>INDEX('D5 - Gatekeeper - Projects'!$A$4:$AF$1010,$AM3192, 17)</f>
        <v>#N/A</v>
      </c>
      <c r="AI3192" s="8"/>
      <c r="AJ3192" s="57"/>
      <c r="AK3192" s="105"/>
      <c r="AM3192" s="6" t="e">
        <f>MATCH(D3192,'D5 - Gatekeeper - Projects'!$C$4:$C$1010,0)</f>
        <v>#N/A</v>
      </c>
      <c r="AN3192" s="6" t="b">
        <f t="shared" si="324"/>
        <v>1</v>
      </c>
      <c r="AO3192" s="6" t="str">
        <f t="shared" si="325"/>
        <v>OK</v>
      </c>
      <c r="AQ3192" s="6" t="e">
        <f>MATCH($D3192,'D4 - Provider Council Unsched'!$C$11:$C$234,0)</f>
        <v>#N/A</v>
      </c>
      <c r="AR3192" s="6" t="b">
        <f t="shared" si="326"/>
        <v>1</v>
      </c>
      <c r="AS3192" s="6" t="str">
        <f t="shared" si="330"/>
        <v>OK</v>
      </c>
      <c r="AU3192" s="202">
        <v>40907</v>
      </c>
      <c r="AV3192" s="216" t="s">
        <v>2309</v>
      </c>
      <c r="AW3192" s="274">
        <v>48936</v>
      </c>
    </row>
    <row r="3193" spans="1:49" s="13" customFormat="1" ht="67.5" x14ac:dyDescent="0.2">
      <c r="A3193" s="14">
        <v>3166</v>
      </c>
      <c r="B3193" s="8">
        <v>400055325</v>
      </c>
      <c r="C3193" s="8" t="s">
        <v>1447</v>
      </c>
      <c r="D3193" s="4" t="str">
        <f t="shared" si="331"/>
        <v>400055325A</v>
      </c>
      <c r="E3193" s="309" t="str">
        <f>VLOOKUP($B3193,'D7 - NDB Impacted SPRF''s'!$E$6:$O$9929,2,FALSE)</f>
        <v>E.H.B. PLUS: Quote Ready Q2-2013 Release</v>
      </c>
      <c r="F3193" s="8"/>
      <c r="G3193" s="8" t="s">
        <v>4758</v>
      </c>
      <c r="H3193" s="8" t="s">
        <v>5382</v>
      </c>
      <c r="I3193" s="20">
        <v>0.02</v>
      </c>
      <c r="J3193" s="8" t="s">
        <v>4862</v>
      </c>
      <c r="K3193" s="182">
        <v>41047</v>
      </c>
      <c r="L3193" s="8" t="s">
        <v>4156</v>
      </c>
      <c r="M3193" s="8" t="s">
        <v>5626</v>
      </c>
      <c r="N3193" s="38" t="s">
        <v>838</v>
      </c>
      <c r="O3193" s="8"/>
      <c r="P3193" s="4" t="str">
        <f>VLOOKUP($B3193,'D7 - NDB Impacted SPRF''s'!$E$16:$O$9929,9,FALSE)</f>
        <v>Y</v>
      </c>
      <c r="Q3193" s="4" t="str">
        <f>VLOOKUP($B3193,'D7 - NDB Impacted SPRF''s'!$E$16:$O$9929,10,FALSE)</f>
        <v>N</v>
      </c>
      <c r="R3193" s="4" t="str">
        <f>VLOOKUP($B3193,'D7 - NDB Impacted SPRF''s'!$E$16:$O$9929,11,FALSE)</f>
        <v>N</v>
      </c>
      <c r="S3193" s="8"/>
      <c r="T3193" s="310"/>
      <c r="U3193" s="310"/>
      <c r="V3193" s="4"/>
      <c r="W3193" s="4"/>
      <c r="X3193" s="4"/>
      <c r="Y3193" s="4"/>
      <c r="Z3193" s="4"/>
      <c r="AA3193" s="4"/>
      <c r="AB3193" s="380" t="str">
        <f>VLOOKUP($B3193,'D7 - NDB Impacted SPRF''s'!$E$6:$O$9929,4,FALSE)</f>
        <v>Scheduled</v>
      </c>
      <c r="AC3193" s="380" t="str">
        <f>VLOOKUP($B3193,'D7 - NDB Impacted SPRF''s'!$E$6:$O$9929,3,FALSE)</f>
        <v>UnitedHealthcare Employer &amp; Individual</v>
      </c>
      <c r="AD3193" s="380" t="str">
        <f>VLOOKUP($B3193,'D7 - NDB Impacted SPRF''s'!$E$6:$O$9929,5,FALSE)</f>
        <v>Regulatory / Other</v>
      </c>
      <c r="AE3193" s="380" t="str">
        <f>VLOOKUP($B3193,'D7 - NDB Impacted SPRF''s'!$E$6:$O$9929,7,FALSE)</f>
        <v>Denise Mount</v>
      </c>
      <c r="AF3193" s="380" t="str">
        <f>VLOOKUP($B3193,'D7 - NDB Impacted SPRF''s'!$E$6:$O$9929,6,FALSE)</f>
        <v>Elisa O'brien</v>
      </c>
      <c r="AG3193" s="282"/>
      <c r="AH3193" s="311" t="e">
        <f>INDEX('D5 - Gatekeeper - Projects'!$A$4:$AF$1010,$AM3193, 17)</f>
        <v>#N/A</v>
      </c>
      <c r="AI3193" s="8"/>
      <c r="AJ3193" s="57"/>
      <c r="AK3193" s="105"/>
      <c r="AM3193" s="6" t="e">
        <f>MATCH(D3193,'D5 - Gatekeeper - Projects'!$C$4:$C$1010,0)</f>
        <v>#N/A</v>
      </c>
      <c r="AN3193" s="6" t="b">
        <f t="shared" si="324"/>
        <v>1</v>
      </c>
      <c r="AO3193" s="6" t="str">
        <f t="shared" si="325"/>
        <v>OK</v>
      </c>
      <c r="AQ3193" s="6" t="e">
        <f>MATCH($D3193,'D4 - Provider Council Unsched'!$C$11:$C$234,0)</f>
        <v>#N/A</v>
      </c>
      <c r="AR3193" s="6" t="b">
        <f t="shared" si="326"/>
        <v>1</v>
      </c>
      <c r="AS3193" s="6" t="str">
        <f t="shared" si="330"/>
        <v>OK</v>
      </c>
      <c r="AU3193" s="202">
        <v>41232</v>
      </c>
      <c r="AV3193" s="349" t="s">
        <v>480</v>
      </c>
      <c r="AW3193" s="274">
        <v>71150</v>
      </c>
    </row>
    <row r="3194" spans="1:49" s="13" customFormat="1" ht="45" x14ac:dyDescent="0.2">
      <c r="A3194" s="14">
        <v>3167</v>
      </c>
      <c r="B3194" s="8">
        <v>400048482</v>
      </c>
      <c r="C3194" s="8" t="s">
        <v>1447</v>
      </c>
      <c r="D3194" s="4" t="str">
        <f t="shared" si="331"/>
        <v>400048482A</v>
      </c>
      <c r="E3194" s="309" t="str">
        <f>VLOOKUP($B3194,'D7 - NDB Impacted SPRF''s'!$E$6:$O$9929,2,FALSE)</f>
        <v>Clinical Integration</v>
      </c>
      <c r="F3194" s="8"/>
      <c r="G3194" s="8" t="s">
        <v>4758</v>
      </c>
      <c r="H3194" s="8" t="s">
        <v>5382</v>
      </c>
      <c r="I3194" s="20">
        <v>0.84</v>
      </c>
      <c r="J3194" s="8" t="s">
        <v>4862</v>
      </c>
      <c r="K3194" s="182">
        <v>41083</v>
      </c>
      <c r="L3194" s="8" t="s">
        <v>4156</v>
      </c>
      <c r="M3194" s="8" t="s">
        <v>6688</v>
      </c>
      <c r="N3194" s="38" t="s">
        <v>1359</v>
      </c>
      <c r="O3194" s="8"/>
      <c r="P3194" s="4" t="str">
        <f>VLOOKUP($B3194,'D7 - NDB Impacted SPRF''s'!$E$16:$O$9929,9,FALSE)</f>
        <v>N</v>
      </c>
      <c r="Q3194" s="4" t="str">
        <f>VLOOKUP($B3194,'D7 - NDB Impacted SPRF''s'!$E$16:$O$9929,10,FALSE)</f>
        <v>N</v>
      </c>
      <c r="R3194" s="4" t="str">
        <f>VLOOKUP($B3194,'D7 - NDB Impacted SPRF''s'!$E$16:$O$9929,11,FALSE)</f>
        <v>N</v>
      </c>
      <c r="S3194" s="8"/>
      <c r="T3194" s="310"/>
      <c r="U3194" s="310"/>
      <c r="V3194" s="4"/>
      <c r="W3194" s="4"/>
      <c r="X3194" s="4"/>
      <c r="Y3194" s="4"/>
      <c r="Z3194" s="4"/>
      <c r="AA3194" s="4"/>
      <c r="AB3194" s="380" t="str">
        <f>VLOOKUP($B3194,'D7 - NDB Impacted SPRF''s'!$E$6:$O$9929,4,FALSE)</f>
        <v>Scheduled</v>
      </c>
      <c r="AC3194" s="380" t="str">
        <f>VLOOKUP($B3194,'D7 - NDB Impacted SPRF''s'!$E$6:$O$9929,3,FALSE)</f>
        <v>UnitedHealthcare Employer &amp; Individual</v>
      </c>
      <c r="AD3194" s="380" t="str">
        <f>VLOOKUP($B3194,'D7 - NDB Impacted SPRF''s'!$E$6:$O$9929,5,FALSE)</f>
        <v>Process Improvement</v>
      </c>
      <c r="AE3194" s="380" t="str">
        <f>VLOOKUP($B3194,'D7 - NDB Impacted SPRF''s'!$E$6:$O$9929,7,FALSE)</f>
        <v>Gregg Grunewald</v>
      </c>
      <c r="AF3194" s="380" t="str">
        <f>VLOOKUP($B3194,'D7 - NDB Impacted SPRF''s'!$E$6:$O$9929,6,FALSE)</f>
        <v>Jennifer Pinerski</v>
      </c>
      <c r="AG3194" s="282"/>
      <c r="AH3194" s="311" t="e">
        <f>INDEX('D5 - Gatekeeper - Projects'!$A$4:$AF$1010,$AM3194, 17)</f>
        <v>#N/A</v>
      </c>
      <c r="AI3194" s="8"/>
      <c r="AJ3194" s="57"/>
      <c r="AK3194" s="105"/>
      <c r="AM3194" s="6" t="e">
        <f>MATCH(D3194,'D5 - Gatekeeper - Projects'!$C$4:$C$1010,0)</f>
        <v>#N/A</v>
      </c>
      <c r="AN3194" s="6" t="b">
        <f t="shared" si="324"/>
        <v>1</v>
      </c>
      <c r="AO3194" s="6" t="str">
        <f t="shared" si="325"/>
        <v>OK</v>
      </c>
      <c r="AQ3194" s="6" t="e">
        <f>MATCH($D3194,'D4 - Provider Council Unsched'!$C$11:$C$234,0)</f>
        <v>#N/A</v>
      </c>
      <c r="AR3194" s="6" t="b">
        <f t="shared" si="326"/>
        <v>1</v>
      </c>
      <c r="AS3194" s="6" t="str">
        <f t="shared" si="330"/>
        <v>OK</v>
      </c>
      <c r="AU3194" s="202"/>
      <c r="AV3194" s="348" t="s">
        <v>2311</v>
      </c>
      <c r="AW3194" s="274"/>
    </row>
    <row r="3195" spans="1:49" s="13" customFormat="1" ht="56.25" x14ac:dyDescent="0.2">
      <c r="A3195" s="14">
        <v>3168</v>
      </c>
      <c r="B3195" s="8">
        <v>400041737</v>
      </c>
      <c r="C3195" s="8" t="s">
        <v>1196</v>
      </c>
      <c r="D3195" s="4" t="str">
        <f t="shared" si="331"/>
        <v>400041737F</v>
      </c>
      <c r="E3195" s="309" t="str">
        <f>VLOOKUP($B3195,'D7 - NDB Impacted SPRF''s'!$E$6:$O$9929,2,FALSE)</f>
        <v>ICD10- Field Expansion- UHC EI</v>
      </c>
      <c r="F3195" s="8"/>
      <c r="G3195" s="8" t="s">
        <v>4758</v>
      </c>
      <c r="H3195" s="8" t="s">
        <v>5382</v>
      </c>
      <c r="I3195" s="20">
        <v>0.5</v>
      </c>
      <c r="J3195" s="8" t="s">
        <v>4862</v>
      </c>
      <c r="K3195" s="182">
        <v>41132</v>
      </c>
      <c r="L3195" s="8" t="s">
        <v>4156</v>
      </c>
      <c r="M3195" s="8" t="s">
        <v>5626</v>
      </c>
      <c r="N3195" s="38" t="s">
        <v>1866</v>
      </c>
      <c r="O3195" s="8"/>
      <c r="P3195" s="4" t="str">
        <f>VLOOKUP($B3195,'D7 - NDB Impacted SPRF''s'!$E$16:$O$9929,9,FALSE)</f>
        <v>Y</v>
      </c>
      <c r="Q3195" s="4" t="str">
        <f>VLOOKUP($B3195,'D7 - NDB Impacted SPRF''s'!$E$16:$O$9929,10,FALSE)</f>
        <v>N</v>
      </c>
      <c r="R3195" s="4" t="str">
        <f>VLOOKUP($B3195,'D7 - NDB Impacted SPRF''s'!$E$16:$O$9929,11,FALSE)</f>
        <v>Y</v>
      </c>
      <c r="S3195" s="8"/>
      <c r="T3195" s="310"/>
      <c r="U3195" s="310"/>
      <c r="V3195" s="4"/>
      <c r="W3195" s="4"/>
      <c r="X3195" s="4"/>
      <c r="Y3195" s="4"/>
      <c r="Z3195" s="4"/>
      <c r="AA3195" s="4"/>
      <c r="AB3195" s="380" t="str">
        <f>VLOOKUP($B3195,'D7 - NDB Impacted SPRF''s'!$E$6:$O$9929,4,FALSE)</f>
        <v>Scheduled</v>
      </c>
      <c r="AC3195" s="380" t="str">
        <f>VLOOKUP($B3195,'D7 - NDB Impacted SPRF''s'!$E$6:$O$9929,3,FALSE)</f>
        <v>UnitedHealthcare Employer &amp; Individual</v>
      </c>
      <c r="AD3195" s="380" t="str">
        <f>VLOOKUP($B3195,'D7 - NDB Impacted SPRF''s'!$E$6:$O$9929,5,FALSE)</f>
        <v>Regulatory / Other</v>
      </c>
      <c r="AE3195" s="380" t="str">
        <f>VLOOKUP($B3195,'D7 - NDB Impacted SPRF''s'!$E$6:$O$9929,7,FALSE)</f>
        <v>Tim Kaja</v>
      </c>
      <c r="AF3195" s="380" t="str">
        <f>VLOOKUP($B3195,'D7 - NDB Impacted SPRF''s'!$E$6:$O$9929,6,FALSE)</f>
        <v>Delvis Schilling</v>
      </c>
      <c r="AG3195" s="282"/>
      <c r="AH3195" s="311" t="e">
        <f>INDEX('D5 - Gatekeeper - Projects'!$A$4:$AF$1010,$AM3195, 17)</f>
        <v>#N/A</v>
      </c>
      <c r="AI3195" s="8"/>
      <c r="AJ3195" s="57"/>
      <c r="AK3195" s="105"/>
      <c r="AM3195" s="6" t="e">
        <f>MATCH(D3195,'D5 - Gatekeeper - Projects'!$C$4:$C$1010,0)</f>
        <v>#N/A</v>
      </c>
      <c r="AN3195" s="6" t="b">
        <f t="shared" si="324"/>
        <v>1</v>
      </c>
      <c r="AO3195" s="6" t="str">
        <f t="shared" si="325"/>
        <v>OK</v>
      </c>
      <c r="AQ3195" s="6" t="e">
        <f>MATCH($D3195,'D4 - Provider Council Unsched'!$C$11:$C$234,0)</f>
        <v>#N/A</v>
      </c>
      <c r="AR3195" s="6" t="b">
        <f t="shared" si="326"/>
        <v>1</v>
      </c>
      <c r="AS3195" s="6" t="str">
        <f t="shared" si="330"/>
        <v>OK</v>
      </c>
      <c r="AU3195" s="202">
        <v>41132</v>
      </c>
      <c r="AV3195" s="216" t="s">
        <v>2299</v>
      </c>
      <c r="AW3195" s="274">
        <v>49245</v>
      </c>
    </row>
    <row r="3196" spans="1:49" s="13" customFormat="1" ht="56.25" x14ac:dyDescent="0.2">
      <c r="A3196" s="14">
        <v>3169</v>
      </c>
      <c r="B3196" s="14">
        <v>400049798</v>
      </c>
      <c r="C3196" s="8" t="s">
        <v>7290</v>
      </c>
      <c r="D3196" s="4" t="str">
        <f t="shared" si="331"/>
        <v>400049798B</v>
      </c>
      <c r="E3196" s="309" t="str">
        <f>VLOOKUP($B3196,'D7 - NDB Impacted SPRF''s'!$E$6:$O$9929,2,FALSE)</f>
        <v>Kansas Medicaid - KanCare Implementation</v>
      </c>
      <c r="F3196" s="8"/>
      <c r="G3196" s="8" t="s">
        <v>4758</v>
      </c>
      <c r="H3196" s="8" t="s">
        <v>5382</v>
      </c>
      <c r="I3196" s="20">
        <v>2.57</v>
      </c>
      <c r="J3196" s="8" t="s">
        <v>4862</v>
      </c>
      <c r="K3196" s="182">
        <v>41206</v>
      </c>
      <c r="L3196" s="8" t="s">
        <v>4156</v>
      </c>
      <c r="M3196" s="8" t="s">
        <v>2814</v>
      </c>
      <c r="N3196" s="38" t="s">
        <v>37</v>
      </c>
      <c r="O3196" s="8"/>
      <c r="P3196" s="4" t="str">
        <f>VLOOKUP($B3196,'D7 - NDB Impacted SPRF''s'!$E$16:$O$9929,9,FALSE)</f>
        <v>N</v>
      </c>
      <c r="Q3196" s="4" t="str">
        <f>VLOOKUP($B3196,'D7 - NDB Impacted SPRF''s'!$E$16:$O$9929,10,FALSE)</f>
        <v>N</v>
      </c>
      <c r="R3196" s="4" t="str">
        <f>VLOOKUP($B3196,'D7 - NDB Impacted SPRF''s'!$E$16:$O$9929,11,FALSE)</f>
        <v>Y</v>
      </c>
      <c r="S3196" s="8"/>
      <c r="T3196" s="310"/>
      <c r="U3196" s="310"/>
      <c r="V3196" s="4"/>
      <c r="W3196" s="4"/>
      <c r="X3196" s="4"/>
      <c r="Y3196" s="4"/>
      <c r="Z3196" s="4"/>
      <c r="AA3196" s="4"/>
      <c r="AB3196" s="380" t="str">
        <f>VLOOKUP($B3196,'D7 - NDB Impacted SPRF''s'!$E$6:$O$9929,4,FALSE)</f>
        <v>Scheduled</v>
      </c>
      <c r="AC3196" s="380" t="str">
        <f>VLOOKUP($B3196,'D7 - NDB Impacted SPRF''s'!$E$6:$O$9929,3,FALSE)</f>
        <v>UnitedHealthcare Community &amp; State</v>
      </c>
      <c r="AD3196" s="380" t="str">
        <f>VLOOKUP($B3196,'D7 - NDB Impacted SPRF''s'!$E$6:$O$9929,5,FALSE)</f>
        <v>Membership Growth / Revenue Programs</v>
      </c>
      <c r="AE3196" s="380" t="str">
        <f>VLOOKUP($B3196,'D7 - NDB Impacted SPRF''s'!$E$6:$O$9929,7,FALSE)</f>
        <v>Bror Hultgren</v>
      </c>
      <c r="AF3196" s="380" t="str">
        <f>VLOOKUP($B3196,'D7 - NDB Impacted SPRF''s'!$E$6:$O$9929,6,FALSE)</f>
        <v>LAN HOANG</v>
      </c>
      <c r="AG3196" s="282"/>
      <c r="AH3196" s="311" t="s">
        <v>1667</v>
      </c>
      <c r="AI3196" s="8"/>
      <c r="AJ3196" s="57"/>
      <c r="AK3196" s="105"/>
      <c r="AM3196" s="6" t="e">
        <f>MATCH(D3196,'D5 - Gatekeeper - Projects'!$C$4:$C$1010,0)</f>
        <v>#N/A</v>
      </c>
      <c r="AN3196" s="6" t="b">
        <f t="shared" si="324"/>
        <v>1</v>
      </c>
      <c r="AO3196" s="6" t="str">
        <f t="shared" si="325"/>
        <v>OK</v>
      </c>
      <c r="AQ3196" s="6" t="e">
        <f>MATCH($D3196,'D4 - Provider Council Unsched'!$C$11:$C$234,0)</f>
        <v>#N/A</v>
      </c>
      <c r="AR3196" s="6" t="b">
        <f t="shared" si="326"/>
        <v>1</v>
      </c>
      <c r="AS3196" s="6" t="str">
        <f t="shared" si="330"/>
        <v>OK</v>
      </c>
      <c r="AU3196" s="202">
        <v>41162</v>
      </c>
      <c r="AV3196" s="216" t="s">
        <v>2238</v>
      </c>
      <c r="AW3196" s="274">
        <v>55689</v>
      </c>
    </row>
    <row r="3197" spans="1:49" s="13" customFormat="1" ht="22.5" x14ac:dyDescent="0.2">
      <c r="A3197" s="14">
        <v>3170</v>
      </c>
      <c r="B3197" s="14">
        <v>400049904</v>
      </c>
      <c r="C3197" s="8" t="s">
        <v>1447</v>
      </c>
      <c r="D3197" s="4" t="str">
        <f t="shared" si="331"/>
        <v>400049904A</v>
      </c>
      <c r="E3197" s="309" t="str">
        <f>VLOOKUP($B3197,'D7 - NDB Impacted SPRF''s'!$E$6:$O$9929,2,FALSE)</f>
        <v>eSync Clin Ops Q4 - HC3 migrations</v>
      </c>
      <c r="F3197" s="8"/>
      <c r="G3197" s="8" t="s">
        <v>4758</v>
      </c>
      <c r="H3197" s="8" t="s">
        <v>5382</v>
      </c>
      <c r="I3197" s="20">
        <v>0.33</v>
      </c>
      <c r="J3197" s="8" t="s">
        <v>4862</v>
      </c>
      <c r="K3197" s="182">
        <v>41223</v>
      </c>
      <c r="L3197" s="8" t="s">
        <v>4156</v>
      </c>
      <c r="M3197" s="8" t="s">
        <v>5626</v>
      </c>
      <c r="N3197" s="38" t="s">
        <v>6717</v>
      </c>
      <c r="O3197" s="8"/>
      <c r="P3197" s="4" t="str">
        <f>VLOOKUP($B3197,'D7 - NDB Impacted SPRF''s'!$E$16:$O$9929,9,FALSE)</f>
        <v>Y</v>
      </c>
      <c r="Q3197" s="4" t="str">
        <f>VLOOKUP($B3197,'D7 - NDB Impacted SPRF''s'!$E$16:$O$9929,10,FALSE)</f>
        <v>N</v>
      </c>
      <c r="R3197" s="4" t="str">
        <f>VLOOKUP($B3197,'D7 - NDB Impacted SPRF''s'!$E$16:$O$9929,11,FALSE)</f>
        <v>N</v>
      </c>
      <c r="S3197" s="8"/>
      <c r="T3197" s="310"/>
      <c r="U3197" s="310"/>
      <c r="V3197" s="4"/>
      <c r="W3197" s="4"/>
      <c r="X3197" s="4"/>
      <c r="Y3197" s="4"/>
      <c r="Z3197" s="4"/>
      <c r="AA3197" s="4"/>
      <c r="AB3197" s="380" t="str">
        <f>VLOOKUP($B3197,'D7 - NDB Impacted SPRF''s'!$E$6:$O$9929,4,FALSE)</f>
        <v>Completed</v>
      </c>
      <c r="AC3197" s="380" t="str">
        <f>VLOOKUP($B3197,'D7 - NDB Impacted SPRF''s'!$E$6:$O$9929,3,FALSE)</f>
        <v>OptumHealth</v>
      </c>
      <c r="AD3197" s="380" t="str">
        <f>VLOOKUP($B3197,'D7 - NDB Impacted SPRF''s'!$E$6:$O$9929,5,FALSE)</f>
        <v>OptumHealth Care Solutions</v>
      </c>
      <c r="AE3197" s="380" t="str">
        <f>VLOOKUP($B3197,'D7 - NDB Impacted SPRF''s'!$E$6:$O$9929,7,FALSE)</f>
        <v>Ben Line</v>
      </c>
      <c r="AF3197" s="380" t="str">
        <f>VLOOKUP($B3197,'D7 - NDB Impacted SPRF''s'!$E$6:$O$9929,6,FALSE)</f>
        <v>Michael Reed</v>
      </c>
      <c r="AG3197" s="282"/>
      <c r="AH3197" s="311" t="e">
        <f>INDEX('D5 - Gatekeeper - Projects'!$A$4:$AF$1010,$AM3197, 17)</f>
        <v>#N/A</v>
      </c>
      <c r="AI3197" s="8"/>
      <c r="AJ3197" s="57"/>
      <c r="AK3197" s="105"/>
      <c r="AM3197" s="6" t="e">
        <f>MATCH(D3197,'D5 - Gatekeeper - Projects'!$C$4:$C$1010,0)</f>
        <v>#N/A</v>
      </c>
      <c r="AN3197" s="6" t="b">
        <f t="shared" si="324"/>
        <v>1</v>
      </c>
      <c r="AO3197" s="6" t="str">
        <f t="shared" si="325"/>
        <v>OK</v>
      </c>
      <c r="AQ3197" s="6" t="e">
        <f>MATCH($D3197,'D4 - Provider Council Unsched'!$C$11:$C$234,0)</f>
        <v>#N/A</v>
      </c>
      <c r="AR3197" s="6" t="b">
        <f t="shared" si="326"/>
        <v>1</v>
      </c>
      <c r="AS3197" s="6" t="str">
        <f t="shared" si="330"/>
        <v>OK</v>
      </c>
      <c r="AU3197" s="202">
        <v>41015</v>
      </c>
      <c r="AV3197" s="216" t="s">
        <v>1044</v>
      </c>
      <c r="AW3197" s="274">
        <v>55615</v>
      </c>
    </row>
    <row r="3198" spans="1:49" s="13" customFormat="1" ht="33.75" x14ac:dyDescent="0.2">
      <c r="A3198" s="14">
        <v>3171</v>
      </c>
      <c r="B3198" s="8">
        <v>400053541</v>
      </c>
      <c r="C3198" s="8" t="s">
        <v>1447</v>
      </c>
      <c r="D3198" s="4" t="str">
        <f t="shared" si="331"/>
        <v>400053541A</v>
      </c>
      <c r="E3198" s="309" t="str">
        <f>VLOOKUP($B3198,'D7 - NDB Impacted SPRF''s'!$E$6:$O$9929,2,FALSE)</f>
        <v>TouchPoint Fee Schedule-BVD 1.5</v>
      </c>
      <c r="F3198" s="8"/>
      <c r="G3198" s="8" t="s">
        <v>4758</v>
      </c>
      <c r="H3198" s="8" t="s">
        <v>5382</v>
      </c>
      <c r="I3198" s="20">
        <v>1.03</v>
      </c>
      <c r="J3198" s="8" t="s">
        <v>4862</v>
      </c>
      <c r="K3198" s="182">
        <v>41257</v>
      </c>
      <c r="L3198" s="8" t="s">
        <v>4156</v>
      </c>
      <c r="M3198" s="8" t="s">
        <v>6688</v>
      </c>
      <c r="N3198" s="38" t="s">
        <v>835</v>
      </c>
      <c r="O3198" s="8"/>
      <c r="P3198" s="4" t="str">
        <f>VLOOKUP($B3198,'D7 - NDB Impacted SPRF''s'!$E$16:$O$9929,9,FALSE)</f>
        <v>N</v>
      </c>
      <c r="Q3198" s="4" t="str">
        <f>VLOOKUP($B3198,'D7 - NDB Impacted SPRF''s'!$E$16:$O$9929,10,FALSE)</f>
        <v>N</v>
      </c>
      <c r="R3198" s="4" t="str">
        <f>VLOOKUP($B3198,'D7 - NDB Impacted SPRF''s'!$E$16:$O$9929,11,FALSE)</f>
        <v>N</v>
      </c>
      <c r="S3198" s="8"/>
      <c r="T3198" s="310"/>
      <c r="U3198" s="310"/>
      <c r="V3198" s="4"/>
      <c r="W3198" s="4"/>
      <c r="X3198" s="4"/>
      <c r="Y3198" s="4"/>
      <c r="Z3198" s="4"/>
      <c r="AA3198" s="4"/>
      <c r="AB3198" s="380" t="str">
        <f>VLOOKUP($B3198,'D7 - NDB Impacted SPRF''s'!$E$6:$O$9929,4,FALSE)</f>
        <v>Completed</v>
      </c>
      <c r="AC3198" s="380" t="str">
        <f>VLOOKUP($B3198,'D7 - NDB Impacted SPRF''s'!$E$6:$O$9929,3,FALSE)</f>
        <v>UHG IT - Shared Services</v>
      </c>
      <c r="AD3198" s="380" t="str">
        <f>VLOOKUP($B3198,'D7 - NDB Impacted SPRF''s'!$E$6:$O$9929,5,FALSE)</f>
        <v>Strategic Initiatives</v>
      </c>
      <c r="AE3198" s="380" t="str">
        <f>VLOOKUP($B3198,'D7 - NDB Impacted SPRF''s'!$E$6:$O$9929,7,FALSE)</f>
        <v>Tim Kaja</v>
      </c>
      <c r="AF3198" s="380" t="str">
        <f>VLOOKUP($B3198,'D7 - NDB Impacted SPRF''s'!$E$6:$O$9929,6,FALSE)</f>
        <v>FITZPATRICK ELIZABETH</v>
      </c>
      <c r="AG3198" s="282"/>
      <c r="AH3198" s="311" t="e">
        <f>INDEX('D5 - Gatekeeper - Projects'!$A$4:$AF$1010,$AM3198, 17)</f>
        <v>#N/A</v>
      </c>
      <c r="AI3198" s="8"/>
      <c r="AJ3198" s="57"/>
      <c r="AK3198" s="105"/>
      <c r="AM3198" s="6" t="e">
        <f>MATCH(D3198,'D5 - Gatekeeper - Projects'!$C$4:$C$1010,0)</f>
        <v>#N/A</v>
      </c>
      <c r="AN3198" s="6" t="b">
        <f t="shared" si="324"/>
        <v>1</v>
      </c>
      <c r="AO3198" s="6" t="str">
        <f t="shared" si="325"/>
        <v>OK</v>
      </c>
      <c r="AQ3198" s="6" t="e">
        <f>MATCH($D3198,'D4 - Provider Council Unsched'!$C$11:$C$234,0)</f>
        <v>#N/A</v>
      </c>
      <c r="AR3198" s="6" t="b">
        <f t="shared" si="326"/>
        <v>1</v>
      </c>
      <c r="AS3198" s="6" t="str">
        <f t="shared" si="330"/>
        <v>OK</v>
      </c>
      <c r="AU3198" s="202">
        <v>41131</v>
      </c>
      <c r="AV3198" s="216" t="s">
        <v>435</v>
      </c>
      <c r="AW3198" s="274">
        <v>65097</v>
      </c>
    </row>
    <row r="3199" spans="1:49" s="13" customFormat="1" ht="22.5" x14ac:dyDescent="0.2">
      <c r="A3199" s="14">
        <v>3172</v>
      </c>
      <c r="B3199" s="8">
        <v>400050430</v>
      </c>
      <c r="C3199" s="8" t="s">
        <v>1447</v>
      </c>
      <c r="D3199" s="4" t="str">
        <f t="shared" si="331"/>
        <v>400050430A</v>
      </c>
      <c r="E3199" s="309" t="str">
        <f>VLOOKUP($B3199,'D7 - NDB Impacted SPRF''s'!$E$6:$O$9929,2,FALSE)</f>
        <v>Establish instance of FACETS in Zulu (A&amp;D)</v>
      </c>
      <c r="F3199" s="8"/>
      <c r="G3199" s="8" t="s">
        <v>4758</v>
      </c>
      <c r="H3199" s="8" t="s">
        <v>5382</v>
      </c>
      <c r="I3199" s="20">
        <v>1.0900000000000001</v>
      </c>
      <c r="J3199" s="8" t="s">
        <v>4862</v>
      </c>
      <c r="K3199" s="182">
        <v>41321</v>
      </c>
      <c r="L3199" s="8" t="s">
        <v>4156</v>
      </c>
      <c r="M3199" s="8" t="s">
        <v>5626</v>
      </c>
      <c r="N3199" s="38" t="s">
        <v>7221</v>
      </c>
      <c r="O3199" s="8"/>
      <c r="P3199" s="4" t="str">
        <f>VLOOKUP($B3199,'D7 - NDB Impacted SPRF''s'!$E$16:$O$9929,9,FALSE)</f>
        <v>N</v>
      </c>
      <c r="Q3199" s="4" t="str">
        <f>VLOOKUP($B3199,'D7 - NDB Impacted SPRF''s'!$E$16:$O$9929,10,FALSE)</f>
        <v>N</v>
      </c>
      <c r="R3199" s="4" t="str">
        <f>VLOOKUP($B3199,'D7 - NDB Impacted SPRF''s'!$E$16:$O$9929,11,FALSE)</f>
        <v>N</v>
      </c>
      <c r="S3199" s="8"/>
      <c r="T3199" s="310"/>
      <c r="U3199" s="310"/>
      <c r="V3199" s="4"/>
      <c r="W3199" s="4"/>
      <c r="X3199" s="4"/>
      <c r="Y3199" s="4"/>
      <c r="Z3199" s="4"/>
      <c r="AA3199" s="4"/>
      <c r="AB3199" s="380" t="str">
        <f>VLOOKUP($B3199,'D7 - NDB Impacted SPRF''s'!$E$6:$O$9929,4,FALSE)</f>
        <v>Scheduled</v>
      </c>
      <c r="AC3199" s="380" t="str">
        <f>VLOOKUP($B3199,'D7 - NDB Impacted SPRF''s'!$E$6:$O$9929,3,FALSE)</f>
        <v>UHG IT - Shared Services</v>
      </c>
      <c r="AD3199" s="380" t="str">
        <f>VLOOKUP($B3199,'D7 - NDB Impacted SPRF''s'!$E$6:$O$9929,5,FALSE)</f>
        <v>ASG</v>
      </c>
      <c r="AE3199" s="380" t="str">
        <f>VLOOKUP($B3199,'D7 - NDB Impacted SPRF''s'!$E$6:$O$9929,7,FALSE)</f>
        <v>Mark Duhaime</v>
      </c>
      <c r="AF3199" s="380" t="str">
        <f>VLOOKUP($B3199,'D7 - NDB Impacted SPRF''s'!$E$6:$O$9929,6,FALSE)</f>
        <v>PETER ERNEST</v>
      </c>
      <c r="AG3199" s="282"/>
      <c r="AH3199" s="311" t="e">
        <f>INDEX('D5 - Gatekeeper - Projects'!$A$4:$AF$1010,$AM3199, 17)</f>
        <v>#N/A</v>
      </c>
      <c r="AI3199" s="8"/>
      <c r="AJ3199" s="57"/>
      <c r="AK3199" s="105"/>
      <c r="AM3199" s="6" t="e">
        <f>MATCH(D3199,'D5 - Gatekeeper - Projects'!$C$4:$C$1010,0)</f>
        <v>#N/A</v>
      </c>
      <c r="AN3199" s="6" t="b">
        <f t="shared" si="324"/>
        <v>1</v>
      </c>
      <c r="AO3199" s="6" t="str">
        <f t="shared" si="325"/>
        <v>OK</v>
      </c>
      <c r="AQ3199" s="6" t="e">
        <f>MATCH($D3199,'D4 - Provider Council Unsched'!$C$11:$C$234,0)</f>
        <v>#N/A</v>
      </c>
      <c r="AR3199" s="6" t="b">
        <f t="shared" si="326"/>
        <v>1</v>
      </c>
      <c r="AS3199" s="6" t="str">
        <f t="shared" si="330"/>
        <v>OK</v>
      </c>
      <c r="AU3199" s="202">
        <v>41092</v>
      </c>
      <c r="AV3199" s="216" t="s">
        <v>1079</v>
      </c>
      <c r="AW3199" s="274">
        <v>57138</v>
      </c>
    </row>
    <row r="3200" spans="1:49" s="13" customFormat="1" ht="45" x14ac:dyDescent="0.2">
      <c r="A3200" s="14">
        <v>3173</v>
      </c>
      <c r="B3200" s="8">
        <v>400041737</v>
      </c>
      <c r="C3200" s="8" t="s">
        <v>2331</v>
      </c>
      <c r="D3200" s="4" t="str">
        <f t="shared" si="331"/>
        <v>400041737I</v>
      </c>
      <c r="E3200" s="309" t="str">
        <f>VLOOKUP($B3200,'D7 - NDB Impacted SPRF''s'!$E$6:$O$9929,2,FALSE)</f>
        <v>ICD10- Field Expansion- UHC EI</v>
      </c>
      <c r="F3200" s="8"/>
      <c r="G3200" s="8" t="s">
        <v>4758</v>
      </c>
      <c r="H3200" s="8" t="s">
        <v>5382</v>
      </c>
      <c r="I3200" s="20">
        <v>7.0000000000000007E-2</v>
      </c>
      <c r="J3200" s="8" t="s">
        <v>4862</v>
      </c>
      <c r="K3200" s="182">
        <v>41412</v>
      </c>
      <c r="L3200" s="8" t="s">
        <v>4156</v>
      </c>
      <c r="M3200" s="8" t="s">
        <v>5626</v>
      </c>
      <c r="N3200" s="38" t="s">
        <v>128</v>
      </c>
      <c r="O3200" s="8"/>
      <c r="P3200" s="4" t="str">
        <f>VLOOKUP($B3200,'D7 - NDB Impacted SPRF''s'!$E$16:$O$9929,9,FALSE)</f>
        <v>Y</v>
      </c>
      <c r="Q3200" s="4" t="str">
        <f>VLOOKUP($B3200,'D7 - NDB Impacted SPRF''s'!$E$16:$O$9929,10,FALSE)</f>
        <v>N</v>
      </c>
      <c r="R3200" s="4" t="str">
        <f>VLOOKUP($B3200,'D7 - NDB Impacted SPRF''s'!$E$16:$O$9929,11,FALSE)</f>
        <v>Y</v>
      </c>
      <c r="S3200" s="8"/>
      <c r="T3200" s="310"/>
      <c r="U3200" s="310"/>
      <c r="V3200" s="4"/>
      <c r="W3200" s="4"/>
      <c r="X3200" s="4"/>
      <c r="Y3200" s="4"/>
      <c r="Z3200" s="4"/>
      <c r="AA3200" s="4"/>
      <c r="AB3200" s="380" t="str">
        <f>VLOOKUP($B3200,'D7 - NDB Impacted SPRF''s'!$E$6:$O$9929,4,FALSE)</f>
        <v>Scheduled</v>
      </c>
      <c r="AC3200" s="380" t="str">
        <f>VLOOKUP($B3200,'D7 - NDB Impacted SPRF''s'!$E$6:$O$9929,3,FALSE)</f>
        <v>UnitedHealthcare Employer &amp; Individual</v>
      </c>
      <c r="AD3200" s="380" t="str">
        <f>VLOOKUP($B3200,'D7 - NDB Impacted SPRF''s'!$E$6:$O$9929,5,FALSE)</f>
        <v>Regulatory / Other</v>
      </c>
      <c r="AE3200" s="380" t="str">
        <f>VLOOKUP($B3200,'D7 - NDB Impacted SPRF''s'!$E$6:$O$9929,7,FALSE)</f>
        <v>Tim Kaja</v>
      </c>
      <c r="AF3200" s="380" t="str">
        <f>VLOOKUP($B3200,'D7 - NDB Impacted SPRF''s'!$E$6:$O$9929,6,FALSE)</f>
        <v>Delvis Schilling</v>
      </c>
      <c r="AG3200" s="282"/>
      <c r="AH3200" s="311" t="e">
        <f>INDEX('D5 - Gatekeeper - Projects'!$A$4:$AF$1010,$AM3200, 17)</f>
        <v>#N/A</v>
      </c>
      <c r="AI3200" s="8"/>
      <c r="AJ3200" s="57"/>
      <c r="AK3200" s="105"/>
      <c r="AM3200" s="6" t="e">
        <f>MATCH(D3200,'D5 - Gatekeeper - Projects'!$C$4:$C$1010,0)</f>
        <v>#N/A</v>
      </c>
      <c r="AN3200" s="6" t="b">
        <f t="shared" si="324"/>
        <v>1</v>
      </c>
      <c r="AO3200" s="6" t="str">
        <f t="shared" si="325"/>
        <v>OK</v>
      </c>
      <c r="AQ3200" s="6" t="e">
        <f>MATCH($D3200,'D4 - Provider Council Unsched'!$C$11:$C$234,0)</f>
        <v>#N/A</v>
      </c>
      <c r="AR3200" s="6" t="b">
        <f t="shared" si="326"/>
        <v>1</v>
      </c>
      <c r="AS3200" s="6" t="str">
        <f t="shared" si="330"/>
        <v>OK</v>
      </c>
      <c r="AU3200" s="202">
        <v>41018</v>
      </c>
      <c r="AV3200" s="216" t="s">
        <v>2299</v>
      </c>
      <c r="AW3200" s="274">
        <v>58412</v>
      </c>
    </row>
    <row r="3201" spans="1:49" s="13" customFormat="1" ht="33.75" x14ac:dyDescent="0.2">
      <c r="A3201" s="14">
        <v>3174</v>
      </c>
      <c r="B3201" s="8">
        <v>400046134</v>
      </c>
      <c r="C3201" s="8" t="s">
        <v>1447</v>
      </c>
      <c r="D3201" s="4" t="str">
        <f t="shared" si="331"/>
        <v>400046134A</v>
      </c>
      <c r="E3201" s="309" t="str">
        <f>VLOOKUP($B3201,'D7 - NDB Impacted SPRF''s'!$E$6:$O$9929,2,FALSE)</f>
        <v>Ambulance Claims with Fractional Mileage</v>
      </c>
      <c r="F3201" s="8"/>
      <c r="G3201" s="8" t="s">
        <v>4758</v>
      </c>
      <c r="H3201" s="8" t="s">
        <v>5382</v>
      </c>
      <c r="I3201" s="20">
        <v>6.07</v>
      </c>
      <c r="J3201" s="8" t="s">
        <v>4862</v>
      </c>
      <c r="K3201" s="182">
        <v>41412</v>
      </c>
      <c r="L3201" s="8" t="s">
        <v>4156</v>
      </c>
      <c r="M3201" s="8" t="s">
        <v>2814</v>
      </c>
      <c r="N3201" s="38" t="s">
        <v>877</v>
      </c>
      <c r="O3201" s="8"/>
      <c r="P3201" s="4" t="str">
        <f>VLOOKUP($B3201,'D7 - NDB Impacted SPRF''s'!$E$16:$O$9929,9,FALSE)</f>
        <v>N</v>
      </c>
      <c r="Q3201" s="4" t="str">
        <f>VLOOKUP($B3201,'D7 - NDB Impacted SPRF''s'!$E$16:$O$9929,10,FALSE)</f>
        <v>N</v>
      </c>
      <c r="R3201" s="4" t="str">
        <f>VLOOKUP($B3201,'D7 - NDB Impacted SPRF''s'!$E$16:$O$9929,11,FALSE)</f>
        <v>Y</v>
      </c>
      <c r="S3201" s="8"/>
      <c r="T3201" s="310"/>
      <c r="U3201" s="310"/>
      <c r="V3201" s="4"/>
      <c r="W3201" s="4"/>
      <c r="X3201" s="4"/>
      <c r="Y3201" s="4"/>
      <c r="Z3201" s="4"/>
      <c r="AA3201" s="4"/>
      <c r="AB3201" s="380" t="str">
        <f>VLOOKUP($B3201,'D7 - NDB Impacted SPRF''s'!$E$6:$O$9929,4,FALSE)</f>
        <v>Scheduled</v>
      </c>
      <c r="AC3201" s="380" t="str">
        <f>VLOOKUP($B3201,'D7 - NDB Impacted SPRF''s'!$E$6:$O$9929,3,FALSE)</f>
        <v>UnitedHealthcare Medicare &amp; Retirement</v>
      </c>
      <c r="AD3201" s="380" t="str">
        <f>VLOOKUP($B3201,'D7 - NDB Impacted SPRF''s'!$E$6:$O$9929,5,FALSE)</f>
        <v>Medical Cost Savings Programs</v>
      </c>
      <c r="AE3201" s="380" t="str">
        <f>VLOOKUP($B3201,'D7 - NDB Impacted SPRF''s'!$E$6:$O$9929,7,FALSE)</f>
        <v xml:space="preserve">Susan Gamache </v>
      </c>
      <c r="AF3201" s="380" t="str">
        <f>VLOOKUP($B3201,'D7 - NDB Impacted SPRF''s'!$E$6:$O$9929,6,FALSE)</f>
        <v>Brian Schimke</v>
      </c>
      <c r="AG3201" s="282"/>
      <c r="AH3201" s="311" t="e">
        <f>INDEX('D5 - Gatekeeper - Projects'!$A$4:$AF$1010,$AM3201, 17)</f>
        <v>#N/A</v>
      </c>
      <c r="AI3201" s="8"/>
      <c r="AJ3201" s="57"/>
      <c r="AK3201" s="105"/>
      <c r="AM3201" s="6" t="e">
        <f>MATCH(D3201,'D5 - Gatekeeper - Projects'!$C$4:$C$1010,0)</f>
        <v>#N/A</v>
      </c>
      <c r="AN3201" s="6" t="b">
        <f t="shared" si="324"/>
        <v>1</v>
      </c>
      <c r="AO3201" s="6" t="str">
        <f t="shared" si="325"/>
        <v>OK</v>
      </c>
      <c r="AQ3201" s="6" t="e">
        <f>MATCH($D3201,'D4 - Provider Council Unsched'!$C$11:$C$234,0)</f>
        <v>#N/A</v>
      </c>
      <c r="AR3201" s="6" t="b">
        <f t="shared" si="326"/>
        <v>1</v>
      </c>
      <c r="AS3201" s="6" t="str">
        <f t="shared" si="330"/>
        <v>OK</v>
      </c>
      <c r="AU3201" s="202">
        <v>41131</v>
      </c>
      <c r="AV3201" s="216" t="s">
        <v>939</v>
      </c>
      <c r="AW3201" s="274"/>
    </row>
    <row r="3202" spans="1:49" s="13" customFormat="1" ht="90" x14ac:dyDescent="0.2">
      <c r="A3202" s="14">
        <v>3175</v>
      </c>
      <c r="B3202" s="8">
        <v>400050350</v>
      </c>
      <c r="C3202" s="8" t="s">
        <v>8138</v>
      </c>
      <c r="D3202" s="4" t="str">
        <f t="shared" si="331"/>
        <v>400050350UA</v>
      </c>
      <c r="E3202" s="309" t="str">
        <f>VLOOKUP($B3202,'D7 - NDB Impacted SPRF''s'!$E$6:$O$9929,2,FALSE)</f>
        <v>Provider Reimbursement Modernization – Phase I</v>
      </c>
      <c r="F3202" s="8"/>
      <c r="G3202" s="8" t="s">
        <v>4758</v>
      </c>
      <c r="H3202" s="8" t="s">
        <v>5382</v>
      </c>
      <c r="I3202" s="20">
        <v>1.46</v>
      </c>
      <c r="J3202" s="8" t="s">
        <v>4862</v>
      </c>
      <c r="K3202" s="182">
        <v>41412</v>
      </c>
      <c r="L3202" s="8" t="s">
        <v>4156</v>
      </c>
      <c r="M3202" s="8" t="s">
        <v>2814</v>
      </c>
      <c r="N3202" s="38" t="s">
        <v>321</v>
      </c>
      <c r="O3202" s="8"/>
      <c r="P3202" s="4" t="str">
        <f>VLOOKUP($B3202,'D7 - NDB Impacted SPRF''s'!$E$16:$O$9929,9,FALSE)</f>
        <v>Y</v>
      </c>
      <c r="Q3202" s="4" t="str">
        <f>VLOOKUP($B3202,'D7 - NDB Impacted SPRF''s'!$E$16:$O$9929,10,FALSE)</f>
        <v>N</v>
      </c>
      <c r="R3202" s="4" t="str">
        <f>VLOOKUP($B3202,'D7 - NDB Impacted SPRF''s'!$E$16:$O$9929,11,FALSE)</f>
        <v>N</v>
      </c>
      <c r="S3202" s="8"/>
      <c r="T3202" s="310"/>
      <c r="U3202" s="310"/>
      <c r="V3202" s="4"/>
      <c r="W3202" s="4"/>
      <c r="X3202" s="4"/>
      <c r="Y3202" s="4"/>
      <c r="Z3202" s="4"/>
      <c r="AA3202" s="4"/>
      <c r="AB3202" s="380" t="str">
        <f>VLOOKUP($B3202,'D7 - NDB Impacted SPRF''s'!$E$6:$O$9929,4,FALSE)</f>
        <v>In Strategy Council</v>
      </c>
      <c r="AC3202" s="380" t="str">
        <f>VLOOKUP($B3202,'D7 - NDB Impacted SPRF''s'!$E$6:$O$9929,3,FALSE)</f>
        <v>UnitedHealthcare Medicare &amp; Retirement</v>
      </c>
      <c r="AD3202" s="380" t="str">
        <f>VLOOKUP($B3202,'D7 - NDB Impacted SPRF''s'!$E$6:$O$9929,5,FALSE)</f>
        <v>Medical Cost Savings Programs</v>
      </c>
      <c r="AE3202" s="380" t="str">
        <f>VLOOKUP($B3202,'D7 - NDB Impacted SPRF''s'!$E$6:$O$9929,7,FALSE)</f>
        <v>Cindy Polich</v>
      </c>
      <c r="AF3202" s="380" t="str">
        <f>VLOOKUP($B3202,'D7 - NDB Impacted SPRF''s'!$E$6:$O$9929,6,FALSE)</f>
        <v>Debi Streb</v>
      </c>
      <c r="AG3202" s="282"/>
      <c r="AH3202" s="311" t="e">
        <f>INDEX('D5 - Gatekeeper - Projects'!$A$4:$AF$1010,$AM3202, 17)</f>
        <v>#N/A</v>
      </c>
      <c r="AI3202" s="8"/>
      <c r="AJ3202" s="57"/>
      <c r="AK3202" s="105"/>
      <c r="AM3202" s="6" t="e">
        <f>MATCH(D3202,'D5 - Gatekeeper - Projects'!$C$4:$C$1010,0)</f>
        <v>#N/A</v>
      </c>
      <c r="AN3202" s="6" t="b">
        <f t="shared" si="324"/>
        <v>1</v>
      </c>
      <c r="AO3202" s="6" t="str">
        <f t="shared" si="325"/>
        <v>OK</v>
      </c>
      <c r="AQ3202" s="6" t="e">
        <f>MATCH($D3202,'D4 - Provider Council Unsched'!$C$11:$C$234,0)</f>
        <v>#N/A</v>
      </c>
      <c r="AR3202" s="6" t="b">
        <f t="shared" si="326"/>
        <v>1</v>
      </c>
      <c r="AS3202" s="6" t="str">
        <f t="shared" si="330"/>
        <v>OK</v>
      </c>
      <c r="AU3202" s="202">
        <v>41054</v>
      </c>
      <c r="AV3202" s="216" t="s">
        <v>2239</v>
      </c>
      <c r="AW3202" s="274">
        <v>57842</v>
      </c>
    </row>
    <row r="3203" spans="1:49" s="13" customFormat="1" ht="56.25" x14ac:dyDescent="0.2">
      <c r="A3203" s="14">
        <v>3176</v>
      </c>
      <c r="B3203" s="8">
        <v>400054163</v>
      </c>
      <c r="C3203" s="8" t="s">
        <v>1447</v>
      </c>
      <c r="D3203" s="4" t="str">
        <f t="shared" si="331"/>
        <v>400054163A</v>
      </c>
      <c r="E3203" s="309" t="str">
        <f>VLOOKUP($B3203,'D7 - NDB Impacted SPRF''s'!$E$6:$O$9929,2,FALSE)</f>
        <v>UMR/EPS - Increase Auto Adjudication (top ideas)</v>
      </c>
      <c r="F3203" s="8"/>
      <c r="G3203" s="8" t="s">
        <v>4758</v>
      </c>
      <c r="H3203" s="8" t="s">
        <v>5382</v>
      </c>
      <c r="I3203" s="20">
        <v>0.14000000000000001</v>
      </c>
      <c r="J3203" s="8" t="s">
        <v>4862</v>
      </c>
      <c r="K3203" s="182">
        <v>41412</v>
      </c>
      <c r="L3203" s="8" t="s">
        <v>4156</v>
      </c>
      <c r="M3203" s="8" t="s">
        <v>5626</v>
      </c>
      <c r="N3203" s="38" t="s">
        <v>8967</v>
      </c>
      <c r="O3203" s="8"/>
      <c r="P3203" s="4" t="str">
        <f>VLOOKUP($B3203,'D7 - NDB Impacted SPRF''s'!$E$16:$O$9929,9,FALSE)</f>
        <v>N</v>
      </c>
      <c r="Q3203" s="4" t="str">
        <f>VLOOKUP($B3203,'D7 - NDB Impacted SPRF''s'!$E$16:$O$9929,10,FALSE)</f>
        <v>N</v>
      </c>
      <c r="R3203" s="4" t="str">
        <f>VLOOKUP($B3203,'D7 - NDB Impacted SPRF''s'!$E$16:$O$9929,11,FALSE)</f>
        <v>Y</v>
      </c>
      <c r="S3203" s="8"/>
      <c r="T3203" s="310"/>
      <c r="U3203" s="310"/>
      <c r="V3203" s="4"/>
      <c r="W3203" s="4"/>
      <c r="X3203" s="4"/>
      <c r="Y3203" s="4"/>
      <c r="Z3203" s="4"/>
      <c r="AA3203" s="4"/>
      <c r="AB3203" s="380" t="str">
        <f>VLOOKUP($B3203,'D7 - NDB Impacted SPRF''s'!$E$6:$O$9929,4,FALSE)</f>
        <v>Scheduled</v>
      </c>
      <c r="AC3203" s="380" t="str">
        <f>VLOOKUP($B3203,'D7 - NDB Impacted SPRF''s'!$E$6:$O$9929,3,FALSE)</f>
        <v>UHG IT - Shared Services</v>
      </c>
      <c r="AD3203" s="380" t="str">
        <f>VLOOKUP($B3203,'D7 - NDB Impacted SPRF''s'!$E$6:$O$9929,5,FALSE)</f>
        <v>Strategic Initiatives</v>
      </c>
      <c r="AE3203" s="380" t="str">
        <f>VLOOKUP($B3203,'D7 - NDB Impacted SPRF''s'!$E$6:$O$9929,7,FALSE)</f>
        <v>Jeff Meyerhofer</v>
      </c>
      <c r="AF3203" s="380" t="str">
        <f>VLOOKUP($B3203,'D7 - NDB Impacted SPRF''s'!$E$6:$O$9929,6,FALSE)</f>
        <v>Angela Bleibaum</v>
      </c>
      <c r="AG3203" s="282"/>
      <c r="AH3203" s="311" t="e">
        <f>INDEX('D5 - Gatekeeper - Projects'!$A$4:$AF$1010,$AM3203, 17)</f>
        <v>#N/A</v>
      </c>
      <c r="AI3203" s="8"/>
      <c r="AJ3203" s="57"/>
      <c r="AK3203" s="105"/>
      <c r="AM3203" s="6" t="e">
        <f>MATCH(D3203,'D5 - Gatekeeper - Projects'!$C$4:$C$1010,0)</f>
        <v>#N/A</v>
      </c>
      <c r="AN3203" s="6" t="b">
        <f t="shared" si="324"/>
        <v>1</v>
      </c>
      <c r="AO3203" s="6" t="str">
        <f t="shared" si="325"/>
        <v>OK</v>
      </c>
      <c r="AQ3203" s="6" t="e">
        <f>MATCH($D3203,'D4 - Provider Council Unsched'!$C$11:$C$234,0)</f>
        <v>#N/A</v>
      </c>
      <c r="AR3203" s="6" t="b">
        <f t="shared" si="326"/>
        <v>1</v>
      </c>
      <c r="AS3203" s="6" t="str">
        <f t="shared" si="330"/>
        <v>OK</v>
      </c>
      <c r="AU3203" s="202">
        <v>41222</v>
      </c>
      <c r="AV3203" s="349" t="s">
        <v>916</v>
      </c>
      <c r="AW3203" s="274" t="s">
        <v>4027</v>
      </c>
    </row>
    <row r="3204" spans="1:49" s="13" customFormat="1" ht="33.75" x14ac:dyDescent="0.2">
      <c r="A3204" s="14">
        <v>3177</v>
      </c>
      <c r="B3204" s="8">
        <v>400055325</v>
      </c>
      <c r="C3204" s="8" t="s">
        <v>1447</v>
      </c>
      <c r="D3204" s="4" t="str">
        <f t="shared" si="331"/>
        <v>400055325A</v>
      </c>
      <c r="E3204" s="309" t="str">
        <f>VLOOKUP($B3204,'D7 - NDB Impacted SPRF''s'!$E$6:$O$9929,2,FALSE)</f>
        <v>E.H.B. PLUS: Quote Ready Q2-2013 Release</v>
      </c>
      <c r="F3204" s="8"/>
      <c r="G3204" s="8" t="s">
        <v>4758</v>
      </c>
      <c r="H3204" s="8" t="s">
        <v>5382</v>
      </c>
      <c r="I3204" s="20">
        <v>0.17</v>
      </c>
      <c r="J3204" s="8" t="s">
        <v>4862</v>
      </c>
      <c r="K3204" s="182">
        <v>41412</v>
      </c>
      <c r="L3204" s="8" t="s">
        <v>4156</v>
      </c>
      <c r="M3204" s="8" t="s">
        <v>2814</v>
      </c>
      <c r="N3204" s="38" t="s">
        <v>6588</v>
      </c>
      <c r="O3204" s="8"/>
      <c r="P3204" s="4" t="str">
        <f>VLOOKUP($B3204,'D7 - NDB Impacted SPRF''s'!$E$16:$O$9929,9,FALSE)</f>
        <v>Y</v>
      </c>
      <c r="Q3204" s="4" t="str">
        <f>VLOOKUP($B3204,'D7 - NDB Impacted SPRF''s'!$E$16:$O$9929,10,FALSE)</f>
        <v>N</v>
      </c>
      <c r="R3204" s="4" t="str">
        <f>VLOOKUP($B3204,'D7 - NDB Impacted SPRF''s'!$E$16:$O$9929,11,FALSE)</f>
        <v>N</v>
      </c>
      <c r="S3204" s="8"/>
      <c r="T3204" s="310"/>
      <c r="U3204" s="310"/>
      <c r="V3204" s="4"/>
      <c r="W3204" s="4"/>
      <c r="X3204" s="4"/>
      <c r="Y3204" s="4"/>
      <c r="Z3204" s="4"/>
      <c r="AA3204" s="4"/>
      <c r="AB3204" s="380" t="str">
        <f>VLOOKUP($B3204,'D7 - NDB Impacted SPRF''s'!$E$6:$O$9929,4,FALSE)</f>
        <v>Scheduled</v>
      </c>
      <c r="AC3204" s="380" t="str">
        <f>VLOOKUP($B3204,'D7 - NDB Impacted SPRF''s'!$E$6:$O$9929,3,FALSE)</f>
        <v>UnitedHealthcare Employer &amp; Individual</v>
      </c>
      <c r="AD3204" s="380" t="str">
        <f>VLOOKUP($B3204,'D7 - NDB Impacted SPRF''s'!$E$6:$O$9929,5,FALSE)</f>
        <v>Regulatory / Other</v>
      </c>
      <c r="AE3204" s="380" t="str">
        <f>VLOOKUP($B3204,'D7 - NDB Impacted SPRF''s'!$E$6:$O$9929,7,FALSE)</f>
        <v>Denise Mount</v>
      </c>
      <c r="AF3204" s="380" t="str">
        <f>VLOOKUP($B3204,'D7 - NDB Impacted SPRF''s'!$E$6:$O$9929,6,FALSE)</f>
        <v>Elisa O'brien</v>
      </c>
      <c r="AG3204" s="282"/>
      <c r="AH3204" s="311" t="e">
        <f>INDEX('D5 - Gatekeeper - Projects'!$A$4:$AF$1010,$AM3204, 17)</f>
        <v>#N/A</v>
      </c>
      <c r="AI3204" s="8"/>
      <c r="AJ3204" s="57"/>
      <c r="AK3204" s="105"/>
      <c r="AM3204" s="6" t="e">
        <f>MATCH(D3204,'D5 - Gatekeeper - Projects'!$C$4:$C$1010,0)</f>
        <v>#N/A</v>
      </c>
      <c r="AN3204" s="6" t="b">
        <f t="shared" si="324"/>
        <v>1</v>
      </c>
      <c r="AO3204" s="6" t="str">
        <f t="shared" si="325"/>
        <v>OK</v>
      </c>
      <c r="AQ3204" s="6" t="e">
        <f>MATCH($D3204,'D4 - Provider Council Unsched'!$C$11:$C$234,0)</f>
        <v>#N/A</v>
      </c>
      <c r="AR3204" s="6" t="b">
        <f t="shared" si="326"/>
        <v>1</v>
      </c>
      <c r="AS3204" s="6" t="str">
        <f t="shared" si="330"/>
        <v>OK</v>
      </c>
      <c r="AU3204" s="202"/>
      <c r="AV3204" s="350" t="s">
        <v>7167</v>
      </c>
      <c r="AW3204" s="274">
        <v>71150</v>
      </c>
    </row>
    <row r="3205" spans="1:49" s="13" customFormat="1" ht="33.75" x14ac:dyDescent="0.2">
      <c r="A3205" s="14">
        <v>3178</v>
      </c>
      <c r="B3205" s="14">
        <v>400031316</v>
      </c>
      <c r="C3205" s="8" t="s">
        <v>5197</v>
      </c>
      <c r="D3205" s="4" t="str">
        <f t="shared" si="331"/>
        <v>400031316R1</v>
      </c>
      <c r="E3205" s="309" t="str">
        <f>VLOOKUP($B3205,'D7 - NDB Impacted SPRF''s'!$E$6:$O$9929,2,FALSE)</f>
        <v xml:space="preserve">TN: Provider File Automation	</v>
      </c>
      <c r="F3205" s="8"/>
      <c r="G3205" s="8" t="s">
        <v>4758</v>
      </c>
      <c r="H3205" s="8" t="s">
        <v>5382</v>
      </c>
      <c r="I3205" s="20"/>
      <c r="J3205" s="8"/>
      <c r="K3205" s="182"/>
      <c r="L3205" s="8" t="s">
        <v>4156</v>
      </c>
      <c r="M3205" s="8" t="s">
        <v>2814</v>
      </c>
      <c r="N3205" s="38" t="s">
        <v>1375</v>
      </c>
      <c r="O3205" s="8"/>
      <c r="P3205" s="4" t="str">
        <f>VLOOKUP($B3205,'D7 - NDB Impacted SPRF''s'!$E$16:$O$9929,9,FALSE)</f>
        <v>N</v>
      </c>
      <c r="Q3205" s="4" t="str">
        <f>VLOOKUP($B3205,'D7 - NDB Impacted SPRF''s'!$E$16:$O$9929,10,FALSE)</f>
        <v>N</v>
      </c>
      <c r="R3205" s="4" t="str">
        <f>VLOOKUP($B3205,'D7 - NDB Impacted SPRF''s'!$E$16:$O$9929,11,FALSE)</f>
        <v>N</v>
      </c>
      <c r="S3205" s="8"/>
      <c r="T3205" s="310"/>
      <c r="U3205" s="310"/>
      <c r="V3205" s="4"/>
      <c r="W3205" s="4"/>
      <c r="X3205" s="4"/>
      <c r="Y3205" s="4"/>
      <c r="Z3205" s="4"/>
      <c r="AA3205" s="4"/>
      <c r="AB3205" s="380" t="str">
        <f>VLOOKUP($B3205,'D7 - NDB Impacted SPRF''s'!$E$6:$O$9929,4,FALSE)</f>
        <v>Completed</v>
      </c>
      <c r="AC3205" s="380" t="str">
        <f>VLOOKUP($B3205,'D7 - NDB Impacted SPRF''s'!$E$6:$O$9929,3,FALSE)</f>
        <v>UnitedHealthcare Community &amp; State</v>
      </c>
      <c r="AD3205" s="380" t="str">
        <f>VLOOKUP($B3205,'D7 - NDB Impacted SPRF''s'!$E$6:$O$9929,5,FALSE)</f>
        <v>Regulatory / Other</v>
      </c>
      <c r="AE3205" s="380" t="str">
        <f>VLOOKUP($B3205,'D7 - NDB Impacted SPRF''s'!$E$6:$O$9929,7,FALSE)</f>
        <v>Mike McCabe</v>
      </c>
      <c r="AF3205" s="380" t="str">
        <f>VLOOKUP($B3205,'D7 - NDB Impacted SPRF''s'!$E$6:$O$9929,6,FALSE)</f>
        <v>Ronald Wilson</v>
      </c>
      <c r="AG3205" s="282"/>
      <c r="AH3205" s="311" t="e">
        <f>INDEX('D5 - Gatekeeper - Projects'!$A$4:$AF$1010,$AM3205, 17)</f>
        <v>#N/A</v>
      </c>
      <c r="AI3205" s="8"/>
      <c r="AJ3205" s="57"/>
      <c r="AK3205" s="105"/>
      <c r="AM3205" s="6" t="e">
        <f>MATCH(D3205,'D5 - Gatekeeper - Projects'!$C$4:$C$1010,0)</f>
        <v>#N/A</v>
      </c>
      <c r="AN3205" s="6" t="b">
        <f t="shared" si="324"/>
        <v>1</v>
      </c>
      <c r="AO3205" s="6" t="str">
        <f t="shared" si="325"/>
        <v>OK</v>
      </c>
      <c r="AQ3205" s="6">
        <f>MATCH($D3205,'D4 - Provider Council Unsched'!$C$11:$C$234,0)</f>
        <v>1</v>
      </c>
      <c r="AR3205" s="6" t="b">
        <f t="shared" si="326"/>
        <v>0</v>
      </c>
      <c r="AS3205" s="6" t="str">
        <f t="shared" si="330"/>
        <v>OK</v>
      </c>
      <c r="AU3205" s="202"/>
      <c r="AV3205" s="216" t="s">
        <v>470</v>
      </c>
      <c r="AW3205" s="274"/>
    </row>
    <row r="3206" spans="1:49" s="13" customFormat="1" ht="22.5" x14ac:dyDescent="0.2">
      <c r="A3206" s="14">
        <v>3179</v>
      </c>
      <c r="B3206" s="8">
        <v>400041113</v>
      </c>
      <c r="C3206" s="8" t="s">
        <v>1447</v>
      </c>
      <c r="D3206" s="4" t="str">
        <f t="shared" si="331"/>
        <v>400041113A</v>
      </c>
      <c r="E3206" s="309" t="str">
        <f>VLOOKUP($B3206,'D7 - NDB Impacted SPRF''s'!$E$6:$O$9929,2,FALSE)</f>
        <v>Lotus Notes UMR Database Migration Decommission</v>
      </c>
      <c r="F3206" s="8"/>
      <c r="G3206" s="8" t="s">
        <v>4758</v>
      </c>
      <c r="H3206" s="8" t="s">
        <v>5382</v>
      </c>
      <c r="I3206" s="20"/>
      <c r="J3206" s="8"/>
      <c r="K3206" s="182"/>
      <c r="L3206" s="8" t="s">
        <v>4156</v>
      </c>
      <c r="M3206" s="8" t="s">
        <v>2814</v>
      </c>
      <c r="N3206" s="38" t="s">
        <v>1342</v>
      </c>
      <c r="O3206" s="8"/>
      <c r="P3206" s="4" t="str">
        <f>VLOOKUP($B3206,'D7 - NDB Impacted SPRF''s'!$E$16:$O$9929,9,FALSE)</f>
        <v>Y</v>
      </c>
      <c r="Q3206" s="4" t="str">
        <f>VLOOKUP($B3206,'D7 - NDB Impacted SPRF''s'!$E$16:$O$9929,10,FALSE)</f>
        <v>N</v>
      </c>
      <c r="R3206" s="4" t="str">
        <f>VLOOKUP($B3206,'D7 - NDB Impacted SPRF''s'!$E$16:$O$9929,11,FALSE)</f>
        <v>N</v>
      </c>
      <c r="S3206" s="8"/>
      <c r="T3206" s="310"/>
      <c r="U3206" s="310"/>
      <c r="V3206" s="4"/>
      <c r="W3206" s="4"/>
      <c r="X3206" s="4"/>
      <c r="Y3206" s="4"/>
      <c r="Z3206" s="4"/>
      <c r="AA3206" s="4"/>
      <c r="AB3206" s="380" t="str">
        <f>VLOOKUP($B3206,'D7 - NDB Impacted SPRF''s'!$E$6:$O$9929,4,FALSE)</f>
        <v>Scheduled</v>
      </c>
      <c r="AC3206" s="380" t="str">
        <f>VLOOKUP($B3206,'D7 - NDB Impacted SPRF''s'!$E$6:$O$9929,3,FALSE)</f>
        <v>UHG IT - Shared Services</v>
      </c>
      <c r="AD3206" s="380" t="str">
        <f>VLOOKUP($B3206,'D7 - NDB Impacted SPRF''s'!$E$6:$O$9929,5,FALSE)</f>
        <v>Strategic Initiatives</v>
      </c>
      <c r="AE3206" s="380" t="str">
        <f>VLOOKUP($B3206,'D7 - NDB Impacted SPRF''s'!$E$6:$O$9929,7,FALSE)</f>
        <v>Kevin Cogle</v>
      </c>
      <c r="AF3206" s="380" t="str">
        <f>VLOOKUP($B3206,'D7 - NDB Impacted SPRF''s'!$E$6:$O$9929,6,FALSE)</f>
        <v>Renee Overton-Palma</v>
      </c>
      <c r="AG3206" s="282"/>
      <c r="AH3206" s="311" t="e">
        <f>INDEX('D5 - Gatekeeper - Projects'!$A$4:$AF$1010,$AM3206, 17)</f>
        <v>#N/A</v>
      </c>
      <c r="AI3206" s="8"/>
      <c r="AJ3206" s="57"/>
      <c r="AK3206" s="105"/>
      <c r="AM3206" s="6" t="e">
        <f>MATCH(D3206,'D5 - Gatekeeper - Projects'!$C$4:$C$1010,0)</f>
        <v>#N/A</v>
      </c>
      <c r="AN3206" s="6" t="b">
        <f t="shared" si="324"/>
        <v>1</v>
      </c>
      <c r="AO3206" s="6" t="str">
        <f t="shared" si="325"/>
        <v>OK</v>
      </c>
      <c r="AQ3206" s="6" t="e">
        <f>MATCH($D3206,'D4 - Provider Council Unsched'!$C$11:$C$234,0)</f>
        <v>#N/A</v>
      </c>
      <c r="AR3206" s="6" t="b">
        <f t="shared" si="326"/>
        <v>1</v>
      </c>
      <c r="AS3206" s="6" t="str">
        <f t="shared" si="330"/>
        <v>OK</v>
      </c>
      <c r="AU3206" s="202"/>
      <c r="AV3206" s="216"/>
      <c r="AW3206" s="274"/>
    </row>
    <row r="3207" spans="1:49" s="13" customFormat="1" ht="33.75" x14ac:dyDescent="0.2">
      <c r="A3207" s="14">
        <v>3180</v>
      </c>
      <c r="B3207" s="8">
        <v>400042336</v>
      </c>
      <c r="C3207" s="8" t="s">
        <v>1447</v>
      </c>
      <c r="D3207" s="4" t="str">
        <f t="shared" si="331"/>
        <v>400042336A</v>
      </c>
      <c r="E3207" s="309" t="str">
        <f>VLOOKUP($B3207,'D7 - NDB Impacted SPRF''s'!$E$6:$O$9929,2,FALSE)</f>
        <v>Consumer Transparency RSA Estimate</v>
      </c>
      <c r="F3207" s="8"/>
      <c r="G3207" s="8" t="s">
        <v>4758</v>
      </c>
      <c r="H3207" s="8" t="s">
        <v>5382</v>
      </c>
      <c r="I3207" s="20"/>
      <c r="J3207" s="8"/>
      <c r="K3207" s="182"/>
      <c r="L3207" s="8" t="s">
        <v>4156</v>
      </c>
      <c r="M3207" s="8" t="s">
        <v>2814</v>
      </c>
      <c r="N3207" s="38" t="s">
        <v>5460</v>
      </c>
      <c r="O3207" s="8"/>
      <c r="P3207" s="4" t="str">
        <f>VLOOKUP($B3207,'D7 - NDB Impacted SPRF''s'!$E$16:$O$9929,9,FALSE)</f>
        <v>Y</v>
      </c>
      <c r="Q3207" s="4" t="str">
        <f>VLOOKUP($B3207,'D7 - NDB Impacted SPRF''s'!$E$16:$O$9929,10,FALSE)</f>
        <v>N</v>
      </c>
      <c r="R3207" s="4" t="str">
        <f>VLOOKUP($B3207,'D7 - NDB Impacted SPRF''s'!$E$16:$O$9929,11,FALSE)</f>
        <v>Y</v>
      </c>
      <c r="S3207" s="8"/>
      <c r="T3207" s="310"/>
      <c r="U3207" s="310"/>
      <c r="V3207" s="4"/>
      <c r="W3207" s="4"/>
      <c r="X3207" s="4"/>
      <c r="Y3207" s="4"/>
      <c r="Z3207" s="4"/>
      <c r="AA3207" s="4"/>
      <c r="AB3207" s="380" t="str">
        <f>VLOOKUP($B3207,'D7 - NDB Impacted SPRF''s'!$E$6:$O$9929,4,FALSE)</f>
        <v>In Program Manager Request Review</v>
      </c>
      <c r="AC3207" s="380" t="str">
        <f>VLOOKUP($B3207,'D7 - NDB Impacted SPRF''s'!$E$6:$O$9929,3,FALSE)</f>
        <v>OptumHealth</v>
      </c>
      <c r="AD3207" s="380" t="str">
        <f>VLOOKUP($B3207,'D7 - NDB Impacted SPRF''s'!$E$6:$O$9929,5,FALSE)</f>
        <v>CS-Consumer Advisory&amp;Transparency</v>
      </c>
      <c r="AE3207" s="380" t="str">
        <f>VLOOKUP($B3207,'D7 - NDB Impacted SPRF''s'!$E$6:$O$9929,7,FALSE)</f>
        <v>Karl Ulfers</v>
      </c>
      <c r="AF3207" s="380" t="str">
        <f>VLOOKUP($B3207,'D7 - NDB Impacted SPRF''s'!$E$6:$O$9929,6,FALSE)</f>
        <v>Kari Mclarty</v>
      </c>
      <c r="AG3207" s="282"/>
      <c r="AH3207" s="311" t="e">
        <f>INDEX('D5 - Gatekeeper - Projects'!$A$4:$AF$1010,$AM3207, 17)</f>
        <v>#N/A</v>
      </c>
      <c r="AI3207" s="8"/>
      <c r="AJ3207" s="57"/>
      <c r="AK3207" s="105"/>
      <c r="AM3207" s="6" t="e">
        <f>MATCH(D3207,'D5 - Gatekeeper - Projects'!$C$4:$C$1010,0)</f>
        <v>#N/A</v>
      </c>
      <c r="AN3207" s="6" t="b">
        <f t="shared" si="324"/>
        <v>1</v>
      </c>
      <c r="AO3207" s="6" t="str">
        <f t="shared" si="325"/>
        <v>OK</v>
      </c>
      <c r="AQ3207" s="6" t="e">
        <f>MATCH($D3207,'D4 - Provider Council Unsched'!$C$11:$C$234,0)</f>
        <v>#N/A</v>
      </c>
      <c r="AR3207" s="6" t="b">
        <f t="shared" si="326"/>
        <v>1</v>
      </c>
      <c r="AS3207" s="6" t="str">
        <f t="shared" si="330"/>
        <v>OK</v>
      </c>
      <c r="AU3207" s="202"/>
      <c r="AV3207" s="216" t="e">
        <v>#N/A</v>
      </c>
      <c r="AW3207" s="274"/>
    </row>
    <row r="3208" spans="1:49" s="13" customFormat="1" ht="22.5" x14ac:dyDescent="0.2">
      <c r="A3208" s="14">
        <v>3181</v>
      </c>
      <c r="B3208" s="8">
        <v>400042398</v>
      </c>
      <c r="C3208" s="8" t="s">
        <v>1447</v>
      </c>
      <c r="D3208" s="4" t="str">
        <f t="shared" si="331"/>
        <v>400042398A</v>
      </c>
      <c r="E3208" s="309" t="str">
        <f>VLOOKUP($B3208,'D7 - NDB Impacted SPRF''s'!$E$6:$O$9929,2,FALSE)</f>
        <v>OHBS - IVR Self Service Claims Status</v>
      </c>
      <c r="F3208" s="8"/>
      <c r="G3208" s="8" t="s">
        <v>4758</v>
      </c>
      <c r="H3208" s="8" t="s">
        <v>5382</v>
      </c>
      <c r="I3208" s="20"/>
      <c r="J3208" s="8"/>
      <c r="K3208" s="182"/>
      <c r="L3208" s="8" t="s">
        <v>4156</v>
      </c>
      <c r="M3208" s="8" t="s">
        <v>2814</v>
      </c>
      <c r="N3208" s="38" t="s">
        <v>5461</v>
      </c>
      <c r="O3208" s="8"/>
      <c r="P3208" s="4" t="str">
        <f>VLOOKUP($B3208,'D7 - NDB Impacted SPRF''s'!$E$16:$O$9929,9,FALSE)</f>
        <v>Y</v>
      </c>
      <c r="Q3208" s="4" t="str">
        <f>VLOOKUP($B3208,'D7 - NDB Impacted SPRF''s'!$E$16:$O$9929,10,FALSE)</f>
        <v>N</v>
      </c>
      <c r="R3208" s="4" t="str">
        <f>VLOOKUP($B3208,'D7 - NDB Impacted SPRF''s'!$E$16:$O$9929,11,FALSE)</f>
        <v>N</v>
      </c>
      <c r="S3208" s="8"/>
      <c r="T3208" s="310"/>
      <c r="U3208" s="310"/>
      <c r="V3208" s="4"/>
      <c r="W3208" s="4"/>
      <c r="X3208" s="4"/>
      <c r="Y3208" s="4"/>
      <c r="Z3208" s="4"/>
      <c r="AA3208" s="4"/>
      <c r="AB3208" s="380" t="str">
        <f>VLOOKUP($B3208,'D7 - NDB Impacted SPRF''s'!$E$6:$O$9929,4,FALSE)</f>
        <v>Completed</v>
      </c>
      <c r="AC3208" s="380" t="str">
        <f>VLOOKUP($B3208,'D7 - NDB Impacted SPRF''s'!$E$6:$O$9929,3,FALSE)</f>
        <v>OptumHealth</v>
      </c>
      <c r="AD3208" s="380" t="str">
        <f>VLOOKUP($B3208,'D7 - NDB Impacted SPRF''s'!$E$6:$O$9929,5,FALSE)</f>
        <v>Behavioral Solutions</v>
      </c>
      <c r="AE3208" s="380" t="str">
        <f>VLOOKUP($B3208,'D7 - NDB Impacted SPRF''s'!$E$6:$O$9929,7,FALSE)</f>
        <v>Tyler Moore</v>
      </c>
      <c r="AF3208" s="380" t="str">
        <f>VLOOKUP($B3208,'D7 - NDB Impacted SPRF''s'!$E$6:$O$9929,6,FALSE)</f>
        <v>John Howalt</v>
      </c>
      <c r="AG3208" s="282"/>
      <c r="AH3208" s="311" t="e">
        <f>INDEX('D5 - Gatekeeper - Projects'!$A$4:$AF$1010,$AM3208, 17)</f>
        <v>#N/A</v>
      </c>
      <c r="AI3208" s="8"/>
      <c r="AJ3208" s="57"/>
      <c r="AK3208" s="105"/>
      <c r="AM3208" s="6" t="e">
        <f>MATCH(D3208,'D5 - Gatekeeper - Projects'!$C$4:$C$1010,0)</f>
        <v>#N/A</v>
      </c>
      <c r="AN3208" s="6" t="b">
        <f t="shared" si="324"/>
        <v>1</v>
      </c>
      <c r="AO3208" s="6" t="str">
        <f t="shared" si="325"/>
        <v>OK</v>
      </c>
      <c r="AQ3208" s="6" t="e">
        <f>MATCH($D3208,'D4 - Provider Council Unsched'!$C$11:$C$234,0)</f>
        <v>#N/A</v>
      </c>
      <c r="AR3208" s="6" t="b">
        <f t="shared" si="326"/>
        <v>1</v>
      </c>
      <c r="AS3208" s="6" t="str">
        <f t="shared" si="330"/>
        <v>OK</v>
      </c>
      <c r="AU3208" s="202"/>
      <c r="AV3208" s="216" t="s">
        <v>475</v>
      </c>
      <c r="AW3208" s="274"/>
    </row>
    <row r="3209" spans="1:49" s="13" customFormat="1" ht="22.5" x14ac:dyDescent="0.2">
      <c r="A3209" s="14">
        <v>3182</v>
      </c>
      <c r="B3209" s="8">
        <v>400042418</v>
      </c>
      <c r="C3209" s="8" t="s">
        <v>1447</v>
      </c>
      <c r="D3209" s="4" t="str">
        <f t="shared" si="331"/>
        <v>400042418A</v>
      </c>
      <c r="E3209" s="309" t="str">
        <f>VLOOKUP($B3209,'D7 - NDB Impacted SPRF''s'!$E$6:$O$9929,2,FALSE)</f>
        <v>OHBS - IVR Self Service Benefits &amp; Eligibility</v>
      </c>
      <c r="F3209" s="8"/>
      <c r="G3209" s="8" t="s">
        <v>4758</v>
      </c>
      <c r="H3209" s="8" t="s">
        <v>5382</v>
      </c>
      <c r="I3209" s="20"/>
      <c r="J3209" s="8"/>
      <c r="K3209" s="182"/>
      <c r="L3209" s="8" t="s">
        <v>4156</v>
      </c>
      <c r="M3209" s="8" t="s">
        <v>2814</v>
      </c>
      <c r="N3209" s="38" t="s">
        <v>5460</v>
      </c>
      <c r="O3209" s="8"/>
      <c r="P3209" s="4" t="str">
        <f>VLOOKUP($B3209,'D7 - NDB Impacted SPRF''s'!$E$16:$O$9929,9,FALSE)</f>
        <v>Y</v>
      </c>
      <c r="Q3209" s="4" t="str">
        <f>VLOOKUP($B3209,'D7 - NDB Impacted SPRF''s'!$E$16:$O$9929,10,FALSE)</f>
        <v>N</v>
      </c>
      <c r="R3209" s="4" t="str">
        <f>VLOOKUP($B3209,'D7 - NDB Impacted SPRF''s'!$E$16:$O$9929,11,FALSE)</f>
        <v>N</v>
      </c>
      <c r="S3209" s="8"/>
      <c r="T3209" s="310"/>
      <c r="U3209" s="310"/>
      <c r="V3209" s="4"/>
      <c r="W3209" s="4"/>
      <c r="X3209" s="4"/>
      <c r="Y3209" s="4"/>
      <c r="Z3209" s="4"/>
      <c r="AA3209" s="4"/>
      <c r="AB3209" s="380" t="str">
        <f>VLOOKUP($B3209,'D7 - NDB Impacted SPRF''s'!$E$6:$O$9929,4,FALSE)</f>
        <v>Completed</v>
      </c>
      <c r="AC3209" s="380" t="str">
        <f>VLOOKUP($B3209,'D7 - NDB Impacted SPRF''s'!$E$6:$O$9929,3,FALSE)</f>
        <v>OptumHealth</v>
      </c>
      <c r="AD3209" s="380" t="str">
        <f>VLOOKUP($B3209,'D7 - NDB Impacted SPRF''s'!$E$6:$O$9929,5,FALSE)</f>
        <v>Behavioral Solutions</v>
      </c>
      <c r="AE3209" s="380" t="str">
        <f>VLOOKUP($B3209,'D7 - NDB Impacted SPRF''s'!$E$6:$O$9929,7,FALSE)</f>
        <v>Tyler Moore</v>
      </c>
      <c r="AF3209" s="380" t="str">
        <f>VLOOKUP($B3209,'D7 - NDB Impacted SPRF''s'!$E$6:$O$9929,6,FALSE)</f>
        <v>John Howalt</v>
      </c>
      <c r="AG3209" s="282"/>
      <c r="AH3209" s="311" t="e">
        <f>INDEX('D5 - Gatekeeper - Projects'!$A$4:$AF$1010,$AM3209, 17)</f>
        <v>#N/A</v>
      </c>
      <c r="AI3209" s="8"/>
      <c r="AJ3209" s="57"/>
      <c r="AK3209" s="105"/>
      <c r="AM3209" s="6" t="e">
        <f>MATCH(D3209,'D5 - Gatekeeper - Projects'!$C$4:$C$1010,0)</f>
        <v>#N/A</v>
      </c>
      <c r="AN3209" s="6" t="b">
        <f t="shared" si="324"/>
        <v>1</v>
      </c>
      <c r="AO3209" s="6" t="str">
        <f t="shared" si="325"/>
        <v>OK</v>
      </c>
      <c r="AQ3209" s="6" t="e">
        <f>MATCH($D3209,'D4 - Provider Council Unsched'!$C$11:$C$234,0)</f>
        <v>#N/A</v>
      </c>
      <c r="AR3209" s="6" t="b">
        <f t="shared" si="326"/>
        <v>1</v>
      </c>
      <c r="AS3209" s="6" t="str">
        <f t="shared" si="330"/>
        <v>OK</v>
      </c>
      <c r="AU3209" s="202"/>
      <c r="AV3209" s="216" t="s">
        <v>475</v>
      </c>
      <c r="AW3209" s="274"/>
    </row>
    <row r="3210" spans="1:49" s="13" customFormat="1" ht="33.75" x14ac:dyDescent="0.2">
      <c r="A3210" s="14">
        <v>3183</v>
      </c>
      <c r="B3210" s="8">
        <v>400042801</v>
      </c>
      <c r="C3210" s="8" t="s">
        <v>1447</v>
      </c>
      <c r="D3210" s="4" t="str">
        <f t="shared" si="331"/>
        <v>400042801A</v>
      </c>
      <c r="E3210" s="309" t="str">
        <f>VLOOKUP($B3210,'D7 - NDB Impacted SPRF''s'!$E$6:$O$9929,2,FALSE)</f>
        <v>OXHP Medicare Adoption of ICUE</v>
      </c>
      <c r="F3210" s="8"/>
      <c r="G3210" s="8" t="s">
        <v>4758</v>
      </c>
      <c r="H3210" s="8" t="s">
        <v>5382</v>
      </c>
      <c r="I3210" s="20"/>
      <c r="J3210" s="8"/>
      <c r="K3210" s="182"/>
      <c r="L3210" s="8" t="s">
        <v>4156</v>
      </c>
      <c r="M3210" s="8" t="s">
        <v>2814</v>
      </c>
      <c r="N3210" s="38" t="s">
        <v>1333</v>
      </c>
      <c r="O3210" s="8"/>
      <c r="P3210" s="4" t="str">
        <f>VLOOKUP($B3210,'D7 - NDB Impacted SPRF''s'!$E$16:$O$9929,9,FALSE)</f>
        <v>N</v>
      </c>
      <c r="Q3210" s="4" t="str">
        <f>VLOOKUP($B3210,'D7 - NDB Impacted SPRF''s'!$E$16:$O$9929,10,FALSE)</f>
        <v>N</v>
      </c>
      <c r="R3210" s="4" t="str">
        <f>VLOOKUP($B3210,'D7 - NDB Impacted SPRF''s'!$E$16:$O$9929,11,FALSE)</f>
        <v>N</v>
      </c>
      <c r="S3210" s="8"/>
      <c r="T3210" s="310"/>
      <c r="U3210" s="310"/>
      <c r="V3210" s="4"/>
      <c r="W3210" s="4"/>
      <c r="X3210" s="4"/>
      <c r="Y3210" s="4"/>
      <c r="Z3210" s="4"/>
      <c r="AA3210" s="4"/>
      <c r="AB3210" s="380" t="str">
        <f>VLOOKUP($B3210,'D7 - NDB Impacted SPRF''s'!$E$6:$O$9929,4,FALSE)</f>
        <v>Scheduled</v>
      </c>
      <c r="AC3210" s="380" t="s">
        <v>5324</v>
      </c>
      <c r="AD3210" s="380" t="str">
        <f>VLOOKUP($B3210,'D7 - NDB Impacted SPRF''s'!$E$6:$O$9929,5,FALSE)</f>
        <v>Enterprise Clinical</v>
      </c>
      <c r="AE3210" s="380" t="str">
        <f>VLOOKUP($B3210,'D7 - NDB Impacted SPRF''s'!$E$6:$O$9929,7,FALSE)</f>
        <v>Sheila Nelson</v>
      </c>
      <c r="AF3210" s="380" t="str">
        <f>VLOOKUP($B3210,'D7 - NDB Impacted SPRF''s'!$E$6:$O$9929,6,FALSE)</f>
        <v>Daniel Clerkin</v>
      </c>
      <c r="AG3210" s="282"/>
      <c r="AH3210" s="311" t="e">
        <f>INDEX('D5 - Gatekeeper - Projects'!$A$4:$AF$1010,$AM3210, 17)</f>
        <v>#N/A</v>
      </c>
      <c r="AI3210" s="8"/>
      <c r="AJ3210" s="57"/>
      <c r="AK3210" s="105"/>
      <c r="AM3210" s="6" t="e">
        <f>MATCH(D3210,'D5 - Gatekeeper - Projects'!$C$4:$C$1010,0)</f>
        <v>#N/A</v>
      </c>
      <c r="AN3210" s="6" t="b">
        <f t="shared" si="324"/>
        <v>1</v>
      </c>
      <c r="AO3210" s="6" t="str">
        <f t="shared" si="325"/>
        <v>OK</v>
      </c>
      <c r="AQ3210" s="6" t="e">
        <f>MATCH($D3210,'D4 - Provider Council Unsched'!$C$11:$C$234,0)</f>
        <v>#N/A</v>
      </c>
      <c r="AR3210" s="6" t="b">
        <f t="shared" si="326"/>
        <v>1</v>
      </c>
      <c r="AS3210" s="6" t="str">
        <f t="shared" si="330"/>
        <v>OK</v>
      </c>
      <c r="AU3210" s="202"/>
      <c r="AV3210" s="216"/>
      <c r="AW3210" s="274"/>
    </row>
    <row r="3211" spans="1:49" s="13" customFormat="1" ht="33.75" x14ac:dyDescent="0.2">
      <c r="A3211" s="14">
        <v>3184</v>
      </c>
      <c r="B3211" s="8">
        <v>400043432</v>
      </c>
      <c r="C3211" s="8" t="s">
        <v>1447</v>
      </c>
      <c r="D3211" s="4" t="str">
        <f t="shared" si="331"/>
        <v>400043432A</v>
      </c>
      <c r="E3211" s="309" t="str">
        <f>VLOOKUP($B3211,'D7 - NDB Impacted SPRF''s'!$E$6:$O$9929,2,FALSE)</f>
        <v>AmeriChoice Rebranding LTC impact</v>
      </c>
      <c r="F3211" s="8"/>
      <c r="G3211" s="8" t="s">
        <v>4758</v>
      </c>
      <c r="H3211" s="8" t="s">
        <v>5382</v>
      </c>
      <c r="I3211" s="20"/>
      <c r="J3211" s="8"/>
      <c r="K3211" s="182"/>
      <c r="L3211" s="8" t="s">
        <v>4156</v>
      </c>
      <c r="M3211" s="8" t="s">
        <v>2814</v>
      </c>
      <c r="N3211" s="38" t="s">
        <v>2741</v>
      </c>
      <c r="O3211" s="8"/>
      <c r="P3211" s="4" t="str">
        <f>VLOOKUP($B3211,'D7 - NDB Impacted SPRF''s'!$E$16:$O$9929,9,FALSE)</f>
        <v>N</v>
      </c>
      <c r="Q3211" s="4" t="str">
        <f>VLOOKUP($B3211,'D7 - NDB Impacted SPRF''s'!$E$16:$O$9929,10,FALSE)</f>
        <v>N</v>
      </c>
      <c r="R3211" s="4" t="str">
        <f>VLOOKUP($B3211,'D7 - NDB Impacted SPRF''s'!$E$16:$O$9929,11,FALSE)</f>
        <v>N</v>
      </c>
      <c r="S3211" s="8"/>
      <c r="T3211" s="310"/>
      <c r="U3211" s="310"/>
      <c r="V3211" s="4"/>
      <c r="W3211" s="4"/>
      <c r="X3211" s="4"/>
      <c r="Y3211" s="4"/>
      <c r="Z3211" s="4"/>
      <c r="AA3211" s="4"/>
      <c r="AB3211" s="380" t="str">
        <f>VLOOKUP($B3211,'D7 - NDB Impacted SPRF''s'!$E$6:$O$9929,4,FALSE)</f>
        <v>Completed</v>
      </c>
      <c r="AC3211" s="380" t="str">
        <f>VLOOKUP($B3211,'D7 - NDB Impacted SPRF''s'!$E$6:$O$9929,3,FALSE)</f>
        <v>UnitedHealthcare Community &amp; State</v>
      </c>
      <c r="AD3211" s="380" t="str">
        <f>VLOOKUP($B3211,'D7 - NDB Impacted SPRF''s'!$E$6:$O$9929,5,FALSE)</f>
        <v>Membership Growth / Revenue Programs</v>
      </c>
      <c r="AE3211" s="380" t="str">
        <f>VLOOKUP($B3211,'D7 - NDB Impacted SPRF''s'!$E$6:$O$9929,7,FALSE)</f>
        <v>Jim Donovan</v>
      </c>
      <c r="AF3211" s="380" t="str">
        <f>VLOOKUP($B3211,'D7 - NDB Impacted SPRF''s'!$E$6:$O$9929,6,FALSE)</f>
        <v>Oded Smilovici</v>
      </c>
      <c r="AG3211" s="282"/>
      <c r="AH3211" s="311" t="e">
        <f>INDEX('D5 - Gatekeeper - Projects'!$A$4:$AF$1010,$AM3211, 17)</f>
        <v>#N/A</v>
      </c>
      <c r="AI3211" s="8"/>
      <c r="AJ3211" s="57"/>
      <c r="AK3211" s="105"/>
      <c r="AM3211" s="6" t="e">
        <f>MATCH(D3211,'D5 - Gatekeeper - Projects'!$C$4:$C$1010,0)</f>
        <v>#N/A</v>
      </c>
      <c r="AN3211" s="6" t="b">
        <f t="shared" si="324"/>
        <v>1</v>
      </c>
      <c r="AO3211" s="6" t="str">
        <f t="shared" si="325"/>
        <v>OK</v>
      </c>
      <c r="AQ3211" s="6" t="e">
        <f>MATCH($D3211,'D4 - Provider Council Unsched'!$C$11:$C$234,0)</f>
        <v>#N/A</v>
      </c>
      <c r="AR3211" s="6" t="b">
        <f t="shared" si="326"/>
        <v>1</v>
      </c>
      <c r="AS3211" s="6" t="str">
        <f t="shared" si="330"/>
        <v>OK</v>
      </c>
      <c r="AU3211" s="202"/>
      <c r="AV3211" s="216"/>
      <c r="AW3211" s="274"/>
    </row>
    <row r="3212" spans="1:49" s="13" customFormat="1" ht="33.75" x14ac:dyDescent="0.2">
      <c r="A3212" s="14">
        <v>3185</v>
      </c>
      <c r="B3212" s="8">
        <v>400043737</v>
      </c>
      <c r="C3212" s="8" t="s">
        <v>1447</v>
      </c>
      <c r="D3212" s="4" t="str">
        <f t="shared" si="331"/>
        <v>400043737A</v>
      </c>
      <c r="E3212" s="309" t="str">
        <f>VLOOKUP($B3212,'D7 - NDB Impacted SPRF''s'!$E$6:$O$9929,2,FALSE)</f>
        <v>OneHealthPort SSO to UHCOnline</v>
      </c>
      <c r="F3212" s="8"/>
      <c r="G3212" s="8" t="s">
        <v>4758</v>
      </c>
      <c r="H3212" s="8" t="s">
        <v>5382</v>
      </c>
      <c r="I3212" s="20"/>
      <c r="J3212" s="8"/>
      <c r="K3212" s="182"/>
      <c r="L3212" s="8" t="s">
        <v>4156</v>
      </c>
      <c r="M3212" s="8" t="s">
        <v>2814</v>
      </c>
      <c r="N3212" s="38" t="s">
        <v>2302</v>
      </c>
      <c r="O3212" s="8"/>
      <c r="P3212" s="4" t="str">
        <f>VLOOKUP($B3212,'D7 - NDB Impacted SPRF''s'!$E$16:$O$9929,9,FALSE)</f>
        <v>N</v>
      </c>
      <c r="Q3212" s="4" t="str">
        <f>VLOOKUP($B3212,'D7 - NDB Impacted SPRF''s'!$E$16:$O$9929,10,FALSE)</f>
        <v>N</v>
      </c>
      <c r="R3212" s="4" t="str">
        <f>VLOOKUP($B3212,'D7 - NDB Impacted SPRF''s'!$E$16:$O$9929,11,FALSE)</f>
        <v>N</v>
      </c>
      <c r="S3212" s="8"/>
      <c r="T3212" s="310"/>
      <c r="U3212" s="310"/>
      <c r="V3212" s="4"/>
      <c r="W3212" s="4"/>
      <c r="X3212" s="4"/>
      <c r="Y3212" s="4"/>
      <c r="Z3212" s="4"/>
      <c r="AA3212" s="4"/>
      <c r="AB3212" s="380" t="str">
        <f>VLOOKUP($B3212,'D7 - NDB Impacted SPRF''s'!$E$6:$O$9929,4,FALSE)</f>
        <v>Completed</v>
      </c>
      <c r="AC3212" s="380" t="str">
        <f>VLOOKUP($B3212,'D7 - NDB Impacted SPRF''s'!$E$6:$O$9929,3,FALSE)</f>
        <v>UnitedHealthcare Employer &amp; Individual</v>
      </c>
      <c r="AD3212" s="380" t="str">
        <f>VLOOKUP($B3212,'D7 - NDB Impacted SPRF''s'!$E$6:$O$9929,5,FALSE)</f>
        <v>Customer Requirements</v>
      </c>
      <c r="AE3212" s="380" t="str">
        <f>VLOOKUP($B3212,'D7 - NDB Impacted SPRF''s'!$E$6:$O$9929,7,FALSE)</f>
        <v>Barbara Chandler</v>
      </c>
      <c r="AF3212" s="380" t="str">
        <f>VLOOKUP($B3212,'D7 - NDB Impacted SPRF''s'!$E$6:$O$9929,6,FALSE)</f>
        <v>Chris Kent</v>
      </c>
      <c r="AG3212" s="282"/>
      <c r="AH3212" s="311" t="e">
        <f>INDEX('D5 - Gatekeeper - Projects'!$A$4:$AF$1010,$AM3212, 17)</f>
        <v>#N/A</v>
      </c>
      <c r="AI3212" s="8"/>
      <c r="AJ3212" s="57"/>
      <c r="AK3212" s="105"/>
      <c r="AM3212" s="6" t="e">
        <f>MATCH(D3212,'D5 - Gatekeeper - Projects'!$C$4:$C$1010,0)</f>
        <v>#N/A</v>
      </c>
      <c r="AN3212" s="6" t="b">
        <f t="shared" si="324"/>
        <v>1</v>
      </c>
      <c r="AO3212" s="6" t="str">
        <f t="shared" si="325"/>
        <v>OK</v>
      </c>
      <c r="AQ3212" s="6" t="e">
        <f>MATCH($D3212,'D4 - Provider Council Unsched'!$C$11:$C$234,0)</f>
        <v>#N/A</v>
      </c>
      <c r="AR3212" s="6" t="b">
        <f t="shared" si="326"/>
        <v>1</v>
      </c>
      <c r="AS3212" s="6" t="str">
        <f t="shared" si="330"/>
        <v>OK</v>
      </c>
      <c r="AU3212" s="202"/>
      <c r="AV3212" s="216"/>
      <c r="AW3212" s="274"/>
    </row>
    <row r="3213" spans="1:49" s="13" customFormat="1" ht="33.75" x14ac:dyDescent="0.2">
      <c r="A3213" s="14">
        <v>3186</v>
      </c>
      <c r="B3213" s="8">
        <v>400044424</v>
      </c>
      <c r="C3213" s="8" t="s">
        <v>1447</v>
      </c>
      <c r="D3213" s="4" t="str">
        <f t="shared" si="331"/>
        <v>400044424A</v>
      </c>
      <c r="E3213" s="309" t="str">
        <f>VLOOKUP($B3213,'D7 - NDB Impacted SPRF''s'!$E$6:$O$9929,2,FALSE)</f>
        <v>ED – Resolution (PHS) Decommission - AO</v>
      </c>
      <c r="F3213" s="8"/>
      <c r="G3213" s="8" t="s">
        <v>4758</v>
      </c>
      <c r="H3213" s="8" t="s">
        <v>5382</v>
      </c>
      <c r="I3213" s="20"/>
      <c r="J3213" s="8"/>
      <c r="K3213" s="182"/>
      <c r="L3213" s="8" t="s">
        <v>4156</v>
      </c>
      <c r="M3213" s="8" t="s">
        <v>2814</v>
      </c>
      <c r="N3213" s="38" t="s">
        <v>2742</v>
      </c>
      <c r="O3213" s="8"/>
      <c r="P3213" s="4" t="str">
        <f>VLOOKUP($B3213,'D7 - NDB Impacted SPRF''s'!$E$16:$O$9929,9,FALSE)</f>
        <v>N</v>
      </c>
      <c r="Q3213" s="4" t="str">
        <f>VLOOKUP($B3213,'D7 - NDB Impacted SPRF''s'!$E$16:$O$9929,10,FALSE)</f>
        <v>N</v>
      </c>
      <c r="R3213" s="4" t="str">
        <f>VLOOKUP($B3213,'D7 - NDB Impacted SPRF''s'!$E$16:$O$9929,11,FALSE)</f>
        <v>N</v>
      </c>
      <c r="S3213" s="8"/>
      <c r="T3213" s="310"/>
      <c r="U3213" s="310"/>
      <c r="V3213" s="4"/>
      <c r="W3213" s="4"/>
      <c r="X3213" s="4"/>
      <c r="Y3213" s="4"/>
      <c r="Z3213" s="4"/>
      <c r="AA3213" s="4"/>
      <c r="AB3213" s="380" t="str">
        <f>VLOOKUP($B3213,'D7 - NDB Impacted SPRF''s'!$E$6:$O$9929,4,FALSE)</f>
        <v>Completed</v>
      </c>
      <c r="AC3213" s="380" t="str">
        <f>VLOOKUP($B3213,'D7 - NDB Impacted SPRF''s'!$E$6:$O$9929,3,FALSE)</f>
        <v>UHG IT - Shared Services</v>
      </c>
      <c r="AD3213" s="380" t="str">
        <f>VLOOKUP($B3213,'D7 - NDB Impacted SPRF''s'!$E$6:$O$9929,5,FALSE)</f>
        <v>Strategic Initiatives</v>
      </c>
      <c r="AE3213" s="380" t="str">
        <f>VLOOKUP($B3213,'D7 - NDB Impacted SPRF''s'!$E$6:$O$9929,7,FALSE)</f>
        <v>Kevin Cogle</v>
      </c>
      <c r="AF3213" s="380" t="str">
        <f>VLOOKUP($B3213,'D7 - NDB Impacted SPRF''s'!$E$6:$O$9929,6,FALSE)</f>
        <v>PATRICK TIMA</v>
      </c>
      <c r="AG3213" s="282"/>
      <c r="AH3213" s="311" t="e">
        <f>INDEX('D5 - Gatekeeper - Projects'!$A$4:$AF$1010,$AM3213, 17)</f>
        <v>#N/A</v>
      </c>
      <c r="AI3213" s="8"/>
      <c r="AJ3213" s="57"/>
      <c r="AK3213" s="105"/>
      <c r="AM3213" s="6" t="e">
        <f>MATCH(D3213,'D5 - Gatekeeper - Projects'!$C$4:$C$1010,0)</f>
        <v>#N/A</v>
      </c>
      <c r="AN3213" s="6" t="b">
        <f t="shared" si="324"/>
        <v>1</v>
      </c>
      <c r="AO3213" s="6" t="str">
        <f t="shared" si="325"/>
        <v>OK</v>
      </c>
      <c r="AQ3213" s="6" t="e">
        <f>MATCH($D3213,'D4 - Provider Council Unsched'!$C$11:$C$234,0)</f>
        <v>#N/A</v>
      </c>
      <c r="AR3213" s="6" t="b">
        <f t="shared" si="326"/>
        <v>1</v>
      </c>
      <c r="AS3213" s="6" t="str">
        <f t="shared" si="330"/>
        <v>OK</v>
      </c>
      <c r="AU3213" s="202"/>
      <c r="AV3213" s="216"/>
      <c r="AW3213" s="287"/>
    </row>
    <row r="3214" spans="1:49" s="13" customFormat="1" ht="33.75" x14ac:dyDescent="0.2">
      <c r="A3214" s="14">
        <v>3187</v>
      </c>
      <c r="B3214" s="8">
        <v>400044447</v>
      </c>
      <c r="C3214" s="8" t="s">
        <v>1447</v>
      </c>
      <c r="D3214" s="4" t="str">
        <f t="shared" si="331"/>
        <v>400044447A</v>
      </c>
      <c r="E3214" s="309" t="str">
        <f>VLOOKUP($B3214,'D7 - NDB Impacted SPRF''s'!$E$6:$O$9929,2,FALSE)</f>
        <v>C&amp;S New Mexico Provider Data Repository</v>
      </c>
      <c r="F3214" s="8"/>
      <c r="G3214" s="8" t="s">
        <v>4758</v>
      </c>
      <c r="H3214" s="8" t="s">
        <v>5382</v>
      </c>
      <c r="I3214" s="20"/>
      <c r="J3214" s="8"/>
      <c r="K3214" s="182"/>
      <c r="L3214" s="8" t="s">
        <v>4156</v>
      </c>
      <c r="M3214" s="8" t="s">
        <v>2814</v>
      </c>
      <c r="N3214" s="38" t="s">
        <v>5460</v>
      </c>
      <c r="O3214" s="8"/>
      <c r="P3214" s="4" t="str">
        <f>VLOOKUP($B3214,'D7 - NDB Impacted SPRF''s'!$E$16:$O$9929,9,FALSE)</f>
        <v>N</v>
      </c>
      <c r="Q3214" s="4" t="str">
        <f>VLOOKUP($B3214,'D7 - NDB Impacted SPRF''s'!$E$16:$O$9929,10,FALSE)</f>
        <v>N</v>
      </c>
      <c r="R3214" s="4" t="str">
        <f>VLOOKUP($B3214,'D7 - NDB Impacted SPRF''s'!$E$16:$O$9929,11,FALSE)</f>
        <v>N</v>
      </c>
      <c r="S3214" s="8"/>
      <c r="T3214" s="310"/>
      <c r="U3214" s="310"/>
      <c r="V3214" s="4"/>
      <c r="W3214" s="4"/>
      <c r="X3214" s="4"/>
      <c r="Y3214" s="4"/>
      <c r="Z3214" s="4"/>
      <c r="AA3214" s="4"/>
      <c r="AB3214" s="380" t="str">
        <f>VLOOKUP($B3214,'D7 - NDB Impacted SPRF''s'!$E$6:$O$9929,4,FALSE)</f>
        <v>Scheduled</v>
      </c>
      <c r="AC3214" s="380" t="str">
        <f>VLOOKUP($B3214,'D7 - NDB Impacted SPRF''s'!$E$6:$O$9929,3,FALSE)</f>
        <v>UnitedHealthcare Community &amp; State</v>
      </c>
      <c r="AD3214" s="380" t="str">
        <f>VLOOKUP($B3214,'D7 - NDB Impacted SPRF''s'!$E$6:$O$9929,5,FALSE)</f>
        <v>ABD/LTC Regulatory Projects 01-53260-000</v>
      </c>
      <c r="AE3214" s="380" t="str">
        <f>VLOOKUP($B3214,'D7 - NDB Impacted SPRF''s'!$E$6:$O$9929,7,FALSE)</f>
        <v>Paul Balthazor</v>
      </c>
      <c r="AF3214" s="380" t="str">
        <f>VLOOKUP($B3214,'D7 - NDB Impacted SPRF''s'!$E$6:$O$9929,6,FALSE)</f>
        <v>ELIZABETH Young</v>
      </c>
      <c r="AG3214" s="282"/>
      <c r="AH3214" s="311" t="e">
        <f>INDEX('D5 - Gatekeeper - Projects'!$A$4:$AF$1010,$AM3214, 17)</f>
        <v>#N/A</v>
      </c>
      <c r="AI3214" s="8"/>
      <c r="AJ3214" s="57"/>
      <c r="AK3214" s="105"/>
      <c r="AM3214" s="6" t="e">
        <f>MATCH(D3214,'D5 - Gatekeeper - Projects'!$C$4:$C$1010,0)</f>
        <v>#N/A</v>
      </c>
      <c r="AN3214" s="6" t="b">
        <f t="shared" ref="AN3214:AN3277" si="332">ISERROR(AM3214)</f>
        <v>1</v>
      </c>
      <c r="AO3214" s="6" t="str">
        <f t="shared" ref="AO3214:AO3277" si="333">IF(AND(H3214="1 - Scheduled",AN3214=TRUE),"Add","OK")</f>
        <v>OK</v>
      </c>
      <c r="AQ3214" s="6" t="e">
        <f>MATCH($D3214,'D4 - Provider Council Unsched'!$C$11:$C$234,0)</f>
        <v>#N/A</v>
      </c>
      <c r="AR3214" s="6" t="b">
        <f t="shared" ref="AR3214:AR3277" si="334">ISERROR(AQ3214)</f>
        <v>1</v>
      </c>
      <c r="AS3214" s="6" t="str">
        <f t="shared" si="330"/>
        <v>OK</v>
      </c>
      <c r="AU3214" s="202"/>
      <c r="AV3214" s="216" t="s">
        <v>473</v>
      </c>
      <c r="AW3214" s="274">
        <v>39081</v>
      </c>
    </row>
    <row r="3215" spans="1:49" s="13" customFormat="1" ht="33.75" x14ac:dyDescent="0.2">
      <c r="A3215" s="14">
        <v>3188</v>
      </c>
      <c r="B3215" s="8">
        <v>400044588</v>
      </c>
      <c r="C3215" s="8" t="s">
        <v>1447</v>
      </c>
      <c r="D3215" s="4" t="str">
        <f t="shared" si="331"/>
        <v>400044588A</v>
      </c>
      <c r="E3215" s="309" t="str">
        <f>VLOOKUP($B3215,'D7 - NDB Impacted SPRF''s'!$E$6:$O$9929,2,FALSE)</f>
        <v>UHC West - CarePlanner to ICUE Capability Release</v>
      </c>
      <c r="F3215" s="8"/>
      <c r="G3215" s="8" t="s">
        <v>4758</v>
      </c>
      <c r="H3215" s="8" t="s">
        <v>5382</v>
      </c>
      <c r="I3215" s="20"/>
      <c r="J3215" s="8"/>
      <c r="K3215" s="182"/>
      <c r="L3215" s="8" t="s">
        <v>4156</v>
      </c>
      <c r="M3215" s="8" t="s">
        <v>2814</v>
      </c>
      <c r="N3215" s="38" t="s">
        <v>426</v>
      </c>
      <c r="O3215" s="8"/>
      <c r="P3215" s="4" t="str">
        <f>VLOOKUP($B3215,'D7 - NDB Impacted SPRF''s'!$E$16:$O$9929,9,FALSE)</f>
        <v>Y</v>
      </c>
      <c r="Q3215" s="4" t="str">
        <f>VLOOKUP($B3215,'D7 - NDB Impacted SPRF''s'!$E$16:$O$9929,10,FALSE)</f>
        <v>N</v>
      </c>
      <c r="R3215" s="4" t="str">
        <f>VLOOKUP($B3215,'D7 - NDB Impacted SPRF''s'!$E$16:$O$9929,11,FALSE)</f>
        <v>N</v>
      </c>
      <c r="S3215" s="8"/>
      <c r="T3215" s="310"/>
      <c r="U3215" s="310"/>
      <c r="V3215" s="4"/>
      <c r="W3215" s="4"/>
      <c r="X3215" s="4"/>
      <c r="Y3215" s="4"/>
      <c r="Z3215" s="4"/>
      <c r="AA3215" s="4"/>
      <c r="AB3215" s="380" t="str">
        <f>VLOOKUP($B3215,'D7 - NDB Impacted SPRF''s'!$E$6:$O$9929,4,FALSE)</f>
        <v>Scheduled</v>
      </c>
      <c r="AC3215" s="380" t="str">
        <f>VLOOKUP($B3215,'D7 - NDB Impacted SPRF''s'!$E$6:$O$9929,3,FALSE)</f>
        <v>UnitedHealthcare Employer &amp; Individual</v>
      </c>
      <c r="AD3215" s="380" t="str">
        <f>VLOOKUP($B3215,'D7 - NDB Impacted SPRF''s'!$E$6:$O$9929,5,FALSE)</f>
        <v>Medical Cost Savings Programs</v>
      </c>
      <c r="AE3215" s="380" t="str">
        <f>VLOOKUP($B3215,'D7 - NDB Impacted SPRF''s'!$E$6:$O$9929,7,FALSE)</f>
        <v>Ellen Koch</v>
      </c>
      <c r="AF3215" s="380" t="str">
        <f>VLOOKUP($B3215,'D7 - NDB Impacted SPRF''s'!$E$6:$O$9929,6,FALSE)</f>
        <v>Carol Buske</v>
      </c>
      <c r="AG3215" s="282"/>
      <c r="AH3215" s="311" t="e">
        <f>INDEX('D5 - Gatekeeper - Projects'!$A$4:$AF$1010,$AM3215, 17)</f>
        <v>#N/A</v>
      </c>
      <c r="AI3215" s="8"/>
      <c r="AJ3215" s="57"/>
      <c r="AK3215" s="105"/>
      <c r="AM3215" s="6" t="e">
        <f>MATCH(D3215,'D5 - Gatekeeper - Projects'!$C$4:$C$1010,0)</f>
        <v>#N/A</v>
      </c>
      <c r="AN3215" s="6" t="b">
        <f t="shared" si="332"/>
        <v>1</v>
      </c>
      <c r="AO3215" s="6" t="str">
        <f t="shared" si="333"/>
        <v>OK</v>
      </c>
      <c r="AQ3215" s="6" t="e">
        <f>MATCH($D3215,'D4 - Provider Council Unsched'!$C$11:$C$234,0)</f>
        <v>#N/A</v>
      </c>
      <c r="AR3215" s="6" t="b">
        <f t="shared" si="334"/>
        <v>1</v>
      </c>
      <c r="AS3215" s="6" t="str">
        <f t="shared" si="330"/>
        <v>OK</v>
      </c>
      <c r="AU3215" s="202"/>
      <c r="AV3215" s="216" t="s">
        <v>436</v>
      </c>
      <c r="AW3215" s="274">
        <v>60384</v>
      </c>
    </row>
    <row r="3216" spans="1:49" s="13" customFormat="1" ht="22.5" x14ac:dyDescent="0.2">
      <c r="A3216" s="14">
        <v>3189</v>
      </c>
      <c r="B3216" s="8">
        <v>400044642</v>
      </c>
      <c r="C3216" s="8" t="s">
        <v>1447</v>
      </c>
      <c r="D3216" s="4" t="str">
        <f t="shared" si="331"/>
        <v>400044642A</v>
      </c>
      <c r="E3216" s="309" t="str">
        <f>VLOOKUP($B3216,'D7 - NDB Impacted SPRF''s'!$E$6:$O$9929,2,FALSE)</f>
        <v>TBS Provider Workflow - PEGA Development</v>
      </c>
      <c r="F3216" s="8"/>
      <c r="G3216" s="8" t="s">
        <v>4758</v>
      </c>
      <c r="H3216" s="8" t="s">
        <v>5382</v>
      </c>
      <c r="I3216" s="20"/>
      <c r="J3216" s="8"/>
      <c r="K3216" s="182"/>
      <c r="L3216" s="8" t="s">
        <v>4156</v>
      </c>
      <c r="M3216" s="8" t="s">
        <v>2814</v>
      </c>
      <c r="N3216" s="38" t="s">
        <v>1338</v>
      </c>
      <c r="O3216" s="8"/>
      <c r="P3216" s="4" t="str">
        <f>VLOOKUP($B3216,'D7 - NDB Impacted SPRF''s'!$E$16:$O$9929,9,FALSE)</f>
        <v>N</v>
      </c>
      <c r="Q3216" s="4" t="str">
        <f>VLOOKUP($B3216,'D7 - NDB Impacted SPRF''s'!$E$16:$O$9929,10,FALSE)</f>
        <v>N</v>
      </c>
      <c r="R3216" s="4" t="str">
        <f>VLOOKUP($B3216,'D7 - NDB Impacted SPRF''s'!$E$16:$O$9929,11,FALSE)</f>
        <v>N</v>
      </c>
      <c r="S3216" s="8"/>
      <c r="T3216" s="310"/>
      <c r="U3216" s="310"/>
      <c r="V3216" s="4"/>
      <c r="W3216" s="4"/>
      <c r="X3216" s="4"/>
      <c r="Y3216" s="4"/>
      <c r="Z3216" s="4"/>
      <c r="AA3216" s="4"/>
      <c r="AB3216" s="380" t="str">
        <f>VLOOKUP($B3216,'D7 - NDB Impacted SPRF''s'!$E$6:$O$9929,4,FALSE)</f>
        <v>Return to Requestor</v>
      </c>
      <c r="AC3216" s="380" t="str">
        <f>VLOOKUP($B3216,'D7 - NDB Impacted SPRF''s'!$E$6:$O$9929,3,FALSE)</f>
        <v>OptumHealth</v>
      </c>
      <c r="AD3216" s="380" t="str">
        <f>VLOOKUP($B3216,'D7 - NDB Impacted SPRF''s'!$E$6:$O$9929,5,FALSE)</f>
        <v>Behavioral Solutions</v>
      </c>
      <c r="AE3216" s="380" t="str">
        <f>VLOOKUP($B3216,'D7 - NDB Impacted SPRF''s'!$E$6:$O$9929,7,FALSE)</f>
        <v>Deb Adler</v>
      </c>
      <c r="AF3216" s="380" t="str">
        <f>VLOOKUP($B3216,'D7 - NDB Impacted SPRF''s'!$E$6:$O$9929,6,FALSE)</f>
        <v xml:space="preserve">Karen Riley </v>
      </c>
      <c r="AG3216" s="282"/>
      <c r="AH3216" s="311" t="e">
        <f>INDEX('D5 - Gatekeeper - Projects'!$A$4:$AF$1010,$AM3216, 17)</f>
        <v>#N/A</v>
      </c>
      <c r="AI3216" s="8"/>
      <c r="AJ3216" s="57"/>
      <c r="AK3216" s="105"/>
      <c r="AM3216" s="6" t="e">
        <f>MATCH(D3216,'D5 - Gatekeeper - Projects'!$C$4:$C$1010,0)</f>
        <v>#N/A</v>
      </c>
      <c r="AN3216" s="6" t="b">
        <f t="shared" si="332"/>
        <v>1</v>
      </c>
      <c r="AO3216" s="6" t="str">
        <f t="shared" si="333"/>
        <v>OK</v>
      </c>
      <c r="AQ3216" s="6" t="e">
        <f>MATCH($D3216,'D4 - Provider Council Unsched'!$C$11:$C$234,0)</f>
        <v>#N/A</v>
      </c>
      <c r="AR3216" s="6" t="b">
        <f t="shared" si="334"/>
        <v>1</v>
      </c>
      <c r="AS3216" s="6" t="str">
        <f t="shared" ref="AS3216:AS3247" si="335">IF(AND(H3216="2 - Not Scheduled",AR3216=TRUE,C3216="R1"),"Add","OK")</f>
        <v>OK</v>
      </c>
      <c r="AU3216" s="202"/>
      <c r="AV3216" s="216"/>
      <c r="AW3216" s="274">
        <v>39492</v>
      </c>
    </row>
    <row r="3217" spans="1:49" s="13" customFormat="1" ht="22.5" x14ac:dyDescent="0.2">
      <c r="A3217" s="14">
        <v>3190</v>
      </c>
      <c r="B3217" s="8">
        <v>400044763</v>
      </c>
      <c r="C3217" s="8" t="s">
        <v>1447</v>
      </c>
      <c r="D3217" s="4" t="str">
        <f t="shared" ref="D3217:D3248" si="336">CONCATENATE(B3217,C3217)</f>
        <v>400044763A</v>
      </c>
      <c r="E3217" s="309" t="e">
        <f>VLOOKUP($B3217,'D7 - NDB Impacted SPRF''s'!$E$6:$O$9929,2,FALSE)</f>
        <v>#N/A</v>
      </c>
      <c r="F3217" s="8"/>
      <c r="G3217" s="8" t="s">
        <v>4758</v>
      </c>
      <c r="H3217" s="8" t="s">
        <v>5382</v>
      </c>
      <c r="I3217" s="20"/>
      <c r="J3217" s="8"/>
      <c r="K3217" s="182"/>
      <c r="L3217" s="8" t="s">
        <v>4156</v>
      </c>
      <c r="M3217" s="8" t="s">
        <v>2814</v>
      </c>
      <c r="N3217" s="38" t="s">
        <v>1682</v>
      </c>
      <c r="O3217" s="8"/>
      <c r="P3217" s="4" t="e">
        <f>VLOOKUP($B3217,'D7 - NDB Impacted SPRF''s'!$E$16:$O$9929,9,FALSE)</f>
        <v>#N/A</v>
      </c>
      <c r="Q3217" s="4" t="e">
        <f>VLOOKUP($B3217,'D7 - NDB Impacted SPRF''s'!$E$16:$O$9929,10,FALSE)</f>
        <v>#N/A</v>
      </c>
      <c r="R3217" s="4" t="e">
        <f>VLOOKUP($B3217,'D7 - NDB Impacted SPRF''s'!$E$16:$O$9929,11,FALSE)</f>
        <v>#N/A</v>
      </c>
      <c r="S3217" s="8"/>
      <c r="T3217" s="310"/>
      <c r="U3217" s="310"/>
      <c r="V3217" s="4"/>
      <c r="W3217" s="4"/>
      <c r="X3217" s="4"/>
      <c r="Y3217" s="4"/>
      <c r="Z3217" s="4"/>
      <c r="AA3217" s="4"/>
      <c r="AB3217" s="380" t="e">
        <f>VLOOKUP($B3217,'D7 - NDB Impacted SPRF''s'!$E$6:$O$9929,4,FALSE)</f>
        <v>#N/A</v>
      </c>
      <c r="AC3217" s="380" t="e">
        <f>VLOOKUP($B3217,'D7 - NDB Impacted SPRF''s'!$E$6:$O$9929,3,FALSE)</f>
        <v>#N/A</v>
      </c>
      <c r="AD3217" s="380" t="e">
        <f>VLOOKUP($B3217,'D7 - NDB Impacted SPRF''s'!$E$6:$O$9929,5,FALSE)</f>
        <v>#N/A</v>
      </c>
      <c r="AE3217" s="380" t="e">
        <f>VLOOKUP($B3217,'D7 - NDB Impacted SPRF''s'!$E$6:$O$9929,7,FALSE)</f>
        <v>#N/A</v>
      </c>
      <c r="AF3217" s="380" t="e">
        <f>VLOOKUP($B3217,'D7 - NDB Impacted SPRF''s'!$E$6:$O$9929,6,FALSE)</f>
        <v>#N/A</v>
      </c>
      <c r="AG3217" s="282"/>
      <c r="AH3217" s="311" t="e">
        <f>INDEX('D5 - Gatekeeper - Projects'!$A$4:$AF$1010,$AM3217, 17)</f>
        <v>#N/A</v>
      </c>
      <c r="AI3217" s="8"/>
      <c r="AJ3217" s="57"/>
      <c r="AK3217" s="105"/>
      <c r="AM3217" s="6" t="e">
        <f>MATCH(D3217,'D5 - Gatekeeper - Projects'!$C$4:$C$1010,0)</f>
        <v>#N/A</v>
      </c>
      <c r="AN3217" s="6" t="b">
        <f t="shared" si="332"/>
        <v>1</v>
      </c>
      <c r="AO3217" s="6" t="str">
        <f t="shared" si="333"/>
        <v>OK</v>
      </c>
      <c r="AQ3217" s="6" t="e">
        <f>MATCH($D3217,'D4 - Provider Council Unsched'!$C$11:$C$234,0)</f>
        <v>#N/A</v>
      </c>
      <c r="AR3217" s="6" t="b">
        <f t="shared" si="334"/>
        <v>1</v>
      </c>
      <c r="AS3217" s="6" t="str">
        <f t="shared" si="335"/>
        <v>OK</v>
      </c>
      <c r="AU3217" s="202"/>
      <c r="AV3217" s="262"/>
      <c r="AW3217" s="274"/>
    </row>
    <row r="3218" spans="1:49" s="13" customFormat="1" ht="33.75" x14ac:dyDescent="0.2">
      <c r="A3218" s="14">
        <v>3191</v>
      </c>
      <c r="B3218" s="8">
        <v>400045111</v>
      </c>
      <c r="C3218" s="8" t="s">
        <v>1447</v>
      </c>
      <c r="D3218" s="4" t="str">
        <f t="shared" si="336"/>
        <v>400045111A</v>
      </c>
      <c r="E3218" s="309" t="str">
        <f>VLOOKUP($B3218,'D7 - NDB Impacted SPRF''s'!$E$6:$O$9929,2,FALSE)</f>
        <v>HIPAA 5010 B2B rejection of 4010 trans. in 2012</v>
      </c>
      <c r="F3218" s="8"/>
      <c r="G3218" s="8" t="s">
        <v>4758</v>
      </c>
      <c r="H3218" s="8" t="s">
        <v>5382</v>
      </c>
      <c r="I3218" s="20"/>
      <c r="J3218" s="8"/>
      <c r="K3218" s="182"/>
      <c r="L3218" s="8" t="s">
        <v>4156</v>
      </c>
      <c r="M3218" s="8" t="s">
        <v>2814</v>
      </c>
      <c r="N3218" s="38" t="s">
        <v>1332</v>
      </c>
      <c r="O3218" s="8"/>
      <c r="P3218" s="4" t="str">
        <f>VLOOKUP($B3218,'D7 - NDB Impacted SPRF''s'!$E$16:$O$9929,9,FALSE)</f>
        <v>N</v>
      </c>
      <c r="Q3218" s="4" t="str">
        <f>VLOOKUP($B3218,'D7 - NDB Impacted SPRF''s'!$E$16:$O$9929,10,FALSE)</f>
        <v>N</v>
      </c>
      <c r="R3218" s="4" t="str">
        <f>VLOOKUP($B3218,'D7 - NDB Impacted SPRF''s'!$E$16:$O$9929,11,FALSE)</f>
        <v>Y</v>
      </c>
      <c r="S3218" s="8"/>
      <c r="T3218" s="310"/>
      <c r="U3218" s="310"/>
      <c r="V3218" s="4"/>
      <c r="W3218" s="4"/>
      <c r="X3218" s="4"/>
      <c r="Y3218" s="4"/>
      <c r="Z3218" s="4"/>
      <c r="AA3218" s="4"/>
      <c r="AB3218" s="380" t="str">
        <f>VLOOKUP($B3218,'D7 - NDB Impacted SPRF''s'!$E$6:$O$9929,4,FALSE)</f>
        <v>In Estimating</v>
      </c>
      <c r="AC3218" s="380" t="str">
        <f>VLOOKUP($B3218,'D7 - NDB Impacted SPRF''s'!$E$6:$O$9929,3,FALSE)</f>
        <v>UnitedHealthcare Employer &amp; Individual</v>
      </c>
      <c r="AD3218" s="380" t="str">
        <f>VLOOKUP($B3218,'D7 - NDB Impacted SPRF''s'!$E$6:$O$9929,5,FALSE)</f>
        <v>5010 - Base Compliance</v>
      </c>
      <c r="AE3218" s="380" t="str">
        <f>VLOOKUP($B3218,'D7 - NDB Impacted SPRF''s'!$E$6:$O$9929,7,FALSE)</f>
        <v>Tim Kaja</v>
      </c>
      <c r="AF3218" s="380" t="str">
        <f>VLOOKUP($B3218,'D7 - NDB Impacted SPRF''s'!$E$6:$O$9929,6,FALSE)</f>
        <v>KIMBERLY DOWNS</v>
      </c>
      <c r="AG3218" s="282"/>
      <c r="AH3218" s="311" t="e">
        <f>INDEX('D5 - Gatekeeper - Projects'!$A$4:$AF$1010,$AM3218, 17)</f>
        <v>#N/A</v>
      </c>
      <c r="AI3218" s="8"/>
      <c r="AJ3218" s="57"/>
      <c r="AK3218" s="105"/>
      <c r="AM3218" s="6" t="e">
        <f>MATCH(D3218,'D5 - Gatekeeper - Projects'!$C$4:$C$1010,0)</f>
        <v>#N/A</v>
      </c>
      <c r="AN3218" s="6" t="b">
        <f t="shared" si="332"/>
        <v>1</v>
      </c>
      <c r="AO3218" s="6" t="str">
        <f t="shared" si="333"/>
        <v>OK</v>
      </c>
      <c r="AQ3218" s="6" t="e">
        <f>MATCH($D3218,'D4 - Provider Council Unsched'!$C$11:$C$234,0)</f>
        <v>#N/A</v>
      </c>
      <c r="AR3218" s="6" t="b">
        <f t="shared" si="334"/>
        <v>1</v>
      </c>
      <c r="AS3218" s="6" t="str">
        <f t="shared" si="335"/>
        <v>OK</v>
      </c>
      <c r="AU3218" s="202"/>
      <c r="AV3218" s="216"/>
      <c r="AW3218" s="274">
        <v>41587</v>
      </c>
    </row>
    <row r="3219" spans="1:49" s="13" customFormat="1" ht="22.5" x14ac:dyDescent="0.2">
      <c r="A3219" s="14">
        <v>3192</v>
      </c>
      <c r="B3219" s="8">
        <v>400045336</v>
      </c>
      <c r="C3219" s="8" t="s">
        <v>1447</v>
      </c>
      <c r="D3219" s="4" t="str">
        <f t="shared" si="336"/>
        <v>400045336A</v>
      </c>
      <c r="E3219" s="309" t="str">
        <f>VLOOKUP($B3219,'D7 - NDB Impacted SPRF''s'!$E$6:$O$9929,2,FALSE)</f>
        <v>IRIS HIPAA 5010 OptumRx 835 &amp; 837P</v>
      </c>
      <c r="F3219" s="8"/>
      <c r="G3219" s="8" t="s">
        <v>4758</v>
      </c>
      <c r="H3219" s="8" t="s">
        <v>5382</v>
      </c>
      <c r="I3219" s="20"/>
      <c r="J3219" s="8"/>
      <c r="K3219" s="182"/>
      <c r="L3219" s="8" t="s">
        <v>4156</v>
      </c>
      <c r="M3219" s="8" t="s">
        <v>2814</v>
      </c>
      <c r="N3219" s="38" t="s">
        <v>511</v>
      </c>
      <c r="O3219" s="8"/>
      <c r="P3219" s="4" t="str">
        <f>VLOOKUP($B3219,'D7 - NDB Impacted SPRF''s'!$E$16:$O$9929,9,FALSE)</f>
        <v>N</v>
      </c>
      <c r="Q3219" s="4" t="str">
        <f>VLOOKUP($B3219,'D7 - NDB Impacted SPRF''s'!$E$16:$O$9929,10,FALSE)</f>
        <v>N</v>
      </c>
      <c r="R3219" s="4" t="str">
        <f>VLOOKUP($B3219,'D7 - NDB Impacted SPRF''s'!$E$16:$O$9929,11,FALSE)</f>
        <v>Y</v>
      </c>
      <c r="S3219" s="8"/>
      <c r="T3219" s="310"/>
      <c r="U3219" s="310"/>
      <c r="V3219" s="4"/>
      <c r="W3219" s="4"/>
      <c r="X3219" s="4"/>
      <c r="Y3219" s="4"/>
      <c r="Z3219" s="4"/>
      <c r="AA3219" s="4"/>
      <c r="AB3219" s="380" t="str">
        <f>VLOOKUP($B3219,'D7 - NDB Impacted SPRF''s'!$E$6:$O$9929,4,FALSE)</f>
        <v>Scheduled</v>
      </c>
      <c r="AC3219" s="380" t="str">
        <f>VLOOKUP($B3219,'D7 - NDB Impacted SPRF''s'!$E$6:$O$9929,3,FALSE)</f>
        <v>OptumRx</v>
      </c>
      <c r="AD3219" s="380" t="str">
        <f>VLOOKUP($B3219,'D7 - NDB Impacted SPRF''s'!$E$6:$O$9929,5,FALSE)</f>
        <v>HIPAA 5010</v>
      </c>
      <c r="AE3219" s="380" t="str">
        <f>VLOOKUP($B3219,'D7 - NDB Impacted SPRF''s'!$E$6:$O$9929,7,FALSE)</f>
        <v>Correia, Randell J</v>
      </c>
      <c r="AF3219" s="380" t="str">
        <f>VLOOKUP($B3219,'D7 - NDB Impacted SPRF''s'!$E$6:$O$9929,6,FALSE)</f>
        <v>JOSEPH TISCHIO</v>
      </c>
      <c r="AG3219" s="282"/>
      <c r="AH3219" s="311" t="e">
        <f>INDEX('D5 - Gatekeeper - Projects'!$A$4:$AF$1010,$AM3219, 17)</f>
        <v>#N/A</v>
      </c>
      <c r="AI3219" s="8"/>
      <c r="AJ3219" s="57"/>
      <c r="AK3219" s="105"/>
      <c r="AM3219" s="6" t="e">
        <f>MATCH(D3219,'D5 - Gatekeeper - Projects'!$C$4:$C$1010,0)</f>
        <v>#N/A</v>
      </c>
      <c r="AN3219" s="6" t="b">
        <f t="shared" si="332"/>
        <v>1</v>
      </c>
      <c r="AO3219" s="6" t="str">
        <f t="shared" si="333"/>
        <v>OK</v>
      </c>
      <c r="AQ3219" s="6" t="e">
        <f>MATCH($D3219,'D4 - Provider Council Unsched'!$C$11:$C$234,0)</f>
        <v>#N/A</v>
      </c>
      <c r="AR3219" s="6" t="b">
        <f t="shared" si="334"/>
        <v>1</v>
      </c>
      <c r="AS3219" s="6" t="str">
        <f t="shared" si="335"/>
        <v>OK</v>
      </c>
      <c r="AU3219" s="202"/>
      <c r="AV3219" s="216" t="s">
        <v>482</v>
      </c>
      <c r="AW3219" s="274"/>
    </row>
    <row r="3220" spans="1:49" s="13" customFormat="1" ht="22.5" x14ac:dyDescent="0.2">
      <c r="A3220" s="14">
        <v>3193</v>
      </c>
      <c r="B3220" s="8">
        <v>400045474</v>
      </c>
      <c r="C3220" s="8" t="s">
        <v>1447</v>
      </c>
      <c r="D3220" s="4" t="str">
        <f t="shared" si="336"/>
        <v>400045474A</v>
      </c>
      <c r="E3220" s="309" t="str">
        <f>VLOOKUP($B3220,'D7 - NDB Impacted SPRF''s'!$E$6:$O$9929,2,FALSE)</f>
        <v>UBH Nice Facets exchange</v>
      </c>
      <c r="F3220" s="8"/>
      <c r="G3220" s="8" t="s">
        <v>4758</v>
      </c>
      <c r="H3220" s="8" t="s">
        <v>5382</v>
      </c>
      <c r="I3220" s="20"/>
      <c r="J3220" s="8"/>
      <c r="K3220" s="182"/>
      <c r="L3220" s="8" t="s">
        <v>4156</v>
      </c>
      <c r="M3220" s="8" t="s">
        <v>2814</v>
      </c>
      <c r="N3220" s="38" t="s">
        <v>6510</v>
      </c>
      <c r="O3220" s="8"/>
      <c r="P3220" s="4" t="str">
        <f>VLOOKUP($B3220,'D7 - NDB Impacted SPRF''s'!$E$16:$O$9929,9,FALSE)</f>
        <v>N</v>
      </c>
      <c r="Q3220" s="4" t="str">
        <f>VLOOKUP($B3220,'D7 - NDB Impacted SPRF''s'!$E$16:$O$9929,10,FALSE)</f>
        <v>N</v>
      </c>
      <c r="R3220" s="4" t="str">
        <f>VLOOKUP($B3220,'D7 - NDB Impacted SPRF''s'!$E$16:$O$9929,11,FALSE)</f>
        <v>N</v>
      </c>
      <c r="S3220" s="8"/>
      <c r="T3220" s="310"/>
      <c r="U3220" s="310"/>
      <c r="V3220" s="4"/>
      <c r="W3220" s="4"/>
      <c r="X3220" s="4"/>
      <c r="Y3220" s="4"/>
      <c r="Z3220" s="4"/>
      <c r="AA3220" s="4"/>
      <c r="AB3220" s="380" t="str">
        <f>VLOOKUP($B3220,'D7 - NDB Impacted SPRF''s'!$E$6:$O$9929,4,FALSE)</f>
        <v>Scheduled</v>
      </c>
      <c r="AC3220" s="380" t="str">
        <f>VLOOKUP($B3220,'D7 - NDB Impacted SPRF''s'!$E$6:$O$9929,3,FALSE)</f>
        <v>OptumHealth</v>
      </c>
      <c r="AD3220" s="380" t="str">
        <f>VLOOKUP($B3220,'D7 - NDB Impacted SPRF''s'!$E$6:$O$9929,5,FALSE)</f>
        <v>Behavioral Solutions</v>
      </c>
      <c r="AE3220" s="380" t="str">
        <f>VLOOKUP($B3220,'D7 - NDB Impacted SPRF''s'!$E$6:$O$9929,7,FALSE)</f>
        <v>Melissa Sutherland</v>
      </c>
      <c r="AF3220" s="380" t="str">
        <f>VLOOKUP($B3220,'D7 - NDB Impacted SPRF''s'!$E$6:$O$9929,6,FALSE)</f>
        <v>Melissa Kopp</v>
      </c>
      <c r="AG3220" s="282"/>
      <c r="AH3220" s="311" t="e">
        <f>INDEX('D5 - Gatekeeper - Projects'!$A$4:$AF$1010,$AM3220, 17)</f>
        <v>#N/A</v>
      </c>
      <c r="AI3220" s="8"/>
      <c r="AJ3220" s="57"/>
      <c r="AK3220" s="105"/>
      <c r="AM3220" s="6" t="e">
        <f>MATCH(D3220,'D5 - Gatekeeper - Projects'!$C$4:$C$1010,0)</f>
        <v>#N/A</v>
      </c>
      <c r="AN3220" s="6" t="b">
        <f t="shared" si="332"/>
        <v>1</v>
      </c>
      <c r="AO3220" s="6" t="str">
        <f t="shared" si="333"/>
        <v>OK</v>
      </c>
      <c r="AQ3220" s="6" t="e">
        <f>MATCH($D3220,'D4 - Provider Council Unsched'!$C$11:$C$234,0)</f>
        <v>#N/A</v>
      </c>
      <c r="AR3220" s="6" t="b">
        <f t="shared" si="334"/>
        <v>1</v>
      </c>
      <c r="AS3220" s="6" t="str">
        <f t="shared" si="335"/>
        <v>OK</v>
      </c>
      <c r="AU3220" s="202"/>
      <c r="AV3220" s="6" t="s">
        <v>483</v>
      </c>
      <c r="AW3220" s="274"/>
    </row>
    <row r="3221" spans="1:49" s="13" customFormat="1" ht="33.75" x14ac:dyDescent="0.2">
      <c r="A3221" s="14">
        <v>3194</v>
      </c>
      <c r="B3221" s="8">
        <v>400046149</v>
      </c>
      <c r="C3221" s="8" t="s">
        <v>1447</v>
      </c>
      <c r="D3221" s="4" t="str">
        <f t="shared" si="336"/>
        <v>400046149A</v>
      </c>
      <c r="E3221" s="309" t="str">
        <f>VLOOKUP($B3221,'D7 - NDB Impacted SPRF''s'!$E$6:$O$9929,2,FALSE)</f>
        <v>COSMOS - Phased Approach Modifier Field Expansion</v>
      </c>
      <c r="F3221" s="8"/>
      <c r="G3221" s="8" t="s">
        <v>4758</v>
      </c>
      <c r="H3221" s="8" t="s">
        <v>5382</v>
      </c>
      <c r="I3221" s="20"/>
      <c r="J3221" s="8"/>
      <c r="K3221" s="182"/>
      <c r="L3221" s="8" t="s">
        <v>4156</v>
      </c>
      <c r="M3221" s="8" t="s">
        <v>2814</v>
      </c>
      <c r="N3221" s="38" t="s">
        <v>1377</v>
      </c>
      <c r="O3221" s="8"/>
      <c r="P3221" s="4" t="str">
        <f>VLOOKUP($B3221,'D7 - NDB Impacted SPRF''s'!$E$16:$O$9929,9,FALSE)</f>
        <v>Y</v>
      </c>
      <c r="Q3221" s="4" t="str">
        <f>VLOOKUP($B3221,'D7 - NDB Impacted SPRF''s'!$E$16:$O$9929,10,FALSE)</f>
        <v>N</v>
      </c>
      <c r="R3221" s="4" t="str">
        <f>VLOOKUP($B3221,'D7 - NDB Impacted SPRF''s'!$E$16:$O$9929,11,FALSE)</f>
        <v>Y</v>
      </c>
      <c r="S3221" s="8"/>
      <c r="T3221" s="310"/>
      <c r="U3221" s="310"/>
      <c r="V3221" s="4"/>
      <c r="W3221" s="4"/>
      <c r="X3221" s="4"/>
      <c r="Y3221" s="4"/>
      <c r="Z3221" s="4"/>
      <c r="AA3221" s="4"/>
      <c r="AB3221" s="380" t="str">
        <f>VLOOKUP($B3221,'D7 - NDB Impacted SPRF''s'!$E$6:$O$9929,4,FALSE)</f>
        <v>In Funding</v>
      </c>
      <c r="AC3221" s="380" t="str">
        <f>VLOOKUP($B3221,'D7 - NDB Impacted SPRF''s'!$E$6:$O$9929,3,FALSE)</f>
        <v>UnitedHealthcare Medicare &amp; Retirement</v>
      </c>
      <c r="AD3221" s="380" t="str">
        <f>VLOOKUP($B3221,'D7 - NDB Impacted SPRF''s'!$E$6:$O$9929,5,FALSE)</f>
        <v xml:space="preserve">CMS Mandates 04-56800-000 </v>
      </c>
      <c r="AE3221" s="380" t="str">
        <f>VLOOKUP($B3221,'D7 - NDB Impacted SPRF''s'!$E$6:$O$9929,7,FALSE)</f>
        <v>Kelly Gilbertson</v>
      </c>
      <c r="AF3221" s="380" t="str">
        <f>VLOOKUP($B3221,'D7 - NDB Impacted SPRF''s'!$E$6:$O$9929,6,FALSE)</f>
        <v>Brian Schimke</v>
      </c>
      <c r="AG3221" s="282"/>
      <c r="AH3221" s="311" t="e">
        <f>INDEX('D5 - Gatekeeper - Projects'!$A$4:$AF$1010,$AM3221, 17)</f>
        <v>#N/A</v>
      </c>
      <c r="AI3221" s="8"/>
      <c r="AJ3221" s="57"/>
      <c r="AK3221" s="105"/>
      <c r="AM3221" s="6" t="e">
        <f>MATCH(D3221,'D5 - Gatekeeper - Projects'!$C$4:$C$1010,0)</f>
        <v>#N/A</v>
      </c>
      <c r="AN3221" s="6" t="b">
        <f t="shared" si="332"/>
        <v>1</v>
      </c>
      <c r="AO3221" s="6" t="str">
        <f t="shared" si="333"/>
        <v>OK</v>
      </c>
      <c r="AQ3221" s="6" t="e">
        <f>MATCH($D3221,'D4 - Provider Council Unsched'!$C$11:$C$234,0)</f>
        <v>#N/A</v>
      </c>
      <c r="AR3221" s="6" t="b">
        <f t="shared" si="334"/>
        <v>1</v>
      </c>
      <c r="AS3221" s="6" t="str">
        <f t="shared" si="335"/>
        <v>OK</v>
      </c>
      <c r="AU3221" s="202"/>
      <c r="AV3221" s="216" t="s">
        <v>2230</v>
      </c>
      <c r="AW3221" s="274"/>
    </row>
    <row r="3222" spans="1:49" s="13" customFormat="1" ht="22.5" x14ac:dyDescent="0.2">
      <c r="A3222" s="14">
        <v>3195</v>
      </c>
      <c r="B3222" s="8">
        <v>400046213</v>
      </c>
      <c r="C3222" s="8" t="s">
        <v>1447</v>
      </c>
      <c r="D3222" s="4" t="str">
        <f t="shared" si="336"/>
        <v>400046213A</v>
      </c>
      <c r="E3222" s="309" t="str">
        <f>VLOOKUP($B3222,'D7 - NDB Impacted SPRF''s'!$E$6:$O$9929,2,FALSE)</f>
        <v>Tax Levy</v>
      </c>
      <c r="F3222" s="8"/>
      <c r="G3222" s="8" t="s">
        <v>4758</v>
      </c>
      <c r="H3222" s="8" t="s">
        <v>5382</v>
      </c>
      <c r="I3222" s="20"/>
      <c r="J3222" s="8"/>
      <c r="K3222" s="182"/>
      <c r="L3222" s="8" t="s">
        <v>4156</v>
      </c>
      <c r="M3222" s="8" t="s">
        <v>2814</v>
      </c>
      <c r="N3222" s="38" t="s">
        <v>2743</v>
      </c>
      <c r="O3222" s="8"/>
      <c r="P3222" s="4" t="str">
        <f>VLOOKUP($B3222,'D7 - NDB Impacted SPRF''s'!$E$16:$O$9929,9,FALSE)</f>
        <v>Y</v>
      </c>
      <c r="Q3222" s="4" t="str">
        <f>VLOOKUP($B3222,'D7 - NDB Impacted SPRF''s'!$E$16:$O$9929,10,FALSE)</f>
        <v>N</v>
      </c>
      <c r="R3222" s="4" t="str">
        <f>VLOOKUP($B3222,'D7 - NDB Impacted SPRF''s'!$E$16:$O$9929,11,FALSE)</f>
        <v>N</v>
      </c>
      <c r="S3222" s="8"/>
      <c r="T3222" s="310"/>
      <c r="U3222" s="310"/>
      <c r="V3222" s="4"/>
      <c r="W3222" s="4"/>
      <c r="X3222" s="4"/>
      <c r="Y3222" s="4"/>
      <c r="Z3222" s="4"/>
      <c r="AA3222" s="4"/>
      <c r="AB3222" s="380" t="str">
        <f>VLOOKUP($B3222,'D7 - NDB Impacted SPRF''s'!$E$6:$O$9929,4,FALSE)</f>
        <v>Completed</v>
      </c>
      <c r="AC3222" s="380" t="str">
        <f>VLOOKUP($B3222,'D7 - NDB Impacted SPRF''s'!$E$6:$O$9929,3,FALSE)</f>
        <v>OptumHealth</v>
      </c>
      <c r="AD3222" s="380" t="str">
        <f>VLOOKUP($B3222,'D7 - NDB Impacted SPRF''s'!$E$6:$O$9929,5,FALSE)</f>
        <v>Behavioral Solutions</v>
      </c>
      <c r="AE3222" s="380" t="str">
        <f>VLOOKUP($B3222,'D7 - NDB Impacted SPRF''s'!$E$6:$O$9929,7,FALSE)</f>
        <v>Jim Bailey</v>
      </c>
      <c r="AF3222" s="380" t="str">
        <f>VLOOKUP($B3222,'D7 - NDB Impacted SPRF''s'!$E$6:$O$9929,6,FALSE)</f>
        <v>Julie Foster</v>
      </c>
      <c r="AG3222" s="282"/>
      <c r="AH3222" s="311" t="e">
        <f>INDEX('D5 - Gatekeeper - Projects'!$A$4:$AF$1010,$AM3222, 17)</f>
        <v>#N/A</v>
      </c>
      <c r="AI3222" s="8"/>
      <c r="AJ3222" s="57"/>
      <c r="AK3222" s="105"/>
      <c r="AM3222" s="6" t="e">
        <f>MATCH(D3222,'D5 - Gatekeeper - Projects'!$C$4:$C$1010,0)</f>
        <v>#N/A</v>
      </c>
      <c r="AN3222" s="6" t="b">
        <f t="shared" si="332"/>
        <v>1</v>
      </c>
      <c r="AO3222" s="6" t="str">
        <f t="shared" si="333"/>
        <v>OK</v>
      </c>
      <c r="AQ3222" s="6" t="e">
        <f>MATCH($D3222,'D4 - Provider Council Unsched'!$C$11:$C$234,0)</f>
        <v>#N/A</v>
      </c>
      <c r="AR3222" s="6" t="b">
        <f t="shared" si="334"/>
        <v>1</v>
      </c>
      <c r="AS3222" s="6" t="str">
        <f t="shared" si="335"/>
        <v>OK</v>
      </c>
      <c r="AU3222" s="202"/>
      <c r="AV3222" s="216"/>
      <c r="AW3222" s="274"/>
    </row>
    <row r="3223" spans="1:49" s="13" customFormat="1" x14ac:dyDescent="0.2">
      <c r="A3223" s="14">
        <v>3196</v>
      </c>
      <c r="B3223" s="8">
        <v>400046589</v>
      </c>
      <c r="C3223" s="8" t="s">
        <v>1447</v>
      </c>
      <c r="D3223" s="4" t="str">
        <f t="shared" si="336"/>
        <v>400046589A</v>
      </c>
      <c r="E3223" s="309" t="e">
        <f>VLOOKUP($B3223,'D7 - NDB Impacted SPRF''s'!$E$6:$O$9929,2,FALSE)</f>
        <v>#N/A</v>
      </c>
      <c r="F3223" s="8"/>
      <c r="G3223" s="8" t="s">
        <v>4758</v>
      </c>
      <c r="H3223" s="8" t="s">
        <v>5382</v>
      </c>
      <c r="I3223" s="20"/>
      <c r="J3223" s="8"/>
      <c r="K3223" s="182"/>
      <c r="L3223" s="8" t="s">
        <v>4156</v>
      </c>
      <c r="M3223" s="8" t="s">
        <v>2814</v>
      </c>
      <c r="N3223" s="38" t="s">
        <v>1681</v>
      </c>
      <c r="O3223" s="8"/>
      <c r="P3223" s="4" t="e">
        <f>VLOOKUP($B3223,'D7 - NDB Impacted SPRF''s'!$E$16:$O$9929,9,FALSE)</f>
        <v>#N/A</v>
      </c>
      <c r="Q3223" s="4" t="e">
        <f>VLOOKUP($B3223,'D7 - NDB Impacted SPRF''s'!$E$16:$O$9929,10,FALSE)</f>
        <v>#N/A</v>
      </c>
      <c r="R3223" s="4" t="e">
        <f>VLOOKUP($B3223,'D7 - NDB Impacted SPRF''s'!$E$16:$O$9929,11,FALSE)</f>
        <v>#N/A</v>
      </c>
      <c r="S3223" s="8"/>
      <c r="T3223" s="310"/>
      <c r="U3223" s="310"/>
      <c r="V3223" s="4"/>
      <c r="W3223" s="4"/>
      <c r="X3223" s="4"/>
      <c r="Y3223" s="4"/>
      <c r="Z3223" s="4"/>
      <c r="AA3223" s="4"/>
      <c r="AB3223" s="380" t="e">
        <f>VLOOKUP($B3223,'D7 - NDB Impacted SPRF''s'!$E$6:$O$9929,4,FALSE)</f>
        <v>#N/A</v>
      </c>
      <c r="AC3223" s="380" t="e">
        <f>VLOOKUP($B3223,'D7 - NDB Impacted SPRF''s'!$E$6:$O$9929,3,FALSE)</f>
        <v>#N/A</v>
      </c>
      <c r="AD3223" s="380" t="e">
        <f>VLOOKUP($B3223,'D7 - NDB Impacted SPRF''s'!$E$6:$O$9929,5,FALSE)</f>
        <v>#N/A</v>
      </c>
      <c r="AE3223" s="380" t="e">
        <f>VLOOKUP($B3223,'D7 - NDB Impacted SPRF''s'!$E$6:$O$9929,7,FALSE)</f>
        <v>#N/A</v>
      </c>
      <c r="AF3223" s="380" t="e">
        <f>VLOOKUP($B3223,'D7 - NDB Impacted SPRF''s'!$E$6:$O$9929,6,FALSE)</f>
        <v>#N/A</v>
      </c>
      <c r="AG3223" s="282"/>
      <c r="AH3223" s="311" t="e">
        <f>INDEX('D5 - Gatekeeper - Projects'!$A$4:$AF$1010,$AM3223, 17)</f>
        <v>#N/A</v>
      </c>
      <c r="AI3223" s="8"/>
      <c r="AJ3223" s="57"/>
      <c r="AK3223" s="105"/>
      <c r="AM3223" s="6" t="e">
        <f>MATCH(D3223,'D5 - Gatekeeper - Projects'!$C$4:$C$1010,0)</f>
        <v>#N/A</v>
      </c>
      <c r="AN3223" s="6" t="b">
        <f t="shared" si="332"/>
        <v>1</v>
      </c>
      <c r="AO3223" s="6" t="str">
        <f t="shared" si="333"/>
        <v>OK</v>
      </c>
      <c r="AQ3223" s="6" t="e">
        <f>MATCH($D3223,'D4 - Provider Council Unsched'!$C$11:$C$234,0)</f>
        <v>#N/A</v>
      </c>
      <c r="AR3223" s="6" t="b">
        <f t="shared" si="334"/>
        <v>1</v>
      </c>
      <c r="AS3223" s="6" t="str">
        <f t="shared" si="335"/>
        <v>OK</v>
      </c>
      <c r="AU3223" s="202"/>
      <c r="AV3223" s="216"/>
      <c r="AW3223" s="274">
        <v>47198</v>
      </c>
    </row>
    <row r="3224" spans="1:49" s="13" customFormat="1" ht="33.75" x14ac:dyDescent="0.2">
      <c r="A3224" s="14">
        <v>3197</v>
      </c>
      <c r="B3224" s="8">
        <v>400046748</v>
      </c>
      <c r="C3224" s="8" t="s">
        <v>1447</v>
      </c>
      <c r="D3224" s="4" t="str">
        <f t="shared" si="336"/>
        <v>400046748A</v>
      </c>
      <c r="E3224" s="309" t="str">
        <f>VLOOKUP($B3224,'D7 - NDB Impacted SPRF''s'!$E$6:$O$9929,2,FALSE)</f>
        <v>CT Health Plan Shut Down</v>
      </c>
      <c r="F3224" s="8"/>
      <c r="G3224" s="8" t="s">
        <v>4758</v>
      </c>
      <c r="H3224" s="8" t="s">
        <v>5382</v>
      </c>
      <c r="I3224" s="20"/>
      <c r="J3224" s="8"/>
      <c r="K3224" s="182"/>
      <c r="L3224" s="8" t="s">
        <v>4156</v>
      </c>
      <c r="M3224" s="8" t="s">
        <v>2814</v>
      </c>
      <c r="N3224" s="38" t="s">
        <v>6499</v>
      </c>
      <c r="O3224" s="8"/>
      <c r="P3224" s="4" t="str">
        <f>VLOOKUP($B3224,'D7 - NDB Impacted SPRF''s'!$E$16:$O$9929,9,FALSE)</f>
        <v>N</v>
      </c>
      <c r="Q3224" s="4" t="str">
        <f>VLOOKUP($B3224,'D7 - NDB Impacted SPRF''s'!$E$16:$O$9929,10,FALSE)</f>
        <v>N</v>
      </c>
      <c r="R3224" s="4" t="str">
        <f>VLOOKUP($B3224,'D7 - NDB Impacted SPRF''s'!$E$16:$O$9929,11,FALSE)</f>
        <v>N</v>
      </c>
      <c r="S3224" s="8"/>
      <c r="T3224" s="310"/>
      <c r="U3224" s="310"/>
      <c r="V3224" s="4"/>
      <c r="W3224" s="4"/>
      <c r="X3224" s="4"/>
      <c r="Y3224" s="4"/>
      <c r="Z3224" s="4"/>
      <c r="AA3224" s="4"/>
      <c r="AB3224" s="380" t="str">
        <f>VLOOKUP($B3224,'D7 - NDB Impacted SPRF''s'!$E$6:$O$9929,4,FALSE)</f>
        <v>In Estimating</v>
      </c>
      <c r="AC3224" s="380" t="str">
        <f>VLOOKUP($B3224,'D7 - NDB Impacted SPRF''s'!$E$6:$O$9929,3,FALSE)</f>
        <v>UnitedHealthcare Community &amp; State</v>
      </c>
      <c r="AD3224" s="380" t="str">
        <f>VLOOKUP($B3224,'D7 - NDB Impacted SPRF''s'!$E$6:$O$9929,5,FALSE)</f>
        <v>Growth &amp; Market Expansions 01-15500-000</v>
      </c>
      <c r="AE3224" s="380" t="str">
        <f>VLOOKUP($B3224,'D7 - NDB Impacted SPRF''s'!$E$6:$O$9929,7,FALSE)</f>
        <v>Don Langer</v>
      </c>
      <c r="AF3224" s="380" t="str">
        <f>VLOOKUP($B3224,'D7 - NDB Impacted SPRF''s'!$E$6:$O$9929,6,FALSE)</f>
        <v>Michele Nelson</v>
      </c>
      <c r="AG3224" s="282"/>
      <c r="AH3224" s="311" t="e">
        <f>INDEX('D5 - Gatekeeper - Projects'!$A$4:$AF$1010,$AM3224, 17)</f>
        <v>#N/A</v>
      </c>
      <c r="AI3224" s="8"/>
      <c r="AJ3224" s="57"/>
      <c r="AK3224" s="105"/>
      <c r="AM3224" s="6" t="e">
        <f>MATCH(D3224,'D5 - Gatekeeper - Projects'!$C$4:$C$1010,0)</f>
        <v>#N/A</v>
      </c>
      <c r="AN3224" s="6" t="b">
        <f t="shared" si="332"/>
        <v>1</v>
      </c>
      <c r="AO3224" s="6" t="str">
        <f t="shared" si="333"/>
        <v>OK</v>
      </c>
      <c r="AQ3224" s="6" t="e">
        <f>MATCH($D3224,'D4 - Provider Council Unsched'!$C$11:$C$234,0)</f>
        <v>#N/A</v>
      </c>
      <c r="AR3224" s="6" t="b">
        <f t="shared" si="334"/>
        <v>1</v>
      </c>
      <c r="AS3224" s="6" t="str">
        <f t="shared" si="335"/>
        <v>OK</v>
      </c>
      <c r="AU3224" s="202"/>
      <c r="AV3224" s="216" t="s">
        <v>490</v>
      </c>
      <c r="AW3224" s="274"/>
    </row>
    <row r="3225" spans="1:49" s="13" customFormat="1" ht="22.5" x14ac:dyDescent="0.2">
      <c r="A3225" s="14">
        <v>3198</v>
      </c>
      <c r="B3225" s="8">
        <v>400046951</v>
      </c>
      <c r="C3225" s="8" t="s">
        <v>1447</v>
      </c>
      <c r="D3225" s="4" t="str">
        <f t="shared" si="336"/>
        <v>400046951A</v>
      </c>
      <c r="E3225" s="309" t="str">
        <f>VLOOKUP($B3225,'D7 - NDB Impacted SPRF''s'!$E$6:$O$9929,2,FALSE)</f>
        <v>TBS Provider Workflow - Pega Analysis</v>
      </c>
      <c r="F3225" s="8"/>
      <c r="G3225" s="8" t="s">
        <v>4758</v>
      </c>
      <c r="H3225" s="8" t="s">
        <v>5382</v>
      </c>
      <c r="I3225" s="20"/>
      <c r="J3225" s="8"/>
      <c r="K3225" s="182"/>
      <c r="L3225" s="8" t="s">
        <v>4156</v>
      </c>
      <c r="M3225" s="8" t="s">
        <v>2814</v>
      </c>
      <c r="N3225" s="38" t="s">
        <v>2741</v>
      </c>
      <c r="O3225" s="8"/>
      <c r="P3225" s="4" t="str">
        <f>VLOOKUP($B3225,'D7 - NDB Impacted SPRF''s'!$E$16:$O$9929,9,FALSE)</f>
        <v>N</v>
      </c>
      <c r="Q3225" s="4" t="str">
        <f>VLOOKUP($B3225,'D7 - NDB Impacted SPRF''s'!$E$16:$O$9929,10,FALSE)</f>
        <v>N</v>
      </c>
      <c r="R3225" s="4" t="str">
        <f>VLOOKUP($B3225,'D7 - NDB Impacted SPRF''s'!$E$16:$O$9929,11,FALSE)</f>
        <v>N</v>
      </c>
      <c r="S3225" s="8"/>
      <c r="T3225" s="310"/>
      <c r="U3225" s="310"/>
      <c r="V3225" s="4"/>
      <c r="W3225" s="4"/>
      <c r="X3225" s="4"/>
      <c r="Y3225" s="4"/>
      <c r="Z3225" s="4"/>
      <c r="AA3225" s="4"/>
      <c r="AB3225" s="380" t="str">
        <f>VLOOKUP($B3225,'D7 - NDB Impacted SPRF''s'!$E$6:$O$9929,4,FALSE)</f>
        <v>Scheduled</v>
      </c>
      <c r="AC3225" s="380" t="str">
        <f>VLOOKUP($B3225,'D7 - NDB Impacted SPRF''s'!$E$6:$O$9929,3,FALSE)</f>
        <v>OptumHealth</v>
      </c>
      <c r="AD3225" s="380" t="str">
        <f>VLOOKUP($B3225,'D7 - NDB Impacted SPRF''s'!$E$6:$O$9929,5,FALSE)</f>
        <v>Behavioral Solutions</v>
      </c>
      <c r="AE3225" s="380" t="str">
        <f>VLOOKUP($B3225,'D7 - NDB Impacted SPRF''s'!$E$6:$O$9929,7,FALSE)</f>
        <v>Deb Adler</v>
      </c>
      <c r="AF3225" s="380" t="str">
        <f>VLOOKUP($B3225,'D7 - NDB Impacted SPRF''s'!$E$6:$O$9929,6,FALSE)</f>
        <v>Karen Riley</v>
      </c>
      <c r="AG3225" s="282"/>
      <c r="AH3225" s="311" t="e">
        <f>INDEX('D5 - Gatekeeper - Projects'!$A$4:$AF$1010,$AM3225, 17)</f>
        <v>#N/A</v>
      </c>
      <c r="AI3225" s="8"/>
      <c r="AJ3225" s="57"/>
      <c r="AK3225" s="105"/>
      <c r="AM3225" s="6" t="e">
        <f>MATCH(D3225,'D5 - Gatekeeper - Projects'!$C$4:$C$1010,0)</f>
        <v>#N/A</v>
      </c>
      <c r="AN3225" s="6" t="b">
        <f t="shared" si="332"/>
        <v>1</v>
      </c>
      <c r="AO3225" s="6" t="str">
        <f t="shared" si="333"/>
        <v>OK</v>
      </c>
      <c r="AQ3225" s="6" t="e">
        <f>MATCH($D3225,'D4 - Provider Council Unsched'!$C$11:$C$234,0)</f>
        <v>#N/A</v>
      </c>
      <c r="AR3225" s="6" t="b">
        <f t="shared" si="334"/>
        <v>1</v>
      </c>
      <c r="AS3225" s="6" t="str">
        <f t="shared" si="335"/>
        <v>OK</v>
      </c>
      <c r="AU3225" s="202"/>
      <c r="AV3225" s="216"/>
      <c r="AW3225" s="274">
        <v>47493</v>
      </c>
    </row>
    <row r="3226" spans="1:49" s="13" customFormat="1" ht="33.75" x14ac:dyDescent="0.2">
      <c r="A3226" s="14">
        <v>3199</v>
      </c>
      <c r="B3226" s="8">
        <v>400047453</v>
      </c>
      <c r="C3226" s="8" t="s">
        <v>1447</v>
      </c>
      <c r="D3226" s="4" t="str">
        <f t="shared" si="336"/>
        <v>400047453A</v>
      </c>
      <c r="E3226" s="309" t="str">
        <f>VLOOKUP($B3226,'D7 - NDB Impacted SPRF''s'!$E$6:$O$9929,2,FALSE)</f>
        <v>Medical Necessity - Zero Charge Lines</v>
      </c>
      <c r="F3226" s="8"/>
      <c r="G3226" s="8" t="s">
        <v>4758</v>
      </c>
      <c r="H3226" s="8" t="s">
        <v>5382</v>
      </c>
      <c r="I3226" s="20"/>
      <c r="J3226" s="8"/>
      <c r="K3226" s="182"/>
      <c r="L3226" s="8" t="s">
        <v>4156</v>
      </c>
      <c r="M3226" s="8" t="s">
        <v>2814</v>
      </c>
      <c r="N3226" s="38" t="s">
        <v>172</v>
      </c>
      <c r="O3226" s="8"/>
      <c r="P3226" s="4" t="str">
        <f>VLOOKUP($B3226,'D7 - NDB Impacted SPRF''s'!$E$16:$O$9929,9,FALSE)</f>
        <v>Y</v>
      </c>
      <c r="Q3226" s="4" t="str">
        <f>VLOOKUP($B3226,'D7 - NDB Impacted SPRF''s'!$E$16:$O$9929,10,FALSE)</f>
        <v>N</v>
      </c>
      <c r="R3226" s="4" t="str">
        <f>VLOOKUP($B3226,'D7 - NDB Impacted SPRF''s'!$E$16:$O$9929,11,FALSE)</f>
        <v>Y</v>
      </c>
      <c r="S3226" s="8"/>
      <c r="T3226" s="310"/>
      <c r="U3226" s="310"/>
      <c r="V3226" s="4"/>
      <c r="W3226" s="4"/>
      <c r="X3226" s="4"/>
      <c r="Y3226" s="4"/>
      <c r="Z3226" s="4"/>
      <c r="AA3226" s="4"/>
      <c r="AB3226" s="380" t="str">
        <f>VLOOKUP($B3226,'D7 - NDB Impacted SPRF''s'!$E$6:$O$9929,4,FALSE)</f>
        <v>In Estimating</v>
      </c>
      <c r="AC3226" s="380" t="str">
        <f>VLOOKUP($B3226,'D7 - NDB Impacted SPRF''s'!$E$6:$O$9929,3,FALSE)</f>
        <v>UnitedHealthcare Employer &amp; Individual</v>
      </c>
      <c r="AD3226" s="380" t="str">
        <f>VLOOKUP($B3226,'D7 - NDB Impacted SPRF''s'!$E$6:$O$9929,5,FALSE)</f>
        <v>Medical Cost Savings Programs</v>
      </c>
      <c r="AE3226" s="380" t="str">
        <f>VLOOKUP($B3226,'D7 - NDB Impacted SPRF''s'!$E$6:$O$9929,7,FALSE)</f>
        <v>Sam Ho / Kevin Ruth</v>
      </c>
      <c r="AF3226" s="380" t="str">
        <f>VLOOKUP($B3226,'D7 - NDB Impacted SPRF''s'!$E$6:$O$9929,6,FALSE)</f>
        <v>ROSS OGDEN</v>
      </c>
      <c r="AG3226" s="282"/>
      <c r="AH3226" s="311" t="e">
        <f>INDEX('D5 - Gatekeeper - Projects'!$A$4:$AF$1010,$AM3226, 17)</f>
        <v>#N/A</v>
      </c>
      <c r="AI3226" s="8"/>
      <c r="AJ3226" s="57"/>
      <c r="AK3226" s="105"/>
      <c r="AM3226" s="6" t="e">
        <f>MATCH(D3226,'D5 - Gatekeeper - Projects'!$C$4:$C$1010,0)</f>
        <v>#N/A</v>
      </c>
      <c r="AN3226" s="6" t="b">
        <f t="shared" si="332"/>
        <v>1</v>
      </c>
      <c r="AO3226" s="6" t="str">
        <f t="shared" si="333"/>
        <v>OK</v>
      </c>
      <c r="AQ3226" s="6" t="e">
        <f>MATCH($D3226,'D4 - Provider Council Unsched'!$C$11:$C$234,0)</f>
        <v>#N/A</v>
      </c>
      <c r="AR3226" s="6" t="b">
        <f t="shared" si="334"/>
        <v>1</v>
      </c>
      <c r="AS3226" s="6" t="str">
        <f t="shared" si="335"/>
        <v>OK</v>
      </c>
      <c r="AU3226" s="202"/>
      <c r="AV3226" s="216"/>
      <c r="AW3226" s="274">
        <v>49228</v>
      </c>
    </row>
    <row r="3227" spans="1:49" s="13" customFormat="1" ht="33.75" x14ac:dyDescent="0.2">
      <c r="A3227" s="14">
        <v>3200</v>
      </c>
      <c r="B3227" s="8">
        <v>400047544</v>
      </c>
      <c r="C3227" s="8" t="s">
        <v>1447</v>
      </c>
      <c r="D3227" s="4" t="str">
        <f t="shared" si="336"/>
        <v>400047544A</v>
      </c>
      <c r="E3227" s="309" t="str">
        <f>VLOOKUP($B3227,'D7 - NDB Impacted SPRF''s'!$E$6:$O$9929,2,FALSE)</f>
        <v>PBH Facets Health Plan - Rocky Mountain to Cosmos</v>
      </c>
      <c r="F3227" s="8"/>
      <c r="G3227" s="8" t="s">
        <v>4758</v>
      </c>
      <c r="H3227" s="8" t="s">
        <v>5382</v>
      </c>
      <c r="I3227" s="20"/>
      <c r="J3227" s="8"/>
      <c r="K3227" s="182"/>
      <c r="L3227" s="8" t="s">
        <v>4156</v>
      </c>
      <c r="M3227" s="8" t="s">
        <v>2814</v>
      </c>
      <c r="N3227" s="38" t="s">
        <v>162</v>
      </c>
      <c r="O3227" s="8"/>
      <c r="P3227" s="4" t="str">
        <f>VLOOKUP($B3227,'D7 - NDB Impacted SPRF''s'!$E$16:$O$9929,9,FALSE)</f>
        <v>N</v>
      </c>
      <c r="Q3227" s="4" t="str">
        <f>VLOOKUP($B3227,'D7 - NDB Impacted SPRF''s'!$E$16:$O$9929,10,FALSE)</f>
        <v>N</v>
      </c>
      <c r="R3227" s="4" t="str">
        <f>VLOOKUP($B3227,'D7 - NDB Impacted SPRF''s'!$E$16:$O$9929,11,FALSE)</f>
        <v>N</v>
      </c>
      <c r="S3227" s="8"/>
      <c r="T3227" s="310"/>
      <c r="U3227" s="310"/>
      <c r="V3227" s="4"/>
      <c r="W3227" s="4"/>
      <c r="X3227" s="4"/>
      <c r="Y3227" s="4"/>
      <c r="Z3227" s="4"/>
      <c r="AA3227" s="4"/>
      <c r="AB3227" s="380" t="str">
        <f>VLOOKUP($B3227,'D7 - NDB Impacted SPRF''s'!$E$6:$O$9929,4,FALSE)</f>
        <v>In Estimating</v>
      </c>
      <c r="AC3227" s="380" t="str">
        <f>VLOOKUP($B3227,'D7 - NDB Impacted SPRF''s'!$E$6:$O$9929,3,FALSE)</f>
        <v>OptumHealth</v>
      </c>
      <c r="AD3227" s="380" t="str">
        <f>VLOOKUP($B3227,'D7 - NDB Impacted SPRF''s'!$E$6:$O$9929,5,FALSE)</f>
        <v>BS-PBH Facets to UBH Facets, COSMOS  05-49070-000</v>
      </c>
      <c r="AE3227" s="380" t="str">
        <f>VLOOKUP($B3227,'D7 - NDB Impacted SPRF''s'!$E$6:$O$9929,7,FALSE)</f>
        <v>Lloyd Dyer</v>
      </c>
      <c r="AF3227" s="380" t="str">
        <f>VLOOKUP($B3227,'D7 - NDB Impacted SPRF''s'!$E$6:$O$9929,6,FALSE)</f>
        <v>ANGIE SEKULA</v>
      </c>
      <c r="AG3227" s="282"/>
      <c r="AH3227" s="311" t="e">
        <f>INDEX('D5 - Gatekeeper - Projects'!$A$4:$AF$1010,$AM3227, 17)</f>
        <v>#N/A</v>
      </c>
      <c r="AI3227" s="8"/>
      <c r="AJ3227" s="57"/>
      <c r="AK3227" s="105"/>
      <c r="AM3227" s="6" t="e">
        <f>MATCH(D3227,'D5 - Gatekeeper - Projects'!$C$4:$C$1010,0)</f>
        <v>#N/A</v>
      </c>
      <c r="AN3227" s="6" t="b">
        <f t="shared" si="332"/>
        <v>1</v>
      </c>
      <c r="AO3227" s="6" t="str">
        <f t="shared" si="333"/>
        <v>OK</v>
      </c>
      <c r="AQ3227" s="6" t="e">
        <f>MATCH($D3227,'D4 - Provider Council Unsched'!$C$11:$C$234,0)</f>
        <v>#N/A</v>
      </c>
      <c r="AR3227" s="6" t="b">
        <f t="shared" si="334"/>
        <v>1</v>
      </c>
      <c r="AS3227" s="6" t="str">
        <f t="shared" si="335"/>
        <v>OK</v>
      </c>
      <c r="AU3227" s="202"/>
      <c r="AV3227" s="216"/>
      <c r="AW3227" s="274"/>
    </row>
    <row r="3228" spans="1:49" s="13" customFormat="1" x14ac:dyDescent="0.2">
      <c r="A3228" s="14">
        <v>3201</v>
      </c>
      <c r="B3228" s="8">
        <v>400047553</v>
      </c>
      <c r="C3228" s="8" t="s">
        <v>1447</v>
      </c>
      <c r="D3228" s="4" t="str">
        <f t="shared" si="336"/>
        <v>400047553A</v>
      </c>
      <c r="E3228" s="309" t="str">
        <f>VLOOKUP($B3228,'D7 - NDB Impacted SPRF''s'!$E$6:$O$9929,2,FALSE)</f>
        <v>PBH M&amp;R to Cosmos</v>
      </c>
      <c r="F3228" s="8"/>
      <c r="G3228" s="8" t="s">
        <v>4758</v>
      </c>
      <c r="H3228" s="8" t="s">
        <v>5382</v>
      </c>
      <c r="I3228" s="20"/>
      <c r="J3228" s="8"/>
      <c r="K3228" s="182"/>
      <c r="L3228" s="8" t="s">
        <v>4156</v>
      </c>
      <c r="M3228" s="8" t="s">
        <v>2814</v>
      </c>
      <c r="N3228" s="38" t="s">
        <v>1377</v>
      </c>
      <c r="O3228" s="8"/>
      <c r="P3228" s="4" t="str">
        <f>VLOOKUP($B3228,'D7 - NDB Impacted SPRF''s'!$E$16:$O$9929,9,FALSE)</f>
        <v>N</v>
      </c>
      <c r="Q3228" s="4" t="str">
        <f>VLOOKUP($B3228,'D7 - NDB Impacted SPRF''s'!$E$16:$O$9929,10,FALSE)</f>
        <v>N</v>
      </c>
      <c r="R3228" s="4" t="str">
        <f>VLOOKUP($B3228,'D7 - NDB Impacted SPRF''s'!$E$16:$O$9929,11,FALSE)</f>
        <v>N</v>
      </c>
      <c r="S3228" s="8"/>
      <c r="T3228" s="310"/>
      <c r="U3228" s="310"/>
      <c r="V3228" s="4"/>
      <c r="W3228" s="4"/>
      <c r="X3228" s="4"/>
      <c r="Y3228" s="4"/>
      <c r="Z3228" s="4"/>
      <c r="AA3228" s="4"/>
      <c r="AB3228" s="380" t="str">
        <f>VLOOKUP($B3228,'D7 - NDB Impacted SPRF''s'!$E$6:$O$9929,4,FALSE)</f>
        <v>In Estimating</v>
      </c>
      <c r="AC3228" s="380" t="str">
        <f>VLOOKUP($B3228,'D7 - NDB Impacted SPRF''s'!$E$6:$O$9929,3,FALSE)</f>
        <v>OptumHealth</v>
      </c>
      <c r="AD3228" s="380" t="str">
        <f>VLOOKUP($B3228,'D7 - NDB Impacted SPRF''s'!$E$6:$O$9929,5,FALSE)</f>
        <v>Behavioral Solutions</v>
      </c>
      <c r="AE3228" s="380" t="str">
        <f>VLOOKUP($B3228,'D7 - NDB Impacted SPRF''s'!$E$6:$O$9929,7,FALSE)</f>
        <v>Lloyd Dyer</v>
      </c>
      <c r="AF3228" s="380" t="str">
        <f>VLOOKUP($B3228,'D7 - NDB Impacted SPRF''s'!$E$6:$O$9929,6,FALSE)</f>
        <v>ANGIE SEKULA</v>
      </c>
      <c r="AG3228" s="282"/>
      <c r="AH3228" s="311" t="e">
        <f>INDEX('D5 - Gatekeeper - Projects'!$A$4:$AF$1010,$AM3228, 17)</f>
        <v>#N/A</v>
      </c>
      <c r="AI3228" s="8"/>
      <c r="AJ3228" s="57"/>
      <c r="AK3228" s="105"/>
      <c r="AM3228" s="6" t="e">
        <f>MATCH(D3228,'D5 - Gatekeeper - Projects'!$C$4:$C$1010,0)</f>
        <v>#N/A</v>
      </c>
      <c r="AN3228" s="6" t="b">
        <f t="shared" si="332"/>
        <v>1</v>
      </c>
      <c r="AO3228" s="6" t="str">
        <f t="shared" si="333"/>
        <v>OK</v>
      </c>
      <c r="AQ3228" s="6" t="e">
        <f>MATCH($D3228,'D4 - Provider Council Unsched'!$C$11:$C$234,0)</f>
        <v>#N/A</v>
      </c>
      <c r="AR3228" s="6" t="b">
        <f t="shared" si="334"/>
        <v>1</v>
      </c>
      <c r="AS3228" s="6" t="str">
        <f t="shared" si="335"/>
        <v>OK</v>
      </c>
      <c r="AU3228" s="202"/>
      <c r="AV3228" s="216" t="s">
        <v>1077</v>
      </c>
      <c r="AW3228" s="274">
        <v>49857</v>
      </c>
    </row>
    <row r="3229" spans="1:49" s="13" customFormat="1" ht="22.5" x14ac:dyDescent="0.2">
      <c r="A3229" s="14">
        <v>3202</v>
      </c>
      <c r="B3229" s="8">
        <v>400047626</v>
      </c>
      <c r="C3229" s="8" t="s">
        <v>1447</v>
      </c>
      <c r="D3229" s="4" t="str">
        <f t="shared" si="336"/>
        <v>400047626A</v>
      </c>
      <c r="E3229" s="309" t="str">
        <f>VLOOKUP($B3229,'D7 - NDB Impacted SPRF''s'!$E$6:$O$9929,2,FALSE)</f>
        <v>4-47626 AmeriChoice Solutioning</v>
      </c>
      <c r="F3229" s="8"/>
      <c r="G3229" s="8" t="s">
        <v>4758</v>
      </c>
      <c r="H3229" s="8" t="s">
        <v>5382</v>
      </c>
      <c r="I3229" s="20"/>
      <c r="J3229" s="8"/>
      <c r="K3229" s="182"/>
      <c r="L3229" s="8" t="s">
        <v>4156</v>
      </c>
      <c r="M3229" s="8" t="s">
        <v>2814</v>
      </c>
      <c r="N3229" s="38" t="s">
        <v>130</v>
      </c>
      <c r="O3229" s="8"/>
      <c r="P3229" s="4" t="str">
        <f>VLOOKUP($B3229,'D7 - NDB Impacted SPRF''s'!$E$16:$O$9929,9,FALSE)</f>
        <v>N</v>
      </c>
      <c r="Q3229" s="4" t="str">
        <f>VLOOKUP($B3229,'D7 - NDB Impacted SPRF''s'!$E$16:$O$9929,10,FALSE)</f>
        <v>N</v>
      </c>
      <c r="R3229" s="4" t="str">
        <f>VLOOKUP($B3229,'D7 - NDB Impacted SPRF''s'!$E$16:$O$9929,11,FALSE)</f>
        <v>N</v>
      </c>
      <c r="S3229" s="8"/>
      <c r="T3229" s="310"/>
      <c r="U3229" s="310"/>
      <c r="V3229" s="4"/>
      <c r="W3229" s="4"/>
      <c r="X3229" s="4"/>
      <c r="Y3229" s="4"/>
      <c r="Z3229" s="4"/>
      <c r="AA3229" s="4"/>
      <c r="AB3229" s="380" t="str">
        <f>VLOOKUP($B3229,'D7 - NDB Impacted SPRF''s'!$E$6:$O$9929,4,FALSE)</f>
        <v>Completed</v>
      </c>
      <c r="AC3229" s="380" t="str">
        <f>VLOOKUP($B3229,'D7 - NDB Impacted SPRF''s'!$E$6:$O$9929,3,FALSE)</f>
        <v>OptumHealth</v>
      </c>
      <c r="AD3229" s="380" t="str">
        <f>VLOOKUP($B3229,'D7 - NDB Impacted SPRF''s'!$E$6:$O$9929,5,FALSE)</f>
        <v xml:space="preserve">OptumHealth Financial Services </v>
      </c>
      <c r="AE3229" s="380" t="str">
        <f>VLOOKUP($B3229,'D7 - NDB Impacted SPRF''s'!$E$6:$O$9929,7,FALSE)</f>
        <v>Ann Brisk</v>
      </c>
      <c r="AF3229" s="380" t="str">
        <f>VLOOKUP($B3229,'D7 - NDB Impacted SPRF''s'!$E$6:$O$9929,6,FALSE)</f>
        <v>Therese Anderson</v>
      </c>
      <c r="AG3229" s="282"/>
      <c r="AH3229" s="311" t="e">
        <f>INDEX('D5 - Gatekeeper - Projects'!$A$4:$AF$1010,$AM3229, 17)</f>
        <v>#N/A</v>
      </c>
      <c r="AI3229" s="8"/>
      <c r="AJ3229" s="57"/>
      <c r="AK3229" s="105"/>
      <c r="AM3229" s="6" t="e">
        <f>MATCH(D3229,'D5 - Gatekeeper - Projects'!$C$4:$C$1010,0)</f>
        <v>#N/A</v>
      </c>
      <c r="AN3229" s="6" t="b">
        <f t="shared" si="332"/>
        <v>1</v>
      </c>
      <c r="AO3229" s="6" t="str">
        <f t="shared" si="333"/>
        <v>OK</v>
      </c>
      <c r="AQ3229" s="6" t="e">
        <f>MATCH($D3229,'D4 - Provider Council Unsched'!$C$11:$C$234,0)</f>
        <v>#N/A</v>
      </c>
      <c r="AR3229" s="6" t="b">
        <f t="shared" si="334"/>
        <v>1</v>
      </c>
      <c r="AS3229" s="6" t="str">
        <f t="shared" si="335"/>
        <v>OK</v>
      </c>
      <c r="AU3229" s="202"/>
      <c r="AV3229" s="216" t="s">
        <v>493</v>
      </c>
      <c r="AW3229" s="274"/>
    </row>
    <row r="3230" spans="1:49" s="13" customFormat="1" ht="33.75" x14ac:dyDescent="0.2">
      <c r="A3230" s="14">
        <v>3203</v>
      </c>
      <c r="B3230" s="8">
        <v>400047841</v>
      </c>
      <c r="C3230" s="8" t="s">
        <v>1447</v>
      </c>
      <c r="D3230" s="4" t="str">
        <f t="shared" si="336"/>
        <v>400047841A</v>
      </c>
      <c r="E3230" s="309" t="str">
        <f>VLOOKUP($B3230,'D7 - NDB Impacted SPRF''s'!$E$6:$O$9929,2,FALSE)</f>
        <v>NJ C&amp;S Portals Implementation</v>
      </c>
      <c r="F3230" s="8"/>
      <c r="G3230" s="8" t="s">
        <v>4758</v>
      </c>
      <c r="H3230" s="8" t="s">
        <v>5382</v>
      </c>
      <c r="I3230" s="20"/>
      <c r="J3230" s="8"/>
      <c r="K3230" s="182"/>
      <c r="L3230" s="8" t="s">
        <v>4156</v>
      </c>
      <c r="M3230" s="8" t="s">
        <v>2814</v>
      </c>
      <c r="N3230" s="38" t="s">
        <v>3498</v>
      </c>
      <c r="O3230" s="8"/>
      <c r="P3230" s="4" t="str">
        <f>VLOOKUP($B3230,'D7 - NDB Impacted SPRF''s'!$E$16:$O$9929,9,FALSE)</f>
        <v>N</v>
      </c>
      <c r="Q3230" s="4" t="str">
        <f>VLOOKUP($B3230,'D7 - NDB Impacted SPRF''s'!$E$16:$O$9929,10,FALSE)</f>
        <v>N</v>
      </c>
      <c r="R3230" s="4" t="str">
        <f>VLOOKUP($B3230,'D7 - NDB Impacted SPRF''s'!$E$16:$O$9929,11,FALSE)</f>
        <v>N</v>
      </c>
      <c r="S3230" s="8"/>
      <c r="T3230" s="310"/>
      <c r="U3230" s="310"/>
      <c r="V3230" s="4"/>
      <c r="W3230" s="4"/>
      <c r="X3230" s="4"/>
      <c r="Y3230" s="4"/>
      <c r="Z3230" s="4"/>
      <c r="AA3230" s="4"/>
      <c r="AB3230" s="380" t="str">
        <f>VLOOKUP($B3230,'D7 - NDB Impacted SPRF''s'!$E$6:$O$9929,4,FALSE)</f>
        <v>Scheduled</v>
      </c>
      <c r="AC3230" s="380" t="str">
        <f>VLOOKUP($B3230,'D7 - NDB Impacted SPRF''s'!$E$6:$O$9929,3,FALSE)</f>
        <v>UnitedHealthcare Community &amp; State</v>
      </c>
      <c r="AD3230" s="380" t="str">
        <f>VLOOKUP($B3230,'D7 - NDB Impacted SPRF''s'!$E$6:$O$9929,5,FALSE)</f>
        <v>Integration Requirements</v>
      </c>
      <c r="AE3230" s="380" t="str">
        <f>VLOOKUP($B3230,'D7 - NDB Impacted SPRF''s'!$E$6:$O$9929,7,FALSE)</f>
        <v>Chris Scherer</v>
      </c>
      <c r="AF3230" s="380" t="str">
        <f>VLOOKUP($B3230,'D7 - NDB Impacted SPRF''s'!$E$6:$O$9929,6,FALSE)</f>
        <v>Bree Drenning</v>
      </c>
      <c r="AG3230" s="282"/>
      <c r="AH3230" s="311" t="e">
        <f>INDEX('D5 - Gatekeeper - Projects'!$A$4:$AF$1010,$AM3230, 17)</f>
        <v>#N/A</v>
      </c>
      <c r="AI3230" s="8"/>
      <c r="AJ3230" s="57"/>
      <c r="AK3230" s="105"/>
      <c r="AM3230" s="6" t="e">
        <f>MATCH(D3230,'D5 - Gatekeeper - Projects'!$C$4:$C$1010,0)</f>
        <v>#N/A</v>
      </c>
      <c r="AN3230" s="6" t="b">
        <f t="shared" si="332"/>
        <v>1</v>
      </c>
      <c r="AO3230" s="6" t="str">
        <f t="shared" si="333"/>
        <v>OK</v>
      </c>
      <c r="AQ3230" s="6" t="e">
        <f>MATCH($D3230,'D4 - Provider Council Unsched'!$C$11:$C$234,0)</f>
        <v>#N/A</v>
      </c>
      <c r="AR3230" s="6" t="b">
        <f t="shared" si="334"/>
        <v>1</v>
      </c>
      <c r="AS3230" s="6" t="str">
        <f t="shared" si="335"/>
        <v>OK</v>
      </c>
      <c r="AU3230" s="202"/>
      <c r="AV3230" s="323" t="s">
        <v>1039</v>
      </c>
      <c r="AW3230" s="274"/>
    </row>
    <row r="3231" spans="1:49" s="13" customFormat="1" ht="33.75" x14ac:dyDescent="0.2">
      <c r="A3231" s="14">
        <v>3204</v>
      </c>
      <c r="B3231" s="8">
        <v>400047855</v>
      </c>
      <c r="C3231" s="8" t="s">
        <v>1447</v>
      </c>
      <c r="D3231" s="4" t="str">
        <f t="shared" si="336"/>
        <v>400047855A</v>
      </c>
      <c r="E3231" s="309" t="str">
        <f>VLOOKUP($B3231,'D7 - NDB Impacted SPRF''s'!$E$6:$O$9929,2,FALSE)</f>
        <v xml:space="preserve">ICD10 Technical Foundation UMR CareMgmt Migration </v>
      </c>
      <c r="F3231" s="8"/>
      <c r="G3231" s="8" t="s">
        <v>4758</v>
      </c>
      <c r="H3231" s="8" t="s">
        <v>5382</v>
      </c>
      <c r="I3231" s="20"/>
      <c r="J3231" s="8"/>
      <c r="K3231" s="182"/>
      <c r="L3231" s="8" t="s">
        <v>4156</v>
      </c>
      <c r="M3231" s="8" t="s">
        <v>2814</v>
      </c>
      <c r="N3231" s="38" t="s">
        <v>1121</v>
      </c>
      <c r="O3231" s="8"/>
      <c r="P3231" s="4" t="str">
        <f>VLOOKUP($B3231,'D7 - NDB Impacted SPRF''s'!$E$16:$O$9929,9,FALSE)</f>
        <v>N</v>
      </c>
      <c r="Q3231" s="4" t="str">
        <f>VLOOKUP($B3231,'D7 - NDB Impacted SPRF''s'!$E$16:$O$9929,10,FALSE)</f>
        <v>N</v>
      </c>
      <c r="R3231" s="4" t="str">
        <f>VLOOKUP($B3231,'D7 - NDB Impacted SPRF''s'!$E$16:$O$9929,11,FALSE)</f>
        <v>N</v>
      </c>
      <c r="S3231" s="8"/>
      <c r="T3231" s="310"/>
      <c r="U3231" s="310"/>
      <c r="V3231" s="4"/>
      <c r="W3231" s="4"/>
      <c r="X3231" s="4"/>
      <c r="Y3231" s="4"/>
      <c r="Z3231" s="4"/>
      <c r="AA3231" s="4"/>
      <c r="AB3231" s="380" t="str">
        <f>VLOOKUP($B3231,'D7 - NDB Impacted SPRF''s'!$E$6:$O$9929,4,FALSE)</f>
        <v>Scheduled</v>
      </c>
      <c r="AC3231" s="380" t="str">
        <f>VLOOKUP($B3231,'D7 - NDB Impacted SPRF''s'!$E$6:$O$9929,3,FALSE)</f>
        <v>UnitedHealthcare Employer &amp; Individual</v>
      </c>
      <c r="AD3231" s="380" t="str">
        <f>VLOOKUP($B3231,'D7 - NDB Impacted SPRF''s'!$E$6:$O$9929,5,FALSE)</f>
        <v>Regulatory / Other</v>
      </c>
      <c r="AE3231" s="380" t="str">
        <f>VLOOKUP($B3231,'D7 - NDB Impacted SPRF''s'!$E$6:$O$9929,7,FALSE)</f>
        <v>Oren Hermel</v>
      </c>
      <c r="AF3231" s="380" t="str">
        <f>VLOOKUP($B3231,'D7 - NDB Impacted SPRF''s'!$E$6:$O$9929,6,FALSE)</f>
        <v>Tim Olson</v>
      </c>
      <c r="AG3231" s="282"/>
      <c r="AH3231" s="311" t="e">
        <f>INDEX('D5 - Gatekeeper - Projects'!$A$4:$AF$1010,$AM3231, 17)</f>
        <v>#N/A</v>
      </c>
      <c r="AI3231" s="8"/>
      <c r="AJ3231" s="57"/>
      <c r="AK3231" s="105"/>
      <c r="AM3231" s="6" t="e">
        <f>MATCH(D3231,'D5 - Gatekeeper - Projects'!$C$4:$C$1010,0)</f>
        <v>#N/A</v>
      </c>
      <c r="AN3231" s="6" t="b">
        <f t="shared" si="332"/>
        <v>1</v>
      </c>
      <c r="AO3231" s="6" t="str">
        <f t="shared" si="333"/>
        <v>OK</v>
      </c>
      <c r="AQ3231" s="6" t="e">
        <f>MATCH($D3231,'D4 - Provider Council Unsched'!$C$11:$C$234,0)</f>
        <v>#N/A</v>
      </c>
      <c r="AR3231" s="6" t="b">
        <f t="shared" si="334"/>
        <v>1</v>
      </c>
      <c r="AS3231" s="6" t="str">
        <f t="shared" si="335"/>
        <v>OK</v>
      </c>
      <c r="AU3231" s="202"/>
      <c r="AV3231" s="216" t="s">
        <v>494</v>
      </c>
      <c r="AW3231" s="274"/>
    </row>
    <row r="3232" spans="1:49" s="13" customFormat="1" ht="45" x14ac:dyDescent="0.2">
      <c r="A3232" s="14">
        <v>3205</v>
      </c>
      <c r="B3232" s="8">
        <v>400048008</v>
      </c>
      <c r="C3232" s="8" t="s">
        <v>1447</v>
      </c>
      <c r="D3232" s="4" t="str">
        <f t="shared" si="336"/>
        <v>400048008A</v>
      </c>
      <c r="E3232" s="309" t="str">
        <f>VLOOKUP($B3232,'D7 - NDB Impacted SPRF''s'!$E$6:$O$9929,2,FALSE)</f>
        <v>Establish instance of CDB in Zulu</v>
      </c>
      <c r="F3232" s="8"/>
      <c r="G3232" s="8" t="s">
        <v>4758</v>
      </c>
      <c r="H3232" s="8" t="s">
        <v>5382</v>
      </c>
      <c r="I3232" s="20"/>
      <c r="J3232" s="8"/>
      <c r="K3232" s="182"/>
      <c r="L3232" s="8" t="s">
        <v>4156</v>
      </c>
      <c r="M3232" s="8" t="s">
        <v>2814</v>
      </c>
      <c r="N3232" s="38" t="s">
        <v>6505</v>
      </c>
      <c r="O3232" s="8"/>
      <c r="P3232" s="4" t="str">
        <f>VLOOKUP($B3232,'D7 - NDB Impacted SPRF''s'!$E$16:$O$9929,9,FALSE)</f>
        <v>N</v>
      </c>
      <c r="Q3232" s="4" t="str">
        <f>VLOOKUP($B3232,'D7 - NDB Impacted SPRF''s'!$E$16:$O$9929,10,FALSE)</f>
        <v>N</v>
      </c>
      <c r="R3232" s="4" t="str">
        <f>VLOOKUP($B3232,'D7 - NDB Impacted SPRF''s'!$E$16:$O$9929,11,FALSE)</f>
        <v>N</v>
      </c>
      <c r="S3232" s="8"/>
      <c r="T3232" s="310"/>
      <c r="U3232" s="310"/>
      <c r="V3232" s="4"/>
      <c r="W3232" s="4"/>
      <c r="X3232" s="4"/>
      <c r="Y3232" s="4"/>
      <c r="Z3232" s="4"/>
      <c r="AA3232" s="4"/>
      <c r="AB3232" s="380" t="str">
        <f>VLOOKUP($B3232,'D7 - NDB Impacted SPRF''s'!$E$6:$O$9929,4,FALSE)</f>
        <v>In Estimating</v>
      </c>
      <c r="AC3232" s="380" t="str">
        <f>VLOOKUP($B3232,'D7 - NDB Impacted SPRF''s'!$E$6:$O$9929,3,FALSE)</f>
        <v>UHG IT - Enterprise Technology Services</v>
      </c>
      <c r="AD3232" s="380" t="str">
        <f>VLOOKUP($B3232,'D7 - NDB Impacted SPRF''s'!$E$6:$O$9929,5,FALSE)</f>
        <v>ASG</v>
      </c>
      <c r="AE3232" s="380" t="str">
        <f>VLOOKUP($B3232,'D7 - NDB Impacted SPRF''s'!$E$6:$O$9929,7,FALSE)</f>
        <v>Duhaime</v>
      </c>
      <c r="AF3232" s="380" t="str">
        <f>VLOOKUP($B3232,'D7 - NDB Impacted SPRF''s'!$E$6:$O$9929,6,FALSE)</f>
        <v>PETER ERNEST</v>
      </c>
      <c r="AG3232" s="282"/>
      <c r="AH3232" s="311" t="e">
        <f>INDEX('D5 - Gatekeeper - Projects'!$A$4:$AF$1010,$AM3232, 17)</f>
        <v>#N/A</v>
      </c>
      <c r="AI3232" s="8"/>
      <c r="AJ3232" s="57"/>
      <c r="AK3232" s="105"/>
      <c r="AM3232" s="6" t="e">
        <f>MATCH(D3232,'D5 - Gatekeeper - Projects'!$C$4:$C$1010,0)</f>
        <v>#N/A</v>
      </c>
      <c r="AN3232" s="6" t="b">
        <f t="shared" si="332"/>
        <v>1</v>
      </c>
      <c r="AO3232" s="6" t="str">
        <f t="shared" si="333"/>
        <v>OK</v>
      </c>
      <c r="AQ3232" s="6" t="e">
        <f>MATCH($D3232,'D4 - Provider Council Unsched'!$C$11:$C$234,0)</f>
        <v>#N/A</v>
      </c>
      <c r="AR3232" s="6" t="b">
        <f t="shared" si="334"/>
        <v>1</v>
      </c>
      <c r="AS3232" s="6" t="str">
        <f t="shared" si="335"/>
        <v>OK</v>
      </c>
      <c r="AU3232" s="202"/>
      <c r="AV3232" s="216" t="s">
        <v>1079</v>
      </c>
      <c r="AW3232" s="274"/>
    </row>
    <row r="3233" spans="1:49" s="13" customFormat="1" ht="33.75" x14ac:dyDescent="0.2">
      <c r="A3233" s="14">
        <v>3206</v>
      </c>
      <c r="B3233" s="8">
        <v>400048200</v>
      </c>
      <c r="C3233" s="8" t="s">
        <v>1447</v>
      </c>
      <c r="D3233" s="4" t="str">
        <f t="shared" si="336"/>
        <v>400048200A</v>
      </c>
      <c r="E3233" s="309" t="str">
        <f>VLOOKUP($B3233,'D7 - NDB Impacted SPRF''s'!$E$6:$O$9929,2,FALSE)</f>
        <v>NICE Alpha to Itanium</v>
      </c>
      <c r="F3233" s="8"/>
      <c r="G3233" s="8" t="s">
        <v>4758</v>
      </c>
      <c r="H3233" s="8" t="s">
        <v>5382</v>
      </c>
      <c r="I3233" s="20"/>
      <c r="J3233" s="8"/>
      <c r="K3233" s="182"/>
      <c r="L3233" s="8" t="s">
        <v>4156</v>
      </c>
      <c r="M3233" s="8" t="s">
        <v>2814</v>
      </c>
      <c r="N3233" s="38"/>
      <c r="O3233" s="8"/>
      <c r="P3233" s="4" t="str">
        <f>VLOOKUP($B3233,'D7 - NDB Impacted SPRF''s'!$E$16:$O$9929,9,FALSE)</f>
        <v>N</v>
      </c>
      <c r="Q3233" s="4" t="str">
        <f>VLOOKUP($B3233,'D7 - NDB Impacted SPRF''s'!$E$16:$O$9929,10,FALSE)</f>
        <v>N</v>
      </c>
      <c r="R3233" s="4" t="str">
        <f>VLOOKUP($B3233,'D7 - NDB Impacted SPRF''s'!$E$16:$O$9929,11,FALSE)</f>
        <v>Y</v>
      </c>
      <c r="S3233" s="8"/>
      <c r="T3233" s="310"/>
      <c r="U3233" s="310"/>
      <c r="V3233" s="4"/>
      <c r="W3233" s="4"/>
      <c r="X3233" s="4"/>
      <c r="Y3233" s="4"/>
      <c r="Z3233" s="4"/>
      <c r="AA3233" s="4"/>
      <c r="AB3233" s="380" t="str">
        <f>VLOOKUP($B3233,'D7 - NDB Impacted SPRF''s'!$E$6:$O$9929,4,FALSE)</f>
        <v>Scheduled</v>
      </c>
      <c r="AC3233" s="380" t="str">
        <f>VLOOKUP($B3233,'D7 - NDB Impacted SPRF''s'!$E$6:$O$9929,3,FALSE)</f>
        <v>UnitedHealthcare Employer &amp; Individual</v>
      </c>
      <c r="AD3233" s="380" t="str">
        <f>VLOOKUP($B3233,'D7 - NDB Impacted SPRF''s'!$E$6:$O$9929,5,FALSE)</f>
        <v>Infrastructure Requirements</v>
      </c>
      <c r="AE3233" s="380" t="str">
        <f>VLOOKUP($B3233,'D7 - NDB Impacted SPRF''s'!$E$6:$O$9929,7,FALSE)</f>
        <v>Claire Hannan</v>
      </c>
      <c r="AF3233" s="380" t="str">
        <f>VLOOKUP($B3233,'D7 - NDB Impacted SPRF''s'!$E$6:$O$9929,6,FALSE)</f>
        <v>SCOTT BRUNK</v>
      </c>
      <c r="AG3233" s="282"/>
      <c r="AH3233" s="311" t="e">
        <f>INDEX('D5 - Gatekeeper - Projects'!$A$4:$AF$1010,$AM3233, 17)</f>
        <v>#N/A</v>
      </c>
      <c r="AI3233" s="8"/>
      <c r="AJ3233" s="57"/>
      <c r="AK3233" s="105"/>
      <c r="AM3233" s="6" t="e">
        <f>MATCH(D3233,'D5 - Gatekeeper - Projects'!$C$4:$C$1010,0)</f>
        <v>#N/A</v>
      </c>
      <c r="AN3233" s="6" t="b">
        <f t="shared" si="332"/>
        <v>1</v>
      </c>
      <c r="AO3233" s="6" t="str">
        <f t="shared" si="333"/>
        <v>OK</v>
      </c>
      <c r="AQ3233" s="6" t="e">
        <f>MATCH($D3233,'D4 - Provider Council Unsched'!$C$11:$C$234,0)</f>
        <v>#N/A</v>
      </c>
      <c r="AR3233" s="6" t="b">
        <f t="shared" si="334"/>
        <v>1</v>
      </c>
      <c r="AS3233" s="6" t="str">
        <f t="shared" si="335"/>
        <v>OK</v>
      </c>
      <c r="AU3233" s="202"/>
      <c r="AV3233" s="348" t="s">
        <v>3205</v>
      </c>
      <c r="AW3233" s="274"/>
    </row>
    <row r="3234" spans="1:49" s="13" customFormat="1" ht="45" x14ac:dyDescent="0.2">
      <c r="A3234" s="14">
        <v>3207</v>
      </c>
      <c r="B3234" s="8">
        <v>400048384</v>
      </c>
      <c r="C3234" s="8" t="s">
        <v>1447</v>
      </c>
      <c r="D3234" s="4" t="str">
        <f t="shared" si="336"/>
        <v>400048384A</v>
      </c>
      <c r="E3234" s="309" t="str">
        <f>VLOOKUP($B3234,'D7 - NDB Impacted SPRF''s'!$E$6:$O$9929,2,FALSE)</f>
        <v>Decommission Testing Environments</v>
      </c>
      <c r="F3234" s="8"/>
      <c r="G3234" s="8" t="s">
        <v>4758</v>
      </c>
      <c r="H3234" s="8" t="s">
        <v>5382</v>
      </c>
      <c r="I3234" s="20"/>
      <c r="J3234" s="8"/>
      <c r="K3234" s="182"/>
      <c r="L3234" s="8" t="s">
        <v>4156</v>
      </c>
      <c r="M3234" s="8" t="s">
        <v>2814</v>
      </c>
      <c r="N3234" s="38" t="s">
        <v>2301</v>
      </c>
      <c r="O3234" s="8"/>
      <c r="P3234" s="4" t="str">
        <f>VLOOKUP($B3234,'D7 - NDB Impacted SPRF''s'!$E$16:$O$9929,9,FALSE)</f>
        <v>N</v>
      </c>
      <c r="Q3234" s="4" t="str">
        <f>VLOOKUP($B3234,'D7 - NDB Impacted SPRF''s'!$E$16:$O$9929,10,FALSE)</f>
        <v>N</v>
      </c>
      <c r="R3234" s="4" t="str">
        <f>VLOOKUP($B3234,'D7 - NDB Impacted SPRF''s'!$E$16:$O$9929,11,FALSE)</f>
        <v>N</v>
      </c>
      <c r="S3234" s="8"/>
      <c r="T3234" s="310"/>
      <c r="U3234" s="310"/>
      <c r="V3234" s="4"/>
      <c r="W3234" s="4"/>
      <c r="X3234" s="4"/>
      <c r="Y3234" s="4"/>
      <c r="Z3234" s="4"/>
      <c r="AA3234" s="4"/>
      <c r="AB3234" s="380" t="str">
        <f>VLOOKUP($B3234,'D7 - NDB Impacted SPRF''s'!$E$6:$O$9929,4,FALSE)</f>
        <v>Scheduled</v>
      </c>
      <c r="AC3234" s="380" t="str">
        <f>VLOOKUP($B3234,'D7 - NDB Impacted SPRF''s'!$E$6:$O$9929,3,FALSE)</f>
        <v>UHG IT - Enterprise Technology Services</v>
      </c>
      <c r="AD3234" s="380" t="str">
        <f>VLOOKUP($B3234,'D7 - NDB Impacted SPRF''s'!$E$6:$O$9929,5,FALSE)</f>
        <v>Strategic Initiatives</v>
      </c>
      <c r="AE3234" s="380" t="str">
        <f>VLOOKUP($B3234,'D7 - NDB Impacted SPRF''s'!$E$6:$O$9929,7,FALSE)</f>
        <v>Kevin Cogle</v>
      </c>
      <c r="AF3234" s="380" t="str">
        <f>VLOOKUP($B3234,'D7 - NDB Impacted SPRF''s'!$E$6:$O$9929,6,FALSE)</f>
        <v>JACQUELYN LOTTER</v>
      </c>
      <c r="AG3234" s="282"/>
      <c r="AH3234" s="311" t="e">
        <f>INDEX('D5 - Gatekeeper - Projects'!$A$4:$AF$1010,$AM3234, 17)</f>
        <v>#N/A</v>
      </c>
      <c r="AI3234" s="8"/>
      <c r="AJ3234" s="57"/>
      <c r="AK3234" s="105"/>
      <c r="AM3234" s="6" t="e">
        <f>MATCH(D3234,'D5 - Gatekeeper - Projects'!$C$4:$C$1010,0)</f>
        <v>#N/A</v>
      </c>
      <c r="AN3234" s="6" t="b">
        <f t="shared" si="332"/>
        <v>1</v>
      </c>
      <c r="AO3234" s="6" t="str">
        <f t="shared" si="333"/>
        <v>OK</v>
      </c>
      <c r="AQ3234" s="6" t="e">
        <f>MATCH($D3234,'D4 - Provider Council Unsched'!$C$11:$C$234,0)</f>
        <v>#N/A</v>
      </c>
      <c r="AR3234" s="6" t="b">
        <f t="shared" si="334"/>
        <v>1</v>
      </c>
      <c r="AS3234" s="6" t="str">
        <f t="shared" si="335"/>
        <v>OK</v>
      </c>
      <c r="AU3234" s="202"/>
      <c r="AV3234" s="216"/>
      <c r="AW3234" s="274"/>
    </row>
    <row r="3235" spans="1:49" s="13" customFormat="1" ht="22.5" x14ac:dyDescent="0.2">
      <c r="A3235" s="14">
        <v>3208</v>
      </c>
      <c r="B3235" s="8">
        <v>400048534</v>
      </c>
      <c r="C3235" s="8" t="s">
        <v>1447</v>
      </c>
      <c r="D3235" s="4" t="str">
        <f t="shared" si="336"/>
        <v>400048534A</v>
      </c>
      <c r="E3235" s="309" t="e">
        <f>VLOOKUP($B3235,'D7 - NDB Impacted SPRF''s'!$E$6:$O$9929,2,FALSE)</f>
        <v>#N/A</v>
      </c>
      <c r="F3235" s="8"/>
      <c r="G3235" s="8" t="s">
        <v>4758</v>
      </c>
      <c r="H3235" s="8" t="s">
        <v>5382</v>
      </c>
      <c r="I3235" s="20"/>
      <c r="J3235" s="8"/>
      <c r="K3235" s="182"/>
      <c r="L3235" s="8" t="s">
        <v>4156</v>
      </c>
      <c r="M3235" s="8" t="s">
        <v>2814</v>
      </c>
      <c r="N3235" s="38" t="s">
        <v>791</v>
      </c>
      <c r="O3235" s="8"/>
      <c r="P3235" s="4" t="e">
        <f>VLOOKUP($B3235,'D7 - NDB Impacted SPRF''s'!$E$16:$O$9929,9,FALSE)</f>
        <v>#N/A</v>
      </c>
      <c r="Q3235" s="4" t="e">
        <f>VLOOKUP($B3235,'D7 - NDB Impacted SPRF''s'!$E$16:$O$9929,10,FALSE)</f>
        <v>#N/A</v>
      </c>
      <c r="R3235" s="4" t="e">
        <f>VLOOKUP($B3235,'D7 - NDB Impacted SPRF''s'!$E$16:$O$9929,11,FALSE)</f>
        <v>#N/A</v>
      </c>
      <c r="S3235" s="8"/>
      <c r="T3235" s="310"/>
      <c r="U3235" s="310"/>
      <c r="V3235" s="4"/>
      <c r="W3235" s="4"/>
      <c r="X3235" s="4"/>
      <c r="Y3235" s="4"/>
      <c r="Z3235" s="4"/>
      <c r="AA3235" s="4"/>
      <c r="AB3235" s="380" t="e">
        <f>VLOOKUP($B3235,'D7 - NDB Impacted SPRF''s'!$E$6:$O$9929,4,FALSE)</f>
        <v>#N/A</v>
      </c>
      <c r="AC3235" s="380" t="e">
        <f>VLOOKUP($B3235,'D7 - NDB Impacted SPRF''s'!$E$6:$O$9929,3,FALSE)</f>
        <v>#N/A</v>
      </c>
      <c r="AD3235" s="380" t="e">
        <f>VLOOKUP($B3235,'D7 - NDB Impacted SPRF''s'!$E$6:$O$9929,5,FALSE)</f>
        <v>#N/A</v>
      </c>
      <c r="AE3235" s="380" t="e">
        <f>VLOOKUP($B3235,'D7 - NDB Impacted SPRF''s'!$E$6:$O$9929,7,FALSE)</f>
        <v>#N/A</v>
      </c>
      <c r="AF3235" s="380" t="e">
        <f>VLOOKUP($B3235,'D7 - NDB Impacted SPRF''s'!$E$6:$O$9929,6,FALSE)</f>
        <v>#N/A</v>
      </c>
      <c r="AG3235" s="282"/>
      <c r="AH3235" s="311" t="e">
        <f>INDEX('D5 - Gatekeeper - Projects'!$A$4:$AF$1010,$AM3235, 17)</f>
        <v>#N/A</v>
      </c>
      <c r="AI3235" s="8"/>
      <c r="AJ3235" s="57"/>
      <c r="AK3235" s="105"/>
      <c r="AM3235" s="6" t="e">
        <f>MATCH(D3235,'D5 - Gatekeeper - Projects'!$C$4:$C$1010,0)</f>
        <v>#N/A</v>
      </c>
      <c r="AN3235" s="6" t="b">
        <f t="shared" si="332"/>
        <v>1</v>
      </c>
      <c r="AO3235" s="6" t="str">
        <f t="shared" si="333"/>
        <v>OK</v>
      </c>
      <c r="AQ3235" s="6" t="e">
        <f>MATCH($D3235,'D4 - Provider Council Unsched'!$C$11:$C$234,0)</f>
        <v>#N/A</v>
      </c>
      <c r="AR3235" s="6" t="b">
        <f t="shared" si="334"/>
        <v>1</v>
      </c>
      <c r="AS3235" s="6" t="str">
        <f t="shared" si="335"/>
        <v>OK</v>
      </c>
      <c r="AU3235" s="202"/>
      <c r="AV3235" s="262"/>
      <c r="AW3235" s="274"/>
    </row>
    <row r="3236" spans="1:49" s="13" customFormat="1" ht="11.25" customHeight="1" x14ac:dyDescent="0.2">
      <c r="A3236" s="14">
        <v>3209</v>
      </c>
      <c r="B3236" s="8">
        <v>400048602</v>
      </c>
      <c r="C3236" s="8" t="s">
        <v>1447</v>
      </c>
      <c r="D3236" s="4" t="str">
        <f t="shared" si="336"/>
        <v>400048602A</v>
      </c>
      <c r="E3236" s="309" t="str">
        <f>VLOOKUP($B3236,'D7 - NDB Impacted SPRF''s'!$E$6:$O$9929,2,FALSE)</f>
        <v>CSP Specialist change to PCP data</v>
      </c>
      <c r="F3236" s="8"/>
      <c r="G3236" s="8" t="s">
        <v>4758</v>
      </c>
      <c r="H3236" s="8" t="s">
        <v>5382</v>
      </c>
      <c r="I3236" s="20"/>
      <c r="J3236" s="8"/>
      <c r="K3236" s="182"/>
      <c r="L3236" s="8" t="s">
        <v>4156</v>
      </c>
      <c r="M3236" s="8" t="s">
        <v>2814</v>
      </c>
      <c r="N3236" s="38" t="s">
        <v>6507</v>
      </c>
      <c r="O3236" s="8"/>
      <c r="P3236" s="4" t="str">
        <f>VLOOKUP($B3236,'D7 - NDB Impacted SPRF''s'!$E$16:$O$9929,9,FALSE)</f>
        <v>N</v>
      </c>
      <c r="Q3236" s="4" t="str">
        <f>VLOOKUP($B3236,'D7 - NDB Impacted SPRF''s'!$E$16:$O$9929,10,FALSE)</f>
        <v>N</v>
      </c>
      <c r="R3236" s="4" t="str">
        <f>VLOOKUP($B3236,'D7 - NDB Impacted SPRF''s'!$E$16:$O$9929,11,FALSE)</f>
        <v>N</v>
      </c>
      <c r="S3236" s="8"/>
      <c r="T3236" s="310"/>
      <c r="U3236" s="310"/>
      <c r="V3236" s="4"/>
      <c r="W3236" s="4"/>
      <c r="X3236" s="4"/>
      <c r="Y3236" s="4"/>
      <c r="Z3236" s="4"/>
      <c r="AA3236" s="4"/>
      <c r="AB3236" s="380" t="str">
        <f>VLOOKUP($B3236,'D7 - NDB Impacted SPRF''s'!$E$6:$O$9929,4,FALSE)</f>
        <v>In Estimating</v>
      </c>
      <c r="AC3236" s="380" t="str">
        <f>VLOOKUP($B3236,'D7 - NDB Impacted SPRF''s'!$E$6:$O$9929,3,FALSE)</f>
        <v>UnitedHealthcare Community &amp; State</v>
      </c>
      <c r="AD3236" s="380" t="str">
        <f>VLOOKUP($B3236,'D7 - NDB Impacted SPRF''s'!$E$6:$O$9929,5,FALSE)</f>
        <v>AmeriChoice</v>
      </c>
      <c r="AE3236" s="380" t="str">
        <f>VLOOKUP($B3236,'D7 - NDB Impacted SPRF''s'!$E$6:$O$9929,7,FALSE)</f>
        <v>Chris Scherer</v>
      </c>
      <c r="AF3236" s="380" t="str">
        <f>VLOOKUP($B3236,'D7 - NDB Impacted SPRF''s'!$E$6:$O$9929,6,FALSE)</f>
        <v>Diane Kochol</v>
      </c>
      <c r="AG3236" s="282"/>
      <c r="AH3236" s="311" t="e">
        <f>INDEX('D5 - Gatekeeper - Projects'!$A$4:$AF$1010,$AM3236, 17)</f>
        <v>#N/A</v>
      </c>
      <c r="AI3236" s="8"/>
      <c r="AJ3236" s="57"/>
      <c r="AK3236" s="105"/>
      <c r="AM3236" s="6" t="e">
        <f>MATCH(D3236,'D5 - Gatekeeper - Projects'!$C$4:$C$1010,0)</f>
        <v>#N/A</v>
      </c>
      <c r="AN3236" s="6" t="b">
        <f t="shared" si="332"/>
        <v>1</v>
      </c>
      <c r="AO3236" s="6" t="str">
        <f t="shared" si="333"/>
        <v>OK</v>
      </c>
      <c r="AQ3236" s="6" t="e">
        <f>MATCH($D3236,'D4 - Provider Council Unsched'!$C$11:$C$234,0)</f>
        <v>#N/A</v>
      </c>
      <c r="AR3236" s="6" t="b">
        <f t="shared" si="334"/>
        <v>1</v>
      </c>
      <c r="AS3236" s="6" t="str">
        <f t="shared" si="335"/>
        <v>OK</v>
      </c>
      <c r="AU3236" s="202"/>
      <c r="AV3236" s="262" t="s">
        <v>1132</v>
      </c>
      <c r="AW3236" s="274"/>
    </row>
    <row r="3237" spans="1:49" s="13" customFormat="1" ht="33.75" x14ac:dyDescent="0.2">
      <c r="A3237" s="14">
        <v>3210</v>
      </c>
      <c r="B3237" s="8">
        <v>400048603</v>
      </c>
      <c r="C3237" s="8" t="s">
        <v>1447</v>
      </c>
      <c r="D3237" s="4" t="str">
        <f t="shared" si="336"/>
        <v>400048603A</v>
      </c>
      <c r="E3237" s="309" t="str">
        <f>VLOOKUP($B3237,'D7 - NDB Impacted SPRF''s'!$E$6:$O$9929,2,FALSE)</f>
        <v>CSP PCP Termination on Indicative level</v>
      </c>
      <c r="F3237" s="8"/>
      <c r="G3237" s="8" t="s">
        <v>4758</v>
      </c>
      <c r="H3237" s="8" t="s">
        <v>5382</v>
      </c>
      <c r="I3237" s="20"/>
      <c r="J3237" s="8"/>
      <c r="K3237" s="182"/>
      <c r="L3237" s="8" t="s">
        <v>4156</v>
      </c>
      <c r="M3237" s="8" t="s">
        <v>2814</v>
      </c>
      <c r="N3237" s="38" t="s">
        <v>6508</v>
      </c>
      <c r="O3237" s="8"/>
      <c r="P3237" s="4" t="str">
        <f>VLOOKUP($B3237,'D7 - NDB Impacted SPRF''s'!$E$16:$O$9929,9,FALSE)</f>
        <v>N</v>
      </c>
      <c r="Q3237" s="4" t="str">
        <f>VLOOKUP($B3237,'D7 - NDB Impacted SPRF''s'!$E$16:$O$9929,10,FALSE)</f>
        <v>N</v>
      </c>
      <c r="R3237" s="4" t="str">
        <f>VLOOKUP($B3237,'D7 - NDB Impacted SPRF''s'!$E$16:$O$9929,11,FALSE)</f>
        <v>N</v>
      </c>
      <c r="S3237" s="8"/>
      <c r="T3237" s="310"/>
      <c r="U3237" s="310"/>
      <c r="V3237" s="4"/>
      <c r="W3237" s="4"/>
      <c r="X3237" s="4"/>
      <c r="Y3237" s="4"/>
      <c r="Z3237" s="4"/>
      <c r="AA3237" s="4"/>
      <c r="AB3237" s="380" t="str">
        <f>VLOOKUP($B3237,'D7 - NDB Impacted SPRF''s'!$E$6:$O$9929,4,FALSE)</f>
        <v>In Estimating</v>
      </c>
      <c r="AC3237" s="380" t="str">
        <f>VLOOKUP($B3237,'D7 - NDB Impacted SPRF''s'!$E$6:$O$9929,3,FALSE)</f>
        <v>UnitedHealthcare Community &amp; State</v>
      </c>
      <c r="AD3237" s="380" t="str">
        <f>VLOOKUP($B3237,'D7 - NDB Impacted SPRF''s'!$E$6:$O$9929,5,FALSE)</f>
        <v>AmeriChoice</v>
      </c>
      <c r="AE3237" s="380" t="str">
        <f>VLOOKUP($B3237,'D7 - NDB Impacted SPRF''s'!$E$6:$O$9929,7,FALSE)</f>
        <v>Chris Scherer</v>
      </c>
      <c r="AF3237" s="380" t="str">
        <f>VLOOKUP($B3237,'D7 - NDB Impacted SPRF''s'!$E$6:$O$9929,6,FALSE)</f>
        <v>Diane Kochol</v>
      </c>
      <c r="AG3237" s="282"/>
      <c r="AH3237" s="311" t="e">
        <f>INDEX('D5 - Gatekeeper - Projects'!$A$4:$AF$1010,$AM3237, 17)</f>
        <v>#N/A</v>
      </c>
      <c r="AI3237" s="8"/>
      <c r="AJ3237" s="57"/>
      <c r="AK3237" s="105"/>
      <c r="AM3237" s="6" t="e">
        <f>MATCH(D3237,'D5 - Gatekeeper - Projects'!$C$4:$C$1010,0)</f>
        <v>#N/A</v>
      </c>
      <c r="AN3237" s="6" t="b">
        <f t="shared" si="332"/>
        <v>1</v>
      </c>
      <c r="AO3237" s="6" t="str">
        <f t="shared" si="333"/>
        <v>OK</v>
      </c>
      <c r="AQ3237" s="6" t="e">
        <f>MATCH($D3237,'D4 - Provider Council Unsched'!$C$11:$C$234,0)</f>
        <v>#N/A</v>
      </c>
      <c r="AR3237" s="6" t="b">
        <f t="shared" si="334"/>
        <v>1</v>
      </c>
      <c r="AS3237" s="6" t="str">
        <f t="shared" si="335"/>
        <v>OK</v>
      </c>
      <c r="AU3237" s="202"/>
      <c r="AV3237" s="262" t="s">
        <v>1132</v>
      </c>
      <c r="AW3237" s="274"/>
    </row>
    <row r="3238" spans="1:49" s="13" customFormat="1" ht="33.75" x14ac:dyDescent="0.2">
      <c r="A3238" s="14">
        <v>3211</v>
      </c>
      <c r="B3238" s="8">
        <v>400048604</v>
      </c>
      <c r="C3238" s="8" t="s">
        <v>1447</v>
      </c>
      <c r="D3238" s="4" t="str">
        <f t="shared" si="336"/>
        <v>400048604A</v>
      </c>
      <c r="E3238" s="309" t="str">
        <f>VLOOKUP($B3238,'D7 - NDB Impacted SPRF''s'!$E$6:$O$9929,2,FALSE)</f>
        <v>CSP Providers Attached to Inactive Group Records</v>
      </c>
      <c r="F3238" s="8"/>
      <c r="G3238" s="8" t="s">
        <v>4758</v>
      </c>
      <c r="H3238" s="8" t="s">
        <v>5382</v>
      </c>
      <c r="I3238" s="20"/>
      <c r="J3238" s="8"/>
      <c r="K3238" s="182"/>
      <c r="L3238" s="8" t="s">
        <v>4156</v>
      </c>
      <c r="M3238" s="8" t="s">
        <v>2814</v>
      </c>
      <c r="N3238" s="38" t="s">
        <v>6508</v>
      </c>
      <c r="O3238" s="8"/>
      <c r="P3238" s="4" t="str">
        <f>VLOOKUP($B3238,'D7 - NDB Impacted SPRF''s'!$E$16:$O$9929,9,FALSE)</f>
        <v>N</v>
      </c>
      <c r="Q3238" s="4" t="str">
        <f>VLOOKUP($B3238,'D7 - NDB Impacted SPRF''s'!$E$16:$O$9929,10,FALSE)</f>
        <v>N</v>
      </c>
      <c r="R3238" s="4" t="str">
        <f>VLOOKUP($B3238,'D7 - NDB Impacted SPRF''s'!$E$16:$O$9929,11,FALSE)</f>
        <v>N</v>
      </c>
      <c r="S3238" s="8"/>
      <c r="T3238" s="310"/>
      <c r="U3238" s="310"/>
      <c r="V3238" s="4"/>
      <c r="W3238" s="4"/>
      <c r="X3238" s="4"/>
      <c r="Y3238" s="4"/>
      <c r="Z3238" s="4"/>
      <c r="AA3238" s="4"/>
      <c r="AB3238" s="380" t="str">
        <f>VLOOKUP($B3238,'D7 - NDB Impacted SPRF''s'!$E$6:$O$9929,4,FALSE)</f>
        <v>In Estimating</v>
      </c>
      <c r="AC3238" s="380" t="str">
        <f>VLOOKUP($B3238,'D7 - NDB Impacted SPRF''s'!$E$6:$O$9929,3,FALSE)</f>
        <v>UnitedHealthcare Community &amp; State</v>
      </c>
      <c r="AD3238" s="380" t="str">
        <f>VLOOKUP($B3238,'D7 - NDB Impacted SPRF''s'!$E$6:$O$9929,5,FALSE)</f>
        <v>AmeriChoice</v>
      </c>
      <c r="AE3238" s="380" t="str">
        <f>VLOOKUP($B3238,'D7 - NDB Impacted SPRF''s'!$E$6:$O$9929,7,FALSE)</f>
        <v>Chris Scherer</v>
      </c>
      <c r="AF3238" s="380" t="str">
        <f>VLOOKUP($B3238,'D7 - NDB Impacted SPRF''s'!$E$6:$O$9929,6,FALSE)</f>
        <v>Diane Kochol</v>
      </c>
      <c r="AG3238" s="282"/>
      <c r="AH3238" s="311" t="e">
        <f>INDEX('D5 - Gatekeeper - Projects'!$A$4:$AF$1010,$AM3238, 17)</f>
        <v>#N/A</v>
      </c>
      <c r="AI3238" s="8"/>
      <c r="AJ3238" s="57"/>
      <c r="AK3238" s="105"/>
      <c r="AM3238" s="6" t="e">
        <f>MATCH(D3238,'D5 - Gatekeeper - Projects'!$C$4:$C$1010,0)</f>
        <v>#N/A</v>
      </c>
      <c r="AN3238" s="6" t="b">
        <f t="shared" si="332"/>
        <v>1</v>
      </c>
      <c r="AO3238" s="6" t="str">
        <f t="shared" si="333"/>
        <v>OK</v>
      </c>
      <c r="AQ3238" s="6" t="e">
        <f>MATCH($D3238,'D4 - Provider Council Unsched'!$C$11:$C$234,0)</f>
        <v>#N/A</v>
      </c>
      <c r="AR3238" s="6" t="b">
        <f t="shared" si="334"/>
        <v>1</v>
      </c>
      <c r="AS3238" s="6" t="str">
        <f t="shared" si="335"/>
        <v>OK</v>
      </c>
      <c r="AU3238" s="202"/>
      <c r="AV3238" s="262" t="s">
        <v>1132</v>
      </c>
      <c r="AW3238" s="274"/>
    </row>
    <row r="3239" spans="1:49" s="13" customFormat="1" ht="22.5" x14ac:dyDescent="0.2">
      <c r="A3239" s="14">
        <v>3212</v>
      </c>
      <c r="B3239" s="8">
        <v>400048665</v>
      </c>
      <c r="C3239" s="8" t="s">
        <v>1447</v>
      </c>
      <c r="D3239" s="4" t="str">
        <f t="shared" si="336"/>
        <v>400048665A</v>
      </c>
      <c r="E3239" s="309" t="str">
        <f>VLOOKUP($B3239,'D7 - NDB Impacted SPRF''s'!$E$6:$O$9929,2,FALSE)</f>
        <v>HPHC JV Implementation on OHBS Facets</v>
      </c>
      <c r="F3239" s="8"/>
      <c r="G3239" s="8" t="s">
        <v>4758</v>
      </c>
      <c r="H3239" s="8" t="s">
        <v>5382</v>
      </c>
      <c r="I3239" s="20"/>
      <c r="J3239" s="8"/>
      <c r="K3239" s="182"/>
      <c r="L3239" s="8" t="s">
        <v>4156</v>
      </c>
      <c r="M3239" s="8" t="s">
        <v>2814</v>
      </c>
      <c r="N3239" s="38" t="s">
        <v>1375</v>
      </c>
      <c r="O3239" s="8"/>
      <c r="P3239" s="4" t="str">
        <f>VLOOKUP($B3239,'D7 - NDB Impacted SPRF''s'!$E$16:$O$9929,9,FALSE)</f>
        <v>N</v>
      </c>
      <c r="Q3239" s="4" t="str">
        <f>VLOOKUP($B3239,'D7 - NDB Impacted SPRF''s'!$E$16:$O$9929,10,FALSE)</f>
        <v>N</v>
      </c>
      <c r="R3239" s="4" t="str">
        <f>VLOOKUP($B3239,'D7 - NDB Impacted SPRF''s'!$E$16:$O$9929,11,FALSE)</f>
        <v>N</v>
      </c>
      <c r="S3239" s="8"/>
      <c r="T3239" s="310"/>
      <c r="U3239" s="310"/>
      <c r="V3239" s="4"/>
      <c r="W3239" s="4"/>
      <c r="X3239" s="4"/>
      <c r="Y3239" s="4"/>
      <c r="Z3239" s="4"/>
      <c r="AA3239" s="4"/>
      <c r="AB3239" s="380" t="str">
        <f>VLOOKUP($B3239,'D7 - NDB Impacted SPRF''s'!$E$6:$O$9929,4,FALSE)</f>
        <v>Completed</v>
      </c>
      <c r="AC3239" s="380" t="str">
        <f>VLOOKUP($B3239,'D7 - NDB Impacted SPRF''s'!$E$6:$O$9929,3,FALSE)</f>
        <v>OptumHealth</v>
      </c>
      <c r="AD3239" s="380" t="str">
        <f>VLOOKUP($B3239,'D7 - NDB Impacted SPRF''s'!$E$6:$O$9929,5,FALSE)</f>
        <v>Behavioral Solutions</v>
      </c>
      <c r="AE3239" s="380" t="str">
        <f>VLOOKUP($B3239,'D7 - NDB Impacted SPRF''s'!$E$6:$O$9929,7,FALSE)</f>
        <v>Lloyd Dyer</v>
      </c>
      <c r="AF3239" s="380" t="str">
        <f>VLOOKUP($B3239,'D7 - NDB Impacted SPRF''s'!$E$6:$O$9929,6,FALSE)</f>
        <v>Lisa Xiong</v>
      </c>
      <c r="AG3239" s="282"/>
      <c r="AH3239" s="311" t="e">
        <f>INDEX('D5 - Gatekeeper - Projects'!$A$4:$AF$1010,$AM3239, 17)</f>
        <v>#N/A</v>
      </c>
      <c r="AI3239" s="8"/>
      <c r="AJ3239" s="57"/>
      <c r="AK3239" s="105"/>
      <c r="AM3239" s="6" t="e">
        <f>MATCH(D3239,'D5 - Gatekeeper - Projects'!$C$4:$C$1010,0)</f>
        <v>#N/A</v>
      </c>
      <c r="AN3239" s="6" t="b">
        <f t="shared" si="332"/>
        <v>1</v>
      </c>
      <c r="AO3239" s="6" t="str">
        <f t="shared" si="333"/>
        <v>OK</v>
      </c>
      <c r="AQ3239" s="6" t="e">
        <f>MATCH($D3239,'D4 - Provider Council Unsched'!$C$11:$C$234,0)</f>
        <v>#N/A</v>
      </c>
      <c r="AR3239" s="6" t="b">
        <f t="shared" si="334"/>
        <v>1</v>
      </c>
      <c r="AS3239" s="6" t="str">
        <f t="shared" si="335"/>
        <v>OK</v>
      </c>
      <c r="AU3239" s="202"/>
      <c r="AV3239" s="216" t="s">
        <v>492</v>
      </c>
      <c r="AW3239" s="274"/>
    </row>
    <row r="3240" spans="1:49" s="13" customFormat="1" x14ac:dyDescent="0.2">
      <c r="A3240" s="14">
        <v>3213</v>
      </c>
      <c r="B3240" s="8">
        <v>400048986</v>
      </c>
      <c r="C3240" s="8" t="s">
        <v>1447</v>
      </c>
      <c r="D3240" s="4" t="str">
        <f t="shared" si="336"/>
        <v>400048986A</v>
      </c>
      <c r="E3240" s="309" t="e">
        <f>VLOOKUP($B3240,'D7 - NDB Impacted SPRF''s'!$E$6:$O$9929,2,FALSE)</f>
        <v>#N/A</v>
      </c>
      <c r="F3240" s="8"/>
      <c r="G3240" s="8" t="s">
        <v>4758</v>
      </c>
      <c r="H3240" s="8" t="s">
        <v>5382</v>
      </c>
      <c r="I3240" s="20"/>
      <c r="J3240" s="8"/>
      <c r="K3240" s="182"/>
      <c r="L3240" s="8" t="s">
        <v>4156</v>
      </c>
      <c r="M3240" s="8" t="s">
        <v>2814</v>
      </c>
      <c r="N3240" s="38"/>
      <c r="O3240" s="8"/>
      <c r="P3240" s="4" t="e">
        <f>VLOOKUP($B3240,'D7 - NDB Impacted SPRF''s'!$E$16:$O$9929,9,FALSE)</f>
        <v>#N/A</v>
      </c>
      <c r="Q3240" s="4" t="e">
        <f>VLOOKUP($B3240,'D7 - NDB Impacted SPRF''s'!$E$16:$O$9929,10,FALSE)</f>
        <v>#N/A</v>
      </c>
      <c r="R3240" s="4" t="e">
        <f>VLOOKUP($B3240,'D7 - NDB Impacted SPRF''s'!$E$16:$O$9929,11,FALSE)</f>
        <v>#N/A</v>
      </c>
      <c r="S3240" s="8"/>
      <c r="T3240" s="310"/>
      <c r="U3240" s="310"/>
      <c r="V3240" s="4"/>
      <c r="W3240" s="4"/>
      <c r="X3240" s="4"/>
      <c r="Y3240" s="4"/>
      <c r="Z3240" s="4"/>
      <c r="AA3240" s="4"/>
      <c r="AB3240" s="380" t="e">
        <f>VLOOKUP($B3240,'D7 - NDB Impacted SPRF''s'!$E$6:$O$9929,4,FALSE)</f>
        <v>#N/A</v>
      </c>
      <c r="AC3240" s="380" t="e">
        <f>VLOOKUP($B3240,'D7 - NDB Impacted SPRF''s'!$E$6:$O$9929,3,FALSE)</f>
        <v>#N/A</v>
      </c>
      <c r="AD3240" s="380" t="e">
        <f>VLOOKUP($B3240,'D7 - NDB Impacted SPRF''s'!$E$6:$O$9929,5,FALSE)</f>
        <v>#N/A</v>
      </c>
      <c r="AE3240" s="380" t="e">
        <f>VLOOKUP($B3240,'D7 - NDB Impacted SPRF''s'!$E$6:$O$9929,7,FALSE)</f>
        <v>#N/A</v>
      </c>
      <c r="AF3240" s="380" t="e">
        <f>VLOOKUP($B3240,'D7 - NDB Impacted SPRF''s'!$E$6:$O$9929,6,FALSE)</f>
        <v>#N/A</v>
      </c>
      <c r="AG3240" s="282"/>
      <c r="AH3240" s="311" t="e">
        <f>INDEX('D5 - Gatekeeper - Projects'!$A$4:$AF$1010,$AM3240, 17)</f>
        <v>#N/A</v>
      </c>
      <c r="AI3240" s="8"/>
      <c r="AJ3240" s="57"/>
      <c r="AK3240" s="105"/>
      <c r="AM3240" s="6" t="e">
        <f>MATCH(D3240,'D5 - Gatekeeper - Projects'!$C$4:$C$1010,0)</f>
        <v>#N/A</v>
      </c>
      <c r="AN3240" s="6" t="b">
        <f t="shared" si="332"/>
        <v>1</v>
      </c>
      <c r="AO3240" s="6" t="str">
        <f t="shared" si="333"/>
        <v>OK</v>
      </c>
      <c r="AQ3240" s="6" t="e">
        <f>MATCH($D3240,'D4 - Provider Council Unsched'!$C$11:$C$234,0)</f>
        <v>#N/A</v>
      </c>
      <c r="AR3240" s="6" t="b">
        <f t="shared" si="334"/>
        <v>1</v>
      </c>
      <c r="AS3240" s="6" t="str">
        <f t="shared" si="335"/>
        <v>OK</v>
      </c>
      <c r="AU3240" s="202"/>
      <c r="AV3240" s="216"/>
      <c r="AW3240" s="274"/>
    </row>
    <row r="3241" spans="1:49" s="13" customFormat="1" x14ac:dyDescent="0.2">
      <c r="A3241" s="14">
        <v>3214</v>
      </c>
      <c r="B3241" s="8">
        <v>400048987</v>
      </c>
      <c r="C3241" s="8" t="s">
        <v>1447</v>
      </c>
      <c r="D3241" s="4" t="str">
        <f t="shared" si="336"/>
        <v>400048987A</v>
      </c>
      <c r="E3241" s="309" t="e">
        <f>VLOOKUP($B3241,'D7 - NDB Impacted SPRF''s'!$E$6:$O$9929,2,FALSE)</f>
        <v>#N/A</v>
      </c>
      <c r="F3241" s="8"/>
      <c r="G3241" s="8" t="s">
        <v>4758</v>
      </c>
      <c r="H3241" s="8" t="s">
        <v>5382</v>
      </c>
      <c r="I3241" s="20"/>
      <c r="J3241" s="8"/>
      <c r="K3241" s="182"/>
      <c r="L3241" s="8" t="s">
        <v>4156</v>
      </c>
      <c r="M3241" s="8" t="s">
        <v>2814</v>
      </c>
      <c r="N3241" s="38"/>
      <c r="O3241" s="8"/>
      <c r="P3241" s="4" t="e">
        <f>VLOOKUP($B3241,'D7 - NDB Impacted SPRF''s'!$E$16:$O$9929,9,FALSE)</f>
        <v>#N/A</v>
      </c>
      <c r="Q3241" s="4" t="e">
        <f>VLOOKUP($B3241,'D7 - NDB Impacted SPRF''s'!$E$16:$O$9929,10,FALSE)</f>
        <v>#N/A</v>
      </c>
      <c r="R3241" s="4" t="e">
        <f>VLOOKUP($B3241,'D7 - NDB Impacted SPRF''s'!$E$16:$O$9929,11,FALSE)</f>
        <v>#N/A</v>
      </c>
      <c r="S3241" s="8"/>
      <c r="T3241" s="310"/>
      <c r="U3241" s="310"/>
      <c r="V3241" s="4"/>
      <c r="W3241" s="4"/>
      <c r="X3241" s="4"/>
      <c r="Y3241" s="4"/>
      <c r="Z3241" s="4"/>
      <c r="AA3241" s="4"/>
      <c r="AB3241" s="380" t="e">
        <f>VLOOKUP($B3241,'D7 - NDB Impacted SPRF''s'!$E$6:$O$9929,4,FALSE)</f>
        <v>#N/A</v>
      </c>
      <c r="AC3241" s="380" t="e">
        <f>VLOOKUP($B3241,'D7 - NDB Impacted SPRF''s'!$E$6:$O$9929,3,FALSE)</f>
        <v>#N/A</v>
      </c>
      <c r="AD3241" s="380" t="e">
        <f>VLOOKUP($B3241,'D7 - NDB Impacted SPRF''s'!$E$6:$O$9929,5,FALSE)</f>
        <v>#N/A</v>
      </c>
      <c r="AE3241" s="380" t="e">
        <f>VLOOKUP($B3241,'D7 - NDB Impacted SPRF''s'!$E$6:$O$9929,7,FALSE)</f>
        <v>#N/A</v>
      </c>
      <c r="AF3241" s="380" t="e">
        <f>VLOOKUP($B3241,'D7 - NDB Impacted SPRF''s'!$E$6:$O$9929,6,FALSE)</f>
        <v>#N/A</v>
      </c>
      <c r="AG3241" s="282"/>
      <c r="AH3241" s="311" t="e">
        <f>INDEX('D5 - Gatekeeper - Projects'!$A$4:$AF$1010,$AM3241, 17)</f>
        <v>#N/A</v>
      </c>
      <c r="AI3241" s="8"/>
      <c r="AJ3241" s="57"/>
      <c r="AK3241" s="105"/>
      <c r="AM3241" s="6" t="e">
        <f>MATCH(D3241,'D5 - Gatekeeper - Projects'!$C$4:$C$1010,0)</f>
        <v>#N/A</v>
      </c>
      <c r="AN3241" s="6" t="b">
        <f t="shared" si="332"/>
        <v>1</v>
      </c>
      <c r="AO3241" s="6" t="str">
        <f t="shared" si="333"/>
        <v>OK</v>
      </c>
      <c r="AQ3241" s="6" t="e">
        <f>MATCH($D3241,'D4 - Provider Council Unsched'!$C$11:$C$234,0)</f>
        <v>#N/A</v>
      </c>
      <c r="AR3241" s="6" t="b">
        <f t="shared" si="334"/>
        <v>1</v>
      </c>
      <c r="AS3241" s="6" t="str">
        <f t="shared" si="335"/>
        <v>OK</v>
      </c>
      <c r="AU3241" s="202"/>
      <c r="AV3241" s="216"/>
      <c r="AW3241" s="274"/>
    </row>
    <row r="3242" spans="1:49" s="13" customFormat="1" ht="33.75" x14ac:dyDescent="0.2">
      <c r="A3242" s="14">
        <v>3215</v>
      </c>
      <c r="B3242" s="8">
        <v>400049365</v>
      </c>
      <c r="C3242" s="8" t="s">
        <v>1447</v>
      </c>
      <c r="D3242" s="4" t="str">
        <f t="shared" si="336"/>
        <v>400049365A</v>
      </c>
      <c r="E3242" s="309" t="str">
        <f>VLOOKUP($B3242,'D7 - NDB Impacted SPRF''s'!$E$6:$O$9929,2,FALSE)</f>
        <v>Georgia Prompt Pay and ASO Interest Automation</v>
      </c>
      <c r="F3242" s="8"/>
      <c r="G3242" s="8" t="s">
        <v>4758</v>
      </c>
      <c r="H3242" s="8" t="s">
        <v>5382</v>
      </c>
      <c r="I3242" s="20"/>
      <c r="J3242" s="8"/>
      <c r="K3242" s="182"/>
      <c r="L3242" s="8" t="s">
        <v>4156</v>
      </c>
      <c r="M3242" s="8" t="s">
        <v>2814</v>
      </c>
      <c r="N3242" s="38" t="s">
        <v>1375</v>
      </c>
      <c r="O3242" s="8"/>
      <c r="P3242" s="4" t="str">
        <f>VLOOKUP($B3242,'D7 - NDB Impacted SPRF''s'!$E$16:$O$9929,9,FALSE)</f>
        <v>Y</v>
      </c>
      <c r="Q3242" s="4" t="str">
        <f>VLOOKUP($B3242,'D7 - NDB Impacted SPRF''s'!$E$16:$O$9929,10,FALSE)</f>
        <v>N</v>
      </c>
      <c r="R3242" s="4" t="str">
        <f>VLOOKUP($B3242,'D7 - NDB Impacted SPRF''s'!$E$16:$O$9929,11,FALSE)</f>
        <v>N</v>
      </c>
      <c r="S3242" s="8"/>
      <c r="T3242" s="310"/>
      <c r="U3242" s="310"/>
      <c r="V3242" s="4"/>
      <c r="W3242" s="4"/>
      <c r="X3242" s="4"/>
      <c r="Y3242" s="4"/>
      <c r="Z3242" s="4"/>
      <c r="AA3242" s="4"/>
      <c r="AB3242" s="380" t="str">
        <f>VLOOKUP($B3242,'D7 - NDB Impacted SPRF''s'!$E$6:$O$9929,4,FALSE)</f>
        <v>Completed</v>
      </c>
      <c r="AC3242" s="380" t="str">
        <f>VLOOKUP($B3242,'D7 - NDB Impacted SPRF''s'!$E$6:$O$9929,3,FALSE)</f>
        <v>UnitedHealthcare Employer &amp; Individual</v>
      </c>
      <c r="AD3242" s="380" t="str">
        <f>VLOOKUP($B3242,'D7 - NDB Impacted SPRF''s'!$E$6:$O$9929,5,FALSE)</f>
        <v>Regulatory / Other</v>
      </c>
      <c r="AE3242" s="380" t="str">
        <f>VLOOKUP($B3242,'D7 - NDB Impacted SPRF''s'!$E$6:$O$9929,7,FALSE)</f>
        <v>Jim Becker</v>
      </c>
      <c r="AF3242" s="380" t="str">
        <f>VLOOKUP($B3242,'D7 - NDB Impacted SPRF''s'!$E$6:$O$9929,6,FALSE)</f>
        <v>Jacqueline Buccini</v>
      </c>
      <c r="AG3242" s="282"/>
      <c r="AH3242" s="311" t="e">
        <f>INDEX('D5 - Gatekeeper - Projects'!$A$4:$AF$1010,$AM3242, 17)</f>
        <v>#N/A</v>
      </c>
      <c r="AI3242" s="8"/>
      <c r="AJ3242" s="57"/>
      <c r="AK3242" s="105"/>
      <c r="AM3242" s="6" t="e">
        <f>MATCH(D3242,'D5 - Gatekeeper - Projects'!$C$4:$C$1010,0)</f>
        <v>#N/A</v>
      </c>
      <c r="AN3242" s="6" t="b">
        <f t="shared" si="332"/>
        <v>1</v>
      </c>
      <c r="AO3242" s="6" t="str">
        <f t="shared" si="333"/>
        <v>OK</v>
      </c>
      <c r="AQ3242" s="6" t="e">
        <f>MATCH($D3242,'D4 - Provider Council Unsched'!$C$11:$C$234,0)</f>
        <v>#N/A</v>
      </c>
      <c r="AR3242" s="6" t="b">
        <f t="shared" si="334"/>
        <v>1</v>
      </c>
      <c r="AS3242" s="6" t="str">
        <f t="shared" si="335"/>
        <v>OK</v>
      </c>
      <c r="AU3242" s="202"/>
      <c r="AV3242" s="216" t="s">
        <v>1136</v>
      </c>
      <c r="AW3242" s="274">
        <v>54927</v>
      </c>
    </row>
    <row r="3243" spans="1:49" s="13" customFormat="1" ht="33.75" x14ac:dyDescent="0.2">
      <c r="A3243" s="14">
        <v>3216</v>
      </c>
      <c r="B3243" s="8">
        <v>400049612</v>
      </c>
      <c r="C3243" s="8" t="s">
        <v>1447</v>
      </c>
      <c r="D3243" s="4" t="str">
        <f t="shared" si="336"/>
        <v>400049612A</v>
      </c>
      <c r="E3243" s="309" t="str">
        <f>VLOOKUP($B3243,'D7 - NDB Impacted SPRF''s'!$E$6:$O$9929,2,FALSE)</f>
        <v>UNO Replacement A/O</v>
      </c>
      <c r="F3243" s="8"/>
      <c r="G3243" s="8" t="s">
        <v>4758</v>
      </c>
      <c r="H3243" s="8" t="s">
        <v>5382</v>
      </c>
      <c r="I3243" s="20"/>
      <c r="J3243" s="8"/>
      <c r="K3243" s="182"/>
      <c r="L3243" s="8" t="s">
        <v>4156</v>
      </c>
      <c r="M3243" s="8" t="s">
        <v>2814</v>
      </c>
      <c r="N3243" s="38" t="s">
        <v>2741</v>
      </c>
      <c r="O3243" s="8"/>
      <c r="P3243" s="4" t="str">
        <f>VLOOKUP($B3243,'D7 - NDB Impacted SPRF''s'!$E$16:$O$9929,9,FALSE)</f>
        <v>N</v>
      </c>
      <c r="Q3243" s="4" t="str">
        <f>VLOOKUP($B3243,'D7 - NDB Impacted SPRF''s'!$E$16:$O$9929,10,FALSE)</f>
        <v>N</v>
      </c>
      <c r="R3243" s="4" t="str">
        <f>VLOOKUP($B3243,'D7 - NDB Impacted SPRF''s'!$E$16:$O$9929,11,FALSE)</f>
        <v>N</v>
      </c>
      <c r="S3243" s="8"/>
      <c r="T3243" s="310"/>
      <c r="U3243" s="310"/>
      <c r="V3243" s="4"/>
      <c r="W3243" s="4"/>
      <c r="X3243" s="4"/>
      <c r="Y3243" s="4"/>
      <c r="Z3243" s="4"/>
      <c r="AA3243" s="4"/>
      <c r="AB3243" s="380" t="str">
        <f>VLOOKUP($B3243,'D7 - NDB Impacted SPRF''s'!$E$6:$O$9929,4,FALSE)</f>
        <v>Completed</v>
      </c>
      <c r="AC3243" s="380" t="str">
        <f>VLOOKUP($B3243,'D7 - NDB Impacted SPRF''s'!$E$6:$O$9929,3,FALSE)</f>
        <v>UnitedHealthcare Employer &amp; Individual</v>
      </c>
      <c r="AD3243" s="380" t="str">
        <f>VLOOKUP($B3243,'D7 - NDB Impacted SPRF''s'!$E$6:$O$9929,5,FALSE)</f>
        <v>Infrastructure Requirements</v>
      </c>
      <c r="AE3243" s="380" t="str">
        <f>VLOOKUP($B3243,'D7 - NDB Impacted SPRF''s'!$E$6:$O$9929,7,FALSE)</f>
        <v>Multiple - Sid Hegseth</v>
      </c>
      <c r="AF3243" s="380" t="str">
        <f>VLOOKUP($B3243,'D7 - NDB Impacted SPRF''s'!$E$6:$O$9929,6,FALSE)</f>
        <v>Robert Wright</v>
      </c>
      <c r="AG3243" s="282"/>
      <c r="AH3243" s="311" t="e">
        <f>INDEX('D5 - Gatekeeper - Projects'!$A$4:$AF$1010,$AM3243, 17)</f>
        <v>#N/A</v>
      </c>
      <c r="AI3243" s="8"/>
      <c r="AJ3243" s="57"/>
      <c r="AK3243" s="105"/>
      <c r="AM3243" s="6" t="e">
        <f>MATCH(D3243,'D5 - Gatekeeper - Projects'!$C$4:$C$1010,0)</f>
        <v>#N/A</v>
      </c>
      <c r="AN3243" s="6" t="b">
        <f t="shared" si="332"/>
        <v>1</v>
      </c>
      <c r="AO3243" s="6" t="str">
        <f t="shared" si="333"/>
        <v>OK</v>
      </c>
      <c r="AQ3243" s="6" t="e">
        <f>MATCH($D3243,'D4 - Provider Council Unsched'!$C$11:$C$234,0)</f>
        <v>#N/A</v>
      </c>
      <c r="AR3243" s="6" t="b">
        <f t="shared" si="334"/>
        <v>1</v>
      </c>
      <c r="AS3243" s="6" t="str">
        <f t="shared" si="335"/>
        <v>OK</v>
      </c>
      <c r="AU3243" s="202"/>
      <c r="AV3243" s="216"/>
      <c r="AW3243" s="274">
        <v>55271</v>
      </c>
    </row>
    <row r="3244" spans="1:49" s="13" customFormat="1" ht="33.75" x14ac:dyDescent="0.2">
      <c r="A3244" s="14">
        <v>3217</v>
      </c>
      <c r="B3244" s="14">
        <v>400049736</v>
      </c>
      <c r="C3244" s="8" t="s">
        <v>1447</v>
      </c>
      <c r="D3244" s="4" t="str">
        <f t="shared" si="336"/>
        <v>400049736A</v>
      </c>
      <c r="E3244" s="309" t="str">
        <f>VLOOKUP($B3244,'D7 - NDB Impacted SPRF''s'!$E$6:$O$9929,2,FALSE)</f>
        <v>OHIO RFP</v>
      </c>
      <c r="F3244" s="8"/>
      <c r="G3244" s="8" t="s">
        <v>4758</v>
      </c>
      <c r="H3244" s="8" t="s">
        <v>5382</v>
      </c>
      <c r="I3244" s="20"/>
      <c r="J3244" s="8"/>
      <c r="K3244" s="182"/>
      <c r="L3244" s="8" t="s">
        <v>4156</v>
      </c>
      <c r="M3244" s="8" t="s">
        <v>2814</v>
      </c>
      <c r="N3244" s="38" t="s">
        <v>898</v>
      </c>
      <c r="O3244" s="8"/>
      <c r="P3244" s="4" t="str">
        <f>VLOOKUP($B3244,'D7 - NDB Impacted SPRF''s'!$E$16:$O$9929,9,FALSE)</f>
        <v>N</v>
      </c>
      <c r="Q3244" s="4" t="str">
        <f>VLOOKUP($B3244,'D7 - NDB Impacted SPRF''s'!$E$16:$O$9929,10,FALSE)</f>
        <v>N</v>
      </c>
      <c r="R3244" s="4" t="str">
        <f>VLOOKUP($B3244,'D7 - NDB Impacted SPRF''s'!$E$16:$O$9929,11,FALSE)</f>
        <v>Y</v>
      </c>
      <c r="S3244" s="8"/>
      <c r="T3244" s="310"/>
      <c r="U3244" s="310"/>
      <c r="V3244" s="4"/>
      <c r="W3244" s="4"/>
      <c r="X3244" s="4"/>
      <c r="Y3244" s="4"/>
      <c r="Z3244" s="4"/>
      <c r="AA3244" s="4"/>
      <c r="AB3244" s="380" t="str">
        <f>VLOOKUP($B3244,'D7 - NDB Impacted SPRF''s'!$E$6:$O$9929,4,FALSE)</f>
        <v>Scheduled</v>
      </c>
      <c r="AC3244" s="380" t="str">
        <f>VLOOKUP($B3244,'D7 - NDB Impacted SPRF''s'!$E$6:$O$9929,3,FALSE)</f>
        <v>UnitedHealthcare Community &amp; State</v>
      </c>
      <c r="AD3244" s="380" t="str">
        <f>VLOOKUP($B3244,'D7 - NDB Impacted SPRF''s'!$E$6:$O$9929,5,FALSE)</f>
        <v>Membership Growth / Revenue Programs</v>
      </c>
      <c r="AE3244" s="380" t="str">
        <f>VLOOKUP($B3244,'D7 - NDB Impacted SPRF''s'!$E$6:$O$9929,7,FALSE)</f>
        <v>Tracy Davidson</v>
      </c>
      <c r="AF3244" s="380" t="str">
        <f>VLOOKUP($B3244,'D7 - NDB Impacted SPRF''s'!$E$6:$O$9929,6,FALSE)</f>
        <v>Susan Dora</v>
      </c>
      <c r="AG3244" s="282"/>
      <c r="AH3244" s="311" t="e">
        <f>INDEX('D5 - Gatekeeper - Projects'!$A$4:$AF$1010,$AM3244, 17)</f>
        <v>#N/A</v>
      </c>
      <c r="AI3244" s="8"/>
      <c r="AJ3244" s="57"/>
      <c r="AK3244" s="105"/>
      <c r="AM3244" s="6" t="e">
        <f>MATCH(D3244,'D5 - Gatekeeper - Projects'!$C$4:$C$1010,0)</f>
        <v>#N/A</v>
      </c>
      <c r="AN3244" s="6" t="b">
        <f t="shared" si="332"/>
        <v>1</v>
      </c>
      <c r="AO3244" s="6" t="str">
        <f t="shared" si="333"/>
        <v>OK</v>
      </c>
      <c r="AQ3244" s="6" t="e">
        <f>MATCH($D3244,'D4 - Provider Council Unsched'!$C$11:$C$234,0)</f>
        <v>#N/A</v>
      </c>
      <c r="AR3244" s="6" t="b">
        <f t="shared" si="334"/>
        <v>1</v>
      </c>
      <c r="AS3244" s="6" t="str">
        <f t="shared" si="335"/>
        <v>OK</v>
      </c>
      <c r="AU3244" s="202"/>
      <c r="AV3244" s="216"/>
      <c r="AW3244" s="274"/>
    </row>
    <row r="3245" spans="1:49" s="13" customFormat="1" ht="33.75" x14ac:dyDescent="0.2">
      <c r="A3245" s="14">
        <v>3218</v>
      </c>
      <c r="B3245" s="8">
        <v>400049826</v>
      </c>
      <c r="C3245" s="8" t="s">
        <v>1447</v>
      </c>
      <c r="D3245" s="4" t="str">
        <f t="shared" si="336"/>
        <v>400049826A</v>
      </c>
      <c r="E3245" s="309" t="str">
        <f>VLOOKUP($B3245,'D7 - NDB Impacted SPRF''s'!$E$6:$O$9929,2,FALSE)</f>
        <v xml:space="preserve">Exchange Analysis </v>
      </c>
      <c r="F3245" s="8"/>
      <c r="G3245" s="8" t="s">
        <v>4758</v>
      </c>
      <c r="H3245" s="8" t="s">
        <v>5382</v>
      </c>
      <c r="I3245" s="20"/>
      <c r="J3245" s="8"/>
      <c r="K3245" s="182"/>
      <c r="L3245" s="8" t="s">
        <v>4156</v>
      </c>
      <c r="M3245" s="8" t="s">
        <v>2814</v>
      </c>
      <c r="N3245" s="38" t="s">
        <v>7171</v>
      </c>
      <c r="O3245" s="8"/>
      <c r="P3245" s="4" t="str">
        <f>VLOOKUP($B3245,'D7 - NDB Impacted SPRF''s'!$E$16:$O$9929,9,FALSE)</f>
        <v>N</v>
      </c>
      <c r="Q3245" s="4" t="str">
        <f>VLOOKUP($B3245,'D7 - NDB Impacted SPRF''s'!$E$16:$O$9929,10,FALSE)</f>
        <v>N</v>
      </c>
      <c r="R3245" s="4" t="str">
        <f>VLOOKUP($B3245,'D7 - NDB Impacted SPRF''s'!$E$16:$O$9929,11,FALSE)</f>
        <v>N</v>
      </c>
      <c r="S3245" s="8"/>
      <c r="T3245" s="310"/>
      <c r="U3245" s="310"/>
      <c r="V3245" s="4"/>
      <c r="W3245" s="4"/>
      <c r="X3245" s="4"/>
      <c r="Y3245" s="4"/>
      <c r="Z3245" s="4"/>
      <c r="AA3245" s="4"/>
      <c r="AB3245" s="380" t="str">
        <f>VLOOKUP($B3245,'D7 - NDB Impacted SPRF''s'!$E$6:$O$9929,4,FALSE)</f>
        <v>Completed</v>
      </c>
      <c r="AC3245" s="380" t="str">
        <f>VLOOKUP($B3245,'D7 - NDB Impacted SPRF''s'!$E$6:$O$9929,3,FALSE)</f>
        <v>UnitedHealthcare Employer &amp; Individual</v>
      </c>
      <c r="AD3245" s="380" t="str">
        <f>VLOOKUP($B3245,'D7 - NDB Impacted SPRF''s'!$E$6:$O$9929,5,FALSE)</f>
        <v>Regulatory / Other</v>
      </c>
      <c r="AE3245" s="380" t="str">
        <f>VLOOKUP($B3245,'D7 - NDB Impacted SPRF''s'!$E$6:$O$9929,7,FALSE)</f>
        <v>Liz Canis</v>
      </c>
      <c r="AF3245" s="380" t="str">
        <f>VLOOKUP($B3245,'D7 - NDB Impacted SPRF''s'!$E$6:$O$9929,6,FALSE)</f>
        <v>SUSAN TONKIN</v>
      </c>
      <c r="AG3245" s="282"/>
      <c r="AH3245" s="311" t="e">
        <f>INDEX('D5 - Gatekeeper - Projects'!$A$4:$AF$1010,$AM3245, 17)</f>
        <v>#N/A</v>
      </c>
      <c r="AI3245" s="8"/>
      <c r="AJ3245" s="57"/>
      <c r="AK3245" s="105"/>
      <c r="AM3245" s="6" t="e">
        <f>MATCH(D3245,'D5 - Gatekeeper - Projects'!$C$4:$C$1010,0)</f>
        <v>#N/A</v>
      </c>
      <c r="AN3245" s="6" t="b">
        <f t="shared" si="332"/>
        <v>1</v>
      </c>
      <c r="AO3245" s="6" t="str">
        <f t="shared" si="333"/>
        <v>OK</v>
      </c>
      <c r="AQ3245" s="6" t="e">
        <f>MATCH($D3245,'D4 - Provider Council Unsched'!$C$11:$C$234,0)</f>
        <v>#N/A</v>
      </c>
      <c r="AR3245" s="6" t="b">
        <f t="shared" si="334"/>
        <v>1</v>
      </c>
      <c r="AS3245" s="6" t="str">
        <f t="shared" si="335"/>
        <v>OK</v>
      </c>
      <c r="AU3245" s="202"/>
      <c r="AV3245" s="349" t="s">
        <v>1086</v>
      </c>
      <c r="AW3245" s="274"/>
    </row>
    <row r="3246" spans="1:49" s="13" customFormat="1" ht="33.75" x14ac:dyDescent="0.2">
      <c r="A3246" s="14">
        <v>3219</v>
      </c>
      <c r="B3246" s="8">
        <v>400050210</v>
      </c>
      <c r="C3246" s="8" t="s">
        <v>1447</v>
      </c>
      <c r="D3246" s="4" t="str">
        <f t="shared" si="336"/>
        <v>400050210A</v>
      </c>
      <c r="E3246" s="309" t="str">
        <f>VLOOKUP($B3246,'D7 - NDB Impacted SPRF''s'!$E$6:$O$9929,2,FALSE)</f>
        <v>Nebraska new State Requirements</v>
      </c>
      <c r="F3246" s="8"/>
      <c r="G3246" s="8" t="s">
        <v>4758</v>
      </c>
      <c r="H3246" s="8" t="s">
        <v>5382</v>
      </c>
      <c r="I3246" s="20"/>
      <c r="J3246" s="8"/>
      <c r="K3246" s="182"/>
      <c r="L3246" s="8" t="s">
        <v>4156</v>
      </c>
      <c r="M3246" s="8" t="s">
        <v>2814</v>
      </c>
      <c r="N3246" s="365" t="s">
        <v>8020</v>
      </c>
      <c r="O3246" s="8" t="s">
        <v>7420</v>
      </c>
      <c r="P3246" s="4" t="str">
        <f>VLOOKUP($B3246,'D7 - NDB Impacted SPRF''s'!$E$16:$O$9929,9,FALSE)</f>
        <v>N</v>
      </c>
      <c r="Q3246" s="4" t="str">
        <f>VLOOKUP($B3246,'D7 - NDB Impacted SPRF''s'!$E$16:$O$9929,10,FALSE)</f>
        <v>N</v>
      </c>
      <c r="R3246" s="4" t="str">
        <f>VLOOKUP($B3246,'D7 - NDB Impacted SPRF''s'!$E$16:$O$9929,11,FALSE)</f>
        <v>N</v>
      </c>
      <c r="S3246" s="8"/>
      <c r="T3246" s="310"/>
      <c r="U3246" s="310"/>
      <c r="V3246" s="4"/>
      <c r="W3246" s="4"/>
      <c r="X3246" s="4"/>
      <c r="Y3246" s="4"/>
      <c r="Z3246" s="4"/>
      <c r="AA3246" s="4"/>
      <c r="AB3246" s="380" t="str">
        <f>VLOOKUP($B3246,'D7 - NDB Impacted SPRF''s'!$E$6:$O$9929,4,FALSE)</f>
        <v>Scheduled</v>
      </c>
      <c r="AC3246" s="380" t="str">
        <f>VLOOKUP($B3246,'D7 - NDB Impacted SPRF''s'!$E$6:$O$9929,3,FALSE)</f>
        <v>UnitedHealthcare Community &amp; State</v>
      </c>
      <c r="AD3246" s="380" t="str">
        <f>VLOOKUP($B3246,'D7 - NDB Impacted SPRF''s'!$E$6:$O$9929,5,FALSE)</f>
        <v>Regulatory / Other</v>
      </c>
      <c r="AE3246" s="380" t="str">
        <f>VLOOKUP($B3246,'D7 - NDB Impacted SPRF''s'!$E$6:$O$9929,7,FALSE)</f>
        <v>Chris Scherer</v>
      </c>
      <c r="AF3246" s="380" t="str">
        <f>VLOOKUP($B3246,'D7 - NDB Impacted SPRF''s'!$E$6:$O$9929,6,FALSE)</f>
        <v>Heather Johnson</v>
      </c>
      <c r="AG3246" s="282"/>
      <c r="AH3246" s="311" t="e">
        <f>INDEX('D5 - Gatekeeper - Projects'!$A$4:$AF$1010,$AM3246, 17)</f>
        <v>#N/A</v>
      </c>
      <c r="AI3246" s="8"/>
      <c r="AJ3246" s="57"/>
      <c r="AK3246" s="105"/>
      <c r="AM3246" s="6" t="e">
        <f>MATCH(D3246,'D5 - Gatekeeper - Projects'!$C$4:$C$1010,0)</f>
        <v>#N/A</v>
      </c>
      <c r="AN3246" s="6" t="b">
        <f t="shared" si="332"/>
        <v>1</v>
      </c>
      <c r="AO3246" s="6" t="str">
        <f t="shared" si="333"/>
        <v>OK</v>
      </c>
      <c r="AQ3246" s="6" t="e">
        <f>MATCH($D3246,'D4 - Provider Council Unsched'!$C$11:$C$234,0)</f>
        <v>#N/A</v>
      </c>
      <c r="AR3246" s="6" t="b">
        <f t="shared" si="334"/>
        <v>1</v>
      </c>
      <c r="AS3246" s="6" t="str">
        <f t="shared" si="335"/>
        <v>OK</v>
      </c>
      <c r="AU3246" s="202"/>
      <c r="AV3246" s="216" t="s">
        <v>2772</v>
      </c>
      <c r="AW3246" s="274">
        <v>56417</v>
      </c>
    </row>
    <row r="3247" spans="1:49" s="13" customFormat="1" ht="33.75" x14ac:dyDescent="0.2">
      <c r="A3247" s="14">
        <v>3220</v>
      </c>
      <c r="B3247" s="8">
        <v>400050298</v>
      </c>
      <c r="C3247" s="8" t="s">
        <v>1447</v>
      </c>
      <c r="D3247" s="4" t="str">
        <f t="shared" si="336"/>
        <v>400050298A</v>
      </c>
      <c r="E3247" s="309" t="str">
        <f>VLOOKUP($B3247,'D7 - NDB Impacted SPRF''s'!$E$6:$O$9929,2,FALSE)</f>
        <v>Nebraska new State Requirements - Diamond</v>
      </c>
      <c r="F3247" s="8"/>
      <c r="G3247" s="8" t="s">
        <v>4758</v>
      </c>
      <c r="H3247" s="8" t="s">
        <v>5382</v>
      </c>
      <c r="I3247" s="20"/>
      <c r="J3247" s="8"/>
      <c r="K3247" s="182"/>
      <c r="L3247" s="8" t="s">
        <v>4156</v>
      </c>
      <c r="M3247" s="8" t="s">
        <v>2814</v>
      </c>
      <c r="N3247" s="38" t="s">
        <v>227</v>
      </c>
      <c r="O3247" s="8"/>
      <c r="P3247" s="4" t="str">
        <f>VLOOKUP($B3247,'D7 - NDB Impacted SPRF''s'!$E$16:$O$9929,9,FALSE)</f>
        <v>N</v>
      </c>
      <c r="Q3247" s="4" t="str">
        <f>VLOOKUP($B3247,'D7 - NDB Impacted SPRF''s'!$E$16:$O$9929,10,FALSE)</f>
        <v>N</v>
      </c>
      <c r="R3247" s="4" t="str">
        <f>VLOOKUP($B3247,'D7 - NDB Impacted SPRF''s'!$E$16:$O$9929,11,FALSE)</f>
        <v>N</v>
      </c>
      <c r="S3247" s="8"/>
      <c r="T3247" s="310"/>
      <c r="U3247" s="310"/>
      <c r="V3247" s="4"/>
      <c r="W3247" s="4"/>
      <c r="X3247" s="4"/>
      <c r="Y3247" s="4"/>
      <c r="Z3247" s="4"/>
      <c r="AA3247" s="4"/>
      <c r="AB3247" s="380" t="str">
        <f>VLOOKUP($B3247,'D7 - NDB Impacted SPRF''s'!$E$6:$O$9929,4,FALSE)</f>
        <v>Completed</v>
      </c>
      <c r="AC3247" s="380" t="str">
        <f>VLOOKUP($B3247,'D7 - NDB Impacted SPRF''s'!$E$6:$O$9929,3,FALSE)</f>
        <v>UnitedHealthcare Community &amp; State</v>
      </c>
      <c r="AD3247" s="380" t="str">
        <f>VLOOKUP($B3247,'D7 - NDB Impacted SPRF''s'!$E$6:$O$9929,5,FALSE)</f>
        <v>Regulatory / Other</v>
      </c>
      <c r="AE3247" s="380" t="str">
        <f>VLOOKUP($B3247,'D7 - NDB Impacted SPRF''s'!$E$6:$O$9929,7,FALSE)</f>
        <v xml:space="preserve">Chris Scherer </v>
      </c>
      <c r="AF3247" s="380" t="str">
        <f>VLOOKUP($B3247,'D7 - NDB Impacted SPRF''s'!$E$6:$O$9929,6,FALSE)</f>
        <v>Heather Johnson</v>
      </c>
      <c r="AG3247" s="282"/>
      <c r="AH3247" s="311" t="e">
        <f>INDEX('D5 - Gatekeeper - Projects'!$A$4:$AF$1010,$AM3247, 17)</f>
        <v>#N/A</v>
      </c>
      <c r="AI3247" s="8"/>
      <c r="AJ3247" s="57"/>
      <c r="AK3247" s="105"/>
      <c r="AM3247" s="6" t="e">
        <f>MATCH(D3247,'D5 - Gatekeeper - Projects'!$C$4:$C$1010,0)</f>
        <v>#N/A</v>
      </c>
      <c r="AN3247" s="6" t="b">
        <f t="shared" si="332"/>
        <v>1</v>
      </c>
      <c r="AO3247" s="6" t="str">
        <f t="shared" si="333"/>
        <v>OK</v>
      </c>
      <c r="AQ3247" s="6" t="e">
        <f>MATCH($D3247,'D4 - Provider Council Unsched'!$C$11:$C$234,0)</f>
        <v>#N/A</v>
      </c>
      <c r="AR3247" s="6" t="b">
        <f t="shared" si="334"/>
        <v>1</v>
      </c>
      <c r="AS3247" s="6" t="str">
        <f t="shared" si="335"/>
        <v>OK</v>
      </c>
      <c r="AU3247" s="202"/>
      <c r="AV3247" s="216" t="s">
        <v>1090</v>
      </c>
      <c r="AW3247" s="274"/>
    </row>
    <row r="3248" spans="1:49" s="13" customFormat="1" ht="45" x14ac:dyDescent="0.2">
      <c r="A3248" s="14">
        <v>3221</v>
      </c>
      <c r="B3248" s="8">
        <v>400050431</v>
      </c>
      <c r="C3248" s="8" t="s">
        <v>1447</v>
      </c>
      <c r="D3248" s="4" t="str">
        <f t="shared" si="336"/>
        <v>400050431A</v>
      </c>
      <c r="E3248" s="309" t="str">
        <f>VLOOKUP($B3248,'D7 - NDB Impacted SPRF''s'!$E$6:$O$9929,2,FALSE)</f>
        <v>Establish instance of NICE in Zulu (A&amp;D)</v>
      </c>
      <c r="F3248" s="8"/>
      <c r="G3248" s="8" t="s">
        <v>4758</v>
      </c>
      <c r="H3248" s="8" t="s">
        <v>5382</v>
      </c>
      <c r="I3248" s="20"/>
      <c r="J3248" s="8"/>
      <c r="K3248" s="182"/>
      <c r="L3248" s="8" t="s">
        <v>4156</v>
      </c>
      <c r="M3248" s="8" t="s">
        <v>2814</v>
      </c>
      <c r="N3248" s="38" t="s">
        <v>427</v>
      </c>
      <c r="O3248" s="8"/>
      <c r="P3248" s="4" t="str">
        <f>VLOOKUP($B3248,'D7 - NDB Impacted SPRF''s'!$E$16:$O$9929,9,FALSE)</f>
        <v>N</v>
      </c>
      <c r="Q3248" s="4" t="str">
        <f>VLOOKUP($B3248,'D7 - NDB Impacted SPRF''s'!$E$16:$O$9929,10,FALSE)</f>
        <v>N</v>
      </c>
      <c r="R3248" s="4" t="str">
        <f>VLOOKUP($B3248,'D7 - NDB Impacted SPRF''s'!$E$16:$O$9929,11,FALSE)</f>
        <v>N</v>
      </c>
      <c r="S3248" s="8"/>
      <c r="T3248" s="310"/>
      <c r="U3248" s="310"/>
      <c r="V3248" s="4"/>
      <c r="W3248" s="4"/>
      <c r="X3248" s="4"/>
      <c r="Y3248" s="4"/>
      <c r="Z3248" s="4"/>
      <c r="AA3248" s="4"/>
      <c r="AB3248" s="380" t="str">
        <f>VLOOKUP($B3248,'D7 - NDB Impacted SPRF''s'!$E$6:$O$9929,4,FALSE)</f>
        <v>In Estimating</v>
      </c>
      <c r="AC3248" s="380" t="str">
        <f>VLOOKUP($B3248,'D7 - NDB Impacted SPRF''s'!$E$6:$O$9929,3,FALSE)</f>
        <v>UHG IT - Enterprise Technology Services</v>
      </c>
      <c r="AD3248" s="380" t="str">
        <f>VLOOKUP($B3248,'D7 - NDB Impacted SPRF''s'!$E$6:$O$9929,5,FALSE)</f>
        <v>ASG</v>
      </c>
      <c r="AE3248" s="380" t="str">
        <f>VLOOKUP($B3248,'D7 - NDB Impacted SPRF''s'!$E$6:$O$9929,7,FALSE)</f>
        <v>Mark Duhaime</v>
      </c>
      <c r="AF3248" s="380" t="str">
        <f>VLOOKUP($B3248,'D7 - NDB Impacted SPRF''s'!$E$6:$O$9929,6,FALSE)</f>
        <v>PETER ERNEST</v>
      </c>
      <c r="AG3248" s="282"/>
      <c r="AH3248" s="311" t="e">
        <f>INDEX('D5 - Gatekeeper - Projects'!$A$4:$AF$1010,$AM3248, 17)</f>
        <v>#N/A</v>
      </c>
      <c r="AI3248" s="8"/>
      <c r="AJ3248" s="57"/>
      <c r="AK3248" s="105"/>
      <c r="AM3248" s="6" t="e">
        <f>MATCH(D3248,'D5 - Gatekeeper - Projects'!$C$4:$C$1010,0)</f>
        <v>#N/A</v>
      </c>
      <c r="AN3248" s="6" t="b">
        <f t="shared" si="332"/>
        <v>1</v>
      </c>
      <c r="AO3248" s="6" t="str">
        <f t="shared" si="333"/>
        <v>OK</v>
      </c>
      <c r="AQ3248" s="6" t="e">
        <f>MATCH($D3248,'D4 - Provider Council Unsched'!$C$11:$C$234,0)</f>
        <v>#N/A</v>
      </c>
      <c r="AR3248" s="6" t="b">
        <f t="shared" si="334"/>
        <v>1</v>
      </c>
      <c r="AS3248" s="6" t="str">
        <f t="shared" ref="AS3248:AS3279" si="337">IF(AND(H3248="2 - Not Scheduled",AR3248=TRUE,C3248="R1"),"Add","OK")</f>
        <v>OK</v>
      </c>
      <c r="AU3248" s="202"/>
      <c r="AV3248" s="216" t="s">
        <v>1079</v>
      </c>
      <c r="AW3248" s="274">
        <v>57139</v>
      </c>
    </row>
    <row r="3249" spans="1:49" s="13" customFormat="1" ht="33.75" x14ac:dyDescent="0.2">
      <c r="A3249" s="14">
        <v>3222</v>
      </c>
      <c r="B3249" s="8">
        <v>400050546</v>
      </c>
      <c r="C3249" s="8" t="s">
        <v>1447</v>
      </c>
      <c r="D3249" s="4" t="str">
        <f t="shared" ref="D3249:D3280" si="338">CONCATENATE(B3249,C3249)</f>
        <v>400050546A</v>
      </c>
      <c r="E3249" s="309" t="str">
        <f>VLOOKUP($B3249,'D7 - NDB Impacted SPRF''s'!$E$6:$O$9929,2,FALSE)</f>
        <v>TennCare Provider File Changes</v>
      </c>
      <c r="F3249" s="8"/>
      <c r="G3249" s="8" t="s">
        <v>4758</v>
      </c>
      <c r="H3249" s="8" t="s">
        <v>5382</v>
      </c>
      <c r="I3249" s="20"/>
      <c r="J3249" s="8"/>
      <c r="K3249" s="182"/>
      <c r="L3249" s="8" t="s">
        <v>4156</v>
      </c>
      <c r="M3249" s="8" t="s">
        <v>2814</v>
      </c>
      <c r="N3249" s="38" t="s">
        <v>5492</v>
      </c>
      <c r="O3249" s="8"/>
      <c r="P3249" s="4" t="str">
        <f>VLOOKUP($B3249,'D7 - NDB Impacted SPRF''s'!$E$16:$O$9929,9,FALSE)</f>
        <v>N</v>
      </c>
      <c r="Q3249" s="4" t="str">
        <f>VLOOKUP($B3249,'D7 - NDB Impacted SPRF''s'!$E$16:$O$9929,10,FALSE)</f>
        <v>N</v>
      </c>
      <c r="R3249" s="4" t="str">
        <f>VLOOKUP($B3249,'D7 - NDB Impacted SPRF''s'!$E$16:$O$9929,11,FALSE)</f>
        <v>N</v>
      </c>
      <c r="S3249" s="8"/>
      <c r="T3249" s="310"/>
      <c r="U3249" s="310"/>
      <c r="V3249" s="4"/>
      <c r="W3249" s="4"/>
      <c r="X3249" s="4"/>
      <c r="Y3249" s="4"/>
      <c r="Z3249" s="4"/>
      <c r="AA3249" s="4"/>
      <c r="AB3249" s="380" t="str">
        <f>VLOOKUP($B3249,'D7 - NDB Impacted SPRF''s'!$E$6:$O$9929,4,FALSE)</f>
        <v>Cancelled</v>
      </c>
      <c r="AC3249" s="380" t="str">
        <f>VLOOKUP($B3249,'D7 - NDB Impacted SPRF''s'!$E$6:$O$9929,3,FALSE)</f>
        <v>UnitedHealthcare Community &amp; State</v>
      </c>
      <c r="AD3249" s="380" t="str">
        <f>VLOOKUP($B3249,'D7 - NDB Impacted SPRF''s'!$E$6:$O$9929,5,FALSE)</f>
        <v>Regulatory / Other</v>
      </c>
      <c r="AE3249" s="380" t="str">
        <f>VLOOKUP($B3249,'D7 - NDB Impacted SPRF''s'!$E$6:$O$9929,7,FALSE)</f>
        <v>Winnie Toler</v>
      </c>
      <c r="AF3249" s="380" t="str">
        <f>VLOOKUP($B3249,'D7 - NDB Impacted SPRF''s'!$E$6:$O$9929,6,FALSE)</f>
        <v>Mark Auletta</v>
      </c>
      <c r="AG3249" s="282"/>
      <c r="AH3249" s="311" t="e">
        <f>INDEX('D5 - Gatekeeper - Projects'!$A$4:$AF$1010,$AM3249, 17)</f>
        <v>#N/A</v>
      </c>
      <c r="AI3249" s="8"/>
      <c r="AJ3249" s="57"/>
      <c r="AK3249" s="105"/>
      <c r="AM3249" s="6" t="e">
        <f>MATCH(D3249,'D5 - Gatekeeper - Projects'!$C$4:$C$1010,0)</f>
        <v>#N/A</v>
      </c>
      <c r="AN3249" s="6" t="b">
        <f t="shared" si="332"/>
        <v>1</v>
      </c>
      <c r="AO3249" s="6" t="str">
        <f t="shared" si="333"/>
        <v>OK</v>
      </c>
      <c r="AQ3249" s="6" t="e">
        <f>MATCH($D3249,'D4 - Provider Council Unsched'!$C$11:$C$234,0)</f>
        <v>#N/A</v>
      </c>
      <c r="AR3249" s="6" t="b">
        <f t="shared" si="334"/>
        <v>1</v>
      </c>
      <c r="AS3249" s="6" t="str">
        <f t="shared" si="337"/>
        <v>OK</v>
      </c>
      <c r="AU3249" s="202"/>
      <c r="AV3249" s="216" t="s">
        <v>470</v>
      </c>
      <c r="AW3249" s="274"/>
    </row>
    <row r="3250" spans="1:49" s="13" customFormat="1" ht="33.75" x14ac:dyDescent="0.2">
      <c r="A3250" s="14">
        <v>3223</v>
      </c>
      <c r="B3250" s="8">
        <v>400050574</v>
      </c>
      <c r="C3250" s="8" t="s">
        <v>1447</v>
      </c>
      <c r="D3250" s="4" t="str">
        <f t="shared" si="338"/>
        <v>400050574A</v>
      </c>
      <c r="E3250" s="309" t="str">
        <f>VLOOKUP($B3250,'D7 - NDB Impacted SPRF''s'!$E$6:$O$9929,2,FALSE)</f>
        <v>ICD-10 UMR Enterprise Testing</v>
      </c>
      <c r="F3250" s="8"/>
      <c r="G3250" s="8" t="s">
        <v>4758</v>
      </c>
      <c r="H3250" s="8" t="s">
        <v>5382</v>
      </c>
      <c r="I3250" s="20"/>
      <c r="J3250" s="8"/>
      <c r="K3250" s="182"/>
      <c r="L3250" s="8" t="s">
        <v>4156</v>
      </c>
      <c r="M3250" s="8" t="s">
        <v>2814</v>
      </c>
      <c r="N3250" s="38" t="s">
        <v>228</v>
      </c>
      <c r="O3250" s="8"/>
      <c r="P3250" s="4" t="str">
        <f>VLOOKUP($B3250,'D7 - NDB Impacted SPRF''s'!$E$16:$O$9929,9,FALSE)</f>
        <v>N</v>
      </c>
      <c r="Q3250" s="4" t="str">
        <f>VLOOKUP($B3250,'D7 - NDB Impacted SPRF''s'!$E$16:$O$9929,10,FALSE)</f>
        <v>N</v>
      </c>
      <c r="R3250" s="4" t="str">
        <f>VLOOKUP($B3250,'D7 - NDB Impacted SPRF''s'!$E$16:$O$9929,11,FALSE)</f>
        <v>Y</v>
      </c>
      <c r="S3250" s="8"/>
      <c r="T3250" s="310"/>
      <c r="U3250" s="310"/>
      <c r="V3250" s="4"/>
      <c r="W3250" s="4"/>
      <c r="X3250" s="4"/>
      <c r="Y3250" s="4"/>
      <c r="Z3250" s="4"/>
      <c r="AA3250" s="4"/>
      <c r="AB3250" s="380" t="str">
        <f>VLOOKUP($B3250,'D7 - NDB Impacted SPRF''s'!$E$6:$O$9929,4,FALSE)</f>
        <v>In Estimating</v>
      </c>
      <c r="AC3250" s="380" t="str">
        <f>VLOOKUP($B3250,'D7 - NDB Impacted SPRF''s'!$E$6:$O$9929,3,FALSE)</f>
        <v>UnitedHealthcare Employer &amp; Individual</v>
      </c>
      <c r="AD3250" s="380" t="str">
        <f>VLOOKUP($B3250,'D7 - NDB Impacted SPRF''s'!$E$6:$O$9929,5,FALSE)</f>
        <v>Regulatory / Other</v>
      </c>
      <c r="AE3250" s="380" t="str">
        <f>VLOOKUP($B3250,'D7 - NDB Impacted SPRF''s'!$E$6:$O$9929,7,FALSE)</f>
        <v>Tim Kaja</v>
      </c>
      <c r="AF3250" s="380" t="str">
        <f>VLOOKUP($B3250,'D7 - NDB Impacted SPRF''s'!$E$6:$O$9929,6,FALSE)</f>
        <v>Melissa McKelvey</v>
      </c>
      <c r="AG3250" s="282"/>
      <c r="AH3250" s="311" t="e">
        <f>INDEX('D5 - Gatekeeper - Projects'!$A$4:$AF$1010,$AM3250, 17)</f>
        <v>#N/A</v>
      </c>
      <c r="AI3250" s="8"/>
      <c r="AJ3250" s="57"/>
      <c r="AK3250" s="105"/>
      <c r="AM3250" s="6" t="e">
        <f>MATCH(D3250,'D5 - Gatekeeper - Projects'!$C$4:$C$1010,0)</f>
        <v>#N/A</v>
      </c>
      <c r="AN3250" s="6" t="b">
        <f t="shared" si="332"/>
        <v>1</v>
      </c>
      <c r="AO3250" s="6" t="str">
        <f t="shared" si="333"/>
        <v>OK</v>
      </c>
      <c r="AQ3250" s="6" t="e">
        <f>MATCH($D3250,'D4 - Provider Council Unsched'!$C$11:$C$234,0)</f>
        <v>#N/A</v>
      </c>
      <c r="AR3250" s="6" t="b">
        <f t="shared" si="334"/>
        <v>1</v>
      </c>
      <c r="AS3250" s="6" t="str">
        <f t="shared" si="337"/>
        <v>OK</v>
      </c>
      <c r="AU3250" s="202"/>
      <c r="AV3250" s="216" t="s">
        <v>494</v>
      </c>
      <c r="AW3250" s="274"/>
    </row>
    <row r="3251" spans="1:49" s="13" customFormat="1" ht="33.75" x14ac:dyDescent="0.2">
      <c r="A3251" s="14">
        <v>3224</v>
      </c>
      <c r="B3251" s="8">
        <v>400050642</v>
      </c>
      <c r="C3251" s="8" t="s">
        <v>1447</v>
      </c>
      <c r="D3251" s="4" t="str">
        <f t="shared" si="338"/>
        <v>400050642A</v>
      </c>
      <c r="E3251" s="309" t="str">
        <f>VLOOKUP($B3251,'D7 - NDB Impacted SPRF''s'!$E$6:$O$9929,2,FALSE)</f>
        <v>Performance Measurement Program - PCPI</v>
      </c>
      <c r="F3251" s="8"/>
      <c r="G3251" s="8" t="s">
        <v>4758</v>
      </c>
      <c r="H3251" s="8" t="s">
        <v>5382</v>
      </c>
      <c r="I3251" s="20"/>
      <c r="J3251" s="8"/>
      <c r="K3251" s="182"/>
      <c r="L3251" s="8" t="s">
        <v>4156</v>
      </c>
      <c r="M3251" s="8" t="s">
        <v>2814</v>
      </c>
      <c r="N3251" s="38" t="s">
        <v>3503</v>
      </c>
      <c r="O3251" s="8"/>
      <c r="P3251" s="4" t="str">
        <f>VLOOKUP($B3251,'D7 - NDB Impacted SPRF''s'!$E$16:$O$9929,9,FALSE)</f>
        <v>N</v>
      </c>
      <c r="Q3251" s="4" t="str">
        <f>VLOOKUP($B3251,'D7 - NDB Impacted SPRF''s'!$E$16:$O$9929,10,FALSE)</f>
        <v>N</v>
      </c>
      <c r="R3251" s="4" t="str">
        <f>VLOOKUP($B3251,'D7 - NDB Impacted SPRF''s'!$E$16:$O$9929,11,FALSE)</f>
        <v>N</v>
      </c>
      <c r="S3251" s="8"/>
      <c r="T3251" s="310"/>
      <c r="U3251" s="310"/>
      <c r="V3251" s="4"/>
      <c r="W3251" s="4"/>
      <c r="X3251" s="4"/>
      <c r="Y3251" s="4"/>
      <c r="Z3251" s="4"/>
      <c r="AA3251" s="4"/>
      <c r="AB3251" s="380" t="str">
        <f>VLOOKUP($B3251,'D7 - NDB Impacted SPRF''s'!$E$6:$O$9929,4,FALSE)</f>
        <v>Completed</v>
      </c>
      <c r="AC3251" s="380" t="str">
        <f>VLOOKUP($B3251,'D7 - NDB Impacted SPRF''s'!$E$6:$O$9929,3,FALSE)</f>
        <v>UnitedHealthcare Employer &amp; Individual</v>
      </c>
      <c r="AD3251" s="380" t="str">
        <f>VLOOKUP($B3251,'D7 - NDB Impacted SPRF''s'!$E$6:$O$9929,5,FALSE)</f>
        <v>Medical Cost Savings Programs</v>
      </c>
      <c r="AE3251" s="380" t="str">
        <f>VLOOKUP($B3251,'D7 - NDB Impacted SPRF''s'!$E$6:$O$9929,7,FALSE)</f>
        <v>Chris Ritchie</v>
      </c>
      <c r="AF3251" s="380" t="str">
        <f>VLOOKUP($B3251,'D7 - NDB Impacted SPRF''s'!$E$6:$O$9929,6,FALSE)</f>
        <v>Joan Hayes</v>
      </c>
      <c r="AG3251" s="282"/>
      <c r="AH3251" s="311" t="e">
        <f>INDEX('D5 - Gatekeeper - Projects'!$A$4:$AF$1010,$AM3251, 17)</f>
        <v>#N/A</v>
      </c>
      <c r="AI3251" s="8"/>
      <c r="AJ3251" s="57"/>
      <c r="AK3251" s="105"/>
      <c r="AM3251" s="6" t="e">
        <f>MATCH(D3251,'D5 - Gatekeeper - Projects'!$C$4:$C$1010,0)</f>
        <v>#N/A</v>
      </c>
      <c r="AN3251" s="6" t="b">
        <f t="shared" si="332"/>
        <v>1</v>
      </c>
      <c r="AO3251" s="6" t="str">
        <f t="shared" si="333"/>
        <v>OK</v>
      </c>
      <c r="AQ3251" s="6" t="e">
        <f>MATCH($D3251,'D4 - Provider Council Unsched'!$C$11:$C$234,0)</f>
        <v>#N/A</v>
      </c>
      <c r="AR3251" s="6" t="b">
        <f t="shared" si="334"/>
        <v>1</v>
      </c>
      <c r="AS3251" s="6" t="str">
        <f t="shared" si="337"/>
        <v>OK</v>
      </c>
      <c r="AU3251" s="202"/>
      <c r="AV3251" s="216" t="s">
        <v>439</v>
      </c>
      <c r="AW3251" s="274"/>
    </row>
    <row r="3252" spans="1:49" s="13" customFormat="1" ht="33.75" x14ac:dyDescent="0.2">
      <c r="A3252" s="14">
        <v>3225</v>
      </c>
      <c r="B3252" s="8">
        <v>400050677</v>
      </c>
      <c r="C3252" s="8" t="s">
        <v>1447</v>
      </c>
      <c r="D3252" s="4" t="str">
        <f t="shared" si="338"/>
        <v>400050677A</v>
      </c>
      <c r="E3252" s="309" t="str">
        <f>VLOOKUP($B3252,'D7 - NDB Impacted SPRF''s'!$E$6:$O$9929,2,FALSE)</f>
        <v>UMR Cost Transparency</v>
      </c>
      <c r="F3252" s="8"/>
      <c r="G3252" s="8" t="s">
        <v>4758</v>
      </c>
      <c r="H3252" s="8" t="s">
        <v>5382</v>
      </c>
      <c r="I3252" s="20"/>
      <c r="J3252" s="8"/>
      <c r="K3252" s="182"/>
      <c r="L3252" s="8" t="s">
        <v>4156</v>
      </c>
      <c r="M3252" s="8" t="s">
        <v>2814</v>
      </c>
      <c r="N3252" s="38" t="s">
        <v>427</v>
      </c>
      <c r="O3252" s="8"/>
      <c r="P3252" s="4" t="str">
        <f>VLOOKUP($B3252,'D7 - NDB Impacted SPRF''s'!$E$16:$O$9929,9,FALSE)</f>
        <v>N</v>
      </c>
      <c r="Q3252" s="4" t="str">
        <f>VLOOKUP($B3252,'D7 - NDB Impacted SPRF''s'!$E$16:$O$9929,10,FALSE)</f>
        <v>N</v>
      </c>
      <c r="R3252" s="4" t="str">
        <f>VLOOKUP($B3252,'D7 - NDB Impacted SPRF''s'!$E$16:$O$9929,11,FALSE)</f>
        <v>N</v>
      </c>
      <c r="S3252" s="8"/>
      <c r="T3252" s="310"/>
      <c r="U3252" s="310"/>
      <c r="V3252" s="4"/>
      <c r="W3252" s="4"/>
      <c r="X3252" s="4"/>
      <c r="Y3252" s="4"/>
      <c r="Z3252" s="4"/>
      <c r="AA3252" s="4"/>
      <c r="AB3252" s="380" t="str">
        <f>VLOOKUP($B3252,'D7 - NDB Impacted SPRF''s'!$E$6:$O$9929,4,FALSE)</f>
        <v>In Estimating</v>
      </c>
      <c r="AC3252" s="380" t="str">
        <f>VLOOKUP($B3252,'D7 - NDB Impacted SPRF''s'!$E$6:$O$9929,3,FALSE)</f>
        <v>UnitedHealthcare Employer &amp; Individual</v>
      </c>
      <c r="AD3252" s="380" t="str">
        <f>VLOOKUP($B3252,'D7 - NDB Impacted SPRF''s'!$E$6:$O$9929,5,FALSE)</f>
        <v>Membership Growth / Revenue Programs</v>
      </c>
      <c r="AE3252" s="380" t="str">
        <f>VLOOKUP($B3252,'D7 - NDB Impacted SPRF''s'!$E$6:$O$9929,7,FALSE)</f>
        <v>Stephanie Elliott</v>
      </c>
      <c r="AF3252" s="380" t="str">
        <f>VLOOKUP($B3252,'D7 - NDB Impacted SPRF''s'!$E$6:$O$9929,6,FALSE)</f>
        <v>Julie Bainter</v>
      </c>
      <c r="AG3252" s="282"/>
      <c r="AH3252" s="311" t="e">
        <f>INDEX('D5 - Gatekeeper - Projects'!$A$4:$AF$1010,$AM3252, 17)</f>
        <v>#N/A</v>
      </c>
      <c r="AI3252" s="8"/>
      <c r="AJ3252" s="57"/>
      <c r="AK3252" s="105"/>
      <c r="AM3252" s="6" t="e">
        <f>MATCH(D3252,'D5 - Gatekeeper - Projects'!$C$4:$C$1010,0)</f>
        <v>#N/A</v>
      </c>
      <c r="AN3252" s="6" t="b">
        <f t="shared" si="332"/>
        <v>1</v>
      </c>
      <c r="AO3252" s="6" t="str">
        <f t="shared" si="333"/>
        <v>OK</v>
      </c>
      <c r="AQ3252" s="6" t="e">
        <f>MATCH($D3252,'D4 - Provider Council Unsched'!$C$11:$C$234,0)</f>
        <v>#N/A</v>
      </c>
      <c r="AR3252" s="6" t="b">
        <f t="shared" si="334"/>
        <v>1</v>
      </c>
      <c r="AS3252" s="6" t="str">
        <f t="shared" si="337"/>
        <v>OK</v>
      </c>
      <c r="AU3252" s="202"/>
      <c r="AV3252" s="348" t="s">
        <v>489</v>
      </c>
      <c r="AW3252" s="274"/>
    </row>
    <row r="3253" spans="1:49" s="13" customFormat="1" ht="22.5" x14ac:dyDescent="0.2">
      <c r="A3253" s="14">
        <v>3226</v>
      </c>
      <c r="B3253" s="8">
        <v>400051096</v>
      </c>
      <c r="C3253" s="8" t="s">
        <v>1447</v>
      </c>
      <c r="D3253" s="4" t="str">
        <f t="shared" si="338"/>
        <v>400051096A</v>
      </c>
      <c r="E3253" s="309" t="str">
        <f>VLOOKUP($B3253,'D7 - NDB Impacted SPRF''s'!$E$6:$O$9929,2,FALSE)</f>
        <v>Facility 84 Provider Type Resolution</v>
      </c>
      <c r="F3253" s="8"/>
      <c r="G3253" s="8" t="s">
        <v>4758</v>
      </c>
      <c r="H3253" s="8" t="s">
        <v>5382</v>
      </c>
      <c r="I3253" s="20"/>
      <c r="J3253" s="8"/>
      <c r="K3253" s="182"/>
      <c r="L3253" s="8" t="s">
        <v>4156</v>
      </c>
      <c r="M3253" s="8" t="s">
        <v>2814</v>
      </c>
      <c r="N3253" s="38" t="s">
        <v>6517</v>
      </c>
      <c r="O3253" s="8"/>
      <c r="P3253" s="4" t="str">
        <f>VLOOKUP($B3253,'D7 - NDB Impacted SPRF''s'!$E$16:$O$9929,9,FALSE)</f>
        <v>N</v>
      </c>
      <c r="Q3253" s="4" t="str">
        <f>VLOOKUP($B3253,'D7 - NDB Impacted SPRF''s'!$E$16:$O$9929,10,FALSE)</f>
        <v>N</v>
      </c>
      <c r="R3253" s="4" t="str">
        <f>VLOOKUP($B3253,'D7 - NDB Impacted SPRF''s'!$E$16:$O$9929,11,FALSE)</f>
        <v>N</v>
      </c>
      <c r="S3253" s="8"/>
      <c r="T3253" s="310"/>
      <c r="U3253" s="310"/>
      <c r="V3253" s="4"/>
      <c r="W3253" s="4"/>
      <c r="X3253" s="4"/>
      <c r="Y3253" s="4"/>
      <c r="Z3253" s="4"/>
      <c r="AA3253" s="4"/>
      <c r="AB3253" s="380" t="str">
        <f>VLOOKUP($B3253,'D7 - NDB Impacted SPRF''s'!$E$6:$O$9929,4,FALSE)</f>
        <v>In Estimating</v>
      </c>
      <c r="AC3253" s="380" t="str">
        <f>VLOOKUP($B3253,'D7 - NDB Impacted SPRF''s'!$E$6:$O$9929,3,FALSE)</f>
        <v>OptumHealth</v>
      </c>
      <c r="AD3253" s="380" t="str">
        <f>VLOOKUP($B3253,'D7 - NDB Impacted SPRF''s'!$E$6:$O$9929,5,FALSE)</f>
        <v>Behavioral Solutions</v>
      </c>
      <c r="AE3253" s="380" t="str">
        <f>VLOOKUP($B3253,'D7 - NDB Impacted SPRF''s'!$E$6:$O$9929,7,FALSE)</f>
        <v>Deb Adler</v>
      </c>
      <c r="AF3253" s="380" t="str">
        <f>VLOOKUP($B3253,'D7 - NDB Impacted SPRF''s'!$E$6:$O$9929,6,FALSE)</f>
        <v>Jane Narup</v>
      </c>
      <c r="AG3253" s="282"/>
      <c r="AH3253" s="311" t="e">
        <f>INDEX('D5 - Gatekeeper - Projects'!$A$4:$AF$1010,$AM3253, 17)</f>
        <v>#N/A</v>
      </c>
      <c r="AI3253" s="8"/>
      <c r="AJ3253" s="57"/>
      <c r="AK3253" s="105"/>
      <c r="AM3253" s="6" t="e">
        <f>MATCH(D3253,'D5 - Gatekeeper - Projects'!$C$4:$C$1010,0)</f>
        <v>#N/A</v>
      </c>
      <c r="AN3253" s="6" t="b">
        <f t="shared" si="332"/>
        <v>1</v>
      </c>
      <c r="AO3253" s="6" t="str">
        <f t="shared" si="333"/>
        <v>OK</v>
      </c>
      <c r="AQ3253" s="6" t="e">
        <f>MATCH($D3253,'D4 - Provider Council Unsched'!$C$11:$C$234,0)</f>
        <v>#N/A</v>
      </c>
      <c r="AR3253" s="6" t="b">
        <f t="shared" si="334"/>
        <v>1</v>
      </c>
      <c r="AS3253" s="6" t="str">
        <f t="shared" si="337"/>
        <v>OK</v>
      </c>
      <c r="AU3253" s="202"/>
      <c r="AV3253" s="262" t="s">
        <v>2300</v>
      </c>
      <c r="AW3253" s="274"/>
    </row>
    <row r="3254" spans="1:49" s="13" customFormat="1" ht="11.25" customHeight="1" x14ac:dyDescent="0.2">
      <c r="A3254" s="14">
        <v>3227</v>
      </c>
      <c r="B3254" s="8">
        <v>400051448</v>
      </c>
      <c r="C3254" s="8" t="s">
        <v>1447</v>
      </c>
      <c r="D3254" s="4" t="str">
        <f t="shared" si="338"/>
        <v>400051448A</v>
      </c>
      <c r="E3254" s="309" t="str">
        <f>VLOOKUP($B3254,'D7 - NDB Impacted SPRF''s'!$E$6:$O$9929,2,FALSE)</f>
        <v>Encounter Data Remediation</v>
      </c>
      <c r="F3254" s="8"/>
      <c r="G3254" s="8" t="s">
        <v>4758</v>
      </c>
      <c r="H3254" s="8" t="s">
        <v>5382</v>
      </c>
      <c r="I3254" s="20"/>
      <c r="J3254" s="8"/>
      <c r="K3254" s="182"/>
      <c r="L3254" s="8" t="s">
        <v>4156</v>
      </c>
      <c r="M3254" s="8" t="s">
        <v>2814</v>
      </c>
      <c r="N3254" s="38" t="s">
        <v>8250</v>
      </c>
      <c r="O3254" s="8"/>
      <c r="P3254" s="4" t="str">
        <f>VLOOKUP($B3254,'D7 - NDB Impacted SPRF''s'!$E$16:$O$9929,9,FALSE)</f>
        <v>N</v>
      </c>
      <c r="Q3254" s="4" t="str">
        <f>VLOOKUP($B3254,'D7 - NDB Impacted SPRF''s'!$E$16:$O$9929,10,FALSE)</f>
        <v>N</v>
      </c>
      <c r="R3254" s="4" t="str">
        <f>VLOOKUP($B3254,'D7 - NDB Impacted SPRF''s'!$E$16:$O$9929,11,FALSE)</f>
        <v>N</v>
      </c>
      <c r="S3254" s="8"/>
      <c r="T3254" s="310"/>
      <c r="U3254" s="310"/>
      <c r="V3254" s="4"/>
      <c r="W3254" s="4"/>
      <c r="X3254" s="4"/>
      <c r="Y3254" s="4"/>
      <c r="Z3254" s="4"/>
      <c r="AA3254" s="4"/>
      <c r="AB3254" s="380" t="str">
        <f>VLOOKUP($B3254,'D7 - NDB Impacted SPRF''s'!$E$6:$O$9929,4,FALSE)</f>
        <v>Scheduled</v>
      </c>
      <c r="AC3254" s="380" t="str">
        <f>VLOOKUP($B3254,'D7 - NDB Impacted SPRF''s'!$E$6:$O$9929,3,FALSE)</f>
        <v>UnitedHealthcare Medicare &amp; Retirement</v>
      </c>
      <c r="AD3254" s="380" t="str">
        <f>VLOOKUP($B3254,'D7 - NDB Impacted SPRF''s'!$E$6:$O$9929,5,FALSE)</f>
        <v>Operational Requirements</v>
      </c>
      <c r="AE3254" s="380" t="str">
        <f>VLOOKUP($B3254,'D7 - NDB Impacted SPRF''s'!$E$6:$O$9929,7,FALSE)</f>
        <v>Claire Hannan</v>
      </c>
      <c r="AF3254" s="380" t="str">
        <f>VLOOKUP($B3254,'D7 - NDB Impacted SPRF''s'!$E$6:$O$9929,6,FALSE)</f>
        <v>Angela Wang</v>
      </c>
      <c r="AG3254" s="282"/>
      <c r="AH3254" s="311" t="e">
        <f>INDEX('D5 - Gatekeeper - Projects'!$A$4:$AF$1010,$AM3254, 17)</f>
        <v>#N/A</v>
      </c>
      <c r="AI3254" s="8"/>
      <c r="AJ3254" s="57"/>
      <c r="AK3254" s="105"/>
      <c r="AM3254" s="6" t="e">
        <f>MATCH(D3254,'D5 - Gatekeeper - Projects'!$C$4:$C$1010,0)</f>
        <v>#N/A</v>
      </c>
      <c r="AN3254" s="6" t="b">
        <f t="shared" si="332"/>
        <v>1</v>
      </c>
      <c r="AO3254" s="6" t="str">
        <f t="shared" si="333"/>
        <v>OK</v>
      </c>
      <c r="AQ3254" s="6" t="e">
        <f>MATCH($D3254,'D4 - Provider Council Unsched'!$C$11:$C$234,0)</f>
        <v>#N/A</v>
      </c>
      <c r="AR3254" s="6" t="b">
        <f t="shared" si="334"/>
        <v>1</v>
      </c>
      <c r="AS3254" s="6" t="str">
        <f t="shared" si="337"/>
        <v>OK</v>
      </c>
      <c r="AU3254" s="202"/>
      <c r="AV3254" s="351" t="s">
        <v>7709</v>
      </c>
      <c r="AW3254" s="274"/>
    </row>
    <row r="3255" spans="1:49" s="13" customFormat="1" ht="33.75" x14ac:dyDescent="0.2">
      <c r="A3255" s="14">
        <v>3228</v>
      </c>
      <c r="B3255" s="8">
        <v>400051899</v>
      </c>
      <c r="C3255" s="8" t="s">
        <v>1447</v>
      </c>
      <c r="D3255" s="4" t="str">
        <f t="shared" si="338"/>
        <v>400051899A</v>
      </c>
      <c r="E3255" s="309" t="str">
        <f>VLOOKUP($B3255,'D7 - NDB Impacted SPRF''s'!$E$6:$O$9929,2,FALSE)</f>
        <v>PPACA Taxes and Fees</v>
      </c>
      <c r="F3255" s="8"/>
      <c r="G3255" s="8" t="s">
        <v>4758</v>
      </c>
      <c r="H3255" s="8" t="s">
        <v>5382</v>
      </c>
      <c r="I3255" s="20"/>
      <c r="J3255" s="8"/>
      <c r="K3255" s="182"/>
      <c r="L3255" s="8" t="s">
        <v>4156</v>
      </c>
      <c r="M3255" s="8" t="s">
        <v>2814</v>
      </c>
      <c r="N3255" s="364" t="s">
        <v>6519</v>
      </c>
      <c r="O3255" s="8"/>
      <c r="P3255" s="4" t="str">
        <f>VLOOKUP($B3255,'D7 - NDB Impacted SPRF''s'!$E$16:$O$9929,9,FALSE)</f>
        <v>N</v>
      </c>
      <c r="Q3255" s="4" t="str">
        <f>VLOOKUP($B3255,'D7 - NDB Impacted SPRF''s'!$E$16:$O$9929,10,FALSE)</f>
        <v>N</v>
      </c>
      <c r="R3255" s="4" t="str">
        <f>VLOOKUP($B3255,'D7 - NDB Impacted SPRF''s'!$E$16:$O$9929,11,FALSE)</f>
        <v>N</v>
      </c>
      <c r="S3255" s="8"/>
      <c r="T3255" s="310"/>
      <c r="U3255" s="310"/>
      <c r="V3255" s="4"/>
      <c r="W3255" s="4"/>
      <c r="X3255" s="4"/>
      <c r="Y3255" s="4"/>
      <c r="Z3255" s="4"/>
      <c r="AA3255" s="4"/>
      <c r="AB3255" s="380" t="str">
        <f>VLOOKUP($B3255,'D7 - NDB Impacted SPRF''s'!$E$6:$O$9929,4,FALSE)</f>
        <v>In Estimating</v>
      </c>
      <c r="AC3255" s="380" t="str">
        <f>VLOOKUP($B3255,'D7 - NDB Impacted SPRF''s'!$E$6:$O$9929,3,FALSE)</f>
        <v>UnitedHealthcare Employer &amp; Individual</v>
      </c>
      <c r="AD3255" s="380" t="str">
        <f>VLOOKUP($B3255,'D7 - NDB Impacted SPRF''s'!$E$6:$O$9929,5,FALSE)</f>
        <v>Regulatory / Other</v>
      </c>
      <c r="AE3255" s="380" t="str">
        <f>VLOOKUP($B3255,'D7 - NDB Impacted SPRF''s'!$E$6:$O$9929,7,FALSE)</f>
        <v>Anita Bachman</v>
      </c>
      <c r="AF3255" s="380" t="str">
        <f>VLOOKUP($B3255,'D7 - NDB Impacted SPRF''s'!$E$6:$O$9929,6,FALSE)</f>
        <v>Kristi Rodriguez</v>
      </c>
      <c r="AG3255" s="282"/>
      <c r="AH3255" s="311" t="e">
        <f>INDEX('D5 - Gatekeeper - Projects'!$A$4:$AF$1010,$AM3255, 17)</f>
        <v>#N/A</v>
      </c>
      <c r="AI3255" s="8"/>
      <c r="AJ3255" s="57"/>
      <c r="AK3255" s="105"/>
      <c r="AM3255" s="6" t="e">
        <f>MATCH(D3255,'D5 - Gatekeeper - Projects'!$C$4:$C$1010,0)</f>
        <v>#N/A</v>
      </c>
      <c r="AN3255" s="6" t="b">
        <f t="shared" si="332"/>
        <v>1</v>
      </c>
      <c r="AO3255" s="6" t="str">
        <f t="shared" si="333"/>
        <v>OK</v>
      </c>
      <c r="AQ3255" s="6" t="e">
        <f>MATCH($D3255,'D4 - Provider Council Unsched'!$C$11:$C$234,0)</f>
        <v>#N/A</v>
      </c>
      <c r="AR3255" s="6" t="b">
        <f t="shared" si="334"/>
        <v>1</v>
      </c>
      <c r="AS3255" s="6" t="str">
        <f t="shared" si="337"/>
        <v>OK</v>
      </c>
      <c r="AU3255" s="202"/>
      <c r="AV3255" s="216" t="s">
        <v>480</v>
      </c>
      <c r="AW3255" s="274"/>
    </row>
    <row r="3256" spans="1:49" s="13" customFormat="1" ht="33.75" x14ac:dyDescent="0.2">
      <c r="A3256" s="14">
        <v>3229</v>
      </c>
      <c r="B3256" s="8">
        <v>400052093</v>
      </c>
      <c r="C3256" s="8" t="s">
        <v>1447</v>
      </c>
      <c r="D3256" s="4" t="str">
        <f t="shared" si="338"/>
        <v>400052093A</v>
      </c>
      <c r="E3256" s="309" t="str">
        <f>VLOOKUP($B3256,'D7 - NDB Impacted SPRF''s'!$E$6:$O$9929,2,FALSE)</f>
        <v>Vision Administration System - Mobilization</v>
      </c>
      <c r="F3256" s="8"/>
      <c r="G3256" s="8" t="s">
        <v>4758</v>
      </c>
      <c r="H3256" s="8" t="s">
        <v>5382</v>
      </c>
      <c r="I3256" s="20"/>
      <c r="J3256" s="8"/>
      <c r="K3256" s="182"/>
      <c r="L3256" s="8" t="s">
        <v>4156</v>
      </c>
      <c r="M3256" s="8" t="s">
        <v>2814</v>
      </c>
      <c r="N3256" s="38" t="s">
        <v>348</v>
      </c>
      <c r="O3256" s="8"/>
      <c r="P3256" s="4" t="str">
        <f>VLOOKUP($B3256,'D7 - NDB Impacted SPRF''s'!$E$16:$O$9929,9,FALSE)</f>
        <v>N</v>
      </c>
      <c r="Q3256" s="4" t="str">
        <f>VLOOKUP($B3256,'D7 - NDB Impacted SPRF''s'!$E$16:$O$9929,10,FALSE)</f>
        <v>N</v>
      </c>
      <c r="R3256" s="4" t="str">
        <f>VLOOKUP($B3256,'D7 - NDB Impacted SPRF''s'!$E$16:$O$9929,11,FALSE)</f>
        <v>N</v>
      </c>
      <c r="S3256" s="8"/>
      <c r="T3256" s="310"/>
      <c r="U3256" s="310"/>
      <c r="V3256" s="4"/>
      <c r="W3256" s="4"/>
      <c r="X3256" s="4"/>
      <c r="Y3256" s="4"/>
      <c r="Z3256" s="4"/>
      <c r="AA3256" s="4"/>
      <c r="AB3256" s="380" t="str">
        <f>VLOOKUP($B3256,'D7 - NDB Impacted SPRF''s'!$E$6:$O$9929,4,FALSE)</f>
        <v>Completed</v>
      </c>
      <c r="AC3256" s="380" t="str">
        <f>VLOOKUP($B3256,'D7 - NDB Impacted SPRF''s'!$E$6:$O$9929,3,FALSE)</f>
        <v>UnitedHealthcare Employer &amp; Individual</v>
      </c>
      <c r="AD3256" s="380" t="str">
        <f>VLOOKUP($B3256,'D7 - NDB Impacted SPRF''s'!$E$6:$O$9929,5,FALSE)</f>
        <v>Specialty Benefits</v>
      </c>
      <c r="AE3256" s="380" t="str">
        <f>VLOOKUP($B3256,'D7 - NDB Impacted SPRF''s'!$E$6:$O$9929,7,FALSE)</f>
        <v>Christopher Johnston</v>
      </c>
      <c r="AF3256" s="380" t="str">
        <f>VLOOKUP($B3256,'D7 - NDB Impacted SPRF''s'!$E$6:$O$9929,6,FALSE)</f>
        <v>William Bird</v>
      </c>
      <c r="AG3256" s="282"/>
      <c r="AH3256" s="311" t="e">
        <f>INDEX('D5 - Gatekeeper - Projects'!$A$4:$AF$1010,$AM3256, 17)</f>
        <v>#N/A</v>
      </c>
      <c r="AI3256" s="8"/>
      <c r="AJ3256" s="57"/>
      <c r="AK3256" s="105"/>
      <c r="AM3256" s="6" t="e">
        <f>MATCH(D3256,'D5 - Gatekeeper - Projects'!$C$4:$C$1010,0)</f>
        <v>#N/A</v>
      </c>
      <c r="AN3256" s="6" t="b">
        <f t="shared" si="332"/>
        <v>1</v>
      </c>
      <c r="AO3256" s="6" t="str">
        <f t="shared" si="333"/>
        <v>OK</v>
      </c>
      <c r="AQ3256" s="6" t="e">
        <f>MATCH($D3256,'D4 - Provider Council Unsched'!$C$11:$C$234,0)</f>
        <v>#N/A</v>
      </c>
      <c r="AR3256" s="6" t="b">
        <f t="shared" si="334"/>
        <v>1</v>
      </c>
      <c r="AS3256" s="6" t="str">
        <f t="shared" si="337"/>
        <v>OK</v>
      </c>
      <c r="AU3256" s="202"/>
      <c r="AV3256" s="349" t="s">
        <v>2613</v>
      </c>
      <c r="AW3256" s="274"/>
    </row>
    <row r="3257" spans="1:49" s="13" customFormat="1" ht="45" x14ac:dyDescent="0.2">
      <c r="A3257" s="14">
        <v>3230</v>
      </c>
      <c r="B3257" s="8">
        <v>400053482</v>
      </c>
      <c r="C3257" s="8" t="s">
        <v>1447</v>
      </c>
      <c r="D3257" s="4" t="str">
        <f t="shared" si="338"/>
        <v>400053482A</v>
      </c>
      <c r="E3257" s="309" t="str">
        <f>VLOOKUP($B3257,'D7 - NDB Impacted SPRF''s'!$E$6:$O$9929,2,FALSE)</f>
        <v>TouchPoint Release 2-Scheduling &amp; Registration</v>
      </c>
      <c r="F3257" s="8"/>
      <c r="G3257" s="8" t="s">
        <v>4758</v>
      </c>
      <c r="H3257" s="8" t="s">
        <v>5382</v>
      </c>
      <c r="I3257" s="20"/>
      <c r="J3257" s="8"/>
      <c r="K3257" s="182"/>
      <c r="L3257" s="8" t="s">
        <v>4156</v>
      </c>
      <c r="M3257" s="8" t="s">
        <v>2814</v>
      </c>
      <c r="N3257" s="38" t="s">
        <v>8023</v>
      </c>
      <c r="O3257" s="8"/>
      <c r="P3257" s="4" t="str">
        <f>VLOOKUP($B3257,'D7 - NDB Impacted SPRF''s'!$E$16:$O$9929,9,FALSE)</f>
        <v>N</v>
      </c>
      <c r="Q3257" s="4" t="str">
        <f>VLOOKUP($B3257,'D7 - NDB Impacted SPRF''s'!$E$16:$O$9929,10,FALSE)</f>
        <v>N</v>
      </c>
      <c r="R3257" s="4" t="str">
        <f>VLOOKUP($B3257,'D7 - NDB Impacted SPRF''s'!$E$16:$O$9929,11,FALSE)</f>
        <v>N</v>
      </c>
      <c r="S3257" s="8"/>
      <c r="T3257" s="310"/>
      <c r="U3257" s="310"/>
      <c r="V3257" s="4"/>
      <c r="W3257" s="4"/>
      <c r="X3257" s="4"/>
      <c r="Y3257" s="4"/>
      <c r="Z3257" s="4"/>
      <c r="AA3257" s="4"/>
      <c r="AB3257" s="380" t="str">
        <f>VLOOKUP($B3257,'D7 - NDB Impacted SPRF''s'!$E$6:$O$9929,4,FALSE)</f>
        <v>In Funding</v>
      </c>
      <c r="AC3257" s="380" t="str">
        <f>VLOOKUP($B3257,'D7 - NDB Impacted SPRF''s'!$E$6:$O$9929,3,FALSE)</f>
        <v>UHG IT - Enterprise Technology Services</v>
      </c>
      <c r="AD3257" s="380" t="str">
        <f>VLOOKUP($B3257,'D7 - NDB Impacted SPRF''s'!$E$6:$O$9929,5,FALSE)</f>
        <v>Strategic Initiatives</v>
      </c>
      <c r="AE3257" s="380" t="str">
        <f>VLOOKUP($B3257,'D7 - NDB Impacted SPRF''s'!$E$6:$O$9929,7,FALSE)</f>
        <v>Tim Kaja</v>
      </c>
      <c r="AF3257" s="380" t="str">
        <f>VLOOKUP($B3257,'D7 - NDB Impacted SPRF''s'!$E$6:$O$9929,6,FALSE)</f>
        <v>FITZPATRICK ELIZABETH</v>
      </c>
      <c r="AG3257" s="282"/>
      <c r="AH3257" s="311" t="e">
        <f>INDEX('D5 - Gatekeeper - Projects'!$A$4:$AF$1010,$AM3257, 17)</f>
        <v>#N/A</v>
      </c>
      <c r="AI3257" s="8"/>
      <c r="AJ3257" s="57"/>
      <c r="AK3257" s="105"/>
      <c r="AM3257" s="6" t="e">
        <f>MATCH(D3257,'D5 - Gatekeeper - Projects'!$C$4:$C$1010,0)</f>
        <v>#N/A</v>
      </c>
      <c r="AN3257" s="6" t="b">
        <f t="shared" si="332"/>
        <v>1</v>
      </c>
      <c r="AO3257" s="6" t="str">
        <f t="shared" si="333"/>
        <v>OK</v>
      </c>
      <c r="AQ3257" s="6" t="e">
        <f>MATCH($D3257,'D4 - Provider Council Unsched'!$C$11:$C$234,0)</f>
        <v>#N/A</v>
      </c>
      <c r="AR3257" s="6" t="b">
        <f t="shared" si="334"/>
        <v>1</v>
      </c>
      <c r="AS3257" s="6" t="str">
        <f t="shared" si="337"/>
        <v>OK</v>
      </c>
      <c r="AU3257" s="202"/>
      <c r="AV3257" s="216" t="s">
        <v>435</v>
      </c>
      <c r="AW3257" s="274"/>
    </row>
    <row r="3258" spans="1:49" s="13" customFormat="1" ht="30.75" customHeight="1" x14ac:dyDescent="0.2">
      <c r="A3258" s="14">
        <v>3231</v>
      </c>
      <c r="B3258" s="8">
        <v>400053483</v>
      </c>
      <c r="C3258" s="8" t="s">
        <v>1447</v>
      </c>
      <c r="D3258" s="4" t="str">
        <f t="shared" si="338"/>
        <v>400053483A</v>
      </c>
      <c r="E3258" s="309" t="str">
        <f>VLOOKUP($B3258,'D7 - NDB Impacted SPRF''s'!$E$6:$O$9929,2,FALSE)</f>
        <v>TouchPoint Release 3 - Claim Management</v>
      </c>
      <c r="F3258" s="8"/>
      <c r="G3258" s="8" t="s">
        <v>4758</v>
      </c>
      <c r="H3258" s="8" t="s">
        <v>5382</v>
      </c>
      <c r="I3258" s="20"/>
      <c r="J3258" s="8"/>
      <c r="K3258" s="182"/>
      <c r="L3258" s="8" t="s">
        <v>4156</v>
      </c>
      <c r="M3258" s="8" t="s">
        <v>2814</v>
      </c>
      <c r="N3258" s="38" t="s">
        <v>8023</v>
      </c>
      <c r="O3258" s="8"/>
      <c r="P3258" s="4" t="str">
        <f>VLOOKUP($B3258,'D7 - NDB Impacted SPRF''s'!$E$16:$O$9929,9,FALSE)</f>
        <v>N</v>
      </c>
      <c r="Q3258" s="4" t="str">
        <f>VLOOKUP($B3258,'D7 - NDB Impacted SPRF''s'!$E$16:$O$9929,10,FALSE)</f>
        <v>N</v>
      </c>
      <c r="R3258" s="4" t="str">
        <f>VLOOKUP($B3258,'D7 - NDB Impacted SPRF''s'!$E$16:$O$9929,11,FALSE)</f>
        <v>N</v>
      </c>
      <c r="S3258" s="8"/>
      <c r="T3258" s="310"/>
      <c r="U3258" s="310"/>
      <c r="V3258" s="4"/>
      <c r="W3258" s="4"/>
      <c r="X3258" s="4"/>
      <c r="Y3258" s="4"/>
      <c r="Z3258" s="4"/>
      <c r="AA3258" s="4"/>
      <c r="AB3258" s="380" t="str">
        <f>VLOOKUP($B3258,'D7 - NDB Impacted SPRF''s'!$E$6:$O$9929,4,FALSE)</f>
        <v>In Funding</v>
      </c>
      <c r="AC3258" s="380" t="str">
        <f>VLOOKUP($B3258,'D7 - NDB Impacted SPRF''s'!$E$6:$O$9929,3,FALSE)</f>
        <v>UHG IT - Enterprise Technology Services</v>
      </c>
      <c r="AD3258" s="380" t="str">
        <f>VLOOKUP($B3258,'D7 - NDB Impacted SPRF''s'!$E$6:$O$9929,5,FALSE)</f>
        <v>Strategic Initiatives</v>
      </c>
      <c r="AE3258" s="380" t="str">
        <f>VLOOKUP($B3258,'D7 - NDB Impacted SPRF''s'!$E$6:$O$9929,7,FALSE)</f>
        <v>Tim Kaja</v>
      </c>
      <c r="AF3258" s="380" t="str">
        <f>VLOOKUP($B3258,'D7 - NDB Impacted SPRF''s'!$E$6:$O$9929,6,FALSE)</f>
        <v>FITZPATRICK ELIZABETH</v>
      </c>
      <c r="AG3258" s="282"/>
      <c r="AH3258" s="311" t="e">
        <f>INDEX('D5 - Gatekeeper - Projects'!$A$4:$AF$1010,$AM3258, 17)</f>
        <v>#N/A</v>
      </c>
      <c r="AI3258" s="8"/>
      <c r="AJ3258" s="57"/>
      <c r="AK3258" s="105"/>
      <c r="AM3258" s="6" t="e">
        <f>MATCH(D3258,'D5 - Gatekeeper - Projects'!$C$4:$C$1010,0)</f>
        <v>#N/A</v>
      </c>
      <c r="AN3258" s="6" t="b">
        <f t="shared" si="332"/>
        <v>1</v>
      </c>
      <c r="AO3258" s="6" t="str">
        <f t="shared" si="333"/>
        <v>OK</v>
      </c>
      <c r="AQ3258" s="6" t="e">
        <f>MATCH($D3258,'D4 - Provider Council Unsched'!$C$11:$C$234,0)</f>
        <v>#N/A</v>
      </c>
      <c r="AR3258" s="6" t="b">
        <f t="shared" si="334"/>
        <v>1</v>
      </c>
      <c r="AS3258" s="6" t="str">
        <f t="shared" si="337"/>
        <v>OK</v>
      </c>
      <c r="AU3258" s="202"/>
      <c r="AV3258" s="262" t="s">
        <v>435</v>
      </c>
      <c r="AW3258" s="274"/>
    </row>
    <row r="3259" spans="1:49" s="13" customFormat="1" ht="45" x14ac:dyDescent="0.2">
      <c r="A3259" s="14">
        <v>3232</v>
      </c>
      <c r="B3259" s="8">
        <v>400053534</v>
      </c>
      <c r="C3259" s="8" t="s">
        <v>1447</v>
      </c>
      <c r="D3259" s="4" t="str">
        <f t="shared" si="338"/>
        <v>400053534A</v>
      </c>
      <c r="E3259" s="309" t="str">
        <f>VLOOKUP($B3259,'D7 - NDB Impacted SPRF''s'!$E$6:$O$9929,2,FALSE)</f>
        <v>TouchPoint UI BVD 1.5</v>
      </c>
      <c r="F3259" s="8"/>
      <c r="G3259" s="8" t="s">
        <v>4758</v>
      </c>
      <c r="H3259" s="8" t="s">
        <v>5382</v>
      </c>
      <c r="I3259" s="20"/>
      <c r="J3259" s="8"/>
      <c r="K3259" s="182"/>
      <c r="L3259" s="8" t="s">
        <v>4156</v>
      </c>
      <c r="M3259" s="8" t="s">
        <v>2814</v>
      </c>
      <c r="N3259" s="38" t="s">
        <v>8024</v>
      </c>
      <c r="O3259" s="8"/>
      <c r="P3259" s="4" t="str">
        <f>VLOOKUP($B3259,'D7 - NDB Impacted SPRF''s'!$E$16:$O$9929,9,FALSE)</f>
        <v>N</v>
      </c>
      <c r="Q3259" s="4" t="str">
        <f>VLOOKUP($B3259,'D7 - NDB Impacted SPRF''s'!$E$16:$O$9929,10,FALSE)</f>
        <v>N</v>
      </c>
      <c r="R3259" s="4" t="str">
        <f>VLOOKUP($B3259,'D7 - NDB Impacted SPRF''s'!$E$16:$O$9929,11,FALSE)</f>
        <v>N</v>
      </c>
      <c r="S3259" s="8"/>
      <c r="T3259" s="310"/>
      <c r="U3259" s="310"/>
      <c r="V3259" s="4"/>
      <c r="W3259" s="4"/>
      <c r="X3259" s="4"/>
      <c r="Y3259" s="4"/>
      <c r="Z3259" s="4"/>
      <c r="AA3259" s="4"/>
      <c r="AB3259" s="380" t="str">
        <f>VLOOKUP($B3259,'D7 - NDB Impacted SPRF''s'!$E$6:$O$9929,4,FALSE)</f>
        <v>In Funding</v>
      </c>
      <c r="AC3259" s="380" t="str">
        <f>VLOOKUP($B3259,'D7 - NDB Impacted SPRF''s'!$E$6:$O$9929,3,FALSE)</f>
        <v>UHG IT - Enterprise Technology Services</v>
      </c>
      <c r="AD3259" s="380" t="str">
        <f>VLOOKUP($B3259,'D7 - NDB Impacted SPRF''s'!$E$6:$O$9929,5,FALSE)</f>
        <v>Strategic Initiatives</v>
      </c>
      <c r="AE3259" s="380" t="str">
        <f>VLOOKUP($B3259,'D7 - NDB Impacted SPRF''s'!$E$6:$O$9929,7,FALSE)</f>
        <v>Tim Kaja</v>
      </c>
      <c r="AF3259" s="380" t="str">
        <f>VLOOKUP($B3259,'D7 - NDB Impacted SPRF''s'!$E$6:$O$9929,6,FALSE)</f>
        <v>FITZPATRICK ELIZABETH</v>
      </c>
      <c r="AG3259" s="282"/>
      <c r="AH3259" s="311" t="e">
        <f>INDEX('D5 - Gatekeeper - Projects'!$A$4:$AF$1010,$AM3259, 17)</f>
        <v>#N/A</v>
      </c>
      <c r="AI3259" s="8"/>
      <c r="AJ3259" s="57"/>
      <c r="AK3259" s="105"/>
      <c r="AM3259" s="6" t="e">
        <f>MATCH(D3259,'D5 - Gatekeeper - Projects'!$C$4:$C$1010,0)</f>
        <v>#N/A</v>
      </c>
      <c r="AN3259" s="6" t="b">
        <f t="shared" si="332"/>
        <v>1</v>
      </c>
      <c r="AO3259" s="6" t="str">
        <f t="shared" si="333"/>
        <v>OK</v>
      </c>
      <c r="AQ3259" s="6" t="e">
        <f>MATCH($D3259,'D4 - Provider Council Unsched'!$C$11:$C$234,0)</f>
        <v>#N/A</v>
      </c>
      <c r="AR3259" s="6" t="b">
        <f t="shared" si="334"/>
        <v>1</v>
      </c>
      <c r="AS3259" s="6" t="str">
        <f t="shared" si="337"/>
        <v>OK</v>
      </c>
      <c r="AU3259" s="202"/>
      <c r="AV3259" s="216" t="s">
        <v>435</v>
      </c>
      <c r="AW3259" s="274"/>
    </row>
    <row r="3260" spans="1:49" s="13" customFormat="1" ht="45" x14ac:dyDescent="0.2">
      <c r="A3260" s="14">
        <v>3233</v>
      </c>
      <c r="B3260" s="8">
        <v>400053537</v>
      </c>
      <c r="C3260" s="8" t="s">
        <v>1447</v>
      </c>
      <c r="D3260" s="4" t="str">
        <f t="shared" si="338"/>
        <v>400053537A</v>
      </c>
      <c r="E3260" s="309" t="str">
        <f>VLOOKUP($B3260,'D7 - NDB Impacted SPRF''s'!$E$6:$O$9929,2,FALSE)</f>
        <v xml:space="preserve">TouchPoint-Claim Reconsideration 1.5 </v>
      </c>
      <c r="F3260" s="8"/>
      <c r="G3260" s="8" t="s">
        <v>4758</v>
      </c>
      <c r="H3260" s="8" t="s">
        <v>5382</v>
      </c>
      <c r="I3260" s="20"/>
      <c r="J3260" s="8"/>
      <c r="K3260" s="182"/>
      <c r="L3260" s="8" t="s">
        <v>4156</v>
      </c>
      <c r="M3260" s="8" t="s">
        <v>2814</v>
      </c>
      <c r="N3260" s="38" t="s">
        <v>292</v>
      </c>
      <c r="O3260" s="8"/>
      <c r="P3260" s="4" t="str">
        <f>VLOOKUP($B3260,'D7 - NDB Impacted SPRF''s'!$E$16:$O$9929,9,FALSE)</f>
        <v>N</v>
      </c>
      <c r="Q3260" s="4" t="str">
        <f>VLOOKUP($B3260,'D7 - NDB Impacted SPRF''s'!$E$16:$O$9929,10,FALSE)</f>
        <v>N</v>
      </c>
      <c r="R3260" s="4" t="str">
        <f>VLOOKUP($B3260,'D7 - NDB Impacted SPRF''s'!$E$16:$O$9929,11,FALSE)</f>
        <v>N</v>
      </c>
      <c r="S3260" s="8"/>
      <c r="T3260" s="310"/>
      <c r="U3260" s="310"/>
      <c r="V3260" s="4"/>
      <c r="W3260" s="4"/>
      <c r="X3260" s="4"/>
      <c r="Y3260" s="4"/>
      <c r="Z3260" s="4"/>
      <c r="AA3260" s="4"/>
      <c r="AB3260" s="380" t="str">
        <f>VLOOKUP($B3260,'D7 - NDB Impacted SPRF''s'!$E$6:$O$9929,4,FALSE)</f>
        <v>In Estimating</v>
      </c>
      <c r="AC3260" s="380" t="str">
        <f>VLOOKUP($B3260,'D7 - NDB Impacted SPRF''s'!$E$6:$O$9929,3,FALSE)</f>
        <v>UHG IT - Enterprise Technology Services</v>
      </c>
      <c r="AD3260" s="380" t="str">
        <f>VLOOKUP($B3260,'D7 - NDB Impacted SPRF''s'!$E$6:$O$9929,5,FALSE)</f>
        <v>Strategic Initiatives</v>
      </c>
      <c r="AE3260" s="380" t="str">
        <f>VLOOKUP($B3260,'D7 - NDB Impacted SPRF''s'!$E$6:$O$9929,7,FALSE)</f>
        <v>Tim Kaja</v>
      </c>
      <c r="AF3260" s="380" t="str">
        <f>VLOOKUP($B3260,'D7 - NDB Impacted SPRF''s'!$E$6:$O$9929,6,FALSE)</f>
        <v>FITZPATRICK ELIZABETH</v>
      </c>
      <c r="AG3260" s="282"/>
      <c r="AH3260" s="311" t="e">
        <f>INDEX('D5 - Gatekeeper - Projects'!$A$4:$AF$1010,$AM3260, 17)</f>
        <v>#N/A</v>
      </c>
      <c r="AI3260" s="8"/>
      <c r="AJ3260" s="57"/>
      <c r="AK3260" s="105"/>
      <c r="AM3260" s="6" t="e">
        <f>MATCH(D3260,'D5 - Gatekeeper - Projects'!$C$4:$C$1010,0)</f>
        <v>#N/A</v>
      </c>
      <c r="AN3260" s="6" t="b">
        <f t="shared" si="332"/>
        <v>1</v>
      </c>
      <c r="AO3260" s="6" t="str">
        <f t="shared" si="333"/>
        <v>OK</v>
      </c>
      <c r="AQ3260" s="6" t="e">
        <f>MATCH($D3260,'D4 - Provider Council Unsched'!$C$11:$C$234,0)</f>
        <v>#N/A</v>
      </c>
      <c r="AR3260" s="6" t="b">
        <f t="shared" si="334"/>
        <v>1</v>
      </c>
      <c r="AS3260" s="6" t="str">
        <f t="shared" si="337"/>
        <v>OK</v>
      </c>
      <c r="AU3260" s="202"/>
      <c r="AV3260" s="216" t="s">
        <v>435</v>
      </c>
      <c r="AW3260" s="274"/>
    </row>
    <row r="3261" spans="1:49" s="13" customFormat="1" ht="45" x14ac:dyDescent="0.2">
      <c r="A3261" s="14">
        <v>3234</v>
      </c>
      <c r="B3261" s="8">
        <v>400053560</v>
      </c>
      <c r="C3261" s="8" t="s">
        <v>1447</v>
      </c>
      <c r="D3261" s="4" t="str">
        <f t="shared" si="338"/>
        <v>400053560A</v>
      </c>
      <c r="E3261" s="309" t="str">
        <f>VLOOKUP($B3261,'D7 - NDB Impacted SPRF''s'!$E$6:$O$9929,2,FALSE)</f>
        <v>eHealth Portal Build in Master</v>
      </c>
      <c r="F3261" s="8"/>
      <c r="G3261" s="8" t="s">
        <v>4758</v>
      </c>
      <c r="H3261" s="8" t="s">
        <v>5382</v>
      </c>
      <c r="I3261" s="20"/>
      <c r="J3261" s="8"/>
      <c r="K3261" s="182"/>
      <c r="L3261" s="8" t="s">
        <v>4156</v>
      </c>
      <c r="M3261" s="8" t="s">
        <v>2814</v>
      </c>
      <c r="N3261" s="38" t="s">
        <v>9047</v>
      </c>
      <c r="O3261" s="8"/>
      <c r="P3261" s="4" t="str">
        <f>VLOOKUP($B3261,'D7 - NDB Impacted SPRF''s'!$E$16:$O$9929,9,FALSE)</f>
        <v>N</v>
      </c>
      <c r="Q3261" s="4" t="str">
        <f>VLOOKUP($B3261,'D7 - NDB Impacted SPRF''s'!$E$16:$O$9929,10,FALSE)</f>
        <v>N</v>
      </c>
      <c r="R3261" s="4" t="str">
        <f>VLOOKUP($B3261,'D7 - NDB Impacted SPRF''s'!$E$16:$O$9929,11,FALSE)</f>
        <v>N</v>
      </c>
      <c r="S3261" s="8"/>
      <c r="T3261" s="310"/>
      <c r="U3261" s="310"/>
      <c r="V3261" s="4"/>
      <c r="W3261" s="4"/>
      <c r="X3261" s="4"/>
      <c r="Y3261" s="4"/>
      <c r="Z3261" s="4"/>
      <c r="AA3261" s="4"/>
      <c r="AB3261" s="380" t="str">
        <f>VLOOKUP($B3261,'D7 - NDB Impacted SPRF''s'!$E$6:$O$9929,4,FALSE)</f>
        <v>In Estimating</v>
      </c>
      <c r="AC3261" s="380" t="str">
        <f>VLOOKUP($B3261,'D7 - NDB Impacted SPRF''s'!$E$6:$O$9929,3,FALSE)</f>
        <v>UHG IT - Enterprise Technology Services</v>
      </c>
      <c r="AD3261" s="380" t="str">
        <f>VLOOKUP($B3261,'D7 - NDB Impacted SPRF''s'!$E$6:$O$9929,5,FALSE)</f>
        <v>ASG</v>
      </c>
      <c r="AE3261" s="380" t="str">
        <f>VLOOKUP($B3261,'D7 - NDB Impacted SPRF''s'!$E$6:$O$9929,7,FALSE)</f>
        <v>Duhaime</v>
      </c>
      <c r="AF3261" s="380" t="str">
        <f>VLOOKUP($B3261,'D7 - NDB Impacted SPRF''s'!$E$6:$O$9929,6,FALSE)</f>
        <v>PETER ERNEST</v>
      </c>
      <c r="AG3261" s="282"/>
      <c r="AH3261" s="311" t="e">
        <f>INDEX('D5 - Gatekeeper - Projects'!$A$4:$AF$1010,$AM3261, 17)</f>
        <v>#N/A</v>
      </c>
      <c r="AI3261" s="8"/>
      <c r="AJ3261" s="57"/>
      <c r="AK3261" s="105"/>
      <c r="AM3261" s="6" t="e">
        <f>MATCH(D3261,'D5 - Gatekeeper - Projects'!$C$4:$C$1010,0)</f>
        <v>#N/A</v>
      </c>
      <c r="AN3261" s="6" t="b">
        <f t="shared" si="332"/>
        <v>1</v>
      </c>
      <c r="AO3261" s="6" t="str">
        <f t="shared" si="333"/>
        <v>OK</v>
      </c>
      <c r="AQ3261" s="6" t="e">
        <f>MATCH($D3261,'D4 - Provider Council Unsched'!$C$11:$C$234,0)</f>
        <v>#N/A</v>
      </c>
      <c r="AR3261" s="6" t="b">
        <f t="shared" si="334"/>
        <v>1</v>
      </c>
      <c r="AS3261" s="6" t="str">
        <f t="shared" si="337"/>
        <v>OK</v>
      </c>
      <c r="AU3261" s="202"/>
      <c r="AV3261" s="418" t="s">
        <v>691</v>
      </c>
      <c r="AW3261" s="274"/>
    </row>
    <row r="3262" spans="1:49" s="13" customFormat="1" ht="33.75" x14ac:dyDescent="0.2">
      <c r="A3262" s="14">
        <v>3235</v>
      </c>
      <c r="B3262" s="8">
        <v>400053840</v>
      </c>
      <c r="C3262" s="8" t="s">
        <v>1447</v>
      </c>
      <c r="D3262" s="4" t="str">
        <f t="shared" si="338"/>
        <v>400053840A</v>
      </c>
      <c r="E3262" s="309" t="str">
        <f>VLOOKUP($B3262,'D7 - NDB Impacted SPRF''s'!$E$6:$O$9929,2,FALSE)</f>
        <v>NSLIJ ACO-type Tiered Benefit Program</v>
      </c>
      <c r="F3262" s="8"/>
      <c r="G3262" s="8" t="s">
        <v>4758</v>
      </c>
      <c r="H3262" s="8" t="s">
        <v>5382</v>
      </c>
      <c r="I3262" s="20"/>
      <c r="J3262" s="8"/>
      <c r="K3262" s="182"/>
      <c r="L3262" s="8" t="s">
        <v>4156</v>
      </c>
      <c r="M3262" s="8" t="s">
        <v>2814</v>
      </c>
      <c r="N3262" s="38" t="s">
        <v>290</v>
      </c>
      <c r="O3262" s="8"/>
      <c r="P3262" s="4" t="str">
        <f>VLOOKUP($B3262,'D7 - NDB Impacted SPRF''s'!$E$16:$O$9929,9,FALSE)</f>
        <v>N</v>
      </c>
      <c r="Q3262" s="4" t="str">
        <f>VLOOKUP($B3262,'D7 - NDB Impacted SPRF''s'!$E$16:$O$9929,10,FALSE)</f>
        <v>N</v>
      </c>
      <c r="R3262" s="4" t="str">
        <f>VLOOKUP($B3262,'D7 - NDB Impacted SPRF''s'!$E$16:$O$9929,11,FALSE)</f>
        <v>N</v>
      </c>
      <c r="S3262" s="8"/>
      <c r="T3262" s="310"/>
      <c r="U3262" s="310"/>
      <c r="V3262" s="4"/>
      <c r="W3262" s="4"/>
      <c r="X3262" s="4"/>
      <c r="Y3262" s="4"/>
      <c r="Z3262" s="4"/>
      <c r="AA3262" s="4"/>
      <c r="AB3262" s="380" t="str">
        <f>VLOOKUP($B3262,'D7 - NDB Impacted SPRF''s'!$E$6:$O$9929,4,FALSE)</f>
        <v>In Funding</v>
      </c>
      <c r="AC3262" s="380" t="str">
        <f>VLOOKUP($B3262,'D7 - NDB Impacted SPRF''s'!$E$6:$O$9929,3,FALSE)</f>
        <v>UnitedHealthcare Employer &amp; Individual</v>
      </c>
      <c r="AD3262" s="380" t="str">
        <f>VLOOKUP($B3262,'D7 - NDB Impacted SPRF''s'!$E$6:$O$9929,5,FALSE)</f>
        <v>Membership Growth / Revenue Programs</v>
      </c>
      <c r="AE3262" s="380" t="str">
        <f>VLOOKUP($B3262,'D7 - NDB Impacted SPRF''s'!$E$6:$O$9929,7,FALSE)</f>
        <v>John Apuzzio</v>
      </c>
      <c r="AF3262" s="380" t="str">
        <f>VLOOKUP($B3262,'D7 - NDB Impacted SPRF''s'!$E$6:$O$9929,6,FALSE)</f>
        <v>Kate Nolan</v>
      </c>
      <c r="AG3262" s="282"/>
      <c r="AH3262" s="311" t="e">
        <f>INDEX('D5 - Gatekeeper - Projects'!$A$4:$AF$1010,$AM3262, 17)</f>
        <v>#N/A</v>
      </c>
      <c r="AI3262" s="8"/>
      <c r="AJ3262" s="57"/>
      <c r="AK3262" s="105"/>
      <c r="AM3262" s="6" t="e">
        <f>MATCH(D3262,'D5 - Gatekeeper - Projects'!$C$4:$C$1010,0)</f>
        <v>#N/A</v>
      </c>
      <c r="AN3262" s="6" t="b">
        <f t="shared" si="332"/>
        <v>1</v>
      </c>
      <c r="AO3262" s="6" t="str">
        <f t="shared" si="333"/>
        <v>OK</v>
      </c>
      <c r="AQ3262" s="6" t="e">
        <f>MATCH($D3262,'D4 - Provider Council Unsched'!$C$11:$C$234,0)</f>
        <v>#N/A</v>
      </c>
      <c r="AR3262" s="6" t="b">
        <f t="shared" si="334"/>
        <v>1</v>
      </c>
      <c r="AS3262" s="6" t="str">
        <f t="shared" si="337"/>
        <v>OK</v>
      </c>
      <c r="AU3262" s="202"/>
      <c r="AV3262" s="349" t="s">
        <v>1139</v>
      </c>
      <c r="AW3262" s="274"/>
    </row>
    <row r="3263" spans="1:49" s="13" customFormat="1" ht="33.75" x14ac:dyDescent="0.2">
      <c r="A3263" s="14">
        <v>3236</v>
      </c>
      <c r="B3263" s="8">
        <v>400054021</v>
      </c>
      <c r="C3263" s="8" t="s">
        <v>1447</v>
      </c>
      <c r="D3263" s="4" t="str">
        <f t="shared" si="338"/>
        <v>400054021A</v>
      </c>
      <c r="E3263" s="309" t="str">
        <f>VLOOKUP($B3263,'D7 - NDB Impacted SPRF''s'!$E$6:$O$9929,2,FALSE)</f>
        <v>HCR Exchanges-Prdcer/Navi/Constit Tools</v>
      </c>
      <c r="F3263" s="8"/>
      <c r="G3263" s="8" t="s">
        <v>4758</v>
      </c>
      <c r="H3263" s="8" t="s">
        <v>5382</v>
      </c>
      <c r="I3263" s="20"/>
      <c r="J3263" s="8"/>
      <c r="K3263" s="182"/>
      <c r="L3263" s="8" t="s">
        <v>4156</v>
      </c>
      <c r="M3263" s="8" t="s">
        <v>2814</v>
      </c>
      <c r="N3263" s="38" t="s">
        <v>55</v>
      </c>
      <c r="O3263" s="8"/>
      <c r="P3263" s="4" t="str">
        <f>VLOOKUP($B3263,'D7 - NDB Impacted SPRF''s'!$E$16:$O$9929,9,FALSE)</f>
        <v>N</v>
      </c>
      <c r="Q3263" s="4" t="str">
        <f>VLOOKUP($B3263,'D7 - NDB Impacted SPRF''s'!$E$16:$O$9929,10,FALSE)</f>
        <v>N</v>
      </c>
      <c r="R3263" s="4" t="str">
        <f>VLOOKUP($B3263,'D7 - NDB Impacted SPRF''s'!$E$16:$O$9929,11,FALSE)</f>
        <v>N</v>
      </c>
      <c r="S3263" s="8"/>
      <c r="T3263" s="310"/>
      <c r="U3263" s="310"/>
      <c r="V3263" s="4"/>
      <c r="W3263" s="4"/>
      <c r="X3263" s="4"/>
      <c r="Y3263" s="4"/>
      <c r="Z3263" s="4"/>
      <c r="AA3263" s="4"/>
      <c r="AB3263" s="380" t="str">
        <f>VLOOKUP($B3263,'D7 - NDB Impacted SPRF''s'!$E$6:$O$9929,4,FALSE)</f>
        <v>In Estimating</v>
      </c>
      <c r="AC3263" s="380" t="str">
        <f>VLOOKUP($B3263,'D7 - NDB Impacted SPRF''s'!$E$6:$O$9929,3,FALSE)</f>
        <v>UnitedHealthcare Employer &amp; Individual</v>
      </c>
      <c r="AD3263" s="380" t="str">
        <f>VLOOKUP($B3263,'D7 - NDB Impacted SPRF''s'!$E$6:$O$9929,5,FALSE)</f>
        <v>Regulatory / Other</v>
      </c>
      <c r="AE3263" s="380" t="str">
        <f>VLOOKUP($B3263,'D7 - NDB Impacted SPRF''s'!$E$6:$O$9929,7,FALSE)</f>
        <v>Liz Canis</v>
      </c>
      <c r="AF3263" s="380" t="str">
        <f>VLOOKUP($B3263,'D7 - NDB Impacted SPRF''s'!$E$6:$O$9929,6,FALSE)</f>
        <v>JEFFREY KINNEMANN</v>
      </c>
      <c r="AG3263" s="282"/>
      <c r="AH3263" s="311" t="e">
        <f>INDEX('D5 - Gatekeeper - Projects'!$A$4:$AF$1010,$AM3263, 17)</f>
        <v>#N/A</v>
      </c>
      <c r="AI3263" s="8"/>
      <c r="AJ3263" s="57"/>
      <c r="AK3263" s="105"/>
      <c r="AM3263" s="6" t="e">
        <f>MATCH(D3263,'D5 - Gatekeeper - Projects'!$C$4:$C$1010,0)</f>
        <v>#N/A</v>
      </c>
      <c r="AN3263" s="6" t="b">
        <f t="shared" si="332"/>
        <v>1</v>
      </c>
      <c r="AO3263" s="6" t="str">
        <f t="shared" si="333"/>
        <v>OK</v>
      </c>
      <c r="AQ3263" s="6" t="e">
        <f>MATCH($D3263,'D4 - Provider Council Unsched'!$C$11:$C$234,0)</f>
        <v>#N/A</v>
      </c>
      <c r="AR3263" s="6" t="b">
        <f t="shared" si="334"/>
        <v>1</v>
      </c>
      <c r="AS3263" s="6" t="str">
        <f t="shared" si="337"/>
        <v>OK</v>
      </c>
      <c r="AU3263" s="202"/>
      <c r="AV3263" s="349" t="s">
        <v>1086</v>
      </c>
      <c r="AW3263" s="274"/>
    </row>
    <row r="3264" spans="1:49" s="13" customFormat="1" ht="33.75" x14ac:dyDescent="0.2">
      <c r="A3264" s="14">
        <v>3237</v>
      </c>
      <c r="B3264" s="8">
        <v>400054175</v>
      </c>
      <c r="C3264" s="8" t="s">
        <v>1447</v>
      </c>
      <c r="D3264" s="4" t="str">
        <f t="shared" si="338"/>
        <v>400054175A</v>
      </c>
      <c r="E3264" s="309" t="str">
        <f>VLOOKUP($B3264,'D7 - NDB Impacted SPRF''s'!$E$6:$O$9929,2,FALSE)</f>
        <v xml:space="preserve">NDB to CSP Facets Interface Rewrite </v>
      </c>
      <c r="F3264" s="8"/>
      <c r="G3264" s="8" t="s">
        <v>4758</v>
      </c>
      <c r="H3264" s="8" t="s">
        <v>5382</v>
      </c>
      <c r="I3264" s="20"/>
      <c r="J3264" s="8"/>
      <c r="K3264" s="182"/>
      <c r="L3264" s="8" t="s">
        <v>4156</v>
      </c>
      <c r="M3264" s="8" t="s">
        <v>2814</v>
      </c>
      <c r="N3264" s="38" t="s">
        <v>965</v>
      </c>
      <c r="O3264" s="8"/>
      <c r="P3264" s="4" t="str">
        <f>VLOOKUP($B3264,'D7 - NDB Impacted SPRF''s'!$E$16:$O$9929,9,FALSE)</f>
        <v>N</v>
      </c>
      <c r="Q3264" s="4" t="str">
        <f>VLOOKUP($B3264,'D7 - NDB Impacted SPRF''s'!$E$16:$O$9929,10,FALSE)</f>
        <v>N</v>
      </c>
      <c r="R3264" s="4" t="str">
        <f>VLOOKUP($B3264,'D7 - NDB Impacted SPRF''s'!$E$16:$O$9929,11,FALSE)</f>
        <v>N</v>
      </c>
      <c r="S3264" s="8"/>
      <c r="T3264" s="310"/>
      <c r="U3264" s="310"/>
      <c r="V3264" s="4"/>
      <c r="W3264" s="4"/>
      <c r="X3264" s="4"/>
      <c r="Y3264" s="4"/>
      <c r="Z3264" s="4"/>
      <c r="AA3264" s="4"/>
      <c r="AB3264" s="380" t="str">
        <f>VLOOKUP($B3264,'D7 - NDB Impacted SPRF''s'!$E$6:$O$9929,4,FALSE)</f>
        <v>In Estimating</v>
      </c>
      <c r="AC3264" s="380" t="str">
        <f>VLOOKUP($B3264,'D7 - NDB Impacted SPRF''s'!$E$6:$O$9929,3,FALSE)</f>
        <v>UnitedHealthcare Community &amp; State</v>
      </c>
      <c r="AD3264" s="380" t="str">
        <f>VLOOKUP($B3264,'D7 - NDB Impacted SPRF''s'!$E$6:$O$9929,5,FALSE)</f>
        <v>Integration Requirements</v>
      </c>
      <c r="AE3264" s="380" t="str">
        <f>VLOOKUP($B3264,'D7 - NDB Impacted SPRF''s'!$E$6:$O$9929,7,FALSE)</f>
        <v>Kurt Johnson</v>
      </c>
      <c r="AF3264" s="380" t="str">
        <f>VLOOKUP($B3264,'D7 - NDB Impacted SPRF''s'!$E$6:$O$9929,6,FALSE)</f>
        <v>Christine Vall</v>
      </c>
      <c r="AG3264" s="282"/>
      <c r="AH3264" s="311" t="e">
        <f>INDEX('D5 - Gatekeeper - Projects'!$A$4:$AF$1010,$AM3264, 17)</f>
        <v>#N/A</v>
      </c>
      <c r="AI3264" s="8"/>
      <c r="AJ3264" s="57"/>
      <c r="AK3264" s="105"/>
      <c r="AM3264" s="6" t="e">
        <f>MATCH(D3264,'D5 - Gatekeeper - Projects'!$C$4:$C$1010,0)</f>
        <v>#N/A</v>
      </c>
      <c r="AN3264" s="6" t="b">
        <f t="shared" si="332"/>
        <v>1</v>
      </c>
      <c r="AO3264" s="6" t="str">
        <f t="shared" si="333"/>
        <v>OK</v>
      </c>
      <c r="AQ3264" s="6" t="e">
        <f>MATCH($D3264,'D4 - Provider Council Unsched'!$C$11:$C$234,0)</f>
        <v>#N/A</v>
      </c>
      <c r="AR3264" s="6" t="b">
        <f t="shared" si="334"/>
        <v>1</v>
      </c>
      <c r="AS3264" s="6" t="str">
        <f t="shared" si="337"/>
        <v>OK</v>
      </c>
      <c r="AU3264" s="202"/>
      <c r="AV3264" s="349" t="s">
        <v>915</v>
      </c>
      <c r="AW3264" s="274"/>
    </row>
    <row r="3265" spans="1:49" s="13" customFormat="1" ht="45" x14ac:dyDescent="0.2">
      <c r="A3265" s="14">
        <v>3238</v>
      </c>
      <c r="B3265" s="8">
        <v>400054356</v>
      </c>
      <c r="C3265" s="8" t="s">
        <v>1447</v>
      </c>
      <c r="D3265" s="4" t="str">
        <f t="shared" si="338"/>
        <v>400054356A</v>
      </c>
      <c r="E3265" s="309" t="str">
        <f>VLOOKUP($B3265,'D7 - NDB Impacted SPRF''s'!$E$6:$O$9929,2,FALSE)</f>
        <v>Strawberry - CareCore Prior Auth Service</v>
      </c>
      <c r="F3265" s="8"/>
      <c r="G3265" s="8" t="s">
        <v>4758</v>
      </c>
      <c r="H3265" s="8" t="s">
        <v>5382</v>
      </c>
      <c r="I3265" s="20"/>
      <c r="J3265" s="8"/>
      <c r="K3265" s="182"/>
      <c r="L3265" s="8" t="s">
        <v>4156</v>
      </c>
      <c r="M3265" s="8" t="s">
        <v>2814</v>
      </c>
      <c r="N3265" s="38" t="s">
        <v>36</v>
      </c>
      <c r="O3265" s="8"/>
      <c r="P3265" s="4" t="str">
        <f>VLOOKUP($B3265,'D7 - NDB Impacted SPRF''s'!$E$16:$O$9929,9,FALSE)</f>
        <v>N</v>
      </c>
      <c r="Q3265" s="4" t="str">
        <f>VLOOKUP($B3265,'D7 - NDB Impacted SPRF''s'!$E$16:$O$9929,10,FALSE)</f>
        <v>N</v>
      </c>
      <c r="R3265" s="4" t="str">
        <f>VLOOKUP($B3265,'D7 - NDB Impacted SPRF''s'!$E$16:$O$9929,11,FALSE)</f>
        <v>N</v>
      </c>
      <c r="S3265" s="8"/>
      <c r="T3265" s="310"/>
      <c r="U3265" s="310"/>
      <c r="V3265" s="4"/>
      <c r="W3265" s="4"/>
      <c r="X3265" s="4"/>
      <c r="Y3265" s="4"/>
      <c r="Z3265" s="4"/>
      <c r="AA3265" s="4"/>
      <c r="AB3265" s="380" t="str">
        <f>VLOOKUP($B3265,'D7 - NDB Impacted SPRF''s'!$E$6:$O$9929,4,FALSE)</f>
        <v>Scheduled</v>
      </c>
      <c r="AC3265" s="380" t="str">
        <f>VLOOKUP($B3265,'D7 - NDB Impacted SPRF''s'!$E$6:$O$9929,3,FALSE)</f>
        <v>UHG IT - Enterprise Technology Services</v>
      </c>
      <c r="AD3265" s="380" t="str">
        <f>VLOOKUP($B3265,'D7 - NDB Impacted SPRF''s'!$E$6:$O$9929,5,FALSE)</f>
        <v>Strategic Initiatives</v>
      </c>
      <c r="AE3265" s="380" t="str">
        <f>VLOOKUP($B3265,'D7 - NDB Impacted SPRF''s'!$E$6:$O$9929,7,FALSE)</f>
        <v>Steve Gelinske</v>
      </c>
      <c r="AF3265" s="380" t="str">
        <f>VLOOKUP($B3265,'D7 - NDB Impacted SPRF''s'!$E$6:$O$9929,6,FALSE)</f>
        <v>John Hodgson</v>
      </c>
      <c r="AG3265" s="282"/>
      <c r="AH3265" s="311" t="e">
        <f>INDEX('D5 - Gatekeeper - Projects'!$A$4:$AF$1010,$AM3265, 17)</f>
        <v>#N/A</v>
      </c>
      <c r="AI3265" s="8"/>
      <c r="AJ3265" s="57"/>
      <c r="AK3265" s="105"/>
      <c r="AM3265" s="6" t="e">
        <f>MATCH(D3265,'D5 - Gatekeeper - Projects'!$C$4:$C$1010,0)</f>
        <v>#N/A</v>
      </c>
      <c r="AN3265" s="6" t="b">
        <f t="shared" si="332"/>
        <v>1</v>
      </c>
      <c r="AO3265" s="6" t="str">
        <f t="shared" si="333"/>
        <v>OK</v>
      </c>
      <c r="AQ3265" s="6" t="e">
        <f>MATCH($D3265,'D4 - Provider Council Unsched'!$C$11:$C$234,0)</f>
        <v>#N/A</v>
      </c>
      <c r="AR3265" s="6" t="b">
        <f t="shared" si="334"/>
        <v>1</v>
      </c>
      <c r="AS3265" s="6" t="str">
        <f t="shared" si="337"/>
        <v>OK</v>
      </c>
      <c r="AU3265" s="202"/>
      <c r="AV3265" s="349" t="s">
        <v>435</v>
      </c>
      <c r="AW3265" s="274"/>
    </row>
    <row r="3266" spans="1:49" s="13" customFormat="1" ht="11.25" customHeight="1" x14ac:dyDescent="0.2">
      <c r="A3266" s="14">
        <v>3239</v>
      </c>
      <c r="B3266" s="8">
        <v>400054920</v>
      </c>
      <c r="C3266" s="8" t="s">
        <v>1447</v>
      </c>
      <c r="D3266" s="4" t="str">
        <f t="shared" si="338"/>
        <v>400054920A</v>
      </c>
      <c r="E3266" s="309" t="str">
        <f>VLOOKUP($B3266,'D7 - NDB Impacted SPRF''s'!$E$6:$O$9929,2,FALSE)</f>
        <v>Sys.Operating Control-Facets CSP Short Term Sol.</v>
      </c>
      <c r="F3266" s="8"/>
      <c r="G3266" s="8" t="s">
        <v>4758</v>
      </c>
      <c r="H3266" s="8" t="s">
        <v>5382</v>
      </c>
      <c r="I3266" s="20"/>
      <c r="J3266" s="8"/>
      <c r="K3266" s="182"/>
      <c r="L3266" s="8" t="s">
        <v>4156</v>
      </c>
      <c r="M3266" s="8" t="s">
        <v>2814</v>
      </c>
      <c r="N3266" s="38" t="s">
        <v>64</v>
      </c>
      <c r="O3266" s="8"/>
      <c r="P3266" s="4" t="str">
        <f>VLOOKUP($B3266,'D7 - NDB Impacted SPRF''s'!$E$16:$O$9929,9,FALSE)</f>
        <v>N</v>
      </c>
      <c r="Q3266" s="4" t="str">
        <f>VLOOKUP($B3266,'D7 - NDB Impacted SPRF''s'!$E$16:$O$9929,10,FALSE)</f>
        <v>N</v>
      </c>
      <c r="R3266" s="4" t="str">
        <f>VLOOKUP($B3266,'D7 - NDB Impacted SPRF''s'!$E$16:$O$9929,11,FALSE)</f>
        <v>N</v>
      </c>
      <c r="S3266" s="8"/>
      <c r="T3266" s="310"/>
      <c r="U3266" s="310"/>
      <c r="V3266" s="4"/>
      <c r="W3266" s="4"/>
      <c r="X3266" s="4"/>
      <c r="Y3266" s="4"/>
      <c r="Z3266" s="4"/>
      <c r="AA3266" s="4"/>
      <c r="AB3266" s="380" t="str">
        <f>VLOOKUP($B3266,'D7 - NDB Impacted SPRF''s'!$E$6:$O$9929,4,FALSE)</f>
        <v>In Estimating</v>
      </c>
      <c r="AC3266" s="380" t="str">
        <f>VLOOKUP($B3266,'D7 - NDB Impacted SPRF''s'!$E$6:$O$9929,3,FALSE)</f>
        <v>UHG IT - Enterprise Technology Services</v>
      </c>
      <c r="AD3266" s="380" t="str">
        <f>VLOOKUP($B3266,'D7 - NDB Impacted SPRF''s'!$E$6:$O$9929,5,FALSE)</f>
        <v>Strategic Initiatives</v>
      </c>
      <c r="AE3266" s="380" t="str">
        <f>VLOOKUP($B3266,'D7 - NDB Impacted SPRF''s'!$E$6:$O$9929,7,FALSE)</f>
        <v>Judy Perlman</v>
      </c>
      <c r="AF3266" s="380" t="str">
        <f>VLOOKUP($B3266,'D7 - NDB Impacted SPRF''s'!$E$6:$O$9929,6,FALSE)</f>
        <v>ALLA TASKENT</v>
      </c>
      <c r="AG3266" s="282"/>
      <c r="AH3266" s="311" t="e">
        <f>INDEX('D5 - Gatekeeper - Projects'!$A$4:$AF$1010,$AM3266, 17)</f>
        <v>#N/A</v>
      </c>
      <c r="AI3266" s="8"/>
      <c r="AJ3266" s="57"/>
      <c r="AK3266" s="105"/>
      <c r="AM3266" s="6" t="e">
        <f>MATCH(D3266,'D5 - Gatekeeper - Projects'!$C$4:$C$1010,0)</f>
        <v>#N/A</v>
      </c>
      <c r="AN3266" s="6" t="b">
        <f t="shared" si="332"/>
        <v>1</v>
      </c>
      <c r="AO3266" s="6" t="str">
        <f t="shared" si="333"/>
        <v>OK</v>
      </c>
      <c r="AQ3266" s="6" t="e">
        <f>MATCH($D3266,'D4 - Provider Council Unsched'!$C$11:$C$234,0)</f>
        <v>#N/A</v>
      </c>
      <c r="AR3266" s="6" t="b">
        <f t="shared" si="334"/>
        <v>1</v>
      </c>
      <c r="AS3266" s="6" t="str">
        <f t="shared" si="337"/>
        <v>OK</v>
      </c>
      <c r="AU3266" s="202"/>
      <c r="AV3266" s="417" t="s">
        <v>48</v>
      </c>
      <c r="AW3266" s="6"/>
    </row>
    <row r="3267" spans="1:49" s="13" customFormat="1" ht="33.75" x14ac:dyDescent="0.2">
      <c r="A3267" s="14">
        <v>3240</v>
      </c>
      <c r="B3267" s="8">
        <v>400054962</v>
      </c>
      <c r="C3267" s="8" t="s">
        <v>1447</v>
      </c>
      <c r="D3267" s="4" t="str">
        <f t="shared" si="338"/>
        <v>400054962A</v>
      </c>
      <c r="E3267" s="309" t="str">
        <f>VLOOKUP($B3267,'D7 - NDB Impacted SPRF''s'!$E$6:$O$9929,2,FALSE)</f>
        <v>UBCS Prototype (RSA Analysis Only)</v>
      </c>
      <c r="F3267" s="8"/>
      <c r="G3267" s="8" t="s">
        <v>4758</v>
      </c>
      <c r="H3267" s="8" t="s">
        <v>5382</v>
      </c>
      <c r="I3267" s="20"/>
      <c r="J3267" s="8"/>
      <c r="K3267" s="182"/>
      <c r="L3267" s="8" t="s">
        <v>4156</v>
      </c>
      <c r="M3267" s="8" t="s">
        <v>2814</v>
      </c>
      <c r="N3267" s="38" t="s">
        <v>1864</v>
      </c>
      <c r="O3267" s="8"/>
      <c r="P3267" s="4" t="str">
        <f>VLOOKUP($B3267,'D7 - NDB Impacted SPRF''s'!$E$16:$O$9929,9,FALSE)</f>
        <v>N</v>
      </c>
      <c r="Q3267" s="4" t="str">
        <f>VLOOKUP($B3267,'D7 - NDB Impacted SPRF''s'!$E$16:$O$9929,10,FALSE)</f>
        <v>N</v>
      </c>
      <c r="R3267" s="4" t="str">
        <f>VLOOKUP($B3267,'D7 - NDB Impacted SPRF''s'!$E$16:$O$9929,11,FALSE)</f>
        <v>N</v>
      </c>
      <c r="S3267" s="8"/>
      <c r="T3267" s="310"/>
      <c r="U3267" s="310"/>
      <c r="V3267" s="4"/>
      <c r="W3267" s="4"/>
      <c r="X3267" s="4"/>
      <c r="Y3267" s="4"/>
      <c r="Z3267" s="4"/>
      <c r="AA3267" s="4"/>
      <c r="AB3267" s="380" t="str">
        <f>VLOOKUP($B3267,'D7 - NDB Impacted SPRF''s'!$E$6:$O$9929,4,FALSE)</f>
        <v>In Estimating</v>
      </c>
      <c r="AC3267" s="380" t="str">
        <f>VLOOKUP($B3267,'D7 - NDB Impacted SPRF''s'!$E$6:$O$9929,3,FALSE)</f>
        <v>UnitedHealthcare Employer &amp; Individual</v>
      </c>
      <c r="AD3267" s="380" t="str">
        <f>VLOOKUP($B3267,'D7 - NDB Impacted SPRF''s'!$E$6:$O$9929,5,FALSE)</f>
        <v>Process Improvement</v>
      </c>
      <c r="AE3267" s="380" t="str">
        <f>VLOOKUP($B3267,'D7 - NDB Impacted SPRF''s'!$E$6:$O$9929,7,FALSE)</f>
        <v>Dan Schumacher</v>
      </c>
      <c r="AF3267" s="380" t="str">
        <f>VLOOKUP($B3267,'D7 - NDB Impacted SPRF''s'!$E$6:$O$9929,6,FALSE)</f>
        <v>DEBORAH LAXSON</v>
      </c>
      <c r="AG3267" s="282"/>
      <c r="AH3267" s="311" t="e">
        <f>INDEX('D5 - Gatekeeper - Projects'!$A$4:$AF$1010,$AM3267, 17)</f>
        <v>#N/A</v>
      </c>
      <c r="AI3267" s="8"/>
      <c r="AJ3267" s="57"/>
      <c r="AK3267" s="105"/>
      <c r="AM3267" s="6" t="e">
        <f>MATCH(D3267,'D5 - Gatekeeper - Projects'!$C$4:$C$1010,0)</f>
        <v>#N/A</v>
      </c>
      <c r="AN3267" s="6" t="b">
        <f t="shared" si="332"/>
        <v>1</v>
      </c>
      <c r="AO3267" s="6" t="str">
        <f t="shared" si="333"/>
        <v>OK</v>
      </c>
      <c r="AQ3267" s="6" t="e">
        <f>MATCH($D3267,'D4 - Provider Council Unsched'!$C$11:$C$234,0)</f>
        <v>#N/A</v>
      </c>
      <c r="AR3267" s="6" t="b">
        <f t="shared" si="334"/>
        <v>1</v>
      </c>
      <c r="AS3267" s="6" t="str">
        <f t="shared" si="337"/>
        <v>OK</v>
      </c>
      <c r="AU3267" s="202"/>
      <c r="AV3267" s="349" t="s">
        <v>2612</v>
      </c>
      <c r="AW3267" s="274"/>
    </row>
    <row r="3268" spans="1:49" s="13" customFormat="1" ht="11.25" customHeight="1" x14ac:dyDescent="0.2">
      <c r="A3268" s="14">
        <v>3241</v>
      </c>
      <c r="B3268" s="8">
        <v>400055282</v>
      </c>
      <c r="C3268" s="8" t="s">
        <v>1447</v>
      </c>
      <c r="D3268" s="4" t="str">
        <f t="shared" si="338"/>
        <v>400055282A</v>
      </c>
      <c r="E3268" s="309" t="str">
        <f>VLOOKUP($B3268,'D7 - NDB Impacted SPRF''s'!$E$6:$O$9929,2,FALSE)</f>
        <v>TRICARE ICD-10 Modifications</v>
      </c>
      <c r="F3268" s="8"/>
      <c r="G3268" s="8" t="s">
        <v>4758</v>
      </c>
      <c r="H3268" s="8" t="s">
        <v>5382</v>
      </c>
      <c r="I3268" s="20"/>
      <c r="J3268" s="8"/>
      <c r="K3268" s="182"/>
      <c r="L3268" s="8" t="s">
        <v>4156</v>
      </c>
      <c r="M3268" s="8" t="s">
        <v>2814</v>
      </c>
      <c r="N3268" s="38" t="s">
        <v>1307</v>
      </c>
      <c r="O3268" s="8"/>
      <c r="P3268" s="4" t="str">
        <f>VLOOKUP($B3268,'D7 - NDB Impacted SPRF''s'!$E$16:$O$9929,9,FALSE)</f>
        <v>N</v>
      </c>
      <c r="Q3268" s="4" t="str">
        <f>VLOOKUP($B3268,'D7 - NDB Impacted SPRF''s'!$E$16:$O$9929,10,FALSE)</f>
        <v>N</v>
      </c>
      <c r="R3268" s="4" t="str">
        <f>VLOOKUP($B3268,'D7 - NDB Impacted SPRF''s'!$E$16:$O$9929,11,FALSE)</f>
        <v>N</v>
      </c>
      <c r="S3268" s="8"/>
      <c r="T3268" s="310"/>
      <c r="U3268" s="310"/>
      <c r="V3268" s="4"/>
      <c r="W3268" s="4"/>
      <c r="X3268" s="4"/>
      <c r="Y3268" s="4"/>
      <c r="Z3268" s="4"/>
      <c r="AA3268" s="4"/>
      <c r="AB3268" s="380" t="str">
        <f>VLOOKUP($B3268,'D7 - NDB Impacted SPRF''s'!$E$6:$O$9929,4,FALSE)</f>
        <v>In Estimating</v>
      </c>
      <c r="AC3268" s="380" t="str">
        <f>VLOOKUP($B3268,'D7 - NDB Impacted SPRF''s'!$E$6:$O$9929,3,FALSE)</f>
        <v>UnitedHealthcare Military &amp; Veterans</v>
      </c>
      <c r="AD3268" s="380" t="str">
        <f>VLOOKUP($B3268,'D7 - NDB Impacted SPRF''s'!$E$6:$O$9929,5,FALSE)</f>
        <v>Operational Requirements</v>
      </c>
      <c r="AE3268" s="380" t="str">
        <f>VLOOKUP($B3268,'D7 - NDB Impacted SPRF''s'!$E$6:$O$9929,7,FALSE)</f>
        <v>Mike Schwarz</v>
      </c>
      <c r="AF3268" s="380" t="str">
        <f>VLOOKUP($B3268,'D7 - NDB Impacted SPRF''s'!$E$6:$O$9929,6,FALSE)</f>
        <v>Alison Ross</v>
      </c>
      <c r="AG3268" s="282"/>
      <c r="AH3268" s="311" t="e">
        <f>INDEX('D5 - Gatekeeper - Projects'!$A$4:$AF$1010,$AM3268, 17)</f>
        <v>#N/A</v>
      </c>
      <c r="AI3268" s="8"/>
      <c r="AJ3268" s="57"/>
      <c r="AK3268" s="105"/>
      <c r="AM3268" s="6" t="e">
        <f>MATCH(D3268,'D5 - Gatekeeper - Projects'!$C$4:$C$1010,0)</f>
        <v>#N/A</v>
      </c>
      <c r="AN3268" s="6" t="b">
        <f t="shared" si="332"/>
        <v>1</v>
      </c>
      <c r="AO3268" s="6" t="str">
        <f t="shared" si="333"/>
        <v>OK</v>
      </c>
      <c r="AQ3268" s="6" t="e">
        <f>MATCH($D3268,'D4 - Provider Council Unsched'!$C$11:$C$234,0)</f>
        <v>#N/A</v>
      </c>
      <c r="AR3268" s="6" t="b">
        <f t="shared" si="334"/>
        <v>1</v>
      </c>
      <c r="AS3268" s="6" t="str">
        <f t="shared" si="337"/>
        <v>OK</v>
      </c>
      <c r="AU3268" s="202"/>
      <c r="AV3268" s="349" t="s">
        <v>317</v>
      </c>
      <c r="AW3268" s="274"/>
    </row>
    <row r="3269" spans="1:49" s="13" customFormat="1" ht="22.5" x14ac:dyDescent="0.2">
      <c r="A3269" s="14">
        <v>3242</v>
      </c>
      <c r="B3269" s="8">
        <v>400055635</v>
      </c>
      <c r="C3269" s="8" t="s">
        <v>1447</v>
      </c>
      <c r="D3269" s="4" t="str">
        <f t="shared" si="338"/>
        <v>400055635A</v>
      </c>
      <c r="E3269" s="309" t="str">
        <f>VLOOKUP($B3269,'D7 - NDB Impacted SPRF''s'!$E$6:$O$9929,2,FALSE)</f>
        <v>Q4 2013 Risk Carve Out</v>
      </c>
      <c r="F3269" s="8"/>
      <c r="G3269" s="8" t="s">
        <v>4758</v>
      </c>
      <c r="H3269" s="8" t="s">
        <v>5382</v>
      </c>
      <c r="I3269" s="20"/>
      <c r="J3269" s="8"/>
      <c r="K3269" s="182"/>
      <c r="L3269" s="8" t="s">
        <v>4156</v>
      </c>
      <c r="M3269" s="8" t="s">
        <v>2814</v>
      </c>
      <c r="N3269" s="38" t="s">
        <v>9133</v>
      </c>
      <c r="O3269" s="8"/>
      <c r="P3269" s="4" t="str">
        <f>VLOOKUP($B3269,'D7 - NDB Impacted SPRF''s'!$E$16:$O$9929,9,FALSE)</f>
        <v>N</v>
      </c>
      <c r="Q3269" s="4" t="str">
        <f>VLOOKUP($B3269,'D7 - NDB Impacted SPRF''s'!$E$16:$O$9929,10,FALSE)</f>
        <v>N</v>
      </c>
      <c r="R3269" s="4" t="str">
        <f>VLOOKUP($B3269,'D7 - NDB Impacted SPRF''s'!$E$16:$O$9929,11,FALSE)</f>
        <v>N</v>
      </c>
      <c r="S3269" s="8"/>
      <c r="T3269" s="310"/>
      <c r="U3269" s="310"/>
      <c r="V3269" s="4"/>
      <c r="W3269" s="4"/>
      <c r="X3269" s="4"/>
      <c r="Y3269" s="4"/>
      <c r="Z3269" s="4"/>
      <c r="AA3269" s="4"/>
      <c r="AB3269" s="380" t="str">
        <f>VLOOKUP($B3269,'D7 - NDB Impacted SPRF''s'!$E$6:$O$9929,4,FALSE)</f>
        <v>In Estimating</v>
      </c>
      <c r="AC3269" s="380" t="str">
        <f>VLOOKUP($B3269,'D7 - NDB Impacted SPRF''s'!$E$6:$O$9929,3,FALSE)</f>
        <v>OptumHealth</v>
      </c>
      <c r="AD3269" s="380" t="str">
        <f>VLOOKUP($B3269,'D7 - NDB Impacted SPRF''s'!$E$6:$O$9929,5,FALSE)</f>
        <v>OptumHealth Care Solutions</v>
      </c>
      <c r="AE3269" s="380" t="str">
        <f>VLOOKUP($B3269,'D7 - NDB Impacted SPRF''s'!$E$6:$O$9929,7,FALSE)</f>
        <v>Jason Vanden Akker</v>
      </c>
      <c r="AF3269" s="380" t="str">
        <f>VLOOKUP($B3269,'D7 - NDB Impacted SPRF''s'!$E$6:$O$9929,6,FALSE)</f>
        <v>Kari Buck</v>
      </c>
      <c r="AG3269" s="282"/>
      <c r="AH3269" s="311" t="e">
        <f>INDEX('D5 - Gatekeeper - Projects'!$A$4:$AF$1010,$AM3269, 17)</f>
        <v>#N/A</v>
      </c>
      <c r="AI3269" s="8"/>
      <c r="AJ3269" s="57"/>
      <c r="AK3269" s="105"/>
      <c r="AM3269" s="6" t="e">
        <f>MATCH(D3269,'D5 - Gatekeeper - Projects'!$C$4:$C$1010,0)</f>
        <v>#N/A</v>
      </c>
      <c r="AN3269" s="6" t="b">
        <f t="shared" si="332"/>
        <v>1</v>
      </c>
      <c r="AO3269" s="6" t="str">
        <f t="shared" si="333"/>
        <v>OK</v>
      </c>
      <c r="AQ3269" s="6" t="e">
        <f>MATCH($D3269,'D4 - Provider Council Unsched'!$C$11:$C$234,0)</f>
        <v>#N/A</v>
      </c>
      <c r="AR3269" s="6" t="b">
        <f t="shared" si="334"/>
        <v>1</v>
      </c>
      <c r="AS3269" s="6" t="str">
        <f t="shared" si="337"/>
        <v>OK</v>
      </c>
      <c r="AU3269" s="202"/>
      <c r="AV3269" s="351" t="s">
        <v>2233</v>
      </c>
      <c r="AW3269" s="274"/>
    </row>
    <row r="3270" spans="1:49" s="13" customFormat="1" ht="11.25" customHeight="1" x14ac:dyDescent="0.2">
      <c r="A3270" s="14">
        <v>3243</v>
      </c>
      <c r="B3270" s="8">
        <v>400056151</v>
      </c>
      <c r="C3270" s="8" t="s">
        <v>1447</v>
      </c>
      <c r="D3270" s="4" t="str">
        <f t="shared" si="338"/>
        <v>400056151A</v>
      </c>
      <c r="E3270" s="309" t="str">
        <f>VLOOKUP($B3270,'D7 - NDB Impacted SPRF''s'!$E$6:$O$9929,2,FALSE)</f>
        <v>Small Proj Submission - NDM/PCIS Examiner Q12013</v>
      </c>
      <c r="F3270" s="8"/>
      <c r="G3270" s="8" t="s">
        <v>4758</v>
      </c>
      <c r="H3270" s="8" t="s">
        <v>5382</v>
      </c>
      <c r="I3270" s="20"/>
      <c r="J3270" s="8"/>
      <c r="K3270" s="182"/>
      <c r="L3270" s="8" t="s">
        <v>4156</v>
      </c>
      <c r="M3270" s="8" t="s">
        <v>2814</v>
      </c>
      <c r="N3270" s="38" t="s">
        <v>9133</v>
      </c>
      <c r="O3270" s="8"/>
      <c r="P3270" s="4" t="str">
        <f>VLOOKUP($B3270,'D7 - NDB Impacted SPRF''s'!$E$16:$O$9929,9,FALSE)</f>
        <v>N</v>
      </c>
      <c r="Q3270" s="4" t="str">
        <f>VLOOKUP($B3270,'D7 - NDB Impacted SPRF''s'!$E$16:$O$9929,10,FALSE)</f>
        <v>N</v>
      </c>
      <c r="R3270" s="4" t="str">
        <f>VLOOKUP($B3270,'D7 - NDB Impacted SPRF''s'!$E$16:$O$9929,11,FALSE)</f>
        <v>N</v>
      </c>
      <c r="S3270" s="8"/>
      <c r="T3270" s="310"/>
      <c r="U3270" s="310"/>
      <c r="V3270" s="4"/>
      <c r="W3270" s="4"/>
      <c r="X3270" s="4"/>
      <c r="Y3270" s="4"/>
      <c r="Z3270" s="4"/>
      <c r="AA3270" s="4"/>
      <c r="AB3270" s="380" t="str">
        <f>VLOOKUP($B3270,'D7 - NDB Impacted SPRF''s'!$E$6:$O$9929,4,FALSE)</f>
        <v>Completed</v>
      </c>
      <c r="AC3270" s="380" t="str">
        <f>VLOOKUP($B3270,'D7 - NDB Impacted SPRF''s'!$E$6:$O$9929,3,FALSE)</f>
        <v>UnitedHealthcare Employer &amp; Individual</v>
      </c>
      <c r="AD3270" s="380" t="str">
        <f>VLOOKUP($B3270,'D7 - NDB Impacted SPRF''s'!$E$6:$O$9929,5,FALSE)</f>
        <v>Operational Requirements</v>
      </c>
      <c r="AE3270" s="380" t="str">
        <f>VLOOKUP($B3270,'D7 - NDB Impacted SPRF''s'!$E$6:$O$9929,7,FALSE)</f>
        <v>Dom Furfari</v>
      </c>
      <c r="AF3270" s="380" t="str">
        <f>VLOOKUP($B3270,'D7 - NDB Impacted SPRF''s'!$E$6:$O$9929,6,FALSE)</f>
        <v>Eric Blad</v>
      </c>
      <c r="AG3270" s="282"/>
      <c r="AH3270" s="311" t="e">
        <f>INDEX('D5 - Gatekeeper - Projects'!$A$4:$AF$1010,$AM3270, 17)</f>
        <v>#N/A</v>
      </c>
      <c r="AI3270" s="8"/>
      <c r="AJ3270" s="57"/>
      <c r="AK3270" s="105"/>
      <c r="AM3270" s="6" t="e">
        <f>MATCH(D3270,'D5 - Gatekeeper - Projects'!$C$4:$C$1010,0)</f>
        <v>#N/A</v>
      </c>
      <c r="AN3270" s="6" t="b">
        <f t="shared" si="332"/>
        <v>1</v>
      </c>
      <c r="AO3270" s="6" t="str">
        <f t="shared" si="333"/>
        <v>OK</v>
      </c>
      <c r="AQ3270" s="6" t="e">
        <f>MATCH($D3270,'D4 - Provider Council Unsched'!$C$11:$C$234,0)</f>
        <v>#N/A</v>
      </c>
      <c r="AR3270" s="6" t="b">
        <f t="shared" si="334"/>
        <v>1</v>
      </c>
      <c r="AS3270" s="6" t="str">
        <f t="shared" si="337"/>
        <v>OK</v>
      </c>
      <c r="AU3270" s="202"/>
      <c r="AV3270" s="350" t="s">
        <v>442</v>
      </c>
      <c r="AW3270" s="274"/>
    </row>
    <row r="3271" spans="1:49" s="13" customFormat="1" ht="33.75" x14ac:dyDescent="0.2">
      <c r="A3271" s="14">
        <v>3244</v>
      </c>
      <c r="B3271" s="8">
        <v>400056152</v>
      </c>
      <c r="C3271" s="8" t="s">
        <v>1447</v>
      </c>
      <c r="D3271" s="4" t="str">
        <f t="shared" si="338"/>
        <v>400056152A</v>
      </c>
      <c r="E3271" s="309" t="str">
        <f>VLOOKUP($B3271,'D7 - NDB Impacted SPRF''s'!$E$6:$O$9929,2,FALSE)</f>
        <v>Small Proj Submission - NDM/PCIS Examiner Q22013</v>
      </c>
      <c r="F3271" s="8"/>
      <c r="G3271" s="8" t="s">
        <v>4758</v>
      </c>
      <c r="H3271" s="8" t="s">
        <v>5382</v>
      </c>
      <c r="I3271" s="20"/>
      <c r="J3271" s="8"/>
      <c r="K3271" s="182"/>
      <c r="L3271" s="8" t="s">
        <v>4156</v>
      </c>
      <c r="M3271" s="8" t="s">
        <v>2814</v>
      </c>
      <c r="N3271" s="38" t="s">
        <v>9133</v>
      </c>
      <c r="O3271" s="8"/>
      <c r="P3271" s="4" t="str">
        <f>VLOOKUP($B3271,'D7 - NDB Impacted SPRF''s'!$E$16:$O$9929,9,FALSE)</f>
        <v>N</v>
      </c>
      <c r="Q3271" s="4" t="str">
        <f>VLOOKUP($B3271,'D7 - NDB Impacted SPRF''s'!$E$16:$O$9929,10,FALSE)</f>
        <v>N</v>
      </c>
      <c r="R3271" s="4" t="str">
        <f>VLOOKUP($B3271,'D7 - NDB Impacted SPRF''s'!$E$16:$O$9929,11,FALSE)</f>
        <v>N</v>
      </c>
      <c r="S3271" s="8"/>
      <c r="T3271" s="310"/>
      <c r="U3271" s="310"/>
      <c r="V3271" s="4"/>
      <c r="W3271" s="4"/>
      <c r="X3271" s="4"/>
      <c r="Y3271" s="4"/>
      <c r="Z3271" s="4"/>
      <c r="AA3271" s="4"/>
      <c r="AB3271" s="380" t="str">
        <f>VLOOKUP($B3271,'D7 - NDB Impacted SPRF''s'!$E$6:$O$9929,4,FALSE)</f>
        <v>Scheduled</v>
      </c>
      <c r="AC3271" s="380" t="str">
        <f>VLOOKUP($B3271,'D7 - NDB Impacted SPRF''s'!$E$6:$O$9929,3,FALSE)</f>
        <v>UnitedHealthcare Employer &amp; Individual</v>
      </c>
      <c r="AD3271" s="380" t="str">
        <f>VLOOKUP($B3271,'D7 - NDB Impacted SPRF''s'!$E$6:$O$9929,5,FALSE)</f>
        <v>Operational Requirements</v>
      </c>
      <c r="AE3271" s="380" t="str">
        <f>VLOOKUP($B3271,'D7 - NDB Impacted SPRF''s'!$E$6:$O$9929,7,FALSE)</f>
        <v>Dom Furfari</v>
      </c>
      <c r="AF3271" s="380" t="str">
        <f>VLOOKUP($B3271,'D7 - NDB Impacted SPRF''s'!$E$6:$O$9929,6,FALSE)</f>
        <v>Eric Blad</v>
      </c>
      <c r="AG3271" s="282"/>
      <c r="AH3271" s="311" t="e">
        <f>INDEX('D5 - Gatekeeper - Projects'!$A$4:$AF$1010,$AM3271, 17)</f>
        <v>#N/A</v>
      </c>
      <c r="AI3271" s="8"/>
      <c r="AJ3271" s="57"/>
      <c r="AK3271" s="105"/>
      <c r="AM3271" s="6" t="e">
        <f>MATCH(D3271,'D5 - Gatekeeper - Projects'!$C$4:$C$1010,0)</f>
        <v>#N/A</v>
      </c>
      <c r="AN3271" s="6" t="b">
        <f t="shared" si="332"/>
        <v>1</v>
      </c>
      <c r="AO3271" s="6" t="str">
        <f t="shared" si="333"/>
        <v>OK</v>
      </c>
      <c r="AQ3271" s="6" t="e">
        <f>MATCH($D3271,'D4 - Provider Council Unsched'!$C$11:$C$234,0)</f>
        <v>#N/A</v>
      </c>
      <c r="AR3271" s="6" t="b">
        <f t="shared" si="334"/>
        <v>1</v>
      </c>
      <c r="AS3271" s="6" t="str">
        <f t="shared" si="337"/>
        <v>OK</v>
      </c>
      <c r="AU3271" s="202"/>
      <c r="AV3271" s="350" t="s">
        <v>442</v>
      </c>
      <c r="AW3271" s="274"/>
    </row>
    <row r="3272" spans="1:49" s="13" customFormat="1" ht="33.75" x14ac:dyDescent="0.2">
      <c r="A3272" s="14">
        <v>3245</v>
      </c>
      <c r="B3272" s="8">
        <v>400056153</v>
      </c>
      <c r="C3272" s="8" t="s">
        <v>1447</v>
      </c>
      <c r="D3272" s="4" t="str">
        <f t="shared" si="338"/>
        <v>400056153A</v>
      </c>
      <c r="E3272" s="309" t="str">
        <f>VLOOKUP($B3272,'D7 - NDB Impacted SPRF''s'!$E$6:$O$9929,2,FALSE)</f>
        <v>Small Proj Submission - NDM/PCIS Examiner Q32013</v>
      </c>
      <c r="F3272" s="8"/>
      <c r="G3272" s="8" t="s">
        <v>4758</v>
      </c>
      <c r="H3272" s="8" t="s">
        <v>5382</v>
      </c>
      <c r="I3272" s="20"/>
      <c r="J3272" s="8"/>
      <c r="K3272" s="182"/>
      <c r="L3272" s="8" t="s">
        <v>4156</v>
      </c>
      <c r="M3272" s="8" t="s">
        <v>2814</v>
      </c>
      <c r="N3272" s="38" t="s">
        <v>9133</v>
      </c>
      <c r="O3272" s="8"/>
      <c r="P3272" s="4" t="str">
        <f>VLOOKUP($B3272,'D7 - NDB Impacted SPRF''s'!$E$16:$O$9929,9,FALSE)</f>
        <v>N</v>
      </c>
      <c r="Q3272" s="4" t="str">
        <f>VLOOKUP($B3272,'D7 - NDB Impacted SPRF''s'!$E$16:$O$9929,10,FALSE)</f>
        <v>N</v>
      </c>
      <c r="R3272" s="4" t="str">
        <f>VLOOKUP($B3272,'D7 - NDB Impacted SPRF''s'!$E$16:$O$9929,11,FALSE)</f>
        <v>N</v>
      </c>
      <c r="S3272" s="8"/>
      <c r="T3272" s="310"/>
      <c r="U3272" s="310"/>
      <c r="V3272" s="4"/>
      <c r="W3272" s="4"/>
      <c r="X3272" s="4"/>
      <c r="Y3272" s="4"/>
      <c r="Z3272" s="4"/>
      <c r="AA3272" s="4"/>
      <c r="AB3272" s="380" t="str">
        <f>VLOOKUP($B3272,'D7 - NDB Impacted SPRF''s'!$E$6:$O$9929,4,FALSE)</f>
        <v>Scheduled</v>
      </c>
      <c r="AC3272" s="380" t="str">
        <f>VLOOKUP($B3272,'D7 - NDB Impacted SPRF''s'!$E$6:$O$9929,3,FALSE)</f>
        <v>UnitedHealthcare Employer &amp; Individual</v>
      </c>
      <c r="AD3272" s="380" t="str">
        <f>VLOOKUP($B3272,'D7 - NDB Impacted SPRF''s'!$E$6:$O$9929,5,FALSE)</f>
        <v>Operational Requirements</v>
      </c>
      <c r="AE3272" s="380" t="str">
        <f>VLOOKUP($B3272,'D7 - NDB Impacted SPRF''s'!$E$6:$O$9929,7,FALSE)</f>
        <v>Dom Furfari</v>
      </c>
      <c r="AF3272" s="380" t="str">
        <f>VLOOKUP($B3272,'D7 - NDB Impacted SPRF''s'!$E$6:$O$9929,6,FALSE)</f>
        <v>Eric Blad</v>
      </c>
      <c r="AG3272" s="282"/>
      <c r="AH3272" s="311" t="e">
        <f>INDEX('D5 - Gatekeeper - Projects'!$A$4:$AF$1010,$AM3272, 17)</f>
        <v>#N/A</v>
      </c>
      <c r="AI3272" s="8"/>
      <c r="AJ3272" s="57"/>
      <c r="AK3272" s="105"/>
      <c r="AM3272" s="6" t="e">
        <f>MATCH(D3272,'D5 - Gatekeeper - Projects'!$C$4:$C$1010,0)</f>
        <v>#N/A</v>
      </c>
      <c r="AN3272" s="6" t="b">
        <f t="shared" si="332"/>
        <v>1</v>
      </c>
      <c r="AO3272" s="6" t="str">
        <f t="shared" si="333"/>
        <v>OK</v>
      </c>
      <c r="AQ3272" s="6" t="e">
        <f>MATCH($D3272,'D4 - Provider Council Unsched'!$C$11:$C$234,0)</f>
        <v>#N/A</v>
      </c>
      <c r="AR3272" s="6" t="b">
        <f t="shared" si="334"/>
        <v>1</v>
      </c>
      <c r="AS3272" s="6" t="str">
        <f t="shared" si="337"/>
        <v>OK</v>
      </c>
      <c r="AU3272" s="202"/>
      <c r="AV3272" s="350" t="s">
        <v>442</v>
      </c>
      <c r="AW3272" s="274"/>
    </row>
    <row r="3273" spans="1:49" s="13" customFormat="1" ht="11.25" customHeight="1" x14ac:dyDescent="0.2">
      <c r="A3273" s="14">
        <v>3246</v>
      </c>
      <c r="B3273" s="8">
        <v>400056154</v>
      </c>
      <c r="C3273" s="8" t="s">
        <v>1447</v>
      </c>
      <c r="D3273" s="4" t="str">
        <f t="shared" si="338"/>
        <v>400056154A</v>
      </c>
      <c r="E3273" s="309" t="str">
        <f>VLOOKUP($B3273,'D7 - NDB Impacted SPRF''s'!$E$6:$O$9929,2,FALSE)</f>
        <v>Small Proj Submission - NDM/PCIS Examiner Q42013</v>
      </c>
      <c r="F3273" s="8"/>
      <c r="G3273" s="8" t="s">
        <v>4758</v>
      </c>
      <c r="H3273" s="8" t="s">
        <v>5382</v>
      </c>
      <c r="I3273" s="20"/>
      <c r="J3273" s="8"/>
      <c r="K3273" s="182"/>
      <c r="L3273" s="8" t="s">
        <v>4156</v>
      </c>
      <c r="M3273" s="8" t="s">
        <v>2814</v>
      </c>
      <c r="N3273" s="38" t="s">
        <v>9133</v>
      </c>
      <c r="O3273" s="8"/>
      <c r="P3273" s="4" t="str">
        <f>VLOOKUP($B3273,'D7 - NDB Impacted SPRF''s'!$E$16:$O$9929,9,FALSE)</f>
        <v>N</v>
      </c>
      <c r="Q3273" s="4" t="str">
        <f>VLOOKUP($B3273,'D7 - NDB Impacted SPRF''s'!$E$16:$O$9929,10,FALSE)</f>
        <v>N</v>
      </c>
      <c r="R3273" s="4" t="str">
        <f>VLOOKUP($B3273,'D7 - NDB Impacted SPRF''s'!$E$16:$O$9929,11,FALSE)</f>
        <v>N</v>
      </c>
      <c r="S3273" s="8"/>
      <c r="T3273" s="310"/>
      <c r="U3273" s="310"/>
      <c r="V3273" s="4"/>
      <c r="W3273" s="4"/>
      <c r="X3273" s="4"/>
      <c r="Y3273" s="4"/>
      <c r="Z3273" s="4"/>
      <c r="AA3273" s="4"/>
      <c r="AB3273" s="380" t="str">
        <f>VLOOKUP($B3273,'D7 - NDB Impacted SPRF''s'!$E$6:$O$9929,4,FALSE)</f>
        <v>Scheduled</v>
      </c>
      <c r="AC3273" s="380" t="str">
        <f>VLOOKUP($B3273,'D7 - NDB Impacted SPRF''s'!$E$6:$O$9929,3,FALSE)</f>
        <v>UnitedHealthcare Employer &amp; Individual</v>
      </c>
      <c r="AD3273" s="380" t="str">
        <f>VLOOKUP($B3273,'D7 - NDB Impacted SPRF''s'!$E$6:$O$9929,5,FALSE)</f>
        <v>Operational Requirements</v>
      </c>
      <c r="AE3273" s="380" t="str">
        <f>VLOOKUP($B3273,'D7 - NDB Impacted SPRF''s'!$E$6:$O$9929,7,FALSE)</f>
        <v>Dom Furfari</v>
      </c>
      <c r="AF3273" s="380" t="str">
        <f>VLOOKUP($B3273,'D7 - NDB Impacted SPRF''s'!$E$6:$O$9929,6,FALSE)</f>
        <v>Eric Blad</v>
      </c>
      <c r="AG3273" s="282"/>
      <c r="AH3273" s="311" t="e">
        <f>INDEX('D5 - Gatekeeper - Projects'!$A$4:$AF$1010,$AM3273, 17)</f>
        <v>#N/A</v>
      </c>
      <c r="AI3273" s="8"/>
      <c r="AJ3273" s="57"/>
      <c r="AK3273" s="105"/>
      <c r="AM3273" s="6" t="e">
        <f>MATCH(D3273,'D5 - Gatekeeper - Projects'!$C$4:$C$1010,0)</f>
        <v>#N/A</v>
      </c>
      <c r="AN3273" s="6" t="b">
        <f t="shared" si="332"/>
        <v>1</v>
      </c>
      <c r="AO3273" s="6" t="str">
        <f t="shared" si="333"/>
        <v>OK</v>
      </c>
      <c r="AQ3273" s="6" t="e">
        <f>MATCH($D3273,'D4 - Provider Council Unsched'!$C$11:$C$234,0)</f>
        <v>#N/A</v>
      </c>
      <c r="AR3273" s="6" t="b">
        <f t="shared" si="334"/>
        <v>1</v>
      </c>
      <c r="AS3273" s="6" t="str">
        <f t="shared" si="337"/>
        <v>OK</v>
      </c>
      <c r="AU3273" s="202"/>
      <c r="AV3273" s="350" t="s">
        <v>442</v>
      </c>
      <c r="AW3273" s="274"/>
    </row>
    <row r="3274" spans="1:49" s="13" customFormat="1" ht="45" x14ac:dyDescent="0.2">
      <c r="A3274" s="14">
        <v>3247</v>
      </c>
      <c r="B3274" s="8">
        <v>400056195</v>
      </c>
      <c r="C3274" s="8" t="s">
        <v>1447</v>
      </c>
      <c r="D3274" s="4" t="str">
        <f t="shared" si="338"/>
        <v>400056195A</v>
      </c>
      <c r="E3274" s="309" t="str">
        <f>VLOOKUP($B3274,'D7 - NDB Impacted SPRF''s'!$E$6:$O$9929,2,FALSE)</f>
        <v>Optum Cloud Portal: Branding and Configurability</v>
      </c>
      <c r="F3274" s="8"/>
      <c r="G3274" s="8" t="s">
        <v>4758</v>
      </c>
      <c r="H3274" s="8" t="s">
        <v>5382</v>
      </c>
      <c r="I3274" s="20"/>
      <c r="J3274" s="8"/>
      <c r="K3274" s="182"/>
      <c r="L3274" s="8" t="s">
        <v>4156</v>
      </c>
      <c r="M3274" s="8" t="s">
        <v>2814</v>
      </c>
      <c r="N3274" s="38" t="s">
        <v>323</v>
      </c>
      <c r="O3274" s="8"/>
      <c r="P3274" s="4" t="str">
        <f>VLOOKUP($B3274,'D7 - NDB Impacted SPRF''s'!$E$16:$O$9929,9,FALSE)</f>
        <v>N</v>
      </c>
      <c r="Q3274" s="4" t="str">
        <f>VLOOKUP($B3274,'D7 - NDB Impacted SPRF''s'!$E$16:$O$9929,10,FALSE)</f>
        <v>N</v>
      </c>
      <c r="R3274" s="4" t="str">
        <f>VLOOKUP($B3274,'D7 - NDB Impacted SPRF''s'!$E$16:$O$9929,11,FALSE)</f>
        <v>N</v>
      </c>
      <c r="S3274" s="8"/>
      <c r="T3274" s="310"/>
      <c r="U3274" s="310"/>
      <c r="V3274" s="4"/>
      <c r="W3274" s="4"/>
      <c r="X3274" s="4"/>
      <c r="Y3274" s="4"/>
      <c r="Z3274" s="4"/>
      <c r="AA3274" s="4"/>
      <c r="AB3274" s="380" t="str">
        <f>VLOOKUP($B3274,'D7 - NDB Impacted SPRF''s'!$E$6:$O$9929,4,FALSE)</f>
        <v>In Estimating</v>
      </c>
      <c r="AC3274" s="380" t="str">
        <f>VLOOKUP($B3274,'D7 - NDB Impacted SPRF''s'!$E$6:$O$9929,3,FALSE)</f>
        <v>UHG IT - Enterprise Technology Services</v>
      </c>
      <c r="AD3274" s="380" t="str">
        <f>VLOOKUP($B3274,'D7 - NDB Impacted SPRF''s'!$E$6:$O$9929,5,FALSE)</f>
        <v>Strategic Initiatives</v>
      </c>
      <c r="AE3274" s="380" t="str">
        <f>VLOOKUP($B3274,'D7 - NDB Impacted SPRF''s'!$E$6:$O$9929,7,FALSE)</f>
        <v>Andy Alasso &amp; Bryan Morgenthaler</v>
      </c>
      <c r="AF3274" s="380" t="str">
        <f>VLOOKUP($B3274,'D7 - NDB Impacted SPRF''s'!$E$6:$O$9929,6,FALSE)</f>
        <v>ERIC DUVALL</v>
      </c>
      <c r="AG3274" s="282"/>
      <c r="AH3274" s="311" t="e">
        <f>INDEX('D5 - Gatekeeper - Projects'!$A$4:$AF$1010,$AM3274, 17)</f>
        <v>#N/A</v>
      </c>
      <c r="AI3274" s="8"/>
      <c r="AJ3274" s="57"/>
      <c r="AK3274" s="105"/>
      <c r="AM3274" s="6" t="e">
        <f>MATCH(D3274,'D5 - Gatekeeper - Projects'!$C$4:$C$1010,0)</f>
        <v>#N/A</v>
      </c>
      <c r="AN3274" s="6" t="b">
        <f t="shared" si="332"/>
        <v>1</v>
      </c>
      <c r="AO3274" s="6" t="str">
        <f t="shared" si="333"/>
        <v>OK</v>
      </c>
      <c r="AQ3274" s="6" t="e">
        <f>MATCH($D3274,'D4 - Provider Council Unsched'!$C$11:$C$234,0)</f>
        <v>#N/A</v>
      </c>
      <c r="AR3274" s="6" t="b">
        <f t="shared" si="334"/>
        <v>1</v>
      </c>
      <c r="AS3274" s="6" t="str">
        <f t="shared" si="337"/>
        <v>OK</v>
      </c>
      <c r="AU3274" s="202"/>
      <c r="AV3274" s="350" t="s">
        <v>435</v>
      </c>
      <c r="AW3274" s="274"/>
    </row>
    <row r="3275" spans="1:49" s="13" customFormat="1" ht="11.25" customHeight="1" x14ac:dyDescent="0.2">
      <c r="A3275" s="14">
        <v>3248</v>
      </c>
      <c r="B3275" s="8">
        <v>400056255</v>
      </c>
      <c r="C3275" s="8" t="s">
        <v>1447</v>
      </c>
      <c r="D3275" s="4" t="str">
        <f t="shared" si="338"/>
        <v>400056255A</v>
      </c>
      <c r="E3275" s="309" t="str">
        <f>VLOOKUP($B3275,'D7 - NDB Impacted SPRF''s'!$E$6:$O$9929,2,FALSE)</f>
        <v>P00023 - EXTENSION OF THE AUTISM SERVICES DEMO</v>
      </c>
      <c r="F3275" s="8"/>
      <c r="G3275" s="8" t="s">
        <v>4758</v>
      </c>
      <c r="H3275" s="8" t="s">
        <v>5382</v>
      </c>
      <c r="I3275" s="20"/>
      <c r="J3275" s="8"/>
      <c r="K3275" s="182"/>
      <c r="L3275" s="8" t="s">
        <v>4156</v>
      </c>
      <c r="M3275" s="8" t="s">
        <v>2814</v>
      </c>
      <c r="N3275" s="38" t="s">
        <v>319</v>
      </c>
      <c r="O3275" s="8"/>
      <c r="P3275" s="4" t="str">
        <f>VLOOKUP($B3275,'D7 - NDB Impacted SPRF''s'!$E$16:$O$9929,9,FALSE)</f>
        <v>N</v>
      </c>
      <c r="Q3275" s="4" t="str">
        <f>VLOOKUP($B3275,'D7 - NDB Impacted SPRF''s'!$E$16:$O$9929,10,FALSE)</f>
        <v>N</v>
      </c>
      <c r="R3275" s="4" t="str">
        <f>VLOOKUP($B3275,'D7 - NDB Impacted SPRF''s'!$E$16:$O$9929,11,FALSE)</f>
        <v>N</v>
      </c>
      <c r="S3275" s="8"/>
      <c r="T3275" s="310"/>
      <c r="U3275" s="310"/>
      <c r="V3275" s="4"/>
      <c r="W3275" s="4"/>
      <c r="X3275" s="4"/>
      <c r="Y3275" s="4"/>
      <c r="Z3275" s="4"/>
      <c r="AA3275" s="4"/>
      <c r="AB3275" s="380" t="str">
        <f>VLOOKUP($B3275,'D7 - NDB Impacted SPRF''s'!$E$6:$O$9929,4,FALSE)</f>
        <v>In Estimating</v>
      </c>
      <c r="AC3275" s="380" t="str">
        <f>VLOOKUP($B3275,'D7 - NDB Impacted SPRF''s'!$E$6:$O$9929,3,FALSE)</f>
        <v>UnitedHealthcare Military &amp; Veterans</v>
      </c>
      <c r="AD3275" s="380" t="str">
        <f>VLOOKUP($B3275,'D7 - NDB Impacted SPRF''s'!$E$6:$O$9929,5,FALSE)</f>
        <v>Operational Requirements</v>
      </c>
      <c r="AE3275" s="380" t="str">
        <f>VLOOKUP($B3275,'D7 - NDB Impacted SPRF''s'!$E$6:$O$9929,7,FALSE)</f>
        <v>Mike Schwarz</v>
      </c>
      <c r="AF3275" s="380" t="str">
        <f>VLOOKUP($B3275,'D7 - NDB Impacted SPRF''s'!$E$6:$O$9929,6,FALSE)</f>
        <v>Alison Ross</v>
      </c>
      <c r="AG3275" s="282"/>
      <c r="AH3275" s="311" t="e">
        <f>INDEX('D5 - Gatekeeper - Projects'!$A$4:$AF$1010,$AM3275, 17)</f>
        <v>#N/A</v>
      </c>
      <c r="AI3275" s="8"/>
      <c r="AJ3275" s="57"/>
      <c r="AK3275" s="105"/>
      <c r="AM3275" s="6" t="e">
        <f>MATCH(D3275,'D5 - Gatekeeper - Projects'!$C$4:$C$1010,0)</f>
        <v>#N/A</v>
      </c>
      <c r="AN3275" s="6" t="b">
        <f t="shared" si="332"/>
        <v>1</v>
      </c>
      <c r="AO3275" s="6" t="str">
        <f t="shared" si="333"/>
        <v>OK</v>
      </c>
      <c r="AQ3275" s="6" t="e">
        <f>MATCH($D3275,'D4 - Provider Council Unsched'!$C$11:$C$234,0)</f>
        <v>#N/A</v>
      </c>
      <c r="AR3275" s="6" t="b">
        <f t="shared" si="334"/>
        <v>1</v>
      </c>
      <c r="AS3275" s="6" t="str">
        <f t="shared" si="337"/>
        <v>OK</v>
      </c>
      <c r="AU3275" s="202"/>
      <c r="AV3275" s="350" t="s">
        <v>317</v>
      </c>
      <c r="AW3275" s="274"/>
    </row>
    <row r="3276" spans="1:49" s="13" customFormat="1" ht="12.75" x14ac:dyDescent="0.2">
      <c r="A3276" s="14">
        <v>3249</v>
      </c>
      <c r="B3276" s="8">
        <v>400057156</v>
      </c>
      <c r="C3276" s="8" t="s">
        <v>1447</v>
      </c>
      <c r="D3276" s="4" t="str">
        <f t="shared" si="338"/>
        <v>400057156A</v>
      </c>
      <c r="E3276" s="309" t="str">
        <f>VLOOKUP($B3276,'D7 - NDB Impacted SPRF''s'!$E$6:$O$9929,2,FALSE)</f>
        <v>CIMMP- Appeals &amp; Grievances Workstream- Q3</v>
      </c>
      <c r="F3276" s="8"/>
      <c r="G3276" s="8" t="s">
        <v>4758</v>
      </c>
      <c r="H3276" s="8" t="s">
        <v>5382</v>
      </c>
      <c r="I3276" s="20"/>
      <c r="J3276" s="8"/>
      <c r="K3276" s="182"/>
      <c r="L3276" s="8" t="s">
        <v>4156</v>
      </c>
      <c r="M3276" s="8" t="s">
        <v>2814</v>
      </c>
      <c r="N3276" s="38" t="s">
        <v>8035</v>
      </c>
      <c r="O3276" s="8"/>
      <c r="P3276" s="4" t="str">
        <f>VLOOKUP($B3276,'D7 - NDB Impacted SPRF''s'!$E$16:$O$9929,9,FALSE)</f>
        <v>N</v>
      </c>
      <c r="Q3276" s="4" t="str">
        <f>VLOOKUP($B3276,'D7 - NDB Impacted SPRF''s'!$E$16:$O$9929,10,FALSE)</f>
        <v>N</v>
      </c>
      <c r="R3276" s="4" t="str">
        <f>VLOOKUP($B3276,'D7 - NDB Impacted SPRF''s'!$E$16:$O$9929,11,FALSE)</f>
        <v>N</v>
      </c>
      <c r="S3276" s="8"/>
      <c r="T3276" s="310"/>
      <c r="U3276" s="310"/>
      <c r="V3276" s="4"/>
      <c r="W3276" s="4"/>
      <c r="X3276" s="4"/>
      <c r="Y3276" s="4"/>
      <c r="Z3276" s="4"/>
      <c r="AA3276" s="4"/>
      <c r="AB3276" s="380" t="str">
        <f>VLOOKUP($B3276,'D7 - NDB Impacted SPRF''s'!$E$6:$O$9929,4,FALSE)</f>
        <v>In Estimating</v>
      </c>
      <c r="AC3276" s="380" t="str">
        <f>VLOOKUP($B3276,'D7 - NDB Impacted SPRF''s'!$E$6:$O$9929,3,FALSE)</f>
        <v>OptumHealth</v>
      </c>
      <c r="AD3276" s="380" t="str">
        <f>VLOOKUP($B3276,'D7 - NDB Impacted SPRF''s'!$E$6:$O$9929,5,FALSE)</f>
        <v>Behavioral Solutions</v>
      </c>
      <c r="AE3276" s="380" t="str">
        <f>VLOOKUP($B3276,'D7 - NDB Impacted SPRF''s'!$E$6:$O$9929,7,FALSE)</f>
        <v>Amy Joy</v>
      </c>
      <c r="AF3276" s="380" t="str">
        <f>VLOOKUP($B3276,'D7 - NDB Impacted SPRF''s'!$E$6:$O$9929,6,FALSE)</f>
        <v>Amy Joy</v>
      </c>
      <c r="AG3276" s="282"/>
      <c r="AH3276" s="311" t="e">
        <f>INDEX('D5 - Gatekeeper - Projects'!$A$4:$AF$1010,$AM3276, 17)</f>
        <v>#N/A</v>
      </c>
      <c r="AI3276" s="8"/>
      <c r="AJ3276" s="57"/>
      <c r="AK3276" s="105"/>
      <c r="AM3276" s="6" t="e">
        <f>MATCH(D3276,'D5 - Gatekeeper - Projects'!$C$4:$C$1010,0)</f>
        <v>#N/A</v>
      </c>
      <c r="AN3276" s="6" t="b">
        <f t="shared" si="332"/>
        <v>1</v>
      </c>
      <c r="AO3276" s="6" t="str">
        <f t="shared" si="333"/>
        <v>OK</v>
      </c>
      <c r="AQ3276" s="6" t="e">
        <f>MATCH($D3276,'D4 - Provider Council Unsched'!$C$11:$C$234,0)</f>
        <v>#N/A</v>
      </c>
      <c r="AR3276" s="6" t="b">
        <f t="shared" si="334"/>
        <v>1</v>
      </c>
      <c r="AS3276" s="6" t="str">
        <f t="shared" si="337"/>
        <v>OK</v>
      </c>
      <c r="AU3276" s="202"/>
      <c r="AV3276" s="352" t="s">
        <v>7714</v>
      </c>
      <c r="AW3276" s="274"/>
    </row>
    <row r="3277" spans="1:49" s="13" customFormat="1" ht="33.75" x14ac:dyDescent="0.2">
      <c r="A3277" s="14">
        <v>3250</v>
      </c>
      <c r="B3277" s="8">
        <v>400057361</v>
      </c>
      <c r="C3277" s="8" t="s">
        <v>1447</v>
      </c>
      <c r="D3277" s="4" t="str">
        <f t="shared" si="338"/>
        <v>400057361A</v>
      </c>
      <c r="E3277" s="309" t="str">
        <f>VLOOKUP($B3277,'D7 - NDB Impacted SPRF''s'!$E$6:$O$9929,2,FALSE)</f>
        <v>CareOne/ICUE User migration (NM, MME)</v>
      </c>
      <c r="F3277" s="8"/>
      <c r="G3277" s="8" t="s">
        <v>4758</v>
      </c>
      <c r="H3277" s="8" t="s">
        <v>5382</v>
      </c>
      <c r="I3277" s="20"/>
      <c r="J3277" s="8"/>
      <c r="K3277" s="182"/>
      <c r="L3277" s="8" t="s">
        <v>4156</v>
      </c>
      <c r="M3277" s="8" t="s">
        <v>2814</v>
      </c>
      <c r="N3277" s="38" t="s">
        <v>9027</v>
      </c>
      <c r="O3277" s="8"/>
      <c r="P3277" s="4" t="str">
        <f>VLOOKUP($B3277,'D7 - NDB Impacted SPRF''s'!$E$16:$O$9929,9,FALSE)</f>
        <v>N</v>
      </c>
      <c r="Q3277" s="4" t="str">
        <f>VLOOKUP($B3277,'D7 - NDB Impacted SPRF''s'!$E$16:$O$9929,10,FALSE)</f>
        <v>N</v>
      </c>
      <c r="R3277" s="4" t="str">
        <f>VLOOKUP($B3277,'D7 - NDB Impacted SPRF''s'!$E$16:$O$9929,11,FALSE)</f>
        <v>N</v>
      </c>
      <c r="S3277" s="8"/>
      <c r="T3277" s="310"/>
      <c r="U3277" s="310"/>
      <c r="V3277" s="4"/>
      <c r="W3277" s="4"/>
      <c r="X3277" s="4"/>
      <c r="Y3277" s="4"/>
      <c r="Z3277" s="4"/>
      <c r="AA3277" s="4"/>
      <c r="AB3277" s="380" t="str">
        <f>VLOOKUP($B3277,'D7 - NDB Impacted SPRF''s'!$E$6:$O$9929,4,FALSE)</f>
        <v>In Estimating</v>
      </c>
      <c r="AC3277" s="380" t="str">
        <f>VLOOKUP($B3277,'D7 - NDB Impacted SPRF''s'!$E$6:$O$9929,3,FALSE)</f>
        <v>UnitedHealthcare Employer &amp; Individual</v>
      </c>
      <c r="AD3277" s="380" t="str">
        <f>VLOOKUP($B3277,'D7 - NDB Impacted SPRF''s'!$E$6:$O$9929,5,FALSE)</f>
        <v>Process Improvement</v>
      </c>
      <c r="AE3277" s="380" t="str">
        <f>VLOOKUP($B3277,'D7 - NDB Impacted SPRF''s'!$E$6:$O$9929,7,FALSE)</f>
        <v>Darcie Corbin</v>
      </c>
      <c r="AF3277" s="380" t="str">
        <f>VLOOKUP($B3277,'D7 - NDB Impacted SPRF''s'!$E$6:$O$9929,6,FALSE)</f>
        <v>Deneen Andrades</v>
      </c>
      <c r="AG3277" s="282"/>
      <c r="AH3277" s="311" t="e">
        <f>INDEX('D5 - Gatekeeper - Projects'!$A$4:$AF$1010,$AM3277, 17)</f>
        <v>#N/A</v>
      </c>
      <c r="AI3277" s="8"/>
      <c r="AJ3277" s="57"/>
      <c r="AK3277" s="105"/>
      <c r="AM3277" s="6" t="e">
        <f>MATCH(D3277,'D5 - Gatekeeper - Projects'!$C$4:$C$1010,0)</f>
        <v>#N/A</v>
      </c>
      <c r="AN3277" s="6" t="b">
        <f t="shared" si="332"/>
        <v>1</v>
      </c>
      <c r="AO3277" s="6" t="str">
        <f t="shared" si="333"/>
        <v>OK</v>
      </c>
      <c r="AQ3277" s="6" t="e">
        <f>MATCH($D3277,'D4 - Provider Council Unsched'!$C$11:$C$234,0)</f>
        <v>#N/A</v>
      </c>
      <c r="AR3277" s="6" t="b">
        <f t="shared" si="334"/>
        <v>1</v>
      </c>
      <c r="AS3277" s="6" t="str">
        <f t="shared" si="337"/>
        <v>OK</v>
      </c>
      <c r="AU3277" s="202"/>
      <c r="AV3277" s="216"/>
      <c r="AW3277" s="274"/>
    </row>
    <row r="3278" spans="1:49" s="13" customFormat="1" ht="33.75" x14ac:dyDescent="0.2">
      <c r="A3278" s="14">
        <v>3251</v>
      </c>
      <c r="B3278" s="8">
        <v>400057474</v>
      </c>
      <c r="C3278" s="8" t="s">
        <v>1447</v>
      </c>
      <c r="D3278" s="4" t="str">
        <f t="shared" si="338"/>
        <v>400057474A</v>
      </c>
      <c r="E3278" s="309" t="str">
        <f>VLOOKUP($B3278,'D7 - NDB Impacted SPRF''s'!$E$6:$O$9929,2,FALSE)</f>
        <v>ICD-10 Remediation- UHC West Auth Log SSF Format</v>
      </c>
      <c r="F3278" s="8"/>
      <c r="G3278" s="8" t="s">
        <v>4758</v>
      </c>
      <c r="H3278" s="8" t="s">
        <v>5382</v>
      </c>
      <c r="I3278" s="20"/>
      <c r="J3278" s="8"/>
      <c r="K3278" s="182"/>
      <c r="L3278" s="8" t="s">
        <v>4156</v>
      </c>
      <c r="M3278" s="8" t="s">
        <v>2814</v>
      </c>
      <c r="N3278" s="38" t="s">
        <v>9025</v>
      </c>
      <c r="O3278" s="8"/>
      <c r="P3278" s="4" t="str">
        <f>VLOOKUP($B3278,'D7 - NDB Impacted SPRF''s'!$E$16:$O$9929,9,FALSE)</f>
        <v>N</v>
      </c>
      <c r="Q3278" s="4" t="str">
        <f>VLOOKUP($B3278,'D7 - NDB Impacted SPRF''s'!$E$16:$O$9929,10,FALSE)</f>
        <v>N</v>
      </c>
      <c r="R3278" s="4" t="str">
        <f>VLOOKUP($B3278,'D7 - NDB Impacted SPRF''s'!$E$16:$O$9929,11,FALSE)</f>
        <v>N</v>
      </c>
      <c r="S3278" s="8"/>
      <c r="T3278" s="310"/>
      <c r="U3278" s="310"/>
      <c r="V3278" s="4"/>
      <c r="W3278" s="4"/>
      <c r="X3278" s="4"/>
      <c r="Y3278" s="4"/>
      <c r="Z3278" s="4"/>
      <c r="AA3278" s="4"/>
      <c r="AB3278" s="380" t="str">
        <f>VLOOKUP($B3278,'D7 - NDB Impacted SPRF''s'!$E$6:$O$9929,4,FALSE)</f>
        <v>In Estimating</v>
      </c>
      <c r="AC3278" s="380" t="str">
        <f>VLOOKUP($B3278,'D7 - NDB Impacted SPRF''s'!$E$6:$O$9929,3,FALSE)</f>
        <v>UnitedHealthcare Employer &amp; Individual</v>
      </c>
      <c r="AD3278" s="380" t="str">
        <f>VLOOKUP($B3278,'D7 - NDB Impacted SPRF''s'!$E$6:$O$9929,5,FALSE)</f>
        <v>Regulatory / Other</v>
      </c>
      <c r="AE3278" s="380" t="str">
        <f>VLOOKUP($B3278,'D7 - NDB Impacted SPRF''s'!$E$6:$O$9929,7,FALSE)</f>
        <v>Cindi Middaugh</v>
      </c>
      <c r="AF3278" s="380" t="str">
        <f>VLOOKUP($B3278,'D7 - NDB Impacted SPRF''s'!$E$6:$O$9929,6,FALSE)</f>
        <v>CHRISTINA MOSHER</v>
      </c>
      <c r="AG3278" s="282"/>
      <c r="AH3278" s="311" t="e">
        <f>INDEX('D5 - Gatekeeper - Projects'!$A$4:$AF$1010,$AM3278, 17)</f>
        <v>#N/A</v>
      </c>
      <c r="AI3278" s="8"/>
      <c r="AJ3278" s="57"/>
      <c r="AK3278" s="105"/>
      <c r="AM3278" s="6" t="e">
        <f>MATCH(D3278,'D5 - Gatekeeper - Projects'!$C$4:$C$1010,0)</f>
        <v>#N/A</v>
      </c>
      <c r="AN3278" s="6" t="b">
        <f t="shared" ref="AN3278:AN3341" si="339">ISERROR(AM3278)</f>
        <v>1</v>
      </c>
      <c r="AO3278" s="6" t="str">
        <f t="shared" ref="AO3278:AO3341" si="340">IF(AND(H3278="1 - Scheduled",AN3278=TRUE),"Add","OK")</f>
        <v>OK</v>
      </c>
      <c r="AQ3278" s="6" t="e">
        <f>MATCH($D3278,'D4 - Provider Council Unsched'!$C$11:$C$234,0)</f>
        <v>#N/A</v>
      </c>
      <c r="AR3278" s="6" t="b">
        <f t="shared" ref="AR3278:AR3341" si="341">ISERROR(AQ3278)</f>
        <v>1</v>
      </c>
      <c r="AS3278" s="6" t="str">
        <f t="shared" si="337"/>
        <v>OK</v>
      </c>
      <c r="AU3278" s="202"/>
      <c r="AV3278" s="352" t="s">
        <v>2299</v>
      </c>
      <c r="AW3278" s="274"/>
    </row>
    <row r="3279" spans="1:49" s="13" customFormat="1" x14ac:dyDescent="0.2">
      <c r="A3279" s="14">
        <v>3252</v>
      </c>
      <c r="B3279" s="8">
        <v>400057801</v>
      </c>
      <c r="C3279" s="8" t="s">
        <v>1447</v>
      </c>
      <c r="D3279" s="4" t="str">
        <f t="shared" si="338"/>
        <v>400057801A</v>
      </c>
      <c r="E3279" s="309" t="str">
        <f>VLOOKUP($B3279,'D7 - NDB Impacted SPRF''s'!$E$6:$O$9929,2,FALSE)</f>
        <v>PHS Commercial Migration from PBHtoOHBS Facets-Dev</v>
      </c>
      <c r="F3279" s="8"/>
      <c r="G3279" s="8" t="s">
        <v>4758</v>
      </c>
      <c r="H3279" s="8" t="s">
        <v>5382</v>
      </c>
      <c r="I3279" s="20"/>
      <c r="J3279" s="8"/>
      <c r="K3279" s="182"/>
      <c r="L3279" s="8" t="s">
        <v>4156</v>
      </c>
      <c r="M3279" s="8" t="s">
        <v>2814</v>
      </c>
      <c r="N3279" s="38" t="s">
        <v>9183</v>
      </c>
      <c r="O3279" s="8"/>
      <c r="P3279" s="4" t="str">
        <f>VLOOKUP($B3279,'D7 - NDB Impacted SPRF''s'!$E$16:$O$9929,9,FALSE)</f>
        <v>N</v>
      </c>
      <c r="Q3279" s="4" t="str">
        <f>VLOOKUP($B3279,'D7 - NDB Impacted SPRF''s'!$E$16:$O$9929,10,FALSE)</f>
        <v>N</v>
      </c>
      <c r="R3279" s="4" t="str">
        <f>VLOOKUP($B3279,'D7 - NDB Impacted SPRF''s'!$E$16:$O$9929,11,FALSE)</f>
        <v>N</v>
      </c>
      <c r="S3279" s="8"/>
      <c r="T3279" s="310"/>
      <c r="U3279" s="310"/>
      <c r="V3279" s="4"/>
      <c r="W3279" s="4"/>
      <c r="X3279" s="4"/>
      <c r="Y3279" s="4"/>
      <c r="Z3279" s="4"/>
      <c r="AA3279" s="4"/>
      <c r="AB3279" s="380" t="str">
        <f>VLOOKUP($B3279,'D7 - NDB Impacted SPRF''s'!$E$6:$O$9929,4,FALSE)</f>
        <v>In Estimating</v>
      </c>
      <c r="AC3279" s="380" t="str">
        <f>VLOOKUP($B3279,'D7 - NDB Impacted SPRF''s'!$E$6:$O$9929,3,FALSE)</f>
        <v>OptumHealth</v>
      </c>
      <c r="AD3279" s="380" t="str">
        <f>VLOOKUP($B3279,'D7 - NDB Impacted SPRF''s'!$E$6:$O$9929,5,FALSE)</f>
        <v>Behavioral Solutions</v>
      </c>
      <c r="AE3279" s="380" t="str">
        <f>VLOOKUP($B3279,'D7 - NDB Impacted SPRF''s'!$E$6:$O$9929,7,FALSE)</f>
        <v>Lloyd Dyer</v>
      </c>
      <c r="AF3279" s="380" t="str">
        <f>VLOOKUP($B3279,'D7 - NDB Impacted SPRF''s'!$E$6:$O$9929,6,FALSE)</f>
        <v>Paul Gueldner</v>
      </c>
      <c r="AG3279" s="282"/>
      <c r="AH3279" s="311" t="e">
        <f>INDEX('D5 - Gatekeeper - Projects'!$A$4:$AF$1010,$AM3279, 17)</f>
        <v>#N/A</v>
      </c>
      <c r="AI3279" s="8"/>
      <c r="AJ3279" s="57"/>
      <c r="AK3279" s="105"/>
      <c r="AM3279" s="6" t="e">
        <f>MATCH(D3279,'D5 - Gatekeeper - Projects'!$C$4:$C$1010,0)</f>
        <v>#N/A</v>
      </c>
      <c r="AN3279" s="6" t="b">
        <f t="shared" si="339"/>
        <v>1</v>
      </c>
      <c r="AO3279" s="6" t="str">
        <f t="shared" si="340"/>
        <v>OK</v>
      </c>
      <c r="AQ3279" s="6" t="e">
        <f>MATCH($D3279,'D4 - Provider Council Unsched'!$C$11:$C$234,0)</f>
        <v>#N/A</v>
      </c>
      <c r="AR3279" s="6" t="b">
        <f t="shared" si="341"/>
        <v>1</v>
      </c>
      <c r="AS3279" s="6" t="str">
        <f t="shared" si="337"/>
        <v>OK</v>
      </c>
      <c r="AU3279" s="202"/>
      <c r="AV3279" s="216"/>
      <c r="AW3279" s="274"/>
    </row>
    <row r="3280" spans="1:49" s="13" customFormat="1" ht="33.75" x14ac:dyDescent="0.2">
      <c r="A3280" s="14">
        <v>3253</v>
      </c>
      <c r="B3280" s="8">
        <v>400057843</v>
      </c>
      <c r="C3280" s="8" t="s">
        <v>1447</v>
      </c>
      <c r="D3280" s="4" t="str">
        <f t="shared" si="338"/>
        <v>400057843A</v>
      </c>
      <c r="E3280" s="309" t="str">
        <f>VLOOKUP($B3280,'D7 - NDB Impacted SPRF''s'!$E$6:$O$9929,2,FALSE)</f>
        <v>Washington State Qualified Health Homes</v>
      </c>
      <c r="F3280" s="8"/>
      <c r="G3280" s="8" t="s">
        <v>4758</v>
      </c>
      <c r="H3280" s="8" t="s">
        <v>5382</v>
      </c>
      <c r="I3280" s="20"/>
      <c r="J3280" s="8"/>
      <c r="K3280" s="182"/>
      <c r="L3280" s="8" t="s">
        <v>4156</v>
      </c>
      <c r="M3280" s="8" t="s">
        <v>2814</v>
      </c>
      <c r="N3280" s="38" t="s">
        <v>9160</v>
      </c>
      <c r="O3280" s="8"/>
      <c r="P3280" s="4" t="str">
        <f>VLOOKUP($B3280,'D7 - NDB Impacted SPRF''s'!$E$16:$O$9929,9,FALSE)</f>
        <v>N</v>
      </c>
      <c r="Q3280" s="4" t="str">
        <f>VLOOKUP($B3280,'D7 - NDB Impacted SPRF''s'!$E$16:$O$9929,10,FALSE)</f>
        <v>N</v>
      </c>
      <c r="R3280" s="4" t="str">
        <f>VLOOKUP($B3280,'D7 - NDB Impacted SPRF''s'!$E$16:$O$9929,11,FALSE)</f>
        <v>N</v>
      </c>
      <c r="S3280" s="8"/>
      <c r="T3280" s="310"/>
      <c r="U3280" s="310"/>
      <c r="V3280" s="4"/>
      <c r="W3280" s="4"/>
      <c r="X3280" s="4"/>
      <c r="Y3280" s="4"/>
      <c r="Z3280" s="4"/>
      <c r="AA3280" s="4"/>
      <c r="AB3280" s="380" t="str">
        <f>VLOOKUP($B3280,'D7 - NDB Impacted SPRF''s'!$E$6:$O$9929,4,FALSE)</f>
        <v>In Estimating</v>
      </c>
      <c r="AC3280" s="380" t="str">
        <f>VLOOKUP($B3280,'D7 - NDB Impacted SPRF''s'!$E$6:$O$9929,3,FALSE)</f>
        <v>UnitedHealthcare Community &amp; State</v>
      </c>
      <c r="AD3280" s="380" t="str">
        <f>VLOOKUP($B3280,'D7 - NDB Impacted SPRF''s'!$E$6:$O$9929,5,FALSE)</f>
        <v>Membership Growth / Revenue Programs</v>
      </c>
      <c r="AE3280" s="380" t="str">
        <f>VLOOKUP($B3280,'D7 - NDB Impacted SPRF''s'!$E$6:$O$9929,7,FALSE)</f>
        <v>Doug Bowes</v>
      </c>
      <c r="AF3280" s="380" t="str">
        <f>VLOOKUP($B3280,'D7 - NDB Impacted SPRF''s'!$E$6:$O$9929,6,FALSE)</f>
        <v>KELLY LEONARD</v>
      </c>
      <c r="AG3280" s="282"/>
      <c r="AH3280" s="311" t="e">
        <f>INDEX('D5 - Gatekeeper - Projects'!$A$4:$AF$1010,$AM3280, 17)</f>
        <v>#N/A</v>
      </c>
      <c r="AI3280" s="8"/>
      <c r="AJ3280" s="57"/>
      <c r="AK3280" s="105"/>
      <c r="AM3280" s="6" t="e">
        <f>MATCH(D3280,'D5 - Gatekeeper - Projects'!$C$4:$C$1010,0)</f>
        <v>#N/A</v>
      </c>
      <c r="AN3280" s="6" t="b">
        <f t="shared" si="339"/>
        <v>1</v>
      </c>
      <c r="AO3280" s="6" t="str">
        <f t="shared" si="340"/>
        <v>OK</v>
      </c>
      <c r="AQ3280" s="6" t="e">
        <f>MATCH($D3280,'D4 - Provider Council Unsched'!$C$11:$C$234,0)</f>
        <v>#N/A</v>
      </c>
      <c r="AR3280" s="6" t="b">
        <f t="shared" si="341"/>
        <v>1</v>
      </c>
      <c r="AS3280" s="6" t="str">
        <f t="shared" ref="AS3280:AS3311" si="342">IF(AND(H3280="2 - Not Scheduled",AR3280=TRUE,C3280="R1"),"Add","OK")</f>
        <v>OK</v>
      </c>
      <c r="AU3280" s="202"/>
      <c r="AV3280" s="412" t="s">
        <v>3206</v>
      </c>
      <c r="AW3280" s="274"/>
    </row>
    <row r="3281" spans="1:49" s="13" customFormat="1" ht="11.25" customHeight="1" x14ac:dyDescent="0.2">
      <c r="A3281" s="14">
        <v>3254</v>
      </c>
      <c r="B3281" s="8">
        <v>400057946</v>
      </c>
      <c r="C3281" s="8" t="s">
        <v>1447</v>
      </c>
      <c r="D3281" s="4" t="str">
        <f t="shared" ref="D3281:D3312" si="343">CONCATENATE(B3281,C3281)</f>
        <v>400057946A</v>
      </c>
      <c r="E3281" s="309" t="str">
        <f>VLOOKUP($B3281,'D7 - NDB Impacted SPRF''s'!$E$6:$O$9929,2,FALSE)</f>
        <v>Balance Forward (Negative Payee) COSMOS</v>
      </c>
      <c r="F3281" s="8"/>
      <c r="G3281" s="8" t="s">
        <v>4758</v>
      </c>
      <c r="H3281" s="8" t="s">
        <v>5382</v>
      </c>
      <c r="I3281" s="20"/>
      <c r="J3281" s="8"/>
      <c r="K3281" s="182"/>
      <c r="L3281" s="8" t="s">
        <v>4156</v>
      </c>
      <c r="M3281" s="8" t="s">
        <v>2814</v>
      </c>
      <c r="N3281" s="38" t="s">
        <v>8968</v>
      </c>
      <c r="O3281" s="8"/>
      <c r="P3281" s="4" t="str">
        <f>VLOOKUP($B3281,'D7 - NDB Impacted SPRF''s'!$E$16:$O$9929,9,FALSE)</f>
        <v>N</v>
      </c>
      <c r="Q3281" s="4" t="str">
        <f>VLOOKUP($B3281,'D7 - NDB Impacted SPRF''s'!$E$16:$O$9929,10,FALSE)</f>
        <v>N</v>
      </c>
      <c r="R3281" s="4" t="str">
        <f>VLOOKUP($B3281,'D7 - NDB Impacted SPRF''s'!$E$16:$O$9929,11,FALSE)</f>
        <v>N</v>
      </c>
      <c r="S3281" s="8"/>
      <c r="T3281" s="310"/>
      <c r="U3281" s="310"/>
      <c r="V3281" s="4"/>
      <c r="W3281" s="4"/>
      <c r="X3281" s="4"/>
      <c r="Y3281" s="4"/>
      <c r="Z3281" s="4"/>
      <c r="AA3281" s="4"/>
      <c r="AB3281" s="380" t="str">
        <f>VLOOKUP($B3281,'D7 - NDB Impacted SPRF''s'!$E$6:$O$9929,4,FALSE)</f>
        <v>In Estimating</v>
      </c>
      <c r="AC3281" s="380" t="str">
        <f>VLOOKUP($B3281,'D7 - NDB Impacted SPRF''s'!$E$6:$O$9929,3,FALSE)</f>
        <v>UnitedHealthcare Medicare &amp; Retirement</v>
      </c>
      <c r="AD3281" s="380" t="str">
        <f>VLOOKUP($B3281,'D7 - NDB Impacted SPRF''s'!$E$6:$O$9929,5,FALSE)</f>
        <v>Medical Cost Savings Programs</v>
      </c>
      <c r="AE3281" s="380" t="str">
        <f>VLOOKUP($B3281,'D7 - NDB Impacted SPRF''s'!$E$6:$O$9929,7,FALSE)</f>
        <v>Mark Johnson</v>
      </c>
      <c r="AF3281" s="380" t="str">
        <f>VLOOKUP($B3281,'D7 - NDB Impacted SPRF''s'!$E$6:$O$9929,6,FALSE)</f>
        <v>Nick Schuchardt</v>
      </c>
      <c r="AG3281" s="282"/>
      <c r="AH3281" s="311" t="e">
        <f>INDEX('D5 - Gatekeeper - Projects'!$A$4:$AF$1010,$AM3281, 17)</f>
        <v>#N/A</v>
      </c>
      <c r="AI3281" s="8"/>
      <c r="AJ3281" s="57"/>
      <c r="AK3281" s="105"/>
      <c r="AM3281" s="6" t="e">
        <f>MATCH(D3281,'D5 - Gatekeeper - Projects'!$C$4:$C$1010,0)</f>
        <v>#N/A</v>
      </c>
      <c r="AN3281" s="6" t="b">
        <f t="shared" si="339"/>
        <v>1</v>
      </c>
      <c r="AO3281" s="6" t="str">
        <f t="shared" si="340"/>
        <v>OK</v>
      </c>
      <c r="AQ3281" s="6" t="e">
        <f>MATCH($D3281,'D4 - Provider Council Unsched'!$C$11:$C$234,0)</f>
        <v>#N/A</v>
      </c>
      <c r="AR3281" s="6" t="b">
        <f t="shared" si="341"/>
        <v>1</v>
      </c>
      <c r="AS3281" s="6" t="str">
        <f t="shared" si="342"/>
        <v>OK</v>
      </c>
      <c r="AU3281" s="202"/>
      <c r="AV3281" s="412" t="s">
        <v>7904</v>
      </c>
      <c r="AW3281" s="274"/>
    </row>
    <row r="3282" spans="1:49" s="13" customFormat="1" ht="33.75" x14ac:dyDescent="0.2">
      <c r="A3282" s="14">
        <v>3255</v>
      </c>
      <c r="B3282" s="8">
        <v>400058142</v>
      </c>
      <c r="C3282" s="8" t="s">
        <v>1447</v>
      </c>
      <c r="D3282" s="4" t="str">
        <f t="shared" si="343"/>
        <v>400058142A</v>
      </c>
      <c r="E3282" s="309" t="str">
        <f>VLOOKUP($B3282,'D7 - NDB Impacted SPRF''s'!$E$6:$O$9929,2,FALSE)</f>
        <v>Public Sector User Migration to ICUE</v>
      </c>
      <c r="F3282" s="8"/>
      <c r="G3282" s="8" t="s">
        <v>4758</v>
      </c>
      <c r="H3282" s="8" t="s">
        <v>5382</v>
      </c>
      <c r="I3282" s="20"/>
      <c r="J3282" s="8"/>
      <c r="K3282" s="182"/>
      <c r="L3282" s="8" t="s">
        <v>4156</v>
      </c>
      <c r="M3282" s="8" t="s">
        <v>2814</v>
      </c>
      <c r="N3282" s="38" t="s">
        <v>9380</v>
      </c>
      <c r="O3282" s="8"/>
      <c r="P3282" s="4" t="str">
        <f>VLOOKUP($B3282,'D7 - NDB Impacted SPRF''s'!$E$16:$O$9929,9,FALSE)</f>
        <v>N</v>
      </c>
      <c r="Q3282" s="4" t="str">
        <f>VLOOKUP($B3282,'D7 - NDB Impacted SPRF''s'!$E$16:$O$9929,10,FALSE)</f>
        <v>N</v>
      </c>
      <c r="R3282" s="4" t="str">
        <f>VLOOKUP($B3282,'D7 - NDB Impacted SPRF''s'!$E$16:$O$9929,11,FALSE)</f>
        <v>N</v>
      </c>
      <c r="S3282" s="8"/>
      <c r="T3282" s="310"/>
      <c r="U3282" s="310"/>
      <c r="V3282" s="4"/>
      <c r="W3282" s="4"/>
      <c r="X3282" s="4"/>
      <c r="Y3282" s="4"/>
      <c r="Z3282" s="4"/>
      <c r="AA3282" s="4"/>
      <c r="AB3282" s="380" t="str">
        <f>VLOOKUP($B3282,'D7 - NDB Impacted SPRF''s'!$E$6:$O$9929,4,FALSE)</f>
        <v>In Estimating</v>
      </c>
      <c r="AC3282" s="380" t="str">
        <f>VLOOKUP($B3282,'D7 - NDB Impacted SPRF''s'!$E$6:$O$9929,3,FALSE)</f>
        <v>UnitedHealthcare Employer &amp; Individual</v>
      </c>
      <c r="AD3282" s="380" t="str">
        <f>VLOOKUP($B3282,'D7 - NDB Impacted SPRF''s'!$E$6:$O$9929,5,FALSE)</f>
        <v>Process Improvement</v>
      </c>
      <c r="AE3282" s="380" t="str">
        <f>VLOOKUP($B3282,'D7 - NDB Impacted SPRF''s'!$E$6:$O$9929,7,FALSE)</f>
        <v>Darcie Corbin</v>
      </c>
      <c r="AF3282" s="380" t="str">
        <f>VLOOKUP($B3282,'D7 - NDB Impacted SPRF''s'!$E$6:$O$9929,6,FALSE)</f>
        <v>Deneen Andrades</v>
      </c>
      <c r="AG3282" s="282"/>
      <c r="AH3282" s="311" t="e">
        <f>INDEX('D5 - Gatekeeper - Projects'!$A$4:$AF$1010,$AM3282, 17)</f>
        <v>#N/A</v>
      </c>
      <c r="AI3282" s="8"/>
      <c r="AJ3282" s="57"/>
      <c r="AK3282" s="105"/>
      <c r="AM3282" s="6" t="e">
        <f>MATCH(D3282,'D5 - Gatekeeper - Projects'!$C$4:$C$1010,0)</f>
        <v>#N/A</v>
      </c>
      <c r="AN3282" s="6" t="b">
        <f t="shared" si="339"/>
        <v>1</v>
      </c>
      <c r="AO3282" s="6" t="str">
        <f t="shared" si="340"/>
        <v>OK</v>
      </c>
      <c r="AQ3282" s="6" t="e">
        <f>MATCH($D3282,'D4 - Provider Council Unsched'!$C$11:$C$234,0)</f>
        <v>#N/A</v>
      </c>
      <c r="AR3282" s="6" t="b">
        <f t="shared" si="341"/>
        <v>1</v>
      </c>
      <c r="AS3282" s="6" t="str">
        <f t="shared" si="342"/>
        <v>OK</v>
      </c>
      <c r="AU3282" s="202"/>
      <c r="AV3282" s="412" t="s">
        <v>7712</v>
      </c>
      <c r="AW3282" s="274"/>
    </row>
    <row r="3283" spans="1:49" s="13" customFormat="1" ht="45" x14ac:dyDescent="0.2">
      <c r="A3283" s="14">
        <v>3256</v>
      </c>
      <c r="B3283" s="8">
        <v>400058212</v>
      </c>
      <c r="C3283" s="8" t="s">
        <v>1447</v>
      </c>
      <c r="D3283" s="4" t="str">
        <f t="shared" si="343"/>
        <v>400058212A</v>
      </c>
      <c r="E3283" s="309" t="str">
        <f>VLOOKUP($B3283,'D7 - NDB Impacted SPRF''s'!$E$6:$O$9929,2,FALSE)</f>
        <v>ED - QW - Fee Schedule Dwnld (Provider Touchpoint)</v>
      </c>
      <c r="F3283" s="8"/>
      <c r="G3283" s="8" t="s">
        <v>4758</v>
      </c>
      <c r="H3283" s="8" t="s">
        <v>5382</v>
      </c>
      <c r="I3283" s="20"/>
      <c r="J3283" s="8"/>
      <c r="K3283" s="182"/>
      <c r="L3283" s="8" t="s">
        <v>4156</v>
      </c>
      <c r="M3283" s="8" t="s">
        <v>2814</v>
      </c>
      <c r="N3283" s="38" t="s">
        <v>9132</v>
      </c>
      <c r="O3283" s="8"/>
      <c r="P3283" s="4" t="str">
        <f>VLOOKUP($B3283,'D7 - NDB Impacted SPRF''s'!$E$16:$O$9929,9,FALSE)</f>
        <v>N</v>
      </c>
      <c r="Q3283" s="4" t="str">
        <f>VLOOKUP($B3283,'D7 - NDB Impacted SPRF''s'!$E$16:$O$9929,10,FALSE)</f>
        <v>N</v>
      </c>
      <c r="R3283" s="4" t="str">
        <f>VLOOKUP($B3283,'D7 - NDB Impacted SPRF''s'!$E$16:$O$9929,11,FALSE)</f>
        <v>N</v>
      </c>
      <c r="S3283" s="8"/>
      <c r="T3283" s="310"/>
      <c r="U3283" s="310"/>
      <c r="V3283" s="4"/>
      <c r="W3283" s="4"/>
      <c r="X3283" s="4"/>
      <c r="Y3283" s="4"/>
      <c r="Z3283" s="4"/>
      <c r="AA3283" s="4"/>
      <c r="AB3283" s="380" t="str">
        <f>VLOOKUP($B3283,'D7 - NDB Impacted SPRF''s'!$E$6:$O$9929,4,FALSE)</f>
        <v>Scheduled</v>
      </c>
      <c r="AC3283" s="380" t="str">
        <f>VLOOKUP($B3283,'D7 - NDB Impacted SPRF''s'!$E$6:$O$9929,3,FALSE)</f>
        <v>UHG IT - Enterprise Technology Services</v>
      </c>
      <c r="AD3283" s="380" t="str">
        <f>VLOOKUP($B3283,'D7 - NDB Impacted SPRF''s'!$E$6:$O$9929,5,FALSE)</f>
        <v>Strategic Initiatives</v>
      </c>
      <c r="AE3283" s="380" t="str">
        <f>VLOOKUP($B3283,'D7 - NDB Impacted SPRF''s'!$E$6:$O$9929,7,FALSE)</f>
        <v>Kevin Cogle</v>
      </c>
      <c r="AF3283" s="380" t="str">
        <f>VLOOKUP($B3283,'D7 - NDB Impacted SPRF''s'!$E$6:$O$9929,6,FALSE)</f>
        <v>MONIQUE WERNER</v>
      </c>
      <c r="AG3283" s="282"/>
      <c r="AH3283" s="311" t="e">
        <f>INDEX('D5 - Gatekeeper - Projects'!$A$4:$AF$1010,$AM3283, 17)</f>
        <v>#N/A</v>
      </c>
      <c r="AI3283" s="8"/>
      <c r="AJ3283" s="57"/>
      <c r="AK3283" s="105"/>
      <c r="AM3283" s="6" t="e">
        <f>MATCH(D3283,'D5 - Gatekeeper - Projects'!$C$4:$C$1010,0)</f>
        <v>#N/A</v>
      </c>
      <c r="AN3283" s="6" t="b">
        <f t="shared" si="339"/>
        <v>1</v>
      </c>
      <c r="AO3283" s="6" t="str">
        <f t="shared" si="340"/>
        <v>OK</v>
      </c>
      <c r="AQ3283" s="6" t="e">
        <f>MATCH($D3283,'D4 - Provider Council Unsched'!$C$11:$C$234,0)</f>
        <v>#N/A</v>
      </c>
      <c r="AR3283" s="6" t="b">
        <f t="shared" si="341"/>
        <v>1</v>
      </c>
      <c r="AS3283" s="6" t="str">
        <f t="shared" si="342"/>
        <v>OK</v>
      </c>
      <c r="AU3283" s="202"/>
      <c r="AV3283" s="412" t="s">
        <v>1088</v>
      </c>
      <c r="AW3283" s="274"/>
    </row>
    <row r="3284" spans="1:49" s="13" customFormat="1" x14ac:dyDescent="0.2">
      <c r="A3284" s="14">
        <v>3257</v>
      </c>
      <c r="B3284" s="205" t="s">
        <v>5577</v>
      </c>
      <c r="C3284" s="47"/>
      <c r="D3284" s="46" t="str">
        <f t="shared" si="343"/>
        <v>ZZ - New Add</v>
      </c>
      <c r="E3284" s="46" t="str">
        <f>CONCATENATE(C3284,D3284)</f>
        <v>ZZ - New Add</v>
      </c>
      <c r="F3284" s="47"/>
      <c r="G3284" s="47"/>
      <c r="H3284" s="47" t="s">
        <v>3104</v>
      </c>
      <c r="I3284" s="48"/>
      <c r="J3284" s="47"/>
      <c r="K3284" s="184">
        <v>36892</v>
      </c>
      <c r="L3284" s="46"/>
      <c r="M3284" s="46" t="s">
        <v>2814</v>
      </c>
      <c r="N3284" s="366"/>
      <c r="O3284" s="47"/>
      <c r="P3284" s="46" t="e">
        <f>VLOOKUP($B3284,'D7 - NDB Impacted SPRF''s'!$E$16:$O$9929,9,FALSE)</f>
        <v>#N/A</v>
      </c>
      <c r="Q3284" s="46" t="e">
        <f>VLOOKUP($B3284,'D7 - NDB Impacted SPRF''s'!$E$16:$O$9929,10,FALSE)</f>
        <v>#N/A</v>
      </c>
      <c r="R3284" s="46" t="e">
        <f>VLOOKUP($B3284,'D7 - NDB Impacted SPRF''s'!$E$16:$O$9929,11,FALSE)</f>
        <v>#N/A</v>
      </c>
      <c r="S3284" s="47"/>
      <c r="T3284" s="325" t="str">
        <f>IF($H3284=$H$1,INDEX('D5 - Gatekeeper - Projects'!$A$4:$AF$1010,$AM3284,27),"NA")</f>
        <v>NA</v>
      </c>
      <c r="U3284" s="325" t="str">
        <f>IF($H3284=$H$1,INDEX('D5 - Gatekeeper - Projects'!$A$4:$AF$1010,$AM3284,28),"NA")</f>
        <v>NA</v>
      </c>
      <c r="V3284" s="325" t="str">
        <f>IF($H3284=$H$1,INDEX('D5 - Gatekeeper - Projects'!$A$4:$AF$1010,$AM3284,28),"NA")</f>
        <v>NA</v>
      </c>
      <c r="W3284" s="325" t="str">
        <f>IF($H3284=$H$1,INDEX('D5 - Gatekeeper - Projects'!$A$4:$AF$1010,$AM3284,28),"NA")</f>
        <v>NA</v>
      </c>
      <c r="X3284" s="325" t="str">
        <f>IF($H3284=$H$1,INDEX('D5 - Gatekeeper - Projects'!$A$4:$AF$1010,$AM3284,28),"NA")</f>
        <v>NA</v>
      </c>
      <c r="Y3284" s="325" t="str">
        <f>IF($H3284=$H$1,INDEX('D5 - Gatekeeper - Projects'!$A$4:$AF$1010,$AM3284,28),"NA")</f>
        <v>NA</v>
      </c>
      <c r="Z3284" s="325" t="str">
        <f>IF($H3284=$H$1,INDEX('D5 - Gatekeeper - Projects'!$A$4:$AF$1010,$AM3284,28),"NA")</f>
        <v>NA</v>
      </c>
      <c r="AA3284" s="325" t="str">
        <f>IF($H3284=$H$1,INDEX('D5 - Gatekeeper - Projects'!$A$4:$AF$1010,$AM3284,28),"NA")</f>
        <v>NA</v>
      </c>
      <c r="AB3284" s="381" t="e">
        <f>VLOOKUP($B3284,'D7 - NDB Impacted SPRF''s'!$E$16:$O$9929,4,FALSE)</f>
        <v>#N/A</v>
      </c>
      <c r="AC3284" s="381" t="e">
        <f>VLOOKUP($B3284,'D7 - NDB Impacted SPRF''s'!$E$16:$O$9929,3,FALSE)</f>
        <v>#N/A</v>
      </c>
      <c r="AD3284" s="381" t="e">
        <f>VLOOKUP($B3284,'D7 - NDB Impacted SPRF''s'!$E$16:$O$9929,5,FALSE)</f>
        <v>#N/A</v>
      </c>
      <c r="AE3284" s="381" t="e">
        <f>VLOOKUP($B3284,'D7 - NDB Impacted SPRF''s'!$E$16:$O$9929,7,FALSE)</f>
        <v>#N/A</v>
      </c>
      <c r="AF3284" s="381" t="e">
        <f>VLOOKUP($B3284,'D7 - NDB Impacted SPRF''s'!$E$16:$O$9929,6,FALSE)</f>
        <v>#N/A</v>
      </c>
      <c r="AG3284" s="324"/>
      <c r="AH3284" s="326"/>
      <c r="AI3284" s="47"/>
      <c r="AJ3284" s="58"/>
      <c r="AK3284" s="106"/>
      <c r="AM3284" s="6" t="e">
        <f>MATCH(D3284,'D5 - Gatekeeper - Projects'!$C$4:$C$1010,0)</f>
        <v>#N/A</v>
      </c>
      <c r="AN3284" s="6" t="b">
        <f t="shared" si="339"/>
        <v>1</v>
      </c>
      <c r="AO3284" s="6" t="str">
        <f t="shared" si="340"/>
        <v>OK</v>
      </c>
      <c r="AQ3284" s="6" t="e">
        <f>MATCH($D3284,'D4 - Provider Council Unsched'!$C$11:$C$234,0)</f>
        <v>#N/A</v>
      </c>
      <c r="AR3284" s="6" t="b">
        <f t="shared" si="341"/>
        <v>1</v>
      </c>
      <c r="AS3284" s="6" t="str">
        <f t="shared" si="342"/>
        <v>OK</v>
      </c>
      <c r="AU3284" s="202"/>
      <c r="AV3284" s="216"/>
      <c r="AW3284" s="274"/>
    </row>
    <row r="3285" spans="1:49" s="13" customFormat="1" ht="33.75" x14ac:dyDescent="0.2">
      <c r="A3285" s="14">
        <v>3258</v>
      </c>
      <c r="B3285" s="8">
        <v>400041452</v>
      </c>
      <c r="C3285" s="8" t="s">
        <v>7290</v>
      </c>
      <c r="D3285" s="4" t="str">
        <f t="shared" si="343"/>
        <v>400041452B</v>
      </c>
      <c r="E3285" s="309" t="str">
        <f>VLOOKUP($B3285,'D7 - NDB Impacted SPRF''s'!$E$6:$O$9929,2,FALSE)</f>
        <v>Cont CDB Core Processing: Inc View Cutovers</v>
      </c>
      <c r="F3285" s="8"/>
      <c r="G3285" s="8" t="s">
        <v>4758</v>
      </c>
      <c r="H3285" s="8" t="s">
        <v>3104</v>
      </c>
      <c r="I3285" s="20">
        <v>0.48</v>
      </c>
      <c r="J3285" s="8" t="s">
        <v>4862</v>
      </c>
      <c r="K3285" s="182">
        <v>40768</v>
      </c>
      <c r="L3285" s="8" t="s">
        <v>4156</v>
      </c>
      <c r="M3285" s="8" t="s">
        <v>5626</v>
      </c>
      <c r="N3285" s="38" t="s">
        <v>1336</v>
      </c>
      <c r="O3285" s="8"/>
      <c r="P3285" s="4" t="str">
        <f>VLOOKUP($B3285,'D7 - NDB Impacted SPRF''s'!$E$16:$O$9929,9,FALSE)</f>
        <v>Y</v>
      </c>
      <c r="Q3285" s="4" t="str">
        <f>VLOOKUP($B3285,'D7 - NDB Impacted SPRF''s'!$E$16:$O$9929,10,FALSE)</f>
        <v>N</v>
      </c>
      <c r="R3285" s="4" t="str">
        <f>VLOOKUP($B3285,'D7 - NDB Impacted SPRF''s'!$E$16:$O$9929,11,FALSE)</f>
        <v>N</v>
      </c>
      <c r="S3285" s="8"/>
      <c r="T3285" s="310"/>
      <c r="U3285" s="310"/>
      <c r="V3285" s="4"/>
      <c r="W3285" s="4"/>
      <c r="X3285" s="4"/>
      <c r="Y3285" s="4"/>
      <c r="Z3285" s="4"/>
      <c r="AA3285" s="4"/>
      <c r="AB3285" s="380" t="str">
        <f>VLOOKUP($B3285,'D7 - NDB Impacted SPRF''s'!$E$6:$O$9929,4,FALSE)</f>
        <v>Scheduled</v>
      </c>
      <c r="AC3285" s="380" t="str">
        <f>VLOOKUP($B3285,'D7 - NDB Impacted SPRF''s'!$E$6:$O$9929,3,FALSE)</f>
        <v>UHG IT - Shared Services</v>
      </c>
      <c r="AD3285" s="380" t="str">
        <f>VLOOKUP($B3285,'D7 - NDB Impacted SPRF''s'!$E$6:$O$9929,5,FALSE)</f>
        <v>Strategic Initiatives</v>
      </c>
      <c r="AE3285" s="380" t="str">
        <f>VLOOKUP($B3285,'D7 - NDB Impacted SPRF''s'!$E$6:$O$9929,7,FALSE)</f>
        <v>Patrick Casey</v>
      </c>
      <c r="AF3285" s="380" t="str">
        <f>VLOOKUP($B3285,'D7 - NDB Impacted SPRF''s'!$E$6:$O$9929,6,FALSE)</f>
        <v>DIANE KOWAL</v>
      </c>
      <c r="AG3285" s="282"/>
      <c r="AH3285" s="311" t="e">
        <f>INDEX('D5 - Gatekeeper - Projects'!$A$4:$AF$1010,$AM3285, 17)</f>
        <v>#N/A</v>
      </c>
      <c r="AI3285" s="8"/>
      <c r="AJ3285" s="57"/>
      <c r="AK3285" s="105"/>
      <c r="AM3285" s="6" t="e">
        <f>MATCH(D3285,'D5 - Gatekeeper - Projects'!$C$4:$C$1010,0)</f>
        <v>#N/A</v>
      </c>
      <c r="AN3285" s="6" t="b">
        <f t="shared" si="339"/>
        <v>1</v>
      </c>
      <c r="AO3285" s="6" t="str">
        <f t="shared" si="340"/>
        <v>OK</v>
      </c>
      <c r="AQ3285" s="6" t="e">
        <f>MATCH($D3285,'D4 - Provider Council Unsched'!$C$11:$C$234,0)</f>
        <v>#N/A</v>
      </c>
      <c r="AR3285" s="6" t="b">
        <f t="shared" si="341"/>
        <v>1</v>
      </c>
      <c r="AS3285" s="6" t="str">
        <f t="shared" si="342"/>
        <v>OK</v>
      </c>
      <c r="AU3285" s="202">
        <v>40637</v>
      </c>
      <c r="AV3285" s="216"/>
      <c r="AW3285" s="274"/>
    </row>
    <row r="3286" spans="1:49" s="13" customFormat="1" ht="56.25" x14ac:dyDescent="0.2">
      <c r="A3286" s="14">
        <v>3259</v>
      </c>
      <c r="B3286" s="8">
        <v>400044865</v>
      </c>
      <c r="C3286" s="8" t="s">
        <v>1447</v>
      </c>
      <c r="D3286" s="4" t="str">
        <f t="shared" si="343"/>
        <v>400044865A</v>
      </c>
      <c r="E3286" s="309" t="str">
        <f>VLOOKUP($B3286,'D7 - NDB Impacted SPRF''s'!$E$6:$O$9929,2,FALSE)</f>
        <v>PDR - Cosmos Contract Gap Remediation (AO)</v>
      </c>
      <c r="F3286" s="8"/>
      <c r="G3286" s="8" t="s">
        <v>4758</v>
      </c>
      <c r="H3286" s="8" t="s">
        <v>3104</v>
      </c>
      <c r="I3286" s="20">
        <v>2.68</v>
      </c>
      <c r="J3286" s="8" t="s">
        <v>4862</v>
      </c>
      <c r="K3286" s="182">
        <v>40768</v>
      </c>
      <c r="L3286" s="8" t="s">
        <v>4156</v>
      </c>
      <c r="M3286" s="8" t="s">
        <v>6688</v>
      </c>
      <c r="N3286" s="38" t="s">
        <v>3035</v>
      </c>
      <c r="O3286" s="8"/>
      <c r="P3286" s="4" t="str">
        <f>VLOOKUP($B3286,'D7 - NDB Impacted SPRF''s'!$E$16:$O$9929,9,FALSE)</f>
        <v>N</v>
      </c>
      <c r="Q3286" s="4" t="str">
        <f>VLOOKUP($B3286,'D7 - NDB Impacted SPRF''s'!$E$16:$O$9929,10,FALSE)</f>
        <v>N</v>
      </c>
      <c r="R3286" s="4" t="str">
        <f>VLOOKUP($B3286,'D7 - NDB Impacted SPRF''s'!$E$16:$O$9929,11,FALSE)</f>
        <v>Y</v>
      </c>
      <c r="S3286" s="8"/>
      <c r="T3286" s="310"/>
      <c r="U3286" s="310"/>
      <c r="V3286" s="4"/>
      <c r="W3286" s="4"/>
      <c r="X3286" s="4"/>
      <c r="Y3286" s="4"/>
      <c r="Z3286" s="4"/>
      <c r="AA3286" s="4"/>
      <c r="AB3286" s="380" t="str">
        <f>VLOOKUP($B3286,'D7 - NDB Impacted SPRF''s'!$E$6:$O$9929,4,FALSE)</f>
        <v>Completed</v>
      </c>
      <c r="AC3286" s="380" t="str">
        <f>VLOOKUP($B3286,'D7 - NDB Impacted SPRF''s'!$E$6:$O$9929,3,FALSE)</f>
        <v>UHG IT - Enterprise Technology Services</v>
      </c>
      <c r="AD3286" s="380" t="str">
        <f>VLOOKUP($B3286,'D7 - NDB Impacted SPRF''s'!$E$6:$O$9929,5,FALSE)</f>
        <v>Strategic Initiatives</v>
      </c>
      <c r="AE3286" s="380" t="str">
        <f>VLOOKUP($B3286,'D7 - NDB Impacted SPRF''s'!$E$6:$O$9929,7,FALSE)</f>
        <v>Wichmann</v>
      </c>
      <c r="AF3286" s="380" t="str">
        <f>VLOOKUP($B3286,'D7 - NDB Impacted SPRF''s'!$E$6:$O$9929,6,FALSE)</f>
        <v>Suzanne Smith</v>
      </c>
      <c r="AG3286" s="282"/>
      <c r="AH3286" s="311" t="e">
        <f>INDEX('D5 - Gatekeeper - Projects'!$A$4:$AF$1010,$AM3286, 17)</f>
        <v>#N/A</v>
      </c>
      <c r="AI3286" s="8"/>
      <c r="AJ3286" s="57"/>
      <c r="AK3286" s="105"/>
      <c r="AM3286" s="6" t="e">
        <f>MATCH(D3286,'D5 - Gatekeeper - Projects'!$C$4:$C$1010,0)</f>
        <v>#N/A</v>
      </c>
      <c r="AN3286" s="6" t="b">
        <f t="shared" si="339"/>
        <v>1</v>
      </c>
      <c r="AO3286" s="6" t="str">
        <f t="shared" si="340"/>
        <v>OK</v>
      </c>
      <c r="AQ3286" s="6" t="e">
        <f>MATCH($D3286,'D4 - Provider Council Unsched'!$C$11:$C$234,0)</f>
        <v>#N/A</v>
      </c>
      <c r="AR3286" s="6" t="b">
        <f t="shared" si="341"/>
        <v>1</v>
      </c>
      <c r="AS3286" s="6" t="str">
        <f t="shared" si="342"/>
        <v>OK</v>
      </c>
      <c r="AU3286" s="202">
        <v>40680</v>
      </c>
      <c r="AV3286" s="216"/>
      <c r="AW3286" s="274"/>
    </row>
    <row r="3287" spans="1:49" s="13" customFormat="1" ht="33.75" x14ac:dyDescent="0.2">
      <c r="A3287" s="14">
        <v>3260</v>
      </c>
      <c r="B3287" s="8">
        <v>400044960</v>
      </c>
      <c r="C3287" s="8" t="s">
        <v>1447</v>
      </c>
      <c r="D3287" s="4" t="str">
        <f t="shared" si="343"/>
        <v>400044960A</v>
      </c>
      <c r="E3287" s="309" t="str">
        <f>VLOOKUP($B3287,'D7 - NDB Impacted SPRF''s'!$E$6:$O$9929,2,FALSE)</f>
        <v>CMC - Narrow Networks Assessment</v>
      </c>
      <c r="F3287" s="8"/>
      <c r="G3287" s="8" t="s">
        <v>4758</v>
      </c>
      <c r="H3287" s="8" t="s">
        <v>3104</v>
      </c>
      <c r="I3287" s="20">
        <v>0.62</v>
      </c>
      <c r="J3287" s="8" t="s">
        <v>4862</v>
      </c>
      <c r="K3287" s="182">
        <v>40768</v>
      </c>
      <c r="L3287" s="8" t="s">
        <v>4156</v>
      </c>
      <c r="M3287" s="8" t="s">
        <v>6688</v>
      </c>
      <c r="N3287" s="38" t="s">
        <v>3094</v>
      </c>
      <c r="O3287" s="8"/>
      <c r="P3287" s="4" t="str">
        <f>VLOOKUP($B3287,'D7 - NDB Impacted SPRF''s'!$E$16:$O$9929,9,FALSE)</f>
        <v>Y</v>
      </c>
      <c r="Q3287" s="4" t="str">
        <f>VLOOKUP($B3287,'D7 - NDB Impacted SPRF''s'!$E$16:$O$9929,10,FALSE)</f>
        <v>N</v>
      </c>
      <c r="R3287" s="4" t="str">
        <f>VLOOKUP($B3287,'D7 - NDB Impacted SPRF''s'!$E$16:$O$9929,11,FALSE)</f>
        <v>Y</v>
      </c>
      <c r="S3287" s="8"/>
      <c r="T3287" s="310"/>
      <c r="U3287" s="310"/>
      <c r="V3287" s="4"/>
      <c r="W3287" s="4"/>
      <c r="X3287" s="4"/>
      <c r="Y3287" s="4"/>
      <c r="Z3287" s="4"/>
      <c r="AA3287" s="4"/>
      <c r="AB3287" s="380" t="str">
        <f>VLOOKUP($B3287,'D7 - NDB Impacted SPRF''s'!$E$6:$O$9929,4,FALSE)</f>
        <v>Completed</v>
      </c>
      <c r="AC3287" s="380" t="str">
        <f>VLOOKUP($B3287,'D7 - NDB Impacted SPRF''s'!$E$6:$O$9929,3,FALSE)</f>
        <v>OptumHealth</v>
      </c>
      <c r="AD3287" s="380" t="str">
        <f>VLOOKUP($B3287,'D7 - NDB Impacted SPRF''s'!$E$6:$O$9929,5,FALSE)</f>
        <v>OptumHealth Care Solutions</v>
      </c>
      <c r="AE3287" s="380" t="str">
        <f>VLOOKUP($B3287,'D7 - NDB Impacted SPRF''s'!$E$6:$O$9929,7,FALSE)</f>
        <v>Chris Pricco</v>
      </c>
      <c r="AF3287" s="380" t="str">
        <f>VLOOKUP($B3287,'D7 - NDB Impacted SPRF''s'!$E$6:$O$9929,6,FALSE)</f>
        <v>Kari Buck</v>
      </c>
      <c r="AG3287" s="282"/>
      <c r="AH3287" s="311" t="e">
        <f>INDEX('D5 - Gatekeeper - Projects'!$A$4:$AF$1010,$AM3287, 17)</f>
        <v>#N/A</v>
      </c>
      <c r="AI3287" s="8"/>
      <c r="AJ3287" s="57"/>
      <c r="AK3287" s="105"/>
      <c r="AM3287" s="6" t="e">
        <f>MATCH(D3287,'D5 - Gatekeeper - Projects'!$C$4:$C$1010,0)</f>
        <v>#N/A</v>
      </c>
      <c r="AN3287" s="6" t="b">
        <f t="shared" si="339"/>
        <v>1</v>
      </c>
      <c r="AO3287" s="6" t="str">
        <f t="shared" si="340"/>
        <v>OK</v>
      </c>
      <c r="AQ3287" s="6" t="e">
        <f>MATCH($D3287,'D4 - Provider Council Unsched'!$C$11:$C$234,0)</f>
        <v>#N/A</v>
      </c>
      <c r="AR3287" s="6" t="b">
        <f t="shared" si="341"/>
        <v>1</v>
      </c>
      <c r="AS3287" s="6" t="str">
        <f t="shared" si="342"/>
        <v>OK</v>
      </c>
      <c r="AU3287" s="202">
        <v>40725</v>
      </c>
      <c r="AV3287" s="216"/>
      <c r="AW3287" s="274"/>
    </row>
    <row r="3288" spans="1:49" s="13" customFormat="1" ht="33.75" x14ac:dyDescent="0.2">
      <c r="A3288" s="14">
        <v>3261</v>
      </c>
      <c r="B3288" s="8">
        <v>400037557</v>
      </c>
      <c r="C3288" s="8" t="s">
        <v>1447</v>
      </c>
      <c r="D3288" s="4" t="str">
        <f t="shared" si="343"/>
        <v>400037557A</v>
      </c>
      <c r="E3288" s="309" t="str">
        <f>VLOOKUP($B3288,'D7 - NDB Impacted SPRF''s'!$E$6:$O$9929,2,FALSE)</f>
        <v>Service Request  - Filtering Options</v>
      </c>
      <c r="F3288" s="8"/>
      <c r="G3288" s="8" t="s">
        <v>4758</v>
      </c>
      <c r="H3288" s="8" t="s">
        <v>3104</v>
      </c>
      <c r="I3288" s="20">
        <v>0.6</v>
      </c>
      <c r="J3288" s="8" t="s">
        <v>4862</v>
      </c>
      <c r="K3288" s="182">
        <v>40810</v>
      </c>
      <c r="L3288" s="8" t="s">
        <v>4156</v>
      </c>
      <c r="M3288" s="8" t="s">
        <v>5626</v>
      </c>
      <c r="N3288" s="38" t="s">
        <v>1335</v>
      </c>
      <c r="O3288" s="8"/>
      <c r="P3288" s="4" t="str">
        <f>VLOOKUP($B3288,'D7 - NDB Impacted SPRF''s'!$E$16:$O$9929,9,FALSE)</f>
        <v>N</v>
      </c>
      <c r="Q3288" s="4" t="str">
        <f>VLOOKUP($B3288,'D7 - NDB Impacted SPRF''s'!$E$16:$O$9929,10,FALSE)</f>
        <v>N</v>
      </c>
      <c r="R3288" s="4" t="str">
        <f>VLOOKUP($B3288,'D7 - NDB Impacted SPRF''s'!$E$16:$O$9929,11,FALSE)</f>
        <v>N</v>
      </c>
      <c r="S3288" s="8"/>
      <c r="T3288" s="310"/>
      <c r="U3288" s="310"/>
      <c r="V3288" s="4"/>
      <c r="W3288" s="4"/>
      <c r="X3288" s="4"/>
      <c r="Y3288" s="4"/>
      <c r="Z3288" s="4"/>
      <c r="AA3288" s="4"/>
      <c r="AB3288" s="380" t="str">
        <f>VLOOKUP($B3288,'D7 - NDB Impacted SPRF''s'!$E$6:$O$9929,4,FALSE)</f>
        <v>Completed</v>
      </c>
      <c r="AC3288" s="380" t="str">
        <f>VLOOKUP($B3288,'D7 - NDB Impacted SPRF''s'!$E$6:$O$9929,3,FALSE)</f>
        <v>UnitedHealthcare Employer &amp; Individual</v>
      </c>
      <c r="AD3288" s="380" t="str">
        <f>VLOOKUP($B3288,'D7 - NDB Impacted SPRF''s'!$E$6:$O$9929,5,FALSE)</f>
        <v>Process Improvement</v>
      </c>
      <c r="AE3288" s="380" t="str">
        <f>VLOOKUP($B3288,'D7 - NDB Impacted SPRF''s'!$E$6:$O$9929,7,FALSE)</f>
        <v>Roger Wambheim</v>
      </c>
      <c r="AF3288" s="380" t="str">
        <f>VLOOKUP($B3288,'D7 - NDB Impacted SPRF''s'!$E$6:$O$9929,6,FALSE)</f>
        <v>Cory Mehan</v>
      </c>
      <c r="AG3288" s="282"/>
      <c r="AH3288" s="311" t="e">
        <f>INDEX('D5 - Gatekeeper - Projects'!$A$4:$AF$1010,$AM3288, 17)</f>
        <v>#N/A</v>
      </c>
      <c r="AI3288" s="8"/>
      <c r="AJ3288" s="57"/>
      <c r="AK3288" s="105"/>
      <c r="AM3288" s="6" t="e">
        <f>MATCH(D3288,'D5 - Gatekeeper - Projects'!$C$4:$C$1010,0)</f>
        <v>#N/A</v>
      </c>
      <c r="AN3288" s="6" t="b">
        <f t="shared" si="339"/>
        <v>1</v>
      </c>
      <c r="AO3288" s="6" t="str">
        <f t="shared" si="340"/>
        <v>OK</v>
      </c>
      <c r="AQ3288" s="6" t="e">
        <f>MATCH($D3288,'D4 - Provider Council Unsched'!$C$11:$C$234,0)</f>
        <v>#N/A</v>
      </c>
      <c r="AR3288" s="6" t="b">
        <f t="shared" si="341"/>
        <v>1</v>
      </c>
      <c r="AS3288" s="6" t="str">
        <f t="shared" si="342"/>
        <v>OK</v>
      </c>
      <c r="AU3288" s="202">
        <v>40764</v>
      </c>
      <c r="AV3288" s="216"/>
      <c r="AW3288" s="274"/>
    </row>
    <row r="3289" spans="1:49" s="13" customFormat="1" ht="22.5" x14ac:dyDescent="0.2">
      <c r="A3289" s="14">
        <v>3262</v>
      </c>
      <c r="B3289" s="8">
        <v>400040681</v>
      </c>
      <c r="C3289" s="8" t="s">
        <v>1447</v>
      </c>
      <c r="D3289" s="4" t="str">
        <f t="shared" si="343"/>
        <v>400040681A</v>
      </c>
      <c r="E3289" s="309" t="str">
        <f>VLOOKUP($B3289,'D7 - NDB Impacted SPRF''s'!$E$6:$O$9929,2,FALSE)</f>
        <v>PBH Facets Migration - Direct Employer</v>
      </c>
      <c r="F3289" s="8"/>
      <c r="G3289" s="8" t="s">
        <v>4758</v>
      </c>
      <c r="H3289" s="8" t="s">
        <v>3104</v>
      </c>
      <c r="I3289" s="20">
        <v>0.65</v>
      </c>
      <c r="J3289" s="8" t="s">
        <v>4862</v>
      </c>
      <c r="K3289" s="182">
        <v>40810</v>
      </c>
      <c r="L3289" s="8" t="s">
        <v>4156</v>
      </c>
      <c r="M3289" s="8" t="s">
        <v>5626</v>
      </c>
      <c r="N3289" s="38" t="s">
        <v>3100</v>
      </c>
      <c r="O3289" s="8"/>
      <c r="P3289" s="4" t="str">
        <f>VLOOKUP($B3289,'D7 - NDB Impacted SPRF''s'!$E$16:$O$9929,9,FALSE)</f>
        <v>N</v>
      </c>
      <c r="Q3289" s="4" t="str">
        <f>VLOOKUP($B3289,'D7 - NDB Impacted SPRF''s'!$E$16:$O$9929,10,FALSE)</f>
        <v>N</v>
      </c>
      <c r="R3289" s="4" t="str">
        <f>VLOOKUP($B3289,'D7 - NDB Impacted SPRF''s'!$E$16:$O$9929,11,FALSE)</f>
        <v>N</v>
      </c>
      <c r="S3289" s="8"/>
      <c r="T3289" s="310"/>
      <c r="U3289" s="310"/>
      <c r="V3289" s="4"/>
      <c r="W3289" s="4"/>
      <c r="X3289" s="4"/>
      <c r="Y3289" s="4"/>
      <c r="Z3289" s="4"/>
      <c r="AA3289" s="4"/>
      <c r="AB3289" s="380" t="str">
        <f>VLOOKUP($B3289,'D7 - NDB Impacted SPRF''s'!$E$6:$O$9929,4,FALSE)</f>
        <v>Completed</v>
      </c>
      <c r="AC3289" s="380" t="str">
        <f>VLOOKUP($B3289,'D7 - NDB Impacted SPRF''s'!$E$6:$O$9929,3,FALSE)</f>
        <v>OptumHealth</v>
      </c>
      <c r="AD3289" s="380" t="str">
        <f>VLOOKUP($B3289,'D7 - NDB Impacted SPRF''s'!$E$6:$O$9929,5,FALSE)</f>
        <v>Behavioral Solutions</v>
      </c>
      <c r="AE3289" s="380" t="str">
        <f>VLOOKUP($B3289,'D7 - NDB Impacted SPRF''s'!$E$6:$O$9929,7,FALSE)</f>
        <v>Lloyd Dyer</v>
      </c>
      <c r="AF3289" s="380" t="str">
        <f>VLOOKUP($B3289,'D7 - NDB Impacted SPRF''s'!$E$6:$O$9929,6,FALSE)</f>
        <v>ANGIE SEKULA</v>
      </c>
      <c r="AG3289" s="282"/>
      <c r="AH3289" s="311" t="e">
        <f>INDEX('D5 - Gatekeeper - Projects'!$A$4:$AF$1010,$AM3289, 17)</f>
        <v>#N/A</v>
      </c>
      <c r="AI3289" s="8"/>
      <c r="AJ3289" s="57"/>
      <c r="AK3289" s="105"/>
      <c r="AM3289" s="6" t="e">
        <f>MATCH(D3289,'D5 - Gatekeeper - Projects'!$C$4:$C$1010,0)</f>
        <v>#N/A</v>
      </c>
      <c r="AN3289" s="6" t="b">
        <f t="shared" si="339"/>
        <v>1</v>
      </c>
      <c r="AO3289" s="6" t="str">
        <f t="shared" si="340"/>
        <v>OK</v>
      </c>
      <c r="AQ3289" s="6" t="e">
        <f>MATCH($D3289,'D4 - Provider Council Unsched'!$C$11:$C$234,0)</f>
        <v>#N/A</v>
      </c>
      <c r="AR3289" s="6" t="b">
        <f t="shared" si="341"/>
        <v>1</v>
      </c>
      <c r="AS3289" s="6" t="str">
        <f t="shared" si="342"/>
        <v>OK</v>
      </c>
      <c r="AU3289" s="202">
        <v>40651</v>
      </c>
      <c r="AV3289" s="216"/>
      <c r="AW3289" s="274"/>
    </row>
    <row r="3290" spans="1:49" s="13" customFormat="1" ht="22.5" x14ac:dyDescent="0.2">
      <c r="A3290" s="14">
        <v>3263</v>
      </c>
      <c r="B3290" s="8">
        <v>400040773</v>
      </c>
      <c r="C3290" s="8" t="s">
        <v>1447</v>
      </c>
      <c r="D3290" s="4" t="str">
        <f t="shared" si="343"/>
        <v>400040773A</v>
      </c>
      <c r="E3290" s="309" t="str">
        <f>VLOOKUP($B3290,'D7 - NDB Impacted SPRF''s'!$E$6:$O$9929,2,FALSE)</f>
        <v>Clms Hwy Operational Data Store (ODS)</v>
      </c>
      <c r="F3290" s="8"/>
      <c r="G3290" s="8" t="s">
        <v>4758</v>
      </c>
      <c r="H3290" s="8" t="s">
        <v>3104</v>
      </c>
      <c r="I3290" s="20">
        <v>0.93</v>
      </c>
      <c r="J3290" s="8" t="s">
        <v>4862</v>
      </c>
      <c r="K3290" s="182">
        <v>40810</v>
      </c>
      <c r="L3290" s="8" t="s">
        <v>4156</v>
      </c>
      <c r="M3290" s="8" t="s">
        <v>6688</v>
      </c>
      <c r="N3290" s="38" t="s">
        <v>3098</v>
      </c>
      <c r="O3290" s="8"/>
      <c r="P3290" s="4" t="str">
        <f>VLOOKUP($B3290,'D7 - NDB Impacted SPRF''s'!$E$16:$O$9929,9,FALSE)</f>
        <v>Y</v>
      </c>
      <c r="Q3290" s="4" t="str">
        <f>VLOOKUP($B3290,'D7 - NDB Impacted SPRF''s'!$E$16:$O$9929,10,FALSE)</f>
        <v>N</v>
      </c>
      <c r="R3290" s="4" t="str">
        <f>VLOOKUP($B3290,'D7 - NDB Impacted SPRF''s'!$E$16:$O$9929,11,FALSE)</f>
        <v>N</v>
      </c>
      <c r="S3290" s="8"/>
      <c r="T3290" s="310"/>
      <c r="U3290" s="310"/>
      <c r="V3290" s="4"/>
      <c r="W3290" s="4"/>
      <c r="X3290" s="4"/>
      <c r="Y3290" s="4"/>
      <c r="Z3290" s="4"/>
      <c r="AA3290" s="4"/>
      <c r="AB3290" s="380" t="str">
        <f>VLOOKUP($B3290,'D7 - NDB Impacted SPRF''s'!$E$6:$O$9929,4,FALSE)</f>
        <v>Completed</v>
      </c>
      <c r="AC3290" s="380" t="str">
        <f>VLOOKUP($B3290,'D7 - NDB Impacted SPRF''s'!$E$6:$O$9929,3,FALSE)</f>
        <v>UHG IT - Shared Services</v>
      </c>
      <c r="AD3290" s="380" t="str">
        <f>VLOOKUP($B3290,'D7 - NDB Impacted SPRF''s'!$E$6:$O$9929,5,FALSE)</f>
        <v>Strategic Initiatives</v>
      </c>
      <c r="AE3290" s="380" t="str">
        <f>VLOOKUP($B3290,'D7 - NDB Impacted SPRF''s'!$E$6:$O$9929,7,FALSE)</f>
        <v>John Doddy</v>
      </c>
      <c r="AF3290" s="380" t="str">
        <f>VLOOKUP($B3290,'D7 - NDB Impacted SPRF''s'!$E$6:$O$9929,6,FALSE)</f>
        <v>CAROL BERCAW</v>
      </c>
      <c r="AG3290" s="282"/>
      <c r="AH3290" s="311" t="e">
        <f>INDEX('D5 - Gatekeeper - Projects'!$A$4:$AF$1010,$AM3290, 17)</f>
        <v>#N/A</v>
      </c>
      <c r="AI3290" s="8"/>
      <c r="AJ3290" s="57"/>
      <c r="AK3290" s="105"/>
      <c r="AM3290" s="6" t="e">
        <f>MATCH(D3290,'D5 - Gatekeeper - Projects'!$C$4:$C$1010,0)</f>
        <v>#N/A</v>
      </c>
      <c r="AN3290" s="6" t="b">
        <f t="shared" si="339"/>
        <v>1</v>
      </c>
      <c r="AO3290" s="6" t="str">
        <f t="shared" si="340"/>
        <v>OK</v>
      </c>
      <c r="AQ3290" s="6" t="e">
        <f>MATCH($D3290,'D4 - Provider Council Unsched'!$C$11:$C$234,0)</f>
        <v>#N/A</v>
      </c>
      <c r="AR3290" s="6" t="b">
        <f t="shared" si="341"/>
        <v>1</v>
      </c>
      <c r="AS3290" s="6" t="str">
        <f t="shared" si="342"/>
        <v>OK</v>
      </c>
      <c r="AU3290" s="202"/>
      <c r="AV3290" s="216"/>
      <c r="AW3290" s="274"/>
    </row>
    <row r="3291" spans="1:49" s="13" customFormat="1" ht="56.25" x14ac:dyDescent="0.2">
      <c r="A3291" s="14">
        <v>3264</v>
      </c>
      <c r="B3291" s="8">
        <v>400041817</v>
      </c>
      <c r="C3291" s="8" t="s">
        <v>1447</v>
      </c>
      <c r="D3291" s="4" t="str">
        <f t="shared" si="343"/>
        <v>400041817A</v>
      </c>
      <c r="E3291" s="309" t="str">
        <f>VLOOKUP($B3291,'D7 - NDB Impacted SPRF''s'!$E$6:$O$9929,2,FALSE)</f>
        <v>OptumHealth Behavioral Empire ISET Fixes</v>
      </c>
      <c r="F3291" s="8"/>
      <c r="G3291" s="8" t="s">
        <v>4758</v>
      </c>
      <c r="H3291" s="8" t="s">
        <v>3104</v>
      </c>
      <c r="I3291" s="20">
        <v>0.27</v>
      </c>
      <c r="J3291" s="8" t="s">
        <v>4862</v>
      </c>
      <c r="K3291" s="182">
        <v>40810</v>
      </c>
      <c r="L3291" s="8" t="s">
        <v>4156</v>
      </c>
      <c r="M3291" s="8" t="s">
        <v>5626</v>
      </c>
      <c r="N3291" s="38" t="s">
        <v>1334</v>
      </c>
      <c r="O3291" s="8"/>
      <c r="P3291" s="4" t="str">
        <f>VLOOKUP($B3291,'D7 - NDB Impacted SPRF''s'!$E$16:$O$9929,9,FALSE)</f>
        <v>Y</v>
      </c>
      <c r="Q3291" s="4" t="str">
        <f>VLOOKUP($B3291,'D7 - NDB Impacted SPRF''s'!$E$16:$O$9929,10,FALSE)</f>
        <v>N</v>
      </c>
      <c r="R3291" s="4" t="str">
        <f>VLOOKUP($B3291,'D7 - NDB Impacted SPRF''s'!$E$16:$O$9929,11,FALSE)</f>
        <v>N</v>
      </c>
      <c r="S3291" s="8"/>
      <c r="T3291" s="310"/>
      <c r="U3291" s="310"/>
      <c r="V3291" s="4"/>
      <c r="W3291" s="4"/>
      <c r="X3291" s="4"/>
      <c r="Y3291" s="4"/>
      <c r="Z3291" s="4"/>
      <c r="AA3291" s="4"/>
      <c r="AB3291" s="380" t="str">
        <f>VLOOKUP($B3291,'D7 - NDB Impacted SPRF''s'!$E$6:$O$9929,4,FALSE)</f>
        <v>Completed</v>
      </c>
      <c r="AC3291" s="380" t="str">
        <f>VLOOKUP($B3291,'D7 - NDB Impacted SPRF''s'!$E$6:$O$9929,3,FALSE)</f>
        <v>UnitedHealthcare Employer &amp; Individual</v>
      </c>
      <c r="AD3291" s="380" t="str">
        <f>VLOOKUP($B3291,'D7 - NDB Impacted SPRF''s'!$E$6:$O$9929,5,FALSE)</f>
        <v>Membership Growth / Revenue Programs</v>
      </c>
      <c r="AE3291" s="380" t="str">
        <f>VLOOKUP($B3291,'D7 - NDB Impacted SPRF''s'!$E$6:$O$9929,7,FALSE)</f>
        <v>Heidi Stern</v>
      </c>
      <c r="AF3291" s="380" t="str">
        <f>VLOOKUP($B3291,'D7 - NDB Impacted SPRF''s'!$E$6:$O$9929,6,FALSE)</f>
        <v>SCOTT AUGUST</v>
      </c>
      <c r="AG3291" s="282"/>
      <c r="AH3291" s="311" t="e">
        <f>INDEX('D5 - Gatekeeper - Projects'!$A$4:$AF$1010,$AM3291, 17)</f>
        <v>#N/A</v>
      </c>
      <c r="AI3291" s="8"/>
      <c r="AJ3291" s="57"/>
      <c r="AK3291" s="105"/>
      <c r="AM3291" s="6" t="e">
        <f>MATCH(D3291,'D5 - Gatekeeper - Projects'!$C$4:$C$1010,0)</f>
        <v>#N/A</v>
      </c>
      <c r="AN3291" s="6" t="b">
        <f t="shared" si="339"/>
        <v>1</v>
      </c>
      <c r="AO3291" s="6" t="str">
        <f t="shared" si="340"/>
        <v>OK</v>
      </c>
      <c r="AQ3291" s="6" t="e">
        <f>MATCH($D3291,'D4 - Provider Council Unsched'!$C$11:$C$234,0)</f>
        <v>#N/A</v>
      </c>
      <c r="AR3291" s="6" t="b">
        <f t="shared" si="341"/>
        <v>1</v>
      </c>
      <c r="AS3291" s="6" t="str">
        <f t="shared" si="342"/>
        <v>OK</v>
      </c>
      <c r="AU3291" s="202">
        <v>40725</v>
      </c>
      <c r="AV3291" s="216"/>
      <c r="AW3291" s="274"/>
    </row>
    <row r="3292" spans="1:49" s="13" customFormat="1" ht="56.25" x14ac:dyDescent="0.2">
      <c r="A3292" s="14">
        <v>3265</v>
      </c>
      <c r="B3292" s="8">
        <v>400043342</v>
      </c>
      <c r="C3292" s="8" t="s">
        <v>1447</v>
      </c>
      <c r="D3292" s="4" t="str">
        <f t="shared" si="343"/>
        <v>400043342A</v>
      </c>
      <c r="E3292" s="309" t="str">
        <f>VLOOKUP($B3292,'D7 - NDB Impacted SPRF''s'!$E$6:$O$9929,2,FALSE)</f>
        <v>RSA - APCD Claim Platform Field Gap Resolution</v>
      </c>
      <c r="F3292" s="8"/>
      <c r="G3292" s="8" t="s">
        <v>4758</v>
      </c>
      <c r="H3292" s="8" t="s">
        <v>3104</v>
      </c>
      <c r="I3292" s="20">
        <v>0.71</v>
      </c>
      <c r="J3292" s="8" t="s">
        <v>4862</v>
      </c>
      <c r="K3292" s="182">
        <v>40810</v>
      </c>
      <c r="L3292" s="8" t="s">
        <v>4156</v>
      </c>
      <c r="M3292" s="8" t="s">
        <v>6688</v>
      </c>
      <c r="N3292" s="38" t="s">
        <v>3033</v>
      </c>
      <c r="O3292" s="8" t="s">
        <v>7420</v>
      </c>
      <c r="P3292" s="4" t="str">
        <f>VLOOKUP($B3292,'D7 - NDB Impacted SPRF''s'!$E$16:$O$9929,9,FALSE)</f>
        <v>N</v>
      </c>
      <c r="Q3292" s="4" t="str">
        <f>VLOOKUP($B3292,'D7 - NDB Impacted SPRF''s'!$E$16:$O$9929,10,FALSE)</f>
        <v>N</v>
      </c>
      <c r="R3292" s="4" t="str">
        <f>VLOOKUP($B3292,'D7 - NDB Impacted SPRF''s'!$E$16:$O$9929,11,FALSE)</f>
        <v>N</v>
      </c>
      <c r="S3292" s="8"/>
      <c r="T3292" s="310"/>
      <c r="U3292" s="310"/>
      <c r="V3292" s="4"/>
      <c r="W3292" s="4"/>
      <c r="X3292" s="4"/>
      <c r="Y3292" s="4"/>
      <c r="Z3292" s="4"/>
      <c r="AA3292" s="4"/>
      <c r="AB3292" s="380" t="str">
        <f>VLOOKUP($B3292,'D7 - NDB Impacted SPRF''s'!$E$6:$O$9929,4,FALSE)</f>
        <v>Completed</v>
      </c>
      <c r="AC3292" s="380" t="str">
        <f>VLOOKUP($B3292,'D7 - NDB Impacted SPRF''s'!$E$6:$O$9929,3,FALSE)</f>
        <v>UnitedHealthcare Employer &amp; Individual</v>
      </c>
      <c r="AD3292" s="380" t="str">
        <f>VLOOKUP($B3292,'D7 - NDB Impacted SPRF''s'!$E$6:$O$9929,5,FALSE)</f>
        <v>Regulatory / Other</v>
      </c>
      <c r="AE3292" s="380" t="str">
        <f>VLOOKUP($B3292,'D7 - NDB Impacted SPRF''s'!$E$6:$O$9929,7,FALSE)</f>
        <v>Kevin Ericson</v>
      </c>
      <c r="AF3292" s="380" t="str">
        <f>VLOOKUP($B3292,'D7 - NDB Impacted SPRF''s'!$E$6:$O$9929,6,FALSE)</f>
        <v>ROGER AUCLAIR</v>
      </c>
      <c r="AG3292" s="282"/>
      <c r="AH3292" s="311" t="e">
        <f>INDEX('D5 - Gatekeeper - Projects'!$A$4:$AF$1010,$AM3292, 17)</f>
        <v>#N/A</v>
      </c>
      <c r="AI3292" s="8"/>
      <c r="AJ3292" s="57"/>
      <c r="AK3292" s="105"/>
      <c r="AM3292" s="6" t="e">
        <f>MATCH(D3292,'D5 - Gatekeeper - Projects'!$C$4:$C$1010,0)</f>
        <v>#N/A</v>
      </c>
      <c r="AN3292" s="6" t="b">
        <f t="shared" si="339"/>
        <v>1</v>
      </c>
      <c r="AO3292" s="6" t="str">
        <f t="shared" si="340"/>
        <v>OK</v>
      </c>
      <c r="AQ3292" s="6" t="e">
        <f>MATCH($D3292,'D4 - Provider Council Unsched'!$C$11:$C$234,0)</f>
        <v>#N/A</v>
      </c>
      <c r="AR3292" s="6" t="b">
        <f t="shared" si="341"/>
        <v>1</v>
      </c>
      <c r="AS3292" s="6" t="str">
        <f t="shared" si="342"/>
        <v>OK</v>
      </c>
      <c r="AU3292" s="202"/>
      <c r="AV3292" s="216"/>
      <c r="AW3292" s="274"/>
    </row>
    <row r="3293" spans="1:49" s="13" customFormat="1" ht="67.5" x14ac:dyDescent="0.2">
      <c r="A3293" s="14">
        <v>3266</v>
      </c>
      <c r="B3293" s="8">
        <v>400043349</v>
      </c>
      <c r="C3293" s="8" t="s">
        <v>1447</v>
      </c>
      <c r="D3293" s="4" t="str">
        <f t="shared" si="343"/>
        <v>400043349A</v>
      </c>
      <c r="E3293" s="309" t="str">
        <f>VLOOKUP($B3293,'D7 - NDB Impacted SPRF''s'!$E$6:$O$9929,2,FALSE)</f>
        <v>RSA - APCD Manual Claim Input Field Gap Resolution</v>
      </c>
      <c r="F3293" s="8"/>
      <c r="G3293" s="8" t="s">
        <v>4758</v>
      </c>
      <c r="H3293" s="8" t="s">
        <v>3104</v>
      </c>
      <c r="I3293" s="20">
        <v>0.71</v>
      </c>
      <c r="J3293" s="8" t="s">
        <v>4862</v>
      </c>
      <c r="K3293" s="182">
        <v>40810</v>
      </c>
      <c r="L3293" s="8" t="s">
        <v>4156</v>
      </c>
      <c r="M3293" s="8" t="s">
        <v>6688</v>
      </c>
      <c r="N3293" s="38" t="s">
        <v>3034</v>
      </c>
      <c r="O3293" s="8"/>
      <c r="P3293" s="4" t="str">
        <f>VLOOKUP($B3293,'D7 - NDB Impacted SPRF''s'!$E$16:$O$9929,9,FALSE)</f>
        <v>Y</v>
      </c>
      <c r="Q3293" s="4" t="str">
        <f>VLOOKUP($B3293,'D7 - NDB Impacted SPRF''s'!$E$16:$O$9929,10,FALSE)</f>
        <v>N</v>
      </c>
      <c r="R3293" s="4" t="str">
        <f>VLOOKUP($B3293,'D7 - NDB Impacted SPRF''s'!$E$16:$O$9929,11,FALSE)</f>
        <v>N</v>
      </c>
      <c r="S3293" s="8"/>
      <c r="T3293" s="310"/>
      <c r="U3293" s="310"/>
      <c r="V3293" s="4"/>
      <c r="W3293" s="4"/>
      <c r="X3293" s="4"/>
      <c r="Y3293" s="4"/>
      <c r="Z3293" s="4"/>
      <c r="AA3293" s="4"/>
      <c r="AB3293" s="380" t="str">
        <f>VLOOKUP($B3293,'D7 - NDB Impacted SPRF''s'!$E$6:$O$9929,4,FALSE)</f>
        <v>Completed</v>
      </c>
      <c r="AC3293" s="380" t="str">
        <f>VLOOKUP($B3293,'D7 - NDB Impacted SPRF''s'!$E$6:$O$9929,3,FALSE)</f>
        <v>UnitedHealthcare Employer &amp; Individual</v>
      </c>
      <c r="AD3293" s="380" t="str">
        <f>VLOOKUP($B3293,'D7 - NDB Impacted SPRF''s'!$E$6:$O$9929,5,FALSE)</f>
        <v>Regulatory / Other</v>
      </c>
      <c r="AE3293" s="380" t="str">
        <f>VLOOKUP($B3293,'D7 - NDB Impacted SPRF''s'!$E$6:$O$9929,7,FALSE)</f>
        <v>Kevin Ericson</v>
      </c>
      <c r="AF3293" s="380" t="str">
        <f>VLOOKUP($B3293,'D7 - NDB Impacted SPRF''s'!$E$6:$O$9929,6,FALSE)</f>
        <v>ROGER AUCLAIR</v>
      </c>
      <c r="AG3293" s="282"/>
      <c r="AH3293" s="311" t="e">
        <f>INDEX('D5 - Gatekeeper - Projects'!$A$4:$AF$1010,$AM3293, 17)</f>
        <v>#N/A</v>
      </c>
      <c r="AI3293" s="8"/>
      <c r="AJ3293" s="57"/>
      <c r="AK3293" s="105"/>
      <c r="AM3293" s="6" t="e">
        <f>MATCH(D3293,'D5 - Gatekeeper - Projects'!$C$4:$C$1010,0)</f>
        <v>#N/A</v>
      </c>
      <c r="AN3293" s="6" t="b">
        <f t="shared" si="339"/>
        <v>1</v>
      </c>
      <c r="AO3293" s="6" t="str">
        <f t="shared" si="340"/>
        <v>OK</v>
      </c>
      <c r="AQ3293" s="6" t="e">
        <f>MATCH($D3293,'D4 - Provider Council Unsched'!$C$11:$C$234,0)</f>
        <v>#N/A</v>
      </c>
      <c r="AR3293" s="6" t="b">
        <f t="shared" si="341"/>
        <v>1</v>
      </c>
      <c r="AS3293" s="6" t="str">
        <f t="shared" si="342"/>
        <v>OK</v>
      </c>
      <c r="AU3293" s="202"/>
      <c r="AV3293" s="216"/>
      <c r="AW3293" s="274"/>
    </row>
    <row r="3294" spans="1:49" s="13" customFormat="1" ht="67.5" x14ac:dyDescent="0.2">
      <c r="A3294" s="14">
        <v>3267</v>
      </c>
      <c r="B3294" s="14">
        <v>400034838</v>
      </c>
      <c r="C3294" s="8" t="s">
        <v>5197</v>
      </c>
      <c r="D3294" s="4" t="str">
        <f t="shared" si="343"/>
        <v>400034838R1</v>
      </c>
      <c r="E3294" s="309" t="str">
        <f>VLOOKUP($B3294,'D7 - NDB Impacted SPRF''s'!$E$6:$O$9929,2,FALSE)</f>
        <v xml:space="preserve">AmC Texas CareOne Clinical Migration </v>
      </c>
      <c r="F3294" s="8"/>
      <c r="G3294" s="8" t="s">
        <v>4758</v>
      </c>
      <c r="H3294" s="8" t="s">
        <v>3104</v>
      </c>
      <c r="I3294" s="20">
        <v>0.77</v>
      </c>
      <c r="J3294" s="8" t="s">
        <v>4862</v>
      </c>
      <c r="K3294" s="182">
        <v>40859</v>
      </c>
      <c r="L3294" s="8" t="s">
        <v>4156</v>
      </c>
      <c r="M3294" s="8" t="s">
        <v>5626</v>
      </c>
      <c r="N3294" s="38" t="s">
        <v>3537</v>
      </c>
      <c r="O3294" s="8"/>
      <c r="P3294" s="4" t="str">
        <f>VLOOKUP($B3294,'D7 - NDB Impacted SPRF''s'!$E$16:$O$9929,9,FALSE)</f>
        <v>N</v>
      </c>
      <c r="Q3294" s="4" t="str">
        <f>VLOOKUP($B3294,'D7 - NDB Impacted SPRF''s'!$E$16:$O$9929,10,FALSE)</f>
        <v>N</v>
      </c>
      <c r="R3294" s="4" t="str">
        <f>VLOOKUP($B3294,'D7 - NDB Impacted SPRF''s'!$E$16:$O$9929,11,FALSE)</f>
        <v>N</v>
      </c>
      <c r="S3294" s="8"/>
      <c r="T3294" s="310"/>
      <c r="U3294" s="310"/>
      <c r="V3294" s="4"/>
      <c r="W3294" s="4"/>
      <c r="X3294" s="4"/>
      <c r="Y3294" s="4"/>
      <c r="Z3294" s="4"/>
      <c r="AA3294" s="4"/>
      <c r="AB3294" s="380" t="str">
        <f>VLOOKUP($B3294,'D7 - NDB Impacted SPRF''s'!$E$6:$O$9929,4,FALSE)</f>
        <v>Completed</v>
      </c>
      <c r="AC3294" s="380" t="str">
        <f>VLOOKUP($B3294,'D7 - NDB Impacted SPRF''s'!$E$6:$O$9929,3,FALSE)</f>
        <v>UnitedHealthcare Employer &amp; Individual</v>
      </c>
      <c r="AD3294" s="380" t="str">
        <f>VLOOKUP($B3294,'D7 - NDB Impacted SPRF''s'!$E$6:$O$9929,5,FALSE)</f>
        <v>Medical Cost Savings Programs</v>
      </c>
      <c r="AE3294" s="380" t="str">
        <f>VLOOKUP($B3294,'D7 - NDB Impacted SPRF''s'!$E$6:$O$9929,7,FALSE)</f>
        <v>Sheila Nelson</v>
      </c>
      <c r="AF3294" s="380" t="str">
        <f>VLOOKUP($B3294,'D7 - NDB Impacted SPRF''s'!$E$6:$O$9929,6,FALSE)</f>
        <v>Steve Gudvangen</v>
      </c>
      <c r="AG3294" s="282"/>
      <c r="AH3294" s="311" t="e">
        <f>INDEX('D5 - Gatekeeper - Projects'!$A$4:$AF$1010,$AM3294, 17)</f>
        <v>#N/A</v>
      </c>
      <c r="AI3294" s="8"/>
      <c r="AJ3294" s="57"/>
      <c r="AK3294" s="105"/>
      <c r="AM3294" s="6" t="e">
        <f>MATCH(D3294,'D5 - Gatekeeper - Projects'!$C$4:$C$1010,0)</f>
        <v>#N/A</v>
      </c>
      <c r="AN3294" s="6" t="b">
        <f t="shared" si="339"/>
        <v>1</v>
      </c>
      <c r="AO3294" s="6" t="str">
        <f t="shared" si="340"/>
        <v>OK</v>
      </c>
      <c r="AQ3294" s="6" t="e">
        <f>MATCH($D3294,'D4 - Provider Council Unsched'!$C$11:$C$234,0)</f>
        <v>#N/A</v>
      </c>
      <c r="AR3294" s="6" t="b">
        <f t="shared" si="341"/>
        <v>1</v>
      </c>
      <c r="AS3294" s="6" t="str">
        <f t="shared" si="342"/>
        <v>OK</v>
      </c>
      <c r="AU3294" s="202">
        <v>40413</v>
      </c>
      <c r="AV3294" s="216"/>
      <c r="AW3294" s="274"/>
    </row>
    <row r="3295" spans="1:49" s="13" customFormat="1" ht="56.25" x14ac:dyDescent="0.2">
      <c r="A3295" s="14">
        <v>3268</v>
      </c>
      <c r="B3295" s="8">
        <v>400040632</v>
      </c>
      <c r="C3295" s="8" t="s">
        <v>1447</v>
      </c>
      <c r="D3295" s="4" t="str">
        <f t="shared" si="343"/>
        <v>400040632A</v>
      </c>
      <c r="E3295" s="309" t="str">
        <f>VLOOKUP($B3295,'D7 - NDB Impacted SPRF''s'!$E$6:$O$9929,2,FALSE)</f>
        <v>CORE Expansion and ASO-ready</v>
      </c>
      <c r="F3295" s="8"/>
      <c r="G3295" s="8" t="s">
        <v>4758</v>
      </c>
      <c r="H3295" s="8" t="s">
        <v>3104</v>
      </c>
      <c r="I3295" s="20">
        <v>0.6</v>
      </c>
      <c r="J3295" s="8" t="s">
        <v>4862</v>
      </c>
      <c r="K3295" s="182">
        <v>40859</v>
      </c>
      <c r="L3295" s="8" t="s">
        <v>4156</v>
      </c>
      <c r="M3295" s="8" t="s">
        <v>5626</v>
      </c>
      <c r="N3295" s="38" t="s">
        <v>772</v>
      </c>
      <c r="O3295" s="8"/>
      <c r="P3295" s="4" t="str">
        <f>VLOOKUP($B3295,'D7 - NDB Impacted SPRF''s'!$E$16:$O$9929,9,FALSE)</f>
        <v>Y</v>
      </c>
      <c r="Q3295" s="4" t="str">
        <f>VLOOKUP($B3295,'D7 - NDB Impacted SPRF''s'!$E$16:$O$9929,10,FALSE)</f>
        <v>N</v>
      </c>
      <c r="R3295" s="4" t="str">
        <f>VLOOKUP($B3295,'D7 - NDB Impacted SPRF''s'!$E$16:$O$9929,11,FALSE)</f>
        <v>N</v>
      </c>
      <c r="S3295" s="8"/>
      <c r="T3295" s="310"/>
      <c r="U3295" s="310"/>
      <c r="V3295" s="4"/>
      <c r="W3295" s="4"/>
      <c r="X3295" s="4"/>
      <c r="Y3295" s="4"/>
      <c r="Z3295" s="4"/>
      <c r="AA3295" s="4"/>
      <c r="AB3295" s="380" t="str">
        <f>VLOOKUP($B3295,'D7 - NDB Impacted SPRF''s'!$E$6:$O$9929,4,FALSE)</f>
        <v>Completed</v>
      </c>
      <c r="AC3295" s="380" t="str">
        <f>VLOOKUP($B3295,'D7 - NDB Impacted SPRF''s'!$E$6:$O$9929,3,FALSE)</f>
        <v>UnitedHealthcare Employer &amp; Individual</v>
      </c>
      <c r="AD3295" s="380" t="str">
        <f>VLOOKUP($B3295,'D7 - NDB Impacted SPRF''s'!$E$6:$O$9929,5,FALSE)</f>
        <v>Membership Growth / Revenue Programs</v>
      </c>
      <c r="AE3295" s="380" t="str">
        <f>VLOOKUP($B3295,'D7 - NDB Impacted SPRF''s'!$E$6:$O$9929,7,FALSE)</f>
        <v>Denise Mount</v>
      </c>
      <c r="AF3295" s="380" t="str">
        <f>VLOOKUP($B3295,'D7 - NDB Impacted SPRF''s'!$E$6:$O$9929,6,FALSE)</f>
        <v>Joan Roby</v>
      </c>
      <c r="AG3295" s="282"/>
      <c r="AH3295" s="311" t="e">
        <f>INDEX('D5 - Gatekeeper - Projects'!$A$4:$AF$1010,$AM3295, 17)</f>
        <v>#N/A</v>
      </c>
      <c r="AI3295" s="8"/>
      <c r="AJ3295" s="57"/>
      <c r="AK3295" s="105"/>
      <c r="AM3295" s="6" t="e">
        <f>MATCH(D3295,'D5 - Gatekeeper - Projects'!$C$4:$C$1010,0)</f>
        <v>#N/A</v>
      </c>
      <c r="AN3295" s="6" t="b">
        <f t="shared" si="339"/>
        <v>1</v>
      </c>
      <c r="AO3295" s="6" t="str">
        <f t="shared" si="340"/>
        <v>OK</v>
      </c>
      <c r="AQ3295" s="6" t="e">
        <f>MATCH($D3295,'D4 - Provider Council Unsched'!$C$11:$C$234,0)</f>
        <v>#N/A</v>
      </c>
      <c r="AR3295" s="6" t="b">
        <f t="shared" si="341"/>
        <v>1</v>
      </c>
      <c r="AS3295" s="6" t="str">
        <f t="shared" si="342"/>
        <v>OK</v>
      </c>
      <c r="AU3295" s="202">
        <v>40610</v>
      </c>
      <c r="AV3295" s="216"/>
      <c r="AW3295" s="274"/>
    </row>
    <row r="3296" spans="1:49" s="13" customFormat="1" ht="67.5" x14ac:dyDescent="0.2">
      <c r="A3296" s="14">
        <v>3269</v>
      </c>
      <c r="B3296" s="8">
        <v>400040681</v>
      </c>
      <c r="C3296" s="8" t="s">
        <v>7290</v>
      </c>
      <c r="D3296" s="4" t="str">
        <f t="shared" si="343"/>
        <v>400040681B</v>
      </c>
      <c r="E3296" s="309" t="str">
        <f>VLOOKUP($B3296,'D7 - NDB Impacted SPRF''s'!$E$6:$O$9929,2,FALSE)</f>
        <v>PBH Facets Migration - Direct Employer</v>
      </c>
      <c r="F3296" s="8"/>
      <c r="G3296" s="8" t="s">
        <v>4758</v>
      </c>
      <c r="H3296" s="8" t="s">
        <v>3104</v>
      </c>
      <c r="I3296" s="20">
        <v>0.27</v>
      </c>
      <c r="J3296" s="8" t="s">
        <v>4862</v>
      </c>
      <c r="K3296" s="182">
        <v>40859</v>
      </c>
      <c r="L3296" s="8" t="s">
        <v>4156</v>
      </c>
      <c r="M3296" s="8" t="s">
        <v>5626</v>
      </c>
      <c r="N3296" s="38" t="s">
        <v>2910</v>
      </c>
      <c r="O3296" s="8"/>
      <c r="P3296" s="4" t="str">
        <f>VLOOKUP($B3296,'D7 - NDB Impacted SPRF''s'!$E$16:$O$9929,9,FALSE)</f>
        <v>N</v>
      </c>
      <c r="Q3296" s="4" t="str">
        <f>VLOOKUP($B3296,'D7 - NDB Impacted SPRF''s'!$E$16:$O$9929,10,FALSE)</f>
        <v>N</v>
      </c>
      <c r="R3296" s="4" t="str">
        <f>VLOOKUP($B3296,'D7 - NDB Impacted SPRF''s'!$E$16:$O$9929,11,FALSE)</f>
        <v>N</v>
      </c>
      <c r="S3296" s="8"/>
      <c r="T3296" s="310"/>
      <c r="U3296" s="310"/>
      <c r="V3296" s="4"/>
      <c r="W3296" s="4"/>
      <c r="X3296" s="4"/>
      <c r="Y3296" s="4"/>
      <c r="Z3296" s="4"/>
      <c r="AA3296" s="4"/>
      <c r="AB3296" s="380" t="str">
        <f>VLOOKUP($B3296,'D7 - NDB Impacted SPRF''s'!$E$6:$O$9929,4,FALSE)</f>
        <v>Completed</v>
      </c>
      <c r="AC3296" s="380" t="str">
        <f>VLOOKUP($B3296,'D7 - NDB Impacted SPRF''s'!$E$6:$O$9929,3,FALSE)</f>
        <v>OptumHealth</v>
      </c>
      <c r="AD3296" s="380" t="str">
        <f>VLOOKUP($B3296,'D7 - NDB Impacted SPRF''s'!$E$6:$O$9929,5,FALSE)</f>
        <v>Behavioral Solutions</v>
      </c>
      <c r="AE3296" s="380" t="str">
        <f>VLOOKUP($B3296,'D7 - NDB Impacted SPRF''s'!$E$6:$O$9929,7,FALSE)</f>
        <v>Lloyd Dyer</v>
      </c>
      <c r="AF3296" s="380" t="str">
        <f>VLOOKUP($B3296,'D7 - NDB Impacted SPRF''s'!$E$6:$O$9929,6,FALSE)</f>
        <v>ANGIE SEKULA</v>
      </c>
      <c r="AG3296" s="282"/>
      <c r="AH3296" s="311" t="e">
        <f>INDEX('D5 - Gatekeeper - Projects'!$A$4:$AF$1010,$AM3296, 17)</f>
        <v>#N/A</v>
      </c>
      <c r="AI3296" s="8"/>
      <c r="AJ3296" s="57"/>
      <c r="AK3296" s="105"/>
      <c r="AM3296" s="6" t="e">
        <f>MATCH(D3296,'D5 - Gatekeeper - Projects'!$C$4:$C$1010,0)</f>
        <v>#N/A</v>
      </c>
      <c r="AN3296" s="6" t="b">
        <f t="shared" si="339"/>
        <v>1</v>
      </c>
      <c r="AO3296" s="6" t="str">
        <f t="shared" si="340"/>
        <v>OK</v>
      </c>
      <c r="AQ3296" s="6" t="e">
        <f>MATCH($D3296,'D4 - Provider Council Unsched'!$C$11:$C$234,0)</f>
        <v>#N/A</v>
      </c>
      <c r="AR3296" s="6" t="b">
        <f t="shared" si="341"/>
        <v>1</v>
      </c>
      <c r="AS3296" s="6" t="str">
        <f t="shared" si="342"/>
        <v>OK</v>
      </c>
      <c r="AU3296" s="202">
        <v>40651</v>
      </c>
      <c r="AV3296" s="216"/>
      <c r="AW3296" s="274"/>
    </row>
    <row r="3297" spans="1:49" s="13" customFormat="1" ht="33.75" x14ac:dyDescent="0.2">
      <c r="A3297" s="14">
        <v>3270</v>
      </c>
      <c r="B3297" s="8">
        <v>400041331</v>
      </c>
      <c r="C3297" s="8" t="s">
        <v>1447</v>
      </c>
      <c r="D3297" s="4" t="str">
        <f t="shared" si="343"/>
        <v>400041331A</v>
      </c>
      <c r="E3297" s="309" t="str">
        <f>VLOOKUP($B3297,'D7 - NDB Impacted SPRF''s'!$E$6:$O$9929,2,FALSE)</f>
        <v>Migrate Medica Medicare Business to GPS</v>
      </c>
      <c r="F3297" s="8"/>
      <c r="G3297" s="8" t="s">
        <v>4758</v>
      </c>
      <c r="H3297" s="8" t="s">
        <v>3104</v>
      </c>
      <c r="I3297" s="20">
        <v>0.21</v>
      </c>
      <c r="J3297" s="8" t="s">
        <v>4862</v>
      </c>
      <c r="K3297" s="182">
        <v>40859</v>
      </c>
      <c r="L3297" s="8" t="s">
        <v>4156</v>
      </c>
      <c r="M3297" s="8" t="s">
        <v>6688</v>
      </c>
      <c r="N3297" s="38" t="s">
        <v>787</v>
      </c>
      <c r="O3297" s="8"/>
      <c r="P3297" s="4" t="str">
        <f>VLOOKUP($B3297,'D7 - NDB Impacted SPRF''s'!$E$16:$O$9929,9,FALSE)</f>
        <v>N</v>
      </c>
      <c r="Q3297" s="4" t="str">
        <f>VLOOKUP($B3297,'D7 - NDB Impacted SPRF''s'!$E$16:$O$9929,10,FALSE)</f>
        <v>N</v>
      </c>
      <c r="R3297" s="4" t="str">
        <f>VLOOKUP($B3297,'D7 - NDB Impacted SPRF''s'!$E$16:$O$9929,11,FALSE)</f>
        <v>N</v>
      </c>
      <c r="S3297" s="8"/>
      <c r="T3297" s="310"/>
      <c r="U3297" s="310"/>
      <c r="V3297" s="4"/>
      <c r="W3297" s="4"/>
      <c r="X3297" s="4"/>
      <c r="Y3297" s="4"/>
      <c r="Z3297" s="4"/>
      <c r="AA3297" s="4"/>
      <c r="AB3297" s="380" t="str">
        <f>VLOOKUP($B3297,'D7 - NDB Impacted SPRF''s'!$E$6:$O$9929,4,FALSE)</f>
        <v>Completed</v>
      </c>
      <c r="AC3297" s="380" t="str">
        <f>VLOOKUP($B3297,'D7 - NDB Impacted SPRF''s'!$E$6:$O$9929,3,FALSE)</f>
        <v>UnitedHealthcare Medicare &amp; Retirement</v>
      </c>
      <c r="AD3297" s="380" t="str">
        <f>VLOOKUP($B3297,'D7 - NDB Impacted SPRF''s'!$E$6:$O$9929,5,FALSE)</f>
        <v>Integration Requirements</v>
      </c>
      <c r="AE3297" s="380" t="str">
        <f>VLOOKUP($B3297,'D7 - NDB Impacted SPRF''s'!$E$6:$O$9929,7,FALSE)</f>
        <v>Anita Shiels</v>
      </c>
      <c r="AF3297" s="380" t="str">
        <f>VLOOKUP($B3297,'D7 - NDB Impacted SPRF''s'!$E$6:$O$9929,6,FALSE)</f>
        <v>Debi Streb</v>
      </c>
      <c r="AG3297" s="282"/>
      <c r="AH3297" s="311" t="e">
        <f>INDEX('D5 - Gatekeeper - Projects'!$A$4:$AF$1010,$AM3297, 17)</f>
        <v>#N/A</v>
      </c>
      <c r="AI3297" s="8"/>
      <c r="AJ3297" s="57"/>
      <c r="AK3297" s="105"/>
      <c r="AM3297" s="6" t="e">
        <f>MATCH(D3297,'D5 - Gatekeeper - Projects'!$C$4:$C$1010,0)</f>
        <v>#N/A</v>
      </c>
      <c r="AN3297" s="6" t="b">
        <f t="shared" si="339"/>
        <v>1</v>
      </c>
      <c r="AO3297" s="6" t="str">
        <f t="shared" si="340"/>
        <v>OK</v>
      </c>
      <c r="AQ3297" s="6" t="e">
        <f>MATCH($D3297,'D4 - Provider Council Unsched'!$C$11:$C$234,0)</f>
        <v>#N/A</v>
      </c>
      <c r="AR3297" s="6" t="b">
        <f t="shared" si="341"/>
        <v>1</v>
      </c>
      <c r="AS3297" s="6" t="str">
        <f t="shared" si="342"/>
        <v>OK</v>
      </c>
      <c r="AU3297" s="202"/>
      <c r="AV3297" s="216"/>
      <c r="AW3297" s="274"/>
    </row>
    <row r="3298" spans="1:49" s="13" customFormat="1" ht="33.75" x14ac:dyDescent="0.2">
      <c r="A3298" s="14">
        <v>3271</v>
      </c>
      <c r="B3298" s="8">
        <v>400041907</v>
      </c>
      <c r="C3298" s="8" t="s">
        <v>1447</v>
      </c>
      <c r="D3298" s="4" t="str">
        <f t="shared" si="343"/>
        <v>400041907A</v>
      </c>
      <c r="E3298" s="309" t="str">
        <f>VLOOKUP($B3298,'D7 - NDB Impacted SPRF''s'!$E$6:$O$9929,2,FALSE)</f>
        <v>Collaborative Care Capitation Solution - COSMOS</v>
      </c>
      <c r="F3298" s="8"/>
      <c r="G3298" s="8" t="s">
        <v>4758</v>
      </c>
      <c r="H3298" s="8" t="s">
        <v>3104</v>
      </c>
      <c r="I3298" s="20">
        <v>1.1399999999999999</v>
      </c>
      <c r="J3298" s="8" t="s">
        <v>4862</v>
      </c>
      <c r="K3298" s="182">
        <v>40859</v>
      </c>
      <c r="L3298" s="8" t="s">
        <v>4156</v>
      </c>
      <c r="M3298" s="8" t="s">
        <v>6688</v>
      </c>
      <c r="N3298" s="38" t="s">
        <v>3031</v>
      </c>
      <c r="O3298" s="8"/>
      <c r="P3298" s="4" t="str">
        <f>VLOOKUP($B3298,'D7 - NDB Impacted SPRF''s'!$E$16:$O$9929,9,FALSE)</f>
        <v>N</v>
      </c>
      <c r="Q3298" s="4" t="str">
        <f>VLOOKUP($B3298,'D7 - NDB Impacted SPRF''s'!$E$16:$O$9929,10,FALSE)</f>
        <v>N</v>
      </c>
      <c r="R3298" s="4" t="str">
        <f>VLOOKUP($B3298,'D7 - NDB Impacted SPRF''s'!$E$16:$O$9929,11,FALSE)</f>
        <v>N</v>
      </c>
      <c r="S3298" s="8"/>
      <c r="T3298" s="310"/>
      <c r="U3298" s="310"/>
      <c r="V3298" s="4"/>
      <c r="W3298" s="4"/>
      <c r="X3298" s="4"/>
      <c r="Y3298" s="4"/>
      <c r="Z3298" s="4"/>
      <c r="AA3298" s="4"/>
      <c r="AB3298" s="380" t="str">
        <f>VLOOKUP($B3298,'D7 - NDB Impacted SPRF''s'!$E$6:$O$9929,4,FALSE)</f>
        <v>Completed</v>
      </c>
      <c r="AC3298" s="380" t="str">
        <f>VLOOKUP($B3298,'D7 - NDB Impacted SPRF''s'!$E$6:$O$9929,3,FALSE)</f>
        <v>OptumHealth</v>
      </c>
      <c r="AD3298" s="380" t="str">
        <f>VLOOKUP($B3298,'D7 - NDB Impacted SPRF''s'!$E$6:$O$9929,5,FALSE)</f>
        <v>Collaborative Care</v>
      </c>
      <c r="AE3298" s="380" t="str">
        <f>VLOOKUP($B3298,'D7 - NDB Impacted SPRF''s'!$E$6:$O$9929,7,FALSE)</f>
        <v>Steve Rodgers</v>
      </c>
      <c r="AF3298" s="380" t="str">
        <f>VLOOKUP($B3298,'D7 - NDB Impacted SPRF''s'!$E$6:$O$9929,6,FALSE)</f>
        <v>Jason Bornholdt</v>
      </c>
      <c r="AG3298" s="282"/>
      <c r="AH3298" s="311" t="e">
        <f>INDEX('D5 - Gatekeeper - Projects'!$A$4:$AF$1010,$AM3298, 17)</f>
        <v>#N/A</v>
      </c>
      <c r="AI3298" s="8"/>
      <c r="AJ3298" s="57"/>
      <c r="AK3298" s="105"/>
      <c r="AM3298" s="6" t="e">
        <f>MATCH(D3298,'D5 - Gatekeeper - Projects'!$C$4:$C$1010,0)</f>
        <v>#N/A</v>
      </c>
      <c r="AN3298" s="6" t="b">
        <f t="shared" si="339"/>
        <v>1</v>
      </c>
      <c r="AO3298" s="6" t="str">
        <f t="shared" si="340"/>
        <v>OK</v>
      </c>
      <c r="AQ3298" s="6" t="e">
        <f>MATCH($D3298,'D4 - Provider Council Unsched'!$C$11:$C$234,0)</f>
        <v>#N/A</v>
      </c>
      <c r="AR3298" s="6" t="b">
        <f t="shared" si="341"/>
        <v>1</v>
      </c>
      <c r="AS3298" s="6" t="str">
        <f t="shared" si="342"/>
        <v>OK</v>
      </c>
      <c r="AU3298" s="202"/>
      <c r="AV3298" s="216"/>
      <c r="AW3298" s="274"/>
    </row>
    <row r="3299" spans="1:49" s="13" customFormat="1" ht="22.5" x14ac:dyDescent="0.2">
      <c r="A3299" s="14">
        <v>3272</v>
      </c>
      <c r="B3299" s="8">
        <v>400041911</v>
      </c>
      <c r="C3299" s="8" t="s">
        <v>1447</v>
      </c>
      <c r="D3299" s="4" t="str">
        <f t="shared" si="343"/>
        <v>400041911A</v>
      </c>
      <c r="E3299" s="309" t="str">
        <f>VLOOKUP($B3299,'D7 - NDB Impacted SPRF''s'!$E$6:$O$9929,2,FALSE)</f>
        <v>FACETS Regression ReArchitecture</v>
      </c>
      <c r="F3299" s="8"/>
      <c r="G3299" s="8" t="s">
        <v>4758</v>
      </c>
      <c r="H3299" s="8" t="s">
        <v>3104</v>
      </c>
      <c r="I3299" s="20">
        <v>0.83</v>
      </c>
      <c r="J3299" s="8" t="s">
        <v>4862</v>
      </c>
      <c r="K3299" s="182">
        <v>40859</v>
      </c>
      <c r="L3299" s="8" t="s">
        <v>4156</v>
      </c>
      <c r="M3299" s="8" t="s">
        <v>5626</v>
      </c>
      <c r="N3299" s="38" t="s">
        <v>1749</v>
      </c>
      <c r="O3299" s="8"/>
      <c r="P3299" s="4" t="str">
        <f>VLOOKUP($B3299,'D7 - NDB Impacted SPRF''s'!$E$16:$O$9929,9,FALSE)</f>
        <v>N</v>
      </c>
      <c r="Q3299" s="4" t="str">
        <f>VLOOKUP($B3299,'D7 - NDB Impacted SPRF''s'!$E$16:$O$9929,10,FALSE)</f>
        <v>N</v>
      </c>
      <c r="R3299" s="4" t="str">
        <f>VLOOKUP($B3299,'D7 - NDB Impacted SPRF''s'!$E$16:$O$9929,11,FALSE)</f>
        <v>Y</v>
      </c>
      <c r="S3299" s="8"/>
      <c r="T3299" s="310"/>
      <c r="U3299" s="310"/>
      <c r="V3299" s="4"/>
      <c r="W3299" s="4"/>
      <c r="X3299" s="4"/>
      <c r="Y3299" s="4"/>
      <c r="Z3299" s="4"/>
      <c r="AA3299" s="4"/>
      <c r="AB3299" s="380" t="str">
        <f>VLOOKUP($B3299,'D7 - NDB Impacted SPRF''s'!$E$6:$O$9929,4,FALSE)</f>
        <v>Completed</v>
      </c>
      <c r="AC3299" s="380" t="str">
        <f>VLOOKUP($B3299,'D7 - NDB Impacted SPRF''s'!$E$6:$O$9929,3,FALSE)</f>
        <v>UHG IT - Shared Services</v>
      </c>
      <c r="AD3299" s="380" t="str">
        <f>VLOOKUP($B3299,'D7 - NDB Impacted SPRF''s'!$E$6:$O$9929,5,FALSE)</f>
        <v>ASG</v>
      </c>
      <c r="AE3299" s="380" t="str">
        <f>VLOOKUP($B3299,'D7 - NDB Impacted SPRF''s'!$E$6:$O$9929,7,FALSE)</f>
        <v>Duhaime</v>
      </c>
      <c r="AF3299" s="380" t="str">
        <f>VLOOKUP($B3299,'D7 - NDB Impacted SPRF''s'!$E$6:$O$9929,6,FALSE)</f>
        <v>PETER ERNEST</v>
      </c>
      <c r="AG3299" s="282"/>
      <c r="AH3299" s="311" t="e">
        <f>INDEX('D5 - Gatekeeper - Projects'!$A$4:$AF$1010,$AM3299, 17)</f>
        <v>#N/A</v>
      </c>
      <c r="AI3299" s="8"/>
      <c r="AJ3299" s="57"/>
      <c r="AK3299" s="105"/>
      <c r="AM3299" s="6" t="e">
        <f>MATCH(D3299,'D5 - Gatekeeper - Projects'!$C$4:$C$1010,0)</f>
        <v>#N/A</v>
      </c>
      <c r="AN3299" s="6" t="b">
        <f t="shared" si="339"/>
        <v>1</v>
      </c>
      <c r="AO3299" s="6" t="str">
        <f t="shared" si="340"/>
        <v>OK</v>
      </c>
      <c r="AQ3299" s="6" t="e">
        <f>MATCH($D3299,'D4 - Provider Council Unsched'!$C$11:$C$234,0)</f>
        <v>#N/A</v>
      </c>
      <c r="AR3299" s="6" t="b">
        <f t="shared" si="341"/>
        <v>1</v>
      </c>
      <c r="AS3299" s="6" t="str">
        <f t="shared" si="342"/>
        <v>OK</v>
      </c>
      <c r="AU3299" s="202">
        <v>40802</v>
      </c>
      <c r="AV3299" s="216"/>
      <c r="AW3299" s="274"/>
    </row>
    <row r="3300" spans="1:49" s="13" customFormat="1" ht="56.25" x14ac:dyDescent="0.2">
      <c r="A3300" s="14">
        <v>3273</v>
      </c>
      <c r="B3300" s="8">
        <v>400044866</v>
      </c>
      <c r="C3300" s="8" t="s">
        <v>1447</v>
      </c>
      <c r="D3300" s="4" t="str">
        <f t="shared" si="343"/>
        <v>400044866A</v>
      </c>
      <c r="E3300" s="309" t="str">
        <f>VLOOKUP($B3300,'D7 - NDB Impacted SPRF''s'!$E$6:$O$9929,2,FALSE)</f>
        <v>PDR - Cosmos Physician Pricing Gap Remediation (AO</v>
      </c>
      <c r="F3300" s="8"/>
      <c r="G3300" s="8" t="s">
        <v>4758</v>
      </c>
      <c r="H3300" s="8" t="s">
        <v>3104</v>
      </c>
      <c r="I3300" s="20">
        <v>4.32</v>
      </c>
      <c r="J3300" s="8" t="s">
        <v>4862</v>
      </c>
      <c r="K3300" s="182">
        <v>40859</v>
      </c>
      <c r="L3300" s="8" t="s">
        <v>4156</v>
      </c>
      <c r="M3300" s="8" t="s">
        <v>6688</v>
      </c>
      <c r="N3300" s="38" t="s">
        <v>3036</v>
      </c>
      <c r="O3300" s="8"/>
      <c r="P3300" s="4" t="str">
        <f>VLOOKUP($B3300,'D7 - NDB Impacted SPRF''s'!$E$16:$O$9929,9,FALSE)</f>
        <v>N</v>
      </c>
      <c r="Q3300" s="4" t="str">
        <f>VLOOKUP($B3300,'D7 - NDB Impacted SPRF''s'!$E$16:$O$9929,10,FALSE)</f>
        <v>N</v>
      </c>
      <c r="R3300" s="4" t="str">
        <f>VLOOKUP($B3300,'D7 - NDB Impacted SPRF''s'!$E$16:$O$9929,11,FALSE)</f>
        <v>Y</v>
      </c>
      <c r="S3300" s="8"/>
      <c r="T3300" s="310"/>
      <c r="U3300" s="310"/>
      <c r="V3300" s="4"/>
      <c r="W3300" s="4"/>
      <c r="X3300" s="4"/>
      <c r="Y3300" s="4"/>
      <c r="Z3300" s="4"/>
      <c r="AA3300" s="4"/>
      <c r="AB3300" s="380" t="str">
        <f>VLOOKUP($B3300,'D7 - NDB Impacted SPRF''s'!$E$6:$O$9929,4,FALSE)</f>
        <v>Completed</v>
      </c>
      <c r="AC3300" s="380" t="str">
        <f>VLOOKUP($B3300,'D7 - NDB Impacted SPRF''s'!$E$6:$O$9929,3,FALSE)</f>
        <v>UHG IT - Enterprise Technology Services</v>
      </c>
      <c r="AD3300" s="380" t="str">
        <f>VLOOKUP($B3300,'D7 - NDB Impacted SPRF''s'!$E$6:$O$9929,5,FALSE)</f>
        <v>Strategic Initiatives</v>
      </c>
      <c r="AE3300" s="380" t="str">
        <f>VLOOKUP($B3300,'D7 - NDB Impacted SPRF''s'!$E$6:$O$9929,7,FALSE)</f>
        <v>Wichmann</v>
      </c>
      <c r="AF3300" s="380" t="str">
        <f>VLOOKUP($B3300,'D7 - NDB Impacted SPRF''s'!$E$6:$O$9929,6,FALSE)</f>
        <v>Suzanne Smith</v>
      </c>
      <c r="AG3300" s="282"/>
      <c r="AH3300" s="311" t="e">
        <f>INDEX('D5 - Gatekeeper - Projects'!$A$4:$AF$1010,$AM3300, 17)</f>
        <v>#N/A</v>
      </c>
      <c r="AI3300" s="8"/>
      <c r="AJ3300" s="57"/>
      <c r="AK3300" s="105"/>
      <c r="AM3300" s="6" t="e">
        <f>MATCH(D3300,'D5 - Gatekeeper - Projects'!$C$4:$C$1010,0)</f>
        <v>#N/A</v>
      </c>
      <c r="AN3300" s="6" t="b">
        <f t="shared" si="339"/>
        <v>1</v>
      </c>
      <c r="AO3300" s="6" t="str">
        <f t="shared" si="340"/>
        <v>OK</v>
      </c>
      <c r="AQ3300" s="6" t="e">
        <f>MATCH($D3300,'D4 - Provider Council Unsched'!$C$11:$C$234,0)</f>
        <v>#N/A</v>
      </c>
      <c r="AR3300" s="6" t="b">
        <f t="shared" si="341"/>
        <v>1</v>
      </c>
      <c r="AS3300" s="6" t="str">
        <f t="shared" si="342"/>
        <v>OK</v>
      </c>
      <c r="AU3300" s="202">
        <v>40680</v>
      </c>
      <c r="AV3300" s="216"/>
      <c r="AW3300" s="274"/>
    </row>
    <row r="3301" spans="1:49" s="13" customFormat="1" ht="45" x14ac:dyDescent="0.2">
      <c r="A3301" s="14">
        <v>3274</v>
      </c>
      <c r="B3301" s="8">
        <v>400044869</v>
      </c>
      <c r="C3301" s="8" t="s">
        <v>1447</v>
      </c>
      <c r="D3301" s="4" t="str">
        <f t="shared" si="343"/>
        <v>400044869A</v>
      </c>
      <c r="E3301" s="309" t="str">
        <f>VLOOKUP($B3301,'D7 - NDB Impacted SPRF''s'!$E$6:$O$9929,2,FALSE)</f>
        <v>PDR - Cosmos Facility Pricing Gap Remediation (AO)</v>
      </c>
      <c r="F3301" s="8"/>
      <c r="G3301" s="8" t="s">
        <v>4758</v>
      </c>
      <c r="H3301" s="8" t="s">
        <v>3104</v>
      </c>
      <c r="I3301" s="20">
        <v>1.08</v>
      </c>
      <c r="J3301" s="8" t="s">
        <v>4862</v>
      </c>
      <c r="K3301" s="182">
        <v>40859</v>
      </c>
      <c r="L3301" s="8" t="s">
        <v>4156</v>
      </c>
      <c r="M3301" s="8" t="s">
        <v>6688</v>
      </c>
      <c r="N3301" s="38" t="s">
        <v>3093</v>
      </c>
      <c r="O3301" s="8"/>
      <c r="P3301" s="4" t="str">
        <f>VLOOKUP($B3301,'D7 - NDB Impacted SPRF''s'!$E$16:$O$9929,9,FALSE)</f>
        <v>N</v>
      </c>
      <c r="Q3301" s="4" t="str">
        <f>VLOOKUP($B3301,'D7 - NDB Impacted SPRF''s'!$E$16:$O$9929,10,FALSE)</f>
        <v>N</v>
      </c>
      <c r="R3301" s="4" t="str">
        <f>VLOOKUP($B3301,'D7 - NDB Impacted SPRF''s'!$E$16:$O$9929,11,FALSE)</f>
        <v>Y</v>
      </c>
      <c r="S3301" s="8"/>
      <c r="T3301" s="310"/>
      <c r="U3301" s="310"/>
      <c r="V3301" s="4"/>
      <c r="W3301" s="4"/>
      <c r="X3301" s="4"/>
      <c r="Y3301" s="4"/>
      <c r="Z3301" s="4"/>
      <c r="AA3301" s="4"/>
      <c r="AB3301" s="380" t="str">
        <f>VLOOKUP($B3301,'D7 - NDB Impacted SPRF''s'!$E$6:$O$9929,4,FALSE)</f>
        <v>Completed</v>
      </c>
      <c r="AC3301" s="380" t="str">
        <f>VLOOKUP($B3301,'D7 - NDB Impacted SPRF''s'!$E$6:$O$9929,3,FALSE)</f>
        <v>UHG IT - Enterprise Technology Services</v>
      </c>
      <c r="AD3301" s="380" t="str">
        <f>VLOOKUP($B3301,'D7 - NDB Impacted SPRF''s'!$E$6:$O$9929,5,FALSE)</f>
        <v>Strategic Initiatives</v>
      </c>
      <c r="AE3301" s="380" t="str">
        <f>VLOOKUP($B3301,'D7 - NDB Impacted SPRF''s'!$E$6:$O$9929,7,FALSE)</f>
        <v>Wichmann</v>
      </c>
      <c r="AF3301" s="380" t="str">
        <f>VLOOKUP($B3301,'D7 - NDB Impacted SPRF''s'!$E$6:$O$9929,6,FALSE)</f>
        <v>Suzanne Smith</v>
      </c>
      <c r="AG3301" s="282"/>
      <c r="AH3301" s="311" t="e">
        <f>INDEX('D5 - Gatekeeper - Projects'!$A$4:$AF$1010,$AM3301, 17)</f>
        <v>#N/A</v>
      </c>
      <c r="AI3301" s="8"/>
      <c r="AJ3301" s="57"/>
      <c r="AK3301" s="105"/>
      <c r="AM3301" s="6" t="e">
        <f>MATCH(D3301,'D5 - Gatekeeper - Projects'!$C$4:$C$1010,0)</f>
        <v>#N/A</v>
      </c>
      <c r="AN3301" s="6" t="b">
        <f t="shared" si="339"/>
        <v>1</v>
      </c>
      <c r="AO3301" s="6" t="str">
        <f t="shared" si="340"/>
        <v>OK</v>
      </c>
      <c r="AQ3301" s="6" t="e">
        <f>MATCH($D3301,'D4 - Provider Council Unsched'!$C$11:$C$234,0)</f>
        <v>#N/A</v>
      </c>
      <c r="AR3301" s="6" t="b">
        <f t="shared" si="341"/>
        <v>1</v>
      </c>
      <c r="AS3301" s="6" t="str">
        <f t="shared" si="342"/>
        <v>OK</v>
      </c>
      <c r="AU3301" s="202">
        <v>40680</v>
      </c>
      <c r="AV3301" s="216"/>
      <c r="AW3301" s="274"/>
    </row>
    <row r="3302" spans="1:49" s="13" customFormat="1" ht="33.75" x14ac:dyDescent="0.2">
      <c r="A3302" s="14">
        <v>3275</v>
      </c>
      <c r="B3302" s="8">
        <v>400045569</v>
      </c>
      <c r="C3302" s="8" t="s">
        <v>1447</v>
      </c>
      <c r="D3302" s="4" t="str">
        <f t="shared" si="343"/>
        <v>400045569A</v>
      </c>
      <c r="E3302" s="309" t="str">
        <f>VLOOKUP($B3302,'D7 - NDB Impacted SPRF''s'!$E$6:$O$9929,2,FALSE)</f>
        <v>M&amp;R E2E Auth - Auth Determination - Analysis</v>
      </c>
      <c r="F3302" s="8"/>
      <c r="G3302" s="8" t="s">
        <v>4758</v>
      </c>
      <c r="H3302" s="8" t="s">
        <v>3104</v>
      </c>
      <c r="I3302" s="20">
        <v>1.73</v>
      </c>
      <c r="J3302" s="8" t="s">
        <v>4862</v>
      </c>
      <c r="K3302" s="182">
        <v>40859</v>
      </c>
      <c r="L3302" s="8" t="s">
        <v>4156</v>
      </c>
      <c r="M3302" s="8" t="s">
        <v>6688</v>
      </c>
      <c r="N3302" s="38" t="s">
        <v>3096</v>
      </c>
      <c r="O3302" s="8"/>
      <c r="P3302" s="4" t="str">
        <f>VLOOKUP($B3302,'D7 - NDB Impacted SPRF''s'!$E$16:$O$9929,9,FALSE)</f>
        <v>N</v>
      </c>
      <c r="Q3302" s="4" t="str">
        <f>VLOOKUP($B3302,'D7 - NDB Impacted SPRF''s'!$E$16:$O$9929,10,FALSE)</f>
        <v>N</v>
      </c>
      <c r="R3302" s="4" t="str">
        <f>VLOOKUP($B3302,'D7 - NDB Impacted SPRF''s'!$E$16:$O$9929,11,FALSE)</f>
        <v>N</v>
      </c>
      <c r="S3302" s="8"/>
      <c r="T3302" s="310"/>
      <c r="U3302" s="310"/>
      <c r="V3302" s="4"/>
      <c r="W3302" s="4"/>
      <c r="X3302" s="4"/>
      <c r="Y3302" s="4"/>
      <c r="Z3302" s="4"/>
      <c r="AA3302" s="4"/>
      <c r="AB3302" s="380" t="str">
        <f>VLOOKUP($B3302,'D7 - NDB Impacted SPRF''s'!$E$6:$O$9929,4,FALSE)</f>
        <v>Cancelled</v>
      </c>
      <c r="AC3302" s="380" t="str">
        <f>VLOOKUP($B3302,'D7 - NDB Impacted SPRF''s'!$E$6:$O$9929,3,FALSE)</f>
        <v>UnitedHealthcare Medicare &amp; Retirement</v>
      </c>
      <c r="AD3302" s="380" t="str">
        <f>VLOOKUP($B3302,'D7 - NDB Impacted SPRF''s'!$E$6:$O$9929,5,FALSE)</f>
        <v>Health Services</v>
      </c>
      <c r="AE3302" s="380" t="str">
        <f>VLOOKUP($B3302,'D7 - NDB Impacted SPRF''s'!$E$6:$O$9929,7,FALSE)</f>
        <v>Maryellen Palumbo</v>
      </c>
      <c r="AF3302" s="380" t="str">
        <f>VLOOKUP($B3302,'D7 - NDB Impacted SPRF''s'!$E$6:$O$9929,6,FALSE)</f>
        <v>Brendan Dolan</v>
      </c>
      <c r="AG3302" s="282"/>
      <c r="AH3302" s="311" t="e">
        <f>INDEX('D5 - Gatekeeper - Projects'!$A$4:$AF$1010,$AM3302, 17)</f>
        <v>#N/A</v>
      </c>
      <c r="AI3302" s="8"/>
      <c r="AJ3302" s="57"/>
      <c r="AK3302" s="105"/>
      <c r="AM3302" s="6" t="e">
        <f>MATCH(D3302,'D5 - Gatekeeper - Projects'!$C$4:$C$1010,0)</f>
        <v>#N/A</v>
      </c>
      <c r="AN3302" s="6" t="b">
        <f t="shared" si="339"/>
        <v>1</v>
      </c>
      <c r="AO3302" s="6" t="str">
        <f t="shared" si="340"/>
        <v>OK</v>
      </c>
      <c r="AQ3302" s="6" t="e">
        <f>MATCH($D3302,'D4 - Provider Council Unsched'!$C$11:$C$234,0)</f>
        <v>#N/A</v>
      </c>
      <c r="AR3302" s="6" t="b">
        <f t="shared" si="341"/>
        <v>1</v>
      </c>
      <c r="AS3302" s="6" t="str">
        <f t="shared" si="342"/>
        <v>OK</v>
      </c>
      <c r="AU3302" s="202">
        <v>40764</v>
      </c>
      <c r="AV3302" s="216"/>
      <c r="AW3302" s="274"/>
    </row>
    <row r="3303" spans="1:49" s="13" customFormat="1" ht="33.75" x14ac:dyDescent="0.2">
      <c r="A3303" s="14">
        <v>3276</v>
      </c>
      <c r="B3303" s="8">
        <v>400045570</v>
      </c>
      <c r="C3303" s="8" t="s">
        <v>1447</v>
      </c>
      <c r="D3303" s="4" t="str">
        <f t="shared" si="343"/>
        <v>400045570A</v>
      </c>
      <c r="E3303" s="309" t="str">
        <f>VLOOKUP($B3303,'D7 - NDB Impacted SPRF''s'!$E$6:$O$9929,2,FALSE)</f>
        <v>M&amp;R E2E Auth – Claim to Auth Matching - Analysis</v>
      </c>
      <c r="F3303" s="8"/>
      <c r="G3303" s="8" t="s">
        <v>4758</v>
      </c>
      <c r="H3303" s="8" t="s">
        <v>3104</v>
      </c>
      <c r="I3303" s="20">
        <v>1.73</v>
      </c>
      <c r="J3303" s="8" t="s">
        <v>4862</v>
      </c>
      <c r="K3303" s="182">
        <v>40859</v>
      </c>
      <c r="L3303" s="8" t="s">
        <v>4156</v>
      </c>
      <c r="M3303" s="8" t="s">
        <v>6688</v>
      </c>
      <c r="N3303" s="38" t="s">
        <v>3096</v>
      </c>
      <c r="O3303" s="8"/>
      <c r="P3303" s="4" t="str">
        <f>VLOOKUP($B3303,'D7 - NDB Impacted SPRF''s'!$E$16:$O$9929,9,FALSE)</f>
        <v>N</v>
      </c>
      <c r="Q3303" s="4" t="str">
        <f>VLOOKUP($B3303,'D7 - NDB Impacted SPRF''s'!$E$16:$O$9929,10,FALSE)</f>
        <v>N</v>
      </c>
      <c r="R3303" s="4" t="str">
        <f>VLOOKUP($B3303,'D7 - NDB Impacted SPRF''s'!$E$16:$O$9929,11,FALSE)</f>
        <v>Y</v>
      </c>
      <c r="S3303" s="8"/>
      <c r="T3303" s="310"/>
      <c r="U3303" s="310"/>
      <c r="V3303" s="4"/>
      <c r="W3303" s="4"/>
      <c r="X3303" s="4"/>
      <c r="Y3303" s="4"/>
      <c r="Z3303" s="4"/>
      <c r="AA3303" s="4"/>
      <c r="AB3303" s="380" t="str">
        <f>VLOOKUP($B3303,'D7 - NDB Impacted SPRF''s'!$E$6:$O$9929,4,FALSE)</f>
        <v>Cancelled</v>
      </c>
      <c r="AC3303" s="380" t="str">
        <f>VLOOKUP($B3303,'D7 - NDB Impacted SPRF''s'!$E$6:$O$9929,3,FALSE)</f>
        <v>UnitedHealthcare Medicare &amp; Retirement</v>
      </c>
      <c r="AD3303" s="380" t="str">
        <f>VLOOKUP($B3303,'D7 - NDB Impacted SPRF''s'!$E$6:$O$9929,5,FALSE)</f>
        <v>Health Services</v>
      </c>
      <c r="AE3303" s="380" t="str">
        <f>VLOOKUP($B3303,'D7 - NDB Impacted SPRF''s'!$E$6:$O$9929,7,FALSE)</f>
        <v>Maryellen Palumbo</v>
      </c>
      <c r="AF3303" s="380" t="str">
        <f>VLOOKUP($B3303,'D7 - NDB Impacted SPRF''s'!$E$6:$O$9929,6,FALSE)</f>
        <v>Brendan Dolan</v>
      </c>
      <c r="AG3303" s="282"/>
      <c r="AH3303" s="311" t="e">
        <f>INDEX('D5 - Gatekeeper - Projects'!$A$4:$AF$1010,$AM3303, 17)</f>
        <v>#N/A</v>
      </c>
      <c r="AI3303" s="8"/>
      <c r="AJ3303" s="57"/>
      <c r="AK3303" s="105"/>
      <c r="AM3303" s="6" t="e">
        <f>MATCH(D3303,'D5 - Gatekeeper - Projects'!$C$4:$C$1010,0)</f>
        <v>#N/A</v>
      </c>
      <c r="AN3303" s="6" t="b">
        <f t="shared" si="339"/>
        <v>1</v>
      </c>
      <c r="AO3303" s="6" t="str">
        <f t="shared" si="340"/>
        <v>OK</v>
      </c>
      <c r="AQ3303" s="6" t="e">
        <f>MATCH($D3303,'D4 - Provider Council Unsched'!$C$11:$C$234,0)</f>
        <v>#N/A</v>
      </c>
      <c r="AR3303" s="6" t="b">
        <f t="shared" si="341"/>
        <v>1</v>
      </c>
      <c r="AS3303" s="6" t="str">
        <f t="shared" si="342"/>
        <v>OK</v>
      </c>
      <c r="AU3303" s="202">
        <v>40764</v>
      </c>
      <c r="AV3303" s="216"/>
      <c r="AW3303" s="274"/>
    </row>
    <row r="3304" spans="1:49" s="13" customFormat="1" ht="33.75" x14ac:dyDescent="0.2">
      <c r="A3304" s="14">
        <v>3277</v>
      </c>
      <c r="B3304" s="8">
        <v>400045571</v>
      </c>
      <c r="C3304" s="8" t="s">
        <v>1447</v>
      </c>
      <c r="D3304" s="4" t="str">
        <f t="shared" si="343"/>
        <v>400045571A</v>
      </c>
      <c r="E3304" s="309" t="str">
        <f>VLOOKUP($B3304,'D7 - NDB Impacted SPRF''s'!$E$6:$O$9929,2,FALSE)</f>
        <v>M&amp;R E2E Auth – Consequence - Analysis</v>
      </c>
      <c r="F3304" s="8"/>
      <c r="G3304" s="8" t="s">
        <v>4758</v>
      </c>
      <c r="H3304" s="8" t="s">
        <v>3104</v>
      </c>
      <c r="I3304" s="20">
        <v>1.73</v>
      </c>
      <c r="J3304" s="8" t="s">
        <v>4862</v>
      </c>
      <c r="K3304" s="182">
        <v>40859</v>
      </c>
      <c r="L3304" s="8" t="s">
        <v>4156</v>
      </c>
      <c r="M3304" s="8" t="s">
        <v>6688</v>
      </c>
      <c r="N3304" s="38" t="s">
        <v>3096</v>
      </c>
      <c r="O3304" s="8"/>
      <c r="P3304" s="4" t="str">
        <f>VLOOKUP($B3304,'D7 - NDB Impacted SPRF''s'!$E$16:$O$9929,9,FALSE)</f>
        <v>N</v>
      </c>
      <c r="Q3304" s="4" t="str">
        <f>VLOOKUP($B3304,'D7 - NDB Impacted SPRF''s'!$E$16:$O$9929,10,FALSE)</f>
        <v>N</v>
      </c>
      <c r="R3304" s="4" t="str">
        <f>VLOOKUP($B3304,'D7 - NDB Impacted SPRF''s'!$E$16:$O$9929,11,FALSE)</f>
        <v>N</v>
      </c>
      <c r="S3304" s="8"/>
      <c r="T3304" s="310"/>
      <c r="U3304" s="310"/>
      <c r="V3304" s="4"/>
      <c r="W3304" s="4"/>
      <c r="X3304" s="4"/>
      <c r="Y3304" s="4"/>
      <c r="Z3304" s="4"/>
      <c r="AA3304" s="4"/>
      <c r="AB3304" s="380" t="str">
        <f>VLOOKUP($B3304,'D7 - NDB Impacted SPRF''s'!$E$6:$O$9929,4,FALSE)</f>
        <v>Cancelled</v>
      </c>
      <c r="AC3304" s="380" t="str">
        <f>VLOOKUP($B3304,'D7 - NDB Impacted SPRF''s'!$E$6:$O$9929,3,FALSE)</f>
        <v>UnitedHealthcare Medicare &amp; Retirement</v>
      </c>
      <c r="AD3304" s="380" t="str">
        <f>VLOOKUP($B3304,'D7 - NDB Impacted SPRF''s'!$E$6:$O$9929,5,FALSE)</f>
        <v>Health Services</v>
      </c>
      <c r="AE3304" s="380" t="str">
        <f>VLOOKUP($B3304,'D7 - NDB Impacted SPRF''s'!$E$6:$O$9929,7,FALSE)</f>
        <v>Maryellen Palumbo</v>
      </c>
      <c r="AF3304" s="380" t="str">
        <f>VLOOKUP($B3304,'D7 - NDB Impacted SPRF''s'!$E$6:$O$9929,6,FALSE)</f>
        <v>Brendan Dolan</v>
      </c>
      <c r="AG3304" s="282"/>
      <c r="AH3304" s="311" t="e">
        <f>INDEX('D5 - Gatekeeper - Projects'!$A$4:$AF$1010,$AM3304, 17)</f>
        <v>#N/A</v>
      </c>
      <c r="AI3304" s="8"/>
      <c r="AJ3304" s="57"/>
      <c r="AK3304" s="105"/>
      <c r="AM3304" s="6" t="e">
        <f>MATCH(D3304,'D5 - Gatekeeper - Projects'!$C$4:$C$1010,0)</f>
        <v>#N/A</v>
      </c>
      <c r="AN3304" s="6" t="b">
        <f t="shared" si="339"/>
        <v>1</v>
      </c>
      <c r="AO3304" s="6" t="str">
        <f t="shared" si="340"/>
        <v>OK</v>
      </c>
      <c r="AQ3304" s="6" t="e">
        <f>MATCH($D3304,'D4 - Provider Council Unsched'!$C$11:$C$234,0)</f>
        <v>#N/A</v>
      </c>
      <c r="AR3304" s="6" t="b">
        <f t="shared" si="341"/>
        <v>1</v>
      </c>
      <c r="AS3304" s="6" t="str">
        <f t="shared" si="342"/>
        <v>OK</v>
      </c>
      <c r="AU3304" s="202">
        <v>40764</v>
      </c>
      <c r="AV3304" s="216"/>
      <c r="AW3304" s="274"/>
    </row>
    <row r="3305" spans="1:49" s="13" customFormat="1" ht="67.5" x14ac:dyDescent="0.2">
      <c r="A3305" s="14">
        <v>3278</v>
      </c>
      <c r="B3305" s="8">
        <v>488888888</v>
      </c>
      <c r="C3305" s="8" t="s">
        <v>1447</v>
      </c>
      <c r="D3305" s="4" t="str">
        <f t="shared" si="343"/>
        <v>488888888A</v>
      </c>
      <c r="E3305" s="309" t="str">
        <f>VLOOKUP($B3305,'D7 - NDB Impacted SPRF''s'!$E$6:$O$9929,2,FALSE)</f>
        <v>2E M&amp;R MedNec - Pega Proof of concept</v>
      </c>
      <c r="F3305" s="8"/>
      <c r="G3305" s="8" t="s">
        <v>4758</v>
      </c>
      <c r="H3305" s="8" t="s">
        <v>3104</v>
      </c>
      <c r="I3305" s="20">
        <v>2</v>
      </c>
      <c r="J3305" s="8" t="s">
        <v>4862</v>
      </c>
      <c r="K3305" s="182">
        <v>40859</v>
      </c>
      <c r="L3305" s="8" t="s">
        <v>4156</v>
      </c>
      <c r="M3305" s="8" t="s">
        <v>6688</v>
      </c>
      <c r="N3305" s="38" t="s">
        <v>3097</v>
      </c>
      <c r="O3305" s="8"/>
      <c r="P3305" s="4">
        <f>VLOOKUP($B3305,'D7 - NDB Impacted SPRF''s'!$E$16:$O$9929,9,FALSE)</f>
        <v>0</v>
      </c>
      <c r="Q3305" s="4">
        <f>VLOOKUP($B3305,'D7 - NDB Impacted SPRF''s'!$E$16:$O$9929,10,FALSE)</f>
        <v>0</v>
      </c>
      <c r="R3305" s="4">
        <f>VLOOKUP($B3305,'D7 - NDB Impacted SPRF''s'!$E$16:$O$9929,11,FALSE)</f>
        <v>0</v>
      </c>
      <c r="S3305" s="8"/>
      <c r="T3305" s="310"/>
      <c r="U3305" s="310"/>
      <c r="V3305" s="4"/>
      <c r="W3305" s="4"/>
      <c r="X3305" s="4"/>
      <c r="Y3305" s="4"/>
      <c r="Z3305" s="4"/>
      <c r="AA3305" s="4"/>
      <c r="AB3305" s="380">
        <f>VLOOKUP($B3305,'D7 - NDB Impacted SPRF''s'!$E$6:$O$9929,4,FALSE)</f>
        <v>0</v>
      </c>
      <c r="AC3305" s="380" t="str">
        <f>VLOOKUP($B3305,'D7 - NDB Impacted SPRF''s'!$E$6:$O$9929,3,FALSE)</f>
        <v xml:space="preserve">“Enterprise Tech Practice” Admin bucket </v>
      </c>
      <c r="AD3305" s="380">
        <f>VLOOKUP($B3305,'D7 - NDB Impacted SPRF''s'!$E$6:$O$9929,5,FALSE)</f>
        <v>0</v>
      </c>
      <c r="AE3305" s="380">
        <f>VLOOKUP($B3305,'D7 - NDB Impacted SPRF''s'!$E$6:$O$9929,7,FALSE)</f>
        <v>0</v>
      </c>
      <c r="AF3305" s="380">
        <f>VLOOKUP($B3305,'D7 - NDB Impacted SPRF''s'!$E$6:$O$9929,6,FALSE)</f>
        <v>0</v>
      </c>
      <c r="AG3305" s="282"/>
      <c r="AH3305" s="311" t="e">
        <f>INDEX('D5 - Gatekeeper - Projects'!$A$4:$AF$1010,$AM3305, 17)</f>
        <v>#N/A</v>
      </c>
      <c r="AI3305" s="8"/>
      <c r="AJ3305" s="57"/>
      <c r="AK3305" s="105"/>
      <c r="AM3305" s="6" t="e">
        <f>MATCH(D3305,'D5 - Gatekeeper - Projects'!$C$4:$C$1010,0)</f>
        <v>#N/A</v>
      </c>
      <c r="AN3305" s="6" t="b">
        <f t="shared" si="339"/>
        <v>1</v>
      </c>
      <c r="AO3305" s="6" t="str">
        <f t="shared" si="340"/>
        <v>OK</v>
      </c>
      <c r="AQ3305" s="6" t="e">
        <f>MATCH($D3305,'D4 - Provider Council Unsched'!$C$11:$C$234,0)</f>
        <v>#N/A</v>
      </c>
      <c r="AR3305" s="6" t="b">
        <f t="shared" si="341"/>
        <v>1</v>
      </c>
      <c r="AS3305" s="6" t="str">
        <f t="shared" si="342"/>
        <v>OK</v>
      </c>
      <c r="AU3305" s="202">
        <v>40777</v>
      </c>
      <c r="AV3305" s="216"/>
      <c r="AW3305" s="274"/>
    </row>
    <row r="3306" spans="1:49" s="13" customFormat="1" ht="22.5" x14ac:dyDescent="0.2">
      <c r="A3306" s="14">
        <v>3279</v>
      </c>
      <c r="B3306" s="8">
        <v>400041433</v>
      </c>
      <c r="C3306" s="8" t="s">
        <v>1447</v>
      </c>
      <c r="D3306" s="4" t="str">
        <f t="shared" si="343"/>
        <v>400041433A</v>
      </c>
      <c r="E3306" s="309" t="str">
        <f>VLOOKUP($B3306,'D7 - NDB Impacted SPRF''s'!$E$6:$O$9929,2,FALSE)</f>
        <v>CDB Online: Develop Update Services</v>
      </c>
      <c r="F3306" s="8"/>
      <c r="G3306" s="8" t="s">
        <v>4758</v>
      </c>
      <c r="H3306" s="8" t="s">
        <v>3104</v>
      </c>
      <c r="I3306" s="20">
        <v>1.07</v>
      </c>
      <c r="J3306" s="8" t="s">
        <v>4862</v>
      </c>
      <c r="K3306" s="182">
        <v>40978</v>
      </c>
      <c r="L3306" s="8" t="s">
        <v>4156</v>
      </c>
      <c r="M3306" s="8" t="s">
        <v>5626</v>
      </c>
      <c r="N3306" s="38" t="s">
        <v>2740</v>
      </c>
      <c r="O3306" s="8"/>
      <c r="P3306" s="4" t="str">
        <f>VLOOKUP($B3306,'D7 - NDB Impacted SPRF''s'!$E$16:$O$9929,9,FALSE)</f>
        <v>N</v>
      </c>
      <c r="Q3306" s="4" t="str">
        <f>VLOOKUP($B3306,'D7 - NDB Impacted SPRF''s'!$E$16:$O$9929,10,FALSE)</f>
        <v>N</v>
      </c>
      <c r="R3306" s="4" t="str">
        <f>VLOOKUP($B3306,'D7 - NDB Impacted SPRF''s'!$E$16:$O$9929,11,FALSE)</f>
        <v>N</v>
      </c>
      <c r="S3306" s="8"/>
      <c r="T3306" s="310"/>
      <c r="U3306" s="310"/>
      <c r="V3306" s="4"/>
      <c r="W3306" s="4"/>
      <c r="X3306" s="4"/>
      <c r="Y3306" s="4"/>
      <c r="Z3306" s="4"/>
      <c r="AA3306" s="4"/>
      <c r="AB3306" s="380" t="str">
        <f>VLOOKUP($B3306,'D7 - NDB Impacted SPRF''s'!$E$6:$O$9929,4,FALSE)</f>
        <v>Completed</v>
      </c>
      <c r="AC3306" s="380" t="str">
        <f>VLOOKUP($B3306,'D7 - NDB Impacted SPRF''s'!$E$6:$O$9929,3,FALSE)</f>
        <v>UHG IT - Shared Services</v>
      </c>
      <c r="AD3306" s="380" t="str">
        <f>VLOOKUP($B3306,'D7 - NDB Impacted SPRF''s'!$E$6:$O$9929,5,FALSE)</f>
        <v>Strategic Initiatives</v>
      </c>
      <c r="AE3306" s="380" t="str">
        <f>VLOOKUP($B3306,'D7 - NDB Impacted SPRF''s'!$E$6:$O$9929,7,FALSE)</f>
        <v>Patrick Casey</v>
      </c>
      <c r="AF3306" s="380" t="str">
        <f>VLOOKUP($B3306,'D7 - NDB Impacted SPRF''s'!$E$6:$O$9929,6,FALSE)</f>
        <v>DIANE KOWAL</v>
      </c>
      <c r="AG3306" s="282"/>
      <c r="AH3306" s="311" t="e">
        <f>INDEX('D5 - Gatekeeper - Projects'!$A$4:$AF$1010,$AM3306, 17)</f>
        <v>#N/A</v>
      </c>
      <c r="AI3306" s="8"/>
      <c r="AJ3306" s="57"/>
      <c r="AK3306" s="105"/>
      <c r="AM3306" s="6" t="e">
        <f>MATCH(D3306,'D5 - Gatekeeper - Projects'!$C$4:$C$1010,0)</f>
        <v>#N/A</v>
      </c>
      <c r="AN3306" s="6" t="b">
        <f t="shared" si="339"/>
        <v>1</v>
      </c>
      <c r="AO3306" s="6" t="str">
        <f t="shared" si="340"/>
        <v>OK</v>
      </c>
      <c r="AQ3306" s="6" t="e">
        <f>MATCH($D3306,'D4 - Provider Council Unsched'!$C$11:$C$234,0)</f>
        <v>#N/A</v>
      </c>
      <c r="AR3306" s="6" t="b">
        <f t="shared" si="341"/>
        <v>1</v>
      </c>
      <c r="AS3306" s="6" t="str">
        <f t="shared" si="342"/>
        <v>OK</v>
      </c>
      <c r="AU3306" s="202">
        <v>40651</v>
      </c>
      <c r="AV3306" s="216"/>
      <c r="AW3306" s="274"/>
    </row>
    <row r="3307" spans="1:49" s="13" customFormat="1" ht="22.5" x14ac:dyDescent="0.2">
      <c r="A3307" s="14">
        <v>3280</v>
      </c>
      <c r="B3307" s="8">
        <v>400042999</v>
      </c>
      <c r="C3307" s="8" t="s">
        <v>1447</v>
      </c>
      <c r="D3307" s="4" t="str">
        <f t="shared" si="343"/>
        <v>400042999A</v>
      </c>
      <c r="E3307" s="309" t="str">
        <f>VLOOKUP($B3307,'D7 - NDB Impacted SPRF''s'!$E$6:$O$9929,2,FALSE)</f>
        <v>PBH Facets Migration - Health Plans</v>
      </c>
      <c r="F3307" s="8"/>
      <c r="G3307" s="8" t="s">
        <v>4758</v>
      </c>
      <c r="H3307" s="8" t="s">
        <v>3104</v>
      </c>
      <c r="I3307" s="20">
        <v>0.6</v>
      </c>
      <c r="J3307" s="8" t="s">
        <v>4862</v>
      </c>
      <c r="K3307" s="182">
        <v>40978</v>
      </c>
      <c r="L3307" s="8" t="s">
        <v>4156</v>
      </c>
      <c r="M3307" s="8" t="s">
        <v>5626</v>
      </c>
      <c r="N3307" s="38" t="s">
        <v>1371</v>
      </c>
      <c r="O3307" s="8"/>
      <c r="P3307" s="4" t="str">
        <f>VLOOKUP($B3307,'D7 - NDB Impacted SPRF''s'!$E$16:$O$9929,9,FALSE)</f>
        <v>N</v>
      </c>
      <c r="Q3307" s="4" t="str">
        <f>VLOOKUP($B3307,'D7 - NDB Impacted SPRF''s'!$E$16:$O$9929,10,FALSE)</f>
        <v>N</v>
      </c>
      <c r="R3307" s="4" t="str">
        <f>VLOOKUP($B3307,'D7 - NDB Impacted SPRF''s'!$E$16:$O$9929,11,FALSE)</f>
        <v>N</v>
      </c>
      <c r="S3307" s="8"/>
      <c r="T3307" s="310"/>
      <c r="U3307" s="310"/>
      <c r="V3307" s="4"/>
      <c r="W3307" s="4"/>
      <c r="X3307" s="4"/>
      <c r="Y3307" s="4"/>
      <c r="Z3307" s="4"/>
      <c r="AA3307" s="4"/>
      <c r="AB3307" s="380" t="str">
        <f>VLOOKUP($B3307,'D7 - NDB Impacted SPRF''s'!$E$6:$O$9929,4,FALSE)</f>
        <v>Scheduled</v>
      </c>
      <c r="AC3307" s="380" t="str">
        <f>VLOOKUP($B3307,'D7 - NDB Impacted SPRF''s'!$E$6:$O$9929,3,FALSE)</f>
        <v>OptumHealth</v>
      </c>
      <c r="AD3307" s="380" t="str">
        <f>VLOOKUP($B3307,'D7 - NDB Impacted SPRF''s'!$E$6:$O$9929,5,FALSE)</f>
        <v>Behavioral Solutions</v>
      </c>
      <c r="AE3307" s="380" t="str">
        <f>VLOOKUP($B3307,'D7 - NDB Impacted SPRF''s'!$E$6:$O$9929,7,FALSE)</f>
        <v>Lloyd Dyer</v>
      </c>
      <c r="AF3307" s="380" t="str">
        <f>VLOOKUP($B3307,'D7 - NDB Impacted SPRF''s'!$E$6:$O$9929,6,FALSE)</f>
        <v>Jennifer Weed</v>
      </c>
      <c r="AG3307" s="282"/>
      <c r="AH3307" s="311" t="e">
        <f>INDEX('D5 - Gatekeeper - Projects'!$A$4:$AF$1010,$AM3307, 17)</f>
        <v>#N/A</v>
      </c>
      <c r="AI3307" s="8"/>
      <c r="AJ3307" s="57"/>
      <c r="AK3307" s="105"/>
      <c r="AM3307" s="6" t="e">
        <f>MATCH(D3307,'D5 - Gatekeeper - Projects'!$C$4:$C$1010,0)</f>
        <v>#N/A</v>
      </c>
      <c r="AN3307" s="6" t="b">
        <f t="shared" si="339"/>
        <v>1</v>
      </c>
      <c r="AO3307" s="6" t="str">
        <f t="shared" si="340"/>
        <v>OK</v>
      </c>
      <c r="AQ3307" s="6" t="e">
        <f>MATCH($D3307,'D4 - Provider Council Unsched'!$C$11:$C$234,0)</f>
        <v>#N/A</v>
      </c>
      <c r="AR3307" s="6" t="b">
        <f t="shared" si="341"/>
        <v>1</v>
      </c>
      <c r="AS3307" s="6" t="str">
        <f t="shared" si="342"/>
        <v>OK</v>
      </c>
      <c r="AU3307" s="202">
        <v>40826</v>
      </c>
      <c r="AV3307" s="216" t="s">
        <v>1077</v>
      </c>
      <c r="AW3307" s="274">
        <v>35479</v>
      </c>
    </row>
    <row r="3308" spans="1:49" s="13" customFormat="1" ht="33.75" x14ac:dyDescent="0.2">
      <c r="A3308" s="14">
        <v>3281</v>
      </c>
      <c r="B3308" s="8">
        <v>400044769</v>
      </c>
      <c r="C3308" s="8" t="s">
        <v>7290</v>
      </c>
      <c r="D3308" s="4" t="str">
        <f t="shared" si="343"/>
        <v>400044769B</v>
      </c>
      <c r="E3308" s="309" t="str">
        <f>VLOOKUP($B3308,'D7 - NDB Impacted SPRF''s'!$E$6:$O$9929,2,FALSE)</f>
        <v>TBS Provider Data Quality Remediation - Phase 1</v>
      </c>
      <c r="F3308" s="8"/>
      <c r="G3308" s="8" t="s">
        <v>4758</v>
      </c>
      <c r="H3308" s="8" t="s">
        <v>3104</v>
      </c>
      <c r="I3308" s="20">
        <v>0.27</v>
      </c>
      <c r="J3308" s="8" t="s">
        <v>4862</v>
      </c>
      <c r="K3308" s="182">
        <v>40994</v>
      </c>
      <c r="L3308" s="8" t="s">
        <v>4156</v>
      </c>
      <c r="M3308" s="8" t="s">
        <v>5626</v>
      </c>
      <c r="N3308" s="38" t="s">
        <v>778</v>
      </c>
      <c r="O3308" s="8"/>
      <c r="P3308" s="4" t="str">
        <f>VLOOKUP($B3308,'D7 - NDB Impacted SPRF''s'!$E$16:$O$9929,9,FALSE)</f>
        <v>N</v>
      </c>
      <c r="Q3308" s="4" t="str">
        <f>VLOOKUP($B3308,'D7 - NDB Impacted SPRF''s'!$E$16:$O$9929,10,FALSE)</f>
        <v>N</v>
      </c>
      <c r="R3308" s="4" t="str">
        <f>VLOOKUP($B3308,'D7 - NDB Impacted SPRF''s'!$E$16:$O$9929,11,FALSE)</f>
        <v>N</v>
      </c>
      <c r="S3308" s="8"/>
      <c r="T3308" s="310"/>
      <c r="U3308" s="310"/>
      <c r="V3308" s="4"/>
      <c r="W3308" s="4"/>
      <c r="X3308" s="4"/>
      <c r="Y3308" s="4"/>
      <c r="Z3308" s="4"/>
      <c r="AA3308" s="4"/>
      <c r="AB3308" s="380" t="str">
        <f>VLOOKUP($B3308,'D7 - NDB Impacted SPRF''s'!$E$6:$O$9929,4,FALSE)</f>
        <v>Completed</v>
      </c>
      <c r="AC3308" s="380" t="str">
        <f>VLOOKUP($B3308,'D7 - NDB Impacted SPRF''s'!$E$6:$O$9929,3,FALSE)</f>
        <v>OptumHealth</v>
      </c>
      <c r="AD3308" s="380" t="str">
        <f>VLOOKUP($B3308,'D7 - NDB Impacted SPRF''s'!$E$6:$O$9929,5,FALSE)</f>
        <v>Behavioral Solutions</v>
      </c>
      <c r="AE3308" s="380" t="str">
        <f>VLOOKUP($B3308,'D7 - NDB Impacted SPRF''s'!$E$6:$O$9929,7,FALSE)</f>
        <v>Deb Adler</v>
      </c>
      <c r="AF3308" s="380" t="str">
        <f>VLOOKUP($B3308,'D7 - NDB Impacted SPRF''s'!$E$6:$O$9929,6,FALSE)</f>
        <v>Stephanie Logan</v>
      </c>
      <c r="AG3308" s="282"/>
      <c r="AH3308" s="311" t="e">
        <f>INDEX('D5 - Gatekeeper - Projects'!$A$4:$AF$1010,$AM3308, 17)</f>
        <v>#N/A</v>
      </c>
      <c r="AI3308" s="8"/>
      <c r="AJ3308" s="57"/>
      <c r="AK3308" s="105"/>
      <c r="AM3308" s="6" t="e">
        <f>MATCH(D3308,'D5 - Gatekeeper - Projects'!$C$4:$C$1010,0)</f>
        <v>#N/A</v>
      </c>
      <c r="AN3308" s="6" t="b">
        <f t="shared" si="339"/>
        <v>1</v>
      </c>
      <c r="AO3308" s="6" t="str">
        <f t="shared" si="340"/>
        <v>OK</v>
      </c>
      <c r="AQ3308" s="6" t="e">
        <f>MATCH($D3308,'D4 - Provider Council Unsched'!$C$11:$C$234,0)</f>
        <v>#N/A</v>
      </c>
      <c r="AR3308" s="6" t="b">
        <f t="shared" si="341"/>
        <v>1</v>
      </c>
      <c r="AS3308" s="6" t="str">
        <f t="shared" si="342"/>
        <v>OK</v>
      </c>
      <c r="AU3308" s="202">
        <v>40952</v>
      </c>
      <c r="AV3308" s="216" t="s">
        <v>2300</v>
      </c>
      <c r="AW3308" s="274">
        <v>44534</v>
      </c>
    </row>
    <row r="3309" spans="1:49" s="13" customFormat="1" ht="56.25" x14ac:dyDescent="0.2">
      <c r="A3309" s="14">
        <v>3282</v>
      </c>
      <c r="B3309" s="8">
        <v>400048849</v>
      </c>
      <c r="C3309" s="8" t="s">
        <v>1447</v>
      </c>
      <c r="D3309" s="4" t="str">
        <f t="shared" si="343"/>
        <v>400048849A</v>
      </c>
      <c r="E3309" s="309" t="str">
        <f>VLOOKUP($B3309,'D7 - NDB Impacted SPRF''s'!$E$6:$O$9929,2,FALSE)</f>
        <v>NDB SoT-Provider Data Quality Assessment &amp; Improve</v>
      </c>
      <c r="F3309" s="8"/>
      <c r="G3309" s="8" t="s">
        <v>4758</v>
      </c>
      <c r="H3309" s="8" t="s">
        <v>3104</v>
      </c>
      <c r="I3309" s="20">
        <v>3</v>
      </c>
      <c r="J3309" s="8" t="s">
        <v>4862</v>
      </c>
      <c r="K3309" s="182">
        <v>40999</v>
      </c>
      <c r="L3309" s="8" t="s">
        <v>4156</v>
      </c>
      <c r="M3309" s="8" t="s">
        <v>6688</v>
      </c>
      <c r="N3309" s="38" t="s">
        <v>1123</v>
      </c>
      <c r="O3309" s="8"/>
      <c r="P3309" s="4" t="str">
        <f>VLOOKUP($B3309,'D7 - NDB Impacted SPRF''s'!$E$16:$O$9929,9,FALSE)</f>
        <v>N</v>
      </c>
      <c r="Q3309" s="4" t="str">
        <f>VLOOKUP($B3309,'D7 - NDB Impacted SPRF''s'!$E$16:$O$9929,10,FALSE)</f>
        <v>N</v>
      </c>
      <c r="R3309" s="4" t="str">
        <f>VLOOKUP($B3309,'D7 - NDB Impacted SPRF''s'!$E$16:$O$9929,11,FALSE)</f>
        <v>N</v>
      </c>
      <c r="S3309" s="8"/>
      <c r="T3309" s="310"/>
      <c r="U3309" s="310"/>
      <c r="V3309" s="4"/>
      <c r="W3309" s="4"/>
      <c r="X3309" s="4"/>
      <c r="Y3309" s="4"/>
      <c r="Z3309" s="4"/>
      <c r="AA3309" s="4"/>
      <c r="AB3309" s="380" t="str">
        <f>VLOOKUP($B3309,'D7 - NDB Impacted SPRF''s'!$E$6:$O$9929,4,FALSE)</f>
        <v>Cancelled</v>
      </c>
      <c r="AC3309" s="380" t="str">
        <f>VLOOKUP($B3309,'D7 - NDB Impacted SPRF''s'!$E$6:$O$9929,3,FALSE)</f>
        <v>UHG IT - Enterprise Technology Services</v>
      </c>
      <c r="AD3309" s="380" t="str">
        <f>VLOOKUP($B3309,'D7 - NDB Impacted SPRF''s'!$E$6:$O$9929,5,FALSE)</f>
        <v>Strategic Initiatives</v>
      </c>
      <c r="AE3309" s="380" t="str">
        <f>VLOOKUP($B3309,'D7 - NDB Impacted SPRF''s'!$E$6:$O$9929,7,FALSE)</f>
        <v>Kaja, Tim</v>
      </c>
      <c r="AF3309" s="380" t="str">
        <f>VLOOKUP($B3309,'D7 - NDB Impacted SPRF''s'!$E$6:$O$9929,6,FALSE)</f>
        <v>Shelly Heit</v>
      </c>
      <c r="AG3309" s="282"/>
      <c r="AH3309" s="311" t="e">
        <f>INDEX('D5 - Gatekeeper - Projects'!$A$4:$AF$1010,$AM3309, 17)</f>
        <v>#N/A</v>
      </c>
      <c r="AI3309" s="8"/>
      <c r="AJ3309" s="57"/>
      <c r="AK3309" s="105"/>
      <c r="AM3309" s="6" t="e">
        <f>MATCH(D3309,'D5 - Gatekeeper - Projects'!$C$4:$C$1010,0)</f>
        <v>#N/A</v>
      </c>
      <c r="AN3309" s="6" t="b">
        <f t="shared" si="339"/>
        <v>1</v>
      </c>
      <c r="AO3309" s="6" t="str">
        <f t="shared" si="340"/>
        <v>OK</v>
      </c>
      <c r="AQ3309" s="6" t="e">
        <f>MATCH($D3309,'D4 - Provider Council Unsched'!$C$11:$C$234,0)</f>
        <v>#N/A</v>
      </c>
      <c r="AR3309" s="6" t="b">
        <f t="shared" si="341"/>
        <v>1</v>
      </c>
      <c r="AS3309" s="6" t="str">
        <f t="shared" si="342"/>
        <v>OK</v>
      </c>
      <c r="AU3309" s="202">
        <v>40914</v>
      </c>
      <c r="AV3309" s="216" t="s">
        <v>1081</v>
      </c>
      <c r="AW3309" s="274"/>
    </row>
    <row r="3310" spans="1:49" s="13" customFormat="1" ht="112.5" x14ac:dyDescent="0.2">
      <c r="A3310" s="14">
        <v>3283</v>
      </c>
      <c r="B3310" s="8">
        <v>400041737</v>
      </c>
      <c r="C3310" s="8" t="s">
        <v>7289</v>
      </c>
      <c r="D3310" s="4" t="str">
        <f t="shared" si="343"/>
        <v>400041737D</v>
      </c>
      <c r="E3310" s="309" t="str">
        <f>VLOOKUP($B3310,'D7 - NDB Impacted SPRF''s'!$E$6:$O$9929,2,FALSE)</f>
        <v>ICD10- Field Expansion- UHC EI</v>
      </c>
      <c r="F3310" s="8"/>
      <c r="G3310" s="8" t="s">
        <v>4758</v>
      </c>
      <c r="H3310" s="8" t="s">
        <v>3104</v>
      </c>
      <c r="I3310" s="20">
        <v>1.04</v>
      </c>
      <c r="J3310" s="8" t="s">
        <v>4862</v>
      </c>
      <c r="K3310" s="182">
        <v>41041</v>
      </c>
      <c r="L3310" s="8" t="s">
        <v>4156</v>
      </c>
      <c r="M3310" s="8" t="s">
        <v>5626</v>
      </c>
      <c r="N3310" s="38" t="s">
        <v>264</v>
      </c>
      <c r="O3310" s="8"/>
      <c r="P3310" s="4" t="str">
        <f>VLOOKUP($B3310,'D7 - NDB Impacted SPRF''s'!$E$16:$O$9929,9,FALSE)</f>
        <v>Y</v>
      </c>
      <c r="Q3310" s="4" t="str">
        <f>VLOOKUP($B3310,'D7 - NDB Impacted SPRF''s'!$E$16:$O$9929,10,FALSE)</f>
        <v>N</v>
      </c>
      <c r="R3310" s="4" t="str">
        <f>VLOOKUP($B3310,'D7 - NDB Impacted SPRF''s'!$E$16:$O$9929,11,FALSE)</f>
        <v>Y</v>
      </c>
      <c r="S3310" s="8"/>
      <c r="T3310" s="310"/>
      <c r="U3310" s="310"/>
      <c r="V3310" s="4"/>
      <c r="W3310" s="4"/>
      <c r="X3310" s="4"/>
      <c r="Y3310" s="4"/>
      <c r="Z3310" s="4"/>
      <c r="AA3310" s="4"/>
      <c r="AB3310" s="380" t="str">
        <f>VLOOKUP($B3310,'D7 - NDB Impacted SPRF''s'!$E$6:$O$9929,4,FALSE)</f>
        <v>Scheduled</v>
      </c>
      <c r="AC3310" s="380" t="str">
        <f>VLOOKUP($B3310,'D7 - NDB Impacted SPRF''s'!$E$6:$O$9929,3,FALSE)</f>
        <v>UnitedHealthcare Employer &amp; Individual</v>
      </c>
      <c r="AD3310" s="380" t="str">
        <f>VLOOKUP($B3310,'D7 - NDB Impacted SPRF''s'!$E$6:$O$9929,5,FALSE)</f>
        <v>Regulatory / Other</v>
      </c>
      <c r="AE3310" s="380" t="str">
        <f>VLOOKUP($B3310,'D7 - NDB Impacted SPRF''s'!$E$6:$O$9929,7,FALSE)</f>
        <v>Tim Kaja</v>
      </c>
      <c r="AF3310" s="380" t="str">
        <f>VLOOKUP($B3310,'D7 - NDB Impacted SPRF''s'!$E$6:$O$9929,6,FALSE)</f>
        <v>Delvis Schilling</v>
      </c>
      <c r="AG3310" s="282"/>
      <c r="AH3310" s="311" t="e">
        <f>INDEX('D5 - Gatekeeper - Projects'!$A$4:$AF$1010,$AM3310, 17)</f>
        <v>#N/A</v>
      </c>
      <c r="AI3310" s="8"/>
      <c r="AJ3310" s="57"/>
      <c r="AK3310" s="105"/>
      <c r="AM3310" s="6" t="e">
        <f>MATCH(D3310,'D5 - Gatekeeper - Projects'!$C$4:$C$1010,0)</f>
        <v>#N/A</v>
      </c>
      <c r="AN3310" s="6" t="b">
        <f t="shared" si="339"/>
        <v>1</v>
      </c>
      <c r="AO3310" s="6" t="str">
        <f t="shared" si="340"/>
        <v>OK</v>
      </c>
      <c r="AQ3310" s="6" t="e">
        <f>MATCH($D3310,'D4 - Provider Council Unsched'!$C$11:$C$234,0)</f>
        <v>#N/A</v>
      </c>
      <c r="AR3310" s="6" t="b">
        <f t="shared" si="341"/>
        <v>1</v>
      </c>
      <c r="AS3310" s="6" t="str">
        <f t="shared" si="342"/>
        <v>OK</v>
      </c>
      <c r="AU3310" s="202">
        <v>40764</v>
      </c>
      <c r="AV3310" s="216" t="s">
        <v>2299</v>
      </c>
      <c r="AW3310" s="274">
        <v>46862</v>
      </c>
    </row>
    <row r="3311" spans="1:49" s="13" customFormat="1" ht="33.75" x14ac:dyDescent="0.2">
      <c r="A3311" s="14">
        <v>3284</v>
      </c>
      <c r="B3311" s="8">
        <v>400046277</v>
      </c>
      <c r="C3311" s="8" t="s">
        <v>1447</v>
      </c>
      <c r="D3311" s="4" t="str">
        <f t="shared" si="343"/>
        <v>400046277A</v>
      </c>
      <c r="E3311" s="309" t="str">
        <f>VLOOKUP($B3311,'D7 - NDB Impacted SPRF''s'!$E$6:$O$9929,2,FALSE)</f>
        <v>Medical Necessity - Core Med Prior Auth Phase 3</v>
      </c>
      <c r="F3311" s="8"/>
      <c r="G3311" s="8" t="s">
        <v>4758</v>
      </c>
      <c r="H3311" s="8" t="s">
        <v>3104</v>
      </c>
      <c r="I3311" s="20">
        <v>0.5</v>
      </c>
      <c r="J3311" s="8" t="s">
        <v>4862</v>
      </c>
      <c r="K3311" s="182">
        <v>41041</v>
      </c>
      <c r="L3311" s="8" t="s">
        <v>4156</v>
      </c>
      <c r="M3311" s="8" t="s">
        <v>5626</v>
      </c>
      <c r="N3311" s="38" t="s">
        <v>263</v>
      </c>
      <c r="O3311" s="8"/>
      <c r="P3311" s="4" t="str">
        <f>VLOOKUP($B3311,'D7 - NDB Impacted SPRF''s'!$E$16:$O$9929,9,FALSE)</f>
        <v>Y</v>
      </c>
      <c r="Q3311" s="4" t="str">
        <f>VLOOKUP($B3311,'D7 - NDB Impacted SPRF''s'!$E$16:$O$9929,10,FALSE)</f>
        <v>N</v>
      </c>
      <c r="R3311" s="4" t="str">
        <f>VLOOKUP($B3311,'D7 - NDB Impacted SPRF''s'!$E$16:$O$9929,11,FALSE)</f>
        <v>N</v>
      </c>
      <c r="S3311" s="8"/>
      <c r="T3311" s="310"/>
      <c r="U3311" s="310"/>
      <c r="V3311" s="4"/>
      <c r="W3311" s="4"/>
      <c r="X3311" s="4"/>
      <c r="Y3311" s="4"/>
      <c r="Z3311" s="4"/>
      <c r="AA3311" s="4"/>
      <c r="AB3311" s="380" t="str">
        <f>VLOOKUP($B3311,'D7 - NDB Impacted SPRF''s'!$E$6:$O$9929,4,FALSE)</f>
        <v>Completed</v>
      </c>
      <c r="AC3311" s="380" t="str">
        <f>VLOOKUP($B3311,'D7 - NDB Impacted SPRF''s'!$E$6:$O$9929,3,FALSE)</f>
        <v>UnitedHealthcare Employer &amp; Individual</v>
      </c>
      <c r="AD3311" s="380" t="str">
        <f>VLOOKUP($B3311,'D7 - NDB Impacted SPRF''s'!$E$6:$O$9929,5,FALSE)</f>
        <v>Medical Cost Savings Programs</v>
      </c>
      <c r="AE3311" s="380" t="str">
        <f>VLOOKUP($B3311,'D7 - NDB Impacted SPRF''s'!$E$6:$O$9929,7,FALSE)</f>
        <v>Dr. Sam Ho / Kevin Ruth</v>
      </c>
      <c r="AF3311" s="380" t="str">
        <f>VLOOKUP($B3311,'D7 - NDB Impacted SPRF''s'!$E$6:$O$9929,6,FALSE)</f>
        <v>CANDRA TAYLOR</v>
      </c>
      <c r="AG3311" s="282"/>
      <c r="AH3311" s="311" t="e">
        <f>INDEX('D5 - Gatekeeper - Projects'!$A$4:$AF$1010,$AM3311, 17)</f>
        <v>#N/A</v>
      </c>
      <c r="AI3311" s="8"/>
      <c r="AJ3311" s="57"/>
      <c r="AK3311" s="105"/>
      <c r="AM3311" s="6" t="e">
        <f>MATCH(D3311,'D5 - Gatekeeper - Projects'!$C$4:$C$1010,0)</f>
        <v>#N/A</v>
      </c>
      <c r="AN3311" s="6" t="b">
        <f t="shared" si="339"/>
        <v>1</v>
      </c>
      <c r="AO3311" s="6" t="str">
        <f t="shared" si="340"/>
        <v>OK</v>
      </c>
      <c r="AQ3311" s="6" t="e">
        <f>MATCH($D3311,'D4 - Provider Council Unsched'!$C$11:$C$234,0)</f>
        <v>#N/A</v>
      </c>
      <c r="AR3311" s="6" t="b">
        <f t="shared" si="341"/>
        <v>1</v>
      </c>
      <c r="AS3311" s="6" t="str">
        <f t="shared" si="342"/>
        <v>OK</v>
      </c>
      <c r="AU3311" s="202">
        <v>40963</v>
      </c>
      <c r="AV3311" s="262" t="s">
        <v>487</v>
      </c>
      <c r="AW3311" s="274">
        <v>47265</v>
      </c>
    </row>
    <row r="3312" spans="1:49" s="13" customFormat="1" ht="45" x14ac:dyDescent="0.2">
      <c r="A3312" s="14">
        <v>3285</v>
      </c>
      <c r="B3312" s="8">
        <v>400047370</v>
      </c>
      <c r="C3312" s="8" t="s">
        <v>1447</v>
      </c>
      <c r="D3312" s="4" t="str">
        <f t="shared" si="343"/>
        <v>400047370A</v>
      </c>
      <c r="E3312" s="309" t="str">
        <f>VLOOKUP($B3312,'D7 - NDB Impacted SPRF''s'!$E$6:$O$9929,2,FALSE)</f>
        <v>TX Req.Chg-Provider/Specialty Type 40/SC and SC/SC</v>
      </c>
      <c r="F3312" s="8"/>
      <c r="G3312" s="8" t="s">
        <v>4758</v>
      </c>
      <c r="H3312" s="8" t="s">
        <v>3104</v>
      </c>
      <c r="I3312" s="20">
        <v>0.01</v>
      </c>
      <c r="J3312" s="8" t="s">
        <v>4862</v>
      </c>
      <c r="K3312" s="182">
        <v>41041</v>
      </c>
      <c r="L3312" s="8" t="s">
        <v>4156</v>
      </c>
      <c r="M3312" s="8" t="s">
        <v>5626</v>
      </c>
      <c r="N3312" s="38" t="s">
        <v>430</v>
      </c>
      <c r="O3312" s="8"/>
      <c r="P3312" s="4" t="str">
        <f>VLOOKUP($B3312,'D7 - NDB Impacted SPRF''s'!$E$16:$O$9929,9,FALSE)</f>
        <v>N</v>
      </c>
      <c r="Q3312" s="4" t="str">
        <f>VLOOKUP($B3312,'D7 - NDB Impacted SPRF''s'!$E$16:$O$9929,10,FALSE)</f>
        <v>N</v>
      </c>
      <c r="R3312" s="4" t="str">
        <f>VLOOKUP($B3312,'D7 - NDB Impacted SPRF''s'!$E$16:$O$9929,11,FALSE)</f>
        <v>N</v>
      </c>
      <c r="S3312" s="8"/>
      <c r="T3312" s="310"/>
      <c r="U3312" s="310"/>
      <c r="V3312" s="4"/>
      <c r="W3312" s="4"/>
      <c r="X3312" s="4"/>
      <c r="Y3312" s="4"/>
      <c r="Z3312" s="4"/>
      <c r="AA3312" s="4"/>
      <c r="AB3312" s="380" t="str">
        <f>VLOOKUP($B3312,'D7 - NDB Impacted SPRF''s'!$E$6:$O$9929,4,FALSE)</f>
        <v>Completed</v>
      </c>
      <c r="AC3312" s="380" t="str">
        <f>VLOOKUP($B3312,'D7 - NDB Impacted SPRF''s'!$E$6:$O$9929,3,FALSE)</f>
        <v>UnitedHealthcare Community &amp; State</v>
      </c>
      <c r="AD3312" s="380" t="str">
        <f>VLOOKUP($B3312,'D7 - NDB Impacted SPRF''s'!$E$6:$O$9929,5,FALSE)</f>
        <v>Regulatory / Other</v>
      </c>
      <c r="AE3312" s="380" t="str">
        <f>VLOOKUP($B3312,'D7 - NDB Impacted SPRF''s'!$E$6:$O$9929,7,FALSE)</f>
        <v>Gina Hightower</v>
      </c>
      <c r="AF3312" s="380" t="str">
        <f>VLOOKUP($B3312,'D7 - NDB Impacted SPRF''s'!$E$6:$O$9929,6,FALSE)</f>
        <v>Connie Claros</v>
      </c>
      <c r="AG3312" s="282"/>
      <c r="AH3312" s="311" t="e">
        <f>INDEX('D5 - Gatekeeper - Projects'!$A$4:$AF$1010,$AM3312, 17)</f>
        <v>#N/A</v>
      </c>
      <c r="AI3312" s="8"/>
      <c r="AJ3312" s="57"/>
      <c r="AK3312" s="105"/>
      <c r="AM3312" s="6" t="e">
        <f>MATCH(D3312,'D5 - Gatekeeper - Projects'!$C$4:$C$1010,0)</f>
        <v>#N/A</v>
      </c>
      <c r="AN3312" s="6" t="b">
        <f t="shared" si="339"/>
        <v>1</v>
      </c>
      <c r="AO3312" s="6" t="str">
        <f t="shared" si="340"/>
        <v>OK</v>
      </c>
      <c r="AQ3312" s="6" t="e">
        <f>MATCH($D3312,'D4 - Provider Council Unsched'!$C$11:$C$234,0)</f>
        <v>#N/A</v>
      </c>
      <c r="AR3312" s="6" t="b">
        <f t="shared" si="341"/>
        <v>1</v>
      </c>
      <c r="AS3312" s="6" t="str">
        <f t="shared" ref="AS3312:AS3343" si="344">IF(AND(H3312="2 - Not Scheduled",AR3312=TRUE,C3312="R1"),"Add","OK")</f>
        <v>OK</v>
      </c>
      <c r="AU3312" s="202">
        <v>41029</v>
      </c>
      <c r="AV3312" s="216" t="s">
        <v>491</v>
      </c>
      <c r="AW3312" s="274"/>
    </row>
    <row r="3313" spans="1:49" s="13" customFormat="1" ht="45" x14ac:dyDescent="0.2">
      <c r="A3313" s="14">
        <v>3286</v>
      </c>
      <c r="B3313" s="8">
        <v>400052237</v>
      </c>
      <c r="C3313" s="8" t="s">
        <v>1447</v>
      </c>
      <c r="D3313" s="4" t="str">
        <f t="shared" ref="D3313:D3344" si="345">CONCATENATE(B3313,C3313)</f>
        <v>400052237A</v>
      </c>
      <c r="E3313" s="309" t="str">
        <f>VLOOKUP($B3313,'D7 - NDB Impacted SPRF''s'!$E$6:$O$9929,2,FALSE)</f>
        <v xml:space="preserve">TPT Defect 15326 278R COSMOS Error Codes </v>
      </c>
      <c r="F3313" s="8"/>
      <c r="G3313" s="8" t="s">
        <v>4758</v>
      </c>
      <c r="H3313" s="8" t="s">
        <v>3104</v>
      </c>
      <c r="I3313" s="20">
        <v>0.17</v>
      </c>
      <c r="J3313" s="8" t="s">
        <v>4862</v>
      </c>
      <c r="K3313" s="182">
        <v>41083</v>
      </c>
      <c r="L3313" s="8" t="s">
        <v>4156</v>
      </c>
      <c r="M3313" s="8" t="s">
        <v>5626</v>
      </c>
      <c r="N3313" s="38" t="s">
        <v>266</v>
      </c>
      <c r="O3313" s="8"/>
      <c r="P3313" s="4" t="str">
        <f>VLOOKUP($B3313,'D7 - NDB Impacted SPRF''s'!$E$16:$O$9929,9,FALSE)</f>
        <v>N</v>
      </c>
      <c r="Q3313" s="4" t="str">
        <f>VLOOKUP($B3313,'D7 - NDB Impacted SPRF''s'!$E$16:$O$9929,10,FALSE)</f>
        <v>N</v>
      </c>
      <c r="R3313" s="4" t="str">
        <f>VLOOKUP($B3313,'D7 - NDB Impacted SPRF''s'!$E$16:$O$9929,11,FALSE)</f>
        <v>N</v>
      </c>
      <c r="S3313" s="8"/>
      <c r="T3313" s="310"/>
      <c r="U3313" s="310"/>
      <c r="V3313" s="4"/>
      <c r="W3313" s="4"/>
      <c r="X3313" s="4"/>
      <c r="Y3313" s="4"/>
      <c r="Z3313" s="4"/>
      <c r="AA3313" s="4"/>
      <c r="AB3313" s="380" t="str">
        <f>VLOOKUP($B3313,'D7 - NDB Impacted SPRF''s'!$E$6:$O$9929,4,FALSE)</f>
        <v>Completed</v>
      </c>
      <c r="AC3313" s="380" t="str">
        <f>VLOOKUP($B3313,'D7 - NDB Impacted SPRF''s'!$E$6:$O$9929,3,FALSE)</f>
        <v>UnitedHealthcare Employer &amp; Individual</v>
      </c>
      <c r="AD3313" s="380" t="str">
        <f>VLOOKUP($B3313,'D7 - NDB Impacted SPRF''s'!$E$6:$O$9929,5,FALSE)</f>
        <v>Regulatory / Other</v>
      </c>
      <c r="AE3313" s="380" t="str">
        <f>VLOOKUP($B3313,'D7 - NDB Impacted SPRF''s'!$E$6:$O$9929,7,FALSE)</f>
        <v>Ross Lippincott</v>
      </c>
      <c r="AF3313" s="380" t="str">
        <f>VLOOKUP($B3313,'D7 - NDB Impacted SPRF''s'!$E$6:$O$9929,6,FALSE)</f>
        <v>Alexandria Nordstrom</v>
      </c>
      <c r="AG3313" s="282"/>
      <c r="AH3313" s="311" t="e">
        <f>INDEX('D5 - Gatekeeper - Projects'!$A$4:$AF$1010,$AM3313, 17)</f>
        <v>#N/A</v>
      </c>
      <c r="AI3313" s="8"/>
      <c r="AJ3313" s="57"/>
      <c r="AK3313" s="105"/>
      <c r="AM3313" s="6" t="e">
        <f>MATCH(D3313,'D5 - Gatekeeper - Projects'!$C$4:$C$1010,0)</f>
        <v>#N/A</v>
      </c>
      <c r="AN3313" s="6" t="b">
        <f t="shared" si="339"/>
        <v>1</v>
      </c>
      <c r="AO3313" s="6" t="str">
        <f t="shared" si="340"/>
        <v>OK</v>
      </c>
      <c r="AQ3313" s="6" t="e">
        <f>MATCH($D3313,'D4 - Provider Council Unsched'!$C$11:$C$234,0)</f>
        <v>#N/A</v>
      </c>
      <c r="AR3313" s="6" t="b">
        <f t="shared" si="341"/>
        <v>1</v>
      </c>
      <c r="AS3313" s="6" t="str">
        <f t="shared" si="344"/>
        <v>OK</v>
      </c>
      <c r="AU3313" s="202">
        <v>41054</v>
      </c>
      <c r="AV3313" s="216" t="s">
        <v>610</v>
      </c>
      <c r="AW3313" s="274">
        <v>62445</v>
      </c>
    </row>
    <row r="3314" spans="1:49" s="13" customFormat="1" ht="33.75" x14ac:dyDescent="0.2">
      <c r="A3314" s="14">
        <v>3287</v>
      </c>
      <c r="B3314" s="8">
        <v>400047345</v>
      </c>
      <c r="C3314" s="8" t="s">
        <v>7290</v>
      </c>
      <c r="D3314" s="4" t="str">
        <f t="shared" si="345"/>
        <v>400047345B</v>
      </c>
      <c r="E3314" s="309" t="str">
        <f>VLOOKUP($B3314,'D7 - NDB Impacted SPRF''s'!$E$6:$O$9929,2,FALSE)</f>
        <v>2012 PRIME Product Rate Releases</v>
      </c>
      <c r="F3314" s="8"/>
      <c r="G3314" s="8" t="s">
        <v>4758</v>
      </c>
      <c r="H3314" s="8" t="s">
        <v>3104</v>
      </c>
      <c r="I3314" s="20">
        <v>0.33</v>
      </c>
      <c r="J3314" s="8" t="s">
        <v>4862</v>
      </c>
      <c r="K3314" s="182">
        <v>41132</v>
      </c>
      <c r="L3314" s="8" t="s">
        <v>4156</v>
      </c>
      <c r="M3314" s="8" t="s">
        <v>5626</v>
      </c>
      <c r="N3314" s="38" t="s">
        <v>1846</v>
      </c>
      <c r="O3314" s="8"/>
      <c r="P3314" s="4" t="str">
        <f>VLOOKUP($B3314,'D7 - NDB Impacted SPRF''s'!$E$16:$O$9929,9,FALSE)</f>
        <v>N</v>
      </c>
      <c r="Q3314" s="4" t="str">
        <f>VLOOKUP($B3314,'D7 - NDB Impacted SPRF''s'!$E$16:$O$9929,10,FALSE)</f>
        <v>N</v>
      </c>
      <c r="R3314" s="4" t="str">
        <f>VLOOKUP($B3314,'D7 - NDB Impacted SPRF''s'!$E$16:$O$9929,11,FALSE)</f>
        <v>N</v>
      </c>
      <c r="S3314" s="8"/>
      <c r="T3314" s="310"/>
      <c r="U3314" s="310"/>
      <c r="V3314" s="4"/>
      <c r="W3314" s="4"/>
      <c r="X3314" s="4"/>
      <c r="Y3314" s="4"/>
      <c r="Z3314" s="4"/>
      <c r="AA3314" s="4"/>
      <c r="AB3314" s="380" t="str">
        <f>VLOOKUP($B3314,'D7 - NDB Impacted SPRF''s'!$E$6:$O$9929,4,FALSE)</f>
        <v>Scheduled</v>
      </c>
      <c r="AC3314" s="380" t="str">
        <f>VLOOKUP($B3314,'D7 - NDB Impacted SPRF''s'!$E$6:$O$9929,3,FALSE)</f>
        <v>UnitedHealthcare Employer &amp; Individual</v>
      </c>
      <c r="AD3314" s="380" t="str">
        <f>VLOOKUP($B3314,'D7 - NDB Impacted SPRF''s'!$E$6:$O$9929,5,FALSE)</f>
        <v>Operational Requirements</v>
      </c>
      <c r="AE3314" s="380" t="str">
        <f>VLOOKUP($B3314,'D7 - NDB Impacted SPRF''s'!$E$6:$O$9929,7,FALSE)</f>
        <v>Joe Chalastra</v>
      </c>
      <c r="AF3314" s="380" t="str">
        <f>VLOOKUP($B3314,'D7 - NDB Impacted SPRF''s'!$E$6:$O$9929,6,FALSE)</f>
        <v>JEAN CLARK</v>
      </c>
      <c r="AG3314" s="282"/>
      <c r="AH3314" s="311" t="e">
        <f>INDEX('D5 - Gatekeeper - Projects'!$A$4:$AF$1010,$AM3314, 17)</f>
        <v>#N/A</v>
      </c>
      <c r="AI3314" s="8"/>
      <c r="AJ3314" s="57"/>
      <c r="AK3314" s="105"/>
      <c r="AM3314" s="6" t="e">
        <f>MATCH(D3314,'D5 - Gatekeeper - Projects'!$C$4:$C$1010,0)</f>
        <v>#N/A</v>
      </c>
      <c r="AN3314" s="6" t="b">
        <f t="shared" si="339"/>
        <v>1</v>
      </c>
      <c r="AO3314" s="6" t="str">
        <f t="shared" si="340"/>
        <v>OK</v>
      </c>
      <c r="AQ3314" s="6" t="e">
        <f>MATCH($D3314,'D4 - Provider Council Unsched'!$C$11:$C$234,0)</f>
        <v>#N/A</v>
      </c>
      <c r="AR3314" s="6" t="b">
        <f t="shared" si="341"/>
        <v>1</v>
      </c>
      <c r="AS3314" s="6" t="str">
        <f t="shared" si="344"/>
        <v>OK</v>
      </c>
      <c r="AU3314" s="202">
        <v>40931</v>
      </c>
      <c r="AV3314" s="216" t="s">
        <v>1092</v>
      </c>
      <c r="AW3314" s="274">
        <v>51652</v>
      </c>
    </row>
    <row r="3315" spans="1:49" s="13" customFormat="1" ht="33.75" x14ac:dyDescent="0.2">
      <c r="A3315" s="14">
        <v>3288</v>
      </c>
      <c r="B3315" s="8">
        <v>400047982</v>
      </c>
      <c r="C3315" s="8" t="s">
        <v>1447</v>
      </c>
      <c r="D3315" s="4" t="str">
        <f t="shared" si="345"/>
        <v>400047982A</v>
      </c>
      <c r="E3315" s="309" t="str">
        <f>VLOOKUP($B3315,'D7 - NDB Impacted SPRF''s'!$E$6:$O$9929,2,FALSE)</f>
        <v>ICUE Q3 2012</v>
      </c>
      <c r="F3315" s="8"/>
      <c r="G3315" s="8" t="s">
        <v>4758</v>
      </c>
      <c r="H3315" s="8" t="s">
        <v>3104</v>
      </c>
      <c r="I3315" s="20">
        <v>0.08</v>
      </c>
      <c r="J3315" s="8" t="s">
        <v>4862</v>
      </c>
      <c r="K3315" s="182">
        <v>41132</v>
      </c>
      <c r="L3315" s="8" t="s">
        <v>4156</v>
      </c>
      <c r="M3315" s="8" t="s">
        <v>5626</v>
      </c>
      <c r="N3315" s="38" t="s">
        <v>902</v>
      </c>
      <c r="O3315" s="8"/>
      <c r="P3315" s="4" t="str">
        <f>VLOOKUP($B3315,'D7 - NDB Impacted SPRF''s'!$E$16:$O$9929,9,FALSE)</f>
        <v>Y</v>
      </c>
      <c r="Q3315" s="4" t="str">
        <f>VLOOKUP($B3315,'D7 - NDB Impacted SPRF''s'!$E$16:$O$9929,10,FALSE)</f>
        <v>N</v>
      </c>
      <c r="R3315" s="4" t="str">
        <f>VLOOKUP($B3315,'D7 - NDB Impacted SPRF''s'!$E$16:$O$9929,11,FALSE)</f>
        <v>N</v>
      </c>
      <c r="S3315" s="8"/>
      <c r="T3315" s="310"/>
      <c r="U3315" s="310"/>
      <c r="V3315" s="4"/>
      <c r="W3315" s="4"/>
      <c r="X3315" s="4"/>
      <c r="Y3315" s="4"/>
      <c r="Z3315" s="4"/>
      <c r="AA3315" s="4"/>
      <c r="AB3315" s="380" t="str">
        <f>VLOOKUP($B3315,'D7 - NDB Impacted SPRF''s'!$E$6:$O$9929,4,FALSE)</f>
        <v>Completed</v>
      </c>
      <c r="AC3315" s="380" t="str">
        <f>VLOOKUP($B3315,'D7 - NDB Impacted SPRF''s'!$E$6:$O$9929,3,FALSE)</f>
        <v>OptumHealth</v>
      </c>
      <c r="AD3315" s="380" t="str">
        <f>VLOOKUP($B3315,'D7 - NDB Impacted SPRF''s'!$E$6:$O$9929,5,FALSE)</f>
        <v>OptumHealth Care Solutions</v>
      </c>
      <c r="AE3315" s="380" t="str">
        <f>VLOOKUP($B3315,'D7 - NDB Impacted SPRF''s'!$E$6:$O$9929,7,FALSE)</f>
        <v>Ben Line</v>
      </c>
      <c r="AF3315" s="380" t="str">
        <f>VLOOKUP($B3315,'D7 - NDB Impacted SPRF''s'!$E$6:$O$9929,6,FALSE)</f>
        <v>Michael Reed</v>
      </c>
      <c r="AG3315" s="282"/>
      <c r="AH3315" s="311" t="e">
        <f>INDEX('D5 - Gatekeeper - Projects'!$A$4:$AF$1010,$AM3315, 17)</f>
        <v>#N/A</v>
      </c>
      <c r="AI3315" s="8"/>
      <c r="AJ3315" s="57"/>
      <c r="AK3315" s="105"/>
      <c r="AM3315" s="6" t="e">
        <f>MATCH(D3315,'D5 - Gatekeeper - Projects'!$C$4:$C$1010,0)</f>
        <v>#N/A</v>
      </c>
      <c r="AN3315" s="6" t="b">
        <f t="shared" si="339"/>
        <v>1</v>
      </c>
      <c r="AO3315" s="6" t="str">
        <f t="shared" si="340"/>
        <v>OK</v>
      </c>
      <c r="AQ3315" s="6" t="e">
        <f>MATCH($D3315,'D4 - Provider Council Unsched'!$C$11:$C$234,0)</f>
        <v>#N/A</v>
      </c>
      <c r="AR3315" s="6" t="b">
        <f t="shared" si="341"/>
        <v>1</v>
      </c>
      <c r="AS3315" s="6" t="str">
        <f t="shared" si="344"/>
        <v>OK</v>
      </c>
      <c r="AU3315" s="202">
        <v>40945</v>
      </c>
      <c r="AV3315" s="216" t="s">
        <v>1044</v>
      </c>
      <c r="AW3315" s="274">
        <v>52029</v>
      </c>
    </row>
    <row r="3316" spans="1:49" s="13" customFormat="1" ht="45" x14ac:dyDescent="0.2">
      <c r="A3316" s="14">
        <v>3289</v>
      </c>
      <c r="B3316" s="8">
        <v>400049534</v>
      </c>
      <c r="C3316" s="8" t="s">
        <v>1447</v>
      </c>
      <c r="D3316" s="4" t="str">
        <f t="shared" si="345"/>
        <v>400049534A</v>
      </c>
      <c r="E3316" s="309" t="str">
        <f>VLOOKUP($B3316,'D7 - NDB Impacted SPRF''s'!$E$6:$O$9929,2,FALSE)</f>
        <v>Connect EAS with TOPS</v>
      </c>
      <c r="F3316" s="8"/>
      <c r="G3316" s="8" t="s">
        <v>4758</v>
      </c>
      <c r="H3316" s="8" t="s">
        <v>3104</v>
      </c>
      <c r="I3316" s="20">
        <v>0.61</v>
      </c>
      <c r="J3316" s="8" t="s">
        <v>4862</v>
      </c>
      <c r="K3316" s="182">
        <v>41132</v>
      </c>
      <c r="L3316" s="8" t="s">
        <v>4156</v>
      </c>
      <c r="M3316" s="8" t="s">
        <v>6688</v>
      </c>
      <c r="N3316" s="38" t="s">
        <v>1865</v>
      </c>
      <c r="O3316" s="8"/>
      <c r="P3316" s="4" t="str">
        <f>VLOOKUP($B3316,'D7 - NDB Impacted SPRF''s'!$E$16:$O$9929,9,FALSE)</f>
        <v>Y</v>
      </c>
      <c r="Q3316" s="4" t="str">
        <f>VLOOKUP($B3316,'D7 - NDB Impacted SPRF''s'!$E$16:$O$9929,10,FALSE)</f>
        <v>N</v>
      </c>
      <c r="R3316" s="4" t="str">
        <f>VLOOKUP($B3316,'D7 - NDB Impacted SPRF''s'!$E$16:$O$9929,11,FALSE)</f>
        <v>N</v>
      </c>
      <c r="S3316" s="8"/>
      <c r="T3316" s="310"/>
      <c r="U3316" s="310"/>
      <c r="V3316" s="4"/>
      <c r="W3316" s="4"/>
      <c r="X3316" s="4"/>
      <c r="Y3316" s="4"/>
      <c r="Z3316" s="4"/>
      <c r="AA3316" s="4"/>
      <c r="AB3316" s="380" t="str">
        <f>VLOOKUP($B3316,'D7 - NDB Impacted SPRF''s'!$E$6:$O$9929,4,FALSE)</f>
        <v>Completed</v>
      </c>
      <c r="AC3316" s="380" t="str">
        <f>VLOOKUP($B3316,'D7 - NDB Impacted SPRF''s'!$E$6:$O$9929,3,FALSE)</f>
        <v>UHG IT - Enterprise Technology Services</v>
      </c>
      <c r="AD3316" s="380" t="str">
        <f>VLOOKUP($B3316,'D7 - NDB Impacted SPRF''s'!$E$6:$O$9929,5,FALSE)</f>
        <v>Strategic Initiatives</v>
      </c>
      <c r="AE3316" s="380" t="str">
        <f>VLOOKUP($B3316,'D7 - NDB Impacted SPRF''s'!$E$6:$O$9929,7,FALSE)</f>
        <v>John Doddy</v>
      </c>
      <c r="AF3316" s="380" t="str">
        <f>VLOOKUP($B3316,'D7 - NDB Impacted SPRF''s'!$E$6:$O$9929,6,FALSE)</f>
        <v>CAROL BERCAW</v>
      </c>
      <c r="AG3316" s="282"/>
      <c r="AH3316" s="311" t="e">
        <f>INDEX('D5 - Gatekeeper - Projects'!$A$4:$AF$1010,$AM3316, 17)</f>
        <v>#N/A</v>
      </c>
      <c r="AI3316" s="8"/>
      <c r="AJ3316" s="57"/>
      <c r="AK3316" s="105"/>
      <c r="AM3316" s="6" t="e">
        <f>MATCH(D3316,'D5 - Gatekeeper - Projects'!$C$4:$C$1010,0)</f>
        <v>#N/A</v>
      </c>
      <c r="AN3316" s="6" t="b">
        <f t="shared" si="339"/>
        <v>1</v>
      </c>
      <c r="AO3316" s="6" t="str">
        <f t="shared" si="340"/>
        <v>OK</v>
      </c>
      <c r="AQ3316" s="6" t="e">
        <f>MATCH($D3316,'D4 - Provider Council Unsched'!$C$11:$C$234,0)</f>
        <v>#N/A</v>
      </c>
      <c r="AR3316" s="6" t="b">
        <f t="shared" si="341"/>
        <v>1</v>
      </c>
      <c r="AS3316" s="6" t="str">
        <f t="shared" si="344"/>
        <v>OK</v>
      </c>
      <c r="AU3316" s="202">
        <v>41005</v>
      </c>
      <c r="AV3316" s="216" t="s">
        <v>1134</v>
      </c>
      <c r="AW3316" s="274">
        <v>54891</v>
      </c>
    </row>
    <row r="3317" spans="1:49" s="13" customFormat="1" ht="33.75" x14ac:dyDescent="0.2">
      <c r="A3317" s="14">
        <v>3290</v>
      </c>
      <c r="B3317" s="8">
        <v>400050092</v>
      </c>
      <c r="C3317" s="8" t="s">
        <v>1447</v>
      </c>
      <c r="D3317" s="4" t="str">
        <f t="shared" si="345"/>
        <v>400050092A</v>
      </c>
      <c r="E3317" s="309" t="str">
        <f>VLOOKUP($B3317,'D7 - NDB Impacted SPRF''s'!$E$6:$O$9929,2,FALSE)</f>
        <v>Clinical Adoption - Alliances to ICUE AO</v>
      </c>
      <c r="F3317" s="8"/>
      <c r="G3317" s="8" t="s">
        <v>4758</v>
      </c>
      <c r="H3317" s="8" t="s">
        <v>3104</v>
      </c>
      <c r="I3317" s="20">
        <v>0.84</v>
      </c>
      <c r="J3317" s="8" t="s">
        <v>4862</v>
      </c>
      <c r="K3317" s="182">
        <v>41174</v>
      </c>
      <c r="L3317" s="8" t="s">
        <v>4156</v>
      </c>
      <c r="M3317" s="8" t="s">
        <v>6688</v>
      </c>
      <c r="N3317" s="38" t="s">
        <v>1865</v>
      </c>
      <c r="O3317" s="8"/>
      <c r="P3317" s="4" t="str">
        <f>VLOOKUP($B3317,'D7 - NDB Impacted SPRF''s'!$E$16:$O$9929,9,FALSE)</f>
        <v>Y</v>
      </c>
      <c r="Q3317" s="4" t="str">
        <f>VLOOKUP($B3317,'D7 - NDB Impacted SPRF''s'!$E$16:$O$9929,10,FALSE)</f>
        <v>N</v>
      </c>
      <c r="R3317" s="4" t="str">
        <f>VLOOKUP($B3317,'D7 - NDB Impacted SPRF''s'!$E$16:$O$9929,11,FALSE)</f>
        <v>N</v>
      </c>
      <c r="S3317" s="8"/>
      <c r="T3317" s="310"/>
      <c r="U3317" s="310"/>
      <c r="V3317" s="4"/>
      <c r="W3317" s="4"/>
      <c r="X3317" s="4"/>
      <c r="Y3317" s="4"/>
      <c r="Z3317" s="4"/>
      <c r="AA3317" s="4"/>
      <c r="AB3317" s="380" t="str">
        <f>VLOOKUP($B3317,'D7 - NDB Impacted SPRF''s'!$E$6:$O$9929,4,FALSE)</f>
        <v>Completed</v>
      </c>
      <c r="AC3317" s="380" t="str">
        <f>VLOOKUP($B3317,'D7 - NDB Impacted SPRF''s'!$E$6:$O$9929,3,FALSE)</f>
        <v>UnitedHealthcare Employer &amp; Individual</v>
      </c>
      <c r="AD3317" s="380" t="str">
        <f>VLOOKUP($B3317,'D7 - NDB Impacted SPRF''s'!$E$6:$O$9929,5,FALSE)</f>
        <v>Regulatory / Other</v>
      </c>
      <c r="AE3317" s="380" t="str">
        <f>VLOOKUP($B3317,'D7 - NDB Impacted SPRF''s'!$E$6:$O$9929,7,FALSE)</f>
        <v>Sheila Nelson</v>
      </c>
      <c r="AF3317" s="380" t="str">
        <f>VLOOKUP($B3317,'D7 - NDB Impacted SPRF''s'!$E$6:$O$9929,6,FALSE)</f>
        <v>Tonya Maurer</v>
      </c>
      <c r="AG3317" s="282"/>
      <c r="AH3317" s="311" t="e">
        <f>INDEX('D5 - Gatekeeper - Projects'!$A$4:$AF$1010,$AM3317, 17)</f>
        <v>#N/A</v>
      </c>
      <c r="AI3317" s="8"/>
      <c r="AJ3317" s="57"/>
      <c r="AK3317" s="105"/>
      <c r="AM3317" s="6" t="e">
        <f>MATCH(D3317,'D5 - Gatekeeper - Projects'!$C$4:$C$1010,0)</f>
        <v>#N/A</v>
      </c>
      <c r="AN3317" s="6" t="b">
        <f t="shared" si="339"/>
        <v>1</v>
      </c>
      <c r="AO3317" s="6" t="str">
        <f t="shared" si="340"/>
        <v>OK</v>
      </c>
      <c r="AQ3317" s="6" t="e">
        <f>MATCH($D3317,'D4 - Provider Council Unsched'!$C$11:$C$234,0)</f>
        <v>#N/A</v>
      </c>
      <c r="AR3317" s="6" t="b">
        <f t="shared" si="341"/>
        <v>1</v>
      </c>
      <c r="AS3317" s="6" t="str">
        <f t="shared" si="344"/>
        <v>OK</v>
      </c>
      <c r="AU3317" s="202">
        <v>41005</v>
      </c>
      <c r="AV3317" s="216" t="s">
        <v>2299</v>
      </c>
      <c r="AW3317" s="274">
        <v>57344</v>
      </c>
    </row>
    <row r="3318" spans="1:49" s="13" customFormat="1" ht="67.5" x14ac:dyDescent="0.2">
      <c r="A3318" s="14">
        <v>3291</v>
      </c>
      <c r="B3318" s="8">
        <v>400053873</v>
      </c>
      <c r="C3318" s="8" t="s">
        <v>7290</v>
      </c>
      <c r="D3318" s="4" t="str">
        <f t="shared" si="345"/>
        <v>400053873B</v>
      </c>
      <c r="E3318" s="309" t="str">
        <f>VLOOKUP($B3318,'D7 - NDB Impacted SPRF''s'!$E$6:$O$9929,2,FALSE)</f>
        <v>Enhanced myuhc Claim Display &amp; Payment Capability</v>
      </c>
      <c r="F3318" s="8"/>
      <c r="G3318" s="8" t="s">
        <v>4758</v>
      </c>
      <c r="H3318" s="8" t="s">
        <v>3104</v>
      </c>
      <c r="I3318" s="20">
        <v>0.21</v>
      </c>
      <c r="J3318" s="8" t="s">
        <v>4862</v>
      </c>
      <c r="K3318" s="182">
        <v>41321</v>
      </c>
      <c r="L3318" s="8" t="s">
        <v>4156</v>
      </c>
      <c r="M3318" s="8" t="s">
        <v>5626</v>
      </c>
      <c r="N3318" s="38" t="s">
        <v>8228</v>
      </c>
      <c r="O3318" s="8"/>
      <c r="P3318" s="4" t="str">
        <f>VLOOKUP($B3318,'D7 - NDB Impacted SPRF''s'!$E$16:$O$9929,9,FALSE)</f>
        <v>Y</v>
      </c>
      <c r="Q3318" s="4" t="str">
        <f>VLOOKUP($B3318,'D7 - NDB Impacted SPRF''s'!$E$16:$O$9929,10,FALSE)</f>
        <v>N</v>
      </c>
      <c r="R3318" s="4" t="str">
        <f>VLOOKUP($B3318,'D7 - NDB Impacted SPRF''s'!$E$16:$O$9929,11,FALSE)</f>
        <v>N</v>
      </c>
      <c r="S3318" s="8"/>
      <c r="T3318" s="310"/>
      <c r="U3318" s="310"/>
      <c r="V3318" s="4"/>
      <c r="W3318" s="4"/>
      <c r="X3318" s="4"/>
      <c r="Y3318" s="4"/>
      <c r="Z3318" s="4"/>
      <c r="AA3318" s="4"/>
      <c r="AB3318" s="380" t="str">
        <f>VLOOKUP($B3318,'D7 - NDB Impacted SPRF''s'!$E$6:$O$9929,4,FALSE)</f>
        <v>Completed</v>
      </c>
      <c r="AC3318" s="380" t="str">
        <f>VLOOKUP($B3318,'D7 - NDB Impacted SPRF''s'!$E$6:$O$9929,3,FALSE)</f>
        <v>UnitedHealthcare Employer &amp; Individual</v>
      </c>
      <c r="AD3318" s="380" t="str">
        <f>VLOOKUP($B3318,'D7 - NDB Impacted SPRF''s'!$E$6:$O$9929,5,FALSE)</f>
        <v>Membership Growth / Revenue Programs</v>
      </c>
      <c r="AE3318" s="380" t="str">
        <f>VLOOKUP($B3318,'D7 - NDB Impacted SPRF''s'!$E$6:$O$9929,7,FALSE)</f>
        <v>Yasmine Winkler</v>
      </c>
      <c r="AF3318" s="380" t="str">
        <f>VLOOKUP($B3318,'D7 - NDB Impacted SPRF''s'!$E$6:$O$9929,6,FALSE)</f>
        <v>Barbara Tooley</v>
      </c>
      <c r="AG3318" s="282"/>
      <c r="AH3318" s="311" t="e">
        <f>INDEX('D5 - Gatekeeper - Projects'!$A$4:$AF$1010,$AM3318, 17)</f>
        <v>#N/A</v>
      </c>
      <c r="AI3318" s="8"/>
      <c r="AJ3318" s="57"/>
      <c r="AK3318" s="105"/>
      <c r="AM3318" s="6" t="e">
        <f>MATCH(D3318,'D5 - Gatekeeper - Projects'!$C$4:$C$1010,0)</f>
        <v>#N/A</v>
      </c>
      <c r="AN3318" s="6" t="b">
        <f t="shared" si="339"/>
        <v>1</v>
      </c>
      <c r="AO3318" s="6" t="str">
        <f t="shared" si="340"/>
        <v>OK</v>
      </c>
      <c r="AQ3318" s="6" t="e">
        <f>MATCH($D3318,'D4 - Provider Council Unsched'!$C$11:$C$234,0)</f>
        <v>#N/A</v>
      </c>
      <c r="AR3318" s="6" t="b">
        <f t="shared" si="341"/>
        <v>1</v>
      </c>
      <c r="AS3318" s="6" t="str">
        <f t="shared" si="344"/>
        <v>OK</v>
      </c>
      <c r="AU3318" s="202">
        <v>41162</v>
      </c>
      <c r="AV3318" s="216" t="s">
        <v>3512</v>
      </c>
      <c r="AW3318" s="274">
        <v>66494</v>
      </c>
    </row>
    <row r="3319" spans="1:49" s="13" customFormat="1" ht="33" customHeight="1" x14ac:dyDescent="0.2">
      <c r="A3319" s="14">
        <v>3292</v>
      </c>
      <c r="B3319" s="8">
        <v>400041331</v>
      </c>
      <c r="C3319" s="8" t="s">
        <v>1447</v>
      </c>
      <c r="D3319" s="4" t="str">
        <f t="shared" si="345"/>
        <v>400041331A</v>
      </c>
      <c r="E3319" s="309" t="str">
        <f>VLOOKUP($B3319,'D7 - NDB Impacted SPRF''s'!$E$6:$O$9929,2,FALSE)</f>
        <v>Migrate Medica Medicare Business to GPS</v>
      </c>
      <c r="F3319" s="8"/>
      <c r="G3319" s="8" t="s">
        <v>4758</v>
      </c>
      <c r="H3319" s="8" t="s">
        <v>3104</v>
      </c>
      <c r="I3319" s="20"/>
      <c r="J3319" s="8"/>
      <c r="K3319" s="182"/>
      <c r="L3319" s="8" t="s">
        <v>4156</v>
      </c>
      <c r="M3319" s="8" t="s">
        <v>2814</v>
      </c>
      <c r="N3319" s="38"/>
      <c r="O3319" s="8"/>
      <c r="P3319" s="4" t="str">
        <f>VLOOKUP($B3319,'D7 - NDB Impacted SPRF''s'!$E$16:$O$9929,9,FALSE)</f>
        <v>N</v>
      </c>
      <c r="Q3319" s="4" t="str">
        <f>VLOOKUP($B3319,'D7 - NDB Impacted SPRF''s'!$E$16:$O$9929,10,FALSE)</f>
        <v>N</v>
      </c>
      <c r="R3319" s="4" t="str">
        <f>VLOOKUP($B3319,'D7 - NDB Impacted SPRF''s'!$E$16:$O$9929,11,FALSE)</f>
        <v>N</v>
      </c>
      <c r="S3319" s="8"/>
      <c r="T3319" s="310"/>
      <c r="U3319" s="310"/>
      <c r="V3319" s="4"/>
      <c r="W3319" s="4"/>
      <c r="X3319" s="4"/>
      <c r="Y3319" s="4"/>
      <c r="Z3319" s="4"/>
      <c r="AA3319" s="4"/>
      <c r="AB3319" s="380" t="str">
        <f>VLOOKUP($B3319,'D7 - NDB Impacted SPRF''s'!$E$6:$O$9929,4,FALSE)</f>
        <v>Completed</v>
      </c>
      <c r="AC3319" s="380" t="str">
        <f>VLOOKUP($B3319,'D7 - NDB Impacted SPRF''s'!$E$6:$O$9929,3,FALSE)</f>
        <v>UnitedHealthcare Medicare &amp; Retirement</v>
      </c>
      <c r="AD3319" s="380" t="str">
        <f>VLOOKUP($B3319,'D7 - NDB Impacted SPRF''s'!$E$6:$O$9929,5,FALSE)</f>
        <v>Integration Requirements</v>
      </c>
      <c r="AE3319" s="380" t="str">
        <f>VLOOKUP($B3319,'D7 - NDB Impacted SPRF''s'!$E$6:$O$9929,7,FALSE)</f>
        <v>Anita Shiels</v>
      </c>
      <c r="AF3319" s="380" t="str">
        <f>VLOOKUP($B3319,'D7 - NDB Impacted SPRF''s'!$E$6:$O$9929,6,FALSE)</f>
        <v>Debi Streb</v>
      </c>
      <c r="AG3319" s="282"/>
      <c r="AH3319" s="311" t="e">
        <f>INDEX('D5 - Gatekeeper - Projects'!$A$4:$AF$1010,$AM3319, 17)</f>
        <v>#N/A</v>
      </c>
      <c r="AI3319" s="8"/>
      <c r="AJ3319" s="57"/>
      <c r="AK3319" s="105"/>
      <c r="AM3319" s="6" t="e">
        <f>MATCH(D3319,'D5 - Gatekeeper - Projects'!$C$4:$C$1010,0)</f>
        <v>#N/A</v>
      </c>
      <c r="AN3319" s="6" t="b">
        <f t="shared" si="339"/>
        <v>1</v>
      </c>
      <c r="AO3319" s="6" t="str">
        <f t="shared" si="340"/>
        <v>OK</v>
      </c>
      <c r="AQ3319" s="6" t="e">
        <f>MATCH($D3319,'D4 - Provider Council Unsched'!$C$11:$C$234,0)</f>
        <v>#N/A</v>
      </c>
      <c r="AR3319" s="6" t="b">
        <f t="shared" si="341"/>
        <v>1</v>
      </c>
      <c r="AS3319" s="6" t="str">
        <f t="shared" si="344"/>
        <v>OK</v>
      </c>
      <c r="AU3319" s="202"/>
      <c r="AV3319" s="216"/>
      <c r="AW3319" s="274">
        <v>38720</v>
      </c>
    </row>
    <row r="3320" spans="1:49" s="13" customFormat="1" ht="11.25" customHeight="1" x14ac:dyDescent="0.2">
      <c r="A3320" s="14">
        <v>3293</v>
      </c>
      <c r="B3320" s="8">
        <v>400043182</v>
      </c>
      <c r="C3320" s="8" t="s">
        <v>1447</v>
      </c>
      <c r="D3320" s="4" t="str">
        <f t="shared" si="345"/>
        <v>400043182A</v>
      </c>
      <c r="E3320" s="309" t="str">
        <f>VLOOKUP($B3320,'D7 - NDB Impacted SPRF''s'!$E$6:$O$9929,2,FALSE)</f>
        <v>Route NHP Par claims to ppoONE for Pricing</v>
      </c>
      <c r="F3320" s="8"/>
      <c r="G3320" s="8" t="s">
        <v>4758</v>
      </c>
      <c r="H3320" s="8" t="s">
        <v>3104</v>
      </c>
      <c r="I3320" s="20"/>
      <c r="J3320" s="8"/>
      <c r="K3320" s="182"/>
      <c r="L3320" s="8" t="s">
        <v>4156</v>
      </c>
      <c r="M3320" s="8" t="s">
        <v>2814</v>
      </c>
      <c r="N3320" s="38" t="s">
        <v>512</v>
      </c>
      <c r="O3320" s="8"/>
      <c r="P3320" s="4" t="str">
        <f>VLOOKUP($B3320,'D7 - NDB Impacted SPRF''s'!$E$16:$O$9929,9,FALSE)</f>
        <v>N</v>
      </c>
      <c r="Q3320" s="4" t="str">
        <f>VLOOKUP($B3320,'D7 - NDB Impacted SPRF''s'!$E$16:$O$9929,10,FALSE)</f>
        <v>N</v>
      </c>
      <c r="R3320" s="4" t="str">
        <f>VLOOKUP($B3320,'D7 - NDB Impacted SPRF''s'!$E$16:$O$9929,11,FALSE)</f>
        <v>Y</v>
      </c>
      <c r="S3320" s="8"/>
      <c r="T3320" s="310"/>
      <c r="U3320" s="310"/>
      <c r="V3320" s="4"/>
      <c r="W3320" s="4"/>
      <c r="X3320" s="4"/>
      <c r="Y3320" s="4"/>
      <c r="Z3320" s="4"/>
      <c r="AA3320" s="4"/>
      <c r="AB3320" s="380" t="str">
        <f>VLOOKUP($B3320,'D7 - NDB Impacted SPRF''s'!$E$6:$O$9929,4,FALSE)</f>
        <v>Completed</v>
      </c>
      <c r="AC3320" s="380" t="str">
        <f>VLOOKUP($B3320,'D7 - NDB Impacted SPRF''s'!$E$6:$O$9929,3,FALSE)</f>
        <v>UnitedHealthcare Employer &amp; Individual</v>
      </c>
      <c r="AD3320" s="380" t="str">
        <f>VLOOKUP($B3320,'D7 - NDB Impacted SPRF''s'!$E$6:$O$9929,5,FALSE)</f>
        <v>Process Improvement</v>
      </c>
      <c r="AE3320" s="380" t="str">
        <f>VLOOKUP($B3320,'D7 - NDB Impacted SPRF''s'!$E$6:$O$9929,7,FALSE)</f>
        <v>Ray Coto</v>
      </c>
      <c r="AF3320" s="380" t="str">
        <f>VLOOKUP($B3320,'D7 - NDB Impacted SPRF''s'!$E$6:$O$9929,6,FALSE)</f>
        <v>Mark Auletta</v>
      </c>
      <c r="AG3320" s="282"/>
      <c r="AH3320" s="311" t="e">
        <f>INDEX('D5 - Gatekeeper - Projects'!$A$4:$AF$1010,$AM3320, 17)</f>
        <v>#N/A</v>
      </c>
      <c r="AI3320" s="8"/>
      <c r="AJ3320" s="57"/>
      <c r="AK3320" s="105"/>
      <c r="AM3320" s="6" t="e">
        <f>MATCH(D3320,'D5 - Gatekeeper - Projects'!$C$4:$C$1010,0)</f>
        <v>#N/A</v>
      </c>
      <c r="AN3320" s="6" t="b">
        <f t="shared" si="339"/>
        <v>1</v>
      </c>
      <c r="AO3320" s="6" t="str">
        <f t="shared" si="340"/>
        <v>OK</v>
      </c>
      <c r="AQ3320" s="6" t="e">
        <f>MATCH($D3320,'D4 - Provider Council Unsched'!$C$11:$C$234,0)</f>
        <v>#N/A</v>
      </c>
      <c r="AR3320" s="6" t="b">
        <f t="shared" si="341"/>
        <v>1</v>
      </c>
      <c r="AS3320" s="6" t="str">
        <f t="shared" si="344"/>
        <v>OK</v>
      </c>
      <c r="AU3320" s="202"/>
      <c r="AV3320" s="216" t="s">
        <v>479</v>
      </c>
      <c r="AW3320" s="274"/>
    </row>
    <row r="3321" spans="1:49" s="13" customFormat="1" ht="33.75" x14ac:dyDescent="0.2">
      <c r="A3321" s="14">
        <v>3294</v>
      </c>
      <c r="B3321" s="8">
        <v>400047343</v>
      </c>
      <c r="C3321" s="8" t="s">
        <v>1447</v>
      </c>
      <c r="D3321" s="4" t="str">
        <f t="shared" si="345"/>
        <v>400047343A</v>
      </c>
      <c r="E3321" s="309" t="str">
        <f>VLOOKUP($B3321,'D7 - NDB Impacted SPRF''s'!$E$6:$O$9929,2,FALSE)</f>
        <v>Medica use of UNET Withhold Capabilities</v>
      </c>
      <c r="F3321" s="8"/>
      <c r="G3321" s="8" t="s">
        <v>4758</v>
      </c>
      <c r="H3321" s="8" t="s">
        <v>3104</v>
      </c>
      <c r="I3321" s="20"/>
      <c r="J3321" s="8"/>
      <c r="K3321" s="182"/>
      <c r="L3321" s="8" t="s">
        <v>4156</v>
      </c>
      <c r="M3321" s="8" t="s">
        <v>2814</v>
      </c>
      <c r="N3321" s="38" t="s">
        <v>161</v>
      </c>
      <c r="O3321" s="8"/>
      <c r="P3321" s="4" t="str">
        <f>VLOOKUP($B3321,'D7 - NDB Impacted SPRF''s'!$E$16:$O$9929,9,FALSE)</f>
        <v>Y</v>
      </c>
      <c r="Q3321" s="4" t="str">
        <f>VLOOKUP($B3321,'D7 - NDB Impacted SPRF''s'!$E$16:$O$9929,10,FALSE)</f>
        <v>N</v>
      </c>
      <c r="R3321" s="4" t="str">
        <f>VLOOKUP($B3321,'D7 - NDB Impacted SPRF''s'!$E$16:$O$9929,11,FALSE)</f>
        <v>N</v>
      </c>
      <c r="S3321" s="8"/>
      <c r="T3321" s="310"/>
      <c r="U3321" s="310"/>
      <c r="V3321" s="4"/>
      <c r="W3321" s="4"/>
      <c r="X3321" s="4"/>
      <c r="Y3321" s="4"/>
      <c r="Z3321" s="4"/>
      <c r="AA3321" s="4"/>
      <c r="AB3321" s="380" t="str">
        <f>VLOOKUP($B3321,'D7 - NDB Impacted SPRF''s'!$E$6:$O$9929,4,FALSE)</f>
        <v>Completed</v>
      </c>
      <c r="AC3321" s="380" t="str">
        <f>VLOOKUP($B3321,'D7 - NDB Impacted SPRF''s'!$E$6:$O$9929,3,FALSE)</f>
        <v>UnitedHealthcare Employer &amp; Individual</v>
      </c>
      <c r="AD3321" s="380" t="str">
        <f>VLOOKUP($B3321,'D7 - NDB Impacted SPRF''s'!$E$6:$O$9929,5,FALSE)</f>
        <v>Customer Requirements</v>
      </c>
      <c r="AE3321" s="380" t="str">
        <f>VLOOKUP($B3321,'D7 - NDB Impacted SPRF''s'!$E$6:$O$9929,7,FALSE)</f>
        <v>Pam Stegora-Axberg</v>
      </c>
      <c r="AF3321" s="380" t="str">
        <f>VLOOKUP($B3321,'D7 - NDB Impacted SPRF''s'!$E$6:$O$9929,6,FALSE)</f>
        <v>Ryan Anderson</v>
      </c>
      <c r="AG3321" s="282"/>
      <c r="AH3321" s="311" t="e">
        <f>INDEX('D5 - Gatekeeper - Projects'!$A$4:$AF$1010,$AM3321, 17)</f>
        <v>#N/A</v>
      </c>
      <c r="AI3321" s="8"/>
      <c r="AJ3321" s="57"/>
      <c r="AK3321" s="105"/>
      <c r="AM3321" s="6" t="e">
        <f>MATCH(D3321,'D5 - Gatekeeper - Projects'!$C$4:$C$1010,0)</f>
        <v>#N/A</v>
      </c>
      <c r="AN3321" s="6" t="b">
        <f t="shared" si="339"/>
        <v>1</v>
      </c>
      <c r="AO3321" s="6" t="str">
        <f t="shared" si="340"/>
        <v>OK</v>
      </c>
      <c r="AQ3321" s="6" t="e">
        <f>MATCH($D3321,'D4 - Provider Council Unsched'!$C$11:$C$234,0)</f>
        <v>#N/A</v>
      </c>
      <c r="AR3321" s="6" t="b">
        <f t="shared" si="341"/>
        <v>1</v>
      </c>
      <c r="AS3321" s="6" t="str">
        <f t="shared" si="344"/>
        <v>OK</v>
      </c>
      <c r="AU3321" s="202"/>
      <c r="AV3321" s="422" t="s">
        <v>2236</v>
      </c>
      <c r="AW3321" s="274"/>
    </row>
    <row r="3322" spans="1:49" s="13" customFormat="1" ht="112.5" x14ac:dyDescent="0.2">
      <c r="A3322" s="14">
        <v>3295</v>
      </c>
      <c r="B3322" s="8">
        <v>400050088</v>
      </c>
      <c r="C3322" s="8" t="s">
        <v>1447</v>
      </c>
      <c r="D3322" s="4" t="str">
        <f t="shared" si="345"/>
        <v>400050088A</v>
      </c>
      <c r="E3322" s="309" t="str">
        <f>VLOOKUP($B3322,'D7 - NDB Impacted SPRF''s'!$E$6:$O$9929,2,FALSE)</f>
        <v>Health Wealth Dashboard - Pilot Product</v>
      </c>
      <c r="F3322" s="8"/>
      <c r="G3322" s="8" t="s">
        <v>4758</v>
      </c>
      <c r="H3322" s="8" t="s">
        <v>3104</v>
      </c>
      <c r="I3322" s="20"/>
      <c r="J3322" s="8"/>
      <c r="K3322" s="182"/>
      <c r="L3322" s="8" t="s">
        <v>4156</v>
      </c>
      <c r="M3322" s="8" t="s">
        <v>2814</v>
      </c>
      <c r="N3322" s="38" t="s">
        <v>1406</v>
      </c>
      <c r="O3322" s="8"/>
      <c r="P3322" s="4" t="str">
        <f>VLOOKUP($B3322,'D7 - NDB Impacted SPRF''s'!$E$16:$O$9929,9,FALSE)</f>
        <v>Y</v>
      </c>
      <c r="Q3322" s="4" t="str">
        <f>VLOOKUP($B3322,'D7 - NDB Impacted SPRF''s'!$E$16:$O$9929,10,FALSE)</f>
        <v>N</v>
      </c>
      <c r="R3322" s="4" t="str">
        <f>VLOOKUP($B3322,'D7 - NDB Impacted SPRF''s'!$E$16:$O$9929,11,FALSE)</f>
        <v>N</v>
      </c>
      <c r="S3322" s="8"/>
      <c r="T3322" s="310"/>
      <c r="U3322" s="310"/>
      <c r="V3322" s="4"/>
      <c r="W3322" s="4"/>
      <c r="X3322" s="4"/>
      <c r="Y3322" s="4"/>
      <c r="Z3322" s="4"/>
      <c r="AA3322" s="4"/>
      <c r="AB3322" s="380" t="str">
        <f>VLOOKUP($B3322,'D7 - NDB Impacted SPRF''s'!$E$6:$O$9929,4,FALSE)</f>
        <v>Completed</v>
      </c>
      <c r="AC3322" s="380" t="str">
        <f>VLOOKUP($B3322,'D7 - NDB Impacted SPRF''s'!$E$6:$O$9929,3,FALSE)</f>
        <v>UnitedHealthcare Employer &amp; Individual</v>
      </c>
      <c r="AD3322" s="380" t="str">
        <f>VLOOKUP($B3322,'D7 - NDB Impacted SPRF''s'!$E$6:$O$9929,5,FALSE)</f>
        <v>Membership Growth / Revenue Programs</v>
      </c>
      <c r="AE3322" s="380" t="str">
        <f>VLOOKUP($B3322,'D7 - NDB Impacted SPRF''s'!$E$6:$O$9929,7,FALSE)</f>
        <v>Winkler, Yasmine</v>
      </c>
      <c r="AF3322" s="380" t="str">
        <f>VLOOKUP($B3322,'D7 - NDB Impacted SPRF''s'!$E$6:$O$9929,6,FALSE)</f>
        <v>Margaret Ciechanowski</v>
      </c>
      <c r="AG3322" s="282"/>
      <c r="AH3322" s="311" t="e">
        <f>INDEX('D5 - Gatekeeper - Projects'!$A$4:$AF$1010,$AM3322, 17)</f>
        <v>#N/A</v>
      </c>
      <c r="AI3322" s="8"/>
      <c r="AJ3322" s="57"/>
      <c r="AK3322" s="105"/>
      <c r="AM3322" s="6" t="e">
        <f>MATCH(D3322,'D5 - Gatekeeper - Projects'!$C$4:$C$1010,0)</f>
        <v>#N/A</v>
      </c>
      <c r="AN3322" s="6" t="b">
        <f t="shared" si="339"/>
        <v>1</v>
      </c>
      <c r="AO3322" s="6" t="str">
        <f t="shared" si="340"/>
        <v>OK</v>
      </c>
      <c r="AQ3322" s="6" t="e">
        <f>MATCH($D3322,'D4 - Provider Council Unsched'!$C$11:$C$234,0)</f>
        <v>#N/A</v>
      </c>
      <c r="AR3322" s="6" t="b">
        <f t="shared" si="341"/>
        <v>1</v>
      </c>
      <c r="AS3322" s="6" t="str">
        <f t="shared" si="344"/>
        <v>OK</v>
      </c>
      <c r="AU3322" s="202"/>
      <c r="AV3322" s="348" t="s">
        <v>3974</v>
      </c>
      <c r="AW3322" s="274"/>
    </row>
    <row r="3323" spans="1:49" s="13" customFormat="1" ht="36" customHeight="1" x14ac:dyDescent="0.2">
      <c r="A3323" s="14">
        <v>3296</v>
      </c>
      <c r="B3323" s="8">
        <v>400050483</v>
      </c>
      <c r="C3323" s="8" t="s">
        <v>1447</v>
      </c>
      <c r="D3323" s="4" t="str">
        <f t="shared" si="345"/>
        <v>400050483A</v>
      </c>
      <c r="E3323" s="309" t="str">
        <f>VLOOKUP($B3323,'D7 - NDB Impacted SPRF''s'!$E$6:$O$9929,2,FALSE)</f>
        <v>AO CareCore Implementation Remaining C&amp;S Markets</v>
      </c>
      <c r="F3323" s="8"/>
      <c r="G3323" s="8" t="s">
        <v>4758</v>
      </c>
      <c r="H3323" s="8" t="s">
        <v>3104</v>
      </c>
      <c r="I3323" s="20"/>
      <c r="J3323" s="8"/>
      <c r="K3323" s="182"/>
      <c r="L3323" s="8" t="s">
        <v>4156</v>
      </c>
      <c r="M3323" s="8" t="s">
        <v>2814</v>
      </c>
      <c r="N3323" s="38" t="s">
        <v>5493</v>
      </c>
      <c r="O3323" s="8"/>
      <c r="P3323" s="4" t="str">
        <f>VLOOKUP($B3323,'D7 - NDB Impacted SPRF''s'!$E$16:$O$9929,9,FALSE)</f>
        <v>N</v>
      </c>
      <c r="Q3323" s="4" t="str">
        <f>VLOOKUP($B3323,'D7 - NDB Impacted SPRF''s'!$E$16:$O$9929,10,FALSE)</f>
        <v>N</v>
      </c>
      <c r="R3323" s="4" t="str">
        <f>VLOOKUP($B3323,'D7 - NDB Impacted SPRF''s'!$E$16:$O$9929,11,FALSE)</f>
        <v>N</v>
      </c>
      <c r="S3323" s="8"/>
      <c r="T3323" s="310"/>
      <c r="U3323" s="310"/>
      <c r="V3323" s="4"/>
      <c r="W3323" s="4"/>
      <c r="X3323" s="4"/>
      <c r="Y3323" s="4"/>
      <c r="Z3323" s="4"/>
      <c r="AA3323" s="4"/>
      <c r="AB3323" s="380" t="str">
        <f>VLOOKUP($B3323,'D7 - NDB Impacted SPRF''s'!$E$6:$O$9929,4,FALSE)</f>
        <v>Completed</v>
      </c>
      <c r="AC3323" s="380" t="str">
        <f>VLOOKUP($B3323,'D7 - NDB Impacted SPRF''s'!$E$6:$O$9929,3,FALSE)</f>
        <v>UnitedHealthcare Community &amp; State</v>
      </c>
      <c r="AD3323" s="380" t="str">
        <f>VLOOKUP($B3323,'D7 - NDB Impacted SPRF''s'!$E$6:$O$9929,5,FALSE)</f>
        <v>Medical Cost Saving Programs</v>
      </c>
      <c r="AE3323" s="380" t="str">
        <f>VLOOKUP($B3323,'D7 - NDB Impacted SPRF''s'!$E$6:$O$9929,7,FALSE)</f>
        <v>Rikki Goldenberg</v>
      </c>
      <c r="AF3323" s="380" t="str">
        <f>VLOOKUP($B3323,'D7 - NDB Impacted SPRF''s'!$E$6:$O$9929,6,FALSE)</f>
        <v>Rebecca Stelter</v>
      </c>
      <c r="AG3323" s="282"/>
      <c r="AH3323" s="311" t="e">
        <f>INDEX('D5 - Gatekeeper - Projects'!$A$4:$AF$1010,$AM3323, 17)</f>
        <v>#N/A</v>
      </c>
      <c r="AI3323" s="8"/>
      <c r="AJ3323" s="57"/>
      <c r="AK3323" s="105"/>
      <c r="AM3323" s="6" t="e">
        <f>MATCH(D3323,'D5 - Gatekeeper - Projects'!$C$4:$C$1010,0)</f>
        <v>#N/A</v>
      </c>
      <c r="AN3323" s="6" t="b">
        <f t="shared" si="339"/>
        <v>1</v>
      </c>
      <c r="AO3323" s="6" t="str">
        <f t="shared" si="340"/>
        <v>OK</v>
      </c>
      <c r="AQ3323" s="6" t="e">
        <f>MATCH($D3323,'D4 - Provider Council Unsched'!$C$11:$C$234,0)</f>
        <v>#N/A</v>
      </c>
      <c r="AR3323" s="6" t="b">
        <f t="shared" si="341"/>
        <v>1</v>
      </c>
      <c r="AS3323" s="6" t="str">
        <f t="shared" si="344"/>
        <v>OK</v>
      </c>
      <c r="AU3323" s="202"/>
      <c r="AV3323" s="216" t="s">
        <v>2240</v>
      </c>
      <c r="AW3323" s="274">
        <v>57388</v>
      </c>
    </row>
    <row r="3324" spans="1:49" s="13" customFormat="1" ht="33.75" x14ac:dyDescent="0.2">
      <c r="A3324" s="14">
        <v>3297</v>
      </c>
      <c r="B3324" s="8">
        <v>400052226</v>
      </c>
      <c r="C3324" s="8" t="s">
        <v>1447</v>
      </c>
      <c r="D3324" s="4" t="str">
        <f t="shared" si="345"/>
        <v>400052226A</v>
      </c>
      <c r="E3324" s="309" t="str">
        <f>VLOOKUP($B3324,'D7 - NDB Impacted SPRF''s'!$E$6:$O$9929,2,FALSE)</f>
        <v>A/O UMR Paperless Strategy</v>
      </c>
      <c r="F3324" s="8"/>
      <c r="G3324" s="8" t="s">
        <v>4758</v>
      </c>
      <c r="H3324" s="8" t="s">
        <v>3104</v>
      </c>
      <c r="I3324" s="20"/>
      <c r="J3324" s="8"/>
      <c r="K3324" s="182"/>
      <c r="L3324" s="8" t="s">
        <v>4156</v>
      </c>
      <c r="M3324" s="8" t="s">
        <v>2814</v>
      </c>
      <c r="N3324" s="38" t="s">
        <v>1304</v>
      </c>
      <c r="O3324" s="8"/>
      <c r="P3324" s="4" t="str">
        <f>VLOOKUP($B3324,'D7 - NDB Impacted SPRF''s'!$E$16:$O$9929,9,FALSE)</f>
        <v>N</v>
      </c>
      <c r="Q3324" s="4" t="str">
        <f>VLOOKUP($B3324,'D7 - NDB Impacted SPRF''s'!$E$16:$O$9929,10,FALSE)</f>
        <v>N</v>
      </c>
      <c r="R3324" s="4" t="str">
        <f>VLOOKUP($B3324,'D7 - NDB Impacted SPRF''s'!$E$16:$O$9929,11,FALSE)</f>
        <v>Y</v>
      </c>
      <c r="S3324" s="8"/>
      <c r="T3324" s="310"/>
      <c r="U3324" s="310"/>
      <c r="V3324" s="4"/>
      <c r="W3324" s="4"/>
      <c r="X3324" s="4"/>
      <c r="Y3324" s="4"/>
      <c r="Z3324" s="4"/>
      <c r="AA3324" s="4"/>
      <c r="AB3324" s="380" t="str">
        <f>VLOOKUP($B3324,'D7 - NDB Impacted SPRF''s'!$E$6:$O$9929,4,FALSE)</f>
        <v>Completed</v>
      </c>
      <c r="AC3324" s="380" t="str">
        <f>VLOOKUP($B3324,'D7 - NDB Impacted SPRF''s'!$E$6:$O$9929,3,FALSE)</f>
        <v>UHG IT - Shared Services</v>
      </c>
      <c r="AD3324" s="380" t="str">
        <f>VLOOKUP($B3324,'D7 - NDB Impacted SPRF''s'!$E$6:$O$9929,5,FALSE)</f>
        <v>Strategic Initiatives</v>
      </c>
      <c r="AE3324" s="380" t="str">
        <f>VLOOKUP($B3324,'D7 - NDB Impacted SPRF''s'!$E$6:$O$9929,7,FALSE)</f>
        <v>Jeff Meyerhofer</v>
      </c>
      <c r="AF3324" s="380" t="str">
        <f>VLOOKUP($B3324,'D7 - NDB Impacted SPRF''s'!$E$6:$O$9929,6,FALSE)</f>
        <v>Angela Bleibaum</v>
      </c>
      <c r="AG3324" s="282"/>
      <c r="AH3324" s="311" t="e">
        <f>INDEX('D5 - Gatekeeper - Projects'!$A$4:$AF$1010,$AM3324, 17)</f>
        <v>#N/A</v>
      </c>
      <c r="AI3324" s="8"/>
      <c r="AJ3324" s="57"/>
      <c r="AK3324" s="105"/>
      <c r="AM3324" s="6" t="e">
        <f>MATCH(D3324,'D5 - Gatekeeper - Projects'!$C$4:$C$1010,0)</f>
        <v>#N/A</v>
      </c>
      <c r="AN3324" s="6" t="b">
        <f t="shared" si="339"/>
        <v>1</v>
      </c>
      <c r="AO3324" s="6" t="str">
        <f t="shared" si="340"/>
        <v>OK</v>
      </c>
      <c r="AQ3324" s="6" t="e">
        <f>MATCH($D3324,'D4 - Provider Council Unsched'!$C$11:$C$234,0)</f>
        <v>#N/A</v>
      </c>
      <c r="AR3324" s="6" t="b">
        <f t="shared" si="341"/>
        <v>1</v>
      </c>
      <c r="AS3324" s="6" t="str">
        <f t="shared" si="344"/>
        <v>OK</v>
      </c>
      <c r="AU3324" s="202"/>
      <c r="AV3324" s="323" t="s">
        <v>916</v>
      </c>
      <c r="AW3324" s="274"/>
    </row>
    <row r="3325" spans="1:49" s="13" customFormat="1" ht="12.75" x14ac:dyDescent="0.2">
      <c r="A3325" s="14"/>
      <c r="B3325" s="205" t="s">
        <v>5577</v>
      </c>
      <c r="C3325" s="47"/>
      <c r="D3325" s="46" t="str">
        <f t="shared" si="345"/>
        <v>ZZ - New Add</v>
      </c>
      <c r="E3325" s="46" t="str">
        <f>CONCATENATE(C3325,D3325)</f>
        <v>ZZ - New Add</v>
      </c>
      <c r="F3325" s="47"/>
      <c r="G3325" s="47"/>
      <c r="H3325" s="47" t="s">
        <v>3103</v>
      </c>
      <c r="I3325" s="48"/>
      <c r="J3325" s="47"/>
      <c r="K3325" s="183"/>
      <c r="L3325" s="46"/>
      <c r="M3325" s="46" t="s">
        <v>2814</v>
      </c>
      <c r="N3325" s="366"/>
      <c r="O3325" s="47"/>
      <c r="P3325" s="46" t="e">
        <f>VLOOKUP($B3325,'D7 - NDB Impacted SPRF''s'!$E$16:$O$9929,9,FALSE)</f>
        <v>#N/A</v>
      </c>
      <c r="Q3325" s="46" t="e">
        <f>VLOOKUP($B3325,'D7 - NDB Impacted SPRF''s'!$E$16:$O$9929,10,FALSE)</f>
        <v>#N/A</v>
      </c>
      <c r="R3325" s="46" t="e">
        <f>VLOOKUP($B3325,'D7 - NDB Impacted SPRF''s'!$E$16:$O$9929,11,FALSE)</f>
        <v>#N/A</v>
      </c>
      <c r="S3325" s="47"/>
      <c r="T3325" s="325" t="str">
        <f>IF($H3325=$H$1,INDEX('D5 - Gatekeeper - Projects'!$A$4:$AF$1010,$AM3325,27),"NA")</f>
        <v>NA</v>
      </c>
      <c r="U3325" s="325" t="str">
        <f>IF($H3325=$H$1,INDEX('D5 - Gatekeeper - Projects'!$A$4:$AF$1010,$AM3325,28),"NA")</f>
        <v>NA</v>
      </c>
      <c r="V3325" s="325" t="str">
        <f>IF($H3325=$H$1,INDEX('D5 - Gatekeeper - Projects'!$A$4:$AF$1010,$AM3325,28),"NA")</f>
        <v>NA</v>
      </c>
      <c r="W3325" s="325" t="str">
        <f>IF($H3325=$H$1,INDEX('D5 - Gatekeeper - Projects'!$A$4:$AF$1010,$AM3325,28),"NA")</f>
        <v>NA</v>
      </c>
      <c r="X3325" s="325" t="str">
        <f>IF($H3325=$H$1,INDEX('D5 - Gatekeeper - Projects'!$A$4:$AF$1010,$AM3325,28),"NA")</f>
        <v>NA</v>
      </c>
      <c r="Y3325" s="325" t="str">
        <f>IF($H3325=$H$1,INDEX('D5 - Gatekeeper - Projects'!$A$4:$AF$1010,$AM3325,28),"NA")</f>
        <v>NA</v>
      </c>
      <c r="Z3325" s="325" t="str">
        <f>IF($H3325=$H$1,INDEX('D5 - Gatekeeper - Projects'!$A$4:$AF$1010,$AM3325,28),"NA")</f>
        <v>NA</v>
      </c>
      <c r="AA3325" s="325" t="str">
        <f>IF($H3325=$H$1,INDEX('D5 - Gatekeeper - Projects'!$A$4:$AF$1010,$AM3325,28),"NA")</f>
        <v>NA</v>
      </c>
      <c r="AB3325" s="381" t="e">
        <f>VLOOKUP($B3325,'D7 - NDB Impacted SPRF''s'!$E$16:$O$9929,4,FALSE)</f>
        <v>#N/A</v>
      </c>
      <c r="AC3325" s="381" t="e">
        <f>VLOOKUP($B3325,'D7 - NDB Impacted SPRF''s'!$E$16:$O$9929,3,FALSE)</f>
        <v>#N/A</v>
      </c>
      <c r="AD3325" s="381" t="e">
        <f>VLOOKUP($B3325,'D7 - NDB Impacted SPRF''s'!$E$16:$O$9929,5,FALSE)</f>
        <v>#N/A</v>
      </c>
      <c r="AE3325" s="381" t="e">
        <f>VLOOKUP($B3325,'D7 - NDB Impacted SPRF''s'!$E$16:$O$9929,7,FALSE)</f>
        <v>#N/A</v>
      </c>
      <c r="AF3325" s="381" t="e">
        <f>VLOOKUP($B3325,'D7 - NDB Impacted SPRF''s'!$E$16:$O$9929,6,FALSE)</f>
        <v>#N/A</v>
      </c>
      <c r="AG3325" s="324"/>
      <c r="AH3325" s="326"/>
      <c r="AI3325" s="47"/>
      <c r="AJ3325" s="58"/>
      <c r="AK3325" s="106"/>
      <c r="AM3325" s="6" t="e">
        <f>MATCH(D3325,'D5 - Gatekeeper - Projects'!$C$4:$C$1010,0)</f>
        <v>#N/A</v>
      </c>
      <c r="AN3325" s="6" t="b">
        <f t="shared" si="339"/>
        <v>1</v>
      </c>
      <c r="AO3325" s="6" t="str">
        <f t="shared" si="340"/>
        <v>OK</v>
      </c>
      <c r="AQ3325" s="6" t="e">
        <f>MATCH($D3325,'D4 - Provider Council Unsched'!$C$11:$C$234,0)</f>
        <v>#N/A</v>
      </c>
      <c r="AR3325" s="6" t="b">
        <f t="shared" si="341"/>
        <v>1</v>
      </c>
      <c r="AS3325" s="6" t="str">
        <f t="shared" si="344"/>
        <v>OK</v>
      </c>
      <c r="AU3325" s="202">
        <v>41092</v>
      </c>
      <c r="AV3325" s="346" t="s">
        <v>3207</v>
      </c>
      <c r="AW3325" s="274"/>
    </row>
    <row r="3326" spans="1:49" s="13" customFormat="1" x14ac:dyDescent="0.2">
      <c r="A3326" s="14"/>
      <c r="B3326" s="14" t="s">
        <v>5577</v>
      </c>
      <c r="C3326" s="8" t="s">
        <v>1447</v>
      </c>
      <c r="D3326" s="4" t="str">
        <f t="shared" si="345"/>
        <v>ZZ - New AddA</v>
      </c>
      <c r="E3326" s="309" t="e">
        <f>VLOOKUP($B3326,'D7 - NDB Impacted SPRF''s'!$E$6:$O$9929,2,FALSE)</f>
        <v>#N/A</v>
      </c>
      <c r="F3326" s="8"/>
      <c r="G3326" s="8" t="s">
        <v>2980</v>
      </c>
      <c r="H3326" s="8" t="s">
        <v>3103</v>
      </c>
      <c r="I3326" s="20"/>
      <c r="J3326" s="8"/>
      <c r="K3326" s="182"/>
      <c r="L3326" s="8" t="s">
        <v>4156</v>
      </c>
      <c r="M3326" s="8" t="s">
        <v>2814</v>
      </c>
      <c r="N3326" s="38"/>
      <c r="O3326" s="8"/>
      <c r="P3326" s="4" t="e">
        <f>VLOOKUP($B3326,'D7 - NDB Impacted SPRF''s'!$E$16:$O$9929,9,FALSE)</f>
        <v>#N/A</v>
      </c>
      <c r="Q3326" s="4" t="e">
        <f>VLOOKUP($B3326,'D7 - NDB Impacted SPRF''s'!$E$16:$O$9929,10,FALSE)</f>
        <v>#N/A</v>
      </c>
      <c r="R3326" s="4" t="e">
        <f>VLOOKUP($B3326,'D7 - NDB Impacted SPRF''s'!$E$16:$O$9929,11,FALSE)</f>
        <v>#N/A</v>
      </c>
      <c r="S3326" s="8"/>
      <c r="T3326" s="310"/>
      <c r="U3326" s="310"/>
      <c r="V3326" s="4"/>
      <c r="W3326" s="4"/>
      <c r="X3326" s="4"/>
      <c r="Y3326" s="4"/>
      <c r="Z3326" s="4"/>
      <c r="AA3326" s="4"/>
      <c r="AB3326" s="380" t="e">
        <f>VLOOKUP($B3326,'D7 - NDB Impacted SPRF''s'!$E$6:$O$9929,4,FALSE)</f>
        <v>#N/A</v>
      </c>
      <c r="AC3326" s="380" t="e">
        <f>VLOOKUP($B3326,'D7 - NDB Impacted SPRF''s'!$E$6:$O$9929,3,FALSE)</f>
        <v>#N/A</v>
      </c>
      <c r="AD3326" s="380" t="e">
        <f>VLOOKUP($B3326,'D7 - NDB Impacted SPRF''s'!$E$6:$O$9929,5,FALSE)</f>
        <v>#N/A</v>
      </c>
      <c r="AE3326" s="380" t="e">
        <f>VLOOKUP($B3326,'D7 - NDB Impacted SPRF''s'!$E$6:$O$9929,7,FALSE)</f>
        <v>#N/A</v>
      </c>
      <c r="AF3326" s="380" t="e">
        <f>VLOOKUP($B3326,'D7 - NDB Impacted SPRF''s'!$E$6:$O$9929,6,FALSE)</f>
        <v>#N/A</v>
      </c>
      <c r="AG3326" s="282"/>
      <c r="AH3326" s="311" t="e">
        <f>INDEX('D5 - Gatekeeper - Projects'!$A$4:$AF$1010,$AM3326, 17)</f>
        <v>#N/A</v>
      </c>
      <c r="AI3326" s="8"/>
      <c r="AJ3326" s="57"/>
      <c r="AK3326" s="105"/>
      <c r="AM3326" s="6" t="e">
        <f>MATCH(D3326,'D5 - Gatekeeper - Projects'!$C$4:$C$1010,0)</f>
        <v>#N/A</v>
      </c>
      <c r="AN3326" s="6" t="b">
        <f t="shared" si="339"/>
        <v>1</v>
      </c>
      <c r="AO3326" s="6" t="str">
        <f t="shared" si="340"/>
        <v>OK</v>
      </c>
      <c r="AQ3326" s="6" t="e">
        <f>MATCH($D3326,'D4 - Provider Council Unsched'!$C$11:$C$234,0)</f>
        <v>#N/A</v>
      </c>
      <c r="AR3326" s="6" t="b">
        <f t="shared" si="341"/>
        <v>1</v>
      </c>
      <c r="AS3326" s="6" t="str">
        <f t="shared" si="344"/>
        <v>OK</v>
      </c>
      <c r="AU3326" s="202"/>
      <c r="AV3326" s="262"/>
      <c r="AW3326" s="274"/>
    </row>
    <row r="3327" spans="1:49" s="13" customFormat="1" x14ac:dyDescent="0.2">
      <c r="A3327" s="14"/>
      <c r="B3327" s="14" t="s">
        <v>5577</v>
      </c>
      <c r="C3327" s="8" t="s">
        <v>1447</v>
      </c>
      <c r="D3327" s="4" t="str">
        <f t="shared" si="345"/>
        <v>ZZ - New AddA</v>
      </c>
      <c r="E3327" s="309" t="e">
        <f>VLOOKUP($B3327,'D7 - NDB Impacted SPRF''s'!$E$6:$O$9929,2,FALSE)</f>
        <v>#N/A</v>
      </c>
      <c r="F3327" s="8"/>
      <c r="G3327" s="8" t="s">
        <v>2980</v>
      </c>
      <c r="H3327" s="8" t="s">
        <v>3103</v>
      </c>
      <c r="I3327" s="20"/>
      <c r="J3327" s="8"/>
      <c r="K3327" s="182"/>
      <c r="L3327" s="8" t="s">
        <v>4156</v>
      </c>
      <c r="M3327" s="8" t="s">
        <v>2814</v>
      </c>
      <c r="N3327" s="38"/>
      <c r="O3327" s="8"/>
      <c r="P3327" s="4" t="e">
        <f>VLOOKUP($B3327,'D7 - NDB Impacted SPRF''s'!$E$16:$O$9929,9,FALSE)</f>
        <v>#N/A</v>
      </c>
      <c r="Q3327" s="4" t="e">
        <f>VLOOKUP($B3327,'D7 - NDB Impacted SPRF''s'!$E$16:$O$9929,10,FALSE)</f>
        <v>#N/A</v>
      </c>
      <c r="R3327" s="4" t="e">
        <f>VLOOKUP($B3327,'D7 - NDB Impacted SPRF''s'!$E$16:$O$9929,11,FALSE)</f>
        <v>#N/A</v>
      </c>
      <c r="S3327" s="8"/>
      <c r="T3327" s="310"/>
      <c r="U3327" s="310"/>
      <c r="V3327" s="4"/>
      <c r="W3327" s="4"/>
      <c r="X3327" s="4"/>
      <c r="Y3327" s="4"/>
      <c r="Z3327" s="4"/>
      <c r="AA3327" s="4"/>
      <c r="AB3327" s="380" t="e">
        <f>VLOOKUP($B3327,'D7 - NDB Impacted SPRF''s'!$E$6:$O$9929,4,FALSE)</f>
        <v>#N/A</v>
      </c>
      <c r="AC3327" s="380" t="e">
        <f>VLOOKUP($B3327,'D7 - NDB Impacted SPRF''s'!$E$6:$O$9929,3,FALSE)</f>
        <v>#N/A</v>
      </c>
      <c r="AD3327" s="380" t="e">
        <f>VLOOKUP($B3327,'D7 - NDB Impacted SPRF''s'!$E$6:$O$9929,5,FALSE)</f>
        <v>#N/A</v>
      </c>
      <c r="AE3327" s="380" t="e">
        <f>VLOOKUP($B3327,'D7 - NDB Impacted SPRF''s'!$E$6:$O$9929,7,FALSE)</f>
        <v>#N/A</v>
      </c>
      <c r="AF3327" s="380" t="e">
        <f>VLOOKUP($B3327,'D7 - NDB Impacted SPRF''s'!$E$6:$O$9929,6,FALSE)</f>
        <v>#N/A</v>
      </c>
      <c r="AG3327" s="282"/>
      <c r="AH3327" s="311" t="e">
        <f>INDEX('D5 - Gatekeeper - Projects'!$A$4:$AF$1010,$AM3327, 17)</f>
        <v>#N/A</v>
      </c>
      <c r="AI3327" s="8"/>
      <c r="AJ3327" s="57"/>
      <c r="AK3327" s="105"/>
      <c r="AM3327" s="6" t="e">
        <f>MATCH(D3327,'D5 - Gatekeeper - Projects'!$C$4:$C$1010,0)</f>
        <v>#N/A</v>
      </c>
      <c r="AN3327" s="6" t="b">
        <f t="shared" si="339"/>
        <v>1</v>
      </c>
      <c r="AO3327" s="6" t="str">
        <f t="shared" si="340"/>
        <v>OK</v>
      </c>
      <c r="AQ3327" s="6" t="e">
        <f>MATCH($D3327,'D4 - Provider Council Unsched'!$C$11:$C$234,0)</f>
        <v>#N/A</v>
      </c>
      <c r="AR3327" s="6" t="b">
        <f t="shared" si="341"/>
        <v>1</v>
      </c>
      <c r="AS3327" s="6" t="str">
        <f t="shared" si="344"/>
        <v>OK</v>
      </c>
      <c r="AU3327" s="202"/>
      <c r="AV3327" s="262"/>
      <c r="AW3327" s="274"/>
    </row>
    <row r="3328" spans="1:49" s="13" customFormat="1" x14ac:dyDescent="0.2">
      <c r="A3328" s="14"/>
      <c r="B3328" s="14" t="s">
        <v>5577</v>
      </c>
      <c r="C3328" s="8" t="s">
        <v>1447</v>
      </c>
      <c r="D3328" s="4" t="str">
        <f t="shared" si="345"/>
        <v>ZZ - New AddA</v>
      </c>
      <c r="E3328" s="309" t="e">
        <f>VLOOKUP($B3328,'D7 - NDB Impacted SPRF''s'!$E$6:$O$9929,2,FALSE)</f>
        <v>#N/A</v>
      </c>
      <c r="F3328" s="8"/>
      <c r="G3328" s="8" t="s">
        <v>2980</v>
      </c>
      <c r="H3328" s="8" t="s">
        <v>3103</v>
      </c>
      <c r="I3328" s="20"/>
      <c r="J3328" s="8"/>
      <c r="K3328" s="182"/>
      <c r="L3328" s="8" t="s">
        <v>4156</v>
      </c>
      <c r="M3328" s="8" t="s">
        <v>2814</v>
      </c>
      <c r="N3328" s="38"/>
      <c r="O3328" s="8"/>
      <c r="P3328" s="4" t="e">
        <f>VLOOKUP($B3328,'D7 - NDB Impacted SPRF''s'!$E$16:$O$9929,9,FALSE)</f>
        <v>#N/A</v>
      </c>
      <c r="Q3328" s="4" t="e">
        <f>VLOOKUP($B3328,'D7 - NDB Impacted SPRF''s'!$E$16:$O$9929,10,FALSE)</f>
        <v>#N/A</v>
      </c>
      <c r="R3328" s="4" t="e">
        <f>VLOOKUP($B3328,'D7 - NDB Impacted SPRF''s'!$E$16:$O$9929,11,FALSE)</f>
        <v>#N/A</v>
      </c>
      <c r="S3328" s="8"/>
      <c r="T3328" s="310"/>
      <c r="U3328" s="310"/>
      <c r="V3328" s="4"/>
      <c r="W3328" s="4"/>
      <c r="X3328" s="4"/>
      <c r="Y3328" s="4"/>
      <c r="Z3328" s="4"/>
      <c r="AA3328" s="4"/>
      <c r="AB3328" s="380" t="e">
        <f>VLOOKUP($B3328,'D7 - NDB Impacted SPRF''s'!$E$6:$O$9929,4,FALSE)</f>
        <v>#N/A</v>
      </c>
      <c r="AC3328" s="380" t="e">
        <f>VLOOKUP($B3328,'D7 - NDB Impacted SPRF''s'!$E$6:$O$9929,3,FALSE)</f>
        <v>#N/A</v>
      </c>
      <c r="AD3328" s="380" t="e">
        <f>VLOOKUP($B3328,'D7 - NDB Impacted SPRF''s'!$E$6:$O$9929,5,FALSE)</f>
        <v>#N/A</v>
      </c>
      <c r="AE3328" s="380" t="e">
        <f>VLOOKUP($B3328,'D7 - NDB Impacted SPRF''s'!$E$6:$O$9929,7,FALSE)</f>
        <v>#N/A</v>
      </c>
      <c r="AF3328" s="380" t="e">
        <f>VLOOKUP($B3328,'D7 - NDB Impacted SPRF''s'!$E$6:$O$9929,6,FALSE)</f>
        <v>#N/A</v>
      </c>
      <c r="AG3328" s="282"/>
      <c r="AH3328" s="311" t="e">
        <f>INDEX('D5 - Gatekeeper - Projects'!$A$4:$AF$1010,$AM3328, 17)</f>
        <v>#N/A</v>
      </c>
      <c r="AI3328" s="8"/>
      <c r="AJ3328" s="57"/>
      <c r="AK3328" s="105"/>
      <c r="AM3328" s="6" t="e">
        <f>MATCH(D3328,'D5 - Gatekeeper - Projects'!$C$4:$C$1010,0)</f>
        <v>#N/A</v>
      </c>
      <c r="AN3328" s="6" t="b">
        <f t="shared" si="339"/>
        <v>1</v>
      </c>
      <c r="AO3328" s="6" t="str">
        <f t="shared" si="340"/>
        <v>OK</v>
      </c>
      <c r="AQ3328" s="6" t="e">
        <f>MATCH($D3328,'D4 - Provider Council Unsched'!$C$11:$C$234,0)</f>
        <v>#N/A</v>
      </c>
      <c r="AR3328" s="6" t="b">
        <f t="shared" si="341"/>
        <v>1</v>
      </c>
      <c r="AS3328" s="6" t="str">
        <f t="shared" si="344"/>
        <v>OK</v>
      </c>
      <c r="AU3328" s="202"/>
      <c r="AV3328" s="262"/>
      <c r="AW3328" s="274"/>
    </row>
    <row r="3329" spans="1:49" s="13" customFormat="1" ht="11.25" customHeight="1" x14ac:dyDescent="0.2">
      <c r="A3329" s="14"/>
      <c r="B3329" s="14" t="s">
        <v>5577</v>
      </c>
      <c r="C3329" s="8" t="s">
        <v>1447</v>
      </c>
      <c r="D3329" s="4" t="str">
        <f t="shared" si="345"/>
        <v>ZZ - New AddA</v>
      </c>
      <c r="E3329" s="309" t="e">
        <f>VLOOKUP($B3329,'D7 - NDB Impacted SPRF''s'!$E$6:$O$9929,2,FALSE)</f>
        <v>#N/A</v>
      </c>
      <c r="F3329" s="8"/>
      <c r="G3329" s="8" t="s">
        <v>2980</v>
      </c>
      <c r="H3329" s="8" t="s">
        <v>3103</v>
      </c>
      <c r="I3329" s="20"/>
      <c r="J3329" s="8"/>
      <c r="K3329" s="182"/>
      <c r="L3329" s="8" t="s">
        <v>4156</v>
      </c>
      <c r="M3329" s="8" t="s">
        <v>2814</v>
      </c>
      <c r="N3329" s="38"/>
      <c r="O3329" s="8"/>
      <c r="P3329" s="4" t="e">
        <f>VLOOKUP($B3329,'D7 - NDB Impacted SPRF''s'!$E$16:$O$9929,9,FALSE)</f>
        <v>#N/A</v>
      </c>
      <c r="Q3329" s="4" t="e">
        <f>VLOOKUP($B3329,'D7 - NDB Impacted SPRF''s'!$E$16:$O$9929,10,FALSE)</f>
        <v>#N/A</v>
      </c>
      <c r="R3329" s="4" t="e">
        <f>VLOOKUP($B3329,'D7 - NDB Impacted SPRF''s'!$E$16:$O$9929,11,FALSE)</f>
        <v>#N/A</v>
      </c>
      <c r="S3329" s="8"/>
      <c r="T3329" s="310"/>
      <c r="U3329" s="310"/>
      <c r="V3329" s="4"/>
      <c r="W3329" s="4"/>
      <c r="X3329" s="4"/>
      <c r="Y3329" s="4"/>
      <c r="Z3329" s="4"/>
      <c r="AA3329" s="4"/>
      <c r="AB3329" s="380" t="e">
        <f>VLOOKUP($B3329,'D7 - NDB Impacted SPRF''s'!$E$6:$O$9929,4,FALSE)</f>
        <v>#N/A</v>
      </c>
      <c r="AC3329" s="380" t="e">
        <f>VLOOKUP($B3329,'D7 - NDB Impacted SPRF''s'!$E$6:$O$9929,3,FALSE)</f>
        <v>#N/A</v>
      </c>
      <c r="AD3329" s="380" t="e">
        <f>VLOOKUP($B3329,'D7 - NDB Impacted SPRF''s'!$E$6:$O$9929,5,FALSE)</f>
        <v>#N/A</v>
      </c>
      <c r="AE3329" s="380" t="e">
        <f>VLOOKUP($B3329,'D7 - NDB Impacted SPRF''s'!$E$6:$O$9929,7,FALSE)</f>
        <v>#N/A</v>
      </c>
      <c r="AF3329" s="380" t="e">
        <f>VLOOKUP($B3329,'D7 - NDB Impacted SPRF''s'!$E$6:$O$9929,6,FALSE)</f>
        <v>#N/A</v>
      </c>
      <c r="AG3329" s="282"/>
      <c r="AH3329" s="311" t="e">
        <f>INDEX('D5 - Gatekeeper - Projects'!$A$4:$AF$1010,$AM3329, 17)</f>
        <v>#N/A</v>
      </c>
      <c r="AI3329" s="8"/>
      <c r="AJ3329" s="57"/>
      <c r="AK3329" s="105"/>
      <c r="AM3329" s="6" t="e">
        <f>MATCH(D3329,'D5 - Gatekeeper - Projects'!$C$4:$C$1010,0)</f>
        <v>#N/A</v>
      </c>
      <c r="AN3329" s="6" t="b">
        <f t="shared" si="339"/>
        <v>1</v>
      </c>
      <c r="AO3329" s="6" t="str">
        <f t="shared" si="340"/>
        <v>OK</v>
      </c>
      <c r="AQ3329" s="6" t="e">
        <f>MATCH($D3329,'D4 - Provider Council Unsched'!$C$11:$C$234,0)</f>
        <v>#N/A</v>
      </c>
      <c r="AR3329" s="6" t="b">
        <f t="shared" si="341"/>
        <v>1</v>
      </c>
      <c r="AS3329" s="6" t="str">
        <f t="shared" si="344"/>
        <v>OK</v>
      </c>
      <c r="AU3329" s="202"/>
      <c r="AV3329" s="262"/>
      <c r="AW3329" s="274"/>
    </row>
    <row r="3330" spans="1:49" s="13" customFormat="1" x14ac:dyDescent="0.2">
      <c r="A3330" s="14"/>
      <c r="B3330" s="14" t="s">
        <v>5577</v>
      </c>
      <c r="C3330" s="8" t="s">
        <v>1447</v>
      </c>
      <c r="D3330" s="4" t="str">
        <f t="shared" si="345"/>
        <v>ZZ - New AddA</v>
      </c>
      <c r="E3330" s="309" t="e">
        <f>VLOOKUP($B3330,'D7 - NDB Impacted SPRF''s'!$E$6:$O$9929,2,FALSE)</f>
        <v>#N/A</v>
      </c>
      <c r="F3330" s="8"/>
      <c r="G3330" s="8" t="s">
        <v>2980</v>
      </c>
      <c r="H3330" s="8" t="s">
        <v>3103</v>
      </c>
      <c r="I3330" s="20"/>
      <c r="J3330" s="8"/>
      <c r="K3330" s="182"/>
      <c r="L3330" s="8" t="s">
        <v>4156</v>
      </c>
      <c r="M3330" s="8" t="s">
        <v>2814</v>
      </c>
      <c r="N3330" s="38"/>
      <c r="O3330" s="8"/>
      <c r="P3330" s="4" t="e">
        <f>VLOOKUP($B3330,'D7 - NDB Impacted SPRF''s'!$E$16:$O$9929,9,FALSE)</f>
        <v>#N/A</v>
      </c>
      <c r="Q3330" s="4" t="e">
        <f>VLOOKUP($B3330,'D7 - NDB Impacted SPRF''s'!$E$16:$O$9929,10,FALSE)</f>
        <v>#N/A</v>
      </c>
      <c r="R3330" s="4" t="e">
        <f>VLOOKUP($B3330,'D7 - NDB Impacted SPRF''s'!$E$16:$O$9929,11,FALSE)</f>
        <v>#N/A</v>
      </c>
      <c r="S3330" s="8"/>
      <c r="T3330" s="310"/>
      <c r="U3330" s="310"/>
      <c r="V3330" s="4"/>
      <c r="W3330" s="4"/>
      <c r="X3330" s="4"/>
      <c r="Y3330" s="4"/>
      <c r="Z3330" s="4"/>
      <c r="AA3330" s="4"/>
      <c r="AB3330" s="380" t="e">
        <f>VLOOKUP($B3330,'D7 - NDB Impacted SPRF''s'!$E$6:$O$9929,4,FALSE)</f>
        <v>#N/A</v>
      </c>
      <c r="AC3330" s="380" t="e">
        <f>VLOOKUP($B3330,'D7 - NDB Impacted SPRF''s'!$E$6:$O$9929,3,FALSE)</f>
        <v>#N/A</v>
      </c>
      <c r="AD3330" s="380" t="e">
        <f>VLOOKUP($B3330,'D7 - NDB Impacted SPRF''s'!$E$6:$O$9929,5,FALSE)</f>
        <v>#N/A</v>
      </c>
      <c r="AE3330" s="380" t="e">
        <f>VLOOKUP($B3330,'D7 - NDB Impacted SPRF''s'!$E$6:$O$9929,7,FALSE)</f>
        <v>#N/A</v>
      </c>
      <c r="AF3330" s="380" t="e">
        <f>VLOOKUP($B3330,'D7 - NDB Impacted SPRF''s'!$E$6:$O$9929,6,FALSE)</f>
        <v>#N/A</v>
      </c>
      <c r="AG3330" s="282"/>
      <c r="AH3330" s="311" t="e">
        <f>INDEX('D5 - Gatekeeper - Projects'!$A$4:$AF$1010,$AM3330, 17)</f>
        <v>#N/A</v>
      </c>
      <c r="AI3330" s="8"/>
      <c r="AJ3330" s="57"/>
      <c r="AK3330" s="105"/>
      <c r="AM3330" s="6" t="e">
        <f>MATCH(D3330,'D5 - Gatekeeper - Projects'!$C$4:$C$1010,0)</f>
        <v>#N/A</v>
      </c>
      <c r="AN3330" s="6" t="b">
        <f t="shared" si="339"/>
        <v>1</v>
      </c>
      <c r="AO3330" s="6" t="str">
        <f t="shared" si="340"/>
        <v>OK</v>
      </c>
      <c r="AQ3330" s="6" t="e">
        <f>MATCH($D3330,'D4 - Provider Council Unsched'!$C$11:$C$234,0)</f>
        <v>#N/A</v>
      </c>
      <c r="AR3330" s="6" t="b">
        <f t="shared" si="341"/>
        <v>1</v>
      </c>
      <c r="AS3330" s="6" t="str">
        <f t="shared" si="344"/>
        <v>OK</v>
      </c>
      <c r="AU3330" s="202"/>
      <c r="AV3330" s="262"/>
      <c r="AW3330" s="274"/>
    </row>
    <row r="3331" spans="1:49" s="13" customFormat="1" x14ac:dyDescent="0.2">
      <c r="A3331" s="14"/>
      <c r="B3331" s="14" t="s">
        <v>5577</v>
      </c>
      <c r="C3331" s="8" t="s">
        <v>1447</v>
      </c>
      <c r="D3331" s="4" t="str">
        <f t="shared" si="345"/>
        <v>ZZ - New AddA</v>
      </c>
      <c r="E3331" s="309" t="e">
        <f>VLOOKUP($B3331,'D7 - NDB Impacted SPRF''s'!$E$6:$O$9929,2,FALSE)</f>
        <v>#N/A</v>
      </c>
      <c r="F3331" s="8"/>
      <c r="G3331" s="8" t="s">
        <v>2980</v>
      </c>
      <c r="H3331" s="8" t="s">
        <v>3103</v>
      </c>
      <c r="I3331" s="20"/>
      <c r="J3331" s="8"/>
      <c r="K3331" s="182"/>
      <c r="L3331" s="8" t="s">
        <v>4156</v>
      </c>
      <c r="M3331" s="8" t="s">
        <v>2814</v>
      </c>
      <c r="N3331" s="38"/>
      <c r="O3331" s="8"/>
      <c r="P3331" s="4" t="e">
        <f>VLOOKUP($B3331,'D7 - NDB Impacted SPRF''s'!$E$16:$O$9929,9,FALSE)</f>
        <v>#N/A</v>
      </c>
      <c r="Q3331" s="4" t="e">
        <f>VLOOKUP($B3331,'D7 - NDB Impacted SPRF''s'!$E$16:$O$9929,10,FALSE)</f>
        <v>#N/A</v>
      </c>
      <c r="R3331" s="4" t="e">
        <f>VLOOKUP($B3331,'D7 - NDB Impacted SPRF''s'!$E$16:$O$9929,11,FALSE)</f>
        <v>#N/A</v>
      </c>
      <c r="S3331" s="8"/>
      <c r="T3331" s="310"/>
      <c r="U3331" s="310"/>
      <c r="V3331" s="4"/>
      <c r="W3331" s="4"/>
      <c r="X3331" s="4"/>
      <c r="Y3331" s="4"/>
      <c r="Z3331" s="4"/>
      <c r="AA3331" s="4"/>
      <c r="AB3331" s="380" t="e">
        <f>VLOOKUP($B3331,'D7 - NDB Impacted SPRF''s'!$E$6:$O$9929,4,FALSE)</f>
        <v>#N/A</v>
      </c>
      <c r="AC3331" s="380" t="e">
        <f>VLOOKUP($B3331,'D7 - NDB Impacted SPRF''s'!$E$6:$O$9929,3,FALSE)</f>
        <v>#N/A</v>
      </c>
      <c r="AD3331" s="380" t="e">
        <f>VLOOKUP($B3331,'D7 - NDB Impacted SPRF''s'!$E$6:$O$9929,5,FALSE)</f>
        <v>#N/A</v>
      </c>
      <c r="AE3331" s="380" t="e">
        <f>VLOOKUP($B3331,'D7 - NDB Impacted SPRF''s'!$E$6:$O$9929,7,FALSE)</f>
        <v>#N/A</v>
      </c>
      <c r="AF3331" s="380" t="e">
        <f>VLOOKUP($B3331,'D7 - NDB Impacted SPRF''s'!$E$6:$O$9929,6,FALSE)</f>
        <v>#N/A</v>
      </c>
      <c r="AG3331" s="282"/>
      <c r="AH3331" s="311" t="e">
        <f>INDEX('D5 - Gatekeeper - Projects'!$A$4:$AF$1010,$AM3331, 17)</f>
        <v>#N/A</v>
      </c>
      <c r="AI3331" s="8"/>
      <c r="AJ3331" s="57"/>
      <c r="AK3331" s="105"/>
      <c r="AM3331" s="6" t="e">
        <f>MATCH(D3331,'D5 - Gatekeeper - Projects'!$C$4:$C$1010,0)</f>
        <v>#N/A</v>
      </c>
      <c r="AN3331" s="6" t="b">
        <f t="shared" si="339"/>
        <v>1</v>
      </c>
      <c r="AO3331" s="6" t="str">
        <f t="shared" si="340"/>
        <v>OK</v>
      </c>
      <c r="AQ3331" s="6" t="e">
        <f>MATCH($D3331,'D4 - Provider Council Unsched'!$C$11:$C$234,0)</f>
        <v>#N/A</v>
      </c>
      <c r="AR3331" s="6" t="b">
        <f t="shared" si="341"/>
        <v>1</v>
      </c>
      <c r="AS3331" s="6" t="str">
        <f t="shared" si="344"/>
        <v>OK</v>
      </c>
      <c r="AU3331" s="202"/>
      <c r="AV3331" s="262"/>
      <c r="AW3331" s="274"/>
    </row>
    <row r="3332" spans="1:49" s="13" customFormat="1" x14ac:dyDescent="0.2">
      <c r="A3332" s="14"/>
      <c r="B3332" s="14" t="s">
        <v>5577</v>
      </c>
      <c r="C3332" s="8" t="s">
        <v>1447</v>
      </c>
      <c r="D3332" s="4" t="str">
        <f t="shared" si="345"/>
        <v>ZZ - New AddA</v>
      </c>
      <c r="E3332" s="309" t="e">
        <f>VLOOKUP($B3332,'D7 - NDB Impacted SPRF''s'!$E$6:$O$9929,2,FALSE)</f>
        <v>#N/A</v>
      </c>
      <c r="F3332" s="8"/>
      <c r="G3332" s="8" t="s">
        <v>2980</v>
      </c>
      <c r="H3332" s="8" t="s">
        <v>3103</v>
      </c>
      <c r="I3332" s="20"/>
      <c r="J3332" s="8"/>
      <c r="K3332" s="182"/>
      <c r="L3332" s="8" t="s">
        <v>4156</v>
      </c>
      <c r="M3332" s="8" t="s">
        <v>2814</v>
      </c>
      <c r="N3332" s="38"/>
      <c r="O3332" s="8"/>
      <c r="P3332" s="4" t="e">
        <f>VLOOKUP($B3332,'D7 - NDB Impacted SPRF''s'!$E$16:$O$9929,9,FALSE)</f>
        <v>#N/A</v>
      </c>
      <c r="Q3332" s="4" t="e">
        <f>VLOOKUP($B3332,'D7 - NDB Impacted SPRF''s'!$E$16:$O$9929,10,FALSE)</f>
        <v>#N/A</v>
      </c>
      <c r="R3332" s="4" t="e">
        <f>VLOOKUP($B3332,'D7 - NDB Impacted SPRF''s'!$E$16:$O$9929,11,FALSE)</f>
        <v>#N/A</v>
      </c>
      <c r="S3332" s="8"/>
      <c r="T3332" s="310"/>
      <c r="U3332" s="310"/>
      <c r="V3332" s="4"/>
      <c r="W3332" s="4"/>
      <c r="X3332" s="4"/>
      <c r="Y3332" s="4"/>
      <c r="Z3332" s="4"/>
      <c r="AA3332" s="4"/>
      <c r="AB3332" s="380" t="e">
        <f>VLOOKUP($B3332,'D7 - NDB Impacted SPRF''s'!$E$6:$O$9929,4,FALSE)</f>
        <v>#N/A</v>
      </c>
      <c r="AC3332" s="380" t="e">
        <f>VLOOKUP($B3332,'D7 - NDB Impacted SPRF''s'!$E$6:$O$9929,3,FALSE)</f>
        <v>#N/A</v>
      </c>
      <c r="AD3332" s="380" t="e">
        <f>VLOOKUP($B3332,'D7 - NDB Impacted SPRF''s'!$E$6:$O$9929,5,FALSE)</f>
        <v>#N/A</v>
      </c>
      <c r="AE3332" s="380" t="e">
        <f>VLOOKUP($B3332,'D7 - NDB Impacted SPRF''s'!$E$6:$O$9929,7,FALSE)</f>
        <v>#N/A</v>
      </c>
      <c r="AF3332" s="380" t="e">
        <f>VLOOKUP($B3332,'D7 - NDB Impacted SPRF''s'!$E$6:$O$9929,6,FALSE)</f>
        <v>#N/A</v>
      </c>
      <c r="AG3332" s="282"/>
      <c r="AH3332" s="311" t="e">
        <f>INDEX('D5 - Gatekeeper - Projects'!$A$4:$AF$1010,$AM3332, 17)</f>
        <v>#N/A</v>
      </c>
      <c r="AI3332" s="8"/>
      <c r="AJ3332" s="57"/>
      <c r="AK3332" s="105"/>
      <c r="AM3332" s="6" t="e">
        <f>MATCH(D3332,'D5 - Gatekeeper - Projects'!$C$4:$C$1010,0)</f>
        <v>#N/A</v>
      </c>
      <c r="AN3332" s="6" t="b">
        <f t="shared" si="339"/>
        <v>1</v>
      </c>
      <c r="AO3332" s="6" t="str">
        <f t="shared" si="340"/>
        <v>OK</v>
      </c>
      <c r="AQ3332" s="6" t="e">
        <f>MATCH($D3332,'D4 - Provider Council Unsched'!$C$11:$C$234,0)</f>
        <v>#N/A</v>
      </c>
      <c r="AR3332" s="6" t="b">
        <f t="shared" si="341"/>
        <v>1</v>
      </c>
      <c r="AS3332" s="6" t="str">
        <f t="shared" si="344"/>
        <v>OK</v>
      </c>
      <c r="AU3332" s="202"/>
      <c r="AV3332" s="262"/>
      <c r="AW3332" s="274"/>
    </row>
    <row r="3333" spans="1:49" s="13" customFormat="1" x14ac:dyDescent="0.2">
      <c r="A3333" s="14"/>
      <c r="B3333" s="14" t="s">
        <v>5577</v>
      </c>
      <c r="C3333" s="8" t="s">
        <v>1447</v>
      </c>
      <c r="D3333" s="4" t="str">
        <f t="shared" si="345"/>
        <v>ZZ - New AddA</v>
      </c>
      <c r="E3333" s="309" t="e">
        <f>VLOOKUP($B3333,'D7 - NDB Impacted SPRF''s'!$E$6:$O$9929,2,FALSE)</f>
        <v>#N/A</v>
      </c>
      <c r="F3333" s="8"/>
      <c r="G3333" s="8" t="s">
        <v>2980</v>
      </c>
      <c r="H3333" s="8" t="s">
        <v>3103</v>
      </c>
      <c r="I3333" s="20"/>
      <c r="J3333" s="8"/>
      <c r="K3333" s="182"/>
      <c r="L3333" s="8" t="s">
        <v>4156</v>
      </c>
      <c r="M3333" s="8" t="s">
        <v>2814</v>
      </c>
      <c r="N3333" s="38"/>
      <c r="O3333" s="8"/>
      <c r="P3333" s="4" t="e">
        <f>VLOOKUP($B3333,'D7 - NDB Impacted SPRF''s'!$E$16:$O$9929,9,FALSE)</f>
        <v>#N/A</v>
      </c>
      <c r="Q3333" s="4" t="e">
        <f>VLOOKUP($B3333,'D7 - NDB Impacted SPRF''s'!$E$16:$O$9929,10,FALSE)</f>
        <v>#N/A</v>
      </c>
      <c r="R3333" s="4" t="e">
        <f>VLOOKUP($B3333,'D7 - NDB Impacted SPRF''s'!$E$16:$O$9929,11,FALSE)</f>
        <v>#N/A</v>
      </c>
      <c r="S3333" s="8"/>
      <c r="T3333" s="310"/>
      <c r="U3333" s="310"/>
      <c r="V3333" s="4"/>
      <c r="W3333" s="4"/>
      <c r="X3333" s="4"/>
      <c r="Y3333" s="4"/>
      <c r="Z3333" s="4"/>
      <c r="AA3333" s="4"/>
      <c r="AB3333" s="380" t="e">
        <f>VLOOKUP($B3333,'D7 - NDB Impacted SPRF''s'!$E$6:$O$9929,4,FALSE)</f>
        <v>#N/A</v>
      </c>
      <c r="AC3333" s="380" t="e">
        <f>VLOOKUP($B3333,'D7 - NDB Impacted SPRF''s'!$E$6:$O$9929,3,FALSE)</f>
        <v>#N/A</v>
      </c>
      <c r="AD3333" s="380" t="e">
        <f>VLOOKUP($B3333,'D7 - NDB Impacted SPRF''s'!$E$6:$O$9929,5,FALSE)</f>
        <v>#N/A</v>
      </c>
      <c r="AE3333" s="380" t="e">
        <f>VLOOKUP($B3333,'D7 - NDB Impacted SPRF''s'!$E$6:$O$9929,7,FALSE)</f>
        <v>#N/A</v>
      </c>
      <c r="AF3333" s="380" t="e">
        <f>VLOOKUP($B3333,'D7 - NDB Impacted SPRF''s'!$E$6:$O$9929,6,FALSE)</f>
        <v>#N/A</v>
      </c>
      <c r="AG3333" s="282"/>
      <c r="AH3333" s="311" t="e">
        <f>INDEX('D5 - Gatekeeper - Projects'!$A$4:$AF$1010,$AM3333, 17)</f>
        <v>#N/A</v>
      </c>
      <c r="AI3333" s="8"/>
      <c r="AJ3333" s="57"/>
      <c r="AK3333" s="105"/>
      <c r="AM3333" s="6" t="e">
        <f>MATCH(D3333,'D5 - Gatekeeper - Projects'!$C$4:$C$1010,0)</f>
        <v>#N/A</v>
      </c>
      <c r="AN3333" s="6" t="b">
        <f t="shared" si="339"/>
        <v>1</v>
      </c>
      <c r="AO3333" s="6" t="str">
        <f t="shared" si="340"/>
        <v>OK</v>
      </c>
      <c r="AQ3333" s="6" t="e">
        <f>MATCH($D3333,'D4 - Provider Council Unsched'!$C$11:$C$234,0)</f>
        <v>#N/A</v>
      </c>
      <c r="AR3333" s="6" t="b">
        <f t="shared" si="341"/>
        <v>1</v>
      </c>
      <c r="AS3333" s="6" t="str">
        <f t="shared" si="344"/>
        <v>OK</v>
      </c>
      <c r="AU3333" s="202"/>
      <c r="AV3333" s="262"/>
      <c r="AW3333" s="274"/>
    </row>
    <row r="3334" spans="1:49" s="13" customFormat="1" ht="11.25" customHeight="1" x14ac:dyDescent="0.2">
      <c r="A3334" s="14"/>
      <c r="B3334" s="14" t="s">
        <v>5577</v>
      </c>
      <c r="C3334" s="8" t="s">
        <v>1447</v>
      </c>
      <c r="D3334" s="4" t="str">
        <f t="shared" si="345"/>
        <v>ZZ - New AddA</v>
      </c>
      <c r="E3334" s="309" t="e">
        <f>VLOOKUP($B3334,'D7 - NDB Impacted SPRF''s'!$E$6:$O$9929,2,FALSE)</f>
        <v>#N/A</v>
      </c>
      <c r="F3334" s="8"/>
      <c r="G3334" s="8" t="s">
        <v>2980</v>
      </c>
      <c r="H3334" s="8" t="s">
        <v>3103</v>
      </c>
      <c r="I3334" s="20"/>
      <c r="J3334" s="8"/>
      <c r="K3334" s="182"/>
      <c r="L3334" s="8" t="s">
        <v>4156</v>
      </c>
      <c r="M3334" s="8" t="s">
        <v>2814</v>
      </c>
      <c r="N3334" s="38"/>
      <c r="O3334" s="8"/>
      <c r="P3334" s="4" t="e">
        <f>VLOOKUP($B3334,'D7 - NDB Impacted SPRF''s'!$E$16:$O$9929,9,FALSE)</f>
        <v>#N/A</v>
      </c>
      <c r="Q3334" s="4" t="e">
        <f>VLOOKUP($B3334,'D7 - NDB Impacted SPRF''s'!$E$16:$O$9929,10,FALSE)</f>
        <v>#N/A</v>
      </c>
      <c r="R3334" s="4" t="e">
        <f>VLOOKUP($B3334,'D7 - NDB Impacted SPRF''s'!$E$16:$O$9929,11,FALSE)</f>
        <v>#N/A</v>
      </c>
      <c r="S3334" s="8"/>
      <c r="T3334" s="310"/>
      <c r="U3334" s="310"/>
      <c r="V3334" s="4"/>
      <c r="W3334" s="4"/>
      <c r="X3334" s="4"/>
      <c r="Y3334" s="4"/>
      <c r="Z3334" s="4"/>
      <c r="AA3334" s="4"/>
      <c r="AB3334" s="380" t="e">
        <f>VLOOKUP($B3334,'D7 - NDB Impacted SPRF''s'!$E$6:$O$9929,4,FALSE)</f>
        <v>#N/A</v>
      </c>
      <c r="AC3334" s="380" t="e">
        <f>VLOOKUP($B3334,'D7 - NDB Impacted SPRF''s'!$E$6:$O$9929,3,FALSE)</f>
        <v>#N/A</v>
      </c>
      <c r="AD3334" s="380" t="e">
        <f>VLOOKUP($B3334,'D7 - NDB Impacted SPRF''s'!$E$6:$O$9929,5,FALSE)</f>
        <v>#N/A</v>
      </c>
      <c r="AE3334" s="380" t="e">
        <f>VLOOKUP($B3334,'D7 - NDB Impacted SPRF''s'!$E$6:$O$9929,7,FALSE)</f>
        <v>#N/A</v>
      </c>
      <c r="AF3334" s="380" t="e">
        <f>VLOOKUP($B3334,'D7 - NDB Impacted SPRF''s'!$E$6:$O$9929,6,FALSE)</f>
        <v>#N/A</v>
      </c>
      <c r="AG3334" s="282"/>
      <c r="AH3334" s="311" t="e">
        <f>INDEX('D5 - Gatekeeper - Projects'!$A$4:$AF$1010,$AM3334, 17)</f>
        <v>#N/A</v>
      </c>
      <c r="AI3334" s="8"/>
      <c r="AJ3334" s="57"/>
      <c r="AK3334" s="105"/>
      <c r="AM3334" s="6" t="e">
        <f>MATCH(D3334,'D5 - Gatekeeper - Projects'!$C$4:$C$1010,0)</f>
        <v>#N/A</v>
      </c>
      <c r="AN3334" s="6" t="b">
        <f t="shared" si="339"/>
        <v>1</v>
      </c>
      <c r="AO3334" s="6" t="str">
        <f t="shared" si="340"/>
        <v>OK</v>
      </c>
      <c r="AQ3334" s="6" t="e">
        <f>MATCH($D3334,'D4 - Provider Council Unsched'!$C$11:$C$234,0)</f>
        <v>#N/A</v>
      </c>
      <c r="AR3334" s="6" t="b">
        <f t="shared" si="341"/>
        <v>1</v>
      </c>
      <c r="AS3334" s="6" t="str">
        <f t="shared" si="344"/>
        <v>OK</v>
      </c>
      <c r="AU3334" s="202"/>
      <c r="AV3334" s="262"/>
      <c r="AW3334" s="274"/>
    </row>
    <row r="3335" spans="1:49" s="13" customFormat="1" x14ac:dyDescent="0.2">
      <c r="A3335" s="14"/>
      <c r="B3335" s="14" t="s">
        <v>5577</v>
      </c>
      <c r="C3335" s="8" t="s">
        <v>1447</v>
      </c>
      <c r="D3335" s="4" t="str">
        <f t="shared" si="345"/>
        <v>ZZ - New AddA</v>
      </c>
      <c r="E3335" s="309" t="e">
        <f>VLOOKUP($B3335,'D7 - NDB Impacted SPRF''s'!$E$6:$O$9929,2,FALSE)</f>
        <v>#N/A</v>
      </c>
      <c r="F3335" s="8"/>
      <c r="G3335" s="8" t="s">
        <v>2980</v>
      </c>
      <c r="H3335" s="8" t="s">
        <v>3103</v>
      </c>
      <c r="I3335" s="20"/>
      <c r="J3335" s="8"/>
      <c r="K3335" s="182"/>
      <c r="L3335" s="8" t="s">
        <v>4156</v>
      </c>
      <c r="M3335" s="8" t="s">
        <v>2814</v>
      </c>
      <c r="N3335" s="38"/>
      <c r="O3335" s="8"/>
      <c r="P3335" s="4" t="e">
        <f>VLOOKUP($B3335,'D7 - NDB Impacted SPRF''s'!$E$16:$O$9929,9,FALSE)</f>
        <v>#N/A</v>
      </c>
      <c r="Q3335" s="4" t="e">
        <f>VLOOKUP($B3335,'D7 - NDB Impacted SPRF''s'!$E$16:$O$9929,10,FALSE)</f>
        <v>#N/A</v>
      </c>
      <c r="R3335" s="4" t="e">
        <f>VLOOKUP($B3335,'D7 - NDB Impacted SPRF''s'!$E$16:$O$9929,11,FALSE)</f>
        <v>#N/A</v>
      </c>
      <c r="S3335" s="8"/>
      <c r="T3335" s="310"/>
      <c r="U3335" s="310"/>
      <c r="V3335" s="4"/>
      <c r="W3335" s="4"/>
      <c r="X3335" s="4"/>
      <c r="Y3335" s="4"/>
      <c r="Z3335" s="4"/>
      <c r="AA3335" s="4"/>
      <c r="AB3335" s="380" t="e">
        <f>VLOOKUP($B3335,'D7 - NDB Impacted SPRF''s'!$E$6:$O$9929,4,FALSE)</f>
        <v>#N/A</v>
      </c>
      <c r="AC3335" s="380" t="e">
        <f>VLOOKUP($B3335,'D7 - NDB Impacted SPRF''s'!$E$6:$O$9929,3,FALSE)</f>
        <v>#N/A</v>
      </c>
      <c r="AD3335" s="380" t="e">
        <f>VLOOKUP($B3335,'D7 - NDB Impacted SPRF''s'!$E$6:$O$9929,5,FALSE)</f>
        <v>#N/A</v>
      </c>
      <c r="AE3335" s="380" t="e">
        <f>VLOOKUP($B3335,'D7 - NDB Impacted SPRF''s'!$E$6:$O$9929,7,FALSE)</f>
        <v>#N/A</v>
      </c>
      <c r="AF3335" s="380" t="e">
        <f>VLOOKUP($B3335,'D7 - NDB Impacted SPRF''s'!$E$6:$O$9929,6,FALSE)</f>
        <v>#N/A</v>
      </c>
      <c r="AG3335" s="282"/>
      <c r="AH3335" s="311" t="e">
        <f>INDEX('D5 - Gatekeeper - Projects'!$A$4:$AF$1010,$AM3335, 17)</f>
        <v>#N/A</v>
      </c>
      <c r="AI3335" s="8"/>
      <c r="AJ3335" s="57"/>
      <c r="AK3335" s="105"/>
      <c r="AM3335" s="6" t="e">
        <f>MATCH(D3335,'D5 - Gatekeeper - Projects'!$C$4:$C$1010,0)</f>
        <v>#N/A</v>
      </c>
      <c r="AN3335" s="6" t="b">
        <f t="shared" si="339"/>
        <v>1</v>
      </c>
      <c r="AO3335" s="6" t="str">
        <f t="shared" si="340"/>
        <v>OK</v>
      </c>
      <c r="AQ3335" s="6" t="e">
        <f>MATCH($D3335,'D4 - Provider Council Unsched'!$C$11:$C$234,0)</f>
        <v>#N/A</v>
      </c>
      <c r="AR3335" s="6" t="b">
        <f t="shared" si="341"/>
        <v>1</v>
      </c>
      <c r="AS3335" s="6" t="str">
        <f t="shared" si="344"/>
        <v>OK</v>
      </c>
      <c r="AU3335" s="202"/>
      <c r="AV3335" s="262"/>
      <c r="AW3335" s="274"/>
    </row>
    <row r="3336" spans="1:49" s="13" customFormat="1" x14ac:dyDescent="0.2">
      <c r="A3336" s="14"/>
      <c r="B3336" s="14" t="s">
        <v>5577</v>
      </c>
      <c r="C3336" s="8" t="s">
        <v>1447</v>
      </c>
      <c r="D3336" s="4" t="str">
        <f t="shared" si="345"/>
        <v>ZZ - New AddA</v>
      </c>
      <c r="E3336" s="309" t="e">
        <f>VLOOKUP($B3336,'D7 - NDB Impacted SPRF''s'!$E$6:$O$9929,2,FALSE)</f>
        <v>#N/A</v>
      </c>
      <c r="F3336" s="8"/>
      <c r="G3336" s="8" t="s">
        <v>2980</v>
      </c>
      <c r="H3336" s="8" t="s">
        <v>3103</v>
      </c>
      <c r="I3336" s="20"/>
      <c r="J3336" s="8"/>
      <c r="K3336" s="182"/>
      <c r="L3336" s="8" t="s">
        <v>4156</v>
      </c>
      <c r="M3336" s="8" t="s">
        <v>2814</v>
      </c>
      <c r="N3336" s="38"/>
      <c r="O3336" s="8"/>
      <c r="P3336" s="4" t="e">
        <f>VLOOKUP($B3336,'D7 - NDB Impacted SPRF''s'!$E$16:$O$9929,9,FALSE)</f>
        <v>#N/A</v>
      </c>
      <c r="Q3336" s="4" t="e">
        <f>VLOOKUP($B3336,'D7 - NDB Impacted SPRF''s'!$E$16:$O$9929,10,FALSE)</f>
        <v>#N/A</v>
      </c>
      <c r="R3336" s="4" t="e">
        <f>VLOOKUP($B3336,'D7 - NDB Impacted SPRF''s'!$E$16:$O$9929,11,FALSE)</f>
        <v>#N/A</v>
      </c>
      <c r="S3336" s="8"/>
      <c r="T3336" s="310"/>
      <c r="U3336" s="310"/>
      <c r="V3336" s="4"/>
      <c r="W3336" s="4"/>
      <c r="X3336" s="4"/>
      <c r="Y3336" s="4"/>
      <c r="Z3336" s="4"/>
      <c r="AA3336" s="4"/>
      <c r="AB3336" s="380" t="e">
        <f>VLOOKUP($B3336,'D7 - NDB Impacted SPRF''s'!$E$6:$O$9929,4,FALSE)</f>
        <v>#N/A</v>
      </c>
      <c r="AC3336" s="380" t="e">
        <f>VLOOKUP($B3336,'D7 - NDB Impacted SPRF''s'!$E$6:$O$9929,3,FALSE)</f>
        <v>#N/A</v>
      </c>
      <c r="AD3336" s="380" t="e">
        <f>VLOOKUP($B3336,'D7 - NDB Impacted SPRF''s'!$E$6:$O$9929,5,FALSE)</f>
        <v>#N/A</v>
      </c>
      <c r="AE3336" s="380" t="e">
        <f>VLOOKUP($B3336,'D7 - NDB Impacted SPRF''s'!$E$6:$O$9929,7,FALSE)</f>
        <v>#N/A</v>
      </c>
      <c r="AF3336" s="380" t="e">
        <f>VLOOKUP($B3336,'D7 - NDB Impacted SPRF''s'!$E$6:$O$9929,6,FALSE)</f>
        <v>#N/A</v>
      </c>
      <c r="AG3336" s="282"/>
      <c r="AH3336" s="311" t="e">
        <f>INDEX('D5 - Gatekeeper - Projects'!$A$4:$AF$1010,$AM3336, 17)</f>
        <v>#N/A</v>
      </c>
      <c r="AI3336" s="8"/>
      <c r="AJ3336" s="57"/>
      <c r="AK3336" s="105"/>
      <c r="AM3336" s="6" t="e">
        <f>MATCH(D3336,'D5 - Gatekeeper - Projects'!$C$4:$C$1010,0)</f>
        <v>#N/A</v>
      </c>
      <c r="AN3336" s="6" t="b">
        <f t="shared" si="339"/>
        <v>1</v>
      </c>
      <c r="AO3336" s="6" t="str">
        <f t="shared" si="340"/>
        <v>OK</v>
      </c>
      <c r="AQ3336" s="6" t="e">
        <f>MATCH($D3336,'D4 - Provider Council Unsched'!$C$11:$C$234,0)</f>
        <v>#N/A</v>
      </c>
      <c r="AR3336" s="6" t="b">
        <f t="shared" si="341"/>
        <v>1</v>
      </c>
      <c r="AS3336" s="6" t="str">
        <f t="shared" si="344"/>
        <v>OK</v>
      </c>
      <c r="AU3336" s="202"/>
      <c r="AV3336" s="262"/>
      <c r="AW3336" s="274"/>
    </row>
    <row r="3337" spans="1:49" s="13" customFormat="1" x14ac:dyDescent="0.2">
      <c r="A3337" s="14"/>
      <c r="B3337" s="14" t="s">
        <v>5577</v>
      </c>
      <c r="C3337" s="8" t="s">
        <v>1447</v>
      </c>
      <c r="D3337" s="4" t="str">
        <f t="shared" si="345"/>
        <v>ZZ - New AddA</v>
      </c>
      <c r="E3337" s="309" t="e">
        <f>VLOOKUP($B3337,'D7 - NDB Impacted SPRF''s'!$E$6:$O$9929,2,FALSE)</f>
        <v>#N/A</v>
      </c>
      <c r="F3337" s="8"/>
      <c r="G3337" s="8" t="s">
        <v>2980</v>
      </c>
      <c r="H3337" s="8" t="s">
        <v>3103</v>
      </c>
      <c r="I3337" s="20"/>
      <c r="J3337" s="8"/>
      <c r="K3337" s="182"/>
      <c r="L3337" s="8" t="s">
        <v>4156</v>
      </c>
      <c r="M3337" s="8" t="s">
        <v>2814</v>
      </c>
      <c r="N3337" s="38"/>
      <c r="O3337" s="8"/>
      <c r="P3337" s="4" t="e">
        <f>VLOOKUP($B3337,'D7 - NDB Impacted SPRF''s'!$E$16:$O$9929,9,FALSE)</f>
        <v>#N/A</v>
      </c>
      <c r="Q3337" s="4" t="e">
        <f>VLOOKUP($B3337,'D7 - NDB Impacted SPRF''s'!$E$16:$O$9929,10,FALSE)</f>
        <v>#N/A</v>
      </c>
      <c r="R3337" s="4" t="e">
        <f>VLOOKUP($B3337,'D7 - NDB Impacted SPRF''s'!$E$16:$O$9929,11,FALSE)</f>
        <v>#N/A</v>
      </c>
      <c r="S3337" s="8"/>
      <c r="T3337" s="310"/>
      <c r="U3337" s="310"/>
      <c r="V3337" s="4"/>
      <c r="W3337" s="4"/>
      <c r="X3337" s="4"/>
      <c r="Y3337" s="4"/>
      <c r="Z3337" s="4"/>
      <c r="AA3337" s="4"/>
      <c r="AB3337" s="380" t="e">
        <f>VLOOKUP($B3337,'D7 - NDB Impacted SPRF''s'!$E$6:$O$9929,4,FALSE)</f>
        <v>#N/A</v>
      </c>
      <c r="AC3337" s="380" t="e">
        <f>VLOOKUP($B3337,'D7 - NDB Impacted SPRF''s'!$E$6:$O$9929,3,FALSE)</f>
        <v>#N/A</v>
      </c>
      <c r="AD3337" s="380" t="e">
        <f>VLOOKUP($B3337,'D7 - NDB Impacted SPRF''s'!$E$6:$O$9929,5,FALSE)</f>
        <v>#N/A</v>
      </c>
      <c r="AE3337" s="380" t="e">
        <f>VLOOKUP($B3337,'D7 - NDB Impacted SPRF''s'!$E$6:$O$9929,7,FALSE)</f>
        <v>#N/A</v>
      </c>
      <c r="AF3337" s="380" t="e">
        <f>VLOOKUP($B3337,'D7 - NDB Impacted SPRF''s'!$E$6:$O$9929,6,FALSE)</f>
        <v>#N/A</v>
      </c>
      <c r="AG3337" s="282"/>
      <c r="AH3337" s="311" t="e">
        <f>INDEX('D5 - Gatekeeper - Projects'!$A$4:$AF$1010,$AM3337, 17)</f>
        <v>#N/A</v>
      </c>
      <c r="AI3337" s="8"/>
      <c r="AJ3337" s="57"/>
      <c r="AK3337" s="105"/>
      <c r="AM3337" s="6" t="e">
        <f>MATCH(D3337,'D5 - Gatekeeper - Projects'!$C$4:$C$1010,0)</f>
        <v>#N/A</v>
      </c>
      <c r="AN3337" s="6" t="b">
        <f t="shared" si="339"/>
        <v>1</v>
      </c>
      <c r="AO3337" s="6" t="str">
        <f t="shared" si="340"/>
        <v>OK</v>
      </c>
      <c r="AQ3337" s="6" t="e">
        <f>MATCH($D3337,'D4 - Provider Council Unsched'!$C$11:$C$234,0)</f>
        <v>#N/A</v>
      </c>
      <c r="AR3337" s="6" t="b">
        <f t="shared" si="341"/>
        <v>1</v>
      </c>
      <c r="AS3337" s="6" t="str">
        <f t="shared" si="344"/>
        <v>OK</v>
      </c>
      <c r="AU3337" s="202"/>
      <c r="AV3337" s="262"/>
      <c r="AW3337" s="274"/>
    </row>
    <row r="3338" spans="1:49" s="13" customFormat="1" ht="11.25" customHeight="1" x14ac:dyDescent="0.2">
      <c r="A3338" s="14"/>
      <c r="B3338" s="14" t="s">
        <v>5577</v>
      </c>
      <c r="C3338" s="8" t="s">
        <v>1447</v>
      </c>
      <c r="D3338" s="4" t="str">
        <f t="shared" si="345"/>
        <v>ZZ - New AddA</v>
      </c>
      <c r="E3338" s="309" t="e">
        <f>VLOOKUP($B3338,'D7 - NDB Impacted SPRF''s'!$E$6:$O$9929,2,FALSE)</f>
        <v>#N/A</v>
      </c>
      <c r="F3338" s="8"/>
      <c r="G3338" s="8" t="s">
        <v>2980</v>
      </c>
      <c r="H3338" s="8" t="s">
        <v>3103</v>
      </c>
      <c r="I3338" s="20"/>
      <c r="J3338" s="8"/>
      <c r="K3338" s="182"/>
      <c r="L3338" s="8" t="s">
        <v>4156</v>
      </c>
      <c r="M3338" s="8" t="s">
        <v>2814</v>
      </c>
      <c r="N3338" s="38"/>
      <c r="O3338" s="8"/>
      <c r="P3338" s="4" t="e">
        <f>VLOOKUP($B3338,'D7 - NDB Impacted SPRF''s'!$E$16:$O$9929,9,FALSE)</f>
        <v>#N/A</v>
      </c>
      <c r="Q3338" s="4" t="e">
        <f>VLOOKUP($B3338,'D7 - NDB Impacted SPRF''s'!$E$16:$O$9929,10,FALSE)</f>
        <v>#N/A</v>
      </c>
      <c r="R3338" s="4" t="e">
        <f>VLOOKUP($B3338,'D7 - NDB Impacted SPRF''s'!$E$16:$O$9929,11,FALSE)</f>
        <v>#N/A</v>
      </c>
      <c r="S3338" s="8"/>
      <c r="T3338" s="310"/>
      <c r="U3338" s="310"/>
      <c r="V3338" s="4"/>
      <c r="W3338" s="4"/>
      <c r="X3338" s="4"/>
      <c r="Y3338" s="4"/>
      <c r="Z3338" s="4"/>
      <c r="AA3338" s="4"/>
      <c r="AB3338" s="380" t="e">
        <f>VLOOKUP($B3338,'D7 - NDB Impacted SPRF''s'!$E$6:$O$9929,4,FALSE)</f>
        <v>#N/A</v>
      </c>
      <c r="AC3338" s="380" t="e">
        <f>VLOOKUP($B3338,'D7 - NDB Impacted SPRF''s'!$E$6:$O$9929,3,FALSE)</f>
        <v>#N/A</v>
      </c>
      <c r="AD3338" s="380" t="e">
        <f>VLOOKUP($B3338,'D7 - NDB Impacted SPRF''s'!$E$6:$O$9929,5,FALSE)</f>
        <v>#N/A</v>
      </c>
      <c r="AE3338" s="380" t="e">
        <f>VLOOKUP($B3338,'D7 - NDB Impacted SPRF''s'!$E$6:$O$9929,7,FALSE)</f>
        <v>#N/A</v>
      </c>
      <c r="AF3338" s="380" t="e">
        <f>VLOOKUP($B3338,'D7 - NDB Impacted SPRF''s'!$E$6:$O$9929,6,FALSE)</f>
        <v>#N/A</v>
      </c>
      <c r="AG3338" s="282"/>
      <c r="AH3338" s="311" t="e">
        <f>INDEX('D5 - Gatekeeper - Projects'!$A$4:$AF$1010,$AM3338, 17)</f>
        <v>#N/A</v>
      </c>
      <c r="AI3338" s="8"/>
      <c r="AJ3338" s="57"/>
      <c r="AK3338" s="105"/>
      <c r="AM3338" s="6" t="e">
        <f>MATCH(D3338,'D5 - Gatekeeper - Projects'!$C$4:$C$1010,0)</f>
        <v>#N/A</v>
      </c>
      <c r="AN3338" s="6" t="b">
        <f t="shared" si="339"/>
        <v>1</v>
      </c>
      <c r="AO3338" s="6" t="str">
        <f t="shared" si="340"/>
        <v>OK</v>
      </c>
      <c r="AQ3338" s="6" t="e">
        <f>MATCH($D3338,'D4 - Provider Council Unsched'!$C$11:$C$234,0)</f>
        <v>#N/A</v>
      </c>
      <c r="AR3338" s="6" t="b">
        <f t="shared" si="341"/>
        <v>1</v>
      </c>
      <c r="AS3338" s="6" t="str">
        <f t="shared" si="344"/>
        <v>OK</v>
      </c>
      <c r="AU3338" s="202"/>
      <c r="AV3338" s="262"/>
      <c r="AW3338" s="274"/>
    </row>
    <row r="3339" spans="1:49" s="13" customFormat="1" x14ac:dyDescent="0.2">
      <c r="A3339" s="14"/>
      <c r="B3339" s="14" t="s">
        <v>5577</v>
      </c>
      <c r="C3339" s="8" t="s">
        <v>1447</v>
      </c>
      <c r="D3339" s="4" t="str">
        <f t="shared" si="345"/>
        <v>ZZ - New AddA</v>
      </c>
      <c r="E3339" s="309" t="e">
        <f>VLOOKUP($B3339,'D7 - NDB Impacted SPRF''s'!$E$6:$O$9929,2,FALSE)</f>
        <v>#N/A</v>
      </c>
      <c r="F3339" s="8"/>
      <c r="G3339" s="8" t="s">
        <v>2980</v>
      </c>
      <c r="H3339" s="8" t="s">
        <v>3103</v>
      </c>
      <c r="I3339" s="20"/>
      <c r="J3339" s="8"/>
      <c r="K3339" s="182"/>
      <c r="L3339" s="8" t="s">
        <v>4156</v>
      </c>
      <c r="M3339" s="8" t="s">
        <v>2814</v>
      </c>
      <c r="N3339" s="38"/>
      <c r="O3339" s="8"/>
      <c r="P3339" s="4" t="e">
        <f>VLOOKUP($B3339,'D7 - NDB Impacted SPRF''s'!$E$16:$O$9929,9,FALSE)</f>
        <v>#N/A</v>
      </c>
      <c r="Q3339" s="4" t="e">
        <f>VLOOKUP($B3339,'D7 - NDB Impacted SPRF''s'!$E$16:$O$9929,10,FALSE)</f>
        <v>#N/A</v>
      </c>
      <c r="R3339" s="4" t="e">
        <f>VLOOKUP($B3339,'D7 - NDB Impacted SPRF''s'!$E$16:$O$9929,11,FALSE)</f>
        <v>#N/A</v>
      </c>
      <c r="S3339" s="8"/>
      <c r="T3339" s="310"/>
      <c r="U3339" s="310"/>
      <c r="V3339" s="4"/>
      <c r="W3339" s="4"/>
      <c r="X3339" s="4"/>
      <c r="Y3339" s="4"/>
      <c r="Z3339" s="4"/>
      <c r="AA3339" s="4"/>
      <c r="AB3339" s="380" t="e">
        <f>VLOOKUP($B3339,'D7 - NDB Impacted SPRF''s'!$E$6:$O$9929,4,FALSE)</f>
        <v>#N/A</v>
      </c>
      <c r="AC3339" s="380" t="e">
        <f>VLOOKUP($B3339,'D7 - NDB Impacted SPRF''s'!$E$6:$O$9929,3,FALSE)</f>
        <v>#N/A</v>
      </c>
      <c r="AD3339" s="380" t="e">
        <f>VLOOKUP($B3339,'D7 - NDB Impacted SPRF''s'!$E$6:$O$9929,5,FALSE)</f>
        <v>#N/A</v>
      </c>
      <c r="AE3339" s="380" t="e">
        <f>VLOOKUP($B3339,'D7 - NDB Impacted SPRF''s'!$E$6:$O$9929,7,FALSE)</f>
        <v>#N/A</v>
      </c>
      <c r="AF3339" s="380" t="e">
        <f>VLOOKUP($B3339,'D7 - NDB Impacted SPRF''s'!$E$6:$O$9929,6,FALSE)</f>
        <v>#N/A</v>
      </c>
      <c r="AG3339" s="282"/>
      <c r="AH3339" s="311" t="e">
        <f>INDEX('D5 - Gatekeeper - Projects'!$A$4:$AF$1010,$AM3339, 17)</f>
        <v>#N/A</v>
      </c>
      <c r="AI3339" s="8"/>
      <c r="AJ3339" s="57"/>
      <c r="AK3339" s="105"/>
      <c r="AM3339" s="6" t="e">
        <f>MATCH(D3339,'D5 - Gatekeeper - Projects'!$C$4:$C$1010,0)</f>
        <v>#N/A</v>
      </c>
      <c r="AN3339" s="6" t="b">
        <f t="shared" si="339"/>
        <v>1</v>
      </c>
      <c r="AO3339" s="6" t="str">
        <f t="shared" si="340"/>
        <v>OK</v>
      </c>
      <c r="AQ3339" s="6" t="e">
        <f>MATCH($D3339,'D4 - Provider Council Unsched'!$C$11:$C$234,0)</f>
        <v>#N/A</v>
      </c>
      <c r="AR3339" s="6" t="b">
        <f t="shared" si="341"/>
        <v>1</v>
      </c>
      <c r="AS3339" s="6" t="str">
        <f t="shared" si="344"/>
        <v>OK</v>
      </c>
      <c r="AU3339" s="202"/>
      <c r="AV3339" s="262"/>
      <c r="AW3339" s="274"/>
    </row>
    <row r="3340" spans="1:49" s="13" customFormat="1" ht="11.25" customHeight="1" x14ac:dyDescent="0.2">
      <c r="A3340" s="14"/>
      <c r="B3340" s="14" t="s">
        <v>5577</v>
      </c>
      <c r="C3340" s="8" t="s">
        <v>1447</v>
      </c>
      <c r="D3340" s="4" t="str">
        <f t="shared" si="345"/>
        <v>ZZ - New AddA</v>
      </c>
      <c r="E3340" s="309" t="e">
        <f>VLOOKUP($B3340,'D7 - NDB Impacted SPRF''s'!$E$6:$O$9929,2,FALSE)</f>
        <v>#N/A</v>
      </c>
      <c r="F3340" s="8"/>
      <c r="G3340" s="8" t="s">
        <v>2980</v>
      </c>
      <c r="H3340" s="8" t="s">
        <v>3103</v>
      </c>
      <c r="I3340" s="20"/>
      <c r="J3340" s="8"/>
      <c r="K3340" s="182"/>
      <c r="L3340" s="8" t="s">
        <v>4156</v>
      </c>
      <c r="M3340" s="8" t="s">
        <v>2814</v>
      </c>
      <c r="N3340" s="38"/>
      <c r="O3340" s="8"/>
      <c r="P3340" s="4" t="e">
        <f>VLOOKUP($B3340,'D7 - NDB Impacted SPRF''s'!$E$16:$O$9929,9,FALSE)</f>
        <v>#N/A</v>
      </c>
      <c r="Q3340" s="4" t="e">
        <f>VLOOKUP($B3340,'D7 - NDB Impacted SPRF''s'!$E$16:$O$9929,10,FALSE)</f>
        <v>#N/A</v>
      </c>
      <c r="R3340" s="4" t="e">
        <f>VLOOKUP($B3340,'D7 - NDB Impacted SPRF''s'!$E$16:$O$9929,11,FALSE)</f>
        <v>#N/A</v>
      </c>
      <c r="S3340" s="8"/>
      <c r="T3340" s="310"/>
      <c r="U3340" s="310"/>
      <c r="V3340" s="4"/>
      <c r="W3340" s="4"/>
      <c r="X3340" s="4"/>
      <c r="Y3340" s="4"/>
      <c r="Z3340" s="4"/>
      <c r="AA3340" s="4"/>
      <c r="AB3340" s="380" t="e">
        <f>VLOOKUP($B3340,'D7 - NDB Impacted SPRF''s'!$E$6:$O$9929,4,FALSE)</f>
        <v>#N/A</v>
      </c>
      <c r="AC3340" s="380" t="e">
        <f>VLOOKUP($B3340,'D7 - NDB Impacted SPRF''s'!$E$6:$O$9929,3,FALSE)</f>
        <v>#N/A</v>
      </c>
      <c r="AD3340" s="380" t="e">
        <f>VLOOKUP($B3340,'D7 - NDB Impacted SPRF''s'!$E$6:$O$9929,5,FALSE)</f>
        <v>#N/A</v>
      </c>
      <c r="AE3340" s="380" t="e">
        <f>VLOOKUP($B3340,'D7 - NDB Impacted SPRF''s'!$E$6:$O$9929,7,FALSE)</f>
        <v>#N/A</v>
      </c>
      <c r="AF3340" s="380" t="e">
        <f>VLOOKUP($B3340,'D7 - NDB Impacted SPRF''s'!$E$6:$O$9929,6,FALSE)</f>
        <v>#N/A</v>
      </c>
      <c r="AG3340" s="282"/>
      <c r="AH3340" s="311" t="e">
        <f>INDEX('D5 - Gatekeeper - Projects'!$A$4:$AF$1010,$AM3340, 17)</f>
        <v>#N/A</v>
      </c>
      <c r="AI3340" s="8"/>
      <c r="AJ3340" s="57"/>
      <c r="AK3340" s="105"/>
      <c r="AM3340" s="6" t="e">
        <f>MATCH(D3340,'D5 - Gatekeeper - Projects'!$C$4:$C$1010,0)</f>
        <v>#N/A</v>
      </c>
      <c r="AN3340" s="6" t="b">
        <f t="shared" si="339"/>
        <v>1</v>
      </c>
      <c r="AO3340" s="6" t="str">
        <f t="shared" si="340"/>
        <v>OK</v>
      </c>
      <c r="AQ3340" s="6" t="e">
        <f>MATCH($D3340,'D4 - Provider Council Unsched'!$C$11:$C$234,0)</f>
        <v>#N/A</v>
      </c>
      <c r="AR3340" s="6" t="b">
        <f t="shared" si="341"/>
        <v>1</v>
      </c>
      <c r="AS3340" s="6" t="str">
        <f t="shared" si="344"/>
        <v>OK</v>
      </c>
      <c r="AU3340" s="202"/>
      <c r="AV3340" s="262"/>
      <c r="AW3340" s="274"/>
    </row>
    <row r="3341" spans="1:49" s="13" customFormat="1" x14ac:dyDescent="0.2">
      <c r="A3341" s="14"/>
      <c r="B3341" s="14" t="s">
        <v>5577</v>
      </c>
      <c r="C3341" s="8" t="s">
        <v>1447</v>
      </c>
      <c r="D3341" s="4" t="str">
        <f t="shared" si="345"/>
        <v>ZZ - New AddA</v>
      </c>
      <c r="E3341" s="309" t="e">
        <f>VLOOKUP($B3341,'D7 - NDB Impacted SPRF''s'!$E$6:$O$9929,2,FALSE)</f>
        <v>#N/A</v>
      </c>
      <c r="F3341" s="8"/>
      <c r="G3341" s="8" t="s">
        <v>2980</v>
      </c>
      <c r="H3341" s="8" t="s">
        <v>3103</v>
      </c>
      <c r="I3341" s="20"/>
      <c r="J3341" s="8"/>
      <c r="K3341" s="182"/>
      <c r="L3341" s="8" t="s">
        <v>4156</v>
      </c>
      <c r="M3341" s="8" t="s">
        <v>2814</v>
      </c>
      <c r="N3341" s="38"/>
      <c r="O3341" s="8"/>
      <c r="P3341" s="4" t="e">
        <f>VLOOKUP($B3341,'D7 - NDB Impacted SPRF''s'!$E$16:$O$9929,9,FALSE)</f>
        <v>#N/A</v>
      </c>
      <c r="Q3341" s="4" t="e">
        <f>VLOOKUP($B3341,'D7 - NDB Impacted SPRF''s'!$E$16:$O$9929,10,FALSE)</f>
        <v>#N/A</v>
      </c>
      <c r="R3341" s="4" t="e">
        <f>VLOOKUP($B3341,'D7 - NDB Impacted SPRF''s'!$E$16:$O$9929,11,FALSE)</f>
        <v>#N/A</v>
      </c>
      <c r="S3341" s="8"/>
      <c r="T3341" s="310"/>
      <c r="U3341" s="310"/>
      <c r="V3341" s="4"/>
      <c r="W3341" s="4"/>
      <c r="X3341" s="4"/>
      <c r="Y3341" s="4"/>
      <c r="Z3341" s="4"/>
      <c r="AA3341" s="4"/>
      <c r="AB3341" s="380" t="e">
        <f>VLOOKUP($B3341,'D7 - NDB Impacted SPRF''s'!$E$6:$O$9929,4,FALSE)</f>
        <v>#N/A</v>
      </c>
      <c r="AC3341" s="380" t="e">
        <f>VLOOKUP($B3341,'D7 - NDB Impacted SPRF''s'!$E$6:$O$9929,3,FALSE)</f>
        <v>#N/A</v>
      </c>
      <c r="AD3341" s="380" t="e">
        <f>VLOOKUP($B3341,'D7 - NDB Impacted SPRF''s'!$E$6:$O$9929,5,FALSE)</f>
        <v>#N/A</v>
      </c>
      <c r="AE3341" s="380" t="e">
        <f>VLOOKUP($B3341,'D7 - NDB Impacted SPRF''s'!$E$6:$O$9929,7,FALSE)</f>
        <v>#N/A</v>
      </c>
      <c r="AF3341" s="380" t="e">
        <f>VLOOKUP($B3341,'D7 - NDB Impacted SPRF''s'!$E$6:$O$9929,6,FALSE)</f>
        <v>#N/A</v>
      </c>
      <c r="AG3341" s="282"/>
      <c r="AH3341" s="311" t="e">
        <f>INDEX('D5 - Gatekeeper - Projects'!$A$4:$AF$1010,$AM3341, 17)</f>
        <v>#N/A</v>
      </c>
      <c r="AI3341" s="8"/>
      <c r="AJ3341" s="57"/>
      <c r="AK3341" s="105"/>
      <c r="AM3341" s="6" t="e">
        <f>MATCH(D3341,'D5 - Gatekeeper - Projects'!$C$4:$C$1010,0)</f>
        <v>#N/A</v>
      </c>
      <c r="AN3341" s="6" t="b">
        <f t="shared" si="339"/>
        <v>1</v>
      </c>
      <c r="AO3341" s="6" t="str">
        <f t="shared" si="340"/>
        <v>OK</v>
      </c>
      <c r="AQ3341" s="6" t="e">
        <f>MATCH($D3341,'D4 - Provider Council Unsched'!$C$11:$C$234,0)</f>
        <v>#N/A</v>
      </c>
      <c r="AR3341" s="6" t="b">
        <f t="shared" si="341"/>
        <v>1</v>
      </c>
      <c r="AS3341" s="6" t="str">
        <f t="shared" si="344"/>
        <v>OK</v>
      </c>
      <c r="AU3341" s="202"/>
      <c r="AV3341" s="262"/>
      <c r="AW3341" s="274"/>
    </row>
    <row r="3342" spans="1:49" s="13" customFormat="1" x14ac:dyDescent="0.2">
      <c r="A3342" s="14"/>
      <c r="B3342" s="14" t="s">
        <v>5577</v>
      </c>
      <c r="C3342" s="8" t="s">
        <v>1447</v>
      </c>
      <c r="D3342" s="4" t="str">
        <f t="shared" si="345"/>
        <v>ZZ - New AddA</v>
      </c>
      <c r="E3342" s="309" t="e">
        <f>VLOOKUP($B3342,'D7 - NDB Impacted SPRF''s'!$E$6:$O$9929,2,FALSE)</f>
        <v>#N/A</v>
      </c>
      <c r="F3342" s="8"/>
      <c r="G3342" s="8" t="s">
        <v>2980</v>
      </c>
      <c r="H3342" s="8" t="s">
        <v>3103</v>
      </c>
      <c r="I3342" s="20"/>
      <c r="J3342" s="8"/>
      <c r="K3342" s="182"/>
      <c r="L3342" s="8" t="s">
        <v>4156</v>
      </c>
      <c r="M3342" s="8" t="s">
        <v>2814</v>
      </c>
      <c r="N3342" s="38"/>
      <c r="O3342" s="8"/>
      <c r="P3342" s="4" t="e">
        <f>VLOOKUP($B3342,'D7 - NDB Impacted SPRF''s'!$E$16:$O$9929,9,FALSE)</f>
        <v>#N/A</v>
      </c>
      <c r="Q3342" s="4" t="e">
        <f>VLOOKUP($B3342,'D7 - NDB Impacted SPRF''s'!$E$16:$O$9929,10,FALSE)</f>
        <v>#N/A</v>
      </c>
      <c r="R3342" s="4" t="e">
        <f>VLOOKUP($B3342,'D7 - NDB Impacted SPRF''s'!$E$16:$O$9929,11,FALSE)</f>
        <v>#N/A</v>
      </c>
      <c r="S3342" s="8"/>
      <c r="T3342" s="310"/>
      <c r="U3342" s="310"/>
      <c r="V3342" s="4"/>
      <c r="W3342" s="4"/>
      <c r="X3342" s="4"/>
      <c r="Y3342" s="4"/>
      <c r="Z3342" s="4"/>
      <c r="AA3342" s="4"/>
      <c r="AB3342" s="380" t="e">
        <f>VLOOKUP($B3342,'D7 - NDB Impacted SPRF''s'!$E$6:$O$9929,4,FALSE)</f>
        <v>#N/A</v>
      </c>
      <c r="AC3342" s="380" t="e">
        <f>VLOOKUP($B3342,'D7 - NDB Impacted SPRF''s'!$E$6:$O$9929,3,FALSE)</f>
        <v>#N/A</v>
      </c>
      <c r="AD3342" s="380" t="e">
        <f>VLOOKUP($B3342,'D7 - NDB Impacted SPRF''s'!$E$6:$O$9929,5,FALSE)</f>
        <v>#N/A</v>
      </c>
      <c r="AE3342" s="380" t="e">
        <f>VLOOKUP($B3342,'D7 - NDB Impacted SPRF''s'!$E$6:$O$9929,7,FALSE)</f>
        <v>#N/A</v>
      </c>
      <c r="AF3342" s="380" t="e">
        <f>VLOOKUP($B3342,'D7 - NDB Impacted SPRF''s'!$E$6:$O$9929,6,FALSE)</f>
        <v>#N/A</v>
      </c>
      <c r="AG3342" s="282"/>
      <c r="AH3342" s="311" t="e">
        <f>INDEX('D5 - Gatekeeper - Projects'!$A$4:$AF$1010,$AM3342, 17)</f>
        <v>#N/A</v>
      </c>
      <c r="AI3342" s="8"/>
      <c r="AJ3342" s="57"/>
      <c r="AK3342" s="105"/>
      <c r="AM3342" s="6" t="e">
        <f>MATCH(D3342,'D5 - Gatekeeper - Projects'!$C$4:$C$1010,0)</f>
        <v>#N/A</v>
      </c>
      <c r="AN3342" s="6" t="b">
        <f t="shared" ref="AN3342:AN3350" si="346">ISERROR(AM3342)</f>
        <v>1</v>
      </c>
      <c r="AO3342" s="6" t="str">
        <f t="shared" ref="AO3342:AO3350" si="347">IF(AND(H3342="1 - Scheduled",AN3342=TRUE),"Add","OK")</f>
        <v>OK</v>
      </c>
      <c r="AQ3342" s="6" t="e">
        <f>MATCH($D3342,'D4 - Provider Council Unsched'!$C$11:$C$234,0)</f>
        <v>#N/A</v>
      </c>
      <c r="AR3342" s="6" t="b">
        <f t="shared" ref="AR3342:AR3350" si="348">ISERROR(AQ3342)</f>
        <v>1</v>
      </c>
      <c r="AS3342" s="6" t="str">
        <f t="shared" si="344"/>
        <v>OK</v>
      </c>
      <c r="AU3342" s="202"/>
      <c r="AV3342" s="262"/>
      <c r="AW3342" s="274"/>
    </row>
    <row r="3343" spans="1:49" s="13" customFormat="1" x14ac:dyDescent="0.2">
      <c r="A3343" s="14"/>
      <c r="B3343" s="14" t="s">
        <v>5577</v>
      </c>
      <c r="C3343" s="8" t="s">
        <v>1447</v>
      </c>
      <c r="D3343" s="4" t="str">
        <f t="shared" si="345"/>
        <v>ZZ - New AddA</v>
      </c>
      <c r="E3343" s="309" t="e">
        <f>VLOOKUP($B3343,'D7 - NDB Impacted SPRF''s'!$E$6:$O$9929,2,FALSE)</f>
        <v>#N/A</v>
      </c>
      <c r="F3343" s="8"/>
      <c r="G3343" s="8" t="s">
        <v>2980</v>
      </c>
      <c r="H3343" s="8" t="s">
        <v>3103</v>
      </c>
      <c r="I3343" s="20"/>
      <c r="J3343" s="8"/>
      <c r="K3343" s="182"/>
      <c r="L3343" s="8" t="s">
        <v>4156</v>
      </c>
      <c r="M3343" s="8" t="s">
        <v>2814</v>
      </c>
      <c r="N3343" s="38"/>
      <c r="O3343" s="8"/>
      <c r="P3343" s="4" t="e">
        <f>VLOOKUP($B3343,'D7 - NDB Impacted SPRF''s'!$E$16:$O$9929,9,FALSE)</f>
        <v>#N/A</v>
      </c>
      <c r="Q3343" s="4" t="e">
        <f>VLOOKUP($B3343,'D7 - NDB Impacted SPRF''s'!$E$16:$O$9929,10,FALSE)</f>
        <v>#N/A</v>
      </c>
      <c r="R3343" s="4" t="e">
        <f>VLOOKUP($B3343,'D7 - NDB Impacted SPRF''s'!$E$16:$O$9929,11,FALSE)</f>
        <v>#N/A</v>
      </c>
      <c r="S3343" s="8"/>
      <c r="T3343" s="310"/>
      <c r="U3343" s="310"/>
      <c r="V3343" s="4"/>
      <c r="W3343" s="4"/>
      <c r="X3343" s="4"/>
      <c r="Y3343" s="4"/>
      <c r="Z3343" s="4"/>
      <c r="AA3343" s="4"/>
      <c r="AB3343" s="380" t="e">
        <f>VLOOKUP($B3343,'D7 - NDB Impacted SPRF''s'!$E$6:$O$9929,4,FALSE)</f>
        <v>#N/A</v>
      </c>
      <c r="AC3343" s="380" t="e">
        <f>VLOOKUP($B3343,'D7 - NDB Impacted SPRF''s'!$E$6:$O$9929,3,FALSE)</f>
        <v>#N/A</v>
      </c>
      <c r="AD3343" s="380" t="e">
        <f>VLOOKUP($B3343,'D7 - NDB Impacted SPRF''s'!$E$6:$O$9929,5,FALSE)</f>
        <v>#N/A</v>
      </c>
      <c r="AE3343" s="380" t="e">
        <f>VLOOKUP($B3343,'D7 - NDB Impacted SPRF''s'!$E$6:$O$9929,7,FALSE)</f>
        <v>#N/A</v>
      </c>
      <c r="AF3343" s="380" t="e">
        <f>VLOOKUP($B3343,'D7 - NDB Impacted SPRF''s'!$E$6:$O$9929,6,FALSE)</f>
        <v>#N/A</v>
      </c>
      <c r="AG3343" s="282"/>
      <c r="AH3343" s="311" t="e">
        <f>INDEX('D5 - Gatekeeper - Projects'!$A$4:$AF$1010,$AM3343, 17)</f>
        <v>#N/A</v>
      </c>
      <c r="AI3343" s="8"/>
      <c r="AJ3343" s="57"/>
      <c r="AK3343" s="105"/>
      <c r="AM3343" s="6" t="e">
        <f>MATCH(D3343,'D5 - Gatekeeper - Projects'!$C$4:$C$1010,0)</f>
        <v>#N/A</v>
      </c>
      <c r="AN3343" s="6" t="b">
        <f t="shared" si="346"/>
        <v>1</v>
      </c>
      <c r="AO3343" s="6" t="str">
        <f t="shared" si="347"/>
        <v>OK</v>
      </c>
      <c r="AQ3343" s="6" t="e">
        <f>MATCH($D3343,'D4 - Provider Council Unsched'!$C$11:$C$234,0)</f>
        <v>#N/A</v>
      </c>
      <c r="AR3343" s="6" t="b">
        <f t="shared" si="348"/>
        <v>1</v>
      </c>
      <c r="AS3343" s="6" t="str">
        <f t="shared" si="344"/>
        <v>OK</v>
      </c>
      <c r="AU3343" s="202"/>
      <c r="AV3343" s="262"/>
      <c r="AW3343" s="274"/>
    </row>
    <row r="3344" spans="1:49" s="13" customFormat="1" x14ac:dyDescent="0.2">
      <c r="A3344" s="14"/>
      <c r="B3344" s="14" t="s">
        <v>5577</v>
      </c>
      <c r="C3344" s="8" t="s">
        <v>1447</v>
      </c>
      <c r="D3344" s="4" t="str">
        <f t="shared" si="345"/>
        <v>ZZ - New AddA</v>
      </c>
      <c r="E3344" s="309" t="e">
        <f>VLOOKUP($B3344,'D7 - NDB Impacted SPRF''s'!$E$6:$O$9929,2,FALSE)</f>
        <v>#N/A</v>
      </c>
      <c r="F3344" s="8"/>
      <c r="G3344" s="8" t="s">
        <v>2980</v>
      </c>
      <c r="H3344" s="8" t="s">
        <v>3103</v>
      </c>
      <c r="I3344" s="20"/>
      <c r="J3344" s="8"/>
      <c r="K3344" s="182"/>
      <c r="L3344" s="8" t="s">
        <v>4156</v>
      </c>
      <c r="M3344" s="8" t="s">
        <v>2814</v>
      </c>
      <c r="N3344" s="38"/>
      <c r="O3344" s="8"/>
      <c r="P3344" s="4" t="e">
        <f>VLOOKUP($B3344,'D7 - NDB Impacted SPRF''s'!$E$16:$O$9929,9,FALSE)</f>
        <v>#N/A</v>
      </c>
      <c r="Q3344" s="4" t="e">
        <f>VLOOKUP($B3344,'D7 - NDB Impacted SPRF''s'!$E$16:$O$9929,10,FALSE)</f>
        <v>#N/A</v>
      </c>
      <c r="R3344" s="4" t="e">
        <f>VLOOKUP($B3344,'D7 - NDB Impacted SPRF''s'!$E$16:$O$9929,11,FALSE)</f>
        <v>#N/A</v>
      </c>
      <c r="S3344" s="8"/>
      <c r="T3344" s="310"/>
      <c r="U3344" s="310"/>
      <c r="V3344" s="4"/>
      <c r="W3344" s="4"/>
      <c r="X3344" s="4"/>
      <c r="Y3344" s="4"/>
      <c r="Z3344" s="4"/>
      <c r="AA3344" s="4"/>
      <c r="AB3344" s="380" t="e">
        <f>VLOOKUP($B3344,'D7 - NDB Impacted SPRF''s'!$E$6:$O$9929,4,FALSE)</f>
        <v>#N/A</v>
      </c>
      <c r="AC3344" s="380" t="e">
        <f>VLOOKUP($B3344,'D7 - NDB Impacted SPRF''s'!$E$6:$O$9929,3,FALSE)</f>
        <v>#N/A</v>
      </c>
      <c r="AD3344" s="380" t="e">
        <f>VLOOKUP($B3344,'D7 - NDB Impacted SPRF''s'!$E$6:$O$9929,5,FALSE)</f>
        <v>#N/A</v>
      </c>
      <c r="AE3344" s="380" t="e">
        <f>VLOOKUP($B3344,'D7 - NDB Impacted SPRF''s'!$E$6:$O$9929,7,FALSE)</f>
        <v>#N/A</v>
      </c>
      <c r="AF3344" s="380" t="e">
        <f>VLOOKUP($B3344,'D7 - NDB Impacted SPRF''s'!$E$6:$O$9929,6,FALSE)</f>
        <v>#N/A</v>
      </c>
      <c r="AG3344" s="282"/>
      <c r="AH3344" s="311" t="e">
        <f>INDEX('D5 - Gatekeeper - Projects'!$A$4:$AF$1010,$AM3344, 17)</f>
        <v>#N/A</v>
      </c>
      <c r="AI3344" s="8"/>
      <c r="AJ3344" s="57"/>
      <c r="AK3344" s="105"/>
      <c r="AM3344" s="6" t="e">
        <f>MATCH(D3344,'D5 - Gatekeeper - Projects'!$C$4:$C$1010,0)</f>
        <v>#N/A</v>
      </c>
      <c r="AN3344" s="6" t="b">
        <f t="shared" si="346"/>
        <v>1</v>
      </c>
      <c r="AO3344" s="6" t="str">
        <f t="shared" si="347"/>
        <v>OK</v>
      </c>
      <c r="AQ3344" s="6" t="e">
        <f>MATCH($D3344,'D4 - Provider Council Unsched'!$C$11:$C$234,0)</f>
        <v>#N/A</v>
      </c>
      <c r="AR3344" s="6" t="b">
        <f t="shared" si="348"/>
        <v>1</v>
      </c>
      <c r="AS3344" s="6" t="str">
        <f t="shared" ref="AS3344:AS3350" si="349">IF(AND(H3344="2 - Not Scheduled",AR3344=TRUE,C3344="R1"),"Add","OK")</f>
        <v>OK</v>
      </c>
      <c r="AU3344" s="202"/>
      <c r="AV3344" s="262"/>
      <c r="AW3344" s="274"/>
    </row>
    <row r="3345" spans="1:49" s="13" customFormat="1" ht="11.25" customHeight="1" x14ac:dyDescent="0.2">
      <c r="A3345" s="14"/>
      <c r="B3345" s="14" t="s">
        <v>5577</v>
      </c>
      <c r="C3345" s="8" t="s">
        <v>1447</v>
      </c>
      <c r="D3345" s="4" t="str">
        <f t="shared" ref="D3345:D3350" si="350">CONCATENATE(B3345,C3345)</f>
        <v>ZZ - New AddA</v>
      </c>
      <c r="E3345" s="309" t="e">
        <f>VLOOKUP($B3345,'D7 - NDB Impacted SPRF''s'!$E$6:$O$9929,2,FALSE)</f>
        <v>#N/A</v>
      </c>
      <c r="F3345" s="8"/>
      <c r="G3345" s="8" t="s">
        <v>2980</v>
      </c>
      <c r="H3345" s="8" t="s">
        <v>3103</v>
      </c>
      <c r="I3345" s="20"/>
      <c r="J3345" s="8"/>
      <c r="K3345" s="182"/>
      <c r="L3345" s="8" t="s">
        <v>4156</v>
      </c>
      <c r="M3345" s="8" t="s">
        <v>2814</v>
      </c>
      <c r="N3345" s="38"/>
      <c r="O3345" s="8"/>
      <c r="P3345" s="4" t="e">
        <f>VLOOKUP($B3345,'D7 - NDB Impacted SPRF''s'!$E$16:$O$9929,9,FALSE)</f>
        <v>#N/A</v>
      </c>
      <c r="Q3345" s="4" t="e">
        <f>VLOOKUP($B3345,'D7 - NDB Impacted SPRF''s'!$E$16:$O$9929,10,FALSE)</f>
        <v>#N/A</v>
      </c>
      <c r="R3345" s="4" t="e">
        <f>VLOOKUP($B3345,'D7 - NDB Impacted SPRF''s'!$E$16:$O$9929,11,FALSE)</f>
        <v>#N/A</v>
      </c>
      <c r="S3345" s="8"/>
      <c r="T3345" s="310"/>
      <c r="U3345" s="310"/>
      <c r="V3345" s="4"/>
      <c r="W3345" s="4"/>
      <c r="X3345" s="4"/>
      <c r="Y3345" s="4"/>
      <c r="Z3345" s="4"/>
      <c r="AA3345" s="4"/>
      <c r="AB3345" s="380" t="e">
        <f>VLOOKUP($B3345,'D7 - NDB Impacted SPRF''s'!$E$6:$O$9929,4,FALSE)</f>
        <v>#N/A</v>
      </c>
      <c r="AC3345" s="380" t="e">
        <f>VLOOKUP($B3345,'D7 - NDB Impacted SPRF''s'!$E$6:$O$9929,3,FALSE)</f>
        <v>#N/A</v>
      </c>
      <c r="AD3345" s="380" t="e">
        <f>VLOOKUP($B3345,'D7 - NDB Impacted SPRF''s'!$E$6:$O$9929,5,FALSE)</f>
        <v>#N/A</v>
      </c>
      <c r="AE3345" s="380" t="e">
        <f>VLOOKUP($B3345,'D7 - NDB Impacted SPRF''s'!$E$6:$O$9929,7,FALSE)</f>
        <v>#N/A</v>
      </c>
      <c r="AF3345" s="380" t="e">
        <f>VLOOKUP($B3345,'D7 - NDB Impacted SPRF''s'!$E$6:$O$9929,6,FALSE)</f>
        <v>#N/A</v>
      </c>
      <c r="AG3345" s="282"/>
      <c r="AH3345" s="311" t="e">
        <f>INDEX('D5 - Gatekeeper - Projects'!$A$4:$AF$1010,$AM3345, 17)</f>
        <v>#N/A</v>
      </c>
      <c r="AI3345" s="8"/>
      <c r="AJ3345" s="57"/>
      <c r="AK3345" s="105"/>
      <c r="AM3345" s="6" t="e">
        <f>MATCH(D3345,'D5 - Gatekeeper - Projects'!$C$4:$C$1010,0)</f>
        <v>#N/A</v>
      </c>
      <c r="AN3345" s="6" t="b">
        <f t="shared" si="346"/>
        <v>1</v>
      </c>
      <c r="AO3345" s="6" t="str">
        <f t="shared" si="347"/>
        <v>OK</v>
      </c>
      <c r="AQ3345" s="6" t="e">
        <f>MATCH($D3345,'D4 - Provider Council Unsched'!$C$11:$C$234,0)</f>
        <v>#N/A</v>
      </c>
      <c r="AR3345" s="6" t="b">
        <f t="shared" si="348"/>
        <v>1</v>
      </c>
      <c r="AS3345" s="6" t="str">
        <f t="shared" si="349"/>
        <v>OK</v>
      </c>
      <c r="AU3345" s="202"/>
      <c r="AV3345" s="262"/>
      <c r="AW3345" s="274"/>
    </row>
    <row r="3346" spans="1:49" s="13" customFormat="1" x14ac:dyDescent="0.2">
      <c r="A3346" s="14"/>
      <c r="B3346" s="14" t="s">
        <v>5577</v>
      </c>
      <c r="C3346" s="8" t="s">
        <v>1447</v>
      </c>
      <c r="D3346" s="4" t="str">
        <f t="shared" si="350"/>
        <v>ZZ - New AddA</v>
      </c>
      <c r="E3346" s="309" t="e">
        <f>VLOOKUP($B3346,'D7 - NDB Impacted SPRF''s'!$E$6:$O$9929,2,FALSE)</f>
        <v>#N/A</v>
      </c>
      <c r="F3346" s="8"/>
      <c r="G3346" s="8" t="s">
        <v>2980</v>
      </c>
      <c r="H3346" s="8" t="s">
        <v>3103</v>
      </c>
      <c r="I3346" s="20"/>
      <c r="J3346" s="8"/>
      <c r="K3346" s="182"/>
      <c r="L3346" s="8" t="s">
        <v>4156</v>
      </c>
      <c r="M3346" s="8" t="s">
        <v>2814</v>
      </c>
      <c r="N3346" s="38"/>
      <c r="O3346" s="8"/>
      <c r="P3346" s="4" t="e">
        <f>VLOOKUP($B3346,'D7 - NDB Impacted SPRF''s'!$E$16:$O$9929,9,FALSE)</f>
        <v>#N/A</v>
      </c>
      <c r="Q3346" s="4" t="e">
        <f>VLOOKUP($B3346,'D7 - NDB Impacted SPRF''s'!$E$16:$O$9929,10,FALSE)</f>
        <v>#N/A</v>
      </c>
      <c r="R3346" s="4" t="e">
        <f>VLOOKUP($B3346,'D7 - NDB Impacted SPRF''s'!$E$16:$O$9929,11,FALSE)</f>
        <v>#N/A</v>
      </c>
      <c r="S3346" s="8"/>
      <c r="T3346" s="310"/>
      <c r="U3346" s="310"/>
      <c r="V3346" s="4"/>
      <c r="W3346" s="4"/>
      <c r="X3346" s="4"/>
      <c r="Y3346" s="4"/>
      <c r="Z3346" s="4"/>
      <c r="AA3346" s="4"/>
      <c r="AB3346" s="380" t="e">
        <f>VLOOKUP($B3346,'D7 - NDB Impacted SPRF''s'!$E$6:$O$9929,4,FALSE)</f>
        <v>#N/A</v>
      </c>
      <c r="AC3346" s="380" t="e">
        <f>VLOOKUP($B3346,'D7 - NDB Impacted SPRF''s'!$E$6:$O$9929,3,FALSE)</f>
        <v>#N/A</v>
      </c>
      <c r="AD3346" s="380" t="e">
        <f>VLOOKUP($B3346,'D7 - NDB Impacted SPRF''s'!$E$6:$O$9929,5,FALSE)</f>
        <v>#N/A</v>
      </c>
      <c r="AE3346" s="380" t="e">
        <f>VLOOKUP($B3346,'D7 - NDB Impacted SPRF''s'!$E$6:$O$9929,7,FALSE)</f>
        <v>#N/A</v>
      </c>
      <c r="AF3346" s="380" t="e">
        <f>VLOOKUP($B3346,'D7 - NDB Impacted SPRF''s'!$E$6:$O$9929,6,FALSE)</f>
        <v>#N/A</v>
      </c>
      <c r="AG3346" s="282"/>
      <c r="AH3346" s="311" t="e">
        <f>INDEX('D5 - Gatekeeper - Projects'!$A$4:$AF$1010,$AM3346, 17)</f>
        <v>#N/A</v>
      </c>
      <c r="AI3346" s="8"/>
      <c r="AJ3346" s="57"/>
      <c r="AK3346" s="105"/>
      <c r="AM3346" s="6" t="e">
        <f>MATCH(D3346,'D5 - Gatekeeper - Projects'!$C$4:$C$1010,0)</f>
        <v>#N/A</v>
      </c>
      <c r="AN3346" s="6" t="b">
        <f t="shared" si="346"/>
        <v>1</v>
      </c>
      <c r="AO3346" s="6" t="str">
        <f t="shared" si="347"/>
        <v>OK</v>
      </c>
      <c r="AQ3346" s="6" t="e">
        <f>MATCH($D3346,'D4 - Provider Council Unsched'!$C$11:$C$234,0)</f>
        <v>#N/A</v>
      </c>
      <c r="AR3346" s="6" t="b">
        <f t="shared" si="348"/>
        <v>1</v>
      </c>
      <c r="AS3346" s="6" t="str">
        <f t="shared" si="349"/>
        <v>OK</v>
      </c>
      <c r="AU3346" s="202"/>
      <c r="AV3346" s="262"/>
      <c r="AW3346" s="274"/>
    </row>
    <row r="3347" spans="1:49" s="13" customFormat="1" x14ac:dyDescent="0.2">
      <c r="A3347" s="14"/>
      <c r="B3347" s="14" t="s">
        <v>5577</v>
      </c>
      <c r="C3347" s="8" t="s">
        <v>1447</v>
      </c>
      <c r="D3347" s="4" t="str">
        <f t="shared" si="350"/>
        <v>ZZ - New AddA</v>
      </c>
      <c r="E3347" s="309" t="e">
        <f>VLOOKUP($B3347,'D7 - NDB Impacted SPRF''s'!$E$6:$O$9929,2,FALSE)</f>
        <v>#N/A</v>
      </c>
      <c r="F3347" s="8"/>
      <c r="G3347" s="8" t="s">
        <v>2980</v>
      </c>
      <c r="H3347" s="8" t="s">
        <v>3103</v>
      </c>
      <c r="I3347" s="20"/>
      <c r="J3347" s="8"/>
      <c r="K3347" s="182"/>
      <c r="L3347" s="8" t="s">
        <v>4156</v>
      </c>
      <c r="M3347" s="8" t="s">
        <v>2814</v>
      </c>
      <c r="N3347" s="38"/>
      <c r="O3347" s="8"/>
      <c r="P3347" s="4" t="e">
        <f>VLOOKUP($B3347,'D7 - NDB Impacted SPRF''s'!$E$16:$O$9929,9,FALSE)</f>
        <v>#N/A</v>
      </c>
      <c r="Q3347" s="4" t="e">
        <f>VLOOKUP($B3347,'D7 - NDB Impacted SPRF''s'!$E$16:$O$9929,10,FALSE)</f>
        <v>#N/A</v>
      </c>
      <c r="R3347" s="4" t="e">
        <f>VLOOKUP($B3347,'D7 - NDB Impacted SPRF''s'!$E$16:$O$9929,11,FALSE)</f>
        <v>#N/A</v>
      </c>
      <c r="S3347" s="8"/>
      <c r="T3347" s="310"/>
      <c r="U3347" s="310"/>
      <c r="V3347" s="4"/>
      <c r="W3347" s="4"/>
      <c r="X3347" s="4"/>
      <c r="Y3347" s="4"/>
      <c r="Z3347" s="4"/>
      <c r="AA3347" s="4"/>
      <c r="AB3347" s="380" t="e">
        <f>VLOOKUP($B3347,'D7 - NDB Impacted SPRF''s'!$E$6:$O$9929,4,FALSE)</f>
        <v>#N/A</v>
      </c>
      <c r="AC3347" s="380" t="e">
        <f>VLOOKUP($B3347,'D7 - NDB Impacted SPRF''s'!$E$6:$O$9929,3,FALSE)</f>
        <v>#N/A</v>
      </c>
      <c r="AD3347" s="380" t="e">
        <f>VLOOKUP($B3347,'D7 - NDB Impacted SPRF''s'!$E$6:$O$9929,5,FALSE)</f>
        <v>#N/A</v>
      </c>
      <c r="AE3347" s="380" t="e">
        <f>VLOOKUP($B3347,'D7 - NDB Impacted SPRF''s'!$E$6:$O$9929,7,FALSE)</f>
        <v>#N/A</v>
      </c>
      <c r="AF3347" s="380" t="e">
        <f>VLOOKUP($B3347,'D7 - NDB Impacted SPRF''s'!$E$6:$O$9929,6,FALSE)</f>
        <v>#N/A</v>
      </c>
      <c r="AG3347" s="282"/>
      <c r="AH3347" s="311" t="e">
        <f>INDEX('D5 - Gatekeeper - Projects'!$A$4:$AF$1010,$AM3347, 17)</f>
        <v>#N/A</v>
      </c>
      <c r="AI3347" s="8"/>
      <c r="AJ3347" s="57"/>
      <c r="AK3347" s="105"/>
      <c r="AM3347" s="6" t="e">
        <f>MATCH(D3347,'D5 - Gatekeeper - Projects'!$C$4:$C$1010,0)</f>
        <v>#N/A</v>
      </c>
      <c r="AN3347" s="6" t="b">
        <f t="shared" si="346"/>
        <v>1</v>
      </c>
      <c r="AO3347" s="6" t="str">
        <f t="shared" si="347"/>
        <v>OK</v>
      </c>
      <c r="AQ3347" s="6" t="e">
        <f>MATCH($D3347,'D4 - Provider Council Unsched'!$C$11:$C$234,0)</f>
        <v>#N/A</v>
      </c>
      <c r="AR3347" s="6" t="b">
        <f t="shared" si="348"/>
        <v>1</v>
      </c>
      <c r="AS3347" s="6" t="str">
        <f t="shared" si="349"/>
        <v>OK</v>
      </c>
      <c r="AU3347" s="202"/>
      <c r="AV3347" s="262"/>
      <c r="AW3347" s="274"/>
    </row>
    <row r="3348" spans="1:49" s="13" customFormat="1" x14ac:dyDescent="0.2">
      <c r="A3348" s="14"/>
      <c r="B3348" s="14" t="s">
        <v>5577</v>
      </c>
      <c r="C3348" s="8" t="s">
        <v>1447</v>
      </c>
      <c r="D3348" s="4" t="str">
        <f t="shared" si="350"/>
        <v>ZZ - New AddA</v>
      </c>
      <c r="E3348" s="309" t="e">
        <f>VLOOKUP($B3348,'D7 - NDB Impacted SPRF''s'!$E$6:$O$9929,2,FALSE)</f>
        <v>#N/A</v>
      </c>
      <c r="F3348" s="8"/>
      <c r="G3348" s="8" t="s">
        <v>2980</v>
      </c>
      <c r="H3348" s="8" t="s">
        <v>3103</v>
      </c>
      <c r="I3348" s="20"/>
      <c r="J3348" s="8"/>
      <c r="K3348" s="182"/>
      <c r="L3348" s="8" t="s">
        <v>4156</v>
      </c>
      <c r="M3348" s="8" t="s">
        <v>2814</v>
      </c>
      <c r="N3348" s="38"/>
      <c r="O3348" s="8"/>
      <c r="P3348" s="4" t="e">
        <f>VLOOKUP($B3348,'D7 - NDB Impacted SPRF''s'!$E$16:$O$9929,9,FALSE)</f>
        <v>#N/A</v>
      </c>
      <c r="Q3348" s="4" t="e">
        <f>VLOOKUP($B3348,'D7 - NDB Impacted SPRF''s'!$E$16:$O$9929,10,FALSE)</f>
        <v>#N/A</v>
      </c>
      <c r="R3348" s="4" t="e">
        <f>VLOOKUP($B3348,'D7 - NDB Impacted SPRF''s'!$E$16:$O$9929,11,FALSE)</f>
        <v>#N/A</v>
      </c>
      <c r="S3348" s="8"/>
      <c r="T3348" s="310"/>
      <c r="U3348" s="310"/>
      <c r="V3348" s="4"/>
      <c r="W3348" s="4"/>
      <c r="X3348" s="4"/>
      <c r="Y3348" s="4"/>
      <c r="Z3348" s="4"/>
      <c r="AA3348" s="4"/>
      <c r="AB3348" s="380" t="e">
        <f>VLOOKUP($B3348,'D7 - NDB Impacted SPRF''s'!$E$6:$O$9929,4,FALSE)</f>
        <v>#N/A</v>
      </c>
      <c r="AC3348" s="380" t="e">
        <f>VLOOKUP($B3348,'D7 - NDB Impacted SPRF''s'!$E$6:$O$9929,3,FALSE)</f>
        <v>#N/A</v>
      </c>
      <c r="AD3348" s="380" t="e">
        <f>VLOOKUP($B3348,'D7 - NDB Impacted SPRF''s'!$E$6:$O$9929,5,FALSE)</f>
        <v>#N/A</v>
      </c>
      <c r="AE3348" s="380" t="e">
        <f>VLOOKUP($B3348,'D7 - NDB Impacted SPRF''s'!$E$6:$O$9929,7,FALSE)</f>
        <v>#N/A</v>
      </c>
      <c r="AF3348" s="380" t="e">
        <f>VLOOKUP($B3348,'D7 - NDB Impacted SPRF''s'!$E$6:$O$9929,6,FALSE)</f>
        <v>#N/A</v>
      </c>
      <c r="AG3348" s="282"/>
      <c r="AH3348" s="311" t="e">
        <f>INDEX('D5 - Gatekeeper - Projects'!$A$4:$AF$1010,$AM3348, 17)</f>
        <v>#N/A</v>
      </c>
      <c r="AI3348" s="8"/>
      <c r="AJ3348" s="57"/>
      <c r="AK3348" s="105"/>
      <c r="AM3348" s="6" t="e">
        <f>MATCH(D3348,'D5 - Gatekeeper - Projects'!$C$4:$C$1010,0)</f>
        <v>#N/A</v>
      </c>
      <c r="AN3348" s="6" t="b">
        <f t="shared" si="346"/>
        <v>1</v>
      </c>
      <c r="AO3348" s="6" t="str">
        <f t="shared" si="347"/>
        <v>OK</v>
      </c>
      <c r="AQ3348" s="6" t="e">
        <f>MATCH($D3348,'D4 - Provider Council Unsched'!$C$11:$C$234,0)</f>
        <v>#N/A</v>
      </c>
      <c r="AR3348" s="6" t="b">
        <f t="shared" si="348"/>
        <v>1</v>
      </c>
      <c r="AS3348" s="6" t="str">
        <f t="shared" si="349"/>
        <v>OK</v>
      </c>
      <c r="AU3348" s="202"/>
      <c r="AV3348" s="262"/>
      <c r="AW3348" s="274"/>
    </row>
    <row r="3349" spans="1:49" s="13" customFormat="1" x14ac:dyDescent="0.2">
      <c r="A3349" s="14"/>
      <c r="B3349" s="14" t="s">
        <v>5577</v>
      </c>
      <c r="C3349" s="8" t="s">
        <v>1447</v>
      </c>
      <c r="D3349" s="4" t="str">
        <f t="shared" si="350"/>
        <v>ZZ - New AddA</v>
      </c>
      <c r="E3349" s="309" t="e">
        <f>VLOOKUP($B3349,'D7 - NDB Impacted SPRF''s'!$E$6:$O$9929,2,FALSE)</f>
        <v>#N/A</v>
      </c>
      <c r="F3349" s="8"/>
      <c r="G3349" s="8" t="s">
        <v>2980</v>
      </c>
      <c r="H3349" s="8" t="s">
        <v>3103</v>
      </c>
      <c r="I3349" s="20"/>
      <c r="J3349" s="8"/>
      <c r="K3349" s="182"/>
      <c r="L3349" s="8" t="s">
        <v>4156</v>
      </c>
      <c r="M3349" s="8" t="s">
        <v>2814</v>
      </c>
      <c r="N3349" s="38"/>
      <c r="O3349" s="8"/>
      <c r="P3349" s="4" t="e">
        <f>VLOOKUP($B3349,'D7 - NDB Impacted SPRF''s'!$E$16:$O$9929,9,FALSE)</f>
        <v>#N/A</v>
      </c>
      <c r="Q3349" s="4" t="e">
        <f>VLOOKUP($B3349,'D7 - NDB Impacted SPRF''s'!$E$16:$O$9929,10,FALSE)</f>
        <v>#N/A</v>
      </c>
      <c r="R3349" s="4" t="e">
        <f>VLOOKUP($B3349,'D7 - NDB Impacted SPRF''s'!$E$16:$O$9929,11,FALSE)</f>
        <v>#N/A</v>
      </c>
      <c r="S3349" s="8"/>
      <c r="T3349" s="310"/>
      <c r="U3349" s="310"/>
      <c r="V3349" s="4"/>
      <c r="W3349" s="4"/>
      <c r="X3349" s="4"/>
      <c r="Y3349" s="4"/>
      <c r="Z3349" s="4"/>
      <c r="AA3349" s="4"/>
      <c r="AB3349" s="380" t="e">
        <f>VLOOKUP($B3349,'D7 - NDB Impacted SPRF''s'!$E$6:$O$9929,4,FALSE)</f>
        <v>#N/A</v>
      </c>
      <c r="AC3349" s="380" t="e">
        <f>VLOOKUP($B3349,'D7 - NDB Impacted SPRF''s'!$E$6:$O$9929,3,FALSE)</f>
        <v>#N/A</v>
      </c>
      <c r="AD3349" s="380" t="e">
        <f>VLOOKUP($B3349,'D7 - NDB Impacted SPRF''s'!$E$6:$O$9929,5,FALSE)</f>
        <v>#N/A</v>
      </c>
      <c r="AE3349" s="380" t="e">
        <f>VLOOKUP($B3349,'D7 - NDB Impacted SPRF''s'!$E$6:$O$9929,7,FALSE)</f>
        <v>#N/A</v>
      </c>
      <c r="AF3349" s="380" t="e">
        <f>VLOOKUP($B3349,'D7 - NDB Impacted SPRF''s'!$E$6:$O$9929,6,FALSE)</f>
        <v>#N/A</v>
      </c>
      <c r="AG3349" s="282"/>
      <c r="AH3349" s="311" t="e">
        <f>INDEX('D5 - Gatekeeper - Projects'!$A$4:$AF$1010,$AM3349, 17)</f>
        <v>#N/A</v>
      </c>
      <c r="AI3349" s="8"/>
      <c r="AJ3349" s="57"/>
      <c r="AK3349" s="105"/>
      <c r="AM3349" s="6" t="e">
        <f>MATCH(D3349,'D5 - Gatekeeper - Projects'!$C$4:$C$1010,0)</f>
        <v>#N/A</v>
      </c>
      <c r="AN3349" s="6" t="b">
        <f t="shared" si="346"/>
        <v>1</v>
      </c>
      <c r="AO3349" s="6" t="str">
        <f t="shared" si="347"/>
        <v>OK</v>
      </c>
      <c r="AQ3349" s="6" t="e">
        <f>MATCH($D3349,'D4 - Provider Council Unsched'!$C$11:$C$234,0)</f>
        <v>#N/A</v>
      </c>
      <c r="AR3349" s="6" t="b">
        <f t="shared" si="348"/>
        <v>1</v>
      </c>
      <c r="AS3349" s="6" t="str">
        <f t="shared" si="349"/>
        <v>OK</v>
      </c>
      <c r="AU3349" s="202"/>
      <c r="AV3349" s="262"/>
      <c r="AW3349" s="274"/>
    </row>
    <row r="3350" spans="1:49" s="13" customFormat="1" ht="11.25" customHeight="1" x14ac:dyDescent="0.2">
      <c r="A3350" s="14"/>
      <c r="B3350" s="14" t="s">
        <v>5577</v>
      </c>
      <c r="C3350" s="8" t="s">
        <v>1447</v>
      </c>
      <c r="D3350" s="4" t="str">
        <f t="shared" si="350"/>
        <v>ZZ - New AddA</v>
      </c>
      <c r="E3350" s="309" t="e">
        <f>VLOOKUP($B3350,'D7 - NDB Impacted SPRF''s'!$E$6:$O$9929,2,FALSE)</f>
        <v>#N/A</v>
      </c>
      <c r="F3350" s="8"/>
      <c r="G3350" s="8" t="s">
        <v>2980</v>
      </c>
      <c r="H3350" s="8" t="s">
        <v>3103</v>
      </c>
      <c r="I3350" s="20"/>
      <c r="J3350" s="8"/>
      <c r="K3350" s="182"/>
      <c r="L3350" s="8" t="s">
        <v>4156</v>
      </c>
      <c r="M3350" s="8" t="s">
        <v>2814</v>
      </c>
      <c r="N3350" s="38"/>
      <c r="O3350" s="8"/>
      <c r="P3350" s="4" t="e">
        <f>VLOOKUP($B3350,'D7 - NDB Impacted SPRF''s'!$E$16:$O$9929,9,FALSE)</f>
        <v>#N/A</v>
      </c>
      <c r="Q3350" s="4" t="e">
        <f>VLOOKUP($B3350,'D7 - NDB Impacted SPRF''s'!$E$16:$O$9929,10,FALSE)</f>
        <v>#N/A</v>
      </c>
      <c r="R3350" s="4" t="e">
        <f>VLOOKUP($B3350,'D7 - NDB Impacted SPRF''s'!$E$16:$O$9929,11,FALSE)</f>
        <v>#N/A</v>
      </c>
      <c r="S3350" s="8"/>
      <c r="T3350" s="310"/>
      <c r="U3350" s="310"/>
      <c r="V3350" s="4"/>
      <c r="W3350" s="4"/>
      <c r="X3350" s="4"/>
      <c r="Y3350" s="4"/>
      <c r="Z3350" s="4"/>
      <c r="AA3350" s="4"/>
      <c r="AB3350" s="380" t="e">
        <f>VLOOKUP($B3350,'D7 - NDB Impacted SPRF''s'!$E$6:$O$9929,4,FALSE)</f>
        <v>#N/A</v>
      </c>
      <c r="AC3350" s="380" t="e">
        <f>VLOOKUP($B3350,'D7 - NDB Impacted SPRF''s'!$E$6:$O$9929,3,FALSE)</f>
        <v>#N/A</v>
      </c>
      <c r="AD3350" s="380" t="e">
        <f>VLOOKUP($B3350,'D7 - NDB Impacted SPRF''s'!$E$6:$O$9929,5,FALSE)</f>
        <v>#N/A</v>
      </c>
      <c r="AE3350" s="380" t="e">
        <f>VLOOKUP($B3350,'D7 - NDB Impacted SPRF''s'!$E$6:$O$9929,7,FALSE)</f>
        <v>#N/A</v>
      </c>
      <c r="AF3350" s="380" t="e">
        <f>VLOOKUP($B3350,'D7 - NDB Impacted SPRF''s'!$E$6:$O$9929,6,FALSE)</f>
        <v>#N/A</v>
      </c>
      <c r="AG3350" s="282"/>
      <c r="AH3350" s="311" t="e">
        <f>INDEX('D5 - Gatekeeper - Projects'!$A$4:$AF$1010,$AM3350, 17)</f>
        <v>#N/A</v>
      </c>
      <c r="AI3350" s="8"/>
      <c r="AJ3350" s="57"/>
      <c r="AK3350" s="105"/>
      <c r="AM3350" s="6" t="e">
        <f>MATCH(D3350,'D5 - Gatekeeper - Projects'!$C$4:$C$1010,0)</f>
        <v>#N/A</v>
      </c>
      <c r="AN3350" s="6" t="b">
        <f t="shared" si="346"/>
        <v>1</v>
      </c>
      <c r="AO3350" s="6" t="str">
        <f t="shared" si="347"/>
        <v>OK</v>
      </c>
      <c r="AQ3350" s="6" t="e">
        <f>MATCH($D3350,'D4 - Provider Council Unsched'!$C$11:$C$234,0)</f>
        <v>#N/A</v>
      </c>
      <c r="AR3350" s="6" t="b">
        <f t="shared" si="348"/>
        <v>1</v>
      </c>
      <c r="AS3350" s="6" t="str">
        <f t="shared" si="349"/>
        <v>OK</v>
      </c>
      <c r="AU3350" s="202"/>
      <c r="AV3350" s="262"/>
      <c r="AW3350" s="274"/>
    </row>
  </sheetData>
  <autoFilter ref="A15:AK3350"/>
  <sortState ref="A17:AW3350">
    <sortCondition ref="H16"/>
    <sortCondition ref="K16"/>
    <sortCondition ref="D16"/>
  </sortState>
  <mergeCells count="2">
    <mergeCell ref="AM15:AO15"/>
    <mergeCell ref="AQ15:AS15"/>
  </mergeCells>
  <phoneticPr fontId="5" type="noConversion"/>
  <conditionalFormatting sqref="D1091">
    <cfRule type="cellIs" dxfId="6781" priority="5925" stopIfTrue="1" operator="equal">
      <formula>D888</formula>
    </cfRule>
  </conditionalFormatting>
  <conditionalFormatting sqref="D1092">
    <cfRule type="cellIs" dxfId="6780" priority="5926" stopIfTrue="1" operator="equal">
      <formula>D888</formula>
    </cfRule>
  </conditionalFormatting>
  <conditionalFormatting sqref="D1093">
    <cfRule type="cellIs" dxfId="6779" priority="5927" stopIfTrue="1" operator="equal">
      <formula>D888</formula>
    </cfRule>
  </conditionalFormatting>
  <conditionalFormatting sqref="D1094">
    <cfRule type="cellIs" dxfId="6778" priority="5928" stopIfTrue="1" operator="equal">
      <formula>D888</formula>
    </cfRule>
  </conditionalFormatting>
  <conditionalFormatting sqref="D1095">
    <cfRule type="cellIs" dxfId="6777" priority="5929" stopIfTrue="1" operator="equal">
      <formula>D888</formula>
    </cfRule>
  </conditionalFormatting>
  <conditionalFormatting sqref="D1096">
    <cfRule type="cellIs" dxfId="6776" priority="5930" stopIfTrue="1" operator="equal">
      <formula>D888</formula>
    </cfRule>
  </conditionalFormatting>
  <conditionalFormatting sqref="D1097:D1104">
    <cfRule type="cellIs" dxfId="6775" priority="5931" stopIfTrue="1" operator="equal">
      <formula>D874</formula>
    </cfRule>
  </conditionalFormatting>
  <conditionalFormatting sqref="D1105:D1109">
    <cfRule type="cellIs" dxfId="6774" priority="5932" stopIfTrue="1" operator="equal">
      <formula>D884</formula>
    </cfRule>
  </conditionalFormatting>
  <conditionalFormatting sqref="D1110:D1111">
    <cfRule type="cellIs" dxfId="6773" priority="5933" stopIfTrue="1" operator="equal">
      <formula>D882</formula>
    </cfRule>
  </conditionalFormatting>
  <conditionalFormatting sqref="D1131:D1132 D1112:D1118">
    <cfRule type="cellIs" dxfId="6772" priority="5934" stopIfTrue="1" operator="equal">
      <formula>D866</formula>
    </cfRule>
  </conditionalFormatting>
  <conditionalFormatting sqref="D934:D985 D987:D992 D994:D1011 D1013:D1086 D590 D577 D523 D924:D932 D525:D526 D516:D519 D1377:D1383 D606:D608 D595 D558:D562 D571:D572 D615:D616 D487:D488 D550:D552 D506 D529:D531 D583:D584 D599:D600 D602 D544:D546 D634:D921 D566 D592 D513 D626 D630:D631 D621:D623 D424:D425 D535:D542 D497:D498 D586:D587 D396 D494 D373 D472:D473 D468:D469 D450 D454:D455 D458:D459 D304 D297 D442:D443">
    <cfRule type="cellIs" dxfId="6771" priority="5935" stopIfTrue="1" operator="equal">
      <formula>D296</formula>
    </cfRule>
  </conditionalFormatting>
  <conditionalFormatting sqref="D1133:D1135">
    <cfRule type="cellIs" dxfId="6770" priority="5936" stopIfTrue="1" operator="equal">
      <formula>D884</formula>
    </cfRule>
  </conditionalFormatting>
  <conditionalFormatting sqref="D1162:D1168">
    <cfRule type="cellIs" dxfId="6769" priority="5937" stopIfTrue="1" operator="equal">
      <formula>D882</formula>
    </cfRule>
  </conditionalFormatting>
  <conditionalFormatting sqref="D1169:D1174">
    <cfRule type="cellIs" dxfId="6768" priority="5938" stopIfTrue="1" operator="equal">
      <formula>D882</formula>
    </cfRule>
  </conditionalFormatting>
  <conditionalFormatting sqref="D1175:D1177">
    <cfRule type="cellIs" dxfId="6767" priority="5939" stopIfTrue="1" operator="equal">
      <formula>D886</formula>
    </cfRule>
  </conditionalFormatting>
  <conditionalFormatting sqref="D1187:D1193">
    <cfRule type="cellIs" dxfId="6766" priority="5940" stopIfTrue="1" operator="equal">
      <formula>D882</formula>
    </cfRule>
  </conditionalFormatting>
  <conditionalFormatting sqref="D1194:D1195">
    <cfRule type="cellIs" dxfId="6765" priority="5941" stopIfTrue="1" operator="equal">
      <formula>D886</formula>
    </cfRule>
  </conditionalFormatting>
  <conditionalFormatting sqref="D1200">
    <cfRule type="cellIs" dxfId="6764" priority="5942" stopIfTrue="1" operator="equal">
      <formula>D888</formula>
    </cfRule>
  </conditionalFormatting>
  <conditionalFormatting sqref="D1201">
    <cfRule type="cellIs" dxfId="6763" priority="5943" stopIfTrue="1" operator="equal">
      <formula>D888</formula>
    </cfRule>
  </conditionalFormatting>
  <conditionalFormatting sqref="D1202">
    <cfRule type="cellIs" dxfId="6762" priority="5944" stopIfTrue="1" operator="equal">
      <formula>D882</formula>
    </cfRule>
  </conditionalFormatting>
  <conditionalFormatting sqref="D1217:D1218">
    <cfRule type="cellIs" dxfId="6761" priority="5945" stopIfTrue="1" operator="equal">
      <formula>D887</formula>
    </cfRule>
  </conditionalFormatting>
  <conditionalFormatting sqref="D1247:D1252">
    <cfRule type="cellIs" dxfId="6760" priority="5946" stopIfTrue="1" operator="equal">
      <formula>D874</formula>
    </cfRule>
  </conditionalFormatting>
  <conditionalFormatting sqref="D1239 D1219:D1225">
    <cfRule type="cellIs" dxfId="6759" priority="5947" stopIfTrue="1" operator="equal">
      <formula>D858</formula>
    </cfRule>
  </conditionalFormatting>
  <conditionalFormatting sqref="D1240:D1241">
    <cfRule type="cellIs" dxfId="6758" priority="5948" stopIfTrue="1" operator="equal">
      <formula>D880</formula>
    </cfRule>
  </conditionalFormatting>
  <conditionalFormatting sqref="D1242:D1246">
    <cfRule type="cellIs" dxfId="6757" priority="5949" stopIfTrue="1" operator="equal">
      <formula>D883</formula>
    </cfRule>
  </conditionalFormatting>
  <conditionalFormatting sqref="D1253:D1267">
    <cfRule type="cellIs" dxfId="6756" priority="5950" stopIfTrue="1" operator="equal">
      <formula>D870</formula>
    </cfRule>
  </conditionalFormatting>
  <conditionalFormatting sqref="D1268">
    <cfRule type="cellIs" dxfId="6755" priority="5951" stopIfTrue="1" operator="equal">
      <formula>D888</formula>
    </cfRule>
  </conditionalFormatting>
  <conditionalFormatting sqref="D1269">
    <cfRule type="cellIs" dxfId="6754" priority="5952" stopIfTrue="1" operator="equal">
      <formula>D888</formula>
    </cfRule>
  </conditionalFormatting>
  <conditionalFormatting sqref="D1270:D1280">
    <cfRule type="cellIs" dxfId="6753" priority="5953" stopIfTrue="1" operator="equal">
      <formula>D878</formula>
    </cfRule>
  </conditionalFormatting>
  <conditionalFormatting sqref="D1281">
    <cfRule type="cellIs" dxfId="6752" priority="5954" stopIfTrue="1" operator="equal">
      <formula>D888</formula>
    </cfRule>
  </conditionalFormatting>
  <conditionalFormatting sqref="D1282:D1283">
    <cfRule type="cellIs" dxfId="6751" priority="5955" stopIfTrue="1" operator="equal">
      <formula>D887</formula>
    </cfRule>
  </conditionalFormatting>
  <conditionalFormatting sqref="D1284">
    <cfRule type="cellIs" dxfId="6750" priority="5956" stopIfTrue="1" operator="equal">
      <formula>D888</formula>
    </cfRule>
  </conditionalFormatting>
  <conditionalFormatting sqref="D1289">
    <cfRule type="cellIs" dxfId="6749" priority="5957" stopIfTrue="1" operator="equal">
      <formula>D888</formula>
    </cfRule>
  </conditionalFormatting>
  <conditionalFormatting sqref="D1290">
    <cfRule type="cellIs" dxfId="6748" priority="5958" stopIfTrue="1" operator="equal">
      <formula>D888</formula>
    </cfRule>
  </conditionalFormatting>
  <conditionalFormatting sqref="D1291:D1292">
    <cfRule type="cellIs" dxfId="6747" priority="5959" stopIfTrue="1" operator="equal">
      <formula>D888</formula>
    </cfRule>
  </conditionalFormatting>
  <conditionalFormatting sqref="D532:D533 D511:D512 D922:D923 D1384 D505 D567 D507 D503 D451 D430 D390 D520 D474:D475 D490 D395 D495:D496 D470:D471 D460:D461 D456:D457 D433 D30">
    <cfRule type="cellIs" dxfId="6746" priority="5960" stopIfTrue="1" operator="equal">
      <formula>D28</formula>
    </cfRule>
  </conditionalFormatting>
  <conditionalFormatting sqref="D1300">
    <cfRule type="cellIs" dxfId="6745" priority="5961" stopIfTrue="1" operator="equal">
      <formula>D888</formula>
    </cfRule>
  </conditionalFormatting>
  <conditionalFormatting sqref="D1314:D1315">
    <cfRule type="cellIs" dxfId="6744" priority="5962" stopIfTrue="1" operator="equal">
      <formula>D882</formula>
    </cfRule>
  </conditionalFormatting>
  <conditionalFormatting sqref="D1318:D1325">
    <cfRule type="cellIs" dxfId="6743" priority="5963" stopIfTrue="1" operator="equal">
      <formula>D881</formula>
    </cfRule>
  </conditionalFormatting>
  <conditionalFormatting sqref="D504 D508:D509 D431:D432 D428:D429 D522 D426 D391 D380 D394 D452:D466 D369:D372">
    <cfRule type="cellIs" dxfId="6742" priority="5964" stopIfTrue="1" operator="equal">
      <formula>D366</formula>
    </cfRule>
  </conditionalFormatting>
  <conditionalFormatting sqref="D1338:D1341">
    <cfRule type="cellIs" dxfId="6741" priority="5965" stopIfTrue="1" operator="equal">
      <formula>D885</formula>
    </cfRule>
  </conditionalFormatting>
  <conditionalFormatting sqref="D1342">
    <cfRule type="cellIs" dxfId="6740" priority="5966" stopIfTrue="1" operator="equal">
      <formula>D888</formula>
    </cfRule>
  </conditionalFormatting>
  <conditionalFormatting sqref="D1316">
    <cfRule type="cellIs" dxfId="6739" priority="5967" stopIfTrue="1" operator="equal">
      <formula>D886</formula>
    </cfRule>
  </conditionalFormatting>
  <conditionalFormatting sqref="D1317">
    <cfRule type="cellIs" dxfId="6738" priority="5968" stopIfTrue="1" operator="equal">
      <formula>D888</formula>
    </cfRule>
  </conditionalFormatting>
  <conditionalFormatting sqref="D1343">
    <cfRule type="cellIs" dxfId="6737" priority="5969" stopIfTrue="1" operator="equal">
      <formula>D888</formula>
    </cfRule>
  </conditionalFormatting>
  <conditionalFormatting sqref="D1344:D1349">
    <cfRule type="cellIs" dxfId="6736" priority="5970" stopIfTrue="1" operator="equal">
      <formula>D883</formula>
    </cfRule>
  </conditionalFormatting>
  <conditionalFormatting sqref="D1350">
    <cfRule type="cellIs" dxfId="6735" priority="5971" stopIfTrue="1" operator="equal">
      <formula>D888</formula>
    </cfRule>
  </conditionalFormatting>
  <conditionalFormatting sqref="D1375:D1376 D1368:D1372 D281:D284">
    <cfRule type="cellIs" dxfId="6734" priority="5972" stopIfTrue="1" operator="equal">
      <formula>D263</formula>
    </cfRule>
  </conditionalFormatting>
  <conditionalFormatting sqref="D1385:D1388 D379 D411:D412 D421 D275 D303 D136 D45 D41 D123:D125 D95:D97">
    <cfRule type="cellIs" dxfId="6733" priority="5973" stopIfTrue="1" operator="equal">
      <formula>D35</formula>
    </cfRule>
  </conditionalFormatting>
  <conditionalFormatting sqref="D1389 D485:D486 D384 D381 D415:D417 D422 D408 D28 D35 D42:D44 D160 D89:D91 D93">
    <cfRule type="cellIs" dxfId="6732" priority="5974" stopIfTrue="1" operator="equal">
      <formula>D21</formula>
    </cfRule>
  </conditionalFormatting>
  <conditionalFormatting sqref="D1390:D1396 D386:D387 D383 D285:D287 D283 D29 D274 D272">
    <cfRule type="cellIs" dxfId="6731" priority="5975" stopIfTrue="1" operator="equal">
      <formula>D15</formula>
    </cfRule>
  </conditionalFormatting>
  <conditionalFormatting sqref="D1410 D352 D292:D294 D286">
    <cfRule type="cellIs" dxfId="6730" priority="5976" stopIfTrue="1" operator="equal">
      <formula>D258</formula>
    </cfRule>
  </conditionalFormatting>
  <conditionalFormatting sqref="D1411 D361 D356">
    <cfRule type="cellIs" dxfId="6729" priority="5977" stopIfTrue="1" operator="equal">
      <formula>D325</formula>
    </cfRule>
  </conditionalFormatting>
  <conditionalFormatting sqref="D1412:D1418 D337 D202">
    <cfRule type="cellIs" dxfId="6728" priority="5978" stopIfTrue="1" operator="equal">
      <formula>D167</formula>
    </cfRule>
  </conditionalFormatting>
  <conditionalFormatting sqref="D1419:D1420 D336 D339:D340">
    <cfRule type="cellIs" dxfId="6727" priority="5979" stopIfTrue="1" operator="equal">
      <formula>D300</formula>
    </cfRule>
  </conditionalFormatting>
  <conditionalFormatting sqref="D618">
    <cfRule type="cellIs" dxfId="6726" priority="5980" stopIfTrue="1" operator="equal">
      <formula>D1907</formula>
    </cfRule>
  </conditionalFormatting>
  <conditionalFormatting sqref="D1429">
    <cfRule type="cellIs" dxfId="6725" priority="5981" stopIfTrue="1" operator="equal">
      <formula>D617</formula>
    </cfRule>
  </conditionalFormatting>
  <conditionalFormatting sqref="D1453">
    <cfRule type="cellIs" dxfId="6724" priority="5982" stopIfTrue="1" operator="equal">
      <formula>D617</formula>
    </cfRule>
  </conditionalFormatting>
  <conditionalFormatting sqref="D1454">
    <cfRule type="cellIs" dxfId="6723" priority="5983" stopIfTrue="1" operator="equal">
      <formula>D617</formula>
    </cfRule>
  </conditionalFormatting>
  <conditionalFormatting sqref="D1434">
    <cfRule type="cellIs" dxfId="6722" priority="5984" stopIfTrue="1" operator="equal">
      <formula>D610</formula>
    </cfRule>
  </conditionalFormatting>
  <conditionalFormatting sqref="D1487">
    <cfRule type="cellIs" dxfId="6721" priority="5985" stopIfTrue="1" operator="equal">
      <formula>D617</formula>
    </cfRule>
  </conditionalFormatting>
  <conditionalFormatting sqref="D1488:D1489">
    <cfRule type="cellIs" dxfId="6720" priority="5986" stopIfTrue="1" operator="equal">
      <formula>D616</formula>
    </cfRule>
  </conditionalFormatting>
  <conditionalFormatting sqref="D1490">
    <cfRule type="cellIs" dxfId="6719" priority="5987" stopIfTrue="1" operator="equal">
      <formula>D616</formula>
    </cfRule>
  </conditionalFormatting>
  <conditionalFormatting sqref="D1505">
    <cfRule type="cellIs" dxfId="6718" priority="5988" stopIfTrue="1" operator="equal">
      <formula>D617</formula>
    </cfRule>
  </conditionalFormatting>
  <conditionalFormatting sqref="D1506">
    <cfRule type="cellIs" dxfId="6717" priority="5989" stopIfTrue="1" operator="equal">
      <formula>D617</formula>
    </cfRule>
  </conditionalFormatting>
  <conditionalFormatting sqref="D1522:D1523">
    <cfRule type="cellIs" dxfId="6716" priority="5990" stopIfTrue="1" operator="equal">
      <formula>D617</formula>
    </cfRule>
  </conditionalFormatting>
  <conditionalFormatting sqref="D1525">
    <cfRule type="cellIs" dxfId="6715" priority="5991" stopIfTrue="1" operator="equal">
      <formula>D617</formula>
    </cfRule>
  </conditionalFormatting>
  <conditionalFormatting sqref="D1526:D1527">
    <cfRule type="cellIs" dxfId="6714" priority="5992" stopIfTrue="1" operator="equal">
      <formula>D617</formula>
    </cfRule>
  </conditionalFormatting>
  <conditionalFormatting sqref="D1533:D1534">
    <cfRule type="cellIs" dxfId="6713" priority="5993" stopIfTrue="1" operator="equal">
      <formula>D617</formula>
    </cfRule>
  </conditionalFormatting>
  <conditionalFormatting sqref="D1535">
    <cfRule type="cellIs" dxfId="6712" priority="5994" stopIfTrue="1" operator="equal">
      <formula>D617</formula>
    </cfRule>
  </conditionalFormatting>
  <conditionalFormatting sqref="D1437:D1438">
    <cfRule type="cellIs" dxfId="6711" priority="5995" stopIfTrue="1" operator="equal">
      <formula>D611</formula>
    </cfRule>
  </conditionalFormatting>
  <conditionalFormatting sqref="D1540">
    <cfRule type="cellIs" dxfId="6710" priority="5996" stopIfTrue="1" operator="equal">
      <formula>D617</formula>
    </cfRule>
  </conditionalFormatting>
  <conditionalFormatting sqref="D427 D377 D393 D445:D446 D300:D301 D36:D37 D47:D67 D140:D143 D73:D84 D179:D189 D127:D130 D111:D119 D109 D195:D196">
    <cfRule type="cellIs" dxfId="6709" priority="5997" stopIfTrue="1" operator="equal">
      <formula>D32</formula>
    </cfRule>
  </conditionalFormatting>
  <conditionalFormatting sqref="D1598">
    <cfRule type="cellIs" dxfId="6708" priority="5998" stopIfTrue="1" operator="equal">
      <formula>D617</formula>
    </cfRule>
  </conditionalFormatting>
  <conditionalFormatting sqref="D1421:D1422">
    <cfRule type="cellIs" dxfId="6707" priority="5999" stopIfTrue="1" operator="equal">
      <formula>D616</formula>
    </cfRule>
  </conditionalFormatting>
  <conditionalFormatting sqref="D1424">
    <cfRule type="cellIs" dxfId="6706" priority="6000" stopIfTrue="1" operator="equal">
      <formula>D617</formula>
    </cfRule>
  </conditionalFormatting>
  <conditionalFormatting sqref="D1426">
    <cfRule type="cellIs" dxfId="6705" priority="6001" stopIfTrue="1" operator="equal">
      <formula>D617</formula>
    </cfRule>
  </conditionalFormatting>
  <conditionalFormatting sqref="D1428">
    <cfRule type="cellIs" dxfId="6704" priority="6002" stopIfTrue="1" operator="equal">
      <formula>D617</formula>
    </cfRule>
  </conditionalFormatting>
  <conditionalFormatting sqref="D1430">
    <cfRule type="cellIs" dxfId="6703" priority="6003" stopIfTrue="1" operator="equal">
      <formula>D616</formula>
    </cfRule>
  </conditionalFormatting>
  <conditionalFormatting sqref="D1433">
    <cfRule type="cellIs" dxfId="6702" priority="6004" stopIfTrue="1" operator="equal">
      <formula>D617</formula>
    </cfRule>
  </conditionalFormatting>
  <conditionalFormatting sqref="D1483">
    <cfRule type="cellIs" dxfId="6701" priority="6005" stopIfTrue="1" operator="equal">
      <formula>D616</formula>
    </cfRule>
  </conditionalFormatting>
  <conditionalFormatting sqref="D1485:D1486">
    <cfRule type="cellIs" dxfId="6700" priority="6006" stopIfTrue="1" operator="equal">
      <formula>D617</formula>
    </cfRule>
  </conditionalFormatting>
  <conditionalFormatting sqref="D1503:D1504">
    <cfRule type="cellIs" dxfId="6699" priority="6007" stopIfTrue="1" operator="equal">
      <formula>D616</formula>
    </cfRule>
  </conditionalFormatting>
  <conditionalFormatting sqref="D1516">
    <cfRule type="cellIs" dxfId="6698" priority="6008" stopIfTrue="1" operator="equal">
      <formula>D617</formula>
    </cfRule>
  </conditionalFormatting>
  <conditionalFormatting sqref="D1517:D1519">
    <cfRule type="cellIs" dxfId="6697" priority="6009" stopIfTrue="1" operator="equal">
      <formula>D614</formula>
    </cfRule>
  </conditionalFormatting>
  <conditionalFormatting sqref="D1521">
    <cfRule type="cellIs" dxfId="6696" priority="6010" stopIfTrue="1" operator="equal">
      <formula>D617</formula>
    </cfRule>
  </conditionalFormatting>
  <conditionalFormatting sqref="D1528:D1530">
    <cfRule type="cellIs" dxfId="6695" priority="6011" stopIfTrue="1" operator="equal">
      <formula>D614</formula>
    </cfRule>
  </conditionalFormatting>
  <conditionalFormatting sqref="D1532">
    <cfRule type="cellIs" dxfId="6694" priority="6012" stopIfTrue="1" operator="equal">
      <formula>D617</formula>
    </cfRule>
  </conditionalFormatting>
  <conditionalFormatting sqref="D1466">
    <cfRule type="cellIs" dxfId="6693" priority="6013" stopIfTrue="1" operator="equal">
      <formula>D617</formula>
    </cfRule>
  </conditionalFormatting>
  <conditionalFormatting sqref="D1482">
    <cfRule type="cellIs" dxfId="6692" priority="6014" stopIfTrue="1" operator="equal">
      <formula>D617</formula>
    </cfRule>
  </conditionalFormatting>
  <conditionalFormatting sqref="D1452">
    <cfRule type="cellIs" dxfId="6691" priority="6015" stopIfTrue="1" operator="equal">
      <formula>D617</formula>
    </cfRule>
  </conditionalFormatting>
  <conditionalFormatting sqref="D1536:D1537">
    <cfRule type="cellIs" dxfId="6690" priority="6016" stopIfTrue="1" operator="equal">
      <formula>D615</formula>
    </cfRule>
  </conditionalFormatting>
  <conditionalFormatting sqref="D1539">
    <cfRule type="cellIs" dxfId="6689" priority="6017" stopIfTrue="1" operator="equal">
      <formula>D617</formula>
    </cfRule>
  </conditionalFormatting>
  <conditionalFormatting sqref="D1547">
    <cfRule type="cellIs" dxfId="6688" priority="6018" stopIfTrue="1" operator="equal">
      <formula>D617</formula>
    </cfRule>
  </conditionalFormatting>
  <conditionalFormatting sqref="D1548:D1549">
    <cfRule type="cellIs" dxfId="6687" priority="6019" stopIfTrue="1" operator="equal">
      <formula>D615</formula>
    </cfRule>
  </conditionalFormatting>
  <conditionalFormatting sqref="D1551">
    <cfRule type="cellIs" dxfId="6686" priority="6020" stopIfTrue="1" operator="equal">
      <formula>D617</formula>
    </cfRule>
  </conditionalFormatting>
  <conditionalFormatting sqref="D1552">
    <cfRule type="cellIs" dxfId="6685" priority="6021" stopIfTrue="1" operator="equal">
      <formula>D616</formula>
    </cfRule>
  </conditionalFormatting>
  <conditionalFormatting sqref="D1554">
    <cfRule type="cellIs" dxfId="6684" priority="6022" stopIfTrue="1" operator="equal">
      <formula>D617</formula>
    </cfRule>
  </conditionalFormatting>
  <conditionalFormatting sqref="D1556">
    <cfRule type="cellIs" dxfId="6683" priority="6023" stopIfTrue="1" operator="equal">
      <formula>D617</formula>
    </cfRule>
  </conditionalFormatting>
  <conditionalFormatting sqref="D1557:D1559">
    <cfRule type="cellIs" dxfId="6682" priority="6024" stopIfTrue="1" operator="equal">
      <formula>D614</formula>
    </cfRule>
  </conditionalFormatting>
  <conditionalFormatting sqref="D1561">
    <cfRule type="cellIs" dxfId="6681" priority="6025" stopIfTrue="1" operator="equal">
      <formula>D617</formula>
    </cfRule>
  </conditionalFormatting>
  <conditionalFormatting sqref="D1572">
    <cfRule type="cellIs" dxfId="6680" priority="6026" stopIfTrue="1" operator="equal">
      <formula>D617</formula>
    </cfRule>
  </conditionalFormatting>
  <conditionalFormatting sqref="D1586">
    <cfRule type="cellIs" dxfId="6679" priority="6027" stopIfTrue="1" operator="equal">
      <formula>D617</formula>
    </cfRule>
  </conditionalFormatting>
  <conditionalFormatting sqref="D1597">
    <cfRule type="cellIs" dxfId="6678" priority="6028" stopIfTrue="1" operator="equal">
      <formula>D617</formula>
    </cfRule>
  </conditionalFormatting>
  <conditionalFormatting sqref="D1622">
    <cfRule type="cellIs" dxfId="6677" priority="6029" stopIfTrue="1" operator="equal">
      <formula>D614</formula>
    </cfRule>
  </conditionalFormatting>
  <conditionalFormatting sqref="D441 D413 D392 D438 D410 D33 D420 D374 D276:D277 D29 D302 D191:D194 D46 D69:D72 D157 D137:D139 D132:D134 D86 D175:D178 D126 D121 D105 D107:D108 D100:D103 D98 D172:D173 D153:D154 D198:D200">
    <cfRule type="cellIs" dxfId="6676" priority="6030" stopIfTrue="1" operator="equal">
      <formula>D24</formula>
    </cfRule>
  </conditionalFormatting>
  <conditionalFormatting sqref="D1672">
    <cfRule type="cellIs" dxfId="6675" priority="6031" stopIfTrue="1" operator="equal">
      <formula>D617</formula>
    </cfRule>
  </conditionalFormatting>
  <conditionalFormatting sqref="D1673">
    <cfRule type="cellIs" dxfId="6674" priority="6032" stopIfTrue="1" operator="equal">
      <formula>D617</formula>
    </cfRule>
  </conditionalFormatting>
  <conditionalFormatting sqref="D1674">
    <cfRule type="cellIs" dxfId="6673" priority="6033" stopIfTrue="1" operator="equal">
      <formula>D617</formula>
    </cfRule>
  </conditionalFormatting>
  <conditionalFormatting sqref="D1675:D1676">
    <cfRule type="cellIs" dxfId="6672" priority="6034" stopIfTrue="1" operator="equal">
      <formula>D616</formula>
    </cfRule>
  </conditionalFormatting>
  <conditionalFormatting sqref="D1702">
    <cfRule type="cellIs" dxfId="6671" priority="6035" stopIfTrue="1" operator="equal">
      <formula>D617</formula>
    </cfRule>
  </conditionalFormatting>
  <conditionalFormatting sqref="D1703:D1706">
    <cfRule type="cellIs" dxfId="6670" priority="6036" stopIfTrue="1" operator="equal">
      <formula>D614</formula>
    </cfRule>
  </conditionalFormatting>
  <conditionalFormatting sqref="D1733:D1735">
    <cfRule type="cellIs" dxfId="6669" priority="6037" stopIfTrue="1" operator="equal">
      <formula>D615</formula>
    </cfRule>
  </conditionalFormatting>
  <conditionalFormatting sqref="D1497:D1499">
    <cfRule type="cellIs" dxfId="6668" priority="6038" stopIfTrue="1" operator="equal">
      <formula>D614</formula>
    </cfRule>
  </conditionalFormatting>
  <conditionalFormatting sqref="D1457:D1458">
    <cfRule type="cellIs" dxfId="6667" priority="6039" stopIfTrue="1" operator="equal">
      <formula>D612</formula>
    </cfRule>
  </conditionalFormatting>
  <conditionalFormatting sqref="D1470:D1471">
    <cfRule type="cellIs" dxfId="6666" priority="6040" stopIfTrue="1" operator="equal">
      <formula>D612</formula>
    </cfRule>
  </conditionalFormatting>
  <conditionalFormatting sqref="D1442:D1443">
    <cfRule type="cellIs" dxfId="6665" priority="6041" stopIfTrue="1" operator="equal">
      <formula>D612</formula>
    </cfRule>
  </conditionalFormatting>
  <conditionalFormatting sqref="D1573:D1574">
    <cfRule type="cellIs" dxfId="6664" priority="6042" stopIfTrue="1" operator="equal">
      <formula>D612</formula>
    </cfRule>
  </conditionalFormatting>
  <conditionalFormatting sqref="D1587:D1588">
    <cfRule type="cellIs" dxfId="6663" priority="6043" stopIfTrue="1" operator="equal">
      <formula>D612</formula>
    </cfRule>
  </conditionalFormatting>
  <conditionalFormatting sqref="D1644:D1645">
    <cfRule type="cellIs" dxfId="6662" priority="6044" stopIfTrue="1" operator="equal">
      <formula>D612</formula>
    </cfRule>
  </conditionalFormatting>
  <conditionalFormatting sqref="D1653:D1654">
    <cfRule type="cellIs" dxfId="6661" priority="6045" stopIfTrue="1" operator="equal">
      <formula>D612</formula>
    </cfRule>
  </conditionalFormatting>
  <conditionalFormatting sqref="D1663:D1664">
    <cfRule type="cellIs" dxfId="6660" priority="6046" stopIfTrue="1" operator="equal">
      <formula>D612</formula>
    </cfRule>
  </conditionalFormatting>
  <conditionalFormatting sqref="D1491">
    <cfRule type="cellIs" dxfId="6659" priority="6047" stopIfTrue="1" operator="equal">
      <formula>D613</formula>
    </cfRule>
  </conditionalFormatting>
  <conditionalFormatting sqref="D1677:D1678">
    <cfRule type="cellIs" dxfId="6658" priority="6048" stopIfTrue="1" operator="equal">
      <formula>D608</formula>
    </cfRule>
  </conditionalFormatting>
  <conditionalFormatting sqref="D1707">
    <cfRule type="cellIs" dxfId="6657" priority="6049" stopIfTrue="1" operator="equal">
      <formula>D609</formula>
    </cfRule>
  </conditionalFormatting>
  <conditionalFormatting sqref="D1544:D1545">
    <cfRule type="cellIs" dxfId="6656" priority="6050" stopIfTrue="1" operator="equal">
      <formula>D615</formula>
    </cfRule>
  </conditionalFormatting>
  <conditionalFormatting sqref="D1763">
    <cfRule type="cellIs" dxfId="6655" priority="6051" stopIfTrue="1" operator="equal">
      <formula>D616</formula>
    </cfRule>
  </conditionalFormatting>
  <conditionalFormatting sqref="D1563:D1564">
    <cfRule type="cellIs" dxfId="6654" priority="6052" stopIfTrue="1" operator="equal">
      <formula>D612</formula>
    </cfRule>
  </conditionalFormatting>
  <conditionalFormatting sqref="D1721">
    <cfRule type="cellIs" dxfId="6653" priority="6053" stopIfTrue="1" operator="equal">
      <formula>D611</formula>
    </cfRule>
  </conditionalFormatting>
  <conditionalFormatting sqref="D1723:D1724">
    <cfRule type="cellIs" dxfId="6652" priority="6054" stopIfTrue="1" operator="equal">
      <formula>D612</formula>
    </cfRule>
  </conditionalFormatting>
  <conditionalFormatting sqref="D1736">
    <cfRule type="cellIs" dxfId="6651" priority="6055" stopIfTrue="1" operator="equal">
      <formula>D611</formula>
    </cfRule>
  </conditionalFormatting>
  <conditionalFormatting sqref="D1738:D1739">
    <cfRule type="cellIs" dxfId="6650" priority="6056" stopIfTrue="1" operator="equal">
      <formula>D612</formula>
    </cfRule>
  </conditionalFormatting>
  <conditionalFormatting sqref="D1685">
    <cfRule type="cellIs" dxfId="6649" priority="6057" stopIfTrue="1" operator="equal">
      <formula>D612</formula>
    </cfRule>
  </conditionalFormatting>
  <conditionalFormatting sqref="D1713:D1714">
    <cfRule type="cellIs" dxfId="6648" priority="6058" stopIfTrue="1" operator="equal">
      <formula>D612</formula>
    </cfRule>
  </conditionalFormatting>
  <conditionalFormatting sqref="D1754">
    <cfRule type="cellIs" dxfId="6647" priority="6059" stopIfTrue="1" operator="equal">
      <formula>D611</formula>
    </cfRule>
  </conditionalFormatting>
  <conditionalFormatting sqref="D1614">
    <cfRule type="cellIs" dxfId="6646" priority="6060" stopIfTrue="1" operator="equal">
      <formula>D612</formula>
    </cfRule>
  </conditionalFormatting>
  <conditionalFormatting sqref="D1615:D1616">
    <cfRule type="cellIs" dxfId="6645" priority="6061" stopIfTrue="1" operator="equal">
      <formula>D612</formula>
    </cfRule>
  </conditionalFormatting>
  <conditionalFormatting sqref="D1404:D1405 D290:D291 D332 D323 D295 D286">
    <cfRule type="cellIs" dxfId="6644" priority="6062" stopIfTrue="1" operator="equal">
      <formula>D260</formula>
    </cfRule>
  </conditionalFormatting>
  <conditionalFormatting sqref="D1406:D1409 D290:D292 D330:D331 D285">
    <cfRule type="cellIs" dxfId="6643" priority="6063" stopIfTrue="1" operator="equal">
      <formula>D258</formula>
    </cfRule>
  </conditionalFormatting>
  <conditionalFormatting sqref="D1774:D1776">
    <cfRule type="cellIs" dxfId="6642" priority="6064" stopIfTrue="1" operator="equal">
      <formula>D614</formula>
    </cfRule>
  </conditionalFormatting>
  <conditionalFormatting sqref="D1145:D1161">
    <cfRule type="cellIs" dxfId="6641" priority="6065" stopIfTrue="1" operator="equal">
      <formula>D872</formula>
    </cfRule>
  </conditionalFormatting>
  <conditionalFormatting sqref="D1799:D1800">
    <cfRule type="cellIs" dxfId="6640" priority="6066" stopIfTrue="1" operator="equal">
      <formula>D616</formula>
    </cfRule>
  </conditionalFormatting>
  <conditionalFormatting sqref="D1143:D1144">
    <cfRule type="cellIs" dxfId="6639" priority="6067" stopIfTrue="1" operator="equal">
      <formula>D871</formula>
    </cfRule>
  </conditionalFormatting>
  <conditionalFormatting sqref="D1136:D1139">
    <cfRule type="cellIs" dxfId="6638" priority="6068" stopIfTrue="1" operator="equal">
      <formula>D866</formula>
    </cfRule>
  </conditionalFormatting>
  <conditionalFormatting sqref="D1140:D1142">
    <cfRule type="cellIs" dxfId="6637" priority="6069" stopIfTrue="1" operator="equal">
      <formula>D869</formula>
    </cfRule>
  </conditionalFormatting>
  <conditionalFormatting sqref="D1397:D1403 D289:D291 D365 D335:D337 D283:D284">
    <cfRule type="cellIs" dxfId="6636" priority="6070" stopIfTrue="1" operator="equal">
      <formula>D258</formula>
    </cfRule>
  </conditionalFormatting>
  <conditionalFormatting sqref="D1801">
    <cfRule type="cellIs" dxfId="6635" priority="6071" stopIfTrue="1" operator="equal">
      <formula>D617</formula>
    </cfRule>
  </conditionalFormatting>
  <conditionalFormatting sqref="D1510:D1513">
    <cfRule type="cellIs" dxfId="6634" priority="6072" stopIfTrue="1" operator="equal">
      <formula>D613</formula>
    </cfRule>
  </conditionalFormatting>
  <conditionalFormatting sqref="D1462:D1464">
    <cfRule type="cellIs" dxfId="6633" priority="6073" stopIfTrue="1" operator="equal">
      <formula>D614</formula>
    </cfRule>
  </conditionalFormatting>
  <conditionalFormatting sqref="D1475:D1478">
    <cfRule type="cellIs" dxfId="6632" priority="6074" stopIfTrue="1" operator="equal">
      <formula>D614</formula>
    </cfRule>
  </conditionalFormatting>
  <conditionalFormatting sqref="D1448:D1450">
    <cfRule type="cellIs" dxfId="6631" priority="6075" stopIfTrue="1" operator="equal">
      <formula>D614</formula>
    </cfRule>
  </conditionalFormatting>
  <conditionalFormatting sqref="D1568:D1570">
    <cfRule type="cellIs" dxfId="6630" priority="6076" stopIfTrue="1" operator="equal">
      <formula>D614</formula>
    </cfRule>
  </conditionalFormatting>
  <conditionalFormatting sqref="D1580:D1582">
    <cfRule type="cellIs" dxfId="6629" priority="6077" stopIfTrue="1" operator="equal">
      <formula>D614</formula>
    </cfRule>
  </conditionalFormatting>
  <conditionalFormatting sqref="D1593:D1595">
    <cfRule type="cellIs" dxfId="6628" priority="6078" stopIfTrue="1" operator="equal">
      <formula>D614</formula>
    </cfRule>
  </conditionalFormatting>
  <conditionalFormatting sqref="D1649:D1652">
    <cfRule type="cellIs" dxfId="6627" priority="6079" stopIfTrue="1" operator="equal">
      <formula>D614</formula>
    </cfRule>
  </conditionalFormatting>
  <conditionalFormatting sqref="D1658:D1660">
    <cfRule type="cellIs" dxfId="6626" priority="6080" stopIfTrue="1" operator="equal">
      <formula>D614</formula>
    </cfRule>
  </conditionalFormatting>
  <conditionalFormatting sqref="D1668:D1671">
    <cfRule type="cellIs" dxfId="6625" priority="6081" stopIfTrue="1" operator="equal">
      <formula>D614</formula>
    </cfRule>
  </conditionalFormatting>
  <conditionalFormatting sqref="D1620:D1621">
    <cfRule type="cellIs" dxfId="6624" priority="6082" stopIfTrue="1" operator="equal">
      <formula>D614</formula>
    </cfRule>
  </conditionalFormatting>
  <conditionalFormatting sqref="D1691:D1694">
    <cfRule type="cellIs" dxfId="6623" priority="6083" stopIfTrue="1" operator="equal">
      <formula>D614</formula>
    </cfRule>
  </conditionalFormatting>
  <conditionalFormatting sqref="D1698:D1701">
    <cfRule type="cellIs" dxfId="6622" priority="6084" stopIfTrue="1" operator="equal">
      <formula>D614</formula>
    </cfRule>
  </conditionalFormatting>
  <conditionalFormatting sqref="D1718:D1720">
    <cfRule type="cellIs" dxfId="6621" priority="6085" stopIfTrue="1" operator="equal">
      <formula>D614</formula>
    </cfRule>
  </conditionalFormatting>
  <conditionalFormatting sqref="D1729:D1732">
    <cfRule type="cellIs" dxfId="6620" priority="6086" stopIfTrue="1" operator="equal">
      <formula>D614</formula>
    </cfRule>
  </conditionalFormatting>
  <conditionalFormatting sqref="D1496">
    <cfRule type="cellIs" dxfId="6619" priority="6087" stopIfTrue="1" operator="equal">
      <formula>D614</formula>
    </cfRule>
  </conditionalFormatting>
  <conditionalFormatting sqref="D1744:D1747">
    <cfRule type="cellIs" dxfId="6618" priority="6088" stopIfTrue="1" operator="equal">
      <formula>D614</formula>
    </cfRule>
  </conditionalFormatting>
  <conditionalFormatting sqref="D1750:D1753">
    <cfRule type="cellIs" dxfId="6617" priority="6089" stopIfTrue="1" operator="equal">
      <formula>D614</formula>
    </cfRule>
  </conditionalFormatting>
  <conditionalFormatting sqref="D1542:D1543">
    <cfRule type="cellIs" dxfId="6616" priority="6090" stopIfTrue="1" operator="equal">
      <formula>D614</formula>
    </cfRule>
  </conditionalFormatting>
  <conditionalFormatting sqref="D1756:D1758">
    <cfRule type="cellIs" dxfId="6615" priority="6091" stopIfTrue="1" operator="equal">
      <formula>D612</formula>
    </cfRule>
  </conditionalFormatting>
  <conditionalFormatting sqref="D1760:D1762">
    <cfRule type="cellIs" dxfId="6614" priority="6092" stopIfTrue="1" operator="equal">
      <formula>D614</formula>
    </cfRule>
  </conditionalFormatting>
  <conditionalFormatting sqref="D1768:D1771">
    <cfRule type="cellIs" dxfId="6613" priority="6093" stopIfTrue="1" operator="equal">
      <formula>D614</formula>
    </cfRule>
  </conditionalFormatting>
  <conditionalFormatting sqref="D1773">
    <cfRule type="cellIs" dxfId="6612" priority="6094" stopIfTrue="1" operator="equal">
      <formula>D614</formula>
    </cfRule>
  </conditionalFormatting>
  <conditionalFormatting sqref="D1781:D1784">
    <cfRule type="cellIs" dxfId="6611" priority="6095" stopIfTrue="1" operator="equal">
      <formula>D614</formula>
    </cfRule>
  </conditionalFormatting>
  <conditionalFormatting sqref="D1796:D1798">
    <cfRule type="cellIs" dxfId="6610" priority="6096" stopIfTrue="1" operator="equal">
      <formula>D614</formula>
    </cfRule>
  </conditionalFormatting>
  <conditionalFormatting sqref="D1802:D1803">
    <cfRule type="cellIs" dxfId="6609" priority="6097" stopIfTrue="1" operator="equal">
      <formula>D611</formula>
    </cfRule>
  </conditionalFormatting>
  <conditionalFormatting sqref="D1808:D1811">
    <cfRule type="cellIs" dxfId="6608" priority="6098" stopIfTrue="1" operator="equal">
      <formula>D614</formula>
    </cfRule>
  </conditionalFormatting>
  <conditionalFormatting sqref="D1606:D1608">
    <cfRule type="cellIs" dxfId="6607" priority="6099" stopIfTrue="1" operator="equal">
      <formula>D607</formula>
    </cfRule>
  </conditionalFormatting>
  <conditionalFormatting sqref="D1819:D1822">
    <cfRule type="cellIs" dxfId="6606" priority="6100" stopIfTrue="1" operator="equal">
      <formula>D614</formula>
    </cfRule>
  </conditionalFormatting>
  <conditionalFormatting sqref="D1824:D1825">
    <cfRule type="cellIs" dxfId="6605" priority="6101" stopIfTrue="1" operator="equal">
      <formula>D616</formula>
    </cfRule>
  </conditionalFormatting>
  <conditionalFormatting sqref="D1351:D1354">
    <cfRule type="cellIs" dxfId="6604" priority="6102" stopIfTrue="1" operator="equal">
      <formula>D883</formula>
    </cfRule>
  </conditionalFormatting>
  <conditionalFormatting sqref="D1355:D1358">
    <cfRule type="cellIs" dxfId="6603" priority="6103" stopIfTrue="1" operator="equal">
      <formula>D886</formula>
    </cfRule>
  </conditionalFormatting>
  <conditionalFormatting sqref="D1359:D1365 D388">
    <cfRule type="cellIs" dxfId="6602" priority="6104" stopIfTrue="1" operator="equal">
      <formula>D377</formula>
    </cfRule>
  </conditionalFormatting>
  <conditionalFormatting sqref="D1366:D1367 D31 D299 D270 D167">
    <cfRule type="cellIs" dxfId="6601" priority="6105" stopIfTrue="1" operator="equal">
      <formula>D21</formula>
    </cfRule>
  </conditionalFormatting>
  <conditionalFormatting sqref="D1373:D1374 D467 D280:D282 D298 D277 D275">
    <cfRule type="cellIs" dxfId="6600" priority="6106" stopIfTrue="1" operator="equal">
      <formula>D258</formula>
    </cfRule>
  </conditionalFormatting>
  <conditionalFormatting sqref="D1611:D1612">
    <cfRule type="cellIs" dxfId="6599" priority="6107" stopIfTrue="1" operator="equal">
      <formula>D610</formula>
    </cfRule>
  </conditionalFormatting>
  <conditionalFormatting sqref="D1681">
    <cfRule type="cellIs" dxfId="6598" priority="6108" stopIfTrue="1" operator="equal">
      <formula>D610</formula>
    </cfRule>
  </conditionalFormatting>
  <conditionalFormatting sqref="D1710:D1711">
    <cfRule type="cellIs" dxfId="6597" priority="6109" stopIfTrue="1" operator="equal">
      <formula>D610</formula>
    </cfRule>
  </conditionalFormatting>
  <conditionalFormatting sqref="D1785:D1788">
    <cfRule type="cellIs" dxfId="6596" priority="6110" stopIfTrue="1" operator="equal">
      <formula>D606</formula>
    </cfRule>
  </conditionalFormatting>
  <conditionalFormatting sqref="D1790:D1794">
    <cfRule type="cellIs" dxfId="6595" priority="6111" stopIfTrue="1" operator="equal">
      <formula>D610</formula>
    </cfRule>
  </conditionalFormatting>
  <conditionalFormatting sqref="D1813:D1817">
    <cfRule type="cellIs" dxfId="6594" priority="6112" stopIfTrue="1" operator="equal">
      <formula>D610</formula>
    </cfRule>
  </conditionalFormatting>
  <conditionalFormatting sqref="D1827:D1830">
    <cfRule type="cellIs" dxfId="6593" priority="6113" stopIfTrue="1" operator="equal">
      <formula>D614</formula>
    </cfRule>
  </conditionalFormatting>
  <conditionalFormatting sqref="D1831:D1832">
    <cfRule type="cellIs" dxfId="6592" priority="6114" stopIfTrue="1" operator="equal">
      <formula>D612</formula>
    </cfRule>
  </conditionalFormatting>
  <conditionalFormatting sqref="D1834:D1837">
    <cfRule type="cellIs" dxfId="6591" priority="6115" stopIfTrue="1" operator="equal">
      <formula>D614</formula>
    </cfRule>
  </conditionalFormatting>
  <conditionalFormatting sqref="D1839:D1841">
    <cfRule type="cellIs" dxfId="6590" priority="6116" stopIfTrue="1" operator="equal">
      <formula>D615</formula>
    </cfRule>
  </conditionalFormatting>
  <conditionalFormatting sqref="D1842:D1843">
    <cfRule type="cellIs" dxfId="6589" priority="6117" stopIfTrue="1" operator="equal">
      <formula>D615</formula>
    </cfRule>
  </conditionalFormatting>
  <conditionalFormatting sqref="D1602:D1605">
    <cfRule type="cellIs" dxfId="6588" priority="6118" stopIfTrue="1" operator="equal">
      <formula>D604</formula>
    </cfRule>
  </conditionalFormatting>
  <conditionalFormatting sqref="D1087">
    <cfRule type="cellIs" dxfId="6587" priority="6119" stopIfTrue="1" operator="equal">
      <formula>D886</formula>
    </cfRule>
  </conditionalFormatting>
  <conditionalFormatting sqref="D1088:D1090">
    <cfRule type="cellIs" dxfId="6586" priority="6120" stopIfTrue="1" operator="equal">
      <formula>D886</formula>
    </cfRule>
  </conditionalFormatting>
  <conditionalFormatting sqref="D1326:D1328">
    <cfRule type="cellIs" dxfId="6585" priority="6121" stopIfTrue="1" operator="equal">
      <formula>D882</formula>
    </cfRule>
  </conditionalFormatting>
  <conditionalFormatting sqref="D1329">
    <cfRule type="cellIs" dxfId="6584" priority="6122" stopIfTrue="1" operator="equal">
      <formula>D884</formula>
    </cfRule>
  </conditionalFormatting>
  <conditionalFormatting sqref="D1330">
    <cfRule type="cellIs" dxfId="6583" priority="6123" stopIfTrue="1" operator="equal">
      <formula>D884</formula>
    </cfRule>
  </conditionalFormatting>
  <conditionalFormatting sqref="D1331">
    <cfRule type="cellIs" dxfId="6582" priority="6124" stopIfTrue="1" operator="equal">
      <formula>D884</formula>
    </cfRule>
  </conditionalFormatting>
  <conditionalFormatting sqref="D1332">
    <cfRule type="cellIs" dxfId="6581" priority="6125" stopIfTrue="1" operator="equal">
      <formula>D884</formula>
    </cfRule>
  </conditionalFormatting>
  <conditionalFormatting sqref="D1333:D1337">
    <cfRule type="cellIs" dxfId="6580" priority="6126" stopIfTrue="1" operator="equal">
      <formula>D884</formula>
    </cfRule>
  </conditionalFormatting>
  <conditionalFormatting sqref="D1844">
    <cfRule type="cellIs" dxfId="6579" priority="6127" stopIfTrue="1" operator="equal">
      <formula>D612</formula>
    </cfRule>
  </conditionalFormatting>
  <conditionalFormatting sqref="D1293:D1294">
    <cfRule type="cellIs" dxfId="6578" priority="6128" stopIfTrue="1" operator="equal">
      <formula>D884</formula>
    </cfRule>
  </conditionalFormatting>
  <conditionalFormatting sqref="D1295">
    <cfRule type="cellIs" dxfId="6577" priority="6129" stopIfTrue="1" operator="equal">
      <formula>D885</formula>
    </cfRule>
  </conditionalFormatting>
  <conditionalFormatting sqref="D1296:D1299">
    <cfRule type="cellIs" dxfId="6576" priority="6130" stopIfTrue="1" operator="equal">
      <formula>D885</formula>
    </cfRule>
  </conditionalFormatting>
  <conditionalFormatting sqref="D1876">
    <cfRule type="cellIs" dxfId="6575" priority="6131" stopIfTrue="1" operator="equal">
      <formula>D617</formula>
    </cfRule>
  </conditionalFormatting>
  <conditionalFormatting sqref="D1877:D1890">
    <cfRule type="cellIs" dxfId="6574" priority="6132" stopIfTrue="1" operator="equal">
      <formula>D603</formula>
    </cfRule>
  </conditionalFormatting>
  <conditionalFormatting sqref="D1891:D1903">
    <cfRule type="cellIs" dxfId="6573" priority="6133" stopIfTrue="1" operator="equal">
      <formula>D605</formula>
    </cfRule>
  </conditionalFormatting>
  <conditionalFormatting sqref="D1904:D1909">
    <cfRule type="cellIs" dxfId="6572" priority="6134" stopIfTrue="1" operator="equal">
      <formula>D615</formula>
    </cfRule>
  </conditionalFormatting>
  <conditionalFormatting sqref="D1910:D1918">
    <cfRule type="cellIs" dxfId="6571" priority="6135" stopIfTrue="1" operator="equal">
      <formula>D620</formula>
    </cfRule>
  </conditionalFormatting>
  <conditionalFormatting sqref="D1919:D1920">
    <cfRule type="cellIs" dxfId="6570" priority="6136" stopIfTrue="1" operator="equal">
      <formula>D628</formula>
    </cfRule>
  </conditionalFormatting>
  <conditionalFormatting sqref="D1921:D1943">
    <cfRule type="cellIs" dxfId="6569" priority="6137" stopIfTrue="1" operator="equal">
      <formula>D627</formula>
    </cfRule>
  </conditionalFormatting>
  <conditionalFormatting sqref="D1944">
    <cfRule type="cellIs" dxfId="6568" priority="6138" stopIfTrue="1" operator="equal">
      <formula>D649</formula>
    </cfRule>
  </conditionalFormatting>
  <conditionalFormatting sqref="D1945">
    <cfRule type="cellIs" dxfId="6567" priority="6139" stopIfTrue="1" operator="equal">
      <formula>D649</formula>
    </cfRule>
  </conditionalFormatting>
  <conditionalFormatting sqref="D1946">
    <cfRule type="cellIs" dxfId="6566" priority="6140" stopIfTrue="1" operator="equal">
      <formula>D648</formula>
    </cfRule>
  </conditionalFormatting>
  <conditionalFormatting sqref="D1178:D1179">
    <cfRule type="cellIs" dxfId="6565" priority="6141" stopIfTrue="1" operator="equal">
      <formula>D882</formula>
    </cfRule>
  </conditionalFormatting>
  <conditionalFormatting sqref="D1180:D1183">
    <cfRule type="cellIs" dxfId="6564" priority="6142" stopIfTrue="1" operator="equal">
      <formula>D883</formula>
    </cfRule>
  </conditionalFormatting>
  <conditionalFormatting sqref="D1184:D1186">
    <cfRule type="cellIs" dxfId="6563" priority="6143" stopIfTrue="1" operator="equal">
      <formula>D886</formula>
    </cfRule>
  </conditionalFormatting>
  <conditionalFormatting sqref="D21:D23">
    <cfRule type="cellIs" dxfId="6562" priority="6144" stopIfTrue="1" operator="equal">
      <formula>D649</formula>
    </cfRule>
  </conditionalFormatting>
  <conditionalFormatting sqref="D521">
    <cfRule type="cellIs" dxfId="6561" priority="6145" stopIfTrue="1" operator="equal">
      <formula>D650</formula>
    </cfRule>
  </conditionalFormatting>
  <conditionalFormatting sqref="D1119:D1130">
    <cfRule type="cellIs" dxfId="6560" priority="6146" stopIfTrue="1" operator="equal">
      <formula>D872</formula>
    </cfRule>
  </conditionalFormatting>
  <conditionalFormatting sqref="D2067:D2097 D2044:D2049">
    <cfRule type="cellIs" dxfId="6559" priority="6147" stopIfTrue="1" operator="equal">
      <formula>D743</formula>
    </cfRule>
  </conditionalFormatting>
  <conditionalFormatting sqref="D2054:D2058">
    <cfRule type="cellIs" dxfId="6558" priority="6148" stopIfTrue="1" operator="equal">
      <formula>D755</formula>
    </cfRule>
  </conditionalFormatting>
  <conditionalFormatting sqref="D2064:D2066">
    <cfRule type="cellIs" dxfId="6557" priority="6149" stopIfTrue="1" operator="equal">
      <formula>D777</formula>
    </cfRule>
  </conditionalFormatting>
  <conditionalFormatting sqref="D409 D407 D271:D274 D32 D148:D149 D162:D163 D168 D170:D171">
    <cfRule type="cellIs" dxfId="6556" priority="6150" stopIfTrue="1" operator="equal">
      <formula>D24</formula>
    </cfRule>
  </conditionalFormatting>
  <conditionalFormatting sqref="D1203:D1205">
    <cfRule type="cellIs" dxfId="6555" priority="6151" stopIfTrue="1" operator="equal">
      <formula>D877</formula>
    </cfRule>
  </conditionalFormatting>
  <conditionalFormatting sqref="D1196:D1197">
    <cfRule type="cellIs" dxfId="6554" priority="6152" stopIfTrue="1" operator="equal">
      <formula>D886</formula>
    </cfRule>
  </conditionalFormatting>
  <conditionalFormatting sqref="D1198:D1199">
    <cfRule type="cellIs" dxfId="6553" priority="6153" stopIfTrue="1" operator="equal">
      <formula>D887</formula>
    </cfRule>
  </conditionalFormatting>
  <conditionalFormatting sqref="D2098">
    <cfRule type="cellIs" dxfId="6552" priority="6154" stopIfTrue="1" operator="equal">
      <formula>D794</formula>
    </cfRule>
  </conditionalFormatting>
  <conditionalFormatting sqref="D1226:D1238">
    <cfRule type="cellIs" dxfId="6551" priority="6155" stopIfTrue="1" operator="equal">
      <formula>D864</formula>
    </cfRule>
  </conditionalFormatting>
  <conditionalFormatting sqref="D1206:D1210">
    <cfRule type="cellIs" dxfId="6550" priority="6156" stopIfTrue="1" operator="equal">
      <formula>D879</formula>
    </cfRule>
  </conditionalFormatting>
  <conditionalFormatting sqref="D1211:D1216">
    <cfRule type="cellIs" dxfId="6549" priority="6157" stopIfTrue="1" operator="equal">
      <formula>D883</formula>
    </cfRule>
  </conditionalFormatting>
  <conditionalFormatting sqref="D2099:D2103">
    <cfRule type="cellIs" dxfId="6548" priority="6158" stopIfTrue="1" operator="equal">
      <formula>D792</formula>
    </cfRule>
  </conditionalFormatting>
  <conditionalFormatting sqref="D2104">
    <cfRule type="cellIs" dxfId="6547" priority="6159" stopIfTrue="1" operator="equal">
      <formula>D796</formula>
    </cfRule>
  </conditionalFormatting>
  <conditionalFormatting sqref="D2105:D2113">
    <cfRule type="cellIs" dxfId="6546" priority="6160" stopIfTrue="1" operator="equal">
      <formula>D786</formula>
    </cfRule>
  </conditionalFormatting>
  <conditionalFormatting sqref="D2114:D2121">
    <cfRule type="cellIs" dxfId="6545" priority="6161" stopIfTrue="1" operator="equal">
      <formula>D786</formula>
    </cfRule>
  </conditionalFormatting>
  <conditionalFormatting sqref="D2122:D2130">
    <cfRule type="cellIs" dxfId="6544" priority="6162" stopIfTrue="1" operator="equal">
      <formula>D788</formula>
    </cfRule>
  </conditionalFormatting>
  <conditionalFormatting sqref="D2131:D2137">
    <cfRule type="cellIs" dxfId="6543" priority="6163" stopIfTrue="1" operator="equal">
      <formula>D790</formula>
    </cfRule>
  </conditionalFormatting>
  <conditionalFormatting sqref="D1851:D1865">
    <cfRule type="cellIs" dxfId="6542" priority="6164" stopIfTrue="1" operator="equal">
      <formula>D594</formula>
    </cfRule>
  </conditionalFormatting>
  <conditionalFormatting sqref="D1866:D1875">
    <cfRule type="cellIs" dxfId="6541" priority="6165" stopIfTrue="1" operator="equal">
      <formula>D608</formula>
    </cfRule>
  </conditionalFormatting>
  <conditionalFormatting sqref="D2138">
    <cfRule type="cellIs" dxfId="6540" priority="6166" stopIfTrue="1" operator="equal">
      <formula>D796</formula>
    </cfRule>
  </conditionalFormatting>
  <conditionalFormatting sqref="D2139:D2140">
    <cfRule type="cellIs" dxfId="6539" priority="6167" stopIfTrue="1" operator="equal">
      <formula>D794</formula>
    </cfRule>
  </conditionalFormatting>
  <conditionalFormatting sqref="D2141:D2144">
    <cfRule type="cellIs" dxfId="6538" priority="6168" stopIfTrue="1" operator="equal">
      <formula>D790</formula>
    </cfRule>
  </conditionalFormatting>
  <conditionalFormatting sqref="D2145:D2148">
    <cfRule type="cellIs" dxfId="6537" priority="6169" stopIfTrue="1" operator="equal">
      <formula>D790</formula>
    </cfRule>
  </conditionalFormatting>
  <conditionalFormatting sqref="D2149:D2154">
    <cfRule type="cellIs" dxfId="6536" priority="6170" stopIfTrue="1" operator="equal">
      <formula>D790</formula>
    </cfRule>
  </conditionalFormatting>
  <conditionalFormatting sqref="D2155:D2157">
    <cfRule type="cellIs" dxfId="6535" priority="6171" stopIfTrue="1" operator="equal">
      <formula>D794</formula>
    </cfRule>
  </conditionalFormatting>
  <conditionalFormatting sqref="D2158">
    <cfRule type="cellIs" dxfId="6534" priority="6172" stopIfTrue="1" operator="equal">
      <formula>D796</formula>
    </cfRule>
  </conditionalFormatting>
  <conditionalFormatting sqref="D2159:D2177">
    <cfRule type="cellIs" dxfId="6533" priority="6173" stopIfTrue="1" operator="equal">
      <formula>D777</formula>
    </cfRule>
  </conditionalFormatting>
  <conditionalFormatting sqref="D2178:D2187">
    <cfRule type="cellIs" dxfId="6532" priority="6174" stopIfTrue="1" operator="equal">
      <formula>D786</formula>
    </cfRule>
  </conditionalFormatting>
  <conditionalFormatting sqref="D2188:D2194">
    <cfRule type="cellIs" dxfId="6531" priority="6175" stopIfTrue="1" operator="equal">
      <formula>D790</formula>
    </cfRule>
  </conditionalFormatting>
  <conditionalFormatting sqref="D2195">
    <cfRule type="cellIs" dxfId="6530" priority="6176" stopIfTrue="1" operator="equal">
      <formula>D796</formula>
    </cfRule>
  </conditionalFormatting>
  <conditionalFormatting sqref="D2196:D2202">
    <cfRule type="cellIs" dxfId="6529" priority="6177" stopIfTrue="1" operator="equal">
      <formula>D790</formula>
    </cfRule>
  </conditionalFormatting>
  <conditionalFormatting sqref="D389 D414 D418 D376 D378 D30 D152">
    <cfRule type="cellIs" dxfId="6528" priority="6178" stopIfTrue="1" operator="equal">
      <formula>D21</formula>
    </cfRule>
  </conditionalFormatting>
  <conditionalFormatting sqref="D382 D284">
    <cfRule type="cellIs" dxfId="6527" priority="6179" stopIfTrue="1" operator="equal">
      <formula>D271</formula>
    </cfRule>
  </conditionalFormatting>
  <conditionalFormatting sqref="D385 D375 D275:D277">
    <cfRule type="cellIs" dxfId="6526" priority="6180" stopIfTrue="1" operator="equal">
      <formula>D263</formula>
    </cfRule>
  </conditionalFormatting>
  <conditionalFormatting sqref="D2203:D2208">
    <cfRule type="cellIs" dxfId="6525" priority="6181" stopIfTrue="1" operator="equal">
      <formula>D785</formula>
    </cfRule>
  </conditionalFormatting>
  <conditionalFormatting sqref="D1285">
    <cfRule type="cellIs" dxfId="6524" priority="6182" stopIfTrue="1" operator="equal">
      <formula>D886</formula>
    </cfRule>
  </conditionalFormatting>
  <conditionalFormatting sqref="D1286:D1288">
    <cfRule type="cellIs" dxfId="6523" priority="6183" stopIfTrue="1" operator="equal">
      <formula>D886</formula>
    </cfRule>
  </conditionalFormatting>
  <conditionalFormatting sqref="D2209:D2220">
    <cfRule type="cellIs" dxfId="6522" priority="6184" stopIfTrue="1" operator="equal">
      <formula>D784</formula>
    </cfRule>
  </conditionalFormatting>
  <conditionalFormatting sqref="D2232:D2233">
    <cfRule type="cellIs" dxfId="6521" priority="6185" stopIfTrue="1" operator="equal">
      <formula>D793</formula>
    </cfRule>
  </conditionalFormatting>
  <conditionalFormatting sqref="D1301:D1302">
    <cfRule type="cellIs" dxfId="6520" priority="6186" stopIfTrue="1" operator="equal">
      <formula>D878</formula>
    </cfRule>
  </conditionalFormatting>
  <conditionalFormatting sqref="D1303">
    <cfRule type="cellIs" dxfId="6519" priority="6187" stopIfTrue="1" operator="equal">
      <formula>D879</formula>
    </cfRule>
  </conditionalFormatting>
  <conditionalFormatting sqref="D1304:D1313">
    <cfRule type="cellIs" dxfId="6518" priority="6188" stopIfTrue="1" operator="equal">
      <formula>D879</formula>
    </cfRule>
  </conditionalFormatting>
  <conditionalFormatting sqref="D2221:D2230">
    <cfRule type="cellIs" dxfId="6517" priority="6189" stopIfTrue="1" operator="equal">
      <formula>D786</formula>
    </cfRule>
  </conditionalFormatting>
  <conditionalFormatting sqref="D2231">
    <cfRule type="cellIs" dxfId="6516" priority="6190" stopIfTrue="1" operator="equal">
      <formula>D793</formula>
    </cfRule>
  </conditionalFormatting>
  <conditionalFormatting sqref="D2244:D2247 D2239:D2242 D2236:D2237 D2249">
    <cfRule type="cellIs" dxfId="6515" priority="6191" stopIfTrue="1" operator="equal">
      <formula>D778</formula>
    </cfRule>
  </conditionalFormatting>
  <conditionalFormatting sqref="D2235">
    <cfRule type="cellIs" dxfId="6514" priority="6192" stopIfTrue="1" operator="equal">
      <formula>D793</formula>
    </cfRule>
  </conditionalFormatting>
  <conditionalFormatting sqref="D2248 D2243 D2238 D2250">
    <cfRule type="cellIs" dxfId="6513" priority="6193" stopIfTrue="1" operator="equal">
      <formula>D781</formula>
    </cfRule>
  </conditionalFormatting>
  <conditionalFormatting sqref="D2252 D2256">
    <cfRule type="cellIs" dxfId="6512" priority="6194" stopIfTrue="1" operator="equal">
      <formula>D792</formula>
    </cfRule>
  </conditionalFormatting>
  <conditionalFormatting sqref="D2251 D2253:D2255">
    <cfRule type="cellIs" dxfId="6511" priority="6195" stopIfTrue="1" operator="equal">
      <formula>D790</formula>
    </cfRule>
  </conditionalFormatting>
  <conditionalFormatting sqref="D2257:D2258">
    <cfRule type="cellIs" dxfId="6510" priority="6196" stopIfTrue="1" operator="equal">
      <formula>D790</formula>
    </cfRule>
  </conditionalFormatting>
  <conditionalFormatting sqref="D2259:D2275">
    <cfRule type="cellIs" dxfId="6509" priority="6197" stopIfTrue="1" operator="equal">
      <formula>D774</formula>
    </cfRule>
  </conditionalFormatting>
  <conditionalFormatting sqref="D2276:D2295">
    <cfRule type="cellIs" dxfId="6508" priority="6198" stopIfTrue="1" operator="equal">
      <formula>D770</formula>
    </cfRule>
  </conditionalFormatting>
  <conditionalFormatting sqref="D2296:D2308">
    <cfRule type="cellIs" dxfId="6507" priority="6199" stopIfTrue="1" operator="equal">
      <formula>D782</formula>
    </cfRule>
  </conditionalFormatting>
  <conditionalFormatting sqref="D2309:D2313">
    <cfRule type="cellIs" dxfId="6506" priority="6200" stopIfTrue="1" operator="equal">
      <formula>D792</formula>
    </cfRule>
  </conditionalFormatting>
  <conditionalFormatting sqref="D255:D256">
    <cfRule type="cellIs" dxfId="6505" priority="6201" stopIfTrue="1" operator="equal">
      <formula>D175</formula>
    </cfRule>
  </conditionalFormatting>
  <conditionalFormatting sqref="D1012 D993 D986 D933 D632:D633 D627:D629 D624:D625 D619:D620 D617 D1627:D1639 D609:D614 D605 D603 D601 D596:D598 D591 D585 D578:D580 D573:D576 D563:D565 D553:D555 D547:D549 D543 D593:D594 D534 D588:D589 D527:D528 D524 D568:D570 D514:D515 D510 D491:D493 D478 D489 D476 D462 D449 D464 D434:D436 D357:D358 D333 D364:D366 D397:D404 D335:D337 D1641:D1643 D341:D351">
    <cfRule type="cellIs" dxfId="6504" priority="6202" stopIfTrue="1" operator="equal">
      <formula>#REF!</formula>
    </cfRule>
  </conditionalFormatting>
  <conditionalFormatting sqref="D1435">
    <cfRule type="cellIs" dxfId="6503" priority="6203" stopIfTrue="1" operator="equal">
      <formula>#REF!</formula>
    </cfRule>
  </conditionalFormatting>
  <conditionalFormatting sqref="D1436 D1451">
    <cfRule type="cellIs" dxfId="6502" priority="6204" stopIfTrue="1" operator="equal">
      <formula>#REF!</formula>
    </cfRule>
  </conditionalFormatting>
  <conditionalFormatting sqref="D1467:D1469">
    <cfRule type="cellIs" dxfId="6501" priority="6205" stopIfTrue="1" operator="equal">
      <formula>#REF!</formula>
    </cfRule>
  </conditionalFormatting>
  <conditionalFormatting sqref="D1439:D1441">
    <cfRule type="cellIs" dxfId="6500" priority="6206" stopIfTrue="1" operator="equal">
      <formula>#REF!</formula>
    </cfRule>
  </conditionalFormatting>
  <conditionalFormatting sqref="D1455:D1456">
    <cfRule type="cellIs" dxfId="6499" priority="6207" stopIfTrue="1" operator="equal">
      <formula>#REF!</formula>
    </cfRule>
  </conditionalFormatting>
  <conditionalFormatting sqref="D1422:D1423">
    <cfRule type="cellIs" dxfId="6498" priority="6208" stopIfTrue="1" operator="equal">
      <formula>#REF!</formula>
    </cfRule>
  </conditionalFormatting>
  <conditionalFormatting sqref="D1425">
    <cfRule type="cellIs" dxfId="6497" priority="6209" stopIfTrue="1" operator="equal">
      <formula>#REF!</formula>
    </cfRule>
  </conditionalFormatting>
  <conditionalFormatting sqref="D1427">
    <cfRule type="cellIs" dxfId="6496" priority="6210" stopIfTrue="1" operator="equal">
      <formula>#REF!</formula>
    </cfRule>
  </conditionalFormatting>
  <conditionalFormatting sqref="D1431:D1432">
    <cfRule type="cellIs" dxfId="6495" priority="6211" stopIfTrue="1" operator="equal">
      <formula>#REF!</formula>
    </cfRule>
  </conditionalFormatting>
  <conditionalFormatting sqref="D1484">
    <cfRule type="cellIs" dxfId="6494" priority="6212" stopIfTrue="1" operator="equal">
      <formula>#REF!</formula>
    </cfRule>
  </conditionalFormatting>
  <conditionalFormatting sqref="D1500:D1502">
    <cfRule type="cellIs" dxfId="6493" priority="6213" stopIfTrue="1" operator="equal">
      <formula>#REF!</formula>
    </cfRule>
  </conditionalFormatting>
  <conditionalFormatting sqref="D1514:D1515">
    <cfRule type="cellIs" dxfId="6492" priority="6214" stopIfTrue="1" operator="equal">
      <formula>#REF!</formula>
    </cfRule>
  </conditionalFormatting>
  <conditionalFormatting sqref="D1520">
    <cfRule type="cellIs" dxfId="6491" priority="6215" stopIfTrue="1" operator="equal">
      <formula>#REF!</formula>
    </cfRule>
  </conditionalFormatting>
  <conditionalFormatting sqref="D1531">
    <cfRule type="cellIs" dxfId="6490" priority="6216" stopIfTrue="1" operator="equal">
      <formula>#REF!</formula>
    </cfRule>
  </conditionalFormatting>
  <conditionalFormatting sqref="D1465">
    <cfRule type="cellIs" dxfId="6489" priority="6217" stopIfTrue="1" operator="equal">
      <formula>#REF!</formula>
    </cfRule>
  </conditionalFormatting>
  <conditionalFormatting sqref="D1478:D1481">
    <cfRule type="cellIs" dxfId="6488" priority="6218" stopIfTrue="1" operator="equal">
      <formula>#REF!</formula>
    </cfRule>
  </conditionalFormatting>
  <conditionalFormatting sqref="D1538 D1541">
    <cfRule type="cellIs" dxfId="6487" priority="6219" stopIfTrue="1" operator="equal">
      <formula>#REF!</formula>
    </cfRule>
  </conditionalFormatting>
  <conditionalFormatting sqref="D1546">
    <cfRule type="cellIs" dxfId="6486" priority="6220" stopIfTrue="1" operator="equal">
      <formula>#REF!</formula>
    </cfRule>
  </conditionalFormatting>
  <conditionalFormatting sqref="D1550">
    <cfRule type="cellIs" dxfId="6485" priority="6221" stopIfTrue="1" operator="equal">
      <formula>#REF!</formula>
    </cfRule>
  </conditionalFormatting>
  <conditionalFormatting sqref="D1553">
    <cfRule type="cellIs" dxfId="6484" priority="6222" stopIfTrue="1" operator="equal">
      <formula>#REF!</formula>
    </cfRule>
  </conditionalFormatting>
  <conditionalFormatting sqref="D1555">
    <cfRule type="cellIs" dxfId="6483" priority="6223" stopIfTrue="1" operator="equal">
      <formula>#REF!</formula>
    </cfRule>
  </conditionalFormatting>
  <conditionalFormatting sqref="D1560">
    <cfRule type="cellIs" dxfId="6482" priority="6224" stopIfTrue="1" operator="equal">
      <formula>#REF!</formula>
    </cfRule>
  </conditionalFormatting>
  <conditionalFormatting sqref="D1571">
    <cfRule type="cellIs" dxfId="6481" priority="6225" stopIfTrue="1" operator="equal">
      <formula>#REF!</formula>
    </cfRule>
  </conditionalFormatting>
  <conditionalFormatting sqref="D1585">
    <cfRule type="cellIs" dxfId="6480" priority="6226" stopIfTrue="1" operator="equal">
      <formula>#REF!</formula>
    </cfRule>
  </conditionalFormatting>
  <conditionalFormatting sqref="D1596">
    <cfRule type="cellIs" dxfId="6479" priority="6227" stopIfTrue="1" operator="equal">
      <formula>#REF!</formula>
    </cfRule>
  </conditionalFormatting>
  <conditionalFormatting sqref="D1623 D1626">
    <cfRule type="cellIs" dxfId="6478" priority="6228" stopIfTrue="1" operator="equal">
      <formula>#REF!</formula>
    </cfRule>
  </conditionalFormatting>
  <conditionalFormatting sqref="D1600">
    <cfRule type="cellIs" dxfId="6477" priority="6229" stopIfTrue="1" operator="equal">
      <formula>#REF!</formula>
    </cfRule>
  </conditionalFormatting>
  <conditionalFormatting sqref="D1459">
    <cfRule type="cellIs" dxfId="6476" priority="6230" stopIfTrue="1" operator="equal">
      <formula>#REF!</formula>
    </cfRule>
  </conditionalFormatting>
  <conditionalFormatting sqref="D1472">
    <cfRule type="cellIs" dxfId="6475" priority="6231" stopIfTrue="1" operator="equal">
      <formula>#REF!</formula>
    </cfRule>
  </conditionalFormatting>
  <conditionalFormatting sqref="D1445">
    <cfRule type="cellIs" dxfId="6474" priority="6232" stopIfTrue="1" operator="equal">
      <formula>#REF!</formula>
    </cfRule>
  </conditionalFormatting>
  <conditionalFormatting sqref="D1565">
    <cfRule type="cellIs" dxfId="6473" priority="6233" stopIfTrue="1" operator="equal">
      <formula>#REF!</formula>
    </cfRule>
  </conditionalFormatting>
  <conditionalFormatting sqref="D1575">
    <cfRule type="cellIs" dxfId="6472" priority="6234" stopIfTrue="1" operator="equal">
      <formula>#REF!</formula>
    </cfRule>
  </conditionalFormatting>
  <conditionalFormatting sqref="D1589:D1590">
    <cfRule type="cellIs" dxfId="6471" priority="6235" stopIfTrue="1" operator="equal">
      <formula>#REF!</formula>
    </cfRule>
  </conditionalFormatting>
  <conditionalFormatting sqref="D1646">
    <cfRule type="cellIs" dxfId="6470" priority="6236" stopIfTrue="1" operator="equal">
      <formula>#REF!</formula>
    </cfRule>
  </conditionalFormatting>
  <conditionalFormatting sqref="D1655">
    <cfRule type="cellIs" dxfId="6469" priority="6237" stopIfTrue="1" operator="equal">
      <formula>#REF!</formula>
    </cfRule>
  </conditionalFormatting>
  <conditionalFormatting sqref="D1665">
    <cfRule type="cellIs" dxfId="6468" priority="6238" stopIfTrue="1" operator="equal">
      <formula>#REF!</formula>
    </cfRule>
  </conditionalFormatting>
  <conditionalFormatting sqref="D1617 D1610">
    <cfRule type="cellIs" dxfId="6467" priority="6239" stopIfTrue="1" operator="equal">
      <formula>#REF!</formula>
    </cfRule>
  </conditionalFormatting>
  <conditionalFormatting sqref="D1688">
    <cfRule type="cellIs" dxfId="6466" priority="6240" stopIfTrue="1" operator="equal">
      <formula>#REF!</formula>
    </cfRule>
  </conditionalFormatting>
  <conditionalFormatting sqref="D1695">
    <cfRule type="cellIs" dxfId="6465" priority="6241" stopIfTrue="1" operator="equal">
      <formula>#REF!</formula>
    </cfRule>
  </conditionalFormatting>
  <conditionalFormatting sqref="D1715">
    <cfRule type="cellIs" dxfId="6464" priority="6242" stopIfTrue="1" operator="equal">
      <formula>#REF!</formula>
    </cfRule>
  </conditionalFormatting>
  <conditionalFormatting sqref="D1725:D1726">
    <cfRule type="cellIs" dxfId="6463" priority="6243" stopIfTrue="1" operator="equal">
      <formula>#REF!</formula>
    </cfRule>
  </conditionalFormatting>
  <conditionalFormatting sqref="D1492:D1493">
    <cfRule type="cellIs" dxfId="6462" priority="6244" stopIfTrue="1" operator="equal">
      <formula>#REF!</formula>
    </cfRule>
  </conditionalFormatting>
  <conditionalFormatting sqref="D1740">
    <cfRule type="cellIs" dxfId="6461" priority="6245" stopIfTrue="1" operator="equal">
      <formula>#REF!</formula>
    </cfRule>
  </conditionalFormatting>
  <conditionalFormatting sqref="D1609">
    <cfRule type="cellIs" dxfId="6460" priority="6246" stopIfTrue="1" operator="equal">
      <formula>#REF!</formula>
    </cfRule>
  </conditionalFormatting>
  <conditionalFormatting sqref="D1679">
    <cfRule type="cellIs" dxfId="6459" priority="6247" stopIfTrue="1" operator="equal">
      <formula>#REF!</formula>
    </cfRule>
  </conditionalFormatting>
  <conditionalFormatting sqref="D1708">
    <cfRule type="cellIs" dxfId="6458" priority="6248" stopIfTrue="1" operator="equal">
      <formula>#REF!</formula>
    </cfRule>
  </conditionalFormatting>
  <conditionalFormatting sqref="D1562 D1566:D1567">
    <cfRule type="cellIs" dxfId="6457" priority="6249" stopIfTrue="1" operator="equal">
      <formula>#REF!</formula>
    </cfRule>
  </conditionalFormatting>
  <conditionalFormatting sqref="D1722">
    <cfRule type="cellIs" dxfId="6456" priority="6250" stopIfTrue="1" operator="equal">
      <formula>#REF!</formula>
    </cfRule>
  </conditionalFormatting>
  <conditionalFormatting sqref="D1737">
    <cfRule type="cellIs" dxfId="6455" priority="6251" stopIfTrue="1" operator="equal">
      <formula>#REF!</formula>
    </cfRule>
  </conditionalFormatting>
  <conditionalFormatting sqref="D1613">
    <cfRule type="cellIs" dxfId="6454" priority="6252" stopIfTrue="1" operator="equal">
      <formula>#REF!</formula>
    </cfRule>
  </conditionalFormatting>
  <conditionalFormatting sqref="D1684 D1680">
    <cfRule type="cellIs" dxfId="6453" priority="6253" stopIfTrue="1" operator="equal">
      <formula>#REF!</formula>
    </cfRule>
  </conditionalFormatting>
  <conditionalFormatting sqref="D1712 D1709">
    <cfRule type="cellIs" dxfId="6452" priority="6254" stopIfTrue="1" operator="equal">
      <formula>#REF!</formula>
    </cfRule>
  </conditionalFormatting>
  <conditionalFormatting sqref="D1755 D1759">
    <cfRule type="cellIs" dxfId="6451" priority="6255" stopIfTrue="1" operator="equal">
      <formula>#REF!</formula>
    </cfRule>
  </conditionalFormatting>
  <conditionalFormatting sqref="AO505:AO1287 AB400 AF400 AJ400 AN400 AO1289:AO1598 AS1600:AS1623 AO1600:AO1623 AO240:AO244 AS240:AS244 AS335:AS337 AO335:AO337 AO212:AO214 AS212:AS214 AO1839:AO1844 AS1839:AS1844 AO1641:AO1660 AS1641:AS1660 AO356:AO503 AS356:AS1598 AS306 AO306 AO1625:AO1639 AS1625:AS1639 AO330:AO333 AS330:AS333 AO2890:AO2903 AS2890:AS2903 AS229 AO229 AO237 AS237 AS246 AO246 AO231:AO235 AS231:AS235 AS223:AS227 AO223:AO227 AS221 AO221 AO309:AO313 AS309:AS313 AS218:AS219 AO218:AO219 AO339:AO352 AS339:AS352 AS248:AS251 AO248:AO251 AS2235:AS2863 AO2235:AO2863 AO1743:AO1748 AS1743:AS1748 AS3084 AS3082 AO3084 AO3082 AS316:AS327 AO316:AO327 AS1662:AS1681 AO1662:AO1681 AO253:AO260 AS253:AS260 AO16 AS16 AS19:AS33 AO19:AO33 AS175:AS176 AO175:AO176 AS91 AO91 AS1765:AS1776 AO1765:AO1776 AS81:AS83 AO81:AO83 AS62:AS64 AO62:AO64 AO66:AO67 AS66:AS67 AS155 AO155 AO1683:AO1685 AS1683:AS1685 AS54:AS58 AO54:AO58 AO167:AO168 AS167:AS168 AS148:AS149 AO148:AO149 AS1687:AS1741 AO1687:AO1741 AO1805:AO1822 AS1805:AS1822 AO117:AO118 AS117:AS118 AS140:AS141 AO140:AO141 AO115 AS115 AS1750:AS1763 AO1750:AO1763 AO86 AS86 AO127:AO130 AS127:AS130 AO95:AO98 AS95:AS98 AO178:AO189 AS178:AS189 AS89 AO89 AS132:AS134 AO132:AO134 AS191:AS196 AO191:AO196 AS35:AS37 AO35:AO37 AO41:AO50 AS41:AS50 AS69:AS79 AO69:AO79 AO160 AS160 AS162 AO162 AO157 AS157 AS1846:AS2233 AO1846:AO2233 AO136:AO138 AS136:AS138 AS262:AS304 AO262:AO304 AO39 AS39 AS1824:AS1837 AO1824:AO1837 AO152:AO153 AS152:AS153 AS107:AS113 AO107:AO113 AS105 AO105 AS100:AS103 AO100:AO103 AO1778:AO1803 AS1778:AS1803 AS170:AS172 AO170:AO172 AO198:AO207 AS198:AS207">
    <cfRule type="cellIs" dxfId="6450" priority="6256" stopIfTrue="1" operator="equal">
      <formula>"OK"</formula>
    </cfRule>
    <cfRule type="cellIs" dxfId="6449" priority="6257" stopIfTrue="1" operator="equal">
      <formula>"Add"</formula>
    </cfRule>
  </conditionalFormatting>
  <conditionalFormatting sqref="D1507:D1509">
    <cfRule type="cellIs" dxfId="6448" priority="6258" stopIfTrue="1" operator="equal">
      <formula>#REF!</formula>
    </cfRule>
  </conditionalFormatting>
  <conditionalFormatting sqref="D1460:D1461">
    <cfRule type="cellIs" dxfId="6447" priority="6259" stopIfTrue="1" operator="equal">
      <formula>#REF!</formula>
    </cfRule>
  </conditionalFormatting>
  <conditionalFormatting sqref="D1473:D1474">
    <cfRule type="cellIs" dxfId="6446" priority="6260" stopIfTrue="1" operator="equal">
      <formula>#REF!</formula>
    </cfRule>
  </conditionalFormatting>
  <conditionalFormatting sqref="D1446:D1447">
    <cfRule type="cellIs" dxfId="6445" priority="6261" stopIfTrue="1" operator="equal">
      <formula>#REF!</formula>
    </cfRule>
  </conditionalFormatting>
  <conditionalFormatting sqref="D1576:D1579">
    <cfRule type="cellIs" dxfId="6444" priority="6262" stopIfTrue="1" operator="equal">
      <formula>#REF!</formula>
    </cfRule>
  </conditionalFormatting>
  <conditionalFormatting sqref="D1591:D1592">
    <cfRule type="cellIs" dxfId="6443" priority="6263" stopIfTrue="1" operator="equal">
      <formula>#REF!</formula>
    </cfRule>
  </conditionalFormatting>
  <conditionalFormatting sqref="D1647">
    <cfRule type="cellIs" dxfId="6442" priority="6264" stopIfTrue="1" operator="equal">
      <formula>#REF!</formula>
    </cfRule>
  </conditionalFormatting>
  <conditionalFormatting sqref="D1648">
    <cfRule type="cellIs" dxfId="6441" priority="6265" stopIfTrue="1" operator="equal">
      <formula>#REF!</formula>
    </cfRule>
  </conditionalFormatting>
  <conditionalFormatting sqref="D1656">
    <cfRule type="cellIs" dxfId="6440" priority="6266" stopIfTrue="1" operator="equal">
      <formula>#REF!</formula>
    </cfRule>
  </conditionalFormatting>
  <conditionalFormatting sqref="D1657">
    <cfRule type="cellIs" dxfId="6439" priority="6267" stopIfTrue="1" operator="equal">
      <formula>#REF!</formula>
    </cfRule>
  </conditionalFormatting>
  <conditionalFormatting sqref="D1666">
    <cfRule type="cellIs" dxfId="6438" priority="6268" stopIfTrue="1" operator="equal">
      <formula>#REF!</formula>
    </cfRule>
  </conditionalFormatting>
  <conditionalFormatting sqref="D1667">
    <cfRule type="cellIs" dxfId="6437" priority="6269" stopIfTrue="1" operator="equal">
      <formula>#REF!</formula>
    </cfRule>
  </conditionalFormatting>
  <conditionalFormatting sqref="D1618">
    <cfRule type="cellIs" dxfId="6436" priority="6270" stopIfTrue="1" operator="equal">
      <formula>#REF!</formula>
    </cfRule>
  </conditionalFormatting>
  <conditionalFormatting sqref="D1619">
    <cfRule type="cellIs" dxfId="6435" priority="6271" stopIfTrue="1" operator="equal">
      <formula>#REF!</formula>
    </cfRule>
  </conditionalFormatting>
  <conditionalFormatting sqref="D1689">
    <cfRule type="cellIs" dxfId="6434" priority="6272" stopIfTrue="1" operator="equal">
      <formula>#REF!</formula>
    </cfRule>
  </conditionalFormatting>
  <conditionalFormatting sqref="D1690">
    <cfRule type="cellIs" dxfId="6433" priority="6273" stopIfTrue="1" operator="equal">
      <formula>#REF!</formula>
    </cfRule>
  </conditionalFormatting>
  <conditionalFormatting sqref="D1696">
    <cfRule type="cellIs" dxfId="6432" priority="6274" stopIfTrue="1" operator="equal">
      <formula>#REF!</formula>
    </cfRule>
  </conditionalFormatting>
  <conditionalFormatting sqref="D1697">
    <cfRule type="cellIs" dxfId="6431" priority="6275" stopIfTrue="1" operator="equal">
      <formula>#REF!</formula>
    </cfRule>
  </conditionalFormatting>
  <conditionalFormatting sqref="D1716">
    <cfRule type="cellIs" dxfId="6430" priority="6276" stopIfTrue="1" operator="equal">
      <formula>#REF!</formula>
    </cfRule>
  </conditionalFormatting>
  <conditionalFormatting sqref="D1717">
    <cfRule type="cellIs" dxfId="6429" priority="6277" stopIfTrue="1" operator="equal">
      <formula>#REF!</formula>
    </cfRule>
  </conditionalFormatting>
  <conditionalFormatting sqref="D1727">
    <cfRule type="cellIs" dxfId="6428" priority="6278" stopIfTrue="1" operator="equal">
      <formula>#REF!</formula>
    </cfRule>
  </conditionalFormatting>
  <conditionalFormatting sqref="D1728">
    <cfRule type="cellIs" dxfId="6427" priority="6279" stopIfTrue="1" operator="equal">
      <formula>#REF!</formula>
    </cfRule>
  </conditionalFormatting>
  <conditionalFormatting sqref="D1493:D1495">
    <cfRule type="cellIs" dxfId="6426" priority="6280" stopIfTrue="1" operator="equal">
      <formula>#REF!</formula>
    </cfRule>
  </conditionalFormatting>
  <conditionalFormatting sqref="D1741">
    <cfRule type="cellIs" dxfId="6425" priority="6281" stopIfTrue="1" operator="equal">
      <formula>#REF!</formula>
    </cfRule>
  </conditionalFormatting>
  <conditionalFormatting sqref="D1743">
    <cfRule type="cellIs" dxfId="6424" priority="6282" stopIfTrue="1" operator="equal">
      <formula>#REF!</formula>
    </cfRule>
  </conditionalFormatting>
  <conditionalFormatting sqref="D1748">
    <cfRule type="cellIs" dxfId="6423" priority="6283" stopIfTrue="1" operator="equal">
      <formula>#REF!</formula>
    </cfRule>
  </conditionalFormatting>
  <conditionalFormatting sqref="D1766">
    <cfRule type="cellIs" dxfId="6422" priority="6284" stopIfTrue="1" operator="equal">
      <formula>#REF!</formula>
    </cfRule>
  </conditionalFormatting>
  <conditionalFormatting sqref="D1767">
    <cfRule type="cellIs" dxfId="6421" priority="6285" stopIfTrue="1" operator="equal">
      <formula>#REF!</formula>
    </cfRule>
  </conditionalFormatting>
  <conditionalFormatting sqref="D1772">
    <cfRule type="cellIs" dxfId="6420" priority="6286" stopIfTrue="1" operator="equal">
      <formula>#REF!</formula>
    </cfRule>
  </conditionalFormatting>
  <conditionalFormatting sqref="D1779">
    <cfRule type="cellIs" dxfId="6419" priority="6287" stopIfTrue="1" operator="equal">
      <formula>#REF!</formula>
    </cfRule>
  </conditionalFormatting>
  <conditionalFormatting sqref="D1780">
    <cfRule type="cellIs" dxfId="6418" priority="6288" stopIfTrue="1" operator="equal">
      <formula>#REF!</formula>
    </cfRule>
  </conditionalFormatting>
  <conditionalFormatting sqref="D1795">
    <cfRule type="cellIs" dxfId="6417" priority="6289" stopIfTrue="1" operator="equal">
      <formula>#REF!</formula>
    </cfRule>
  </conditionalFormatting>
  <conditionalFormatting sqref="D1807">
    <cfRule type="cellIs" dxfId="6416" priority="6290" stopIfTrue="1" operator="equal">
      <formula>#REF!</formula>
    </cfRule>
  </conditionalFormatting>
  <conditionalFormatting sqref="D1818">
    <cfRule type="cellIs" dxfId="6415" priority="6291" stopIfTrue="1" operator="equal">
      <formula>#REF!</formula>
    </cfRule>
  </conditionalFormatting>
  <conditionalFormatting sqref="D1789">
    <cfRule type="cellIs" dxfId="6414" priority="6292" stopIfTrue="1" operator="equal">
      <formula>#REF!</formula>
    </cfRule>
  </conditionalFormatting>
  <conditionalFormatting sqref="D1812">
    <cfRule type="cellIs" dxfId="6413" priority="6293" stopIfTrue="1" operator="equal">
      <formula>#REF!</formula>
    </cfRule>
  </conditionalFormatting>
  <conditionalFormatting sqref="D1826">
    <cfRule type="cellIs" dxfId="6412" priority="6294" stopIfTrue="1" operator="equal">
      <formula>#REF!</formula>
    </cfRule>
  </conditionalFormatting>
  <conditionalFormatting sqref="D604 D581:D582 D556:D557 D499:D501 D447:D448">
    <cfRule type="cellIs" dxfId="6411" priority="6295" stopIfTrue="1" operator="equal">
      <formula>#REF!</formula>
    </cfRule>
  </conditionalFormatting>
  <conditionalFormatting sqref="D1833">
    <cfRule type="cellIs" dxfId="6410" priority="6296" stopIfTrue="1" operator="equal">
      <formula>#REF!</formula>
    </cfRule>
  </conditionalFormatting>
  <conditionalFormatting sqref="D1601">
    <cfRule type="cellIs" dxfId="6409" priority="6297" stopIfTrue="1" operator="equal">
      <formula>#REF!</formula>
    </cfRule>
  </conditionalFormatting>
  <conditionalFormatting sqref="D502 D477 D463 D439:D440 D437">
    <cfRule type="cellIs" dxfId="6408" priority="6298" stopIfTrue="1" operator="equal">
      <formula>#REF!</formula>
    </cfRule>
  </conditionalFormatting>
  <conditionalFormatting sqref="J505:J1598 J1600:J1623 J240:J244 J335:J337 J212:J214 J1839:J1844 J1641:J1660 J356:J503 J306 J1625:J1639 J330:J333 J2890:J2903 J229 J237 J246 J231:J235 J223:J227 J221 J309:J313 J218:J219 J339:J352 J248:J251 J2235:J2863 J1743:J1748 J3084 J3082 J316:J327 J1662:J1681 J253:J260 J16 J19:J33 J175:J176 J91 J1765:J1776 J81:J83 J62:J64 J66:J67 J155 J1683:J1685 J54:J58 J167:J168 J148:J149 J1687:J1741 J1805:J1822 J117:J118 J140:J141 J115 J1750:J1763 J86 J127:J130 J95:J98 J178:J189 J89 J132:J134 J191:J196 J35:J37 J41:J50 J69:J79 J160 J162 J157 J1846:J2233 J136:J138 J262:J304 J39 J1824:J1837 J152:J153 J107:J113 J105 J100:J103 J1778:J1803 J170:J172 J198:J207">
    <cfRule type="cellIs" dxfId="6407" priority="6299" stopIfTrue="1" operator="equal">
      <formula>"Lockdown"</formula>
    </cfRule>
    <cfRule type="cellIs" dxfId="6406" priority="6300" stopIfTrue="1" operator="equal">
      <formula>"OOM"</formula>
    </cfRule>
    <cfRule type="cellIs" dxfId="6405" priority="6301" stopIfTrue="1" operator="equal">
      <formula>"Placeholder"</formula>
    </cfRule>
  </conditionalFormatting>
  <conditionalFormatting sqref="T401:V503 T371:AA371 T505:AA1598 T1600:AA1623 T240:AA244 T335:AA337 T212:AA214 T1839:AA1844 T1641:AA1660 T356:V399 W356:AA503 T306:AA306 T1625:AA1639 T330:AA333 T2890:AA2903 T229:AA229 T237:AA237 T246:AA246 T231:AA235 T223:AA227 T221:AA221 T309:AA313 T218:AA219 T339:AA352 T248:AA251 T2235:AA2863 T1743:AA1748 T3084:AA3084 T3082:AA3082 T316:AA327 T1662:AA1681 T253:AA260 T16:AA16 T25:AA33 T19:AA23 T175:AA176 T91:AA91 T1765:AA1776 T81:AA83 T62:AA64 T66:AA67 T155:AA155 T1683:AA1685 T54:AA58 T167:AA168 T148:AA149 T1687:AA1741 T1805:AA1822 T117:AA118 T140:AA141 T115:AA115 T1750:AA1763 T86:AA86 T127:AA130 T95:AA98 T178:AA189 T89:AA89 T132:AA134 T191:AA196 T35:AA37 T41:AA50 T69:AA79 T160:AA160 T162:AA162 T157:AA157 T1846:AA2233 T136:AA138 T262:AA304 T39:AA39 T1824:AA1837 T152:AA153 T107:AA113 T105:AA105 T100:AA103 T1778:AA1803 T170:AA172 T198:AA207">
    <cfRule type="cellIs" dxfId="6404" priority="6302" stopIfTrue="1" operator="equal">
      <formula>"Blue - Completed"</formula>
    </cfRule>
    <cfRule type="cellIs" dxfId="6403" priority="6303" stopIfTrue="1" operator="equal">
      <formula>"Green - Started on Sched"</formula>
    </cfRule>
    <cfRule type="cellIs" dxfId="6402" priority="6304" stopIfTrue="1" operator="between">
      <formula>"Q"</formula>
      <formula>"T"</formula>
    </cfRule>
  </conditionalFormatting>
  <conditionalFormatting sqref="N488 N490 N441 N438 N390:N395">
    <cfRule type="cellIs" dxfId="6401" priority="6305" stopIfTrue="1" operator="equal">
      <formula>"1 - Hard Load"</formula>
    </cfRule>
    <cfRule type="cellIs" dxfId="6400" priority="6306" stopIfTrue="1" operator="equal">
      <formula>"2 - Soft Load"</formula>
    </cfRule>
    <cfRule type="cellIs" dxfId="6399" priority="6307" stopIfTrue="1" operator="equal">
      <formula>"3 - Not Loaded"</formula>
    </cfRule>
  </conditionalFormatting>
  <conditionalFormatting sqref="D479:D484 D465:D466 D419 D402:D406">
    <cfRule type="cellIs" dxfId="6398" priority="6308" stopIfTrue="1" operator="equal">
      <formula>#REF!</formula>
    </cfRule>
  </conditionalFormatting>
  <conditionalFormatting sqref="D2314:D2322">
    <cfRule type="cellIs" dxfId="6397" priority="6309" stopIfTrue="1" operator="equal">
      <formula>D786</formula>
    </cfRule>
  </conditionalFormatting>
  <conditionalFormatting sqref="D2323:D2342">
    <cfRule type="cellIs" dxfId="6396" priority="6310" stopIfTrue="1" operator="equal">
      <formula>D774</formula>
    </cfRule>
  </conditionalFormatting>
  <conditionalFormatting sqref="D2343:D2374">
    <cfRule type="cellIs" dxfId="6395" priority="6311" stopIfTrue="1" operator="equal">
      <formula>D766</formula>
    </cfRule>
  </conditionalFormatting>
  <conditionalFormatting sqref="D444">
    <cfRule type="cellIs" dxfId="6394" priority="6312" stopIfTrue="1" operator="equal">
      <formula>#REF!</formula>
    </cfRule>
  </conditionalFormatting>
  <conditionalFormatting sqref="G1600:G1623 G240:G244 G335:G337 G212:G214 G1641:G1660 G356:G1598 G306 G1625:G1639 G330:G333 G2890:G2903 G229 G237 G246 G231:G235 G223:G227 G221 G309:G313 G218:G219 G339:G352 G248:G251 G2235:G2863 G1743:G1748 G1839:G1844 G3084 G3082 G316:G327 G1662:G1681 G253:G260 G16 G19:G33 G175:G176 G91 G1765:G1776 G81:G83 G62:G64 G66:G67 G155 G1683:G1685 G54:G58 G167:G168 G148:G149 G1687:G1741 G1805:G1822 G117:G118 G140:G141 G115 G1750:G1763 G86 G127:G130 G95:G98 G178:G189 G89 G132:G134 G191:G196 G39 G41:G50 G69:G79 G160 G162 G157 G1846:G2233 G136:G138 G262:G304 G1824:G1837 G152:G153 G107:G113 G105 G100:G103 G1778:G1803 G170:G172 G198:G207">
    <cfRule type="cellIs" dxfId="6393" priority="5778" stopIfTrue="1" operator="equal">
      <formula>"4 - Complete"</formula>
    </cfRule>
    <cfRule type="cellIs" dxfId="6392" priority="6313" stopIfTrue="1" operator="equal">
      <formula>"3 - Green"</formula>
    </cfRule>
    <cfRule type="cellIs" dxfId="6391" priority="6314" stopIfTrue="1" operator="equal">
      <formula>"2 - Yellow"</formula>
    </cfRule>
    <cfRule type="cellIs" dxfId="6390" priority="6315" stopIfTrue="1" operator="equal">
      <formula>"1 - Red"</formula>
    </cfRule>
  </conditionalFormatting>
  <conditionalFormatting sqref="L1600:L1623 L240:L244 L335:L337 L212:L214 L1839:L1844 L1641:L1660 L356:L1598 L306 L1625:L1639 L330:L333 L2890:L2903 L229 L237 L246 L231:L235 L223:L227 L221 L309:L313 L218:L219 L339:L352 L248:L251 L2235:L2863 L1743:L1748 L3084 L3082 L316:L327 L1662:L1681 L253:L260 L16 L19:L33 L175:L176 L91 L1765:L1776 L81:L83 L62:L64 L66:L67 L155 L1683:L1685 L54:L58 L167:L168 L148:L149 L1687:L1741 L1805:L1822 L117:L118 L140:L141 L115 L1750:L1763 L86 L127:L130 L95:L98 L178:L189 L89 L132:L134 L191:L196 L35:L37 L41:L50 L69:L79 L160 L162 L157 L1846:L2233 L136:L138 L262:L304 L39 L1824:L1837 L152:L153 L107:L113 L105 L100:L103 L1778:L1803 L170:L172 L198:L207">
    <cfRule type="cellIs" dxfId="6389" priority="6316" stopIfTrue="1" operator="equal">
      <formula>"1 - Hard Load"</formula>
    </cfRule>
    <cfRule type="cellIs" dxfId="6388" priority="6317" stopIfTrue="1" operator="equal">
      <formula>"3 - Not Loaded"</formula>
    </cfRule>
    <cfRule type="cellIs" dxfId="6387" priority="6318" stopIfTrue="1" operator="equal">
      <formula>"2 - Soft Load"</formula>
    </cfRule>
  </conditionalFormatting>
  <conditionalFormatting sqref="D2368:D2386">
    <cfRule type="cellIs" dxfId="6386" priority="6320" stopIfTrue="1" operator="equal">
      <formula>D784</formula>
    </cfRule>
  </conditionalFormatting>
  <conditionalFormatting sqref="D325:D326 D317:D319">
    <cfRule type="cellIs" dxfId="6385" priority="6721" stopIfTrue="1" operator="equal">
      <formula>D295</formula>
    </cfRule>
  </conditionalFormatting>
  <conditionalFormatting sqref="D453 D285 D276">
    <cfRule type="cellIs" dxfId="6384" priority="6722" stopIfTrue="1" operator="equal">
      <formula>D260</formula>
    </cfRule>
  </conditionalFormatting>
  <conditionalFormatting sqref="D2377:D2381 D2387:D2391 D2397:D2401">
    <cfRule type="cellIs" dxfId="6383" priority="6726" stopIfTrue="1" operator="equal">
      <formula>D773</formula>
    </cfRule>
  </conditionalFormatting>
  <conditionalFormatting sqref="D2377:D2396">
    <cfRule type="cellIs" dxfId="6382" priority="6728" stopIfTrue="1" operator="equal">
      <formula>D783</formula>
    </cfRule>
  </conditionalFormatting>
  <conditionalFormatting sqref="D333 D327">
    <cfRule type="cellIs" dxfId="6381" priority="7129" stopIfTrue="1" operator="equal">
      <formula>D303</formula>
    </cfRule>
  </conditionalFormatting>
  <conditionalFormatting sqref="D368">
    <cfRule type="cellIs" dxfId="6380" priority="7530" stopIfTrue="1" operator="equal">
      <formula>D349</formula>
    </cfRule>
  </conditionalFormatting>
  <conditionalFormatting sqref="D2377:D2401">
    <cfRule type="cellIs" dxfId="6379" priority="6724" stopIfTrue="1" operator="equal">
      <formula>D768</formula>
    </cfRule>
  </conditionalFormatting>
  <conditionalFormatting sqref="D2402:D2416">
    <cfRule type="cellIs" dxfId="6378" priority="7532" stopIfTrue="1" operator="equal">
      <formula>D792</formula>
    </cfRule>
  </conditionalFormatting>
  <conditionalFormatting sqref="D2405:D2428">
    <cfRule type="cellIs" dxfId="6377" priority="7534" stopIfTrue="1" operator="equal">
      <formula>D774</formula>
    </cfRule>
  </conditionalFormatting>
  <conditionalFormatting sqref="D2411:D2413 D2405:D2407 D2417:D2428">
    <cfRule type="cellIs" dxfId="6376" priority="7536" stopIfTrue="1" operator="equal">
      <formula>D777</formula>
    </cfRule>
  </conditionalFormatting>
  <conditionalFormatting sqref="D2405:D2410 D2417:D2428">
    <cfRule type="cellIs" dxfId="6375" priority="7538" stopIfTrue="1" operator="equal">
      <formula>D783</formula>
    </cfRule>
  </conditionalFormatting>
  <conditionalFormatting sqref="D2489:D2517">
    <cfRule type="cellIs" dxfId="6374" priority="7540" stopIfTrue="1" operator="equal">
      <formula>D779</formula>
    </cfRule>
  </conditionalFormatting>
  <conditionalFormatting sqref="D2491:D2493 D2483:D2485 D2472:D2474 D2464:D2466 D2453:D2455 D2445:D2447 D2434:D2436 D2497:D2517">
    <cfRule type="cellIs" dxfId="6373" priority="7542" stopIfTrue="1" operator="equal">
      <formula>D727</formula>
    </cfRule>
  </conditionalFormatting>
  <conditionalFormatting sqref="D2489:D2490 D2470:D2471 D2451:D2452 D2432:D2433 D2497:D2517">
    <cfRule type="cellIs" dxfId="6372" priority="7545" stopIfTrue="1" operator="equal">
      <formula>D731</formula>
    </cfRule>
  </conditionalFormatting>
  <conditionalFormatting sqref="D2429:D2469">
    <cfRule type="cellIs" dxfId="6371" priority="5898" stopIfTrue="1" operator="equal">
      <formula>D776</formula>
    </cfRule>
  </conditionalFormatting>
  <conditionalFormatting sqref="D2429:D2430">
    <cfRule type="cellIs" dxfId="6370" priority="5897" stopIfTrue="1" operator="equal">
      <formula>D779</formula>
    </cfRule>
  </conditionalFormatting>
  <conditionalFormatting sqref="D2429:D2469">
    <cfRule type="cellIs" dxfId="6369" priority="5896" stopIfTrue="1" operator="equal">
      <formula>D785</formula>
    </cfRule>
  </conditionalFormatting>
  <conditionalFormatting sqref="D2429:D2469">
    <cfRule type="cellIs" dxfId="6368" priority="7547" stopIfTrue="1" operator="equal">
      <formula>D787</formula>
    </cfRule>
  </conditionalFormatting>
  <conditionalFormatting sqref="D2429:D2469">
    <cfRule type="cellIs" dxfId="6367" priority="7549" stopIfTrue="1" operator="equal">
      <formula>D790</formula>
    </cfRule>
  </conditionalFormatting>
  <conditionalFormatting sqref="D2429:D2469">
    <cfRule type="cellIs" dxfId="6366" priority="7551" stopIfTrue="1" operator="equal">
      <formula>D796</formula>
    </cfRule>
  </conditionalFormatting>
  <conditionalFormatting sqref="D2423:D2425">
    <cfRule type="cellIs" dxfId="6365" priority="5895" stopIfTrue="1" operator="equal">
      <formula>D773</formula>
    </cfRule>
  </conditionalFormatting>
  <conditionalFormatting sqref="D2418:D2428">
    <cfRule type="cellIs" dxfId="6364" priority="5894" stopIfTrue="1" operator="equal">
      <formula>D765</formula>
    </cfRule>
  </conditionalFormatting>
  <conditionalFormatting sqref="D2418:D2419">
    <cfRule type="cellIs" dxfId="6363" priority="5893" stopIfTrue="1" operator="equal">
      <formula>D768</formula>
    </cfRule>
  </conditionalFormatting>
  <conditionalFormatting sqref="D2418:D2422">
    <cfRule type="cellIs" dxfId="6362" priority="5892" stopIfTrue="1" operator="equal">
      <formula>D774</formula>
    </cfRule>
  </conditionalFormatting>
  <conditionalFormatting sqref="D2418:D2428">
    <cfRule type="cellIs" dxfId="6361" priority="5891" stopIfTrue="1" operator="equal">
      <formula>D776</formula>
    </cfRule>
  </conditionalFormatting>
  <conditionalFormatting sqref="D2418:D2428">
    <cfRule type="cellIs" dxfId="6360" priority="5890" stopIfTrue="1" operator="equal">
      <formula>D779</formula>
    </cfRule>
  </conditionalFormatting>
  <conditionalFormatting sqref="D2418:D2428">
    <cfRule type="cellIs" dxfId="6359" priority="5889" stopIfTrue="1" operator="equal">
      <formula>D785</formula>
    </cfRule>
  </conditionalFormatting>
  <conditionalFormatting sqref="D368">
    <cfRule type="cellIs" dxfId="6358" priority="5888" stopIfTrue="1" operator="equal">
      <formula>D363</formula>
    </cfRule>
  </conditionalFormatting>
  <conditionalFormatting sqref="D292 D288">
    <cfRule type="cellIs" dxfId="6357" priority="5887" stopIfTrue="1" operator="equal">
      <formula>D265</formula>
    </cfRule>
  </conditionalFormatting>
  <conditionalFormatting sqref="D248:D249 D251">
    <cfRule type="cellIs" dxfId="6356" priority="7559" stopIfTrue="1" operator="equal">
      <formula>D175</formula>
    </cfRule>
  </conditionalFormatting>
  <conditionalFormatting sqref="D286:D287 D273:D274 D277:D279">
    <cfRule type="cellIs" dxfId="6355" priority="5884" stopIfTrue="1" operator="equal">
      <formula>D258</formula>
    </cfRule>
  </conditionalFormatting>
  <conditionalFormatting sqref="D288 D363:D364">
    <cfRule type="cellIs" dxfId="6354" priority="7566" stopIfTrue="1" operator="equal">
      <formula>D264</formula>
    </cfRule>
  </conditionalFormatting>
  <conditionalFormatting sqref="D302">
    <cfRule type="cellIs" dxfId="6353" priority="5883" stopIfTrue="1" operator="equal">
      <formula>D296</formula>
    </cfRule>
  </conditionalFormatting>
  <conditionalFormatting sqref="D2489:D2496">
    <cfRule type="cellIs" dxfId="6352" priority="7574" stopIfTrue="1" operator="equal">
      <formula>D790</formula>
    </cfRule>
  </conditionalFormatting>
  <conditionalFormatting sqref="D2489:D2496">
    <cfRule type="cellIs" dxfId="6351" priority="7576" stopIfTrue="1" operator="equal">
      <formula>D793</formula>
    </cfRule>
  </conditionalFormatting>
  <conditionalFormatting sqref="D2489:D2496">
    <cfRule type="cellIs" dxfId="6350" priority="7578" stopIfTrue="1" operator="equal">
      <formula>D799</formula>
    </cfRule>
  </conditionalFormatting>
  <conditionalFormatting sqref="D2470:D2488">
    <cfRule type="cellIs" dxfId="6349" priority="5881" stopIfTrue="1" operator="equal">
      <formula>D760</formula>
    </cfRule>
  </conditionalFormatting>
  <conditionalFormatting sqref="D2478:D2479">
    <cfRule type="cellIs" dxfId="6348" priority="5880" stopIfTrue="1" operator="equal">
      <formula>D771</formula>
    </cfRule>
  </conditionalFormatting>
  <conditionalFormatting sqref="D2478:D2482">
    <cfRule type="cellIs" dxfId="6347" priority="5879" stopIfTrue="1" operator="equal">
      <formula>D777</formula>
    </cfRule>
  </conditionalFormatting>
  <conditionalFormatting sqref="D2470:D2477">
    <cfRule type="cellIs" dxfId="6346" priority="5878" stopIfTrue="1" operator="equal">
      <formula>D771</formula>
    </cfRule>
  </conditionalFormatting>
  <conditionalFormatting sqref="D2470:D2477">
    <cfRule type="cellIs" dxfId="6345" priority="5877" stopIfTrue="1" operator="equal">
      <formula>D774</formula>
    </cfRule>
  </conditionalFormatting>
  <conditionalFormatting sqref="D2470:D2477">
    <cfRule type="cellIs" dxfId="6344" priority="5876" stopIfTrue="1" operator="equal">
      <formula>D780</formula>
    </cfRule>
  </conditionalFormatting>
  <conditionalFormatting sqref="D2470:D2488">
    <cfRule type="cellIs" dxfId="6343" priority="7583" stopIfTrue="1" operator="equal">
      <formula>D779</formula>
    </cfRule>
  </conditionalFormatting>
  <conditionalFormatting sqref="D2470:D2488">
    <cfRule type="cellIs" dxfId="6342" priority="7585" stopIfTrue="1" operator="equal">
      <formula>D788</formula>
    </cfRule>
  </conditionalFormatting>
  <conditionalFormatting sqref="D2470:D2488">
    <cfRule type="cellIs" dxfId="6341" priority="7587" stopIfTrue="1" operator="equal">
      <formula>D790</formula>
    </cfRule>
  </conditionalFormatting>
  <conditionalFormatting sqref="D2470:D2488">
    <cfRule type="cellIs" dxfId="6340" priority="7589" stopIfTrue="1" operator="equal">
      <formula>D793</formula>
    </cfRule>
  </conditionalFormatting>
  <conditionalFormatting sqref="D2470:D2488">
    <cfRule type="cellIs" dxfId="6339" priority="7591" stopIfTrue="1" operator="equal">
      <formula>D799</formula>
    </cfRule>
  </conditionalFormatting>
  <conditionalFormatting sqref="D2451:D2469">
    <cfRule type="cellIs" dxfId="6338" priority="5875" stopIfTrue="1" operator="equal">
      <formula>D741</formula>
    </cfRule>
  </conditionalFormatting>
  <conditionalFormatting sqref="D2459:D2460">
    <cfRule type="cellIs" dxfId="6337" priority="5874" stopIfTrue="1" operator="equal">
      <formula>D752</formula>
    </cfRule>
  </conditionalFormatting>
  <conditionalFormatting sqref="D2459:D2463">
    <cfRule type="cellIs" dxfId="6336" priority="5873" stopIfTrue="1" operator="equal">
      <formula>D758</formula>
    </cfRule>
  </conditionalFormatting>
  <conditionalFormatting sqref="D2451:D2458">
    <cfRule type="cellIs" dxfId="6335" priority="5872" stopIfTrue="1" operator="equal">
      <formula>D752</formula>
    </cfRule>
  </conditionalFormatting>
  <conditionalFormatting sqref="D2451:D2458">
    <cfRule type="cellIs" dxfId="6334" priority="5871" stopIfTrue="1" operator="equal">
      <formula>D755</formula>
    </cfRule>
  </conditionalFormatting>
  <conditionalFormatting sqref="D2451:D2458">
    <cfRule type="cellIs" dxfId="6333" priority="5870" stopIfTrue="1" operator="equal">
      <formula>D761</formula>
    </cfRule>
  </conditionalFormatting>
  <conditionalFormatting sqref="D2432:D2450">
    <cfRule type="cellIs" dxfId="6332" priority="5869" stopIfTrue="1" operator="equal">
      <formula>D722</formula>
    </cfRule>
  </conditionalFormatting>
  <conditionalFormatting sqref="D2440:D2441">
    <cfRule type="cellIs" dxfId="6331" priority="5868" stopIfTrue="1" operator="equal">
      <formula>D733</formula>
    </cfRule>
  </conditionalFormatting>
  <conditionalFormatting sqref="D2440:D2444">
    <cfRule type="cellIs" dxfId="6330" priority="5867" stopIfTrue="1" operator="equal">
      <formula>D739</formula>
    </cfRule>
  </conditionalFormatting>
  <conditionalFormatting sqref="D2432:D2439">
    <cfRule type="cellIs" dxfId="6329" priority="5866" stopIfTrue="1" operator="equal">
      <formula>D733</formula>
    </cfRule>
  </conditionalFormatting>
  <conditionalFormatting sqref="D2432:D2439">
    <cfRule type="cellIs" dxfId="6328" priority="5865" stopIfTrue="1" operator="equal">
      <formula>D736</formula>
    </cfRule>
  </conditionalFormatting>
  <conditionalFormatting sqref="D2432:D2439">
    <cfRule type="cellIs" dxfId="6327" priority="5864" stopIfTrue="1" operator="equal">
      <formula>D742</formula>
    </cfRule>
  </conditionalFormatting>
  <conditionalFormatting sqref="D2432:D2450">
    <cfRule type="cellIs" dxfId="6326" priority="5863" stopIfTrue="1" operator="equal">
      <formula>D741</formula>
    </cfRule>
  </conditionalFormatting>
  <conditionalFormatting sqref="D2432:D2450">
    <cfRule type="cellIs" dxfId="6325" priority="5862" stopIfTrue="1" operator="equal">
      <formula>D750</formula>
    </cfRule>
  </conditionalFormatting>
  <conditionalFormatting sqref="D2432:D2450">
    <cfRule type="cellIs" dxfId="6324" priority="5861" stopIfTrue="1" operator="equal">
      <formula>D752</formula>
    </cfRule>
  </conditionalFormatting>
  <conditionalFormatting sqref="D2432:D2450">
    <cfRule type="cellIs" dxfId="6323" priority="5860" stopIfTrue="1" operator="equal">
      <formula>D755</formula>
    </cfRule>
  </conditionalFormatting>
  <conditionalFormatting sqref="D2432:D2450">
    <cfRule type="cellIs" dxfId="6322" priority="5859" stopIfTrue="1" operator="equal">
      <formula>D761</formula>
    </cfRule>
  </conditionalFormatting>
  <conditionalFormatting sqref="D316:D317">
    <cfRule type="cellIs" dxfId="6321" priority="5858" stopIfTrue="1" operator="equal">
      <formula>D289</formula>
    </cfRule>
  </conditionalFormatting>
  <conditionalFormatting sqref="D359:D361 D293:D294">
    <cfRule type="cellIs" dxfId="6320" priority="7596" stopIfTrue="1" operator="equal">
      <formula>D264</formula>
    </cfRule>
  </conditionalFormatting>
  <conditionalFormatting sqref="D295">
    <cfRule type="cellIs" dxfId="6319" priority="7601" stopIfTrue="1" operator="equal">
      <formula>D265</formula>
    </cfRule>
  </conditionalFormatting>
  <conditionalFormatting sqref="D295:D296">
    <cfRule type="cellIs" dxfId="6318" priority="5852" stopIfTrue="1" operator="equal">
      <formula>D264</formula>
    </cfRule>
  </conditionalFormatting>
  <conditionalFormatting sqref="D2518:D2544">
    <cfRule type="cellIs" dxfId="6317" priority="7605" stopIfTrue="1" operator="equal">
      <formula>D780</formula>
    </cfRule>
  </conditionalFormatting>
  <conditionalFormatting sqref="D2520:D2522 D2512:D2514 D2502:D2504 D2526:D2544">
    <cfRule type="cellIs" dxfId="6316" priority="7607" stopIfTrue="1" operator="equal">
      <formula>D767</formula>
    </cfRule>
  </conditionalFormatting>
  <conditionalFormatting sqref="D2518:D2519 D2500:D2501 D2526:D2544">
    <cfRule type="cellIs" dxfId="6315" priority="7610" stopIfTrue="1" operator="equal">
      <formula>D771</formula>
    </cfRule>
  </conditionalFormatting>
  <conditionalFormatting sqref="D2498:D2517">
    <cfRule type="cellIs" dxfId="6314" priority="5850" stopIfTrue="1" operator="equal">
      <formula>D778</formula>
    </cfRule>
  </conditionalFormatting>
  <conditionalFormatting sqref="D2498">
    <cfRule type="cellIs" dxfId="6313" priority="5849" stopIfTrue="1" operator="equal">
      <formula>D781</formula>
    </cfRule>
  </conditionalFormatting>
  <conditionalFormatting sqref="D2498:D2517">
    <cfRule type="cellIs" dxfId="6312" priority="5848" stopIfTrue="1" operator="equal">
      <formula>D787</formula>
    </cfRule>
  </conditionalFormatting>
  <conditionalFormatting sqref="D367">
    <cfRule type="cellIs" dxfId="6311" priority="5847" stopIfTrue="1" operator="equal">
      <formula>#REF!</formula>
    </cfRule>
  </conditionalFormatting>
  <conditionalFormatting sqref="D362">
    <cfRule type="cellIs" dxfId="6310" priority="5846" stopIfTrue="1" operator="equal">
      <formula>D330</formula>
    </cfRule>
  </conditionalFormatting>
  <conditionalFormatting sqref="D364">
    <cfRule type="cellIs" dxfId="6309" priority="5844" stopIfTrue="1" operator="equal">
      <formula>D339</formula>
    </cfRule>
  </conditionalFormatting>
  <conditionalFormatting sqref="D1481">
    <cfRule type="cellIs" dxfId="6308" priority="5842" stopIfTrue="1" operator="equal">
      <formula>D616</formula>
    </cfRule>
  </conditionalFormatting>
  <conditionalFormatting sqref="D1486">
    <cfRule type="cellIs" dxfId="6307" priority="5841" stopIfTrue="1" operator="equal">
      <formula>D616</formula>
    </cfRule>
  </conditionalFormatting>
  <conditionalFormatting sqref="D1480">
    <cfRule type="cellIs" dxfId="6306" priority="5840" stopIfTrue="1" operator="equal">
      <formula>D615</formula>
    </cfRule>
  </conditionalFormatting>
  <conditionalFormatting sqref="D2518:D2525">
    <cfRule type="cellIs" dxfId="6305" priority="7612" stopIfTrue="1" operator="equal">
      <formula>D790</formula>
    </cfRule>
  </conditionalFormatting>
  <conditionalFormatting sqref="D2518:D2525">
    <cfRule type="cellIs" dxfId="6304" priority="7614" stopIfTrue="1" operator="equal">
      <formula>D793</formula>
    </cfRule>
  </conditionalFormatting>
  <conditionalFormatting sqref="D2518:D2525">
    <cfRule type="cellIs" dxfId="6303" priority="7616" stopIfTrue="1" operator="equal">
      <formula>D799</formula>
    </cfRule>
  </conditionalFormatting>
  <conditionalFormatting sqref="D2500:D2517">
    <cfRule type="cellIs" dxfId="6302" priority="5839" stopIfTrue="1" operator="equal">
      <formula>D762</formula>
    </cfRule>
  </conditionalFormatting>
  <conditionalFormatting sqref="D2508">
    <cfRule type="cellIs" dxfId="6301" priority="5838" stopIfTrue="1" operator="equal">
      <formula>D773</formula>
    </cfRule>
  </conditionalFormatting>
  <conditionalFormatting sqref="D2508:D2511">
    <cfRule type="cellIs" dxfId="6300" priority="5837" stopIfTrue="1" operator="equal">
      <formula>D779</formula>
    </cfRule>
  </conditionalFormatting>
  <conditionalFormatting sqref="D2500:D2507">
    <cfRule type="cellIs" dxfId="6299" priority="5836" stopIfTrue="1" operator="equal">
      <formula>D772</formula>
    </cfRule>
  </conditionalFormatting>
  <conditionalFormatting sqref="D2500:D2507">
    <cfRule type="cellIs" dxfId="6298" priority="5835" stopIfTrue="1" operator="equal">
      <formula>D775</formula>
    </cfRule>
  </conditionalFormatting>
  <conditionalFormatting sqref="D2500:D2507">
    <cfRule type="cellIs" dxfId="6297" priority="5834" stopIfTrue="1" operator="equal">
      <formula>D781</formula>
    </cfRule>
  </conditionalFormatting>
  <conditionalFormatting sqref="D2567:D2596">
    <cfRule type="cellIs" dxfId="6296" priority="7618" stopIfTrue="1" operator="equal">
      <formula>D777</formula>
    </cfRule>
  </conditionalFormatting>
  <conditionalFormatting sqref="D2613:D2614 D2597:D2598 D2572:D2573">
    <cfRule type="cellIs" dxfId="6295" priority="7619" stopIfTrue="1" operator="equal">
      <formula>D744</formula>
    </cfRule>
  </conditionalFormatting>
  <conditionalFormatting sqref="D2545:D2566">
    <cfRule type="cellIs" dxfId="6294" priority="5833" stopIfTrue="1" operator="equal">
      <formula>D780</formula>
    </cfRule>
  </conditionalFormatting>
  <conditionalFormatting sqref="D2548:D2550">
    <cfRule type="cellIs" dxfId="6293" priority="5832" stopIfTrue="1" operator="equal">
      <formula>D786</formula>
    </cfRule>
  </conditionalFormatting>
  <conditionalFormatting sqref="D1444">
    <cfRule type="cellIs" dxfId="6292" priority="7622" stopIfTrue="1" operator="equal">
      <formula>D613</formula>
    </cfRule>
  </conditionalFormatting>
  <conditionalFormatting sqref="D1443">
    <cfRule type="cellIs" dxfId="6291" priority="5831" stopIfTrue="1" operator="equal">
      <formula>D612</formula>
    </cfRule>
  </conditionalFormatting>
  <conditionalFormatting sqref="D320">
    <cfRule type="cellIs" dxfId="6290" priority="7671" stopIfTrue="1" operator="equal">
      <formula>#REF!</formula>
    </cfRule>
  </conditionalFormatting>
  <conditionalFormatting sqref="D33">
    <cfRule type="cellIs" dxfId="6289" priority="5829" stopIfTrue="1" operator="equal">
      <formula>D24</formula>
    </cfRule>
  </conditionalFormatting>
  <conditionalFormatting sqref="D2545:D2566">
    <cfRule type="cellIs" dxfId="6288" priority="7673" stopIfTrue="1" operator="equal">
      <formula>D789</formula>
    </cfRule>
  </conditionalFormatting>
  <conditionalFormatting sqref="D2545:D2566">
    <cfRule type="cellIs" dxfId="6287" priority="7675" stopIfTrue="1" operator="equal">
      <formula>D792</formula>
    </cfRule>
  </conditionalFormatting>
  <conditionalFormatting sqref="D2545:D2566">
    <cfRule type="cellIs" dxfId="6286" priority="7677" stopIfTrue="1" operator="equal">
      <formula>D798</formula>
    </cfRule>
  </conditionalFormatting>
  <conditionalFormatting sqref="D2536:D2544">
    <cfRule type="cellIs" dxfId="6285" priority="5828" stopIfTrue="1" operator="equal">
      <formula>D771</formula>
    </cfRule>
  </conditionalFormatting>
  <conditionalFormatting sqref="D2539:D2541">
    <cfRule type="cellIs" dxfId="6284" priority="5827" stopIfTrue="1" operator="equal">
      <formula>D777</formula>
    </cfRule>
  </conditionalFormatting>
  <conditionalFormatting sqref="D2527:D2535">
    <cfRule type="cellIs" dxfId="6283" priority="5826" stopIfTrue="1" operator="equal">
      <formula>D762</formula>
    </cfRule>
  </conditionalFormatting>
  <conditionalFormatting sqref="D2530:D2532">
    <cfRule type="cellIs" dxfId="6282" priority="5825" stopIfTrue="1" operator="equal">
      <formula>D768</formula>
    </cfRule>
  </conditionalFormatting>
  <conditionalFormatting sqref="D2527:D2538">
    <cfRule type="cellIs" dxfId="6281" priority="5824" stopIfTrue="1" operator="equal">
      <formula>D771</formula>
    </cfRule>
  </conditionalFormatting>
  <conditionalFormatting sqref="D2527:D2535">
    <cfRule type="cellIs" dxfId="6280" priority="5823" stopIfTrue="1" operator="equal">
      <formula>D774</formula>
    </cfRule>
  </conditionalFormatting>
  <conditionalFormatting sqref="D2527:D2535">
    <cfRule type="cellIs" dxfId="6279" priority="5822" stopIfTrue="1" operator="equal">
      <formula>D780</formula>
    </cfRule>
  </conditionalFormatting>
  <conditionalFormatting sqref="D2567:D2570 D2553:D2556">
    <cfRule type="cellIs" dxfId="6278" priority="7681" stopIfTrue="1" operator="equal">
      <formula>D772</formula>
    </cfRule>
  </conditionalFormatting>
  <conditionalFormatting sqref="D2567 D2553">
    <cfRule type="cellIs" dxfId="6277" priority="7683" stopIfTrue="1" operator="equal">
      <formula>D775</formula>
    </cfRule>
  </conditionalFormatting>
  <conditionalFormatting sqref="D2567 D2553">
    <cfRule type="cellIs" dxfId="6276" priority="7685" stopIfTrue="1" operator="equal">
      <formula>D781</formula>
    </cfRule>
  </conditionalFormatting>
  <conditionalFormatting sqref="D2552:D2566">
    <cfRule type="cellIs" dxfId="6275" priority="5821" stopIfTrue="1" operator="equal">
      <formula>D776</formula>
    </cfRule>
  </conditionalFormatting>
  <conditionalFormatting sqref="D2571:D2596">
    <cfRule type="cellIs" dxfId="6274" priority="5820" stopIfTrue="1" operator="equal">
      <formula>D784</formula>
    </cfRule>
  </conditionalFormatting>
  <conditionalFormatting sqref="D2552:D2596">
    <cfRule type="cellIs" dxfId="6273" priority="5819" stopIfTrue="1" operator="equal">
      <formula>D785</formula>
    </cfRule>
  </conditionalFormatting>
  <conditionalFormatting sqref="D2552:D2566">
    <cfRule type="cellIs" dxfId="6272" priority="5818" stopIfTrue="1" operator="equal">
      <formula>D788</formula>
    </cfRule>
  </conditionalFormatting>
  <conditionalFormatting sqref="D2552:D2566">
    <cfRule type="cellIs" dxfId="6271" priority="5817" stopIfTrue="1" operator="equal">
      <formula>D794</formula>
    </cfRule>
  </conditionalFormatting>
  <conditionalFormatting sqref="D298">
    <cfRule type="cellIs" dxfId="6270" priority="5810" stopIfTrue="1" operator="equal">
      <formula>D278</formula>
    </cfRule>
  </conditionalFormatting>
  <conditionalFormatting sqref="D2567:D2596">
    <cfRule type="cellIs" dxfId="6269" priority="7687" stopIfTrue="1" operator="equal">
      <formula>D788</formula>
    </cfRule>
  </conditionalFormatting>
  <conditionalFormatting sqref="D2567:D2596">
    <cfRule type="cellIs" dxfId="6268" priority="7689" stopIfTrue="1" operator="equal">
      <formula>D797</formula>
    </cfRule>
  </conditionalFormatting>
  <conditionalFormatting sqref="D2567:D2596">
    <cfRule type="cellIs" dxfId="6267" priority="7693" stopIfTrue="1" operator="equal">
      <formula>D806</formula>
    </cfRule>
  </conditionalFormatting>
  <conditionalFormatting sqref="D2553:D2566">
    <cfRule type="cellIs" dxfId="6266" priority="5809" stopIfTrue="1" operator="equal">
      <formula>D763</formula>
    </cfRule>
  </conditionalFormatting>
  <conditionalFormatting sqref="D2563:D2566">
    <cfRule type="cellIs" dxfId="6265" priority="5808" stopIfTrue="1" operator="equal">
      <formula>D782</formula>
    </cfRule>
  </conditionalFormatting>
  <conditionalFormatting sqref="D2563:D2564">
    <cfRule type="cellIs" dxfId="6264" priority="5807" stopIfTrue="1" operator="equal">
      <formula>D785</formula>
    </cfRule>
  </conditionalFormatting>
  <conditionalFormatting sqref="D2563:D2564">
    <cfRule type="cellIs" dxfId="6263" priority="5806" stopIfTrue="1" operator="equal">
      <formula>D791</formula>
    </cfRule>
  </conditionalFormatting>
  <conditionalFormatting sqref="D2557:D2559">
    <cfRule type="cellIs" dxfId="6262" priority="5805" stopIfTrue="1" operator="equal">
      <formula>D770</formula>
    </cfRule>
  </conditionalFormatting>
  <conditionalFormatting sqref="D2553:D2562">
    <cfRule type="cellIs" dxfId="6261" priority="5804" stopIfTrue="1" operator="equal">
      <formula>D774</formula>
    </cfRule>
  </conditionalFormatting>
  <conditionalFormatting sqref="D2553:D2562">
    <cfRule type="cellIs" dxfId="6260" priority="5803" stopIfTrue="1" operator="equal">
      <formula>D783</formula>
    </cfRule>
  </conditionalFormatting>
  <conditionalFormatting sqref="D2553:D2562">
    <cfRule type="cellIs" dxfId="6259" priority="5802" stopIfTrue="1" operator="equal">
      <formula>D792</formula>
    </cfRule>
  </conditionalFormatting>
  <conditionalFormatting sqref="D30">
    <cfRule type="cellIs" dxfId="6258" priority="5800" stopIfTrue="1" operator="equal">
      <formula>D15</formula>
    </cfRule>
  </conditionalFormatting>
  <conditionalFormatting sqref="D292">
    <cfRule type="cellIs" dxfId="6257" priority="5797" stopIfTrue="1" operator="equal">
      <formula>D264</formula>
    </cfRule>
  </conditionalFormatting>
  <conditionalFormatting sqref="D292">
    <cfRule type="cellIs" dxfId="6256" priority="5796" stopIfTrue="1" operator="equal">
      <formula>D263</formula>
    </cfRule>
  </conditionalFormatting>
  <conditionalFormatting sqref="D251">
    <cfRule type="cellIs" dxfId="6255" priority="5795" stopIfTrue="1" operator="equal">
      <formula>D137</formula>
    </cfRule>
  </conditionalFormatting>
  <conditionalFormatting sqref="D1501:D1502">
    <cfRule type="cellIs" dxfId="6254" priority="5794" stopIfTrue="1" operator="equal">
      <formula>D615</formula>
    </cfRule>
  </conditionalFormatting>
  <conditionalFormatting sqref="D322 D203">
    <cfRule type="cellIs" dxfId="6253" priority="5793" stopIfTrue="1" operator="equal">
      <formula>D170</formula>
    </cfRule>
  </conditionalFormatting>
  <conditionalFormatting sqref="D202 D232">
    <cfRule type="cellIs" dxfId="6252" priority="5792" stopIfTrue="1" operator="equal">
      <formula>D141</formula>
    </cfRule>
  </conditionalFormatting>
  <conditionalFormatting sqref="D306">
    <cfRule type="cellIs" dxfId="6251" priority="5791" stopIfTrue="1" operator="equal">
      <formula>D265</formula>
    </cfRule>
  </conditionalFormatting>
  <conditionalFormatting sqref="D418">
    <cfRule type="cellIs" dxfId="6250" priority="5790" stopIfTrue="1" operator="equal">
      <formula>D412</formula>
    </cfRule>
  </conditionalFormatting>
  <conditionalFormatting sqref="D417">
    <cfRule type="cellIs" dxfId="6249" priority="5789" stopIfTrue="1" operator="equal">
      <formula>D411</formula>
    </cfRule>
  </conditionalFormatting>
  <conditionalFormatting sqref="D416">
    <cfRule type="cellIs" dxfId="6248" priority="5788" stopIfTrue="1" operator="equal">
      <formula>D407</formula>
    </cfRule>
  </conditionalFormatting>
  <conditionalFormatting sqref="D416">
    <cfRule type="cellIs" dxfId="6247" priority="5787" stopIfTrue="1" operator="equal">
      <formula>D410</formula>
    </cfRule>
  </conditionalFormatting>
  <conditionalFormatting sqref="D432">
    <cfRule type="cellIs" dxfId="6246" priority="5786" stopIfTrue="1" operator="equal">
      <formula>D430</formula>
    </cfRule>
  </conditionalFormatting>
  <conditionalFormatting sqref="D324">
    <cfRule type="cellIs" dxfId="6245" priority="5780" stopIfTrue="1" operator="equal">
      <formula>D303</formula>
    </cfRule>
  </conditionalFormatting>
  <conditionalFormatting sqref="D201">
    <cfRule type="cellIs" dxfId="6244" priority="5779" stopIfTrue="1" operator="equal">
      <formula>#REF!</formula>
    </cfRule>
  </conditionalFormatting>
  <conditionalFormatting sqref="D2613:D2628 D2630:D2640">
    <cfRule type="cellIs" dxfId="6243" priority="7695" stopIfTrue="1" operator="equal">
      <formula>D782</formula>
    </cfRule>
  </conditionalFormatting>
  <conditionalFormatting sqref="D2630:D2640">
    <cfRule type="cellIs" dxfId="6242" priority="7696" stopIfTrue="1" operator="equal">
      <formula>D796</formula>
    </cfRule>
  </conditionalFormatting>
  <conditionalFormatting sqref="D2630:D2640">
    <cfRule type="cellIs" dxfId="6241" priority="7698" stopIfTrue="1" operator="equal">
      <formula>D805</formula>
    </cfRule>
  </conditionalFormatting>
  <conditionalFormatting sqref="D2613:D2628">
    <cfRule type="cellIs" dxfId="6240" priority="7702" stopIfTrue="1" operator="equal">
      <formula>D805</formula>
    </cfRule>
  </conditionalFormatting>
  <conditionalFormatting sqref="D2613:D2629">
    <cfRule type="cellIs" dxfId="6239" priority="7704" stopIfTrue="1" operator="equal">
      <formula>D793</formula>
    </cfRule>
  </conditionalFormatting>
  <conditionalFormatting sqref="D2613:D2628">
    <cfRule type="cellIs" dxfId="6238" priority="7706" stopIfTrue="1" operator="equal">
      <formula>D802</formula>
    </cfRule>
  </conditionalFormatting>
  <conditionalFormatting sqref="D2613:D2628">
    <cfRule type="cellIs" dxfId="6237" priority="7708" stopIfTrue="1" operator="equal">
      <formula>D811</formula>
    </cfRule>
  </conditionalFormatting>
  <conditionalFormatting sqref="D2607:D2609">
    <cfRule type="cellIs" dxfId="6236" priority="5777" stopIfTrue="1" operator="equal">
      <formula>D779</formula>
    </cfRule>
  </conditionalFormatting>
  <conditionalFormatting sqref="D2597:D2612">
    <cfRule type="cellIs" dxfId="6235" priority="5776" stopIfTrue="1" operator="equal">
      <formula>D766</formula>
    </cfRule>
  </conditionalFormatting>
  <conditionalFormatting sqref="D2602:D2606">
    <cfRule type="cellIs" dxfId="6234" priority="5775" stopIfTrue="1" operator="equal">
      <formula>D780</formula>
    </cfRule>
  </conditionalFormatting>
  <conditionalFormatting sqref="D2602:D2603">
    <cfRule type="cellIs" dxfId="6233" priority="5774" stopIfTrue="1" operator="equal">
      <formula>D783</formula>
    </cfRule>
  </conditionalFormatting>
  <conditionalFormatting sqref="D2602:D2603">
    <cfRule type="cellIs" dxfId="6232" priority="5773" stopIfTrue="1" operator="equal">
      <formula>D789</formula>
    </cfRule>
  </conditionalFormatting>
  <conditionalFormatting sqref="D2597:D2601">
    <cfRule type="cellIs" dxfId="6231" priority="5772" stopIfTrue="1" operator="equal">
      <formula>D789</formula>
    </cfRule>
  </conditionalFormatting>
  <conditionalFormatting sqref="D2597:D2601">
    <cfRule type="cellIs" dxfId="6230" priority="5771" stopIfTrue="1" operator="equal">
      <formula>D777</formula>
    </cfRule>
  </conditionalFormatting>
  <conditionalFormatting sqref="D2597:D2601">
    <cfRule type="cellIs" dxfId="6229" priority="5770" stopIfTrue="1" operator="equal">
      <formula>D786</formula>
    </cfRule>
  </conditionalFormatting>
  <conditionalFormatting sqref="D2597:D2601">
    <cfRule type="cellIs" dxfId="6228" priority="5769" stopIfTrue="1" operator="equal">
      <formula>D795</formula>
    </cfRule>
  </conditionalFormatting>
  <conditionalFormatting sqref="D2597:D2612">
    <cfRule type="cellIs" dxfId="6227" priority="7710" stopIfTrue="1" operator="equal">
      <formula>D782</formula>
    </cfRule>
  </conditionalFormatting>
  <conditionalFormatting sqref="D2597:D2612">
    <cfRule type="cellIs" dxfId="6226" priority="7713" stopIfTrue="1" operator="equal">
      <formula>D785</formula>
    </cfRule>
  </conditionalFormatting>
  <conditionalFormatting sqref="D2597:D2612">
    <cfRule type="cellIs" dxfId="6225" priority="7715" stopIfTrue="1" operator="equal">
      <formula>D805</formula>
    </cfRule>
  </conditionalFormatting>
  <conditionalFormatting sqref="D2597:D2612">
    <cfRule type="cellIs" dxfId="6224" priority="7717" stopIfTrue="1" operator="equal">
      <formula>D793</formula>
    </cfRule>
  </conditionalFormatting>
  <conditionalFormatting sqref="D2597:D2612">
    <cfRule type="cellIs" dxfId="6223" priority="7719" stopIfTrue="1" operator="equal">
      <formula>D802</formula>
    </cfRule>
  </conditionalFormatting>
  <conditionalFormatting sqref="D2597:D2612">
    <cfRule type="cellIs" dxfId="6222" priority="7721" stopIfTrue="1" operator="equal">
      <formula>D811</formula>
    </cfRule>
  </conditionalFormatting>
  <conditionalFormatting sqref="D2588:D2589">
    <cfRule type="cellIs" dxfId="6221" priority="5768" stopIfTrue="1" operator="equal">
      <formula>D760</formula>
    </cfRule>
  </conditionalFormatting>
  <conditionalFormatting sqref="D2588:D2596">
    <cfRule type="cellIs" dxfId="6220" priority="5767" stopIfTrue="1" operator="equal">
      <formula>D757</formula>
    </cfRule>
  </conditionalFormatting>
  <conditionalFormatting sqref="D2593:D2596">
    <cfRule type="cellIs" dxfId="6219" priority="5766" stopIfTrue="1" operator="equal">
      <formula>D771</formula>
    </cfRule>
  </conditionalFormatting>
  <conditionalFormatting sqref="D2593:D2594">
    <cfRule type="cellIs" dxfId="6218" priority="5765" stopIfTrue="1" operator="equal">
      <formula>D774</formula>
    </cfRule>
  </conditionalFormatting>
  <conditionalFormatting sqref="D2593:D2594">
    <cfRule type="cellIs" dxfId="6217" priority="5764" stopIfTrue="1" operator="equal">
      <formula>D780</formula>
    </cfRule>
  </conditionalFormatting>
  <conditionalFormatting sqref="D2588:D2592">
    <cfRule type="cellIs" dxfId="6216" priority="5763" stopIfTrue="1" operator="equal">
      <formula>D780</formula>
    </cfRule>
  </conditionalFormatting>
  <conditionalFormatting sqref="D2588:D2592">
    <cfRule type="cellIs" dxfId="6215" priority="5762" stopIfTrue="1" operator="equal">
      <formula>D768</formula>
    </cfRule>
  </conditionalFormatting>
  <conditionalFormatting sqref="D2588:D2592">
    <cfRule type="cellIs" dxfId="6214" priority="5761" stopIfTrue="1" operator="equal">
      <formula>D777</formula>
    </cfRule>
  </conditionalFormatting>
  <conditionalFormatting sqref="D2588:D2592">
    <cfRule type="cellIs" dxfId="6213" priority="5760" stopIfTrue="1" operator="equal">
      <formula>D786</formula>
    </cfRule>
  </conditionalFormatting>
  <conditionalFormatting sqref="D2582:D2584">
    <cfRule type="cellIs" dxfId="6212" priority="5759" stopIfTrue="1" operator="equal">
      <formula>D754</formula>
    </cfRule>
  </conditionalFormatting>
  <conditionalFormatting sqref="D2572:D2587">
    <cfRule type="cellIs" dxfId="6211" priority="5758" stopIfTrue="1" operator="equal">
      <formula>D741</formula>
    </cfRule>
  </conditionalFormatting>
  <conditionalFormatting sqref="D2577:D2581">
    <cfRule type="cellIs" dxfId="6210" priority="5757" stopIfTrue="1" operator="equal">
      <formula>D755</formula>
    </cfRule>
  </conditionalFormatting>
  <conditionalFormatting sqref="D2577:D2578">
    <cfRule type="cellIs" dxfId="6209" priority="5756" stopIfTrue="1" operator="equal">
      <formula>D758</formula>
    </cfRule>
  </conditionalFormatting>
  <conditionalFormatting sqref="D2577:D2578">
    <cfRule type="cellIs" dxfId="6208" priority="5755" stopIfTrue="1" operator="equal">
      <formula>D764</formula>
    </cfRule>
  </conditionalFormatting>
  <conditionalFormatting sqref="D2572:D2576">
    <cfRule type="cellIs" dxfId="6207" priority="5754" stopIfTrue="1" operator="equal">
      <formula>D764</formula>
    </cfRule>
  </conditionalFormatting>
  <conditionalFormatting sqref="D2572:D2576">
    <cfRule type="cellIs" dxfId="6206" priority="5753" stopIfTrue="1" operator="equal">
      <formula>D752</formula>
    </cfRule>
  </conditionalFormatting>
  <conditionalFormatting sqref="D2572:D2576">
    <cfRule type="cellIs" dxfId="6205" priority="5752" stopIfTrue="1" operator="equal">
      <formula>D761</formula>
    </cfRule>
  </conditionalFormatting>
  <conditionalFormatting sqref="D2572:D2576">
    <cfRule type="cellIs" dxfId="6204" priority="5751" stopIfTrue="1" operator="equal">
      <formula>D770</formula>
    </cfRule>
  </conditionalFormatting>
  <conditionalFormatting sqref="D2572:D2587">
    <cfRule type="cellIs" dxfId="6203" priority="5750" stopIfTrue="1" operator="equal">
      <formula>D757</formula>
    </cfRule>
  </conditionalFormatting>
  <conditionalFormatting sqref="D2572:D2587">
    <cfRule type="cellIs" dxfId="6202" priority="5749" stopIfTrue="1" operator="equal">
      <formula>D760</formula>
    </cfRule>
  </conditionalFormatting>
  <conditionalFormatting sqref="D2572:D2587">
    <cfRule type="cellIs" dxfId="6201" priority="5748" stopIfTrue="1" operator="equal">
      <formula>D780</formula>
    </cfRule>
  </conditionalFormatting>
  <conditionalFormatting sqref="D2572:D2587">
    <cfRule type="cellIs" dxfId="6200" priority="5747" stopIfTrue="1" operator="equal">
      <formula>D768</formula>
    </cfRule>
  </conditionalFormatting>
  <conditionalFormatting sqref="D2572:D2587">
    <cfRule type="cellIs" dxfId="6199" priority="5746" stopIfTrue="1" operator="equal">
      <formula>D777</formula>
    </cfRule>
  </conditionalFormatting>
  <conditionalFormatting sqref="D2572:D2587">
    <cfRule type="cellIs" dxfId="6198" priority="5745" stopIfTrue="1" operator="equal">
      <formula>D786</formula>
    </cfRule>
  </conditionalFormatting>
  <conditionalFormatting sqref="D237">
    <cfRule type="cellIs" dxfId="6197" priority="7724" stopIfTrue="1" operator="equal">
      <formula>D176</formula>
    </cfRule>
  </conditionalFormatting>
  <conditionalFormatting sqref="D311">
    <cfRule type="cellIs" dxfId="6196" priority="5744" stopIfTrue="1" operator="equal">
      <formula>D289</formula>
    </cfRule>
  </conditionalFormatting>
  <conditionalFormatting sqref="D1432">
    <cfRule type="cellIs" dxfId="6195" priority="5743" stopIfTrue="1" operator="equal">
      <formula>D616</formula>
    </cfRule>
  </conditionalFormatting>
  <conditionalFormatting sqref="D27">
    <cfRule type="cellIs" dxfId="6194" priority="5741" stopIfTrue="1" operator="equal">
      <formula>D15</formula>
    </cfRule>
  </conditionalFormatting>
  <conditionalFormatting sqref="D2681 D2687:D2696">
    <cfRule type="cellIs" dxfId="6193" priority="7725" stopIfTrue="1" operator="equal">
      <formula>D785</formula>
    </cfRule>
  </conditionalFormatting>
  <conditionalFormatting sqref="D2629:D2640">
    <cfRule type="cellIs" dxfId="6192" priority="7727" stopIfTrue="1" operator="equal">
      <formula>D786</formula>
    </cfRule>
  </conditionalFormatting>
  <conditionalFormatting sqref="D2629">
    <cfRule type="cellIs" dxfId="6191" priority="7731" stopIfTrue="1" operator="equal">
      <formula>D797</formula>
    </cfRule>
  </conditionalFormatting>
  <conditionalFormatting sqref="D2629">
    <cfRule type="cellIs" dxfId="6190" priority="7733" stopIfTrue="1" operator="equal">
      <formula>D806</formula>
    </cfRule>
  </conditionalFormatting>
  <conditionalFormatting sqref="D2629">
    <cfRule type="cellIs" dxfId="6189" priority="7735" stopIfTrue="1" operator="equal">
      <formula>D815</formula>
    </cfRule>
  </conditionalFormatting>
  <conditionalFormatting sqref="D2618:D2622">
    <cfRule type="cellIs" dxfId="6188" priority="5737" stopIfTrue="1" operator="equal">
      <formula>D784</formula>
    </cfRule>
  </conditionalFormatting>
  <conditionalFormatting sqref="D2618:D2619">
    <cfRule type="cellIs" dxfId="6187" priority="5736" stopIfTrue="1" operator="equal">
      <formula>D787</formula>
    </cfRule>
  </conditionalFormatting>
  <conditionalFormatting sqref="D2618:D2619">
    <cfRule type="cellIs" dxfId="6186" priority="5735" stopIfTrue="1" operator="equal">
      <formula>D793</formula>
    </cfRule>
  </conditionalFormatting>
  <conditionalFormatting sqref="D2623:D2625">
    <cfRule type="cellIs" dxfId="6185" priority="5734" stopIfTrue="1" operator="equal">
      <formula>D783</formula>
    </cfRule>
  </conditionalFormatting>
  <conditionalFormatting sqref="D2617:D2628">
    <cfRule type="cellIs" dxfId="6184" priority="5733" stopIfTrue="1" operator="equal">
      <formula>D774</formula>
    </cfRule>
  </conditionalFormatting>
  <conditionalFormatting sqref="D2617">
    <cfRule type="cellIs" dxfId="6183" priority="5732" stopIfTrue="1" operator="equal">
      <formula>D785</formula>
    </cfRule>
  </conditionalFormatting>
  <conditionalFormatting sqref="D2617">
    <cfRule type="cellIs" dxfId="6182" priority="5731" stopIfTrue="1" operator="equal">
      <formula>D794</formula>
    </cfRule>
  </conditionalFormatting>
  <conditionalFormatting sqref="D2617">
    <cfRule type="cellIs" dxfId="6181" priority="5730" stopIfTrue="1" operator="equal">
      <formula>D803</formula>
    </cfRule>
  </conditionalFormatting>
  <conditionalFormatting sqref="D423">
    <cfRule type="cellIs" dxfId="6180" priority="7738" stopIfTrue="1" operator="equal">
      <formula>#REF!</formula>
    </cfRule>
  </conditionalFormatting>
  <conditionalFormatting sqref="D2641:D2655">
    <cfRule type="cellIs" dxfId="6179" priority="7740" stopIfTrue="1" operator="equal">
      <formula>D797</formula>
    </cfRule>
  </conditionalFormatting>
  <conditionalFormatting sqref="D2641">
    <cfRule type="cellIs" dxfId="6178" priority="7742" stopIfTrue="1" operator="equal">
      <formula>D800</formula>
    </cfRule>
  </conditionalFormatting>
  <conditionalFormatting sqref="D2641">
    <cfRule type="cellIs" dxfId="6177" priority="7744" stopIfTrue="1" operator="equal">
      <formula>D806</formula>
    </cfRule>
  </conditionalFormatting>
  <conditionalFormatting sqref="D2641:D2655">
    <cfRule type="cellIs" dxfId="6176" priority="7746" stopIfTrue="1" operator="equal">
      <formula>D788</formula>
    </cfRule>
  </conditionalFormatting>
  <conditionalFormatting sqref="D2635:D2637">
    <cfRule type="cellIs" dxfId="6175" priority="5727" stopIfTrue="1" operator="equal">
      <formula>D785</formula>
    </cfRule>
  </conditionalFormatting>
  <conditionalFormatting sqref="D2631:D2634">
    <cfRule type="cellIs" dxfId="6174" priority="5726" stopIfTrue="1" operator="equal">
      <formula>D787</formula>
    </cfRule>
  </conditionalFormatting>
  <conditionalFormatting sqref="D2631">
    <cfRule type="cellIs" dxfId="6173" priority="5725" stopIfTrue="1" operator="equal">
      <formula>D790</formula>
    </cfRule>
  </conditionalFormatting>
  <conditionalFormatting sqref="D2631">
    <cfRule type="cellIs" dxfId="6172" priority="5724" stopIfTrue="1" operator="equal">
      <formula>D796</formula>
    </cfRule>
  </conditionalFormatting>
  <conditionalFormatting sqref="D2631:D2640">
    <cfRule type="cellIs" dxfId="6171" priority="5723" stopIfTrue="1" operator="equal">
      <formula>D778</formula>
    </cfRule>
  </conditionalFormatting>
  <conditionalFormatting sqref="D2680:D2686">
    <cfRule type="cellIs" dxfId="6170" priority="7748" stopIfTrue="1" operator="equal">
      <formula>D790</formula>
    </cfRule>
  </conditionalFormatting>
  <conditionalFormatting sqref="D2668:D2679">
    <cfRule type="cellIs" dxfId="6169" priority="7750" stopIfTrue="1" operator="equal">
      <formula>D785</formula>
    </cfRule>
  </conditionalFormatting>
  <conditionalFormatting sqref="D2668:D2670 D2680:D2686">
    <cfRule type="cellIs" dxfId="6168" priority="5721" stopIfTrue="1" operator="equal">
      <formula>D788</formula>
    </cfRule>
  </conditionalFormatting>
  <conditionalFormatting sqref="D2656:D2667">
    <cfRule type="cellIs" dxfId="6167" priority="5720" stopIfTrue="1" operator="equal">
      <formula>D793</formula>
    </cfRule>
  </conditionalFormatting>
  <conditionalFormatting sqref="D2656:D2667">
    <cfRule type="cellIs" dxfId="6166" priority="5719" stopIfTrue="1" operator="equal">
      <formula>D784</formula>
    </cfRule>
  </conditionalFormatting>
  <conditionalFormatting sqref="D1515">
    <cfRule type="cellIs" dxfId="6165" priority="5718" stopIfTrue="1" operator="equal">
      <formula>D616</formula>
    </cfRule>
  </conditionalFormatting>
  <conditionalFormatting sqref="D288">
    <cfRule type="cellIs" dxfId="6164" priority="5717" stopIfTrue="1" operator="equal">
      <formula>D263</formula>
    </cfRule>
  </conditionalFormatting>
  <conditionalFormatting sqref="D332">
    <cfRule type="cellIs" dxfId="6163" priority="5716" stopIfTrue="1" operator="equal">
      <formula>D299</formula>
    </cfRule>
  </conditionalFormatting>
  <conditionalFormatting sqref="D2656:D2667">
    <cfRule type="cellIs" dxfId="6162" priority="7754" stopIfTrue="1" operator="equal">
      <formula>D800</formula>
    </cfRule>
  </conditionalFormatting>
  <conditionalFormatting sqref="D2656:D2667">
    <cfRule type="cellIs" dxfId="6161" priority="7756" stopIfTrue="1" operator="equal">
      <formula>D791</formula>
    </cfRule>
  </conditionalFormatting>
  <conditionalFormatting sqref="D2652:D2654">
    <cfRule type="cellIs" dxfId="6160" priority="5711" stopIfTrue="1" operator="equal">
      <formula>D783</formula>
    </cfRule>
  </conditionalFormatting>
  <conditionalFormatting sqref="D2651">
    <cfRule type="cellIs" dxfId="6159" priority="5710" stopIfTrue="1" operator="equal">
      <formula>D788</formula>
    </cfRule>
  </conditionalFormatting>
  <conditionalFormatting sqref="D2651:D2655">
    <cfRule type="cellIs" dxfId="6158" priority="5709" stopIfTrue="1" operator="equal">
      <formula>D779</formula>
    </cfRule>
  </conditionalFormatting>
  <conditionalFormatting sqref="D2645:D2647">
    <cfRule type="cellIs" dxfId="6157" priority="5708" stopIfTrue="1" operator="equal">
      <formula>D776</formula>
    </cfRule>
  </conditionalFormatting>
  <conditionalFormatting sqref="D2644">
    <cfRule type="cellIs" dxfId="6156" priority="5707" stopIfTrue="1" operator="equal">
      <formula>D781</formula>
    </cfRule>
  </conditionalFormatting>
  <conditionalFormatting sqref="D2644:D2650">
    <cfRule type="cellIs" dxfId="6155" priority="5706" stopIfTrue="1" operator="equal">
      <formula>D772</formula>
    </cfRule>
  </conditionalFormatting>
  <conditionalFormatting sqref="D2644:D2650">
    <cfRule type="cellIs" dxfId="6154" priority="5705" stopIfTrue="1" operator="equal">
      <formula>D788</formula>
    </cfRule>
  </conditionalFormatting>
  <conditionalFormatting sqref="D2644:D2650">
    <cfRule type="cellIs" dxfId="6153" priority="5704" stopIfTrue="1" operator="equal">
      <formula>D779</formula>
    </cfRule>
  </conditionalFormatting>
  <conditionalFormatting sqref="D1527">
    <cfRule type="cellIs" dxfId="6152" priority="5703" stopIfTrue="1" operator="equal">
      <formula>D613</formula>
    </cfRule>
  </conditionalFormatting>
  <conditionalFormatting sqref="D262 D239">
    <cfRule type="cellIs" dxfId="6151" priority="5702" stopIfTrue="1" operator="equal">
      <formula>D148</formula>
    </cfRule>
  </conditionalFormatting>
  <conditionalFormatting sqref="D1524">
    <cfRule type="cellIs" dxfId="6150" priority="5699" stopIfTrue="1" operator="equal">
      <formula>D616</formula>
    </cfRule>
  </conditionalFormatting>
  <conditionalFormatting sqref="D2668:D2679">
    <cfRule type="cellIs" dxfId="6149" priority="7817" stopIfTrue="1" operator="equal">
      <formula>D801</formula>
    </cfRule>
  </conditionalFormatting>
  <conditionalFormatting sqref="D2668:D2679">
    <cfRule type="cellIs" dxfId="6148" priority="7819" stopIfTrue="1" operator="equal">
      <formula>D792</formula>
    </cfRule>
  </conditionalFormatting>
  <conditionalFormatting sqref="D2664:D2666">
    <cfRule type="cellIs" dxfId="6147" priority="5698" stopIfTrue="1" operator="equal">
      <formula>D784</formula>
    </cfRule>
  </conditionalFormatting>
  <conditionalFormatting sqref="D2663">
    <cfRule type="cellIs" dxfId="6146" priority="5697" stopIfTrue="1" operator="equal">
      <formula>D789</formula>
    </cfRule>
  </conditionalFormatting>
  <conditionalFormatting sqref="D2657:D2667">
    <cfRule type="cellIs" dxfId="6145" priority="5696" stopIfTrue="1" operator="equal">
      <formula>D774</formula>
    </cfRule>
  </conditionalFormatting>
  <conditionalFormatting sqref="D2657:D2659">
    <cfRule type="cellIs" dxfId="6144" priority="5695" stopIfTrue="1" operator="equal">
      <formula>D777</formula>
    </cfRule>
  </conditionalFormatting>
  <conditionalFormatting sqref="D2657:D2662">
    <cfRule type="cellIs" dxfId="6143" priority="5694" stopIfTrue="1" operator="equal">
      <formula>D790</formula>
    </cfRule>
  </conditionalFormatting>
  <conditionalFormatting sqref="D2657:D2662">
    <cfRule type="cellIs" dxfId="6142" priority="5693" stopIfTrue="1" operator="equal">
      <formula>D781</formula>
    </cfRule>
  </conditionalFormatting>
  <conditionalFormatting sqref="D244">
    <cfRule type="cellIs" dxfId="6141" priority="5692" stopIfTrue="1" operator="equal">
      <formula>D170</formula>
    </cfRule>
  </conditionalFormatting>
  <conditionalFormatting sqref="D361">
    <cfRule type="cellIs" dxfId="6140" priority="5687" stopIfTrue="1" operator="equal">
      <formula>D327</formula>
    </cfRule>
  </conditionalFormatting>
  <conditionalFormatting sqref="D228:D229 D233:D234">
    <cfRule type="cellIs" dxfId="6139" priority="5684" stopIfTrue="1" operator="equal">
      <formula>D170</formula>
    </cfRule>
  </conditionalFormatting>
  <conditionalFormatting sqref="D2680:D2696 D2704 D2722:D2746">
    <cfRule type="cellIs" dxfId="6138" priority="7821" stopIfTrue="1" operator="equal">
      <formula>D787</formula>
    </cfRule>
  </conditionalFormatting>
  <conditionalFormatting sqref="D2705">
    <cfRule type="cellIs" dxfId="6137" priority="7823" stopIfTrue="1" operator="equal">
      <formula>D806</formula>
    </cfRule>
  </conditionalFormatting>
  <conditionalFormatting sqref="D2675:D2679 D2687:D2696">
    <cfRule type="cellIs" dxfId="6136" priority="7825" stopIfTrue="1" operator="equal">
      <formula>D789</formula>
    </cfRule>
  </conditionalFormatting>
  <conditionalFormatting sqref="D2674">
    <cfRule type="cellIs" dxfId="6135" priority="5682" stopIfTrue="1" operator="equal">
      <formula>D794</formula>
    </cfRule>
  </conditionalFormatting>
  <conditionalFormatting sqref="D2673:D2679">
    <cfRule type="cellIs" dxfId="6134" priority="5681" stopIfTrue="1" operator="equal">
      <formula>D784</formula>
    </cfRule>
  </conditionalFormatting>
  <conditionalFormatting sqref="D2673">
    <cfRule type="cellIs" dxfId="6133" priority="5680" stopIfTrue="1" operator="equal">
      <formula>D800</formula>
    </cfRule>
  </conditionalFormatting>
  <conditionalFormatting sqref="D2673">
    <cfRule type="cellIs" dxfId="6132" priority="5679" stopIfTrue="1" operator="equal">
      <formula>D791</formula>
    </cfRule>
  </conditionalFormatting>
  <conditionalFormatting sqref="D230:D231 D234:D235">
    <cfRule type="cellIs" dxfId="6131" priority="5678" stopIfTrue="1" operator="equal">
      <formula>D132</formula>
    </cfRule>
  </conditionalFormatting>
  <conditionalFormatting sqref="D1534">
    <cfRule type="cellIs" dxfId="6130" priority="5677" stopIfTrue="1" operator="equal">
      <formula>D616</formula>
    </cfRule>
  </conditionalFormatting>
  <conditionalFormatting sqref="D37">
    <cfRule type="cellIs" dxfId="6129" priority="5676" stopIfTrue="1" operator="equal">
      <formula>D35</formula>
    </cfRule>
  </conditionalFormatting>
  <conditionalFormatting sqref="D2680:D2686">
    <cfRule type="cellIs" dxfId="6128" priority="7827" stopIfTrue="1" operator="equal">
      <formula>D793</formula>
    </cfRule>
  </conditionalFormatting>
  <conditionalFormatting sqref="D2680:D2686">
    <cfRule type="cellIs" dxfId="6127" priority="7829" stopIfTrue="1" operator="equal">
      <formula>D809</formula>
    </cfRule>
  </conditionalFormatting>
  <conditionalFormatting sqref="D2676:D2677">
    <cfRule type="cellIs" dxfId="6126" priority="5675" stopIfTrue="1" operator="equal">
      <formula>D786</formula>
    </cfRule>
  </conditionalFormatting>
  <conditionalFormatting sqref="D2676:D2678">
    <cfRule type="cellIs" dxfId="6125" priority="5674" stopIfTrue="1" operator="equal">
      <formula>D796</formula>
    </cfRule>
  </conditionalFormatting>
  <conditionalFormatting sqref="D2676:D2679">
    <cfRule type="cellIs" dxfId="6124" priority="5673" stopIfTrue="1" operator="equal">
      <formula>D783</formula>
    </cfRule>
  </conditionalFormatting>
  <conditionalFormatting sqref="D2679 D2687:D2696">
    <cfRule type="cellIs" dxfId="6123" priority="5672" stopIfTrue="1" operator="equal">
      <formula>D802</formula>
    </cfRule>
  </conditionalFormatting>
  <conditionalFormatting sqref="D2676:D2678">
    <cfRule type="cellIs" dxfId="6122" priority="5671" stopIfTrue="1" operator="equal">
      <formula>D789</formula>
    </cfRule>
  </conditionalFormatting>
  <conditionalFormatting sqref="D2676:D2678">
    <cfRule type="cellIs" dxfId="6121" priority="5670" stopIfTrue="1" operator="equal">
      <formula>D805</formula>
    </cfRule>
  </conditionalFormatting>
  <conditionalFormatting sqref="D2687:D2696">
    <cfRule type="cellIs" dxfId="6120" priority="7835" stopIfTrue="1" operator="equal">
      <formula>D788</formula>
    </cfRule>
  </conditionalFormatting>
  <conditionalFormatting sqref="D2705">
    <cfRule type="cellIs" dxfId="6119" priority="7836" stopIfTrue="1" operator="equal">
      <formula>D797</formula>
    </cfRule>
  </conditionalFormatting>
  <conditionalFormatting sqref="D2685:D2686">
    <cfRule type="cellIs" dxfId="6118" priority="5667" stopIfTrue="1" operator="equal">
      <formula>D789</formula>
    </cfRule>
  </conditionalFormatting>
  <conditionalFormatting sqref="D2683">
    <cfRule type="cellIs" dxfId="6117" priority="5666" stopIfTrue="1" operator="equal">
      <formula>D800</formula>
    </cfRule>
  </conditionalFormatting>
  <conditionalFormatting sqref="D2681:D2682">
    <cfRule type="cellIs" dxfId="6116" priority="5665" stopIfTrue="1" operator="equal">
      <formula>D795</formula>
    </cfRule>
  </conditionalFormatting>
  <conditionalFormatting sqref="D2681:D2682">
    <cfRule type="cellIs" dxfId="6115" priority="5664" stopIfTrue="1" operator="equal">
      <formula>D804</formula>
    </cfRule>
  </conditionalFormatting>
  <conditionalFormatting sqref="D2681:D2686">
    <cfRule type="cellIs" dxfId="6114" priority="5663" stopIfTrue="1" operator="equal">
      <formula>D782</formula>
    </cfRule>
  </conditionalFormatting>
  <conditionalFormatting sqref="D2683">
    <cfRule type="cellIs" dxfId="6113" priority="5662" stopIfTrue="1" operator="equal">
      <formula>D791</formula>
    </cfRule>
  </conditionalFormatting>
  <conditionalFormatting sqref="D1502">
    <cfRule type="cellIs" dxfId="6112" priority="5659" stopIfTrue="1" operator="equal">
      <formula>D615</formula>
    </cfRule>
  </conditionalFormatting>
  <conditionalFormatting sqref="D1469">
    <cfRule type="cellIs" dxfId="6111" priority="5658" stopIfTrue="1" operator="equal">
      <formula>D611</formula>
    </cfRule>
  </conditionalFormatting>
  <conditionalFormatting sqref="D2707:D2709 D2703 D2698:D2700 D2721 D2712">
    <cfRule type="cellIs" dxfId="6110" priority="7837" stopIfTrue="1" operator="equal">
      <formula>D786</formula>
    </cfRule>
  </conditionalFormatting>
  <conditionalFormatting sqref="D2706 D2697:D2702 D2712:D2720">
    <cfRule type="cellIs" dxfId="6109" priority="7838" stopIfTrue="1" operator="equal">
      <formula>D791</formula>
    </cfRule>
  </conditionalFormatting>
  <conditionalFormatting sqref="D2704 D2722:D2746">
    <cfRule type="cellIs" dxfId="6108" priority="7840" stopIfTrue="1" operator="equal">
      <formula>D795</formula>
    </cfRule>
  </conditionalFormatting>
  <conditionalFormatting sqref="D2691:D2702">
    <cfRule type="cellIs" dxfId="6107" priority="7842" stopIfTrue="1" operator="equal">
      <formula>D790</formula>
    </cfRule>
  </conditionalFormatting>
  <conditionalFormatting sqref="D2697:D2711 D2721:D2746">
    <cfRule type="cellIs" dxfId="6106" priority="7846" stopIfTrue="1" operator="equal">
      <formula>D782</formula>
    </cfRule>
  </conditionalFormatting>
  <conditionalFormatting sqref="D2689 D2697:D2703">
    <cfRule type="cellIs" dxfId="6105" priority="5657" stopIfTrue="1" operator="equal">
      <formula>D801</formula>
    </cfRule>
  </conditionalFormatting>
  <conditionalFormatting sqref="D2688">
    <cfRule type="cellIs" dxfId="6104" priority="5656" stopIfTrue="1" operator="equal">
      <formula>D806</formula>
    </cfRule>
  </conditionalFormatting>
  <conditionalFormatting sqref="D2689 D2703">
    <cfRule type="cellIs" dxfId="6103" priority="5655" stopIfTrue="1" operator="equal">
      <formula>D792</formula>
    </cfRule>
  </conditionalFormatting>
  <conditionalFormatting sqref="D2690 D2697:D2702">
    <cfRule type="cellIs" dxfId="6102" priority="5653" stopIfTrue="1" operator="equal">
      <formula>D795</formula>
    </cfRule>
  </conditionalFormatting>
  <conditionalFormatting sqref="D2688 D2697:D2702">
    <cfRule type="cellIs" dxfId="6101" priority="5652" stopIfTrue="1" operator="equal">
      <formula>D790</formula>
    </cfRule>
  </conditionalFormatting>
  <conditionalFormatting sqref="D2688">
    <cfRule type="cellIs" dxfId="6100" priority="5651" stopIfTrue="1" operator="equal">
      <formula>D797</formula>
    </cfRule>
  </conditionalFormatting>
  <conditionalFormatting sqref="D2062:D2063">
    <cfRule type="cellIs" dxfId="6099" priority="7847" stopIfTrue="1" operator="equal">
      <formula>D774</formula>
    </cfRule>
  </conditionalFormatting>
  <conditionalFormatting sqref="D1947:D2000">
    <cfRule type="cellIs" dxfId="6098" priority="7849" stopIfTrue="1" operator="equal">
      <formula>D648</formula>
    </cfRule>
  </conditionalFormatting>
  <conditionalFormatting sqref="D2000:D2043 D2050:D2053">
    <cfRule type="cellIs" dxfId="6097" priority="5649" stopIfTrue="1" operator="equal">
      <formula>D700</formula>
    </cfRule>
  </conditionalFormatting>
  <conditionalFormatting sqref="D260">
    <cfRule type="cellIs" dxfId="6096" priority="7850" stopIfTrue="1" operator="equal">
      <formula>D175</formula>
    </cfRule>
  </conditionalFormatting>
  <conditionalFormatting sqref="D259">
    <cfRule type="cellIs" dxfId="6095" priority="5644" stopIfTrue="1" operator="equal">
      <formula>D170</formula>
    </cfRule>
  </conditionalFormatting>
  <conditionalFormatting sqref="D254 D250 D224">
    <cfRule type="cellIs" dxfId="6094" priority="5640" stopIfTrue="1" operator="equal">
      <formula>D141</formula>
    </cfRule>
  </conditionalFormatting>
  <conditionalFormatting sqref="D255:D256 D248 D244 D225">
    <cfRule type="cellIs" dxfId="6093" priority="5639" stopIfTrue="1" operator="equal">
      <formula>D148</formula>
    </cfRule>
  </conditionalFormatting>
  <conditionalFormatting sqref="D237">
    <cfRule type="cellIs" dxfId="6092" priority="7863" stopIfTrue="1" operator="equal">
      <formula>D179</formula>
    </cfRule>
  </conditionalFormatting>
  <conditionalFormatting sqref="D254">
    <cfRule type="cellIs" dxfId="6091" priority="7871" stopIfTrue="1" operator="equal">
      <formula>D136</formula>
    </cfRule>
  </conditionalFormatting>
  <conditionalFormatting sqref="D313">
    <cfRule type="cellIs" dxfId="6090" priority="5631" stopIfTrue="1" operator="equal">
      <formula>D271</formula>
    </cfRule>
  </conditionalFormatting>
  <conditionalFormatting sqref="D2703">
    <cfRule type="cellIs" dxfId="6089" priority="7873" stopIfTrue="1" operator="equal">
      <formula>D796</formula>
    </cfRule>
  </conditionalFormatting>
  <conditionalFormatting sqref="D2703">
    <cfRule type="cellIs" dxfId="6088" priority="7875" stopIfTrue="1" operator="equal">
      <formula>D799</formula>
    </cfRule>
  </conditionalFormatting>
  <conditionalFormatting sqref="D2703 D2747:D2751">
    <cfRule type="cellIs" dxfId="6087" priority="7882" stopIfTrue="1" operator="equal">
      <formula>D793</formula>
    </cfRule>
  </conditionalFormatting>
  <conditionalFormatting sqref="D2694:D2696">
    <cfRule type="cellIs" dxfId="6086" priority="5630" stopIfTrue="1" operator="equal">
      <formula>D797</formula>
    </cfRule>
  </conditionalFormatting>
  <conditionalFormatting sqref="D2694:D2696">
    <cfRule type="cellIs" dxfId="6085" priority="5629" stopIfTrue="1" operator="equal">
      <formula>D788</formula>
    </cfRule>
  </conditionalFormatting>
  <conditionalFormatting sqref="D2692">
    <cfRule type="cellIs" dxfId="6084" priority="5628" stopIfTrue="1" operator="equal">
      <formula>D782</formula>
    </cfRule>
  </conditionalFormatting>
  <conditionalFormatting sqref="D2693">
    <cfRule type="cellIs" dxfId="6083" priority="5627" stopIfTrue="1" operator="equal">
      <formula>D786</formula>
    </cfRule>
  </conditionalFormatting>
  <conditionalFormatting sqref="D2693">
    <cfRule type="cellIs" dxfId="6082" priority="5626" stopIfTrue="1" operator="equal">
      <formula>D793</formula>
    </cfRule>
  </conditionalFormatting>
  <conditionalFormatting sqref="D2692:D2696">
    <cfRule type="cellIs" dxfId="6081" priority="5625" stopIfTrue="1" operator="equal">
      <formula>D779</formula>
    </cfRule>
  </conditionalFormatting>
  <conditionalFormatting sqref="D2692">
    <cfRule type="cellIs" dxfId="6080" priority="5624" stopIfTrue="1" operator="equal">
      <formula>D797</formula>
    </cfRule>
  </conditionalFormatting>
  <conditionalFormatting sqref="D2693">
    <cfRule type="cellIs" dxfId="6079" priority="5623" stopIfTrue="1" operator="equal">
      <formula>D802</formula>
    </cfRule>
  </conditionalFormatting>
  <conditionalFormatting sqref="D2692">
    <cfRule type="cellIs" dxfId="6078" priority="5622" stopIfTrue="1" operator="equal">
      <formula>D787</formula>
    </cfRule>
  </conditionalFormatting>
  <conditionalFormatting sqref="D2692 D2704 D2722:D2746">
    <cfRule type="cellIs" dxfId="6077" priority="5621" stopIfTrue="1" operator="equal">
      <formula>D790</formula>
    </cfRule>
  </conditionalFormatting>
  <conditionalFormatting sqref="D2692">
    <cfRule type="cellIs" dxfId="6076" priority="5620" stopIfTrue="1" operator="equal">
      <formula>D784</formula>
    </cfRule>
  </conditionalFormatting>
  <conditionalFormatting sqref="D2712:D2720">
    <cfRule type="cellIs" dxfId="6075" priority="5604" stopIfTrue="1" operator="equal">
      <formula>D814</formula>
    </cfRule>
  </conditionalFormatting>
  <conditionalFormatting sqref="D2712:D2720">
    <cfRule type="cellIs" dxfId="6074" priority="5603" stopIfTrue="1" operator="equal">
      <formula>D817</formula>
    </cfRule>
  </conditionalFormatting>
  <conditionalFormatting sqref="D2752:D2759">
    <cfRule type="cellIs" dxfId="6073" priority="5602" stopIfTrue="1" operator="equal">
      <formula>D824</formula>
    </cfRule>
  </conditionalFormatting>
  <conditionalFormatting sqref="D2712:D2721">
    <cfRule type="cellIs" dxfId="6072" priority="5601" stopIfTrue="1" operator="equal">
      <formula>D824</formula>
    </cfRule>
  </conditionalFormatting>
  <conditionalFormatting sqref="D2712:D2720 D2697:D2702">
    <cfRule type="cellIs" dxfId="6071" priority="5600" stopIfTrue="1" operator="equal">
      <formula>D818</formula>
    </cfRule>
  </conditionalFormatting>
  <conditionalFormatting sqref="D2712:D2720">
    <cfRule type="cellIs" dxfId="6070" priority="5599" stopIfTrue="1" operator="equal">
      <formula>D811</formula>
    </cfRule>
  </conditionalFormatting>
  <conditionalFormatting sqref="D2752:D2759">
    <cfRule type="cellIs" dxfId="6069" priority="5598" stopIfTrue="1" operator="equal">
      <formula>D815</formula>
    </cfRule>
  </conditionalFormatting>
  <conditionalFormatting sqref="D2766:D2768 D2864:D2875 D2959:D2961">
    <cfRule type="cellIs" dxfId="6068" priority="5597" stopIfTrue="1" operator="equal">
      <formula>D813</formula>
    </cfRule>
  </conditionalFormatting>
  <conditionalFormatting sqref="D2765">
    <cfRule type="cellIs" dxfId="6067" priority="5596" stopIfTrue="1" operator="equal">
      <formula>D818</formula>
    </cfRule>
  </conditionalFormatting>
  <conditionalFormatting sqref="D2712:D2720 D2697:D2702">
    <cfRule type="cellIs" dxfId="6066" priority="5592" stopIfTrue="1" operator="equal">
      <formula>D794</formula>
    </cfRule>
  </conditionalFormatting>
  <conditionalFormatting sqref="D2721">
    <cfRule type="cellIs" dxfId="6065" priority="5591" stopIfTrue="1" operator="equal">
      <formula>D824</formula>
    </cfRule>
  </conditionalFormatting>
  <conditionalFormatting sqref="D2721">
    <cfRule type="cellIs" dxfId="6064" priority="5589" stopIfTrue="1" operator="equal">
      <formula>D814</formula>
    </cfRule>
  </conditionalFormatting>
  <conditionalFormatting sqref="D2721">
    <cfRule type="cellIs" dxfId="6063" priority="5588" stopIfTrue="1" operator="equal">
      <formula>D817</formula>
    </cfRule>
  </conditionalFormatting>
  <conditionalFormatting sqref="D2721">
    <cfRule type="cellIs" dxfId="6062" priority="5587" stopIfTrue="1" operator="equal">
      <formula>D811</formula>
    </cfRule>
  </conditionalFormatting>
  <conditionalFormatting sqref="D2714">
    <cfRule type="cellIs" dxfId="6061" priority="5586" stopIfTrue="1" operator="equal">
      <formula>D815</formula>
    </cfRule>
  </conditionalFormatting>
  <conditionalFormatting sqref="D2714">
    <cfRule type="cellIs" dxfId="6060" priority="5585" stopIfTrue="1" operator="equal">
      <formula>D806</formula>
    </cfRule>
  </conditionalFormatting>
  <conditionalFormatting sqref="D2716:D2718">
    <cfRule type="cellIs" dxfId="6059" priority="5584" stopIfTrue="1" operator="equal">
      <formula>D804</formula>
    </cfRule>
  </conditionalFormatting>
  <conditionalFormatting sqref="D2713">
    <cfRule type="cellIs" dxfId="6058" priority="5583" stopIfTrue="1" operator="equal">
      <formula>D804</formula>
    </cfRule>
  </conditionalFormatting>
  <conditionalFormatting sqref="D2713">
    <cfRule type="cellIs" dxfId="6057" priority="5582" stopIfTrue="1" operator="equal">
      <formula>D811</formula>
    </cfRule>
  </conditionalFormatting>
  <conditionalFormatting sqref="D2712:D2720">
    <cfRule type="cellIs" dxfId="6056" priority="5581" stopIfTrue="1" operator="equal">
      <formula>D797</formula>
    </cfRule>
  </conditionalFormatting>
  <conditionalFormatting sqref="D2712">
    <cfRule type="cellIs" dxfId="6055" priority="5580" stopIfTrue="1" operator="equal">
      <formula>D815</formula>
    </cfRule>
  </conditionalFormatting>
  <conditionalFormatting sqref="D2713">
    <cfRule type="cellIs" dxfId="6054" priority="5579" stopIfTrue="1" operator="equal">
      <formula>D820</formula>
    </cfRule>
  </conditionalFormatting>
  <conditionalFormatting sqref="D2712">
    <cfRule type="cellIs" dxfId="6053" priority="5578" stopIfTrue="1" operator="equal">
      <formula>D805</formula>
    </cfRule>
  </conditionalFormatting>
  <conditionalFormatting sqref="D2712">
    <cfRule type="cellIs" dxfId="6052" priority="5577" stopIfTrue="1" operator="equal">
      <formula>D808</formula>
    </cfRule>
  </conditionalFormatting>
  <conditionalFormatting sqref="D2712">
    <cfRule type="cellIs" dxfId="6051" priority="5576" stopIfTrue="1" operator="equal">
      <formula>D802</formula>
    </cfRule>
  </conditionalFormatting>
  <conditionalFormatting sqref="D251">
    <cfRule type="cellIs" dxfId="6050" priority="7906" stopIfTrue="1" operator="equal">
      <formula>D148</formula>
    </cfRule>
  </conditionalFormatting>
  <conditionalFormatting sqref="D253">
    <cfRule type="cellIs" dxfId="6049" priority="7914" stopIfTrue="1" operator="equal">
      <formula>D141</formula>
    </cfRule>
  </conditionalFormatting>
  <conditionalFormatting sqref="D2688:D2696">
    <cfRule type="cellIs" dxfId="6048" priority="7926" stopIfTrue="1" operator="equal">
      <formula>D784</formula>
    </cfRule>
  </conditionalFormatting>
  <conditionalFormatting sqref="D2695:D2696">
    <cfRule type="cellIs" dxfId="6047" priority="5574" stopIfTrue="1" operator="equal">
      <formula>D808</formula>
    </cfRule>
  </conditionalFormatting>
  <conditionalFormatting sqref="D2695:D2696">
    <cfRule type="cellIs" dxfId="6046" priority="5573" stopIfTrue="1" operator="equal">
      <formula>D790</formula>
    </cfRule>
  </conditionalFormatting>
  <conditionalFormatting sqref="D2695:D2696">
    <cfRule type="cellIs" dxfId="6045" priority="5572" stopIfTrue="1" operator="equal">
      <formula>D781</formula>
    </cfRule>
  </conditionalFormatting>
  <conditionalFormatting sqref="D2695:D2696">
    <cfRule type="cellIs" dxfId="6044" priority="5571" stopIfTrue="1" operator="equal">
      <formula>D798</formula>
    </cfRule>
  </conditionalFormatting>
  <conditionalFormatting sqref="D2695:D2696">
    <cfRule type="cellIs" dxfId="6043" priority="5570" stopIfTrue="1" operator="equal">
      <formula>D795</formula>
    </cfRule>
  </conditionalFormatting>
  <conditionalFormatting sqref="D2695:D2696">
    <cfRule type="cellIs" dxfId="6042" priority="5569" stopIfTrue="1" operator="equal">
      <formula>D793</formula>
    </cfRule>
  </conditionalFormatting>
  <conditionalFormatting sqref="D2695:D2696">
    <cfRule type="cellIs" dxfId="6041" priority="5568" stopIfTrue="1" operator="equal">
      <formula>D801</formula>
    </cfRule>
  </conditionalFormatting>
  <conditionalFormatting sqref="D2695:D2696">
    <cfRule type="cellIs" dxfId="6040" priority="5567" stopIfTrue="1" operator="equal">
      <formula>D817</formula>
    </cfRule>
  </conditionalFormatting>
  <conditionalFormatting sqref="D2696">
    <cfRule type="cellIs" dxfId="6039" priority="5566" stopIfTrue="1" operator="equal">
      <formula>D790</formula>
    </cfRule>
  </conditionalFormatting>
  <conditionalFormatting sqref="D2696">
    <cfRule type="cellIs" dxfId="6038" priority="5565" stopIfTrue="1" operator="equal">
      <formula>D781</formula>
    </cfRule>
  </conditionalFormatting>
  <conditionalFormatting sqref="D2696">
    <cfRule type="cellIs" dxfId="6037" priority="5564" stopIfTrue="1" operator="equal">
      <formula>D808</formula>
    </cfRule>
  </conditionalFormatting>
  <conditionalFormatting sqref="D2696">
    <cfRule type="cellIs" dxfId="6036" priority="5563" stopIfTrue="1" operator="equal">
      <formula>D801</formula>
    </cfRule>
  </conditionalFormatting>
  <conditionalFormatting sqref="D2696">
    <cfRule type="cellIs" dxfId="6035" priority="5562" stopIfTrue="1" operator="equal">
      <formula>D798</formula>
    </cfRule>
  </conditionalFormatting>
  <conditionalFormatting sqref="D2696">
    <cfRule type="cellIs" dxfId="6034" priority="5561" stopIfTrue="1" operator="equal">
      <formula>D817</formula>
    </cfRule>
  </conditionalFormatting>
  <conditionalFormatting sqref="D2696">
    <cfRule type="cellIs" dxfId="6033" priority="5560" stopIfTrue="1" operator="equal">
      <formula>D793</formula>
    </cfRule>
  </conditionalFormatting>
  <conditionalFormatting sqref="D203 D240:D241 D232:D233 D229">
    <cfRule type="cellIs" dxfId="6032" priority="5559" stopIfTrue="1" operator="equal">
      <formula>D141</formula>
    </cfRule>
  </conditionalFormatting>
  <conditionalFormatting sqref="D287">
    <cfRule type="cellIs" dxfId="6031" priority="5558" stopIfTrue="1" operator="equal">
      <formula>#REF!</formula>
    </cfRule>
  </conditionalFormatting>
  <conditionalFormatting sqref="D282">
    <cfRule type="cellIs" dxfId="6030" priority="5557" stopIfTrue="1" operator="equal">
      <formula>#REF!</formula>
    </cfRule>
  </conditionalFormatting>
  <conditionalFormatting sqref="D282">
    <cfRule type="cellIs" dxfId="6029" priority="5555" stopIfTrue="1" operator="equal">
      <formula>D258</formula>
    </cfRule>
  </conditionalFormatting>
  <conditionalFormatting sqref="D287">
    <cfRule type="cellIs" dxfId="6028" priority="5554" stopIfTrue="1" operator="equal">
      <formula>D258</formula>
    </cfRule>
  </conditionalFormatting>
  <conditionalFormatting sqref="D286">
    <cfRule type="cellIs" dxfId="6027" priority="5551" stopIfTrue="1" operator="equal">
      <formula>D258</formula>
    </cfRule>
  </conditionalFormatting>
  <conditionalFormatting sqref="D286">
    <cfRule type="cellIs" dxfId="6026" priority="5550" stopIfTrue="1" operator="equal">
      <formula>#REF!</formula>
    </cfRule>
  </conditionalFormatting>
  <conditionalFormatting sqref="D282 D285">
    <cfRule type="cellIs" dxfId="6025" priority="5549" stopIfTrue="1" operator="equal">
      <formula>#REF!</formula>
    </cfRule>
  </conditionalFormatting>
  <conditionalFormatting sqref="D266:D268">
    <cfRule type="cellIs" dxfId="6024" priority="5548" stopIfTrue="1" operator="equal">
      <formula>D258</formula>
    </cfRule>
  </conditionalFormatting>
  <conditionalFormatting sqref="D2747:D2759">
    <cfRule type="cellIs" dxfId="6023" priority="5532" stopIfTrue="1" operator="equal">
      <formula>D803</formula>
    </cfRule>
  </conditionalFormatting>
  <conditionalFormatting sqref="D2773:D2774 D2890 D2877:D2882">
    <cfRule type="cellIs" dxfId="6022" priority="5516" stopIfTrue="1" operator="equal">
      <formula>D819</formula>
    </cfRule>
  </conditionalFormatting>
  <conditionalFormatting sqref="D2760:D2761 D2775">
    <cfRule type="cellIs" dxfId="6021" priority="5515" stopIfTrue="1" operator="equal">
      <formula>D802</formula>
    </cfRule>
  </conditionalFormatting>
  <conditionalFormatting sqref="D1583:D1584">
    <cfRule type="cellIs" dxfId="6020" priority="7931" stopIfTrue="1" operator="equal">
      <formula>D615</formula>
    </cfRule>
  </conditionalFormatting>
  <conditionalFormatting sqref="D1581:D1582">
    <cfRule type="cellIs" dxfId="6019" priority="5514" stopIfTrue="1" operator="equal">
      <formula>D614</formula>
    </cfRule>
  </conditionalFormatting>
  <conditionalFormatting sqref="D2723">
    <cfRule type="cellIs" dxfId="6018" priority="5513" stopIfTrue="1" operator="equal">
      <formula>D812</formula>
    </cfRule>
  </conditionalFormatting>
  <conditionalFormatting sqref="D2723">
    <cfRule type="cellIs" dxfId="6017" priority="5512" stopIfTrue="1" operator="equal">
      <formula>D803</formula>
    </cfRule>
  </conditionalFormatting>
  <conditionalFormatting sqref="D2725:D2727">
    <cfRule type="cellIs" dxfId="6016" priority="5511" stopIfTrue="1" operator="equal">
      <formula>D801</formula>
    </cfRule>
  </conditionalFormatting>
  <conditionalFormatting sqref="D2724">
    <cfRule type="cellIs" dxfId="6015" priority="5510" stopIfTrue="1" operator="equal">
      <formula>D806</formula>
    </cfRule>
  </conditionalFormatting>
  <conditionalFormatting sqref="D2723:D2746 D2760:D2761">
    <cfRule type="cellIs" dxfId="6014" priority="5494" stopIfTrue="1" operator="equal">
      <formula>D796</formula>
    </cfRule>
  </conditionalFormatting>
  <conditionalFormatting sqref="D2748">
    <cfRule type="cellIs" dxfId="6013" priority="5478" stopIfTrue="1" operator="equal">
      <formula>D807</formula>
    </cfRule>
  </conditionalFormatting>
  <conditionalFormatting sqref="D2748:D2750">
    <cfRule type="cellIs" dxfId="6012" priority="5477" stopIfTrue="1" operator="equal">
      <formula>D804</formula>
    </cfRule>
  </conditionalFormatting>
  <conditionalFormatting sqref="D276:D277">
    <cfRule type="cellIs" dxfId="6011" priority="5476" stopIfTrue="1" operator="equal">
      <formula>D262</formula>
    </cfRule>
  </conditionalFormatting>
  <conditionalFormatting sqref="D277">
    <cfRule type="cellIs" dxfId="6010" priority="5475" stopIfTrue="1" operator="equal">
      <formula>D262</formula>
    </cfRule>
  </conditionalFormatting>
  <conditionalFormatting sqref="D234:D235 D223:D224">
    <cfRule type="cellIs" dxfId="6009" priority="7933" stopIfTrue="1" operator="equal">
      <formula>D167</formula>
    </cfRule>
  </conditionalFormatting>
  <conditionalFormatting sqref="D291">
    <cfRule type="cellIs" dxfId="6008" priority="5474" stopIfTrue="1" operator="equal">
      <formula>D263</formula>
    </cfRule>
  </conditionalFormatting>
  <conditionalFormatting sqref="D291">
    <cfRule type="cellIs" dxfId="6007" priority="5473" stopIfTrue="1" operator="equal">
      <formula>D263</formula>
    </cfRule>
  </conditionalFormatting>
  <conditionalFormatting sqref="D291">
    <cfRule type="cellIs" dxfId="6006" priority="5472" stopIfTrue="1" operator="equal">
      <formula>D262</formula>
    </cfRule>
  </conditionalFormatting>
  <conditionalFormatting sqref="D2747:D2751">
    <cfRule type="cellIs" dxfId="6005" priority="7935" stopIfTrue="1" operator="equal">
      <formula>D815</formula>
    </cfRule>
  </conditionalFormatting>
  <conditionalFormatting sqref="D2747:D2751">
    <cfRule type="cellIs" dxfId="6004" priority="7937" stopIfTrue="1" operator="equal">
      <formula>D821</formula>
    </cfRule>
  </conditionalFormatting>
  <conditionalFormatting sqref="D2747:D2751">
    <cfRule type="cellIs" dxfId="6003" priority="7939" stopIfTrue="1" operator="equal">
      <formula>D828</formula>
    </cfRule>
  </conditionalFormatting>
  <conditionalFormatting sqref="D2730:D2734">
    <cfRule type="cellIs" dxfId="6002" priority="5471" stopIfTrue="1" operator="equal">
      <formula>D820</formula>
    </cfRule>
  </conditionalFormatting>
  <conditionalFormatting sqref="D2735">
    <cfRule type="cellIs" dxfId="6001" priority="5470" stopIfTrue="1" operator="equal">
      <formula>D807</formula>
    </cfRule>
  </conditionalFormatting>
  <conditionalFormatting sqref="D2735">
    <cfRule type="cellIs" dxfId="6000" priority="5469" stopIfTrue="1" operator="equal">
      <formula>D798</formula>
    </cfRule>
  </conditionalFormatting>
  <conditionalFormatting sqref="D2737:D2739">
    <cfRule type="cellIs" dxfId="5999" priority="5468" stopIfTrue="1" operator="equal">
      <formula>D796</formula>
    </cfRule>
  </conditionalFormatting>
  <conditionalFormatting sqref="D2736">
    <cfRule type="cellIs" dxfId="5998" priority="5467" stopIfTrue="1" operator="equal">
      <formula>D801</formula>
    </cfRule>
  </conditionalFormatting>
  <conditionalFormatting sqref="D2730:D2746">
    <cfRule type="cellIs" dxfId="5997" priority="5451" stopIfTrue="1" operator="equal">
      <formula>D786</formula>
    </cfRule>
  </conditionalFormatting>
  <conditionalFormatting sqref="D2743">
    <cfRule type="cellIs" dxfId="5996" priority="5435" stopIfTrue="1" operator="equal">
      <formula>D802</formula>
    </cfRule>
  </conditionalFormatting>
  <conditionalFormatting sqref="D2743:D2745">
    <cfRule type="cellIs" dxfId="5995" priority="5434" stopIfTrue="1" operator="equal">
      <formula>D799</formula>
    </cfRule>
  </conditionalFormatting>
  <conditionalFormatting sqref="D2731">
    <cfRule type="cellIs" dxfId="5994" priority="5403" stopIfTrue="1" operator="equal">
      <formula>D790</formula>
    </cfRule>
  </conditionalFormatting>
  <conditionalFormatting sqref="D2731:D2733">
    <cfRule type="cellIs" dxfId="5993" priority="5402" stopIfTrue="1" operator="equal">
      <formula>D787</formula>
    </cfRule>
  </conditionalFormatting>
  <conditionalFormatting sqref="D2730:D2734">
    <cfRule type="cellIs" dxfId="5992" priority="5401" stopIfTrue="1" operator="equal">
      <formula>D798</formula>
    </cfRule>
  </conditionalFormatting>
  <conditionalFormatting sqref="D2730:D2734">
    <cfRule type="cellIs" dxfId="5991" priority="5400" stopIfTrue="1" operator="equal">
      <formula>D804</formula>
    </cfRule>
  </conditionalFormatting>
  <conditionalFormatting sqref="D2730:D2734">
    <cfRule type="cellIs" dxfId="5990" priority="5399" stopIfTrue="1" operator="equal">
      <formula>D811</formula>
    </cfRule>
  </conditionalFormatting>
  <conditionalFormatting sqref="D240:D241">
    <cfRule type="cellIs" dxfId="5989" priority="7953" stopIfTrue="1" operator="equal">
      <formula>D179</formula>
    </cfRule>
  </conditionalFormatting>
  <conditionalFormatting sqref="D248 D250:D251">
    <cfRule type="cellIs" dxfId="5988" priority="5398" stopIfTrue="1" operator="equal">
      <formula>D176</formula>
    </cfRule>
  </conditionalFormatting>
  <conditionalFormatting sqref="D310">
    <cfRule type="cellIs" dxfId="5987" priority="5397" stopIfTrue="1" operator="equal">
      <formula>D271</formula>
    </cfRule>
  </conditionalFormatting>
  <conditionalFormatting sqref="D243:D244">
    <cfRule type="cellIs" dxfId="5986" priority="5396" stopIfTrue="1" operator="equal">
      <formula>D170</formula>
    </cfRule>
  </conditionalFormatting>
  <conditionalFormatting sqref="D240 D235 D231 D212">
    <cfRule type="cellIs" dxfId="5985" priority="5394" stopIfTrue="1" operator="equal">
      <formula>D148</formula>
    </cfRule>
  </conditionalFormatting>
  <conditionalFormatting sqref="D2776">
    <cfRule type="cellIs" dxfId="5984" priority="5378" stopIfTrue="1" operator="equal">
      <formula>D823</formula>
    </cfRule>
  </conditionalFormatting>
  <conditionalFormatting sqref="D2780">
    <cfRule type="cellIs" dxfId="5983" priority="5362" stopIfTrue="1" operator="equal">
      <formula>D827</formula>
    </cfRule>
  </conditionalFormatting>
  <conditionalFormatting sqref="D26">
    <cfRule type="cellIs" dxfId="5982" priority="5357" stopIfTrue="1" operator="equal">
      <formula>D14</formula>
    </cfRule>
  </conditionalFormatting>
  <conditionalFormatting sqref="D19:D20">
    <cfRule type="cellIs" dxfId="5981" priority="5353" stopIfTrue="1" operator="equal">
      <formula>D646</formula>
    </cfRule>
  </conditionalFormatting>
  <conditionalFormatting sqref="D16">
    <cfRule type="cellIs" dxfId="5980" priority="8318" stopIfTrue="1" operator="equal">
      <formula>D826</formula>
    </cfRule>
  </conditionalFormatting>
  <conditionalFormatting sqref="D301">
    <cfRule type="cellIs" dxfId="5979" priority="5337" stopIfTrue="1" operator="equal">
      <formula>D296</formula>
    </cfRule>
  </conditionalFormatting>
  <conditionalFormatting sqref="D301">
    <cfRule type="cellIs" dxfId="5978" priority="5336" stopIfTrue="1" operator="equal">
      <formula>D295</formula>
    </cfRule>
  </conditionalFormatting>
  <conditionalFormatting sqref="D2754:D2756 D2765:D2771 D2864:D2875">
    <cfRule type="cellIs" dxfId="5977" priority="5335" stopIfTrue="1" operator="equal">
      <formula>D798</formula>
    </cfRule>
  </conditionalFormatting>
  <conditionalFormatting sqref="D2753 D2959:D2961">
    <cfRule type="cellIs" dxfId="5976" priority="5334" stopIfTrue="1" operator="equal">
      <formula>D803</formula>
    </cfRule>
  </conditionalFormatting>
  <conditionalFormatting sqref="D2753:D2759 D2971:D2975 D3018:D3020">
    <cfRule type="cellIs" dxfId="5975" priority="5332" stopIfTrue="1" operator="equal">
      <formula>D794</formula>
    </cfRule>
  </conditionalFormatting>
  <conditionalFormatting sqref="D2059:D2061">
    <cfRule type="cellIs" dxfId="5974" priority="8319" stopIfTrue="1" operator="equal">
      <formula>D762</formula>
    </cfRule>
  </conditionalFormatting>
  <conditionalFormatting sqref="D2043">
    <cfRule type="cellIs" dxfId="5973" priority="5330" stopIfTrue="1" operator="equal">
      <formula>D742</formula>
    </cfRule>
  </conditionalFormatting>
  <conditionalFormatting sqref="D249:D250">
    <cfRule type="cellIs" dxfId="5972" priority="5329" stopIfTrue="1" operator="equal">
      <formula>D175</formula>
    </cfRule>
  </conditionalFormatting>
  <conditionalFormatting sqref="D251 D243:D244 D224">
    <cfRule type="cellIs" dxfId="5971" priority="5328" stopIfTrue="1" operator="equal">
      <formula>D148</formula>
    </cfRule>
  </conditionalFormatting>
  <conditionalFormatting sqref="D2760:D2761">
    <cfRule type="cellIs" dxfId="5970" priority="8641" stopIfTrue="1" operator="equal">
      <formula>D824</formula>
    </cfRule>
  </conditionalFormatting>
  <conditionalFormatting sqref="D2760:D2761">
    <cfRule type="cellIs" dxfId="5969" priority="8643" stopIfTrue="1" operator="equal">
      <formula>D817</formula>
    </cfRule>
  </conditionalFormatting>
  <conditionalFormatting sqref="D265 D251 D248 D222">
    <cfRule type="cellIs" dxfId="5968" priority="8652" stopIfTrue="1" operator="equal">
      <formula>D141</formula>
    </cfRule>
  </conditionalFormatting>
  <conditionalFormatting sqref="D251">
    <cfRule type="cellIs" dxfId="5967" priority="5325" stopIfTrue="1" operator="equal">
      <formula>#REF!</formula>
    </cfRule>
  </conditionalFormatting>
  <conditionalFormatting sqref="D250:D251 D246 D242 D216">
    <cfRule type="cellIs" dxfId="5966" priority="5323" stopIfTrue="1" operator="equal">
      <formula>D141</formula>
    </cfRule>
  </conditionalFormatting>
  <conditionalFormatting sqref="D268">
    <cfRule type="cellIs" dxfId="5965" priority="5321" stopIfTrue="1" operator="equal">
      <formula>D194</formula>
    </cfRule>
  </conditionalFormatting>
  <conditionalFormatting sqref="D248:D249 D256 D266:D267">
    <cfRule type="cellIs" dxfId="5964" priority="5320" stopIfTrue="1" operator="equal">
      <formula>D170</formula>
    </cfRule>
  </conditionalFormatting>
  <conditionalFormatting sqref="D251">
    <cfRule type="cellIs" dxfId="5963" priority="5319" stopIfTrue="1" operator="equal">
      <formula>D141</formula>
    </cfRule>
  </conditionalFormatting>
  <conditionalFormatting sqref="D234:D235 D230 D226:D227">
    <cfRule type="cellIs" dxfId="5962" priority="5318" stopIfTrue="1" operator="equal">
      <formula>D167</formula>
    </cfRule>
  </conditionalFormatting>
  <conditionalFormatting sqref="D2762:D2764">
    <cfRule type="cellIs" dxfId="5961" priority="8974" stopIfTrue="1" operator="equal">
      <formula>D838</formula>
    </cfRule>
  </conditionalFormatting>
  <conditionalFormatting sqref="D2762:D2764">
    <cfRule type="cellIs" dxfId="5960" priority="8976" stopIfTrue="1" operator="equal">
      <formula>D829</formula>
    </cfRule>
  </conditionalFormatting>
  <conditionalFormatting sqref="D2764 D2772:D2774 D2890 D2877:D2882">
    <cfRule type="cellIs" dxfId="5959" priority="5317" stopIfTrue="1" operator="equal">
      <formula>D807</formula>
    </cfRule>
  </conditionalFormatting>
  <conditionalFormatting sqref="D2764">
    <cfRule type="cellIs" dxfId="5958" priority="5316" stopIfTrue="1" operator="equal">
      <formula>D838</formula>
    </cfRule>
  </conditionalFormatting>
  <conditionalFormatting sqref="D2764">
    <cfRule type="cellIs" dxfId="5957" priority="5315" stopIfTrue="1" operator="equal">
      <formula>D829</formula>
    </cfRule>
  </conditionalFormatting>
  <conditionalFormatting sqref="D2764">
    <cfRule type="cellIs" dxfId="5956" priority="5314" stopIfTrue="1" operator="equal">
      <formula>D822</formula>
    </cfRule>
  </conditionalFormatting>
  <conditionalFormatting sqref="D2762:D2764">
    <cfRule type="cellIs" dxfId="5955" priority="9297" stopIfTrue="1" operator="equal">
      <formula>D822</formula>
    </cfRule>
  </conditionalFormatting>
  <conditionalFormatting sqref="D2762:D2764">
    <cfRule type="cellIs" dxfId="5954" priority="9298" stopIfTrue="1" operator="equal">
      <formula>D807</formula>
    </cfRule>
  </conditionalFormatting>
  <conditionalFormatting sqref="D231:D232 D243">
    <cfRule type="cellIs" dxfId="5953" priority="5313" stopIfTrue="1" operator="equal">
      <formula>D136</formula>
    </cfRule>
  </conditionalFormatting>
  <conditionalFormatting sqref="D2782">
    <cfRule type="cellIs" dxfId="5952" priority="5312" stopIfTrue="1" operator="equal">
      <formula>D829</formula>
    </cfRule>
  </conditionalFormatting>
  <conditionalFormatting sqref="D2786">
    <cfRule type="cellIs" dxfId="5951" priority="5311" stopIfTrue="1" operator="equal">
      <formula>D833</formula>
    </cfRule>
  </conditionalFormatting>
  <conditionalFormatting sqref="D2791">
    <cfRule type="cellIs" dxfId="5950" priority="5310" stopIfTrue="1" operator="equal">
      <formula>D838</formula>
    </cfRule>
  </conditionalFormatting>
  <conditionalFormatting sqref="D2795">
    <cfRule type="cellIs" dxfId="5949" priority="5309" stopIfTrue="1" operator="equal">
      <formula>D842</formula>
    </cfRule>
  </conditionalFormatting>
  <conditionalFormatting sqref="D2797">
    <cfRule type="cellIs" dxfId="5948" priority="5308" stopIfTrue="1" operator="equal">
      <formula>D844</formula>
    </cfRule>
  </conditionalFormatting>
  <conditionalFormatting sqref="D2801">
    <cfRule type="cellIs" dxfId="5947" priority="5307" stopIfTrue="1" operator="equal">
      <formula>D848</formula>
    </cfRule>
  </conditionalFormatting>
  <conditionalFormatting sqref="D238">
    <cfRule type="cellIs" dxfId="5946" priority="5306" stopIfTrue="1" operator="equal">
      <formula>#REF!</formula>
    </cfRule>
  </conditionalFormatting>
  <conditionalFormatting sqref="D241">
    <cfRule type="cellIs" dxfId="5945" priority="5304" stopIfTrue="1" operator="equal">
      <formula>D118</formula>
    </cfRule>
  </conditionalFormatting>
  <conditionalFormatting sqref="D251">
    <cfRule type="cellIs" dxfId="5944" priority="5303" stopIfTrue="1" operator="equal">
      <formula>#REF!</formula>
    </cfRule>
  </conditionalFormatting>
  <conditionalFormatting sqref="D2776:D2863">
    <cfRule type="cellIs" dxfId="5943" priority="9624" stopIfTrue="1" operator="equal">
      <formula>D820</formula>
    </cfRule>
  </conditionalFormatting>
  <conditionalFormatting sqref="D2771">
    <cfRule type="cellIs" dxfId="5942" priority="5302" stopIfTrue="1" operator="equal">
      <formula>D814</formula>
    </cfRule>
  </conditionalFormatting>
  <conditionalFormatting sqref="D2774">
    <cfRule type="cellIs" dxfId="5941" priority="5301" stopIfTrue="1" operator="equal">
      <formula>D816</formula>
    </cfRule>
  </conditionalFormatting>
  <conditionalFormatting sqref="D284">
    <cfRule type="cellIs" dxfId="5940" priority="5300" stopIfTrue="1" operator="equal">
      <formula>D269</formula>
    </cfRule>
  </conditionalFormatting>
  <conditionalFormatting sqref="D284">
    <cfRule type="cellIs" dxfId="5939" priority="5299" stopIfTrue="1" operator="equal">
      <formula>#REF!</formula>
    </cfRule>
  </conditionalFormatting>
  <conditionalFormatting sqref="D284">
    <cfRule type="cellIs" dxfId="5938" priority="5298" stopIfTrue="1" operator="equal">
      <formula>D259</formula>
    </cfRule>
  </conditionalFormatting>
  <conditionalFormatting sqref="D284">
    <cfRule type="cellIs" dxfId="5937" priority="5297" stopIfTrue="1" operator="equal">
      <formula>D257</formula>
    </cfRule>
  </conditionalFormatting>
  <conditionalFormatting sqref="D1524">
    <cfRule type="cellIs" dxfId="5936" priority="9626" stopIfTrue="1" operator="equal">
      <formula>D618</formula>
    </cfRule>
  </conditionalFormatting>
  <conditionalFormatting sqref="D1523">
    <cfRule type="cellIs" dxfId="5935" priority="5296" stopIfTrue="1" operator="equal">
      <formula>D615</formula>
    </cfRule>
  </conditionalFormatting>
  <conditionalFormatting sqref="D1523">
    <cfRule type="cellIs" dxfId="5934" priority="5295" stopIfTrue="1" operator="equal">
      <formula>D617</formula>
    </cfRule>
  </conditionalFormatting>
  <conditionalFormatting sqref="D2803">
    <cfRule type="cellIs" dxfId="5933" priority="5294" stopIfTrue="1" operator="equal">
      <formula>D850</formula>
    </cfRule>
  </conditionalFormatting>
  <conditionalFormatting sqref="D2807">
    <cfRule type="cellIs" dxfId="5932" priority="5293" stopIfTrue="1" operator="equal">
      <formula>D854</formula>
    </cfRule>
  </conditionalFormatting>
  <conditionalFormatting sqref="D2809">
    <cfRule type="cellIs" dxfId="5931" priority="5292" stopIfTrue="1" operator="equal">
      <formula>D856</formula>
    </cfRule>
  </conditionalFormatting>
  <conditionalFormatting sqref="D274">
    <cfRule type="cellIs" dxfId="5930" priority="5291" stopIfTrue="1" operator="equal">
      <formula>#REF!</formula>
    </cfRule>
  </conditionalFormatting>
  <conditionalFormatting sqref="D274">
    <cfRule type="cellIs" dxfId="5929" priority="5290" stopIfTrue="1" operator="equal">
      <formula>D262</formula>
    </cfRule>
  </conditionalFormatting>
  <conditionalFormatting sqref="D267:D268">
    <cfRule type="cellIs" dxfId="5928" priority="5289" stopIfTrue="1" operator="equal">
      <formula>D259</formula>
    </cfRule>
  </conditionalFormatting>
  <conditionalFormatting sqref="D268">
    <cfRule type="cellIs" dxfId="5927" priority="5288" stopIfTrue="1" operator="equal">
      <formula>D259</formula>
    </cfRule>
  </conditionalFormatting>
  <conditionalFormatting sqref="D279">
    <cfRule type="cellIs" dxfId="5926" priority="5286" stopIfTrue="1" operator="equal">
      <formula>D262</formula>
    </cfRule>
  </conditionalFormatting>
  <conditionalFormatting sqref="D1582">
    <cfRule type="cellIs" dxfId="5925" priority="5285" stopIfTrue="1" operator="equal">
      <formula>D614</formula>
    </cfRule>
  </conditionalFormatting>
  <conditionalFormatting sqref="D1590">
    <cfRule type="cellIs" dxfId="5924" priority="5284" stopIfTrue="1" operator="equal">
      <formula>#REF!</formula>
    </cfRule>
  </conditionalFormatting>
  <conditionalFormatting sqref="D263 D233">
    <cfRule type="cellIs" dxfId="5923" priority="9688" stopIfTrue="1" operator="equal">
      <formula>D141</formula>
    </cfRule>
  </conditionalFormatting>
  <conditionalFormatting sqref="D309">
    <cfRule type="cellIs" dxfId="5922" priority="5282" stopIfTrue="1" operator="equal">
      <formula>D269</formula>
    </cfRule>
  </conditionalFormatting>
  <conditionalFormatting sqref="D224:D225 D221:D222">
    <cfRule type="cellIs" dxfId="5921" priority="5281" stopIfTrue="1" operator="equal">
      <formula>D167</formula>
    </cfRule>
  </conditionalFormatting>
  <conditionalFormatting sqref="D360">
    <cfRule type="cellIs" dxfId="5920" priority="5279" stopIfTrue="1" operator="equal">
      <formula>D327</formula>
    </cfRule>
  </conditionalFormatting>
  <conditionalFormatting sqref="D241 D239 D234 D204">
    <cfRule type="cellIs" dxfId="5919" priority="5277" stopIfTrue="1" operator="equal">
      <formula>D141</formula>
    </cfRule>
  </conditionalFormatting>
  <conditionalFormatting sqref="D237">
    <cfRule type="cellIs" dxfId="5918" priority="5275" stopIfTrue="1" operator="equal">
      <formula>D175</formula>
    </cfRule>
  </conditionalFormatting>
  <conditionalFormatting sqref="D240 D235 D230:D231">
    <cfRule type="cellIs" dxfId="5917" priority="5273" stopIfTrue="1" operator="equal">
      <formula>D170</formula>
    </cfRule>
  </conditionalFormatting>
  <conditionalFormatting sqref="D237">
    <cfRule type="cellIs" dxfId="5916" priority="5272" stopIfTrue="1" operator="equal">
      <formula>D178</formula>
    </cfRule>
  </conditionalFormatting>
  <conditionalFormatting sqref="D226">
    <cfRule type="cellIs" dxfId="5915" priority="5271" stopIfTrue="1" operator="equal">
      <formula>D148</formula>
    </cfRule>
  </conditionalFormatting>
  <conditionalFormatting sqref="D223">
    <cfRule type="cellIs" dxfId="5914" priority="5270" stopIfTrue="1" operator="equal">
      <formula>D148</formula>
    </cfRule>
  </conditionalFormatting>
  <conditionalFormatting sqref="D232">
    <cfRule type="cellIs" dxfId="5913" priority="5269" stopIfTrue="1" operator="equal">
      <formula>D167</formula>
    </cfRule>
  </conditionalFormatting>
  <conditionalFormatting sqref="D254:D255 D249:D250 D246 D227">
    <cfRule type="cellIs" dxfId="5912" priority="9741" stopIfTrue="1" operator="equal">
      <formula>D148</formula>
    </cfRule>
  </conditionalFormatting>
  <conditionalFormatting sqref="D240">
    <cfRule type="cellIs" dxfId="5911" priority="5268" stopIfTrue="1" operator="equal">
      <formula>D117</formula>
    </cfRule>
  </conditionalFormatting>
  <conditionalFormatting sqref="D250:D251">
    <cfRule type="cellIs" dxfId="5910" priority="5267" stopIfTrue="1" operator="equal">
      <formula>D170</formula>
    </cfRule>
  </conditionalFormatting>
  <conditionalFormatting sqref="D240:D241">
    <cfRule type="cellIs" dxfId="5909" priority="5266" stopIfTrue="1" operator="equal">
      <formula>D175</formula>
    </cfRule>
  </conditionalFormatting>
  <conditionalFormatting sqref="D264 D225">
    <cfRule type="cellIs" dxfId="5908" priority="5264" stopIfTrue="1" operator="equal">
      <formula>D141</formula>
    </cfRule>
  </conditionalFormatting>
  <conditionalFormatting sqref="D2813">
    <cfRule type="cellIs" dxfId="5907" priority="5263" stopIfTrue="1" operator="equal">
      <formula>D860</formula>
    </cfRule>
  </conditionalFormatting>
  <conditionalFormatting sqref="D2817">
    <cfRule type="cellIs" dxfId="5906" priority="5262" stopIfTrue="1" operator="equal">
      <formula>D864</formula>
    </cfRule>
  </conditionalFormatting>
  <conditionalFormatting sqref="D2819">
    <cfRule type="cellIs" dxfId="5905" priority="5261" stopIfTrue="1" operator="equal">
      <formula>D866</formula>
    </cfRule>
  </conditionalFormatting>
  <conditionalFormatting sqref="D2823:D2863">
    <cfRule type="cellIs" dxfId="5904" priority="5260" stopIfTrue="1" operator="equal">
      <formula>D870</formula>
    </cfRule>
  </conditionalFormatting>
  <conditionalFormatting sqref="D2826">
    <cfRule type="cellIs" dxfId="5903" priority="5259" stopIfTrue="1" operator="equal">
      <formula>D873</formula>
    </cfRule>
  </conditionalFormatting>
  <conditionalFormatting sqref="D2828:D2863">
    <cfRule type="cellIs" dxfId="5902" priority="5258" stopIfTrue="1" operator="equal">
      <formula>D875</formula>
    </cfRule>
  </conditionalFormatting>
  <conditionalFormatting sqref="D270">
    <cfRule type="cellIs" dxfId="5901" priority="5257" stopIfTrue="1" operator="equal">
      <formula>D262</formula>
    </cfRule>
  </conditionalFormatting>
  <conditionalFormatting sqref="D241 D234">
    <cfRule type="cellIs" dxfId="5900" priority="5256" stopIfTrue="1" operator="equal">
      <formula>D141</formula>
    </cfRule>
  </conditionalFormatting>
  <conditionalFormatting sqref="D242">
    <cfRule type="cellIs" dxfId="5899" priority="5254" stopIfTrue="1" operator="equal">
      <formula>#REF!</formula>
    </cfRule>
  </conditionalFormatting>
  <conditionalFormatting sqref="D234">
    <cfRule type="cellIs" dxfId="5898" priority="5253" stopIfTrue="1" operator="equal">
      <formula>D118</formula>
    </cfRule>
  </conditionalFormatting>
  <conditionalFormatting sqref="D229">
    <cfRule type="cellIs" dxfId="5897" priority="5251" stopIfTrue="1" operator="equal">
      <formula>D148</formula>
    </cfRule>
  </conditionalFormatting>
  <conditionalFormatting sqref="D2829">
    <cfRule type="cellIs" dxfId="5896" priority="5249" stopIfTrue="1" operator="equal">
      <formula>D876</formula>
    </cfRule>
  </conditionalFormatting>
  <conditionalFormatting sqref="D2831">
    <cfRule type="cellIs" dxfId="5895" priority="5248" stopIfTrue="1" operator="equal">
      <formula>D878</formula>
    </cfRule>
  </conditionalFormatting>
  <conditionalFormatting sqref="D2838">
    <cfRule type="cellIs" dxfId="5894" priority="5247" stopIfTrue="1" operator="equal">
      <formula>D885</formula>
    </cfRule>
  </conditionalFormatting>
  <conditionalFormatting sqref="D2842">
    <cfRule type="cellIs" dxfId="5893" priority="5246" stopIfTrue="1" operator="equal">
      <formula>D889</formula>
    </cfRule>
  </conditionalFormatting>
  <conditionalFormatting sqref="D2849">
    <cfRule type="cellIs" dxfId="5892" priority="5245" stopIfTrue="1" operator="equal">
      <formula>D896</formula>
    </cfRule>
  </conditionalFormatting>
  <conditionalFormatting sqref="D2852">
    <cfRule type="cellIs" dxfId="5891" priority="5244" stopIfTrue="1" operator="equal">
      <formula>D899</formula>
    </cfRule>
  </conditionalFormatting>
  <conditionalFormatting sqref="D2854">
    <cfRule type="cellIs" dxfId="5890" priority="5243" stopIfTrue="1" operator="equal">
      <formula>D901</formula>
    </cfRule>
  </conditionalFormatting>
  <conditionalFormatting sqref="D2861">
    <cfRule type="cellIs" dxfId="5889" priority="5242" stopIfTrue="1" operator="equal">
      <formula>D908</formula>
    </cfRule>
  </conditionalFormatting>
  <conditionalFormatting sqref="D225:D226 D222:D223 D203">
    <cfRule type="cellIs" dxfId="5888" priority="5227" stopIfTrue="1" operator="equal">
      <formula>D148</formula>
    </cfRule>
  </conditionalFormatting>
  <conditionalFormatting sqref="D25">
    <cfRule type="cellIs" dxfId="5887" priority="5210" stopIfTrue="1" operator="equal">
      <formula>D13</formula>
    </cfRule>
  </conditionalFormatting>
  <conditionalFormatting sqref="D1599">
    <cfRule type="cellIs" dxfId="5886" priority="5195" stopIfTrue="1" operator="equal">
      <formula>#REF!</formula>
    </cfRule>
  </conditionalFormatting>
  <conditionalFormatting sqref="AS1599 AO1599">
    <cfRule type="cellIs" dxfId="5885" priority="5196" stopIfTrue="1" operator="equal">
      <formula>"OK"</formula>
    </cfRule>
    <cfRule type="cellIs" dxfId="5884" priority="5197" stopIfTrue="1" operator="equal">
      <formula>"Add"</formula>
    </cfRule>
  </conditionalFormatting>
  <conditionalFormatting sqref="J1599">
    <cfRule type="cellIs" dxfId="5883" priority="5198" stopIfTrue="1" operator="equal">
      <formula>"Lockdown"</formula>
    </cfRule>
    <cfRule type="cellIs" dxfId="5882" priority="5199" stopIfTrue="1" operator="equal">
      <formula>"OOM"</formula>
    </cfRule>
    <cfRule type="cellIs" dxfId="5881" priority="5200" stopIfTrue="1" operator="equal">
      <formula>"Placeholder"</formula>
    </cfRule>
  </conditionalFormatting>
  <conditionalFormatting sqref="T1599:AA1599">
    <cfRule type="cellIs" dxfId="5880" priority="5201" stopIfTrue="1" operator="equal">
      <formula>"Blue - Completed"</formula>
    </cfRule>
    <cfRule type="cellIs" dxfId="5879" priority="5202" stopIfTrue="1" operator="equal">
      <formula>"Green - Started on Sched"</formula>
    </cfRule>
    <cfRule type="cellIs" dxfId="5878" priority="5203" stopIfTrue="1" operator="between">
      <formula>"Q"</formula>
      <formula>"T"</formula>
    </cfRule>
  </conditionalFormatting>
  <conditionalFormatting sqref="G1599">
    <cfRule type="cellIs" dxfId="5877" priority="5194" stopIfTrue="1" operator="equal">
      <formula>"4 - Complete"</formula>
    </cfRule>
    <cfRule type="cellIs" dxfId="5876" priority="5204" stopIfTrue="1" operator="equal">
      <formula>"3 - Green"</formula>
    </cfRule>
    <cfRule type="cellIs" dxfId="5875" priority="5205" stopIfTrue="1" operator="equal">
      <formula>"2 - Yellow"</formula>
    </cfRule>
    <cfRule type="cellIs" dxfId="5874" priority="5206" stopIfTrue="1" operator="equal">
      <formula>"1 - Red"</formula>
    </cfRule>
  </conditionalFormatting>
  <conditionalFormatting sqref="L1599">
    <cfRule type="cellIs" dxfId="5873" priority="5207" stopIfTrue="1" operator="equal">
      <formula>"1 - Hard Load"</formula>
    </cfRule>
    <cfRule type="cellIs" dxfId="5872" priority="5208" stopIfTrue="1" operator="equal">
      <formula>"3 - Not Loaded"</formula>
    </cfRule>
    <cfRule type="cellIs" dxfId="5871" priority="5209" stopIfTrue="1" operator="equal">
      <formula>"2 - Soft Load"</formula>
    </cfRule>
  </conditionalFormatting>
  <conditionalFormatting sqref="D239">
    <cfRule type="cellIs" dxfId="5870" priority="5158" stopIfTrue="1" operator="equal">
      <formula>D178</formula>
    </cfRule>
  </conditionalFormatting>
  <conditionalFormatting sqref="AS239 AO239">
    <cfRule type="cellIs" dxfId="5869" priority="5160" stopIfTrue="1" operator="equal">
      <formula>"OK"</formula>
    </cfRule>
    <cfRule type="cellIs" dxfId="5868" priority="5161" stopIfTrue="1" operator="equal">
      <formula>"Add"</formula>
    </cfRule>
  </conditionalFormatting>
  <conditionalFormatting sqref="J239">
    <cfRule type="cellIs" dxfId="5867" priority="5162" stopIfTrue="1" operator="equal">
      <formula>"Lockdown"</formula>
    </cfRule>
    <cfRule type="cellIs" dxfId="5866" priority="5163" stopIfTrue="1" operator="equal">
      <formula>"OOM"</formula>
    </cfRule>
    <cfRule type="cellIs" dxfId="5865" priority="5164" stopIfTrue="1" operator="equal">
      <formula>"Placeholder"</formula>
    </cfRule>
  </conditionalFormatting>
  <conditionalFormatting sqref="T239:AA239">
    <cfRule type="cellIs" dxfId="5864" priority="5165" stopIfTrue="1" operator="equal">
      <formula>"Blue - Completed"</formula>
    </cfRule>
    <cfRule type="cellIs" dxfId="5863" priority="5166" stopIfTrue="1" operator="equal">
      <formula>"Green - Started on Sched"</formula>
    </cfRule>
    <cfRule type="cellIs" dxfId="5862" priority="5167" stopIfTrue="1" operator="between">
      <formula>"Q"</formula>
      <formula>"T"</formula>
    </cfRule>
  </conditionalFormatting>
  <conditionalFormatting sqref="G239">
    <cfRule type="cellIs" dxfId="5861" priority="5157" stopIfTrue="1" operator="equal">
      <formula>"4 - Complete"</formula>
    </cfRule>
    <cfRule type="cellIs" dxfId="5860" priority="5168" stopIfTrue="1" operator="equal">
      <formula>"3 - Green"</formula>
    </cfRule>
    <cfRule type="cellIs" dxfId="5859" priority="5169" stopIfTrue="1" operator="equal">
      <formula>"2 - Yellow"</formula>
    </cfRule>
    <cfRule type="cellIs" dxfId="5858" priority="5170" stopIfTrue="1" operator="equal">
      <formula>"1 - Red"</formula>
    </cfRule>
  </conditionalFormatting>
  <conditionalFormatting sqref="L239">
    <cfRule type="cellIs" dxfId="5857" priority="5171" stopIfTrue="1" operator="equal">
      <formula>"1 - Hard Load"</formula>
    </cfRule>
    <cfRule type="cellIs" dxfId="5856" priority="5172" stopIfTrue="1" operator="equal">
      <formula>"3 - Not Loaded"</formula>
    </cfRule>
    <cfRule type="cellIs" dxfId="5855" priority="5173" stopIfTrue="1" operator="equal">
      <formula>"2 - Soft Load"</formula>
    </cfRule>
  </conditionalFormatting>
  <conditionalFormatting sqref="D239">
    <cfRule type="cellIs" dxfId="5854" priority="5174" stopIfTrue="1" operator="equal">
      <formula>#REF!</formula>
    </cfRule>
  </conditionalFormatting>
  <conditionalFormatting sqref="D239">
    <cfRule type="cellIs" dxfId="5853" priority="5156" stopIfTrue="1" operator="equal">
      <formula>D179</formula>
    </cfRule>
  </conditionalFormatting>
  <conditionalFormatting sqref="D239 D236">
    <cfRule type="cellIs" dxfId="5852" priority="5155" stopIfTrue="1" operator="equal">
      <formula>D115</formula>
    </cfRule>
  </conditionalFormatting>
  <conditionalFormatting sqref="D253 D249 D230 D222:D223">
    <cfRule type="cellIs" dxfId="5851" priority="5153" stopIfTrue="1" operator="equal">
      <formula>D140</formula>
    </cfRule>
  </conditionalFormatting>
  <conditionalFormatting sqref="D239">
    <cfRule type="cellIs" dxfId="5850" priority="5152" stopIfTrue="1" operator="equal">
      <formula>#REF!</formula>
    </cfRule>
  </conditionalFormatting>
  <conditionalFormatting sqref="D239">
    <cfRule type="cellIs" dxfId="5849" priority="5151" stopIfTrue="1" operator="equal">
      <formula>D180</formula>
    </cfRule>
  </conditionalFormatting>
  <conditionalFormatting sqref="D238">
    <cfRule type="cellIs" dxfId="5848" priority="5134" stopIfTrue="1" operator="equal">
      <formula>D178</formula>
    </cfRule>
  </conditionalFormatting>
  <conditionalFormatting sqref="D238">
    <cfRule type="cellIs" dxfId="5847" priority="5135" stopIfTrue="1" operator="equal">
      <formula>D176</formula>
    </cfRule>
  </conditionalFormatting>
  <conditionalFormatting sqref="AS238 AO238">
    <cfRule type="cellIs" dxfId="5846" priority="5136" stopIfTrue="1" operator="equal">
      <formula>"OK"</formula>
    </cfRule>
    <cfRule type="cellIs" dxfId="5845" priority="5137" stopIfTrue="1" operator="equal">
      <formula>"Add"</formula>
    </cfRule>
  </conditionalFormatting>
  <conditionalFormatting sqref="J238">
    <cfRule type="cellIs" dxfId="5844" priority="5138" stopIfTrue="1" operator="equal">
      <formula>"Lockdown"</formula>
    </cfRule>
    <cfRule type="cellIs" dxfId="5843" priority="5139" stopIfTrue="1" operator="equal">
      <formula>"OOM"</formula>
    </cfRule>
    <cfRule type="cellIs" dxfId="5842" priority="5140" stopIfTrue="1" operator="equal">
      <formula>"Placeholder"</formula>
    </cfRule>
  </conditionalFormatting>
  <conditionalFormatting sqref="T238:AA238">
    <cfRule type="cellIs" dxfId="5841" priority="5141" stopIfTrue="1" operator="equal">
      <formula>"Blue - Completed"</formula>
    </cfRule>
    <cfRule type="cellIs" dxfId="5840" priority="5142" stopIfTrue="1" operator="equal">
      <formula>"Green - Started on Sched"</formula>
    </cfRule>
    <cfRule type="cellIs" dxfId="5839" priority="5143" stopIfTrue="1" operator="between">
      <formula>"Q"</formula>
      <formula>"T"</formula>
    </cfRule>
  </conditionalFormatting>
  <conditionalFormatting sqref="G238">
    <cfRule type="cellIs" dxfId="5838" priority="5133" stopIfTrue="1" operator="equal">
      <formula>"4 - Complete"</formula>
    </cfRule>
    <cfRule type="cellIs" dxfId="5837" priority="5144" stopIfTrue="1" operator="equal">
      <formula>"3 - Green"</formula>
    </cfRule>
    <cfRule type="cellIs" dxfId="5836" priority="5145" stopIfTrue="1" operator="equal">
      <formula>"2 - Yellow"</formula>
    </cfRule>
    <cfRule type="cellIs" dxfId="5835" priority="5146" stopIfTrue="1" operator="equal">
      <formula>"1 - Red"</formula>
    </cfRule>
  </conditionalFormatting>
  <conditionalFormatting sqref="L238">
    <cfRule type="cellIs" dxfId="5834" priority="5147" stopIfTrue="1" operator="equal">
      <formula>"1 - Hard Load"</formula>
    </cfRule>
    <cfRule type="cellIs" dxfId="5833" priority="5148" stopIfTrue="1" operator="equal">
      <formula>"3 - Not Loaded"</formula>
    </cfRule>
    <cfRule type="cellIs" dxfId="5832" priority="5149" stopIfTrue="1" operator="equal">
      <formula>"2 - Soft Load"</formula>
    </cfRule>
  </conditionalFormatting>
  <conditionalFormatting sqref="D253:D254">
    <cfRule type="cellIs" dxfId="5831" priority="5150" stopIfTrue="1" operator="equal">
      <formula>D175</formula>
    </cfRule>
  </conditionalFormatting>
  <conditionalFormatting sqref="D238">
    <cfRule type="cellIs" dxfId="5830" priority="5132" stopIfTrue="1" operator="equal">
      <formula>D179</formula>
    </cfRule>
  </conditionalFormatting>
  <conditionalFormatting sqref="D251">
    <cfRule type="cellIs" dxfId="5829" priority="5131" stopIfTrue="1" operator="equal">
      <formula>D167</formula>
    </cfRule>
  </conditionalFormatting>
  <conditionalFormatting sqref="D238 D240">
    <cfRule type="cellIs" dxfId="5828" priority="5130" stopIfTrue="1" operator="equal">
      <formula>D130</formula>
    </cfRule>
  </conditionalFormatting>
  <conditionalFormatting sqref="D240">
    <cfRule type="cellIs" dxfId="5827" priority="5129" stopIfTrue="1" operator="equal">
      <formula>#REF!</formula>
    </cfRule>
  </conditionalFormatting>
  <conditionalFormatting sqref="D238">
    <cfRule type="cellIs" dxfId="5826" priority="5128" stopIfTrue="1" operator="equal">
      <formula>#REF!</formula>
    </cfRule>
  </conditionalFormatting>
  <conditionalFormatting sqref="D238">
    <cfRule type="cellIs" dxfId="5825" priority="5127" stopIfTrue="1" operator="equal">
      <formula>D180</formula>
    </cfRule>
  </conditionalFormatting>
  <conditionalFormatting sqref="D334">
    <cfRule type="cellIs" dxfId="5824" priority="5111" stopIfTrue="1" operator="equal">
      <formula>#REF!</formula>
    </cfRule>
  </conditionalFormatting>
  <conditionalFormatting sqref="AS334 AO334">
    <cfRule type="cellIs" dxfId="5823" priority="5112" stopIfTrue="1" operator="equal">
      <formula>"OK"</formula>
    </cfRule>
    <cfRule type="cellIs" dxfId="5822" priority="5113" stopIfTrue="1" operator="equal">
      <formula>"Add"</formula>
    </cfRule>
  </conditionalFormatting>
  <conditionalFormatting sqref="J334">
    <cfRule type="cellIs" dxfId="5821" priority="5114" stopIfTrue="1" operator="equal">
      <formula>"Lockdown"</formula>
    </cfRule>
    <cfRule type="cellIs" dxfId="5820" priority="5115" stopIfTrue="1" operator="equal">
      <formula>"OOM"</formula>
    </cfRule>
    <cfRule type="cellIs" dxfId="5819" priority="5116" stopIfTrue="1" operator="equal">
      <formula>"Placeholder"</formula>
    </cfRule>
  </conditionalFormatting>
  <conditionalFormatting sqref="T334:AA334">
    <cfRule type="cellIs" dxfId="5818" priority="5117" stopIfTrue="1" operator="equal">
      <formula>"Blue - Completed"</formula>
    </cfRule>
    <cfRule type="cellIs" dxfId="5817" priority="5118" stopIfTrue="1" operator="equal">
      <formula>"Green - Started on Sched"</formula>
    </cfRule>
    <cfRule type="cellIs" dxfId="5816" priority="5119" stopIfTrue="1" operator="between">
      <formula>"Q"</formula>
      <formula>"T"</formula>
    </cfRule>
  </conditionalFormatting>
  <conditionalFormatting sqref="G334">
    <cfRule type="cellIs" dxfId="5815" priority="5110" stopIfTrue="1" operator="equal">
      <formula>"4 - Complete"</formula>
    </cfRule>
    <cfRule type="cellIs" dxfId="5814" priority="5120" stopIfTrue="1" operator="equal">
      <formula>"3 - Green"</formula>
    </cfRule>
    <cfRule type="cellIs" dxfId="5813" priority="5121" stopIfTrue="1" operator="equal">
      <formula>"2 - Yellow"</formula>
    </cfRule>
    <cfRule type="cellIs" dxfId="5812" priority="5122" stopIfTrue="1" operator="equal">
      <formula>"1 - Red"</formula>
    </cfRule>
  </conditionalFormatting>
  <conditionalFormatting sqref="L334">
    <cfRule type="cellIs" dxfId="5811" priority="5123" stopIfTrue="1" operator="equal">
      <formula>"1 - Hard Load"</formula>
    </cfRule>
    <cfRule type="cellIs" dxfId="5810" priority="5124" stopIfTrue="1" operator="equal">
      <formula>"3 - Not Loaded"</formula>
    </cfRule>
    <cfRule type="cellIs" dxfId="5809" priority="5125" stopIfTrue="1" operator="equal">
      <formula>"2 - Soft Load"</formula>
    </cfRule>
  </conditionalFormatting>
  <conditionalFormatting sqref="D334">
    <cfRule type="cellIs" dxfId="5808" priority="5126" stopIfTrue="1" operator="equal">
      <formula>D309</formula>
    </cfRule>
  </conditionalFormatting>
  <conditionalFormatting sqref="D205">
    <cfRule type="cellIs" dxfId="5807" priority="5095" stopIfTrue="1" operator="equal">
      <formula>D141</formula>
    </cfRule>
  </conditionalFormatting>
  <conditionalFormatting sqref="D321">
    <cfRule type="cellIs" dxfId="5806" priority="5063" stopIfTrue="1" operator="equal">
      <formula>D278</formula>
    </cfRule>
  </conditionalFormatting>
  <conditionalFormatting sqref="D213">
    <cfRule type="cellIs" dxfId="5805" priority="5046" stopIfTrue="1" operator="equal">
      <formula>D148</formula>
    </cfRule>
  </conditionalFormatting>
  <conditionalFormatting sqref="D227">
    <cfRule type="cellIs" dxfId="5804" priority="5047" stopIfTrue="1" operator="equal">
      <formula>D175</formula>
    </cfRule>
  </conditionalFormatting>
  <conditionalFormatting sqref="AO210 AS210">
    <cfRule type="cellIs" dxfId="5803" priority="5048" stopIfTrue="1" operator="equal">
      <formula>"OK"</formula>
    </cfRule>
    <cfRule type="cellIs" dxfId="5802" priority="5049" stopIfTrue="1" operator="equal">
      <formula>"Add"</formula>
    </cfRule>
  </conditionalFormatting>
  <conditionalFormatting sqref="J210">
    <cfRule type="cellIs" dxfId="5801" priority="5050" stopIfTrue="1" operator="equal">
      <formula>"Lockdown"</formula>
    </cfRule>
    <cfRule type="cellIs" dxfId="5800" priority="5051" stopIfTrue="1" operator="equal">
      <formula>"OOM"</formula>
    </cfRule>
    <cfRule type="cellIs" dxfId="5799" priority="5052" stopIfTrue="1" operator="equal">
      <formula>"Placeholder"</formula>
    </cfRule>
  </conditionalFormatting>
  <conditionalFormatting sqref="T210:AA210">
    <cfRule type="cellIs" dxfId="5798" priority="5053" stopIfTrue="1" operator="equal">
      <formula>"Blue - Completed"</formula>
    </cfRule>
    <cfRule type="cellIs" dxfId="5797" priority="5054" stopIfTrue="1" operator="equal">
      <formula>"Green - Started on Sched"</formula>
    </cfRule>
    <cfRule type="cellIs" dxfId="5796" priority="5055" stopIfTrue="1" operator="between">
      <formula>"Q"</formula>
      <formula>"T"</formula>
    </cfRule>
  </conditionalFormatting>
  <conditionalFormatting sqref="G210">
    <cfRule type="cellIs" dxfId="5795" priority="5045" stopIfTrue="1" operator="equal">
      <formula>"4 - Complete"</formula>
    </cfRule>
    <cfRule type="cellIs" dxfId="5794" priority="5056" stopIfTrue="1" operator="equal">
      <formula>"3 - Green"</formula>
    </cfRule>
    <cfRule type="cellIs" dxfId="5793" priority="5057" stopIfTrue="1" operator="equal">
      <formula>"2 - Yellow"</formula>
    </cfRule>
    <cfRule type="cellIs" dxfId="5792" priority="5058" stopIfTrue="1" operator="equal">
      <formula>"1 - Red"</formula>
    </cfRule>
  </conditionalFormatting>
  <conditionalFormatting sqref="L210">
    <cfRule type="cellIs" dxfId="5791" priority="5059" stopIfTrue="1" operator="equal">
      <formula>"1 - Hard Load"</formula>
    </cfRule>
    <cfRule type="cellIs" dxfId="5790" priority="5060" stopIfTrue="1" operator="equal">
      <formula>"3 - Not Loaded"</formula>
    </cfRule>
    <cfRule type="cellIs" dxfId="5789" priority="5061" stopIfTrue="1" operator="equal">
      <formula>"2 - Soft Load"</formula>
    </cfRule>
  </conditionalFormatting>
  <conditionalFormatting sqref="D1838">
    <cfRule type="cellIs" dxfId="5788" priority="5014" stopIfTrue="1" operator="equal">
      <formula>D614</formula>
    </cfRule>
  </conditionalFormatting>
  <conditionalFormatting sqref="AO1838 AS1838">
    <cfRule type="cellIs" dxfId="5787" priority="5015" stopIfTrue="1" operator="equal">
      <formula>"OK"</formula>
    </cfRule>
    <cfRule type="cellIs" dxfId="5786" priority="5016" stopIfTrue="1" operator="equal">
      <formula>"Add"</formula>
    </cfRule>
  </conditionalFormatting>
  <conditionalFormatting sqref="J1838">
    <cfRule type="cellIs" dxfId="5785" priority="5017" stopIfTrue="1" operator="equal">
      <formula>"Lockdown"</formula>
    </cfRule>
    <cfRule type="cellIs" dxfId="5784" priority="5018" stopIfTrue="1" operator="equal">
      <formula>"OOM"</formula>
    </cfRule>
    <cfRule type="cellIs" dxfId="5783" priority="5019" stopIfTrue="1" operator="equal">
      <formula>"Placeholder"</formula>
    </cfRule>
  </conditionalFormatting>
  <conditionalFormatting sqref="T1838:AA1838">
    <cfRule type="cellIs" dxfId="5782" priority="5020" stopIfTrue="1" operator="equal">
      <formula>"Blue - Completed"</formula>
    </cfRule>
    <cfRule type="cellIs" dxfId="5781" priority="5021" stopIfTrue="1" operator="equal">
      <formula>"Green - Started on Sched"</formula>
    </cfRule>
    <cfRule type="cellIs" dxfId="5780" priority="5022" stopIfTrue="1" operator="between">
      <formula>"Q"</formula>
      <formula>"T"</formula>
    </cfRule>
  </conditionalFormatting>
  <conditionalFormatting sqref="G1838">
    <cfRule type="cellIs" dxfId="5779" priority="5013" stopIfTrue="1" operator="equal">
      <formula>"4 - Complete"</formula>
    </cfRule>
    <cfRule type="cellIs" dxfId="5778" priority="5023" stopIfTrue="1" operator="equal">
      <formula>"3 - Green"</formula>
    </cfRule>
    <cfRule type="cellIs" dxfId="5777" priority="5024" stopIfTrue="1" operator="equal">
      <formula>"2 - Yellow"</formula>
    </cfRule>
    <cfRule type="cellIs" dxfId="5776" priority="5025" stopIfTrue="1" operator="equal">
      <formula>"1 - Red"</formula>
    </cfRule>
  </conditionalFormatting>
  <conditionalFormatting sqref="L1838">
    <cfRule type="cellIs" dxfId="5775" priority="5026" stopIfTrue="1" operator="equal">
      <formula>"1 - Hard Load"</formula>
    </cfRule>
    <cfRule type="cellIs" dxfId="5774" priority="5027" stopIfTrue="1" operator="equal">
      <formula>"3 - Not Loaded"</formula>
    </cfRule>
    <cfRule type="cellIs" dxfId="5773" priority="5028" stopIfTrue="1" operator="equal">
      <formula>"2 - Soft Load"</formula>
    </cfRule>
  </conditionalFormatting>
  <conditionalFormatting sqref="D1640">
    <cfRule type="cellIs" dxfId="5772" priority="4998" stopIfTrue="1" operator="equal">
      <formula>#REF!</formula>
    </cfRule>
  </conditionalFormatting>
  <conditionalFormatting sqref="AO1640 AS1640">
    <cfRule type="cellIs" dxfId="5771" priority="4999" stopIfTrue="1" operator="equal">
      <formula>"OK"</formula>
    </cfRule>
    <cfRule type="cellIs" dxfId="5770" priority="5000" stopIfTrue="1" operator="equal">
      <formula>"Add"</formula>
    </cfRule>
  </conditionalFormatting>
  <conditionalFormatting sqref="J1640">
    <cfRule type="cellIs" dxfId="5769" priority="5001" stopIfTrue="1" operator="equal">
      <formula>"Lockdown"</formula>
    </cfRule>
    <cfRule type="cellIs" dxfId="5768" priority="5002" stopIfTrue="1" operator="equal">
      <formula>"OOM"</formula>
    </cfRule>
    <cfRule type="cellIs" dxfId="5767" priority="5003" stopIfTrue="1" operator="equal">
      <formula>"Placeholder"</formula>
    </cfRule>
  </conditionalFormatting>
  <conditionalFormatting sqref="T1640:AA1640">
    <cfRule type="cellIs" dxfId="5766" priority="5004" stopIfTrue="1" operator="equal">
      <formula>"Blue - Completed"</formula>
    </cfRule>
    <cfRule type="cellIs" dxfId="5765" priority="5005" stopIfTrue="1" operator="equal">
      <formula>"Green - Started on Sched"</formula>
    </cfRule>
    <cfRule type="cellIs" dxfId="5764" priority="5006" stopIfTrue="1" operator="between">
      <formula>"Q"</formula>
      <formula>"T"</formula>
    </cfRule>
  </conditionalFormatting>
  <conditionalFormatting sqref="G1640">
    <cfRule type="cellIs" dxfId="5763" priority="4997" stopIfTrue="1" operator="equal">
      <formula>"4 - Complete"</formula>
    </cfRule>
    <cfRule type="cellIs" dxfId="5762" priority="5007" stopIfTrue="1" operator="equal">
      <formula>"3 - Green"</formula>
    </cfRule>
    <cfRule type="cellIs" dxfId="5761" priority="5008" stopIfTrue="1" operator="equal">
      <formula>"2 - Yellow"</formula>
    </cfRule>
    <cfRule type="cellIs" dxfId="5760" priority="5009" stopIfTrue="1" operator="equal">
      <formula>"1 - Red"</formula>
    </cfRule>
  </conditionalFormatting>
  <conditionalFormatting sqref="L1640">
    <cfRule type="cellIs" dxfId="5759" priority="5010" stopIfTrue="1" operator="equal">
      <formula>"1 - Hard Load"</formula>
    </cfRule>
    <cfRule type="cellIs" dxfId="5758" priority="5011" stopIfTrue="1" operator="equal">
      <formula>"3 - Not Loaded"</formula>
    </cfRule>
    <cfRule type="cellIs" dxfId="5757" priority="5012" stopIfTrue="1" operator="equal">
      <formula>"2 - Soft Load"</formula>
    </cfRule>
  </conditionalFormatting>
  <conditionalFormatting sqref="D355">
    <cfRule type="cellIs" dxfId="5756" priority="4982" stopIfTrue="1" operator="equal">
      <formula>D324</formula>
    </cfRule>
  </conditionalFormatting>
  <conditionalFormatting sqref="AO355 AS355">
    <cfRule type="cellIs" dxfId="5755" priority="4983" stopIfTrue="1" operator="equal">
      <formula>"OK"</formula>
    </cfRule>
    <cfRule type="cellIs" dxfId="5754" priority="4984" stopIfTrue="1" operator="equal">
      <formula>"Add"</formula>
    </cfRule>
  </conditionalFormatting>
  <conditionalFormatting sqref="J355">
    <cfRule type="cellIs" dxfId="5753" priority="4985" stopIfTrue="1" operator="equal">
      <formula>"Lockdown"</formula>
    </cfRule>
    <cfRule type="cellIs" dxfId="5752" priority="4986" stopIfTrue="1" operator="equal">
      <formula>"OOM"</formula>
    </cfRule>
    <cfRule type="cellIs" dxfId="5751" priority="4987" stopIfTrue="1" operator="equal">
      <formula>"Placeholder"</formula>
    </cfRule>
  </conditionalFormatting>
  <conditionalFormatting sqref="T355:AA355">
    <cfRule type="cellIs" dxfId="5750" priority="4988" stopIfTrue="1" operator="equal">
      <formula>"Blue - Completed"</formula>
    </cfRule>
    <cfRule type="cellIs" dxfId="5749" priority="4989" stopIfTrue="1" operator="equal">
      <formula>"Green - Started on Sched"</formula>
    </cfRule>
    <cfRule type="cellIs" dxfId="5748" priority="4990" stopIfTrue="1" operator="between">
      <formula>"Q"</formula>
      <formula>"T"</formula>
    </cfRule>
  </conditionalFormatting>
  <conditionalFormatting sqref="G355">
    <cfRule type="cellIs" dxfId="5747" priority="4981" stopIfTrue="1" operator="equal">
      <formula>"4 - Complete"</formula>
    </cfRule>
    <cfRule type="cellIs" dxfId="5746" priority="4991" stopIfTrue="1" operator="equal">
      <formula>"3 - Green"</formula>
    </cfRule>
    <cfRule type="cellIs" dxfId="5745" priority="4992" stopIfTrue="1" operator="equal">
      <formula>"2 - Yellow"</formula>
    </cfRule>
    <cfRule type="cellIs" dxfId="5744" priority="4993" stopIfTrue="1" operator="equal">
      <formula>"1 - Red"</formula>
    </cfRule>
  </conditionalFormatting>
  <conditionalFormatting sqref="L355">
    <cfRule type="cellIs" dxfId="5743" priority="4994" stopIfTrue="1" operator="equal">
      <formula>"1 - Hard Load"</formula>
    </cfRule>
    <cfRule type="cellIs" dxfId="5742" priority="4995" stopIfTrue="1" operator="equal">
      <formula>"3 - Not Loaded"</formula>
    </cfRule>
    <cfRule type="cellIs" dxfId="5741" priority="4996" stopIfTrue="1" operator="equal">
      <formula>"2 - Soft Load"</formula>
    </cfRule>
  </conditionalFormatting>
  <conditionalFormatting sqref="AO354 AS354">
    <cfRule type="cellIs" dxfId="5740" priority="4967" stopIfTrue="1" operator="equal">
      <formula>"OK"</formula>
    </cfRule>
    <cfRule type="cellIs" dxfId="5739" priority="4968" stopIfTrue="1" operator="equal">
      <formula>"Add"</formula>
    </cfRule>
  </conditionalFormatting>
  <conditionalFormatting sqref="J354">
    <cfRule type="cellIs" dxfId="5738" priority="4969" stopIfTrue="1" operator="equal">
      <formula>"Lockdown"</formula>
    </cfRule>
    <cfRule type="cellIs" dxfId="5737" priority="4970" stopIfTrue="1" operator="equal">
      <formula>"OOM"</formula>
    </cfRule>
    <cfRule type="cellIs" dxfId="5736" priority="4971" stopIfTrue="1" operator="equal">
      <formula>"Placeholder"</formula>
    </cfRule>
  </conditionalFormatting>
  <conditionalFormatting sqref="T354:AA354">
    <cfRule type="cellIs" dxfId="5735" priority="4972" stopIfTrue="1" operator="equal">
      <formula>"Blue - Completed"</formula>
    </cfRule>
    <cfRule type="cellIs" dxfId="5734" priority="4973" stopIfTrue="1" operator="equal">
      <formula>"Green - Started on Sched"</formula>
    </cfRule>
    <cfRule type="cellIs" dxfId="5733" priority="4974" stopIfTrue="1" operator="between">
      <formula>"Q"</formula>
      <formula>"T"</formula>
    </cfRule>
  </conditionalFormatting>
  <conditionalFormatting sqref="G354">
    <cfRule type="cellIs" dxfId="5732" priority="4965" stopIfTrue="1" operator="equal">
      <formula>"4 - Complete"</formula>
    </cfRule>
    <cfRule type="cellIs" dxfId="5731" priority="4975" stopIfTrue="1" operator="equal">
      <formula>"3 - Green"</formula>
    </cfRule>
    <cfRule type="cellIs" dxfId="5730" priority="4976" stopIfTrue="1" operator="equal">
      <formula>"2 - Yellow"</formula>
    </cfRule>
    <cfRule type="cellIs" dxfId="5729" priority="4977" stopIfTrue="1" operator="equal">
      <formula>"1 - Red"</formula>
    </cfRule>
  </conditionalFormatting>
  <conditionalFormatting sqref="L354">
    <cfRule type="cellIs" dxfId="5728" priority="4978" stopIfTrue="1" operator="equal">
      <formula>"1 - Hard Load"</formula>
    </cfRule>
    <cfRule type="cellIs" dxfId="5727" priority="4979" stopIfTrue="1" operator="equal">
      <formula>"3 - Not Loaded"</formula>
    </cfRule>
    <cfRule type="cellIs" dxfId="5726" priority="4980" stopIfTrue="1" operator="equal">
      <formula>"2 - Soft Load"</formula>
    </cfRule>
  </conditionalFormatting>
  <conditionalFormatting sqref="D354">
    <cfRule type="cellIs" dxfId="5725" priority="4966" stopIfTrue="1" operator="equal">
      <formula>D323</formula>
    </cfRule>
  </conditionalFormatting>
  <conditionalFormatting sqref="D353">
    <cfRule type="cellIs" dxfId="5724" priority="4950" stopIfTrue="1" operator="equal">
      <formula>#REF!</formula>
    </cfRule>
  </conditionalFormatting>
  <conditionalFormatting sqref="AO353 AS353">
    <cfRule type="cellIs" dxfId="5723" priority="4951" stopIfTrue="1" operator="equal">
      <formula>"OK"</formula>
    </cfRule>
    <cfRule type="cellIs" dxfId="5722" priority="4952" stopIfTrue="1" operator="equal">
      <formula>"Add"</formula>
    </cfRule>
  </conditionalFormatting>
  <conditionalFormatting sqref="J353">
    <cfRule type="cellIs" dxfId="5721" priority="4953" stopIfTrue="1" operator="equal">
      <formula>"Lockdown"</formula>
    </cfRule>
    <cfRule type="cellIs" dxfId="5720" priority="4954" stopIfTrue="1" operator="equal">
      <formula>"OOM"</formula>
    </cfRule>
    <cfRule type="cellIs" dxfId="5719" priority="4955" stopIfTrue="1" operator="equal">
      <formula>"Placeholder"</formula>
    </cfRule>
  </conditionalFormatting>
  <conditionalFormatting sqref="T353:AA353">
    <cfRule type="cellIs" dxfId="5718" priority="4956" stopIfTrue="1" operator="equal">
      <formula>"Blue - Completed"</formula>
    </cfRule>
    <cfRule type="cellIs" dxfId="5717" priority="4957" stopIfTrue="1" operator="equal">
      <formula>"Green - Started on Sched"</formula>
    </cfRule>
    <cfRule type="cellIs" dxfId="5716" priority="4958" stopIfTrue="1" operator="between">
      <formula>"Q"</formula>
      <formula>"T"</formula>
    </cfRule>
  </conditionalFormatting>
  <conditionalFormatting sqref="G353">
    <cfRule type="cellIs" dxfId="5715" priority="4949" stopIfTrue="1" operator="equal">
      <formula>"4 - Complete"</formula>
    </cfRule>
    <cfRule type="cellIs" dxfId="5714" priority="4959" stopIfTrue="1" operator="equal">
      <formula>"3 - Green"</formula>
    </cfRule>
    <cfRule type="cellIs" dxfId="5713" priority="4960" stopIfTrue="1" operator="equal">
      <formula>"2 - Yellow"</formula>
    </cfRule>
    <cfRule type="cellIs" dxfId="5712" priority="4961" stopIfTrue="1" operator="equal">
      <formula>"1 - Red"</formula>
    </cfRule>
  </conditionalFormatting>
  <conditionalFormatting sqref="L353">
    <cfRule type="cellIs" dxfId="5711" priority="4962" stopIfTrue="1" operator="equal">
      <formula>"1 - Hard Load"</formula>
    </cfRule>
    <cfRule type="cellIs" dxfId="5710" priority="4963" stopIfTrue="1" operator="equal">
      <formula>"3 - Not Loaded"</formula>
    </cfRule>
    <cfRule type="cellIs" dxfId="5709" priority="4964" stopIfTrue="1" operator="equal">
      <formula>"2 - Soft Load"</formula>
    </cfRule>
  </conditionalFormatting>
  <conditionalFormatting sqref="D258">
    <cfRule type="cellIs" dxfId="5708" priority="9784" stopIfTrue="1" operator="equal">
      <formula>D167</formula>
    </cfRule>
  </conditionalFormatting>
  <conditionalFormatting sqref="AO2864:AO2875 AS2864:AS2875 AS2877:AS2882 AO2877:AO2882">
    <cfRule type="cellIs" dxfId="5707" priority="4906" stopIfTrue="1" operator="equal">
      <formula>"OK"</formula>
    </cfRule>
    <cfRule type="cellIs" dxfId="5706" priority="4907" stopIfTrue="1" operator="equal">
      <formula>"Add"</formula>
    </cfRule>
  </conditionalFormatting>
  <conditionalFormatting sqref="J2864:J2875 J2877:J2882">
    <cfRule type="cellIs" dxfId="5705" priority="4908" stopIfTrue="1" operator="equal">
      <formula>"Lockdown"</formula>
    </cfRule>
    <cfRule type="cellIs" dxfId="5704" priority="4909" stopIfTrue="1" operator="equal">
      <formula>"OOM"</formula>
    </cfRule>
    <cfRule type="cellIs" dxfId="5703" priority="4910" stopIfTrue="1" operator="equal">
      <formula>"Placeholder"</formula>
    </cfRule>
  </conditionalFormatting>
  <conditionalFormatting sqref="T2864:AA2875 T2877:AA2882">
    <cfRule type="cellIs" dxfId="5702" priority="4911" stopIfTrue="1" operator="equal">
      <formula>"Blue - Completed"</formula>
    </cfRule>
    <cfRule type="cellIs" dxfId="5701" priority="4912" stopIfTrue="1" operator="equal">
      <formula>"Green - Started on Sched"</formula>
    </cfRule>
    <cfRule type="cellIs" dxfId="5700" priority="4913" stopIfTrue="1" operator="between">
      <formula>"Q"</formula>
      <formula>"T"</formula>
    </cfRule>
  </conditionalFormatting>
  <conditionalFormatting sqref="G2864:G2875 G2877:G2882">
    <cfRule type="cellIs" dxfId="5699" priority="4905" stopIfTrue="1" operator="equal">
      <formula>"4 - Complete"</formula>
    </cfRule>
    <cfRule type="cellIs" dxfId="5698" priority="4914" stopIfTrue="1" operator="equal">
      <formula>"3 - Green"</formula>
    </cfRule>
    <cfRule type="cellIs" dxfId="5697" priority="4915" stopIfTrue="1" operator="equal">
      <formula>"2 - Yellow"</formula>
    </cfRule>
    <cfRule type="cellIs" dxfId="5696" priority="4916" stopIfTrue="1" operator="equal">
      <formula>"1 - Red"</formula>
    </cfRule>
  </conditionalFormatting>
  <conditionalFormatting sqref="L2864:L2875 L2877:L2882">
    <cfRule type="cellIs" dxfId="5695" priority="4917" stopIfTrue="1" operator="equal">
      <formula>"1 - Hard Load"</formula>
    </cfRule>
    <cfRule type="cellIs" dxfId="5694" priority="4918" stopIfTrue="1" operator="equal">
      <formula>"3 - Not Loaded"</formula>
    </cfRule>
    <cfRule type="cellIs" dxfId="5693" priority="4919" stopIfTrue="1" operator="equal">
      <formula>"2 - Soft Load"</formula>
    </cfRule>
  </conditionalFormatting>
  <conditionalFormatting sqref="D2867">
    <cfRule type="cellIs" dxfId="5692" priority="4902" stopIfTrue="1" operator="equal">
      <formula>D914</formula>
    </cfRule>
  </conditionalFormatting>
  <conditionalFormatting sqref="D2870">
    <cfRule type="cellIs" dxfId="5691" priority="4901" stopIfTrue="1" operator="equal">
      <formula>D917</formula>
    </cfRule>
  </conditionalFormatting>
  <conditionalFormatting sqref="D2872">
    <cfRule type="cellIs" dxfId="5690" priority="4900" stopIfTrue="1" operator="equal">
      <formula>D919</formula>
    </cfRule>
  </conditionalFormatting>
  <conditionalFormatting sqref="D2880">
    <cfRule type="cellIs" dxfId="5689" priority="4899" stopIfTrue="1" operator="equal">
      <formula>D926</formula>
    </cfRule>
  </conditionalFormatting>
  <conditionalFormatting sqref="AO2883:AO2889 AS2883:AS2889">
    <cfRule type="cellIs" dxfId="5688" priority="4884" stopIfTrue="1" operator="equal">
      <formula>"OK"</formula>
    </cfRule>
    <cfRule type="cellIs" dxfId="5687" priority="4885" stopIfTrue="1" operator="equal">
      <formula>"Add"</formula>
    </cfRule>
  </conditionalFormatting>
  <conditionalFormatting sqref="J2883:J2889">
    <cfRule type="cellIs" dxfId="5686" priority="4886" stopIfTrue="1" operator="equal">
      <formula>"Lockdown"</formula>
    </cfRule>
    <cfRule type="cellIs" dxfId="5685" priority="4887" stopIfTrue="1" operator="equal">
      <formula>"OOM"</formula>
    </cfRule>
    <cfRule type="cellIs" dxfId="5684" priority="4888" stopIfTrue="1" operator="equal">
      <formula>"Placeholder"</formula>
    </cfRule>
  </conditionalFormatting>
  <conditionalFormatting sqref="T2883:AA2889">
    <cfRule type="cellIs" dxfId="5683" priority="4889" stopIfTrue="1" operator="equal">
      <formula>"Blue - Completed"</formula>
    </cfRule>
    <cfRule type="cellIs" dxfId="5682" priority="4890" stopIfTrue="1" operator="equal">
      <formula>"Green - Started on Sched"</formula>
    </cfRule>
    <cfRule type="cellIs" dxfId="5681" priority="4891" stopIfTrue="1" operator="between">
      <formula>"Q"</formula>
      <formula>"T"</formula>
    </cfRule>
  </conditionalFormatting>
  <conditionalFormatting sqref="G2883:G2889">
    <cfRule type="cellIs" dxfId="5680" priority="4883" stopIfTrue="1" operator="equal">
      <formula>"4 - Complete"</formula>
    </cfRule>
    <cfRule type="cellIs" dxfId="5679" priority="4892" stopIfTrue="1" operator="equal">
      <formula>"3 - Green"</formula>
    </cfRule>
    <cfRule type="cellIs" dxfId="5678" priority="4893" stopIfTrue="1" operator="equal">
      <formula>"2 - Yellow"</formula>
    </cfRule>
    <cfRule type="cellIs" dxfId="5677" priority="4894" stopIfTrue="1" operator="equal">
      <formula>"1 - Red"</formula>
    </cfRule>
  </conditionalFormatting>
  <conditionalFormatting sqref="L2883:L2889">
    <cfRule type="cellIs" dxfId="5676" priority="4895" stopIfTrue="1" operator="equal">
      <formula>"1 - Hard Load"</formula>
    </cfRule>
    <cfRule type="cellIs" dxfId="5675" priority="4896" stopIfTrue="1" operator="equal">
      <formula>"3 - Not Loaded"</formula>
    </cfRule>
    <cfRule type="cellIs" dxfId="5674" priority="4897" stopIfTrue="1" operator="equal">
      <formula>"2 - Soft Load"</formula>
    </cfRule>
  </conditionalFormatting>
  <conditionalFormatting sqref="D2883:D2889">
    <cfRule type="cellIs" dxfId="5673" priority="4898" stopIfTrue="1" operator="equal">
      <formula>D926</formula>
    </cfRule>
  </conditionalFormatting>
  <conditionalFormatting sqref="D2883:D2889">
    <cfRule type="cellIs" dxfId="5672" priority="4882" stopIfTrue="1" operator="equal">
      <formula>D929</formula>
    </cfRule>
  </conditionalFormatting>
  <conditionalFormatting sqref="D2883:D2889">
    <cfRule type="cellIs" dxfId="5671" priority="4881" stopIfTrue="1" operator="equal">
      <formula>D929</formula>
    </cfRule>
  </conditionalFormatting>
  <conditionalFormatting sqref="D2887">
    <cfRule type="cellIs" dxfId="5670" priority="4880" stopIfTrue="1" operator="equal">
      <formula>D933</formula>
    </cfRule>
  </conditionalFormatting>
  <conditionalFormatting sqref="D2891:D2903">
    <cfRule type="cellIs" dxfId="5669" priority="4860" stopIfTrue="1" operator="equal">
      <formula>D941</formula>
    </cfRule>
  </conditionalFormatting>
  <conditionalFormatting sqref="D2894">
    <cfRule type="cellIs" dxfId="5668" priority="4859" stopIfTrue="1" operator="equal">
      <formula>D944</formula>
    </cfRule>
  </conditionalFormatting>
  <conditionalFormatting sqref="D2901">
    <cfRule type="cellIs" dxfId="5667" priority="4858" stopIfTrue="1" operator="equal">
      <formula>D951</formula>
    </cfRule>
  </conditionalFormatting>
  <conditionalFormatting sqref="D312">
    <cfRule type="cellIs" dxfId="5666" priority="9796" stopIfTrue="1" operator="equal">
      <formula>D271</formula>
    </cfRule>
  </conditionalFormatting>
  <conditionalFormatting sqref="AS305 AO305">
    <cfRule type="cellIs" dxfId="5665" priority="4843" stopIfTrue="1" operator="equal">
      <formula>"OK"</formula>
    </cfRule>
    <cfRule type="cellIs" dxfId="5664" priority="4844" stopIfTrue="1" operator="equal">
      <formula>"Add"</formula>
    </cfRule>
  </conditionalFormatting>
  <conditionalFormatting sqref="J305">
    <cfRule type="cellIs" dxfId="5663" priority="4845" stopIfTrue="1" operator="equal">
      <formula>"Lockdown"</formula>
    </cfRule>
    <cfRule type="cellIs" dxfId="5662" priority="4846" stopIfTrue="1" operator="equal">
      <formula>"OOM"</formula>
    </cfRule>
    <cfRule type="cellIs" dxfId="5661" priority="4847" stopIfTrue="1" operator="equal">
      <formula>"Placeholder"</formula>
    </cfRule>
  </conditionalFormatting>
  <conditionalFormatting sqref="T305:AA305">
    <cfRule type="cellIs" dxfId="5660" priority="4848" stopIfTrue="1" operator="equal">
      <formula>"Blue - Completed"</formula>
    </cfRule>
    <cfRule type="cellIs" dxfId="5659" priority="4849" stopIfTrue="1" operator="equal">
      <formula>"Green - Started on Sched"</formula>
    </cfRule>
    <cfRule type="cellIs" dxfId="5658" priority="4850" stopIfTrue="1" operator="between">
      <formula>"Q"</formula>
      <formula>"T"</formula>
    </cfRule>
  </conditionalFormatting>
  <conditionalFormatting sqref="G305">
    <cfRule type="cellIs" dxfId="5657" priority="4842" stopIfTrue="1" operator="equal">
      <formula>"4 - Complete"</formula>
    </cfRule>
    <cfRule type="cellIs" dxfId="5656" priority="4851" stopIfTrue="1" operator="equal">
      <formula>"3 - Green"</formula>
    </cfRule>
    <cfRule type="cellIs" dxfId="5655" priority="4852" stopIfTrue="1" operator="equal">
      <formula>"2 - Yellow"</formula>
    </cfRule>
    <cfRule type="cellIs" dxfId="5654" priority="4853" stopIfTrue="1" operator="equal">
      <formula>"1 - Red"</formula>
    </cfRule>
  </conditionalFormatting>
  <conditionalFormatting sqref="L305">
    <cfRule type="cellIs" dxfId="5653" priority="4854" stopIfTrue="1" operator="equal">
      <formula>"1 - Hard Load"</formula>
    </cfRule>
    <cfRule type="cellIs" dxfId="5652" priority="4855" stopIfTrue="1" operator="equal">
      <formula>"3 - Not Loaded"</formula>
    </cfRule>
    <cfRule type="cellIs" dxfId="5651" priority="4856" stopIfTrue="1" operator="equal">
      <formula>"2 - Soft Load"</formula>
    </cfRule>
  </conditionalFormatting>
  <conditionalFormatting sqref="D305">
    <cfRule type="cellIs" dxfId="5650" priority="4857" stopIfTrue="1" operator="equal">
      <formula>D264</formula>
    </cfRule>
  </conditionalFormatting>
  <conditionalFormatting sqref="D201">
    <cfRule type="cellIs" dxfId="5649" priority="4811" stopIfTrue="1" operator="equal">
      <formula>D141</formula>
    </cfRule>
  </conditionalFormatting>
  <conditionalFormatting sqref="D1625">
    <cfRule type="cellIs" dxfId="5648" priority="9797" stopIfTrue="1" operator="equal">
      <formula>D616</formula>
    </cfRule>
  </conditionalFormatting>
  <conditionalFormatting sqref="AO1624 AS1624">
    <cfRule type="cellIs" dxfId="5647" priority="4794" stopIfTrue="1" operator="equal">
      <formula>"OK"</formula>
    </cfRule>
    <cfRule type="cellIs" dxfId="5646" priority="4795" stopIfTrue="1" operator="equal">
      <formula>"Add"</formula>
    </cfRule>
  </conditionalFormatting>
  <conditionalFormatting sqref="J1624">
    <cfRule type="cellIs" dxfId="5645" priority="4796" stopIfTrue="1" operator="equal">
      <formula>"Lockdown"</formula>
    </cfRule>
    <cfRule type="cellIs" dxfId="5644" priority="4797" stopIfTrue="1" operator="equal">
      <formula>"OOM"</formula>
    </cfRule>
    <cfRule type="cellIs" dxfId="5643" priority="4798" stopIfTrue="1" operator="equal">
      <formula>"Placeholder"</formula>
    </cfRule>
  </conditionalFormatting>
  <conditionalFormatting sqref="T1624:AA1624">
    <cfRule type="cellIs" dxfId="5642" priority="4799" stopIfTrue="1" operator="equal">
      <formula>"Blue - Completed"</formula>
    </cfRule>
    <cfRule type="cellIs" dxfId="5641" priority="4800" stopIfTrue="1" operator="equal">
      <formula>"Green - Started on Sched"</formula>
    </cfRule>
    <cfRule type="cellIs" dxfId="5640" priority="4801" stopIfTrue="1" operator="between">
      <formula>"Q"</formula>
      <formula>"T"</formula>
    </cfRule>
  </conditionalFormatting>
  <conditionalFormatting sqref="G1624">
    <cfRule type="cellIs" dxfId="5639" priority="4793" stopIfTrue="1" operator="equal">
      <formula>"4 - Complete"</formula>
    </cfRule>
    <cfRule type="cellIs" dxfId="5638" priority="4802" stopIfTrue="1" operator="equal">
      <formula>"3 - Green"</formula>
    </cfRule>
    <cfRule type="cellIs" dxfId="5637" priority="4803" stopIfTrue="1" operator="equal">
      <formula>"2 - Yellow"</formula>
    </cfRule>
    <cfRule type="cellIs" dxfId="5636" priority="4804" stopIfTrue="1" operator="equal">
      <formula>"1 - Red"</formula>
    </cfRule>
  </conditionalFormatting>
  <conditionalFormatting sqref="L1624">
    <cfRule type="cellIs" dxfId="5635" priority="4805" stopIfTrue="1" operator="equal">
      <formula>"1 - Hard Load"</formula>
    </cfRule>
    <cfRule type="cellIs" dxfId="5634" priority="4806" stopIfTrue="1" operator="equal">
      <formula>"3 - Not Loaded"</formula>
    </cfRule>
    <cfRule type="cellIs" dxfId="5633" priority="4807" stopIfTrue="1" operator="equal">
      <formula>"2 - Soft Load"</formula>
    </cfRule>
  </conditionalFormatting>
  <conditionalFormatting sqref="D1624">
    <cfRule type="cellIs" dxfId="5632" priority="4808" stopIfTrue="1" operator="equal">
      <formula>D615</formula>
    </cfRule>
  </conditionalFormatting>
  <conditionalFormatting sqref="AO2904:AO2907 AS2904:AS2907">
    <cfRule type="cellIs" dxfId="5631" priority="4778" stopIfTrue="1" operator="equal">
      <formula>"OK"</formula>
    </cfRule>
    <cfRule type="cellIs" dxfId="5630" priority="4779" stopIfTrue="1" operator="equal">
      <formula>"Add"</formula>
    </cfRule>
  </conditionalFormatting>
  <conditionalFormatting sqref="J2904:J2907">
    <cfRule type="cellIs" dxfId="5629" priority="4780" stopIfTrue="1" operator="equal">
      <formula>"Lockdown"</formula>
    </cfRule>
    <cfRule type="cellIs" dxfId="5628" priority="4781" stopIfTrue="1" operator="equal">
      <formula>"OOM"</formula>
    </cfRule>
    <cfRule type="cellIs" dxfId="5627" priority="4782" stopIfTrue="1" operator="equal">
      <formula>"Placeholder"</formula>
    </cfRule>
  </conditionalFormatting>
  <conditionalFormatting sqref="T2904:AA2907">
    <cfRule type="cellIs" dxfId="5626" priority="4783" stopIfTrue="1" operator="equal">
      <formula>"Blue - Completed"</formula>
    </cfRule>
    <cfRule type="cellIs" dxfId="5625" priority="4784" stopIfTrue="1" operator="equal">
      <formula>"Green - Started on Sched"</formula>
    </cfRule>
    <cfRule type="cellIs" dxfId="5624" priority="4785" stopIfTrue="1" operator="between">
      <formula>"Q"</formula>
      <formula>"T"</formula>
    </cfRule>
  </conditionalFormatting>
  <conditionalFormatting sqref="G2904:G2907">
    <cfRule type="cellIs" dxfId="5623" priority="4777" stopIfTrue="1" operator="equal">
      <formula>"4 - Complete"</formula>
    </cfRule>
    <cfRule type="cellIs" dxfId="5622" priority="4786" stopIfTrue="1" operator="equal">
      <formula>"3 - Green"</formula>
    </cfRule>
    <cfRule type="cellIs" dxfId="5621" priority="4787" stopIfTrue="1" operator="equal">
      <formula>"2 - Yellow"</formula>
    </cfRule>
    <cfRule type="cellIs" dxfId="5620" priority="4788" stopIfTrue="1" operator="equal">
      <formula>"1 - Red"</formula>
    </cfRule>
  </conditionalFormatting>
  <conditionalFormatting sqref="L2904:L2907">
    <cfRule type="cellIs" dxfId="5619" priority="4789" stopIfTrue="1" operator="equal">
      <formula>"1 - Hard Load"</formula>
    </cfRule>
    <cfRule type="cellIs" dxfId="5618" priority="4790" stopIfTrue="1" operator="equal">
      <formula>"3 - Not Loaded"</formula>
    </cfRule>
    <cfRule type="cellIs" dxfId="5617" priority="4791" stopIfTrue="1" operator="equal">
      <formula>"2 - Soft Load"</formula>
    </cfRule>
  </conditionalFormatting>
  <conditionalFormatting sqref="D2891:D2907">
    <cfRule type="cellIs" dxfId="5616" priority="4792" stopIfTrue="1" operator="equal">
      <formula>D938</formula>
    </cfRule>
  </conditionalFormatting>
  <conditionalFormatting sqref="D2904:D2907">
    <cfRule type="cellIs" dxfId="5615" priority="4776" stopIfTrue="1" operator="equal">
      <formula>D954</formula>
    </cfRule>
  </conditionalFormatting>
  <conditionalFormatting sqref="D2904:D2907">
    <cfRule type="cellIs" dxfId="5614" priority="4775" stopIfTrue="1" operator="equal">
      <formula>D954</formula>
    </cfRule>
  </conditionalFormatting>
  <conditionalFormatting sqref="D2905">
    <cfRule type="cellIs" dxfId="5613" priority="4774" stopIfTrue="1" operator="equal">
      <formula>D955</formula>
    </cfRule>
  </conditionalFormatting>
  <conditionalFormatting sqref="AO2908:AO2925 AS2908:AS2925">
    <cfRule type="cellIs" dxfId="5612" priority="4759" stopIfTrue="1" operator="equal">
      <formula>"OK"</formula>
    </cfRule>
    <cfRule type="cellIs" dxfId="5611" priority="4760" stopIfTrue="1" operator="equal">
      <formula>"Add"</formula>
    </cfRule>
  </conditionalFormatting>
  <conditionalFormatting sqref="J2908:J2925">
    <cfRule type="cellIs" dxfId="5610" priority="4761" stopIfTrue="1" operator="equal">
      <formula>"Lockdown"</formula>
    </cfRule>
    <cfRule type="cellIs" dxfId="5609" priority="4762" stopIfTrue="1" operator="equal">
      <formula>"OOM"</formula>
    </cfRule>
    <cfRule type="cellIs" dxfId="5608" priority="4763" stopIfTrue="1" operator="equal">
      <formula>"Placeholder"</formula>
    </cfRule>
  </conditionalFormatting>
  <conditionalFormatting sqref="T2908:AA2925">
    <cfRule type="cellIs" dxfId="5607" priority="4764" stopIfTrue="1" operator="equal">
      <formula>"Blue - Completed"</formula>
    </cfRule>
    <cfRule type="cellIs" dxfId="5606" priority="4765" stopIfTrue="1" operator="equal">
      <formula>"Green - Started on Sched"</formula>
    </cfRule>
    <cfRule type="cellIs" dxfId="5605" priority="4766" stopIfTrue="1" operator="between">
      <formula>"Q"</formula>
      <formula>"T"</formula>
    </cfRule>
  </conditionalFormatting>
  <conditionalFormatting sqref="G2908:G2925">
    <cfRule type="cellIs" dxfId="5604" priority="4758" stopIfTrue="1" operator="equal">
      <formula>"4 - Complete"</formula>
    </cfRule>
    <cfRule type="cellIs" dxfId="5603" priority="4767" stopIfTrue="1" operator="equal">
      <formula>"3 - Green"</formula>
    </cfRule>
    <cfRule type="cellIs" dxfId="5602" priority="4768" stopIfTrue="1" operator="equal">
      <formula>"2 - Yellow"</formula>
    </cfRule>
    <cfRule type="cellIs" dxfId="5601" priority="4769" stopIfTrue="1" operator="equal">
      <formula>"1 - Red"</formula>
    </cfRule>
  </conditionalFormatting>
  <conditionalFormatting sqref="L2908:L2925">
    <cfRule type="cellIs" dxfId="5600" priority="4770" stopIfTrue="1" operator="equal">
      <formula>"1 - Hard Load"</formula>
    </cfRule>
    <cfRule type="cellIs" dxfId="5599" priority="4771" stopIfTrue="1" operator="equal">
      <formula>"3 - Not Loaded"</formula>
    </cfRule>
    <cfRule type="cellIs" dxfId="5598" priority="4772" stopIfTrue="1" operator="equal">
      <formula>"2 - Soft Load"</formula>
    </cfRule>
  </conditionalFormatting>
  <conditionalFormatting sqref="D2908:D2925">
    <cfRule type="cellIs" dxfId="5597" priority="4773" stopIfTrue="1" operator="equal">
      <formula>D955</formula>
    </cfRule>
  </conditionalFormatting>
  <conditionalFormatting sqref="D2908:D2925">
    <cfRule type="cellIs" dxfId="5596" priority="4757" stopIfTrue="1" operator="equal">
      <formula>D958</formula>
    </cfRule>
  </conditionalFormatting>
  <conditionalFormatting sqref="D2908:D2925">
    <cfRule type="cellIs" dxfId="5595" priority="4756" stopIfTrue="1" operator="equal">
      <formula>D958</formula>
    </cfRule>
  </conditionalFormatting>
  <conditionalFormatting sqref="D2911">
    <cfRule type="cellIs" dxfId="5594" priority="4755" stopIfTrue="1" operator="equal">
      <formula>D961</formula>
    </cfRule>
  </conditionalFormatting>
  <conditionalFormatting sqref="D2914">
    <cfRule type="cellIs" dxfId="5593" priority="4754" stopIfTrue="1" operator="equal">
      <formula>D964</formula>
    </cfRule>
  </conditionalFormatting>
  <conditionalFormatting sqref="D2916">
    <cfRule type="cellIs" dxfId="5592" priority="4753" stopIfTrue="1" operator="equal">
      <formula>D966</formula>
    </cfRule>
  </conditionalFormatting>
  <conditionalFormatting sqref="D2923">
    <cfRule type="cellIs" dxfId="5591" priority="4752" stopIfTrue="1" operator="equal">
      <formula>D973</formula>
    </cfRule>
  </conditionalFormatting>
  <conditionalFormatting sqref="AO328 AS328">
    <cfRule type="cellIs" dxfId="5590" priority="4688" stopIfTrue="1" operator="equal">
      <formula>"OK"</formula>
    </cfRule>
    <cfRule type="cellIs" dxfId="5589" priority="4689" stopIfTrue="1" operator="equal">
      <formula>"Add"</formula>
    </cfRule>
  </conditionalFormatting>
  <conditionalFormatting sqref="J328">
    <cfRule type="cellIs" dxfId="5588" priority="4690" stopIfTrue="1" operator="equal">
      <formula>"Lockdown"</formula>
    </cfRule>
    <cfRule type="cellIs" dxfId="5587" priority="4691" stopIfTrue="1" operator="equal">
      <formula>"OOM"</formula>
    </cfRule>
    <cfRule type="cellIs" dxfId="5586" priority="4692" stopIfTrue="1" operator="equal">
      <formula>"Placeholder"</formula>
    </cfRule>
  </conditionalFormatting>
  <conditionalFormatting sqref="T328:AA328">
    <cfRule type="cellIs" dxfId="5585" priority="4693" stopIfTrue="1" operator="equal">
      <formula>"Blue - Completed"</formula>
    </cfRule>
    <cfRule type="cellIs" dxfId="5584" priority="4694" stopIfTrue="1" operator="equal">
      <formula>"Green - Started on Sched"</formula>
    </cfRule>
    <cfRule type="cellIs" dxfId="5583" priority="4695" stopIfTrue="1" operator="between">
      <formula>"Q"</formula>
      <formula>"T"</formula>
    </cfRule>
  </conditionalFormatting>
  <conditionalFormatting sqref="G328">
    <cfRule type="cellIs" dxfId="5582" priority="4687" stopIfTrue="1" operator="equal">
      <formula>"4 - Complete"</formula>
    </cfRule>
    <cfRule type="cellIs" dxfId="5581" priority="4696" stopIfTrue="1" operator="equal">
      <formula>"3 - Green"</formula>
    </cfRule>
    <cfRule type="cellIs" dxfId="5580" priority="4697" stopIfTrue="1" operator="equal">
      <formula>"2 - Yellow"</formula>
    </cfRule>
    <cfRule type="cellIs" dxfId="5579" priority="4698" stopIfTrue="1" operator="equal">
      <formula>"1 - Red"</formula>
    </cfRule>
  </conditionalFormatting>
  <conditionalFormatting sqref="L328">
    <cfRule type="cellIs" dxfId="5578" priority="4699" stopIfTrue="1" operator="equal">
      <formula>"1 - Hard Load"</formula>
    </cfRule>
    <cfRule type="cellIs" dxfId="5577" priority="4700" stopIfTrue="1" operator="equal">
      <formula>"3 - Not Loaded"</formula>
    </cfRule>
    <cfRule type="cellIs" dxfId="5576" priority="4701" stopIfTrue="1" operator="equal">
      <formula>"2 - Soft Load"</formula>
    </cfRule>
  </conditionalFormatting>
  <conditionalFormatting sqref="D328">
    <cfRule type="cellIs" dxfId="5575" priority="4702" stopIfTrue="1" operator="equal">
      <formula>D302</formula>
    </cfRule>
  </conditionalFormatting>
  <conditionalFormatting sqref="AO329 AS329">
    <cfRule type="cellIs" dxfId="5574" priority="4673" stopIfTrue="1" operator="equal">
      <formula>"OK"</formula>
    </cfRule>
    <cfRule type="cellIs" dxfId="5573" priority="4674" stopIfTrue="1" operator="equal">
      <formula>"Add"</formula>
    </cfRule>
  </conditionalFormatting>
  <conditionalFormatting sqref="J329">
    <cfRule type="cellIs" dxfId="5572" priority="4675" stopIfTrue="1" operator="equal">
      <formula>"Lockdown"</formula>
    </cfRule>
    <cfRule type="cellIs" dxfId="5571" priority="4676" stopIfTrue="1" operator="equal">
      <formula>"OOM"</formula>
    </cfRule>
    <cfRule type="cellIs" dxfId="5570" priority="4677" stopIfTrue="1" operator="equal">
      <formula>"Placeholder"</formula>
    </cfRule>
  </conditionalFormatting>
  <conditionalFormatting sqref="T329:AA329">
    <cfRule type="cellIs" dxfId="5569" priority="4678" stopIfTrue="1" operator="equal">
      <formula>"Blue - Completed"</formula>
    </cfRule>
    <cfRule type="cellIs" dxfId="5568" priority="4679" stopIfTrue="1" operator="equal">
      <formula>"Green - Started on Sched"</formula>
    </cfRule>
    <cfRule type="cellIs" dxfId="5567" priority="4680" stopIfTrue="1" operator="between">
      <formula>"Q"</formula>
      <formula>"T"</formula>
    </cfRule>
  </conditionalFormatting>
  <conditionalFormatting sqref="G329">
    <cfRule type="cellIs" dxfId="5566" priority="4671" stopIfTrue="1" operator="equal">
      <formula>"4 - Complete"</formula>
    </cfRule>
    <cfRule type="cellIs" dxfId="5565" priority="4681" stopIfTrue="1" operator="equal">
      <formula>"3 - Green"</formula>
    </cfRule>
    <cfRule type="cellIs" dxfId="5564" priority="4682" stopIfTrue="1" operator="equal">
      <formula>"2 - Yellow"</formula>
    </cfRule>
    <cfRule type="cellIs" dxfId="5563" priority="4683" stopIfTrue="1" operator="equal">
      <formula>"1 - Red"</formula>
    </cfRule>
  </conditionalFormatting>
  <conditionalFormatting sqref="L329">
    <cfRule type="cellIs" dxfId="5562" priority="4684" stopIfTrue="1" operator="equal">
      <formula>"1 - Hard Load"</formula>
    </cfRule>
    <cfRule type="cellIs" dxfId="5561" priority="4685" stopIfTrue="1" operator="equal">
      <formula>"3 - Not Loaded"</formula>
    </cfRule>
    <cfRule type="cellIs" dxfId="5560" priority="4686" stopIfTrue="1" operator="equal">
      <formula>"2 - Soft Load"</formula>
    </cfRule>
  </conditionalFormatting>
  <conditionalFormatting sqref="D329">
    <cfRule type="cellIs" dxfId="5559" priority="4672" stopIfTrue="1" operator="equal">
      <formula>D302</formula>
    </cfRule>
  </conditionalFormatting>
  <conditionalFormatting sqref="AO2926:AO2927 AS2926:AS2927">
    <cfRule type="cellIs" dxfId="5558" priority="4656" stopIfTrue="1" operator="equal">
      <formula>"OK"</formula>
    </cfRule>
    <cfRule type="cellIs" dxfId="5557" priority="4657" stopIfTrue="1" operator="equal">
      <formula>"Add"</formula>
    </cfRule>
  </conditionalFormatting>
  <conditionalFormatting sqref="J2926:J2927">
    <cfRule type="cellIs" dxfId="5556" priority="4658" stopIfTrue="1" operator="equal">
      <formula>"Lockdown"</formula>
    </cfRule>
    <cfRule type="cellIs" dxfId="5555" priority="4659" stopIfTrue="1" operator="equal">
      <formula>"OOM"</formula>
    </cfRule>
    <cfRule type="cellIs" dxfId="5554" priority="4660" stopIfTrue="1" operator="equal">
      <formula>"Placeholder"</formula>
    </cfRule>
  </conditionalFormatting>
  <conditionalFormatting sqref="T2926:AA2927">
    <cfRule type="cellIs" dxfId="5553" priority="4661" stopIfTrue="1" operator="equal">
      <formula>"Blue - Completed"</formula>
    </cfRule>
    <cfRule type="cellIs" dxfId="5552" priority="4662" stopIfTrue="1" operator="equal">
      <formula>"Green - Started on Sched"</formula>
    </cfRule>
    <cfRule type="cellIs" dxfId="5551" priority="4663" stopIfTrue="1" operator="between">
      <formula>"Q"</formula>
      <formula>"T"</formula>
    </cfRule>
  </conditionalFormatting>
  <conditionalFormatting sqref="G2926:G2927">
    <cfRule type="cellIs" dxfId="5550" priority="4655" stopIfTrue="1" operator="equal">
      <formula>"4 - Complete"</formula>
    </cfRule>
    <cfRule type="cellIs" dxfId="5549" priority="4664" stopIfTrue="1" operator="equal">
      <formula>"3 - Green"</formula>
    </cfRule>
    <cfRule type="cellIs" dxfId="5548" priority="4665" stopIfTrue="1" operator="equal">
      <formula>"2 - Yellow"</formula>
    </cfRule>
    <cfRule type="cellIs" dxfId="5547" priority="4666" stopIfTrue="1" operator="equal">
      <formula>"1 - Red"</formula>
    </cfRule>
  </conditionalFormatting>
  <conditionalFormatting sqref="L2926:L2927">
    <cfRule type="cellIs" dxfId="5546" priority="4667" stopIfTrue="1" operator="equal">
      <formula>"1 - Hard Load"</formula>
    </cfRule>
    <cfRule type="cellIs" dxfId="5545" priority="4668" stopIfTrue="1" operator="equal">
      <formula>"3 - Not Loaded"</formula>
    </cfRule>
    <cfRule type="cellIs" dxfId="5544" priority="4669" stopIfTrue="1" operator="equal">
      <formula>"2 - Soft Load"</formula>
    </cfRule>
  </conditionalFormatting>
  <conditionalFormatting sqref="D2926:D2927">
    <cfRule type="cellIs" dxfId="5543" priority="4670" stopIfTrue="1" operator="equal">
      <formula>D973</formula>
    </cfRule>
  </conditionalFormatting>
  <conditionalFormatting sqref="D2926:D2927">
    <cfRule type="cellIs" dxfId="5542" priority="4654" stopIfTrue="1" operator="equal">
      <formula>D976</formula>
    </cfRule>
  </conditionalFormatting>
  <conditionalFormatting sqref="D2926:D2927">
    <cfRule type="cellIs" dxfId="5541" priority="4653" stopIfTrue="1" operator="equal">
      <formula>D976</formula>
    </cfRule>
  </conditionalFormatting>
  <conditionalFormatting sqref="AO2928:AO2945 AS2928:AS2945">
    <cfRule type="cellIs" dxfId="5540" priority="4638" stopIfTrue="1" operator="equal">
      <formula>"OK"</formula>
    </cfRule>
    <cfRule type="cellIs" dxfId="5539" priority="4639" stopIfTrue="1" operator="equal">
      <formula>"Add"</formula>
    </cfRule>
  </conditionalFormatting>
  <conditionalFormatting sqref="J2928:J2945">
    <cfRule type="cellIs" dxfId="5538" priority="4640" stopIfTrue="1" operator="equal">
      <formula>"Lockdown"</formula>
    </cfRule>
    <cfRule type="cellIs" dxfId="5537" priority="4641" stopIfTrue="1" operator="equal">
      <formula>"OOM"</formula>
    </cfRule>
    <cfRule type="cellIs" dxfId="5536" priority="4642" stopIfTrue="1" operator="equal">
      <formula>"Placeholder"</formula>
    </cfRule>
  </conditionalFormatting>
  <conditionalFormatting sqref="T2928:AA2945">
    <cfRule type="cellIs" dxfId="5535" priority="4643" stopIfTrue="1" operator="equal">
      <formula>"Blue - Completed"</formula>
    </cfRule>
    <cfRule type="cellIs" dxfId="5534" priority="4644" stopIfTrue="1" operator="equal">
      <formula>"Green - Started on Sched"</formula>
    </cfRule>
    <cfRule type="cellIs" dxfId="5533" priority="4645" stopIfTrue="1" operator="between">
      <formula>"Q"</formula>
      <formula>"T"</formula>
    </cfRule>
  </conditionalFormatting>
  <conditionalFormatting sqref="G2928:G2945">
    <cfRule type="cellIs" dxfId="5532" priority="4637" stopIfTrue="1" operator="equal">
      <formula>"4 - Complete"</formula>
    </cfRule>
    <cfRule type="cellIs" dxfId="5531" priority="4646" stopIfTrue="1" operator="equal">
      <formula>"3 - Green"</formula>
    </cfRule>
    <cfRule type="cellIs" dxfId="5530" priority="4647" stopIfTrue="1" operator="equal">
      <formula>"2 - Yellow"</formula>
    </cfRule>
    <cfRule type="cellIs" dxfId="5529" priority="4648" stopIfTrue="1" operator="equal">
      <formula>"1 - Red"</formula>
    </cfRule>
  </conditionalFormatting>
  <conditionalFormatting sqref="L2928:L2945">
    <cfRule type="cellIs" dxfId="5528" priority="4649" stopIfTrue="1" operator="equal">
      <formula>"1 - Hard Load"</formula>
    </cfRule>
    <cfRule type="cellIs" dxfId="5527" priority="4650" stopIfTrue="1" operator="equal">
      <formula>"3 - Not Loaded"</formula>
    </cfRule>
    <cfRule type="cellIs" dxfId="5526" priority="4651" stopIfTrue="1" operator="equal">
      <formula>"2 - Soft Load"</formula>
    </cfRule>
  </conditionalFormatting>
  <conditionalFormatting sqref="D2928:D2945">
    <cfRule type="cellIs" dxfId="5525" priority="4652" stopIfTrue="1" operator="equal">
      <formula>D975</formula>
    </cfRule>
  </conditionalFormatting>
  <conditionalFormatting sqref="D2928:D2945">
    <cfRule type="cellIs" dxfId="5524" priority="4636" stopIfTrue="1" operator="equal">
      <formula>D978</formula>
    </cfRule>
  </conditionalFormatting>
  <conditionalFormatting sqref="D2928:D2945">
    <cfRule type="cellIs" dxfId="5523" priority="4635" stopIfTrue="1" operator="equal">
      <formula>D978</formula>
    </cfRule>
  </conditionalFormatting>
  <conditionalFormatting sqref="D2931">
    <cfRule type="cellIs" dxfId="5522" priority="4634" stopIfTrue="1" operator="equal">
      <formula>D981</formula>
    </cfRule>
  </conditionalFormatting>
  <conditionalFormatting sqref="D2934">
    <cfRule type="cellIs" dxfId="5521" priority="4633" stopIfTrue="1" operator="equal">
      <formula>D984</formula>
    </cfRule>
  </conditionalFormatting>
  <conditionalFormatting sqref="D2936">
    <cfRule type="cellIs" dxfId="5520" priority="4632" stopIfTrue="1" operator="equal">
      <formula>D986</formula>
    </cfRule>
  </conditionalFormatting>
  <conditionalFormatting sqref="D2943">
    <cfRule type="cellIs" dxfId="5519" priority="4631" stopIfTrue="1" operator="equal">
      <formula>D993</formula>
    </cfRule>
  </conditionalFormatting>
  <conditionalFormatting sqref="AS228 AO228">
    <cfRule type="cellIs" dxfId="5518" priority="4553" stopIfTrue="1" operator="equal">
      <formula>"OK"</formula>
    </cfRule>
    <cfRule type="cellIs" dxfId="5517" priority="4554" stopIfTrue="1" operator="equal">
      <formula>"Add"</formula>
    </cfRule>
  </conditionalFormatting>
  <conditionalFormatting sqref="J228">
    <cfRule type="cellIs" dxfId="5516" priority="4555" stopIfTrue="1" operator="equal">
      <formula>"Lockdown"</formula>
    </cfRule>
    <cfRule type="cellIs" dxfId="5515" priority="4556" stopIfTrue="1" operator="equal">
      <formula>"OOM"</formula>
    </cfRule>
    <cfRule type="cellIs" dxfId="5514" priority="4557" stopIfTrue="1" operator="equal">
      <formula>"Placeholder"</formula>
    </cfRule>
  </conditionalFormatting>
  <conditionalFormatting sqref="T228:AA228">
    <cfRule type="cellIs" dxfId="5513" priority="4558" stopIfTrue="1" operator="equal">
      <formula>"Blue - Completed"</formula>
    </cfRule>
    <cfRule type="cellIs" dxfId="5512" priority="4559" stopIfTrue="1" operator="equal">
      <formula>"Green - Started on Sched"</formula>
    </cfRule>
    <cfRule type="cellIs" dxfId="5511" priority="4560" stopIfTrue="1" operator="between">
      <formula>"Q"</formula>
      <formula>"T"</formula>
    </cfRule>
  </conditionalFormatting>
  <conditionalFormatting sqref="G228">
    <cfRule type="cellIs" dxfId="5510" priority="4552" stopIfTrue="1" operator="equal">
      <formula>"4 - Complete"</formula>
    </cfRule>
    <cfRule type="cellIs" dxfId="5509" priority="4561" stopIfTrue="1" operator="equal">
      <formula>"3 - Green"</formula>
    </cfRule>
    <cfRule type="cellIs" dxfId="5508" priority="4562" stopIfTrue="1" operator="equal">
      <formula>"2 - Yellow"</formula>
    </cfRule>
    <cfRule type="cellIs" dxfId="5507" priority="4563" stopIfTrue="1" operator="equal">
      <formula>"1 - Red"</formula>
    </cfRule>
  </conditionalFormatting>
  <conditionalFormatting sqref="L228">
    <cfRule type="cellIs" dxfId="5506" priority="4564" stopIfTrue="1" operator="equal">
      <formula>"1 - Hard Load"</formula>
    </cfRule>
    <cfRule type="cellIs" dxfId="5505" priority="4565" stopIfTrue="1" operator="equal">
      <formula>"3 - Not Loaded"</formula>
    </cfRule>
    <cfRule type="cellIs" dxfId="5504" priority="4566" stopIfTrue="1" operator="equal">
      <formula>"2 - Soft Load"</formula>
    </cfRule>
  </conditionalFormatting>
  <conditionalFormatting sqref="D228">
    <cfRule type="cellIs" dxfId="5503" priority="4567" stopIfTrue="1" operator="equal">
      <formula>D148</formula>
    </cfRule>
  </conditionalFormatting>
  <conditionalFormatting sqref="D225">
    <cfRule type="cellIs" dxfId="5502" priority="4551" stopIfTrue="1" operator="equal">
      <formula>D167</formula>
    </cfRule>
  </conditionalFormatting>
  <conditionalFormatting sqref="D228">
    <cfRule type="cellIs" dxfId="5501" priority="4550" stopIfTrue="1" operator="equal">
      <formula>D155</formula>
    </cfRule>
  </conditionalFormatting>
  <conditionalFormatting sqref="D231">
    <cfRule type="cellIs" dxfId="5500" priority="4568" stopIfTrue="1" operator="equal">
      <formula>#REF!</formula>
    </cfRule>
  </conditionalFormatting>
  <conditionalFormatting sqref="AO2946:AO2958 AS2946:AS2958">
    <cfRule type="cellIs" dxfId="5499" priority="4535" stopIfTrue="1" operator="equal">
      <formula>"OK"</formula>
    </cfRule>
    <cfRule type="cellIs" dxfId="5498" priority="4536" stopIfTrue="1" operator="equal">
      <formula>"Add"</formula>
    </cfRule>
  </conditionalFormatting>
  <conditionalFormatting sqref="J2946:J2958">
    <cfRule type="cellIs" dxfId="5497" priority="4537" stopIfTrue="1" operator="equal">
      <formula>"Lockdown"</formula>
    </cfRule>
    <cfRule type="cellIs" dxfId="5496" priority="4538" stopIfTrue="1" operator="equal">
      <formula>"OOM"</formula>
    </cfRule>
    <cfRule type="cellIs" dxfId="5495" priority="4539" stopIfTrue="1" operator="equal">
      <formula>"Placeholder"</formula>
    </cfRule>
  </conditionalFormatting>
  <conditionalFormatting sqref="T2946:AA2958">
    <cfRule type="cellIs" dxfId="5494" priority="4540" stopIfTrue="1" operator="equal">
      <formula>"Blue - Completed"</formula>
    </cfRule>
    <cfRule type="cellIs" dxfId="5493" priority="4541" stopIfTrue="1" operator="equal">
      <formula>"Green - Started on Sched"</formula>
    </cfRule>
    <cfRule type="cellIs" dxfId="5492" priority="4542" stopIfTrue="1" operator="between">
      <formula>"Q"</formula>
      <formula>"T"</formula>
    </cfRule>
  </conditionalFormatting>
  <conditionalFormatting sqref="G2946:G2958">
    <cfRule type="cellIs" dxfId="5491" priority="4534" stopIfTrue="1" operator="equal">
      <formula>"4 - Complete"</formula>
    </cfRule>
    <cfRule type="cellIs" dxfId="5490" priority="4543" stopIfTrue="1" operator="equal">
      <formula>"3 - Green"</formula>
    </cfRule>
    <cfRule type="cellIs" dxfId="5489" priority="4544" stopIfTrue="1" operator="equal">
      <formula>"2 - Yellow"</formula>
    </cfRule>
    <cfRule type="cellIs" dxfId="5488" priority="4545" stopIfTrue="1" operator="equal">
      <formula>"1 - Red"</formula>
    </cfRule>
  </conditionalFormatting>
  <conditionalFormatting sqref="L2946:L2958">
    <cfRule type="cellIs" dxfId="5487" priority="4546" stopIfTrue="1" operator="equal">
      <formula>"1 - Hard Load"</formula>
    </cfRule>
    <cfRule type="cellIs" dxfId="5486" priority="4547" stopIfTrue="1" operator="equal">
      <formula>"3 - Not Loaded"</formula>
    </cfRule>
    <cfRule type="cellIs" dxfId="5485" priority="4548" stopIfTrue="1" operator="equal">
      <formula>"2 - Soft Load"</formula>
    </cfRule>
  </conditionalFormatting>
  <conditionalFormatting sqref="D2946:D2958">
    <cfRule type="cellIs" dxfId="5484" priority="4549" stopIfTrue="1" operator="equal">
      <formula>D993</formula>
    </cfRule>
  </conditionalFormatting>
  <conditionalFormatting sqref="D2946:D2958">
    <cfRule type="cellIs" dxfId="5483" priority="4533" stopIfTrue="1" operator="equal">
      <formula>D996</formula>
    </cfRule>
  </conditionalFormatting>
  <conditionalFormatting sqref="D2946:D2958">
    <cfRule type="cellIs" dxfId="5482" priority="4532" stopIfTrue="1" operator="equal">
      <formula>D996</formula>
    </cfRule>
  </conditionalFormatting>
  <conditionalFormatting sqref="D2947">
    <cfRule type="cellIs" dxfId="5481" priority="4531" stopIfTrue="1" operator="equal">
      <formula>D997</formula>
    </cfRule>
  </conditionalFormatting>
  <conditionalFormatting sqref="D2949">
    <cfRule type="cellIs" dxfId="5480" priority="4530" stopIfTrue="1" operator="equal">
      <formula>D999</formula>
    </cfRule>
  </conditionalFormatting>
  <conditionalFormatting sqref="D2956">
    <cfRule type="cellIs" dxfId="5479" priority="4529" stopIfTrue="1" operator="equal">
      <formula>D1006</formula>
    </cfRule>
  </conditionalFormatting>
  <conditionalFormatting sqref="D39">
    <cfRule type="cellIs" dxfId="5478" priority="4514" stopIfTrue="1" operator="equal">
      <formula>D35</formula>
    </cfRule>
  </conditionalFormatting>
  <conditionalFormatting sqref="D2876">
    <cfRule type="cellIs" dxfId="5477" priority="4512" stopIfTrue="1" operator="equal">
      <formula>D922</formula>
    </cfRule>
  </conditionalFormatting>
  <conditionalFormatting sqref="D2876">
    <cfRule type="cellIs" dxfId="5476" priority="4511" stopIfTrue="1" operator="equal">
      <formula>D919</formula>
    </cfRule>
  </conditionalFormatting>
  <conditionalFormatting sqref="AS2876 AO2876">
    <cfRule type="cellIs" dxfId="5475" priority="4497" stopIfTrue="1" operator="equal">
      <formula>"OK"</formula>
    </cfRule>
    <cfRule type="cellIs" dxfId="5474" priority="4498" stopIfTrue="1" operator="equal">
      <formula>"Add"</formula>
    </cfRule>
  </conditionalFormatting>
  <conditionalFormatting sqref="J2876">
    <cfRule type="cellIs" dxfId="5473" priority="4499" stopIfTrue="1" operator="equal">
      <formula>"Lockdown"</formula>
    </cfRule>
    <cfRule type="cellIs" dxfId="5472" priority="4500" stopIfTrue="1" operator="equal">
      <formula>"OOM"</formula>
    </cfRule>
    <cfRule type="cellIs" dxfId="5471" priority="4501" stopIfTrue="1" operator="equal">
      <formula>"Placeholder"</formula>
    </cfRule>
  </conditionalFormatting>
  <conditionalFormatting sqref="T2876:AA2876">
    <cfRule type="cellIs" dxfId="5470" priority="4502" stopIfTrue="1" operator="equal">
      <formula>"Blue - Completed"</formula>
    </cfRule>
    <cfRule type="cellIs" dxfId="5469" priority="4503" stopIfTrue="1" operator="equal">
      <formula>"Green - Started on Sched"</formula>
    </cfRule>
    <cfRule type="cellIs" dxfId="5468" priority="4504" stopIfTrue="1" operator="between">
      <formula>"Q"</formula>
      <formula>"T"</formula>
    </cfRule>
  </conditionalFormatting>
  <conditionalFormatting sqref="G2876">
    <cfRule type="cellIs" dxfId="5467" priority="4496" stopIfTrue="1" operator="equal">
      <formula>"4 - Complete"</formula>
    </cfRule>
    <cfRule type="cellIs" dxfId="5466" priority="4505" stopIfTrue="1" operator="equal">
      <formula>"3 - Green"</formula>
    </cfRule>
    <cfRule type="cellIs" dxfId="5465" priority="4506" stopIfTrue="1" operator="equal">
      <formula>"2 - Yellow"</formula>
    </cfRule>
    <cfRule type="cellIs" dxfId="5464" priority="4507" stopIfTrue="1" operator="equal">
      <formula>"1 - Red"</formula>
    </cfRule>
  </conditionalFormatting>
  <conditionalFormatting sqref="L2876">
    <cfRule type="cellIs" dxfId="5463" priority="4508" stopIfTrue="1" operator="equal">
      <formula>"1 - Hard Load"</formula>
    </cfRule>
    <cfRule type="cellIs" dxfId="5462" priority="4509" stopIfTrue="1" operator="equal">
      <formula>"3 - Not Loaded"</formula>
    </cfRule>
    <cfRule type="cellIs" dxfId="5461" priority="4510" stopIfTrue="1" operator="equal">
      <formula>"2 - Soft Load"</formula>
    </cfRule>
  </conditionalFormatting>
  <conditionalFormatting sqref="D222">
    <cfRule type="cellIs" dxfId="5460" priority="4480" stopIfTrue="1" operator="equal">
      <formula>D162</formula>
    </cfRule>
  </conditionalFormatting>
  <conditionalFormatting sqref="D225">
    <cfRule type="cellIs" dxfId="5459" priority="4481" stopIfTrue="1" operator="equal">
      <formula>D175</formula>
    </cfRule>
  </conditionalFormatting>
  <conditionalFormatting sqref="AS247 AO247">
    <cfRule type="cellIs" dxfId="5458" priority="4465" stopIfTrue="1" operator="equal">
      <formula>"OK"</formula>
    </cfRule>
    <cfRule type="cellIs" dxfId="5457" priority="4466" stopIfTrue="1" operator="equal">
      <formula>"Add"</formula>
    </cfRule>
  </conditionalFormatting>
  <conditionalFormatting sqref="J247">
    <cfRule type="cellIs" dxfId="5456" priority="4467" stopIfTrue="1" operator="equal">
      <formula>"Lockdown"</formula>
    </cfRule>
    <cfRule type="cellIs" dxfId="5455" priority="4468" stopIfTrue="1" operator="equal">
      <formula>"OOM"</formula>
    </cfRule>
    <cfRule type="cellIs" dxfId="5454" priority="4469" stopIfTrue="1" operator="equal">
      <formula>"Placeholder"</formula>
    </cfRule>
  </conditionalFormatting>
  <conditionalFormatting sqref="T247:AA247">
    <cfRule type="cellIs" dxfId="5453" priority="4470" stopIfTrue="1" operator="equal">
      <formula>"Blue - Completed"</formula>
    </cfRule>
    <cfRule type="cellIs" dxfId="5452" priority="4471" stopIfTrue="1" operator="equal">
      <formula>"Green - Started on Sched"</formula>
    </cfRule>
    <cfRule type="cellIs" dxfId="5451" priority="4472" stopIfTrue="1" operator="between">
      <formula>"Q"</formula>
      <formula>"T"</formula>
    </cfRule>
  </conditionalFormatting>
  <conditionalFormatting sqref="G247">
    <cfRule type="cellIs" dxfId="5450" priority="4464" stopIfTrue="1" operator="equal">
      <formula>"4 - Complete"</formula>
    </cfRule>
    <cfRule type="cellIs" dxfId="5449" priority="4473" stopIfTrue="1" operator="equal">
      <formula>"3 - Green"</formula>
    </cfRule>
    <cfRule type="cellIs" dxfId="5448" priority="4474" stopIfTrue="1" operator="equal">
      <formula>"2 - Yellow"</formula>
    </cfRule>
    <cfRule type="cellIs" dxfId="5447" priority="4475" stopIfTrue="1" operator="equal">
      <formula>"1 - Red"</formula>
    </cfRule>
  </conditionalFormatting>
  <conditionalFormatting sqref="L247">
    <cfRule type="cellIs" dxfId="5446" priority="4476" stopIfTrue="1" operator="equal">
      <formula>"1 - Hard Load"</formula>
    </cfRule>
    <cfRule type="cellIs" dxfId="5445" priority="4477" stopIfTrue="1" operator="equal">
      <formula>"3 - Not Loaded"</formula>
    </cfRule>
    <cfRule type="cellIs" dxfId="5444" priority="4478" stopIfTrue="1" operator="equal">
      <formula>"2 - Soft Load"</formula>
    </cfRule>
  </conditionalFormatting>
  <conditionalFormatting sqref="D247">
    <cfRule type="cellIs" dxfId="5443" priority="4463" stopIfTrue="1" operator="equal">
      <formula>D171</formula>
    </cfRule>
  </conditionalFormatting>
  <conditionalFormatting sqref="D262">
    <cfRule type="cellIs" dxfId="5442" priority="4462" stopIfTrue="1" operator="equal">
      <formula>D167</formula>
    </cfRule>
  </conditionalFormatting>
  <conditionalFormatting sqref="D247">
    <cfRule type="cellIs" dxfId="5441" priority="4461" stopIfTrue="1" operator="equal">
      <formula>D170</formula>
    </cfRule>
  </conditionalFormatting>
  <conditionalFormatting sqref="D247">
    <cfRule type="cellIs" dxfId="5440" priority="4460" stopIfTrue="1" operator="equal">
      <formula>D155</formula>
    </cfRule>
  </conditionalFormatting>
  <conditionalFormatting sqref="D247:D248">
    <cfRule type="cellIs" dxfId="5439" priority="4459" stopIfTrue="1" operator="equal">
      <formula>D136</formula>
    </cfRule>
  </conditionalFormatting>
  <conditionalFormatting sqref="AO2959:AO2961 AS2959:AS2961 AS2971:AS2975 AO2971:AO2975">
    <cfRule type="cellIs" dxfId="5438" priority="4444" stopIfTrue="1" operator="equal">
      <formula>"OK"</formula>
    </cfRule>
    <cfRule type="cellIs" dxfId="5437" priority="4445" stopIfTrue="1" operator="equal">
      <formula>"Add"</formula>
    </cfRule>
  </conditionalFormatting>
  <conditionalFormatting sqref="J2959:J2961 J2971:J2975">
    <cfRule type="cellIs" dxfId="5436" priority="4446" stopIfTrue="1" operator="equal">
      <formula>"Lockdown"</formula>
    </cfRule>
    <cfRule type="cellIs" dxfId="5435" priority="4447" stopIfTrue="1" operator="equal">
      <formula>"OOM"</formula>
    </cfRule>
    <cfRule type="cellIs" dxfId="5434" priority="4448" stopIfTrue="1" operator="equal">
      <formula>"Placeholder"</formula>
    </cfRule>
  </conditionalFormatting>
  <conditionalFormatting sqref="T2959:AA2961 T2971:AA2975">
    <cfRule type="cellIs" dxfId="5433" priority="4449" stopIfTrue="1" operator="equal">
      <formula>"Blue - Completed"</formula>
    </cfRule>
    <cfRule type="cellIs" dxfId="5432" priority="4450" stopIfTrue="1" operator="equal">
      <formula>"Green - Started on Sched"</formula>
    </cfRule>
    <cfRule type="cellIs" dxfId="5431" priority="4451" stopIfTrue="1" operator="between">
      <formula>"Q"</formula>
      <formula>"T"</formula>
    </cfRule>
  </conditionalFormatting>
  <conditionalFormatting sqref="G2959:G2961 G2971:G2975">
    <cfRule type="cellIs" dxfId="5430" priority="4443" stopIfTrue="1" operator="equal">
      <formula>"4 - Complete"</formula>
    </cfRule>
    <cfRule type="cellIs" dxfId="5429" priority="4452" stopIfTrue="1" operator="equal">
      <formula>"3 - Green"</formula>
    </cfRule>
    <cfRule type="cellIs" dxfId="5428" priority="4453" stopIfTrue="1" operator="equal">
      <formula>"2 - Yellow"</formula>
    </cfRule>
    <cfRule type="cellIs" dxfId="5427" priority="4454" stopIfTrue="1" operator="equal">
      <formula>"1 - Red"</formula>
    </cfRule>
  </conditionalFormatting>
  <conditionalFormatting sqref="L2959:L2961 L2971:L2975">
    <cfRule type="cellIs" dxfId="5426" priority="4455" stopIfTrue="1" operator="equal">
      <formula>"1 - Hard Load"</formula>
    </cfRule>
    <cfRule type="cellIs" dxfId="5425" priority="4456" stopIfTrue="1" operator="equal">
      <formula>"3 - Not Loaded"</formula>
    </cfRule>
    <cfRule type="cellIs" dxfId="5424" priority="4457" stopIfTrue="1" operator="equal">
      <formula>"2 - Soft Load"</formula>
    </cfRule>
  </conditionalFormatting>
  <conditionalFormatting sqref="D2973">
    <cfRule type="cellIs" dxfId="5423" priority="4440" stopIfTrue="1" operator="equal">
      <formula>D1014</formula>
    </cfRule>
  </conditionalFormatting>
  <conditionalFormatting sqref="D250">
    <cfRule type="cellIs" dxfId="5422" priority="9848" stopIfTrue="1" operator="equal">
      <formula>#REF!</formula>
    </cfRule>
  </conditionalFormatting>
  <conditionalFormatting sqref="AO236 AS236">
    <cfRule type="cellIs" dxfId="5421" priority="4406" stopIfTrue="1" operator="equal">
      <formula>"OK"</formula>
    </cfRule>
    <cfRule type="cellIs" dxfId="5420" priority="4407" stopIfTrue="1" operator="equal">
      <formula>"Add"</formula>
    </cfRule>
  </conditionalFormatting>
  <conditionalFormatting sqref="J236">
    <cfRule type="cellIs" dxfId="5419" priority="4408" stopIfTrue="1" operator="equal">
      <formula>"Lockdown"</formula>
    </cfRule>
    <cfRule type="cellIs" dxfId="5418" priority="4409" stopIfTrue="1" operator="equal">
      <formula>"OOM"</formula>
    </cfRule>
    <cfRule type="cellIs" dxfId="5417" priority="4410" stopIfTrue="1" operator="equal">
      <formula>"Placeholder"</formula>
    </cfRule>
  </conditionalFormatting>
  <conditionalFormatting sqref="T236:AA236">
    <cfRule type="cellIs" dxfId="5416" priority="4411" stopIfTrue="1" operator="equal">
      <formula>"Blue - Completed"</formula>
    </cfRule>
    <cfRule type="cellIs" dxfId="5415" priority="4412" stopIfTrue="1" operator="equal">
      <formula>"Green - Started on Sched"</formula>
    </cfRule>
    <cfRule type="cellIs" dxfId="5414" priority="4413" stopIfTrue="1" operator="between">
      <formula>"Q"</formula>
      <formula>"T"</formula>
    </cfRule>
  </conditionalFormatting>
  <conditionalFormatting sqref="G236">
    <cfRule type="cellIs" dxfId="5413" priority="4405" stopIfTrue="1" operator="equal">
      <formula>"4 - Complete"</formula>
    </cfRule>
    <cfRule type="cellIs" dxfId="5412" priority="4414" stopIfTrue="1" operator="equal">
      <formula>"3 - Green"</formula>
    </cfRule>
    <cfRule type="cellIs" dxfId="5411" priority="4415" stopIfTrue="1" operator="equal">
      <formula>"2 - Yellow"</formula>
    </cfRule>
    <cfRule type="cellIs" dxfId="5410" priority="4416" stopIfTrue="1" operator="equal">
      <formula>"1 - Red"</formula>
    </cfRule>
  </conditionalFormatting>
  <conditionalFormatting sqref="L236">
    <cfRule type="cellIs" dxfId="5409" priority="4417" stopIfTrue="1" operator="equal">
      <formula>"1 - Hard Load"</formula>
    </cfRule>
    <cfRule type="cellIs" dxfId="5408" priority="4418" stopIfTrue="1" operator="equal">
      <formula>"3 - Not Loaded"</formula>
    </cfRule>
    <cfRule type="cellIs" dxfId="5407" priority="4419" stopIfTrue="1" operator="equal">
      <formula>"2 - Soft Load"</formula>
    </cfRule>
  </conditionalFormatting>
  <conditionalFormatting sqref="D236">
    <cfRule type="cellIs" dxfId="5406" priority="4420" stopIfTrue="1" operator="equal">
      <formula>D171</formula>
    </cfRule>
  </conditionalFormatting>
  <conditionalFormatting sqref="D236">
    <cfRule type="cellIs" dxfId="5405" priority="4404" stopIfTrue="1" operator="equal">
      <formula>D141</formula>
    </cfRule>
  </conditionalFormatting>
  <conditionalFormatting sqref="D236">
    <cfRule type="cellIs" dxfId="5404" priority="4403" stopIfTrue="1" operator="equal">
      <formula>D175</formula>
    </cfRule>
  </conditionalFormatting>
  <conditionalFormatting sqref="D236">
    <cfRule type="cellIs" dxfId="5403" priority="4421" stopIfTrue="1" operator="equal">
      <formula>D176</formula>
    </cfRule>
  </conditionalFormatting>
  <conditionalFormatting sqref="D236">
    <cfRule type="cellIs" dxfId="5402" priority="4402" stopIfTrue="1" operator="equal">
      <formula>#REF!</formula>
    </cfRule>
  </conditionalFormatting>
  <conditionalFormatting sqref="D240">
    <cfRule type="cellIs" dxfId="5401" priority="4401" stopIfTrue="1" operator="equal">
      <formula>D148</formula>
    </cfRule>
  </conditionalFormatting>
  <conditionalFormatting sqref="D236:D237 D239">
    <cfRule type="cellIs" dxfId="5400" priority="4422" stopIfTrue="1" operator="equal">
      <formula>D127</formula>
    </cfRule>
  </conditionalFormatting>
  <conditionalFormatting sqref="D237:D238">
    <cfRule type="cellIs" dxfId="5399" priority="4400" stopIfTrue="1" operator="equal">
      <formula>D117</formula>
    </cfRule>
  </conditionalFormatting>
  <conditionalFormatting sqref="D236">
    <cfRule type="cellIs" dxfId="5398" priority="4399" stopIfTrue="1" operator="equal">
      <formula>D178</formula>
    </cfRule>
  </conditionalFormatting>
  <conditionalFormatting sqref="D253">
    <cfRule type="cellIs" dxfId="5397" priority="9877" stopIfTrue="1" operator="equal">
      <formula>D167</formula>
    </cfRule>
  </conditionalFormatting>
  <conditionalFormatting sqref="AS245 AO245">
    <cfRule type="cellIs" dxfId="5396" priority="4381" stopIfTrue="1" operator="equal">
      <formula>"OK"</formula>
    </cfRule>
    <cfRule type="cellIs" dxfId="5395" priority="4382" stopIfTrue="1" operator="equal">
      <formula>"Add"</formula>
    </cfRule>
  </conditionalFormatting>
  <conditionalFormatting sqref="J245">
    <cfRule type="cellIs" dxfId="5394" priority="4383" stopIfTrue="1" operator="equal">
      <formula>"Lockdown"</formula>
    </cfRule>
    <cfRule type="cellIs" dxfId="5393" priority="4384" stopIfTrue="1" operator="equal">
      <formula>"OOM"</formula>
    </cfRule>
    <cfRule type="cellIs" dxfId="5392" priority="4385" stopIfTrue="1" operator="equal">
      <formula>"Placeholder"</formula>
    </cfRule>
  </conditionalFormatting>
  <conditionalFormatting sqref="T245:AA245">
    <cfRule type="cellIs" dxfId="5391" priority="4386" stopIfTrue="1" operator="equal">
      <formula>"Blue - Completed"</formula>
    </cfRule>
    <cfRule type="cellIs" dxfId="5390" priority="4387" stopIfTrue="1" operator="equal">
      <formula>"Green - Started on Sched"</formula>
    </cfRule>
    <cfRule type="cellIs" dxfId="5389" priority="4388" stopIfTrue="1" operator="between">
      <formula>"Q"</formula>
      <formula>"T"</formula>
    </cfRule>
  </conditionalFormatting>
  <conditionalFormatting sqref="G245">
    <cfRule type="cellIs" dxfId="5388" priority="4380" stopIfTrue="1" operator="equal">
      <formula>"4 - Complete"</formula>
    </cfRule>
    <cfRule type="cellIs" dxfId="5387" priority="4389" stopIfTrue="1" operator="equal">
      <formula>"3 - Green"</formula>
    </cfRule>
    <cfRule type="cellIs" dxfId="5386" priority="4390" stopIfTrue="1" operator="equal">
      <formula>"2 - Yellow"</formula>
    </cfRule>
    <cfRule type="cellIs" dxfId="5385" priority="4391" stopIfTrue="1" operator="equal">
      <formula>"1 - Red"</formula>
    </cfRule>
  </conditionalFormatting>
  <conditionalFormatting sqref="L245">
    <cfRule type="cellIs" dxfId="5384" priority="4392" stopIfTrue="1" operator="equal">
      <formula>"1 - Hard Load"</formula>
    </cfRule>
    <cfRule type="cellIs" dxfId="5383" priority="4393" stopIfTrue="1" operator="equal">
      <formula>"3 - Not Loaded"</formula>
    </cfRule>
    <cfRule type="cellIs" dxfId="5382" priority="4394" stopIfTrue="1" operator="equal">
      <formula>"2 - Soft Load"</formula>
    </cfRule>
  </conditionalFormatting>
  <conditionalFormatting sqref="D245 D233">
    <cfRule type="cellIs" dxfId="5381" priority="4379" stopIfTrue="1" operator="equal">
      <formula>D136</formula>
    </cfRule>
  </conditionalFormatting>
  <conditionalFormatting sqref="D245">
    <cfRule type="cellIs" dxfId="5380" priority="4378" stopIfTrue="1" operator="equal">
      <formula>D170</formula>
    </cfRule>
  </conditionalFormatting>
  <conditionalFormatting sqref="D262">
    <cfRule type="cellIs" dxfId="5379" priority="4377" stopIfTrue="1" operator="equal">
      <formula>D176</formula>
    </cfRule>
  </conditionalFormatting>
  <conditionalFormatting sqref="D2977">
    <cfRule type="cellIs" dxfId="5378" priority="4358" stopIfTrue="1" operator="equal">
      <formula>D1018</formula>
    </cfRule>
  </conditionalFormatting>
  <conditionalFormatting sqref="AO2976:AO2981 AS2976:AS2981">
    <cfRule type="cellIs" dxfId="5377" priority="4362" stopIfTrue="1" operator="equal">
      <formula>"OK"</formula>
    </cfRule>
    <cfRule type="cellIs" dxfId="5376" priority="4363" stopIfTrue="1" operator="equal">
      <formula>"Add"</formula>
    </cfRule>
  </conditionalFormatting>
  <conditionalFormatting sqref="J2976:J2981">
    <cfRule type="cellIs" dxfId="5375" priority="4364" stopIfTrue="1" operator="equal">
      <formula>"Lockdown"</formula>
    </cfRule>
    <cfRule type="cellIs" dxfId="5374" priority="4365" stopIfTrue="1" operator="equal">
      <formula>"OOM"</formula>
    </cfRule>
    <cfRule type="cellIs" dxfId="5373" priority="4366" stopIfTrue="1" operator="equal">
      <formula>"Placeholder"</formula>
    </cfRule>
  </conditionalFormatting>
  <conditionalFormatting sqref="T2976:AA2981">
    <cfRule type="cellIs" dxfId="5372" priority="4367" stopIfTrue="1" operator="equal">
      <formula>"Blue - Completed"</formula>
    </cfRule>
    <cfRule type="cellIs" dxfId="5371" priority="4368" stopIfTrue="1" operator="equal">
      <formula>"Green - Started on Sched"</formula>
    </cfRule>
    <cfRule type="cellIs" dxfId="5370" priority="4369" stopIfTrue="1" operator="between">
      <formula>"Q"</formula>
      <formula>"T"</formula>
    </cfRule>
  </conditionalFormatting>
  <conditionalFormatting sqref="G2976:G2981">
    <cfRule type="cellIs" dxfId="5369" priority="4361" stopIfTrue="1" operator="equal">
      <formula>"4 - Complete"</formula>
    </cfRule>
    <cfRule type="cellIs" dxfId="5368" priority="4370" stopIfTrue="1" operator="equal">
      <formula>"3 - Green"</formula>
    </cfRule>
    <cfRule type="cellIs" dxfId="5367" priority="4371" stopIfTrue="1" operator="equal">
      <formula>"2 - Yellow"</formula>
    </cfRule>
    <cfRule type="cellIs" dxfId="5366" priority="4372" stopIfTrue="1" operator="equal">
      <formula>"1 - Red"</formula>
    </cfRule>
  </conditionalFormatting>
  <conditionalFormatting sqref="L2976:L2981">
    <cfRule type="cellIs" dxfId="5365" priority="4373" stopIfTrue="1" operator="equal">
      <formula>"1 - Hard Load"</formula>
    </cfRule>
    <cfRule type="cellIs" dxfId="5364" priority="4374" stopIfTrue="1" operator="equal">
      <formula>"3 - Not Loaded"</formula>
    </cfRule>
    <cfRule type="cellIs" dxfId="5363" priority="4375" stopIfTrue="1" operator="equal">
      <formula>"2 - Soft Load"</formula>
    </cfRule>
  </conditionalFormatting>
  <conditionalFormatting sqref="D2971:D2981 D3013:D3020 D3080:D3081 D3099:D3102 D3064:D3067">
    <cfRule type="cellIs" dxfId="5362" priority="4376" stopIfTrue="1" operator="equal">
      <formula>D1009</formula>
    </cfRule>
  </conditionalFormatting>
  <conditionalFormatting sqref="D2976:D2981">
    <cfRule type="cellIs" dxfId="5361" priority="4360" stopIfTrue="1" operator="equal">
      <formula>D1017</formula>
    </cfRule>
  </conditionalFormatting>
  <conditionalFormatting sqref="D2976:D2981">
    <cfRule type="cellIs" dxfId="5360" priority="4359" stopIfTrue="1" operator="equal">
      <formula>D1017</formula>
    </cfRule>
  </conditionalFormatting>
  <conditionalFormatting sqref="D2979">
    <cfRule type="cellIs" dxfId="5359" priority="4357" stopIfTrue="1" operator="equal">
      <formula>D1020</formula>
    </cfRule>
  </conditionalFormatting>
  <conditionalFormatting sqref="D214">
    <cfRule type="cellIs" dxfId="5358" priority="4325" stopIfTrue="1" operator="equal">
      <formula>D167</formula>
    </cfRule>
  </conditionalFormatting>
  <conditionalFormatting sqref="D231:D232">
    <cfRule type="cellIs" dxfId="5357" priority="9888" stopIfTrue="1" operator="equal">
      <formula>D175</formula>
    </cfRule>
  </conditionalFormatting>
  <conditionalFormatting sqref="AO230 AS230">
    <cfRule type="cellIs" dxfId="5356" priority="4273" stopIfTrue="1" operator="equal">
      <formula>"OK"</formula>
    </cfRule>
    <cfRule type="cellIs" dxfId="5355" priority="4274" stopIfTrue="1" operator="equal">
      <formula>"Add"</formula>
    </cfRule>
  </conditionalFormatting>
  <conditionalFormatting sqref="J230">
    <cfRule type="cellIs" dxfId="5354" priority="4275" stopIfTrue="1" operator="equal">
      <formula>"Lockdown"</formula>
    </cfRule>
    <cfRule type="cellIs" dxfId="5353" priority="4276" stopIfTrue="1" operator="equal">
      <formula>"OOM"</formula>
    </cfRule>
    <cfRule type="cellIs" dxfId="5352" priority="4277" stopIfTrue="1" operator="equal">
      <formula>"Placeholder"</formula>
    </cfRule>
  </conditionalFormatting>
  <conditionalFormatting sqref="T230:AA230">
    <cfRule type="cellIs" dxfId="5351" priority="4278" stopIfTrue="1" operator="equal">
      <formula>"Blue - Completed"</formula>
    </cfRule>
    <cfRule type="cellIs" dxfId="5350" priority="4279" stopIfTrue="1" operator="equal">
      <formula>"Green - Started on Sched"</formula>
    </cfRule>
    <cfRule type="cellIs" dxfId="5349" priority="4280" stopIfTrue="1" operator="between">
      <formula>"Q"</formula>
      <formula>"T"</formula>
    </cfRule>
  </conditionalFormatting>
  <conditionalFormatting sqref="G230">
    <cfRule type="cellIs" dxfId="5348" priority="4272" stopIfTrue="1" operator="equal">
      <formula>"4 - Complete"</formula>
    </cfRule>
    <cfRule type="cellIs" dxfId="5347" priority="4281" stopIfTrue="1" operator="equal">
      <formula>"3 - Green"</formula>
    </cfRule>
    <cfRule type="cellIs" dxfId="5346" priority="4282" stopIfTrue="1" operator="equal">
      <formula>"2 - Yellow"</formula>
    </cfRule>
    <cfRule type="cellIs" dxfId="5345" priority="4283" stopIfTrue="1" operator="equal">
      <formula>"1 - Red"</formula>
    </cfRule>
  </conditionalFormatting>
  <conditionalFormatting sqref="L230">
    <cfRule type="cellIs" dxfId="5344" priority="4284" stopIfTrue="1" operator="equal">
      <formula>"1 - Hard Load"</formula>
    </cfRule>
    <cfRule type="cellIs" dxfId="5343" priority="4285" stopIfTrue="1" operator="equal">
      <formula>"3 - Not Loaded"</formula>
    </cfRule>
    <cfRule type="cellIs" dxfId="5342" priority="4286" stopIfTrue="1" operator="equal">
      <formula>"2 - Soft Load"</formula>
    </cfRule>
  </conditionalFormatting>
  <conditionalFormatting sqref="D230 D236:D237 D232">
    <cfRule type="cellIs" dxfId="5341" priority="4271" stopIfTrue="1" operator="equal">
      <formula>D134</formula>
    </cfRule>
  </conditionalFormatting>
  <conditionalFormatting sqref="D244">
    <cfRule type="cellIs" dxfId="5340" priority="4269" stopIfTrue="1" operator="equal">
      <formula>D148</formula>
    </cfRule>
  </conditionalFormatting>
  <conditionalFormatting sqref="D227">
    <cfRule type="cellIs" dxfId="5339" priority="4268" stopIfTrue="1" operator="equal">
      <formula>D167</formula>
    </cfRule>
  </conditionalFormatting>
  <conditionalFormatting sqref="D230">
    <cfRule type="cellIs" dxfId="5338" priority="4267" stopIfTrue="1" operator="equal">
      <formula>D162</formula>
    </cfRule>
  </conditionalFormatting>
  <conditionalFormatting sqref="D2962:D2966">
    <cfRule type="cellIs" dxfId="5337" priority="4214" stopIfTrue="1" operator="equal">
      <formula>D1003</formula>
    </cfRule>
  </conditionalFormatting>
  <conditionalFormatting sqref="AS2962:AS2966 AO2962:AO2966">
    <cfRule type="cellIs" dxfId="5336" priority="4200" stopIfTrue="1" operator="equal">
      <formula>"OK"</formula>
    </cfRule>
    <cfRule type="cellIs" dxfId="5335" priority="4201" stopIfTrue="1" operator="equal">
      <formula>"Add"</formula>
    </cfRule>
  </conditionalFormatting>
  <conditionalFormatting sqref="J2962:J2966">
    <cfRule type="cellIs" dxfId="5334" priority="4202" stopIfTrue="1" operator="equal">
      <formula>"Lockdown"</formula>
    </cfRule>
    <cfRule type="cellIs" dxfId="5333" priority="4203" stopIfTrue="1" operator="equal">
      <formula>"OOM"</formula>
    </cfRule>
    <cfRule type="cellIs" dxfId="5332" priority="4204" stopIfTrue="1" operator="equal">
      <formula>"Placeholder"</formula>
    </cfRule>
  </conditionalFormatting>
  <conditionalFormatting sqref="T2962:AA2966">
    <cfRule type="cellIs" dxfId="5331" priority="4205" stopIfTrue="1" operator="equal">
      <formula>"Blue - Completed"</formula>
    </cfRule>
    <cfRule type="cellIs" dxfId="5330" priority="4206" stopIfTrue="1" operator="equal">
      <formula>"Green - Started on Sched"</formula>
    </cfRule>
    <cfRule type="cellIs" dxfId="5329" priority="4207" stopIfTrue="1" operator="between">
      <formula>"Q"</formula>
      <formula>"T"</formula>
    </cfRule>
  </conditionalFormatting>
  <conditionalFormatting sqref="G2962:G2966">
    <cfRule type="cellIs" dxfId="5328" priority="4199" stopIfTrue="1" operator="equal">
      <formula>"4 - Complete"</formula>
    </cfRule>
    <cfRule type="cellIs" dxfId="5327" priority="4208" stopIfTrue="1" operator="equal">
      <formula>"3 - Green"</formula>
    </cfRule>
    <cfRule type="cellIs" dxfId="5326" priority="4209" stopIfTrue="1" operator="equal">
      <formula>"2 - Yellow"</formula>
    </cfRule>
    <cfRule type="cellIs" dxfId="5325" priority="4210" stopIfTrue="1" operator="equal">
      <formula>"1 - Red"</formula>
    </cfRule>
  </conditionalFormatting>
  <conditionalFormatting sqref="L2962:L2966">
    <cfRule type="cellIs" dxfId="5324" priority="4211" stopIfTrue="1" operator="equal">
      <formula>"1 - Hard Load"</formula>
    </cfRule>
    <cfRule type="cellIs" dxfId="5323" priority="4212" stopIfTrue="1" operator="equal">
      <formula>"3 - Not Loaded"</formula>
    </cfRule>
    <cfRule type="cellIs" dxfId="5322" priority="4213" stopIfTrue="1" operator="equal">
      <formula>"2 - Soft Load"</formula>
    </cfRule>
  </conditionalFormatting>
  <conditionalFormatting sqref="D2964">
    <cfRule type="cellIs" dxfId="5321" priority="4198" stopIfTrue="1" operator="equal">
      <formula>D1005</formula>
    </cfRule>
  </conditionalFormatting>
  <conditionalFormatting sqref="D2968">
    <cfRule type="cellIs" dxfId="5320" priority="4179" stopIfTrue="1" operator="equal">
      <formula>D1009</formula>
    </cfRule>
  </conditionalFormatting>
  <conditionalFormatting sqref="AO2967:AO2970 AS2967:AS2970">
    <cfRule type="cellIs" dxfId="5319" priority="4183" stopIfTrue="1" operator="equal">
      <formula>"OK"</formula>
    </cfRule>
    <cfRule type="cellIs" dxfId="5318" priority="4184" stopIfTrue="1" operator="equal">
      <formula>"Add"</formula>
    </cfRule>
  </conditionalFormatting>
  <conditionalFormatting sqref="J2967:J2970">
    <cfRule type="cellIs" dxfId="5317" priority="4185" stopIfTrue="1" operator="equal">
      <formula>"Lockdown"</formula>
    </cfRule>
    <cfRule type="cellIs" dxfId="5316" priority="4186" stopIfTrue="1" operator="equal">
      <formula>"OOM"</formula>
    </cfRule>
    <cfRule type="cellIs" dxfId="5315" priority="4187" stopIfTrue="1" operator="equal">
      <formula>"Placeholder"</formula>
    </cfRule>
  </conditionalFormatting>
  <conditionalFormatting sqref="T2967:AA2970">
    <cfRule type="cellIs" dxfId="5314" priority="4188" stopIfTrue="1" operator="equal">
      <formula>"Blue - Completed"</formula>
    </cfRule>
    <cfRule type="cellIs" dxfId="5313" priority="4189" stopIfTrue="1" operator="equal">
      <formula>"Green - Started on Sched"</formula>
    </cfRule>
    <cfRule type="cellIs" dxfId="5312" priority="4190" stopIfTrue="1" operator="between">
      <formula>"Q"</formula>
      <formula>"T"</formula>
    </cfRule>
  </conditionalFormatting>
  <conditionalFormatting sqref="G2967:G2970">
    <cfRule type="cellIs" dxfId="5311" priority="4182" stopIfTrue="1" operator="equal">
      <formula>"4 - Complete"</formula>
    </cfRule>
    <cfRule type="cellIs" dxfId="5310" priority="4191" stopIfTrue="1" operator="equal">
      <formula>"3 - Green"</formula>
    </cfRule>
    <cfRule type="cellIs" dxfId="5309" priority="4192" stopIfTrue="1" operator="equal">
      <formula>"2 - Yellow"</formula>
    </cfRule>
    <cfRule type="cellIs" dxfId="5308" priority="4193" stopIfTrue="1" operator="equal">
      <formula>"1 - Red"</formula>
    </cfRule>
  </conditionalFormatting>
  <conditionalFormatting sqref="L2967:L2970">
    <cfRule type="cellIs" dxfId="5307" priority="4194" stopIfTrue="1" operator="equal">
      <formula>"1 - Hard Load"</formula>
    </cfRule>
    <cfRule type="cellIs" dxfId="5306" priority="4195" stopIfTrue="1" operator="equal">
      <formula>"3 - Not Loaded"</formula>
    </cfRule>
    <cfRule type="cellIs" dxfId="5305" priority="4196" stopIfTrue="1" operator="equal">
      <formula>"2 - Soft Load"</formula>
    </cfRule>
  </conditionalFormatting>
  <conditionalFormatting sqref="D2962:D2970">
    <cfRule type="cellIs" dxfId="5304" priority="4197" stopIfTrue="1" operator="equal">
      <formula>D1000</formula>
    </cfRule>
  </conditionalFormatting>
  <conditionalFormatting sqref="D2967:D2970">
    <cfRule type="cellIs" dxfId="5303" priority="4181" stopIfTrue="1" operator="equal">
      <formula>D1008</formula>
    </cfRule>
  </conditionalFormatting>
  <conditionalFormatting sqref="D2967:D2970">
    <cfRule type="cellIs" dxfId="5302" priority="4180" stopIfTrue="1" operator="equal">
      <formula>D1008</formula>
    </cfRule>
  </conditionalFormatting>
  <conditionalFormatting sqref="D2970">
    <cfRule type="cellIs" dxfId="5301" priority="4178" stopIfTrue="1" operator="equal">
      <formula>D1011</formula>
    </cfRule>
  </conditionalFormatting>
  <conditionalFormatting sqref="D232">
    <cfRule type="cellIs" dxfId="5300" priority="9943" stopIfTrue="1" operator="equal">
      <formula>#REF!</formula>
    </cfRule>
  </conditionalFormatting>
  <conditionalFormatting sqref="D2991:D2995">
    <cfRule type="cellIs" dxfId="5299" priority="4144" stopIfTrue="1" operator="equal">
      <formula>D1032</formula>
    </cfRule>
  </conditionalFormatting>
  <conditionalFormatting sqref="AS2991:AS2995 AO2991:AO2995">
    <cfRule type="cellIs" dxfId="5298" priority="4130" stopIfTrue="1" operator="equal">
      <formula>"OK"</formula>
    </cfRule>
    <cfRule type="cellIs" dxfId="5297" priority="4131" stopIfTrue="1" operator="equal">
      <formula>"Add"</formula>
    </cfRule>
  </conditionalFormatting>
  <conditionalFormatting sqref="J2991:J2995">
    <cfRule type="cellIs" dxfId="5296" priority="4132" stopIfTrue="1" operator="equal">
      <formula>"Lockdown"</formula>
    </cfRule>
    <cfRule type="cellIs" dxfId="5295" priority="4133" stopIfTrue="1" operator="equal">
      <formula>"OOM"</formula>
    </cfRule>
    <cfRule type="cellIs" dxfId="5294" priority="4134" stopIfTrue="1" operator="equal">
      <formula>"Placeholder"</formula>
    </cfRule>
  </conditionalFormatting>
  <conditionalFormatting sqref="T2991:AA2995">
    <cfRule type="cellIs" dxfId="5293" priority="4135" stopIfTrue="1" operator="equal">
      <formula>"Blue - Completed"</formula>
    </cfRule>
    <cfRule type="cellIs" dxfId="5292" priority="4136" stopIfTrue="1" operator="equal">
      <formula>"Green - Started on Sched"</formula>
    </cfRule>
    <cfRule type="cellIs" dxfId="5291" priority="4137" stopIfTrue="1" operator="between">
      <formula>"Q"</formula>
      <formula>"T"</formula>
    </cfRule>
  </conditionalFormatting>
  <conditionalFormatting sqref="G2991:G2995">
    <cfRule type="cellIs" dxfId="5290" priority="4129" stopIfTrue="1" operator="equal">
      <formula>"4 - Complete"</formula>
    </cfRule>
    <cfRule type="cellIs" dxfId="5289" priority="4138" stopIfTrue="1" operator="equal">
      <formula>"3 - Green"</formula>
    </cfRule>
    <cfRule type="cellIs" dxfId="5288" priority="4139" stopIfTrue="1" operator="equal">
      <formula>"2 - Yellow"</formula>
    </cfRule>
    <cfRule type="cellIs" dxfId="5287" priority="4140" stopIfTrue="1" operator="equal">
      <formula>"1 - Red"</formula>
    </cfRule>
  </conditionalFormatting>
  <conditionalFormatting sqref="L2991:L2995">
    <cfRule type="cellIs" dxfId="5286" priority="4141" stopIfTrue="1" operator="equal">
      <formula>"1 - Hard Load"</formula>
    </cfRule>
    <cfRule type="cellIs" dxfId="5285" priority="4142" stopIfTrue="1" operator="equal">
      <formula>"3 - Not Loaded"</formula>
    </cfRule>
    <cfRule type="cellIs" dxfId="5284" priority="4143" stopIfTrue="1" operator="equal">
      <formula>"2 - Soft Load"</formula>
    </cfRule>
  </conditionalFormatting>
  <conditionalFormatting sqref="D2993">
    <cfRule type="cellIs" dxfId="5283" priority="4128" stopIfTrue="1" operator="equal">
      <formula>D1034</formula>
    </cfRule>
  </conditionalFormatting>
  <conditionalFormatting sqref="D2997">
    <cfRule type="cellIs" dxfId="5282" priority="4109" stopIfTrue="1" operator="equal">
      <formula>D1038</formula>
    </cfRule>
  </conditionalFormatting>
  <conditionalFormatting sqref="AO2996:AO2999 AS2996:AS2999">
    <cfRule type="cellIs" dxfId="5281" priority="4113" stopIfTrue="1" operator="equal">
      <formula>"OK"</formula>
    </cfRule>
    <cfRule type="cellIs" dxfId="5280" priority="4114" stopIfTrue="1" operator="equal">
      <formula>"Add"</formula>
    </cfRule>
  </conditionalFormatting>
  <conditionalFormatting sqref="J2996:J2999">
    <cfRule type="cellIs" dxfId="5279" priority="4115" stopIfTrue="1" operator="equal">
      <formula>"Lockdown"</formula>
    </cfRule>
    <cfRule type="cellIs" dxfId="5278" priority="4116" stopIfTrue="1" operator="equal">
      <formula>"OOM"</formula>
    </cfRule>
    <cfRule type="cellIs" dxfId="5277" priority="4117" stopIfTrue="1" operator="equal">
      <formula>"Placeholder"</formula>
    </cfRule>
  </conditionalFormatting>
  <conditionalFormatting sqref="T2996:AA2999">
    <cfRule type="cellIs" dxfId="5276" priority="4118" stopIfTrue="1" operator="equal">
      <formula>"Blue - Completed"</formula>
    </cfRule>
    <cfRule type="cellIs" dxfId="5275" priority="4119" stopIfTrue="1" operator="equal">
      <formula>"Green - Started on Sched"</formula>
    </cfRule>
    <cfRule type="cellIs" dxfId="5274" priority="4120" stopIfTrue="1" operator="between">
      <formula>"Q"</formula>
      <formula>"T"</formula>
    </cfRule>
  </conditionalFormatting>
  <conditionalFormatting sqref="G2996:G2999">
    <cfRule type="cellIs" dxfId="5273" priority="4112" stopIfTrue="1" operator="equal">
      <formula>"4 - Complete"</formula>
    </cfRule>
    <cfRule type="cellIs" dxfId="5272" priority="4121" stopIfTrue="1" operator="equal">
      <formula>"3 - Green"</formula>
    </cfRule>
    <cfRule type="cellIs" dxfId="5271" priority="4122" stopIfTrue="1" operator="equal">
      <formula>"2 - Yellow"</formula>
    </cfRule>
    <cfRule type="cellIs" dxfId="5270" priority="4123" stopIfTrue="1" operator="equal">
      <formula>"1 - Red"</formula>
    </cfRule>
  </conditionalFormatting>
  <conditionalFormatting sqref="L2996:L2999">
    <cfRule type="cellIs" dxfId="5269" priority="4124" stopIfTrue="1" operator="equal">
      <formula>"1 - Hard Load"</formula>
    </cfRule>
    <cfRule type="cellIs" dxfId="5268" priority="4125" stopIfTrue="1" operator="equal">
      <formula>"3 - Not Loaded"</formula>
    </cfRule>
    <cfRule type="cellIs" dxfId="5267" priority="4126" stopIfTrue="1" operator="equal">
      <formula>"2 - Soft Load"</formula>
    </cfRule>
  </conditionalFormatting>
  <conditionalFormatting sqref="D2991:D2999">
    <cfRule type="cellIs" dxfId="5266" priority="4127" stopIfTrue="1" operator="equal">
      <formula>D1029</formula>
    </cfRule>
  </conditionalFormatting>
  <conditionalFormatting sqref="D2996:D2999">
    <cfRule type="cellIs" dxfId="5265" priority="4111" stopIfTrue="1" operator="equal">
      <formula>D1037</formula>
    </cfRule>
  </conditionalFormatting>
  <conditionalFormatting sqref="D2996:D2999">
    <cfRule type="cellIs" dxfId="5264" priority="4110" stopIfTrue="1" operator="equal">
      <formula>D1037</formula>
    </cfRule>
  </conditionalFormatting>
  <conditionalFormatting sqref="D2999">
    <cfRule type="cellIs" dxfId="5263" priority="4108" stopIfTrue="1" operator="equal">
      <formula>D1040</formula>
    </cfRule>
  </conditionalFormatting>
  <conditionalFormatting sqref="D2982:D2986">
    <cfRule type="cellIs" dxfId="5262" priority="4107" stopIfTrue="1" operator="equal">
      <formula>D1023</formula>
    </cfRule>
  </conditionalFormatting>
  <conditionalFormatting sqref="AS2982:AS2986 AO2982:AO2986">
    <cfRule type="cellIs" dxfId="5261" priority="4093" stopIfTrue="1" operator="equal">
      <formula>"OK"</formula>
    </cfRule>
    <cfRule type="cellIs" dxfId="5260" priority="4094" stopIfTrue="1" operator="equal">
      <formula>"Add"</formula>
    </cfRule>
  </conditionalFormatting>
  <conditionalFormatting sqref="J2982:J2986">
    <cfRule type="cellIs" dxfId="5259" priority="4095" stopIfTrue="1" operator="equal">
      <formula>"Lockdown"</formula>
    </cfRule>
    <cfRule type="cellIs" dxfId="5258" priority="4096" stopIfTrue="1" operator="equal">
      <formula>"OOM"</formula>
    </cfRule>
    <cfRule type="cellIs" dxfId="5257" priority="4097" stopIfTrue="1" operator="equal">
      <formula>"Placeholder"</formula>
    </cfRule>
  </conditionalFormatting>
  <conditionalFormatting sqref="T2982:AA2986">
    <cfRule type="cellIs" dxfId="5256" priority="4098" stopIfTrue="1" operator="equal">
      <formula>"Blue - Completed"</formula>
    </cfRule>
    <cfRule type="cellIs" dxfId="5255" priority="4099" stopIfTrue="1" operator="equal">
      <formula>"Green - Started on Sched"</formula>
    </cfRule>
    <cfRule type="cellIs" dxfId="5254" priority="4100" stopIfTrue="1" operator="between">
      <formula>"Q"</formula>
      <formula>"T"</formula>
    </cfRule>
  </conditionalFormatting>
  <conditionalFormatting sqref="G2982:G2986">
    <cfRule type="cellIs" dxfId="5253" priority="4092" stopIfTrue="1" operator="equal">
      <formula>"4 - Complete"</formula>
    </cfRule>
    <cfRule type="cellIs" dxfId="5252" priority="4101" stopIfTrue="1" operator="equal">
      <formula>"3 - Green"</formula>
    </cfRule>
    <cfRule type="cellIs" dxfId="5251" priority="4102" stopIfTrue="1" operator="equal">
      <formula>"2 - Yellow"</formula>
    </cfRule>
    <cfRule type="cellIs" dxfId="5250" priority="4103" stopIfTrue="1" operator="equal">
      <formula>"1 - Red"</formula>
    </cfRule>
  </conditionalFormatting>
  <conditionalFormatting sqref="L2982:L2986">
    <cfRule type="cellIs" dxfId="5249" priority="4104" stopIfTrue="1" operator="equal">
      <formula>"1 - Hard Load"</formula>
    </cfRule>
    <cfRule type="cellIs" dxfId="5248" priority="4105" stopIfTrue="1" operator="equal">
      <formula>"3 - Not Loaded"</formula>
    </cfRule>
    <cfRule type="cellIs" dxfId="5247" priority="4106" stopIfTrue="1" operator="equal">
      <formula>"2 - Soft Load"</formula>
    </cfRule>
  </conditionalFormatting>
  <conditionalFormatting sqref="D2984">
    <cfRule type="cellIs" dxfId="5246" priority="4091" stopIfTrue="1" operator="equal">
      <formula>D1025</formula>
    </cfRule>
  </conditionalFormatting>
  <conditionalFormatting sqref="D2988">
    <cfRule type="cellIs" dxfId="5245" priority="4072" stopIfTrue="1" operator="equal">
      <formula>D1029</formula>
    </cfRule>
  </conditionalFormatting>
  <conditionalFormatting sqref="AO2987:AO2990 AS2987:AS2990">
    <cfRule type="cellIs" dxfId="5244" priority="4076" stopIfTrue="1" operator="equal">
      <formula>"OK"</formula>
    </cfRule>
    <cfRule type="cellIs" dxfId="5243" priority="4077" stopIfTrue="1" operator="equal">
      <formula>"Add"</formula>
    </cfRule>
  </conditionalFormatting>
  <conditionalFormatting sqref="J2987:J2990">
    <cfRule type="cellIs" dxfId="5242" priority="4078" stopIfTrue="1" operator="equal">
      <formula>"Lockdown"</formula>
    </cfRule>
    <cfRule type="cellIs" dxfId="5241" priority="4079" stopIfTrue="1" operator="equal">
      <formula>"OOM"</formula>
    </cfRule>
    <cfRule type="cellIs" dxfId="5240" priority="4080" stopIfTrue="1" operator="equal">
      <formula>"Placeholder"</formula>
    </cfRule>
  </conditionalFormatting>
  <conditionalFormatting sqref="T2987:AA2990">
    <cfRule type="cellIs" dxfId="5239" priority="4081" stopIfTrue="1" operator="equal">
      <formula>"Blue - Completed"</formula>
    </cfRule>
    <cfRule type="cellIs" dxfId="5238" priority="4082" stopIfTrue="1" operator="equal">
      <formula>"Green - Started on Sched"</formula>
    </cfRule>
    <cfRule type="cellIs" dxfId="5237" priority="4083" stopIfTrue="1" operator="between">
      <formula>"Q"</formula>
      <formula>"T"</formula>
    </cfRule>
  </conditionalFormatting>
  <conditionalFormatting sqref="G2987:G2990">
    <cfRule type="cellIs" dxfId="5236" priority="4075" stopIfTrue="1" operator="equal">
      <formula>"4 - Complete"</formula>
    </cfRule>
    <cfRule type="cellIs" dxfId="5235" priority="4084" stopIfTrue="1" operator="equal">
      <formula>"3 - Green"</formula>
    </cfRule>
    <cfRule type="cellIs" dxfId="5234" priority="4085" stopIfTrue="1" operator="equal">
      <formula>"2 - Yellow"</formula>
    </cfRule>
    <cfRule type="cellIs" dxfId="5233" priority="4086" stopIfTrue="1" operator="equal">
      <formula>"1 - Red"</formula>
    </cfRule>
  </conditionalFormatting>
  <conditionalFormatting sqref="L2987:L2990">
    <cfRule type="cellIs" dxfId="5232" priority="4087" stopIfTrue="1" operator="equal">
      <formula>"1 - Hard Load"</formula>
    </cfRule>
    <cfRule type="cellIs" dxfId="5231" priority="4088" stopIfTrue="1" operator="equal">
      <formula>"3 - Not Loaded"</formula>
    </cfRule>
    <cfRule type="cellIs" dxfId="5230" priority="4089" stopIfTrue="1" operator="equal">
      <formula>"2 - Soft Load"</formula>
    </cfRule>
  </conditionalFormatting>
  <conditionalFormatting sqref="D2982:D2990">
    <cfRule type="cellIs" dxfId="5229" priority="4090" stopIfTrue="1" operator="equal">
      <formula>D1020</formula>
    </cfRule>
  </conditionalFormatting>
  <conditionalFormatting sqref="D2987:D2990">
    <cfRule type="cellIs" dxfId="5228" priority="4074" stopIfTrue="1" operator="equal">
      <formula>D1028</formula>
    </cfRule>
  </conditionalFormatting>
  <conditionalFormatting sqref="D2987:D2990">
    <cfRule type="cellIs" dxfId="5227" priority="4073" stopIfTrue="1" operator="equal">
      <formula>D1028</formula>
    </cfRule>
  </conditionalFormatting>
  <conditionalFormatting sqref="D2990">
    <cfRule type="cellIs" dxfId="5226" priority="4071" stopIfTrue="1" operator="equal">
      <formula>D1031</formula>
    </cfRule>
  </conditionalFormatting>
  <conditionalFormatting sqref="D3001">
    <cfRule type="cellIs" dxfId="5225" priority="4052" stopIfTrue="1" operator="equal">
      <formula>D1042</formula>
    </cfRule>
  </conditionalFormatting>
  <conditionalFormatting sqref="AO3000:AO3003 AS3000:AS3003">
    <cfRule type="cellIs" dxfId="5224" priority="4056" stopIfTrue="1" operator="equal">
      <formula>"OK"</formula>
    </cfRule>
    <cfRule type="cellIs" dxfId="5223" priority="4057" stopIfTrue="1" operator="equal">
      <formula>"Add"</formula>
    </cfRule>
  </conditionalFormatting>
  <conditionalFormatting sqref="J3000:J3003">
    <cfRule type="cellIs" dxfId="5222" priority="4058" stopIfTrue="1" operator="equal">
      <formula>"Lockdown"</formula>
    </cfRule>
    <cfRule type="cellIs" dxfId="5221" priority="4059" stopIfTrue="1" operator="equal">
      <formula>"OOM"</formula>
    </cfRule>
    <cfRule type="cellIs" dxfId="5220" priority="4060" stopIfTrue="1" operator="equal">
      <formula>"Placeholder"</formula>
    </cfRule>
  </conditionalFormatting>
  <conditionalFormatting sqref="T3000:AA3003">
    <cfRule type="cellIs" dxfId="5219" priority="4061" stopIfTrue="1" operator="equal">
      <formula>"Blue - Completed"</formula>
    </cfRule>
    <cfRule type="cellIs" dxfId="5218" priority="4062" stopIfTrue="1" operator="equal">
      <formula>"Green - Started on Sched"</formula>
    </cfRule>
    <cfRule type="cellIs" dxfId="5217" priority="4063" stopIfTrue="1" operator="between">
      <formula>"Q"</formula>
      <formula>"T"</formula>
    </cfRule>
  </conditionalFormatting>
  <conditionalFormatting sqref="G3000:G3003">
    <cfRule type="cellIs" dxfId="5216" priority="4055" stopIfTrue="1" operator="equal">
      <formula>"4 - Complete"</formula>
    </cfRule>
    <cfRule type="cellIs" dxfId="5215" priority="4064" stopIfTrue="1" operator="equal">
      <formula>"3 - Green"</formula>
    </cfRule>
    <cfRule type="cellIs" dxfId="5214" priority="4065" stopIfTrue="1" operator="equal">
      <formula>"2 - Yellow"</formula>
    </cfRule>
    <cfRule type="cellIs" dxfId="5213" priority="4066" stopIfTrue="1" operator="equal">
      <formula>"1 - Red"</formula>
    </cfRule>
  </conditionalFormatting>
  <conditionalFormatting sqref="L3000:L3003">
    <cfRule type="cellIs" dxfId="5212" priority="4067" stopIfTrue="1" operator="equal">
      <formula>"1 - Hard Load"</formula>
    </cfRule>
    <cfRule type="cellIs" dxfId="5211" priority="4068" stopIfTrue="1" operator="equal">
      <formula>"3 - Not Loaded"</formula>
    </cfRule>
    <cfRule type="cellIs" dxfId="5210" priority="4069" stopIfTrue="1" operator="equal">
      <formula>"2 - Soft Load"</formula>
    </cfRule>
  </conditionalFormatting>
  <conditionalFormatting sqref="D3000:D3003">
    <cfRule type="cellIs" dxfId="5209" priority="4070" stopIfTrue="1" operator="equal">
      <formula>D1038</formula>
    </cfRule>
  </conditionalFormatting>
  <conditionalFormatting sqref="D3000:D3003">
    <cfRule type="cellIs" dxfId="5208" priority="4054" stopIfTrue="1" operator="equal">
      <formula>D1041</formula>
    </cfRule>
  </conditionalFormatting>
  <conditionalFormatting sqref="D3000:D3003">
    <cfRule type="cellIs" dxfId="5207" priority="4053" stopIfTrue="1" operator="equal">
      <formula>D1041</formula>
    </cfRule>
  </conditionalFormatting>
  <conditionalFormatting sqref="D3003">
    <cfRule type="cellIs" dxfId="5206" priority="4051" stopIfTrue="1" operator="equal">
      <formula>D1044</formula>
    </cfRule>
  </conditionalFormatting>
  <conditionalFormatting sqref="D1662">
    <cfRule type="cellIs" dxfId="5205" priority="9945" stopIfTrue="1" operator="equal">
      <formula>D617</formula>
    </cfRule>
  </conditionalFormatting>
  <conditionalFormatting sqref="AS1661 AO1661">
    <cfRule type="cellIs" dxfId="5204" priority="3984" stopIfTrue="1" operator="equal">
      <formula>"OK"</formula>
    </cfRule>
    <cfRule type="cellIs" dxfId="5203" priority="3985" stopIfTrue="1" operator="equal">
      <formula>"Add"</formula>
    </cfRule>
  </conditionalFormatting>
  <conditionalFormatting sqref="J1661">
    <cfRule type="cellIs" dxfId="5202" priority="3986" stopIfTrue="1" operator="equal">
      <formula>"Lockdown"</formula>
    </cfRule>
    <cfRule type="cellIs" dxfId="5201" priority="3987" stopIfTrue="1" operator="equal">
      <formula>"OOM"</formula>
    </cfRule>
    <cfRule type="cellIs" dxfId="5200" priority="3988" stopIfTrue="1" operator="equal">
      <formula>"Placeholder"</formula>
    </cfRule>
  </conditionalFormatting>
  <conditionalFormatting sqref="T1661:AA1661">
    <cfRule type="cellIs" dxfId="5199" priority="3989" stopIfTrue="1" operator="equal">
      <formula>"Blue - Completed"</formula>
    </cfRule>
    <cfRule type="cellIs" dxfId="5198" priority="3990" stopIfTrue="1" operator="equal">
      <formula>"Green - Started on Sched"</formula>
    </cfRule>
    <cfRule type="cellIs" dxfId="5197" priority="3991" stopIfTrue="1" operator="between">
      <formula>"Q"</formula>
      <formula>"T"</formula>
    </cfRule>
  </conditionalFormatting>
  <conditionalFormatting sqref="G1661">
    <cfRule type="cellIs" dxfId="5196" priority="3983" stopIfTrue="1" operator="equal">
      <formula>"4 - Complete"</formula>
    </cfRule>
    <cfRule type="cellIs" dxfId="5195" priority="3992" stopIfTrue="1" operator="equal">
      <formula>"3 - Green"</formula>
    </cfRule>
    <cfRule type="cellIs" dxfId="5194" priority="3993" stopIfTrue="1" operator="equal">
      <formula>"2 - Yellow"</formula>
    </cfRule>
    <cfRule type="cellIs" dxfId="5193" priority="3994" stopIfTrue="1" operator="equal">
      <formula>"1 - Red"</formula>
    </cfRule>
  </conditionalFormatting>
  <conditionalFormatting sqref="L1661">
    <cfRule type="cellIs" dxfId="5192" priority="3995" stopIfTrue="1" operator="equal">
      <formula>"1 - Hard Load"</formula>
    </cfRule>
    <cfRule type="cellIs" dxfId="5191" priority="3996" stopIfTrue="1" operator="equal">
      <formula>"3 - Not Loaded"</formula>
    </cfRule>
    <cfRule type="cellIs" dxfId="5190" priority="3997" stopIfTrue="1" operator="equal">
      <formula>"2 - Soft Load"</formula>
    </cfRule>
  </conditionalFormatting>
  <conditionalFormatting sqref="D1661">
    <cfRule type="cellIs" dxfId="5189" priority="3998" stopIfTrue="1" operator="equal">
      <formula>D616</formula>
    </cfRule>
  </conditionalFormatting>
  <conditionalFormatting sqref="D331">
    <cfRule type="cellIs" dxfId="5188" priority="9995" stopIfTrue="1" operator="equal">
      <formula>#REF!</formula>
    </cfRule>
  </conditionalFormatting>
  <conditionalFormatting sqref="AS222 AO222">
    <cfRule type="cellIs" dxfId="5187" priority="3968" stopIfTrue="1" operator="equal">
      <formula>"OK"</formula>
    </cfRule>
    <cfRule type="cellIs" dxfId="5186" priority="3969" stopIfTrue="1" operator="equal">
      <formula>"Add"</formula>
    </cfRule>
  </conditionalFormatting>
  <conditionalFormatting sqref="J222">
    <cfRule type="cellIs" dxfId="5185" priority="3970" stopIfTrue="1" operator="equal">
      <formula>"Lockdown"</formula>
    </cfRule>
    <cfRule type="cellIs" dxfId="5184" priority="3971" stopIfTrue="1" operator="equal">
      <formula>"OOM"</formula>
    </cfRule>
    <cfRule type="cellIs" dxfId="5183" priority="3972" stopIfTrue="1" operator="equal">
      <formula>"Placeholder"</formula>
    </cfRule>
  </conditionalFormatting>
  <conditionalFormatting sqref="T222:AA222">
    <cfRule type="cellIs" dxfId="5182" priority="3973" stopIfTrue="1" operator="equal">
      <formula>"Blue - Completed"</formula>
    </cfRule>
    <cfRule type="cellIs" dxfId="5181" priority="3974" stopIfTrue="1" operator="equal">
      <formula>"Green - Started on Sched"</formula>
    </cfRule>
    <cfRule type="cellIs" dxfId="5180" priority="3975" stopIfTrue="1" operator="between">
      <formula>"Q"</formula>
      <formula>"T"</formula>
    </cfRule>
  </conditionalFormatting>
  <conditionalFormatting sqref="G222">
    <cfRule type="cellIs" dxfId="5179" priority="3965" stopIfTrue="1" operator="equal">
      <formula>"4 - Complete"</formula>
    </cfRule>
    <cfRule type="cellIs" dxfId="5178" priority="3976" stopIfTrue="1" operator="equal">
      <formula>"3 - Green"</formula>
    </cfRule>
    <cfRule type="cellIs" dxfId="5177" priority="3977" stopIfTrue="1" operator="equal">
      <formula>"2 - Yellow"</formula>
    </cfRule>
    <cfRule type="cellIs" dxfId="5176" priority="3978" stopIfTrue="1" operator="equal">
      <formula>"1 - Red"</formula>
    </cfRule>
  </conditionalFormatting>
  <conditionalFormatting sqref="L222">
    <cfRule type="cellIs" dxfId="5175" priority="3979" stopIfTrue="1" operator="equal">
      <formula>"1 - Hard Load"</formula>
    </cfRule>
    <cfRule type="cellIs" dxfId="5174" priority="3980" stopIfTrue="1" operator="equal">
      <formula>"3 - Not Loaded"</formula>
    </cfRule>
    <cfRule type="cellIs" dxfId="5173" priority="3981" stopIfTrue="1" operator="equal">
      <formula>"2 - Soft Load"</formula>
    </cfRule>
  </conditionalFormatting>
  <conditionalFormatting sqref="D226">
    <cfRule type="cellIs" dxfId="5172" priority="3982" stopIfTrue="1" operator="equal">
      <formula>#REF!</formula>
    </cfRule>
  </conditionalFormatting>
  <conditionalFormatting sqref="D222">
    <cfRule type="cellIs" dxfId="5171" priority="3964" stopIfTrue="1" operator="equal">
      <formula>#REF!</formula>
    </cfRule>
  </conditionalFormatting>
  <conditionalFormatting sqref="D210">
    <cfRule type="cellIs" dxfId="5170" priority="3963" stopIfTrue="1" operator="equal">
      <formula>#REF!</formula>
    </cfRule>
  </conditionalFormatting>
  <conditionalFormatting sqref="D227">
    <cfRule type="cellIs" dxfId="5169" priority="3962" stopIfTrue="1" operator="equal">
      <formula>#REF!</formula>
    </cfRule>
  </conditionalFormatting>
  <conditionalFormatting sqref="D222">
    <cfRule type="cellIs" dxfId="5168" priority="3961" stopIfTrue="1" operator="equal">
      <formula>D148</formula>
    </cfRule>
  </conditionalFormatting>
  <conditionalFormatting sqref="D3013:D3017">
    <cfRule type="cellIs" dxfId="5167" priority="3960" stopIfTrue="1" operator="equal">
      <formula>D1054</formula>
    </cfRule>
  </conditionalFormatting>
  <conditionalFormatting sqref="AS3013:AS3017 AO3013:AO3017">
    <cfRule type="cellIs" dxfId="5166" priority="3946" stopIfTrue="1" operator="equal">
      <formula>"OK"</formula>
    </cfRule>
    <cfRule type="cellIs" dxfId="5165" priority="3947" stopIfTrue="1" operator="equal">
      <formula>"Add"</formula>
    </cfRule>
  </conditionalFormatting>
  <conditionalFormatting sqref="J3013:J3017">
    <cfRule type="cellIs" dxfId="5164" priority="3948" stopIfTrue="1" operator="equal">
      <formula>"Lockdown"</formula>
    </cfRule>
    <cfRule type="cellIs" dxfId="5163" priority="3949" stopIfTrue="1" operator="equal">
      <formula>"OOM"</formula>
    </cfRule>
    <cfRule type="cellIs" dxfId="5162" priority="3950" stopIfTrue="1" operator="equal">
      <formula>"Placeholder"</formula>
    </cfRule>
  </conditionalFormatting>
  <conditionalFormatting sqref="T3013:AA3017">
    <cfRule type="cellIs" dxfId="5161" priority="3951" stopIfTrue="1" operator="equal">
      <formula>"Blue - Completed"</formula>
    </cfRule>
    <cfRule type="cellIs" dxfId="5160" priority="3952" stopIfTrue="1" operator="equal">
      <formula>"Green - Started on Sched"</formula>
    </cfRule>
    <cfRule type="cellIs" dxfId="5159" priority="3953" stopIfTrue="1" operator="between">
      <formula>"Q"</formula>
      <formula>"T"</formula>
    </cfRule>
  </conditionalFormatting>
  <conditionalFormatting sqref="G3013:G3017">
    <cfRule type="cellIs" dxfId="5158" priority="3945" stopIfTrue="1" operator="equal">
      <formula>"4 - Complete"</formula>
    </cfRule>
    <cfRule type="cellIs" dxfId="5157" priority="3954" stopIfTrue="1" operator="equal">
      <formula>"3 - Green"</formula>
    </cfRule>
    <cfRule type="cellIs" dxfId="5156" priority="3955" stopIfTrue="1" operator="equal">
      <formula>"2 - Yellow"</formula>
    </cfRule>
    <cfRule type="cellIs" dxfId="5155" priority="3956" stopIfTrue="1" operator="equal">
      <formula>"1 - Red"</formula>
    </cfRule>
  </conditionalFormatting>
  <conditionalFormatting sqref="L3013:L3017">
    <cfRule type="cellIs" dxfId="5154" priority="3957" stopIfTrue="1" operator="equal">
      <formula>"1 - Hard Load"</formula>
    </cfRule>
    <cfRule type="cellIs" dxfId="5153" priority="3958" stopIfTrue="1" operator="equal">
      <formula>"3 - Not Loaded"</formula>
    </cfRule>
    <cfRule type="cellIs" dxfId="5152" priority="3959" stopIfTrue="1" operator="equal">
      <formula>"2 - Soft Load"</formula>
    </cfRule>
  </conditionalFormatting>
  <conditionalFormatting sqref="D3015">
    <cfRule type="cellIs" dxfId="5151" priority="3944" stopIfTrue="1" operator="equal">
      <formula>D1056</formula>
    </cfRule>
  </conditionalFormatting>
  <conditionalFormatting sqref="D3019">
    <cfRule type="cellIs" dxfId="5150" priority="3925" stopIfTrue="1" operator="equal">
      <formula>D1060</formula>
    </cfRule>
  </conditionalFormatting>
  <conditionalFormatting sqref="AO3018:AO3020 AS3018:AS3020 AS3022 AO3022">
    <cfRule type="cellIs" dxfId="5149" priority="3929" stopIfTrue="1" operator="equal">
      <formula>"OK"</formula>
    </cfRule>
    <cfRule type="cellIs" dxfId="5148" priority="3930" stopIfTrue="1" operator="equal">
      <formula>"Add"</formula>
    </cfRule>
  </conditionalFormatting>
  <conditionalFormatting sqref="J3018:J3020 J3022">
    <cfRule type="cellIs" dxfId="5147" priority="3931" stopIfTrue="1" operator="equal">
      <formula>"Lockdown"</formula>
    </cfRule>
    <cfRule type="cellIs" dxfId="5146" priority="3932" stopIfTrue="1" operator="equal">
      <formula>"OOM"</formula>
    </cfRule>
    <cfRule type="cellIs" dxfId="5145" priority="3933" stopIfTrue="1" operator="equal">
      <formula>"Placeholder"</formula>
    </cfRule>
  </conditionalFormatting>
  <conditionalFormatting sqref="T3018:AA3020 T3022:AA3022">
    <cfRule type="cellIs" dxfId="5144" priority="3934" stopIfTrue="1" operator="equal">
      <formula>"Blue - Completed"</formula>
    </cfRule>
    <cfRule type="cellIs" dxfId="5143" priority="3935" stopIfTrue="1" operator="equal">
      <formula>"Green - Started on Sched"</formula>
    </cfRule>
    <cfRule type="cellIs" dxfId="5142" priority="3936" stopIfTrue="1" operator="between">
      <formula>"Q"</formula>
      <formula>"T"</formula>
    </cfRule>
  </conditionalFormatting>
  <conditionalFormatting sqref="G3018:G3020 G3022">
    <cfRule type="cellIs" dxfId="5141" priority="3928" stopIfTrue="1" operator="equal">
      <formula>"4 - Complete"</formula>
    </cfRule>
    <cfRule type="cellIs" dxfId="5140" priority="3937" stopIfTrue="1" operator="equal">
      <formula>"3 - Green"</formula>
    </cfRule>
    <cfRule type="cellIs" dxfId="5139" priority="3938" stopIfTrue="1" operator="equal">
      <formula>"2 - Yellow"</formula>
    </cfRule>
    <cfRule type="cellIs" dxfId="5138" priority="3939" stopIfTrue="1" operator="equal">
      <formula>"1 - Red"</formula>
    </cfRule>
  </conditionalFormatting>
  <conditionalFormatting sqref="L3018:L3020 L3022">
    <cfRule type="cellIs" dxfId="5137" priority="3940" stopIfTrue="1" operator="equal">
      <formula>"1 - Hard Load"</formula>
    </cfRule>
    <cfRule type="cellIs" dxfId="5136" priority="3941" stopIfTrue="1" operator="equal">
      <formula>"3 - Not Loaded"</formula>
    </cfRule>
    <cfRule type="cellIs" dxfId="5135" priority="3942" stopIfTrue="1" operator="equal">
      <formula>"2 - Soft Load"</formula>
    </cfRule>
  </conditionalFormatting>
  <conditionalFormatting sqref="D3022 D3045:D3046">
    <cfRule type="cellIs" dxfId="5134" priority="3924" stopIfTrue="1" operator="equal">
      <formula>D1062</formula>
    </cfRule>
  </conditionalFormatting>
  <conditionalFormatting sqref="D3004:D3008">
    <cfRule type="cellIs" dxfId="5133" priority="3923" stopIfTrue="1" operator="equal">
      <formula>D1045</formula>
    </cfRule>
  </conditionalFormatting>
  <conditionalFormatting sqref="AS3004:AS3008 AO3004:AO3008">
    <cfRule type="cellIs" dxfId="5132" priority="3909" stopIfTrue="1" operator="equal">
      <formula>"OK"</formula>
    </cfRule>
    <cfRule type="cellIs" dxfId="5131" priority="3910" stopIfTrue="1" operator="equal">
      <formula>"Add"</formula>
    </cfRule>
  </conditionalFormatting>
  <conditionalFormatting sqref="J3004:J3008">
    <cfRule type="cellIs" dxfId="5130" priority="3911" stopIfTrue="1" operator="equal">
      <formula>"Lockdown"</formula>
    </cfRule>
    <cfRule type="cellIs" dxfId="5129" priority="3912" stopIfTrue="1" operator="equal">
      <formula>"OOM"</formula>
    </cfRule>
    <cfRule type="cellIs" dxfId="5128" priority="3913" stopIfTrue="1" operator="equal">
      <formula>"Placeholder"</formula>
    </cfRule>
  </conditionalFormatting>
  <conditionalFormatting sqref="T3004:AA3008">
    <cfRule type="cellIs" dxfId="5127" priority="3914" stopIfTrue="1" operator="equal">
      <formula>"Blue - Completed"</formula>
    </cfRule>
    <cfRule type="cellIs" dxfId="5126" priority="3915" stopIfTrue="1" operator="equal">
      <formula>"Green - Started on Sched"</formula>
    </cfRule>
    <cfRule type="cellIs" dxfId="5125" priority="3916" stopIfTrue="1" operator="between">
      <formula>"Q"</formula>
      <formula>"T"</formula>
    </cfRule>
  </conditionalFormatting>
  <conditionalFormatting sqref="G3004:G3008">
    <cfRule type="cellIs" dxfId="5124" priority="3908" stopIfTrue="1" operator="equal">
      <formula>"4 - Complete"</formula>
    </cfRule>
    <cfRule type="cellIs" dxfId="5123" priority="3917" stopIfTrue="1" operator="equal">
      <formula>"3 - Green"</formula>
    </cfRule>
    <cfRule type="cellIs" dxfId="5122" priority="3918" stopIfTrue="1" operator="equal">
      <formula>"2 - Yellow"</formula>
    </cfRule>
    <cfRule type="cellIs" dxfId="5121" priority="3919" stopIfTrue="1" operator="equal">
      <formula>"1 - Red"</formula>
    </cfRule>
  </conditionalFormatting>
  <conditionalFormatting sqref="L3004:L3008">
    <cfRule type="cellIs" dxfId="5120" priority="3920" stopIfTrue="1" operator="equal">
      <formula>"1 - Hard Load"</formula>
    </cfRule>
    <cfRule type="cellIs" dxfId="5119" priority="3921" stopIfTrue="1" operator="equal">
      <formula>"3 - Not Loaded"</formula>
    </cfRule>
    <cfRule type="cellIs" dxfId="5118" priority="3922" stopIfTrue="1" operator="equal">
      <formula>"2 - Soft Load"</formula>
    </cfRule>
  </conditionalFormatting>
  <conditionalFormatting sqref="D3006">
    <cfRule type="cellIs" dxfId="5117" priority="3907" stopIfTrue="1" operator="equal">
      <formula>D1047</formula>
    </cfRule>
  </conditionalFormatting>
  <conditionalFormatting sqref="D3010">
    <cfRule type="cellIs" dxfId="5116" priority="3888" stopIfTrue="1" operator="equal">
      <formula>D1051</formula>
    </cfRule>
  </conditionalFormatting>
  <conditionalFormatting sqref="AO3009:AO3012 AS3009:AS3012">
    <cfRule type="cellIs" dxfId="5115" priority="3892" stopIfTrue="1" operator="equal">
      <formula>"OK"</formula>
    </cfRule>
    <cfRule type="cellIs" dxfId="5114" priority="3893" stopIfTrue="1" operator="equal">
      <formula>"Add"</formula>
    </cfRule>
  </conditionalFormatting>
  <conditionalFormatting sqref="J3009:J3012">
    <cfRule type="cellIs" dxfId="5113" priority="3894" stopIfTrue="1" operator="equal">
      <formula>"Lockdown"</formula>
    </cfRule>
    <cfRule type="cellIs" dxfId="5112" priority="3895" stopIfTrue="1" operator="equal">
      <formula>"OOM"</formula>
    </cfRule>
    <cfRule type="cellIs" dxfId="5111" priority="3896" stopIfTrue="1" operator="equal">
      <formula>"Placeholder"</formula>
    </cfRule>
  </conditionalFormatting>
  <conditionalFormatting sqref="T3009:AA3012">
    <cfRule type="cellIs" dxfId="5110" priority="3897" stopIfTrue="1" operator="equal">
      <formula>"Blue - Completed"</formula>
    </cfRule>
    <cfRule type="cellIs" dxfId="5109" priority="3898" stopIfTrue="1" operator="equal">
      <formula>"Green - Started on Sched"</formula>
    </cfRule>
    <cfRule type="cellIs" dxfId="5108" priority="3899" stopIfTrue="1" operator="between">
      <formula>"Q"</formula>
      <formula>"T"</formula>
    </cfRule>
  </conditionalFormatting>
  <conditionalFormatting sqref="G3009:G3012">
    <cfRule type="cellIs" dxfId="5107" priority="3891" stopIfTrue="1" operator="equal">
      <formula>"4 - Complete"</formula>
    </cfRule>
    <cfRule type="cellIs" dxfId="5106" priority="3900" stopIfTrue="1" operator="equal">
      <formula>"3 - Green"</formula>
    </cfRule>
    <cfRule type="cellIs" dxfId="5105" priority="3901" stopIfTrue="1" operator="equal">
      <formula>"2 - Yellow"</formula>
    </cfRule>
    <cfRule type="cellIs" dxfId="5104" priority="3902" stopIfTrue="1" operator="equal">
      <formula>"1 - Red"</formula>
    </cfRule>
  </conditionalFormatting>
  <conditionalFormatting sqref="L3009:L3012">
    <cfRule type="cellIs" dxfId="5103" priority="3903" stopIfTrue="1" operator="equal">
      <formula>"1 - Hard Load"</formula>
    </cfRule>
    <cfRule type="cellIs" dxfId="5102" priority="3904" stopIfTrue="1" operator="equal">
      <formula>"3 - Not Loaded"</formula>
    </cfRule>
    <cfRule type="cellIs" dxfId="5101" priority="3905" stopIfTrue="1" operator="equal">
      <formula>"2 - Soft Load"</formula>
    </cfRule>
  </conditionalFormatting>
  <conditionalFormatting sqref="D3004:D3012">
    <cfRule type="cellIs" dxfId="5100" priority="3906" stopIfTrue="1" operator="equal">
      <formula>D1042</formula>
    </cfRule>
  </conditionalFormatting>
  <conditionalFormatting sqref="D3009:D3012">
    <cfRule type="cellIs" dxfId="5099" priority="3890" stopIfTrue="1" operator="equal">
      <formula>D1050</formula>
    </cfRule>
  </conditionalFormatting>
  <conditionalFormatting sqref="D3009:D3012">
    <cfRule type="cellIs" dxfId="5098" priority="3889" stopIfTrue="1" operator="equal">
      <formula>D1050</formula>
    </cfRule>
  </conditionalFormatting>
  <conditionalFormatting sqref="D3012">
    <cfRule type="cellIs" dxfId="5097" priority="3887" stopIfTrue="1" operator="equal">
      <formula>D1053</formula>
    </cfRule>
  </conditionalFormatting>
  <conditionalFormatting sqref="D3024">
    <cfRule type="cellIs" dxfId="5096" priority="3868" stopIfTrue="1" operator="equal">
      <formula>D1064</formula>
    </cfRule>
  </conditionalFormatting>
  <conditionalFormatting sqref="AO3023:AO3026 AS3023:AS3026">
    <cfRule type="cellIs" dxfId="5095" priority="3872" stopIfTrue="1" operator="equal">
      <formula>"OK"</formula>
    </cfRule>
    <cfRule type="cellIs" dxfId="5094" priority="3873" stopIfTrue="1" operator="equal">
      <formula>"Add"</formula>
    </cfRule>
  </conditionalFormatting>
  <conditionalFormatting sqref="J3023:J3026">
    <cfRule type="cellIs" dxfId="5093" priority="3874" stopIfTrue="1" operator="equal">
      <formula>"Lockdown"</formula>
    </cfRule>
    <cfRule type="cellIs" dxfId="5092" priority="3875" stopIfTrue="1" operator="equal">
      <formula>"OOM"</formula>
    </cfRule>
    <cfRule type="cellIs" dxfId="5091" priority="3876" stopIfTrue="1" operator="equal">
      <formula>"Placeholder"</formula>
    </cfRule>
  </conditionalFormatting>
  <conditionalFormatting sqref="T3023:AA3026">
    <cfRule type="cellIs" dxfId="5090" priority="3877" stopIfTrue="1" operator="equal">
      <formula>"Blue - Completed"</formula>
    </cfRule>
    <cfRule type="cellIs" dxfId="5089" priority="3878" stopIfTrue="1" operator="equal">
      <formula>"Green - Started on Sched"</formula>
    </cfRule>
    <cfRule type="cellIs" dxfId="5088" priority="3879" stopIfTrue="1" operator="between">
      <formula>"Q"</formula>
      <formula>"T"</formula>
    </cfRule>
  </conditionalFormatting>
  <conditionalFormatting sqref="G3023:G3026">
    <cfRule type="cellIs" dxfId="5087" priority="3871" stopIfTrue="1" operator="equal">
      <formula>"4 - Complete"</formula>
    </cfRule>
    <cfRule type="cellIs" dxfId="5086" priority="3880" stopIfTrue="1" operator="equal">
      <formula>"3 - Green"</formula>
    </cfRule>
    <cfRule type="cellIs" dxfId="5085" priority="3881" stopIfTrue="1" operator="equal">
      <formula>"2 - Yellow"</formula>
    </cfRule>
    <cfRule type="cellIs" dxfId="5084" priority="3882" stopIfTrue="1" operator="equal">
      <formula>"1 - Red"</formula>
    </cfRule>
  </conditionalFormatting>
  <conditionalFormatting sqref="L3023:L3026">
    <cfRule type="cellIs" dxfId="5083" priority="3883" stopIfTrue="1" operator="equal">
      <formula>"1 - Hard Load"</formula>
    </cfRule>
    <cfRule type="cellIs" dxfId="5082" priority="3884" stopIfTrue="1" operator="equal">
      <formula>"3 - Not Loaded"</formula>
    </cfRule>
    <cfRule type="cellIs" dxfId="5081" priority="3885" stopIfTrue="1" operator="equal">
      <formula>"2 - Soft Load"</formula>
    </cfRule>
  </conditionalFormatting>
  <conditionalFormatting sqref="D3022:D3026 D3045:D3046">
    <cfRule type="cellIs" dxfId="5080" priority="3886" stopIfTrue="1" operator="equal">
      <formula>D1059</formula>
    </cfRule>
  </conditionalFormatting>
  <conditionalFormatting sqref="D3023:D3026">
    <cfRule type="cellIs" dxfId="5079" priority="3870" stopIfTrue="1" operator="equal">
      <formula>D1063</formula>
    </cfRule>
  </conditionalFormatting>
  <conditionalFormatting sqref="D3023:D3026">
    <cfRule type="cellIs" dxfId="5078" priority="3869" stopIfTrue="1" operator="equal">
      <formula>D1063</formula>
    </cfRule>
  </conditionalFormatting>
  <conditionalFormatting sqref="D3026">
    <cfRule type="cellIs" dxfId="5077" priority="3867" stopIfTrue="1" operator="equal">
      <formula>D1066</formula>
    </cfRule>
  </conditionalFormatting>
  <conditionalFormatting sqref="D208">
    <cfRule type="cellIs" dxfId="5076" priority="3834" stopIfTrue="1" operator="equal">
      <formula>D140</formula>
    </cfRule>
  </conditionalFormatting>
  <conditionalFormatting sqref="AO208 AS208">
    <cfRule type="cellIs" dxfId="5075" priority="3835" stopIfTrue="1" operator="equal">
      <formula>"OK"</formula>
    </cfRule>
    <cfRule type="cellIs" dxfId="5074" priority="3836" stopIfTrue="1" operator="equal">
      <formula>"Add"</formula>
    </cfRule>
  </conditionalFormatting>
  <conditionalFormatting sqref="J208">
    <cfRule type="cellIs" dxfId="5073" priority="3837" stopIfTrue="1" operator="equal">
      <formula>"Lockdown"</formula>
    </cfRule>
    <cfRule type="cellIs" dxfId="5072" priority="3838" stopIfTrue="1" operator="equal">
      <formula>"OOM"</formula>
    </cfRule>
    <cfRule type="cellIs" dxfId="5071" priority="3839" stopIfTrue="1" operator="equal">
      <formula>"Placeholder"</formula>
    </cfRule>
  </conditionalFormatting>
  <conditionalFormatting sqref="T208:AA208">
    <cfRule type="cellIs" dxfId="5070" priority="3840" stopIfTrue="1" operator="equal">
      <formula>"Blue - Completed"</formula>
    </cfRule>
    <cfRule type="cellIs" dxfId="5069" priority="3841" stopIfTrue="1" operator="equal">
      <formula>"Green - Started on Sched"</formula>
    </cfRule>
    <cfRule type="cellIs" dxfId="5068" priority="3842" stopIfTrue="1" operator="between">
      <formula>"Q"</formula>
      <formula>"T"</formula>
    </cfRule>
  </conditionalFormatting>
  <conditionalFormatting sqref="G208">
    <cfRule type="cellIs" dxfId="5067" priority="3832" stopIfTrue="1" operator="equal">
      <formula>"4 - Complete"</formula>
    </cfRule>
    <cfRule type="cellIs" dxfId="5066" priority="3843" stopIfTrue="1" operator="equal">
      <formula>"3 - Green"</formula>
    </cfRule>
    <cfRule type="cellIs" dxfId="5065" priority="3844" stopIfTrue="1" operator="equal">
      <formula>"2 - Yellow"</formula>
    </cfRule>
    <cfRule type="cellIs" dxfId="5064" priority="3845" stopIfTrue="1" operator="equal">
      <formula>"1 - Red"</formula>
    </cfRule>
  </conditionalFormatting>
  <conditionalFormatting sqref="L208">
    <cfRule type="cellIs" dxfId="5063" priority="3846" stopIfTrue="1" operator="equal">
      <formula>"1 - Hard Load"</formula>
    </cfRule>
    <cfRule type="cellIs" dxfId="5062" priority="3847" stopIfTrue="1" operator="equal">
      <formula>"3 - Not Loaded"</formula>
    </cfRule>
    <cfRule type="cellIs" dxfId="5061" priority="3848" stopIfTrue="1" operator="equal">
      <formula>"2 - Soft Load"</formula>
    </cfRule>
  </conditionalFormatting>
  <conditionalFormatting sqref="D227 D232:D233">
    <cfRule type="cellIs" dxfId="5060" priority="10043" stopIfTrue="1" operator="equal">
      <formula>D170</formula>
    </cfRule>
  </conditionalFormatting>
  <conditionalFormatting sqref="AS220 AO220">
    <cfRule type="cellIs" dxfId="5059" priority="3816" stopIfTrue="1" operator="equal">
      <formula>"OK"</formula>
    </cfRule>
    <cfRule type="cellIs" dxfId="5058" priority="3817" stopIfTrue="1" operator="equal">
      <formula>"Add"</formula>
    </cfRule>
  </conditionalFormatting>
  <conditionalFormatting sqref="J220">
    <cfRule type="cellIs" dxfId="5057" priority="3818" stopIfTrue="1" operator="equal">
      <formula>"Lockdown"</formula>
    </cfRule>
    <cfRule type="cellIs" dxfId="5056" priority="3819" stopIfTrue="1" operator="equal">
      <formula>"OOM"</formula>
    </cfRule>
    <cfRule type="cellIs" dxfId="5055" priority="3820" stopIfTrue="1" operator="equal">
      <formula>"Placeholder"</formula>
    </cfRule>
  </conditionalFormatting>
  <conditionalFormatting sqref="T220:AA220">
    <cfRule type="cellIs" dxfId="5054" priority="3821" stopIfTrue="1" operator="equal">
      <formula>"Blue - Completed"</formula>
    </cfRule>
    <cfRule type="cellIs" dxfId="5053" priority="3822" stopIfTrue="1" operator="equal">
      <formula>"Green - Started on Sched"</formula>
    </cfRule>
    <cfRule type="cellIs" dxfId="5052" priority="3823" stopIfTrue="1" operator="between">
      <formula>"Q"</formula>
      <formula>"T"</formula>
    </cfRule>
  </conditionalFormatting>
  <conditionalFormatting sqref="G220">
    <cfRule type="cellIs" dxfId="5051" priority="3815" stopIfTrue="1" operator="equal">
      <formula>"4 - Complete"</formula>
    </cfRule>
    <cfRule type="cellIs" dxfId="5050" priority="3824" stopIfTrue="1" operator="equal">
      <formula>"3 - Green"</formula>
    </cfRule>
    <cfRule type="cellIs" dxfId="5049" priority="3825" stopIfTrue="1" operator="equal">
      <formula>"2 - Yellow"</formula>
    </cfRule>
    <cfRule type="cellIs" dxfId="5048" priority="3826" stopIfTrue="1" operator="equal">
      <formula>"1 - Red"</formula>
    </cfRule>
  </conditionalFormatting>
  <conditionalFormatting sqref="L220">
    <cfRule type="cellIs" dxfId="5047" priority="3827" stopIfTrue="1" operator="equal">
      <formula>"1 - Hard Load"</formula>
    </cfRule>
    <cfRule type="cellIs" dxfId="5046" priority="3828" stopIfTrue="1" operator="equal">
      <formula>"3 - Not Loaded"</formula>
    </cfRule>
    <cfRule type="cellIs" dxfId="5045" priority="3829" stopIfTrue="1" operator="equal">
      <formula>"2 - Soft Load"</formula>
    </cfRule>
  </conditionalFormatting>
  <conditionalFormatting sqref="D220">
    <cfRule type="cellIs" dxfId="5044" priority="3830" stopIfTrue="1" operator="equal">
      <formula>D148</formula>
    </cfRule>
  </conditionalFormatting>
  <conditionalFormatting sqref="D220">
    <cfRule type="cellIs" dxfId="5043" priority="3814" stopIfTrue="1" operator="equal">
      <formula>D162</formula>
    </cfRule>
  </conditionalFormatting>
  <conditionalFormatting sqref="D220">
    <cfRule type="cellIs" dxfId="5042" priority="3831" stopIfTrue="1" operator="equal">
      <formula>#REF!</formula>
    </cfRule>
  </conditionalFormatting>
  <conditionalFormatting sqref="D3027">
    <cfRule type="cellIs" dxfId="5041" priority="3779" stopIfTrue="1" operator="equal">
      <formula>D1067</formula>
    </cfRule>
  </conditionalFormatting>
  <conditionalFormatting sqref="AO3027:AO3029 AS3027:AS3029">
    <cfRule type="cellIs" dxfId="5040" priority="3783" stopIfTrue="1" operator="equal">
      <formula>"OK"</formula>
    </cfRule>
    <cfRule type="cellIs" dxfId="5039" priority="3784" stopIfTrue="1" operator="equal">
      <formula>"Add"</formula>
    </cfRule>
  </conditionalFormatting>
  <conditionalFormatting sqref="J3027:J3029">
    <cfRule type="cellIs" dxfId="5038" priority="3785" stopIfTrue="1" operator="equal">
      <formula>"Lockdown"</formula>
    </cfRule>
    <cfRule type="cellIs" dxfId="5037" priority="3786" stopIfTrue="1" operator="equal">
      <formula>"OOM"</formula>
    </cfRule>
    <cfRule type="cellIs" dxfId="5036" priority="3787" stopIfTrue="1" operator="equal">
      <formula>"Placeholder"</formula>
    </cfRule>
  </conditionalFormatting>
  <conditionalFormatting sqref="T3027:AA3029">
    <cfRule type="cellIs" dxfId="5035" priority="3788" stopIfTrue="1" operator="equal">
      <formula>"Blue - Completed"</formula>
    </cfRule>
    <cfRule type="cellIs" dxfId="5034" priority="3789" stopIfTrue="1" operator="equal">
      <formula>"Green - Started on Sched"</formula>
    </cfRule>
    <cfRule type="cellIs" dxfId="5033" priority="3790" stopIfTrue="1" operator="between">
      <formula>"Q"</formula>
      <formula>"T"</formula>
    </cfRule>
  </conditionalFormatting>
  <conditionalFormatting sqref="G3027:G3029">
    <cfRule type="cellIs" dxfId="5032" priority="3782" stopIfTrue="1" operator="equal">
      <formula>"4 - Complete"</formula>
    </cfRule>
    <cfRule type="cellIs" dxfId="5031" priority="3791" stopIfTrue="1" operator="equal">
      <formula>"3 - Green"</formula>
    </cfRule>
    <cfRule type="cellIs" dxfId="5030" priority="3792" stopIfTrue="1" operator="equal">
      <formula>"2 - Yellow"</formula>
    </cfRule>
    <cfRule type="cellIs" dxfId="5029" priority="3793" stopIfTrue="1" operator="equal">
      <formula>"1 - Red"</formula>
    </cfRule>
  </conditionalFormatting>
  <conditionalFormatting sqref="L3027:L3029">
    <cfRule type="cellIs" dxfId="5028" priority="3794" stopIfTrue="1" operator="equal">
      <formula>"1 - Hard Load"</formula>
    </cfRule>
    <cfRule type="cellIs" dxfId="5027" priority="3795" stopIfTrue="1" operator="equal">
      <formula>"3 - Not Loaded"</formula>
    </cfRule>
    <cfRule type="cellIs" dxfId="5026" priority="3796" stopIfTrue="1" operator="equal">
      <formula>"2 - Soft Load"</formula>
    </cfRule>
  </conditionalFormatting>
  <conditionalFormatting sqref="D3027:D3029">
    <cfRule type="cellIs" dxfId="5025" priority="3797" stopIfTrue="1" operator="equal">
      <formula>D1064</formula>
    </cfRule>
  </conditionalFormatting>
  <conditionalFormatting sqref="D3027:D3029">
    <cfRule type="cellIs" dxfId="5024" priority="3781" stopIfTrue="1" operator="equal">
      <formula>D1067</formula>
    </cfRule>
  </conditionalFormatting>
  <conditionalFormatting sqref="D3027:D3029">
    <cfRule type="cellIs" dxfId="5023" priority="3780" stopIfTrue="1" operator="equal">
      <formula>D1067</formula>
    </cfRule>
  </conditionalFormatting>
  <conditionalFormatting sqref="D3029">
    <cfRule type="cellIs" dxfId="5022" priority="3778" stopIfTrue="1" operator="equal">
      <formula>D1069</formula>
    </cfRule>
  </conditionalFormatting>
  <conditionalFormatting sqref="D3030:D3034">
    <cfRule type="cellIs" dxfId="5021" priority="3777" stopIfTrue="1" operator="equal">
      <formula>D1070</formula>
    </cfRule>
  </conditionalFormatting>
  <conditionalFormatting sqref="AS3030:AS3034 AO3030:AO3034">
    <cfRule type="cellIs" dxfId="5020" priority="3763" stopIfTrue="1" operator="equal">
      <formula>"OK"</formula>
    </cfRule>
    <cfRule type="cellIs" dxfId="5019" priority="3764" stopIfTrue="1" operator="equal">
      <formula>"Add"</formula>
    </cfRule>
  </conditionalFormatting>
  <conditionalFormatting sqref="J3030:J3034">
    <cfRule type="cellIs" dxfId="5018" priority="3765" stopIfTrue="1" operator="equal">
      <formula>"Lockdown"</formula>
    </cfRule>
    <cfRule type="cellIs" dxfId="5017" priority="3766" stopIfTrue="1" operator="equal">
      <formula>"OOM"</formula>
    </cfRule>
    <cfRule type="cellIs" dxfId="5016" priority="3767" stopIfTrue="1" operator="equal">
      <formula>"Placeholder"</formula>
    </cfRule>
  </conditionalFormatting>
  <conditionalFormatting sqref="T3030:AA3034">
    <cfRule type="cellIs" dxfId="5015" priority="3768" stopIfTrue="1" operator="equal">
      <formula>"Blue - Completed"</formula>
    </cfRule>
    <cfRule type="cellIs" dxfId="5014" priority="3769" stopIfTrue="1" operator="equal">
      <formula>"Green - Started on Sched"</formula>
    </cfRule>
    <cfRule type="cellIs" dxfId="5013" priority="3770" stopIfTrue="1" operator="between">
      <formula>"Q"</formula>
      <formula>"T"</formula>
    </cfRule>
  </conditionalFormatting>
  <conditionalFormatting sqref="G3030:G3034">
    <cfRule type="cellIs" dxfId="5012" priority="3762" stopIfTrue="1" operator="equal">
      <formula>"4 - Complete"</formula>
    </cfRule>
    <cfRule type="cellIs" dxfId="5011" priority="3771" stopIfTrue="1" operator="equal">
      <formula>"3 - Green"</formula>
    </cfRule>
    <cfRule type="cellIs" dxfId="5010" priority="3772" stopIfTrue="1" operator="equal">
      <formula>"2 - Yellow"</formula>
    </cfRule>
    <cfRule type="cellIs" dxfId="5009" priority="3773" stopIfTrue="1" operator="equal">
      <formula>"1 - Red"</formula>
    </cfRule>
  </conditionalFormatting>
  <conditionalFormatting sqref="L3030:L3034">
    <cfRule type="cellIs" dxfId="5008" priority="3774" stopIfTrue="1" operator="equal">
      <formula>"1 - Hard Load"</formula>
    </cfRule>
    <cfRule type="cellIs" dxfId="5007" priority="3775" stopIfTrue="1" operator="equal">
      <formula>"3 - Not Loaded"</formula>
    </cfRule>
    <cfRule type="cellIs" dxfId="5006" priority="3776" stopIfTrue="1" operator="equal">
      <formula>"2 - Soft Load"</formula>
    </cfRule>
  </conditionalFormatting>
  <conditionalFormatting sqref="D3032">
    <cfRule type="cellIs" dxfId="5005" priority="3761" stopIfTrue="1" operator="equal">
      <formula>D1072</formula>
    </cfRule>
  </conditionalFormatting>
  <conditionalFormatting sqref="D3036">
    <cfRule type="cellIs" dxfId="5004" priority="3742" stopIfTrue="1" operator="equal">
      <formula>D1076</formula>
    </cfRule>
  </conditionalFormatting>
  <conditionalFormatting sqref="AO3035:AO3038 AS3035:AS3038">
    <cfRule type="cellIs" dxfId="5003" priority="3746" stopIfTrue="1" operator="equal">
      <formula>"OK"</formula>
    </cfRule>
    <cfRule type="cellIs" dxfId="5002" priority="3747" stopIfTrue="1" operator="equal">
      <formula>"Add"</formula>
    </cfRule>
  </conditionalFormatting>
  <conditionalFormatting sqref="J3035:J3038">
    <cfRule type="cellIs" dxfId="5001" priority="3748" stopIfTrue="1" operator="equal">
      <formula>"Lockdown"</formula>
    </cfRule>
    <cfRule type="cellIs" dxfId="5000" priority="3749" stopIfTrue="1" operator="equal">
      <formula>"OOM"</formula>
    </cfRule>
    <cfRule type="cellIs" dxfId="4999" priority="3750" stopIfTrue="1" operator="equal">
      <formula>"Placeholder"</formula>
    </cfRule>
  </conditionalFormatting>
  <conditionalFormatting sqref="T3035:AA3038">
    <cfRule type="cellIs" dxfId="4998" priority="3751" stopIfTrue="1" operator="equal">
      <formula>"Blue - Completed"</formula>
    </cfRule>
    <cfRule type="cellIs" dxfId="4997" priority="3752" stopIfTrue="1" operator="equal">
      <formula>"Green - Started on Sched"</formula>
    </cfRule>
    <cfRule type="cellIs" dxfId="4996" priority="3753" stopIfTrue="1" operator="between">
      <formula>"Q"</formula>
      <formula>"T"</formula>
    </cfRule>
  </conditionalFormatting>
  <conditionalFormatting sqref="G3035:G3038">
    <cfRule type="cellIs" dxfId="4995" priority="3745" stopIfTrue="1" operator="equal">
      <formula>"4 - Complete"</formula>
    </cfRule>
    <cfRule type="cellIs" dxfId="4994" priority="3754" stopIfTrue="1" operator="equal">
      <formula>"3 - Green"</formula>
    </cfRule>
    <cfRule type="cellIs" dxfId="4993" priority="3755" stopIfTrue="1" operator="equal">
      <formula>"2 - Yellow"</formula>
    </cfRule>
    <cfRule type="cellIs" dxfId="4992" priority="3756" stopIfTrue="1" operator="equal">
      <formula>"1 - Red"</formula>
    </cfRule>
  </conditionalFormatting>
  <conditionalFormatting sqref="L3035:L3038">
    <cfRule type="cellIs" dxfId="4991" priority="3757" stopIfTrue="1" operator="equal">
      <formula>"1 - Hard Load"</formula>
    </cfRule>
    <cfRule type="cellIs" dxfId="4990" priority="3758" stopIfTrue="1" operator="equal">
      <formula>"3 - Not Loaded"</formula>
    </cfRule>
    <cfRule type="cellIs" dxfId="4989" priority="3759" stopIfTrue="1" operator="equal">
      <formula>"2 - Soft Load"</formula>
    </cfRule>
  </conditionalFormatting>
  <conditionalFormatting sqref="D3030:D3038">
    <cfRule type="cellIs" dxfId="4988" priority="3760" stopIfTrue="1" operator="equal">
      <formula>D1067</formula>
    </cfRule>
  </conditionalFormatting>
  <conditionalFormatting sqref="D3035:D3038">
    <cfRule type="cellIs" dxfId="4987" priority="3744" stopIfTrue="1" operator="equal">
      <formula>D1075</formula>
    </cfRule>
  </conditionalFormatting>
  <conditionalFormatting sqref="D3035:D3038">
    <cfRule type="cellIs" dxfId="4986" priority="3743" stopIfTrue="1" operator="equal">
      <formula>D1075</formula>
    </cfRule>
  </conditionalFormatting>
  <conditionalFormatting sqref="D3038">
    <cfRule type="cellIs" dxfId="4985" priority="3741" stopIfTrue="1" operator="equal">
      <formula>D1078</formula>
    </cfRule>
  </conditionalFormatting>
  <conditionalFormatting sqref="D235">
    <cfRule type="cellIs" dxfId="4984" priority="10138" stopIfTrue="1" operator="equal">
      <formula>D178</formula>
    </cfRule>
  </conditionalFormatting>
  <conditionalFormatting sqref="AO308 AS308">
    <cfRule type="cellIs" dxfId="4983" priority="3710" stopIfTrue="1" operator="equal">
      <formula>"OK"</formula>
    </cfRule>
    <cfRule type="cellIs" dxfId="4982" priority="3711" stopIfTrue="1" operator="equal">
      <formula>"Add"</formula>
    </cfRule>
  </conditionalFormatting>
  <conditionalFormatting sqref="J308">
    <cfRule type="cellIs" dxfId="4981" priority="3712" stopIfTrue="1" operator="equal">
      <formula>"Lockdown"</formula>
    </cfRule>
    <cfRule type="cellIs" dxfId="4980" priority="3713" stopIfTrue="1" operator="equal">
      <formula>"OOM"</formula>
    </cfRule>
    <cfRule type="cellIs" dxfId="4979" priority="3714" stopIfTrue="1" operator="equal">
      <formula>"Placeholder"</formula>
    </cfRule>
  </conditionalFormatting>
  <conditionalFormatting sqref="T308:AA308">
    <cfRule type="cellIs" dxfId="4978" priority="3715" stopIfTrue="1" operator="equal">
      <formula>"Blue - Completed"</formula>
    </cfRule>
    <cfRule type="cellIs" dxfId="4977" priority="3716" stopIfTrue="1" operator="equal">
      <formula>"Green - Started on Sched"</formula>
    </cfRule>
    <cfRule type="cellIs" dxfId="4976" priority="3717" stopIfTrue="1" operator="between">
      <formula>"Q"</formula>
      <formula>"T"</formula>
    </cfRule>
  </conditionalFormatting>
  <conditionalFormatting sqref="G308">
    <cfRule type="cellIs" dxfId="4975" priority="3709" stopIfTrue="1" operator="equal">
      <formula>"4 - Complete"</formula>
    </cfRule>
    <cfRule type="cellIs" dxfId="4974" priority="3718" stopIfTrue="1" operator="equal">
      <formula>"3 - Green"</formula>
    </cfRule>
    <cfRule type="cellIs" dxfId="4973" priority="3719" stopIfTrue="1" operator="equal">
      <formula>"2 - Yellow"</formula>
    </cfRule>
    <cfRule type="cellIs" dxfId="4972" priority="3720" stopIfTrue="1" operator="equal">
      <formula>"1 - Red"</formula>
    </cfRule>
  </conditionalFormatting>
  <conditionalFormatting sqref="L308">
    <cfRule type="cellIs" dxfId="4971" priority="3721" stopIfTrue="1" operator="equal">
      <formula>"1 - Hard Load"</formula>
    </cfRule>
    <cfRule type="cellIs" dxfId="4970" priority="3722" stopIfTrue="1" operator="equal">
      <formula>"3 - Not Loaded"</formula>
    </cfRule>
    <cfRule type="cellIs" dxfId="4969" priority="3723" stopIfTrue="1" operator="equal">
      <formula>"2 - Soft Load"</formula>
    </cfRule>
  </conditionalFormatting>
  <conditionalFormatting sqref="D308">
    <cfRule type="cellIs" dxfId="4968" priority="3708" stopIfTrue="1" operator="equal">
      <formula>D268</formula>
    </cfRule>
  </conditionalFormatting>
  <conditionalFormatting sqref="AO307 AS307">
    <cfRule type="cellIs" dxfId="4967" priority="3694" stopIfTrue="1" operator="equal">
      <formula>"OK"</formula>
    </cfRule>
    <cfRule type="cellIs" dxfId="4966" priority="3695" stopIfTrue="1" operator="equal">
      <formula>"Add"</formula>
    </cfRule>
  </conditionalFormatting>
  <conditionalFormatting sqref="J307">
    <cfRule type="cellIs" dxfId="4965" priority="3696" stopIfTrue="1" operator="equal">
      <formula>"Lockdown"</formula>
    </cfRule>
    <cfRule type="cellIs" dxfId="4964" priority="3697" stopIfTrue="1" operator="equal">
      <formula>"OOM"</formula>
    </cfRule>
    <cfRule type="cellIs" dxfId="4963" priority="3698" stopIfTrue="1" operator="equal">
      <formula>"Placeholder"</formula>
    </cfRule>
  </conditionalFormatting>
  <conditionalFormatting sqref="T307:AA307">
    <cfRule type="cellIs" dxfId="4962" priority="3699" stopIfTrue="1" operator="equal">
      <formula>"Blue - Completed"</formula>
    </cfRule>
    <cfRule type="cellIs" dxfId="4961" priority="3700" stopIfTrue="1" operator="equal">
      <formula>"Green - Started on Sched"</formula>
    </cfRule>
    <cfRule type="cellIs" dxfId="4960" priority="3701" stopIfTrue="1" operator="between">
      <formula>"Q"</formula>
      <formula>"T"</formula>
    </cfRule>
  </conditionalFormatting>
  <conditionalFormatting sqref="G307">
    <cfRule type="cellIs" dxfId="4959" priority="3693" stopIfTrue="1" operator="equal">
      <formula>"4 - Complete"</formula>
    </cfRule>
    <cfRule type="cellIs" dxfId="4958" priority="3702" stopIfTrue="1" operator="equal">
      <formula>"3 - Green"</formula>
    </cfRule>
    <cfRule type="cellIs" dxfId="4957" priority="3703" stopIfTrue="1" operator="equal">
      <formula>"2 - Yellow"</formula>
    </cfRule>
    <cfRule type="cellIs" dxfId="4956" priority="3704" stopIfTrue="1" operator="equal">
      <formula>"1 - Red"</formula>
    </cfRule>
  </conditionalFormatting>
  <conditionalFormatting sqref="L307">
    <cfRule type="cellIs" dxfId="4955" priority="3705" stopIfTrue="1" operator="equal">
      <formula>"1 - Hard Load"</formula>
    </cfRule>
    <cfRule type="cellIs" dxfId="4954" priority="3706" stopIfTrue="1" operator="equal">
      <formula>"3 - Not Loaded"</formula>
    </cfRule>
    <cfRule type="cellIs" dxfId="4953" priority="3707" stopIfTrue="1" operator="equal">
      <formula>"2 - Soft Load"</formula>
    </cfRule>
  </conditionalFormatting>
  <conditionalFormatting sqref="D307">
    <cfRule type="cellIs" dxfId="4952" priority="3692" stopIfTrue="1" operator="equal">
      <formula>D267</formula>
    </cfRule>
  </conditionalFormatting>
  <conditionalFormatting sqref="AS3045:AS3050 AO3045:AO3050">
    <cfRule type="cellIs" dxfId="4951" priority="3677" stopIfTrue="1" operator="equal">
      <formula>"OK"</formula>
    </cfRule>
    <cfRule type="cellIs" dxfId="4950" priority="3678" stopIfTrue="1" operator="equal">
      <formula>"Add"</formula>
    </cfRule>
  </conditionalFormatting>
  <conditionalFormatting sqref="J3045:J3050">
    <cfRule type="cellIs" dxfId="4949" priority="3679" stopIfTrue="1" operator="equal">
      <formula>"Lockdown"</formula>
    </cfRule>
    <cfRule type="cellIs" dxfId="4948" priority="3680" stopIfTrue="1" operator="equal">
      <formula>"OOM"</formula>
    </cfRule>
    <cfRule type="cellIs" dxfId="4947" priority="3681" stopIfTrue="1" operator="equal">
      <formula>"Placeholder"</formula>
    </cfRule>
  </conditionalFormatting>
  <conditionalFormatting sqref="T3045:AA3050">
    <cfRule type="cellIs" dxfId="4946" priority="3682" stopIfTrue="1" operator="equal">
      <formula>"Blue - Completed"</formula>
    </cfRule>
    <cfRule type="cellIs" dxfId="4945" priority="3683" stopIfTrue="1" operator="equal">
      <formula>"Green - Started on Sched"</formula>
    </cfRule>
    <cfRule type="cellIs" dxfId="4944" priority="3684" stopIfTrue="1" operator="between">
      <formula>"Q"</formula>
      <formula>"T"</formula>
    </cfRule>
  </conditionalFormatting>
  <conditionalFormatting sqref="G3045:G3050">
    <cfRule type="cellIs" dxfId="4943" priority="3676" stopIfTrue="1" operator="equal">
      <formula>"4 - Complete"</formula>
    </cfRule>
    <cfRule type="cellIs" dxfId="4942" priority="3685" stopIfTrue="1" operator="equal">
      <formula>"3 - Green"</formula>
    </cfRule>
    <cfRule type="cellIs" dxfId="4941" priority="3686" stopIfTrue="1" operator="equal">
      <formula>"2 - Yellow"</formula>
    </cfRule>
    <cfRule type="cellIs" dxfId="4940" priority="3687" stopIfTrue="1" operator="equal">
      <formula>"1 - Red"</formula>
    </cfRule>
  </conditionalFormatting>
  <conditionalFormatting sqref="L3045:L3050">
    <cfRule type="cellIs" dxfId="4939" priority="3688" stopIfTrue="1" operator="equal">
      <formula>"1 - Hard Load"</formula>
    </cfRule>
    <cfRule type="cellIs" dxfId="4938" priority="3689" stopIfTrue="1" operator="equal">
      <formula>"3 - Not Loaded"</formula>
    </cfRule>
    <cfRule type="cellIs" dxfId="4937" priority="3690" stopIfTrue="1" operator="equal">
      <formula>"2 - Soft Load"</formula>
    </cfRule>
  </conditionalFormatting>
  <conditionalFormatting sqref="D3047:D3050 D3082 D3062">
    <cfRule type="cellIs" dxfId="4936" priority="3675" stopIfTrue="1" operator="equal">
      <formula>D1086</formula>
    </cfRule>
  </conditionalFormatting>
  <conditionalFormatting sqref="D3052">
    <cfRule type="cellIs" dxfId="4935" priority="3656" stopIfTrue="1" operator="equal">
      <formula>D1091</formula>
    </cfRule>
  </conditionalFormatting>
  <conditionalFormatting sqref="AO3051:AO3054 AS3051:AS3054">
    <cfRule type="cellIs" dxfId="4934" priority="3660" stopIfTrue="1" operator="equal">
      <formula>"OK"</formula>
    </cfRule>
    <cfRule type="cellIs" dxfId="4933" priority="3661" stopIfTrue="1" operator="equal">
      <formula>"Add"</formula>
    </cfRule>
  </conditionalFormatting>
  <conditionalFormatting sqref="J3051:J3054">
    <cfRule type="cellIs" dxfId="4932" priority="3662" stopIfTrue="1" operator="equal">
      <formula>"Lockdown"</formula>
    </cfRule>
    <cfRule type="cellIs" dxfId="4931" priority="3663" stopIfTrue="1" operator="equal">
      <formula>"OOM"</formula>
    </cfRule>
    <cfRule type="cellIs" dxfId="4930" priority="3664" stopIfTrue="1" operator="equal">
      <formula>"Placeholder"</formula>
    </cfRule>
  </conditionalFormatting>
  <conditionalFormatting sqref="T3051:AA3054">
    <cfRule type="cellIs" dxfId="4929" priority="3665" stopIfTrue="1" operator="equal">
      <formula>"Blue - Completed"</formula>
    </cfRule>
    <cfRule type="cellIs" dxfId="4928" priority="3666" stopIfTrue="1" operator="equal">
      <formula>"Green - Started on Sched"</formula>
    </cfRule>
    <cfRule type="cellIs" dxfId="4927" priority="3667" stopIfTrue="1" operator="between">
      <formula>"Q"</formula>
      <formula>"T"</formula>
    </cfRule>
  </conditionalFormatting>
  <conditionalFormatting sqref="G3051:G3054">
    <cfRule type="cellIs" dxfId="4926" priority="3659" stopIfTrue="1" operator="equal">
      <formula>"4 - Complete"</formula>
    </cfRule>
    <cfRule type="cellIs" dxfId="4925" priority="3668" stopIfTrue="1" operator="equal">
      <formula>"3 - Green"</formula>
    </cfRule>
    <cfRule type="cellIs" dxfId="4924" priority="3669" stopIfTrue="1" operator="equal">
      <formula>"2 - Yellow"</formula>
    </cfRule>
    <cfRule type="cellIs" dxfId="4923" priority="3670" stopIfTrue="1" operator="equal">
      <formula>"1 - Red"</formula>
    </cfRule>
  </conditionalFormatting>
  <conditionalFormatting sqref="L3051:L3054">
    <cfRule type="cellIs" dxfId="4922" priority="3671" stopIfTrue="1" operator="equal">
      <formula>"1 - Hard Load"</formula>
    </cfRule>
    <cfRule type="cellIs" dxfId="4921" priority="3672" stopIfTrue="1" operator="equal">
      <formula>"3 - Not Loaded"</formula>
    </cfRule>
    <cfRule type="cellIs" dxfId="4920" priority="3673" stopIfTrue="1" operator="equal">
      <formula>"2 - Soft Load"</formula>
    </cfRule>
  </conditionalFormatting>
  <conditionalFormatting sqref="D3051:D3054">
    <cfRule type="cellIs" dxfId="4919" priority="3658" stopIfTrue="1" operator="equal">
      <formula>D1090</formula>
    </cfRule>
  </conditionalFormatting>
  <conditionalFormatting sqref="D3051:D3054">
    <cfRule type="cellIs" dxfId="4918" priority="3657" stopIfTrue="1" operator="equal">
      <formula>D1090</formula>
    </cfRule>
  </conditionalFormatting>
  <conditionalFormatting sqref="D3054">
    <cfRule type="cellIs" dxfId="4917" priority="3655" stopIfTrue="1" operator="equal">
      <formula>D1093</formula>
    </cfRule>
  </conditionalFormatting>
  <conditionalFormatting sqref="D3039:D3040">
    <cfRule type="cellIs" dxfId="4916" priority="3654" stopIfTrue="1" operator="equal">
      <formula>D1079</formula>
    </cfRule>
  </conditionalFormatting>
  <conditionalFormatting sqref="AS3039:AS3040 AO3039:AO3040">
    <cfRule type="cellIs" dxfId="4915" priority="3640" stopIfTrue="1" operator="equal">
      <formula>"OK"</formula>
    </cfRule>
    <cfRule type="cellIs" dxfId="4914" priority="3641" stopIfTrue="1" operator="equal">
      <formula>"Add"</formula>
    </cfRule>
  </conditionalFormatting>
  <conditionalFormatting sqref="J3039:J3040">
    <cfRule type="cellIs" dxfId="4913" priority="3642" stopIfTrue="1" operator="equal">
      <formula>"Lockdown"</formula>
    </cfRule>
    <cfRule type="cellIs" dxfId="4912" priority="3643" stopIfTrue="1" operator="equal">
      <formula>"OOM"</formula>
    </cfRule>
    <cfRule type="cellIs" dxfId="4911" priority="3644" stopIfTrue="1" operator="equal">
      <formula>"Placeholder"</formula>
    </cfRule>
  </conditionalFormatting>
  <conditionalFormatting sqref="T3039:AA3040">
    <cfRule type="cellIs" dxfId="4910" priority="3645" stopIfTrue="1" operator="equal">
      <formula>"Blue - Completed"</formula>
    </cfRule>
    <cfRule type="cellIs" dxfId="4909" priority="3646" stopIfTrue="1" operator="equal">
      <formula>"Green - Started on Sched"</formula>
    </cfRule>
    <cfRule type="cellIs" dxfId="4908" priority="3647" stopIfTrue="1" operator="between">
      <formula>"Q"</formula>
      <formula>"T"</formula>
    </cfRule>
  </conditionalFormatting>
  <conditionalFormatting sqref="G3039:G3040">
    <cfRule type="cellIs" dxfId="4907" priority="3639" stopIfTrue="1" operator="equal">
      <formula>"4 - Complete"</formula>
    </cfRule>
    <cfRule type="cellIs" dxfId="4906" priority="3648" stopIfTrue="1" operator="equal">
      <formula>"3 - Green"</formula>
    </cfRule>
    <cfRule type="cellIs" dxfId="4905" priority="3649" stopIfTrue="1" operator="equal">
      <formula>"2 - Yellow"</formula>
    </cfRule>
    <cfRule type="cellIs" dxfId="4904" priority="3650" stopIfTrue="1" operator="equal">
      <formula>"1 - Red"</formula>
    </cfRule>
  </conditionalFormatting>
  <conditionalFormatting sqref="L3039:L3040">
    <cfRule type="cellIs" dxfId="4903" priority="3651" stopIfTrue="1" operator="equal">
      <formula>"1 - Hard Load"</formula>
    </cfRule>
    <cfRule type="cellIs" dxfId="4902" priority="3652" stopIfTrue="1" operator="equal">
      <formula>"3 - Not Loaded"</formula>
    </cfRule>
    <cfRule type="cellIs" dxfId="4901" priority="3653" stopIfTrue="1" operator="equal">
      <formula>"2 - Soft Load"</formula>
    </cfRule>
  </conditionalFormatting>
  <conditionalFormatting sqref="D3042">
    <cfRule type="cellIs" dxfId="4900" priority="3620" stopIfTrue="1" operator="equal">
      <formula>D1082</formula>
    </cfRule>
  </conditionalFormatting>
  <conditionalFormatting sqref="AO3041:AO3044 AS3041:AS3044">
    <cfRule type="cellIs" dxfId="4899" priority="3624" stopIfTrue="1" operator="equal">
      <formula>"OK"</formula>
    </cfRule>
    <cfRule type="cellIs" dxfId="4898" priority="3625" stopIfTrue="1" operator="equal">
      <formula>"Add"</formula>
    </cfRule>
  </conditionalFormatting>
  <conditionalFormatting sqref="J3041:J3044">
    <cfRule type="cellIs" dxfId="4897" priority="3626" stopIfTrue="1" operator="equal">
      <formula>"Lockdown"</formula>
    </cfRule>
    <cfRule type="cellIs" dxfId="4896" priority="3627" stopIfTrue="1" operator="equal">
      <formula>"OOM"</formula>
    </cfRule>
    <cfRule type="cellIs" dxfId="4895" priority="3628" stopIfTrue="1" operator="equal">
      <formula>"Placeholder"</formula>
    </cfRule>
  </conditionalFormatting>
  <conditionalFormatting sqref="T3041:AA3044">
    <cfRule type="cellIs" dxfId="4894" priority="3629" stopIfTrue="1" operator="equal">
      <formula>"Blue - Completed"</formula>
    </cfRule>
    <cfRule type="cellIs" dxfId="4893" priority="3630" stopIfTrue="1" operator="equal">
      <formula>"Green - Started on Sched"</formula>
    </cfRule>
    <cfRule type="cellIs" dxfId="4892" priority="3631" stopIfTrue="1" operator="between">
      <formula>"Q"</formula>
      <formula>"T"</formula>
    </cfRule>
  </conditionalFormatting>
  <conditionalFormatting sqref="G3041:G3044">
    <cfRule type="cellIs" dxfId="4891" priority="3623" stopIfTrue="1" operator="equal">
      <formula>"4 - Complete"</formula>
    </cfRule>
    <cfRule type="cellIs" dxfId="4890" priority="3632" stopIfTrue="1" operator="equal">
      <formula>"3 - Green"</formula>
    </cfRule>
    <cfRule type="cellIs" dxfId="4889" priority="3633" stopIfTrue="1" operator="equal">
      <formula>"2 - Yellow"</formula>
    </cfRule>
    <cfRule type="cellIs" dxfId="4888" priority="3634" stopIfTrue="1" operator="equal">
      <formula>"1 - Red"</formula>
    </cfRule>
  </conditionalFormatting>
  <conditionalFormatting sqref="L3041:L3044">
    <cfRule type="cellIs" dxfId="4887" priority="3635" stopIfTrue="1" operator="equal">
      <formula>"1 - Hard Load"</formula>
    </cfRule>
    <cfRule type="cellIs" dxfId="4886" priority="3636" stopIfTrue="1" operator="equal">
      <formula>"3 - Not Loaded"</formula>
    </cfRule>
    <cfRule type="cellIs" dxfId="4885" priority="3637" stopIfTrue="1" operator="equal">
      <formula>"2 - Soft Load"</formula>
    </cfRule>
  </conditionalFormatting>
  <conditionalFormatting sqref="D3039:D3044">
    <cfRule type="cellIs" dxfId="4884" priority="3638" stopIfTrue="1" operator="equal">
      <formula>D1076</formula>
    </cfRule>
  </conditionalFormatting>
  <conditionalFormatting sqref="D3041:D3044">
    <cfRule type="cellIs" dxfId="4883" priority="3622" stopIfTrue="1" operator="equal">
      <formula>D1081</formula>
    </cfRule>
  </conditionalFormatting>
  <conditionalFormatting sqref="D3041:D3044">
    <cfRule type="cellIs" dxfId="4882" priority="3621" stopIfTrue="1" operator="equal">
      <formula>D1081</formula>
    </cfRule>
  </conditionalFormatting>
  <conditionalFormatting sqref="D3044">
    <cfRule type="cellIs" dxfId="4881" priority="3619" stopIfTrue="1" operator="equal">
      <formula>D1084</formula>
    </cfRule>
  </conditionalFormatting>
  <conditionalFormatting sqref="D3056">
    <cfRule type="cellIs" dxfId="4880" priority="3600" stopIfTrue="1" operator="equal">
      <formula>D1095</formula>
    </cfRule>
  </conditionalFormatting>
  <conditionalFormatting sqref="AO3055:AO3058 AS3055:AS3058">
    <cfRule type="cellIs" dxfId="4879" priority="3604" stopIfTrue="1" operator="equal">
      <formula>"OK"</formula>
    </cfRule>
    <cfRule type="cellIs" dxfId="4878" priority="3605" stopIfTrue="1" operator="equal">
      <formula>"Add"</formula>
    </cfRule>
  </conditionalFormatting>
  <conditionalFormatting sqref="J3055:J3058">
    <cfRule type="cellIs" dxfId="4877" priority="3606" stopIfTrue="1" operator="equal">
      <formula>"Lockdown"</formula>
    </cfRule>
    <cfRule type="cellIs" dxfId="4876" priority="3607" stopIfTrue="1" operator="equal">
      <formula>"OOM"</formula>
    </cfRule>
    <cfRule type="cellIs" dxfId="4875" priority="3608" stopIfTrue="1" operator="equal">
      <formula>"Placeholder"</formula>
    </cfRule>
  </conditionalFormatting>
  <conditionalFormatting sqref="T3055:AA3058">
    <cfRule type="cellIs" dxfId="4874" priority="3609" stopIfTrue="1" operator="equal">
      <formula>"Blue - Completed"</formula>
    </cfRule>
    <cfRule type="cellIs" dxfId="4873" priority="3610" stopIfTrue="1" operator="equal">
      <formula>"Green - Started on Sched"</formula>
    </cfRule>
    <cfRule type="cellIs" dxfId="4872" priority="3611" stopIfTrue="1" operator="between">
      <formula>"Q"</formula>
      <formula>"T"</formula>
    </cfRule>
  </conditionalFormatting>
  <conditionalFormatting sqref="G3055:G3058">
    <cfRule type="cellIs" dxfId="4871" priority="3603" stopIfTrue="1" operator="equal">
      <formula>"4 - Complete"</formula>
    </cfRule>
    <cfRule type="cellIs" dxfId="4870" priority="3612" stopIfTrue="1" operator="equal">
      <formula>"3 - Green"</formula>
    </cfRule>
    <cfRule type="cellIs" dxfId="4869" priority="3613" stopIfTrue="1" operator="equal">
      <formula>"2 - Yellow"</formula>
    </cfRule>
    <cfRule type="cellIs" dxfId="4868" priority="3614" stopIfTrue="1" operator="equal">
      <formula>"1 - Red"</formula>
    </cfRule>
  </conditionalFormatting>
  <conditionalFormatting sqref="L3055:L3058">
    <cfRule type="cellIs" dxfId="4867" priority="3615" stopIfTrue="1" operator="equal">
      <formula>"1 - Hard Load"</formula>
    </cfRule>
    <cfRule type="cellIs" dxfId="4866" priority="3616" stopIfTrue="1" operator="equal">
      <formula>"3 - Not Loaded"</formula>
    </cfRule>
    <cfRule type="cellIs" dxfId="4865" priority="3617" stopIfTrue="1" operator="equal">
      <formula>"2 - Soft Load"</formula>
    </cfRule>
  </conditionalFormatting>
  <conditionalFormatting sqref="D3047:D3058 D3082:D3084 D3062">
    <cfRule type="cellIs" dxfId="4864" priority="3618" stopIfTrue="1" operator="equal">
      <formula>D1083</formula>
    </cfRule>
  </conditionalFormatting>
  <conditionalFormatting sqref="D3055:D3058">
    <cfRule type="cellIs" dxfId="4863" priority="3602" stopIfTrue="1" operator="equal">
      <formula>D1094</formula>
    </cfRule>
  </conditionalFormatting>
  <conditionalFormatting sqref="D3055:D3058">
    <cfRule type="cellIs" dxfId="4862" priority="3601" stopIfTrue="1" operator="equal">
      <formula>D1094</formula>
    </cfRule>
  </conditionalFormatting>
  <conditionalFormatting sqref="D3058">
    <cfRule type="cellIs" dxfId="4861" priority="3599" stopIfTrue="1" operator="equal">
      <formula>D1097</formula>
    </cfRule>
  </conditionalFormatting>
  <conditionalFormatting sqref="D3059">
    <cfRule type="cellIs" dxfId="4860" priority="3580" stopIfTrue="1" operator="equal">
      <formula>D1098</formula>
    </cfRule>
  </conditionalFormatting>
  <conditionalFormatting sqref="AO3059:AO3061 AS3059:AS3061">
    <cfRule type="cellIs" dxfId="4859" priority="3584" stopIfTrue="1" operator="equal">
      <formula>"OK"</formula>
    </cfRule>
    <cfRule type="cellIs" dxfId="4858" priority="3585" stopIfTrue="1" operator="equal">
      <formula>"Add"</formula>
    </cfRule>
  </conditionalFormatting>
  <conditionalFormatting sqref="J3059:J3061">
    <cfRule type="cellIs" dxfId="4857" priority="3586" stopIfTrue="1" operator="equal">
      <formula>"Lockdown"</formula>
    </cfRule>
    <cfRule type="cellIs" dxfId="4856" priority="3587" stopIfTrue="1" operator="equal">
      <formula>"OOM"</formula>
    </cfRule>
    <cfRule type="cellIs" dxfId="4855" priority="3588" stopIfTrue="1" operator="equal">
      <formula>"Placeholder"</formula>
    </cfRule>
  </conditionalFormatting>
  <conditionalFormatting sqref="T3059:AA3061">
    <cfRule type="cellIs" dxfId="4854" priority="3589" stopIfTrue="1" operator="equal">
      <formula>"Blue - Completed"</formula>
    </cfRule>
    <cfRule type="cellIs" dxfId="4853" priority="3590" stopIfTrue="1" operator="equal">
      <formula>"Green - Started on Sched"</formula>
    </cfRule>
    <cfRule type="cellIs" dxfId="4852" priority="3591" stopIfTrue="1" operator="between">
      <formula>"Q"</formula>
      <formula>"T"</formula>
    </cfRule>
  </conditionalFormatting>
  <conditionalFormatting sqref="G3059:G3061">
    <cfRule type="cellIs" dxfId="4851" priority="3583" stopIfTrue="1" operator="equal">
      <formula>"4 - Complete"</formula>
    </cfRule>
    <cfRule type="cellIs" dxfId="4850" priority="3592" stopIfTrue="1" operator="equal">
      <formula>"3 - Green"</formula>
    </cfRule>
    <cfRule type="cellIs" dxfId="4849" priority="3593" stopIfTrue="1" operator="equal">
      <formula>"2 - Yellow"</formula>
    </cfRule>
    <cfRule type="cellIs" dxfId="4848" priority="3594" stopIfTrue="1" operator="equal">
      <formula>"1 - Red"</formula>
    </cfRule>
  </conditionalFormatting>
  <conditionalFormatting sqref="L3059:L3061">
    <cfRule type="cellIs" dxfId="4847" priority="3595" stopIfTrue="1" operator="equal">
      <formula>"1 - Hard Load"</formula>
    </cfRule>
    <cfRule type="cellIs" dxfId="4846" priority="3596" stopIfTrue="1" operator="equal">
      <formula>"3 - Not Loaded"</formula>
    </cfRule>
    <cfRule type="cellIs" dxfId="4845" priority="3597" stopIfTrue="1" operator="equal">
      <formula>"2 - Soft Load"</formula>
    </cfRule>
  </conditionalFormatting>
  <conditionalFormatting sqref="D3059:D3061">
    <cfRule type="cellIs" dxfId="4844" priority="3598" stopIfTrue="1" operator="equal">
      <formula>D1095</formula>
    </cfRule>
  </conditionalFormatting>
  <conditionalFormatting sqref="D3059:D3061">
    <cfRule type="cellIs" dxfId="4843" priority="3582" stopIfTrue="1" operator="equal">
      <formula>D1098</formula>
    </cfRule>
  </conditionalFormatting>
  <conditionalFormatting sqref="D3059:D3061">
    <cfRule type="cellIs" dxfId="4842" priority="3581" stopIfTrue="1" operator="equal">
      <formula>D1098</formula>
    </cfRule>
  </conditionalFormatting>
  <conditionalFormatting sqref="D3061">
    <cfRule type="cellIs" dxfId="4841" priority="3579" stopIfTrue="1" operator="equal">
      <formula>D1100</formula>
    </cfRule>
  </conditionalFormatting>
  <conditionalFormatting sqref="AS3062 AO3062 AO3064:AO3067 AS3064:AS3067">
    <cfRule type="cellIs" dxfId="4840" priority="3564" stopIfTrue="1" operator="equal">
      <formula>"OK"</formula>
    </cfRule>
    <cfRule type="cellIs" dxfId="4839" priority="3565" stopIfTrue="1" operator="equal">
      <formula>"Add"</formula>
    </cfRule>
  </conditionalFormatting>
  <conditionalFormatting sqref="J3062 J3064:J3067">
    <cfRule type="cellIs" dxfId="4838" priority="3566" stopIfTrue="1" operator="equal">
      <formula>"Lockdown"</formula>
    </cfRule>
    <cfRule type="cellIs" dxfId="4837" priority="3567" stopIfTrue="1" operator="equal">
      <formula>"OOM"</formula>
    </cfRule>
    <cfRule type="cellIs" dxfId="4836" priority="3568" stopIfTrue="1" operator="equal">
      <formula>"Placeholder"</formula>
    </cfRule>
  </conditionalFormatting>
  <conditionalFormatting sqref="T3062:AA3062 T3064:AA3067">
    <cfRule type="cellIs" dxfId="4835" priority="3569" stopIfTrue="1" operator="equal">
      <formula>"Blue - Completed"</formula>
    </cfRule>
    <cfRule type="cellIs" dxfId="4834" priority="3570" stopIfTrue="1" operator="equal">
      <formula>"Green - Started on Sched"</formula>
    </cfRule>
    <cfRule type="cellIs" dxfId="4833" priority="3571" stopIfTrue="1" operator="between">
      <formula>"Q"</formula>
      <formula>"T"</formula>
    </cfRule>
  </conditionalFormatting>
  <conditionalFormatting sqref="G3062 G3064:G3067">
    <cfRule type="cellIs" dxfId="4832" priority="3563" stopIfTrue="1" operator="equal">
      <formula>"4 - Complete"</formula>
    </cfRule>
    <cfRule type="cellIs" dxfId="4831" priority="3572" stopIfTrue="1" operator="equal">
      <formula>"3 - Green"</formula>
    </cfRule>
    <cfRule type="cellIs" dxfId="4830" priority="3573" stopIfTrue="1" operator="equal">
      <formula>"2 - Yellow"</formula>
    </cfRule>
    <cfRule type="cellIs" dxfId="4829" priority="3574" stopIfTrue="1" operator="equal">
      <formula>"1 - Red"</formula>
    </cfRule>
  </conditionalFormatting>
  <conditionalFormatting sqref="L3062 L3064:L3067">
    <cfRule type="cellIs" dxfId="4828" priority="3575" stopIfTrue="1" operator="equal">
      <formula>"1 - Hard Load"</formula>
    </cfRule>
    <cfRule type="cellIs" dxfId="4827" priority="3576" stopIfTrue="1" operator="equal">
      <formula>"3 - Not Loaded"</formula>
    </cfRule>
    <cfRule type="cellIs" dxfId="4826" priority="3577" stopIfTrue="1" operator="equal">
      <formula>"2 - Soft Load"</formula>
    </cfRule>
  </conditionalFormatting>
  <conditionalFormatting sqref="D3065">
    <cfRule type="cellIs" dxfId="4825" priority="3562" stopIfTrue="1" operator="equal">
      <formula>D1103</formula>
    </cfRule>
  </conditionalFormatting>
  <conditionalFormatting sqref="D3069">
    <cfRule type="cellIs" dxfId="4824" priority="3543" stopIfTrue="1" operator="equal">
      <formula>D1107</formula>
    </cfRule>
  </conditionalFormatting>
  <conditionalFormatting sqref="AO3068:AO3071 AS3068:AS3071">
    <cfRule type="cellIs" dxfId="4823" priority="3547" stopIfTrue="1" operator="equal">
      <formula>"OK"</formula>
    </cfRule>
    <cfRule type="cellIs" dxfId="4822" priority="3548" stopIfTrue="1" operator="equal">
      <formula>"Add"</formula>
    </cfRule>
  </conditionalFormatting>
  <conditionalFormatting sqref="J3068:J3071">
    <cfRule type="cellIs" dxfId="4821" priority="3549" stopIfTrue="1" operator="equal">
      <formula>"Lockdown"</formula>
    </cfRule>
    <cfRule type="cellIs" dxfId="4820" priority="3550" stopIfTrue="1" operator="equal">
      <formula>"OOM"</formula>
    </cfRule>
    <cfRule type="cellIs" dxfId="4819" priority="3551" stopIfTrue="1" operator="equal">
      <formula>"Placeholder"</formula>
    </cfRule>
  </conditionalFormatting>
  <conditionalFormatting sqref="T3068:AA3071">
    <cfRule type="cellIs" dxfId="4818" priority="3552" stopIfTrue="1" operator="equal">
      <formula>"Blue - Completed"</formula>
    </cfRule>
    <cfRule type="cellIs" dxfId="4817" priority="3553" stopIfTrue="1" operator="equal">
      <formula>"Green - Started on Sched"</formula>
    </cfRule>
    <cfRule type="cellIs" dxfId="4816" priority="3554" stopIfTrue="1" operator="between">
      <formula>"Q"</formula>
      <formula>"T"</formula>
    </cfRule>
  </conditionalFormatting>
  <conditionalFormatting sqref="G3068:G3071">
    <cfRule type="cellIs" dxfId="4815" priority="3546" stopIfTrue="1" operator="equal">
      <formula>"4 - Complete"</formula>
    </cfRule>
    <cfRule type="cellIs" dxfId="4814" priority="3555" stopIfTrue="1" operator="equal">
      <formula>"3 - Green"</formula>
    </cfRule>
    <cfRule type="cellIs" dxfId="4813" priority="3556" stopIfTrue="1" operator="equal">
      <formula>"2 - Yellow"</formula>
    </cfRule>
    <cfRule type="cellIs" dxfId="4812" priority="3557" stopIfTrue="1" operator="equal">
      <formula>"1 - Red"</formula>
    </cfRule>
  </conditionalFormatting>
  <conditionalFormatting sqref="L3068:L3071">
    <cfRule type="cellIs" dxfId="4811" priority="3558" stopIfTrue="1" operator="equal">
      <formula>"1 - Hard Load"</formula>
    </cfRule>
    <cfRule type="cellIs" dxfId="4810" priority="3559" stopIfTrue="1" operator="equal">
      <formula>"3 - Not Loaded"</formula>
    </cfRule>
    <cfRule type="cellIs" dxfId="4809" priority="3560" stopIfTrue="1" operator="equal">
      <formula>"2 - Soft Load"</formula>
    </cfRule>
  </conditionalFormatting>
  <conditionalFormatting sqref="D3068:D3071">
    <cfRule type="cellIs" dxfId="4808" priority="3545" stopIfTrue="1" operator="equal">
      <formula>D1106</formula>
    </cfRule>
  </conditionalFormatting>
  <conditionalFormatting sqref="D3068:D3071">
    <cfRule type="cellIs" dxfId="4807" priority="3544" stopIfTrue="1" operator="equal">
      <formula>D1106</formula>
    </cfRule>
  </conditionalFormatting>
  <conditionalFormatting sqref="D3071">
    <cfRule type="cellIs" dxfId="4806" priority="3542" stopIfTrue="1" operator="equal">
      <formula>D1109</formula>
    </cfRule>
  </conditionalFormatting>
  <conditionalFormatting sqref="AO211 AS211">
    <cfRule type="cellIs" dxfId="4805" priority="3528" stopIfTrue="1" operator="equal">
      <formula>"OK"</formula>
    </cfRule>
    <cfRule type="cellIs" dxfId="4804" priority="3529" stopIfTrue="1" operator="equal">
      <formula>"Add"</formula>
    </cfRule>
  </conditionalFormatting>
  <conditionalFormatting sqref="J211">
    <cfRule type="cellIs" dxfId="4803" priority="3530" stopIfTrue="1" operator="equal">
      <formula>"Lockdown"</formula>
    </cfRule>
    <cfRule type="cellIs" dxfId="4802" priority="3531" stopIfTrue="1" operator="equal">
      <formula>"OOM"</formula>
    </cfRule>
    <cfRule type="cellIs" dxfId="4801" priority="3532" stopIfTrue="1" operator="equal">
      <formula>"Placeholder"</formula>
    </cfRule>
  </conditionalFormatting>
  <conditionalFormatting sqref="T211:AA211">
    <cfRule type="cellIs" dxfId="4800" priority="3533" stopIfTrue="1" operator="equal">
      <formula>"Blue - Completed"</formula>
    </cfRule>
    <cfRule type="cellIs" dxfId="4799" priority="3534" stopIfTrue="1" operator="equal">
      <formula>"Green - Started on Sched"</formula>
    </cfRule>
    <cfRule type="cellIs" dxfId="4798" priority="3535" stopIfTrue="1" operator="between">
      <formula>"Q"</formula>
      <formula>"T"</formula>
    </cfRule>
  </conditionalFormatting>
  <conditionalFormatting sqref="G211">
    <cfRule type="cellIs" dxfId="4797" priority="3527" stopIfTrue="1" operator="equal">
      <formula>"4 - Complete"</formula>
    </cfRule>
    <cfRule type="cellIs" dxfId="4796" priority="3536" stopIfTrue="1" operator="equal">
      <formula>"3 - Green"</formula>
    </cfRule>
    <cfRule type="cellIs" dxfId="4795" priority="3537" stopIfTrue="1" operator="equal">
      <formula>"2 - Yellow"</formula>
    </cfRule>
    <cfRule type="cellIs" dxfId="4794" priority="3538" stopIfTrue="1" operator="equal">
      <formula>"1 - Red"</formula>
    </cfRule>
  </conditionalFormatting>
  <conditionalFormatting sqref="L211">
    <cfRule type="cellIs" dxfId="4793" priority="3539" stopIfTrue="1" operator="equal">
      <formula>"1 - Hard Load"</formula>
    </cfRule>
    <cfRule type="cellIs" dxfId="4792" priority="3540" stopIfTrue="1" operator="equal">
      <formula>"3 - Not Loaded"</formula>
    </cfRule>
    <cfRule type="cellIs" dxfId="4791" priority="3541" stopIfTrue="1" operator="equal">
      <formula>"2 - Soft Load"</formula>
    </cfRule>
  </conditionalFormatting>
  <conditionalFormatting sqref="D211">
    <cfRule type="cellIs" dxfId="4790" priority="3525" stopIfTrue="1" operator="equal">
      <formula>#REF!</formula>
    </cfRule>
  </conditionalFormatting>
  <conditionalFormatting sqref="AO338 AS338">
    <cfRule type="cellIs" dxfId="4789" priority="3511" stopIfTrue="1" operator="equal">
      <formula>"OK"</formula>
    </cfRule>
    <cfRule type="cellIs" dxfId="4788" priority="3512" stopIfTrue="1" operator="equal">
      <formula>"Add"</formula>
    </cfRule>
  </conditionalFormatting>
  <conditionalFormatting sqref="J338">
    <cfRule type="cellIs" dxfId="4787" priority="3513" stopIfTrue="1" operator="equal">
      <formula>"Lockdown"</formula>
    </cfRule>
    <cfRule type="cellIs" dxfId="4786" priority="3514" stopIfTrue="1" operator="equal">
      <formula>"OOM"</formula>
    </cfRule>
    <cfRule type="cellIs" dxfId="4785" priority="3515" stopIfTrue="1" operator="equal">
      <formula>"Placeholder"</formula>
    </cfRule>
  </conditionalFormatting>
  <conditionalFormatting sqref="T338:AA338">
    <cfRule type="cellIs" dxfId="4784" priority="3516" stopIfTrue="1" operator="equal">
      <formula>"Blue - Completed"</formula>
    </cfRule>
    <cfRule type="cellIs" dxfId="4783" priority="3517" stopIfTrue="1" operator="equal">
      <formula>"Green - Started on Sched"</formula>
    </cfRule>
    <cfRule type="cellIs" dxfId="4782" priority="3518" stopIfTrue="1" operator="between">
      <formula>"Q"</formula>
      <formula>"T"</formula>
    </cfRule>
  </conditionalFormatting>
  <conditionalFormatting sqref="G338">
    <cfRule type="cellIs" dxfId="4781" priority="3510" stopIfTrue="1" operator="equal">
      <formula>"4 - Complete"</formula>
    </cfRule>
    <cfRule type="cellIs" dxfId="4780" priority="3519" stopIfTrue="1" operator="equal">
      <formula>"3 - Green"</formula>
    </cfRule>
    <cfRule type="cellIs" dxfId="4779" priority="3520" stopIfTrue="1" operator="equal">
      <formula>"2 - Yellow"</formula>
    </cfRule>
    <cfRule type="cellIs" dxfId="4778" priority="3521" stopIfTrue="1" operator="equal">
      <formula>"1 - Red"</formula>
    </cfRule>
  </conditionalFormatting>
  <conditionalFormatting sqref="L338">
    <cfRule type="cellIs" dxfId="4777" priority="3522" stopIfTrue="1" operator="equal">
      <formula>"1 - Hard Load"</formula>
    </cfRule>
    <cfRule type="cellIs" dxfId="4776" priority="3523" stopIfTrue="1" operator="equal">
      <formula>"3 - Not Loaded"</formula>
    </cfRule>
    <cfRule type="cellIs" dxfId="4775" priority="3524" stopIfTrue="1" operator="equal">
      <formula>"2 - Soft Load"</formula>
    </cfRule>
  </conditionalFormatting>
  <conditionalFormatting sqref="D338">
    <cfRule type="cellIs" dxfId="4774" priority="3509" stopIfTrue="1" operator="equal">
      <formula>D302</formula>
    </cfRule>
  </conditionalFormatting>
  <conditionalFormatting sqref="D209">
    <cfRule type="cellIs" dxfId="4773" priority="3477" stopIfTrue="1" operator="equal">
      <formula>D141</formula>
    </cfRule>
  </conditionalFormatting>
  <conditionalFormatting sqref="D209:D210">
    <cfRule type="cellIs" dxfId="4772" priority="3478" stopIfTrue="1" operator="equal">
      <formula>D140</formula>
    </cfRule>
  </conditionalFormatting>
  <conditionalFormatting sqref="AO209 AS209">
    <cfRule type="cellIs" dxfId="4771" priority="3479" stopIfTrue="1" operator="equal">
      <formula>"OK"</formula>
    </cfRule>
    <cfRule type="cellIs" dxfId="4770" priority="3480" stopIfTrue="1" operator="equal">
      <formula>"Add"</formula>
    </cfRule>
  </conditionalFormatting>
  <conditionalFormatting sqref="J209">
    <cfRule type="cellIs" dxfId="4769" priority="3481" stopIfTrue="1" operator="equal">
      <formula>"Lockdown"</formula>
    </cfRule>
    <cfRule type="cellIs" dxfId="4768" priority="3482" stopIfTrue="1" operator="equal">
      <formula>"OOM"</formula>
    </cfRule>
    <cfRule type="cellIs" dxfId="4767" priority="3483" stopIfTrue="1" operator="equal">
      <formula>"Placeholder"</formula>
    </cfRule>
  </conditionalFormatting>
  <conditionalFormatting sqref="T209:AA209">
    <cfRule type="cellIs" dxfId="4766" priority="3484" stopIfTrue="1" operator="equal">
      <formula>"Blue - Completed"</formula>
    </cfRule>
    <cfRule type="cellIs" dxfId="4765" priority="3485" stopIfTrue="1" operator="equal">
      <formula>"Green - Started on Sched"</formula>
    </cfRule>
    <cfRule type="cellIs" dxfId="4764" priority="3486" stopIfTrue="1" operator="between">
      <formula>"Q"</formula>
      <formula>"T"</formula>
    </cfRule>
  </conditionalFormatting>
  <conditionalFormatting sqref="G209">
    <cfRule type="cellIs" dxfId="4763" priority="3476" stopIfTrue="1" operator="equal">
      <formula>"4 - Complete"</formula>
    </cfRule>
    <cfRule type="cellIs" dxfId="4762" priority="3487" stopIfTrue="1" operator="equal">
      <formula>"3 - Green"</formula>
    </cfRule>
    <cfRule type="cellIs" dxfId="4761" priority="3488" stopIfTrue="1" operator="equal">
      <formula>"2 - Yellow"</formula>
    </cfRule>
    <cfRule type="cellIs" dxfId="4760" priority="3489" stopIfTrue="1" operator="equal">
      <formula>"1 - Red"</formula>
    </cfRule>
  </conditionalFormatting>
  <conditionalFormatting sqref="L209">
    <cfRule type="cellIs" dxfId="4759" priority="3490" stopIfTrue="1" operator="equal">
      <formula>"1 - Hard Load"</formula>
    </cfRule>
    <cfRule type="cellIs" dxfId="4758" priority="3491" stopIfTrue="1" operator="equal">
      <formula>"3 - Not Loaded"</formula>
    </cfRule>
    <cfRule type="cellIs" dxfId="4757" priority="3492" stopIfTrue="1" operator="equal">
      <formula>"2 - Soft Load"</formula>
    </cfRule>
  </conditionalFormatting>
  <conditionalFormatting sqref="D214">
    <cfRule type="cellIs" dxfId="4756" priority="10191" stopIfTrue="1" operator="equal">
      <formula>#REF!</formula>
    </cfRule>
  </conditionalFormatting>
  <conditionalFormatting sqref="AS217 AO217">
    <cfRule type="cellIs" dxfId="4755" priority="3462" stopIfTrue="1" operator="equal">
      <formula>"OK"</formula>
    </cfRule>
    <cfRule type="cellIs" dxfId="4754" priority="3463" stopIfTrue="1" operator="equal">
      <formula>"Add"</formula>
    </cfRule>
  </conditionalFormatting>
  <conditionalFormatting sqref="J217">
    <cfRule type="cellIs" dxfId="4753" priority="3464" stopIfTrue="1" operator="equal">
      <formula>"Lockdown"</formula>
    </cfRule>
    <cfRule type="cellIs" dxfId="4752" priority="3465" stopIfTrue="1" operator="equal">
      <formula>"OOM"</formula>
    </cfRule>
    <cfRule type="cellIs" dxfId="4751" priority="3466" stopIfTrue="1" operator="equal">
      <formula>"Placeholder"</formula>
    </cfRule>
  </conditionalFormatting>
  <conditionalFormatting sqref="T217:AA217">
    <cfRule type="cellIs" dxfId="4750" priority="3467" stopIfTrue="1" operator="equal">
      <formula>"Blue - Completed"</formula>
    </cfRule>
    <cfRule type="cellIs" dxfId="4749" priority="3468" stopIfTrue="1" operator="equal">
      <formula>"Green - Started on Sched"</formula>
    </cfRule>
    <cfRule type="cellIs" dxfId="4748" priority="3469" stopIfTrue="1" operator="between">
      <formula>"Q"</formula>
      <formula>"T"</formula>
    </cfRule>
  </conditionalFormatting>
  <conditionalFormatting sqref="G217">
    <cfRule type="cellIs" dxfId="4747" priority="3461" stopIfTrue="1" operator="equal">
      <formula>"4 - Complete"</formula>
    </cfRule>
    <cfRule type="cellIs" dxfId="4746" priority="3470" stopIfTrue="1" operator="equal">
      <formula>"3 - Green"</formula>
    </cfRule>
    <cfRule type="cellIs" dxfId="4745" priority="3471" stopIfTrue="1" operator="equal">
      <formula>"2 - Yellow"</formula>
    </cfRule>
    <cfRule type="cellIs" dxfId="4744" priority="3472" stopIfTrue="1" operator="equal">
      <formula>"1 - Red"</formula>
    </cfRule>
  </conditionalFormatting>
  <conditionalFormatting sqref="L217">
    <cfRule type="cellIs" dxfId="4743" priority="3473" stopIfTrue="1" operator="equal">
      <formula>"1 - Hard Load"</formula>
    </cfRule>
    <cfRule type="cellIs" dxfId="4742" priority="3474" stopIfTrue="1" operator="equal">
      <formula>"3 - Not Loaded"</formula>
    </cfRule>
    <cfRule type="cellIs" dxfId="4741" priority="3475" stopIfTrue="1" operator="equal">
      <formula>"2 - Soft Load"</formula>
    </cfRule>
  </conditionalFormatting>
  <conditionalFormatting sqref="D217">
    <cfRule type="cellIs" dxfId="4740" priority="3460" stopIfTrue="1" operator="equal">
      <formula>#REF!</formula>
    </cfRule>
  </conditionalFormatting>
  <conditionalFormatting sqref="D224:D225">
    <cfRule type="cellIs" dxfId="4739" priority="10251" stopIfTrue="1" operator="equal">
      <formula>D167</formula>
    </cfRule>
  </conditionalFormatting>
  <conditionalFormatting sqref="AS216 AO216">
    <cfRule type="cellIs" dxfId="4738" priority="3446" stopIfTrue="1" operator="equal">
      <formula>"OK"</formula>
    </cfRule>
    <cfRule type="cellIs" dxfId="4737" priority="3447" stopIfTrue="1" operator="equal">
      <formula>"Add"</formula>
    </cfRule>
  </conditionalFormatting>
  <conditionalFormatting sqref="J216">
    <cfRule type="cellIs" dxfId="4736" priority="3448" stopIfTrue="1" operator="equal">
      <formula>"Lockdown"</formula>
    </cfRule>
    <cfRule type="cellIs" dxfId="4735" priority="3449" stopIfTrue="1" operator="equal">
      <formula>"OOM"</formula>
    </cfRule>
    <cfRule type="cellIs" dxfId="4734" priority="3450" stopIfTrue="1" operator="equal">
      <formula>"Placeholder"</formula>
    </cfRule>
  </conditionalFormatting>
  <conditionalFormatting sqref="T216:AA216">
    <cfRule type="cellIs" dxfId="4733" priority="3451" stopIfTrue="1" operator="equal">
      <formula>"Blue - Completed"</formula>
    </cfRule>
    <cfRule type="cellIs" dxfId="4732" priority="3452" stopIfTrue="1" operator="equal">
      <formula>"Green - Started on Sched"</formula>
    </cfRule>
    <cfRule type="cellIs" dxfId="4731" priority="3453" stopIfTrue="1" operator="between">
      <formula>"Q"</formula>
      <formula>"T"</formula>
    </cfRule>
  </conditionalFormatting>
  <conditionalFormatting sqref="G216">
    <cfRule type="cellIs" dxfId="4730" priority="3445" stopIfTrue="1" operator="equal">
      <formula>"4 - Complete"</formula>
    </cfRule>
    <cfRule type="cellIs" dxfId="4729" priority="3454" stopIfTrue="1" operator="equal">
      <formula>"3 - Green"</formula>
    </cfRule>
    <cfRule type="cellIs" dxfId="4728" priority="3455" stopIfTrue="1" operator="equal">
      <formula>"2 - Yellow"</formula>
    </cfRule>
    <cfRule type="cellIs" dxfId="4727" priority="3456" stopIfTrue="1" operator="equal">
      <formula>"1 - Red"</formula>
    </cfRule>
  </conditionalFormatting>
  <conditionalFormatting sqref="L216">
    <cfRule type="cellIs" dxfId="4726" priority="3457" stopIfTrue="1" operator="equal">
      <formula>"1 - Hard Load"</formula>
    </cfRule>
    <cfRule type="cellIs" dxfId="4725" priority="3458" stopIfTrue="1" operator="equal">
      <formula>"3 - Not Loaded"</formula>
    </cfRule>
    <cfRule type="cellIs" dxfId="4724" priority="3459" stopIfTrue="1" operator="equal">
      <formula>"2 - Soft Load"</formula>
    </cfRule>
  </conditionalFormatting>
  <conditionalFormatting sqref="D223">
    <cfRule type="cellIs" dxfId="4723" priority="3444" stopIfTrue="1" operator="equal">
      <formula>#REF!</formula>
    </cfRule>
  </conditionalFormatting>
  <conditionalFormatting sqref="D252">
    <cfRule type="cellIs" dxfId="4722" priority="3412" stopIfTrue="1" operator="equal">
      <formula>D171</formula>
    </cfRule>
  </conditionalFormatting>
  <conditionalFormatting sqref="AO252 AS252">
    <cfRule type="cellIs" dxfId="4721" priority="3413" stopIfTrue="1" operator="equal">
      <formula>"OK"</formula>
    </cfRule>
    <cfRule type="cellIs" dxfId="4720" priority="3414" stopIfTrue="1" operator="equal">
      <formula>"Add"</formula>
    </cfRule>
  </conditionalFormatting>
  <conditionalFormatting sqref="J252">
    <cfRule type="cellIs" dxfId="4719" priority="3415" stopIfTrue="1" operator="equal">
      <formula>"Lockdown"</formula>
    </cfRule>
    <cfRule type="cellIs" dxfId="4718" priority="3416" stopIfTrue="1" operator="equal">
      <formula>"OOM"</formula>
    </cfRule>
    <cfRule type="cellIs" dxfId="4717" priority="3417" stopIfTrue="1" operator="equal">
      <formula>"Placeholder"</formula>
    </cfRule>
  </conditionalFormatting>
  <conditionalFormatting sqref="T252:AA252">
    <cfRule type="cellIs" dxfId="4716" priority="3418" stopIfTrue="1" operator="equal">
      <formula>"Blue - Completed"</formula>
    </cfRule>
    <cfRule type="cellIs" dxfId="4715" priority="3419" stopIfTrue="1" operator="equal">
      <formula>"Green - Started on Sched"</formula>
    </cfRule>
    <cfRule type="cellIs" dxfId="4714" priority="3420" stopIfTrue="1" operator="between">
      <formula>"Q"</formula>
      <formula>"T"</formula>
    </cfRule>
  </conditionalFormatting>
  <conditionalFormatting sqref="G252">
    <cfRule type="cellIs" dxfId="4713" priority="3411" stopIfTrue="1" operator="equal">
      <formula>"4 - Complete"</formula>
    </cfRule>
    <cfRule type="cellIs" dxfId="4712" priority="3421" stopIfTrue="1" operator="equal">
      <formula>"3 - Green"</formula>
    </cfRule>
    <cfRule type="cellIs" dxfId="4711" priority="3422" stopIfTrue="1" operator="equal">
      <formula>"2 - Yellow"</formula>
    </cfRule>
    <cfRule type="cellIs" dxfId="4710" priority="3423" stopIfTrue="1" operator="equal">
      <formula>"1 - Red"</formula>
    </cfRule>
  </conditionalFormatting>
  <conditionalFormatting sqref="L252">
    <cfRule type="cellIs" dxfId="4709" priority="3424" stopIfTrue="1" operator="equal">
      <formula>"1 - Hard Load"</formula>
    </cfRule>
    <cfRule type="cellIs" dxfId="4708" priority="3425" stopIfTrue="1" operator="equal">
      <formula>"3 - Not Loaded"</formula>
    </cfRule>
    <cfRule type="cellIs" dxfId="4707" priority="3426" stopIfTrue="1" operator="equal">
      <formula>"2 - Soft Load"</formula>
    </cfRule>
  </conditionalFormatting>
  <conditionalFormatting sqref="D252">
    <cfRule type="cellIs" dxfId="4706" priority="3410" stopIfTrue="1" operator="equal">
      <formula>D170</formula>
    </cfRule>
  </conditionalFormatting>
  <conditionalFormatting sqref="D252">
    <cfRule type="cellIs" dxfId="4705" priority="3427" stopIfTrue="1" operator="equal">
      <formula>D140</formula>
    </cfRule>
  </conditionalFormatting>
  <conditionalFormatting sqref="D252 D257">
    <cfRule type="cellIs" dxfId="4704" priority="3409" stopIfTrue="1" operator="equal">
      <formula>D162</formula>
    </cfRule>
  </conditionalFormatting>
  <conditionalFormatting sqref="AS215 AO215">
    <cfRule type="cellIs" dxfId="4703" priority="3367" stopIfTrue="1" operator="equal">
      <formula>"OK"</formula>
    </cfRule>
    <cfRule type="cellIs" dxfId="4702" priority="3368" stopIfTrue="1" operator="equal">
      <formula>"Add"</formula>
    </cfRule>
  </conditionalFormatting>
  <conditionalFormatting sqref="J215">
    <cfRule type="cellIs" dxfId="4701" priority="3369" stopIfTrue="1" operator="equal">
      <formula>"Lockdown"</formula>
    </cfRule>
    <cfRule type="cellIs" dxfId="4700" priority="3370" stopIfTrue="1" operator="equal">
      <formula>"OOM"</formula>
    </cfRule>
    <cfRule type="cellIs" dxfId="4699" priority="3371" stopIfTrue="1" operator="equal">
      <formula>"Placeholder"</formula>
    </cfRule>
  </conditionalFormatting>
  <conditionalFormatting sqref="T215:AA215">
    <cfRule type="cellIs" dxfId="4698" priority="3372" stopIfTrue="1" operator="equal">
      <formula>"Blue - Completed"</formula>
    </cfRule>
    <cfRule type="cellIs" dxfId="4697" priority="3373" stopIfTrue="1" operator="equal">
      <formula>"Green - Started on Sched"</formula>
    </cfRule>
    <cfRule type="cellIs" dxfId="4696" priority="3374" stopIfTrue="1" operator="between">
      <formula>"Q"</formula>
      <formula>"T"</formula>
    </cfRule>
  </conditionalFormatting>
  <conditionalFormatting sqref="G215">
    <cfRule type="cellIs" dxfId="4695" priority="3366" stopIfTrue="1" operator="equal">
      <formula>"4 - Complete"</formula>
    </cfRule>
    <cfRule type="cellIs" dxfId="4694" priority="3375" stopIfTrue="1" operator="equal">
      <formula>"3 - Green"</formula>
    </cfRule>
    <cfRule type="cellIs" dxfId="4693" priority="3376" stopIfTrue="1" operator="equal">
      <formula>"2 - Yellow"</formula>
    </cfRule>
    <cfRule type="cellIs" dxfId="4692" priority="3377" stopIfTrue="1" operator="equal">
      <formula>"1 - Red"</formula>
    </cfRule>
  </conditionalFormatting>
  <conditionalFormatting sqref="L215">
    <cfRule type="cellIs" dxfId="4691" priority="3378" stopIfTrue="1" operator="equal">
      <formula>"1 - Hard Load"</formula>
    </cfRule>
    <cfRule type="cellIs" dxfId="4690" priority="3379" stopIfTrue="1" operator="equal">
      <formula>"3 - Not Loaded"</formula>
    </cfRule>
    <cfRule type="cellIs" dxfId="4689" priority="3380" stopIfTrue="1" operator="equal">
      <formula>"2 - Soft Load"</formula>
    </cfRule>
  </conditionalFormatting>
  <conditionalFormatting sqref="D215">
    <cfRule type="cellIs" dxfId="4688" priority="3365" stopIfTrue="1" operator="equal">
      <formula>D140</formula>
    </cfRule>
  </conditionalFormatting>
  <conditionalFormatting sqref="D3072:D3074">
    <cfRule type="cellIs" dxfId="4687" priority="3347" stopIfTrue="1" operator="equal">
      <formula>D1110</formula>
    </cfRule>
  </conditionalFormatting>
  <conditionalFormatting sqref="AS3072:AS3074 AO3072:AO3074">
    <cfRule type="cellIs" dxfId="4686" priority="3333" stopIfTrue="1" operator="equal">
      <formula>"OK"</formula>
    </cfRule>
    <cfRule type="cellIs" dxfId="4685" priority="3334" stopIfTrue="1" operator="equal">
      <formula>"Add"</formula>
    </cfRule>
  </conditionalFormatting>
  <conditionalFormatting sqref="J3072:J3074">
    <cfRule type="cellIs" dxfId="4684" priority="3335" stopIfTrue="1" operator="equal">
      <formula>"Lockdown"</formula>
    </cfRule>
    <cfRule type="cellIs" dxfId="4683" priority="3336" stopIfTrue="1" operator="equal">
      <formula>"OOM"</formula>
    </cfRule>
    <cfRule type="cellIs" dxfId="4682" priority="3337" stopIfTrue="1" operator="equal">
      <formula>"Placeholder"</formula>
    </cfRule>
  </conditionalFormatting>
  <conditionalFormatting sqref="T3072:AA3074">
    <cfRule type="cellIs" dxfId="4681" priority="3338" stopIfTrue="1" operator="equal">
      <formula>"Blue - Completed"</formula>
    </cfRule>
    <cfRule type="cellIs" dxfId="4680" priority="3339" stopIfTrue="1" operator="equal">
      <formula>"Green - Started on Sched"</formula>
    </cfRule>
    <cfRule type="cellIs" dxfId="4679" priority="3340" stopIfTrue="1" operator="between">
      <formula>"Q"</formula>
      <formula>"T"</formula>
    </cfRule>
  </conditionalFormatting>
  <conditionalFormatting sqref="G3072:G3074">
    <cfRule type="cellIs" dxfId="4678" priority="3332" stopIfTrue="1" operator="equal">
      <formula>"4 - Complete"</formula>
    </cfRule>
    <cfRule type="cellIs" dxfId="4677" priority="3341" stopIfTrue="1" operator="equal">
      <formula>"3 - Green"</formula>
    </cfRule>
    <cfRule type="cellIs" dxfId="4676" priority="3342" stopIfTrue="1" operator="equal">
      <formula>"2 - Yellow"</formula>
    </cfRule>
    <cfRule type="cellIs" dxfId="4675" priority="3343" stopIfTrue="1" operator="equal">
      <formula>"1 - Red"</formula>
    </cfRule>
  </conditionalFormatting>
  <conditionalFormatting sqref="L3072:L3074">
    <cfRule type="cellIs" dxfId="4674" priority="3344" stopIfTrue="1" operator="equal">
      <formula>"1 - Hard Load"</formula>
    </cfRule>
    <cfRule type="cellIs" dxfId="4673" priority="3345" stopIfTrue="1" operator="equal">
      <formula>"3 - Not Loaded"</formula>
    </cfRule>
    <cfRule type="cellIs" dxfId="4672" priority="3346" stopIfTrue="1" operator="equal">
      <formula>"2 - Soft Load"</formula>
    </cfRule>
  </conditionalFormatting>
  <conditionalFormatting sqref="D3072">
    <cfRule type="cellIs" dxfId="4671" priority="3331" stopIfTrue="1" operator="equal">
      <formula>D1110</formula>
    </cfRule>
  </conditionalFormatting>
  <conditionalFormatting sqref="D3076">
    <cfRule type="cellIs" dxfId="4670" priority="3312" stopIfTrue="1" operator="equal">
      <formula>D1114</formula>
    </cfRule>
  </conditionalFormatting>
  <conditionalFormatting sqref="AO3075:AO3078 AS3075:AS3078">
    <cfRule type="cellIs" dxfId="4669" priority="3316" stopIfTrue="1" operator="equal">
      <formula>"OK"</formula>
    </cfRule>
    <cfRule type="cellIs" dxfId="4668" priority="3317" stopIfTrue="1" operator="equal">
      <formula>"Add"</formula>
    </cfRule>
  </conditionalFormatting>
  <conditionalFormatting sqref="J3075:J3078">
    <cfRule type="cellIs" dxfId="4667" priority="3318" stopIfTrue="1" operator="equal">
      <formula>"Lockdown"</formula>
    </cfRule>
    <cfRule type="cellIs" dxfId="4666" priority="3319" stopIfTrue="1" operator="equal">
      <formula>"OOM"</formula>
    </cfRule>
    <cfRule type="cellIs" dxfId="4665" priority="3320" stopIfTrue="1" operator="equal">
      <formula>"Placeholder"</formula>
    </cfRule>
  </conditionalFormatting>
  <conditionalFormatting sqref="T3075:AA3078">
    <cfRule type="cellIs" dxfId="4664" priority="3321" stopIfTrue="1" operator="equal">
      <formula>"Blue - Completed"</formula>
    </cfRule>
    <cfRule type="cellIs" dxfId="4663" priority="3322" stopIfTrue="1" operator="equal">
      <formula>"Green - Started on Sched"</formula>
    </cfRule>
    <cfRule type="cellIs" dxfId="4662" priority="3323" stopIfTrue="1" operator="between">
      <formula>"Q"</formula>
      <formula>"T"</formula>
    </cfRule>
  </conditionalFormatting>
  <conditionalFormatting sqref="G3075:G3078">
    <cfRule type="cellIs" dxfId="4661" priority="3315" stopIfTrue="1" operator="equal">
      <formula>"4 - Complete"</formula>
    </cfRule>
    <cfRule type="cellIs" dxfId="4660" priority="3324" stopIfTrue="1" operator="equal">
      <formula>"3 - Green"</formula>
    </cfRule>
    <cfRule type="cellIs" dxfId="4659" priority="3325" stopIfTrue="1" operator="equal">
      <formula>"2 - Yellow"</formula>
    </cfRule>
    <cfRule type="cellIs" dxfId="4658" priority="3326" stopIfTrue="1" operator="equal">
      <formula>"1 - Red"</formula>
    </cfRule>
  </conditionalFormatting>
  <conditionalFormatting sqref="L3075:L3078">
    <cfRule type="cellIs" dxfId="4657" priority="3327" stopIfTrue="1" operator="equal">
      <formula>"1 - Hard Load"</formula>
    </cfRule>
    <cfRule type="cellIs" dxfId="4656" priority="3328" stopIfTrue="1" operator="equal">
      <formula>"3 - Not Loaded"</formula>
    </cfRule>
    <cfRule type="cellIs" dxfId="4655" priority="3329" stopIfTrue="1" operator="equal">
      <formula>"2 - Soft Load"</formula>
    </cfRule>
  </conditionalFormatting>
  <conditionalFormatting sqref="D3098:D3102 D3085:D3093 D3064:D3079">
    <cfRule type="cellIs" dxfId="4654" priority="3330" stopIfTrue="1" operator="equal">
      <formula>D1099</formula>
    </cfRule>
  </conditionalFormatting>
  <conditionalFormatting sqref="D3075:D3078">
    <cfRule type="cellIs" dxfId="4653" priority="3314" stopIfTrue="1" operator="equal">
      <formula>D1113</formula>
    </cfRule>
  </conditionalFormatting>
  <conditionalFormatting sqref="D3075:D3078">
    <cfRule type="cellIs" dxfId="4652" priority="3313" stopIfTrue="1" operator="equal">
      <formula>D1113</formula>
    </cfRule>
  </conditionalFormatting>
  <conditionalFormatting sqref="D3078">
    <cfRule type="cellIs" dxfId="4651" priority="3311" stopIfTrue="1" operator="equal">
      <formula>D1116</formula>
    </cfRule>
  </conditionalFormatting>
  <conditionalFormatting sqref="D3079">
    <cfRule type="cellIs" dxfId="4650" priority="3310" stopIfTrue="1" operator="equal">
      <formula>D1117</formula>
    </cfRule>
  </conditionalFormatting>
  <conditionalFormatting sqref="AS3079 AO3079">
    <cfRule type="cellIs" dxfId="4649" priority="3296" stopIfTrue="1" operator="equal">
      <formula>"OK"</formula>
    </cfRule>
    <cfRule type="cellIs" dxfId="4648" priority="3297" stopIfTrue="1" operator="equal">
      <formula>"Add"</formula>
    </cfRule>
  </conditionalFormatting>
  <conditionalFormatting sqref="J3079">
    <cfRule type="cellIs" dxfId="4647" priority="3298" stopIfTrue="1" operator="equal">
      <formula>"Lockdown"</formula>
    </cfRule>
    <cfRule type="cellIs" dxfId="4646" priority="3299" stopIfTrue="1" operator="equal">
      <formula>"OOM"</formula>
    </cfRule>
    <cfRule type="cellIs" dxfId="4645" priority="3300" stopIfTrue="1" operator="equal">
      <formula>"Placeholder"</formula>
    </cfRule>
  </conditionalFormatting>
  <conditionalFormatting sqref="T3079:AA3079">
    <cfRule type="cellIs" dxfId="4644" priority="3301" stopIfTrue="1" operator="equal">
      <formula>"Blue - Completed"</formula>
    </cfRule>
    <cfRule type="cellIs" dxfId="4643" priority="3302" stopIfTrue="1" operator="equal">
      <formula>"Green - Started on Sched"</formula>
    </cfRule>
    <cfRule type="cellIs" dxfId="4642" priority="3303" stopIfTrue="1" operator="between">
      <formula>"Q"</formula>
      <formula>"T"</formula>
    </cfRule>
  </conditionalFormatting>
  <conditionalFormatting sqref="G3079">
    <cfRule type="cellIs" dxfId="4641" priority="3295" stopIfTrue="1" operator="equal">
      <formula>"4 - Complete"</formula>
    </cfRule>
    <cfRule type="cellIs" dxfId="4640" priority="3304" stopIfTrue="1" operator="equal">
      <formula>"3 - Green"</formula>
    </cfRule>
    <cfRule type="cellIs" dxfId="4639" priority="3305" stopIfTrue="1" operator="equal">
      <formula>"2 - Yellow"</formula>
    </cfRule>
    <cfRule type="cellIs" dxfId="4638" priority="3306" stopIfTrue="1" operator="equal">
      <formula>"1 - Red"</formula>
    </cfRule>
  </conditionalFormatting>
  <conditionalFormatting sqref="L3079">
    <cfRule type="cellIs" dxfId="4637" priority="3307" stopIfTrue="1" operator="equal">
      <formula>"1 - Hard Load"</formula>
    </cfRule>
    <cfRule type="cellIs" dxfId="4636" priority="3308" stopIfTrue="1" operator="equal">
      <formula>"3 - Not Loaded"</formula>
    </cfRule>
    <cfRule type="cellIs" dxfId="4635" priority="3309" stopIfTrue="1" operator="equal">
      <formula>"2 - Soft Load"</formula>
    </cfRule>
  </conditionalFormatting>
  <conditionalFormatting sqref="AO3080:AO3081 AS3080:AS3081">
    <cfRule type="cellIs" dxfId="4634" priority="3280" stopIfTrue="1" operator="equal">
      <formula>"OK"</formula>
    </cfRule>
    <cfRule type="cellIs" dxfId="4633" priority="3281" stopIfTrue="1" operator="equal">
      <formula>"Add"</formula>
    </cfRule>
  </conditionalFormatting>
  <conditionalFormatting sqref="J3080:J3081">
    <cfRule type="cellIs" dxfId="4632" priority="3282" stopIfTrue="1" operator="equal">
      <formula>"Lockdown"</formula>
    </cfRule>
    <cfRule type="cellIs" dxfId="4631" priority="3283" stopIfTrue="1" operator="equal">
      <formula>"OOM"</formula>
    </cfRule>
    <cfRule type="cellIs" dxfId="4630" priority="3284" stopIfTrue="1" operator="equal">
      <formula>"Placeholder"</formula>
    </cfRule>
  </conditionalFormatting>
  <conditionalFormatting sqref="T3080:AA3081">
    <cfRule type="cellIs" dxfId="4629" priority="3285" stopIfTrue="1" operator="equal">
      <formula>"Blue - Completed"</formula>
    </cfRule>
    <cfRule type="cellIs" dxfId="4628" priority="3286" stopIfTrue="1" operator="equal">
      <formula>"Green - Started on Sched"</formula>
    </cfRule>
    <cfRule type="cellIs" dxfId="4627" priority="3287" stopIfTrue="1" operator="between">
      <formula>"Q"</formula>
      <formula>"T"</formula>
    </cfRule>
  </conditionalFormatting>
  <conditionalFormatting sqref="G3080:G3081">
    <cfRule type="cellIs" dxfId="4626" priority="3279" stopIfTrue="1" operator="equal">
      <formula>"4 - Complete"</formula>
    </cfRule>
    <cfRule type="cellIs" dxfId="4625" priority="3288" stopIfTrue="1" operator="equal">
      <formula>"3 - Green"</formula>
    </cfRule>
    <cfRule type="cellIs" dxfId="4624" priority="3289" stopIfTrue="1" operator="equal">
      <formula>"2 - Yellow"</formula>
    </cfRule>
    <cfRule type="cellIs" dxfId="4623" priority="3290" stopIfTrue="1" operator="equal">
      <formula>"1 - Red"</formula>
    </cfRule>
  </conditionalFormatting>
  <conditionalFormatting sqref="L3080:L3081">
    <cfRule type="cellIs" dxfId="4622" priority="3291" stopIfTrue="1" operator="equal">
      <formula>"1 - Hard Load"</formula>
    </cfRule>
    <cfRule type="cellIs" dxfId="4621" priority="3292" stopIfTrue="1" operator="equal">
      <formula>"3 - Not Loaded"</formula>
    </cfRule>
    <cfRule type="cellIs" dxfId="4620" priority="3293" stopIfTrue="1" operator="equal">
      <formula>"2 - Soft Load"</formula>
    </cfRule>
  </conditionalFormatting>
  <conditionalFormatting sqref="D3083">
    <cfRule type="cellIs" dxfId="4619" priority="3274" stopIfTrue="1" operator="equal">
      <formula>D1122</formula>
    </cfRule>
  </conditionalFormatting>
  <conditionalFormatting sqref="AS3083 AO3083">
    <cfRule type="cellIs" dxfId="4618" priority="3260" stopIfTrue="1" operator="equal">
      <formula>"OK"</formula>
    </cfRule>
    <cfRule type="cellIs" dxfId="4617" priority="3261" stopIfTrue="1" operator="equal">
      <formula>"Add"</formula>
    </cfRule>
  </conditionalFormatting>
  <conditionalFormatting sqref="J3083">
    <cfRule type="cellIs" dxfId="4616" priority="3262" stopIfTrue="1" operator="equal">
      <formula>"Lockdown"</formula>
    </cfRule>
    <cfRule type="cellIs" dxfId="4615" priority="3263" stopIfTrue="1" operator="equal">
      <formula>"OOM"</formula>
    </cfRule>
    <cfRule type="cellIs" dxfId="4614" priority="3264" stopIfTrue="1" operator="equal">
      <formula>"Placeholder"</formula>
    </cfRule>
  </conditionalFormatting>
  <conditionalFormatting sqref="T3083:AA3083">
    <cfRule type="cellIs" dxfId="4613" priority="3265" stopIfTrue="1" operator="equal">
      <formula>"Blue - Completed"</formula>
    </cfRule>
    <cfRule type="cellIs" dxfId="4612" priority="3266" stopIfTrue="1" operator="equal">
      <formula>"Green - Started on Sched"</formula>
    </cfRule>
    <cfRule type="cellIs" dxfId="4611" priority="3267" stopIfTrue="1" operator="between">
      <formula>"Q"</formula>
      <formula>"T"</formula>
    </cfRule>
  </conditionalFormatting>
  <conditionalFormatting sqref="G3083">
    <cfRule type="cellIs" dxfId="4610" priority="3259" stopIfTrue="1" operator="equal">
      <formula>"4 - Complete"</formula>
    </cfRule>
    <cfRule type="cellIs" dxfId="4609" priority="3268" stopIfTrue="1" operator="equal">
      <formula>"3 - Green"</formula>
    </cfRule>
    <cfRule type="cellIs" dxfId="4608" priority="3269" stopIfTrue="1" operator="equal">
      <formula>"2 - Yellow"</formula>
    </cfRule>
    <cfRule type="cellIs" dxfId="4607" priority="3270" stopIfTrue="1" operator="equal">
      <formula>"1 - Red"</formula>
    </cfRule>
  </conditionalFormatting>
  <conditionalFormatting sqref="L3083">
    <cfRule type="cellIs" dxfId="4606" priority="3271" stopIfTrue="1" operator="equal">
      <formula>"1 - Hard Load"</formula>
    </cfRule>
    <cfRule type="cellIs" dxfId="4605" priority="3272" stopIfTrue="1" operator="equal">
      <formula>"3 - Not Loaded"</formula>
    </cfRule>
    <cfRule type="cellIs" dxfId="4604" priority="3273" stopIfTrue="1" operator="equal">
      <formula>"2 - Soft Load"</formula>
    </cfRule>
  </conditionalFormatting>
  <conditionalFormatting sqref="D3086">
    <cfRule type="cellIs" dxfId="4603" priority="3240" stopIfTrue="1" operator="equal">
      <formula>D1124</formula>
    </cfRule>
  </conditionalFormatting>
  <conditionalFormatting sqref="AO3085:AO3088 AS3085:AS3088">
    <cfRule type="cellIs" dxfId="4602" priority="3244" stopIfTrue="1" operator="equal">
      <formula>"OK"</formula>
    </cfRule>
    <cfRule type="cellIs" dxfId="4601" priority="3245" stopIfTrue="1" operator="equal">
      <formula>"Add"</formula>
    </cfRule>
  </conditionalFormatting>
  <conditionalFormatting sqref="J3085:J3088">
    <cfRule type="cellIs" dxfId="4600" priority="3246" stopIfTrue="1" operator="equal">
      <formula>"Lockdown"</formula>
    </cfRule>
    <cfRule type="cellIs" dxfId="4599" priority="3247" stopIfTrue="1" operator="equal">
      <formula>"OOM"</formula>
    </cfRule>
    <cfRule type="cellIs" dxfId="4598" priority="3248" stopIfTrue="1" operator="equal">
      <formula>"Placeholder"</formula>
    </cfRule>
  </conditionalFormatting>
  <conditionalFormatting sqref="T3085:AA3088">
    <cfRule type="cellIs" dxfId="4597" priority="3249" stopIfTrue="1" operator="equal">
      <formula>"Blue - Completed"</formula>
    </cfRule>
    <cfRule type="cellIs" dxfId="4596" priority="3250" stopIfTrue="1" operator="equal">
      <formula>"Green - Started on Sched"</formula>
    </cfRule>
    <cfRule type="cellIs" dxfId="4595" priority="3251" stopIfTrue="1" operator="between">
      <formula>"Q"</formula>
      <formula>"T"</formula>
    </cfRule>
  </conditionalFormatting>
  <conditionalFormatting sqref="G3085:G3088">
    <cfRule type="cellIs" dxfId="4594" priority="3243" stopIfTrue="1" operator="equal">
      <formula>"4 - Complete"</formula>
    </cfRule>
    <cfRule type="cellIs" dxfId="4593" priority="3252" stopIfTrue="1" operator="equal">
      <formula>"3 - Green"</formula>
    </cfRule>
    <cfRule type="cellIs" dxfId="4592" priority="3253" stopIfTrue="1" operator="equal">
      <formula>"2 - Yellow"</formula>
    </cfRule>
    <cfRule type="cellIs" dxfId="4591" priority="3254" stopIfTrue="1" operator="equal">
      <formula>"1 - Red"</formula>
    </cfRule>
  </conditionalFormatting>
  <conditionalFormatting sqref="L3085:L3088">
    <cfRule type="cellIs" dxfId="4590" priority="3255" stopIfTrue="1" operator="equal">
      <formula>"1 - Hard Load"</formula>
    </cfRule>
    <cfRule type="cellIs" dxfId="4589" priority="3256" stopIfTrue="1" operator="equal">
      <formula>"3 - Not Loaded"</formula>
    </cfRule>
    <cfRule type="cellIs" dxfId="4588" priority="3257" stopIfTrue="1" operator="equal">
      <formula>"2 - Soft Load"</formula>
    </cfRule>
  </conditionalFormatting>
  <conditionalFormatting sqref="D3080:D3081">
    <cfRule type="cellIs" dxfId="4587" priority="3258" stopIfTrue="1" operator="equal">
      <formula>D1115</formula>
    </cfRule>
  </conditionalFormatting>
  <conditionalFormatting sqref="D3085:D3088">
    <cfRule type="cellIs" dxfId="4586" priority="3242" stopIfTrue="1" operator="equal">
      <formula>D1123</formula>
    </cfRule>
  </conditionalFormatting>
  <conditionalFormatting sqref="D3085:D3088">
    <cfRule type="cellIs" dxfId="4585" priority="3241" stopIfTrue="1" operator="equal">
      <formula>D1123</formula>
    </cfRule>
  </conditionalFormatting>
  <conditionalFormatting sqref="D3088">
    <cfRule type="cellIs" dxfId="4584" priority="3239" stopIfTrue="1" operator="equal">
      <formula>D1126</formula>
    </cfRule>
  </conditionalFormatting>
  <conditionalFormatting sqref="D3089">
    <cfRule type="cellIs" dxfId="4583" priority="3238" stopIfTrue="1" operator="equal">
      <formula>D1127</formula>
    </cfRule>
  </conditionalFormatting>
  <conditionalFormatting sqref="AS3089 AO3089">
    <cfRule type="cellIs" dxfId="4582" priority="3224" stopIfTrue="1" operator="equal">
      <formula>"OK"</formula>
    </cfRule>
    <cfRule type="cellIs" dxfId="4581" priority="3225" stopIfTrue="1" operator="equal">
      <formula>"Add"</formula>
    </cfRule>
  </conditionalFormatting>
  <conditionalFormatting sqref="J3089">
    <cfRule type="cellIs" dxfId="4580" priority="3226" stopIfTrue="1" operator="equal">
      <formula>"Lockdown"</formula>
    </cfRule>
    <cfRule type="cellIs" dxfId="4579" priority="3227" stopIfTrue="1" operator="equal">
      <formula>"OOM"</formula>
    </cfRule>
    <cfRule type="cellIs" dxfId="4578" priority="3228" stopIfTrue="1" operator="equal">
      <formula>"Placeholder"</formula>
    </cfRule>
  </conditionalFormatting>
  <conditionalFormatting sqref="T3089:AA3089">
    <cfRule type="cellIs" dxfId="4577" priority="3229" stopIfTrue="1" operator="equal">
      <formula>"Blue - Completed"</formula>
    </cfRule>
    <cfRule type="cellIs" dxfId="4576" priority="3230" stopIfTrue="1" operator="equal">
      <formula>"Green - Started on Sched"</formula>
    </cfRule>
    <cfRule type="cellIs" dxfId="4575" priority="3231" stopIfTrue="1" operator="between">
      <formula>"Q"</formula>
      <formula>"T"</formula>
    </cfRule>
  </conditionalFormatting>
  <conditionalFormatting sqref="G3089">
    <cfRule type="cellIs" dxfId="4574" priority="3223" stopIfTrue="1" operator="equal">
      <formula>"4 - Complete"</formula>
    </cfRule>
    <cfRule type="cellIs" dxfId="4573" priority="3232" stopIfTrue="1" operator="equal">
      <formula>"3 - Green"</formula>
    </cfRule>
    <cfRule type="cellIs" dxfId="4572" priority="3233" stopIfTrue="1" operator="equal">
      <formula>"2 - Yellow"</formula>
    </cfRule>
    <cfRule type="cellIs" dxfId="4571" priority="3234" stopIfTrue="1" operator="equal">
      <formula>"1 - Red"</formula>
    </cfRule>
  </conditionalFormatting>
  <conditionalFormatting sqref="L3089">
    <cfRule type="cellIs" dxfId="4570" priority="3235" stopIfTrue="1" operator="equal">
      <formula>"1 - Hard Load"</formula>
    </cfRule>
    <cfRule type="cellIs" dxfId="4569" priority="3236" stopIfTrue="1" operator="equal">
      <formula>"3 - Not Loaded"</formula>
    </cfRule>
    <cfRule type="cellIs" dxfId="4568" priority="3237" stopIfTrue="1" operator="equal">
      <formula>"2 - Soft Load"</formula>
    </cfRule>
  </conditionalFormatting>
  <conditionalFormatting sqref="D3091">
    <cfRule type="cellIs" dxfId="4567" priority="3204" stopIfTrue="1" operator="equal">
      <formula>D1129</formula>
    </cfRule>
  </conditionalFormatting>
  <conditionalFormatting sqref="AO3090:AO3093 AS3090:AS3093">
    <cfRule type="cellIs" dxfId="4566" priority="3208" stopIfTrue="1" operator="equal">
      <formula>"OK"</formula>
    </cfRule>
    <cfRule type="cellIs" dxfId="4565" priority="3209" stopIfTrue="1" operator="equal">
      <formula>"Add"</formula>
    </cfRule>
  </conditionalFormatting>
  <conditionalFormatting sqref="J3090:J3093">
    <cfRule type="cellIs" dxfId="4564" priority="3210" stopIfTrue="1" operator="equal">
      <formula>"Lockdown"</formula>
    </cfRule>
    <cfRule type="cellIs" dxfId="4563" priority="3211" stopIfTrue="1" operator="equal">
      <formula>"OOM"</formula>
    </cfRule>
    <cfRule type="cellIs" dxfId="4562" priority="3212" stopIfTrue="1" operator="equal">
      <formula>"Placeholder"</formula>
    </cfRule>
  </conditionalFormatting>
  <conditionalFormatting sqref="T3090:AA3093">
    <cfRule type="cellIs" dxfId="4561" priority="3213" stopIfTrue="1" operator="equal">
      <formula>"Blue - Completed"</formula>
    </cfRule>
    <cfRule type="cellIs" dxfId="4560" priority="3214" stopIfTrue="1" operator="equal">
      <formula>"Green - Started on Sched"</formula>
    </cfRule>
    <cfRule type="cellIs" dxfId="4559" priority="3215" stopIfTrue="1" operator="between">
      <formula>"Q"</formula>
      <formula>"T"</formula>
    </cfRule>
  </conditionalFormatting>
  <conditionalFormatting sqref="G3090:G3093">
    <cfRule type="cellIs" dxfId="4558" priority="3207" stopIfTrue="1" operator="equal">
      <formula>"4 - Complete"</formula>
    </cfRule>
    <cfRule type="cellIs" dxfId="4557" priority="3216" stopIfTrue="1" operator="equal">
      <formula>"3 - Green"</formula>
    </cfRule>
    <cfRule type="cellIs" dxfId="4556" priority="3217" stopIfTrue="1" operator="equal">
      <formula>"2 - Yellow"</formula>
    </cfRule>
    <cfRule type="cellIs" dxfId="4555" priority="3218" stopIfTrue="1" operator="equal">
      <formula>"1 - Red"</formula>
    </cfRule>
  </conditionalFormatting>
  <conditionalFormatting sqref="L3090:L3093">
    <cfRule type="cellIs" dxfId="4554" priority="3219" stopIfTrue="1" operator="equal">
      <formula>"1 - Hard Load"</formula>
    </cfRule>
    <cfRule type="cellIs" dxfId="4553" priority="3220" stopIfTrue="1" operator="equal">
      <formula>"3 - Not Loaded"</formula>
    </cfRule>
    <cfRule type="cellIs" dxfId="4552" priority="3221" stopIfTrue="1" operator="equal">
      <formula>"2 - Soft Load"</formula>
    </cfRule>
  </conditionalFormatting>
  <conditionalFormatting sqref="D3084">
    <cfRule type="cellIs" dxfId="4551" priority="3222" stopIfTrue="1" operator="equal">
      <formula>D1117</formula>
    </cfRule>
  </conditionalFormatting>
  <conditionalFormatting sqref="D3090:D3093">
    <cfRule type="cellIs" dxfId="4550" priority="3206" stopIfTrue="1" operator="equal">
      <formula>D1128</formula>
    </cfRule>
  </conditionalFormatting>
  <conditionalFormatting sqref="D3090:D3093">
    <cfRule type="cellIs" dxfId="4549" priority="3205" stopIfTrue="1" operator="equal">
      <formula>D1128</formula>
    </cfRule>
  </conditionalFormatting>
  <conditionalFormatting sqref="D3093">
    <cfRule type="cellIs" dxfId="4548" priority="3203" stopIfTrue="1" operator="equal">
      <formula>D1131</formula>
    </cfRule>
  </conditionalFormatting>
  <conditionalFormatting sqref="D285">
    <cfRule type="cellIs" dxfId="4547" priority="10361" stopIfTrue="1" operator="equal">
      <formula>#REF!</formula>
    </cfRule>
  </conditionalFormatting>
  <conditionalFormatting sqref="AS315 AO315">
    <cfRule type="cellIs" dxfId="4546" priority="3189" stopIfTrue="1" operator="equal">
      <formula>"OK"</formula>
    </cfRule>
    <cfRule type="cellIs" dxfId="4545" priority="3190" stopIfTrue="1" operator="equal">
      <formula>"Add"</formula>
    </cfRule>
  </conditionalFormatting>
  <conditionalFormatting sqref="J315">
    <cfRule type="cellIs" dxfId="4544" priority="3191" stopIfTrue="1" operator="equal">
      <formula>"Lockdown"</formula>
    </cfRule>
    <cfRule type="cellIs" dxfId="4543" priority="3192" stopIfTrue="1" operator="equal">
      <formula>"OOM"</formula>
    </cfRule>
    <cfRule type="cellIs" dxfId="4542" priority="3193" stopIfTrue="1" operator="equal">
      <formula>"Placeholder"</formula>
    </cfRule>
  </conditionalFormatting>
  <conditionalFormatting sqref="T315:AA315">
    <cfRule type="cellIs" dxfId="4541" priority="3194" stopIfTrue="1" operator="equal">
      <formula>"Blue - Completed"</formula>
    </cfRule>
    <cfRule type="cellIs" dxfId="4540" priority="3195" stopIfTrue="1" operator="equal">
      <formula>"Green - Started on Sched"</formula>
    </cfRule>
    <cfRule type="cellIs" dxfId="4539" priority="3196" stopIfTrue="1" operator="between">
      <formula>"Q"</formula>
      <formula>"T"</formula>
    </cfRule>
  </conditionalFormatting>
  <conditionalFormatting sqref="G315">
    <cfRule type="cellIs" dxfId="4538" priority="3187" stopIfTrue="1" operator="equal">
      <formula>"4 - Complete"</formula>
    </cfRule>
    <cfRule type="cellIs" dxfId="4537" priority="3197" stopIfTrue="1" operator="equal">
      <formula>"3 - Green"</formula>
    </cfRule>
    <cfRule type="cellIs" dxfId="4536" priority="3198" stopIfTrue="1" operator="equal">
      <formula>"2 - Yellow"</formula>
    </cfRule>
    <cfRule type="cellIs" dxfId="4535" priority="3199" stopIfTrue="1" operator="equal">
      <formula>"1 - Red"</formula>
    </cfRule>
  </conditionalFormatting>
  <conditionalFormatting sqref="L315">
    <cfRule type="cellIs" dxfId="4534" priority="3200" stopIfTrue="1" operator="equal">
      <formula>"1 - Hard Load"</formula>
    </cfRule>
    <cfRule type="cellIs" dxfId="4533" priority="3201" stopIfTrue="1" operator="equal">
      <formula>"3 - Not Loaded"</formula>
    </cfRule>
    <cfRule type="cellIs" dxfId="4532" priority="3202" stopIfTrue="1" operator="equal">
      <formula>"2 - Soft Load"</formula>
    </cfRule>
  </conditionalFormatting>
  <conditionalFormatting sqref="D315">
    <cfRule type="cellIs" dxfId="4531" priority="3188" stopIfTrue="1" operator="equal">
      <formula>D288</formula>
    </cfRule>
  </conditionalFormatting>
  <conditionalFormatting sqref="D315:D317">
    <cfRule type="cellIs" dxfId="4530" priority="3186" stopIfTrue="1" operator="equal">
      <formula>D271</formula>
    </cfRule>
  </conditionalFormatting>
  <conditionalFormatting sqref="AS314 AO314">
    <cfRule type="cellIs" dxfId="4529" priority="3172" stopIfTrue="1" operator="equal">
      <formula>"OK"</formula>
    </cfRule>
    <cfRule type="cellIs" dxfId="4528" priority="3173" stopIfTrue="1" operator="equal">
      <formula>"Add"</formula>
    </cfRule>
  </conditionalFormatting>
  <conditionalFormatting sqref="J314">
    <cfRule type="cellIs" dxfId="4527" priority="3174" stopIfTrue="1" operator="equal">
      <formula>"Lockdown"</formula>
    </cfRule>
    <cfRule type="cellIs" dxfId="4526" priority="3175" stopIfTrue="1" operator="equal">
      <formula>"OOM"</formula>
    </cfRule>
    <cfRule type="cellIs" dxfId="4525" priority="3176" stopIfTrue="1" operator="equal">
      <formula>"Placeholder"</formula>
    </cfRule>
  </conditionalFormatting>
  <conditionalFormatting sqref="T314:AA314">
    <cfRule type="cellIs" dxfId="4524" priority="3177" stopIfTrue="1" operator="equal">
      <formula>"Blue - Completed"</formula>
    </cfRule>
    <cfRule type="cellIs" dxfId="4523" priority="3178" stopIfTrue="1" operator="equal">
      <formula>"Green - Started on Sched"</formula>
    </cfRule>
    <cfRule type="cellIs" dxfId="4522" priority="3179" stopIfTrue="1" operator="between">
      <formula>"Q"</formula>
      <formula>"T"</formula>
    </cfRule>
  </conditionalFormatting>
  <conditionalFormatting sqref="G314">
    <cfRule type="cellIs" dxfId="4521" priority="3170" stopIfTrue="1" operator="equal">
      <formula>"4 - Complete"</formula>
    </cfRule>
    <cfRule type="cellIs" dxfId="4520" priority="3180" stopIfTrue="1" operator="equal">
      <formula>"3 - Green"</formula>
    </cfRule>
    <cfRule type="cellIs" dxfId="4519" priority="3181" stopIfTrue="1" operator="equal">
      <formula>"2 - Yellow"</formula>
    </cfRule>
    <cfRule type="cellIs" dxfId="4518" priority="3182" stopIfTrue="1" operator="equal">
      <formula>"1 - Red"</formula>
    </cfRule>
  </conditionalFormatting>
  <conditionalFormatting sqref="L314">
    <cfRule type="cellIs" dxfId="4517" priority="3183" stopIfTrue="1" operator="equal">
      <formula>"1 - Hard Load"</formula>
    </cfRule>
    <cfRule type="cellIs" dxfId="4516" priority="3184" stopIfTrue="1" operator="equal">
      <formula>"3 - Not Loaded"</formula>
    </cfRule>
    <cfRule type="cellIs" dxfId="4515" priority="3185" stopIfTrue="1" operator="equal">
      <formula>"2 - Soft Load"</formula>
    </cfRule>
  </conditionalFormatting>
  <conditionalFormatting sqref="D314">
    <cfRule type="cellIs" dxfId="4514" priority="3171" stopIfTrue="1" operator="equal">
      <formula>D287</formula>
    </cfRule>
  </conditionalFormatting>
  <conditionalFormatting sqref="D314">
    <cfRule type="cellIs" dxfId="4513" priority="3169" stopIfTrue="1" operator="equal">
      <formula>D270</formula>
    </cfRule>
  </conditionalFormatting>
  <conditionalFormatting sqref="D286">
    <cfRule type="cellIs" dxfId="4512" priority="10364" stopIfTrue="1" operator="equal">
      <formula>#REF!</formula>
    </cfRule>
  </conditionalFormatting>
  <conditionalFormatting sqref="D269">
    <cfRule type="cellIs" dxfId="4511" priority="10370" stopIfTrue="1" operator="equal">
      <formula>#REF!</formula>
    </cfRule>
  </conditionalFormatting>
  <conditionalFormatting sqref="D273">
    <cfRule type="cellIs" dxfId="4510" priority="10372" stopIfTrue="1" operator="equal">
      <formula>#REF!</formula>
    </cfRule>
  </conditionalFormatting>
  <conditionalFormatting sqref="D276">
    <cfRule type="cellIs" dxfId="4509" priority="10417" stopIfTrue="1" operator="equal">
      <formula>#REF!</formula>
    </cfRule>
  </conditionalFormatting>
  <conditionalFormatting sqref="D275">
    <cfRule type="cellIs" dxfId="4508" priority="10421" stopIfTrue="1" operator="equal">
      <formula>#REF!</formula>
    </cfRule>
  </conditionalFormatting>
  <conditionalFormatting sqref="AS3021 AO3021">
    <cfRule type="cellIs" dxfId="4507" priority="3155" stopIfTrue="1" operator="equal">
      <formula>"OK"</formula>
    </cfRule>
    <cfRule type="cellIs" dxfId="4506" priority="3156" stopIfTrue="1" operator="equal">
      <formula>"Add"</formula>
    </cfRule>
  </conditionalFormatting>
  <conditionalFormatting sqref="J3021">
    <cfRule type="cellIs" dxfId="4505" priority="3157" stopIfTrue="1" operator="equal">
      <formula>"Lockdown"</formula>
    </cfRule>
    <cfRule type="cellIs" dxfId="4504" priority="3158" stopIfTrue="1" operator="equal">
      <formula>"OOM"</formula>
    </cfRule>
    <cfRule type="cellIs" dxfId="4503" priority="3159" stopIfTrue="1" operator="equal">
      <formula>"Placeholder"</formula>
    </cfRule>
  </conditionalFormatting>
  <conditionalFormatting sqref="T3021:AA3021">
    <cfRule type="cellIs" dxfId="4502" priority="3160" stopIfTrue="1" operator="equal">
      <formula>"Blue - Completed"</formula>
    </cfRule>
    <cfRule type="cellIs" dxfId="4501" priority="3161" stopIfTrue="1" operator="equal">
      <formula>"Green - Started on Sched"</formula>
    </cfRule>
    <cfRule type="cellIs" dxfId="4500" priority="3162" stopIfTrue="1" operator="between">
      <formula>"Q"</formula>
      <formula>"T"</formula>
    </cfRule>
  </conditionalFormatting>
  <conditionalFormatting sqref="G3021">
    <cfRule type="cellIs" dxfId="4499" priority="3154" stopIfTrue="1" operator="equal">
      <formula>"4 - Complete"</formula>
    </cfRule>
    <cfRule type="cellIs" dxfId="4498" priority="3163" stopIfTrue="1" operator="equal">
      <formula>"3 - Green"</formula>
    </cfRule>
    <cfRule type="cellIs" dxfId="4497" priority="3164" stopIfTrue="1" operator="equal">
      <formula>"2 - Yellow"</formula>
    </cfRule>
    <cfRule type="cellIs" dxfId="4496" priority="3165" stopIfTrue="1" operator="equal">
      <formula>"1 - Red"</formula>
    </cfRule>
  </conditionalFormatting>
  <conditionalFormatting sqref="L3021">
    <cfRule type="cellIs" dxfId="4495" priority="3166" stopIfTrue="1" operator="equal">
      <formula>"1 - Hard Load"</formula>
    </cfRule>
    <cfRule type="cellIs" dxfId="4494" priority="3167" stopIfTrue="1" operator="equal">
      <formula>"3 - Not Loaded"</formula>
    </cfRule>
    <cfRule type="cellIs" dxfId="4493" priority="3168" stopIfTrue="1" operator="equal">
      <formula>"2 - Soft Load"</formula>
    </cfRule>
  </conditionalFormatting>
  <conditionalFormatting sqref="D3021">
    <cfRule type="cellIs" dxfId="4492" priority="3153" stopIfTrue="1" operator="equal">
      <formula>D1061</formula>
    </cfRule>
  </conditionalFormatting>
  <conditionalFormatting sqref="D3021">
    <cfRule type="cellIs" dxfId="4491" priority="3152" stopIfTrue="1" operator="equal">
      <formula>D1058</formula>
    </cfRule>
  </conditionalFormatting>
  <conditionalFormatting sqref="D2234">
    <cfRule type="cellIs" dxfId="4490" priority="3129" stopIfTrue="1" operator="equal">
      <formula>D792</formula>
    </cfRule>
  </conditionalFormatting>
  <conditionalFormatting sqref="AS2234 AO2234">
    <cfRule type="cellIs" dxfId="4489" priority="3130" stopIfTrue="1" operator="equal">
      <formula>"OK"</formula>
    </cfRule>
    <cfRule type="cellIs" dxfId="4488" priority="3131" stopIfTrue="1" operator="equal">
      <formula>"Add"</formula>
    </cfRule>
  </conditionalFormatting>
  <conditionalFormatting sqref="J2234">
    <cfRule type="cellIs" dxfId="4487" priority="3132" stopIfTrue="1" operator="equal">
      <formula>"Lockdown"</formula>
    </cfRule>
    <cfRule type="cellIs" dxfId="4486" priority="3133" stopIfTrue="1" operator="equal">
      <formula>"OOM"</formula>
    </cfRule>
    <cfRule type="cellIs" dxfId="4485" priority="3134" stopIfTrue="1" operator="equal">
      <formula>"Placeholder"</formula>
    </cfRule>
  </conditionalFormatting>
  <conditionalFormatting sqref="T2234:AA2234">
    <cfRule type="cellIs" dxfId="4484" priority="3135" stopIfTrue="1" operator="equal">
      <formula>"Blue - Completed"</formula>
    </cfRule>
    <cfRule type="cellIs" dxfId="4483" priority="3136" stopIfTrue="1" operator="equal">
      <formula>"Green - Started on Sched"</formula>
    </cfRule>
    <cfRule type="cellIs" dxfId="4482" priority="3137" stopIfTrue="1" operator="between">
      <formula>"Q"</formula>
      <formula>"T"</formula>
    </cfRule>
  </conditionalFormatting>
  <conditionalFormatting sqref="G2234">
    <cfRule type="cellIs" dxfId="4481" priority="3128" stopIfTrue="1" operator="equal">
      <formula>"4 - Complete"</formula>
    </cfRule>
    <cfRule type="cellIs" dxfId="4480" priority="3138" stopIfTrue="1" operator="equal">
      <formula>"3 - Green"</formula>
    </cfRule>
    <cfRule type="cellIs" dxfId="4479" priority="3139" stopIfTrue="1" operator="equal">
      <formula>"2 - Yellow"</formula>
    </cfRule>
    <cfRule type="cellIs" dxfId="4478" priority="3140" stopIfTrue="1" operator="equal">
      <formula>"1 - Red"</formula>
    </cfRule>
  </conditionalFormatting>
  <conditionalFormatting sqref="L2234">
    <cfRule type="cellIs" dxfId="4477" priority="3141" stopIfTrue="1" operator="equal">
      <formula>"1 - Hard Load"</formula>
    </cfRule>
    <cfRule type="cellIs" dxfId="4476" priority="3142" stopIfTrue="1" operator="equal">
      <formula>"3 - Not Loaded"</formula>
    </cfRule>
    <cfRule type="cellIs" dxfId="4475" priority="3143" stopIfTrue="1" operator="equal">
      <formula>"2 - Soft Load"</formula>
    </cfRule>
  </conditionalFormatting>
  <conditionalFormatting sqref="AO1742 AS1742">
    <cfRule type="cellIs" dxfId="4474" priority="3097" stopIfTrue="1" operator="equal">
      <formula>"OK"</formula>
    </cfRule>
    <cfRule type="cellIs" dxfId="4473" priority="3098" stopIfTrue="1" operator="equal">
      <formula>"Add"</formula>
    </cfRule>
  </conditionalFormatting>
  <conditionalFormatting sqref="D1742">
    <cfRule type="cellIs" dxfId="4472" priority="3099" stopIfTrue="1" operator="equal">
      <formula>#REF!</formula>
    </cfRule>
  </conditionalFormatting>
  <conditionalFormatting sqref="J1742">
    <cfRule type="cellIs" dxfId="4471" priority="3100" stopIfTrue="1" operator="equal">
      <formula>"Lockdown"</formula>
    </cfRule>
    <cfRule type="cellIs" dxfId="4470" priority="3101" stopIfTrue="1" operator="equal">
      <formula>"OOM"</formula>
    </cfRule>
    <cfRule type="cellIs" dxfId="4469" priority="3102" stopIfTrue="1" operator="equal">
      <formula>"Placeholder"</formula>
    </cfRule>
  </conditionalFormatting>
  <conditionalFormatting sqref="T1742:AA1742">
    <cfRule type="cellIs" dxfId="4468" priority="3103" stopIfTrue="1" operator="equal">
      <formula>"Blue - Completed"</formula>
    </cfRule>
    <cfRule type="cellIs" dxfId="4467" priority="3104" stopIfTrue="1" operator="equal">
      <formula>"Green - Started on Sched"</formula>
    </cfRule>
    <cfRule type="cellIs" dxfId="4466" priority="3105" stopIfTrue="1" operator="between">
      <formula>"Q"</formula>
      <formula>"T"</formula>
    </cfRule>
  </conditionalFormatting>
  <conditionalFormatting sqref="G1742">
    <cfRule type="cellIs" dxfId="4465" priority="3096" stopIfTrue="1" operator="equal">
      <formula>"4 - Complete"</formula>
    </cfRule>
    <cfRule type="cellIs" dxfId="4464" priority="3106" stopIfTrue="1" operator="equal">
      <formula>"3 - Green"</formula>
    </cfRule>
    <cfRule type="cellIs" dxfId="4463" priority="3107" stopIfTrue="1" operator="equal">
      <formula>"2 - Yellow"</formula>
    </cfRule>
    <cfRule type="cellIs" dxfId="4462" priority="3108" stopIfTrue="1" operator="equal">
      <formula>"1 - Red"</formula>
    </cfRule>
  </conditionalFormatting>
  <conditionalFormatting sqref="L1742">
    <cfRule type="cellIs" dxfId="4461" priority="3109" stopIfTrue="1" operator="equal">
      <formula>"1 - Hard Load"</formula>
    </cfRule>
    <cfRule type="cellIs" dxfId="4460" priority="3110" stopIfTrue="1" operator="equal">
      <formula>"3 - Not Loaded"</formula>
    </cfRule>
    <cfRule type="cellIs" dxfId="4459" priority="3111" stopIfTrue="1" operator="equal">
      <formula>"2 - Soft Load"</formula>
    </cfRule>
  </conditionalFormatting>
  <conditionalFormatting sqref="D248:D249">
    <cfRule type="cellIs" dxfId="4458" priority="10444" stopIfTrue="1" operator="equal">
      <formula>D136</formula>
    </cfRule>
  </conditionalFormatting>
  <conditionalFormatting sqref="D3095">
    <cfRule type="cellIs" dxfId="4457" priority="3026" stopIfTrue="1" operator="equal">
      <formula>D1133</formula>
    </cfRule>
  </conditionalFormatting>
  <conditionalFormatting sqref="AO3094:AO3097 AS3094:AS3097">
    <cfRule type="cellIs" dxfId="4456" priority="3030" stopIfTrue="1" operator="equal">
      <formula>"OK"</formula>
    </cfRule>
    <cfRule type="cellIs" dxfId="4455" priority="3031" stopIfTrue="1" operator="equal">
      <formula>"Add"</formula>
    </cfRule>
  </conditionalFormatting>
  <conditionalFormatting sqref="J3094:J3097">
    <cfRule type="cellIs" dxfId="4454" priority="3032" stopIfTrue="1" operator="equal">
      <formula>"Lockdown"</formula>
    </cfRule>
    <cfRule type="cellIs" dxfId="4453" priority="3033" stopIfTrue="1" operator="equal">
      <formula>"OOM"</formula>
    </cfRule>
    <cfRule type="cellIs" dxfId="4452" priority="3034" stopIfTrue="1" operator="equal">
      <formula>"Placeholder"</formula>
    </cfRule>
  </conditionalFormatting>
  <conditionalFormatting sqref="T3094:AA3097">
    <cfRule type="cellIs" dxfId="4451" priority="3035" stopIfTrue="1" operator="equal">
      <formula>"Blue - Completed"</formula>
    </cfRule>
    <cfRule type="cellIs" dxfId="4450" priority="3036" stopIfTrue="1" operator="equal">
      <formula>"Green - Started on Sched"</formula>
    </cfRule>
    <cfRule type="cellIs" dxfId="4449" priority="3037" stopIfTrue="1" operator="between">
      <formula>"Q"</formula>
      <formula>"T"</formula>
    </cfRule>
  </conditionalFormatting>
  <conditionalFormatting sqref="G3094:G3097">
    <cfRule type="cellIs" dxfId="4448" priority="3029" stopIfTrue="1" operator="equal">
      <formula>"4 - Complete"</formula>
    </cfRule>
    <cfRule type="cellIs" dxfId="4447" priority="3038" stopIfTrue="1" operator="equal">
      <formula>"3 - Green"</formula>
    </cfRule>
    <cfRule type="cellIs" dxfId="4446" priority="3039" stopIfTrue="1" operator="equal">
      <formula>"2 - Yellow"</formula>
    </cfRule>
    <cfRule type="cellIs" dxfId="4445" priority="3040" stopIfTrue="1" operator="equal">
      <formula>"1 - Red"</formula>
    </cfRule>
  </conditionalFormatting>
  <conditionalFormatting sqref="L3094:L3097">
    <cfRule type="cellIs" dxfId="4444" priority="3041" stopIfTrue="1" operator="equal">
      <formula>"1 - Hard Load"</formula>
    </cfRule>
    <cfRule type="cellIs" dxfId="4443" priority="3042" stopIfTrue="1" operator="equal">
      <formula>"3 - Not Loaded"</formula>
    </cfRule>
    <cfRule type="cellIs" dxfId="4442" priority="3043" stopIfTrue="1" operator="equal">
      <formula>"2 - Soft Load"</formula>
    </cfRule>
  </conditionalFormatting>
  <conditionalFormatting sqref="D3094:D3097">
    <cfRule type="cellIs" dxfId="4441" priority="3044" stopIfTrue="1" operator="equal">
      <formula>D1129</formula>
    </cfRule>
  </conditionalFormatting>
  <conditionalFormatting sqref="D3094:D3097">
    <cfRule type="cellIs" dxfId="4440" priority="3028" stopIfTrue="1" operator="equal">
      <formula>D1132</formula>
    </cfRule>
  </conditionalFormatting>
  <conditionalFormatting sqref="D3094:D3097">
    <cfRule type="cellIs" dxfId="4439" priority="3027" stopIfTrue="1" operator="equal">
      <formula>D1132</formula>
    </cfRule>
  </conditionalFormatting>
  <conditionalFormatting sqref="D3097">
    <cfRule type="cellIs" dxfId="4438" priority="3025" stopIfTrue="1" operator="equal">
      <formula>D1135</formula>
    </cfRule>
  </conditionalFormatting>
  <conditionalFormatting sqref="D3098">
    <cfRule type="cellIs" dxfId="4437" priority="3024" stopIfTrue="1" operator="equal">
      <formula>D1136</formula>
    </cfRule>
  </conditionalFormatting>
  <conditionalFormatting sqref="AS3098 AO3098">
    <cfRule type="cellIs" dxfId="4436" priority="3010" stopIfTrue="1" operator="equal">
      <formula>"OK"</formula>
    </cfRule>
    <cfRule type="cellIs" dxfId="4435" priority="3011" stopIfTrue="1" operator="equal">
      <formula>"Add"</formula>
    </cfRule>
  </conditionalFormatting>
  <conditionalFormatting sqref="J3098">
    <cfRule type="cellIs" dxfId="4434" priority="3012" stopIfTrue="1" operator="equal">
      <formula>"Lockdown"</formula>
    </cfRule>
    <cfRule type="cellIs" dxfId="4433" priority="3013" stopIfTrue="1" operator="equal">
      <formula>"OOM"</formula>
    </cfRule>
    <cfRule type="cellIs" dxfId="4432" priority="3014" stopIfTrue="1" operator="equal">
      <formula>"Placeholder"</formula>
    </cfRule>
  </conditionalFormatting>
  <conditionalFormatting sqref="T3098:AA3098">
    <cfRule type="cellIs" dxfId="4431" priority="3015" stopIfTrue="1" operator="equal">
      <formula>"Blue - Completed"</formula>
    </cfRule>
    <cfRule type="cellIs" dxfId="4430" priority="3016" stopIfTrue="1" operator="equal">
      <formula>"Green - Started on Sched"</formula>
    </cfRule>
    <cfRule type="cellIs" dxfId="4429" priority="3017" stopIfTrue="1" operator="between">
      <formula>"Q"</formula>
      <formula>"T"</formula>
    </cfRule>
  </conditionalFormatting>
  <conditionalFormatting sqref="G3098">
    <cfRule type="cellIs" dxfId="4428" priority="3009" stopIfTrue="1" operator="equal">
      <formula>"4 - Complete"</formula>
    </cfRule>
    <cfRule type="cellIs" dxfId="4427" priority="3018" stopIfTrue="1" operator="equal">
      <formula>"3 - Green"</formula>
    </cfRule>
    <cfRule type="cellIs" dxfId="4426" priority="3019" stopIfTrue="1" operator="equal">
      <formula>"2 - Yellow"</formula>
    </cfRule>
    <cfRule type="cellIs" dxfId="4425" priority="3020" stopIfTrue="1" operator="equal">
      <formula>"1 - Red"</formula>
    </cfRule>
  </conditionalFormatting>
  <conditionalFormatting sqref="L3098">
    <cfRule type="cellIs" dxfId="4424" priority="3021" stopIfTrue="1" operator="equal">
      <formula>"1 - Hard Load"</formula>
    </cfRule>
    <cfRule type="cellIs" dxfId="4423" priority="3022" stopIfTrue="1" operator="equal">
      <formula>"3 - Not Loaded"</formula>
    </cfRule>
    <cfRule type="cellIs" dxfId="4422" priority="3023" stopIfTrue="1" operator="equal">
      <formula>"2 - Soft Load"</formula>
    </cfRule>
  </conditionalFormatting>
  <conditionalFormatting sqref="D3100">
    <cfRule type="cellIs" dxfId="4421" priority="2990" stopIfTrue="1" operator="equal">
      <formula>D1138</formula>
    </cfRule>
  </conditionalFormatting>
  <conditionalFormatting sqref="AO3099:AO3103 AS3099:AS3103">
    <cfRule type="cellIs" dxfId="4420" priority="2994" stopIfTrue="1" operator="equal">
      <formula>"OK"</formula>
    </cfRule>
    <cfRule type="cellIs" dxfId="4419" priority="2995" stopIfTrue="1" operator="equal">
      <formula>"Add"</formula>
    </cfRule>
  </conditionalFormatting>
  <conditionalFormatting sqref="J3099:J3103">
    <cfRule type="cellIs" dxfId="4418" priority="2996" stopIfTrue="1" operator="equal">
      <formula>"Lockdown"</formula>
    </cfRule>
    <cfRule type="cellIs" dxfId="4417" priority="2997" stopIfTrue="1" operator="equal">
      <formula>"OOM"</formula>
    </cfRule>
    <cfRule type="cellIs" dxfId="4416" priority="2998" stopIfTrue="1" operator="equal">
      <formula>"Placeholder"</formula>
    </cfRule>
  </conditionalFormatting>
  <conditionalFormatting sqref="T3099:AA3103">
    <cfRule type="cellIs" dxfId="4415" priority="2999" stopIfTrue="1" operator="equal">
      <formula>"Blue - Completed"</formula>
    </cfRule>
    <cfRule type="cellIs" dxfId="4414" priority="3000" stopIfTrue="1" operator="equal">
      <formula>"Green - Started on Sched"</formula>
    </cfRule>
    <cfRule type="cellIs" dxfId="4413" priority="3001" stopIfTrue="1" operator="between">
      <formula>"Q"</formula>
      <formula>"T"</formula>
    </cfRule>
  </conditionalFormatting>
  <conditionalFormatting sqref="G3099:G3103">
    <cfRule type="cellIs" dxfId="4412" priority="2993" stopIfTrue="1" operator="equal">
      <formula>"4 - Complete"</formula>
    </cfRule>
    <cfRule type="cellIs" dxfId="4411" priority="3002" stopIfTrue="1" operator="equal">
      <formula>"3 - Green"</formula>
    </cfRule>
    <cfRule type="cellIs" dxfId="4410" priority="3003" stopIfTrue="1" operator="equal">
      <formula>"2 - Yellow"</formula>
    </cfRule>
    <cfRule type="cellIs" dxfId="4409" priority="3004" stopIfTrue="1" operator="equal">
      <formula>"1 - Red"</formula>
    </cfRule>
  </conditionalFormatting>
  <conditionalFormatting sqref="L3099:L3103">
    <cfRule type="cellIs" dxfId="4408" priority="3005" stopIfTrue="1" operator="equal">
      <formula>"1 - Hard Load"</formula>
    </cfRule>
    <cfRule type="cellIs" dxfId="4407" priority="3006" stopIfTrue="1" operator="equal">
      <formula>"3 - Not Loaded"</formula>
    </cfRule>
    <cfRule type="cellIs" dxfId="4406" priority="3007" stopIfTrue="1" operator="equal">
      <formula>"2 - Soft Load"</formula>
    </cfRule>
  </conditionalFormatting>
  <conditionalFormatting sqref="D3103">
    <cfRule type="cellIs" dxfId="4405" priority="2989" stopIfTrue="1" operator="equal">
      <formula>D1140</formula>
    </cfRule>
  </conditionalFormatting>
  <conditionalFormatting sqref="D3104">
    <cfRule type="cellIs" dxfId="4404" priority="2988" stopIfTrue="1" operator="equal">
      <formula>D1141</formula>
    </cfRule>
  </conditionalFormatting>
  <conditionalFormatting sqref="AS3104 AO3104">
    <cfRule type="cellIs" dxfId="4403" priority="2974" stopIfTrue="1" operator="equal">
      <formula>"OK"</formula>
    </cfRule>
    <cfRule type="cellIs" dxfId="4402" priority="2975" stopIfTrue="1" operator="equal">
      <formula>"Add"</formula>
    </cfRule>
  </conditionalFormatting>
  <conditionalFormatting sqref="J3104">
    <cfRule type="cellIs" dxfId="4401" priority="2976" stopIfTrue="1" operator="equal">
      <formula>"Lockdown"</formula>
    </cfRule>
    <cfRule type="cellIs" dxfId="4400" priority="2977" stopIfTrue="1" operator="equal">
      <formula>"OOM"</formula>
    </cfRule>
    <cfRule type="cellIs" dxfId="4399" priority="2978" stopIfTrue="1" operator="equal">
      <formula>"Placeholder"</formula>
    </cfRule>
  </conditionalFormatting>
  <conditionalFormatting sqref="T3104:AA3104">
    <cfRule type="cellIs" dxfId="4398" priority="2979" stopIfTrue="1" operator="equal">
      <formula>"Blue - Completed"</formula>
    </cfRule>
    <cfRule type="cellIs" dxfId="4397" priority="2980" stopIfTrue="1" operator="equal">
      <formula>"Green - Started on Sched"</formula>
    </cfRule>
    <cfRule type="cellIs" dxfId="4396" priority="2981" stopIfTrue="1" operator="between">
      <formula>"Q"</formula>
      <formula>"T"</formula>
    </cfRule>
  </conditionalFormatting>
  <conditionalFormatting sqref="G3104">
    <cfRule type="cellIs" dxfId="4395" priority="2973" stopIfTrue="1" operator="equal">
      <formula>"4 - Complete"</formula>
    </cfRule>
    <cfRule type="cellIs" dxfId="4394" priority="2982" stopIfTrue="1" operator="equal">
      <formula>"3 - Green"</formula>
    </cfRule>
    <cfRule type="cellIs" dxfId="4393" priority="2983" stopIfTrue="1" operator="equal">
      <formula>"2 - Yellow"</formula>
    </cfRule>
    <cfRule type="cellIs" dxfId="4392" priority="2984" stopIfTrue="1" operator="equal">
      <formula>"1 - Red"</formula>
    </cfRule>
  </conditionalFormatting>
  <conditionalFormatting sqref="L3104">
    <cfRule type="cellIs" dxfId="4391" priority="2985" stopIfTrue="1" operator="equal">
      <formula>"1 - Hard Load"</formula>
    </cfRule>
    <cfRule type="cellIs" dxfId="4390" priority="2986" stopIfTrue="1" operator="equal">
      <formula>"3 - Not Loaded"</formula>
    </cfRule>
    <cfRule type="cellIs" dxfId="4389" priority="2987" stopIfTrue="1" operator="equal">
      <formula>"2 - Soft Load"</formula>
    </cfRule>
  </conditionalFormatting>
  <conditionalFormatting sqref="D3106">
    <cfRule type="cellIs" dxfId="4388" priority="2954" stopIfTrue="1" operator="equal">
      <formula>D1143</formula>
    </cfRule>
  </conditionalFormatting>
  <conditionalFormatting sqref="AO3105:AO3108 AS3105:AS3108">
    <cfRule type="cellIs" dxfId="4387" priority="2958" stopIfTrue="1" operator="equal">
      <formula>"OK"</formula>
    </cfRule>
    <cfRule type="cellIs" dxfId="4386" priority="2959" stopIfTrue="1" operator="equal">
      <formula>"Add"</formula>
    </cfRule>
  </conditionalFormatting>
  <conditionalFormatting sqref="J3105:J3108">
    <cfRule type="cellIs" dxfId="4385" priority="2960" stopIfTrue="1" operator="equal">
      <formula>"Lockdown"</formula>
    </cfRule>
    <cfRule type="cellIs" dxfId="4384" priority="2961" stopIfTrue="1" operator="equal">
      <formula>"OOM"</formula>
    </cfRule>
    <cfRule type="cellIs" dxfId="4383" priority="2962" stopIfTrue="1" operator="equal">
      <formula>"Placeholder"</formula>
    </cfRule>
  </conditionalFormatting>
  <conditionalFormatting sqref="T3105:AA3108">
    <cfRule type="cellIs" dxfId="4382" priority="2963" stopIfTrue="1" operator="equal">
      <formula>"Blue - Completed"</formula>
    </cfRule>
    <cfRule type="cellIs" dxfId="4381" priority="2964" stopIfTrue="1" operator="equal">
      <formula>"Green - Started on Sched"</formula>
    </cfRule>
    <cfRule type="cellIs" dxfId="4380" priority="2965" stopIfTrue="1" operator="between">
      <formula>"Q"</formula>
      <formula>"T"</formula>
    </cfRule>
  </conditionalFormatting>
  <conditionalFormatting sqref="G3105:G3108">
    <cfRule type="cellIs" dxfId="4379" priority="2957" stopIfTrue="1" operator="equal">
      <formula>"4 - Complete"</formula>
    </cfRule>
    <cfRule type="cellIs" dxfId="4378" priority="2966" stopIfTrue="1" operator="equal">
      <formula>"3 - Green"</formula>
    </cfRule>
    <cfRule type="cellIs" dxfId="4377" priority="2967" stopIfTrue="1" operator="equal">
      <formula>"2 - Yellow"</formula>
    </cfRule>
    <cfRule type="cellIs" dxfId="4376" priority="2968" stopIfTrue="1" operator="equal">
      <formula>"1 - Red"</formula>
    </cfRule>
  </conditionalFormatting>
  <conditionalFormatting sqref="L3105:L3108">
    <cfRule type="cellIs" dxfId="4375" priority="2969" stopIfTrue="1" operator="equal">
      <formula>"1 - Hard Load"</formula>
    </cfRule>
    <cfRule type="cellIs" dxfId="4374" priority="2970" stopIfTrue="1" operator="equal">
      <formula>"3 - Not Loaded"</formula>
    </cfRule>
    <cfRule type="cellIs" dxfId="4373" priority="2971" stopIfTrue="1" operator="equal">
      <formula>"2 - Soft Load"</formula>
    </cfRule>
  </conditionalFormatting>
  <conditionalFormatting sqref="D3103:D3108">
    <cfRule type="cellIs" dxfId="4372" priority="2972" stopIfTrue="1" operator="equal">
      <formula>D1137</formula>
    </cfRule>
  </conditionalFormatting>
  <conditionalFormatting sqref="D3105:D3108">
    <cfRule type="cellIs" dxfId="4371" priority="2956" stopIfTrue="1" operator="equal">
      <formula>D1142</formula>
    </cfRule>
  </conditionalFormatting>
  <conditionalFormatting sqref="D3105:D3108">
    <cfRule type="cellIs" dxfId="4370" priority="2955" stopIfTrue="1" operator="equal">
      <formula>D1142</formula>
    </cfRule>
  </conditionalFormatting>
  <conditionalFormatting sqref="D3108">
    <cfRule type="cellIs" dxfId="4369" priority="2953" stopIfTrue="1" operator="equal">
      <formula>D1145</formula>
    </cfRule>
  </conditionalFormatting>
  <conditionalFormatting sqref="D3109:D3111">
    <cfRule type="cellIs" dxfId="4368" priority="2931" stopIfTrue="1" operator="equal">
      <formula>D1143</formula>
    </cfRule>
  </conditionalFormatting>
  <conditionalFormatting sqref="D3109">
    <cfRule type="cellIs" dxfId="4367" priority="2913" stopIfTrue="1" operator="equal">
      <formula>D1146</formula>
    </cfRule>
  </conditionalFormatting>
  <conditionalFormatting sqref="AO3109:AO3111 AS3109:AS3111">
    <cfRule type="cellIs" dxfId="4366" priority="2917" stopIfTrue="1" operator="equal">
      <formula>"OK"</formula>
    </cfRule>
    <cfRule type="cellIs" dxfId="4365" priority="2918" stopIfTrue="1" operator="equal">
      <formula>"Add"</formula>
    </cfRule>
  </conditionalFormatting>
  <conditionalFormatting sqref="J3109:J3111">
    <cfRule type="cellIs" dxfId="4364" priority="2919" stopIfTrue="1" operator="equal">
      <formula>"Lockdown"</formula>
    </cfRule>
    <cfRule type="cellIs" dxfId="4363" priority="2920" stopIfTrue="1" operator="equal">
      <formula>"OOM"</formula>
    </cfRule>
    <cfRule type="cellIs" dxfId="4362" priority="2921" stopIfTrue="1" operator="equal">
      <formula>"Placeholder"</formula>
    </cfRule>
  </conditionalFormatting>
  <conditionalFormatting sqref="T3109:AA3111">
    <cfRule type="cellIs" dxfId="4361" priority="2922" stopIfTrue="1" operator="equal">
      <formula>"Blue - Completed"</formula>
    </cfRule>
    <cfRule type="cellIs" dxfId="4360" priority="2923" stopIfTrue="1" operator="equal">
      <formula>"Green - Started on Sched"</formula>
    </cfRule>
    <cfRule type="cellIs" dxfId="4359" priority="2924" stopIfTrue="1" operator="between">
      <formula>"Q"</formula>
      <formula>"T"</formula>
    </cfRule>
  </conditionalFormatting>
  <conditionalFormatting sqref="G3109:G3111">
    <cfRule type="cellIs" dxfId="4358" priority="2916" stopIfTrue="1" operator="equal">
      <formula>"4 - Complete"</formula>
    </cfRule>
    <cfRule type="cellIs" dxfId="4357" priority="2925" stopIfTrue="1" operator="equal">
      <formula>"3 - Green"</formula>
    </cfRule>
    <cfRule type="cellIs" dxfId="4356" priority="2926" stopIfTrue="1" operator="equal">
      <formula>"2 - Yellow"</formula>
    </cfRule>
    <cfRule type="cellIs" dxfId="4355" priority="2927" stopIfTrue="1" operator="equal">
      <formula>"1 - Red"</formula>
    </cfRule>
  </conditionalFormatting>
  <conditionalFormatting sqref="L3109:L3111">
    <cfRule type="cellIs" dxfId="4354" priority="2928" stopIfTrue="1" operator="equal">
      <formula>"1 - Hard Load"</formula>
    </cfRule>
    <cfRule type="cellIs" dxfId="4353" priority="2929" stopIfTrue="1" operator="equal">
      <formula>"3 - Not Loaded"</formula>
    </cfRule>
    <cfRule type="cellIs" dxfId="4352" priority="2930" stopIfTrue="1" operator="equal">
      <formula>"2 - Soft Load"</formula>
    </cfRule>
  </conditionalFormatting>
  <conditionalFormatting sqref="D3109:D3111">
    <cfRule type="cellIs" dxfId="4351" priority="2915" stopIfTrue="1" operator="equal">
      <formula>D1146</formula>
    </cfRule>
  </conditionalFormatting>
  <conditionalFormatting sqref="D3109:D3111">
    <cfRule type="cellIs" dxfId="4350" priority="2914" stopIfTrue="1" operator="equal">
      <formula>D1146</formula>
    </cfRule>
  </conditionalFormatting>
  <conditionalFormatting sqref="D3111">
    <cfRule type="cellIs" dxfId="4349" priority="2912" stopIfTrue="1" operator="equal">
      <formula>D1148</formula>
    </cfRule>
  </conditionalFormatting>
  <conditionalFormatting sqref="D3113">
    <cfRule type="cellIs" dxfId="4348" priority="2893" stopIfTrue="1" operator="equal">
      <formula>D1150</formula>
    </cfRule>
  </conditionalFormatting>
  <conditionalFormatting sqref="AO3112:AO3115 AS3112:AS3115">
    <cfRule type="cellIs" dxfId="4347" priority="2897" stopIfTrue="1" operator="equal">
      <formula>"OK"</formula>
    </cfRule>
    <cfRule type="cellIs" dxfId="4346" priority="2898" stopIfTrue="1" operator="equal">
      <formula>"Add"</formula>
    </cfRule>
  </conditionalFormatting>
  <conditionalFormatting sqref="J3112:J3115">
    <cfRule type="cellIs" dxfId="4345" priority="2899" stopIfTrue="1" operator="equal">
      <formula>"Lockdown"</formula>
    </cfRule>
    <cfRule type="cellIs" dxfId="4344" priority="2900" stopIfTrue="1" operator="equal">
      <formula>"OOM"</formula>
    </cfRule>
    <cfRule type="cellIs" dxfId="4343" priority="2901" stopIfTrue="1" operator="equal">
      <formula>"Placeholder"</formula>
    </cfRule>
  </conditionalFormatting>
  <conditionalFormatting sqref="T3112:AA3115">
    <cfRule type="cellIs" dxfId="4342" priority="2902" stopIfTrue="1" operator="equal">
      <formula>"Blue - Completed"</formula>
    </cfRule>
    <cfRule type="cellIs" dxfId="4341" priority="2903" stopIfTrue="1" operator="equal">
      <formula>"Green - Started on Sched"</formula>
    </cfRule>
    <cfRule type="cellIs" dxfId="4340" priority="2904" stopIfTrue="1" operator="between">
      <formula>"Q"</formula>
      <formula>"T"</formula>
    </cfRule>
  </conditionalFormatting>
  <conditionalFormatting sqref="G3112:G3115">
    <cfRule type="cellIs" dxfId="4339" priority="2896" stopIfTrue="1" operator="equal">
      <formula>"4 - Complete"</formula>
    </cfRule>
    <cfRule type="cellIs" dxfId="4338" priority="2905" stopIfTrue="1" operator="equal">
      <formula>"3 - Green"</formula>
    </cfRule>
    <cfRule type="cellIs" dxfId="4337" priority="2906" stopIfTrue="1" operator="equal">
      <formula>"2 - Yellow"</formula>
    </cfRule>
    <cfRule type="cellIs" dxfId="4336" priority="2907" stopIfTrue="1" operator="equal">
      <formula>"1 - Red"</formula>
    </cfRule>
  </conditionalFormatting>
  <conditionalFormatting sqref="L3112:L3115">
    <cfRule type="cellIs" dxfId="4335" priority="2908" stopIfTrue="1" operator="equal">
      <formula>"1 - Hard Load"</formula>
    </cfRule>
    <cfRule type="cellIs" dxfId="4334" priority="2909" stopIfTrue="1" operator="equal">
      <formula>"3 - Not Loaded"</formula>
    </cfRule>
    <cfRule type="cellIs" dxfId="4333" priority="2910" stopIfTrue="1" operator="equal">
      <formula>"2 - Soft Load"</formula>
    </cfRule>
  </conditionalFormatting>
  <conditionalFormatting sqref="D3112:D3115">
    <cfRule type="cellIs" dxfId="4332" priority="2911" stopIfTrue="1" operator="equal">
      <formula>D1146</formula>
    </cfRule>
  </conditionalFormatting>
  <conditionalFormatting sqref="D3112:D3115">
    <cfRule type="cellIs" dxfId="4331" priority="2895" stopIfTrue="1" operator="equal">
      <formula>D1149</formula>
    </cfRule>
  </conditionalFormatting>
  <conditionalFormatting sqref="D3112:D3115">
    <cfRule type="cellIs" dxfId="4330" priority="2894" stopIfTrue="1" operator="equal">
      <formula>D1149</formula>
    </cfRule>
  </conditionalFormatting>
  <conditionalFormatting sqref="D3115">
    <cfRule type="cellIs" dxfId="4329" priority="2892" stopIfTrue="1" operator="equal">
      <formula>D1152</formula>
    </cfRule>
  </conditionalFormatting>
  <conditionalFormatting sqref="D3116">
    <cfRule type="cellIs" dxfId="4328" priority="2891" stopIfTrue="1" operator="equal">
      <formula>D1153</formula>
    </cfRule>
  </conditionalFormatting>
  <conditionalFormatting sqref="AS3116 AO3116">
    <cfRule type="cellIs" dxfId="4327" priority="2877" stopIfTrue="1" operator="equal">
      <formula>"OK"</formula>
    </cfRule>
    <cfRule type="cellIs" dxfId="4326" priority="2878" stopIfTrue="1" operator="equal">
      <formula>"Add"</formula>
    </cfRule>
  </conditionalFormatting>
  <conditionalFormatting sqref="J3116">
    <cfRule type="cellIs" dxfId="4325" priority="2879" stopIfTrue="1" operator="equal">
      <formula>"Lockdown"</formula>
    </cfRule>
    <cfRule type="cellIs" dxfId="4324" priority="2880" stopIfTrue="1" operator="equal">
      <formula>"OOM"</formula>
    </cfRule>
    <cfRule type="cellIs" dxfId="4323" priority="2881" stopIfTrue="1" operator="equal">
      <formula>"Placeholder"</formula>
    </cfRule>
  </conditionalFormatting>
  <conditionalFormatting sqref="T3116:AA3116">
    <cfRule type="cellIs" dxfId="4322" priority="2882" stopIfTrue="1" operator="equal">
      <formula>"Blue - Completed"</formula>
    </cfRule>
    <cfRule type="cellIs" dxfId="4321" priority="2883" stopIfTrue="1" operator="equal">
      <formula>"Green - Started on Sched"</formula>
    </cfRule>
    <cfRule type="cellIs" dxfId="4320" priority="2884" stopIfTrue="1" operator="between">
      <formula>"Q"</formula>
      <formula>"T"</formula>
    </cfRule>
  </conditionalFormatting>
  <conditionalFormatting sqref="G3116">
    <cfRule type="cellIs" dxfId="4319" priority="2876" stopIfTrue="1" operator="equal">
      <formula>"4 - Complete"</formula>
    </cfRule>
    <cfRule type="cellIs" dxfId="4318" priority="2885" stopIfTrue="1" operator="equal">
      <formula>"3 - Green"</formula>
    </cfRule>
    <cfRule type="cellIs" dxfId="4317" priority="2886" stopIfTrue="1" operator="equal">
      <formula>"2 - Yellow"</formula>
    </cfRule>
    <cfRule type="cellIs" dxfId="4316" priority="2887" stopIfTrue="1" operator="equal">
      <formula>"1 - Red"</formula>
    </cfRule>
  </conditionalFormatting>
  <conditionalFormatting sqref="L3116">
    <cfRule type="cellIs" dxfId="4315" priority="2888" stopIfTrue="1" operator="equal">
      <formula>"1 - Hard Load"</formula>
    </cfRule>
    <cfRule type="cellIs" dxfId="4314" priority="2889" stopIfTrue="1" operator="equal">
      <formula>"3 - Not Loaded"</formula>
    </cfRule>
    <cfRule type="cellIs" dxfId="4313" priority="2890" stopIfTrue="1" operator="equal">
      <formula>"2 - Soft Load"</formula>
    </cfRule>
  </conditionalFormatting>
  <conditionalFormatting sqref="D3118">
    <cfRule type="cellIs" dxfId="4312" priority="2857" stopIfTrue="1" operator="equal">
      <formula>D1155</formula>
    </cfRule>
  </conditionalFormatting>
  <conditionalFormatting sqref="AO3117:AO3120 AS3117:AS3120">
    <cfRule type="cellIs" dxfId="4311" priority="2861" stopIfTrue="1" operator="equal">
      <formula>"OK"</formula>
    </cfRule>
    <cfRule type="cellIs" dxfId="4310" priority="2862" stopIfTrue="1" operator="equal">
      <formula>"Add"</formula>
    </cfRule>
  </conditionalFormatting>
  <conditionalFormatting sqref="J3117:J3120">
    <cfRule type="cellIs" dxfId="4309" priority="2863" stopIfTrue="1" operator="equal">
      <formula>"Lockdown"</formula>
    </cfRule>
    <cfRule type="cellIs" dxfId="4308" priority="2864" stopIfTrue="1" operator="equal">
      <formula>"OOM"</formula>
    </cfRule>
    <cfRule type="cellIs" dxfId="4307" priority="2865" stopIfTrue="1" operator="equal">
      <formula>"Placeholder"</formula>
    </cfRule>
  </conditionalFormatting>
  <conditionalFormatting sqref="T3117:AA3120">
    <cfRule type="cellIs" dxfId="4306" priority="2866" stopIfTrue="1" operator="equal">
      <formula>"Blue - Completed"</formula>
    </cfRule>
    <cfRule type="cellIs" dxfId="4305" priority="2867" stopIfTrue="1" operator="equal">
      <formula>"Green - Started on Sched"</formula>
    </cfRule>
    <cfRule type="cellIs" dxfId="4304" priority="2868" stopIfTrue="1" operator="between">
      <formula>"Q"</formula>
      <formula>"T"</formula>
    </cfRule>
  </conditionalFormatting>
  <conditionalFormatting sqref="G3117:G3120">
    <cfRule type="cellIs" dxfId="4303" priority="2860" stopIfTrue="1" operator="equal">
      <formula>"4 - Complete"</formula>
    </cfRule>
    <cfRule type="cellIs" dxfId="4302" priority="2869" stopIfTrue="1" operator="equal">
      <formula>"3 - Green"</formula>
    </cfRule>
    <cfRule type="cellIs" dxfId="4301" priority="2870" stopIfTrue="1" operator="equal">
      <formula>"2 - Yellow"</formula>
    </cfRule>
    <cfRule type="cellIs" dxfId="4300" priority="2871" stopIfTrue="1" operator="equal">
      <formula>"1 - Red"</formula>
    </cfRule>
  </conditionalFormatting>
  <conditionalFormatting sqref="L3117:L3120">
    <cfRule type="cellIs" dxfId="4299" priority="2872" stopIfTrue="1" operator="equal">
      <formula>"1 - Hard Load"</formula>
    </cfRule>
    <cfRule type="cellIs" dxfId="4298" priority="2873" stopIfTrue="1" operator="equal">
      <formula>"3 - Not Loaded"</formula>
    </cfRule>
    <cfRule type="cellIs" dxfId="4297" priority="2874" stopIfTrue="1" operator="equal">
      <formula>"2 - Soft Load"</formula>
    </cfRule>
  </conditionalFormatting>
  <conditionalFormatting sqref="D3116:D3120">
    <cfRule type="cellIs" dxfId="4296" priority="2875" stopIfTrue="1" operator="equal">
      <formula>D1150</formula>
    </cfRule>
  </conditionalFormatting>
  <conditionalFormatting sqref="D3117:D3120">
    <cfRule type="cellIs" dxfId="4295" priority="2859" stopIfTrue="1" operator="equal">
      <formula>D1154</formula>
    </cfRule>
  </conditionalFormatting>
  <conditionalFormatting sqref="D3117:D3120">
    <cfRule type="cellIs" dxfId="4294" priority="2858" stopIfTrue="1" operator="equal">
      <formula>D1154</formula>
    </cfRule>
  </conditionalFormatting>
  <conditionalFormatting sqref="D3120">
    <cfRule type="cellIs" dxfId="4293" priority="2856" stopIfTrue="1" operator="equal">
      <formula>D1157</formula>
    </cfRule>
  </conditionalFormatting>
  <conditionalFormatting sqref="D3121">
    <cfRule type="cellIs" dxfId="4292" priority="2855" stopIfTrue="1" operator="equal">
      <formula>D1158</formula>
    </cfRule>
  </conditionalFormatting>
  <conditionalFormatting sqref="AS3121 AO3121">
    <cfRule type="cellIs" dxfId="4291" priority="2841" stopIfTrue="1" operator="equal">
      <formula>"OK"</formula>
    </cfRule>
    <cfRule type="cellIs" dxfId="4290" priority="2842" stopIfTrue="1" operator="equal">
      <formula>"Add"</formula>
    </cfRule>
  </conditionalFormatting>
  <conditionalFormatting sqref="J3121">
    <cfRule type="cellIs" dxfId="4289" priority="2843" stopIfTrue="1" operator="equal">
      <formula>"Lockdown"</formula>
    </cfRule>
    <cfRule type="cellIs" dxfId="4288" priority="2844" stopIfTrue="1" operator="equal">
      <formula>"OOM"</formula>
    </cfRule>
    <cfRule type="cellIs" dxfId="4287" priority="2845" stopIfTrue="1" operator="equal">
      <formula>"Placeholder"</formula>
    </cfRule>
  </conditionalFormatting>
  <conditionalFormatting sqref="T3121:AA3121">
    <cfRule type="cellIs" dxfId="4286" priority="2846" stopIfTrue="1" operator="equal">
      <formula>"Blue - Completed"</formula>
    </cfRule>
    <cfRule type="cellIs" dxfId="4285" priority="2847" stopIfTrue="1" operator="equal">
      <formula>"Green - Started on Sched"</formula>
    </cfRule>
    <cfRule type="cellIs" dxfId="4284" priority="2848" stopIfTrue="1" operator="between">
      <formula>"Q"</formula>
      <formula>"T"</formula>
    </cfRule>
  </conditionalFormatting>
  <conditionalFormatting sqref="G3121">
    <cfRule type="cellIs" dxfId="4283" priority="2840" stopIfTrue="1" operator="equal">
      <formula>"4 - Complete"</formula>
    </cfRule>
    <cfRule type="cellIs" dxfId="4282" priority="2849" stopIfTrue="1" operator="equal">
      <formula>"3 - Green"</formula>
    </cfRule>
    <cfRule type="cellIs" dxfId="4281" priority="2850" stopIfTrue="1" operator="equal">
      <formula>"2 - Yellow"</formula>
    </cfRule>
    <cfRule type="cellIs" dxfId="4280" priority="2851" stopIfTrue="1" operator="equal">
      <formula>"1 - Red"</formula>
    </cfRule>
  </conditionalFormatting>
  <conditionalFormatting sqref="L3121">
    <cfRule type="cellIs" dxfId="4279" priority="2852" stopIfTrue="1" operator="equal">
      <formula>"1 - Hard Load"</formula>
    </cfRule>
    <cfRule type="cellIs" dxfId="4278" priority="2853" stopIfTrue="1" operator="equal">
      <formula>"3 - Not Loaded"</formula>
    </cfRule>
    <cfRule type="cellIs" dxfId="4277" priority="2854" stopIfTrue="1" operator="equal">
      <formula>"2 - Soft Load"</formula>
    </cfRule>
  </conditionalFormatting>
  <conditionalFormatting sqref="D3123">
    <cfRule type="cellIs" dxfId="4276" priority="2821" stopIfTrue="1" operator="equal">
      <formula>D1160</formula>
    </cfRule>
  </conditionalFormatting>
  <conditionalFormatting sqref="AO3122:AO3125 AS3122:AS3125">
    <cfRule type="cellIs" dxfId="4275" priority="2825" stopIfTrue="1" operator="equal">
      <formula>"OK"</formula>
    </cfRule>
    <cfRule type="cellIs" dxfId="4274" priority="2826" stopIfTrue="1" operator="equal">
      <formula>"Add"</formula>
    </cfRule>
  </conditionalFormatting>
  <conditionalFormatting sqref="J3122:J3125">
    <cfRule type="cellIs" dxfId="4273" priority="2827" stopIfTrue="1" operator="equal">
      <formula>"Lockdown"</formula>
    </cfRule>
    <cfRule type="cellIs" dxfId="4272" priority="2828" stopIfTrue="1" operator="equal">
      <formula>"OOM"</formula>
    </cfRule>
    <cfRule type="cellIs" dxfId="4271" priority="2829" stopIfTrue="1" operator="equal">
      <formula>"Placeholder"</formula>
    </cfRule>
  </conditionalFormatting>
  <conditionalFormatting sqref="T3122:AA3125">
    <cfRule type="cellIs" dxfId="4270" priority="2830" stopIfTrue="1" operator="equal">
      <formula>"Blue - Completed"</formula>
    </cfRule>
    <cfRule type="cellIs" dxfId="4269" priority="2831" stopIfTrue="1" operator="equal">
      <formula>"Green - Started on Sched"</formula>
    </cfRule>
    <cfRule type="cellIs" dxfId="4268" priority="2832" stopIfTrue="1" operator="between">
      <formula>"Q"</formula>
      <formula>"T"</formula>
    </cfRule>
  </conditionalFormatting>
  <conditionalFormatting sqref="G3122:G3125">
    <cfRule type="cellIs" dxfId="4267" priority="2824" stopIfTrue="1" operator="equal">
      <formula>"4 - Complete"</formula>
    </cfRule>
    <cfRule type="cellIs" dxfId="4266" priority="2833" stopIfTrue="1" operator="equal">
      <formula>"3 - Green"</formula>
    </cfRule>
    <cfRule type="cellIs" dxfId="4265" priority="2834" stopIfTrue="1" operator="equal">
      <formula>"2 - Yellow"</formula>
    </cfRule>
    <cfRule type="cellIs" dxfId="4264" priority="2835" stopIfTrue="1" operator="equal">
      <formula>"1 - Red"</formula>
    </cfRule>
  </conditionalFormatting>
  <conditionalFormatting sqref="L3122:L3125">
    <cfRule type="cellIs" dxfId="4263" priority="2836" stopIfTrue="1" operator="equal">
      <formula>"1 - Hard Load"</formula>
    </cfRule>
    <cfRule type="cellIs" dxfId="4262" priority="2837" stopIfTrue="1" operator="equal">
      <formula>"3 - Not Loaded"</formula>
    </cfRule>
    <cfRule type="cellIs" dxfId="4261" priority="2838" stopIfTrue="1" operator="equal">
      <formula>"2 - Soft Load"</formula>
    </cfRule>
  </conditionalFormatting>
  <conditionalFormatting sqref="D3121:D3125">
    <cfRule type="cellIs" dxfId="4260" priority="2839" stopIfTrue="1" operator="equal">
      <formula>D1155</formula>
    </cfRule>
  </conditionalFormatting>
  <conditionalFormatting sqref="D3122:D3125">
    <cfRule type="cellIs" dxfId="4259" priority="2823" stopIfTrue="1" operator="equal">
      <formula>D1159</formula>
    </cfRule>
  </conditionalFormatting>
  <conditionalFormatting sqref="D3122:D3125">
    <cfRule type="cellIs" dxfId="4258" priority="2822" stopIfTrue="1" operator="equal">
      <formula>D1159</formula>
    </cfRule>
  </conditionalFormatting>
  <conditionalFormatting sqref="D3125">
    <cfRule type="cellIs" dxfId="4257" priority="2820" stopIfTrue="1" operator="equal">
      <formula>D1162</formula>
    </cfRule>
  </conditionalFormatting>
  <conditionalFormatting sqref="D3126">
    <cfRule type="cellIs" dxfId="4256" priority="2801" stopIfTrue="1" operator="equal">
      <formula>D1163</formula>
    </cfRule>
  </conditionalFormatting>
  <conditionalFormatting sqref="AO3126:AO3128 AS3126:AS3128">
    <cfRule type="cellIs" dxfId="4255" priority="2805" stopIfTrue="1" operator="equal">
      <formula>"OK"</formula>
    </cfRule>
    <cfRule type="cellIs" dxfId="4254" priority="2806" stopIfTrue="1" operator="equal">
      <formula>"Add"</formula>
    </cfRule>
  </conditionalFormatting>
  <conditionalFormatting sqref="J3126:J3128">
    <cfRule type="cellIs" dxfId="4253" priority="2807" stopIfTrue="1" operator="equal">
      <formula>"Lockdown"</formula>
    </cfRule>
    <cfRule type="cellIs" dxfId="4252" priority="2808" stopIfTrue="1" operator="equal">
      <formula>"OOM"</formula>
    </cfRule>
    <cfRule type="cellIs" dxfId="4251" priority="2809" stopIfTrue="1" operator="equal">
      <formula>"Placeholder"</formula>
    </cfRule>
  </conditionalFormatting>
  <conditionalFormatting sqref="T3126:AA3128">
    <cfRule type="cellIs" dxfId="4250" priority="2810" stopIfTrue="1" operator="equal">
      <formula>"Blue - Completed"</formula>
    </cfRule>
    <cfRule type="cellIs" dxfId="4249" priority="2811" stopIfTrue="1" operator="equal">
      <formula>"Green - Started on Sched"</formula>
    </cfRule>
    <cfRule type="cellIs" dxfId="4248" priority="2812" stopIfTrue="1" operator="between">
      <formula>"Q"</formula>
      <formula>"T"</formula>
    </cfRule>
  </conditionalFormatting>
  <conditionalFormatting sqref="G3126:G3128">
    <cfRule type="cellIs" dxfId="4247" priority="2804" stopIfTrue="1" operator="equal">
      <formula>"4 - Complete"</formula>
    </cfRule>
    <cfRule type="cellIs" dxfId="4246" priority="2813" stopIfTrue="1" operator="equal">
      <formula>"3 - Green"</formula>
    </cfRule>
    <cfRule type="cellIs" dxfId="4245" priority="2814" stopIfTrue="1" operator="equal">
      <formula>"2 - Yellow"</formula>
    </cfRule>
    <cfRule type="cellIs" dxfId="4244" priority="2815" stopIfTrue="1" operator="equal">
      <formula>"1 - Red"</formula>
    </cfRule>
  </conditionalFormatting>
  <conditionalFormatting sqref="L3126:L3128">
    <cfRule type="cellIs" dxfId="4243" priority="2816" stopIfTrue="1" operator="equal">
      <formula>"1 - Hard Load"</formula>
    </cfRule>
    <cfRule type="cellIs" dxfId="4242" priority="2817" stopIfTrue="1" operator="equal">
      <formula>"3 - Not Loaded"</formula>
    </cfRule>
    <cfRule type="cellIs" dxfId="4241" priority="2818" stopIfTrue="1" operator="equal">
      <formula>"2 - Soft Load"</formula>
    </cfRule>
  </conditionalFormatting>
  <conditionalFormatting sqref="D3126:D3128">
    <cfRule type="cellIs" dxfId="4240" priority="2819" stopIfTrue="1" operator="equal">
      <formula>D1160</formula>
    </cfRule>
  </conditionalFormatting>
  <conditionalFormatting sqref="D3126:D3128">
    <cfRule type="cellIs" dxfId="4239" priority="2803" stopIfTrue="1" operator="equal">
      <formula>D1163</formula>
    </cfRule>
  </conditionalFormatting>
  <conditionalFormatting sqref="D3126:D3128">
    <cfRule type="cellIs" dxfId="4238" priority="2802" stopIfTrue="1" operator="equal">
      <formula>D1163</formula>
    </cfRule>
  </conditionalFormatting>
  <conditionalFormatting sqref="D3128">
    <cfRule type="cellIs" dxfId="4237" priority="2800" stopIfTrue="1" operator="equal">
      <formula>D1165</formula>
    </cfRule>
  </conditionalFormatting>
  <conditionalFormatting sqref="D3129">
    <cfRule type="cellIs" dxfId="4236" priority="2799" stopIfTrue="1" operator="equal">
      <formula>D1166</formula>
    </cfRule>
  </conditionalFormatting>
  <conditionalFormatting sqref="AS3129 AO3129">
    <cfRule type="cellIs" dxfId="4235" priority="2785" stopIfTrue="1" operator="equal">
      <formula>"OK"</formula>
    </cfRule>
    <cfRule type="cellIs" dxfId="4234" priority="2786" stopIfTrue="1" operator="equal">
      <formula>"Add"</formula>
    </cfRule>
  </conditionalFormatting>
  <conditionalFormatting sqref="J3129">
    <cfRule type="cellIs" dxfId="4233" priority="2787" stopIfTrue="1" operator="equal">
      <formula>"Lockdown"</formula>
    </cfRule>
    <cfRule type="cellIs" dxfId="4232" priority="2788" stopIfTrue="1" operator="equal">
      <formula>"OOM"</formula>
    </cfRule>
    <cfRule type="cellIs" dxfId="4231" priority="2789" stopIfTrue="1" operator="equal">
      <formula>"Placeholder"</formula>
    </cfRule>
  </conditionalFormatting>
  <conditionalFormatting sqref="T3129:AA3129">
    <cfRule type="cellIs" dxfId="4230" priority="2790" stopIfTrue="1" operator="equal">
      <formula>"Blue - Completed"</formula>
    </cfRule>
    <cfRule type="cellIs" dxfId="4229" priority="2791" stopIfTrue="1" operator="equal">
      <formula>"Green - Started on Sched"</formula>
    </cfRule>
    <cfRule type="cellIs" dxfId="4228" priority="2792" stopIfTrue="1" operator="between">
      <formula>"Q"</formula>
      <formula>"T"</formula>
    </cfRule>
  </conditionalFormatting>
  <conditionalFormatting sqref="G3129">
    <cfRule type="cellIs" dxfId="4227" priority="2784" stopIfTrue="1" operator="equal">
      <formula>"4 - Complete"</formula>
    </cfRule>
    <cfRule type="cellIs" dxfId="4226" priority="2793" stopIfTrue="1" operator="equal">
      <formula>"3 - Green"</formula>
    </cfRule>
    <cfRule type="cellIs" dxfId="4225" priority="2794" stopIfTrue="1" operator="equal">
      <formula>"2 - Yellow"</formula>
    </cfRule>
    <cfRule type="cellIs" dxfId="4224" priority="2795" stopIfTrue="1" operator="equal">
      <formula>"1 - Red"</formula>
    </cfRule>
  </conditionalFormatting>
  <conditionalFormatting sqref="L3129">
    <cfRule type="cellIs" dxfId="4223" priority="2796" stopIfTrue="1" operator="equal">
      <formula>"1 - Hard Load"</formula>
    </cfRule>
    <cfRule type="cellIs" dxfId="4222" priority="2797" stopIfTrue="1" operator="equal">
      <formula>"3 - Not Loaded"</formula>
    </cfRule>
    <cfRule type="cellIs" dxfId="4221" priority="2798" stopIfTrue="1" operator="equal">
      <formula>"2 - Soft Load"</formula>
    </cfRule>
  </conditionalFormatting>
  <conditionalFormatting sqref="D3131">
    <cfRule type="cellIs" dxfId="4220" priority="2765" stopIfTrue="1" operator="equal">
      <formula>D1168</formula>
    </cfRule>
  </conditionalFormatting>
  <conditionalFormatting sqref="AO3130:AO3133 AS3130:AS3133">
    <cfRule type="cellIs" dxfId="4219" priority="2769" stopIfTrue="1" operator="equal">
      <formula>"OK"</formula>
    </cfRule>
    <cfRule type="cellIs" dxfId="4218" priority="2770" stopIfTrue="1" operator="equal">
      <formula>"Add"</formula>
    </cfRule>
  </conditionalFormatting>
  <conditionalFormatting sqref="J3130:J3133">
    <cfRule type="cellIs" dxfId="4217" priority="2771" stopIfTrue="1" operator="equal">
      <formula>"Lockdown"</formula>
    </cfRule>
    <cfRule type="cellIs" dxfId="4216" priority="2772" stopIfTrue="1" operator="equal">
      <formula>"OOM"</formula>
    </cfRule>
    <cfRule type="cellIs" dxfId="4215" priority="2773" stopIfTrue="1" operator="equal">
      <formula>"Placeholder"</formula>
    </cfRule>
  </conditionalFormatting>
  <conditionalFormatting sqref="T3130:AA3133">
    <cfRule type="cellIs" dxfId="4214" priority="2774" stopIfTrue="1" operator="equal">
      <formula>"Blue - Completed"</formula>
    </cfRule>
    <cfRule type="cellIs" dxfId="4213" priority="2775" stopIfTrue="1" operator="equal">
      <formula>"Green - Started on Sched"</formula>
    </cfRule>
    <cfRule type="cellIs" dxfId="4212" priority="2776" stopIfTrue="1" operator="between">
      <formula>"Q"</formula>
      <formula>"T"</formula>
    </cfRule>
  </conditionalFormatting>
  <conditionalFormatting sqref="G3130:G3133">
    <cfRule type="cellIs" dxfId="4211" priority="2768" stopIfTrue="1" operator="equal">
      <formula>"4 - Complete"</formula>
    </cfRule>
    <cfRule type="cellIs" dxfId="4210" priority="2777" stopIfTrue="1" operator="equal">
      <formula>"3 - Green"</formula>
    </cfRule>
    <cfRule type="cellIs" dxfId="4209" priority="2778" stopIfTrue="1" operator="equal">
      <formula>"2 - Yellow"</formula>
    </cfRule>
    <cfRule type="cellIs" dxfId="4208" priority="2779" stopIfTrue="1" operator="equal">
      <formula>"1 - Red"</formula>
    </cfRule>
  </conditionalFormatting>
  <conditionalFormatting sqref="L3130:L3133">
    <cfRule type="cellIs" dxfId="4207" priority="2780" stopIfTrue="1" operator="equal">
      <formula>"1 - Hard Load"</formula>
    </cfRule>
    <cfRule type="cellIs" dxfId="4206" priority="2781" stopIfTrue="1" operator="equal">
      <formula>"3 - Not Loaded"</formula>
    </cfRule>
    <cfRule type="cellIs" dxfId="4205" priority="2782" stopIfTrue="1" operator="equal">
      <formula>"2 - Soft Load"</formula>
    </cfRule>
  </conditionalFormatting>
  <conditionalFormatting sqref="D3129:D3133">
    <cfRule type="cellIs" dxfId="4204" priority="2783" stopIfTrue="1" operator="equal">
      <formula>D1163</formula>
    </cfRule>
  </conditionalFormatting>
  <conditionalFormatting sqref="D3130:D3133">
    <cfRule type="cellIs" dxfId="4203" priority="2767" stopIfTrue="1" operator="equal">
      <formula>D1167</formula>
    </cfRule>
  </conditionalFormatting>
  <conditionalFormatting sqref="D3130:D3133">
    <cfRule type="cellIs" dxfId="4202" priority="2766" stopIfTrue="1" operator="equal">
      <formula>D1167</formula>
    </cfRule>
  </conditionalFormatting>
  <conditionalFormatting sqref="D3133">
    <cfRule type="cellIs" dxfId="4201" priority="2764" stopIfTrue="1" operator="equal">
      <formula>D1170</formula>
    </cfRule>
  </conditionalFormatting>
  <conditionalFormatting sqref="D3134">
    <cfRule type="cellIs" dxfId="4200" priority="2763" stopIfTrue="1" operator="equal">
      <formula>D1171</formula>
    </cfRule>
  </conditionalFormatting>
  <conditionalFormatting sqref="AS3134 AO3134">
    <cfRule type="cellIs" dxfId="4199" priority="2749" stopIfTrue="1" operator="equal">
      <formula>"OK"</formula>
    </cfRule>
    <cfRule type="cellIs" dxfId="4198" priority="2750" stopIfTrue="1" operator="equal">
      <formula>"Add"</formula>
    </cfRule>
  </conditionalFormatting>
  <conditionalFormatting sqref="J3134">
    <cfRule type="cellIs" dxfId="4197" priority="2751" stopIfTrue="1" operator="equal">
      <formula>"Lockdown"</formula>
    </cfRule>
    <cfRule type="cellIs" dxfId="4196" priority="2752" stopIfTrue="1" operator="equal">
      <formula>"OOM"</formula>
    </cfRule>
    <cfRule type="cellIs" dxfId="4195" priority="2753" stopIfTrue="1" operator="equal">
      <formula>"Placeholder"</formula>
    </cfRule>
  </conditionalFormatting>
  <conditionalFormatting sqref="T3134:AA3134">
    <cfRule type="cellIs" dxfId="4194" priority="2754" stopIfTrue="1" operator="equal">
      <formula>"Blue - Completed"</formula>
    </cfRule>
    <cfRule type="cellIs" dxfId="4193" priority="2755" stopIfTrue="1" operator="equal">
      <formula>"Green - Started on Sched"</formula>
    </cfRule>
    <cfRule type="cellIs" dxfId="4192" priority="2756" stopIfTrue="1" operator="between">
      <formula>"Q"</formula>
      <formula>"T"</formula>
    </cfRule>
  </conditionalFormatting>
  <conditionalFormatting sqref="G3134">
    <cfRule type="cellIs" dxfId="4191" priority="2748" stopIfTrue="1" operator="equal">
      <formula>"4 - Complete"</formula>
    </cfRule>
    <cfRule type="cellIs" dxfId="4190" priority="2757" stopIfTrue="1" operator="equal">
      <formula>"3 - Green"</formula>
    </cfRule>
    <cfRule type="cellIs" dxfId="4189" priority="2758" stopIfTrue="1" operator="equal">
      <formula>"2 - Yellow"</formula>
    </cfRule>
    <cfRule type="cellIs" dxfId="4188" priority="2759" stopIfTrue="1" operator="equal">
      <formula>"1 - Red"</formula>
    </cfRule>
  </conditionalFormatting>
  <conditionalFormatting sqref="L3134">
    <cfRule type="cellIs" dxfId="4187" priority="2760" stopIfTrue="1" operator="equal">
      <formula>"1 - Hard Load"</formula>
    </cfRule>
    <cfRule type="cellIs" dxfId="4186" priority="2761" stopIfTrue="1" operator="equal">
      <formula>"3 - Not Loaded"</formula>
    </cfRule>
    <cfRule type="cellIs" dxfId="4185" priority="2762" stopIfTrue="1" operator="equal">
      <formula>"2 - Soft Load"</formula>
    </cfRule>
  </conditionalFormatting>
  <conditionalFormatting sqref="D3136">
    <cfRule type="cellIs" dxfId="4184" priority="2729" stopIfTrue="1" operator="equal">
      <formula>D1173</formula>
    </cfRule>
  </conditionalFormatting>
  <conditionalFormatting sqref="AO3135:AO3138 AS3135:AS3138">
    <cfRule type="cellIs" dxfId="4183" priority="2733" stopIfTrue="1" operator="equal">
      <formula>"OK"</formula>
    </cfRule>
    <cfRule type="cellIs" dxfId="4182" priority="2734" stopIfTrue="1" operator="equal">
      <formula>"Add"</formula>
    </cfRule>
  </conditionalFormatting>
  <conditionalFormatting sqref="J3135:J3138">
    <cfRule type="cellIs" dxfId="4181" priority="2735" stopIfTrue="1" operator="equal">
      <formula>"Lockdown"</formula>
    </cfRule>
    <cfRule type="cellIs" dxfId="4180" priority="2736" stopIfTrue="1" operator="equal">
      <formula>"OOM"</formula>
    </cfRule>
    <cfRule type="cellIs" dxfId="4179" priority="2737" stopIfTrue="1" operator="equal">
      <formula>"Placeholder"</formula>
    </cfRule>
  </conditionalFormatting>
  <conditionalFormatting sqref="T3135:AA3138">
    <cfRule type="cellIs" dxfId="4178" priority="2738" stopIfTrue="1" operator="equal">
      <formula>"Blue - Completed"</formula>
    </cfRule>
    <cfRule type="cellIs" dxfId="4177" priority="2739" stopIfTrue="1" operator="equal">
      <formula>"Green - Started on Sched"</formula>
    </cfRule>
    <cfRule type="cellIs" dxfId="4176" priority="2740" stopIfTrue="1" operator="between">
      <formula>"Q"</formula>
      <formula>"T"</formula>
    </cfRule>
  </conditionalFormatting>
  <conditionalFormatting sqref="G3135:G3138">
    <cfRule type="cellIs" dxfId="4175" priority="2732" stopIfTrue="1" operator="equal">
      <formula>"4 - Complete"</formula>
    </cfRule>
    <cfRule type="cellIs" dxfId="4174" priority="2741" stopIfTrue="1" operator="equal">
      <formula>"3 - Green"</formula>
    </cfRule>
    <cfRule type="cellIs" dxfId="4173" priority="2742" stopIfTrue="1" operator="equal">
      <formula>"2 - Yellow"</formula>
    </cfRule>
    <cfRule type="cellIs" dxfId="4172" priority="2743" stopIfTrue="1" operator="equal">
      <formula>"1 - Red"</formula>
    </cfRule>
  </conditionalFormatting>
  <conditionalFormatting sqref="L3135:L3138">
    <cfRule type="cellIs" dxfId="4171" priority="2744" stopIfTrue="1" operator="equal">
      <formula>"1 - Hard Load"</formula>
    </cfRule>
    <cfRule type="cellIs" dxfId="4170" priority="2745" stopIfTrue="1" operator="equal">
      <formula>"3 - Not Loaded"</formula>
    </cfRule>
    <cfRule type="cellIs" dxfId="4169" priority="2746" stopIfTrue="1" operator="equal">
      <formula>"2 - Soft Load"</formula>
    </cfRule>
  </conditionalFormatting>
  <conditionalFormatting sqref="D3134:D3138">
    <cfRule type="cellIs" dxfId="4168" priority="2747" stopIfTrue="1" operator="equal">
      <formula>D1168</formula>
    </cfRule>
  </conditionalFormatting>
  <conditionalFormatting sqref="D3135:D3138">
    <cfRule type="cellIs" dxfId="4167" priority="2731" stopIfTrue="1" operator="equal">
      <formula>D1172</formula>
    </cfRule>
  </conditionalFormatting>
  <conditionalFormatting sqref="D3135:D3138">
    <cfRule type="cellIs" dxfId="4166" priority="2730" stopIfTrue="1" operator="equal">
      <formula>D1172</formula>
    </cfRule>
  </conditionalFormatting>
  <conditionalFormatting sqref="D3138">
    <cfRule type="cellIs" dxfId="4165" priority="2728" stopIfTrue="1" operator="equal">
      <formula>D1175</formula>
    </cfRule>
  </conditionalFormatting>
  <conditionalFormatting sqref="D3139">
    <cfRule type="cellIs" dxfId="4164" priority="2709" stopIfTrue="1" operator="equal">
      <formula>D1176</formula>
    </cfRule>
  </conditionalFormatting>
  <conditionalFormatting sqref="AO3139:AO3141 AS3139:AS3141">
    <cfRule type="cellIs" dxfId="4163" priority="2713" stopIfTrue="1" operator="equal">
      <formula>"OK"</formula>
    </cfRule>
    <cfRule type="cellIs" dxfId="4162" priority="2714" stopIfTrue="1" operator="equal">
      <formula>"Add"</formula>
    </cfRule>
  </conditionalFormatting>
  <conditionalFormatting sqref="J3139:J3141">
    <cfRule type="cellIs" dxfId="4161" priority="2715" stopIfTrue="1" operator="equal">
      <formula>"Lockdown"</formula>
    </cfRule>
    <cfRule type="cellIs" dxfId="4160" priority="2716" stopIfTrue="1" operator="equal">
      <formula>"OOM"</formula>
    </cfRule>
    <cfRule type="cellIs" dxfId="4159" priority="2717" stopIfTrue="1" operator="equal">
      <formula>"Placeholder"</formula>
    </cfRule>
  </conditionalFormatting>
  <conditionalFormatting sqref="T3139:AA3141">
    <cfRule type="cellIs" dxfId="4158" priority="2718" stopIfTrue="1" operator="equal">
      <formula>"Blue - Completed"</formula>
    </cfRule>
    <cfRule type="cellIs" dxfId="4157" priority="2719" stopIfTrue="1" operator="equal">
      <formula>"Green - Started on Sched"</formula>
    </cfRule>
    <cfRule type="cellIs" dxfId="4156" priority="2720" stopIfTrue="1" operator="between">
      <formula>"Q"</formula>
      <formula>"T"</formula>
    </cfRule>
  </conditionalFormatting>
  <conditionalFormatting sqref="G3139:G3141">
    <cfRule type="cellIs" dxfId="4155" priority="2712" stopIfTrue="1" operator="equal">
      <formula>"4 - Complete"</formula>
    </cfRule>
    <cfRule type="cellIs" dxfId="4154" priority="2721" stopIfTrue="1" operator="equal">
      <formula>"3 - Green"</formula>
    </cfRule>
    <cfRule type="cellIs" dxfId="4153" priority="2722" stopIfTrue="1" operator="equal">
      <formula>"2 - Yellow"</formula>
    </cfRule>
    <cfRule type="cellIs" dxfId="4152" priority="2723" stopIfTrue="1" operator="equal">
      <formula>"1 - Red"</formula>
    </cfRule>
  </conditionalFormatting>
  <conditionalFormatting sqref="L3139:L3141">
    <cfRule type="cellIs" dxfId="4151" priority="2724" stopIfTrue="1" operator="equal">
      <formula>"1 - Hard Load"</formula>
    </cfRule>
    <cfRule type="cellIs" dxfId="4150" priority="2725" stopIfTrue="1" operator="equal">
      <formula>"3 - Not Loaded"</formula>
    </cfRule>
    <cfRule type="cellIs" dxfId="4149" priority="2726" stopIfTrue="1" operator="equal">
      <formula>"2 - Soft Load"</formula>
    </cfRule>
  </conditionalFormatting>
  <conditionalFormatting sqref="D3139:D3141">
    <cfRule type="cellIs" dxfId="4148" priority="2727" stopIfTrue="1" operator="equal">
      <formula>D1173</formula>
    </cfRule>
  </conditionalFormatting>
  <conditionalFormatting sqref="D3139:D3141">
    <cfRule type="cellIs" dxfId="4147" priority="2711" stopIfTrue="1" operator="equal">
      <formula>D1176</formula>
    </cfRule>
  </conditionalFormatting>
  <conditionalFormatting sqref="D3139:D3141">
    <cfRule type="cellIs" dxfId="4146" priority="2710" stopIfTrue="1" operator="equal">
      <formula>D1176</formula>
    </cfRule>
  </conditionalFormatting>
  <conditionalFormatting sqref="D3141">
    <cfRule type="cellIs" dxfId="4145" priority="2708" stopIfTrue="1" operator="equal">
      <formula>D1178</formula>
    </cfRule>
  </conditionalFormatting>
  <conditionalFormatting sqref="D3142">
    <cfRule type="cellIs" dxfId="4144" priority="2707" stopIfTrue="1" operator="equal">
      <formula>D1179</formula>
    </cfRule>
  </conditionalFormatting>
  <conditionalFormatting sqref="AS3142 AO3142">
    <cfRule type="cellIs" dxfId="4143" priority="2693" stopIfTrue="1" operator="equal">
      <formula>"OK"</formula>
    </cfRule>
    <cfRule type="cellIs" dxfId="4142" priority="2694" stopIfTrue="1" operator="equal">
      <formula>"Add"</formula>
    </cfRule>
  </conditionalFormatting>
  <conditionalFormatting sqref="J3142">
    <cfRule type="cellIs" dxfId="4141" priority="2695" stopIfTrue="1" operator="equal">
      <formula>"Lockdown"</formula>
    </cfRule>
    <cfRule type="cellIs" dxfId="4140" priority="2696" stopIfTrue="1" operator="equal">
      <formula>"OOM"</formula>
    </cfRule>
    <cfRule type="cellIs" dxfId="4139" priority="2697" stopIfTrue="1" operator="equal">
      <formula>"Placeholder"</formula>
    </cfRule>
  </conditionalFormatting>
  <conditionalFormatting sqref="T3142:AA3142">
    <cfRule type="cellIs" dxfId="4138" priority="2698" stopIfTrue="1" operator="equal">
      <formula>"Blue - Completed"</formula>
    </cfRule>
    <cfRule type="cellIs" dxfId="4137" priority="2699" stopIfTrue="1" operator="equal">
      <formula>"Green - Started on Sched"</formula>
    </cfRule>
    <cfRule type="cellIs" dxfId="4136" priority="2700" stopIfTrue="1" operator="between">
      <formula>"Q"</formula>
      <formula>"T"</formula>
    </cfRule>
  </conditionalFormatting>
  <conditionalFormatting sqref="G3142">
    <cfRule type="cellIs" dxfId="4135" priority="2692" stopIfTrue="1" operator="equal">
      <formula>"4 - Complete"</formula>
    </cfRule>
    <cfRule type="cellIs" dxfId="4134" priority="2701" stopIfTrue="1" operator="equal">
      <formula>"3 - Green"</formula>
    </cfRule>
    <cfRule type="cellIs" dxfId="4133" priority="2702" stopIfTrue="1" operator="equal">
      <formula>"2 - Yellow"</formula>
    </cfRule>
    <cfRule type="cellIs" dxfId="4132" priority="2703" stopIfTrue="1" operator="equal">
      <formula>"1 - Red"</formula>
    </cfRule>
  </conditionalFormatting>
  <conditionalFormatting sqref="L3142">
    <cfRule type="cellIs" dxfId="4131" priority="2704" stopIfTrue="1" operator="equal">
      <formula>"1 - Hard Load"</formula>
    </cfRule>
    <cfRule type="cellIs" dxfId="4130" priority="2705" stopIfTrue="1" operator="equal">
      <formula>"3 - Not Loaded"</formula>
    </cfRule>
    <cfRule type="cellIs" dxfId="4129" priority="2706" stopIfTrue="1" operator="equal">
      <formula>"2 - Soft Load"</formula>
    </cfRule>
  </conditionalFormatting>
  <conditionalFormatting sqref="D3144">
    <cfRule type="cellIs" dxfId="4128" priority="2673" stopIfTrue="1" operator="equal">
      <formula>D1181</formula>
    </cfRule>
  </conditionalFormatting>
  <conditionalFormatting sqref="AO3143:AO3146 AS3143:AS3146">
    <cfRule type="cellIs" dxfId="4127" priority="2677" stopIfTrue="1" operator="equal">
      <formula>"OK"</formula>
    </cfRule>
    <cfRule type="cellIs" dxfId="4126" priority="2678" stopIfTrue="1" operator="equal">
      <formula>"Add"</formula>
    </cfRule>
  </conditionalFormatting>
  <conditionalFormatting sqref="J3143:J3146">
    <cfRule type="cellIs" dxfId="4125" priority="2679" stopIfTrue="1" operator="equal">
      <formula>"Lockdown"</formula>
    </cfRule>
    <cfRule type="cellIs" dxfId="4124" priority="2680" stopIfTrue="1" operator="equal">
      <formula>"OOM"</formula>
    </cfRule>
    <cfRule type="cellIs" dxfId="4123" priority="2681" stopIfTrue="1" operator="equal">
      <formula>"Placeholder"</formula>
    </cfRule>
  </conditionalFormatting>
  <conditionalFormatting sqref="T3143:AA3146">
    <cfRule type="cellIs" dxfId="4122" priority="2682" stopIfTrue="1" operator="equal">
      <formula>"Blue - Completed"</formula>
    </cfRule>
    <cfRule type="cellIs" dxfId="4121" priority="2683" stopIfTrue="1" operator="equal">
      <formula>"Green - Started on Sched"</formula>
    </cfRule>
    <cfRule type="cellIs" dxfId="4120" priority="2684" stopIfTrue="1" operator="between">
      <formula>"Q"</formula>
      <formula>"T"</formula>
    </cfRule>
  </conditionalFormatting>
  <conditionalFormatting sqref="G3143:G3146">
    <cfRule type="cellIs" dxfId="4119" priority="2676" stopIfTrue="1" operator="equal">
      <formula>"4 - Complete"</formula>
    </cfRule>
    <cfRule type="cellIs" dxfId="4118" priority="2685" stopIfTrue="1" operator="equal">
      <formula>"3 - Green"</formula>
    </cfRule>
    <cfRule type="cellIs" dxfId="4117" priority="2686" stopIfTrue="1" operator="equal">
      <formula>"2 - Yellow"</formula>
    </cfRule>
    <cfRule type="cellIs" dxfId="4116" priority="2687" stopIfTrue="1" operator="equal">
      <formula>"1 - Red"</formula>
    </cfRule>
  </conditionalFormatting>
  <conditionalFormatting sqref="L3143:L3146">
    <cfRule type="cellIs" dxfId="4115" priority="2688" stopIfTrue="1" operator="equal">
      <formula>"1 - Hard Load"</formula>
    </cfRule>
    <cfRule type="cellIs" dxfId="4114" priority="2689" stopIfTrue="1" operator="equal">
      <formula>"3 - Not Loaded"</formula>
    </cfRule>
    <cfRule type="cellIs" dxfId="4113" priority="2690" stopIfTrue="1" operator="equal">
      <formula>"2 - Soft Load"</formula>
    </cfRule>
  </conditionalFormatting>
  <conditionalFormatting sqref="D3142:D3146">
    <cfRule type="cellIs" dxfId="4112" priority="2691" stopIfTrue="1" operator="equal">
      <formula>D1176</formula>
    </cfRule>
  </conditionalFormatting>
  <conditionalFormatting sqref="D3143:D3146">
    <cfRule type="cellIs" dxfId="4111" priority="2675" stopIfTrue="1" operator="equal">
      <formula>D1180</formula>
    </cfRule>
  </conditionalFormatting>
  <conditionalFormatting sqref="D3143:D3146">
    <cfRule type="cellIs" dxfId="4110" priority="2674" stopIfTrue="1" operator="equal">
      <formula>D1180</formula>
    </cfRule>
  </conditionalFormatting>
  <conditionalFormatting sqref="D3146">
    <cfRule type="cellIs" dxfId="4109" priority="2672" stopIfTrue="1" operator="equal">
      <formula>D1183</formula>
    </cfRule>
  </conditionalFormatting>
  <conditionalFormatting sqref="D3147">
    <cfRule type="cellIs" dxfId="4108" priority="2671" stopIfTrue="1" operator="equal">
      <formula>D1184</formula>
    </cfRule>
  </conditionalFormatting>
  <conditionalFormatting sqref="AS3147 AO3147">
    <cfRule type="cellIs" dxfId="4107" priority="2657" stopIfTrue="1" operator="equal">
      <formula>"OK"</formula>
    </cfRule>
    <cfRule type="cellIs" dxfId="4106" priority="2658" stopIfTrue="1" operator="equal">
      <formula>"Add"</formula>
    </cfRule>
  </conditionalFormatting>
  <conditionalFormatting sqref="J3147">
    <cfRule type="cellIs" dxfId="4105" priority="2659" stopIfTrue="1" operator="equal">
      <formula>"Lockdown"</formula>
    </cfRule>
    <cfRule type="cellIs" dxfId="4104" priority="2660" stopIfTrue="1" operator="equal">
      <formula>"OOM"</formula>
    </cfRule>
    <cfRule type="cellIs" dxfId="4103" priority="2661" stopIfTrue="1" operator="equal">
      <formula>"Placeholder"</formula>
    </cfRule>
  </conditionalFormatting>
  <conditionalFormatting sqref="T3147:AA3147">
    <cfRule type="cellIs" dxfId="4102" priority="2662" stopIfTrue="1" operator="equal">
      <formula>"Blue - Completed"</formula>
    </cfRule>
    <cfRule type="cellIs" dxfId="4101" priority="2663" stopIfTrue="1" operator="equal">
      <formula>"Green - Started on Sched"</formula>
    </cfRule>
    <cfRule type="cellIs" dxfId="4100" priority="2664" stopIfTrue="1" operator="between">
      <formula>"Q"</formula>
      <formula>"T"</formula>
    </cfRule>
  </conditionalFormatting>
  <conditionalFormatting sqref="G3147">
    <cfRule type="cellIs" dxfId="4099" priority="2656" stopIfTrue="1" operator="equal">
      <formula>"4 - Complete"</formula>
    </cfRule>
    <cfRule type="cellIs" dxfId="4098" priority="2665" stopIfTrue="1" operator="equal">
      <formula>"3 - Green"</formula>
    </cfRule>
    <cfRule type="cellIs" dxfId="4097" priority="2666" stopIfTrue="1" operator="equal">
      <formula>"2 - Yellow"</formula>
    </cfRule>
    <cfRule type="cellIs" dxfId="4096" priority="2667" stopIfTrue="1" operator="equal">
      <formula>"1 - Red"</formula>
    </cfRule>
  </conditionalFormatting>
  <conditionalFormatting sqref="L3147">
    <cfRule type="cellIs" dxfId="4095" priority="2668" stopIfTrue="1" operator="equal">
      <formula>"1 - Hard Load"</formula>
    </cfRule>
    <cfRule type="cellIs" dxfId="4094" priority="2669" stopIfTrue="1" operator="equal">
      <formula>"3 - Not Loaded"</formula>
    </cfRule>
    <cfRule type="cellIs" dxfId="4093" priority="2670" stopIfTrue="1" operator="equal">
      <formula>"2 - Soft Load"</formula>
    </cfRule>
  </conditionalFormatting>
  <conditionalFormatting sqref="D3149">
    <cfRule type="cellIs" dxfId="4092" priority="2637" stopIfTrue="1" operator="equal">
      <formula>D1186</formula>
    </cfRule>
  </conditionalFormatting>
  <conditionalFormatting sqref="AO3148:AO3151 AS3148:AS3151">
    <cfRule type="cellIs" dxfId="4091" priority="2641" stopIfTrue="1" operator="equal">
      <formula>"OK"</formula>
    </cfRule>
    <cfRule type="cellIs" dxfId="4090" priority="2642" stopIfTrue="1" operator="equal">
      <formula>"Add"</formula>
    </cfRule>
  </conditionalFormatting>
  <conditionalFormatting sqref="J3148:J3151">
    <cfRule type="cellIs" dxfId="4089" priority="2643" stopIfTrue="1" operator="equal">
      <formula>"Lockdown"</formula>
    </cfRule>
    <cfRule type="cellIs" dxfId="4088" priority="2644" stopIfTrue="1" operator="equal">
      <formula>"OOM"</formula>
    </cfRule>
    <cfRule type="cellIs" dxfId="4087" priority="2645" stopIfTrue="1" operator="equal">
      <formula>"Placeholder"</formula>
    </cfRule>
  </conditionalFormatting>
  <conditionalFormatting sqref="T3148:AA3151">
    <cfRule type="cellIs" dxfId="4086" priority="2646" stopIfTrue="1" operator="equal">
      <formula>"Blue - Completed"</formula>
    </cfRule>
    <cfRule type="cellIs" dxfId="4085" priority="2647" stopIfTrue="1" operator="equal">
      <formula>"Green - Started on Sched"</formula>
    </cfRule>
    <cfRule type="cellIs" dxfId="4084" priority="2648" stopIfTrue="1" operator="between">
      <formula>"Q"</formula>
      <formula>"T"</formula>
    </cfRule>
  </conditionalFormatting>
  <conditionalFormatting sqref="G3148:G3151">
    <cfRule type="cellIs" dxfId="4083" priority="2640" stopIfTrue="1" operator="equal">
      <formula>"4 - Complete"</formula>
    </cfRule>
    <cfRule type="cellIs" dxfId="4082" priority="2649" stopIfTrue="1" operator="equal">
      <formula>"3 - Green"</formula>
    </cfRule>
    <cfRule type="cellIs" dxfId="4081" priority="2650" stopIfTrue="1" operator="equal">
      <formula>"2 - Yellow"</formula>
    </cfRule>
    <cfRule type="cellIs" dxfId="4080" priority="2651" stopIfTrue="1" operator="equal">
      <formula>"1 - Red"</formula>
    </cfRule>
  </conditionalFormatting>
  <conditionalFormatting sqref="L3148:L3151">
    <cfRule type="cellIs" dxfId="4079" priority="2652" stopIfTrue="1" operator="equal">
      <formula>"1 - Hard Load"</formula>
    </cfRule>
    <cfRule type="cellIs" dxfId="4078" priority="2653" stopIfTrue="1" operator="equal">
      <formula>"3 - Not Loaded"</formula>
    </cfRule>
    <cfRule type="cellIs" dxfId="4077" priority="2654" stopIfTrue="1" operator="equal">
      <formula>"2 - Soft Load"</formula>
    </cfRule>
  </conditionalFormatting>
  <conditionalFormatting sqref="D3147:D3151">
    <cfRule type="cellIs" dxfId="4076" priority="2655" stopIfTrue="1" operator="equal">
      <formula>D1181</formula>
    </cfRule>
  </conditionalFormatting>
  <conditionalFormatting sqref="D3148:D3151">
    <cfRule type="cellIs" dxfId="4075" priority="2639" stopIfTrue="1" operator="equal">
      <formula>D1185</formula>
    </cfRule>
  </conditionalFormatting>
  <conditionalFormatting sqref="D3148:D3151">
    <cfRule type="cellIs" dxfId="4074" priority="2638" stopIfTrue="1" operator="equal">
      <formula>D1185</formula>
    </cfRule>
  </conditionalFormatting>
  <conditionalFormatting sqref="D3151">
    <cfRule type="cellIs" dxfId="4073" priority="2636" stopIfTrue="1" operator="equal">
      <formula>D1188</formula>
    </cfRule>
  </conditionalFormatting>
  <conditionalFormatting sqref="D229">
    <cfRule type="cellIs" dxfId="4072" priority="10500" stopIfTrue="1" operator="equal">
      <formula>#REF!</formula>
    </cfRule>
  </conditionalFormatting>
  <conditionalFormatting sqref="D246">
    <cfRule type="cellIs" dxfId="4071" priority="10510" stopIfTrue="1" operator="equal">
      <formula>#REF!</formula>
    </cfRule>
  </conditionalFormatting>
  <conditionalFormatting sqref="D3152">
    <cfRule type="cellIs" dxfId="4070" priority="2635" stopIfTrue="1" operator="equal">
      <formula>D1189</formula>
    </cfRule>
  </conditionalFormatting>
  <conditionalFormatting sqref="AS3152 AO3152">
    <cfRule type="cellIs" dxfId="4069" priority="2621" stopIfTrue="1" operator="equal">
      <formula>"OK"</formula>
    </cfRule>
    <cfRule type="cellIs" dxfId="4068" priority="2622" stopIfTrue="1" operator="equal">
      <formula>"Add"</formula>
    </cfRule>
  </conditionalFormatting>
  <conditionalFormatting sqref="J3152">
    <cfRule type="cellIs" dxfId="4067" priority="2623" stopIfTrue="1" operator="equal">
      <formula>"Lockdown"</formula>
    </cfRule>
    <cfRule type="cellIs" dxfId="4066" priority="2624" stopIfTrue="1" operator="equal">
      <formula>"OOM"</formula>
    </cfRule>
    <cfRule type="cellIs" dxfId="4065" priority="2625" stopIfTrue="1" operator="equal">
      <formula>"Placeholder"</formula>
    </cfRule>
  </conditionalFormatting>
  <conditionalFormatting sqref="T3152:AA3152">
    <cfRule type="cellIs" dxfId="4064" priority="2626" stopIfTrue="1" operator="equal">
      <formula>"Blue - Completed"</formula>
    </cfRule>
    <cfRule type="cellIs" dxfId="4063" priority="2627" stopIfTrue="1" operator="equal">
      <formula>"Green - Started on Sched"</formula>
    </cfRule>
    <cfRule type="cellIs" dxfId="4062" priority="2628" stopIfTrue="1" operator="between">
      <formula>"Q"</formula>
      <formula>"T"</formula>
    </cfRule>
  </conditionalFormatting>
  <conditionalFormatting sqref="G3152">
    <cfRule type="cellIs" dxfId="4061" priority="2620" stopIfTrue="1" operator="equal">
      <formula>"4 - Complete"</formula>
    </cfRule>
    <cfRule type="cellIs" dxfId="4060" priority="2629" stopIfTrue="1" operator="equal">
      <formula>"3 - Green"</formula>
    </cfRule>
    <cfRule type="cellIs" dxfId="4059" priority="2630" stopIfTrue="1" operator="equal">
      <formula>"2 - Yellow"</formula>
    </cfRule>
    <cfRule type="cellIs" dxfId="4058" priority="2631" stopIfTrue="1" operator="equal">
      <formula>"1 - Red"</formula>
    </cfRule>
  </conditionalFormatting>
  <conditionalFormatting sqref="L3152">
    <cfRule type="cellIs" dxfId="4057" priority="2632" stopIfTrue="1" operator="equal">
      <formula>"1 - Hard Load"</formula>
    </cfRule>
    <cfRule type="cellIs" dxfId="4056" priority="2633" stopIfTrue="1" operator="equal">
      <formula>"3 - Not Loaded"</formula>
    </cfRule>
    <cfRule type="cellIs" dxfId="4055" priority="2634" stopIfTrue="1" operator="equal">
      <formula>"2 - Soft Load"</formula>
    </cfRule>
  </conditionalFormatting>
  <conditionalFormatting sqref="D3154">
    <cfRule type="cellIs" dxfId="4054" priority="2601" stopIfTrue="1" operator="equal">
      <formula>D1191</formula>
    </cfRule>
  </conditionalFormatting>
  <conditionalFormatting sqref="AO3153:AO3156 AS3153:AS3156">
    <cfRule type="cellIs" dxfId="4053" priority="2605" stopIfTrue="1" operator="equal">
      <formula>"OK"</formula>
    </cfRule>
    <cfRule type="cellIs" dxfId="4052" priority="2606" stopIfTrue="1" operator="equal">
      <formula>"Add"</formula>
    </cfRule>
  </conditionalFormatting>
  <conditionalFormatting sqref="J3153:J3156">
    <cfRule type="cellIs" dxfId="4051" priority="2607" stopIfTrue="1" operator="equal">
      <formula>"Lockdown"</formula>
    </cfRule>
    <cfRule type="cellIs" dxfId="4050" priority="2608" stopIfTrue="1" operator="equal">
      <formula>"OOM"</formula>
    </cfRule>
    <cfRule type="cellIs" dxfId="4049" priority="2609" stopIfTrue="1" operator="equal">
      <formula>"Placeholder"</formula>
    </cfRule>
  </conditionalFormatting>
  <conditionalFormatting sqref="T3153:AA3156">
    <cfRule type="cellIs" dxfId="4048" priority="2610" stopIfTrue="1" operator="equal">
      <formula>"Blue - Completed"</formula>
    </cfRule>
    <cfRule type="cellIs" dxfId="4047" priority="2611" stopIfTrue="1" operator="equal">
      <formula>"Green - Started on Sched"</formula>
    </cfRule>
    <cfRule type="cellIs" dxfId="4046" priority="2612" stopIfTrue="1" operator="between">
      <formula>"Q"</formula>
      <formula>"T"</formula>
    </cfRule>
  </conditionalFormatting>
  <conditionalFormatting sqref="G3153:G3156">
    <cfRule type="cellIs" dxfId="4045" priority="2604" stopIfTrue="1" operator="equal">
      <formula>"4 - Complete"</formula>
    </cfRule>
    <cfRule type="cellIs" dxfId="4044" priority="2613" stopIfTrue="1" operator="equal">
      <formula>"3 - Green"</formula>
    </cfRule>
    <cfRule type="cellIs" dxfId="4043" priority="2614" stopIfTrue="1" operator="equal">
      <formula>"2 - Yellow"</formula>
    </cfRule>
    <cfRule type="cellIs" dxfId="4042" priority="2615" stopIfTrue="1" operator="equal">
      <formula>"1 - Red"</formula>
    </cfRule>
  </conditionalFormatting>
  <conditionalFormatting sqref="L3153:L3156">
    <cfRule type="cellIs" dxfId="4041" priority="2616" stopIfTrue="1" operator="equal">
      <formula>"1 - Hard Load"</formula>
    </cfRule>
    <cfRule type="cellIs" dxfId="4040" priority="2617" stopIfTrue="1" operator="equal">
      <formula>"3 - Not Loaded"</formula>
    </cfRule>
    <cfRule type="cellIs" dxfId="4039" priority="2618" stopIfTrue="1" operator="equal">
      <formula>"2 - Soft Load"</formula>
    </cfRule>
  </conditionalFormatting>
  <conditionalFormatting sqref="D3152:D3156">
    <cfRule type="cellIs" dxfId="4038" priority="2619" stopIfTrue="1" operator="equal">
      <formula>D1186</formula>
    </cfRule>
  </conditionalFormatting>
  <conditionalFormatting sqref="D3153:D3156">
    <cfRule type="cellIs" dxfId="4037" priority="2603" stopIfTrue="1" operator="equal">
      <formula>D1190</formula>
    </cfRule>
  </conditionalFormatting>
  <conditionalFormatting sqref="D3153:D3156">
    <cfRule type="cellIs" dxfId="4036" priority="2602" stopIfTrue="1" operator="equal">
      <formula>D1190</formula>
    </cfRule>
  </conditionalFormatting>
  <conditionalFormatting sqref="D3156">
    <cfRule type="cellIs" dxfId="4035" priority="2600" stopIfTrue="1" operator="equal">
      <formula>D1193</formula>
    </cfRule>
  </conditionalFormatting>
  <conditionalFormatting sqref="D3157">
    <cfRule type="cellIs" dxfId="4034" priority="2581" stopIfTrue="1" operator="equal">
      <formula>D1194</formula>
    </cfRule>
  </conditionalFormatting>
  <conditionalFormatting sqref="AO3157:AO3159 AS3157:AS3159">
    <cfRule type="cellIs" dxfId="4033" priority="2585" stopIfTrue="1" operator="equal">
      <formula>"OK"</formula>
    </cfRule>
    <cfRule type="cellIs" dxfId="4032" priority="2586" stopIfTrue="1" operator="equal">
      <formula>"Add"</formula>
    </cfRule>
  </conditionalFormatting>
  <conditionalFormatting sqref="J3157:J3159">
    <cfRule type="cellIs" dxfId="4031" priority="2587" stopIfTrue="1" operator="equal">
      <formula>"Lockdown"</formula>
    </cfRule>
    <cfRule type="cellIs" dxfId="4030" priority="2588" stopIfTrue="1" operator="equal">
      <formula>"OOM"</formula>
    </cfRule>
    <cfRule type="cellIs" dxfId="4029" priority="2589" stopIfTrue="1" operator="equal">
      <formula>"Placeholder"</formula>
    </cfRule>
  </conditionalFormatting>
  <conditionalFormatting sqref="T3157:AA3159">
    <cfRule type="cellIs" dxfId="4028" priority="2590" stopIfTrue="1" operator="equal">
      <formula>"Blue - Completed"</formula>
    </cfRule>
    <cfRule type="cellIs" dxfId="4027" priority="2591" stopIfTrue="1" operator="equal">
      <formula>"Green - Started on Sched"</formula>
    </cfRule>
    <cfRule type="cellIs" dxfId="4026" priority="2592" stopIfTrue="1" operator="between">
      <formula>"Q"</formula>
      <formula>"T"</formula>
    </cfRule>
  </conditionalFormatting>
  <conditionalFormatting sqref="G3157:G3159">
    <cfRule type="cellIs" dxfId="4025" priority="2584" stopIfTrue="1" operator="equal">
      <formula>"4 - Complete"</formula>
    </cfRule>
    <cfRule type="cellIs" dxfId="4024" priority="2593" stopIfTrue="1" operator="equal">
      <formula>"3 - Green"</formula>
    </cfRule>
    <cfRule type="cellIs" dxfId="4023" priority="2594" stopIfTrue="1" operator="equal">
      <formula>"2 - Yellow"</formula>
    </cfRule>
    <cfRule type="cellIs" dxfId="4022" priority="2595" stopIfTrue="1" operator="equal">
      <formula>"1 - Red"</formula>
    </cfRule>
  </conditionalFormatting>
  <conditionalFormatting sqref="L3157:L3159">
    <cfRule type="cellIs" dxfId="4021" priority="2596" stopIfTrue="1" operator="equal">
      <formula>"1 - Hard Load"</formula>
    </cfRule>
    <cfRule type="cellIs" dxfId="4020" priority="2597" stopIfTrue="1" operator="equal">
      <formula>"3 - Not Loaded"</formula>
    </cfRule>
    <cfRule type="cellIs" dxfId="4019" priority="2598" stopIfTrue="1" operator="equal">
      <formula>"2 - Soft Load"</formula>
    </cfRule>
  </conditionalFormatting>
  <conditionalFormatting sqref="D3157:D3159">
    <cfRule type="cellIs" dxfId="4018" priority="2599" stopIfTrue="1" operator="equal">
      <formula>D1191</formula>
    </cfRule>
  </conditionalFormatting>
  <conditionalFormatting sqref="D3157:D3159">
    <cfRule type="cellIs" dxfId="4017" priority="2583" stopIfTrue="1" operator="equal">
      <formula>D1194</formula>
    </cfRule>
  </conditionalFormatting>
  <conditionalFormatting sqref="D3157:D3159">
    <cfRule type="cellIs" dxfId="4016" priority="2582" stopIfTrue="1" operator="equal">
      <formula>D1194</formula>
    </cfRule>
  </conditionalFormatting>
  <conditionalFormatting sqref="D3159">
    <cfRule type="cellIs" dxfId="4015" priority="2580" stopIfTrue="1" operator="equal">
      <formula>D1196</formula>
    </cfRule>
  </conditionalFormatting>
  <conditionalFormatting sqref="D3160">
    <cfRule type="cellIs" dxfId="4014" priority="2579" stopIfTrue="1" operator="equal">
      <formula>D1197</formula>
    </cfRule>
  </conditionalFormatting>
  <conditionalFormatting sqref="AS3160 AO3160">
    <cfRule type="cellIs" dxfId="4013" priority="2565" stopIfTrue="1" operator="equal">
      <formula>"OK"</formula>
    </cfRule>
    <cfRule type="cellIs" dxfId="4012" priority="2566" stopIfTrue="1" operator="equal">
      <formula>"Add"</formula>
    </cfRule>
  </conditionalFormatting>
  <conditionalFormatting sqref="J3160">
    <cfRule type="cellIs" dxfId="4011" priority="2567" stopIfTrue="1" operator="equal">
      <formula>"Lockdown"</formula>
    </cfRule>
    <cfRule type="cellIs" dxfId="4010" priority="2568" stopIfTrue="1" operator="equal">
      <formula>"OOM"</formula>
    </cfRule>
    <cfRule type="cellIs" dxfId="4009" priority="2569" stopIfTrue="1" operator="equal">
      <formula>"Placeholder"</formula>
    </cfRule>
  </conditionalFormatting>
  <conditionalFormatting sqref="T3160:AA3160">
    <cfRule type="cellIs" dxfId="4008" priority="2570" stopIfTrue="1" operator="equal">
      <formula>"Blue - Completed"</formula>
    </cfRule>
    <cfRule type="cellIs" dxfId="4007" priority="2571" stopIfTrue="1" operator="equal">
      <formula>"Green - Started on Sched"</formula>
    </cfRule>
    <cfRule type="cellIs" dxfId="4006" priority="2572" stopIfTrue="1" operator="between">
      <formula>"Q"</formula>
      <formula>"T"</formula>
    </cfRule>
  </conditionalFormatting>
  <conditionalFormatting sqref="G3160">
    <cfRule type="cellIs" dxfId="4005" priority="2564" stopIfTrue="1" operator="equal">
      <formula>"4 - Complete"</formula>
    </cfRule>
    <cfRule type="cellIs" dxfId="4004" priority="2573" stopIfTrue="1" operator="equal">
      <formula>"3 - Green"</formula>
    </cfRule>
    <cfRule type="cellIs" dxfId="4003" priority="2574" stopIfTrue="1" operator="equal">
      <formula>"2 - Yellow"</formula>
    </cfRule>
    <cfRule type="cellIs" dxfId="4002" priority="2575" stopIfTrue="1" operator="equal">
      <formula>"1 - Red"</formula>
    </cfRule>
  </conditionalFormatting>
  <conditionalFormatting sqref="L3160">
    <cfRule type="cellIs" dxfId="4001" priority="2576" stopIfTrue="1" operator="equal">
      <formula>"1 - Hard Load"</formula>
    </cfRule>
    <cfRule type="cellIs" dxfId="4000" priority="2577" stopIfTrue="1" operator="equal">
      <formula>"3 - Not Loaded"</formula>
    </cfRule>
    <cfRule type="cellIs" dxfId="3999" priority="2578" stopIfTrue="1" operator="equal">
      <formula>"2 - Soft Load"</formula>
    </cfRule>
  </conditionalFormatting>
  <conditionalFormatting sqref="D3162">
    <cfRule type="cellIs" dxfId="3998" priority="2545" stopIfTrue="1" operator="equal">
      <formula>D1199</formula>
    </cfRule>
  </conditionalFormatting>
  <conditionalFormatting sqref="AO3161:AO3164 AS3161:AS3164">
    <cfRule type="cellIs" dxfId="3997" priority="2549" stopIfTrue="1" operator="equal">
      <formula>"OK"</formula>
    </cfRule>
    <cfRule type="cellIs" dxfId="3996" priority="2550" stopIfTrue="1" operator="equal">
      <formula>"Add"</formula>
    </cfRule>
  </conditionalFormatting>
  <conditionalFormatting sqref="J3161:J3164">
    <cfRule type="cellIs" dxfId="3995" priority="2551" stopIfTrue="1" operator="equal">
      <formula>"Lockdown"</formula>
    </cfRule>
    <cfRule type="cellIs" dxfId="3994" priority="2552" stopIfTrue="1" operator="equal">
      <formula>"OOM"</formula>
    </cfRule>
    <cfRule type="cellIs" dxfId="3993" priority="2553" stopIfTrue="1" operator="equal">
      <formula>"Placeholder"</formula>
    </cfRule>
  </conditionalFormatting>
  <conditionalFormatting sqref="T3161:AA3164">
    <cfRule type="cellIs" dxfId="3992" priority="2554" stopIfTrue="1" operator="equal">
      <formula>"Blue - Completed"</formula>
    </cfRule>
    <cfRule type="cellIs" dxfId="3991" priority="2555" stopIfTrue="1" operator="equal">
      <formula>"Green - Started on Sched"</formula>
    </cfRule>
    <cfRule type="cellIs" dxfId="3990" priority="2556" stopIfTrue="1" operator="between">
      <formula>"Q"</formula>
      <formula>"T"</formula>
    </cfRule>
  </conditionalFormatting>
  <conditionalFormatting sqref="G3161:G3164">
    <cfRule type="cellIs" dxfId="3989" priority="2548" stopIfTrue="1" operator="equal">
      <formula>"4 - Complete"</formula>
    </cfRule>
    <cfRule type="cellIs" dxfId="3988" priority="2557" stopIfTrue="1" operator="equal">
      <formula>"3 - Green"</formula>
    </cfRule>
    <cfRule type="cellIs" dxfId="3987" priority="2558" stopIfTrue="1" operator="equal">
      <formula>"2 - Yellow"</formula>
    </cfRule>
    <cfRule type="cellIs" dxfId="3986" priority="2559" stopIfTrue="1" operator="equal">
      <formula>"1 - Red"</formula>
    </cfRule>
  </conditionalFormatting>
  <conditionalFormatting sqref="L3161:L3164">
    <cfRule type="cellIs" dxfId="3985" priority="2560" stopIfTrue="1" operator="equal">
      <formula>"1 - Hard Load"</formula>
    </cfRule>
    <cfRule type="cellIs" dxfId="3984" priority="2561" stopIfTrue="1" operator="equal">
      <formula>"3 - Not Loaded"</formula>
    </cfRule>
    <cfRule type="cellIs" dxfId="3983" priority="2562" stopIfTrue="1" operator="equal">
      <formula>"2 - Soft Load"</formula>
    </cfRule>
  </conditionalFormatting>
  <conditionalFormatting sqref="D3160:D3164">
    <cfRule type="cellIs" dxfId="3982" priority="2563" stopIfTrue="1" operator="equal">
      <formula>D1194</formula>
    </cfRule>
  </conditionalFormatting>
  <conditionalFormatting sqref="D3161:D3164">
    <cfRule type="cellIs" dxfId="3981" priority="2547" stopIfTrue="1" operator="equal">
      <formula>D1198</formula>
    </cfRule>
  </conditionalFormatting>
  <conditionalFormatting sqref="D3161:D3164">
    <cfRule type="cellIs" dxfId="3980" priority="2546" stopIfTrue="1" operator="equal">
      <formula>D1198</formula>
    </cfRule>
  </conditionalFormatting>
  <conditionalFormatting sqref="D3164">
    <cfRule type="cellIs" dxfId="3979" priority="2544" stopIfTrue="1" operator="equal">
      <formula>D1201</formula>
    </cfRule>
  </conditionalFormatting>
  <conditionalFormatting sqref="D3165">
    <cfRule type="cellIs" dxfId="3978" priority="2543" stopIfTrue="1" operator="equal">
      <formula>D1202</formula>
    </cfRule>
  </conditionalFormatting>
  <conditionalFormatting sqref="AS3165 AO3165">
    <cfRule type="cellIs" dxfId="3977" priority="2529" stopIfTrue="1" operator="equal">
      <formula>"OK"</formula>
    </cfRule>
    <cfRule type="cellIs" dxfId="3976" priority="2530" stopIfTrue="1" operator="equal">
      <formula>"Add"</formula>
    </cfRule>
  </conditionalFormatting>
  <conditionalFormatting sqref="J3165">
    <cfRule type="cellIs" dxfId="3975" priority="2531" stopIfTrue="1" operator="equal">
      <formula>"Lockdown"</formula>
    </cfRule>
    <cfRule type="cellIs" dxfId="3974" priority="2532" stopIfTrue="1" operator="equal">
      <formula>"OOM"</formula>
    </cfRule>
    <cfRule type="cellIs" dxfId="3973" priority="2533" stopIfTrue="1" operator="equal">
      <formula>"Placeholder"</formula>
    </cfRule>
  </conditionalFormatting>
  <conditionalFormatting sqref="T3165:AA3165">
    <cfRule type="cellIs" dxfId="3972" priority="2534" stopIfTrue="1" operator="equal">
      <formula>"Blue - Completed"</formula>
    </cfRule>
    <cfRule type="cellIs" dxfId="3971" priority="2535" stopIfTrue="1" operator="equal">
      <formula>"Green - Started on Sched"</formula>
    </cfRule>
    <cfRule type="cellIs" dxfId="3970" priority="2536" stopIfTrue="1" operator="between">
      <formula>"Q"</formula>
      <formula>"T"</formula>
    </cfRule>
  </conditionalFormatting>
  <conditionalFormatting sqref="G3165">
    <cfRule type="cellIs" dxfId="3969" priority="2528" stopIfTrue="1" operator="equal">
      <formula>"4 - Complete"</formula>
    </cfRule>
    <cfRule type="cellIs" dxfId="3968" priority="2537" stopIfTrue="1" operator="equal">
      <formula>"3 - Green"</formula>
    </cfRule>
    <cfRule type="cellIs" dxfId="3967" priority="2538" stopIfTrue="1" operator="equal">
      <formula>"2 - Yellow"</formula>
    </cfRule>
    <cfRule type="cellIs" dxfId="3966" priority="2539" stopIfTrue="1" operator="equal">
      <formula>"1 - Red"</formula>
    </cfRule>
  </conditionalFormatting>
  <conditionalFormatting sqref="L3165">
    <cfRule type="cellIs" dxfId="3965" priority="2540" stopIfTrue="1" operator="equal">
      <formula>"1 - Hard Load"</formula>
    </cfRule>
    <cfRule type="cellIs" dxfId="3964" priority="2541" stopIfTrue="1" operator="equal">
      <formula>"3 - Not Loaded"</formula>
    </cfRule>
    <cfRule type="cellIs" dxfId="3963" priority="2542" stopIfTrue="1" operator="equal">
      <formula>"2 - Soft Load"</formula>
    </cfRule>
  </conditionalFormatting>
  <conditionalFormatting sqref="D3167">
    <cfRule type="cellIs" dxfId="3962" priority="2509" stopIfTrue="1" operator="equal">
      <formula>D1204</formula>
    </cfRule>
  </conditionalFormatting>
  <conditionalFormatting sqref="AO3166:AO3169 AS3166:AS3169">
    <cfRule type="cellIs" dxfId="3961" priority="2513" stopIfTrue="1" operator="equal">
      <formula>"OK"</formula>
    </cfRule>
    <cfRule type="cellIs" dxfId="3960" priority="2514" stopIfTrue="1" operator="equal">
      <formula>"Add"</formula>
    </cfRule>
  </conditionalFormatting>
  <conditionalFormatting sqref="J3166:J3169">
    <cfRule type="cellIs" dxfId="3959" priority="2515" stopIfTrue="1" operator="equal">
      <formula>"Lockdown"</formula>
    </cfRule>
    <cfRule type="cellIs" dxfId="3958" priority="2516" stopIfTrue="1" operator="equal">
      <formula>"OOM"</formula>
    </cfRule>
    <cfRule type="cellIs" dxfId="3957" priority="2517" stopIfTrue="1" operator="equal">
      <formula>"Placeholder"</formula>
    </cfRule>
  </conditionalFormatting>
  <conditionalFormatting sqref="T3166:AA3169">
    <cfRule type="cellIs" dxfId="3956" priority="2518" stopIfTrue="1" operator="equal">
      <formula>"Blue - Completed"</formula>
    </cfRule>
    <cfRule type="cellIs" dxfId="3955" priority="2519" stopIfTrue="1" operator="equal">
      <formula>"Green - Started on Sched"</formula>
    </cfRule>
    <cfRule type="cellIs" dxfId="3954" priority="2520" stopIfTrue="1" operator="between">
      <formula>"Q"</formula>
      <formula>"T"</formula>
    </cfRule>
  </conditionalFormatting>
  <conditionalFormatting sqref="G3166:G3169">
    <cfRule type="cellIs" dxfId="3953" priority="2512" stopIfTrue="1" operator="equal">
      <formula>"4 - Complete"</formula>
    </cfRule>
    <cfRule type="cellIs" dxfId="3952" priority="2521" stopIfTrue="1" operator="equal">
      <formula>"3 - Green"</formula>
    </cfRule>
    <cfRule type="cellIs" dxfId="3951" priority="2522" stopIfTrue="1" operator="equal">
      <formula>"2 - Yellow"</formula>
    </cfRule>
    <cfRule type="cellIs" dxfId="3950" priority="2523" stopIfTrue="1" operator="equal">
      <formula>"1 - Red"</formula>
    </cfRule>
  </conditionalFormatting>
  <conditionalFormatting sqref="L3166:L3169">
    <cfRule type="cellIs" dxfId="3949" priority="2524" stopIfTrue="1" operator="equal">
      <formula>"1 - Hard Load"</formula>
    </cfRule>
    <cfRule type="cellIs" dxfId="3948" priority="2525" stopIfTrue="1" operator="equal">
      <formula>"3 - Not Loaded"</formula>
    </cfRule>
    <cfRule type="cellIs" dxfId="3947" priority="2526" stopIfTrue="1" operator="equal">
      <formula>"2 - Soft Load"</formula>
    </cfRule>
  </conditionalFormatting>
  <conditionalFormatting sqref="D3165:D3169">
    <cfRule type="cellIs" dxfId="3946" priority="2527" stopIfTrue="1" operator="equal">
      <formula>D1199</formula>
    </cfRule>
  </conditionalFormatting>
  <conditionalFormatting sqref="D3166:D3169">
    <cfRule type="cellIs" dxfId="3945" priority="2511" stopIfTrue="1" operator="equal">
      <formula>D1203</formula>
    </cfRule>
  </conditionalFormatting>
  <conditionalFormatting sqref="D3166:D3169">
    <cfRule type="cellIs" dxfId="3944" priority="2510" stopIfTrue="1" operator="equal">
      <formula>D1203</formula>
    </cfRule>
  </conditionalFormatting>
  <conditionalFormatting sqref="D3169">
    <cfRule type="cellIs" dxfId="3943" priority="2508" stopIfTrue="1" operator="equal">
      <formula>D1206</formula>
    </cfRule>
  </conditionalFormatting>
  <conditionalFormatting sqref="AS17 AO17">
    <cfRule type="cellIs" dxfId="3942" priority="2494" stopIfTrue="1" operator="equal">
      <formula>"OK"</formula>
    </cfRule>
    <cfRule type="cellIs" dxfId="3941" priority="2495" stopIfTrue="1" operator="equal">
      <formula>"Add"</formula>
    </cfRule>
  </conditionalFormatting>
  <conditionalFormatting sqref="J17">
    <cfRule type="cellIs" dxfId="3940" priority="2496" stopIfTrue="1" operator="equal">
      <formula>"Lockdown"</formula>
    </cfRule>
    <cfRule type="cellIs" dxfId="3939" priority="2497" stopIfTrue="1" operator="equal">
      <formula>"OOM"</formula>
    </cfRule>
    <cfRule type="cellIs" dxfId="3938" priority="2498" stopIfTrue="1" operator="equal">
      <formula>"Placeholder"</formula>
    </cfRule>
  </conditionalFormatting>
  <conditionalFormatting sqref="T17:AA17">
    <cfRule type="cellIs" dxfId="3937" priority="2499" stopIfTrue="1" operator="equal">
      <formula>"Blue - Completed"</formula>
    </cfRule>
    <cfRule type="cellIs" dxfId="3936" priority="2500" stopIfTrue="1" operator="equal">
      <formula>"Green - Started on Sched"</formula>
    </cfRule>
    <cfRule type="cellIs" dxfId="3935" priority="2501" stopIfTrue="1" operator="between">
      <formula>"Q"</formula>
      <formula>"T"</formula>
    </cfRule>
  </conditionalFormatting>
  <conditionalFormatting sqref="G17">
    <cfRule type="cellIs" dxfId="3934" priority="2493" stopIfTrue="1" operator="equal">
      <formula>"4 - Complete"</formula>
    </cfRule>
    <cfRule type="cellIs" dxfId="3933" priority="2502" stopIfTrue="1" operator="equal">
      <formula>"3 - Green"</formula>
    </cfRule>
    <cfRule type="cellIs" dxfId="3932" priority="2503" stopIfTrue="1" operator="equal">
      <formula>"2 - Yellow"</formula>
    </cfRule>
    <cfRule type="cellIs" dxfId="3931" priority="2504" stopIfTrue="1" operator="equal">
      <formula>"1 - Red"</formula>
    </cfRule>
  </conditionalFormatting>
  <conditionalFormatting sqref="L17">
    <cfRule type="cellIs" dxfId="3930" priority="2505" stopIfTrue="1" operator="equal">
      <formula>"1 - Hard Load"</formula>
    </cfRule>
    <cfRule type="cellIs" dxfId="3929" priority="2506" stopIfTrue="1" operator="equal">
      <formula>"3 - Not Loaded"</formula>
    </cfRule>
    <cfRule type="cellIs" dxfId="3928" priority="2507" stopIfTrue="1" operator="equal">
      <formula>"2 - Soft Load"</formula>
    </cfRule>
  </conditionalFormatting>
  <conditionalFormatting sqref="D17">
    <cfRule type="cellIs" dxfId="3927" priority="2492" stopIfTrue="1" operator="equal">
      <formula>D645</formula>
    </cfRule>
  </conditionalFormatting>
  <conditionalFormatting sqref="D3170">
    <cfRule type="cellIs" dxfId="3926" priority="2473" stopIfTrue="1" operator="equal">
      <formula>D1207</formula>
    </cfRule>
  </conditionalFormatting>
  <conditionalFormatting sqref="AO3170:AO3172 AS3170:AS3172">
    <cfRule type="cellIs" dxfId="3925" priority="2477" stopIfTrue="1" operator="equal">
      <formula>"OK"</formula>
    </cfRule>
    <cfRule type="cellIs" dxfId="3924" priority="2478" stopIfTrue="1" operator="equal">
      <formula>"Add"</formula>
    </cfRule>
  </conditionalFormatting>
  <conditionalFormatting sqref="J3170:J3172">
    <cfRule type="cellIs" dxfId="3923" priority="2479" stopIfTrue="1" operator="equal">
      <formula>"Lockdown"</formula>
    </cfRule>
    <cfRule type="cellIs" dxfId="3922" priority="2480" stopIfTrue="1" operator="equal">
      <formula>"OOM"</formula>
    </cfRule>
    <cfRule type="cellIs" dxfId="3921" priority="2481" stopIfTrue="1" operator="equal">
      <formula>"Placeholder"</formula>
    </cfRule>
  </conditionalFormatting>
  <conditionalFormatting sqref="T3170:AA3172">
    <cfRule type="cellIs" dxfId="3920" priority="2482" stopIfTrue="1" operator="equal">
      <formula>"Blue - Completed"</formula>
    </cfRule>
    <cfRule type="cellIs" dxfId="3919" priority="2483" stopIfTrue="1" operator="equal">
      <formula>"Green - Started on Sched"</formula>
    </cfRule>
    <cfRule type="cellIs" dxfId="3918" priority="2484" stopIfTrue="1" operator="between">
      <formula>"Q"</formula>
      <formula>"T"</formula>
    </cfRule>
  </conditionalFormatting>
  <conditionalFormatting sqref="G3170:G3172">
    <cfRule type="cellIs" dxfId="3917" priority="2476" stopIfTrue="1" operator="equal">
      <formula>"4 - Complete"</formula>
    </cfRule>
    <cfRule type="cellIs" dxfId="3916" priority="2485" stopIfTrue="1" operator="equal">
      <formula>"3 - Green"</formula>
    </cfRule>
    <cfRule type="cellIs" dxfId="3915" priority="2486" stopIfTrue="1" operator="equal">
      <formula>"2 - Yellow"</formula>
    </cfRule>
    <cfRule type="cellIs" dxfId="3914" priority="2487" stopIfTrue="1" operator="equal">
      <formula>"1 - Red"</formula>
    </cfRule>
  </conditionalFormatting>
  <conditionalFormatting sqref="L3170:L3172">
    <cfRule type="cellIs" dxfId="3913" priority="2488" stopIfTrue="1" operator="equal">
      <formula>"1 - Hard Load"</formula>
    </cfRule>
    <cfRule type="cellIs" dxfId="3912" priority="2489" stopIfTrue="1" operator="equal">
      <formula>"3 - Not Loaded"</formula>
    </cfRule>
    <cfRule type="cellIs" dxfId="3911" priority="2490" stopIfTrue="1" operator="equal">
      <formula>"2 - Soft Load"</formula>
    </cfRule>
  </conditionalFormatting>
  <conditionalFormatting sqref="D3170:D3172">
    <cfRule type="cellIs" dxfId="3910" priority="2491" stopIfTrue="1" operator="equal">
      <formula>D1204</formula>
    </cfRule>
  </conditionalFormatting>
  <conditionalFormatting sqref="D3170:D3172">
    <cfRule type="cellIs" dxfId="3909" priority="2475" stopIfTrue="1" operator="equal">
      <formula>D1207</formula>
    </cfRule>
  </conditionalFormatting>
  <conditionalFormatting sqref="D3170:D3172">
    <cfRule type="cellIs" dxfId="3908" priority="2474" stopIfTrue="1" operator="equal">
      <formula>D1207</formula>
    </cfRule>
  </conditionalFormatting>
  <conditionalFormatting sqref="D3172">
    <cfRule type="cellIs" dxfId="3907" priority="2472" stopIfTrue="1" operator="equal">
      <formula>D1209</formula>
    </cfRule>
  </conditionalFormatting>
  <conditionalFormatting sqref="D3173">
    <cfRule type="cellIs" dxfId="3906" priority="2471" stopIfTrue="1" operator="equal">
      <formula>D1210</formula>
    </cfRule>
  </conditionalFormatting>
  <conditionalFormatting sqref="AS3173 AO3173">
    <cfRule type="cellIs" dxfId="3905" priority="2457" stopIfTrue="1" operator="equal">
      <formula>"OK"</formula>
    </cfRule>
    <cfRule type="cellIs" dxfId="3904" priority="2458" stopIfTrue="1" operator="equal">
      <formula>"Add"</formula>
    </cfRule>
  </conditionalFormatting>
  <conditionalFormatting sqref="J3173">
    <cfRule type="cellIs" dxfId="3903" priority="2459" stopIfTrue="1" operator="equal">
      <formula>"Lockdown"</formula>
    </cfRule>
    <cfRule type="cellIs" dxfId="3902" priority="2460" stopIfTrue="1" operator="equal">
      <formula>"OOM"</formula>
    </cfRule>
    <cfRule type="cellIs" dxfId="3901" priority="2461" stopIfTrue="1" operator="equal">
      <formula>"Placeholder"</formula>
    </cfRule>
  </conditionalFormatting>
  <conditionalFormatting sqref="T3173:AA3173">
    <cfRule type="cellIs" dxfId="3900" priority="2462" stopIfTrue="1" operator="equal">
      <formula>"Blue - Completed"</formula>
    </cfRule>
    <cfRule type="cellIs" dxfId="3899" priority="2463" stopIfTrue="1" operator="equal">
      <formula>"Green - Started on Sched"</formula>
    </cfRule>
    <cfRule type="cellIs" dxfId="3898" priority="2464" stopIfTrue="1" operator="between">
      <formula>"Q"</formula>
      <formula>"T"</formula>
    </cfRule>
  </conditionalFormatting>
  <conditionalFormatting sqref="G3173">
    <cfRule type="cellIs" dxfId="3897" priority="2456" stopIfTrue="1" operator="equal">
      <formula>"4 - Complete"</formula>
    </cfRule>
    <cfRule type="cellIs" dxfId="3896" priority="2465" stopIfTrue="1" operator="equal">
      <formula>"3 - Green"</formula>
    </cfRule>
    <cfRule type="cellIs" dxfId="3895" priority="2466" stopIfTrue="1" operator="equal">
      <formula>"2 - Yellow"</formula>
    </cfRule>
    <cfRule type="cellIs" dxfId="3894" priority="2467" stopIfTrue="1" operator="equal">
      <formula>"1 - Red"</formula>
    </cfRule>
  </conditionalFormatting>
  <conditionalFormatting sqref="L3173">
    <cfRule type="cellIs" dxfId="3893" priority="2468" stopIfTrue="1" operator="equal">
      <formula>"1 - Hard Load"</formula>
    </cfRule>
    <cfRule type="cellIs" dxfId="3892" priority="2469" stopIfTrue="1" operator="equal">
      <formula>"3 - Not Loaded"</formula>
    </cfRule>
    <cfRule type="cellIs" dxfId="3891" priority="2470" stopIfTrue="1" operator="equal">
      <formula>"2 - Soft Load"</formula>
    </cfRule>
  </conditionalFormatting>
  <conditionalFormatting sqref="D3175">
    <cfRule type="cellIs" dxfId="3890" priority="2437" stopIfTrue="1" operator="equal">
      <formula>D1212</formula>
    </cfRule>
  </conditionalFormatting>
  <conditionalFormatting sqref="AO3174:AO3177 AS3174:AS3177">
    <cfRule type="cellIs" dxfId="3889" priority="2441" stopIfTrue="1" operator="equal">
      <formula>"OK"</formula>
    </cfRule>
    <cfRule type="cellIs" dxfId="3888" priority="2442" stopIfTrue="1" operator="equal">
      <formula>"Add"</formula>
    </cfRule>
  </conditionalFormatting>
  <conditionalFormatting sqref="J3174:J3177">
    <cfRule type="cellIs" dxfId="3887" priority="2443" stopIfTrue="1" operator="equal">
      <formula>"Lockdown"</formula>
    </cfRule>
    <cfRule type="cellIs" dxfId="3886" priority="2444" stopIfTrue="1" operator="equal">
      <formula>"OOM"</formula>
    </cfRule>
    <cfRule type="cellIs" dxfId="3885" priority="2445" stopIfTrue="1" operator="equal">
      <formula>"Placeholder"</formula>
    </cfRule>
  </conditionalFormatting>
  <conditionalFormatting sqref="T3174:AA3177">
    <cfRule type="cellIs" dxfId="3884" priority="2446" stopIfTrue="1" operator="equal">
      <formula>"Blue - Completed"</formula>
    </cfRule>
    <cfRule type="cellIs" dxfId="3883" priority="2447" stopIfTrue="1" operator="equal">
      <formula>"Green - Started on Sched"</formula>
    </cfRule>
    <cfRule type="cellIs" dxfId="3882" priority="2448" stopIfTrue="1" operator="between">
      <formula>"Q"</formula>
      <formula>"T"</formula>
    </cfRule>
  </conditionalFormatting>
  <conditionalFormatting sqref="G3174:G3177">
    <cfRule type="cellIs" dxfId="3881" priority="2440" stopIfTrue="1" operator="equal">
      <formula>"4 - Complete"</formula>
    </cfRule>
    <cfRule type="cellIs" dxfId="3880" priority="2449" stopIfTrue="1" operator="equal">
      <formula>"3 - Green"</formula>
    </cfRule>
    <cfRule type="cellIs" dxfId="3879" priority="2450" stopIfTrue="1" operator="equal">
      <formula>"2 - Yellow"</formula>
    </cfRule>
    <cfRule type="cellIs" dxfId="3878" priority="2451" stopIfTrue="1" operator="equal">
      <formula>"1 - Red"</formula>
    </cfRule>
  </conditionalFormatting>
  <conditionalFormatting sqref="L3174:L3177">
    <cfRule type="cellIs" dxfId="3877" priority="2452" stopIfTrue="1" operator="equal">
      <formula>"1 - Hard Load"</formula>
    </cfRule>
    <cfRule type="cellIs" dxfId="3876" priority="2453" stopIfTrue="1" operator="equal">
      <formula>"3 - Not Loaded"</formula>
    </cfRule>
    <cfRule type="cellIs" dxfId="3875" priority="2454" stopIfTrue="1" operator="equal">
      <formula>"2 - Soft Load"</formula>
    </cfRule>
  </conditionalFormatting>
  <conditionalFormatting sqref="D3173:D3177">
    <cfRule type="cellIs" dxfId="3874" priority="2455" stopIfTrue="1" operator="equal">
      <formula>D1207</formula>
    </cfRule>
  </conditionalFormatting>
  <conditionalFormatting sqref="D3174:D3177">
    <cfRule type="cellIs" dxfId="3873" priority="2439" stopIfTrue="1" operator="equal">
      <formula>D1211</formula>
    </cfRule>
  </conditionalFormatting>
  <conditionalFormatting sqref="D3174:D3177">
    <cfRule type="cellIs" dxfId="3872" priority="2438" stopIfTrue="1" operator="equal">
      <formula>D1211</formula>
    </cfRule>
  </conditionalFormatting>
  <conditionalFormatting sqref="D3177">
    <cfRule type="cellIs" dxfId="3871" priority="2436" stopIfTrue="1" operator="equal">
      <formula>D1214</formula>
    </cfRule>
  </conditionalFormatting>
  <conditionalFormatting sqref="D3178">
    <cfRule type="cellIs" dxfId="3870" priority="2435" stopIfTrue="1" operator="equal">
      <formula>D1215</formula>
    </cfRule>
  </conditionalFormatting>
  <conditionalFormatting sqref="AS3178 AO3178">
    <cfRule type="cellIs" dxfId="3869" priority="2421" stopIfTrue="1" operator="equal">
      <formula>"OK"</formula>
    </cfRule>
    <cfRule type="cellIs" dxfId="3868" priority="2422" stopIfTrue="1" operator="equal">
      <formula>"Add"</formula>
    </cfRule>
  </conditionalFormatting>
  <conditionalFormatting sqref="J3178">
    <cfRule type="cellIs" dxfId="3867" priority="2423" stopIfTrue="1" operator="equal">
      <formula>"Lockdown"</formula>
    </cfRule>
    <cfRule type="cellIs" dxfId="3866" priority="2424" stopIfTrue="1" operator="equal">
      <formula>"OOM"</formula>
    </cfRule>
    <cfRule type="cellIs" dxfId="3865" priority="2425" stopIfTrue="1" operator="equal">
      <formula>"Placeholder"</formula>
    </cfRule>
  </conditionalFormatting>
  <conditionalFormatting sqref="T3178:AA3178">
    <cfRule type="cellIs" dxfId="3864" priority="2426" stopIfTrue="1" operator="equal">
      <formula>"Blue - Completed"</formula>
    </cfRule>
    <cfRule type="cellIs" dxfId="3863" priority="2427" stopIfTrue="1" operator="equal">
      <formula>"Green - Started on Sched"</formula>
    </cfRule>
    <cfRule type="cellIs" dxfId="3862" priority="2428" stopIfTrue="1" operator="between">
      <formula>"Q"</formula>
      <formula>"T"</formula>
    </cfRule>
  </conditionalFormatting>
  <conditionalFormatting sqref="G3178">
    <cfRule type="cellIs" dxfId="3861" priority="2420" stopIfTrue="1" operator="equal">
      <formula>"4 - Complete"</formula>
    </cfRule>
    <cfRule type="cellIs" dxfId="3860" priority="2429" stopIfTrue="1" operator="equal">
      <formula>"3 - Green"</formula>
    </cfRule>
    <cfRule type="cellIs" dxfId="3859" priority="2430" stopIfTrue="1" operator="equal">
      <formula>"2 - Yellow"</formula>
    </cfRule>
    <cfRule type="cellIs" dxfId="3858" priority="2431" stopIfTrue="1" operator="equal">
      <formula>"1 - Red"</formula>
    </cfRule>
  </conditionalFormatting>
  <conditionalFormatting sqref="L3178">
    <cfRule type="cellIs" dxfId="3857" priority="2432" stopIfTrue="1" operator="equal">
      <formula>"1 - Hard Load"</formula>
    </cfRule>
    <cfRule type="cellIs" dxfId="3856" priority="2433" stopIfTrue="1" operator="equal">
      <formula>"3 - Not Loaded"</formula>
    </cfRule>
    <cfRule type="cellIs" dxfId="3855" priority="2434" stopIfTrue="1" operator="equal">
      <formula>"2 - Soft Load"</formula>
    </cfRule>
  </conditionalFormatting>
  <conditionalFormatting sqref="D3180">
    <cfRule type="cellIs" dxfId="3854" priority="2401" stopIfTrue="1" operator="equal">
      <formula>D1217</formula>
    </cfRule>
  </conditionalFormatting>
  <conditionalFormatting sqref="AO3179:AO3182 AS3179:AS3182">
    <cfRule type="cellIs" dxfId="3853" priority="2405" stopIfTrue="1" operator="equal">
      <formula>"OK"</formula>
    </cfRule>
    <cfRule type="cellIs" dxfId="3852" priority="2406" stopIfTrue="1" operator="equal">
      <formula>"Add"</formula>
    </cfRule>
  </conditionalFormatting>
  <conditionalFormatting sqref="J3179:J3182">
    <cfRule type="cellIs" dxfId="3851" priority="2407" stopIfTrue="1" operator="equal">
      <formula>"Lockdown"</formula>
    </cfRule>
    <cfRule type="cellIs" dxfId="3850" priority="2408" stopIfTrue="1" operator="equal">
      <formula>"OOM"</formula>
    </cfRule>
    <cfRule type="cellIs" dxfId="3849" priority="2409" stopIfTrue="1" operator="equal">
      <formula>"Placeholder"</formula>
    </cfRule>
  </conditionalFormatting>
  <conditionalFormatting sqref="T3179:AA3182">
    <cfRule type="cellIs" dxfId="3848" priority="2410" stopIfTrue="1" operator="equal">
      <formula>"Blue - Completed"</formula>
    </cfRule>
    <cfRule type="cellIs" dxfId="3847" priority="2411" stopIfTrue="1" operator="equal">
      <formula>"Green - Started on Sched"</formula>
    </cfRule>
    <cfRule type="cellIs" dxfId="3846" priority="2412" stopIfTrue="1" operator="between">
      <formula>"Q"</formula>
      <formula>"T"</formula>
    </cfRule>
  </conditionalFormatting>
  <conditionalFormatting sqref="G3179:G3182">
    <cfRule type="cellIs" dxfId="3845" priority="2404" stopIfTrue="1" operator="equal">
      <formula>"4 - Complete"</formula>
    </cfRule>
    <cfRule type="cellIs" dxfId="3844" priority="2413" stopIfTrue="1" operator="equal">
      <formula>"3 - Green"</formula>
    </cfRule>
    <cfRule type="cellIs" dxfId="3843" priority="2414" stopIfTrue="1" operator="equal">
      <formula>"2 - Yellow"</formula>
    </cfRule>
    <cfRule type="cellIs" dxfId="3842" priority="2415" stopIfTrue="1" operator="equal">
      <formula>"1 - Red"</formula>
    </cfRule>
  </conditionalFormatting>
  <conditionalFormatting sqref="L3179:L3182">
    <cfRule type="cellIs" dxfId="3841" priority="2416" stopIfTrue="1" operator="equal">
      <formula>"1 - Hard Load"</formula>
    </cfRule>
    <cfRule type="cellIs" dxfId="3840" priority="2417" stopIfTrue="1" operator="equal">
      <formula>"3 - Not Loaded"</formula>
    </cfRule>
    <cfRule type="cellIs" dxfId="3839" priority="2418" stopIfTrue="1" operator="equal">
      <formula>"2 - Soft Load"</formula>
    </cfRule>
  </conditionalFormatting>
  <conditionalFormatting sqref="D3178:D3182">
    <cfRule type="cellIs" dxfId="3838" priority="2419" stopIfTrue="1" operator="equal">
      <formula>D1212</formula>
    </cfRule>
  </conditionalFormatting>
  <conditionalFormatting sqref="D3179:D3182">
    <cfRule type="cellIs" dxfId="3837" priority="2403" stopIfTrue="1" operator="equal">
      <formula>D1216</formula>
    </cfRule>
  </conditionalFormatting>
  <conditionalFormatting sqref="D3179:D3182">
    <cfRule type="cellIs" dxfId="3836" priority="2402" stopIfTrue="1" operator="equal">
      <formula>D1216</formula>
    </cfRule>
  </conditionalFormatting>
  <conditionalFormatting sqref="D3182">
    <cfRule type="cellIs" dxfId="3835" priority="2400" stopIfTrue="1" operator="equal">
      <formula>D1219</formula>
    </cfRule>
  </conditionalFormatting>
  <conditionalFormatting sqref="D34">
    <cfRule type="cellIs" dxfId="3834" priority="2385" stopIfTrue="1" operator="equal">
      <formula>D27</formula>
    </cfRule>
  </conditionalFormatting>
  <conditionalFormatting sqref="AO34 AS34">
    <cfRule type="cellIs" dxfId="3833" priority="2386" stopIfTrue="1" operator="equal">
      <formula>"OK"</formula>
    </cfRule>
    <cfRule type="cellIs" dxfId="3832" priority="2387" stopIfTrue="1" operator="equal">
      <formula>"Add"</formula>
    </cfRule>
  </conditionalFormatting>
  <conditionalFormatting sqref="J34">
    <cfRule type="cellIs" dxfId="3831" priority="2388" stopIfTrue="1" operator="equal">
      <formula>"Lockdown"</formula>
    </cfRule>
    <cfRule type="cellIs" dxfId="3830" priority="2389" stopIfTrue="1" operator="equal">
      <formula>"OOM"</formula>
    </cfRule>
    <cfRule type="cellIs" dxfId="3829" priority="2390" stopIfTrue="1" operator="equal">
      <formula>"Placeholder"</formula>
    </cfRule>
  </conditionalFormatting>
  <conditionalFormatting sqref="T34:AA34">
    <cfRule type="cellIs" dxfId="3828" priority="2391" stopIfTrue="1" operator="equal">
      <formula>"Blue - Completed"</formula>
    </cfRule>
    <cfRule type="cellIs" dxfId="3827" priority="2392" stopIfTrue="1" operator="equal">
      <formula>"Green - Started on Sched"</formula>
    </cfRule>
    <cfRule type="cellIs" dxfId="3826" priority="2393" stopIfTrue="1" operator="between">
      <formula>"Q"</formula>
      <formula>"T"</formula>
    </cfRule>
  </conditionalFormatting>
  <conditionalFormatting sqref="L34">
    <cfRule type="cellIs" dxfId="3825" priority="2397" stopIfTrue="1" operator="equal">
      <formula>"1 - Hard Load"</formula>
    </cfRule>
    <cfRule type="cellIs" dxfId="3824" priority="2398" stopIfTrue="1" operator="equal">
      <formula>"3 - Not Loaded"</formula>
    </cfRule>
    <cfRule type="cellIs" dxfId="3823" priority="2399" stopIfTrue="1" operator="equal">
      <formula>"2 - Soft Load"</formula>
    </cfRule>
  </conditionalFormatting>
  <conditionalFormatting sqref="AS173 AO173">
    <cfRule type="cellIs" dxfId="3822" priority="2369" stopIfTrue="1" operator="equal">
      <formula>"OK"</formula>
    </cfRule>
    <cfRule type="cellIs" dxfId="3821" priority="2370" stopIfTrue="1" operator="equal">
      <formula>"Add"</formula>
    </cfRule>
  </conditionalFormatting>
  <conditionalFormatting sqref="J173">
    <cfRule type="cellIs" dxfId="3820" priority="2371" stopIfTrue="1" operator="equal">
      <formula>"Lockdown"</formula>
    </cfRule>
    <cfRule type="cellIs" dxfId="3819" priority="2372" stopIfTrue="1" operator="equal">
      <formula>"OOM"</formula>
    </cfRule>
    <cfRule type="cellIs" dxfId="3818" priority="2373" stopIfTrue="1" operator="equal">
      <formula>"Placeholder"</formula>
    </cfRule>
  </conditionalFormatting>
  <conditionalFormatting sqref="T173:AA173">
    <cfRule type="cellIs" dxfId="3817" priority="2374" stopIfTrue="1" operator="equal">
      <formula>"Blue - Completed"</formula>
    </cfRule>
    <cfRule type="cellIs" dxfId="3816" priority="2375" stopIfTrue="1" operator="equal">
      <formula>"Green - Started on Sched"</formula>
    </cfRule>
    <cfRule type="cellIs" dxfId="3815" priority="2376" stopIfTrue="1" operator="between">
      <formula>"Q"</formula>
      <formula>"T"</formula>
    </cfRule>
  </conditionalFormatting>
  <conditionalFormatting sqref="G173">
    <cfRule type="cellIs" dxfId="3814" priority="2368" stopIfTrue="1" operator="equal">
      <formula>"4 - Complete"</formula>
    </cfRule>
    <cfRule type="cellIs" dxfId="3813" priority="2377" stopIfTrue="1" operator="equal">
      <formula>"3 - Green"</formula>
    </cfRule>
    <cfRule type="cellIs" dxfId="3812" priority="2378" stopIfTrue="1" operator="equal">
      <formula>"2 - Yellow"</formula>
    </cfRule>
    <cfRule type="cellIs" dxfId="3811" priority="2379" stopIfTrue="1" operator="equal">
      <formula>"1 - Red"</formula>
    </cfRule>
  </conditionalFormatting>
  <conditionalFormatting sqref="L173">
    <cfRule type="cellIs" dxfId="3810" priority="2380" stopIfTrue="1" operator="equal">
      <formula>"1 - Hard Load"</formula>
    </cfRule>
    <cfRule type="cellIs" dxfId="3809" priority="2381" stopIfTrue="1" operator="equal">
      <formula>"3 - Not Loaded"</formula>
    </cfRule>
    <cfRule type="cellIs" dxfId="3808" priority="2382" stopIfTrue="1" operator="equal">
      <formula>"2 - Soft Load"</formula>
    </cfRule>
  </conditionalFormatting>
  <conditionalFormatting sqref="AS90 AO90">
    <cfRule type="cellIs" dxfId="3807" priority="2354" stopIfTrue="1" operator="equal">
      <formula>"OK"</formula>
    </cfRule>
    <cfRule type="cellIs" dxfId="3806" priority="2355" stopIfTrue="1" operator="equal">
      <formula>"Add"</formula>
    </cfRule>
  </conditionalFormatting>
  <conditionalFormatting sqref="J90">
    <cfRule type="cellIs" dxfId="3805" priority="2356" stopIfTrue="1" operator="equal">
      <formula>"Lockdown"</formula>
    </cfRule>
    <cfRule type="cellIs" dxfId="3804" priority="2357" stopIfTrue="1" operator="equal">
      <formula>"OOM"</formula>
    </cfRule>
    <cfRule type="cellIs" dxfId="3803" priority="2358" stopIfTrue="1" operator="equal">
      <formula>"Placeholder"</formula>
    </cfRule>
  </conditionalFormatting>
  <conditionalFormatting sqref="T90:AA90">
    <cfRule type="cellIs" dxfId="3802" priority="2359" stopIfTrue="1" operator="equal">
      <formula>"Blue - Completed"</formula>
    </cfRule>
    <cfRule type="cellIs" dxfId="3801" priority="2360" stopIfTrue="1" operator="equal">
      <formula>"Green - Started on Sched"</formula>
    </cfRule>
    <cfRule type="cellIs" dxfId="3800" priority="2361" stopIfTrue="1" operator="between">
      <formula>"Q"</formula>
      <formula>"T"</formula>
    </cfRule>
  </conditionalFormatting>
  <conditionalFormatting sqref="G90">
    <cfRule type="cellIs" dxfId="3799" priority="2353" stopIfTrue="1" operator="equal">
      <formula>"4 - Complete"</formula>
    </cfRule>
    <cfRule type="cellIs" dxfId="3798" priority="2362" stopIfTrue="1" operator="equal">
      <formula>"3 - Green"</formula>
    </cfRule>
    <cfRule type="cellIs" dxfId="3797" priority="2363" stopIfTrue="1" operator="equal">
      <formula>"2 - Yellow"</formula>
    </cfRule>
    <cfRule type="cellIs" dxfId="3796" priority="2364" stopIfTrue="1" operator="equal">
      <formula>"1 - Red"</formula>
    </cfRule>
  </conditionalFormatting>
  <conditionalFormatting sqref="L90">
    <cfRule type="cellIs" dxfId="3795" priority="2365" stopIfTrue="1" operator="equal">
      <formula>"1 - Hard Load"</formula>
    </cfRule>
    <cfRule type="cellIs" dxfId="3794" priority="2366" stopIfTrue="1" operator="equal">
      <formula>"3 - Not Loaded"</formula>
    </cfRule>
    <cfRule type="cellIs" dxfId="3793" priority="2367" stopIfTrue="1" operator="equal">
      <formula>"2 - Soft Load"</formula>
    </cfRule>
  </conditionalFormatting>
  <conditionalFormatting sqref="D3063">
    <cfRule type="cellIs" dxfId="3792" priority="2351" stopIfTrue="1" operator="equal">
      <formula>D1101</formula>
    </cfRule>
  </conditionalFormatting>
  <conditionalFormatting sqref="AO3063 AS3063">
    <cfRule type="cellIs" dxfId="3791" priority="2337" stopIfTrue="1" operator="equal">
      <formula>"OK"</formula>
    </cfRule>
    <cfRule type="cellIs" dxfId="3790" priority="2338" stopIfTrue="1" operator="equal">
      <formula>"Add"</formula>
    </cfRule>
  </conditionalFormatting>
  <conditionalFormatting sqref="J3063">
    <cfRule type="cellIs" dxfId="3789" priority="2339" stopIfTrue="1" operator="equal">
      <formula>"Lockdown"</formula>
    </cfRule>
    <cfRule type="cellIs" dxfId="3788" priority="2340" stopIfTrue="1" operator="equal">
      <formula>"OOM"</formula>
    </cfRule>
    <cfRule type="cellIs" dxfId="3787" priority="2341" stopIfTrue="1" operator="equal">
      <formula>"Placeholder"</formula>
    </cfRule>
  </conditionalFormatting>
  <conditionalFormatting sqref="T3063:AA3063">
    <cfRule type="cellIs" dxfId="3786" priority="2342" stopIfTrue="1" operator="equal">
      <formula>"Blue - Completed"</formula>
    </cfRule>
    <cfRule type="cellIs" dxfId="3785" priority="2343" stopIfTrue="1" operator="equal">
      <formula>"Green - Started on Sched"</formula>
    </cfRule>
    <cfRule type="cellIs" dxfId="3784" priority="2344" stopIfTrue="1" operator="between">
      <formula>"Q"</formula>
      <formula>"T"</formula>
    </cfRule>
  </conditionalFormatting>
  <conditionalFormatting sqref="G3063">
    <cfRule type="cellIs" dxfId="3783" priority="2336" stopIfTrue="1" operator="equal">
      <formula>"4 - Complete"</formula>
    </cfRule>
    <cfRule type="cellIs" dxfId="3782" priority="2345" stopIfTrue="1" operator="equal">
      <formula>"3 - Green"</formula>
    </cfRule>
    <cfRule type="cellIs" dxfId="3781" priority="2346" stopIfTrue="1" operator="equal">
      <formula>"2 - Yellow"</formula>
    </cfRule>
    <cfRule type="cellIs" dxfId="3780" priority="2347" stopIfTrue="1" operator="equal">
      <formula>"1 - Red"</formula>
    </cfRule>
  </conditionalFormatting>
  <conditionalFormatting sqref="L3063">
    <cfRule type="cellIs" dxfId="3779" priority="2348" stopIfTrue="1" operator="equal">
      <formula>"1 - Hard Load"</formula>
    </cfRule>
    <cfRule type="cellIs" dxfId="3778" priority="2349" stopIfTrue="1" operator="equal">
      <formula>"3 - Not Loaded"</formula>
    </cfRule>
    <cfRule type="cellIs" dxfId="3777" priority="2350" stopIfTrue="1" operator="equal">
      <formula>"2 - Soft Load"</formula>
    </cfRule>
  </conditionalFormatting>
  <conditionalFormatting sqref="D3063">
    <cfRule type="cellIs" dxfId="3776" priority="2335" stopIfTrue="1" operator="equal">
      <formula>D1098</formula>
    </cfRule>
  </conditionalFormatting>
  <conditionalFormatting sqref="AO3183:AO3184 AS3183:AS3184">
    <cfRule type="cellIs" dxfId="3775" priority="2320" stopIfTrue="1" operator="equal">
      <formula>"OK"</formula>
    </cfRule>
    <cfRule type="cellIs" dxfId="3774" priority="2321" stopIfTrue="1" operator="equal">
      <formula>"Add"</formula>
    </cfRule>
  </conditionalFormatting>
  <conditionalFormatting sqref="J3183:J3184">
    <cfRule type="cellIs" dxfId="3773" priority="2322" stopIfTrue="1" operator="equal">
      <formula>"Lockdown"</formula>
    </cfRule>
    <cfRule type="cellIs" dxfId="3772" priority="2323" stopIfTrue="1" operator="equal">
      <formula>"OOM"</formula>
    </cfRule>
    <cfRule type="cellIs" dxfId="3771" priority="2324" stopIfTrue="1" operator="equal">
      <formula>"Placeholder"</formula>
    </cfRule>
  </conditionalFormatting>
  <conditionalFormatting sqref="T3183:AA3184">
    <cfRule type="cellIs" dxfId="3770" priority="2325" stopIfTrue="1" operator="equal">
      <formula>"Blue - Completed"</formula>
    </cfRule>
    <cfRule type="cellIs" dxfId="3769" priority="2326" stopIfTrue="1" operator="equal">
      <formula>"Green - Started on Sched"</formula>
    </cfRule>
    <cfRule type="cellIs" dxfId="3768" priority="2327" stopIfTrue="1" operator="between">
      <formula>"Q"</formula>
      <formula>"T"</formula>
    </cfRule>
  </conditionalFormatting>
  <conditionalFormatting sqref="G3183:G3184">
    <cfRule type="cellIs" dxfId="3767" priority="2319" stopIfTrue="1" operator="equal">
      <formula>"4 - Complete"</formula>
    </cfRule>
    <cfRule type="cellIs" dxfId="3766" priority="2328" stopIfTrue="1" operator="equal">
      <formula>"3 - Green"</formula>
    </cfRule>
    <cfRule type="cellIs" dxfId="3765" priority="2329" stopIfTrue="1" operator="equal">
      <formula>"2 - Yellow"</formula>
    </cfRule>
    <cfRule type="cellIs" dxfId="3764" priority="2330" stopIfTrue="1" operator="equal">
      <formula>"1 - Red"</formula>
    </cfRule>
  </conditionalFormatting>
  <conditionalFormatting sqref="L3183:L3184">
    <cfRule type="cellIs" dxfId="3763" priority="2331" stopIfTrue="1" operator="equal">
      <formula>"1 - Hard Load"</formula>
    </cfRule>
    <cfRule type="cellIs" dxfId="3762" priority="2332" stopIfTrue="1" operator="equal">
      <formula>"3 - Not Loaded"</formula>
    </cfRule>
    <cfRule type="cellIs" dxfId="3761" priority="2333" stopIfTrue="1" operator="equal">
      <formula>"2 - Soft Load"</formula>
    </cfRule>
  </conditionalFormatting>
  <conditionalFormatting sqref="D3183:D3184">
    <cfRule type="cellIs" dxfId="3760" priority="2334" stopIfTrue="1" operator="equal">
      <formula>D1217</formula>
    </cfRule>
  </conditionalFormatting>
  <conditionalFormatting sqref="D3183:D3184">
    <cfRule type="cellIs" dxfId="3759" priority="2318" stopIfTrue="1" operator="equal">
      <formula>D1220</formula>
    </cfRule>
  </conditionalFormatting>
  <conditionalFormatting sqref="D3183:D3184">
    <cfRule type="cellIs" dxfId="3758" priority="2317" stopIfTrue="1" operator="equal">
      <formula>D1220</formula>
    </cfRule>
  </conditionalFormatting>
  <conditionalFormatting sqref="D3184">
    <cfRule type="cellIs" dxfId="3757" priority="2316" stopIfTrue="1" operator="equal">
      <formula>D1221</formula>
    </cfRule>
  </conditionalFormatting>
  <conditionalFormatting sqref="D3185">
    <cfRule type="cellIs" dxfId="3756" priority="2315" stopIfTrue="1" operator="equal">
      <formula>D1222</formula>
    </cfRule>
  </conditionalFormatting>
  <conditionalFormatting sqref="AS3185 AO3185">
    <cfRule type="cellIs" dxfId="3755" priority="2301" stopIfTrue="1" operator="equal">
      <formula>"OK"</formula>
    </cfRule>
    <cfRule type="cellIs" dxfId="3754" priority="2302" stopIfTrue="1" operator="equal">
      <formula>"Add"</formula>
    </cfRule>
  </conditionalFormatting>
  <conditionalFormatting sqref="J3185">
    <cfRule type="cellIs" dxfId="3753" priority="2303" stopIfTrue="1" operator="equal">
      <formula>"Lockdown"</formula>
    </cfRule>
    <cfRule type="cellIs" dxfId="3752" priority="2304" stopIfTrue="1" operator="equal">
      <formula>"OOM"</formula>
    </cfRule>
    <cfRule type="cellIs" dxfId="3751" priority="2305" stopIfTrue="1" operator="equal">
      <formula>"Placeholder"</formula>
    </cfRule>
  </conditionalFormatting>
  <conditionalFormatting sqref="T3185:AA3185">
    <cfRule type="cellIs" dxfId="3750" priority="2306" stopIfTrue="1" operator="equal">
      <formula>"Blue - Completed"</formula>
    </cfRule>
    <cfRule type="cellIs" dxfId="3749" priority="2307" stopIfTrue="1" operator="equal">
      <formula>"Green - Started on Sched"</formula>
    </cfRule>
    <cfRule type="cellIs" dxfId="3748" priority="2308" stopIfTrue="1" operator="between">
      <formula>"Q"</formula>
      <formula>"T"</formula>
    </cfRule>
  </conditionalFormatting>
  <conditionalFormatting sqref="G3185">
    <cfRule type="cellIs" dxfId="3747" priority="2300" stopIfTrue="1" operator="equal">
      <formula>"4 - Complete"</formula>
    </cfRule>
    <cfRule type="cellIs" dxfId="3746" priority="2309" stopIfTrue="1" operator="equal">
      <formula>"3 - Green"</formula>
    </cfRule>
    <cfRule type="cellIs" dxfId="3745" priority="2310" stopIfTrue="1" operator="equal">
      <formula>"2 - Yellow"</formula>
    </cfRule>
    <cfRule type="cellIs" dxfId="3744" priority="2311" stopIfTrue="1" operator="equal">
      <formula>"1 - Red"</formula>
    </cfRule>
  </conditionalFormatting>
  <conditionalFormatting sqref="L3185">
    <cfRule type="cellIs" dxfId="3743" priority="2312" stopIfTrue="1" operator="equal">
      <formula>"1 - Hard Load"</formula>
    </cfRule>
    <cfRule type="cellIs" dxfId="3742" priority="2313" stopIfTrue="1" operator="equal">
      <formula>"3 - Not Loaded"</formula>
    </cfRule>
    <cfRule type="cellIs" dxfId="3741" priority="2314" stopIfTrue="1" operator="equal">
      <formula>"2 - Soft Load"</formula>
    </cfRule>
  </conditionalFormatting>
  <conditionalFormatting sqref="D3187">
    <cfRule type="cellIs" dxfId="3740" priority="2281" stopIfTrue="1" operator="equal">
      <formula>D1224</formula>
    </cfRule>
  </conditionalFormatting>
  <conditionalFormatting sqref="AO3186:AO3189 AS3186:AS3189">
    <cfRule type="cellIs" dxfId="3739" priority="2285" stopIfTrue="1" operator="equal">
      <formula>"OK"</formula>
    </cfRule>
    <cfRule type="cellIs" dxfId="3738" priority="2286" stopIfTrue="1" operator="equal">
      <formula>"Add"</formula>
    </cfRule>
  </conditionalFormatting>
  <conditionalFormatting sqref="J3186:J3189">
    <cfRule type="cellIs" dxfId="3737" priority="2287" stopIfTrue="1" operator="equal">
      <formula>"Lockdown"</formula>
    </cfRule>
    <cfRule type="cellIs" dxfId="3736" priority="2288" stopIfTrue="1" operator="equal">
      <formula>"OOM"</formula>
    </cfRule>
    <cfRule type="cellIs" dxfId="3735" priority="2289" stopIfTrue="1" operator="equal">
      <formula>"Placeholder"</formula>
    </cfRule>
  </conditionalFormatting>
  <conditionalFormatting sqref="T3186:AA3189">
    <cfRule type="cellIs" dxfId="3734" priority="2290" stopIfTrue="1" operator="equal">
      <formula>"Blue - Completed"</formula>
    </cfRule>
    <cfRule type="cellIs" dxfId="3733" priority="2291" stopIfTrue="1" operator="equal">
      <formula>"Green - Started on Sched"</formula>
    </cfRule>
    <cfRule type="cellIs" dxfId="3732" priority="2292" stopIfTrue="1" operator="between">
      <formula>"Q"</formula>
      <formula>"T"</formula>
    </cfRule>
  </conditionalFormatting>
  <conditionalFormatting sqref="G3186:G3189">
    <cfRule type="cellIs" dxfId="3731" priority="2284" stopIfTrue="1" operator="equal">
      <formula>"4 - Complete"</formula>
    </cfRule>
    <cfRule type="cellIs" dxfId="3730" priority="2293" stopIfTrue="1" operator="equal">
      <formula>"3 - Green"</formula>
    </cfRule>
    <cfRule type="cellIs" dxfId="3729" priority="2294" stopIfTrue="1" operator="equal">
      <formula>"2 - Yellow"</formula>
    </cfRule>
    <cfRule type="cellIs" dxfId="3728" priority="2295" stopIfTrue="1" operator="equal">
      <formula>"1 - Red"</formula>
    </cfRule>
  </conditionalFormatting>
  <conditionalFormatting sqref="L3186:L3189">
    <cfRule type="cellIs" dxfId="3727" priority="2296" stopIfTrue="1" operator="equal">
      <formula>"1 - Hard Load"</formula>
    </cfRule>
    <cfRule type="cellIs" dxfId="3726" priority="2297" stopIfTrue="1" operator="equal">
      <formula>"3 - Not Loaded"</formula>
    </cfRule>
    <cfRule type="cellIs" dxfId="3725" priority="2298" stopIfTrue="1" operator="equal">
      <formula>"2 - Soft Load"</formula>
    </cfRule>
  </conditionalFormatting>
  <conditionalFormatting sqref="D3185:D3189">
    <cfRule type="cellIs" dxfId="3724" priority="2299" stopIfTrue="1" operator="equal">
      <formula>D1219</formula>
    </cfRule>
  </conditionalFormatting>
  <conditionalFormatting sqref="D3186:D3189">
    <cfRule type="cellIs" dxfId="3723" priority="2283" stopIfTrue="1" operator="equal">
      <formula>D1223</formula>
    </cfRule>
  </conditionalFormatting>
  <conditionalFormatting sqref="D3186:D3189">
    <cfRule type="cellIs" dxfId="3722" priority="2282" stopIfTrue="1" operator="equal">
      <formula>D1223</formula>
    </cfRule>
  </conditionalFormatting>
  <conditionalFormatting sqref="D3189">
    <cfRule type="cellIs" dxfId="3721" priority="2280" stopIfTrue="1" operator="equal">
      <formula>D1226</formula>
    </cfRule>
  </conditionalFormatting>
  <conditionalFormatting sqref="D3190">
    <cfRule type="cellIs" dxfId="3720" priority="2279" stopIfTrue="1" operator="equal">
      <formula>D1227</formula>
    </cfRule>
  </conditionalFormatting>
  <conditionalFormatting sqref="AS3190 AO3190">
    <cfRule type="cellIs" dxfId="3719" priority="2265" stopIfTrue="1" operator="equal">
      <formula>"OK"</formula>
    </cfRule>
    <cfRule type="cellIs" dxfId="3718" priority="2266" stopIfTrue="1" operator="equal">
      <formula>"Add"</formula>
    </cfRule>
  </conditionalFormatting>
  <conditionalFormatting sqref="J3190">
    <cfRule type="cellIs" dxfId="3717" priority="2267" stopIfTrue="1" operator="equal">
      <formula>"Lockdown"</formula>
    </cfRule>
    <cfRule type="cellIs" dxfId="3716" priority="2268" stopIfTrue="1" operator="equal">
      <formula>"OOM"</formula>
    </cfRule>
    <cfRule type="cellIs" dxfId="3715" priority="2269" stopIfTrue="1" operator="equal">
      <formula>"Placeholder"</formula>
    </cfRule>
  </conditionalFormatting>
  <conditionalFormatting sqref="T3190:AA3190">
    <cfRule type="cellIs" dxfId="3714" priority="2270" stopIfTrue="1" operator="equal">
      <formula>"Blue - Completed"</formula>
    </cfRule>
    <cfRule type="cellIs" dxfId="3713" priority="2271" stopIfTrue="1" operator="equal">
      <formula>"Green - Started on Sched"</formula>
    </cfRule>
    <cfRule type="cellIs" dxfId="3712" priority="2272" stopIfTrue="1" operator="between">
      <formula>"Q"</formula>
      <formula>"T"</formula>
    </cfRule>
  </conditionalFormatting>
  <conditionalFormatting sqref="G3190">
    <cfRule type="cellIs" dxfId="3711" priority="2264" stopIfTrue="1" operator="equal">
      <formula>"4 - Complete"</formula>
    </cfRule>
    <cfRule type="cellIs" dxfId="3710" priority="2273" stopIfTrue="1" operator="equal">
      <formula>"3 - Green"</formula>
    </cfRule>
    <cfRule type="cellIs" dxfId="3709" priority="2274" stopIfTrue="1" operator="equal">
      <formula>"2 - Yellow"</formula>
    </cfRule>
    <cfRule type="cellIs" dxfId="3708" priority="2275" stopIfTrue="1" operator="equal">
      <formula>"1 - Red"</formula>
    </cfRule>
  </conditionalFormatting>
  <conditionalFormatting sqref="L3190">
    <cfRule type="cellIs" dxfId="3707" priority="2276" stopIfTrue="1" operator="equal">
      <formula>"1 - Hard Load"</formula>
    </cfRule>
    <cfRule type="cellIs" dxfId="3706" priority="2277" stopIfTrue="1" operator="equal">
      <formula>"3 - Not Loaded"</formula>
    </cfRule>
    <cfRule type="cellIs" dxfId="3705" priority="2278" stopIfTrue="1" operator="equal">
      <formula>"2 - Soft Load"</formula>
    </cfRule>
  </conditionalFormatting>
  <conditionalFormatting sqref="D3192">
    <cfRule type="cellIs" dxfId="3704" priority="2245" stopIfTrue="1" operator="equal">
      <formula>D1229</formula>
    </cfRule>
  </conditionalFormatting>
  <conditionalFormatting sqref="AO3191:AO3194 AS3191:AS3194">
    <cfRule type="cellIs" dxfId="3703" priority="2249" stopIfTrue="1" operator="equal">
      <formula>"OK"</formula>
    </cfRule>
    <cfRule type="cellIs" dxfId="3702" priority="2250" stopIfTrue="1" operator="equal">
      <formula>"Add"</formula>
    </cfRule>
  </conditionalFormatting>
  <conditionalFormatting sqref="J3191:J3194">
    <cfRule type="cellIs" dxfId="3701" priority="2251" stopIfTrue="1" operator="equal">
      <formula>"Lockdown"</formula>
    </cfRule>
    <cfRule type="cellIs" dxfId="3700" priority="2252" stopIfTrue="1" operator="equal">
      <formula>"OOM"</formula>
    </cfRule>
    <cfRule type="cellIs" dxfId="3699" priority="2253" stopIfTrue="1" operator="equal">
      <formula>"Placeholder"</formula>
    </cfRule>
  </conditionalFormatting>
  <conditionalFormatting sqref="T3191:AA3194">
    <cfRule type="cellIs" dxfId="3698" priority="2254" stopIfTrue="1" operator="equal">
      <formula>"Blue - Completed"</formula>
    </cfRule>
    <cfRule type="cellIs" dxfId="3697" priority="2255" stopIfTrue="1" operator="equal">
      <formula>"Green - Started on Sched"</formula>
    </cfRule>
    <cfRule type="cellIs" dxfId="3696" priority="2256" stopIfTrue="1" operator="between">
      <formula>"Q"</formula>
      <formula>"T"</formula>
    </cfRule>
  </conditionalFormatting>
  <conditionalFormatting sqref="G3191:G3194">
    <cfRule type="cellIs" dxfId="3695" priority="2248" stopIfTrue="1" operator="equal">
      <formula>"4 - Complete"</formula>
    </cfRule>
    <cfRule type="cellIs" dxfId="3694" priority="2257" stopIfTrue="1" operator="equal">
      <formula>"3 - Green"</formula>
    </cfRule>
    <cfRule type="cellIs" dxfId="3693" priority="2258" stopIfTrue="1" operator="equal">
      <formula>"2 - Yellow"</formula>
    </cfRule>
    <cfRule type="cellIs" dxfId="3692" priority="2259" stopIfTrue="1" operator="equal">
      <formula>"1 - Red"</formula>
    </cfRule>
  </conditionalFormatting>
  <conditionalFormatting sqref="L3191:L3194">
    <cfRule type="cellIs" dxfId="3691" priority="2260" stopIfTrue="1" operator="equal">
      <formula>"1 - Hard Load"</formula>
    </cfRule>
    <cfRule type="cellIs" dxfId="3690" priority="2261" stopIfTrue="1" operator="equal">
      <formula>"3 - Not Loaded"</formula>
    </cfRule>
    <cfRule type="cellIs" dxfId="3689" priority="2262" stopIfTrue="1" operator="equal">
      <formula>"2 - Soft Load"</formula>
    </cfRule>
  </conditionalFormatting>
  <conditionalFormatting sqref="D3190:D3194">
    <cfRule type="cellIs" dxfId="3688" priority="2263" stopIfTrue="1" operator="equal">
      <formula>D1224</formula>
    </cfRule>
  </conditionalFormatting>
  <conditionalFormatting sqref="D3191:D3194">
    <cfRule type="cellIs" dxfId="3687" priority="2247" stopIfTrue="1" operator="equal">
      <formula>D1228</formula>
    </cfRule>
  </conditionalFormatting>
  <conditionalFormatting sqref="D3191:D3194">
    <cfRule type="cellIs" dxfId="3686" priority="2246" stopIfTrue="1" operator="equal">
      <formula>D1228</formula>
    </cfRule>
  </conditionalFormatting>
  <conditionalFormatting sqref="D3194">
    <cfRule type="cellIs" dxfId="3685" priority="2244" stopIfTrue="1" operator="equal">
      <formula>D1231</formula>
    </cfRule>
  </conditionalFormatting>
  <conditionalFormatting sqref="D1765">
    <cfRule type="cellIs" dxfId="3684" priority="10567" stopIfTrue="1" operator="equal">
      <formula>D617</formula>
    </cfRule>
  </conditionalFormatting>
  <conditionalFormatting sqref="AS1764 AO1764">
    <cfRule type="cellIs" dxfId="3683" priority="2229" stopIfTrue="1" operator="equal">
      <formula>"OK"</formula>
    </cfRule>
    <cfRule type="cellIs" dxfId="3682" priority="2230" stopIfTrue="1" operator="equal">
      <formula>"Add"</formula>
    </cfRule>
  </conditionalFormatting>
  <conditionalFormatting sqref="J1764">
    <cfRule type="cellIs" dxfId="3681" priority="2231" stopIfTrue="1" operator="equal">
      <formula>"Lockdown"</formula>
    </cfRule>
    <cfRule type="cellIs" dxfId="3680" priority="2232" stopIfTrue="1" operator="equal">
      <formula>"OOM"</formula>
    </cfRule>
    <cfRule type="cellIs" dxfId="3679" priority="2233" stopIfTrue="1" operator="equal">
      <formula>"Placeholder"</formula>
    </cfRule>
  </conditionalFormatting>
  <conditionalFormatting sqref="T1764:AA1764">
    <cfRule type="cellIs" dxfId="3678" priority="2234" stopIfTrue="1" operator="equal">
      <formula>"Blue - Completed"</formula>
    </cfRule>
    <cfRule type="cellIs" dxfId="3677" priority="2235" stopIfTrue="1" operator="equal">
      <formula>"Green - Started on Sched"</formula>
    </cfRule>
    <cfRule type="cellIs" dxfId="3676" priority="2236" stopIfTrue="1" operator="between">
      <formula>"Q"</formula>
      <formula>"T"</formula>
    </cfRule>
  </conditionalFormatting>
  <conditionalFormatting sqref="G1764">
    <cfRule type="cellIs" dxfId="3675" priority="2228" stopIfTrue="1" operator="equal">
      <formula>"4 - Complete"</formula>
    </cfRule>
    <cfRule type="cellIs" dxfId="3674" priority="2237" stopIfTrue="1" operator="equal">
      <formula>"3 - Green"</formula>
    </cfRule>
    <cfRule type="cellIs" dxfId="3673" priority="2238" stopIfTrue="1" operator="equal">
      <formula>"2 - Yellow"</formula>
    </cfRule>
    <cfRule type="cellIs" dxfId="3672" priority="2239" stopIfTrue="1" operator="equal">
      <formula>"1 - Red"</formula>
    </cfRule>
  </conditionalFormatting>
  <conditionalFormatting sqref="L1764">
    <cfRule type="cellIs" dxfId="3671" priority="2240" stopIfTrue="1" operator="equal">
      <formula>"1 - Hard Load"</formula>
    </cfRule>
    <cfRule type="cellIs" dxfId="3670" priority="2241" stopIfTrue="1" operator="equal">
      <formula>"3 - Not Loaded"</formula>
    </cfRule>
    <cfRule type="cellIs" dxfId="3669" priority="2242" stopIfTrue="1" operator="equal">
      <formula>"2 - Soft Load"</formula>
    </cfRule>
  </conditionalFormatting>
  <conditionalFormatting sqref="D1764">
    <cfRule type="cellIs" dxfId="3668" priority="2243" stopIfTrue="1" operator="equal">
      <formula>D616</formula>
    </cfRule>
  </conditionalFormatting>
  <conditionalFormatting sqref="AS80 AO80">
    <cfRule type="cellIs" dxfId="3667" priority="2214" stopIfTrue="1" operator="equal">
      <formula>"OK"</formula>
    </cfRule>
    <cfRule type="cellIs" dxfId="3666" priority="2215" stopIfTrue="1" operator="equal">
      <formula>"Add"</formula>
    </cfRule>
  </conditionalFormatting>
  <conditionalFormatting sqref="J80">
    <cfRule type="cellIs" dxfId="3665" priority="2216" stopIfTrue="1" operator="equal">
      <formula>"Lockdown"</formula>
    </cfRule>
    <cfRule type="cellIs" dxfId="3664" priority="2217" stopIfTrue="1" operator="equal">
      <formula>"OOM"</formula>
    </cfRule>
    <cfRule type="cellIs" dxfId="3663" priority="2218" stopIfTrue="1" operator="equal">
      <formula>"Placeholder"</formula>
    </cfRule>
  </conditionalFormatting>
  <conditionalFormatting sqref="T80:AA80">
    <cfRule type="cellIs" dxfId="3662" priority="2219" stopIfTrue="1" operator="equal">
      <formula>"Blue - Completed"</formula>
    </cfRule>
    <cfRule type="cellIs" dxfId="3661" priority="2220" stopIfTrue="1" operator="equal">
      <formula>"Green - Started on Sched"</formula>
    </cfRule>
    <cfRule type="cellIs" dxfId="3660" priority="2221" stopIfTrue="1" operator="between">
      <formula>"Q"</formula>
      <formula>"T"</formula>
    </cfRule>
  </conditionalFormatting>
  <conditionalFormatting sqref="G80">
    <cfRule type="cellIs" dxfId="3659" priority="2213" stopIfTrue="1" operator="equal">
      <formula>"4 - Complete"</formula>
    </cfRule>
    <cfRule type="cellIs" dxfId="3658" priority="2222" stopIfTrue="1" operator="equal">
      <formula>"3 - Green"</formula>
    </cfRule>
    <cfRule type="cellIs" dxfId="3657" priority="2223" stopIfTrue="1" operator="equal">
      <formula>"2 - Yellow"</formula>
    </cfRule>
    <cfRule type="cellIs" dxfId="3656" priority="2224" stopIfTrue="1" operator="equal">
      <formula>"1 - Red"</formula>
    </cfRule>
  </conditionalFormatting>
  <conditionalFormatting sqref="L80">
    <cfRule type="cellIs" dxfId="3655" priority="2225" stopIfTrue="1" operator="equal">
      <formula>"1 - Hard Load"</formula>
    </cfRule>
    <cfRule type="cellIs" dxfId="3654" priority="2226" stopIfTrue="1" operator="equal">
      <formula>"3 - Not Loaded"</formula>
    </cfRule>
    <cfRule type="cellIs" dxfId="3653" priority="2227" stopIfTrue="1" operator="equal">
      <formula>"2 - Soft Load"</formula>
    </cfRule>
  </conditionalFormatting>
  <conditionalFormatting sqref="AO125 AS125">
    <cfRule type="cellIs" dxfId="3652" priority="2198" stopIfTrue="1" operator="equal">
      <formula>"OK"</formula>
    </cfRule>
    <cfRule type="cellIs" dxfId="3651" priority="2199" stopIfTrue="1" operator="equal">
      <formula>"Add"</formula>
    </cfRule>
  </conditionalFormatting>
  <conditionalFormatting sqref="J125">
    <cfRule type="cellIs" dxfId="3650" priority="2200" stopIfTrue="1" operator="equal">
      <formula>"Lockdown"</formula>
    </cfRule>
    <cfRule type="cellIs" dxfId="3649" priority="2201" stopIfTrue="1" operator="equal">
      <formula>"OOM"</formula>
    </cfRule>
    <cfRule type="cellIs" dxfId="3648" priority="2202" stopIfTrue="1" operator="equal">
      <formula>"Placeholder"</formula>
    </cfRule>
  </conditionalFormatting>
  <conditionalFormatting sqref="T125:AA125">
    <cfRule type="cellIs" dxfId="3647" priority="2203" stopIfTrue="1" operator="equal">
      <formula>"Blue - Completed"</formula>
    </cfRule>
    <cfRule type="cellIs" dxfId="3646" priority="2204" stopIfTrue="1" operator="equal">
      <formula>"Green - Started on Sched"</formula>
    </cfRule>
    <cfRule type="cellIs" dxfId="3645" priority="2205" stopIfTrue="1" operator="between">
      <formula>"Q"</formula>
      <formula>"T"</formula>
    </cfRule>
  </conditionalFormatting>
  <conditionalFormatting sqref="G125">
    <cfRule type="cellIs" dxfId="3644" priority="2197" stopIfTrue="1" operator="equal">
      <formula>"4 - Complete"</formula>
    </cfRule>
    <cfRule type="cellIs" dxfId="3643" priority="2206" stopIfTrue="1" operator="equal">
      <formula>"3 - Green"</formula>
    </cfRule>
    <cfRule type="cellIs" dxfId="3642" priority="2207" stopIfTrue="1" operator="equal">
      <formula>"2 - Yellow"</formula>
    </cfRule>
    <cfRule type="cellIs" dxfId="3641" priority="2208" stopIfTrue="1" operator="equal">
      <formula>"1 - Red"</formula>
    </cfRule>
  </conditionalFormatting>
  <conditionalFormatting sqref="L125">
    <cfRule type="cellIs" dxfId="3640" priority="2209" stopIfTrue="1" operator="equal">
      <formula>"1 - Hard Load"</formula>
    </cfRule>
    <cfRule type="cellIs" dxfId="3639" priority="2210" stopIfTrue="1" operator="equal">
      <formula>"3 - Not Loaded"</formula>
    </cfRule>
    <cfRule type="cellIs" dxfId="3638" priority="2211" stopIfTrue="1" operator="equal">
      <formula>"2 - Soft Load"</formula>
    </cfRule>
  </conditionalFormatting>
  <conditionalFormatting sqref="AO3195:AO3196 AS3195:AS3196">
    <cfRule type="cellIs" dxfId="3637" priority="2180" stopIfTrue="1" operator="equal">
      <formula>"OK"</formula>
    </cfRule>
    <cfRule type="cellIs" dxfId="3636" priority="2181" stopIfTrue="1" operator="equal">
      <formula>"Add"</formula>
    </cfRule>
  </conditionalFormatting>
  <conditionalFormatting sqref="J3195:J3196">
    <cfRule type="cellIs" dxfId="3635" priority="2182" stopIfTrue="1" operator="equal">
      <formula>"Lockdown"</formula>
    </cfRule>
    <cfRule type="cellIs" dxfId="3634" priority="2183" stopIfTrue="1" operator="equal">
      <formula>"OOM"</formula>
    </cfRule>
    <cfRule type="cellIs" dxfId="3633" priority="2184" stopIfTrue="1" operator="equal">
      <formula>"Placeholder"</formula>
    </cfRule>
  </conditionalFormatting>
  <conditionalFormatting sqref="T3195:AA3196">
    <cfRule type="cellIs" dxfId="3632" priority="2185" stopIfTrue="1" operator="equal">
      <formula>"Blue - Completed"</formula>
    </cfRule>
    <cfRule type="cellIs" dxfId="3631" priority="2186" stopIfTrue="1" operator="equal">
      <formula>"Green - Started on Sched"</formula>
    </cfRule>
    <cfRule type="cellIs" dxfId="3630" priority="2187" stopIfTrue="1" operator="between">
      <formula>"Q"</formula>
      <formula>"T"</formula>
    </cfRule>
  </conditionalFormatting>
  <conditionalFormatting sqref="G3195:G3196">
    <cfRule type="cellIs" dxfId="3629" priority="2179" stopIfTrue="1" operator="equal">
      <formula>"4 - Complete"</formula>
    </cfRule>
    <cfRule type="cellIs" dxfId="3628" priority="2188" stopIfTrue="1" operator="equal">
      <formula>"3 - Green"</formula>
    </cfRule>
    <cfRule type="cellIs" dxfId="3627" priority="2189" stopIfTrue="1" operator="equal">
      <formula>"2 - Yellow"</formula>
    </cfRule>
    <cfRule type="cellIs" dxfId="3626" priority="2190" stopIfTrue="1" operator="equal">
      <formula>"1 - Red"</formula>
    </cfRule>
  </conditionalFormatting>
  <conditionalFormatting sqref="L3195:L3196">
    <cfRule type="cellIs" dxfId="3625" priority="2191" stopIfTrue="1" operator="equal">
      <formula>"1 - Hard Load"</formula>
    </cfRule>
    <cfRule type="cellIs" dxfId="3624" priority="2192" stopIfTrue="1" operator="equal">
      <formula>"3 - Not Loaded"</formula>
    </cfRule>
    <cfRule type="cellIs" dxfId="3623" priority="2193" stopIfTrue="1" operator="equal">
      <formula>"2 - Soft Load"</formula>
    </cfRule>
  </conditionalFormatting>
  <conditionalFormatting sqref="D3195:D3196">
    <cfRule type="cellIs" dxfId="3622" priority="2194" stopIfTrue="1" operator="equal">
      <formula>D1229</formula>
    </cfRule>
  </conditionalFormatting>
  <conditionalFormatting sqref="D3195:D3196">
    <cfRule type="cellIs" dxfId="3621" priority="2178" stopIfTrue="1" operator="equal">
      <formula>D1232</formula>
    </cfRule>
  </conditionalFormatting>
  <conditionalFormatting sqref="D3195:D3196">
    <cfRule type="cellIs" dxfId="3620" priority="2177" stopIfTrue="1" operator="equal">
      <formula>D1232</formula>
    </cfRule>
  </conditionalFormatting>
  <conditionalFormatting sqref="D3196">
    <cfRule type="cellIs" dxfId="3619" priority="2176" stopIfTrue="1" operator="equal">
      <formula>D1233</formula>
    </cfRule>
  </conditionalFormatting>
  <conditionalFormatting sqref="D3197">
    <cfRule type="cellIs" dxfId="3618" priority="2175" stopIfTrue="1" operator="equal">
      <formula>D1234</formula>
    </cfRule>
  </conditionalFormatting>
  <conditionalFormatting sqref="AS3197 AO3197">
    <cfRule type="cellIs" dxfId="3617" priority="2161" stopIfTrue="1" operator="equal">
      <formula>"OK"</formula>
    </cfRule>
    <cfRule type="cellIs" dxfId="3616" priority="2162" stopIfTrue="1" operator="equal">
      <formula>"Add"</formula>
    </cfRule>
  </conditionalFormatting>
  <conditionalFormatting sqref="J3197">
    <cfRule type="cellIs" dxfId="3615" priority="2163" stopIfTrue="1" operator="equal">
      <formula>"Lockdown"</formula>
    </cfRule>
    <cfRule type="cellIs" dxfId="3614" priority="2164" stopIfTrue="1" operator="equal">
      <formula>"OOM"</formula>
    </cfRule>
    <cfRule type="cellIs" dxfId="3613" priority="2165" stopIfTrue="1" operator="equal">
      <formula>"Placeholder"</formula>
    </cfRule>
  </conditionalFormatting>
  <conditionalFormatting sqref="T3197:AA3197">
    <cfRule type="cellIs" dxfId="3612" priority="2166" stopIfTrue="1" operator="equal">
      <formula>"Blue - Completed"</formula>
    </cfRule>
    <cfRule type="cellIs" dxfId="3611" priority="2167" stopIfTrue="1" operator="equal">
      <formula>"Green - Started on Sched"</formula>
    </cfRule>
    <cfRule type="cellIs" dxfId="3610" priority="2168" stopIfTrue="1" operator="between">
      <formula>"Q"</formula>
      <formula>"T"</formula>
    </cfRule>
  </conditionalFormatting>
  <conditionalFormatting sqref="G3197">
    <cfRule type="cellIs" dxfId="3609" priority="2160" stopIfTrue="1" operator="equal">
      <formula>"4 - Complete"</formula>
    </cfRule>
    <cfRule type="cellIs" dxfId="3608" priority="2169" stopIfTrue="1" operator="equal">
      <formula>"3 - Green"</formula>
    </cfRule>
    <cfRule type="cellIs" dxfId="3607" priority="2170" stopIfTrue="1" operator="equal">
      <formula>"2 - Yellow"</formula>
    </cfRule>
    <cfRule type="cellIs" dxfId="3606" priority="2171" stopIfTrue="1" operator="equal">
      <formula>"1 - Red"</formula>
    </cfRule>
  </conditionalFormatting>
  <conditionalFormatting sqref="L3197">
    <cfRule type="cellIs" dxfId="3605" priority="2172" stopIfTrue="1" operator="equal">
      <formula>"1 - Hard Load"</formula>
    </cfRule>
    <cfRule type="cellIs" dxfId="3604" priority="2173" stopIfTrue="1" operator="equal">
      <formula>"3 - Not Loaded"</formula>
    </cfRule>
    <cfRule type="cellIs" dxfId="3603" priority="2174" stopIfTrue="1" operator="equal">
      <formula>"2 - Soft Load"</formula>
    </cfRule>
  </conditionalFormatting>
  <conditionalFormatting sqref="D3199">
    <cfRule type="cellIs" dxfId="3602" priority="2141" stopIfTrue="1" operator="equal">
      <formula>D1236</formula>
    </cfRule>
  </conditionalFormatting>
  <conditionalFormatting sqref="AO3198:AO3201 AS3198:AS3201">
    <cfRule type="cellIs" dxfId="3601" priority="2145" stopIfTrue="1" operator="equal">
      <formula>"OK"</formula>
    </cfRule>
    <cfRule type="cellIs" dxfId="3600" priority="2146" stopIfTrue="1" operator="equal">
      <formula>"Add"</formula>
    </cfRule>
  </conditionalFormatting>
  <conditionalFormatting sqref="J3198:J3201">
    <cfRule type="cellIs" dxfId="3599" priority="2147" stopIfTrue="1" operator="equal">
      <formula>"Lockdown"</formula>
    </cfRule>
    <cfRule type="cellIs" dxfId="3598" priority="2148" stopIfTrue="1" operator="equal">
      <formula>"OOM"</formula>
    </cfRule>
    <cfRule type="cellIs" dxfId="3597" priority="2149" stopIfTrue="1" operator="equal">
      <formula>"Placeholder"</formula>
    </cfRule>
  </conditionalFormatting>
  <conditionalFormatting sqref="T3198:AA3201">
    <cfRule type="cellIs" dxfId="3596" priority="2150" stopIfTrue="1" operator="equal">
      <formula>"Blue - Completed"</formula>
    </cfRule>
    <cfRule type="cellIs" dxfId="3595" priority="2151" stopIfTrue="1" operator="equal">
      <formula>"Green - Started on Sched"</formula>
    </cfRule>
    <cfRule type="cellIs" dxfId="3594" priority="2152" stopIfTrue="1" operator="between">
      <formula>"Q"</formula>
      <formula>"T"</formula>
    </cfRule>
  </conditionalFormatting>
  <conditionalFormatting sqref="G3198:G3201">
    <cfRule type="cellIs" dxfId="3593" priority="2144" stopIfTrue="1" operator="equal">
      <formula>"4 - Complete"</formula>
    </cfRule>
    <cfRule type="cellIs" dxfId="3592" priority="2153" stopIfTrue="1" operator="equal">
      <formula>"3 - Green"</formula>
    </cfRule>
    <cfRule type="cellIs" dxfId="3591" priority="2154" stopIfTrue="1" operator="equal">
      <formula>"2 - Yellow"</formula>
    </cfRule>
    <cfRule type="cellIs" dxfId="3590" priority="2155" stopIfTrue="1" operator="equal">
      <formula>"1 - Red"</formula>
    </cfRule>
  </conditionalFormatting>
  <conditionalFormatting sqref="L3198:L3201">
    <cfRule type="cellIs" dxfId="3589" priority="2156" stopIfTrue="1" operator="equal">
      <formula>"1 - Hard Load"</formula>
    </cfRule>
    <cfRule type="cellIs" dxfId="3588" priority="2157" stopIfTrue="1" operator="equal">
      <formula>"3 - Not Loaded"</formula>
    </cfRule>
    <cfRule type="cellIs" dxfId="3587" priority="2158" stopIfTrue="1" operator="equal">
      <formula>"2 - Soft Load"</formula>
    </cfRule>
  </conditionalFormatting>
  <conditionalFormatting sqref="D3197:D3201">
    <cfRule type="cellIs" dxfId="3586" priority="2159" stopIfTrue="1" operator="equal">
      <formula>D1231</formula>
    </cfRule>
  </conditionalFormatting>
  <conditionalFormatting sqref="D3198:D3201">
    <cfRule type="cellIs" dxfId="3585" priority="2143" stopIfTrue="1" operator="equal">
      <formula>D1235</formula>
    </cfRule>
  </conditionalFormatting>
  <conditionalFormatting sqref="D3198:D3201">
    <cfRule type="cellIs" dxfId="3584" priority="2142" stopIfTrue="1" operator="equal">
      <formula>D1235</formula>
    </cfRule>
  </conditionalFormatting>
  <conditionalFormatting sqref="D3201">
    <cfRule type="cellIs" dxfId="3583" priority="2140" stopIfTrue="1" operator="equal">
      <formula>D1238</formula>
    </cfRule>
  </conditionalFormatting>
  <conditionalFormatting sqref="D3202">
    <cfRule type="cellIs" dxfId="3582" priority="2139" stopIfTrue="1" operator="equal">
      <formula>D1239</formula>
    </cfRule>
  </conditionalFormatting>
  <conditionalFormatting sqref="AS3202 AO3202">
    <cfRule type="cellIs" dxfId="3581" priority="2125" stopIfTrue="1" operator="equal">
      <formula>"OK"</formula>
    </cfRule>
    <cfRule type="cellIs" dxfId="3580" priority="2126" stopIfTrue="1" operator="equal">
      <formula>"Add"</formula>
    </cfRule>
  </conditionalFormatting>
  <conditionalFormatting sqref="J3202">
    <cfRule type="cellIs" dxfId="3579" priority="2127" stopIfTrue="1" operator="equal">
      <formula>"Lockdown"</formula>
    </cfRule>
    <cfRule type="cellIs" dxfId="3578" priority="2128" stopIfTrue="1" operator="equal">
      <formula>"OOM"</formula>
    </cfRule>
    <cfRule type="cellIs" dxfId="3577" priority="2129" stopIfTrue="1" operator="equal">
      <formula>"Placeholder"</formula>
    </cfRule>
  </conditionalFormatting>
  <conditionalFormatting sqref="T3202:AA3202">
    <cfRule type="cellIs" dxfId="3576" priority="2130" stopIfTrue="1" operator="equal">
      <formula>"Blue - Completed"</formula>
    </cfRule>
    <cfRule type="cellIs" dxfId="3575" priority="2131" stopIfTrue="1" operator="equal">
      <formula>"Green - Started on Sched"</formula>
    </cfRule>
    <cfRule type="cellIs" dxfId="3574" priority="2132" stopIfTrue="1" operator="between">
      <formula>"Q"</formula>
      <formula>"T"</formula>
    </cfRule>
  </conditionalFormatting>
  <conditionalFormatting sqref="G3202">
    <cfRule type="cellIs" dxfId="3573" priority="2124" stopIfTrue="1" operator="equal">
      <formula>"4 - Complete"</formula>
    </cfRule>
    <cfRule type="cellIs" dxfId="3572" priority="2133" stopIfTrue="1" operator="equal">
      <formula>"3 - Green"</formula>
    </cfRule>
    <cfRule type="cellIs" dxfId="3571" priority="2134" stopIfTrue="1" operator="equal">
      <formula>"2 - Yellow"</formula>
    </cfRule>
    <cfRule type="cellIs" dxfId="3570" priority="2135" stopIfTrue="1" operator="equal">
      <formula>"1 - Red"</formula>
    </cfRule>
  </conditionalFormatting>
  <conditionalFormatting sqref="L3202">
    <cfRule type="cellIs" dxfId="3569" priority="2136" stopIfTrue="1" operator="equal">
      <formula>"1 - Hard Load"</formula>
    </cfRule>
    <cfRule type="cellIs" dxfId="3568" priority="2137" stopIfTrue="1" operator="equal">
      <formula>"3 - Not Loaded"</formula>
    </cfRule>
    <cfRule type="cellIs" dxfId="3567" priority="2138" stopIfTrue="1" operator="equal">
      <formula>"2 - Soft Load"</formula>
    </cfRule>
  </conditionalFormatting>
  <conditionalFormatting sqref="D3204">
    <cfRule type="cellIs" dxfId="3566" priority="2105" stopIfTrue="1" operator="equal">
      <formula>D1241</formula>
    </cfRule>
  </conditionalFormatting>
  <conditionalFormatting sqref="AO3203:AO3206 AS3203:AS3206">
    <cfRule type="cellIs" dxfId="3565" priority="2109" stopIfTrue="1" operator="equal">
      <formula>"OK"</formula>
    </cfRule>
    <cfRule type="cellIs" dxfId="3564" priority="2110" stopIfTrue="1" operator="equal">
      <formula>"Add"</formula>
    </cfRule>
  </conditionalFormatting>
  <conditionalFormatting sqref="J3203:J3206">
    <cfRule type="cellIs" dxfId="3563" priority="2111" stopIfTrue="1" operator="equal">
      <formula>"Lockdown"</formula>
    </cfRule>
    <cfRule type="cellIs" dxfId="3562" priority="2112" stopIfTrue="1" operator="equal">
      <formula>"OOM"</formula>
    </cfRule>
    <cfRule type="cellIs" dxfId="3561" priority="2113" stopIfTrue="1" operator="equal">
      <formula>"Placeholder"</formula>
    </cfRule>
  </conditionalFormatting>
  <conditionalFormatting sqref="T3203:AA3206">
    <cfRule type="cellIs" dxfId="3560" priority="2114" stopIfTrue="1" operator="equal">
      <formula>"Blue - Completed"</formula>
    </cfRule>
    <cfRule type="cellIs" dxfId="3559" priority="2115" stopIfTrue="1" operator="equal">
      <formula>"Green - Started on Sched"</formula>
    </cfRule>
    <cfRule type="cellIs" dxfId="3558" priority="2116" stopIfTrue="1" operator="between">
      <formula>"Q"</formula>
      <formula>"T"</formula>
    </cfRule>
  </conditionalFormatting>
  <conditionalFormatting sqref="G3203:G3206">
    <cfRule type="cellIs" dxfId="3557" priority="2108" stopIfTrue="1" operator="equal">
      <formula>"4 - Complete"</formula>
    </cfRule>
    <cfRule type="cellIs" dxfId="3556" priority="2117" stopIfTrue="1" operator="equal">
      <formula>"3 - Green"</formula>
    </cfRule>
    <cfRule type="cellIs" dxfId="3555" priority="2118" stopIfTrue="1" operator="equal">
      <formula>"2 - Yellow"</formula>
    </cfRule>
    <cfRule type="cellIs" dxfId="3554" priority="2119" stopIfTrue="1" operator="equal">
      <formula>"1 - Red"</formula>
    </cfRule>
  </conditionalFormatting>
  <conditionalFormatting sqref="L3203:L3206">
    <cfRule type="cellIs" dxfId="3553" priority="2120" stopIfTrue="1" operator="equal">
      <formula>"1 - Hard Load"</formula>
    </cfRule>
    <cfRule type="cellIs" dxfId="3552" priority="2121" stopIfTrue="1" operator="equal">
      <formula>"3 - Not Loaded"</formula>
    </cfRule>
    <cfRule type="cellIs" dxfId="3551" priority="2122" stopIfTrue="1" operator="equal">
      <formula>"2 - Soft Load"</formula>
    </cfRule>
  </conditionalFormatting>
  <conditionalFormatting sqref="D3202:D3206">
    <cfRule type="cellIs" dxfId="3550" priority="2123" stopIfTrue="1" operator="equal">
      <formula>D1236</formula>
    </cfRule>
  </conditionalFormatting>
  <conditionalFormatting sqref="D3203:D3206">
    <cfRule type="cellIs" dxfId="3549" priority="2107" stopIfTrue="1" operator="equal">
      <formula>D1240</formula>
    </cfRule>
  </conditionalFormatting>
  <conditionalFormatting sqref="D3203:D3206">
    <cfRule type="cellIs" dxfId="3548" priority="2106" stopIfTrue="1" operator="equal">
      <formula>D1240</formula>
    </cfRule>
  </conditionalFormatting>
  <conditionalFormatting sqref="D3206">
    <cfRule type="cellIs" dxfId="3547" priority="2104" stopIfTrue="1" operator="equal">
      <formula>D1243</formula>
    </cfRule>
  </conditionalFormatting>
  <conditionalFormatting sqref="AS60 AO60">
    <cfRule type="cellIs" dxfId="3546" priority="2090" stopIfTrue="1" operator="equal">
      <formula>"OK"</formula>
    </cfRule>
    <cfRule type="cellIs" dxfId="3545" priority="2091" stopIfTrue="1" operator="equal">
      <formula>"Add"</formula>
    </cfRule>
  </conditionalFormatting>
  <conditionalFormatting sqref="J60">
    <cfRule type="cellIs" dxfId="3544" priority="2092" stopIfTrue="1" operator="equal">
      <formula>"Lockdown"</formula>
    </cfRule>
    <cfRule type="cellIs" dxfId="3543" priority="2093" stopIfTrue="1" operator="equal">
      <formula>"OOM"</formula>
    </cfRule>
    <cfRule type="cellIs" dxfId="3542" priority="2094" stopIfTrue="1" operator="equal">
      <formula>"Placeholder"</formula>
    </cfRule>
  </conditionalFormatting>
  <conditionalFormatting sqref="T60:AA60">
    <cfRule type="cellIs" dxfId="3541" priority="2095" stopIfTrue="1" operator="equal">
      <formula>"Blue - Completed"</formula>
    </cfRule>
    <cfRule type="cellIs" dxfId="3540" priority="2096" stopIfTrue="1" operator="equal">
      <formula>"Green - Started on Sched"</formula>
    </cfRule>
    <cfRule type="cellIs" dxfId="3539" priority="2097" stopIfTrue="1" operator="between">
      <formula>"Q"</formula>
      <formula>"T"</formula>
    </cfRule>
  </conditionalFormatting>
  <conditionalFormatting sqref="G60">
    <cfRule type="cellIs" dxfId="3538" priority="2089" stopIfTrue="1" operator="equal">
      <formula>"4 - Complete"</formula>
    </cfRule>
    <cfRule type="cellIs" dxfId="3537" priority="2098" stopIfTrue="1" operator="equal">
      <formula>"3 - Green"</formula>
    </cfRule>
    <cfRule type="cellIs" dxfId="3536" priority="2099" stopIfTrue="1" operator="equal">
      <formula>"2 - Yellow"</formula>
    </cfRule>
    <cfRule type="cellIs" dxfId="3535" priority="2100" stopIfTrue="1" operator="equal">
      <formula>"1 - Red"</formula>
    </cfRule>
  </conditionalFormatting>
  <conditionalFormatting sqref="L60">
    <cfRule type="cellIs" dxfId="3534" priority="2101" stopIfTrue="1" operator="equal">
      <formula>"1 - Hard Load"</formula>
    </cfRule>
    <cfRule type="cellIs" dxfId="3533" priority="2102" stopIfTrue="1" operator="equal">
      <formula>"3 - Not Loaded"</formula>
    </cfRule>
    <cfRule type="cellIs" dxfId="3532" priority="2103" stopIfTrue="1" operator="equal">
      <formula>"2 - Soft Load"</formula>
    </cfRule>
  </conditionalFormatting>
  <conditionalFormatting sqref="AS59 AO59">
    <cfRule type="cellIs" dxfId="3531" priority="2073" stopIfTrue="1" operator="equal">
      <formula>"OK"</formula>
    </cfRule>
    <cfRule type="cellIs" dxfId="3530" priority="2074" stopIfTrue="1" operator="equal">
      <formula>"Add"</formula>
    </cfRule>
  </conditionalFormatting>
  <conditionalFormatting sqref="J59">
    <cfRule type="cellIs" dxfId="3529" priority="2075" stopIfTrue="1" operator="equal">
      <formula>"Lockdown"</formula>
    </cfRule>
    <cfRule type="cellIs" dxfId="3528" priority="2076" stopIfTrue="1" operator="equal">
      <formula>"OOM"</formula>
    </cfRule>
    <cfRule type="cellIs" dxfId="3527" priority="2077" stopIfTrue="1" operator="equal">
      <formula>"Placeholder"</formula>
    </cfRule>
  </conditionalFormatting>
  <conditionalFormatting sqref="T59:AA59">
    <cfRule type="cellIs" dxfId="3526" priority="2078" stopIfTrue="1" operator="equal">
      <formula>"Blue - Completed"</formula>
    </cfRule>
    <cfRule type="cellIs" dxfId="3525" priority="2079" stopIfTrue="1" operator="equal">
      <formula>"Green - Started on Sched"</formula>
    </cfRule>
    <cfRule type="cellIs" dxfId="3524" priority="2080" stopIfTrue="1" operator="between">
      <formula>"Q"</formula>
      <formula>"T"</formula>
    </cfRule>
  </conditionalFormatting>
  <conditionalFormatting sqref="G59">
    <cfRule type="cellIs" dxfId="3523" priority="2072" stopIfTrue="1" operator="equal">
      <formula>"4 - Complete"</formula>
    </cfRule>
    <cfRule type="cellIs" dxfId="3522" priority="2081" stopIfTrue="1" operator="equal">
      <formula>"3 - Green"</formula>
    </cfRule>
    <cfRule type="cellIs" dxfId="3521" priority="2082" stopIfTrue="1" operator="equal">
      <formula>"2 - Yellow"</formula>
    </cfRule>
    <cfRule type="cellIs" dxfId="3520" priority="2083" stopIfTrue="1" operator="equal">
      <formula>"1 - Red"</formula>
    </cfRule>
  </conditionalFormatting>
  <conditionalFormatting sqref="L59">
    <cfRule type="cellIs" dxfId="3519" priority="2084" stopIfTrue="1" operator="equal">
      <formula>"1 - Hard Load"</formula>
    </cfRule>
    <cfRule type="cellIs" dxfId="3518" priority="2085" stopIfTrue="1" operator="equal">
      <formula>"3 - Not Loaded"</formula>
    </cfRule>
    <cfRule type="cellIs" dxfId="3517" priority="2086" stopIfTrue="1" operator="equal">
      <formula>"2 - Soft Load"</formula>
    </cfRule>
  </conditionalFormatting>
  <conditionalFormatting sqref="AO65 AS65">
    <cfRule type="cellIs" dxfId="3516" priority="2056" stopIfTrue="1" operator="equal">
      <formula>"OK"</formula>
    </cfRule>
    <cfRule type="cellIs" dxfId="3515" priority="2057" stopIfTrue="1" operator="equal">
      <formula>"Add"</formula>
    </cfRule>
  </conditionalFormatting>
  <conditionalFormatting sqref="J65">
    <cfRule type="cellIs" dxfId="3514" priority="2058" stopIfTrue="1" operator="equal">
      <formula>"Lockdown"</formula>
    </cfRule>
    <cfRule type="cellIs" dxfId="3513" priority="2059" stopIfTrue="1" operator="equal">
      <formula>"OOM"</formula>
    </cfRule>
    <cfRule type="cellIs" dxfId="3512" priority="2060" stopIfTrue="1" operator="equal">
      <formula>"Placeholder"</formula>
    </cfRule>
  </conditionalFormatting>
  <conditionalFormatting sqref="T65:AA65">
    <cfRule type="cellIs" dxfId="3511" priority="2061" stopIfTrue="1" operator="equal">
      <formula>"Blue - Completed"</formula>
    </cfRule>
    <cfRule type="cellIs" dxfId="3510" priority="2062" stopIfTrue="1" operator="equal">
      <formula>"Green - Started on Sched"</formula>
    </cfRule>
    <cfRule type="cellIs" dxfId="3509" priority="2063" stopIfTrue="1" operator="between">
      <formula>"Q"</formula>
      <formula>"T"</formula>
    </cfRule>
  </conditionalFormatting>
  <conditionalFormatting sqref="G65">
    <cfRule type="cellIs" dxfId="3508" priority="2054" stopIfTrue="1" operator="equal">
      <formula>"4 - Complete"</formula>
    </cfRule>
    <cfRule type="cellIs" dxfId="3507" priority="2064" stopIfTrue="1" operator="equal">
      <formula>"3 - Green"</formula>
    </cfRule>
    <cfRule type="cellIs" dxfId="3506" priority="2065" stopIfTrue="1" operator="equal">
      <formula>"2 - Yellow"</formula>
    </cfRule>
    <cfRule type="cellIs" dxfId="3505" priority="2066" stopIfTrue="1" operator="equal">
      <formula>"1 - Red"</formula>
    </cfRule>
  </conditionalFormatting>
  <conditionalFormatting sqref="L65">
    <cfRule type="cellIs" dxfId="3504" priority="2067" stopIfTrue="1" operator="equal">
      <formula>"1 - Hard Load"</formula>
    </cfRule>
    <cfRule type="cellIs" dxfId="3503" priority="2068" stopIfTrue="1" operator="equal">
      <formula>"3 - Not Loaded"</formula>
    </cfRule>
    <cfRule type="cellIs" dxfId="3502" priority="2069" stopIfTrue="1" operator="equal">
      <formula>"2 - Soft Load"</formula>
    </cfRule>
  </conditionalFormatting>
  <conditionalFormatting sqref="D243">
    <cfRule type="cellIs" dxfId="3501" priority="10618" stopIfTrue="1" operator="equal">
      <formula>#REF!</formula>
    </cfRule>
  </conditionalFormatting>
  <conditionalFormatting sqref="AS154 AO154">
    <cfRule type="cellIs" dxfId="3500" priority="2039" stopIfTrue="1" operator="equal">
      <formula>"OK"</formula>
    </cfRule>
    <cfRule type="cellIs" dxfId="3499" priority="2040" stopIfTrue="1" operator="equal">
      <formula>"Add"</formula>
    </cfRule>
  </conditionalFormatting>
  <conditionalFormatting sqref="J154">
    <cfRule type="cellIs" dxfId="3498" priority="2041" stopIfTrue="1" operator="equal">
      <formula>"Lockdown"</formula>
    </cfRule>
    <cfRule type="cellIs" dxfId="3497" priority="2042" stopIfTrue="1" operator="equal">
      <formula>"OOM"</formula>
    </cfRule>
    <cfRule type="cellIs" dxfId="3496" priority="2043" stopIfTrue="1" operator="equal">
      <formula>"Placeholder"</formula>
    </cfRule>
  </conditionalFormatting>
  <conditionalFormatting sqref="T154:AA154">
    <cfRule type="cellIs" dxfId="3495" priority="2044" stopIfTrue="1" operator="equal">
      <formula>"Blue - Completed"</formula>
    </cfRule>
    <cfRule type="cellIs" dxfId="3494" priority="2045" stopIfTrue="1" operator="equal">
      <formula>"Green - Started on Sched"</formula>
    </cfRule>
    <cfRule type="cellIs" dxfId="3493" priority="2046" stopIfTrue="1" operator="between">
      <formula>"Q"</formula>
      <formula>"T"</formula>
    </cfRule>
  </conditionalFormatting>
  <conditionalFormatting sqref="G154">
    <cfRule type="cellIs" dxfId="3492" priority="2038" stopIfTrue="1" operator="equal">
      <formula>"4 - Complete"</formula>
    </cfRule>
    <cfRule type="cellIs" dxfId="3491" priority="2047" stopIfTrue="1" operator="equal">
      <formula>"3 - Green"</formula>
    </cfRule>
    <cfRule type="cellIs" dxfId="3490" priority="2048" stopIfTrue="1" operator="equal">
      <formula>"2 - Yellow"</formula>
    </cfRule>
    <cfRule type="cellIs" dxfId="3489" priority="2049" stopIfTrue="1" operator="equal">
      <formula>"1 - Red"</formula>
    </cfRule>
  </conditionalFormatting>
  <conditionalFormatting sqref="L154">
    <cfRule type="cellIs" dxfId="3488" priority="2050" stopIfTrue="1" operator="equal">
      <formula>"1 - Hard Load"</formula>
    </cfRule>
    <cfRule type="cellIs" dxfId="3487" priority="2051" stopIfTrue="1" operator="equal">
      <formula>"3 - Not Loaded"</formula>
    </cfRule>
    <cfRule type="cellIs" dxfId="3486" priority="2052" stopIfTrue="1" operator="equal">
      <formula>"2 - Soft Load"</formula>
    </cfRule>
  </conditionalFormatting>
  <conditionalFormatting sqref="D1683">
    <cfRule type="cellIs" dxfId="3485" priority="10620" stopIfTrue="1" operator="equal">
      <formula>D611</formula>
    </cfRule>
  </conditionalFormatting>
  <conditionalFormatting sqref="AO1682 AS1682">
    <cfRule type="cellIs" dxfId="3484" priority="2022" stopIfTrue="1" operator="equal">
      <formula>"OK"</formula>
    </cfRule>
    <cfRule type="cellIs" dxfId="3483" priority="2023" stopIfTrue="1" operator="equal">
      <formula>"Add"</formula>
    </cfRule>
  </conditionalFormatting>
  <conditionalFormatting sqref="J1682">
    <cfRule type="cellIs" dxfId="3482" priority="2024" stopIfTrue="1" operator="equal">
      <formula>"Lockdown"</formula>
    </cfRule>
    <cfRule type="cellIs" dxfId="3481" priority="2025" stopIfTrue="1" operator="equal">
      <formula>"OOM"</formula>
    </cfRule>
    <cfRule type="cellIs" dxfId="3480" priority="2026" stopIfTrue="1" operator="equal">
      <formula>"Placeholder"</formula>
    </cfRule>
  </conditionalFormatting>
  <conditionalFormatting sqref="T1682:AA1682">
    <cfRule type="cellIs" dxfId="3479" priority="2027" stopIfTrue="1" operator="equal">
      <formula>"Blue - Completed"</formula>
    </cfRule>
    <cfRule type="cellIs" dxfId="3478" priority="2028" stopIfTrue="1" operator="equal">
      <formula>"Green - Started on Sched"</formula>
    </cfRule>
    <cfRule type="cellIs" dxfId="3477" priority="2029" stopIfTrue="1" operator="between">
      <formula>"Q"</formula>
      <formula>"T"</formula>
    </cfRule>
  </conditionalFormatting>
  <conditionalFormatting sqref="G1682">
    <cfRule type="cellIs" dxfId="3476" priority="2021" stopIfTrue="1" operator="equal">
      <formula>"4 - Complete"</formula>
    </cfRule>
    <cfRule type="cellIs" dxfId="3475" priority="2030" stopIfTrue="1" operator="equal">
      <formula>"3 - Green"</formula>
    </cfRule>
    <cfRule type="cellIs" dxfId="3474" priority="2031" stopIfTrue="1" operator="equal">
      <formula>"2 - Yellow"</formula>
    </cfRule>
    <cfRule type="cellIs" dxfId="3473" priority="2032" stopIfTrue="1" operator="equal">
      <formula>"1 - Red"</formula>
    </cfRule>
  </conditionalFormatting>
  <conditionalFormatting sqref="L1682">
    <cfRule type="cellIs" dxfId="3472" priority="2033" stopIfTrue="1" operator="equal">
      <formula>"1 - Hard Load"</formula>
    </cfRule>
    <cfRule type="cellIs" dxfId="3471" priority="2034" stopIfTrue="1" operator="equal">
      <formula>"3 - Not Loaded"</formula>
    </cfRule>
    <cfRule type="cellIs" dxfId="3470" priority="2035" stopIfTrue="1" operator="equal">
      <formula>"2 - Soft Load"</formula>
    </cfRule>
  </conditionalFormatting>
  <conditionalFormatting sqref="D1682">
    <cfRule type="cellIs" dxfId="3469" priority="2036" stopIfTrue="1" operator="equal">
      <formula>D610</formula>
    </cfRule>
  </conditionalFormatting>
  <conditionalFormatting sqref="D240 D235">
    <cfRule type="cellIs" dxfId="3468" priority="10632" stopIfTrue="1" operator="equal">
      <formula>D113</formula>
    </cfRule>
  </conditionalFormatting>
  <conditionalFormatting sqref="AO121 AS121">
    <cfRule type="cellIs" dxfId="3467" priority="2007" stopIfTrue="1" operator="equal">
      <formula>"OK"</formula>
    </cfRule>
    <cfRule type="cellIs" dxfId="3466" priority="2008" stopIfTrue="1" operator="equal">
      <formula>"Add"</formula>
    </cfRule>
  </conditionalFormatting>
  <conditionalFormatting sqref="J121">
    <cfRule type="cellIs" dxfId="3465" priority="2009" stopIfTrue="1" operator="equal">
      <formula>"Lockdown"</formula>
    </cfRule>
    <cfRule type="cellIs" dxfId="3464" priority="2010" stopIfTrue="1" operator="equal">
      <formula>"OOM"</formula>
    </cfRule>
    <cfRule type="cellIs" dxfId="3463" priority="2011" stopIfTrue="1" operator="equal">
      <formula>"Placeholder"</formula>
    </cfRule>
  </conditionalFormatting>
  <conditionalFormatting sqref="T121:AA121">
    <cfRule type="cellIs" dxfId="3462" priority="2012" stopIfTrue="1" operator="equal">
      <formula>"Blue - Completed"</formula>
    </cfRule>
    <cfRule type="cellIs" dxfId="3461" priority="2013" stopIfTrue="1" operator="equal">
      <formula>"Green - Started on Sched"</formula>
    </cfRule>
    <cfRule type="cellIs" dxfId="3460" priority="2014" stopIfTrue="1" operator="between">
      <formula>"Q"</formula>
      <formula>"T"</formula>
    </cfRule>
  </conditionalFormatting>
  <conditionalFormatting sqref="G121">
    <cfRule type="cellIs" dxfId="3459" priority="2006" stopIfTrue="1" operator="equal">
      <formula>"4 - Complete"</formula>
    </cfRule>
    <cfRule type="cellIs" dxfId="3458" priority="2015" stopIfTrue="1" operator="equal">
      <formula>"3 - Green"</formula>
    </cfRule>
    <cfRule type="cellIs" dxfId="3457" priority="2016" stopIfTrue="1" operator="equal">
      <formula>"2 - Yellow"</formula>
    </cfRule>
    <cfRule type="cellIs" dxfId="3456" priority="2017" stopIfTrue="1" operator="equal">
      <formula>"1 - Red"</formula>
    </cfRule>
  </conditionalFormatting>
  <conditionalFormatting sqref="L121">
    <cfRule type="cellIs" dxfId="3455" priority="2018" stopIfTrue="1" operator="equal">
      <formula>"1 - Hard Load"</formula>
    </cfRule>
    <cfRule type="cellIs" dxfId="3454" priority="2019" stopIfTrue="1" operator="equal">
      <formula>"3 - Not Loaded"</formula>
    </cfRule>
    <cfRule type="cellIs" dxfId="3453" priority="2020" stopIfTrue="1" operator="equal">
      <formula>"2 - Soft Load"</formula>
    </cfRule>
  </conditionalFormatting>
  <conditionalFormatting sqref="AO3207 AS3207">
    <cfRule type="cellIs" dxfId="3452" priority="1989" stopIfTrue="1" operator="equal">
      <formula>"OK"</formula>
    </cfRule>
    <cfRule type="cellIs" dxfId="3451" priority="1990" stopIfTrue="1" operator="equal">
      <formula>"Add"</formula>
    </cfRule>
  </conditionalFormatting>
  <conditionalFormatting sqref="J3207">
    <cfRule type="cellIs" dxfId="3450" priority="1991" stopIfTrue="1" operator="equal">
      <formula>"Lockdown"</formula>
    </cfRule>
    <cfRule type="cellIs" dxfId="3449" priority="1992" stopIfTrue="1" operator="equal">
      <formula>"OOM"</formula>
    </cfRule>
    <cfRule type="cellIs" dxfId="3448" priority="1993" stopIfTrue="1" operator="equal">
      <formula>"Placeholder"</formula>
    </cfRule>
  </conditionalFormatting>
  <conditionalFormatting sqref="T3207:AA3207">
    <cfRule type="cellIs" dxfId="3447" priority="1994" stopIfTrue="1" operator="equal">
      <formula>"Blue - Completed"</formula>
    </cfRule>
    <cfRule type="cellIs" dxfId="3446" priority="1995" stopIfTrue="1" operator="equal">
      <formula>"Green - Started on Sched"</formula>
    </cfRule>
    <cfRule type="cellIs" dxfId="3445" priority="1996" stopIfTrue="1" operator="between">
      <formula>"Q"</formula>
      <formula>"T"</formula>
    </cfRule>
  </conditionalFormatting>
  <conditionalFormatting sqref="G3207">
    <cfRule type="cellIs" dxfId="3444" priority="1988" stopIfTrue="1" operator="equal">
      <formula>"4 - Complete"</formula>
    </cfRule>
    <cfRule type="cellIs" dxfId="3443" priority="1997" stopIfTrue="1" operator="equal">
      <formula>"3 - Green"</formula>
    </cfRule>
    <cfRule type="cellIs" dxfId="3442" priority="1998" stopIfTrue="1" operator="equal">
      <formula>"2 - Yellow"</formula>
    </cfRule>
    <cfRule type="cellIs" dxfId="3441" priority="1999" stopIfTrue="1" operator="equal">
      <formula>"1 - Red"</formula>
    </cfRule>
  </conditionalFormatting>
  <conditionalFormatting sqref="L3207">
    <cfRule type="cellIs" dxfId="3440" priority="2000" stopIfTrue="1" operator="equal">
      <formula>"1 - Hard Load"</formula>
    </cfRule>
    <cfRule type="cellIs" dxfId="3439" priority="2001" stopIfTrue="1" operator="equal">
      <formula>"3 - Not Loaded"</formula>
    </cfRule>
    <cfRule type="cellIs" dxfId="3438" priority="2002" stopIfTrue="1" operator="equal">
      <formula>"2 - Soft Load"</formula>
    </cfRule>
  </conditionalFormatting>
  <conditionalFormatting sqref="D3207">
    <cfRule type="cellIs" dxfId="3437" priority="2003" stopIfTrue="1" operator="equal">
      <formula>D1241</formula>
    </cfRule>
  </conditionalFormatting>
  <conditionalFormatting sqref="D3207">
    <cfRule type="cellIs" dxfId="3436" priority="1987" stopIfTrue="1" operator="equal">
      <formula>D1244</formula>
    </cfRule>
  </conditionalFormatting>
  <conditionalFormatting sqref="D3207">
    <cfRule type="cellIs" dxfId="3435" priority="1986" stopIfTrue="1" operator="equal">
      <formula>D1244</formula>
    </cfRule>
  </conditionalFormatting>
  <conditionalFormatting sqref="D3207">
    <cfRule type="cellIs" dxfId="3434" priority="1985" stopIfTrue="1" operator="equal">
      <formula>D1244</formula>
    </cfRule>
  </conditionalFormatting>
  <conditionalFormatting sqref="D3208">
    <cfRule type="cellIs" dxfId="3433" priority="1984" stopIfTrue="1" operator="equal">
      <formula>D1245</formula>
    </cfRule>
  </conditionalFormatting>
  <conditionalFormatting sqref="AS3208 AO3208">
    <cfRule type="cellIs" dxfId="3432" priority="1970" stopIfTrue="1" operator="equal">
      <formula>"OK"</formula>
    </cfRule>
    <cfRule type="cellIs" dxfId="3431" priority="1971" stopIfTrue="1" operator="equal">
      <formula>"Add"</formula>
    </cfRule>
  </conditionalFormatting>
  <conditionalFormatting sqref="J3208">
    <cfRule type="cellIs" dxfId="3430" priority="1972" stopIfTrue="1" operator="equal">
      <formula>"Lockdown"</formula>
    </cfRule>
    <cfRule type="cellIs" dxfId="3429" priority="1973" stopIfTrue="1" operator="equal">
      <formula>"OOM"</formula>
    </cfRule>
    <cfRule type="cellIs" dxfId="3428" priority="1974" stopIfTrue="1" operator="equal">
      <formula>"Placeholder"</formula>
    </cfRule>
  </conditionalFormatting>
  <conditionalFormatting sqref="T3208:AA3208">
    <cfRule type="cellIs" dxfId="3427" priority="1975" stopIfTrue="1" operator="equal">
      <formula>"Blue - Completed"</formula>
    </cfRule>
    <cfRule type="cellIs" dxfId="3426" priority="1976" stopIfTrue="1" operator="equal">
      <formula>"Green - Started on Sched"</formula>
    </cfRule>
    <cfRule type="cellIs" dxfId="3425" priority="1977" stopIfTrue="1" operator="between">
      <formula>"Q"</formula>
      <formula>"T"</formula>
    </cfRule>
  </conditionalFormatting>
  <conditionalFormatting sqref="G3208">
    <cfRule type="cellIs" dxfId="3424" priority="1969" stopIfTrue="1" operator="equal">
      <formula>"4 - Complete"</formula>
    </cfRule>
    <cfRule type="cellIs" dxfId="3423" priority="1978" stopIfTrue="1" operator="equal">
      <formula>"3 - Green"</formula>
    </cfRule>
    <cfRule type="cellIs" dxfId="3422" priority="1979" stopIfTrue="1" operator="equal">
      <formula>"2 - Yellow"</formula>
    </cfRule>
    <cfRule type="cellIs" dxfId="3421" priority="1980" stopIfTrue="1" operator="equal">
      <formula>"1 - Red"</formula>
    </cfRule>
  </conditionalFormatting>
  <conditionalFormatting sqref="L3208">
    <cfRule type="cellIs" dxfId="3420" priority="1981" stopIfTrue="1" operator="equal">
      <formula>"1 - Hard Load"</formula>
    </cfRule>
    <cfRule type="cellIs" dxfId="3419" priority="1982" stopIfTrue="1" operator="equal">
      <formula>"3 - Not Loaded"</formula>
    </cfRule>
    <cfRule type="cellIs" dxfId="3418" priority="1983" stopIfTrue="1" operator="equal">
      <formula>"2 - Soft Load"</formula>
    </cfRule>
  </conditionalFormatting>
  <conditionalFormatting sqref="D3210">
    <cfRule type="cellIs" dxfId="3417" priority="1950" stopIfTrue="1" operator="equal">
      <formula>D1247</formula>
    </cfRule>
  </conditionalFormatting>
  <conditionalFormatting sqref="AO3209:AO3212 AS3209:AS3212">
    <cfRule type="cellIs" dxfId="3416" priority="1954" stopIfTrue="1" operator="equal">
      <formula>"OK"</formula>
    </cfRule>
    <cfRule type="cellIs" dxfId="3415" priority="1955" stopIfTrue="1" operator="equal">
      <formula>"Add"</formula>
    </cfRule>
  </conditionalFormatting>
  <conditionalFormatting sqref="J3209:J3212">
    <cfRule type="cellIs" dxfId="3414" priority="1956" stopIfTrue="1" operator="equal">
      <formula>"Lockdown"</formula>
    </cfRule>
    <cfRule type="cellIs" dxfId="3413" priority="1957" stopIfTrue="1" operator="equal">
      <formula>"OOM"</formula>
    </cfRule>
    <cfRule type="cellIs" dxfId="3412" priority="1958" stopIfTrue="1" operator="equal">
      <formula>"Placeholder"</formula>
    </cfRule>
  </conditionalFormatting>
  <conditionalFormatting sqref="T3209:AA3212">
    <cfRule type="cellIs" dxfId="3411" priority="1959" stopIfTrue="1" operator="equal">
      <formula>"Blue - Completed"</formula>
    </cfRule>
    <cfRule type="cellIs" dxfId="3410" priority="1960" stopIfTrue="1" operator="equal">
      <formula>"Green - Started on Sched"</formula>
    </cfRule>
    <cfRule type="cellIs" dxfId="3409" priority="1961" stopIfTrue="1" operator="between">
      <formula>"Q"</formula>
      <formula>"T"</formula>
    </cfRule>
  </conditionalFormatting>
  <conditionalFormatting sqref="G3209:G3212">
    <cfRule type="cellIs" dxfId="3408" priority="1953" stopIfTrue="1" operator="equal">
      <formula>"4 - Complete"</formula>
    </cfRule>
    <cfRule type="cellIs" dxfId="3407" priority="1962" stopIfTrue="1" operator="equal">
      <formula>"3 - Green"</formula>
    </cfRule>
    <cfRule type="cellIs" dxfId="3406" priority="1963" stopIfTrue="1" operator="equal">
      <formula>"2 - Yellow"</formula>
    </cfRule>
    <cfRule type="cellIs" dxfId="3405" priority="1964" stopIfTrue="1" operator="equal">
      <formula>"1 - Red"</formula>
    </cfRule>
  </conditionalFormatting>
  <conditionalFormatting sqref="L3209:L3212">
    <cfRule type="cellIs" dxfId="3404" priority="1965" stopIfTrue="1" operator="equal">
      <formula>"1 - Hard Load"</formula>
    </cfRule>
    <cfRule type="cellIs" dxfId="3403" priority="1966" stopIfTrue="1" operator="equal">
      <formula>"3 - Not Loaded"</formula>
    </cfRule>
    <cfRule type="cellIs" dxfId="3402" priority="1967" stopIfTrue="1" operator="equal">
      <formula>"2 - Soft Load"</formula>
    </cfRule>
  </conditionalFormatting>
  <conditionalFormatting sqref="D3208:D3212">
    <cfRule type="cellIs" dxfId="3401" priority="1968" stopIfTrue="1" operator="equal">
      <formula>D1242</formula>
    </cfRule>
  </conditionalFormatting>
  <conditionalFormatting sqref="D3209:D3212">
    <cfRule type="cellIs" dxfId="3400" priority="1952" stopIfTrue="1" operator="equal">
      <formula>D1246</formula>
    </cfRule>
  </conditionalFormatting>
  <conditionalFormatting sqref="D3209:D3212">
    <cfRule type="cellIs" dxfId="3399" priority="1951" stopIfTrue="1" operator="equal">
      <formula>D1246</formula>
    </cfRule>
  </conditionalFormatting>
  <conditionalFormatting sqref="D3212">
    <cfRule type="cellIs" dxfId="3398" priority="1949" stopIfTrue="1" operator="equal">
      <formula>D1249</formula>
    </cfRule>
  </conditionalFormatting>
  <conditionalFormatting sqref="D3213">
    <cfRule type="cellIs" dxfId="3397" priority="1948" stopIfTrue="1" operator="equal">
      <formula>D1250</formula>
    </cfRule>
  </conditionalFormatting>
  <conditionalFormatting sqref="AS3213 AO3213">
    <cfRule type="cellIs" dxfId="3396" priority="1934" stopIfTrue="1" operator="equal">
      <formula>"OK"</formula>
    </cfRule>
    <cfRule type="cellIs" dxfId="3395" priority="1935" stopIfTrue="1" operator="equal">
      <formula>"Add"</formula>
    </cfRule>
  </conditionalFormatting>
  <conditionalFormatting sqref="J3213">
    <cfRule type="cellIs" dxfId="3394" priority="1936" stopIfTrue="1" operator="equal">
      <formula>"Lockdown"</formula>
    </cfRule>
    <cfRule type="cellIs" dxfId="3393" priority="1937" stopIfTrue="1" operator="equal">
      <formula>"OOM"</formula>
    </cfRule>
    <cfRule type="cellIs" dxfId="3392" priority="1938" stopIfTrue="1" operator="equal">
      <formula>"Placeholder"</formula>
    </cfRule>
  </conditionalFormatting>
  <conditionalFormatting sqref="T3213:AA3213">
    <cfRule type="cellIs" dxfId="3391" priority="1939" stopIfTrue="1" operator="equal">
      <formula>"Blue - Completed"</formula>
    </cfRule>
    <cfRule type="cellIs" dxfId="3390" priority="1940" stopIfTrue="1" operator="equal">
      <formula>"Green - Started on Sched"</formula>
    </cfRule>
    <cfRule type="cellIs" dxfId="3389" priority="1941" stopIfTrue="1" operator="between">
      <formula>"Q"</formula>
      <formula>"T"</formula>
    </cfRule>
  </conditionalFormatting>
  <conditionalFormatting sqref="G3213">
    <cfRule type="cellIs" dxfId="3388" priority="1933" stopIfTrue="1" operator="equal">
      <formula>"4 - Complete"</formula>
    </cfRule>
    <cfRule type="cellIs" dxfId="3387" priority="1942" stopIfTrue="1" operator="equal">
      <formula>"3 - Green"</formula>
    </cfRule>
    <cfRule type="cellIs" dxfId="3386" priority="1943" stopIfTrue="1" operator="equal">
      <formula>"2 - Yellow"</formula>
    </cfRule>
    <cfRule type="cellIs" dxfId="3385" priority="1944" stopIfTrue="1" operator="equal">
      <formula>"1 - Red"</formula>
    </cfRule>
  </conditionalFormatting>
  <conditionalFormatting sqref="L3213">
    <cfRule type="cellIs" dxfId="3384" priority="1945" stopIfTrue="1" operator="equal">
      <formula>"1 - Hard Load"</formula>
    </cfRule>
    <cfRule type="cellIs" dxfId="3383" priority="1946" stopIfTrue="1" operator="equal">
      <formula>"3 - Not Loaded"</formula>
    </cfRule>
    <cfRule type="cellIs" dxfId="3382" priority="1947" stopIfTrue="1" operator="equal">
      <formula>"2 - Soft Load"</formula>
    </cfRule>
  </conditionalFormatting>
  <conditionalFormatting sqref="D3215">
    <cfRule type="cellIs" dxfId="3381" priority="1914" stopIfTrue="1" operator="equal">
      <formula>D1252</formula>
    </cfRule>
  </conditionalFormatting>
  <conditionalFormatting sqref="AO3214:AO3217 AS3214:AS3217">
    <cfRule type="cellIs" dxfId="3380" priority="1918" stopIfTrue="1" operator="equal">
      <formula>"OK"</formula>
    </cfRule>
    <cfRule type="cellIs" dxfId="3379" priority="1919" stopIfTrue="1" operator="equal">
      <formula>"Add"</formula>
    </cfRule>
  </conditionalFormatting>
  <conditionalFormatting sqref="J3214:J3217">
    <cfRule type="cellIs" dxfId="3378" priority="1920" stopIfTrue="1" operator="equal">
      <formula>"Lockdown"</formula>
    </cfRule>
    <cfRule type="cellIs" dxfId="3377" priority="1921" stopIfTrue="1" operator="equal">
      <formula>"OOM"</formula>
    </cfRule>
    <cfRule type="cellIs" dxfId="3376" priority="1922" stopIfTrue="1" operator="equal">
      <formula>"Placeholder"</formula>
    </cfRule>
  </conditionalFormatting>
  <conditionalFormatting sqref="T3214:AA3217">
    <cfRule type="cellIs" dxfId="3375" priority="1923" stopIfTrue="1" operator="equal">
      <formula>"Blue - Completed"</formula>
    </cfRule>
    <cfRule type="cellIs" dxfId="3374" priority="1924" stopIfTrue="1" operator="equal">
      <formula>"Green - Started on Sched"</formula>
    </cfRule>
    <cfRule type="cellIs" dxfId="3373" priority="1925" stopIfTrue="1" operator="between">
      <formula>"Q"</formula>
      <formula>"T"</formula>
    </cfRule>
  </conditionalFormatting>
  <conditionalFormatting sqref="G3214:G3217">
    <cfRule type="cellIs" dxfId="3372" priority="1917" stopIfTrue="1" operator="equal">
      <formula>"4 - Complete"</formula>
    </cfRule>
    <cfRule type="cellIs" dxfId="3371" priority="1926" stopIfTrue="1" operator="equal">
      <formula>"3 - Green"</formula>
    </cfRule>
    <cfRule type="cellIs" dxfId="3370" priority="1927" stopIfTrue="1" operator="equal">
      <formula>"2 - Yellow"</formula>
    </cfRule>
    <cfRule type="cellIs" dxfId="3369" priority="1928" stopIfTrue="1" operator="equal">
      <formula>"1 - Red"</formula>
    </cfRule>
  </conditionalFormatting>
  <conditionalFormatting sqref="L3214:L3217">
    <cfRule type="cellIs" dxfId="3368" priority="1929" stopIfTrue="1" operator="equal">
      <formula>"1 - Hard Load"</formula>
    </cfRule>
    <cfRule type="cellIs" dxfId="3367" priority="1930" stopIfTrue="1" operator="equal">
      <formula>"3 - Not Loaded"</formula>
    </cfRule>
    <cfRule type="cellIs" dxfId="3366" priority="1931" stopIfTrue="1" operator="equal">
      <formula>"2 - Soft Load"</formula>
    </cfRule>
  </conditionalFormatting>
  <conditionalFormatting sqref="D3213:D3217">
    <cfRule type="cellIs" dxfId="3365" priority="1932" stopIfTrue="1" operator="equal">
      <formula>D1247</formula>
    </cfRule>
  </conditionalFormatting>
  <conditionalFormatting sqref="D3214:D3217">
    <cfRule type="cellIs" dxfId="3364" priority="1916" stopIfTrue="1" operator="equal">
      <formula>D1251</formula>
    </cfRule>
  </conditionalFormatting>
  <conditionalFormatting sqref="D3214:D3217">
    <cfRule type="cellIs" dxfId="3363" priority="1915" stopIfTrue="1" operator="equal">
      <formula>D1251</formula>
    </cfRule>
  </conditionalFormatting>
  <conditionalFormatting sqref="D3217">
    <cfRule type="cellIs" dxfId="3362" priority="1913" stopIfTrue="1" operator="equal">
      <formula>D1254</formula>
    </cfRule>
  </conditionalFormatting>
  <conditionalFormatting sqref="AO3218:AO3219 AS3218:AS3219">
    <cfRule type="cellIs" dxfId="3361" priority="1898" stopIfTrue="1" operator="equal">
      <formula>"OK"</formula>
    </cfRule>
    <cfRule type="cellIs" dxfId="3360" priority="1899" stopIfTrue="1" operator="equal">
      <formula>"Add"</formula>
    </cfRule>
  </conditionalFormatting>
  <conditionalFormatting sqref="J3218:J3219">
    <cfRule type="cellIs" dxfId="3359" priority="1900" stopIfTrue="1" operator="equal">
      <formula>"Lockdown"</formula>
    </cfRule>
    <cfRule type="cellIs" dxfId="3358" priority="1901" stopIfTrue="1" operator="equal">
      <formula>"OOM"</formula>
    </cfRule>
    <cfRule type="cellIs" dxfId="3357" priority="1902" stopIfTrue="1" operator="equal">
      <formula>"Placeholder"</formula>
    </cfRule>
  </conditionalFormatting>
  <conditionalFormatting sqref="T3218:AA3219">
    <cfRule type="cellIs" dxfId="3356" priority="1903" stopIfTrue="1" operator="equal">
      <formula>"Blue - Completed"</formula>
    </cfRule>
    <cfRule type="cellIs" dxfId="3355" priority="1904" stopIfTrue="1" operator="equal">
      <formula>"Green - Started on Sched"</formula>
    </cfRule>
    <cfRule type="cellIs" dxfId="3354" priority="1905" stopIfTrue="1" operator="between">
      <formula>"Q"</formula>
      <formula>"T"</formula>
    </cfRule>
  </conditionalFormatting>
  <conditionalFormatting sqref="G3218:G3219">
    <cfRule type="cellIs" dxfId="3353" priority="1897" stopIfTrue="1" operator="equal">
      <formula>"4 - Complete"</formula>
    </cfRule>
    <cfRule type="cellIs" dxfId="3352" priority="1906" stopIfTrue="1" operator="equal">
      <formula>"3 - Green"</formula>
    </cfRule>
    <cfRule type="cellIs" dxfId="3351" priority="1907" stopIfTrue="1" operator="equal">
      <formula>"2 - Yellow"</formula>
    </cfRule>
    <cfRule type="cellIs" dxfId="3350" priority="1908" stopIfTrue="1" operator="equal">
      <formula>"1 - Red"</formula>
    </cfRule>
  </conditionalFormatting>
  <conditionalFormatting sqref="L3218:L3219">
    <cfRule type="cellIs" dxfId="3349" priority="1909" stopIfTrue="1" operator="equal">
      <formula>"1 - Hard Load"</formula>
    </cfRule>
    <cfRule type="cellIs" dxfId="3348" priority="1910" stopIfTrue="1" operator="equal">
      <formula>"3 - Not Loaded"</formula>
    </cfRule>
    <cfRule type="cellIs" dxfId="3347" priority="1911" stopIfTrue="1" operator="equal">
      <formula>"2 - Soft Load"</formula>
    </cfRule>
  </conditionalFormatting>
  <conditionalFormatting sqref="D3218:D3219">
    <cfRule type="cellIs" dxfId="3346" priority="1912" stopIfTrue="1" operator="equal">
      <formula>D1252</formula>
    </cfRule>
  </conditionalFormatting>
  <conditionalFormatting sqref="D3218:D3219">
    <cfRule type="cellIs" dxfId="3345" priority="1896" stopIfTrue="1" operator="equal">
      <formula>D1255</formula>
    </cfRule>
  </conditionalFormatting>
  <conditionalFormatting sqref="D3218:D3219">
    <cfRule type="cellIs" dxfId="3344" priority="1895" stopIfTrue="1" operator="equal">
      <formula>D1255</formula>
    </cfRule>
  </conditionalFormatting>
  <conditionalFormatting sqref="D3219">
    <cfRule type="cellIs" dxfId="3343" priority="1894" stopIfTrue="1" operator="equal">
      <formula>D1256</formula>
    </cfRule>
  </conditionalFormatting>
  <conditionalFormatting sqref="D3220">
    <cfRule type="cellIs" dxfId="3342" priority="1893" stopIfTrue="1" operator="equal">
      <formula>D1257</formula>
    </cfRule>
  </conditionalFormatting>
  <conditionalFormatting sqref="AS3220 AO3220">
    <cfRule type="cellIs" dxfId="3341" priority="1879" stopIfTrue="1" operator="equal">
      <formula>"OK"</formula>
    </cfRule>
    <cfRule type="cellIs" dxfId="3340" priority="1880" stopIfTrue="1" operator="equal">
      <formula>"Add"</formula>
    </cfRule>
  </conditionalFormatting>
  <conditionalFormatting sqref="J3220">
    <cfRule type="cellIs" dxfId="3339" priority="1881" stopIfTrue="1" operator="equal">
      <formula>"Lockdown"</formula>
    </cfRule>
    <cfRule type="cellIs" dxfId="3338" priority="1882" stopIfTrue="1" operator="equal">
      <formula>"OOM"</formula>
    </cfRule>
    <cfRule type="cellIs" dxfId="3337" priority="1883" stopIfTrue="1" operator="equal">
      <formula>"Placeholder"</formula>
    </cfRule>
  </conditionalFormatting>
  <conditionalFormatting sqref="T3220:AA3220">
    <cfRule type="cellIs" dxfId="3336" priority="1884" stopIfTrue="1" operator="equal">
      <formula>"Blue - Completed"</formula>
    </cfRule>
    <cfRule type="cellIs" dxfId="3335" priority="1885" stopIfTrue="1" operator="equal">
      <formula>"Green - Started on Sched"</formula>
    </cfRule>
    <cfRule type="cellIs" dxfId="3334" priority="1886" stopIfTrue="1" operator="between">
      <formula>"Q"</formula>
      <formula>"T"</formula>
    </cfRule>
  </conditionalFormatting>
  <conditionalFormatting sqref="G3220">
    <cfRule type="cellIs" dxfId="3333" priority="1878" stopIfTrue="1" operator="equal">
      <formula>"4 - Complete"</formula>
    </cfRule>
    <cfRule type="cellIs" dxfId="3332" priority="1887" stopIfTrue="1" operator="equal">
      <formula>"3 - Green"</formula>
    </cfRule>
    <cfRule type="cellIs" dxfId="3331" priority="1888" stopIfTrue="1" operator="equal">
      <formula>"2 - Yellow"</formula>
    </cfRule>
    <cfRule type="cellIs" dxfId="3330" priority="1889" stopIfTrue="1" operator="equal">
      <formula>"1 - Red"</formula>
    </cfRule>
  </conditionalFormatting>
  <conditionalFormatting sqref="L3220">
    <cfRule type="cellIs" dxfId="3329" priority="1890" stopIfTrue="1" operator="equal">
      <formula>"1 - Hard Load"</formula>
    </cfRule>
    <cfRule type="cellIs" dxfId="3328" priority="1891" stopIfTrue="1" operator="equal">
      <formula>"3 - Not Loaded"</formula>
    </cfRule>
    <cfRule type="cellIs" dxfId="3327" priority="1892" stopIfTrue="1" operator="equal">
      <formula>"2 - Soft Load"</formula>
    </cfRule>
  </conditionalFormatting>
  <conditionalFormatting sqref="D3222">
    <cfRule type="cellIs" dxfId="3326" priority="1859" stopIfTrue="1" operator="equal">
      <formula>D1259</formula>
    </cfRule>
  </conditionalFormatting>
  <conditionalFormatting sqref="AO3221:AO3224 AS3221:AS3224">
    <cfRule type="cellIs" dxfId="3325" priority="1863" stopIfTrue="1" operator="equal">
      <formula>"OK"</formula>
    </cfRule>
    <cfRule type="cellIs" dxfId="3324" priority="1864" stopIfTrue="1" operator="equal">
      <formula>"Add"</formula>
    </cfRule>
  </conditionalFormatting>
  <conditionalFormatting sqref="J3221:J3224">
    <cfRule type="cellIs" dxfId="3323" priority="1865" stopIfTrue="1" operator="equal">
      <formula>"Lockdown"</formula>
    </cfRule>
    <cfRule type="cellIs" dxfId="3322" priority="1866" stopIfTrue="1" operator="equal">
      <formula>"OOM"</formula>
    </cfRule>
    <cfRule type="cellIs" dxfId="3321" priority="1867" stopIfTrue="1" operator="equal">
      <formula>"Placeholder"</formula>
    </cfRule>
  </conditionalFormatting>
  <conditionalFormatting sqref="T3221:AA3224">
    <cfRule type="cellIs" dxfId="3320" priority="1868" stopIfTrue="1" operator="equal">
      <formula>"Blue - Completed"</formula>
    </cfRule>
    <cfRule type="cellIs" dxfId="3319" priority="1869" stopIfTrue="1" operator="equal">
      <formula>"Green - Started on Sched"</formula>
    </cfRule>
    <cfRule type="cellIs" dxfId="3318" priority="1870" stopIfTrue="1" operator="between">
      <formula>"Q"</formula>
      <formula>"T"</formula>
    </cfRule>
  </conditionalFormatting>
  <conditionalFormatting sqref="G3221:G3224">
    <cfRule type="cellIs" dxfId="3317" priority="1862" stopIfTrue="1" operator="equal">
      <formula>"4 - Complete"</formula>
    </cfRule>
    <cfRule type="cellIs" dxfId="3316" priority="1871" stopIfTrue="1" operator="equal">
      <formula>"3 - Green"</formula>
    </cfRule>
    <cfRule type="cellIs" dxfId="3315" priority="1872" stopIfTrue="1" operator="equal">
      <formula>"2 - Yellow"</formula>
    </cfRule>
    <cfRule type="cellIs" dxfId="3314" priority="1873" stopIfTrue="1" operator="equal">
      <formula>"1 - Red"</formula>
    </cfRule>
  </conditionalFormatting>
  <conditionalFormatting sqref="L3221:L3224">
    <cfRule type="cellIs" dxfId="3313" priority="1874" stopIfTrue="1" operator="equal">
      <formula>"1 - Hard Load"</formula>
    </cfRule>
    <cfRule type="cellIs" dxfId="3312" priority="1875" stopIfTrue="1" operator="equal">
      <formula>"3 - Not Loaded"</formula>
    </cfRule>
    <cfRule type="cellIs" dxfId="3311" priority="1876" stopIfTrue="1" operator="equal">
      <formula>"2 - Soft Load"</formula>
    </cfRule>
  </conditionalFormatting>
  <conditionalFormatting sqref="D3220:D3224">
    <cfRule type="cellIs" dxfId="3310" priority="1877" stopIfTrue="1" operator="equal">
      <formula>D1254</formula>
    </cfRule>
  </conditionalFormatting>
  <conditionalFormatting sqref="D3221:D3224">
    <cfRule type="cellIs" dxfId="3309" priority="1861" stopIfTrue="1" operator="equal">
      <formula>D1258</formula>
    </cfRule>
  </conditionalFormatting>
  <conditionalFormatting sqref="D3221:D3224">
    <cfRule type="cellIs" dxfId="3308" priority="1860" stopIfTrue="1" operator="equal">
      <formula>D1258</formula>
    </cfRule>
  </conditionalFormatting>
  <conditionalFormatting sqref="D3224">
    <cfRule type="cellIs" dxfId="3307" priority="1858" stopIfTrue="1" operator="equal">
      <formula>D1261</formula>
    </cfRule>
  </conditionalFormatting>
  <conditionalFormatting sqref="D3225">
    <cfRule type="cellIs" dxfId="3306" priority="1857" stopIfTrue="1" operator="equal">
      <formula>D1262</formula>
    </cfRule>
  </conditionalFormatting>
  <conditionalFormatting sqref="AS3225 AO3225">
    <cfRule type="cellIs" dxfId="3305" priority="1843" stopIfTrue="1" operator="equal">
      <formula>"OK"</formula>
    </cfRule>
    <cfRule type="cellIs" dxfId="3304" priority="1844" stopIfTrue="1" operator="equal">
      <formula>"Add"</formula>
    </cfRule>
  </conditionalFormatting>
  <conditionalFormatting sqref="J3225">
    <cfRule type="cellIs" dxfId="3303" priority="1845" stopIfTrue="1" operator="equal">
      <formula>"Lockdown"</formula>
    </cfRule>
    <cfRule type="cellIs" dxfId="3302" priority="1846" stopIfTrue="1" operator="equal">
      <formula>"OOM"</formula>
    </cfRule>
    <cfRule type="cellIs" dxfId="3301" priority="1847" stopIfTrue="1" operator="equal">
      <formula>"Placeholder"</formula>
    </cfRule>
  </conditionalFormatting>
  <conditionalFormatting sqref="T3225:AA3225">
    <cfRule type="cellIs" dxfId="3300" priority="1848" stopIfTrue="1" operator="equal">
      <formula>"Blue - Completed"</formula>
    </cfRule>
    <cfRule type="cellIs" dxfId="3299" priority="1849" stopIfTrue="1" operator="equal">
      <formula>"Green - Started on Sched"</formula>
    </cfRule>
    <cfRule type="cellIs" dxfId="3298" priority="1850" stopIfTrue="1" operator="between">
      <formula>"Q"</formula>
      <formula>"T"</formula>
    </cfRule>
  </conditionalFormatting>
  <conditionalFormatting sqref="G3225">
    <cfRule type="cellIs" dxfId="3297" priority="1842" stopIfTrue="1" operator="equal">
      <formula>"4 - Complete"</formula>
    </cfRule>
    <cfRule type="cellIs" dxfId="3296" priority="1851" stopIfTrue="1" operator="equal">
      <formula>"3 - Green"</formula>
    </cfRule>
    <cfRule type="cellIs" dxfId="3295" priority="1852" stopIfTrue="1" operator="equal">
      <formula>"2 - Yellow"</formula>
    </cfRule>
    <cfRule type="cellIs" dxfId="3294" priority="1853" stopIfTrue="1" operator="equal">
      <formula>"1 - Red"</formula>
    </cfRule>
  </conditionalFormatting>
  <conditionalFormatting sqref="L3225">
    <cfRule type="cellIs" dxfId="3293" priority="1854" stopIfTrue="1" operator="equal">
      <formula>"1 - Hard Load"</formula>
    </cfRule>
    <cfRule type="cellIs" dxfId="3292" priority="1855" stopIfTrue="1" operator="equal">
      <formula>"3 - Not Loaded"</formula>
    </cfRule>
    <cfRule type="cellIs" dxfId="3291" priority="1856" stopIfTrue="1" operator="equal">
      <formula>"2 - Soft Load"</formula>
    </cfRule>
  </conditionalFormatting>
  <conditionalFormatting sqref="D3227">
    <cfRule type="cellIs" dxfId="3290" priority="1823" stopIfTrue="1" operator="equal">
      <formula>D1264</formula>
    </cfRule>
  </conditionalFormatting>
  <conditionalFormatting sqref="AO3226:AO3229 AS3226:AS3229">
    <cfRule type="cellIs" dxfId="3289" priority="1827" stopIfTrue="1" operator="equal">
      <formula>"OK"</formula>
    </cfRule>
    <cfRule type="cellIs" dxfId="3288" priority="1828" stopIfTrue="1" operator="equal">
      <formula>"Add"</formula>
    </cfRule>
  </conditionalFormatting>
  <conditionalFormatting sqref="J3226:J3229">
    <cfRule type="cellIs" dxfId="3287" priority="1829" stopIfTrue="1" operator="equal">
      <formula>"Lockdown"</formula>
    </cfRule>
    <cfRule type="cellIs" dxfId="3286" priority="1830" stopIfTrue="1" operator="equal">
      <formula>"OOM"</formula>
    </cfRule>
    <cfRule type="cellIs" dxfId="3285" priority="1831" stopIfTrue="1" operator="equal">
      <formula>"Placeholder"</formula>
    </cfRule>
  </conditionalFormatting>
  <conditionalFormatting sqref="T3226:AA3229">
    <cfRule type="cellIs" dxfId="3284" priority="1832" stopIfTrue="1" operator="equal">
      <formula>"Blue - Completed"</formula>
    </cfRule>
    <cfRule type="cellIs" dxfId="3283" priority="1833" stopIfTrue="1" operator="equal">
      <formula>"Green - Started on Sched"</formula>
    </cfRule>
    <cfRule type="cellIs" dxfId="3282" priority="1834" stopIfTrue="1" operator="between">
      <formula>"Q"</formula>
      <formula>"T"</formula>
    </cfRule>
  </conditionalFormatting>
  <conditionalFormatting sqref="G3226:G3229">
    <cfRule type="cellIs" dxfId="3281" priority="1826" stopIfTrue="1" operator="equal">
      <formula>"4 - Complete"</formula>
    </cfRule>
    <cfRule type="cellIs" dxfId="3280" priority="1835" stopIfTrue="1" operator="equal">
      <formula>"3 - Green"</formula>
    </cfRule>
    <cfRule type="cellIs" dxfId="3279" priority="1836" stopIfTrue="1" operator="equal">
      <formula>"2 - Yellow"</formula>
    </cfRule>
    <cfRule type="cellIs" dxfId="3278" priority="1837" stopIfTrue="1" operator="equal">
      <formula>"1 - Red"</formula>
    </cfRule>
  </conditionalFormatting>
  <conditionalFormatting sqref="L3226:L3229">
    <cfRule type="cellIs" dxfId="3277" priority="1838" stopIfTrue="1" operator="equal">
      <formula>"1 - Hard Load"</formula>
    </cfRule>
    <cfRule type="cellIs" dxfId="3276" priority="1839" stopIfTrue="1" operator="equal">
      <formula>"3 - Not Loaded"</formula>
    </cfRule>
    <cfRule type="cellIs" dxfId="3275" priority="1840" stopIfTrue="1" operator="equal">
      <formula>"2 - Soft Load"</formula>
    </cfRule>
  </conditionalFormatting>
  <conditionalFormatting sqref="D3225:D3229">
    <cfRule type="cellIs" dxfId="3274" priority="1841" stopIfTrue="1" operator="equal">
      <formula>D1259</formula>
    </cfRule>
  </conditionalFormatting>
  <conditionalFormatting sqref="D3226:D3229">
    <cfRule type="cellIs" dxfId="3273" priority="1825" stopIfTrue="1" operator="equal">
      <formula>D1263</formula>
    </cfRule>
  </conditionalFormatting>
  <conditionalFormatting sqref="D3226:D3229">
    <cfRule type="cellIs" dxfId="3272" priority="1824" stopIfTrue="1" operator="equal">
      <formula>D1263</formula>
    </cfRule>
  </conditionalFormatting>
  <conditionalFormatting sqref="D3229">
    <cfRule type="cellIs" dxfId="3271" priority="1822" stopIfTrue="1" operator="equal">
      <formula>D1266</formula>
    </cfRule>
  </conditionalFormatting>
  <conditionalFormatting sqref="AS51:AS53 AO51:AO53">
    <cfRule type="cellIs" dxfId="3270" priority="1808" stopIfTrue="1" operator="equal">
      <formula>"OK"</formula>
    </cfRule>
    <cfRule type="cellIs" dxfId="3269" priority="1809" stopIfTrue="1" operator="equal">
      <formula>"Add"</formula>
    </cfRule>
  </conditionalFormatting>
  <conditionalFormatting sqref="J51:J53">
    <cfRule type="cellIs" dxfId="3268" priority="1810" stopIfTrue="1" operator="equal">
      <formula>"Lockdown"</formula>
    </cfRule>
    <cfRule type="cellIs" dxfId="3267" priority="1811" stopIfTrue="1" operator="equal">
      <formula>"OOM"</formula>
    </cfRule>
    <cfRule type="cellIs" dxfId="3266" priority="1812" stopIfTrue="1" operator="equal">
      <formula>"Placeholder"</formula>
    </cfRule>
  </conditionalFormatting>
  <conditionalFormatting sqref="T51:AA53">
    <cfRule type="cellIs" dxfId="3265" priority="1813" stopIfTrue="1" operator="equal">
      <formula>"Blue - Completed"</formula>
    </cfRule>
    <cfRule type="cellIs" dxfId="3264" priority="1814" stopIfTrue="1" operator="equal">
      <formula>"Green - Started on Sched"</formula>
    </cfRule>
    <cfRule type="cellIs" dxfId="3263" priority="1815" stopIfTrue="1" operator="between">
      <formula>"Q"</formula>
      <formula>"T"</formula>
    </cfRule>
  </conditionalFormatting>
  <conditionalFormatting sqref="G51:G53">
    <cfRule type="cellIs" dxfId="3262" priority="1806" stopIfTrue="1" operator="equal">
      <formula>"4 - Complete"</formula>
    </cfRule>
    <cfRule type="cellIs" dxfId="3261" priority="1816" stopIfTrue="1" operator="equal">
      <formula>"3 - Green"</formula>
    </cfRule>
    <cfRule type="cellIs" dxfId="3260" priority="1817" stopIfTrue="1" operator="equal">
      <formula>"2 - Yellow"</formula>
    </cfRule>
    <cfRule type="cellIs" dxfId="3259" priority="1818" stopIfTrue="1" operator="equal">
      <formula>"1 - Red"</formula>
    </cfRule>
  </conditionalFormatting>
  <conditionalFormatting sqref="L51:L53">
    <cfRule type="cellIs" dxfId="3258" priority="1819" stopIfTrue="1" operator="equal">
      <formula>"1 - Hard Load"</formula>
    </cfRule>
    <cfRule type="cellIs" dxfId="3257" priority="1820" stopIfTrue="1" operator="equal">
      <formula>"3 - Not Loaded"</formula>
    </cfRule>
    <cfRule type="cellIs" dxfId="3256" priority="1821" stopIfTrue="1" operator="equal">
      <formula>"2 - Soft Load"</formula>
    </cfRule>
  </conditionalFormatting>
  <conditionalFormatting sqref="AO123 AS123">
    <cfRule type="cellIs" dxfId="3255" priority="1790" stopIfTrue="1" operator="equal">
      <formula>"OK"</formula>
    </cfRule>
    <cfRule type="cellIs" dxfId="3254" priority="1791" stopIfTrue="1" operator="equal">
      <formula>"Add"</formula>
    </cfRule>
  </conditionalFormatting>
  <conditionalFormatting sqref="J123">
    <cfRule type="cellIs" dxfId="3253" priority="1792" stopIfTrue="1" operator="equal">
      <formula>"Lockdown"</formula>
    </cfRule>
    <cfRule type="cellIs" dxfId="3252" priority="1793" stopIfTrue="1" operator="equal">
      <formula>"OOM"</formula>
    </cfRule>
    <cfRule type="cellIs" dxfId="3251" priority="1794" stopIfTrue="1" operator="equal">
      <formula>"Placeholder"</formula>
    </cfRule>
  </conditionalFormatting>
  <conditionalFormatting sqref="T123:AA123">
    <cfRule type="cellIs" dxfId="3250" priority="1795" stopIfTrue="1" operator="equal">
      <formula>"Blue - Completed"</formula>
    </cfRule>
    <cfRule type="cellIs" dxfId="3249" priority="1796" stopIfTrue="1" operator="equal">
      <formula>"Green - Started on Sched"</formula>
    </cfRule>
    <cfRule type="cellIs" dxfId="3248" priority="1797" stopIfTrue="1" operator="between">
      <formula>"Q"</formula>
      <formula>"T"</formula>
    </cfRule>
  </conditionalFormatting>
  <conditionalFormatting sqref="G123">
    <cfRule type="cellIs" dxfId="3247" priority="1789" stopIfTrue="1" operator="equal">
      <formula>"4 - Complete"</formula>
    </cfRule>
    <cfRule type="cellIs" dxfId="3246" priority="1798" stopIfTrue="1" operator="equal">
      <formula>"3 - Green"</formula>
    </cfRule>
    <cfRule type="cellIs" dxfId="3245" priority="1799" stopIfTrue="1" operator="equal">
      <formula>"2 - Yellow"</formula>
    </cfRule>
    <cfRule type="cellIs" dxfId="3244" priority="1800" stopIfTrue="1" operator="equal">
      <formula>"1 - Red"</formula>
    </cfRule>
  </conditionalFormatting>
  <conditionalFormatting sqref="L123">
    <cfRule type="cellIs" dxfId="3243" priority="1801" stopIfTrue="1" operator="equal">
      <formula>"1 - Hard Load"</formula>
    </cfRule>
    <cfRule type="cellIs" dxfId="3242" priority="1802" stopIfTrue="1" operator="equal">
      <formula>"3 - Not Loaded"</formula>
    </cfRule>
    <cfRule type="cellIs" dxfId="3241" priority="1803" stopIfTrue="1" operator="equal">
      <formula>"2 - Soft Load"</formula>
    </cfRule>
  </conditionalFormatting>
  <conditionalFormatting sqref="AO124 AS124">
    <cfRule type="cellIs" dxfId="3240" priority="1773" stopIfTrue="1" operator="equal">
      <formula>"OK"</formula>
    </cfRule>
    <cfRule type="cellIs" dxfId="3239" priority="1774" stopIfTrue="1" operator="equal">
      <formula>"Add"</formula>
    </cfRule>
  </conditionalFormatting>
  <conditionalFormatting sqref="J124">
    <cfRule type="cellIs" dxfId="3238" priority="1775" stopIfTrue="1" operator="equal">
      <formula>"Lockdown"</formula>
    </cfRule>
    <cfRule type="cellIs" dxfId="3237" priority="1776" stopIfTrue="1" operator="equal">
      <formula>"OOM"</formula>
    </cfRule>
    <cfRule type="cellIs" dxfId="3236" priority="1777" stopIfTrue="1" operator="equal">
      <formula>"Placeholder"</formula>
    </cfRule>
  </conditionalFormatting>
  <conditionalFormatting sqref="T124:AA124">
    <cfRule type="cellIs" dxfId="3235" priority="1778" stopIfTrue="1" operator="equal">
      <formula>"Blue - Completed"</formula>
    </cfRule>
    <cfRule type="cellIs" dxfId="3234" priority="1779" stopIfTrue="1" operator="equal">
      <formula>"Green - Started on Sched"</formula>
    </cfRule>
    <cfRule type="cellIs" dxfId="3233" priority="1780" stopIfTrue="1" operator="between">
      <formula>"Q"</formula>
      <formula>"T"</formula>
    </cfRule>
  </conditionalFormatting>
  <conditionalFormatting sqref="G124">
    <cfRule type="cellIs" dxfId="3232" priority="1772" stopIfTrue="1" operator="equal">
      <formula>"4 - Complete"</formula>
    </cfRule>
    <cfRule type="cellIs" dxfId="3231" priority="1781" stopIfTrue="1" operator="equal">
      <formula>"3 - Green"</formula>
    </cfRule>
    <cfRule type="cellIs" dxfId="3230" priority="1782" stopIfTrue="1" operator="equal">
      <formula>"2 - Yellow"</formula>
    </cfRule>
    <cfRule type="cellIs" dxfId="3229" priority="1783" stopIfTrue="1" operator="equal">
      <formula>"1 - Red"</formula>
    </cfRule>
  </conditionalFormatting>
  <conditionalFormatting sqref="L124">
    <cfRule type="cellIs" dxfId="3228" priority="1784" stopIfTrue="1" operator="equal">
      <formula>"1 - Hard Load"</formula>
    </cfRule>
    <cfRule type="cellIs" dxfId="3227" priority="1785" stopIfTrue="1" operator="equal">
      <formula>"3 - Not Loaded"</formula>
    </cfRule>
    <cfRule type="cellIs" dxfId="3226" priority="1786" stopIfTrue="1" operator="equal">
      <formula>"2 - Soft Load"</formula>
    </cfRule>
  </conditionalFormatting>
  <conditionalFormatting sqref="AO163 AS163">
    <cfRule type="cellIs" dxfId="3225" priority="1756" stopIfTrue="1" operator="equal">
      <formula>"OK"</formula>
    </cfRule>
    <cfRule type="cellIs" dxfId="3224" priority="1757" stopIfTrue="1" operator="equal">
      <formula>"Add"</formula>
    </cfRule>
  </conditionalFormatting>
  <conditionalFormatting sqref="J163">
    <cfRule type="cellIs" dxfId="3223" priority="1758" stopIfTrue="1" operator="equal">
      <formula>"Lockdown"</formula>
    </cfRule>
    <cfRule type="cellIs" dxfId="3222" priority="1759" stopIfTrue="1" operator="equal">
      <formula>"OOM"</formula>
    </cfRule>
    <cfRule type="cellIs" dxfId="3221" priority="1760" stopIfTrue="1" operator="equal">
      <formula>"Placeholder"</formula>
    </cfRule>
  </conditionalFormatting>
  <conditionalFormatting sqref="T163:AA163">
    <cfRule type="cellIs" dxfId="3220" priority="1761" stopIfTrue="1" operator="equal">
      <formula>"Blue - Completed"</formula>
    </cfRule>
    <cfRule type="cellIs" dxfId="3219" priority="1762" stopIfTrue="1" operator="equal">
      <formula>"Green - Started on Sched"</formula>
    </cfRule>
    <cfRule type="cellIs" dxfId="3218" priority="1763" stopIfTrue="1" operator="between">
      <formula>"Q"</formula>
      <formula>"T"</formula>
    </cfRule>
  </conditionalFormatting>
  <conditionalFormatting sqref="G163">
    <cfRule type="cellIs" dxfId="3217" priority="1754" stopIfTrue="1" operator="equal">
      <formula>"4 - Complete"</formula>
    </cfRule>
    <cfRule type="cellIs" dxfId="3216" priority="1764" stopIfTrue="1" operator="equal">
      <formula>"3 - Green"</formula>
    </cfRule>
    <cfRule type="cellIs" dxfId="3215" priority="1765" stopIfTrue="1" operator="equal">
      <formula>"2 - Yellow"</formula>
    </cfRule>
    <cfRule type="cellIs" dxfId="3214" priority="1766" stopIfTrue="1" operator="equal">
      <formula>"1 - Red"</formula>
    </cfRule>
  </conditionalFormatting>
  <conditionalFormatting sqref="L163">
    <cfRule type="cellIs" dxfId="3213" priority="1767" stopIfTrue="1" operator="equal">
      <formula>"1 - Hard Load"</formula>
    </cfRule>
    <cfRule type="cellIs" dxfId="3212" priority="1768" stopIfTrue="1" operator="equal">
      <formula>"3 - Not Loaded"</formula>
    </cfRule>
    <cfRule type="cellIs" dxfId="3211" priority="1769" stopIfTrue="1" operator="equal">
      <formula>"2 - Soft Load"</formula>
    </cfRule>
  </conditionalFormatting>
  <conditionalFormatting sqref="D248">
    <cfRule type="cellIs" dxfId="3210" priority="10707" stopIfTrue="1" operator="equal">
      <formula>D141</formula>
    </cfRule>
  </conditionalFormatting>
  <conditionalFormatting sqref="AS143 AO143">
    <cfRule type="cellIs" dxfId="3209" priority="1739" stopIfTrue="1" operator="equal">
      <formula>"OK"</formula>
    </cfRule>
    <cfRule type="cellIs" dxfId="3208" priority="1740" stopIfTrue="1" operator="equal">
      <formula>"Add"</formula>
    </cfRule>
  </conditionalFormatting>
  <conditionalFormatting sqref="J143">
    <cfRule type="cellIs" dxfId="3207" priority="1741" stopIfTrue="1" operator="equal">
      <formula>"Lockdown"</formula>
    </cfRule>
    <cfRule type="cellIs" dxfId="3206" priority="1742" stopIfTrue="1" operator="equal">
      <formula>"OOM"</formula>
    </cfRule>
    <cfRule type="cellIs" dxfId="3205" priority="1743" stopIfTrue="1" operator="equal">
      <formula>"Placeholder"</formula>
    </cfRule>
  </conditionalFormatting>
  <conditionalFormatting sqref="T143:AA143">
    <cfRule type="cellIs" dxfId="3204" priority="1744" stopIfTrue="1" operator="equal">
      <formula>"Blue - Completed"</formula>
    </cfRule>
    <cfRule type="cellIs" dxfId="3203" priority="1745" stopIfTrue="1" operator="equal">
      <formula>"Green - Started on Sched"</formula>
    </cfRule>
    <cfRule type="cellIs" dxfId="3202" priority="1746" stopIfTrue="1" operator="between">
      <formula>"Q"</formula>
      <formula>"T"</formula>
    </cfRule>
  </conditionalFormatting>
  <conditionalFormatting sqref="G143">
    <cfRule type="cellIs" dxfId="3201" priority="1738" stopIfTrue="1" operator="equal">
      <formula>"4 - Complete"</formula>
    </cfRule>
    <cfRule type="cellIs" dxfId="3200" priority="1747" stopIfTrue="1" operator="equal">
      <formula>"3 - Green"</formula>
    </cfRule>
    <cfRule type="cellIs" dxfId="3199" priority="1748" stopIfTrue="1" operator="equal">
      <formula>"2 - Yellow"</formula>
    </cfRule>
    <cfRule type="cellIs" dxfId="3198" priority="1749" stopIfTrue="1" operator="equal">
      <formula>"1 - Red"</formula>
    </cfRule>
  </conditionalFormatting>
  <conditionalFormatting sqref="L143">
    <cfRule type="cellIs" dxfId="3197" priority="1750" stopIfTrue="1" operator="equal">
      <formula>"1 - Hard Load"</formula>
    </cfRule>
    <cfRule type="cellIs" dxfId="3196" priority="1751" stopIfTrue="1" operator="equal">
      <formula>"3 - Not Loaded"</formula>
    </cfRule>
    <cfRule type="cellIs" dxfId="3195" priority="1752" stopIfTrue="1" operator="equal">
      <formula>"2 - Soft Load"</formula>
    </cfRule>
  </conditionalFormatting>
  <conditionalFormatting sqref="D250">
    <cfRule type="cellIs" dxfId="3194" priority="10727" stopIfTrue="1" operator="equal">
      <formula>D141</formula>
    </cfRule>
  </conditionalFormatting>
  <conditionalFormatting sqref="D255">
    <cfRule type="cellIs" dxfId="3193" priority="10751" stopIfTrue="1" operator="equal">
      <formula>D141</formula>
    </cfRule>
  </conditionalFormatting>
  <conditionalFormatting sqref="AS142 AO142">
    <cfRule type="cellIs" dxfId="3192" priority="1724" stopIfTrue="1" operator="equal">
      <formula>"OK"</formula>
    </cfRule>
    <cfRule type="cellIs" dxfId="3191" priority="1725" stopIfTrue="1" operator="equal">
      <formula>"Add"</formula>
    </cfRule>
  </conditionalFormatting>
  <conditionalFormatting sqref="J142">
    <cfRule type="cellIs" dxfId="3190" priority="1726" stopIfTrue="1" operator="equal">
      <formula>"Lockdown"</formula>
    </cfRule>
    <cfRule type="cellIs" dxfId="3189" priority="1727" stopIfTrue="1" operator="equal">
      <formula>"OOM"</formula>
    </cfRule>
    <cfRule type="cellIs" dxfId="3188" priority="1728" stopIfTrue="1" operator="equal">
      <formula>"Placeholder"</formula>
    </cfRule>
  </conditionalFormatting>
  <conditionalFormatting sqref="T142:AA142">
    <cfRule type="cellIs" dxfId="3187" priority="1729" stopIfTrue="1" operator="equal">
      <formula>"Blue - Completed"</formula>
    </cfRule>
    <cfRule type="cellIs" dxfId="3186" priority="1730" stopIfTrue="1" operator="equal">
      <formula>"Green - Started on Sched"</formula>
    </cfRule>
    <cfRule type="cellIs" dxfId="3185" priority="1731" stopIfTrue="1" operator="between">
      <formula>"Q"</formula>
      <formula>"T"</formula>
    </cfRule>
  </conditionalFormatting>
  <conditionalFormatting sqref="G142">
    <cfRule type="cellIs" dxfId="3184" priority="1723" stopIfTrue="1" operator="equal">
      <formula>"4 - Complete"</formula>
    </cfRule>
    <cfRule type="cellIs" dxfId="3183" priority="1732" stopIfTrue="1" operator="equal">
      <formula>"3 - Green"</formula>
    </cfRule>
    <cfRule type="cellIs" dxfId="3182" priority="1733" stopIfTrue="1" operator="equal">
      <formula>"2 - Yellow"</formula>
    </cfRule>
    <cfRule type="cellIs" dxfId="3181" priority="1734" stopIfTrue="1" operator="equal">
      <formula>"1 - Red"</formula>
    </cfRule>
  </conditionalFormatting>
  <conditionalFormatting sqref="L142">
    <cfRule type="cellIs" dxfId="3180" priority="1735" stopIfTrue="1" operator="equal">
      <formula>"1 - Hard Load"</formula>
    </cfRule>
    <cfRule type="cellIs" dxfId="3179" priority="1736" stopIfTrue="1" operator="equal">
      <formula>"3 - Not Loaded"</formula>
    </cfRule>
    <cfRule type="cellIs" dxfId="3178" priority="1737" stopIfTrue="1" operator="equal">
      <formula>"2 - Soft Load"</formula>
    </cfRule>
  </conditionalFormatting>
  <conditionalFormatting sqref="D256">
    <cfRule type="cellIs" dxfId="3177" priority="10758" stopIfTrue="1" operator="equal">
      <formula>#REF!</formula>
    </cfRule>
  </conditionalFormatting>
  <conditionalFormatting sqref="D202">
    <cfRule type="cellIs" dxfId="3176" priority="10760" stopIfTrue="1" operator="equal">
      <formula>#REF!</formula>
    </cfRule>
  </conditionalFormatting>
  <conditionalFormatting sqref="D241">
    <cfRule type="cellIs" dxfId="3175" priority="10762" stopIfTrue="1" operator="equal">
      <formula>#REF!</formula>
    </cfRule>
  </conditionalFormatting>
  <conditionalFormatting sqref="D234">
    <cfRule type="cellIs" dxfId="3174" priority="10765" stopIfTrue="1" operator="equal">
      <formula>#REF!</formula>
    </cfRule>
  </conditionalFormatting>
  <conditionalFormatting sqref="D213">
    <cfRule type="cellIs" dxfId="3173" priority="10771" stopIfTrue="1" operator="equal">
      <formula>#REF!</formula>
    </cfRule>
  </conditionalFormatting>
  <conditionalFormatting sqref="D228">
    <cfRule type="cellIs" dxfId="3172" priority="10772" stopIfTrue="1" operator="equal">
      <formula>#REF!</formula>
    </cfRule>
  </conditionalFormatting>
  <conditionalFormatting sqref="D206">
    <cfRule type="cellIs" dxfId="3171" priority="10773" stopIfTrue="1" operator="equal">
      <formula>#REF!</formula>
    </cfRule>
  </conditionalFormatting>
  <conditionalFormatting sqref="D237">
    <cfRule type="cellIs" dxfId="3170" priority="10775" stopIfTrue="1" operator="equal">
      <formula>#REF!</formula>
    </cfRule>
  </conditionalFormatting>
  <conditionalFormatting sqref="D249">
    <cfRule type="cellIs" dxfId="3169" priority="10776" stopIfTrue="1" operator="equal">
      <formula>D141</formula>
    </cfRule>
  </conditionalFormatting>
  <conditionalFormatting sqref="D240">
    <cfRule type="cellIs" dxfId="3168" priority="10780" stopIfTrue="1" operator="equal">
      <formula>#REF!</formula>
    </cfRule>
  </conditionalFormatting>
  <conditionalFormatting sqref="D203">
    <cfRule type="cellIs" dxfId="3167" priority="10782" stopIfTrue="1" operator="equal">
      <formula>#REF!</formula>
    </cfRule>
  </conditionalFormatting>
  <conditionalFormatting sqref="D224">
    <cfRule type="cellIs" dxfId="3166" priority="10784" stopIfTrue="1" operator="equal">
      <formula>#REF!</formula>
    </cfRule>
  </conditionalFormatting>
  <conditionalFormatting sqref="D235">
    <cfRule type="cellIs" dxfId="3165" priority="10785" stopIfTrue="1" operator="equal">
      <formula>#REF!</formula>
    </cfRule>
  </conditionalFormatting>
  <conditionalFormatting sqref="D254">
    <cfRule type="cellIs" dxfId="3164" priority="10790" stopIfTrue="1" operator="equal">
      <formula>#REF!</formula>
    </cfRule>
  </conditionalFormatting>
  <conditionalFormatting sqref="D227">
    <cfRule type="cellIs" dxfId="3163" priority="10792" stopIfTrue="1" operator="equal">
      <formula>#REF!</formula>
    </cfRule>
  </conditionalFormatting>
  <conditionalFormatting sqref="D226">
    <cfRule type="cellIs" dxfId="3162" priority="10794" stopIfTrue="1" operator="equal">
      <formula>#REF!</formula>
    </cfRule>
  </conditionalFormatting>
  <conditionalFormatting sqref="D212">
    <cfRule type="cellIs" dxfId="3161" priority="10795" stopIfTrue="1" operator="equal">
      <formula>#REF!</formula>
    </cfRule>
  </conditionalFormatting>
  <conditionalFormatting sqref="D223">
    <cfRule type="cellIs" dxfId="3160" priority="10799" stopIfTrue="1" operator="equal">
      <formula>#REF!</formula>
    </cfRule>
  </conditionalFormatting>
  <conditionalFormatting sqref="D225">
    <cfRule type="cellIs" dxfId="3159" priority="10800" stopIfTrue="1" operator="equal">
      <formula>#REF!</formula>
    </cfRule>
  </conditionalFormatting>
  <conditionalFormatting sqref="D250">
    <cfRule type="cellIs" dxfId="3158" priority="10803" stopIfTrue="1" operator="equal">
      <formula>#REF!</formula>
    </cfRule>
  </conditionalFormatting>
  <conditionalFormatting sqref="D1687">
    <cfRule type="cellIs" dxfId="3157" priority="10805" stopIfTrue="1" operator="equal">
      <formula>D613</formula>
    </cfRule>
  </conditionalFormatting>
  <conditionalFormatting sqref="AS1686 AO1686">
    <cfRule type="cellIs" dxfId="3156" priority="1707" stopIfTrue="1" operator="equal">
      <formula>"OK"</formula>
    </cfRule>
    <cfRule type="cellIs" dxfId="3155" priority="1708" stopIfTrue="1" operator="equal">
      <formula>"Add"</formula>
    </cfRule>
  </conditionalFormatting>
  <conditionalFormatting sqref="J1686">
    <cfRule type="cellIs" dxfId="3154" priority="1709" stopIfTrue="1" operator="equal">
      <formula>"Lockdown"</formula>
    </cfRule>
    <cfRule type="cellIs" dxfId="3153" priority="1710" stopIfTrue="1" operator="equal">
      <formula>"OOM"</formula>
    </cfRule>
    <cfRule type="cellIs" dxfId="3152" priority="1711" stopIfTrue="1" operator="equal">
      <formula>"Placeholder"</formula>
    </cfRule>
  </conditionalFormatting>
  <conditionalFormatting sqref="T1686:AA1686">
    <cfRule type="cellIs" dxfId="3151" priority="1712" stopIfTrue="1" operator="equal">
      <formula>"Blue - Completed"</formula>
    </cfRule>
    <cfRule type="cellIs" dxfId="3150" priority="1713" stopIfTrue="1" operator="equal">
      <formula>"Green - Started on Sched"</formula>
    </cfRule>
    <cfRule type="cellIs" dxfId="3149" priority="1714" stopIfTrue="1" operator="between">
      <formula>"Q"</formula>
      <formula>"T"</formula>
    </cfRule>
  </conditionalFormatting>
  <conditionalFormatting sqref="G1686">
    <cfRule type="cellIs" dxfId="3148" priority="1706" stopIfTrue="1" operator="equal">
      <formula>"4 - Complete"</formula>
    </cfRule>
    <cfRule type="cellIs" dxfId="3147" priority="1715" stopIfTrue="1" operator="equal">
      <formula>"3 - Green"</formula>
    </cfRule>
    <cfRule type="cellIs" dxfId="3146" priority="1716" stopIfTrue="1" operator="equal">
      <formula>"2 - Yellow"</formula>
    </cfRule>
    <cfRule type="cellIs" dxfId="3145" priority="1717" stopIfTrue="1" operator="equal">
      <formula>"1 - Red"</formula>
    </cfRule>
  </conditionalFormatting>
  <conditionalFormatting sqref="L1686">
    <cfRule type="cellIs" dxfId="3144" priority="1718" stopIfTrue="1" operator="equal">
      <formula>"1 - Hard Load"</formula>
    </cfRule>
    <cfRule type="cellIs" dxfId="3143" priority="1719" stopIfTrue="1" operator="equal">
      <formula>"3 - Not Loaded"</formula>
    </cfRule>
    <cfRule type="cellIs" dxfId="3142" priority="1720" stopIfTrue="1" operator="equal">
      <formula>"2 - Soft Load"</formula>
    </cfRule>
  </conditionalFormatting>
  <conditionalFormatting sqref="D1686">
    <cfRule type="cellIs" dxfId="3141" priority="1721" stopIfTrue="1" operator="equal">
      <formula>D612</formula>
    </cfRule>
  </conditionalFormatting>
  <conditionalFormatting sqref="D1805:D1806">
    <cfRule type="cellIs" dxfId="3140" priority="10807" stopIfTrue="1" operator="equal">
      <formula>D613</formula>
    </cfRule>
  </conditionalFormatting>
  <conditionalFormatting sqref="AO1804 AS1804">
    <cfRule type="cellIs" dxfId="3139" priority="1691" stopIfTrue="1" operator="equal">
      <formula>"OK"</formula>
    </cfRule>
    <cfRule type="cellIs" dxfId="3138" priority="1692" stopIfTrue="1" operator="equal">
      <formula>"Add"</formula>
    </cfRule>
  </conditionalFormatting>
  <conditionalFormatting sqref="J1804">
    <cfRule type="cellIs" dxfId="3137" priority="1693" stopIfTrue="1" operator="equal">
      <formula>"Lockdown"</formula>
    </cfRule>
    <cfRule type="cellIs" dxfId="3136" priority="1694" stopIfTrue="1" operator="equal">
      <formula>"OOM"</formula>
    </cfRule>
    <cfRule type="cellIs" dxfId="3135" priority="1695" stopIfTrue="1" operator="equal">
      <formula>"Placeholder"</formula>
    </cfRule>
  </conditionalFormatting>
  <conditionalFormatting sqref="T1804:AA1804">
    <cfRule type="cellIs" dxfId="3134" priority="1696" stopIfTrue="1" operator="equal">
      <formula>"Blue - Completed"</formula>
    </cfRule>
    <cfRule type="cellIs" dxfId="3133" priority="1697" stopIfTrue="1" operator="equal">
      <formula>"Green - Started on Sched"</formula>
    </cfRule>
    <cfRule type="cellIs" dxfId="3132" priority="1698" stopIfTrue="1" operator="between">
      <formula>"Q"</formula>
      <formula>"T"</formula>
    </cfRule>
  </conditionalFormatting>
  <conditionalFormatting sqref="G1804">
    <cfRule type="cellIs" dxfId="3131" priority="1690" stopIfTrue="1" operator="equal">
      <formula>"4 - Complete"</formula>
    </cfRule>
    <cfRule type="cellIs" dxfId="3130" priority="1699" stopIfTrue="1" operator="equal">
      <formula>"3 - Green"</formula>
    </cfRule>
    <cfRule type="cellIs" dxfId="3129" priority="1700" stopIfTrue="1" operator="equal">
      <formula>"2 - Yellow"</formula>
    </cfRule>
    <cfRule type="cellIs" dxfId="3128" priority="1701" stopIfTrue="1" operator="equal">
      <formula>"1 - Red"</formula>
    </cfRule>
  </conditionalFormatting>
  <conditionalFormatting sqref="L1804">
    <cfRule type="cellIs" dxfId="3127" priority="1702" stopIfTrue="1" operator="equal">
      <formula>"1 - Hard Load"</formula>
    </cfRule>
    <cfRule type="cellIs" dxfId="3126" priority="1703" stopIfTrue="1" operator="equal">
      <formula>"3 - Not Loaded"</formula>
    </cfRule>
    <cfRule type="cellIs" dxfId="3125" priority="1704" stopIfTrue="1" operator="equal">
      <formula>"2 - Soft Load"</formula>
    </cfRule>
  </conditionalFormatting>
  <conditionalFormatting sqref="D1804">
    <cfRule type="cellIs" dxfId="3124" priority="1705" stopIfTrue="1" operator="equal">
      <formula>D612</formula>
    </cfRule>
  </conditionalFormatting>
  <conditionalFormatting sqref="AO119 AS119">
    <cfRule type="cellIs" dxfId="3123" priority="1676" stopIfTrue="1" operator="equal">
      <formula>"OK"</formula>
    </cfRule>
    <cfRule type="cellIs" dxfId="3122" priority="1677" stopIfTrue="1" operator="equal">
      <formula>"Add"</formula>
    </cfRule>
  </conditionalFormatting>
  <conditionalFormatting sqref="J119">
    <cfRule type="cellIs" dxfId="3121" priority="1678" stopIfTrue="1" operator="equal">
      <formula>"Lockdown"</formula>
    </cfRule>
    <cfRule type="cellIs" dxfId="3120" priority="1679" stopIfTrue="1" operator="equal">
      <formula>"OOM"</formula>
    </cfRule>
    <cfRule type="cellIs" dxfId="3119" priority="1680" stopIfTrue="1" operator="equal">
      <formula>"Placeholder"</formula>
    </cfRule>
  </conditionalFormatting>
  <conditionalFormatting sqref="T119:AA119">
    <cfRule type="cellIs" dxfId="3118" priority="1681" stopIfTrue="1" operator="equal">
      <formula>"Blue - Completed"</formula>
    </cfRule>
    <cfRule type="cellIs" dxfId="3117" priority="1682" stopIfTrue="1" operator="equal">
      <formula>"Green - Started on Sched"</formula>
    </cfRule>
    <cfRule type="cellIs" dxfId="3116" priority="1683" stopIfTrue="1" operator="between">
      <formula>"Q"</formula>
      <formula>"T"</formula>
    </cfRule>
  </conditionalFormatting>
  <conditionalFormatting sqref="G119">
    <cfRule type="cellIs" dxfId="3115" priority="1675" stopIfTrue="1" operator="equal">
      <formula>"4 - Complete"</formula>
    </cfRule>
    <cfRule type="cellIs" dxfId="3114" priority="1684" stopIfTrue="1" operator="equal">
      <formula>"3 - Green"</formula>
    </cfRule>
    <cfRule type="cellIs" dxfId="3113" priority="1685" stopIfTrue="1" operator="equal">
      <formula>"2 - Yellow"</formula>
    </cfRule>
    <cfRule type="cellIs" dxfId="3112" priority="1686" stopIfTrue="1" operator="equal">
      <formula>"1 - Red"</formula>
    </cfRule>
  </conditionalFormatting>
  <conditionalFormatting sqref="L119">
    <cfRule type="cellIs" dxfId="3111" priority="1687" stopIfTrue="1" operator="equal">
      <formula>"1 - Hard Load"</formula>
    </cfRule>
    <cfRule type="cellIs" dxfId="3110" priority="1688" stopIfTrue="1" operator="equal">
      <formula>"3 - Not Loaded"</formula>
    </cfRule>
    <cfRule type="cellIs" dxfId="3109" priority="1689" stopIfTrue="1" operator="equal">
      <formula>"2 - Soft Load"</formula>
    </cfRule>
  </conditionalFormatting>
  <conditionalFormatting sqref="AO116 AS116">
    <cfRule type="cellIs" dxfId="3108" priority="1659" stopIfTrue="1" operator="equal">
      <formula>"OK"</formula>
    </cfRule>
    <cfRule type="cellIs" dxfId="3107" priority="1660" stopIfTrue="1" operator="equal">
      <formula>"Add"</formula>
    </cfRule>
  </conditionalFormatting>
  <conditionalFormatting sqref="J116">
    <cfRule type="cellIs" dxfId="3106" priority="1661" stopIfTrue="1" operator="equal">
      <formula>"Lockdown"</formula>
    </cfRule>
    <cfRule type="cellIs" dxfId="3105" priority="1662" stopIfTrue="1" operator="equal">
      <formula>"OOM"</formula>
    </cfRule>
    <cfRule type="cellIs" dxfId="3104" priority="1663" stopIfTrue="1" operator="equal">
      <formula>"Placeholder"</formula>
    </cfRule>
  </conditionalFormatting>
  <conditionalFormatting sqref="T116:AA116">
    <cfRule type="cellIs" dxfId="3103" priority="1664" stopIfTrue="1" operator="equal">
      <formula>"Blue - Completed"</formula>
    </cfRule>
    <cfRule type="cellIs" dxfId="3102" priority="1665" stopIfTrue="1" operator="equal">
      <formula>"Green - Started on Sched"</formula>
    </cfRule>
    <cfRule type="cellIs" dxfId="3101" priority="1666" stopIfTrue="1" operator="between">
      <formula>"Q"</formula>
      <formula>"T"</formula>
    </cfRule>
  </conditionalFormatting>
  <conditionalFormatting sqref="G116">
    <cfRule type="cellIs" dxfId="3100" priority="1657" stopIfTrue="1" operator="equal">
      <formula>"4 - Complete"</formula>
    </cfRule>
    <cfRule type="cellIs" dxfId="3099" priority="1667" stopIfTrue="1" operator="equal">
      <formula>"3 - Green"</formula>
    </cfRule>
    <cfRule type="cellIs" dxfId="3098" priority="1668" stopIfTrue="1" operator="equal">
      <formula>"2 - Yellow"</formula>
    </cfRule>
    <cfRule type="cellIs" dxfId="3097" priority="1669" stopIfTrue="1" operator="equal">
      <formula>"1 - Red"</formula>
    </cfRule>
  </conditionalFormatting>
  <conditionalFormatting sqref="L116">
    <cfRule type="cellIs" dxfId="3096" priority="1670" stopIfTrue="1" operator="equal">
      <formula>"1 - Hard Load"</formula>
    </cfRule>
    <cfRule type="cellIs" dxfId="3095" priority="1671" stopIfTrue="1" operator="equal">
      <formula>"3 - Not Loaded"</formula>
    </cfRule>
    <cfRule type="cellIs" dxfId="3094" priority="1672" stopIfTrue="1" operator="equal">
      <formula>"2 - Soft Load"</formula>
    </cfRule>
  </conditionalFormatting>
  <conditionalFormatting sqref="G34">
    <cfRule type="cellIs" dxfId="3093" priority="1653" stopIfTrue="1" operator="equal">
      <formula>"4 - Complete"</formula>
    </cfRule>
    <cfRule type="cellIs" dxfId="3092" priority="1654" stopIfTrue="1" operator="equal">
      <formula>"3 - Green"</formula>
    </cfRule>
    <cfRule type="cellIs" dxfId="3091" priority="1655" stopIfTrue="1" operator="equal">
      <formula>"2 - Yellow"</formula>
    </cfRule>
    <cfRule type="cellIs" dxfId="3090" priority="1656" stopIfTrue="1" operator="equal">
      <formula>"1 - Red"</formula>
    </cfRule>
  </conditionalFormatting>
  <conditionalFormatting sqref="G35">
    <cfRule type="cellIs" dxfId="3089" priority="1649" stopIfTrue="1" operator="equal">
      <formula>"4 - Complete"</formula>
    </cfRule>
    <cfRule type="cellIs" dxfId="3088" priority="1650" stopIfTrue="1" operator="equal">
      <formula>"3 - Green"</formula>
    </cfRule>
    <cfRule type="cellIs" dxfId="3087" priority="1651" stopIfTrue="1" operator="equal">
      <formula>"2 - Yellow"</formula>
    </cfRule>
    <cfRule type="cellIs" dxfId="3086" priority="1652" stopIfTrue="1" operator="equal">
      <formula>"1 - Red"</formula>
    </cfRule>
  </conditionalFormatting>
  <conditionalFormatting sqref="G36">
    <cfRule type="cellIs" dxfId="3085" priority="1645" stopIfTrue="1" operator="equal">
      <formula>"4 - Complete"</formula>
    </cfRule>
    <cfRule type="cellIs" dxfId="3084" priority="1646" stopIfTrue="1" operator="equal">
      <formula>"3 - Green"</formula>
    </cfRule>
    <cfRule type="cellIs" dxfId="3083" priority="1647" stopIfTrue="1" operator="equal">
      <formula>"2 - Yellow"</formula>
    </cfRule>
    <cfRule type="cellIs" dxfId="3082" priority="1648" stopIfTrue="1" operator="equal">
      <formula>"1 - Red"</formula>
    </cfRule>
  </conditionalFormatting>
  <conditionalFormatting sqref="G37">
    <cfRule type="cellIs" dxfId="3081" priority="1641" stopIfTrue="1" operator="equal">
      <formula>"4 - Complete"</formula>
    </cfRule>
    <cfRule type="cellIs" dxfId="3080" priority="1642" stopIfTrue="1" operator="equal">
      <formula>"3 - Green"</formula>
    </cfRule>
    <cfRule type="cellIs" dxfId="3079" priority="1643" stopIfTrue="1" operator="equal">
      <formula>"2 - Yellow"</formula>
    </cfRule>
    <cfRule type="cellIs" dxfId="3078" priority="1644" stopIfTrue="1" operator="equal">
      <formula>"1 - Red"</formula>
    </cfRule>
  </conditionalFormatting>
  <conditionalFormatting sqref="AS61 AO61">
    <cfRule type="cellIs" dxfId="3077" priority="1627" stopIfTrue="1" operator="equal">
      <formula>"OK"</formula>
    </cfRule>
    <cfRule type="cellIs" dxfId="3076" priority="1628" stopIfTrue="1" operator="equal">
      <formula>"Add"</formula>
    </cfRule>
  </conditionalFormatting>
  <conditionalFormatting sqref="J61">
    <cfRule type="cellIs" dxfId="3075" priority="1629" stopIfTrue="1" operator="equal">
      <formula>"Lockdown"</formula>
    </cfRule>
    <cfRule type="cellIs" dxfId="3074" priority="1630" stopIfTrue="1" operator="equal">
      <formula>"OOM"</formula>
    </cfRule>
    <cfRule type="cellIs" dxfId="3073" priority="1631" stopIfTrue="1" operator="equal">
      <formula>"Placeholder"</formula>
    </cfRule>
  </conditionalFormatting>
  <conditionalFormatting sqref="T61:AA61">
    <cfRule type="cellIs" dxfId="3072" priority="1632" stopIfTrue="1" operator="equal">
      <formula>"Blue - Completed"</formula>
    </cfRule>
    <cfRule type="cellIs" dxfId="3071" priority="1633" stopIfTrue="1" operator="equal">
      <formula>"Green - Started on Sched"</formula>
    </cfRule>
    <cfRule type="cellIs" dxfId="3070" priority="1634" stopIfTrue="1" operator="between">
      <formula>"Q"</formula>
      <formula>"T"</formula>
    </cfRule>
  </conditionalFormatting>
  <conditionalFormatting sqref="G61">
    <cfRule type="cellIs" dxfId="3069" priority="1626" stopIfTrue="1" operator="equal">
      <formula>"4 - Complete"</formula>
    </cfRule>
    <cfRule type="cellIs" dxfId="3068" priority="1635" stopIfTrue="1" operator="equal">
      <formula>"3 - Green"</formula>
    </cfRule>
    <cfRule type="cellIs" dxfId="3067" priority="1636" stopIfTrue="1" operator="equal">
      <formula>"2 - Yellow"</formula>
    </cfRule>
    <cfRule type="cellIs" dxfId="3066" priority="1637" stopIfTrue="1" operator="equal">
      <formula>"1 - Red"</formula>
    </cfRule>
  </conditionalFormatting>
  <conditionalFormatting sqref="L61">
    <cfRule type="cellIs" dxfId="3065" priority="1638" stopIfTrue="1" operator="equal">
      <formula>"1 - Hard Load"</formula>
    </cfRule>
    <cfRule type="cellIs" dxfId="3064" priority="1639" stopIfTrue="1" operator="equal">
      <formula>"3 - Not Loaded"</formula>
    </cfRule>
    <cfRule type="cellIs" dxfId="3063" priority="1640" stopIfTrue="1" operator="equal">
      <formula>"2 - Soft Load"</formula>
    </cfRule>
  </conditionalFormatting>
  <conditionalFormatting sqref="D250">
    <cfRule type="cellIs" dxfId="3062" priority="10815" stopIfTrue="1" operator="equal">
      <formula>D137</formula>
    </cfRule>
  </conditionalFormatting>
  <conditionalFormatting sqref="AS139 AO139">
    <cfRule type="cellIs" dxfId="3061" priority="1610" stopIfTrue="1" operator="equal">
      <formula>"OK"</formula>
    </cfRule>
    <cfRule type="cellIs" dxfId="3060" priority="1611" stopIfTrue="1" operator="equal">
      <formula>"Add"</formula>
    </cfRule>
  </conditionalFormatting>
  <conditionalFormatting sqref="J139">
    <cfRule type="cellIs" dxfId="3059" priority="1612" stopIfTrue="1" operator="equal">
      <formula>"Lockdown"</formula>
    </cfRule>
    <cfRule type="cellIs" dxfId="3058" priority="1613" stopIfTrue="1" operator="equal">
      <formula>"OOM"</formula>
    </cfRule>
    <cfRule type="cellIs" dxfId="3057" priority="1614" stopIfTrue="1" operator="equal">
      <formula>"Placeholder"</formula>
    </cfRule>
  </conditionalFormatting>
  <conditionalFormatting sqref="T139:AA139">
    <cfRule type="cellIs" dxfId="3056" priority="1615" stopIfTrue="1" operator="equal">
      <formula>"Blue - Completed"</formula>
    </cfRule>
    <cfRule type="cellIs" dxfId="3055" priority="1616" stopIfTrue="1" operator="equal">
      <formula>"Green - Started on Sched"</formula>
    </cfRule>
    <cfRule type="cellIs" dxfId="3054" priority="1617" stopIfTrue="1" operator="between">
      <formula>"Q"</formula>
      <formula>"T"</formula>
    </cfRule>
  </conditionalFormatting>
  <conditionalFormatting sqref="G139">
    <cfRule type="cellIs" dxfId="3053" priority="1609" stopIfTrue="1" operator="equal">
      <formula>"4 - Complete"</formula>
    </cfRule>
    <cfRule type="cellIs" dxfId="3052" priority="1618" stopIfTrue="1" operator="equal">
      <formula>"3 - Green"</formula>
    </cfRule>
    <cfRule type="cellIs" dxfId="3051" priority="1619" stopIfTrue="1" operator="equal">
      <formula>"2 - Yellow"</formula>
    </cfRule>
    <cfRule type="cellIs" dxfId="3050" priority="1620" stopIfTrue="1" operator="equal">
      <formula>"1 - Red"</formula>
    </cfRule>
  </conditionalFormatting>
  <conditionalFormatting sqref="L139">
    <cfRule type="cellIs" dxfId="3049" priority="1621" stopIfTrue="1" operator="equal">
      <formula>"1 - Hard Load"</formula>
    </cfRule>
    <cfRule type="cellIs" dxfId="3048" priority="1622" stopIfTrue="1" operator="equal">
      <formula>"3 - Not Loaded"</formula>
    </cfRule>
    <cfRule type="cellIs" dxfId="3047" priority="1623" stopIfTrue="1" operator="equal">
      <formula>"2 - Soft Load"</formula>
    </cfRule>
  </conditionalFormatting>
  <conditionalFormatting sqref="AS18 AO18">
    <cfRule type="cellIs" dxfId="3046" priority="1593" stopIfTrue="1" operator="equal">
      <formula>"OK"</formula>
    </cfRule>
    <cfRule type="cellIs" dxfId="3045" priority="1594" stopIfTrue="1" operator="equal">
      <formula>"Add"</formula>
    </cfRule>
  </conditionalFormatting>
  <conditionalFormatting sqref="J18">
    <cfRule type="cellIs" dxfId="3044" priority="1595" stopIfTrue="1" operator="equal">
      <formula>"Lockdown"</formula>
    </cfRule>
    <cfRule type="cellIs" dxfId="3043" priority="1596" stopIfTrue="1" operator="equal">
      <formula>"OOM"</formula>
    </cfRule>
    <cfRule type="cellIs" dxfId="3042" priority="1597" stopIfTrue="1" operator="equal">
      <formula>"Placeholder"</formula>
    </cfRule>
  </conditionalFormatting>
  <conditionalFormatting sqref="T18:AA18">
    <cfRule type="cellIs" dxfId="3041" priority="1598" stopIfTrue="1" operator="equal">
      <formula>"Blue - Completed"</formula>
    </cfRule>
    <cfRule type="cellIs" dxfId="3040" priority="1599" stopIfTrue="1" operator="equal">
      <formula>"Green - Started on Sched"</formula>
    </cfRule>
    <cfRule type="cellIs" dxfId="3039" priority="1600" stopIfTrue="1" operator="between">
      <formula>"Q"</formula>
      <formula>"T"</formula>
    </cfRule>
  </conditionalFormatting>
  <conditionalFormatting sqref="G18">
    <cfRule type="cellIs" dxfId="3038" priority="1592" stopIfTrue="1" operator="equal">
      <formula>"4 - Complete"</formula>
    </cfRule>
    <cfRule type="cellIs" dxfId="3037" priority="1601" stopIfTrue="1" operator="equal">
      <formula>"3 - Green"</formula>
    </cfRule>
    <cfRule type="cellIs" dxfId="3036" priority="1602" stopIfTrue="1" operator="equal">
      <formula>"2 - Yellow"</formula>
    </cfRule>
    <cfRule type="cellIs" dxfId="3035" priority="1603" stopIfTrue="1" operator="equal">
      <formula>"1 - Red"</formula>
    </cfRule>
  </conditionalFormatting>
  <conditionalFormatting sqref="L18">
    <cfRule type="cellIs" dxfId="3034" priority="1604" stopIfTrue="1" operator="equal">
      <formula>"1 - Hard Load"</formula>
    </cfRule>
    <cfRule type="cellIs" dxfId="3033" priority="1605" stopIfTrue="1" operator="equal">
      <formula>"3 - Not Loaded"</formula>
    </cfRule>
    <cfRule type="cellIs" dxfId="3032" priority="1606" stopIfTrue="1" operator="equal">
      <formula>"2 - Soft Load"</formula>
    </cfRule>
  </conditionalFormatting>
  <conditionalFormatting sqref="D18">
    <cfRule type="cellIs" dxfId="3031" priority="1591" stopIfTrue="1" operator="equal">
      <formula>D645</formula>
    </cfRule>
  </conditionalFormatting>
  <conditionalFormatting sqref="AO114 AS114">
    <cfRule type="cellIs" dxfId="3030" priority="1577" stopIfTrue="1" operator="equal">
      <formula>"OK"</formula>
    </cfRule>
    <cfRule type="cellIs" dxfId="3029" priority="1578" stopIfTrue="1" operator="equal">
      <formula>"Add"</formula>
    </cfRule>
  </conditionalFormatting>
  <conditionalFormatting sqref="J114">
    <cfRule type="cellIs" dxfId="3028" priority="1579" stopIfTrue="1" operator="equal">
      <formula>"Lockdown"</formula>
    </cfRule>
    <cfRule type="cellIs" dxfId="3027" priority="1580" stopIfTrue="1" operator="equal">
      <formula>"OOM"</formula>
    </cfRule>
    <cfRule type="cellIs" dxfId="3026" priority="1581" stopIfTrue="1" operator="equal">
      <formula>"Placeholder"</formula>
    </cfRule>
  </conditionalFormatting>
  <conditionalFormatting sqref="T114:AA114">
    <cfRule type="cellIs" dxfId="3025" priority="1582" stopIfTrue="1" operator="equal">
      <formula>"Blue - Completed"</formula>
    </cfRule>
    <cfRule type="cellIs" dxfId="3024" priority="1583" stopIfTrue="1" operator="equal">
      <formula>"Green - Started on Sched"</formula>
    </cfRule>
    <cfRule type="cellIs" dxfId="3023" priority="1584" stopIfTrue="1" operator="between">
      <formula>"Q"</formula>
      <formula>"T"</formula>
    </cfRule>
  </conditionalFormatting>
  <conditionalFormatting sqref="G114">
    <cfRule type="cellIs" dxfId="3022" priority="1576" stopIfTrue="1" operator="equal">
      <formula>"4 - Complete"</formula>
    </cfRule>
    <cfRule type="cellIs" dxfId="3021" priority="1585" stopIfTrue="1" operator="equal">
      <formula>"3 - Green"</formula>
    </cfRule>
    <cfRule type="cellIs" dxfId="3020" priority="1586" stopIfTrue="1" operator="equal">
      <formula>"2 - Yellow"</formula>
    </cfRule>
    <cfRule type="cellIs" dxfId="3019" priority="1587" stopIfTrue="1" operator="equal">
      <formula>"1 - Red"</formula>
    </cfRule>
  </conditionalFormatting>
  <conditionalFormatting sqref="L114">
    <cfRule type="cellIs" dxfId="3018" priority="1588" stopIfTrue="1" operator="equal">
      <formula>"1 - Hard Load"</formula>
    </cfRule>
    <cfRule type="cellIs" dxfId="3017" priority="1589" stopIfTrue="1" operator="equal">
      <formula>"3 - Not Loaded"</formula>
    </cfRule>
    <cfRule type="cellIs" dxfId="3016" priority="1590" stopIfTrue="1" operator="equal">
      <formula>"2 - Soft Load"</formula>
    </cfRule>
  </conditionalFormatting>
  <conditionalFormatting sqref="D1749">
    <cfRule type="cellIs" dxfId="3015" priority="1560" stopIfTrue="1" operator="equal">
      <formula>D613</formula>
    </cfRule>
  </conditionalFormatting>
  <conditionalFormatting sqref="AS1749 AO1749">
    <cfRule type="cellIs" dxfId="3014" priority="1561" stopIfTrue="1" operator="equal">
      <formula>"OK"</formula>
    </cfRule>
    <cfRule type="cellIs" dxfId="3013" priority="1562" stopIfTrue="1" operator="equal">
      <formula>"Add"</formula>
    </cfRule>
  </conditionalFormatting>
  <conditionalFormatting sqref="J1749">
    <cfRule type="cellIs" dxfId="3012" priority="1563" stopIfTrue="1" operator="equal">
      <formula>"Lockdown"</formula>
    </cfRule>
    <cfRule type="cellIs" dxfId="3011" priority="1564" stopIfTrue="1" operator="equal">
      <formula>"OOM"</formula>
    </cfRule>
    <cfRule type="cellIs" dxfId="3010" priority="1565" stopIfTrue="1" operator="equal">
      <formula>"Placeholder"</formula>
    </cfRule>
  </conditionalFormatting>
  <conditionalFormatting sqref="T1749:AA1749">
    <cfRule type="cellIs" dxfId="3009" priority="1566" stopIfTrue="1" operator="equal">
      <formula>"Blue - Completed"</formula>
    </cfRule>
    <cfRule type="cellIs" dxfId="3008" priority="1567" stopIfTrue="1" operator="equal">
      <formula>"Green - Started on Sched"</formula>
    </cfRule>
    <cfRule type="cellIs" dxfId="3007" priority="1568" stopIfTrue="1" operator="between">
      <formula>"Q"</formula>
      <formula>"T"</formula>
    </cfRule>
  </conditionalFormatting>
  <conditionalFormatting sqref="G1749">
    <cfRule type="cellIs" dxfId="3006" priority="1559" stopIfTrue="1" operator="equal">
      <formula>"4 - Complete"</formula>
    </cfRule>
    <cfRule type="cellIs" dxfId="3005" priority="1569" stopIfTrue="1" operator="equal">
      <formula>"3 - Green"</formula>
    </cfRule>
    <cfRule type="cellIs" dxfId="3004" priority="1570" stopIfTrue="1" operator="equal">
      <formula>"2 - Yellow"</formula>
    </cfRule>
    <cfRule type="cellIs" dxfId="3003" priority="1571" stopIfTrue="1" operator="equal">
      <formula>"1 - Red"</formula>
    </cfRule>
  </conditionalFormatting>
  <conditionalFormatting sqref="L1749">
    <cfRule type="cellIs" dxfId="3002" priority="1572" stopIfTrue="1" operator="equal">
      <formula>"1 - Hard Load"</formula>
    </cfRule>
    <cfRule type="cellIs" dxfId="3001" priority="1573" stopIfTrue="1" operator="equal">
      <formula>"3 - Not Loaded"</formula>
    </cfRule>
    <cfRule type="cellIs" dxfId="3000" priority="1574" stopIfTrue="1" operator="equal">
      <formula>"2 - Soft Load"</formula>
    </cfRule>
  </conditionalFormatting>
  <conditionalFormatting sqref="AO84 AS84">
    <cfRule type="cellIs" dxfId="2999" priority="1544" stopIfTrue="1" operator="equal">
      <formula>"OK"</formula>
    </cfRule>
    <cfRule type="cellIs" dxfId="2998" priority="1545" stopIfTrue="1" operator="equal">
      <formula>"Add"</formula>
    </cfRule>
  </conditionalFormatting>
  <conditionalFormatting sqref="J84">
    <cfRule type="cellIs" dxfId="2997" priority="1546" stopIfTrue="1" operator="equal">
      <formula>"Lockdown"</formula>
    </cfRule>
    <cfRule type="cellIs" dxfId="2996" priority="1547" stopIfTrue="1" operator="equal">
      <formula>"OOM"</formula>
    </cfRule>
    <cfRule type="cellIs" dxfId="2995" priority="1548" stopIfTrue="1" operator="equal">
      <formula>"Placeholder"</formula>
    </cfRule>
  </conditionalFormatting>
  <conditionalFormatting sqref="T84:AA84">
    <cfRule type="cellIs" dxfId="2994" priority="1549" stopIfTrue="1" operator="equal">
      <formula>"Blue - Completed"</formula>
    </cfRule>
    <cfRule type="cellIs" dxfId="2993" priority="1550" stopIfTrue="1" operator="equal">
      <formula>"Green - Started on Sched"</formula>
    </cfRule>
    <cfRule type="cellIs" dxfId="2992" priority="1551" stopIfTrue="1" operator="between">
      <formula>"Q"</formula>
      <formula>"T"</formula>
    </cfRule>
  </conditionalFormatting>
  <conditionalFormatting sqref="G84">
    <cfRule type="cellIs" dxfId="2991" priority="1542" stopIfTrue="1" operator="equal">
      <formula>"4 - Complete"</formula>
    </cfRule>
    <cfRule type="cellIs" dxfId="2990" priority="1552" stopIfTrue="1" operator="equal">
      <formula>"3 - Green"</formula>
    </cfRule>
    <cfRule type="cellIs" dxfId="2989" priority="1553" stopIfTrue="1" operator="equal">
      <formula>"2 - Yellow"</formula>
    </cfRule>
    <cfRule type="cellIs" dxfId="2988" priority="1554" stopIfTrue="1" operator="equal">
      <formula>"1 - Red"</formula>
    </cfRule>
  </conditionalFormatting>
  <conditionalFormatting sqref="L84">
    <cfRule type="cellIs" dxfId="2987" priority="1555" stopIfTrue="1" operator="equal">
      <formula>"1 - Hard Load"</formula>
    </cfRule>
    <cfRule type="cellIs" dxfId="2986" priority="1556" stopIfTrue="1" operator="equal">
      <formula>"3 - Not Loaded"</formula>
    </cfRule>
    <cfRule type="cellIs" dxfId="2985" priority="1557" stopIfTrue="1" operator="equal">
      <formula>"2 - Soft Load"</formula>
    </cfRule>
  </conditionalFormatting>
  <conditionalFormatting sqref="AO126 AS126">
    <cfRule type="cellIs" dxfId="2984" priority="1528" stopIfTrue="1" operator="equal">
      <formula>"OK"</formula>
    </cfRule>
    <cfRule type="cellIs" dxfId="2983" priority="1529" stopIfTrue="1" operator="equal">
      <formula>"Add"</formula>
    </cfRule>
  </conditionalFormatting>
  <conditionalFormatting sqref="J126">
    <cfRule type="cellIs" dxfId="2982" priority="1530" stopIfTrue="1" operator="equal">
      <formula>"Lockdown"</formula>
    </cfRule>
    <cfRule type="cellIs" dxfId="2981" priority="1531" stopIfTrue="1" operator="equal">
      <formula>"OOM"</formula>
    </cfRule>
    <cfRule type="cellIs" dxfId="2980" priority="1532" stopIfTrue="1" operator="equal">
      <formula>"Placeholder"</formula>
    </cfRule>
  </conditionalFormatting>
  <conditionalFormatting sqref="T126:AA126">
    <cfRule type="cellIs" dxfId="2979" priority="1533" stopIfTrue="1" operator="equal">
      <formula>"Blue - Completed"</formula>
    </cfRule>
    <cfRule type="cellIs" dxfId="2978" priority="1534" stopIfTrue="1" operator="equal">
      <formula>"Green - Started on Sched"</formula>
    </cfRule>
    <cfRule type="cellIs" dxfId="2977" priority="1535" stopIfTrue="1" operator="between">
      <formula>"Q"</formula>
      <formula>"T"</formula>
    </cfRule>
  </conditionalFormatting>
  <conditionalFormatting sqref="G126">
    <cfRule type="cellIs" dxfId="2976" priority="1527" stopIfTrue="1" operator="equal">
      <formula>"4 - Complete"</formula>
    </cfRule>
    <cfRule type="cellIs" dxfId="2975" priority="1536" stopIfTrue="1" operator="equal">
      <formula>"3 - Green"</formula>
    </cfRule>
    <cfRule type="cellIs" dxfId="2974" priority="1537" stopIfTrue="1" operator="equal">
      <formula>"2 - Yellow"</formula>
    </cfRule>
    <cfRule type="cellIs" dxfId="2973" priority="1538" stopIfTrue="1" operator="equal">
      <formula>"1 - Red"</formula>
    </cfRule>
  </conditionalFormatting>
  <conditionalFormatting sqref="L126">
    <cfRule type="cellIs" dxfId="2972" priority="1539" stopIfTrue="1" operator="equal">
      <formula>"1 - Hard Load"</formula>
    </cfRule>
    <cfRule type="cellIs" dxfId="2971" priority="1540" stopIfTrue="1" operator="equal">
      <formula>"3 - Not Loaded"</formula>
    </cfRule>
    <cfRule type="cellIs" dxfId="2970" priority="1541" stopIfTrue="1" operator="equal">
      <formula>"2 - Soft Load"</formula>
    </cfRule>
  </conditionalFormatting>
  <conditionalFormatting sqref="AO93 AS93">
    <cfRule type="cellIs" dxfId="2969" priority="1511" stopIfTrue="1" operator="equal">
      <formula>"OK"</formula>
    </cfRule>
    <cfRule type="cellIs" dxfId="2968" priority="1512" stopIfTrue="1" operator="equal">
      <formula>"Add"</formula>
    </cfRule>
  </conditionalFormatting>
  <conditionalFormatting sqref="J93">
    <cfRule type="cellIs" dxfId="2967" priority="1513" stopIfTrue="1" operator="equal">
      <formula>"Lockdown"</formula>
    </cfRule>
    <cfRule type="cellIs" dxfId="2966" priority="1514" stopIfTrue="1" operator="equal">
      <formula>"OOM"</formula>
    </cfRule>
    <cfRule type="cellIs" dxfId="2965" priority="1515" stopIfTrue="1" operator="equal">
      <formula>"Placeholder"</formula>
    </cfRule>
  </conditionalFormatting>
  <conditionalFormatting sqref="T93:AA93">
    <cfRule type="cellIs" dxfId="2964" priority="1516" stopIfTrue="1" operator="equal">
      <formula>"Blue - Completed"</formula>
    </cfRule>
    <cfRule type="cellIs" dxfId="2963" priority="1517" stopIfTrue="1" operator="equal">
      <formula>"Green - Started on Sched"</formula>
    </cfRule>
    <cfRule type="cellIs" dxfId="2962" priority="1518" stopIfTrue="1" operator="between">
      <formula>"Q"</formula>
      <formula>"T"</formula>
    </cfRule>
  </conditionalFormatting>
  <conditionalFormatting sqref="G93">
    <cfRule type="cellIs" dxfId="2961" priority="1510" stopIfTrue="1" operator="equal">
      <formula>"4 - Complete"</formula>
    </cfRule>
    <cfRule type="cellIs" dxfId="2960" priority="1519" stopIfTrue="1" operator="equal">
      <formula>"3 - Green"</formula>
    </cfRule>
    <cfRule type="cellIs" dxfId="2959" priority="1520" stopIfTrue="1" operator="equal">
      <formula>"2 - Yellow"</formula>
    </cfRule>
    <cfRule type="cellIs" dxfId="2958" priority="1521" stopIfTrue="1" operator="equal">
      <formula>"1 - Red"</formula>
    </cfRule>
  </conditionalFormatting>
  <conditionalFormatting sqref="L93">
    <cfRule type="cellIs" dxfId="2957" priority="1522" stopIfTrue="1" operator="equal">
      <formula>"1 - Hard Load"</formula>
    </cfRule>
    <cfRule type="cellIs" dxfId="2956" priority="1523" stopIfTrue="1" operator="equal">
      <formula>"3 - Not Loaded"</formula>
    </cfRule>
    <cfRule type="cellIs" dxfId="2955" priority="1524" stopIfTrue="1" operator="equal">
      <formula>"2 - Soft Load"</formula>
    </cfRule>
  </conditionalFormatting>
  <conditionalFormatting sqref="AO177 AS177">
    <cfRule type="cellIs" dxfId="2954" priority="1495" stopIfTrue="1" operator="equal">
      <formula>"OK"</formula>
    </cfRule>
    <cfRule type="cellIs" dxfId="2953" priority="1496" stopIfTrue="1" operator="equal">
      <formula>"Add"</formula>
    </cfRule>
  </conditionalFormatting>
  <conditionalFormatting sqref="J177">
    <cfRule type="cellIs" dxfId="2952" priority="1497" stopIfTrue="1" operator="equal">
      <formula>"Lockdown"</formula>
    </cfRule>
    <cfRule type="cellIs" dxfId="2951" priority="1498" stopIfTrue="1" operator="equal">
      <formula>"OOM"</formula>
    </cfRule>
    <cfRule type="cellIs" dxfId="2950" priority="1499" stopIfTrue="1" operator="equal">
      <formula>"Placeholder"</formula>
    </cfRule>
  </conditionalFormatting>
  <conditionalFormatting sqref="T177:AA177">
    <cfRule type="cellIs" dxfId="2949" priority="1500" stopIfTrue="1" operator="equal">
      <formula>"Blue - Completed"</formula>
    </cfRule>
    <cfRule type="cellIs" dxfId="2948" priority="1501" stopIfTrue="1" operator="equal">
      <formula>"Green - Started on Sched"</formula>
    </cfRule>
    <cfRule type="cellIs" dxfId="2947" priority="1502" stopIfTrue="1" operator="between">
      <formula>"Q"</formula>
      <formula>"T"</formula>
    </cfRule>
  </conditionalFormatting>
  <conditionalFormatting sqref="G177">
    <cfRule type="cellIs" dxfId="2946" priority="1493" stopIfTrue="1" operator="equal">
      <formula>"4 - Complete"</formula>
    </cfRule>
    <cfRule type="cellIs" dxfId="2945" priority="1503" stopIfTrue="1" operator="equal">
      <formula>"3 - Green"</formula>
    </cfRule>
    <cfRule type="cellIs" dxfId="2944" priority="1504" stopIfTrue="1" operator="equal">
      <formula>"2 - Yellow"</formula>
    </cfRule>
    <cfRule type="cellIs" dxfId="2943" priority="1505" stopIfTrue="1" operator="equal">
      <formula>"1 - Red"</formula>
    </cfRule>
  </conditionalFormatting>
  <conditionalFormatting sqref="L177">
    <cfRule type="cellIs" dxfId="2942" priority="1506" stopIfTrue="1" operator="equal">
      <formula>"1 - Hard Load"</formula>
    </cfRule>
    <cfRule type="cellIs" dxfId="2941" priority="1507" stopIfTrue="1" operator="equal">
      <formula>"3 - Not Loaded"</formula>
    </cfRule>
    <cfRule type="cellIs" dxfId="2940" priority="1508" stopIfTrue="1" operator="equal">
      <formula>"2 - Soft Load"</formula>
    </cfRule>
  </conditionalFormatting>
  <conditionalFormatting sqref="AO3230:AO3231 AS3230:AS3231">
    <cfRule type="cellIs" dxfId="2939" priority="1476" stopIfTrue="1" operator="equal">
      <formula>"OK"</formula>
    </cfRule>
    <cfRule type="cellIs" dxfId="2938" priority="1477" stopIfTrue="1" operator="equal">
      <formula>"Add"</formula>
    </cfRule>
  </conditionalFormatting>
  <conditionalFormatting sqref="J3230:J3231">
    <cfRule type="cellIs" dxfId="2937" priority="1478" stopIfTrue="1" operator="equal">
      <formula>"Lockdown"</formula>
    </cfRule>
    <cfRule type="cellIs" dxfId="2936" priority="1479" stopIfTrue="1" operator="equal">
      <formula>"OOM"</formula>
    </cfRule>
    <cfRule type="cellIs" dxfId="2935" priority="1480" stopIfTrue="1" operator="equal">
      <formula>"Placeholder"</formula>
    </cfRule>
  </conditionalFormatting>
  <conditionalFormatting sqref="T3230:AA3231">
    <cfRule type="cellIs" dxfId="2934" priority="1481" stopIfTrue="1" operator="equal">
      <formula>"Blue - Completed"</formula>
    </cfRule>
    <cfRule type="cellIs" dxfId="2933" priority="1482" stopIfTrue="1" operator="equal">
      <formula>"Green - Started on Sched"</formula>
    </cfRule>
    <cfRule type="cellIs" dxfId="2932" priority="1483" stopIfTrue="1" operator="between">
      <formula>"Q"</formula>
      <formula>"T"</formula>
    </cfRule>
  </conditionalFormatting>
  <conditionalFormatting sqref="G3230:G3231">
    <cfRule type="cellIs" dxfId="2931" priority="1475" stopIfTrue="1" operator="equal">
      <formula>"4 - Complete"</formula>
    </cfRule>
    <cfRule type="cellIs" dxfId="2930" priority="1484" stopIfTrue="1" operator="equal">
      <formula>"3 - Green"</formula>
    </cfRule>
    <cfRule type="cellIs" dxfId="2929" priority="1485" stopIfTrue="1" operator="equal">
      <formula>"2 - Yellow"</formula>
    </cfRule>
    <cfRule type="cellIs" dxfId="2928" priority="1486" stopIfTrue="1" operator="equal">
      <formula>"1 - Red"</formula>
    </cfRule>
  </conditionalFormatting>
  <conditionalFormatting sqref="L3230:L3231">
    <cfRule type="cellIs" dxfId="2927" priority="1487" stopIfTrue="1" operator="equal">
      <formula>"1 - Hard Load"</formula>
    </cfRule>
    <cfRule type="cellIs" dxfId="2926" priority="1488" stopIfTrue="1" operator="equal">
      <formula>"3 - Not Loaded"</formula>
    </cfRule>
    <cfRule type="cellIs" dxfId="2925" priority="1489" stopIfTrue="1" operator="equal">
      <formula>"2 - Soft Load"</formula>
    </cfRule>
  </conditionalFormatting>
  <conditionalFormatting sqref="D3230:D3231">
    <cfRule type="cellIs" dxfId="2924" priority="1490" stopIfTrue="1" operator="equal">
      <formula>D1264</formula>
    </cfRule>
  </conditionalFormatting>
  <conditionalFormatting sqref="D3230:D3231">
    <cfRule type="cellIs" dxfId="2923" priority="1474" stopIfTrue="1" operator="equal">
      <formula>D1267</formula>
    </cfRule>
  </conditionalFormatting>
  <conditionalFormatting sqref="D3230:D3231">
    <cfRule type="cellIs" dxfId="2922" priority="1473" stopIfTrue="1" operator="equal">
      <formula>D1267</formula>
    </cfRule>
  </conditionalFormatting>
  <conditionalFormatting sqref="D3231">
    <cfRule type="cellIs" dxfId="2921" priority="1472" stopIfTrue="1" operator="equal">
      <formula>D1268</formula>
    </cfRule>
  </conditionalFormatting>
  <conditionalFormatting sqref="D3232">
    <cfRule type="cellIs" dxfId="2920" priority="1471" stopIfTrue="1" operator="equal">
      <formula>D1269</formula>
    </cfRule>
  </conditionalFormatting>
  <conditionalFormatting sqref="AS3232 AO3232">
    <cfRule type="cellIs" dxfId="2919" priority="1457" stopIfTrue="1" operator="equal">
      <formula>"OK"</formula>
    </cfRule>
    <cfRule type="cellIs" dxfId="2918" priority="1458" stopIfTrue="1" operator="equal">
      <formula>"Add"</formula>
    </cfRule>
  </conditionalFormatting>
  <conditionalFormatting sqref="J3232">
    <cfRule type="cellIs" dxfId="2917" priority="1459" stopIfTrue="1" operator="equal">
      <formula>"Lockdown"</formula>
    </cfRule>
    <cfRule type="cellIs" dxfId="2916" priority="1460" stopIfTrue="1" operator="equal">
      <formula>"OOM"</formula>
    </cfRule>
    <cfRule type="cellIs" dxfId="2915" priority="1461" stopIfTrue="1" operator="equal">
      <formula>"Placeholder"</formula>
    </cfRule>
  </conditionalFormatting>
  <conditionalFormatting sqref="T3232:AA3232">
    <cfRule type="cellIs" dxfId="2914" priority="1462" stopIfTrue="1" operator="equal">
      <formula>"Blue - Completed"</formula>
    </cfRule>
    <cfRule type="cellIs" dxfId="2913" priority="1463" stopIfTrue="1" operator="equal">
      <formula>"Green - Started on Sched"</formula>
    </cfRule>
    <cfRule type="cellIs" dxfId="2912" priority="1464" stopIfTrue="1" operator="between">
      <formula>"Q"</formula>
      <formula>"T"</formula>
    </cfRule>
  </conditionalFormatting>
  <conditionalFormatting sqref="G3232">
    <cfRule type="cellIs" dxfId="2911" priority="1456" stopIfTrue="1" operator="equal">
      <formula>"4 - Complete"</formula>
    </cfRule>
    <cfRule type="cellIs" dxfId="2910" priority="1465" stopIfTrue="1" operator="equal">
      <formula>"3 - Green"</formula>
    </cfRule>
    <cfRule type="cellIs" dxfId="2909" priority="1466" stopIfTrue="1" operator="equal">
      <formula>"2 - Yellow"</formula>
    </cfRule>
    <cfRule type="cellIs" dxfId="2908" priority="1467" stopIfTrue="1" operator="equal">
      <formula>"1 - Red"</formula>
    </cfRule>
  </conditionalFormatting>
  <conditionalFormatting sqref="L3232">
    <cfRule type="cellIs" dxfId="2907" priority="1468" stopIfTrue="1" operator="equal">
      <formula>"1 - Hard Load"</formula>
    </cfRule>
    <cfRule type="cellIs" dxfId="2906" priority="1469" stopIfTrue="1" operator="equal">
      <formula>"3 - Not Loaded"</formula>
    </cfRule>
    <cfRule type="cellIs" dxfId="2905" priority="1470" stopIfTrue="1" operator="equal">
      <formula>"2 - Soft Load"</formula>
    </cfRule>
  </conditionalFormatting>
  <conditionalFormatting sqref="D3234">
    <cfRule type="cellIs" dxfId="2904" priority="1437" stopIfTrue="1" operator="equal">
      <formula>D1271</formula>
    </cfRule>
  </conditionalFormatting>
  <conditionalFormatting sqref="AO3233:AO3236 AS3233:AS3236">
    <cfRule type="cellIs" dxfId="2903" priority="1441" stopIfTrue="1" operator="equal">
      <formula>"OK"</formula>
    </cfRule>
    <cfRule type="cellIs" dxfId="2902" priority="1442" stopIfTrue="1" operator="equal">
      <formula>"Add"</formula>
    </cfRule>
  </conditionalFormatting>
  <conditionalFormatting sqref="J3233:J3236">
    <cfRule type="cellIs" dxfId="2901" priority="1443" stopIfTrue="1" operator="equal">
      <formula>"Lockdown"</formula>
    </cfRule>
    <cfRule type="cellIs" dxfId="2900" priority="1444" stopIfTrue="1" operator="equal">
      <formula>"OOM"</formula>
    </cfRule>
    <cfRule type="cellIs" dxfId="2899" priority="1445" stopIfTrue="1" operator="equal">
      <formula>"Placeholder"</formula>
    </cfRule>
  </conditionalFormatting>
  <conditionalFormatting sqref="T3233:AA3236">
    <cfRule type="cellIs" dxfId="2898" priority="1446" stopIfTrue="1" operator="equal">
      <formula>"Blue - Completed"</formula>
    </cfRule>
    <cfRule type="cellIs" dxfId="2897" priority="1447" stopIfTrue="1" operator="equal">
      <formula>"Green - Started on Sched"</formula>
    </cfRule>
    <cfRule type="cellIs" dxfId="2896" priority="1448" stopIfTrue="1" operator="between">
      <formula>"Q"</formula>
      <formula>"T"</formula>
    </cfRule>
  </conditionalFormatting>
  <conditionalFormatting sqref="G3233:G3236">
    <cfRule type="cellIs" dxfId="2895" priority="1440" stopIfTrue="1" operator="equal">
      <formula>"4 - Complete"</formula>
    </cfRule>
    <cfRule type="cellIs" dxfId="2894" priority="1449" stopIfTrue="1" operator="equal">
      <formula>"3 - Green"</formula>
    </cfRule>
    <cfRule type="cellIs" dxfId="2893" priority="1450" stopIfTrue="1" operator="equal">
      <formula>"2 - Yellow"</formula>
    </cfRule>
    <cfRule type="cellIs" dxfId="2892" priority="1451" stopIfTrue="1" operator="equal">
      <formula>"1 - Red"</formula>
    </cfRule>
  </conditionalFormatting>
  <conditionalFormatting sqref="L3233:L3236">
    <cfRule type="cellIs" dxfId="2891" priority="1452" stopIfTrue="1" operator="equal">
      <formula>"1 - Hard Load"</formula>
    </cfRule>
    <cfRule type="cellIs" dxfId="2890" priority="1453" stopIfTrue="1" operator="equal">
      <formula>"3 - Not Loaded"</formula>
    </cfRule>
    <cfRule type="cellIs" dxfId="2889" priority="1454" stopIfTrue="1" operator="equal">
      <formula>"2 - Soft Load"</formula>
    </cfRule>
  </conditionalFormatting>
  <conditionalFormatting sqref="D3232:D3236">
    <cfRule type="cellIs" dxfId="2888" priority="1455" stopIfTrue="1" operator="equal">
      <formula>D1266</formula>
    </cfRule>
  </conditionalFormatting>
  <conditionalFormatting sqref="D3233:D3236">
    <cfRule type="cellIs" dxfId="2887" priority="1439" stopIfTrue="1" operator="equal">
      <formula>D1270</formula>
    </cfRule>
  </conditionalFormatting>
  <conditionalFormatting sqref="D3233:D3236">
    <cfRule type="cellIs" dxfId="2886" priority="1438" stopIfTrue="1" operator="equal">
      <formula>D1270</formula>
    </cfRule>
  </conditionalFormatting>
  <conditionalFormatting sqref="D3236">
    <cfRule type="cellIs" dxfId="2885" priority="1436" stopIfTrue="1" operator="equal">
      <formula>D1273</formula>
    </cfRule>
  </conditionalFormatting>
  <conditionalFormatting sqref="D3237">
    <cfRule type="cellIs" dxfId="2884" priority="1435" stopIfTrue="1" operator="equal">
      <formula>D1274</formula>
    </cfRule>
  </conditionalFormatting>
  <conditionalFormatting sqref="AS3237 AO3237">
    <cfRule type="cellIs" dxfId="2883" priority="1421" stopIfTrue="1" operator="equal">
      <formula>"OK"</formula>
    </cfRule>
    <cfRule type="cellIs" dxfId="2882" priority="1422" stopIfTrue="1" operator="equal">
      <formula>"Add"</formula>
    </cfRule>
  </conditionalFormatting>
  <conditionalFormatting sqref="J3237">
    <cfRule type="cellIs" dxfId="2881" priority="1423" stopIfTrue="1" operator="equal">
      <formula>"Lockdown"</formula>
    </cfRule>
    <cfRule type="cellIs" dxfId="2880" priority="1424" stopIfTrue="1" operator="equal">
      <formula>"OOM"</formula>
    </cfRule>
    <cfRule type="cellIs" dxfId="2879" priority="1425" stopIfTrue="1" operator="equal">
      <formula>"Placeholder"</formula>
    </cfRule>
  </conditionalFormatting>
  <conditionalFormatting sqref="T3237:AA3237">
    <cfRule type="cellIs" dxfId="2878" priority="1426" stopIfTrue="1" operator="equal">
      <formula>"Blue - Completed"</formula>
    </cfRule>
    <cfRule type="cellIs" dxfId="2877" priority="1427" stopIfTrue="1" operator="equal">
      <formula>"Green - Started on Sched"</formula>
    </cfRule>
    <cfRule type="cellIs" dxfId="2876" priority="1428" stopIfTrue="1" operator="between">
      <formula>"Q"</formula>
      <formula>"T"</formula>
    </cfRule>
  </conditionalFormatting>
  <conditionalFormatting sqref="G3237">
    <cfRule type="cellIs" dxfId="2875" priority="1420" stopIfTrue="1" operator="equal">
      <formula>"4 - Complete"</formula>
    </cfRule>
    <cfRule type="cellIs" dxfId="2874" priority="1429" stopIfTrue="1" operator="equal">
      <formula>"3 - Green"</formula>
    </cfRule>
    <cfRule type="cellIs" dxfId="2873" priority="1430" stopIfTrue="1" operator="equal">
      <formula>"2 - Yellow"</formula>
    </cfRule>
    <cfRule type="cellIs" dxfId="2872" priority="1431" stopIfTrue="1" operator="equal">
      <formula>"1 - Red"</formula>
    </cfRule>
  </conditionalFormatting>
  <conditionalFormatting sqref="L3237">
    <cfRule type="cellIs" dxfId="2871" priority="1432" stopIfTrue="1" operator="equal">
      <formula>"1 - Hard Load"</formula>
    </cfRule>
    <cfRule type="cellIs" dxfId="2870" priority="1433" stopIfTrue="1" operator="equal">
      <formula>"3 - Not Loaded"</formula>
    </cfRule>
    <cfRule type="cellIs" dxfId="2869" priority="1434" stopIfTrue="1" operator="equal">
      <formula>"2 - Soft Load"</formula>
    </cfRule>
  </conditionalFormatting>
  <conditionalFormatting sqref="D3239">
    <cfRule type="cellIs" dxfId="2868" priority="1401" stopIfTrue="1" operator="equal">
      <formula>D1276</formula>
    </cfRule>
  </conditionalFormatting>
  <conditionalFormatting sqref="AO3238:AO3241 AS3238:AS3241">
    <cfRule type="cellIs" dxfId="2867" priority="1405" stopIfTrue="1" operator="equal">
      <formula>"OK"</formula>
    </cfRule>
    <cfRule type="cellIs" dxfId="2866" priority="1406" stopIfTrue="1" operator="equal">
      <formula>"Add"</formula>
    </cfRule>
  </conditionalFormatting>
  <conditionalFormatting sqref="J3238:J3241">
    <cfRule type="cellIs" dxfId="2865" priority="1407" stopIfTrue="1" operator="equal">
      <formula>"Lockdown"</formula>
    </cfRule>
    <cfRule type="cellIs" dxfId="2864" priority="1408" stopIfTrue="1" operator="equal">
      <formula>"OOM"</formula>
    </cfRule>
    <cfRule type="cellIs" dxfId="2863" priority="1409" stopIfTrue="1" operator="equal">
      <formula>"Placeholder"</formula>
    </cfRule>
  </conditionalFormatting>
  <conditionalFormatting sqref="T3238:AA3241">
    <cfRule type="cellIs" dxfId="2862" priority="1410" stopIfTrue="1" operator="equal">
      <formula>"Blue - Completed"</formula>
    </cfRule>
    <cfRule type="cellIs" dxfId="2861" priority="1411" stopIfTrue="1" operator="equal">
      <formula>"Green - Started on Sched"</formula>
    </cfRule>
    <cfRule type="cellIs" dxfId="2860" priority="1412" stopIfTrue="1" operator="between">
      <formula>"Q"</formula>
      <formula>"T"</formula>
    </cfRule>
  </conditionalFormatting>
  <conditionalFormatting sqref="G3238:G3241">
    <cfRule type="cellIs" dxfId="2859" priority="1404" stopIfTrue="1" operator="equal">
      <formula>"4 - Complete"</formula>
    </cfRule>
    <cfRule type="cellIs" dxfId="2858" priority="1413" stopIfTrue="1" operator="equal">
      <formula>"3 - Green"</formula>
    </cfRule>
    <cfRule type="cellIs" dxfId="2857" priority="1414" stopIfTrue="1" operator="equal">
      <formula>"2 - Yellow"</formula>
    </cfRule>
    <cfRule type="cellIs" dxfId="2856" priority="1415" stopIfTrue="1" operator="equal">
      <formula>"1 - Red"</formula>
    </cfRule>
  </conditionalFormatting>
  <conditionalFormatting sqref="L3238:L3241">
    <cfRule type="cellIs" dxfId="2855" priority="1416" stopIfTrue="1" operator="equal">
      <formula>"1 - Hard Load"</formula>
    </cfRule>
    <cfRule type="cellIs" dxfId="2854" priority="1417" stopIfTrue="1" operator="equal">
      <formula>"3 - Not Loaded"</formula>
    </cfRule>
    <cfRule type="cellIs" dxfId="2853" priority="1418" stopIfTrue="1" operator="equal">
      <formula>"2 - Soft Load"</formula>
    </cfRule>
  </conditionalFormatting>
  <conditionalFormatting sqref="D3237:D3241">
    <cfRule type="cellIs" dxfId="2852" priority="1419" stopIfTrue="1" operator="equal">
      <formula>D1271</formula>
    </cfRule>
  </conditionalFormatting>
  <conditionalFormatting sqref="D3238:D3241">
    <cfRule type="cellIs" dxfId="2851" priority="1403" stopIfTrue="1" operator="equal">
      <formula>D1275</formula>
    </cfRule>
  </conditionalFormatting>
  <conditionalFormatting sqref="D3238:D3241">
    <cfRule type="cellIs" dxfId="2850" priority="1402" stopIfTrue="1" operator="equal">
      <formula>D1275</formula>
    </cfRule>
  </conditionalFormatting>
  <conditionalFormatting sqref="D3241">
    <cfRule type="cellIs" dxfId="2849" priority="1400" stopIfTrue="1" operator="equal">
      <formula>D1278</formula>
    </cfRule>
  </conditionalFormatting>
  <conditionalFormatting sqref="D87">
    <cfRule type="cellIs" dxfId="2848" priority="1385" stopIfTrue="1" operator="equal">
      <formula>D81</formula>
    </cfRule>
  </conditionalFormatting>
  <conditionalFormatting sqref="AS87 AO87">
    <cfRule type="cellIs" dxfId="2847" priority="1386" stopIfTrue="1" operator="equal">
      <formula>"OK"</formula>
    </cfRule>
    <cfRule type="cellIs" dxfId="2846" priority="1387" stopIfTrue="1" operator="equal">
      <formula>"Add"</formula>
    </cfRule>
  </conditionalFormatting>
  <conditionalFormatting sqref="J87">
    <cfRule type="cellIs" dxfId="2845" priority="1388" stopIfTrue="1" operator="equal">
      <formula>"Lockdown"</formula>
    </cfRule>
    <cfRule type="cellIs" dxfId="2844" priority="1389" stopIfTrue="1" operator="equal">
      <formula>"OOM"</formula>
    </cfRule>
    <cfRule type="cellIs" dxfId="2843" priority="1390" stopIfTrue="1" operator="equal">
      <formula>"Placeholder"</formula>
    </cfRule>
  </conditionalFormatting>
  <conditionalFormatting sqref="T87:AA87">
    <cfRule type="cellIs" dxfId="2842" priority="1391" stopIfTrue="1" operator="equal">
      <formula>"Blue - Completed"</formula>
    </cfRule>
    <cfRule type="cellIs" dxfId="2841" priority="1392" stopIfTrue="1" operator="equal">
      <formula>"Green - Started on Sched"</formula>
    </cfRule>
    <cfRule type="cellIs" dxfId="2840" priority="1393" stopIfTrue="1" operator="between">
      <formula>"Q"</formula>
      <formula>"T"</formula>
    </cfRule>
  </conditionalFormatting>
  <conditionalFormatting sqref="G87">
    <cfRule type="cellIs" dxfId="2839" priority="1384" stopIfTrue="1" operator="equal">
      <formula>"4 - Complete"</formula>
    </cfRule>
    <cfRule type="cellIs" dxfId="2838" priority="1394" stopIfTrue="1" operator="equal">
      <formula>"3 - Green"</formula>
    </cfRule>
    <cfRule type="cellIs" dxfId="2837" priority="1395" stopIfTrue="1" operator="equal">
      <formula>"2 - Yellow"</formula>
    </cfRule>
    <cfRule type="cellIs" dxfId="2836" priority="1396" stopIfTrue="1" operator="equal">
      <formula>"1 - Red"</formula>
    </cfRule>
  </conditionalFormatting>
  <conditionalFormatting sqref="L87">
    <cfRule type="cellIs" dxfId="2835" priority="1397" stopIfTrue="1" operator="equal">
      <formula>"1 - Hard Load"</formula>
    </cfRule>
    <cfRule type="cellIs" dxfId="2834" priority="1398" stopIfTrue="1" operator="equal">
      <formula>"3 - Not Loaded"</formula>
    </cfRule>
    <cfRule type="cellIs" dxfId="2833" priority="1399" stopIfTrue="1" operator="equal">
      <formula>"2 - Soft Load"</formula>
    </cfRule>
  </conditionalFormatting>
  <conditionalFormatting sqref="AO3242:AO3243 AS3242:AS3243">
    <cfRule type="cellIs" dxfId="2832" priority="1369" stopIfTrue="1" operator="equal">
      <formula>"OK"</formula>
    </cfRule>
    <cfRule type="cellIs" dxfId="2831" priority="1370" stopIfTrue="1" operator="equal">
      <formula>"Add"</formula>
    </cfRule>
  </conditionalFormatting>
  <conditionalFormatting sqref="J3242:J3243">
    <cfRule type="cellIs" dxfId="2830" priority="1371" stopIfTrue="1" operator="equal">
      <formula>"Lockdown"</formula>
    </cfRule>
    <cfRule type="cellIs" dxfId="2829" priority="1372" stopIfTrue="1" operator="equal">
      <formula>"OOM"</formula>
    </cfRule>
    <cfRule type="cellIs" dxfId="2828" priority="1373" stopIfTrue="1" operator="equal">
      <formula>"Placeholder"</formula>
    </cfRule>
  </conditionalFormatting>
  <conditionalFormatting sqref="T3242:AA3243">
    <cfRule type="cellIs" dxfId="2827" priority="1374" stopIfTrue="1" operator="equal">
      <formula>"Blue - Completed"</formula>
    </cfRule>
    <cfRule type="cellIs" dxfId="2826" priority="1375" stopIfTrue="1" operator="equal">
      <formula>"Green - Started on Sched"</formula>
    </cfRule>
    <cfRule type="cellIs" dxfId="2825" priority="1376" stopIfTrue="1" operator="between">
      <formula>"Q"</formula>
      <formula>"T"</formula>
    </cfRule>
  </conditionalFormatting>
  <conditionalFormatting sqref="G3242:G3243">
    <cfRule type="cellIs" dxfId="2824" priority="1368" stopIfTrue="1" operator="equal">
      <formula>"4 - Complete"</formula>
    </cfRule>
    <cfRule type="cellIs" dxfId="2823" priority="1377" stopIfTrue="1" operator="equal">
      <formula>"3 - Green"</formula>
    </cfRule>
    <cfRule type="cellIs" dxfId="2822" priority="1378" stopIfTrue="1" operator="equal">
      <formula>"2 - Yellow"</formula>
    </cfRule>
    <cfRule type="cellIs" dxfId="2821" priority="1379" stopIfTrue="1" operator="equal">
      <formula>"1 - Red"</formula>
    </cfRule>
  </conditionalFormatting>
  <conditionalFormatting sqref="L3242:L3243">
    <cfRule type="cellIs" dxfId="2820" priority="1380" stopIfTrue="1" operator="equal">
      <formula>"1 - Hard Load"</formula>
    </cfRule>
    <cfRule type="cellIs" dxfId="2819" priority="1381" stopIfTrue="1" operator="equal">
      <formula>"3 - Not Loaded"</formula>
    </cfRule>
    <cfRule type="cellIs" dxfId="2818" priority="1382" stopIfTrue="1" operator="equal">
      <formula>"2 - Soft Load"</formula>
    </cfRule>
  </conditionalFormatting>
  <conditionalFormatting sqref="D3242:D3243">
    <cfRule type="cellIs" dxfId="2817" priority="1383" stopIfTrue="1" operator="equal">
      <formula>D1276</formula>
    </cfRule>
  </conditionalFormatting>
  <conditionalFormatting sqref="D3242:D3243">
    <cfRule type="cellIs" dxfId="2816" priority="1367" stopIfTrue="1" operator="equal">
      <formula>D1279</formula>
    </cfRule>
  </conditionalFormatting>
  <conditionalFormatting sqref="D3242:D3243">
    <cfRule type="cellIs" dxfId="2815" priority="1366" stopIfTrue="1" operator="equal">
      <formula>D1279</formula>
    </cfRule>
  </conditionalFormatting>
  <conditionalFormatting sqref="D3243">
    <cfRule type="cellIs" dxfId="2814" priority="1365" stopIfTrue="1" operator="equal">
      <formula>D1280</formula>
    </cfRule>
  </conditionalFormatting>
  <conditionalFormatting sqref="AO3244:AO3245 AS3244:AS3245">
    <cfRule type="cellIs" dxfId="2813" priority="1350" stopIfTrue="1" operator="equal">
      <formula>"OK"</formula>
    </cfRule>
    <cfRule type="cellIs" dxfId="2812" priority="1351" stopIfTrue="1" operator="equal">
      <formula>"Add"</formula>
    </cfRule>
  </conditionalFormatting>
  <conditionalFormatting sqref="J3244:J3245">
    <cfRule type="cellIs" dxfId="2811" priority="1352" stopIfTrue="1" operator="equal">
      <formula>"Lockdown"</formula>
    </cfRule>
    <cfRule type="cellIs" dxfId="2810" priority="1353" stopIfTrue="1" operator="equal">
      <formula>"OOM"</formula>
    </cfRule>
    <cfRule type="cellIs" dxfId="2809" priority="1354" stopIfTrue="1" operator="equal">
      <formula>"Placeholder"</formula>
    </cfRule>
  </conditionalFormatting>
  <conditionalFormatting sqref="T3244:AA3245">
    <cfRule type="cellIs" dxfId="2808" priority="1355" stopIfTrue="1" operator="equal">
      <formula>"Blue - Completed"</formula>
    </cfRule>
    <cfRule type="cellIs" dxfId="2807" priority="1356" stopIfTrue="1" operator="equal">
      <formula>"Green - Started on Sched"</formula>
    </cfRule>
    <cfRule type="cellIs" dxfId="2806" priority="1357" stopIfTrue="1" operator="between">
      <formula>"Q"</formula>
      <formula>"T"</formula>
    </cfRule>
  </conditionalFormatting>
  <conditionalFormatting sqref="G3244:G3245">
    <cfRule type="cellIs" dxfId="2805" priority="1349" stopIfTrue="1" operator="equal">
      <formula>"4 - Complete"</formula>
    </cfRule>
    <cfRule type="cellIs" dxfId="2804" priority="1358" stopIfTrue="1" operator="equal">
      <formula>"3 - Green"</formula>
    </cfRule>
    <cfRule type="cellIs" dxfId="2803" priority="1359" stopIfTrue="1" operator="equal">
      <formula>"2 - Yellow"</formula>
    </cfRule>
    <cfRule type="cellIs" dxfId="2802" priority="1360" stopIfTrue="1" operator="equal">
      <formula>"1 - Red"</formula>
    </cfRule>
  </conditionalFormatting>
  <conditionalFormatting sqref="L3244:L3245">
    <cfRule type="cellIs" dxfId="2801" priority="1361" stopIfTrue="1" operator="equal">
      <formula>"1 - Hard Load"</formula>
    </cfRule>
    <cfRule type="cellIs" dxfId="2800" priority="1362" stopIfTrue="1" operator="equal">
      <formula>"3 - Not Loaded"</formula>
    </cfRule>
    <cfRule type="cellIs" dxfId="2799" priority="1363" stopIfTrue="1" operator="equal">
      <formula>"2 - Soft Load"</formula>
    </cfRule>
  </conditionalFormatting>
  <conditionalFormatting sqref="D3244:D3245">
    <cfRule type="cellIs" dxfId="2798" priority="1364" stopIfTrue="1" operator="equal">
      <formula>D1278</formula>
    </cfRule>
  </conditionalFormatting>
  <conditionalFormatting sqref="D3244:D3245">
    <cfRule type="cellIs" dxfId="2797" priority="1348" stopIfTrue="1" operator="equal">
      <formula>D1281</formula>
    </cfRule>
  </conditionalFormatting>
  <conditionalFormatting sqref="D3244:D3245">
    <cfRule type="cellIs" dxfId="2796" priority="1347" stopIfTrue="1" operator="equal">
      <formula>D1281</formula>
    </cfRule>
  </conditionalFormatting>
  <conditionalFormatting sqref="D3245">
    <cfRule type="cellIs" dxfId="2795" priority="1346" stopIfTrue="1" operator="equal">
      <formula>D1282</formula>
    </cfRule>
  </conditionalFormatting>
  <conditionalFormatting sqref="D3246">
    <cfRule type="cellIs" dxfId="2794" priority="1345" stopIfTrue="1" operator="equal">
      <formula>D1283</formula>
    </cfRule>
  </conditionalFormatting>
  <conditionalFormatting sqref="AS3246 AO3246">
    <cfRule type="cellIs" dxfId="2793" priority="1331" stopIfTrue="1" operator="equal">
      <formula>"OK"</formula>
    </cfRule>
    <cfRule type="cellIs" dxfId="2792" priority="1332" stopIfTrue="1" operator="equal">
      <formula>"Add"</formula>
    </cfRule>
  </conditionalFormatting>
  <conditionalFormatting sqref="J3246">
    <cfRule type="cellIs" dxfId="2791" priority="1333" stopIfTrue="1" operator="equal">
      <formula>"Lockdown"</formula>
    </cfRule>
    <cfRule type="cellIs" dxfId="2790" priority="1334" stopIfTrue="1" operator="equal">
      <formula>"OOM"</formula>
    </cfRule>
    <cfRule type="cellIs" dxfId="2789" priority="1335" stopIfTrue="1" operator="equal">
      <formula>"Placeholder"</formula>
    </cfRule>
  </conditionalFormatting>
  <conditionalFormatting sqref="T3246:AA3246">
    <cfRule type="cellIs" dxfId="2788" priority="1336" stopIfTrue="1" operator="equal">
      <formula>"Blue - Completed"</formula>
    </cfRule>
    <cfRule type="cellIs" dxfId="2787" priority="1337" stopIfTrue="1" operator="equal">
      <formula>"Green - Started on Sched"</formula>
    </cfRule>
    <cfRule type="cellIs" dxfId="2786" priority="1338" stopIfTrue="1" operator="between">
      <formula>"Q"</formula>
      <formula>"T"</formula>
    </cfRule>
  </conditionalFormatting>
  <conditionalFormatting sqref="G3246">
    <cfRule type="cellIs" dxfId="2785" priority="1330" stopIfTrue="1" operator="equal">
      <formula>"4 - Complete"</formula>
    </cfRule>
    <cfRule type="cellIs" dxfId="2784" priority="1339" stopIfTrue="1" operator="equal">
      <formula>"3 - Green"</formula>
    </cfRule>
    <cfRule type="cellIs" dxfId="2783" priority="1340" stopIfTrue="1" operator="equal">
      <formula>"2 - Yellow"</formula>
    </cfRule>
    <cfRule type="cellIs" dxfId="2782" priority="1341" stopIfTrue="1" operator="equal">
      <formula>"1 - Red"</formula>
    </cfRule>
  </conditionalFormatting>
  <conditionalFormatting sqref="L3246">
    <cfRule type="cellIs" dxfId="2781" priority="1342" stopIfTrue="1" operator="equal">
      <formula>"1 - Hard Load"</formula>
    </cfRule>
    <cfRule type="cellIs" dxfId="2780" priority="1343" stopIfTrue="1" operator="equal">
      <formula>"3 - Not Loaded"</formula>
    </cfRule>
    <cfRule type="cellIs" dxfId="2779" priority="1344" stopIfTrue="1" operator="equal">
      <formula>"2 - Soft Load"</formula>
    </cfRule>
  </conditionalFormatting>
  <conditionalFormatting sqref="D3248">
    <cfRule type="cellIs" dxfId="2778" priority="1311" stopIfTrue="1" operator="equal">
      <formula>D1285</formula>
    </cfRule>
  </conditionalFormatting>
  <conditionalFormatting sqref="AO3247:AO3250 AS3247:AS3250">
    <cfRule type="cellIs" dxfId="2777" priority="1315" stopIfTrue="1" operator="equal">
      <formula>"OK"</formula>
    </cfRule>
    <cfRule type="cellIs" dxfId="2776" priority="1316" stopIfTrue="1" operator="equal">
      <formula>"Add"</formula>
    </cfRule>
  </conditionalFormatting>
  <conditionalFormatting sqref="J3247:J3250">
    <cfRule type="cellIs" dxfId="2775" priority="1317" stopIfTrue="1" operator="equal">
      <formula>"Lockdown"</formula>
    </cfRule>
    <cfRule type="cellIs" dxfId="2774" priority="1318" stopIfTrue="1" operator="equal">
      <formula>"OOM"</formula>
    </cfRule>
    <cfRule type="cellIs" dxfId="2773" priority="1319" stopIfTrue="1" operator="equal">
      <formula>"Placeholder"</formula>
    </cfRule>
  </conditionalFormatting>
  <conditionalFormatting sqref="T3247:AA3250">
    <cfRule type="cellIs" dxfId="2772" priority="1320" stopIfTrue="1" operator="equal">
      <formula>"Blue - Completed"</formula>
    </cfRule>
    <cfRule type="cellIs" dxfId="2771" priority="1321" stopIfTrue="1" operator="equal">
      <formula>"Green - Started on Sched"</formula>
    </cfRule>
    <cfRule type="cellIs" dxfId="2770" priority="1322" stopIfTrue="1" operator="between">
      <formula>"Q"</formula>
      <formula>"T"</formula>
    </cfRule>
  </conditionalFormatting>
  <conditionalFormatting sqref="G3247:G3250">
    <cfRule type="cellIs" dxfId="2769" priority="1314" stopIfTrue="1" operator="equal">
      <formula>"4 - Complete"</formula>
    </cfRule>
    <cfRule type="cellIs" dxfId="2768" priority="1323" stopIfTrue="1" operator="equal">
      <formula>"3 - Green"</formula>
    </cfRule>
    <cfRule type="cellIs" dxfId="2767" priority="1324" stopIfTrue="1" operator="equal">
      <formula>"2 - Yellow"</formula>
    </cfRule>
    <cfRule type="cellIs" dxfId="2766" priority="1325" stopIfTrue="1" operator="equal">
      <formula>"1 - Red"</formula>
    </cfRule>
  </conditionalFormatting>
  <conditionalFormatting sqref="L3247:L3250">
    <cfRule type="cellIs" dxfId="2765" priority="1326" stopIfTrue="1" operator="equal">
      <formula>"1 - Hard Load"</formula>
    </cfRule>
    <cfRule type="cellIs" dxfId="2764" priority="1327" stopIfTrue="1" operator="equal">
      <formula>"3 - Not Loaded"</formula>
    </cfRule>
    <cfRule type="cellIs" dxfId="2763" priority="1328" stopIfTrue="1" operator="equal">
      <formula>"2 - Soft Load"</formula>
    </cfRule>
  </conditionalFormatting>
  <conditionalFormatting sqref="D3246:D3250">
    <cfRule type="cellIs" dxfId="2762" priority="1329" stopIfTrue="1" operator="equal">
      <formula>D1280</formula>
    </cfRule>
  </conditionalFormatting>
  <conditionalFormatting sqref="D3247:D3250">
    <cfRule type="cellIs" dxfId="2761" priority="1313" stopIfTrue="1" operator="equal">
      <formula>D1284</formula>
    </cfRule>
  </conditionalFormatting>
  <conditionalFormatting sqref="D3247:D3250">
    <cfRule type="cellIs" dxfId="2760" priority="1312" stopIfTrue="1" operator="equal">
      <formula>D1284</formula>
    </cfRule>
  </conditionalFormatting>
  <conditionalFormatting sqref="D3250">
    <cfRule type="cellIs" dxfId="2759" priority="1310" stopIfTrue="1" operator="equal">
      <formula>D1287</formula>
    </cfRule>
  </conditionalFormatting>
  <conditionalFormatting sqref="D3251">
    <cfRule type="cellIs" dxfId="2758" priority="1309" stopIfTrue="1" operator="equal">
      <formula>D1288</formula>
    </cfRule>
  </conditionalFormatting>
  <conditionalFormatting sqref="AS3251 AO3251">
    <cfRule type="cellIs" dxfId="2757" priority="1295" stopIfTrue="1" operator="equal">
      <formula>"OK"</formula>
    </cfRule>
    <cfRule type="cellIs" dxfId="2756" priority="1296" stopIfTrue="1" operator="equal">
      <formula>"Add"</formula>
    </cfRule>
  </conditionalFormatting>
  <conditionalFormatting sqref="J3251">
    <cfRule type="cellIs" dxfId="2755" priority="1297" stopIfTrue="1" operator="equal">
      <formula>"Lockdown"</formula>
    </cfRule>
    <cfRule type="cellIs" dxfId="2754" priority="1298" stopIfTrue="1" operator="equal">
      <formula>"OOM"</formula>
    </cfRule>
    <cfRule type="cellIs" dxfId="2753" priority="1299" stopIfTrue="1" operator="equal">
      <formula>"Placeholder"</formula>
    </cfRule>
  </conditionalFormatting>
  <conditionalFormatting sqref="T3251:AA3251">
    <cfRule type="cellIs" dxfId="2752" priority="1300" stopIfTrue="1" operator="equal">
      <formula>"Blue - Completed"</formula>
    </cfRule>
    <cfRule type="cellIs" dxfId="2751" priority="1301" stopIfTrue="1" operator="equal">
      <formula>"Green - Started on Sched"</formula>
    </cfRule>
    <cfRule type="cellIs" dxfId="2750" priority="1302" stopIfTrue="1" operator="between">
      <formula>"Q"</formula>
      <formula>"T"</formula>
    </cfRule>
  </conditionalFormatting>
  <conditionalFormatting sqref="G3251">
    <cfRule type="cellIs" dxfId="2749" priority="1294" stopIfTrue="1" operator="equal">
      <formula>"4 - Complete"</formula>
    </cfRule>
    <cfRule type="cellIs" dxfId="2748" priority="1303" stopIfTrue="1" operator="equal">
      <formula>"3 - Green"</formula>
    </cfRule>
    <cfRule type="cellIs" dxfId="2747" priority="1304" stopIfTrue="1" operator="equal">
      <formula>"2 - Yellow"</formula>
    </cfRule>
    <cfRule type="cellIs" dxfId="2746" priority="1305" stopIfTrue="1" operator="equal">
      <formula>"1 - Red"</formula>
    </cfRule>
  </conditionalFormatting>
  <conditionalFormatting sqref="L3251">
    <cfRule type="cellIs" dxfId="2745" priority="1306" stopIfTrue="1" operator="equal">
      <formula>"1 - Hard Load"</formula>
    </cfRule>
    <cfRule type="cellIs" dxfId="2744" priority="1307" stopIfTrue="1" operator="equal">
      <formula>"3 - Not Loaded"</formula>
    </cfRule>
    <cfRule type="cellIs" dxfId="2743" priority="1308" stopIfTrue="1" operator="equal">
      <formula>"2 - Soft Load"</formula>
    </cfRule>
  </conditionalFormatting>
  <conditionalFormatting sqref="D3253">
    <cfRule type="cellIs" dxfId="2742" priority="1275" stopIfTrue="1" operator="equal">
      <formula>D1290</formula>
    </cfRule>
  </conditionalFormatting>
  <conditionalFormatting sqref="AO3252:AO3255 AS3252:AS3255">
    <cfRule type="cellIs" dxfId="2741" priority="1279" stopIfTrue="1" operator="equal">
      <formula>"OK"</formula>
    </cfRule>
    <cfRule type="cellIs" dxfId="2740" priority="1280" stopIfTrue="1" operator="equal">
      <formula>"Add"</formula>
    </cfRule>
  </conditionalFormatting>
  <conditionalFormatting sqref="J3252:J3255">
    <cfRule type="cellIs" dxfId="2739" priority="1281" stopIfTrue="1" operator="equal">
      <formula>"Lockdown"</formula>
    </cfRule>
    <cfRule type="cellIs" dxfId="2738" priority="1282" stopIfTrue="1" operator="equal">
      <formula>"OOM"</formula>
    </cfRule>
    <cfRule type="cellIs" dxfId="2737" priority="1283" stopIfTrue="1" operator="equal">
      <formula>"Placeholder"</formula>
    </cfRule>
  </conditionalFormatting>
  <conditionalFormatting sqref="T3252:AA3255">
    <cfRule type="cellIs" dxfId="2736" priority="1284" stopIfTrue="1" operator="equal">
      <formula>"Blue - Completed"</formula>
    </cfRule>
    <cfRule type="cellIs" dxfId="2735" priority="1285" stopIfTrue="1" operator="equal">
      <formula>"Green - Started on Sched"</formula>
    </cfRule>
    <cfRule type="cellIs" dxfId="2734" priority="1286" stopIfTrue="1" operator="between">
      <formula>"Q"</formula>
      <formula>"T"</formula>
    </cfRule>
  </conditionalFormatting>
  <conditionalFormatting sqref="G3252:G3255">
    <cfRule type="cellIs" dxfId="2733" priority="1278" stopIfTrue="1" operator="equal">
      <formula>"4 - Complete"</formula>
    </cfRule>
    <cfRule type="cellIs" dxfId="2732" priority="1287" stopIfTrue="1" operator="equal">
      <formula>"3 - Green"</formula>
    </cfRule>
    <cfRule type="cellIs" dxfId="2731" priority="1288" stopIfTrue="1" operator="equal">
      <formula>"2 - Yellow"</formula>
    </cfRule>
    <cfRule type="cellIs" dxfId="2730" priority="1289" stopIfTrue="1" operator="equal">
      <formula>"1 - Red"</formula>
    </cfRule>
  </conditionalFormatting>
  <conditionalFormatting sqref="L3252:L3255">
    <cfRule type="cellIs" dxfId="2729" priority="1290" stopIfTrue="1" operator="equal">
      <formula>"1 - Hard Load"</formula>
    </cfRule>
    <cfRule type="cellIs" dxfId="2728" priority="1291" stopIfTrue="1" operator="equal">
      <formula>"3 - Not Loaded"</formula>
    </cfRule>
    <cfRule type="cellIs" dxfId="2727" priority="1292" stopIfTrue="1" operator="equal">
      <formula>"2 - Soft Load"</formula>
    </cfRule>
  </conditionalFormatting>
  <conditionalFormatting sqref="D3251:D3255">
    <cfRule type="cellIs" dxfId="2726" priority="1293" stopIfTrue="1" operator="equal">
      <formula>D1285</formula>
    </cfRule>
  </conditionalFormatting>
  <conditionalFormatting sqref="D3252:D3255">
    <cfRule type="cellIs" dxfId="2725" priority="1277" stopIfTrue="1" operator="equal">
      <formula>D1289</formula>
    </cfRule>
  </conditionalFormatting>
  <conditionalFormatting sqref="D3252:D3255">
    <cfRule type="cellIs" dxfId="2724" priority="1276" stopIfTrue="1" operator="equal">
      <formula>D1289</formula>
    </cfRule>
  </conditionalFormatting>
  <conditionalFormatting sqref="D3255">
    <cfRule type="cellIs" dxfId="2723" priority="1274" stopIfTrue="1" operator="equal">
      <formula>D1292</formula>
    </cfRule>
  </conditionalFormatting>
  <conditionalFormatting sqref="D131">
    <cfRule type="cellIs" dxfId="2722" priority="1259" stopIfTrue="1" operator="equal">
      <formula>D126</formula>
    </cfRule>
  </conditionalFormatting>
  <conditionalFormatting sqref="AS131 AO131">
    <cfRule type="cellIs" dxfId="2721" priority="1260" stopIfTrue="1" operator="equal">
      <formula>"OK"</formula>
    </cfRule>
    <cfRule type="cellIs" dxfId="2720" priority="1261" stopIfTrue="1" operator="equal">
      <formula>"Add"</formula>
    </cfRule>
  </conditionalFormatting>
  <conditionalFormatting sqref="J131">
    <cfRule type="cellIs" dxfId="2719" priority="1262" stopIfTrue="1" operator="equal">
      <formula>"Lockdown"</formula>
    </cfRule>
    <cfRule type="cellIs" dxfId="2718" priority="1263" stopIfTrue="1" operator="equal">
      <formula>"OOM"</formula>
    </cfRule>
    <cfRule type="cellIs" dxfId="2717" priority="1264" stopIfTrue="1" operator="equal">
      <formula>"Placeholder"</formula>
    </cfRule>
  </conditionalFormatting>
  <conditionalFormatting sqref="T131:AA131">
    <cfRule type="cellIs" dxfId="2716" priority="1265" stopIfTrue="1" operator="equal">
      <formula>"Blue - Completed"</formula>
    </cfRule>
    <cfRule type="cellIs" dxfId="2715" priority="1266" stopIfTrue="1" operator="equal">
      <formula>"Green - Started on Sched"</formula>
    </cfRule>
    <cfRule type="cellIs" dxfId="2714" priority="1267" stopIfTrue="1" operator="between">
      <formula>"Q"</formula>
      <formula>"T"</formula>
    </cfRule>
  </conditionalFormatting>
  <conditionalFormatting sqref="G131">
    <cfRule type="cellIs" dxfId="2713" priority="1258" stopIfTrue="1" operator="equal">
      <formula>"4 - Complete"</formula>
    </cfRule>
    <cfRule type="cellIs" dxfId="2712" priority="1268" stopIfTrue="1" operator="equal">
      <formula>"3 - Green"</formula>
    </cfRule>
    <cfRule type="cellIs" dxfId="2711" priority="1269" stopIfTrue="1" operator="equal">
      <formula>"2 - Yellow"</formula>
    </cfRule>
    <cfRule type="cellIs" dxfId="2710" priority="1270" stopIfTrue="1" operator="equal">
      <formula>"1 - Red"</formula>
    </cfRule>
  </conditionalFormatting>
  <conditionalFormatting sqref="L131">
    <cfRule type="cellIs" dxfId="2709" priority="1271" stopIfTrue="1" operator="equal">
      <formula>"1 - Hard Load"</formula>
    </cfRule>
    <cfRule type="cellIs" dxfId="2708" priority="1272" stopIfTrue="1" operator="equal">
      <formula>"3 - Not Loaded"</formula>
    </cfRule>
    <cfRule type="cellIs" dxfId="2707" priority="1273" stopIfTrue="1" operator="equal">
      <formula>"2 - Soft Load"</formula>
    </cfRule>
  </conditionalFormatting>
  <conditionalFormatting sqref="D190">
    <cfRule type="cellIs" dxfId="2706" priority="1243" stopIfTrue="1" operator="equal">
      <formula>D185</formula>
    </cfRule>
  </conditionalFormatting>
  <conditionalFormatting sqref="AS190 AO190">
    <cfRule type="cellIs" dxfId="2705" priority="1244" stopIfTrue="1" operator="equal">
      <formula>"OK"</formula>
    </cfRule>
    <cfRule type="cellIs" dxfId="2704" priority="1245" stopIfTrue="1" operator="equal">
      <formula>"Add"</formula>
    </cfRule>
  </conditionalFormatting>
  <conditionalFormatting sqref="J190">
    <cfRule type="cellIs" dxfId="2703" priority="1246" stopIfTrue="1" operator="equal">
      <formula>"Lockdown"</formula>
    </cfRule>
    <cfRule type="cellIs" dxfId="2702" priority="1247" stopIfTrue="1" operator="equal">
      <formula>"OOM"</formula>
    </cfRule>
    <cfRule type="cellIs" dxfId="2701" priority="1248" stopIfTrue="1" operator="equal">
      <formula>"Placeholder"</formula>
    </cfRule>
  </conditionalFormatting>
  <conditionalFormatting sqref="T190:AA190">
    <cfRule type="cellIs" dxfId="2700" priority="1249" stopIfTrue="1" operator="equal">
      <formula>"Blue - Completed"</formula>
    </cfRule>
    <cfRule type="cellIs" dxfId="2699" priority="1250" stopIfTrue="1" operator="equal">
      <formula>"Green - Started on Sched"</formula>
    </cfRule>
    <cfRule type="cellIs" dxfId="2698" priority="1251" stopIfTrue="1" operator="between">
      <formula>"Q"</formula>
      <formula>"T"</formula>
    </cfRule>
  </conditionalFormatting>
  <conditionalFormatting sqref="G190">
    <cfRule type="cellIs" dxfId="2697" priority="1242" stopIfTrue="1" operator="equal">
      <formula>"4 - Complete"</formula>
    </cfRule>
    <cfRule type="cellIs" dxfId="2696" priority="1252" stopIfTrue="1" operator="equal">
      <formula>"3 - Green"</formula>
    </cfRule>
    <cfRule type="cellIs" dxfId="2695" priority="1253" stopIfTrue="1" operator="equal">
      <formula>"2 - Yellow"</formula>
    </cfRule>
    <cfRule type="cellIs" dxfId="2694" priority="1254" stopIfTrue="1" operator="equal">
      <formula>"1 - Red"</formula>
    </cfRule>
  </conditionalFormatting>
  <conditionalFormatting sqref="L190">
    <cfRule type="cellIs" dxfId="2693" priority="1255" stopIfTrue="1" operator="equal">
      <formula>"1 - Hard Load"</formula>
    </cfRule>
    <cfRule type="cellIs" dxfId="2692" priority="1256" stopIfTrue="1" operator="equal">
      <formula>"3 - Not Loaded"</formula>
    </cfRule>
    <cfRule type="cellIs" dxfId="2691" priority="1257" stopIfTrue="1" operator="equal">
      <formula>"2 - Soft Load"</formula>
    </cfRule>
  </conditionalFormatting>
  <conditionalFormatting sqref="D3256">
    <cfRule type="cellIs" dxfId="2690" priority="1223" stopIfTrue="1" operator="equal">
      <formula>D1293</formula>
    </cfRule>
  </conditionalFormatting>
  <conditionalFormatting sqref="AO3256:AO3258 AS3256:AS3258">
    <cfRule type="cellIs" dxfId="2689" priority="1227" stopIfTrue="1" operator="equal">
      <formula>"OK"</formula>
    </cfRule>
    <cfRule type="cellIs" dxfId="2688" priority="1228" stopIfTrue="1" operator="equal">
      <formula>"Add"</formula>
    </cfRule>
  </conditionalFormatting>
  <conditionalFormatting sqref="J3256:J3258">
    <cfRule type="cellIs" dxfId="2687" priority="1229" stopIfTrue="1" operator="equal">
      <formula>"Lockdown"</formula>
    </cfRule>
    <cfRule type="cellIs" dxfId="2686" priority="1230" stopIfTrue="1" operator="equal">
      <formula>"OOM"</formula>
    </cfRule>
    <cfRule type="cellIs" dxfId="2685" priority="1231" stopIfTrue="1" operator="equal">
      <formula>"Placeholder"</formula>
    </cfRule>
  </conditionalFormatting>
  <conditionalFormatting sqref="T3256:AA3258">
    <cfRule type="cellIs" dxfId="2684" priority="1232" stopIfTrue="1" operator="equal">
      <formula>"Blue - Completed"</formula>
    </cfRule>
    <cfRule type="cellIs" dxfId="2683" priority="1233" stopIfTrue="1" operator="equal">
      <formula>"Green - Started on Sched"</formula>
    </cfRule>
    <cfRule type="cellIs" dxfId="2682" priority="1234" stopIfTrue="1" operator="between">
      <formula>"Q"</formula>
      <formula>"T"</formula>
    </cfRule>
  </conditionalFormatting>
  <conditionalFormatting sqref="G3256:G3258">
    <cfRule type="cellIs" dxfId="2681" priority="1226" stopIfTrue="1" operator="equal">
      <formula>"4 - Complete"</formula>
    </cfRule>
    <cfRule type="cellIs" dxfId="2680" priority="1235" stopIfTrue="1" operator="equal">
      <formula>"3 - Green"</formula>
    </cfRule>
    <cfRule type="cellIs" dxfId="2679" priority="1236" stopIfTrue="1" operator="equal">
      <formula>"2 - Yellow"</formula>
    </cfRule>
    <cfRule type="cellIs" dxfId="2678" priority="1237" stopIfTrue="1" operator="equal">
      <formula>"1 - Red"</formula>
    </cfRule>
  </conditionalFormatting>
  <conditionalFormatting sqref="L3256:L3258">
    <cfRule type="cellIs" dxfId="2677" priority="1238" stopIfTrue="1" operator="equal">
      <formula>"1 - Hard Load"</formula>
    </cfRule>
    <cfRule type="cellIs" dxfId="2676" priority="1239" stopIfTrue="1" operator="equal">
      <formula>"3 - Not Loaded"</formula>
    </cfRule>
    <cfRule type="cellIs" dxfId="2675" priority="1240" stopIfTrue="1" operator="equal">
      <formula>"2 - Soft Load"</formula>
    </cfRule>
  </conditionalFormatting>
  <conditionalFormatting sqref="D3256:D3258">
    <cfRule type="cellIs" dxfId="2674" priority="1241" stopIfTrue="1" operator="equal">
      <formula>D1290</formula>
    </cfRule>
  </conditionalFormatting>
  <conditionalFormatting sqref="D3256:D3258">
    <cfRule type="cellIs" dxfId="2673" priority="1225" stopIfTrue="1" operator="equal">
      <formula>D1293</formula>
    </cfRule>
  </conditionalFormatting>
  <conditionalFormatting sqref="D3256:D3258">
    <cfRule type="cellIs" dxfId="2672" priority="1224" stopIfTrue="1" operator="equal">
      <formula>D1293</formula>
    </cfRule>
  </conditionalFormatting>
  <conditionalFormatting sqref="D3258">
    <cfRule type="cellIs" dxfId="2671" priority="1222" stopIfTrue="1" operator="equal">
      <formula>D1295</formula>
    </cfRule>
  </conditionalFormatting>
  <conditionalFormatting sqref="AO3259:AO3260 AS3259:AS3260">
    <cfRule type="cellIs" dxfId="2670" priority="1207" stopIfTrue="1" operator="equal">
      <formula>"OK"</formula>
    </cfRule>
    <cfRule type="cellIs" dxfId="2669" priority="1208" stopIfTrue="1" operator="equal">
      <formula>"Add"</formula>
    </cfRule>
  </conditionalFormatting>
  <conditionalFormatting sqref="J3259:J3260">
    <cfRule type="cellIs" dxfId="2668" priority="1209" stopIfTrue="1" operator="equal">
      <formula>"Lockdown"</formula>
    </cfRule>
    <cfRule type="cellIs" dxfId="2667" priority="1210" stopIfTrue="1" operator="equal">
      <formula>"OOM"</formula>
    </cfRule>
    <cfRule type="cellIs" dxfId="2666" priority="1211" stopIfTrue="1" operator="equal">
      <formula>"Placeholder"</formula>
    </cfRule>
  </conditionalFormatting>
  <conditionalFormatting sqref="T3259:AA3260">
    <cfRule type="cellIs" dxfId="2665" priority="1212" stopIfTrue="1" operator="equal">
      <formula>"Blue - Completed"</formula>
    </cfRule>
    <cfRule type="cellIs" dxfId="2664" priority="1213" stopIfTrue="1" operator="equal">
      <formula>"Green - Started on Sched"</formula>
    </cfRule>
    <cfRule type="cellIs" dxfId="2663" priority="1214" stopIfTrue="1" operator="between">
      <formula>"Q"</formula>
      <formula>"T"</formula>
    </cfRule>
  </conditionalFormatting>
  <conditionalFormatting sqref="G3259:G3260">
    <cfRule type="cellIs" dxfId="2662" priority="1206" stopIfTrue="1" operator="equal">
      <formula>"4 - Complete"</formula>
    </cfRule>
    <cfRule type="cellIs" dxfId="2661" priority="1215" stopIfTrue="1" operator="equal">
      <formula>"3 - Green"</formula>
    </cfRule>
    <cfRule type="cellIs" dxfId="2660" priority="1216" stopIfTrue="1" operator="equal">
      <formula>"2 - Yellow"</formula>
    </cfRule>
    <cfRule type="cellIs" dxfId="2659" priority="1217" stopIfTrue="1" operator="equal">
      <formula>"1 - Red"</formula>
    </cfRule>
  </conditionalFormatting>
  <conditionalFormatting sqref="L3259:L3260">
    <cfRule type="cellIs" dxfId="2658" priority="1218" stopIfTrue="1" operator="equal">
      <formula>"1 - Hard Load"</formula>
    </cfRule>
    <cfRule type="cellIs" dxfId="2657" priority="1219" stopIfTrue="1" operator="equal">
      <formula>"3 - Not Loaded"</formula>
    </cfRule>
    <cfRule type="cellIs" dxfId="2656" priority="1220" stopIfTrue="1" operator="equal">
      <formula>"2 - Soft Load"</formula>
    </cfRule>
  </conditionalFormatting>
  <conditionalFormatting sqref="D3259:D3260">
    <cfRule type="cellIs" dxfId="2655" priority="1221" stopIfTrue="1" operator="equal">
      <formula>D1293</formula>
    </cfRule>
  </conditionalFormatting>
  <conditionalFormatting sqref="D3259:D3260">
    <cfRule type="cellIs" dxfId="2654" priority="1205" stopIfTrue="1" operator="equal">
      <formula>D1296</formula>
    </cfRule>
  </conditionalFormatting>
  <conditionalFormatting sqref="D3259:D3260">
    <cfRule type="cellIs" dxfId="2653" priority="1204" stopIfTrue="1" operator="equal">
      <formula>D1296</formula>
    </cfRule>
  </conditionalFormatting>
  <conditionalFormatting sqref="D3260">
    <cfRule type="cellIs" dxfId="2652" priority="1203" stopIfTrue="1" operator="equal">
      <formula>D1297</formula>
    </cfRule>
  </conditionalFormatting>
  <conditionalFormatting sqref="AO3261:AO3262 AS3261:AS3262">
    <cfRule type="cellIs" dxfId="2651" priority="1188" stopIfTrue="1" operator="equal">
      <formula>"OK"</formula>
    </cfRule>
    <cfRule type="cellIs" dxfId="2650" priority="1189" stopIfTrue="1" operator="equal">
      <formula>"Add"</formula>
    </cfRule>
  </conditionalFormatting>
  <conditionalFormatting sqref="J3261:J3262">
    <cfRule type="cellIs" dxfId="2649" priority="1190" stopIfTrue="1" operator="equal">
      <formula>"Lockdown"</formula>
    </cfRule>
    <cfRule type="cellIs" dxfId="2648" priority="1191" stopIfTrue="1" operator="equal">
      <formula>"OOM"</formula>
    </cfRule>
    <cfRule type="cellIs" dxfId="2647" priority="1192" stopIfTrue="1" operator="equal">
      <formula>"Placeholder"</formula>
    </cfRule>
  </conditionalFormatting>
  <conditionalFormatting sqref="T3261:AA3262">
    <cfRule type="cellIs" dxfId="2646" priority="1193" stopIfTrue="1" operator="equal">
      <formula>"Blue - Completed"</formula>
    </cfRule>
    <cfRule type="cellIs" dxfId="2645" priority="1194" stopIfTrue="1" operator="equal">
      <formula>"Green - Started on Sched"</formula>
    </cfRule>
    <cfRule type="cellIs" dxfId="2644" priority="1195" stopIfTrue="1" operator="between">
      <formula>"Q"</formula>
      <formula>"T"</formula>
    </cfRule>
  </conditionalFormatting>
  <conditionalFormatting sqref="G3261:G3262">
    <cfRule type="cellIs" dxfId="2643" priority="1187" stopIfTrue="1" operator="equal">
      <formula>"4 - Complete"</formula>
    </cfRule>
    <cfRule type="cellIs" dxfId="2642" priority="1196" stopIfTrue="1" operator="equal">
      <formula>"3 - Green"</formula>
    </cfRule>
    <cfRule type="cellIs" dxfId="2641" priority="1197" stopIfTrue="1" operator="equal">
      <formula>"2 - Yellow"</formula>
    </cfRule>
    <cfRule type="cellIs" dxfId="2640" priority="1198" stopIfTrue="1" operator="equal">
      <formula>"1 - Red"</formula>
    </cfRule>
  </conditionalFormatting>
  <conditionalFormatting sqref="L3261:L3262">
    <cfRule type="cellIs" dxfId="2639" priority="1199" stopIfTrue="1" operator="equal">
      <formula>"1 - Hard Load"</formula>
    </cfRule>
    <cfRule type="cellIs" dxfId="2638" priority="1200" stopIfTrue="1" operator="equal">
      <formula>"3 - Not Loaded"</formula>
    </cfRule>
    <cfRule type="cellIs" dxfId="2637" priority="1201" stopIfTrue="1" operator="equal">
      <formula>"2 - Soft Load"</formula>
    </cfRule>
  </conditionalFormatting>
  <conditionalFormatting sqref="D3261:D3262">
    <cfRule type="cellIs" dxfId="2636" priority="1202" stopIfTrue="1" operator="equal">
      <formula>D1295</formula>
    </cfRule>
  </conditionalFormatting>
  <conditionalFormatting sqref="D3261:D3262">
    <cfRule type="cellIs" dxfId="2635" priority="1186" stopIfTrue="1" operator="equal">
      <formula>D1298</formula>
    </cfRule>
  </conditionalFormatting>
  <conditionalFormatting sqref="D3261:D3262">
    <cfRule type="cellIs" dxfId="2634" priority="1185" stopIfTrue="1" operator="equal">
      <formula>D1298</formula>
    </cfRule>
  </conditionalFormatting>
  <conditionalFormatting sqref="D3262">
    <cfRule type="cellIs" dxfId="2633" priority="1184" stopIfTrue="1" operator="equal">
      <formula>D1299</formula>
    </cfRule>
  </conditionalFormatting>
  <conditionalFormatting sqref="D3263">
    <cfRule type="cellIs" dxfId="2632" priority="1183" stopIfTrue="1" operator="equal">
      <formula>D1300</formula>
    </cfRule>
  </conditionalFormatting>
  <conditionalFormatting sqref="AS3263 AO3263">
    <cfRule type="cellIs" dxfId="2631" priority="1169" stopIfTrue="1" operator="equal">
      <formula>"OK"</formula>
    </cfRule>
    <cfRule type="cellIs" dxfId="2630" priority="1170" stopIfTrue="1" operator="equal">
      <formula>"Add"</formula>
    </cfRule>
  </conditionalFormatting>
  <conditionalFormatting sqref="J3263">
    <cfRule type="cellIs" dxfId="2629" priority="1171" stopIfTrue="1" operator="equal">
      <formula>"Lockdown"</formula>
    </cfRule>
    <cfRule type="cellIs" dxfId="2628" priority="1172" stopIfTrue="1" operator="equal">
      <formula>"OOM"</formula>
    </cfRule>
    <cfRule type="cellIs" dxfId="2627" priority="1173" stopIfTrue="1" operator="equal">
      <formula>"Placeholder"</formula>
    </cfRule>
  </conditionalFormatting>
  <conditionalFormatting sqref="T3263:AA3263">
    <cfRule type="cellIs" dxfId="2626" priority="1174" stopIfTrue="1" operator="equal">
      <formula>"Blue - Completed"</formula>
    </cfRule>
    <cfRule type="cellIs" dxfId="2625" priority="1175" stopIfTrue="1" operator="equal">
      <formula>"Green - Started on Sched"</formula>
    </cfRule>
    <cfRule type="cellIs" dxfId="2624" priority="1176" stopIfTrue="1" operator="between">
      <formula>"Q"</formula>
      <formula>"T"</formula>
    </cfRule>
  </conditionalFormatting>
  <conditionalFormatting sqref="G3263">
    <cfRule type="cellIs" dxfId="2623" priority="1168" stopIfTrue="1" operator="equal">
      <formula>"4 - Complete"</formula>
    </cfRule>
    <cfRule type="cellIs" dxfId="2622" priority="1177" stopIfTrue="1" operator="equal">
      <formula>"3 - Green"</formula>
    </cfRule>
    <cfRule type="cellIs" dxfId="2621" priority="1178" stopIfTrue="1" operator="equal">
      <formula>"2 - Yellow"</formula>
    </cfRule>
    <cfRule type="cellIs" dxfId="2620" priority="1179" stopIfTrue="1" operator="equal">
      <formula>"1 - Red"</formula>
    </cfRule>
  </conditionalFormatting>
  <conditionalFormatting sqref="L3263">
    <cfRule type="cellIs" dxfId="2619" priority="1180" stopIfTrue="1" operator="equal">
      <formula>"1 - Hard Load"</formula>
    </cfRule>
    <cfRule type="cellIs" dxfId="2618" priority="1181" stopIfTrue="1" operator="equal">
      <formula>"3 - Not Loaded"</formula>
    </cfRule>
    <cfRule type="cellIs" dxfId="2617" priority="1182" stopIfTrue="1" operator="equal">
      <formula>"2 - Soft Load"</formula>
    </cfRule>
  </conditionalFormatting>
  <conditionalFormatting sqref="D3265">
    <cfRule type="cellIs" dxfId="2616" priority="1149" stopIfTrue="1" operator="equal">
      <formula>D1302</formula>
    </cfRule>
  </conditionalFormatting>
  <conditionalFormatting sqref="AO3264:AO3267 AS3264:AS3267">
    <cfRule type="cellIs" dxfId="2615" priority="1153" stopIfTrue="1" operator="equal">
      <formula>"OK"</formula>
    </cfRule>
    <cfRule type="cellIs" dxfId="2614" priority="1154" stopIfTrue="1" operator="equal">
      <formula>"Add"</formula>
    </cfRule>
  </conditionalFormatting>
  <conditionalFormatting sqref="J3264:J3267">
    <cfRule type="cellIs" dxfId="2613" priority="1155" stopIfTrue="1" operator="equal">
      <formula>"Lockdown"</formula>
    </cfRule>
    <cfRule type="cellIs" dxfId="2612" priority="1156" stopIfTrue="1" operator="equal">
      <formula>"OOM"</formula>
    </cfRule>
    <cfRule type="cellIs" dxfId="2611" priority="1157" stopIfTrue="1" operator="equal">
      <formula>"Placeholder"</formula>
    </cfRule>
  </conditionalFormatting>
  <conditionalFormatting sqref="T3264:AA3267">
    <cfRule type="cellIs" dxfId="2610" priority="1158" stopIfTrue="1" operator="equal">
      <formula>"Blue - Completed"</formula>
    </cfRule>
    <cfRule type="cellIs" dxfId="2609" priority="1159" stopIfTrue="1" operator="equal">
      <formula>"Green - Started on Sched"</formula>
    </cfRule>
    <cfRule type="cellIs" dxfId="2608" priority="1160" stopIfTrue="1" operator="between">
      <formula>"Q"</formula>
      <formula>"T"</formula>
    </cfRule>
  </conditionalFormatting>
  <conditionalFormatting sqref="G3264:G3267">
    <cfRule type="cellIs" dxfId="2607" priority="1152" stopIfTrue="1" operator="equal">
      <formula>"4 - Complete"</formula>
    </cfRule>
    <cfRule type="cellIs" dxfId="2606" priority="1161" stopIfTrue="1" operator="equal">
      <formula>"3 - Green"</formula>
    </cfRule>
    <cfRule type="cellIs" dxfId="2605" priority="1162" stopIfTrue="1" operator="equal">
      <formula>"2 - Yellow"</formula>
    </cfRule>
    <cfRule type="cellIs" dxfId="2604" priority="1163" stopIfTrue="1" operator="equal">
      <formula>"1 - Red"</formula>
    </cfRule>
  </conditionalFormatting>
  <conditionalFormatting sqref="L3264:L3267">
    <cfRule type="cellIs" dxfId="2603" priority="1164" stopIfTrue="1" operator="equal">
      <formula>"1 - Hard Load"</formula>
    </cfRule>
    <cfRule type="cellIs" dxfId="2602" priority="1165" stopIfTrue="1" operator="equal">
      <formula>"3 - Not Loaded"</formula>
    </cfRule>
    <cfRule type="cellIs" dxfId="2601" priority="1166" stopIfTrue="1" operator="equal">
      <formula>"2 - Soft Load"</formula>
    </cfRule>
  </conditionalFormatting>
  <conditionalFormatting sqref="D3263:D3267">
    <cfRule type="cellIs" dxfId="2600" priority="1167" stopIfTrue="1" operator="equal">
      <formula>D1297</formula>
    </cfRule>
  </conditionalFormatting>
  <conditionalFormatting sqref="D3264:D3267">
    <cfRule type="cellIs" dxfId="2599" priority="1151" stopIfTrue="1" operator="equal">
      <formula>D1301</formula>
    </cfRule>
  </conditionalFormatting>
  <conditionalFormatting sqref="D3264:D3267">
    <cfRule type="cellIs" dxfId="2598" priority="1150" stopIfTrue="1" operator="equal">
      <formula>D1301</formula>
    </cfRule>
  </conditionalFormatting>
  <conditionalFormatting sqref="D3267">
    <cfRule type="cellIs" dxfId="2597" priority="1148" stopIfTrue="1" operator="equal">
      <formula>D1304</formula>
    </cfRule>
  </conditionalFormatting>
  <conditionalFormatting sqref="D3268">
    <cfRule type="cellIs" dxfId="2596" priority="1147" stopIfTrue="1" operator="equal">
      <formula>D1305</formula>
    </cfRule>
  </conditionalFormatting>
  <conditionalFormatting sqref="AS3268 AO3268">
    <cfRule type="cellIs" dxfId="2595" priority="1133" stopIfTrue="1" operator="equal">
      <formula>"OK"</formula>
    </cfRule>
    <cfRule type="cellIs" dxfId="2594" priority="1134" stopIfTrue="1" operator="equal">
      <formula>"Add"</formula>
    </cfRule>
  </conditionalFormatting>
  <conditionalFormatting sqref="J3268">
    <cfRule type="cellIs" dxfId="2593" priority="1135" stopIfTrue="1" operator="equal">
      <formula>"Lockdown"</formula>
    </cfRule>
    <cfRule type="cellIs" dxfId="2592" priority="1136" stopIfTrue="1" operator="equal">
      <formula>"OOM"</formula>
    </cfRule>
    <cfRule type="cellIs" dxfId="2591" priority="1137" stopIfTrue="1" operator="equal">
      <formula>"Placeholder"</formula>
    </cfRule>
  </conditionalFormatting>
  <conditionalFormatting sqref="T3268:AA3268">
    <cfRule type="cellIs" dxfId="2590" priority="1138" stopIfTrue="1" operator="equal">
      <formula>"Blue - Completed"</formula>
    </cfRule>
    <cfRule type="cellIs" dxfId="2589" priority="1139" stopIfTrue="1" operator="equal">
      <formula>"Green - Started on Sched"</formula>
    </cfRule>
    <cfRule type="cellIs" dxfId="2588" priority="1140" stopIfTrue="1" operator="between">
      <formula>"Q"</formula>
      <formula>"T"</formula>
    </cfRule>
  </conditionalFormatting>
  <conditionalFormatting sqref="G3268">
    <cfRule type="cellIs" dxfId="2587" priority="1132" stopIfTrue="1" operator="equal">
      <formula>"4 - Complete"</formula>
    </cfRule>
    <cfRule type="cellIs" dxfId="2586" priority="1141" stopIfTrue="1" operator="equal">
      <formula>"3 - Green"</formula>
    </cfRule>
    <cfRule type="cellIs" dxfId="2585" priority="1142" stopIfTrue="1" operator="equal">
      <formula>"2 - Yellow"</formula>
    </cfRule>
    <cfRule type="cellIs" dxfId="2584" priority="1143" stopIfTrue="1" operator="equal">
      <formula>"1 - Red"</formula>
    </cfRule>
  </conditionalFormatting>
  <conditionalFormatting sqref="L3268">
    <cfRule type="cellIs" dxfId="2583" priority="1144" stopIfTrue="1" operator="equal">
      <formula>"1 - Hard Load"</formula>
    </cfRule>
    <cfRule type="cellIs" dxfId="2582" priority="1145" stopIfTrue="1" operator="equal">
      <formula>"3 - Not Loaded"</formula>
    </cfRule>
    <cfRule type="cellIs" dxfId="2581" priority="1146" stopIfTrue="1" operator="equal">
      <formula>"2 - Soft Load"</formula>
    </cfRule>
  </conditionalFormatting>
  <conditionalFormatting sqref="D3270">
    <cfRule type="cellIs" dxfId="2580" priority="1113" stopIfTrue="1" operator="equal">
      <formula>D1307</formula>
    </cfRule>
  </conditionalFormatting>
  <conditionalFormatting sqref="AO3269:AO3272 AS3269:AS3272">
    <cfRule type="cellIs" dxfId="2579" priority="1117" stopIfTrue="1" operator="equal">
      <formula>"OK"</formula>
    </cfRule>
    <cfRule type="cellIs" dxfId="2578" priority="1118" stopIfTrue="1" operator="equal">
      <formula>"Add"</formula>
    </cfRule>
  </conditionalFormatting>
  <conditionalFormatting sqref="J3269:J3272">
    <cfRule type="cellIs" dxfId="2577" priority="1119" stopIfTrue="1" operator="equal">
      <formula>"Lockdown"</formula>
    </cfRule>
    <cfRule type="cellIs" dxfId="2576" priority="1120" stopIfTrue="1" operator="equal">
      <formula>"OOM"</formula>
    </cfRule>
    <cfRule type="cellIs" dxfId="2575" priority="1121" stopIfTrue="1" operator="equal">
      <formula>"Placeholder"</formula>
    </cfRule>
  </conditionalFormatting>
  <conditionalFormatting sqref="T3269:AA3272">
    <cfRule type="cellIs" dxfId="2574" priority="1122" stopIfTrue="1" operator="equal">
      <formula>"Blue - Completed"</formula>
    </cfRule>
    <cfRule type="cellIs" dxfId="2573" priority="1123" stopIfTrue="1" operator="equal">
      <formula>"Green - Started on Sched"</formula>
    </cfRule>
    <cfRule type="cellIs" dxfId="2572" priority="1124" stopIfTrue="1" operator="between">
      <formula>"Q"</formula>
      <formula>"T"</formula>
    </cfRule>
  </conditionalFormatting>
  <conditionalFormatting sqref="G3269:G3272">
    <cfRule type="cellIs" dxfId="2571" priority="1116" stopIfTrue="1" operator="equal">
      <formula>"4 - Complete"</formula>
    </cfRule>
    <cfRule type="cellIs" dxfId="2570" priority="1125" stopIfTrue="1" operator="equal">
      <formula>"3 - Green"</formula>
    </cfRule>
    <cfRule type="cellIs" dxfId="2569" priority="1126" stopIfTrue="1" operator="equal">
      <formula>"2 - Yellow"</formula>
    </cfRule>
    <cfRule type="cellIs" dxfId="2568" priority="1127" stopIfTrue="1" operator="equal">
      <formula>"1 - Red"</formula>
    </cfRule>
  </conditionalFormatting>
  <conditionalFormatting sqref="L3269:L3272">
    <cfRule type="cellIs" dxfId="2567" priority="1128" stopIfTrue="1" operator="equal">
      <formula>"1 - Hard Load"</formula>
    </cfRule>
    <cfRule type="cellIs" dxfId="2566" priority="1129" stopIfTrue="1" operator="equal">
      <formula>"3 - Not Loaded"</formula>
    </cfRule>
    <cfRule type="cellIs" dxfId="2565" priority="1130" stopIfTrue="1" operator="equal">
      <formula>"2 - Soft Load"</formula>
    </cfRule>
  </conditionalFormatting>
  <conditionalFormatting sqref="D3268:D3272">
    <cfRule type="cellIs" dxfId="2564" priority="1131" stopIfTrue="1" operator="equal">
      <formula>D1302</formula>
    </cfRule>
  </conditionalFormatting>
  <conditionalFormatting sqref="D3269:D3272">
    <cfRule type="cellIs" dxfId="2563" priority="1115" stopIfTrue="1" operator="equal">
      <formula>D1306</formula>
    </cfRule>
  </conditionalFormatting>
  <conditionalFormatting sqref="D3269:D3272">
    <cfRule type="cellIs" dxfId="2562" priority="1114" stopIfTrue="1" operator="equal">
      <formula>D1306</formula>
    </cfRule>
  </conditionalFormatting>
  <conditionalFormatting sqref="D3272">
    <cfRule type="cellIs" dxfId="2561" priority="1112" stopIfTrue="1" operator="equal">
      <formula>D1309</formula>
    </cfRule>
  </conditionalFormatting>
  <conditionalFormatting sqref="D88">
    <cfRule type="cellIs" dxfId="2560" priority="1097" stopIfTrue="1" operator="equal">
      <formula>D81</formula>
    </cfRule>
  </conditionalFormatting>
  <conditionalFormatting sqref="AS88 AO88">
    <cfRule type="cellIs" dxfId="2559" priority="1098" stopIfTrue="1" operator="equal">
      <formula>"OK"</formula>
    </cfRule>
    <cfRule type="cellIs" dxfId="2558" priority="1099" stopIfTrue="1" operator="equal">
      <formula>"Add"</formula>
    </cfRule>
  </conditionalFormatting>
  <conditionalFormatting sqref="J88">
    <cfRule type="cellIs" dxfId="2557" priority="1100" stopIfTrue="1" operator="equal">
      <formula>"Lockdown"</formula>
    </cfRule>
    <cfRule type="cellIs" dxfId="2556" priority="1101" stopIfTrue="1" operator="equal">
      <formula>"OOM"</formula>
    </cfRule>
    <cfRule type="cellIs" dxfId="2555" priority="1102" stopIfTrue="1" operator="equal">
      <formula>"Placeholder"</formula>
    </cfRule>
  </conditionalFormatting>
  <conditionalFormatting sqref="T88:AA88">
    <cfRule type="cellIs" dxfId="2554" priority="1103" stopIfTrue="1" operator="equal">
      <formula>"Blue - Completed"</formula>
    </cfRule>
    <cfRule type="cellIs" dxfId="2553" priority="1104" stopIfTrue="1" operator="equal">
      <formula>"Green - Started on Sched"</formula>
    </cfRule>
    <cfRule type="cellIs" dxfId="2552" priority="1105" stopIfTrue="1" operator="between">
      <formula>"Q"</formula>
      <formula>"T"</formula>
    </cfRule>
  </conditionalFormatting>
  <conditionalFormatting sqref="G88">
    <cfRule type="cellIs" dxfId="2551" priority="1096" stopIfTrue="1" operator="equal">
      <formula>"4 - Complete"</formula>
    </cfRule>
    <cfRule type="cellIs" dxfId="2550" priority="1106" stopIfTrue="1" operator="equal">
      <formula>"3 - Green"</formula>
    </cfRule>
    <cfRule type="cellIs" dxfId="2549" priority="1107" stopIfTrue="1" operator="equal">
      <formula>"2 - Yellow"</formula>
    </cfRule>
    <cfRule type="cellIs" dxfId="2548" priority="1108" stopIfTrue="1" operator="equal">
      <formula>"1 - Red"</formula>
    </cfRule>
  </conditionalFormatting>
  <conditionalFormatting sqref="L88">
    <cfRule type="cellIs" dxfId="2547" priority="1109" stopIfTrue="1" operator="equal">
      <formula>"1 - Hard Load"</formula>
    </cfRule>
    <cfRule type="cellIs" dxfId="2546" priority="1110" stopIfTrue="1" operator="equal">
      <formula>"3 - Not Loaded"</formula>
    </cfRule>
    <cfRule type="cellIs" dxfId="2545" priority="1111" stopIfTrue="1" operator="equal">
      <formula>"2 - Soft Load"</formula>
    </cfRule>
  </conditionalFormatting>
  <conditionalFormatting sqref="D235">
    <cfRule type="cellIs" dxfId="2544" priority="10823" stopIfTrue="1" operator="equal">
      <formula>D128</formula>
    </cfRule>
  </conditionalFormatting>
  <conditionalFormatting sqref="D164">
    <cfRule type="cellIs" dxfId="2543" priority="1081" stopIfTrue="1" operator="equal">
      <formula>D155</formula>
    </cfRule>
  </conditionalFormatting>
  <conditionalFormatting sqref="AO164 AS164">
    <cfRule type="cellIs" dxfId="2542" priority="1082" stopIfTrue="1" operator="equal">
      <formula>"OK"</formula>
    </cfRule>
    <cfRule type="cellIs" dxfId="2541" priority="1083" stopIfTrue="1" operator="equal">
      <formula>"Add"</formula>
    </cfRule>
  </conditionalFormatting>
  <conditionalFormatting sqref="J164">
    <cfRule type="cellIs" dxfId="2540" priority="1084" stopIfTrue="1" operator="equal">
      <formula>"Lockdown"</formula>
    </cfRule>
    <cfRule type="cellIs" dxfId="2539" priority="1085" stopIfTrue="1" operator="equal">
      <formula>"OOM"</formula>
    </cfRule>
    <cfRule type="cellIs" dxfId="2538" priority="1086" stopIfTrue="1" operator="equal">
      <formula>"Placeholder"</formula>
    </cfRule>
  </conditionalFormatting>
  <conditionalFormatting sqref="T164:AA164">
    <cfRule type="cellIs" dxfId="2537" priority="1087" stopIfTrue="1" operator="equal">
      <formula>"Blue - Completed"</formula>
    </cfRule>
    <cfRule type="cellIs" dxfId="2536" priority="1088" stopIfTrue="1" operator="equal">
      <formula>"Green - Started on Sched"</formula>
    </cfRule>
    <cfRule type="cellIs" dxfId="2535" priority="1089" stopIfTrue="1" operator="between">
      <formula>"Q"</formula>
      <formula>"T"</formula>
    </cfRule>
  </conditionalFormatting>
  <conditionalFormatting sqref="G164">
    <cfRule type="cellIs" dxfId="2534" priority="1080" stopIfTrue="1" operator="equal">
      <formula>"4 - Complete"</formula>
    </cfRule>
    <cfRule type="cellIs" dxfId="2533" priority="1090" stopIfTrue="1" operator="equal">
      <formula>"3 - Green"</formula>
    </cfRule>
    <cfRule type="cellIs" dxfId="2532" priority="1091" stopIfTrue="1" operator="equal">
      <formula>"2 - Yellow"</formula>
    </cfRule>
    <cfRule type="cellIs" dxfId="2531" priority="1092" stopIfTrue="1" operator="equal">
      <formula>"1 - Red"</formula>
    </cfRule>
  </conditionalFormatting>
  <conditionalFormatting sqref="L164">
    <cfRule type="cellIs" dxfId="2530" priority="1093" stopIfTrue="1" operator="equal">
      <formula>"1 - Hard Load"</formula>
    </cfRule>
    <cfRule type="cellIs" dxfId="2529" priority="1094" stopIfTrue="1" operator="equal">
      <formula>"3 - Not Loaded"</formula>
    </cfRule>
    <cfRule type="cellIs" dxfId="2528" priority="1095" stopIfTrue="1" operator="equal">
      <formula>"2 - Soft Load"</formula>
    </cfRule>
  </conditionalFormatting>
  <conditionalFormatting sqref="D3273">
    <cfRule type="cellIs" dxfId="2527" priority="1060" stopIfTrue="1" operator="equal">
      <formula>D1311</formula>
    </cfRule>
  </conditionalFormatting>
  <conditionalFormatting sqref="AS3273 AO3273">
    <cfRule type="cellIs" dxfId="2526" priority="1046" stopIfTrue="1" operator="equal">
      <formula>"OK"</formula>
    </cfRule>
    <cfRule type="cellIs" dxfId="2525" priority="1047" stopIfTrue="1" operator="equal">
      <formula>"Add"</formula>
    </cfRule>
  </conditionalFormatting>
  <conditionalFormatting sqref="J3273">
    <cfRule type="cellIs" dxfId="2524" priority="1048" stopIfTrue="1" operator="equal">
      <formula>"Lockdown"</formula>
    </cfRule>
    <cfRule type="cellIs" dxfId="2523" priority="1049" stopIfTrue="1" operator="equal">
      <formula>"OOM"</formula>
    </cfRule>
    <cfRule type="cellIs" dxfId="2522" priority="1050" stopIfTrue="1" operator="equal">
      <formula>"Placeholder"</formula>
    </cfRule>
  </conditionalFormatting>
  <conditionalFormatting sqref="T3273:AA3273">
    <cfRule type="cellIs" dxfId="2521" priority="1051" stopIfTrue="1" operator="equal">
      <formula>"Blue - Completed"</formula>
    </cfRule>
    <cfRule type="cellIs" dxfId="2520" priority="1052" stopIfTrue="1" operator="equal">
      <formula>"Green - Started on Sched"</formula>
    </cfRule>
    <cfRule type="cellIs" dxfId="2519" priority="1053" stopIfTrue="1" operator="between">
      <formula>"Q"</formula>
      <formula>"T"</formula>
    </cfRule>
  </conditionalFormatting>
  <conditionalFormatting sqref="G3273">
    <cfRule type="cellIs" dxfId="2518" priority="1045" stopIfTrue="1" operator="equal">
      <formula>"4 - Complete"</formula>
    </cfRule>
    <cfRule type="cellIs" dxfId="2517" priority="1054" stopIfTrue="1" operator="equal">
      <formula>"3 - Green"</formula>
    </cfRule>
    <cfRule type="cellIs" dxfId="2516" priority="1055" stopIfTrue="1" operator="equal">
      <formula>"2 - Yellow"</formula>
    </cfRule>
    <cfRule type="cellIs" dxfId="2515" priority="1056" stopIfTrue="1" operator="equal">
      <formula>"1 - Red"</formula>
    </cfRule>
  </conditionalFormatting>
  <conditionalFormatting sqref="L3273">
    <cfRule type="cellIs" dxfId="2514" priority="1057" stopIfTrue="1" operator="equal">
      <formula>"1 - Hard Load"</formula>
    </cfRule>
    <cfRule type="cellIs" dxfId="2513" priority="1058" stopIfTrue="1" operator="equal">
      <formula>"3 - Not Loaded"</formula>
    </cfRule>
    <cfRule type="cellIs" dxfId="2512" priority="1059" stopIfTrue="1" operator="equal">
      <formula>"2 - Soft Load"</formula>
    </cfRule>
  </conditionalFormatting>
  <conditionalFormatting sqref="D3275">
    <cfRule type="cellIs" dxfId="2511" priority="1026" stopIfTrue="1" operator="equal">
      <formula>D1313</formula>
    </cfRule>
  </conditionalFormatting>
  <conditionalFormatting sqref="AO3274:AO3277 AS3274:AS3277">
    <cfRule type="cellIs" dxfId="2510" priority="1030" stopIfTrue="1" operator="equal">
      <formula>"OK"</formula>
    </cfRule>
    <cfRule type="cellIs" dxfId="2509" priority="1031" stopIfTrue="1" operator="equal">
      <formula>"Add"</formula>
    </cfRule>
  </conditionalFormatting>
  <conditionalFormatting sqref="J3274:J3277">
    <cfRule type="cellIs" dxfId="2508" priority="1032" stopIfTrue="1" operator="equal">
      <formula>"Lockdown"</formula>
    </cfRule>
    <cfRule type="cellIs" dxfId="2507" priority="1033" stopIfTrue="1" operator="equal">
      <formula>"OOM"</formula>
    </cfRule>
    <cfRule type="cellIs" dxfId="2506" priority="1034" stopIfTrue="1" operator="equal">
      <formula>"Placeholder"</formula>
    </cfRule>
  </conditionalFormatting>
  <conditionalFormatting sqref="T3274:AA3277">
    <cfRule type="cellIs" dxfId="2505" priority="1035" stopIfTrue="1" operator="equal">
      <formula>"Blue - Completed"</formula>
    </cfRule>
    <cfRule type="cellIs" dxfId="2504" priority="1036" stopIfTrue="1" operator="equal">
      <formula>"Green - Started on Sched"</formula>
    </cfRule>
    <cfRule type="cellIs" dxfId="2503" priority="1037" stopIfTrue="1" operator="between">
      <formula>"Q"</formula>
      <formula>"T"</formula>
    </cfRule>
  </conditionalFormatting>
  <conditionalFormatting sqref="G3274:G3277">
    <cfRule type="cellIs" dxfId="2502" priority="1029" stopIfTrue="1" operator="equal">
      <formula>"4 - Complete"</formula>
    </cfRule>
    <cfRule type="cellIs" dxfId="2501" priority="1038" stopIfTrue="1" operator="equal">
      <formula>"3 - Green"</formula>
    </cfRule>
    <cfRule type="cellIs" dxfId="2500" priority="1039" stopIfTrue="1" operator="equal">
      <formula>"2 - Yellow"</formula>
    </cfRule>
    <cfRule type="cellIs" dxfId="2499" priority="1040" stopIfTrue="1" operator="equal">
      <formula>"1 - Red"</formula>
    </cfRule>
  </conditionalFormatting>
  <conditionalFormatting sqref="L3274:L3277">
    <cfRule type="cellIs" dxfId="2498" priority="1041" stopIfTrue="1" operator="equal">
      <formula>"1 - Hard Load"</formula>
    </cfRule>
    <cfRule type="cellIs" dxfId="2497" priority="1042" stopIfTrue="1" operator="equal">
      <formula>"3 - Not Loaded"</formula>
    </cfRule>
    <cfRule type="cellIs" dxfId="2496" priority="1043" stopIfTrue="1" operator="equal">
      <formula>"2 - Soft Load"</formula>
    </cfRule>
  </conditionalFormatting>
  <conditionalFormatting sqref="D3273:D3277">
    <cfRule type="cellIs" dxfId="2495" priority="1044" stopIfTrue="1" operator="equal">
      <formula>D1308</formula>
    </cfRule>
  </conditionalFormatting>
  <conditionalFormatting sqref="D3274:D3277">
    <cfRule type="cellIs" dxfId="2494" priority="1028" stopIfTrue="1" operator="equal">
      <formula>D1312</formula>
    </cfRule>
  </conditionalFormatting>
  <conditionalFormatting sqref="D3274:D3277">
    <cfRule type="cellIs" dxfId="2493" priority="1027" stopIfTrue="1" operator="equal">
      <formula>D1312</formula>
    </cfRule>
  </conditionalFormatting>
  <conditionalFormatting sqref="D3277">
    <cfRule type="cellIs" dxfId="2492" priority="1025" stopIfTrue="1" operator="equal">
      <formula>D1315</formula>
    </cfRule>
  </conditionalFormatting>
  <conditionalFormatting sqref="D3278">
    <cfRule type="cellIs" dxfId="2491" priority="1024" stopIfTrue="1" operator="equal">
      <formula>D1316</formula>
    </cfRule>
  </conditionalFormatting>
  <conditionalFormatting sqref="AS3278 AO3278">
    <cfRule type="cellIs" dxfId="2490" priority="1010" stopIfTrue="1" operator="equal">
      <formula>"OK"</formula>
    </cfRule>
    <cfRule type="cellIs" dxfId="2489" priority="1011" stopIfTrue="1" operator="equal">
      <formula>"Add"</formula>
    </cfRule>
  </conditionalFormatting>
  <conditionalFormatting sqref="J3278">
    <cfRule type="cellIs" dxfId="2488" priority="1012" stopIfTrue="1" operator="equal">
      <formula>"Lockdown"</formula>
    </cfRule>
    <cfRule type="cellIs" dxfId="2487" priority="1013" stopIfTrue="1" operator="equal">
      <formula>"OOM"</formula>
    </cfRule>
    <cfRule type="cellIs" dxfId="2486" priority="1014" stopIfTrue="1" operator="equal">
      <formula>"Placeholder"</formula>
    </cfRule>
  </conditionalFormatting>
  <conditionalFormatting sqref="T3278:AA3278">
    <cfRule type="cellIs" dxfId="2485" priority="1015" stopIfTrue="1" operator="equal">
      <formula>"Blue - Completed"</formula>
    </cfRule>
    <cfRule type="cellIs" dxfId="2484" priority="1016" stopIfTrue="1" operator="equal">
      <formula>"Green - Started on Sched"</formula>
    </cfRule>
    <cfRule type="cellIs" dxfId="2483" priority="1017" stopIfTrue="1" operator="between">
      <formula>"Q"</formula>
      <formula>"T"</formula>
    </cfRule>
  </conditionalFormatting>
  <conditionalFormatting sqref="G3278">
    <cfRule type="cellIs" dxfId="2482" priority="1009" stopIfTrue="1" operator="equal">
      <formula>"4 - Complete"</formula>
    </cfRule>
    <cfRule type="cellIs" dxfId="2481" priority="1018" stopIfTrue="1" operator="equal">
      <formula>"3 - Green"</formula>
    </cfRule>
    <cfRule type="cellIs" dxfId="2480" priority="1019" stopIfTrue="1" operator="equal">
      <formula>"2 - Yellow"</formula>
    </cfRule>
    <cfRule type="cellIs" dxfId="2479" priority="1020" stopIfTrue="1" operator="equal">
      <formula>"1 - Red"</formula>
    </cfRule>
  </conditionalFormatting>
  <conditionalFormatting sqref="L3278">
    <cfRule type="cellIs" dxfId="2478" priority="1021" stopIfTrue="1" operator="equal">
      <formula>"1 - Hard Load"</formula>
    </cfRule>
    <cfRule type="cellIs" dxfId="2477" priority="1022" stopIfTrue="1" operator="equal">
      <formula>"3 - Not Loaded"</formula>
    </cfRule>
    <cfRule type="cellIs" dxfId="2476" priority="1023" stopIfTrue="1" operator="equal">
      <formula>"2 - Soft Load"</formula>
    </cfRule>
  </conditionalFormatting>
  <conditionalFormatting sqref="D3280">
    <cfRule type="cellIs" dxfId="2475" priority="990" stopIfTrue="1" operator="equal">
      <formula>D1318</formula>
    </cfRule>
  </conditionalFormatting>
  <conditionalFormatting sqref="AO3279:AO3282 AS3279:AS3282">
    <cfRule type="cellIs" dxfId="2474" priority="994" stopIfTrue="1" operator="equal">
      <formula>"OK"</formula>
    </cfRule>
    <cfRule type="cellIs" dxfId="2473" priority="995" stopIfTrue="1" operator="equal">
      <formula>"Add"</formula>
    </cfRule>
  </conditionalFormatting>
  <conditionalFormatting sqref="J3279:J3282">
    <cfRule type="cellIs" dxfId="2472" priority="996" stopIfTrue="1" operator="equal">
      <formula>"Lockdown"</formula>
    </cfRule>
    <cfRule type="cellIs" dxfId="2471" priority="997" stopIfTrue="1" operator="equal">
      <formula>"OOM"</formula>
    </cfRule>
    <cfRule type="cellIs" dxfId="2470" priority="998" stopIfTrue="1" operator="equal">
      <formula>"Placeholder"</formula>
    </cfRule>
  </conditionalFormatting>
  <conditionalFormatting sqref="T3279:AA3282">
    <cfRule type="cellIs" dxfId="2469" priority="999" stopIfTrue="1" operator="equal">
      <formula>"Blue - Completed"</formula>
    </cfRule>
    <cfRule type="cellIs" dxfId="2468" priority="1000" stopIfTrue="1" operator="equal">
      <formula>"Green - Started on Sched"</formula>
    </cfRule>
    <cfRule type="cellIs" dxfId="2467" priority="1001" stopIfTrue="1" operator="between">
      <formula>"Q"</formula>
      <formula>"T"</formula>
    </cfRule>
  </conditionalFormatting>
  <conditionalFormatting sqref="G3279:G3282">
    <cfRule type="cellIs" dxfId="2466" priority="993" stopIfTrue="1" operator="equal">
      <formula>"4 - Complete"</formula>
    </cfRule>
    <cfRule type="cellIs" dxfId="2465" priority="1002" stopIfTrue="1" operator="equal">
      <formula>"3 - Green"</formula>
    </cfRule>
    <cfRule type="cellIs" dxfId="2464" priority="1003" stopIfTrue="1" operator="equal">
      <formula>"2 - Yellow"</formula>
    </cfRule>
    <cfRule type="cellIs" dxfId="2463" priority="1004" stopIfTrue="1" operator="equal">
      <formula>"1 - Red"</formula>
    </cfRule>
  </conditionalFormatting>
  <conditionalFormatting sqref="L3279:L3282">
    <cfRule type="cellIs" dxfId="2462" priority="1005" stopIfTrue="1" operator="equal">
      <formula>"1 - Hard Load"</formula>
    </cfRule>
    <cfRule type="cellIs" dxfId="2461" priority="1006" stopIfTrue="1" operator="equal">
      <formula>"3 - Not Loaded"</formula>
    </cfRule>
    <cfRule type="cellIs" dxfId="2460" priority="1007" stopIfTrue="1" operator="equal">
      <formula>"2 - Soft Load"</formula>
    </cfRule>
  </conditionalFormatting>
  <conditionalFormatting sqref="D3278:D3282">
    <cfRule type="cellIs" dxfId="2459" priority="1008" stopIfTrue="1" operator="equal">
      <formula>D1313</formula>
    </cfRule>
  </conditionalFormatting>
  <conditionalFormatting sqref="D3279:D3282">
    <cfRule type="cellIs" dxfId="2458" priority="992" stopIfTrue="1" operator="equal">
      <formula>D1317</formula>
    </cfRule>
  </conditionalFormatting>
  <conditionalFormatting sqref="D3279:D3282">
    <cfRule type="cellIs" dxfId="2457" priority="991" stopIfTrue="1" operator="equal">
      <formula>D1317</formula>
    </cfRule>
  </conditionalFormatting>
  <conditionalFormatting sqref="D3282">
    <cfRule type="cellIs" dxfId="2456" priority="989" stopIfTrue="1" operator="equal">
      <formula>D1320</formula>
    </cfRule>
  </conditionalFormatting>
  <conditionalFormatting sqref="D3283">
    <cfRule type="cellIs" dxfId="2455" priority="988" stopIfTrue="1" operator="equal">
      <formula>D1320</formula>
    </cfRule>
  </conditionalFormatting>
  <conditionalFormatting sqref="AS3283 AO3283">
    <cfRule type="cellIs" dxfId="2454" priority="974" stopIfTrue="1" operator="equal">
      <formula>"OK"</formula>
    </cfRule>
    <cfRule type="cellIs" dxfId="2453" priority="975" stopIfTrue="1" operator="equal">
      <formula>"Add"</formula>
    </cfRule>
  </conditionalFormatting>
  <conditionalFormatting sqref="J3283">
    <cfRule type="cellIs" dxfId="2452" priority="976" stopIfTrue="1" operator="equal">
      <formula>"Lockdown"</formula>
    </cfRule>
    <cfRule type="cellIs" dxfId="2451" priority="977" stopIfTrue="1" operator="equal">
      <formula>"OOM"</formula>
    </cfRule>
    <cfRule type="cellIs" dxfId="2450" priority="978" stopIfTrue="1" operator="equal">
      <formula>"Placeholder"</formula>
    </cfRule>
  </conditionalFormatting>
  <conditionalFormatting sqref="T3283:AA3283">
    <cfRule type="cellIs" dxfId="2449" priority="979" stopIfTrue="1" operator="equal">
      <formula>"Blue - Completed"</formula>
    </cfRule>
    <cfRule type="cellIs" dxfId="2448" priority="980" stopIfTrue="1" operator="equal">
      <formula>"Green - Started on Sched"</formula>
    </cfRule>
    <cfRule type="cellIs" dxfId="2447" priority="981" stopIfTrue="1" operator="between">
      <formula>"Q"</formula>
      <formula>"T"</formula>
    </cfRule>
  </conditionalFormatting>
  <conditionalFormatting sqref="G3283">
    <cfRule type="cellIs" dxfId="2446" priority="973" stopIfTrue="1" operator="equal">
      <formula>"4 - Complete"</formula>
    </cfRule>
    <cfRule type="cellIs" dxfId="2445" priority="982" stopIfTrue="1" operator="equal">
      <formula>"3 - Green"</formula>
    </cfRule>
    <cfRule type="cellIs" dxfId="2444" priority="983" stopIfTrue="1" operator="equal">
      <formula>"2 - Yellow"</formula>
    </cfRule>
    <cfRule type="cellIs" dxfId="2443" priority="984" stopIfTrue="1" operator="equal">
      <formula>"1 - Red"</formula>
    </cfRule>
  </conditionalFormatting>
  <conditionalFormatting sqref="L3283">
    <cfRule type="cellIs" dxfId="2442" priority="985" stopIfTrue="1" operator="equal">
      <formula>"1 - Hard Load"</formula>
    </cfRule>
    <cfRule type="cellIs" dxfId="2441" priority="986" stopIfTrue="1" operator="equal">
      <formula>"3 - Not Loaded"</formula>
    </cfRule>
    <cfRule type="cellIs" dxfId="2440" priority="987" stopIfTrue="1" operator="equal">
      <formula>"2 - Soft Load"</formula>
    </cfRule>
  </conditionalFormatting>
  <conditionalFormatting sqref="D3285">
    <cfRule type="cellIs" dxfId="2439" priority="954" stopIfTrue="1" operator="equal">
      <formula>D1322</formula>
    </cfRule>
  </conditionalFormatting>
  <conditionalFormatting sqref="AO3284:AO3287 AS3284:AS3287">
    <cfRule type="cellIs" dxfId="2438" priority="958" stopIfTrue="1" operator="equal">
      <formula>"OK"</formula>
    </cfRule>
    <cfRule type="cellIs" dxfId="2437" priority="959" stopIfTrue="1" operator="equal">
      <formula>"Add"</formula>
    </cfRule>
  </conditionalFormatting>
  <conditionalFormatting sqref="J3284:J3287">
    <cfRule type="cellIs" dxfId="2436" priority="960" stopIfTrue="1" operator="equal">
      <formula>"Lockdown"</formula>
    </cfRule>
    <cfRule type="cellIs" dxfId="2435" priority="961" stopIfTrue="1" operator="equal">
      <formula>"OOM"</formula>
    </cfRule>
    <cfRule type="cellIs" dxfId="2434" priority="962" stopIfTrue="1" operator="equal">
      <formula>"Placeholder"</formula>
    </cfRule>
  </conditionalFormatting>
  <conditionalFormatting sqref="T3284:AA3287">
    <cfRule type="cellIs" dxfId="2433" priority="963" stopIfTrue="1" operator="equal">
      <formula>"Blue - Completed"</formula>
    </cfRule>
    <cfRule type="cellIs" dxfId="2432" priority="964" stopIfTrue="1" operator="equal">
      <formula>"Green - Started on Sched"</formula>
    </cfRule>
    <cfRule type="cellIs" dxfId="2431" priority="965" stopIfTrue="1" operator="between">
      <formula>"Q"</formula>
      <formula>"T"</formula>
    </cfRule>
  </conditionalFormatting>
  <conditionalFormatting sqref="G3284:G3287">
    <cfRule type="cellIs" dxfId="2430" priority="957" stopIfTrue="1" operator="equal">
      <formula>"4 - Complete"</formula>
    </cfRule>
    <cfRule type="cellIs" dxfId="2429" priority="966" stopIfTrue="1" operator="equal">
      <formula>"3 - Green"</formula>
    </cfRule>
    <cfRule type="cellIs" dxfId="2428" priority="967" stopIfTrue="1" operator="equal">
      <formula>"2 - Yellow"</formula>
    </cfRule>
    <cfRule type="cellIs" dxfId="2427" priority="968" stopIfTrue="1" operator="equal">
      <formula>"1 - Red"</formula>
    </cfRule>
  </conditionalFormatting>
  <conditionalFormatting sqref="L3284:L3287">
    <cfRule type="cellIs" dxfId="2426" priority="969" stopIfTrue="1" operator="equal">
      <formula>"1 - Hard Load"</formula>
    </cfRule>
    <cfRule type="cellIs" dxfId="2425" priority="970" stopIfTrue="1" operator="equal">
      <formula>"3 - Not Loaded"</formula>
    </cfRule>
    <cfRule type="cellIs" dxfId="2424" priority="971" stopIfTrue="1" operator="equal">
      <formula>"2 - Soft Load"</formula>
    </cfRule>
  </conditionalFormatting>
  <conditionalFormatting sqref="D3283:D3287">
    <cfRule type="cellIs" dxfId="2423" priority="972" stopIfTrue="1" operator="equal">
      <formula>D1317</formula>
    </cfRule>
  </conditionalFormatting>
  <conditionalFormatting sqref="D3284:D3287">
    <cfRule type="cellIs" dxfId="2422" priority="956" stopIfTrue="1" operator="equal">
      <formula>D1321</formula>
    </cfRule>
  </conditionalFormatting>
  <conditionalFormatting sqref="D3284:D3287">
    <cfRule type="cellIs" dxfId="2421" priority="955" stopIfTrue="1" operator="equal">
      <formula>D1321</formula>
    </cfRule>
  </conditionalFormatting>
  <conditionalFormatting sqref="D3287">
    <cfRule type="cellIs" dxfId="2420" priority="953" stopIfTrue="1" operator="equal">
      <formula>D1324</formula>
    </cfRule>
  </conditionalFormatting>
  <conditionalFormatting sqref="D3288">
    <cfRule type="cellIs" dxfId="2419" priority="952" stopIfTrue="1" operator="equal">
      <formula>D1326</formula>
    </cfRule>
  </conditionalFormatting>
  <conditionalFormatting sqref="AS3288 AO3288">
    <cfRule type="cellIs" dxfId="2418" priority="938" stopIfTrue="1" operator="equal">
      <formula>"OK"</formula>
    </cfRule>
    <cfRule type="cellIs" dxfId="2417" priority="939" stopIfTrue="1" operator="equal">
      <formula>"Add"</formula>
    </cfRule>
  </conditionalFormatting>
  <conditionalFormatting sqref="J3288">
    <cfRule type="cellIs" dxfId="2416" priority="940" stopIfTrue="1" operator="equal">
      <formula>"Lockdown"</formula>
    </cfRule>
    <cfRule type="cellIs" dxfId="2415" priority="941" stopIfTrue="1" operator="equal">
      <formula>"OOM"</formula>
    </cfRule>
    <cfRule type="cellIs" dxfId="2414" priority="942" stopIfTrue="1" operator="equal">
      <formula>"Placeholder"</formula>
    </cfRule>
  </conditionalFormatting>
  <conditionalFormatting sqref="T3288:AA3288">
    <cfRule type="cellIs" dxfId="2413" priority="943" stopIfTrue="1" operator="equal">
      <formula>"Blue - Completed"</formula>
    </cfRule>
    <cfRule type="cellIs" dxfId="2412" priority="944" stopIfTrue="1" operator="equal">
      <formula>"Green - Started on Sched"</formula>
    </cfRule>
    <cfRule type="cellIs" dxfId="2411" priority="945" stopIfTrue="1" operator="between">
      <formula>"Q"</formula>
      <formula>"T"</formula>
    </cfRule>
  </conditionalFormatting>
  <conditionalFormatting sqref="G3288">
    <cfRule type="cellIs" dxfId="2410" priority="937" stopIfTrue="1" operator="equal">
      <formula>"4 - Complete"</formula>
    </cfRule>
    <cfRule type="cellIs" dxfId="2409" priority="946" stopIfTrue="1" operator="equal">
      <formula>"3 - Green"</formula>
    </cfRule>
    <cfRule type="cellIs" dxfId="2408" priority="947" stopIfTrue="1" operator="equal">
      <formula>"2 - Yellow"</formula>
    </cfRule>
    <cfRule type="cellIs" dxfId="2407" priority="948" stopIfTrue="1" operator="equal">
      <formula>"1 - Red"</formula>
    </cfRule>
  </conditionalFormatting>
  <conditionalFormatting sqref="L3288">
    <cfRule type="cellIs" dxfId="2406" priority="949" stopIfTrue="1" operator="equal">
      <formula>"1 - Hard Load"</formula>
    </cfRule>
    <cfRule type="cellIs" dxfId="2405" priority="950" stopIfTrue="1" operator="equal">
      <formula>"3 - Not Loaded"</formula>
    </cfRule>
    <cfRule type="cellIs" dxfId="2404" priority="951" stopIfTrue="1" operator="equal">
      <formula>"2 - Soft Load"</formula>
    </cfRule>
  </conditionalFormatting>
  <conditionalFormatting sqref="D3290">
    <cfRule type="cellIs" dxfId="2403" priority="918" stopIfTrue="1" operator="equal">
      <formula>D1328</formula>
    </cfRule>
  </conditionalFormatting>
  <conditionalFormatting sqref="AO3289:AO3292 AS3289:AS3292">
    <cfRule type="cellIs" dxfId="2402" priority="922" stopIfTrue="1" operator="equal">
      <formula>"OK"</formula>
    </cfRule>
    <cfRule type="cellIs" dxfId="2401" priority="923" stopIfTrue="1" operator="equal">
      <formula>"Add"</formula>
    </cfRule>
  </conditionalFormatting>
  <conditionalFormatting sqref="J3289:J3292">
    <cfRule type="cellIs" dxfId="2400" priority="924" stopIfTrue="1" operator="equal">
      <formula>"Lockdown"</formula>
    </cfRule>
    <cfRule type="cellIs" dxfId="2399" priority="925" stopIfTrue="1" operator="equal">
      <formula>"OOM"</formula>
    </cfRule>
    <cfRule type="cellIs" dxfId="2398" priority="926" stopIfTrue="1" operator="equal">
      <formula>"Placeholder"</formula>
    </cfRule>
  </conditionalFormatting>
  <conditionalFormatting sqref="T3289:AA3292">
    <cfRule type="cellIs" dxfId="2397" priority="927" stopIfTrue="1" operator="equal">
      <formula>"Blue - Completed"</formula>
    </cfRule>
    <cfRule type="cellIs" dxfId="2396" priority="928" stopIfTrue="1" operator="equal">
      <formula>"Green - Started on Sched"</formula>
    </cfRule>
    <cfRule type="cellIs" dxfId="2395" priority="929" stopIfTrue="1" operator="between">
      <formula>"Q"</formula>
      <formula>"T"</formula>
    </cfRule>
  </conditionalFormatting>
  <conditionalFormatting sqref="G3289:G3292">
    <cfRule type="cellIs" dxfId="2394" priority="921" stopIfTrue="1" operator="equal">
      <formula>"4 - Complete"</formula>
    </cfRule>
    <cfRule type="cellIs" dxfId="2393" priority="930" stopIfTrue="1" operator="equal">
      <formula>"3 - Green"</formula>
    </cfRule>
    <cfRule type="cellIs" dxfId="2392" priority="931" stopIfTrue="1" operator="equal">
      <formula>"2 - Yellow"</formula>
    </cfRule>
    <cfRule type="cellIs" dxfId="2391" priority="932" stopIfTrue="1" operator="equal">
      <formula>"1 - Red"</formula>
    </cfRule>
  </conditionalFormatting>
  <conditionalFormatting sqref="L3289:L3292">
    <cfRule type="cellIs" dxfId="2390" priority="933" stopIfTrue="1" operator="equal">
      <formula>"1 - Hard Load"</formula>
    </cfRule>
    <cfRule type="cellIs" dxfId="2389" priority="934" stopIfTrue="1" operator="equal">
      <formula>"3 - Not Loaded"</formula>
    </cfRule>
    <cfRule type="cellIs" dxfId="2388" priority="935" stopIfTrue="1" operator="equal">
      <formula>"2 - Soft Load"</formula>
    </cfRule>
  </conditionalFormatting>
  <conditionalFormatting sqref="D3288:D3292">
    <cfRule type="cellIs" dxfId="2387" priority="936" stopIfTrue="1" operator="equal">
      <formula>D1323</formula>
    </cfRule>
  </conditionalFormatting>
  <conditionalFormatting sqref="D3289:D3292">
    <cfRule type="cellIs" dxfId="2386" priority="920" stopIfTrue="1" operator="equal">
      <formula>D1327</formula>
    </cfRule>
  </conditionalFormatting>
  <conditionalFormatting sqref="D3289:D3292">
    <cfRule type="cellIs" dxfId="2385" priority="919" stopIfTrue="1" operator="equal">
      <formula>D1327</formula>
    </cfRule>
  </conditionalFormatting>
  <conditionalFormatting sqref="D3292">
    <cfRule type="cellIs" dxfId="2384" priority="917" stopIfTrue="1" operator="equal">
      <formula>D1330</formula>
    </cfRule>
  </conditionalFormatting>
  <conditionalFormatting sqref="D3293">
    <cfRule type="cellIs" dxfId="2383" priority="916" stopIfTrue="1" operator="equal">
      <formula>D1331</formula>
    </cfRule>
  </conditionalFormatting>
  <conditionalFormatting sqref="AS3293 AO3293">
    <cfRule type="cellIs" dxfId="2382" priority="902" stopIfTrue="1" operator="equal">
      <formula>"OK"</formula>
    </cfRule>
    <cfRule type="cellIs" dxfId="2381" priority="903" stopIfTrue="1" operator="equal">
      <formula>"Add"</formula>
    </cfRule>
  </conditionalFormatting>
  <conditionalFormatting sqref="J3293">
    <cfRule type="cellIs" dxfId="2380" priority="904" stopIfTrue="1" operator="equal">
      <formula>"Lockdown"</formula>
    </cfRule>
    <cfRule type="cellIs" dxfId="2379" priority="905" stopIfTrue="1" operator="equal">
      <formula>"OOM"</formula>
    </cfRule>
    <cfRule type="cellIs" dxfId="2378" priority="906" stopIfTrue="1" operator="equal">
      <formula>"Placeholder"</formula>
    </cfRule>
  </conditionalFormatting>
  <conditionalFormatting sqref="T3293:AA3293">
    <cfRule type="cellIs" dxfId="2377" priority="907" stopIfTrue="1" operator="equal">
      <formula>"Blue - Completed"</formula>
    </cfRule>
    <cfRule type="cellIs" dxfId="2376" priority="908" stopIfTrue="1" operator="equal">
      <formula>"Green - Started on Sched"</formula>
    </cfRule>
    <cfRule type="cellIs" dxfId="2375" priority="909" stopIfTrue="1" operator="between">
      <formula>"Q"</formula>
      <formula>"T"</formula>
    </cfRule>
  </conditionalFormatting>
  <conditionalFormatting sqref="G3293">
    <cfRule type="cellIs" dxfId="2374" priority="901" stopIfTrue="1" operator="equal">
      <formula>"4 - Complete"</formula>
    </cfRule>
    <cfRule type="cellIs" dxfId="2373" priority="910" stopIfTrue="1" operator="equal">
      <formula>"3 - Green"</formula>
    </cfRule>
    <cfRule type="cellIs" dxfId="2372" priority="911" stopIfTrue="1" operator="equal">
      <formula>"2 - Yellow"</formula>
    </cfRule>
    <cfRule type="cellIs" dxfId="2371" priority="912" stopIfTrue="1" operator="equal">
      <formula>"1 - Red"</formula>
    </cfRule>
  </conditionalFormatting>
  <conditionalFormatting sqref="L3293">
    <cfRule type="cellIs" dxfId="2370" priority="913" stopIfTrue="1" operator="equal">
      <formula>"1 - Hard Load"</formula>
    </cfRule>
    <cfRule type="cellIs" dxfId="2369" priority="914" stopIfTrue="1" operator="equal">
      <formula>"3 - Not Loaded"</formula>
    </cfRule>
    <cfRule type="cellIs" dxfId="2368" priority="915" stopIfTrue="1" operator="equal">
      <formula>"2 - Soft Load"</formula>
    </cfRule>
  </conditionalFormatting>
  <conditionalFormatting sqref="D3295">
    <cfRule type="cellIs" dxfId="2367" priority="882" stopIfTrue="1" operator="equal">
      <formula>D1333</formula>
    </cfRule>
  </conditionalFormatting>
  <conditionalFormatting sqref="AO3294:AO3297 AS3294:AS3297">
    <cfRule type="cellIs" dxfId="2366" priority="886" stopIfTrue="1" operator="equal">
      <formula>"OK"</formula>
    </cfRule>
    <cfRule type="cellIs" dxfId="2365" priority="887" stopIfTrue="1" operator="equal">
      <formula>"Add"</formula>
    </cfRule>
  </conditionalFormatting>
  <conditionalFormatting sqref="J3294:J3297">
    <cfRule type="cellIs" dxfId="2364" priority="888" stopIfTrue="1" operator="equal">
      <formula>"Lockdown"</formula>
    </cfRule>
    <cfRule type="cellIs" dxfId="2363" priority="889" stopIfTrue="1" operator="equal">
      <formula>"OOM"</formula>
    </cfRule>
    <cfRule type="cellIs" dxfId="2362" priority="890" stopIfTrue="1" operator="equal">
      <formula>"Placeholder"</formula>
    </cfRule>
  </conditionalFormatting>
  <conditionalFormatting sqref="T3294:AA3297">
    <cfRule type="cellIs" dxfId="2361" priority="891" stopIfTrue="1" operator="equal">
      <formula>"Blue - Completed"</formula>
    </cfRule>
    <cfRule type="cellIs" dxfId="2360" priority="892" stopIfTrue="1" operator="equal">
      <formula>"Green - Started on Sched"</formula>
    </cfRule>
    <cfRule type="cellIs" dxfId="2359" priority="893" stopIfTrue="1" operator="between">
      <formula>"Q"</formula>
      <formula>"T"</formula>
    </cfRule>
  </conditionalFormatting>
  <conditionalFormatting sqref="G3294:G3297">
    <cfRule type="cellIs" dxfId="2358" priority="885" stopIfTrue="1" operator="equal">
      <formula>"4 - Complete"</formula>
    </cfRule>
    <cfRule type="cellIs" dxfId="2357" priority="894" stopIfTrue="1" operator="equal">
      <formula>"3 - Green"</formula>
    </cfRule>
    <cfRule type="cellIs" dxfId="2356" priority="895" stopIfTrue="1" operator="equal">
      <formula>"2 - Yellow"</formula>
    </cfRule>
    <cfRule type="cellIs" dxfId="2355" priority="896" stopIfTrue="1" operator="equal">
      <formula>"1 - Red"</formula>
    </cfRule>
  </conditionalFormatting>
  <conditionalFormatting sqref="L3294:L3297">
    <cfRule type="cellIs" dxfId="2354" priority="897" stopIfTrue="1" operator="equal">
      <formula>"1 - Hard Load"</formula>
    </cfRule>
    <cfRule type="cellIs" dxfId="2353" priority="898" stopIfTrue="1" operator="equal">
      <formula>"3 - Not Loaded"</formula>
    </cfRule>
    <cfRule type="cellIs" dxfId="2352" priority="899" stopIfTrue="1" operator="equal">
      <formula>"2 - Soft Load"</formula>
    </cfRule>
  </conditionalFormatting>
  <conditionalFormatting sqref="D3293:D3297">
    <cfRule type="cellIs" dxfId="2351" priority="900" stopIfTrue="1" operator="equal">
      <formula>D1328</formula>
    </cfRule>
  </conditionalFormatting>
  <conditionalFormatting sqref="D3294:D3297">
    <cfRule type="cellIs" dxfId="2350" priority="884" stopIfTrue="1" operator="equal">
      <formula>D1332</formula>
    </cfRule>
  </conditionalFormatting>
  <conditionalFormatting sqref="D3294:D3297">
    <cfRule type="cellIs" dxfId="2349" priority="883" stopIfTrue="1" operator="equal">
      <formula>D1332</formula>
    </cfRule>
  </conditionalFormatting>
  <conditionalFormatting sqref="D3297">
    <cfRule type="cellIs" dxfId="2348" priority="881" stopIfTrue="1" operator="equal">
      <formula>D1335</formula>
    </cfRule>
  </conditionalFormatting>
  <conditionalFormatting sqref="D244">
    <cfRule type="cellIs" dxfId="2347" priority="10831" stopIfTrue="1" operator="equal">
      <formula>#REF!</formula>
    </cfRule>
  </conditionalFormatting>
  <conditionalFormatting sqref="D165">
    <cfRule type="cellIs" dxfId="2346" priority="866" stopIfTrue="1" operator="equal">
      <formula>D155</formula>
    </cfRule>
  </conditionalFormatting>
  <conditionalFormatting sqref="AO165 AS165">
    <cfRule type="cellIs" dxfId="2345" priority="867" stopIfTrue="1" operator="equal">
      <formula>"OK"</formula>
    </cfRule>
    <cfRule type="cellIs" dxfId="2344" priority="868" stopIfTrue="1" operator="equal">
      <formula>"Add"</formula>
    </cfRule>
  </conditionalFormatting>
  <conditionalFormatting sqref="J165">
    <cfRule type="cellIs" dxfId="2343" priority="869" stopIfTrue="1" operator="equal">
      <formula>"Lockdown"</formula>
    </cfRule>
    <cfRule type="cellIs" dxfId="2342" priority="870" stopIfTrue="1" operator="equal">
      <formula>"OOM"</formula>
    </cfRule>
    <cfRule type="cellIs" dxfId="2341" priority="871" stopIfTrue="1" operator="equal">
      <formula>"Placeholder"</formula>
    </cfRule>
  </conditionalFormatting>
  <conditionalFormatting sqref="T165:AA165">
    <cfRule type="cellIs" dxfId="2340" priority="872" stopIfTrue="1" operator="equal">
      <formula>"Blue - Completed"</formula>
    </cfRule>
    <cfRule type="cellIs" dxfId="2339" priority="873" stopIfTrue="1" operator="equal">
      <formula>"Green - Started on Sched"</formula>
    </cfRule>
    <cfRule type="cellIs" dxfId="2338" priority="874" stopIfTrue="1" operator="between">
      <formula>"Q"</formula>
      <formula>"T"</formula>
    </cfRule>
  </conditionalFormatting>
  <conditionalFormatting sqref="G165">
    <cfRule type="cellIs" dxfId="2337" priority="865" stopIfTrue="1" operator="equal">
      <formula>"4 - Complete"</formula>
    </cfRule>
    <cfRule type="cellIs" dxfId="2336" priority="875" stopIfTrue="1" operator="equal">
      <formula>"3 - Green"</formula>
    </cfRule>
    <cfRule type="cellIs" dxfId="2335" priority="876" stopIfTrue="1" operator="equal">
      <formula>"2 - Yellow"</formula>
    </cfRule>
    <cfRule type="cellIs" dxfId="2334" priority="877" stopIfTrue="1" operator="equal">
      <formula>"1 - Red"</formula>
    </cfRule>
  </conditionalFormatting>
  <conditionalFormatting sqref="L165">
    <cfRule type="cellIs" dxfId="2333" priority="878" stopIfTrue="1" operator="equal">
      <formula>"1 - Hard Load"</formula>
    </cfRule>
    <cfRule type="cellIs" dxfId="2332" priority="879" stopIfTrue="1" operator="equal">
      <formula>"3 - Not Loaded"</formula>
    </cfRule>
    <cfRule type="cellIs" dxfId="2331" priority="880" stopIfTrue="1" operator="equal">
      <formula>"2 - Soft Load"</formula>
    </cfRule>
  </conditionalFormatting>
  <conditionalFormatting sqref="D144">
    <cfRule type="cellIs" dxfId="2330" priority="850" stopIfTrue="1" operator="equal">
      <formula>D139</formula>
    </cfRule>
  </conditionalFormatting>
  <conditionalFormatting sqref="AS144 AO144">
    <cfRule type="cellIs" dxfId="2329" priority="851" stopIfTrue="1" operator="equal">
      <formula>"OK"</formula>
    </cfRule>
    <cfRule type="cellIs" dxfId="2328" priority="852" stopIfTrue="1" operator="equal">
      <formula>"Add"</formula>
    </cfRule>
  </conditionalFormatting>
  <conditionalFormatting sqref="J144">
    <cfRule type="cellIs" dxfId="2327" priority="853" stopIfTrue="1" operator="equal">
      <formula>"Lockdown"</formula>
    </cfRule>
    <cfRule type="cellIs" dxfId="2326" priority="854" stopIfTrue="1" operator="equal">
      <formula>"OOM"</formula>
    </cfRule>
    <cfRule type="cellIs" dxfId="2325" priority="855" stopIfTrue="1" operator="equal">
      <formula>"Placeholder"</formula>
    </cfRule>
  </conditionalFormatting>
  <conditionalFormatting sqref="T144:AA144">
    <cfRule type="cellIs" dxfId="2324" priority="856" stopIfTrue="1" operator="equal">
      <formula>"Blue - Completed"</formula>
    </cfRule>
    <cfRule type="cellIs" dxfId="2323" priority="857" stopIfTrue="1" operator="equal">
      <formula>"Green - Started on Sched"</formula>
    </cfRule>
    <cfRule type="cellIs" dxfId="2322" priority="858" stopIfTrue="1" operator="between">
      <formula>"Q"</formula>
      <formula>"T"</formula>
    </cfRule>
  </conditionalFormatting>
  <conditionalFormatting sqref="G144">
    <cfRule type="cellIs" dxfId="2321" priority="849" stopIfTrue="1" operator="equal">
      <formula>"4 - Complete"</formula>
    </cfRule>
    <cfRule type="cellIs" dxfId="2320" priority="859" stopIfTrue="1" operator="equal">
      <formula>"3 - Green"</formula>
    </cfRule>
    <cfRule type="cellIs" dxfId="2319" priority="860" stopIfTrue="1" operator="equal">
      <formula>"2 - Yellow"</formula>
    </cfRule>
    <cfRule type="cellIs" dxfId="2318" priority="861" stopIfTrue="1" operator="equal">
      <formula>"1 - Red"</formula>
    </cfRule>
  </conditionalFormatting>
  <conditionalFormatting sqref="L144">
    <cfRule type="cellIs" dxfId="2317" priority="862" stopIfTrue="1" operator="equal">
      <formula>"1 - Hard Load"</formula>
    </cfRule>
    <cfRule type="cellIs" dxfId="2316" priority="863" stopIfTrue="1" operator="equal">
      <formula>"3 - Not Loaded"</formula>
    </cfRule>
    <cfRule type="cellIs" dxfId="2315" priority="864" stopIfTrue="1" operator="equal">
      <formula>"2 - Soft Load"</formula>
    </cfRule>
  </conditionalFormatting>
  <conditionalFormatting sqref="D146">
    <cfRule type="cellIs" dxfId="2314" priority="834" stopIfTrue="1" operator="equal">
      <formula>D139</formula>
    </cfRule>
  </conditionalFormatting>
  <conditionalFormatting sqref="AS146 AO146">
    <cfRule type="cellIs" dxfId="2313" priority="835" stopIfTrue="1" operator="equal">
      <formula>"OK"</formula>
    </cfRule>
    <cfRule type="cellIs" dxfId="2312" priority="836" stopIfTrue="1" operator="equal">
      <formula>"Add"</formula>
    </cfRule>
  </conditionalFormatting>
  <conditionalFormatting sqref="J146">
    <cfRule type="cellIs" dxfId="2311" priority="837" stopIfTrue="1" operator="equal">
      <formula>"Lockdown"</formula>
    </cfRule>
    <cfRule type="cellIs" dxfId="2310" priority="838" stopIfTrue="1" operator="equal">
      <formula>"OOM"</formula>
    </cfRule>
    <cfRule type="cellIs" dxfId="2309" priority="839" stopIfTrue="1" operator="equal">
      <formula>"Placeholder"</formula>
    </cfRule>
  </conditionalFormatting>
  <conditionalFormatting sqref="T146:AA146">
    <cfRule type="cellIs" dxfId="2308" priority="840" stopIfTrue="1" operator="equal">
      <formula>"Blue - Completed"</formula>
    </cfRule>
    <cfRule type="cellIs" dxfId="2307" priority="841" stopIfTrue="1" operator="equal">
      <formula>"Green - Started on Sched"</formula>
    </cfRule>
    <cfRule type="cellIs" dxfId="2306" priority="842" stopIfTrue="1" operator="between">
      <formula>"Q"</formula>
      <formula>"T"</formula>
    </cfRule>
  </conditionalFormatting>
  <conditionalFormatting sqref="G146">
    <cfRule type="cellIs" dxfId="2305" priority="833" stopIfTrue="1" operator="equal">
      <formula>"4 - Complete"</formula>
    </cfRule>
    <cfRule type="cellIs" dxfId="2304" priority="843" stopIfTrue="1" operator="equal">
      <formula>"3 - Green"</formula>
    </cfRule>
    <cfRule type="cellIs" dxfId="2303" priority="844" stopIfTrue="1" operator="equal">
      <formula>"2 - Yellow"</formula>
    </cfRule>
    <cfRule type="cellIs" dxfId="2302" priority="845" stopIfTrue="1" operator="equal">
      <formula>"1 - Red"</formula>
    </cfRule>
  </conditionalFormatting>
  <conditionalFormatting sqref="L146">
    <cfRule type="cellIs" dxfId="2301" priority="846" stopIfTrue="1" operator="equal">
      <formula>"1 - Hard Load"</formula>
    </cfRule>
    <cfRule type="cellIs" dxfId="2300" priority="847" stopIfTrue="1" operator="equal">
      <formula>"3 - Not Loaded"</formula>
    </cfRule>
    <cfRule type="cellIs" dxfId="2299" priority="848" stopIfTrue="1" operator="equal">
      <formula>"2 - Soft Load"</formula>
    </cfRule>
  </conditionalFormatting>
  <conditionalFormatting sqref="D40">
    <cfRule type="cellIs" dxfId="2298" priority="818" stopIfTrue="1" operator="equal">
      <formula>D34</formula>
    </cfRule>
  </conditionalFormatting>
  <conditionalFormatting sqref="AO40 AS40">
    <cfRule type="cellIs" dxfId="2297" priority="819" stopIfTrue="1" operator="equal">
      <formula>"OK"</formula>
    </cfRule>
    <cfRule type="cellIs" dxfId="2296" priority="820" stopIfTrue="1" operator="equal">
      <formula>"Add"</formula>
    </cfRule>
  </conditionalFormatting>
  <conditionalFormatting sqref="J40">
    <cfRule type="cellIs" dxfId="2295" priority="821" stopIfTrue="1" operator="equal">
      <formula>"Lockdown"</formula>
    </cfRule>
    <cfRule type="cellIs" dxfId="2294" priority="822" stopIfTrue="1" operator="equal">
      <formula>"OOM"</formula>
    </cfRule>
    <cfRule type="cellIs" dxfId="2293" priority="823" stopIfTrue="1" operator="equal">
      <formula>"Placeholder"</formula>
    </cfRule>
  </conditionalFormatting>
  <conditionalFormatting sqref="T40:AA40">
    <cfRule type="cellIs" dxfId="2292" priority="824" stopIfTrue="1" operator="equal">
      <formula>"Blue - Completed"</formula>
    </cfRule>
    <cfRule type="cellIs" dxfId="2291" priority="825" stopIfTrue="1" operator="equal">
      <formula>"Green - Started on Sched"</formula>
    </cfRule>
    <cfRule type="cellIs" dxfId="2290" priority="826" stopIfTrue="1" operator="between">
      <formula>"Q"</formula>
      <formula>"T"</formula>
    </cfRule>
  </conditionalFormatting>
  <conditionalFormatting sqref="G40">
    <cfRule type="cellIs" dxfId="2289" priority="817" stopIfTrue="1" operator="equal">
      <formula>"4 - Complete"</formula>
    </cfRule>
    <cfRule type="cellIs" dxfId="2288" priority="827" stopIfTrue="1" operator="equal">
      <formula>"3 - Green"</formula>
    </cfRule>
    <cfRule type="cellIs" dxfId="2287" priority="828" stopIfTrue="1" operator="equal">
      <formula>"2 - Yellow"</formula>
    </cfRule>
    <cfRule type="cellIs" dxfId="2286" priority="829" stopIfTrue="1" operator="equal">
      <formula>"1 - Red"</formula>
    </cfRule>
  </conditionalFormatting>
  <conditionalFormatting sqref="L40">
    <cfRule type="cellIs" dxfId="2285" priority="830" stopIfTrue="1" operator="equal">
      <formula>"1 - Hard Load"</formula>
    </cfRule>
    <cfRule type="cellIs" dxfId="2284" priority="831" stopIfTrue="1" operator="equal">
      <formula>"3 - Not Loaded"</formula>
    </cfRule>
    <cfRule type="cellIs" dxfId="2283" priority="832" stopIfTrue="1" operator="equal">
      <formula>"2 - Soft Load"</formula>
    </cfRule>
  </conditionalFormatting>
  <conditionalFormatting sqref="D68">
    <cfRule type="cellIs" dxfId="2282" priority="802" stopIfTrue="1" operator="equal">
      <formula>D63</formula>
    </cfRule>
  </conditionalFormatting>
  <conditionalFormatting sqref="AS68 AO68">
    <cfRule type="cellIs" dxfId="2281" priority="803" stopIfTrue="1" operator="equal">
      <formula>"OK"</formula>
    </cfRule>
    <cfRule type="cellIs" dxfId="2280" priority="804" stopIfTrue="1" operator="equal">
      <formula>"Add"</formula>
    </cfRule>
  </conditionalFormatting>
  <conditionalFormatting sqref="J68">
    <cfRule type="cellIs" dxfId="2279" priority="805" stopIfTrue="1" operator="equal">
      <formula>"Lockdown"</formula>
    </cfRule>
    <cfRule type="cellIs" dxfId="2278" priority="806" stopIfTrue="1" operator="equal">
      <formula>"OOM"</formula>
    </cfRule>
    <cfRule type="cellIs" dxfId="2277" priority="807" stopIfTrue="1" operator="equal">
      <formula>"Placeholder"</formula>
    </cfRule>
  </conditionalFormatting>
  <conditionalFormatting sqref="T68:AA68">
    <cfRule type="cellIs" dxfId="2276" priority="808" stopIfTrue="1" operator="equal">
      <formula>"Blue - Completed"</formula>
    </cfRule>
    <cfRule type="cellIs" dxfId="2275" priority="809" stopIfTrue="1" operator="equal">
      <formula>"Green - Started on Sched"</formula>
    </cfRule>
    <cfRule type="cellIs" dxfId="2274" priority="810" stopIfTrue="1" operator="between">
      <formula>"Q"</formula>
      <formula>"T"</formula>
    </cfRule>
  </conditionalFormatting>
  <conditionalFormatting sqref="G68">
    <cfRule type="cellIs" dxfId="2273" priority="801" stopIfTrue="1" operator="equal">
      <formula>"4 - Complete"</formula>
    </cfRule>
    <cfRule type="cellIs" dxfId="2272" priority="811" stopIfTrue="1" operator="equal">
      <formula>"3 - Green"</formula>
    </cfRule>
    <cfRule type="cellIs" dxfId="2271" priority="812" stopIfTrue="1" operator="equal">
      <formula>"2 - Yellow"</formula>
    </cfRule>
    <cfRule type="cellIs" dxfId="2270" priority="813" stopIfTrue="1" operator="equal">
      <formula>"1 - Red"</formula>
    </cfRule>
  </conditionalFormatting>
  <conditionalFormatting sqref="L68">
    <cfRule type="cellIs" dxfId="2269" priority="814" stopIfTrue="1" operator="equal">
      <formula>"1 - Hard Load"</formula>
    </cfRule>
    <cfRule type="cellIs" dxfId="2268" priority="815" stopIfTrue="1" operator="equal">
      <formula>"3 - Not Loaded"</formula>
    </cfRule>
    <cfRule type="cellIs" dxfId="2267" priority="816" stopIfTrue="1" operator="equal">
      <formula>"2 - Soft Load"</formula>
    </cfRule>
  </conditionalFormatting>
  <conditionalFormatting sqref="D159">
    <cfRule type="cellIs" dxfId="2266" priority="786" stopIfTrue="1" operator="equal">
      <formula>D152</formula>
    </cfRule>
  </conditionalFormatting>
  <conditionalFormatting sqref="AO159 AS159">
    <cfRule type="cellIs" dxfId="2265" priority="787" stopIfTrue="1" operator="equal">
      <formula>"OK"</formula>
    </cfRule>
    <cfRule type="cellIs" dxfId="2264" priority="788" stopIfTrue="1" operator="equal">
      <formula>"Add"</formula>
    </cfRule>
  </conditionalFormatting>
  <conditionalFormatting sqref="J159">
    <cfRule type="cellIs" dxfId="2263" priority="789" stopIfTrue="1" operator="equal">
      <formula>"Lockdown"</formula>
    </cfRule>
    <cfRule type="cellIs" dxfId="2262" priority="790" stopIfTrue="1" operator="equal">
      <formula>"OOM"</formula>
    </cfRule>
    <cfRule type="cellIs" dxfId="2261" priority="791" stopIfTrue="1" operator="equal">
      <formula>"Placeholder"</formula>
    </cfRule>
  </conditionalFormatting>
  <conditionalFormatting sqref="T159:AA159">
    <cfRule type="cellIs" dxfId="2260" priority="792" stopIfTrue="1" operator="equal">
      <formula>"Blue - Completed"</formula>
    </cfRule>
    <cfRule type="cellIs" dxfId="2259" priority="793" stopIfTrue="1" operator="equal">
      <formula>"Green - Started on Sched"</formula>
    </cfRule>
    <cfRule type="cellIs" dxfId="2258" priority="794" stopIfTrue="1" operator="between">
      <formula>"Q"</formula>
      <formula>"T"</formula>
    </cfRule>
  </conditionalFormatting>
  <conditionalFormatting sqref="G159">
    <cfRule type="cellIs" dxfId="2257" priority="785" stopIfTrue="1" operator="equal">
      <formula>"4 - Complete"</formula>
    </cfRule>
    <cfRule type="cellIs" dxfId="2256" priority="795" stopIfTrue="1" operator="equal">
      <formula>"3 - Green"</formula>
    </cfRule>
    <cfRule type="cellIs" dxfId="2255" priority="796" stopIfTrue="1" operator="equal">
      <formula>"2 - Yellow"</formula>
    </cfRule>
    <cfRule type="cellIs" dxfId="2254" priority="797" stopIfTrue="1" operator="equal">
      <formula>"1 - Red"</formula>
    </cfRule>
  </conditionalFormatting>
  <conditionalFormatting sqref="L159">
    <cfRule type="cellIs" dxfId="2253" priority="798" stopIfTrue="1" operator="equal">
      <formula>"1 - Hard Load"</formula>
    </cfRule>
    <cfRule type="cellIs" dxfId="2252" priority="799" stopIfTrue="1" operator="equal">
      <formula>"3 - Not Loaded"</formula>
    </cfRule>
    <cfRule type="cellIs" dxfId="2251" priority="800" stopIfTrue="1" operator="equal">
      <formula>"2 - Soft Load"</formula>
    </cfRule>
  </conditionalFormatting>
  <conditionalFormatting sqref="D3298">
    <cfRule type="cellIs" dxfId="2250" priority="784" stopIfTrue="1" operator="equal">
      <formula>D1336</formula>
    </cfRule>
  </conditionalFormatting>
  <conditionalFormatting sqref="AS3298 AO3298">
    <cfRule type="cellIs" dxfId="2249" priority="770" stopIfTrue="1" operator="equal">
      <formula>"OK"</formula>
    </cfRule>
    <cfRule type="cellIs" dxfId="2248" priority="771" stopIfTrue="1" operator="equal">
      <formula>"Add"</formula>
    </cfRule>
  </conditionalFormatting>
  <conditionalFormatting sqref="J3298">
    <cfRule type="cellIs" dxfId="2247" priority="772" stopIfTrue="1" operator="equal">
      <formula>"Lockdown"</formula>
    </cfRule>
    <cfRule type="cellIs" dxfId="2246" priority="773" stopIfTrue="1" operator="equal">
      <formula>"OOM"</formula>
    </cfRule>
    <cfRule type="cellIs" dxfId="2245" priority="774" stopIfTrue="1" operator="equal">
      <formula>"Placeholder"</formula>
    </cfRule>
  </conditionalFormatting>
  <conditionalFormatting sqref="T3298:AA3298">
    <cfRule type="cellIs" dxfId="2244" priority="775" stopIfTrue="1" operator="equal">
      <formula>"Blue - Completed"</formula>
    </cfRule>
    <cfRule type="cellIs" dxfId="2243" priority="776" stopIfTrue="1" operator="equal">
      <formula>"Green - Started on Sched"</formula>
    </cfRule>
    <cfRule type="cellIs" dxfId="2242" priority="777" stopIfTrue="1" operator="between">
      <formula>"Q"</formula>
      <formula>"T"</formula>
    </cfRule>
  </conditionalFormatting>
  <conditionalFormatting sqref="G3298">
    <cfRule type="cellIs" dxfId="2241" priority="769" stopIfTrue="1" operator="equal">
      <formula>"4 - Complete"</formula>
    </cfRule>
    <cfRule type="cellIs" dxfId="2240" priority="778" stopIfTrue="1" operator="equal">
      <formula>"3 - Green"</formula>
    </cfRule>
    <cfRule type="cellIs" dxfId="2239" priority="779" stopIfTrue="1" operator="equal">
      <formula>"2 - Yellow"</formula>
    </cfRule>
    <cfRule type="cellIs" dxfId="2238" priority="780" stopIfTrue="1" operator="equal">
      <formula>"1 - Red"</formula>
    </cfRule>
  </conditionalFormatting>
  <conditionalFormatting sqref="L3298">
    <cfRule type="cellIs" dxfId="2237" priority="781" stopIfTrue="1" operator="equal">
      <formula>"1 - Hard Load"</formula>
    </cfRule>
    <cfRule type="cellIs" dxfId="2236" priority="782" stopIfTrue="1" operator="equal">
      <formula>"3 - Not Loaded"</formula>
    </cfRule>
    <cfRule type="cellIs" dxfId="2235" priority="783" stopIfTrue="1" operator="equal">
      <formula>"2 - Soft Load"</formula>
    </cfRule>
  </conditionalFormatting>
  <conditionalFormatting sqref="D3300">
    <cfRule type="cellIs" dxfId="2234" priority="750" stopIfTrue="1" operator="equal">
      <formula>D1338</formula>
    </cfRule>
  </conditionalFormatting>
  <conditionalFormatting sqref="AO3299:AO3302 AS3299:AS3302">
    <cfRule type="cellIs" dxfId="2233" priority="754" stopIfTrue="1" operator="equal">
      <formula>"OK"</formula>
    </cfRule>
    <cfRule type="cellIs" dxfId="2232" priority="755" stopIfTrue="1" operator="equal">
      <formula>"Add"</formula>
    </cfRule>
  </conditionalFormatting>
  <conditionalFormatting sqref="J3299:J3302">
    <cfRule type="cellIs" dxfId="2231" priority="756" stopIfTrue="1" operator="equal">
      <formula>"Lockdown"</formula>
    </cfRule>
    <cfRule type="cellIs" dxfId="2230" priority="757" stopIfTrue="1" operator="equal">
      <formula>"OOM"</formula>
    </cfRule>
    <cfRule type="cellIs" dxfId="2229" priority="758" stopIfTrue="1" operator="equal">
      <formula>"Placeholder"</formula>
    </cfRule>
  </conditionalFormatting>
  <conditionalFormatting sqref="T3299:AA3302">
    <cfRule type="cellIs" dxfId="2228" priority="759" stopIfTrue="1" operator="equal">
      <formula>"Blue - Completed"</formula>
    </cfRule>
    <cfRule type="cellIs" dxfId="2227" priority="760" stopIfTrue="1" operator="equal">
      <formula>"Green - Started on Sched"</formula>
    </cfRule>
    <cfRule type="cellIs" dxfId="2226" priority="761" stopIfTrue="1" operator="between">
      <formula>"Q"</formula>
      <formula>"T"</formula>
    </cfRule>
  </conditionalFormatting>
  <conditionalFormatting sqref="G3299:G3302">
    <cfRule type="cellIs" dxfId="2225" priority="753" stopIfTrue="1" operator="equal">
      <formula>"4 - Complete"</formula>
    </cfRule>
    <cfRule type="cellIs" dxfId="2224" priority="762" stopIfTrue="1" operator="equal">
      <formula>"3 - Green"</formula>
    </cfRule>
    <cfRule type="cellIs" dxfId="2223" priority="763" stopIfTrue="1" operator="equal">
      <formula>"2 - Yellow"</formula>
    </cfRule>
    <cfRule type="cellIs" dxfId="2222" priority="764" stopIfTrue="1" operator="equal">
      <formula>"1 - Red"</formula>
    </cfRule>
  </conditionalFormatting>
  <conditionalFormatting sqref="L3299:L3302">
    <cfRule type="cellIs" dxfId="2221" priority="765" stopIfTrue="1" operator="equal">
      <formula>"1 - Hard Load"</formula>
    </cfRule>
    <cfRule type="cellIs" dxfId="2220" priority="766" stopIfTrue="1" operator="equal">
      <formula>"3 - Not Loaded"</formula>
    </cfRule>
    <cfRule type="cellIs" dxfId="2219" priority="767" stopIfTrue="1" operator="equal">
      <formula>"2 - Soft Load"</formula>
    </cfRule>
  </conditionalFormatting>
  <conditionalFormatting sqref="D3298:D3302">
    <cfRule type="cellIs" dxfId="2218" priority="768" stopIfTrue="1" operator="equal">
      <formula>D1333</formula>
    </cfRule>
  </conditionalFormatting>
  <conditionalFormatting sqref="D3299:D3302">
    <cfRule type="cellIs" dxfId="2217" priority="752" stopIfTrue="1" operator="equal">
      <formula>D1337</formula>
    </cfRule>
  </conditionalFormatting>
  <conditionalFormatting sqref="D3299:D3302">
    <cfRule type="cellIs" dxfId="2216" priority="751" stopIfTrue="1" operator="equal">
      <formula>D1337</formula>
    </cfRule>
  </conditionalFormatting>
  <conditionalFormatting sqref="D3302">
    <cfRule type="cellIs" dxfId="2215" priority="749" stopIfTrue="1" operator="equal">
      <formula>D1340</formula>
    </cfRule>
  </conditionalFormatting>
  <conditionalFormatting sqref="D3303">
    <cfRule type="cellIs" dxfId="2214" priority="748" stopIfTrue="1" operator="equal">
      <formula>D1341</formula>
    </cfRule>
  </conditionalFormatting>
  <conditionalFormatting sqref="AS3303 AO3303">
    <cfRule type="cellIs" dxfId="2213" priority="734" stopIfTrue="1" operator="equal">
      <formula>"OK"</formula>
    </cfRule>
    <cfRule type="cellIs" dxfId="2212" priority="735" stopIfTrue="1" operator="equal">
      <formula>"Add"</formula>
    </cfRule>
  </conditionalFormatting>
  <conditionalFormatting sqref="J3303">
    <cfRule type="cellIs" dxfId="2211" priority="736" stopIfTrue="1" operator="equal">
      <formula>"Lockdown"</formula>
    </cfRule>
    <cfRule type="cellIs" dxfId="2210" priority="737" stopIfTrue="1" operator="equal">
      <formula>"OOM"</formula>
    </cfRule>
    <cfRule type="cellIs" dxfId="2209" priority="738" stopIfTrue="1" operator="equal">
      <formula>"Placeholder"</formula>
    </cfRule>
  </conditionalFormatting>
  <conditionalFormatting sqref="T3303:AA3303">
    <cfRule type="cellIs" dxfId="2208" priority="739" stopIfTrue="1" operator="equal">
      <formula>"Blue - Completed"</formula>
    </cfRule>
    <cfRule type="cellIs" dxfId="2207" priority="740" stopIfTrue="1" operator="equal">
      <formula>"Green - Started on Sched"</formula>
    </cfRule>
    <cfRule type="cellIs" dxfId="2206" priority="741" stopIfTrue="1" operator="between">
      <formula>"Q"</formula>
      <formula>"T"</formula>
    </cfRule>
  </conditionalFormatting>
  <conditionalFormatting sqref="G3303">
    <cfRule type="cellIs" dxfId="2205" priority="733" stopIfTrue="1" operator="equal">
      <formula>"4 - Complete"</formula>
    </cfRule>
    <cfRule type="cellIs" dxfId="2204" priority="742" stopIfTrue="1" operator="equal">
      <formula>"3 - Green"</formula>
    </cfRule>
    <cfRule type="cellIs" dxfId="2203" priority="743" stopIfTrue="1" operator="equal">
      <formula>"2 - Yellow"</formula>
    </cfRule>
    <cfRule type="cellIs" dxfId="2202" priority="744" stopIfTrue="1" operator="equal">
      <formula>"1 - Red"</formula>
    </cfRule>
  </conditionalFormatting>
  <conditionalFormatting sqref="L3303">
    <cfRule type="cellIs" dxfId="2201" priority="745" stopIfTrue="1" operator="equal">
      <formula>"1 - Hard Load"</formula>
    </cfRule>
    <cfRule type="cellIs" dxfId="2200" priority="746" stopIfTrue="1" operator="equal">
      <formula>"3 - Not Loaded"</formula>
    </cfRule>
    <cfRule type="cellIs" dxfId="2199" priority="747" stopIfTrue="1" operator="equal">
      <formula>"2 - Soft Load"</formula>
    </cfRule>
  </conditionalFormatting>
  <conditionalFormatting sqref="D3305">
    <cfRule type="cellIs" dxfId="2198" priority="714" stopIfTrue="1" operator="equal">
      <formula>D1343</formula>
    </cfRule>
  </conditionalFormatting>
  <conditionalFormatting sqref="AO3304:AO3307 AS3304:AS3307">
    <cfRule type="cellIs" dxfId="2197" priority="718" stopIfTrue="1" operator="equal">
      <formula>"OK"</formula>
    </cfRule>
    <cfRule type="cellIs" dxfId="2196" priority="719" stopIfTrue="1" operator="equal">
      <formula>"Add"</formula>
    </cfRule>
  </conditionalFormatting>
  <conditionalFormatting sqref="J3304:J3307">
    <cfRule type="cellIs" dxfId="2195" priority="720" stopIfTrue="1" operator="equal">
      <formula>"Lockdown"</formula>
    </cfRule>
    <cfRule type="cellIs" dxfId="2194" priority="721" stopIfTrue="1" operator="equal">
      <formula>"OOM"</formula>
    </cfRule>
    <cfRule type="cellIs" dxfId="2193" priority="722" stopIfTrue="1" operator="equal">
      <formula>"Placeholder"</formula>
    </cfRule>
  </conditionalFormatting>
  <conditionalFormatting sqref="T3304:AA3307">
    <cfRule type="cellIs" dxfId="2192" priority="723" stopIfTrue="1" operator="equal">
      <formula>"Blue - Completed"</formula>
    </cfRule>
    <cfRule type="cellIs" dxfId="2191" priority="724" stopIfTrue="1" operator="equal">
      <formula>"Green - Started on Sched"</formula>
    </cfRule>
    <cfRule type="cellIs" dxfId="2190" priority="725" stopIfTrue="1" operator="between">
      <formula>"Q"</formula>
      <formula>"T"</formula>
    </cfRule>
  </conditionalFormatting>
  <conditionalFormatting sqref="G3304:G3307">
    <cfRule type="cellIs" dxfId="2189" priority="717" stopIfTrue="1" operator="equal">
      <formula>"4 - Complete"</formula>
    </cfRule>
    <cfRule type="cellIs" dxfId="2188" priority="726" stopIfTrue="1" operator="equal">
      <formula>"3 - Green"</formula>
    </cfRule>
    <cfRule type="cellIs" dxfId="2187" priority="727" stopIfTrue="1" operator="equal">
      <formula>"2 - Yellow"</formula>
    </cfRule>
    <cfRule type="cellIs" dxfId="2186" priority="728" stopIfTrue="1" operator="equal">
      <formula>"1 - Red"</formula>
    </cfRule>
  </conditionalFormatting>
  <conditionalFormatting sqref="L3304:L3307">
    <cfRule type="cellIs" dxfId="2185" priority="729" stopIfTrue="1" operator="equal">
      <formula>"1 - Hard Load"</formula>
    </cfRule>
    <cfRule type="cellIs" dxfId="2184" priority="730" stopIfTrue="1" operator="equal">
      <formula>"3 - Not Loaded"</formula>
    </cfRule>
    <cfRule type="cellIs" dxfId="2183" priority="731" stopIfTrue="1" operator="equal">
      <formula>"2 - Soft Load"</formula>
    </cfRule>
  </conditionalFormatting>
  <conditionalFormatting sqref="D3303:D3307">
    <cfRule type="cellIs" dxfId="2182" priority="732" stopIfTrue="1" operator="equal">
      <formula>D1338</formula>
    </cfRule>
  </conditionalFormatting>
  <conditionalFormatting sqref="D3304:D3307">
    <cfRule type="cellIs" dxfId="2181" priority="716" stopIfTrue="1" operator="equal">
      <formula>D1342</formula>
    </cfRule>
  </conditionalFormatting>
  <conditionalFormatting sqref="D3304:D3307">
    <cfRule type="cellIs" dxfId="2180" priority="715" stopIfTrue="1" operator="equal">
      <formula>D1342</formula>
    </cfRule>
  </conditionalFormatting>
  <conditionalFormatting sqref="D3307">
    <cfRule type="cellIs" dxfId="2179" priority="713" stopIfTrue="1" operator="equal">
      <formula>D1345</formula>
    </cfRule>
  </conditionalFormatting>
  <conditionalFormatting sqref="D3308">
    <cfRule type="cellIs" dxfId="2178" priority="712" stopIfTrue="1" operator="equal">
      <formula>D1345</formula>
    </cfRule>
  </conditionalFormatting>
  <conditionalFormatting sqref="AS3308 AO3308">
    <cfRule type="cellIs" dxfId="2177" priority="698" stopIfTrue="1" operator="equal">
      <formula>"OK"</formula>
    </cfRule>
    <cfRule type="cellIs" dxfId="2176" priority="699" stopIfTrue="1" operator="equal">
      <formula>"Add"</formula>
    </cfRule>
  </conditionalFormatting>
  <conditionalFormatting sqref="J3308">
    <cfRule type="cellIs" dxfId="2175" priority="700" stopIfTrue="1" operator="equal">
      <formula>"Lockdown"</formula>
    </cfRule>
    <cfRule type="cellIs" dxfId="2174" priority="701" stopIfTrue="1" operator="equal">
      <formula>"OOM"</formula>
    </cfRule>
    <cfRule type="cellIs" dxfId="2173" priority="702" stopIfTrue="1" operator="equal">
      <formula>"Placeholder"</formula>
    </cfRule>
  </conditionalFormatting>
  <conditionalFormatting sqref="T3308:AA3308">
    <cfRule type="cellIs" dxfId="2172" priority="703" stopIfTrue="1" operator="equal">
      <formula>"Blue - Completed"</formula>
    </cfRule>
    <cfRule type="cellIs" dxfId="2171" priority="704" stopIfTrue="1" operator="equal">
      <formula>"Green - Started on Sched"</formula>
    </cfRule>
    <cfRule type="cellIs" dxfId="2170" priority="705" stopIfTrue="1" operator="between">
      <formula>"Q"</formula>
      <formula>"T"</formula>
    </cfRule>
  </conditionalFormatting>
  <conditionalFormatting sqref="G3308">
    <cfRule type="cellIs" dxfId="2169" priority="697" stopIfTrue="1" operator="equal">
      <formula>"4 - Complete"</formula>
    </cfRule>
    <cfRule type="cellIs" dxfId="2168" priority="706" stopIfTrue="1" operator="equal">
      <formula>"3 - Green"</formula>
    </cfRule>
    <cfRule type="cellIs" dxfId="2167" priority="707" stopIfTrue="1" operator="equal">
      <formula>"2 - Yellow"</formula>
    </cfRule>
    <cfRule type="cellIs" dxfId="2166" priority="708" stopIfTrue="1" operator="equal">
      <formula>"1 - Red"</formula>
    </cfRule>
  </conditionalFormatting>
  <conditionalFormatting sqref="L3308">
    <cfRule type="cellIs" dxfId="2165" priority="709" stopIfTrue="1" operator="equal">
      <formula>"1 - Hard Load"</formula>
    </cfRule>
    <cfRule type="cellIs" dxfId="2164" priority="710" stopIfTrue="1" operator="equal">
      <formula>"3 - Not Loaded"</formula>
    </cfRule>
    <cfRule type="cellIs" dxfId="2163" priority="711" stopIfTrue="1" operator="equal">
      <formula>"2 - Soft Load"</formula>
    </cfRule>
  </conditionalFormatting>
  <conditionalFormatting sqref="D3310">
    <cfRule type="cellIs" dxfId="2162" priority="678" stopIfTrue="1" operator="equal">
      <formula>D1347</formula>
    </cfRule>
  </conditionalFormatting>
  <conditionalFormatting sqref="AO3309:AO3312 AS3309:AS3312">
    <cfRule type="cellIs" dxfId="2161" priority="682" stopIfTrue="1" operator="equal">
      <formula>"OK"</formula>
    </cfRule>
    <cfRule type="cellIs" dxfId="2160" priority="683" stopIfTrue="1" operator="equal">
      <formula>"Add"</formula>
    </cfRule>
  </conditionalFormatting>
  <conditionalFormatting sqref="J3309:J3312">
    <cfRule type="cellIs" dxfId="2159" priority="684" stopIfTrue="1" operator="equal">
      <formula>"Lockdown"</formula>
    </cfRule>
    <cfRule type="cellIs" dxfId="2158" priority="685" stopIfTrue="1" operator="equal">
      <formula>"OOM"</formula>
    </cfRule>
    <cfRule type="cellIs" dxfId="2157" priority="686" stopIfTrue="1" operator="equal">
      <formula>"Placeholder"</formula>
    </cfRule>
  </conditionalFormatting>
  <conditionalFormatting sqref="T3309:AA3312">
    <cfRule type="cellIs" dxfId="2156" priority="687" stopIfTrue="1" operator="equal">
      <formula>"Blue - Completed"</formula>
    </cfRule>
    <cfRule type="cellIs" dxfId="2155" priority="688" stopIfTrue="1" operator="equal">
      <formula>"Green - Started on Sched"</formula>
    </cfRule>
    <cfRule type="cellIs" dxfId="2154" priority="689" stopIfTrue="1" operator="between">
      <formula>"Q"</formula>
      <formula>"T"</formula>
    </cfRule>
  </conditionalFormatting>
  <conditionalFormatting sqref="G3309:G3312">
    <cfRule type="cellIs" dxfId="2153" priority="681" stopIfTrue="1" operator="equal">
      <formula>"4 - Complete"</formula>
    </cfRule>
    <cfRule type="cellIs" dxfId="2152" priority="690" stopIfTrue="1" operator="equal">
      <formula>"3 - Green"</formula>
    </cfRule>
    <cfRule type="cellIs" dxfId="2151" priority="691" stopIfTrue="1" operator="equal">
      <formula>"2 - Yellow"</formula>
    </cfRule>
    <cfRule type="cellIs" dxfId="2150" priority="692" stopIfTrue="1" operator="equal">
      <formula>"1 - Red"</formula>
    </cfRule>
  </conditionalFormatting>
  <conditionalFormatting sqref="L3309:L3312">
    <cfRule type="cellIs" dxfId="2149" priority="693" stopIfTrue="1" operator="equal">
      <formula>"1 - Hard Load"</formula>
    </cfRule>
    <cfRule type="cellIs" dxfId="2148" priority="694" stopIfTrue="1" operator="equal">
      <formula>"3 - Not Loaded"</formula>
    </cfRule>
    <cfRule type="cellIs" dxfId="2147" priority="695" stopIfTrue="1" operator="equal">
      <formula>"2 - Soft Load"</formula>
    </cfRule>
  </conditionalFormatting>
  <conditionalFormatting sqref="D3308:D3312">
    <cfRule type="cellIs" dxfId="2146" priority="696" stopIfTrue="1" operator="equal">
      <formula>D1342</formula>
    </cfRule>
  </conditionalFormatting>
  <conditionalFormatting sqref="D3309:D3312">
    <cfRule type="cellIs" dxfId="2145" priority="680" stopIfTrue="1" operator="equal">
      <formula>D1346</formula>
    </cfRule>
  </conditionalFormatting>
  <conditionalFormatting sqref="D3309:D3312">
    <cfRule type="cellIs" dxfId="2144" priority="679" stopIfTrue="1" operator="equal">
      <formula>D1346</formula>
    </cfRule>
  </conditionalFormatting>
  <conditionalFormatting sqref="D3312">
    <cfRule type="cellIs" dxfId="2143" priority="677" stopIfTrue="1" operator="equal">
      <formula>D1349</formula>
    </cfRule>
  </conditionalFormatting>
  <conditionalFormatting sqref="D3313">
    <cfRule type="cellIs" dxfId="2142" priority="676" stopIfTrue="1" operator="equal">
      <formula>D1351</formula>
    </cfRule>
  </conditionalFormatting>
  <conditionalFormatting sqref="AS3313 AO3313">
    <cfRule type="cellIs" dxfId="2141" priority="662" stopIfTrue="1" operator="equal">
      <formula>"OK"</formula>
    </cfRule>
    <cfRule type="cellIs" dxfId="2140" priority="663" stopIfTrue="1" operator="equal">
      <formula>"Add"</formula>
    </cfRule>
  </conditionalFormatting>
  <conditionalFormatting sqref="J3313">
    <cfRule type="cellIs" dxfId="2139" priority="664" stopIfTrue="1" operator="equal">
      <formula>"Lockdown"</formula>
    </cfRule>
    <cfRule type="cellIs" dxfId="2138" priority="665" stopIfTrue="1" operator="equal">
      <formula>"OOM"</formula>
    </cfRule>
    <cfRule type="cellIs" dxfId="2137" priority="666" stopIfTrue="1" operator="equal">
      <formula>"Placeholder"</formula>
    </cfRule>
  </conditionalFormatting>
  <conditionalFormatting sqref="T3313:AA3313">
    <cfRule type="cellIs" dxfId="2136" priority="667" stopIfTrue="1" operator="equal">
      <formula>"Blue - Completed"</formula>
    </cfRule>
    <cfRule type="cellIs" dxfId="2135" priority="668" stopIfTrue="1" operator="equal">
      <formula>"Green - Started on Sched"</formula>
    </cfRule>
    <cfRule type="cellIs" dxfId="2134" priority="669" stopIfTrue="1" operator="between">
      <formula>"Q"</formula>
      <formula>"T"</formula>
    </cfRule>
  </conditionalFormatting>
  <conditionalFormatting sqref="G3313">
    <cfRule type="cellIs" dxfId="2133" priority="661" stopIfTrue="1" operator="equal">
      <formula>"4 - Complete"</formula>
    </cfRule>
    <cfRule type="cellIs" dxfId="2132" priority="670" stopIfTrue="1" operator="equal">
      <formula>"3 - Green"</formula>
    </cfRule>
    <cfRule type="cellIs" dxfId="2131" priority="671" stopIfTrue="1" operator="equal">
      <formula>"2 - Yellow"</formula>
    </cfRule>
    <cfRule type="cellIs" dxfId="2130" priority="672" stopIfTrue="1" operator="equal">
      <formula>"1 - Red"</formula>
    </cfRule>
  </conditionalFormatting>
  <conditionalFormatting sqref="L3313">
    <cfRule type="cellIs" dxfId="2129" priority="673" stopIfTrue="1" operator="equal">
      <formula>"1 - Hard Load"</formula>
    </cfRule>
    <cfRule type="cellIs" dxfId="2128" priority="674" stopIfTrue="1" operator="equal">
      <formula>"3 - Not Loaded"</formula>
    </cfRule>
    <cfRule type="cellIs" dxfId="2127" priority="675" stopIfTrue="1" operator="equal">
      <formula>"2 - Soft Load"</formula>
    </cfRule>
  </conditionalFormatting>
  <conditionalFormatting sqref="D3315">
    <cfRule type="cellIs" dxfId="2126" priority="642" stopIfTrue="1" operator="equal">
      <formula>D1353</formula>
    </cfRule>
  </conditionalFormatting>
  <conditionalFormatting sqref="AO3314:AO3317 AS3314:AS3317">
    <cfRule type="cellIs" dxfId="2125" priority="646" stopIfTrue="1" operator="equal">
      <formula>"OK"</formula>
    </cfRule>
    <cfRule type="cellIs" dxfId="2124" priority="647" stopIfTrue="1" operator="equal">
      <formula>"Add"</formula>
    </cfRule>
  </conditionalFormatting>
  <conditionalFormatting sqref="J3314:J3317">
    <cfRule type="cellIs" dxfId="2123" priority="648" stopIfTrue="1" operator="equal">
      <formula>"Lockdown"</formula>
    </cfRule>
    <cfRule type="cellIs" dxfId="2122" priority="649" stopIfTrue="1" operator="equal">
      <formula>"OOM"</formula>
    </cfRule>
    <cfRule type="cellIs" dxfId="2121" priority="650" stopIfTrue="1" operator="equal">
      <formula>"Placeholder"</formula>
    </cfRule>
  </conditionalFormatting>
  <conditionalFormatting sqref="T3314:AA3317">
    <cfRule type="cellIs" dxfId="2120" priority="651" stopIfTrue="1" operator="equal">
      <formula>"Blue - Completed"</formula>
    </cfRule>
    <cfRule type="cellIs" dxfId="2119" priority="652" stopIfTrue="1" operator="equal">
      <formula>"Green - Started on Sched"</formula>
    </cfRule>
    <cfRule type="cellIs" dxfId="2118" priority="653" stopIfTrue="1" operator="between">
      <formula>"Q"</formula>
      <formula>"T"</formula>
    </cfRule>
  </conditionalFormatting>
  <conditionalFormatting sqref="G3314:G3317">
    <cfRule type="cellIs" dxfId="2117" priority="645" stopIfTrue="1" operator="equal">
      <formula>"4 - Complete"</formula>
    </cfRule>
    <cfRule type="cellIs" dxfId="2116" priority="654" stopIfTrue="1" operator="equal">
      <formula>"3 - Green"</formula>
    </cfRule>
    <cfRule type="cellIs" dxfId="2115" priority="655" stopIfTrue="1" operator="equal">
      <formula>"2 - Yellow"</formula>
    </cfRule>
    <cfRule type="cellIs" dxfId="2114" priority="656" stopIfTrue="1" operator="equal">
      <formula>"1 - Red"</formula>
    </cfRule>
  </conditionalFormatting>
  <conditionalFormatting sqref="L3314:L3317">
    <cfRule type="cellIs" dxfId="2113" priority="657" stopIfTrue="1" operator="equal">
      <formula>"1 - Hard Load"</formula>
    </cfRule>
    <cfRule type="cellIs" dxfId="2112" priority="658" stopIfTrue="1" operator="equal">
      <formula>"3 - Not Loaded"</formula>
    </cfRule>
    <cfRule type="cellIs" dxfId="2111" priority="659" stopIfTrue="1" operator="equal">
      <formula>"2 - Soft Load"</formula>
    </cfRule>
  </conditionalFormatting>
  <conditionalFormatting sqref="D3313:D3317">
    <cfRule type="cellIs" dxfId="2110" priority="660" stopIfTrue="1" operator="equal">
      <formula>D1348</formula>
    </cfRule>
  </conditionalFormatting>
  <conditionalFormatting sqref="D3314:D3317">
    <cfRule type="cellIs" dxfId="2109" priority="644" stopIfTrue="1" operator="equal">
      <formula>D1352</formula>
    </cfRule>
  </conditionalFormatting>
  <conditionalFormatting sqref="D3314:D3317">
    <cfRule type="cellIs" dxfId="2108" priority="643" stopIfTrue="1" operator="equal">
      <formula>D1352</formula>
    </cfRule>
  </conditionalFormatting>
  <conditionalFormatting sqref="D3317">
    <cfRule type="cellIs" dxfId="2107" priority="641" stopIfTrue="1" operator="equal">
      <formula>D1355</formula>
    </cfRule>
  </conditionalFormatting>
  <conditionalFormatting sqref="D3318">
    <cfRule type="cellIs" dxfId="2106" priority="640" stopIfTrue="1" operator="equal">
      <formula>D1356</formula>
    </cfRule>
  </conditionalFormatting>
  <conditionalFormatting sqref="AS3318 AO3318">
    <cfRule type="cellIs" dxfId="2105" priority="626" stopIfTrue="1" operator="equal">
      <formula>"OK"</formula>
    </cfRule>
    <cfRule type="cellIs" dxfId="2104" priority="627" stopIfTrue="1" operator="equal">
      <formula>"Add"</formula>
    </cfRule>
  </conditionalFormatting>
  <conditionalFormatting sqref="J3318">
    <cfRule type="cellIs" dxfId="2103" priority="628" stopIfTrue="1" operator="equal">
      <formula>"Lockdown"</formula>
    </cfRule>
    <cfRule type="cellIs" dxfId="2102" priority="629" stopIfTrue="1" operator="equal">
      <formula>"OOM"</formula>
    </cfRule>
    <cfRule type="cellIs" dxfId="2101" priority="630" stopIfTrue="1" operator="equal">
      <formula>"Placeholder"</formula>
    </cfRule>
  </conditionalFormatting>
  <conditionalFormatting sqref="T3318:AA3318">
    <cfRule type="cellIs" dxfId="2100" priority="631" stopIfTrue="1" operator="equal">
      <formula>"Blue - Completed"</formula>
    </cfRule>
    <cfRule type="cellIs" dxfId="2099" priority="632" stopIfTrue="1" operator="equal">
      <formula>"Green - Started on Sched"</formula>
    </cfRule>
    <cfRule type="cellIs" dxfId="2098" priority="633" stopIfTrue="1" operator="between">
      <formula>"Q"</formula>
      <formula>"T"</formula>
    </cfRule>
  </conditionalFormatting>
  <conditionalFormatting sqref="G3318">
    <cfRule type="cellIs" dxfId="2097" priority="625" stopIfTrue="1" operator="equal">
      <formula>"4 - Complete"</formula>
    </cfRule>
    <cfRule type="cellIs" dxfId="2096" priority="634" stopIfTrue="1" operator="equal">
      <formula>"3 - Green"</formula>
    </cfRule>
    <cfRule type="cellIs" dxfId="2095" priority="635" stopIfTrue="1" operator="equal">
      <formula>"2 - Yellow"</formula>
    </cfRule>
    <cfRule type="cellIs" dxfId="2094" priority="636" stopIfTrue="1" operator="equal">
      <formula>"1 - Red"</formula>
    </cfRule>
  </conditionalFormatting>
  <conditionalFormatting sqref="L3318">
    <cfRule type="cellIs" dxfId="2093" priority="637" stopIfTrue="1" operator="equal">
      <formula>"1 - Hard Load"</formula>
    </cfRule>
    <cfRule type="cellIs" dxfId="2092" priority="638" stopIfTrue="1" operator="equal">
      <formula>"3 - Not Loaded"</formula>
    </cfRule>
    <cfRule type="cellIs" dxfId="2091" priority="639" stopIfTrue="1" operator="equal">
      <formula>"2 - Soft Load"</formula>
    </cfRule>
  </conditionalFormatting>
  <conditionalFormatting sqref="D3320">
    <cfRule type="cellIs" dxfId="2090" priority="606" stopIfTrue="1" operator="equal">
      <formula>D1358</formula>
    </cfRule>
  </conditionalFormatting>
  <conditionalFormatting sqref="AO3319:AO3322 AS3319:AS3322">
    <cfRule type="cellIs" dxfId="2089" priority="610" stopIfTrue="1" operator="equal">
      <formula>"OK"</formula>
    </cfRule>
    <cfRule type="cellIs" dxfId="2088" priority="611" stopIfTrue="1" operator="equal">
      <formula>"Add"</formula>
    </cfRule>
  </conditionalFormatting>
  <conditionalFormatting sqref="J3319:J3322">
    <cfRule type="cellIs" dxfId="2087" priority="612" stopIfTrue="1" operator="equal">
      <formula>"Lockdown"</formula>
    </cfRule>
    <cfRule type="cellIs" dxfId="2086" priority="613" stopIfTrue="1" operator="equal">
      <formula>"OOM"</formula>
    </cfRule>
    <cfRule type="cellIs" dxfId="2085" priority="614" stopIfTrue="1" operator="equal">
      <formula>"Placeholder"</formula>
    </cfRule>
  </conditionalFormatting>
  <conditionalFormatting sqref="T3319:AA3322">
    <cfRule type="cellIs" dxfId="2084" priority="615" stopIfTrue="1" operator="equal">
      <formula>"Blue - Completed"</formula>
    </cfRule>
    <cfRule type="cellIs" dxfId="2083" priority="616" stopIfTrue="1" operator="equal">
      <formula>"Green - Started on Sched"</formula>
    </cfRule>
    <cfRule type="cellIs" dxfId="2082" priority="617" stopIfTrue="1" operator="between">
      <formula>"Q"</formula>
      <formula>"T"</formula>
    </cfRule>
  </conditionalFormatting>
  <conditionalFormatting sqref="G3319:G3322">
    <cfRule type="cellIs" dxfId="2081" priority="609" stopIfTrue="1" operator="equal">
      <formula>"4 - Complete"</formula>
    </cfRule>
    <cfRule type="cellIs" dxfId="2080" priority="618" stopIfTrue="1" operator="equal">
      <formula>"3 - Green"</formula>
    </cfRule>
    <cfRule type="cellIs" dxfId="2079" priority="619" stopIfTrue="1" operator="equal">
      <formula>"2 - Yellow"</formula>
    </cfRule>
    <cfRule type="cellIs" dxfId="2078" priority="620" stopIfTrue="1" operator="equal">
      <formula>"1 - Red"</formula>
    </cfRule>
  </conditionalFormatting>
  <conditionalFormatting sqref="L3319:L3322">
    <cfRule type="cellIs" dxfId="2077" priority="621" stopIfTrue="1" operator="equal">
      <formula>"1 - Hard Load"</formula>
    </cfRule>
    <cfRule type="cellIs" dxfId="2076" priority="622" stopIfTrue="1" operator="equal">
      <formula>"3 - Not Loaded"</formula>
    </cfRule>
    <cfRule type="cellIs" dxfId="2075" priority="623" stopIfTrue="1" operator="equal">
      <formula>"2 - Soft Load"</formula>
    </cfRule>
  </conditionalFormatting>
  <conditionalFormatting sqref="D3318:D3322">
    <cfRule type="cellIs" dxfId="2074" priority="624" stopIfTrue="1" operator="equal">
      <formula>D1353</formula>
    </cfRule>
  </conditionalFormatting>
  <conditionalFormatting sqref="D3319:D3322">
    <cfRule type="cellIs" dxfId="2073" priority="608" stopIfTrue="1" operator="equal">
      <formula>D1357</formula>
    </cfRule>
  </conditionalFormatting>
  <conditionalFormatting sqref="D3319:D3322">
    <cfRule type="cellIs" dxfId="2072" priority="607" stopIfTrue="1" operator="equal">
      <formula>D1357</formula>
    </cfRule>
  </conditionalFormatting>
  <conditionalFormatting sqref="D3322">
    <cfRule type="cellIs" dxfId="2071" priority="605" stopIfTrue="1" operator="equal">
      <formula>D1360</formula>
    </cfRule>
  </conditionalFormatting>
  <conditionalFormatting sqref="D249">
    <cfRule type="cellIs" dxfId="2070" priority="10843" stopIfTrue="1" operator="equal">
      <formula>#REF!</formula>
    </cfRule>
  </conditionalFormatting>
  <conditionalFormatting sqref="D161">
    <cfRule type="cellIs" dxfId="2069" priority="590" stopIfTrue="1" operator="equal">
      <formula>D153</formula>
    </cfRule>
  </conditionalFormatting>
  <conditionalFormatting sqref="AS161 AO161">
    <cfRule type="cellIs" dxfId="2068" priority="591" stopIfTrue="1" operator="equal">
      <formula>"OK"</formula>
    </cfRule>
    <cfRule type="cellIs" dxfId="2067" priority="592" stopIfTrue="1" operator="equal">
      <formula>"Add"</formula>
    </cfRule>
  </conditionalFormatting>
  <conditionalFormatting sqref="J161">
    <cfRule type="cellIs" dxfId="2066" priority="593" stopIfTrue="1" operator="equal">
      <formula>"Lockdown"</formula>
    </cfRule>
    <cfRule type="cellIs" dxfId="2065" priority="594" stopIfTrue="1" operator="equal">
      <formula>"OOM"</formula>
    </cfRule>
    <cfRule type="cellIs" dxfId="2064" priority="595" stopIfTrue="1" operator="equal">
      <formula>"Placeholder"</formula>
    </cfRule>
  </conditionalFormatting>
  <conditionalFormatting sqref="T161:AA161">
    <cfRule type="cellIs" dxfId="2063" priority="596" stopIfTrue="1" operator="equal">
      <formula>"Blue - Completed"</formula>
    </cfRule>
    <cfRule type="cellIs" dxfId="2062" priority="597" stopIfTrue="1" operator="equal">
      <formula>"Green - Started on Sched"</formula>
    </cfRule>
    <cfRule type="cellIs" dxfId="2061" priority="598" stopIfTrue="1" operator="between">
      <formula>"Q"</formula>
      <formula>"T"</formula>
    </cfRule>
  </conditionalFormatting>
  <conditionalFormatting sqref="G161">
    <cfRule type="cellIs" dxfId="2060" priority="589" stopIfTrue="1" operator="equal">
      <formula>"4 - Complete"</formula>
    </cfRule>
    <cfRule type="cellIs" dxfId="2059" priority="599" stopIfTrue="1" operator="equal">
      <formula>"3 - Green"</formula>
    </cfRule>
    <cfRule type="cellIs" dxfId="2058" priority="600" stopIfTrue="1" operator="equal">
      <formula>"2 - Yellow"</formula>
    </cfRule>
    <cfRule type="cellIs" dxfId="2057" priority="601" stopIfTrue="1" operator="equal">
      <formula>"1 - Red"</formula>
    </cfRule>
  </conditionalFormatting>
  <conditionalFormatting sqref="L161">
    <cfRule type="cellIs" dxfId="2056" priority="602" stopIfTrue="1" operator="equal">
      <formula>"1 - Hard Load"</formula>
    </cfRule>
    <cfRule type="cellIs" dxfId="2055" priority="603" stopIfTrue="1" operator="equal">
      <formula>"3 - Not Loaded"</formula>
    </cfRule>
    <cfRule type="cellIs" dxfId="2054" priority="604" stopIfTrue="1" operator="equal">
      <formula>"2 - Soft Load"</formula>
    </cfRule>
  </conditionalFormatting>
  <conditionalFormatting sqref="D221">
    <cfRule type="cellIs" dxfId="2053" priority="10879" stopIfTrue="1" operator="equal">
      <formula>#REF!</formula>
    </cfRule>
  </conditionalFormatting>
  <conditionalFormatting sqref="D156">
    <cfRule type="cellIs" dxfId="2052" priority="574" stopIfTrue="1" operator="equal">
      <formula>#REF!</formula>
    </cfRule>
  </conditionalFormatting>
  <conditionalFormatting sqref="AO156 AS156">
    <cfRule type="cellIs" dxfId="2051" priority="575" stopIfTrue="1" operator="equal">
      <formula>"OK"</formula>
    </cfRule>
    <cfRule type="cellIs" dxfId="2050" priority="576" stopIfTrue="1" operator="equal">
      <formula>"Add"</formula>
    </cfRule>
  </conditionalFormatting>
  <conditionalFormatting sqref="J156">
    <cfRule type="cellIs" dxfId="2049" priority="577" stopIfTrue="1" operator="equal">
      <formula>"Lockdown"</formula>
    </cfRule>
    <cfRule type="cellIs" dxfId="2048" priority="578" stopIfTrue="1" operator="equal">
      <formula>"OOM"</formula>
    </cfRule>
    <cfRule type="cellIs" dxfId="2047" priority="579" stopIfTrue="1" operator="equal">
      <formula>"Placeholder"</formula>
    </cfRule>
  </conditionalFormatting>
  <conditionalFormatting sqref="T156:AA156">
    <cfRule type="cellIs" dxfId="2046" priority="580" stopIfTrue="1" operator="equal">
      <formula>"Blue - Completed"</formula>
    </cfRule>
    <cfRule type="cellIs" dxfId="2045" priority="581" stopIfTrue="1" operator="equal">
      <formula>"Green - Started on Sched"</formula>
    </cfRule>
    <cfRule type="cellIs" dxfId="2044" priority="582" stopIfTrue="1" operator="between">
      <formula>"Q"</formula>
      <formula>"T"</formula>
    </cfRule>
  </conditionalFormatting>
  <conditionalFormatting sqref="G156">
    <cfRule type="cellIs" dxfId="2043" priority="573" stopIfTrue="1" operator="equal">
      <formula>"4 - Complete"</formula>
    </cfRule>
    <cfRule type="cellIs" dxfId="2042" priority="583" stopIfTrue="1" operator="equal">
      <formula>"3 - Green"</formula>
    </cfRule>
    <cfRule type="cellIs" dxfId="2041" priority="584" stopIfTrue="1" operator="equal">
      <formula>"2 - Yellow"</formula>
    </cfRule>
    <cfRule type="cellIs" dxfId="2040" priority="585" stopIfTrue="1" operator="equal">
      <formula>"1 - Red"</formula>
    </cfRule>
  </conditionalFormatting>
  <conditionalFormatting sqref="L156">
    <cfRule type="cellIs" dxfId="2039" priority="586" stopIfTrue="1" operator="equal">
      <formula>"1 - Hard Load"</formula>
    </cfRule>
    <cfRule type="cellIs" dxfId="2038" priority="587" stopIfTrue="1" operator="equal">
      <formula>"3 - Not Loaded"</formula>
    </cfRule>
    <cfRule type="cellIs" dxfId="2037" priority="588" stopIfTrue="1" operator="equal">
      <formula>"2 - Soft Load"</formula>
    </cfRule>
  </conditionalFormatting>
  <conditionalFormatting sqref="D1846:D1850">
    <cfRule type="cellIs" dxfId="2036" priority="10881" stopIfTrue="1" operator="equal">
      <formula>D613</formula>
    </cfRule>
  </conditionalFormatting>
  <conditionalFormatting sqref="AS1845 AO1845">
    <cfRule type="cellIs" dxfId="2035" priority="558" stopIfTrue="1" operator="equal">
      <formula>"OK"</formula>
    </cfRule>
    <cfRule type="cellIs" dxfId="2034" priority="559" stopIfTrue="1" operator="equal">
      <formula>"Add"</formula>
    </cfRule>
  </conditionalFormatting>
  <conditionalFormatting sqref="J1845">
    <cfRule type="cellIs" dxfId="2033" priority="560" stopIfTrue="1" operator="equal">
      <formula>"Lockdown"</formula>
    </cfRule>
    <cfRule type="cellIs" dxfId="2032" priority="561" stopIfTrue="1" operator="equal">
      <formula>"OOM"</formula>
    </cfRule>
    <cfRule type="cellIs" dxfId="2031" priority="562" stopIfTrue="1" operator="equal">
      <formula>"Placeholder"</formula>
    </cfRule>
  </conditionalFormatting>
  <conditionalFormatting sqref="T1845:AA1845">
    <cfRule type="cellIs" dxfId="2030" priority="563" stopIfTrue="1" operator="equal">
      <formula>"Blue - Completed"</formula>
    </cfRule>
    <cfRule type="cellIs" dxfId="2029" priority="564" stopIfTrue="1" operator="equal">
      <formula>"Green - Started on Sched"</formula>
    </cfRule>
    <cfRule type="cellIs" dxfId="2028" priority="565" stopIfTrue="1" operator="between">
      <formula>"Q"</formula>
      <formula>"T"</formula>
    </cfRule>
  </conditionalFormatting>
  <conditionalFormatting sqref="G1845">
    <cfRule type="cellIs" dxfId="2027" priority="557" stopIfTrue="1" operator="equal">
      <formula>"4 - Complete"</formula>
    </cfRule>
    <cfRule type="cellIs" dxfId="2026" priority="566" stopIfTrue="1" operator="equal">
      <formula>"3 - Green"</formula>
    </cfRule>
    <cfRule type="cellIs" dxfId="2025" priority="567" stopIfTrue="1" operator="equal">
      <formula>"2 - Yellow"</formula>
    </cfRule>
    <cfRule type="cellIs" dxfId="2024" priority="568" stopIfTrue="1" operator="equal">
      <formula>"1 - Red"</formula>
    </cfRule>
  </conditionalFormatting>
  <conditionalFormatting sqref="L1845">
    <cfRule type="cellIs" dxfId="2023" priority="569" stopIfTrue="1" operator="equal">
      <formula>"1 - Hard Load"</formula>
    </cfRule>
    <cfRule type="cellIs" dxfId="2022" priority="570" stopIfTrue="1" operator="equal">
      <formula>"3 - Not Loaded"</formula>
    </cfRule>
    <cfRule type="cellIs" dxfId="2021" priority="571" stopIfTrue="1" operator="equal">
      <formula>"2 - Soft Load"</formula>
    </cfRule>
  </conditionalFormatting>
  <conditionalFormatting sqref="D1845">
    <cfRule type="cellIs" dxfId="2020" priority="572" stopIfTrue="1" operator="equal">
      <formula>D612</formula>
    </cfRule>
  </conditionalFormatting>
  <conditionalFormatting sqref="D235">
    <cfRule type="cellIs" dxfId="2019" priority="10886" stopIfTrue="1" operator="equal">
      <formula>D118</formula>
    </cfRule>
  </conditionalFormatting>
  <conditionalFormatting sqref="D135">
    <cfRule type="cellIs" dxfId="2018" priority="542" stopIfTrue="1" operator="equal">
      <formula>D129</formula>
    </cfRule>
  </conditionalFormatting>
  <conditionalFormatting sqref="AO135 AS135">
    <cfRule type="cellIs" dxfId="2017" priority="543" stopIfTrue="1" operator="equal">
      <formula>"OK"</formula>
    </cfRule>
    <cfRule type="cellIs" dxfId="2016" priority="544" stopIfTrue="1" operator="equal">
      <formula>"Add"</formula>
    </cfRule>
  </conditionalFormatting>
  <conditionalFormatting sqref="J135">
    <cfRule type="cellIs" dxfId="2015" priority="545" stopIfTrue="1" operator="equal">
      <formula>"Lockdown"</formula>
    </cfRule>
    <cfRule type="cellIs" dxfId="2014" priority="546" stopIfTrue="1" operator="equal">
      <formula>"OOM"</formula>
    </cfRule>
    <cfRule type="cellIs" dxfId="2013" priority="547" stopIfTrue="1" operator="equal">
      <formula>"Placeholder"</formula>
    </cfRule>
  </conditionalFormatting>
  <conditionalFormatting sqref="T135:AA135">
    <cfRule type="cellIs" dxfId="2012" priority="548" stopIfTrue="1" operator="equal">
      <formula>"Blue - Completed"</formula>
    </cfRule>
    <cfRule type="cellIs" dxfId="2011" priority="549" stopIfTrue="1" operator="equal">
      <formula>"Green - Started on Sched"</formula>
    </cfRule>
    <cfRule type="cellIs" dxfId="2010" priority="550" stopIfTrue="1" operator="between">
      <formula>"Q"</formula>
      <formula>"T"</formula>
    </cfRule>
  </conditionalFormatting>
  <conditionalFormatting sqref="G135">
    <cfRule type="cellIs" dxfId="2009" priority="541" stopIfTrue="1" operator="equal">
      <formula>"4 - Complete"</formula>
    </cfRule>
    <cfRule type="cellIs" dxfId="2008" priority="551" stopIfTrue="1" operator="equal">
      <formula>"3 - Green"</formula>
    </cfRule>
    <cfRule type="cellIs" dxfId="2007" priority="552" stopIfTrue="1" operator="equal">
      <formula>"2 - Yellow"</formula>
    </cfRule>
    <cfRule type="cellIs" dxfId="2006" priority="553" stopIfTrue="1" operator="equal">
      <formula>"1 - Red"</formula>
    </cfRule>
  </conditionalFormatting>
  <conditionalFormatting sqref="L135">
    <cfRule type="cellIs" dxfId="2005" priority="554" stopIfTrue="1" operator="equal">
      <formula>"1 - Hard Load"</formula>
    </cfRule>
    <cfRule type="cellIs" dxfId="2004" priority="555" stopIfTrue="1" operator="equal">
      <formula>"3 - Not Loaded"</formula>
    </cfRule>
    <cfRule type="cellIs" dxfId="2003" priority="556" stopIfTrue="1" operator="equal">
      <formula>"2 - Soft Load"</formula>
    </cfRule>
  </conditionalFormatting>
  <conditionalFormatting sqref="D145">
    <cfRule type="cellIs" dxfId="2002" priority="526" stopIfTrue="1" operator="equal">
      <formula>D138</formula>
    </cfRule>
  </conditionalFormatting>
  <conditionalFormatting sqref="AS145 AO145">
    <cfRule type="cellIs" dxfId="2001" priority="527" stopIfTrue="1" operator="equal">
      <formula>"OK"</formula>
    </cfRule>
    <cfRule type="cellIs" dxfId="2000" priority="528" stopIfTrue="1" operator="equal">
      <formula>"Add"</formula>
    </cfRule>
  </conditionalFormatting>
  <conditionalFormatting sqref="J145">
    <cfRule type="cellIs" dxfId="1999" priority="529" stopIfTrue="1" operator="equal">
      <formula>"Lockdown"</formula>
    </cfRule>
    <cfRule type="cellIs" dxfId="1998" priority="530" stopIfTrue="1" operator="equal">
      <formula>"OOM"</formula>
    </cfRule>
    <cfRule type="cellIs" dxfId="1997" priority="531" stopIfTrue="1" operator="equal">
      <formula>"Placeholder"</formula>
    </cfRule>
  </conditionalFormatting>
  <conditionalFormatting sqref="T145:AA145">
    <cfRule type="cellIs" dxfId="1996" priority="532" stopIfTrue="1" operator="equal">
      <formula>"Blue - Completed"</formula>
    </cfRule>
    <cfRule type="cellIs" dxfId="1995" priority="533" stopIfTrue="1" operator="equal">
      <formula>"Green - Started on Sched"</formula>
    </cfRule>
    <cfRule type="cellIs" dxfId="1994" priority="534" stopIfTrue="1" operator="between">
      <formula>"Q"</formula>
      <formula>"T"</formula>
    </cfRule>
  </conditionalFormatting>
  <conditionalFormatting sqref="G145">
    <cfRule type="cellIs" dxfId="1993" priority="525" stopIfTrue="1" operator="equal">
      <formula>"4 - Complete"</formula>
    </cfRule>
    <cfRule type="cellIs" dxfId="1992" priority="535" stopIfTrue="1" operator="equal">
      <formula>"3 - Green"</formula>
    </cfRule>
    <cfRule type="cellIs" dxfId="1991" priority="536" stopIfTrue="1" operator="equal">
      <formula>"2 - Yellow"</formula>
    </cfRule>
    <cfRule type="cellIs" dxfId="1990" priority="537" stopIfTrue="1" operator="equal">
      <formula>"1 - Red"</formula>
    </cfRule>
  </conditionalFormatting>
  <conditionalFormatting sqref="L145">
    <cfRule type="cellIs" dxfId="1989" priority="538" stopIfTrue="1" operator="equal">
      <formula>"1 - Hard Load"</formula>
    </cfRule>
    <cfRule type="cellIs" dxfId="1988" priority="539" stopIfTrue="1" operator="equal">
      <formula>"3 - Not Loaded"</formula>
    </cfRule>
    <cfRule type="cellIs" dxfId="1987" priority="540" stopIfTrue="1" operator="equal">
      <formula>"2 - Soft Load"</formula>
    </cfRule>
  </conditionalFormatting>
  <conditionalFormatting sqref="AS261 AO261">
    <cfRule type="cellIs" dxfId="1986" priority="511" stopIfTrue="1" operator="equal">
      <formula>"OK"</formula>
    </cfRule>
    <cfRule type="cellIs" dxfId="1985" priority="512" stopIfTrue="1" operator="equal">
      <formula>"Add"</formula>
    </cfRule>
  </conditionalFormatting>
  <conditionalFormatting sqref="J261">
    <cfRule type="cellIs" dxfId="1984" priority="513" stopIfTrue="1" operator="equal">
      <formula>"Lockdown"</formula>
    </cfRule>
    <cfRule type="cellIs" dxfId="1983" priority="514" stopIfTrue="1" operator="equal">
      <formula>"OOM"</formula>
    </cfRule>
    <cfRule type="cellIs" dxfId="1982" priority="515" stopIfTrue="1" operator="equal">
      <formula>"Placeholder"</formula>
    </cfRule>
  </conditionalFormatting>
  <conditionalFormatting sqref="T261:AA261">
    <cfRule type="cellIs" dxfId="1981" priority="516" stopIfTrue="1" operator="equal">
      <formula>"Blue - Completed"</formula>
    </cfRule>
    <cfRule type="cellIs" dxfId="1980" priority="517" stopIfTrue="1" operator="equal">
      <formula>"Green - Started on Sched"</formula>
    </cfRule>
    <cfRule type="cellIs" dxfId="1979" priority="518" stopIfTrue="1" operator="between">
      <formula>"Q"</formula>
      <formula>"T"</formula>
    </cfRule>
  </conditionalFormatting>
  <conditionalFormatting sqref="G261">
    <cfRule type="cellIs" dxfId="1978" priority="510" stopIfTrue="1" operator="equal">
      <formula>"4 - Complete"</formula>
    </cfRule>
    <cfRule type="cellIs" dxfId="1977" priority="519" stopIfTrue="1" operator="equal">
      <formula>"3 - Green"</formula>
    </cfRule>
    <cfRule type="cellIs" dxfId="1976" priority="520" stopIfTrue="1" operator="equal">
      <formula>"2 - Yellow"</formula>
    </cfRule>
    <cfRule type="cellIs" dxfId="1975" priority="521" stopIfTrue="1" operator="equal">
      <formula>"1 - Red"</formula>
    </cfRule>
  </conditionalFormatting>
  <conditionalFormatting sqref="L261">
    <cfRule type="cellIs" dxfId="1974" priority="522" stopIfTrue="1" operator="equal">
      <formula>"1 - Hard Load"</formula>
    </cfRule>
    <cfRule type="cellIs" dxfId="1973" priority="523" stopIfTrue="1" operator="equal">
      <formula>"3 - Not Loaded"</formula>
    </cfRule>
    <cfRule type="cellIs" dxfId="1972" priority="524" stopIfTrue="1" operator="equal">
      <formula>"2 - Soft Load"</formula>
    </cfRule>
  </conditionalFormatting>
  <conditionalFormatting sqref="D261">
    <cfRule type="cellIs" dxfId="1971" priority="509" stopIfTrue="1" operator="equal">
      <formula>D170</formula>
    </cfRule>
  </conditionalFormatting>
  <conditionalFormatting sqref="D261">
    <cfRule type="cellIs" dxfId="1970" priority="508" stopIfTrue="1" operator="equal">
      <formula>D165</formula>
    </cfRule>
  </conditionalFormatting>
  <conditionalFormatting sqref="D261">
    <cfRule type="cellIs" dxfId="1969" priority="507" stopIfTrue="1" operator="equal">
      <formula>D175</formula>
    </cfRule>
  </conditionalFormatting>
  <conditionalFormatting sqref="D85">
    <cfRule type="cellIs" dxfId="1968" priority="492" stopIfTrue="1" operator="equal">
      <formula>D80</formula>
    </cfRule>
  </conditionalFormatting>
  <conditionalFormatting sqref="AO85 AS85">
    <cfRule type="cellIs" dxfId="1967" priority="493" stopIfTrue="1" operator="equal">
      <formula>"OK"</formula>
    </cfRule>
    <cfRule type="cellIs" dxfId="1966" priority="494" stopIfTrue="1" operator="equal">
      <formula>"Add"</formula>
    </cfRule>
  </conditionalFormatting>
  <conditionalFormatting sqref="J85">
    <cfRule type="cellIs" dxfId="1965" priority="495" stopIfTrue="1" operator="equal">
      <formula>"Lockdown"</formula>
    </cfRule>
    <cfRule type="cellIs" dxfId="1964" priority="496" stopIfTrue="1" operator="equal">
      <formula>"OOM"</formula>
    </cfRule>
    <cfRule type="cellIs" dxfId="1963" priority="497" stopIfTrue="1" operator="equal">
      <formula>"Placeholder"</formula>
    </cfRule>
  </conditionalFormatting>
  <conditionalFormatting sqref="T85:AA85">
    <cfRule type="cellIs" dxfId="1962" priority="498" stopIfTrue="1" operator="equal">
      <formula>"Blue - Completed"</formula>
    </cfRule>
    <cfRule type="cellIs" dxfId="1961" priority="499" stopIfTrue="1" operator="equal">
      <formula>"Green - Started on Sched"</formula>
    </cfRule>
    <cfRule type="cellIs" dxfId="1960" priority="500" stopIfTrue="1" operator="between">
      <formula>"Q"</formula>
      <formula>"T"</formula>
    </cfRule>
  </conditionalFormatting>
  <conditionalFormatting sqref="G85">
    <cfRule type="cellIs" dxfId="1959" priority="491" stopIfTrue="1" operator="equal">
      <formula>"4 - Complete"</formula>
    </cfRule>
    <cfRule type="cellIs" dxfId="1958" priority="501" stopIfTrue="1" operator="equal">
      <formula>"3 - Green"</formula>
    </cfRule>
    <cfRule type="cellIs" dxfId="1957" priority="502" stopIfTrue="1" operator="equal">
      <formula>"2 - Yellow"</formula>
    </cfRule>
    <cfRule type="cellIs" dxfId="1956" priority="503" stopIfTrue="1" operator="equal">
      <formula>"1 - Red"</formula>
    </cfRule>
  </conditionalFormatting>
  <conditionalFormatting sqref="L85">
    <cfRule type="cellIs" dxfId="1955" priority="504" stopIfTrue="1" operator="equal">
      <formula>"1 - Hard Load"</formula>
    </cfRule>
    <cfRule type="cellIs" dxfId="1954" priority="505" stopIfTrue="1" operator="equal">
      <formula>"3 - Not Loaded"</formula>
    </cfRule>
    <cfRule type="cellIs" dxfId="1953" priority="506" stopIfTrue="1" operator="equal">
      <formula>"2 - Soft Load"</formula>
    </cfRule>
  </conditionalFormatting>
  <conditionalFormatting sqref="D223:D224">
    <cfRule type="cellIs" dxfId="1952" priority="10944" stopIfTrue="1" operator="equal">
      <formula>D170</formula>
    </cfRule>
  </conditionalFormatting>
  <conditionalFormatting sqref="D245">
    <cfRule type="cellIs" dxfId="1951" priority="10952" stopIfTrue="1" operator="equal">
      <formula>D155</formula>
    </cfRule>
  </conditionalFormatting>
  <conditionalFormatting sqref="D174">
    <cfRule type="cellIs" dxfId="1950" priority="476" stopIfTrue="1" operator="equal">
      <formula>D168</formula>
    </cfRule>
  </conditionalFormatting>
  <conditionalFormatting sqref="AS174 AO174">
    <cfRule type="cellIs" dxfId="1949" priority="477" stopIfTrue="1" operator="equal">
      <formula>"OK"</formula>
    </cfRule>
    <cfRule type="cellIs" dxfId="1948" priority="478" stopIfTrue="1" operator="equal">
      <formula>"Add"</formula>
    </cfRule>
  </conditionalFormatting>
  <conditionalFormatting sqref="J174">
    <cfRule type="cellIs" dxfId="1947" priority="479" stopIfTrue="1" operator="equal">
      <formula>"Lockdown"</formula>
    </cfRule>
    <cfRule type="cellIs" dxfId="1946" priority="480" stopIfTrue="1" operator="equal">
      <formula>"OOM"</formula>
    </cfRule>
    <cfRule type="cellIs" dxfId="1945" priority="481" stopIfTrue="1" operator="equal">
      <formula>"Placeholder"</formula>
    </cfRule>
  </conditionalFormatting>
  <conditionalFormatting sqref="T174:AA174">
    <cfRule type="cellIs" dxfId="1944" priority="482" stopIfTrue="1" operator="equal">
      <formula>"Blue - Completed"</formula>
    </cfRule>
    <cfRule type="cellIs" dxfId="1943" priority="483" stopIfTrue="1" operator="equal">
      <formula>"Green - Started on Sched"</formula>
    </cfRule>
    <cfRule type="cellIs" dxfId="1942" priority="484" stopIfTrue="1" operator="between">
      <formula>"Q"</formula>
      <formula>"T"</formula>
    </cfRule>
  </conditionalFormatting>
  <conditionalFormatting sqref="G174">
    <cfRule type="cellIs" dxfId="1941" priority="475" stopIfTrue="1" operator="equal">
      <formula>"4 - Complete"</formula>
    </cfRule>
    <cfRule type="cellIs" dxfId="1940" priority="485" stopIfTrue="1" operator="equal">
      <formula>"3 - Green"</formula>
    </cfRule>
    <cfRule type="cellIs" dxfId="1939" priority="486" stopIfTrue="1" operator="equal">
      <formula>"2 - Yellow"</formula>
    </cfRule>
    <cfRule type="cellIs" dxfId="1938" priority="487" stopIfTrue="1" operator="equal">
      <formula>"1 - Red"</formula>
    </cfRule>
  </conditionalFormatting>
  <conditionalFormatting sqref="L174">
    <cfRule type="cellIs" dxfId="1937" priority="488" stopIfTrue="1" operator="equal">
      <formula>"1 - Hard Load"</formula>
    </cfRule>
    <cfRule type="cellIs" dxfId="1936" priority="489" stopIfTrue="1" operator="equal">
      <formula>"3 - Not Loaded"</formula>
    </cfRule>
    <cfRule type="cellIs" dxfId="1935" priority="490" stopIfTrue="1" operator="equal">
      <formula>"2 - Soft Load"</formula>
    </cfRule>
  </conditionalFormatting>
  <conditionalFormatting sqref="AO38 AS38">
    <cfRule type="cellIs" dxfId="1934" priority="461" stopIfTrue="1" operator="equal">
      <formula>"OK"</formula>
    </cfRule>
    <cfRule type="cellIs" dxfId="1933" priority="462" stopIfTrue="1" operator="equal">
      <formula>"Add"</formula>
    </cfRule>
  </conditionalFormatting>
  <conditionalFormatting sqref="J38">
    <cfRule type="cellIs" dxfId="1932" priority="463" stopIfTrue="1" operator="equal">
      <formula>"Lockdown"</formula>
    </cfRule>
    <cfRule type="cellIs" dxfId="1931" priority="464" stopIfTrue="1" operator="equal">
      <formula>"OOM"</formula>
    </cfRule>
    <cfRule type="cellIs" dxfId="1930" priority="465" stopIfTrue="1" operator="equal">
      <formula>"Placeholder"</formula>
    </cfRule>
  </conditionalFormatting>
  <conditionalFormatting sqref="T38:AA38">
    <cfRule type="cellIs" dxfId="1929" priority="466" stopIfTrue="1" operator="equal">
      <formula>"Blue - Completed"</formula>
    </cfRule>
    <cfRule type="cellIs" dxfId="1928" priority="467" stopIfTrue="1" operator="equal">
      <formula>"Green - Started on Sched"</formula>
    </cfRule>
    <cfRule type="cellIs" dxfId="1927" priority="468" stopIfTrue="1" operator="between">
      <formula>"Q"</formula>
      <formula>"T"</formula>
    </cfRule>
  </conditionalFormatting>
  <conditionalFormatting sqref="G38">
    <cfRule type="cellIs" dxfId="1926" priority="460" stopIfTrue="1" operator="equal">
      <formula>"4 - Complete"</formula>
    </cfRule>
    <cfRule type="cellIs" dxfId="1925" priority="469" stopIfTrue="1" operator="equal">
      <formula>"3 - Green"</formula>
    </cfRule>
    <cfRule type="cellIs" dxfId="1924" priority="470" stopIfTrue="1" operator="equal">
      <formula>"2 - Yellow"</formula>
    </cfRule>
    <cfRule type="cellIs" dxfId="1923" priority="471" stopIfTrue="1" operator="equal">
      <formula>"1 - Red"</formula>
    </cfRule>
  </conditionalFormatting>
  <conditionalFormatting sqref="L38">
    <cfRule type="cellIs" dxfId="1922" priority="472" stopIfTrue="1" operator="equal">
      <formula>"1 - Hard Load"</formula>
    </cfRule>
    <cfRule type="cellIs" dxfId="1921" priority="473" stopIfTrue="1" operator="equal">
      <formula>"3 - Not Loaded"</formula>
    </cfRule>
    <cfRule type="cellIs" dxfId="1920" priority="474" stopIfTrue="1" operator="equal">
      <formula>"2 - Soft Load"</formula>
    </cfRule>
  </conditionalFormatting>
  <conditionalFormatting sqref="D38">
    <cfRule type="cellIs" dxfId="1919" priority="459" stopIfTrue="1" operator="equal">
      <formula>D34</formula>
    </cfRule>
  </conditionalFormatting>
  <conditionalFormatting sqref="AO3323:AO3324 AS3323:AS3324">
    <cfRule type="cellIs" dxfId="1918" priority="444" stopIfTrue="1" operator="equal">
      <formula>"OK"</formula>
    </cfRule>
    <cfRule type="cellIs" dxfId="1917" priority="445" stopIfTrue="1" operator="equal">
      <formula>"Add"</formula>
    </cfRule>
  </conditionalFormatting>
  <conditionalFormatting sqref="J3323:J3324">
    <cfRule type="cellIs" dxfId="1916" priority="446" stopIfTrue="1" operator="equal">
      <formula>"Lockdown"</formula>
    </cfRule>
    <cfRule type="cellIs" dxfId="1915" priority="447" stopIfTrue="1" operator="equal">
      <formula>"OOM"</formula>
    </cfRule>
    <cfRule type="cellIs" dxfId="1914" priority="448" stopIfTrue="1" operator="equal">
      <formula>"Placeholder"</formula>
    </cfRule>
  </conditionalFormatting>
  <conditionalFormatting sqref="T3323:AA3324">
    <cfRule type="cellIs" dxfId="1913" priority="449" stopIfTrue="1" operator="equal">
      <formula>"Blue - Completed"</formula>
    </cfRule>
    <cfRule type="cellIs" dxfId="1912" priority="450" stopIfTrue="1" operator="equal">
      <formula>"Green - Started on Sched"</formula>
    </cfRule>
    <cfRule type="cellIs" dxfId="1911" priority="451" stopIfTrue="1" operator="between">
      <formula>"Q"</formula>
      <formula>"T"</formula>
    </cfRule>
  </conditionalFormatting>
  <conditionalFormatting sqref="G3323:G3324">
    <cfRule type="cellIs" dxfId="1910" priority="443" stopIfTrue="1" operator="equal">
      <formula>"4 - Complete"</formula>
    </cfRule>
    <cfRule type="cellIs" dxfId="1909" priority="452" stopIfTrue="1" operator="equal">
      <formula>"3 - Green"</formula>
    </cfRule>
    <cfRule type="cellIs" dxfId="1908" priority="453" stopIfTrue="1" operator="equal">
      <formula>"2 - Yellow"</formula>
    </cfRule>
    <cfRule type="cellIs" dxfId="1907" priority="454" stopIfTrue="1" operator="equal">
      <formula>"1 - Red"</formula>
    </cfRule>
  </conditionalFormatting>
  <conditionalFormatting sqref="L3323:L3324">
    <cfRule type="cellIs" dxfId="1906" priority="455" stopIfTrue="1" operator="equal">
      <formula>"1 - Hard Load"</formula>
    </cfRule>
    <cfRule type="cellIs" dxfId="1905" priority="456" stopIfTrue="1" operator="equal">
      <formula>"3 - Not Loaded"</formula>
    </cfRule>
    <cfRule type="cellIs" dxfId="1904" priority="457" stopIfTrue="1" operator="equal">
      <formula>"2 - Soft Load"</formula>
    </cfRule>
  </conditionalFormatting>
  <conditionalFormatting sqref="D3323:D3324">
    <cfRule type="cellIs" dxfId="1903" priority="458" stopIfTrue="1" operator="equal">
      <formula>D1357</formula>
    </cfRule>
  </conditionalFormatting>
  <conditionalFormatting sqref="D3323:D3324">
    <cfRule type="cellIs" dxfId="1902" priority="442" stopIfTrue="1" operator="equal">
      <formula>D1360</formula>
    </cfRule>
  </conditionalFormatting>
  <conditionalFormatting sqref="D3323:D3324">
    <cfRule type="cellIs" dxfId="1901" priority="441" stopIfTrue="1" operator="equal">
      <formula>D1360</formula>
    </cfRule>
  </conditionalFormatting>
  <conditionalFormatting sqref="D3324">
    <cfRule type="cellIs" dxfId="1900" priority="440" stopIfTrue="1" operator="equal">
      <formula>D1361</formula>
    </cfRule>
  </conditionalFormatting>
  <conditionalFormatting sqref="D3325">
    <cfRule type="cellIs" dxfId="1899" priority="439" stopIfTrue="1" operator="equal">
      <formula>D1363</formula>
    </cfRule>
  </conditionalFormatting>
  <conditionalFormatting sqref="AS3325 AO3325">
    <cfRule type="cellIs" dxfId="1898" priority="425" stopIfTrue="1" operator="equal">
      <formula>"OK"</formula>
    </cfRule>
    <cfRule type="cellIs" dxfId="1897" priority="426" stopIfTrue="1" operator="equal">
      <formula>"Add"</formula>
    </cfRule>
  </conditionalFormatting>
  <conditionalFormatting sqref="J3325">
    <cfRule type="cellIs" dxfId="1896" priority="427" stopIfTrue="1" operator="equal">
      <formula>"Lockdown"</formula>
    </cfRule>
    <cfRule type="cellIs" dxfId="1895" priority="428" stopIfTrue="1" operator="equal">
      <formula>"OOM"</formula>
    </cfRule>
    <cfRule type="cellIs" dxfId="1894" priority="429" stopIfTrue="1" operator="equal">
      <formula>"Placeholder"</formula>
    </cfRule>
  </conditionalFormatting>
  <conditionalFormatting sqref="T3325:AA3325">
    <cfRule type="cellIs" dxfId="1893" priority="430" stopIfTrue="1" operator="equal">
      <formula>"Blue - Completed"</formula>
    </cfRule>
    <cfRule type="cellIs" dxfId="1892" priority="431" stopIfTrue="1" operator="equal">
      <formula>"Green - Started on Sched"</formula>
    </cfRule>
    <cfRule type="cellIs" dxfId="1891" priority="432" stopIfTrue="1" operator="between">
      <formula>"Q"</formula>
      <formula>"T"</formula>
    </cfRule>
  </conditionalFormatting>
  <conditionalFormatting sqref="G3325">
    <cfRule type="cellIs" dxfId="1890" priority="424" stopIfTrue="1" operator="equal">
      <formula>"4 - Complete"</formula>
    </cfRule>
    <cfRule type="cellIs" dxfId="1889" priority="433" stopIfTrue="1" operator="equal">
      <formula>"3 - Green"</formula>
    </cfRule>
    <cfRule type="cellIs" dxfId="1888" priority="434" stopIfTrue="1" operator="equal">
      <formula>"2 - Yellow"</formula>
    </cfRule>
    <cfRule type="cellIs" dxfId="1887" priority="435" stopIfTrue="1" operator="equal">
      <formula>"1 - Red"</formula>
    </cfRule>
  </conditionalFormatting>
  <conditionalFormatting sqref="L3325">
    <cfRule type="cellIs" dxfId="1886" priority="436" stopIfTrue="1" operator="equal">
      <formula>"1 - Hard Load"</formula>
    </cfRule>
    <cfRule type="cellIs" dxfId="1885" priority="437" stopIfTrue="1" operator="equal">
      <formula>"3 - Not Loaded"</formula>
    </cfRule>
    <cfRule type="cellIs" dxfId="1884" priority="438" stopIfTrue="1" operator="equal">
      <formula>"2 - Soft Load"</formula>
    </cfRule>
  </conditionalFormatting>
  <conditionalFormatting sqref="D3327">
    <cfRule type="cellIs" dxfId="1883" priority="405" stopIfTrue="1" operator="equal">
      <formula>D1365</formula>
    </cfRule>
  </conditionalFormatting>
  <conditionalFormatting sqref="AO3326:AO3329 AS3326:AS3329">
    <cfRule type="cellIs" dxfId="1882" priority="409" stopIfTrue="1" operator="equal">
      <formula>"OK"</formula>
    </cfRule>
    <cfRule type="cellIs" dxfId="1881" priority="410" stopIfTrue="1" operator="equal">
      <formula>"Add"</formula>
    </cfRule>
  </conditionalFormatting>
  <conditionalFormatting sqref="J3326:J3329">
    <cfRule type="cellIs" dxfId="1880" priority="411" stopIfTrue="1" operator="equal">
      <formula>"Lockdown"</formula>
    </cfRule>
    <cfRule type="cellIs" dxfId="1879" priority="412" stopIfTrue="1" operator="equal">
      <formula>"OOM"</formula>
    </cfRule>
    <cfRule type="cellIs" dxfId="1878" priority="413" stopIfTrue="1" operator="equal">
      <formula>"Placeholder"</formula>
    </cfRule>
  </conditionalFormatting>
  <conditionalFormatting sqref="T3326:AA3329">
    <cfRule type="cellIs" dxfId="1877" priority="414" stopIfTrue="1" operator="equal">
      <formula>"Blue - Completed"</formula>
    </cfRule>
    <cfRule type="cellIs" dxfId="1876" priority="415" stopIfTrue="1" operator="equal">
      <formula>"Green - Started on Sched"</formula>
    </cfRule>
    <cfRule type="cellIs" dxfId="1875" priority="416" stopIfTrue="1" operator="between">
      <formula>"Q"</formula>
      <formula>"T"</formula>
    </cfRule>
  </conditionalFormatting>
  <conditionalFormatting sqref="G3326:G3329">
    <cfRule type="cellIs" dxfId="1874" priority="408" stopIfTrue="1" operator="equal">
      <formula>"4 - Complete"</formula>
    </cfRule>
    <cfRule type="cellIs" dxfId="1873" priority="417" stopIfTrue="1" operator="equal">
      <formula>"3 - Green"</formula>
    </cfRule>
    <cfRule type="cellIs" dxfId="1872" priority="418" stopIfTrue="1" operator="equal">
      <formula>"2 - Yellow"</formula>
    </cfRule>
    <cfRule type="cellIs" dxfId="1871" priority="419" stopIfTrue="1" operator="equal">
      <formula>"1 - Red"</formula>
    </cfRule>
  </conditionalFormatting>
  <conditionalFormatting sqref="L3326:L3329">
    <cfRule type="cellIs" dxfId="1870" priority="420" stopIfTrue="1" operator="equal">
      <formula>"1 - Hard Load"</formula>
    </cfRule>
    <cfRule type="cellIs" dxfId="1869" priority="421" stopIfTrue="1" operator="equal">
      <formula>"3 - Not Loaded"</formula>
    </cfRule>
    <cfRule type="cellIs" dxfId="1868" priority="422" stopIfTrue="1" operator="equal">
      <formula>"2 - Soft Load"</formula>
    </cfRule>
  </conditionalFormatting>
  <conditionalFormatting sqref="D3325:D3329">
    <cfRule type="cellIs" dxfId="1867" priority="423" stopIfTrue="1" operator="equal">
      <formula>D1360</formula>
    </cfRule>
  </conditionalFormatting>
  <conditionalFormatting sqref="D3326:D3329">
    <cfRule type="cellIs" dxfId="1866" priority="407" stopIfTrue="1" operator="equal">
      <formula>D1364</formula>
    </cfRule>
  </conditionalFormatting>
  <conditionalFormatting sqref="D3326:D3329">
    <cfRule type="cellIs" dxfId="1865" priority="406" stopIfTrue="1" operator="equal">
      <formula>D1364</formula>
    </cfRule>
  </conditionalFormatting>
  <conditionalFormatting sqref="D3329">
    <cfRule type="cellIs" dxfId="1864" priority="404" stopIfTrue="1" operator="equal">
      <formula>D1367</formula>
    </cfRule>
  </conditionalFormatting>
  <conditionalFormatting sqref="D3330">
    <cfRule type="cellIs" dxfId="1863" priority="403" stopIfTrue="1" operator="equal">
      <formula>D1368</formula>
    </cfRule>
  </conditionalFormatting>
  <conditionalFormatting sqref="AS3330 AO3330">
    <cfRule type="cellIs" dxfId="1862" priority="389" stopIfTrue="1" operator="equal">
      <formula>"OK"</formula>
    </cfRule>
    <cfRule type="cellIs" dxfId="1861" priority="390" stopIfTrue="1" operator="equal">
      <formula>"Add"</formula>
    </cfRule>
  </conditionalFormatting>
  <conditionalFormatting sqref="J3330">
    <cfRule type="cellIs" dxfId="1860" priority="391" stopIfTrue="1" operator="equal">
      <formula>"Lockdown"</formula>
    </cfRule>
    <cfRule type="cellIs" dxfId="1859" priority="392" stopIfTrue="1" operator="equal">
      <formula>"OOM"</formula>
    </cfRule>
    <cfRule type="cellIs" dxfId="1858" priority="393" stopIfTrue="1" operator="equal">
      <formula>"Placeholder"</formula>
    </cfRule>
  </conditionalFormatting>
  <conditionalFormatting sqref="T3330:AA3330">
    <cfRule type="cellIs" dxfId="1857" priority="394" stopIfTrue="1" operator="equal">
      <formula>"Blue - Completed"</formula>
    </cfRule>
    <cfRule type="cellIs" dxfId="1856" priority="395" stopIfTrue="1" operator="equal">
      <formula>"Green - Started on Sched"</formula>
    </cfRule>
    <cfRule type="cellIs" dxfId="1855" priority="396" stopIfTrue="1" operator="between">
      <formula>"Q"</formula>
      <formula>"T"</formula>
    </cfRule>
  </conditionalFormatting>
  <conditionalFormatting sqref="G3330">
    <cfRule type="cellIs" dxfId="1854" priority="388" stopIfTrue="1" operator="equal">
      <formula>"4 - Complete"</formula>
    </cfRule>
    <cfRule type="cellIs" dxfId="1853" priority="397" stopIfTrue="1" operator="equal">
      <formula>"3 - Green"</formula>
    </cfRule>
    <cfRule type="cellIs" dxfId="1852" priority="398" stopIfTrue="1" operator="equal">
      <formula>"2 - Yellow"</formula>
    </cfRule>
    <cfRule type="cellIs" dxfId="1851" priority="399" stopIfTrue="1" operator="equal">
      <formula>"1 - Red"</formula>
    </cfRule>
  </conditionalFormatting>
  <conditionalFormatting sqref="L3330">
    <cfRule type="cellIs" dxfId="1850" priority="400" stopIfTrue="1" operator="equal">
      <formula>"1 - Hard Load"</formula>
    </cfRule>
    <cfRule type="cellIs" dxfId="1849" priority="401" stopIfTrue="1" operator="equal">
      <formula>"3 - Not Loaded"</formula>
    </cfRule>
    <cfRule type="cellIs" dxfId="1848" priority="402" stopIfTrue="1" operator="equal">
      <formula>"2 - Soft Load"</formula>
    </cfRule>
  </conditionalFormatting>
  <conditionalFormatting sqref="D3332">
    <cfRule type="cellIs" dxfId="1847" priority="369" stopIfTrue="1" operator="equal">
      <formula>D1370</formula>
    </cfRule>
  </conditionalFormatting>
  <conditionalFormatting sqref="AO3331:AO3334 AS3331:AS3334">
    <cfRule type="cellIs" dxfId="1846" priority="373" stopIfTrue="1" operator="equal">
      <formula>"OK"</formula>
    </cfRule>
    <cfRule type="cellIs" dxfId="1845" priority="374" stopIfTrue="1" operator="equal">
      <formula>"Add"</formula>
    </cfRule>
  </conditionalFormatting>
  <conditionalFormatting sqref="J3331:J3334">
    <cfRule type="cellIs" dxfId="1844" priority="375" stopIfTrue="1" operator="equal">
      <formula>"Lockdown"</formula>
    </cfRule>
    <cfRule type="cellIs" dxfId="1843" priority="376" stopIfTrue="1" operator="equal">
      <formula>"OOM"</formula>
    </cfRule>
    <cfRule type="cellIs" dxfId="1842" priority="377" stopIfTrue="1" operator="equal">
      <formula>"Placeholder"</formula>
    </cfRule>
  </conditionalFormatting>
  <conditionalFormatting sqref="T3331:AA3334">
    <cfRule type="cellIs" dxfId="1841" priority="378" stopIfTrue="1" operator="equal">
      <formula>"Blue - Completed"</formula>
    </cfRule>
    <cfRule type="cellIs" dxfId="1840" priority="379" stopIfTrue="1" operator="equal">
      <formula>"Green - Started on Sched"</formula>
    </cfRule>
    <cfRule type="cellIs" dxfId="1839" priority="380" stopIfTrue="1" operator="between">
      <formula>"Q"</formula>
      <formula>"T"</formula>
    </cfRule>
  </conditionalFormatting>
  <conditionalFormatting sqref="G3331:G3334">
    <cfRule type="cellIs" dxfId="1838" priority="372" stopIfTrue="1" operator="equal">
      <formula>"4 - Complete"</formula>
    </cfRule>
    <cfRule type="cellIs" dxfId="1837" priority="381" stopIfTrue="1" operator="equal">
      <formula>"3 - Green"</formula>
    </cfRule>
    <cfRule type="cellIs" dxfId="1836" priority="382" stopIfTrue="1" operator="equal">
      <formula>"2 - Yellow"</formula>
    </cfRule>
    <cfRule type="cellIs" dxfId="1835" priority="383" stopIfTrue="1" operator="equal">
      <formula>"1 - Red"</formula>
    </cfRule>
  </conditionalFormatting>
  <conditionalFormatting sqref="L3331:L3334">
    <cfRule type="cellIs" dxfId="1834" priority="384" stopIfTrue="1" operator="equal">
      <formula>"1 - Hard Load"</formula>
    </cfRule>
    <cfRule type="cellIs" dxfId="1833" priority="385" stopIfTrue="1" operator="equal">
      <formula>"3 - Not Loaded"</formula>
    </cfRule>
    <cfRule type="cellIs" dxfId="1832" priority="386" stopIfTrue="1" operator="equal">
      <formula>"2 - Soft Load"</formula>
    </cfRule>
  </conditionalFormatting>
  <conditionalFormatting sqref="D3330:D3334">
    <cfRule type="cellIs" dxfId="1831" priority="387" stopIfTrue="1" operator="equal">
      <formula>D1365</formula>
    </cfRule>
  </conditionalFormatting>
  <conditionalFormatting sqref="D3331:D3334">
    <cfRule type="cellIs" dxfId="1830" priority="371" stopIfTrue="1" operator="equal">
      <formula>D1369</formula>
    </cfRule>
  </conditionalFormatting>
  <conditionalFormatting sqref="D3331:D3334">
    <cfRule type="cellIs" dxfId="1829" priority="370" stopIfTrue="1" operator="equal">
      <formula>D1369</formula>
    </cfRule>
  </conditionalFormatting>
  <conditionalFormatting sqref="D3334">
    <cfRule type="cellIs" dxfId="1828" priority="368" stopIfTrue="1" operator="equal">
      <formula>D1372</formula>
    </cfRule>
  </conditionalFormatting>
  <conditionalFormatting sqref="D120">
    <cfRule type="cellIs" dxfId="1827" priority="367" stopIfTrue="1" operator="equal">
      <formula>D115</formula>
    </cfRule>
  </conditionalFormatting>
  <conditionalFormatting sqref="AO120 AS120">
    <cfRule type="cellIs" dxfId="1826" priority="353" stopIfTrue="1" operator="equal">
      <formula>"OK"</formula>
    </cfRule>
    <cfRule type="cellIs" dxfId="1825" priority="354" stopIfTrue="1" operator="equal">
      <formula>"Add"</formula>
    </cfRule>
  </conditionalFormatting>
  <conditionalFormatting sqref="J120">
    <cfRule type="cellIs" dxfId="1824" priority="355" stopIfTrue="1" operator="equal">
      <formula>"Lockdown"</formula>
    </cfRule>
    <cfRule type="cellIs" dxfId="1823" priority="356" stopIfTrue="1" operator="equal">
      <formula>"OOM"</formula>
    </cfRule>
    <cfRule type="cellIs" dxfId="1822" priority="357" stopIfTrue="1" operator="equal">
      <formula>"Placeholder"</formula>
    </cfRule>
  </conditionalFormatting>
  <conditionalFormatting sqref="T120:AA120">
    <cfRule type="cellIs" dxfId="1821" priority="358" stopIfTrue="1" operator="equal">
      <formula>"Blue - Completed"</formula>
    </cfRule>
    <cfRule type="cellIs" dxfId="1820" priority="359" stopIfTrue="1" operator="equal">
      <formula>"Green - Started on Sched"</formula>
    </cfRule>
    <cfRule type="cellIs" dxfId="1819" priority="360" stopIfTrue="1" operator="between">
      <formula>"Q"</formula>
      <formula>"T"</formula>
    </cfRule>
  </conditionalFormatting>
  <conditionalFormatting sqref="G120">
    <cfRule type="cellIs" dxfId="1818" priority="352" stopIfTrue="1" operator="equal">
      <formula>"4 - Complete"</formula>
    </cfRule>
    <cfRule type="cellIs" dxfId="1817" priority="361" stopIfTrue="1" operator="equal">
      <formula>"3 - Green"</formula>
    </cfRule>
    <cfRule type="cellIs" dxfId="1816" priority="362" stopIfTrue="1" operator="equal">
      <formula>"2 - Yellow"</formula>
    </cfRule>
    <cfRule type="cellIs" dxfId="1815" priority="363" stopIfTrue="1" operator="equal">
      <formula>"1 - Red"</formula>
    </cfRule>
  </conditionalFormatting>
  <conditionalFormatting sqref="L120">
    <cfRule type="cellIs" dxfId="1814" priority="364" stopIfTrue="1" operator="equal">
      <formula>"1 - Hard Load"</formula>
    </cfRule>
    <cfRule type="cellIs" dxfId="1813" priority="365" stopIfTrue="1" operator="equal">
      <formula>"3 - Not Loaded"</formula>
    </cfRule>
    <cfRule type="cellIs" dxfId="1812" priority="366" stopIfTrue="1" operator="equal">
      <formula>"2 - Soft Load"</formula>
    </cfRule>
  </conditionalFormatting>
  <conditionalFormatting sqref="D219">
    <cfRule type="cellIs" dxfId="1811" priority="10981" stopIfTrue="1" operator="equal">
      <formula>#REF!</formula>
    </cfRule>
  </conditionalFormatting>
  <conditionalFormatting sqref="D166">
    <cfRule type="cellIs" dxfId="1810" priority="337" stopIfTrue="1" operator="equal">
      <formula>D156</formula>
    </cfRule>
  </conditionalFormatting>
  <conditionalFormatting sqref="AO166 AS166">
    <cfRule type="cellIs" dxfId="1809" priority="338" stopIfTrue="1" operator="equal">
      <formula>"OK"</formula>
    </cfRule>
    <cfRule type="cellIs" dxfId="1808" priority="339" stopIfTrue="1" operator="equal">
      <formula>"Add"</formula>
    </cfRule>
  </conditionalFormatting>
  <conditionalFormatting sqref="J166">
    <cfRule type="cellIs" dxfId="1807" priority="340" stopIfTrue="1" operator="equal">
      <formula>"Lockdown"</formula>
    </cfRule>
    <cfRule type="cellIs" dxfId="1806" priority="341" stopIfTrue="1" operator="equal">
      <formula>"OOM"</formula>
    </cfRule>
    <cfRule type="cellIs" dxfId="1805" priority="342" stopIfTrue="1" operator="equal">
      <formula>"Placeholder"</formula>
    </cfRule>
  </conditionalFormatting>
  <conditionalFormatting sqref="T166:AA166">
    <cfRule type="cellIs" dxfId="1804" priority="343" stopIfTrue="1" operator="equal">
      <formula>"Blue - Completed"</formula>
    </cfRule>
    <cfRule type="cellIs" dxfId="1803" priority="344" stopIfTrue="1" operator="equal">
      <formula>"Green - Started on Sched"</formula>
    </cfRule>
    <cfRule type="cellIs" dxfId="1802" priority="345" stopIfTrue="1" operator="between">
      <formula>"Q"</formula>
      <formula>"T"</formula>
    </cfRule>
  </conditionalFormatting>
  <conditionalFormatting sqref="G166">
    <cfRule type="cellIs" dxfId="1801" priority="336" stopIfTrue="1" operator="equal">
      <formula>"4 - Complete"</formula>
    </cfRule>
    <cfRule type="cellIs" dxfId="1800" priority="346" stopIfTrue="1" operator="equal">
      <formula>"3 - Green"</formula>
    </cfRule>
    <cfRule type="cellIs" dxfId="1799" priority="347" stopIfTrue="1" operator="equal">
      <formula>"2 - Yellow"</formula>
    </cfRule>
    <cfRule type="cellIs" dxfId="1798" priority="348" stopIfTrue="1" operator="equal">
      <formula>"1 - Red"</formula>
    </cfRule>
  </conditionalFormatting>
  <conditionalFormatting sqref="L166">
    <cfRule type="cellIs" dxfId="1797" priority="349" stopIfTrue="1" operator="equal">
      <formula>"1 - Hard Load"</formula>
    </cfRule>
    <cfRule type="cellIs" dxfId="1796" priority="350" stopIfTrue="1" operator="equal">
      <formula>"3 - Not Loaded"</formula>
    </cfRule>
    <cfRule type="cellIs" dxfId="1795" priority="351" stopIfTrue="1" operator="equal">
      <formula>"2 - Soft Load"</formula>
    </cfRule>
  </conditionalFormatting>
  <conditionalFormatting sqref="D147">
    <cfRule type="cellIs" dxfId="1794" priority="321" stopIfTrue="1" operator="equal">
      <formula>D139</formula>
    </cfRule>
  </conditionalFormatting>
  <conditionalFormatting sqref="AS147 AO147">
    <cfRule type="cellIs" dxfId="1793" priority="322" stopIfTrue="1" operator="equal">
      <formula>"OK"</formula>
    </cfRule>
    <cfRule type="cellIs" dxfId="1792" priority="323" stopIfTrue="1" operator="equal">
      <formula>"Add"</formula>
    </cfRule>
  </conditionalFormatting>
  <conditionalFormatting sqref="J147">
    <cfRule type="cellIs" dxfId="1791" priority="324" stopIfTrue="1" operator="equal">
      <formula>"Lockdown"</formula>
    </cfRule>
    <cfRule type="cellIs" dxfId="1790" priority="325" stopIfTrue="1" operator="equal">
      <formula>"OOM"</formula>
    </cfRule>
    <cfRule type="cellIs" dxfId="1789" priority="326" stopIfTrue="1" operator="equal">
      <formula>"Placeholder"</formula>
    </cfRule>
  </conditionalFormatting>
  <conditionalFormatting sqref="T147:AA147">
    <cfRule type="cellIs" dxfId="1788" priority="327" stopIfTrue="1" operator="equal">
      <formula>"Blue - Completed"</formula>
    </cfRule>
    <cfRule type="cellIs" dxfId="1787" priority="328" stopIfTrue="1" operator="equal">
      <formula>"Green - Started on Sched"</formula>
    </cfRule>
    <cfRule type="cellIs" dxfId="1786" priority="329" stopIfTrue="1" operator="between">
      <formula>"Q"</formula>
      <formula>"T"</formula>
    </cfRule>
  </conditionalFormatting>
  <conditionalFormatting sqref="G147">
    <cfRule type="cellIs" dxfId="1785" priority="320" stopIfTrue="1" operator="equal">
      <formula>"4 - Complete"</formula>
    </cfRule>
    <cfRule type="cellIs" dxfId="1784" priority="330" stopIfTrue="1" operator="equal">
      <formula>"3 - Green"</formula>
    </cfRule>
    <cfRule type="cellIs" dxfId="1783" priority="331" stopIfTrue="1" operator="equal">
      <formula>"2 - Yellow"</formula>
    </cfRule>
    <cfRule type="cellIs" dxfId="1782" priority="332" stopIfTrue="1" operator="equal">
      <formula>"1 - Red"</formula>
    </cfRule>
  </conditionalFormatting>
  <conditionalFormatting sqref="L147">
    <cfRule type="cellIs" dxfId="1781" priority="333" stopIfTrue="1" operator="equal">
      <formula>"1 - Hard Load"</formula>
    </cfRule>
    <cfRule type="cellIs" dxfId="1780" priority="334" stopIfTrue="1" operator="equal">
      <formula>"3 - Not Loaded"</formula>
    </cfRule>
    <cfRule type="cellIs" dxfId="1779" priority="335" stopIfTrue="1" operator="equal">
      <formula>"2 - Soft Load"</formula>
    </cfRule>
  </conditionalFormatting>
  <conditionalFormatting sqref="D3336">
    <cfRule type="cellIs" dxfId="1778" priority="301" stopIfTrue="1" operator="equal">
      <formula>D1374</formula>
    </cfRule>
  </conditionalFormatting>
  <conditionalFormatting sqref="AO3335:AO3338 AS3335:AS3338">
    <cfRule type="cellIs" dxfId="1777" priority="305" stopIfTrue="1" operator="equal">
      <formula>"OK"</formula>
    </cfRule>
    <cfRule type="cellIs" dxfId="1776" priority="306" stopIfTrue="1" operator="equal">
      <formula>"Add"</formula>
    </cfRule>
  </conditionalFormatting>
  <conditionalFormatting sqref="J3335:J3338">
    <cfRule type="cellIs" dxfId="1775" priority="307" stopIfTrue="1" operator="equal">
      <formula>"Lockdown"</formula>
    </cfRule>
    <cfRule type="cellIs" dxfId="1774" priority="308" stopIfTrue="1" operator="equal">
      <formula>"OOM"</formula>
    </cfRule>
    <cfRule type="cellIs" dxfId="1773" priority="309" stopIfTrue="1" operator="equal">
      <formula>"Placeholder"</formula>
    </cfRule>
  </conditionalFormatting>
  <conditionalFormatting sqref="T3335:AA3338">
    <cfRule type="cellIs" dxfId="1772" priority="310" stopIfTrue="1" operator="equal">
      <formula>"Blue - Completed"</formula>
    </cfRule>
    <cfRule type="cellIs" dxfId="1771" priority="311" stopIfTrue="1" operator="equal">
      <formula>"Green - Started on Sched"</formula>
    </cfRule>
    <cfRule type="cellIs" dxfId="1770" priority="312" stopIfTrue="1" operator="between">
      <formula>"Q"</formula>
      <formula>"T"</formula>
    </cfRule>
  </conditionalFormatting>
  <conditionalFormatting sqref="G3335:G3338">
    <cfRule type="cellIs" dxfId="1769" priority="304" stopIfTrue="1" operator="equal">
      <formula>"4 - Complete"</formula>
    </cfRule>
    <cfRule type="cellIs" dxfId="1768" priority="313" stopIfTrue="1" operator="equal">
      <formula>"3 - Green"</formula>
    </cfRule>
    <cfRule type="cellIs" dxfId="1767" priority="314" stopIfTrue="1" operator="equal">
      <formula>"2 - Yellow"</formula>
    </cfRule>
    <cfRule type="cellIs" dxfId="1766" priority="315" stopIfTrue="1" operator="equal">
      <formula>"1 - Red"</formula>
    </cfRule>
  </conditionalFormatting>
  <conditionalFormatting sqref="L3335:L3338">
    <cfRule type="cellIs" dxfId="1765" priority="316" stopIfTrue="1" operator="equal">
      <formula>"1 - Hard Load"</formula>
    </cfRule>
    <cfRule type="cellIs" dxfId="1764" priority="317" stopIfTrue="1" operator="equal">
      <formula>"3 - Not Loaded"</formula>
    </cfRule>
    <cfRule type="cellIs" dxfId="1763" priority="318" stopIfTrue="1" operator="equal">
      <formula>"2 - Soft Load"</formula>
    </cfRule>
  </conditionalFormatting>
  <conditionalFormatting sqref="D3335:D3338">
    <cfRule type="cellIs" dxfId="1762" priority="319" stopIfTrue="1" operator="equal">
      <formula>D1370</formula>
    </cfRule>
  </conditionalFormatting>
  <conditionalFormatting sqref="D3335:D3338">
    <cfRule type="cellIs" dxfId="1761" priority="303" stopIfTrue="1" operator="equal">
      <formula>D1373</formula>
    </cfRule>
  </conditionalFormatting>
  <conditionalFormatting sqref="D3335:D3338">
    <cfRule type="cellIs" dxfId="1760" priority="302" stopIfTrue="1" operator="equal">
      <formula>D1373</formula>
    </cfRule>
  </conditionalFormatting>
  <conditionalFormatting sqref="D3338">
    <cfRule type="cellIs" dxfId="1759" priority="300" stopIfTrue="1" operator="equal">
      <formula>D1376</formula>
    </cfRule>
  </conditionalFormatting>
  <conditionalFormatting sqref="AO3339:AO3340 AS3339:AS3340">
    <cfRule type="cellIs" dxfId="1758" priority="285" stopIfTrue="1" operator="equal">
      <formula>"OK"</formula>
    </cfRule>
    <cfRule type="cellIs" dxfId="1757" priority="286" stopIfTrue="1" operator="equal">
      <formula>"Add"</formula>
    </cfRule>
  </conditionalFormatting>
  <conditionalFormatting sqref="J3339:J3340">
    <cfRule type="cellIs" dxfId="1756" priority="287" stopIfTrue="1" operator="equal">
      <formula>"Lockdown"</formula>
    </cfRule>
    <cfRule type="cellIs" dxfId="1755" priority="288" stopIfTrue="1" operator="equal">
      <formula>"OOM"</formula>
    </cfRule>
    <cfRule type="cellIs" dxfId="1754" priority="289" stopIfTrue="1" operator="equal">
      <formula>"Placeholder"</formula>
    </cfRule>
  </conditionalFormatting>
  <conditionalFormatting sqref="T3339:AA3340">
    <cfRule type="cellIs" dxfId="1753" priority="290" stopIfTrue="1" operator="equal">
      <formula>"Blue - Completed"</formula>
    </cfRule>
    <cfRule type="cellIs" dxfId="1752" priority="291" stopIfTrue="1" operator="equal">
      <formula>"Green - Started on Sched"</formula>
    </cfRule>
    <cfRule type="cellIs" dxfId="1751" priority="292" stopIfTrue="1" operator="between">
      <formula>"Q"</formula>
      <formula>"T"</formula>
    </cfRule>
  </conditionalFormatting>
  <conditionalFormatting sqref="G3339:G3340">
    <cfRule type="cellIs" dxfId="1750" priority="284" stopIfTrue="1" operator="equal">
      <formula>"4 - Complete"</formula>
    </cfRule>
    <cfRule type="cellIs" dxfId="1749" priority="293" stopIfTrue="1" operator="equal">
      <formula>"3 - Green"</formula>
    </cfRule>
    <cfRule type="cellIs" dxfId="1748" priority="294" stopIfTrue="1" operator="equal">
      <formula>"2 - Yellow"</formula>
    </cfRule>
    <cfRule type="cellIs" dxfId="1747" priority="295" stopIfTrue="1" operator="equal">
      <formula>"1 - Red"</formula>
    </cfRule>
  </conditionalFormatting>
  <conditionalFormatting sqref="L3339:L3340">
    <cfRule type="cellIs" dxfId="1746" priority="296" stopIfTrue="1" operator="equal">
      <formula>"1 - Hard Load"</formula>
    </cfRule>
    <cfRule type="cellIs" dxfId="1745" priority="297" stopIfTrue="1" operator="equal">
      <formula>"3 - Not Loaded"</formula>
    </cfRule>
    <cfRule type="cellIs" dxfId="1744" priority="298" stopIfTrue="1" operator="equal">
      <formula>"2 - Soft Load"</formula>
    </cfRule>
  </conditionalFormatting>
  <conditionalFormatting sqref="D3339:D3340">
    <cfRule type="cellIs" dxfId="1743" priority="299" stopIfTrue="1" operator="equal">
      <formula>D1373</formula>
    </cfRule>
  </conditionalFormatting>
  <conditionalFormatting sqref="D3339:D3340">
    <cfRule type="cellIs" dxfId="1742" priority="283" stopIfTrue="1" operator="equal">
      <formula>D1376</formula>
    </cfRule>
  </conditionalFormatting>
  <conditionalFormatting sqref="D3339:D3340">
    <cfRule type="cellIs" dxfId="1741" priority="282" stopIfTrue="1" operator="equal">
      <formula>D1376</formula>
    </cfRule>
  </conditionalFormatting>
  <conditionalFormatting sqref="D3340">
    <cfRule type="cellIs" dxfId="1740" priority="281" stopIfTrue="1" operator="equal">
      <formula>D1377</formula>
    </cfRule>
  </conditionalFormatting>
  <conditionalFormatting sqref="D3341">
    <cfRule type="cellIs" dxfId="1739" priority="280" stopIfTrue="1" operator="equal">
      <formula>D1379</formula>
    </cfRule>
  </conditionalFormatting>
  <conditionalFormatting sqref="AS3341 AO3341">
    <cfRule type="cellIs" dxfId="1738" priority="266" stopIfTrue="1" operator="equal">
      <formula>"OK"</formula>
    </cfRule>
    <cfRule type="cellIs" dxfId="1737" priority="267" stopIfTrue="1" operator="equal">
      <formula>"Add"</formula>
    </cfRule>
  </conditionalFormatting>
  <conditionalFormatting sqref="J3341">
    <cfRule type="cellIs" dxfId="1736" priority="268" stopIfTrue="1" operator="equal">
      <formula>"Lockdown"</formula>
    </cfRule>
    <cfRule type="cellIs" dxfId="1735" priority="269" stopIfTrue="1" operator="equal">
      <formula>"OOM"</formula>
    </cfRule>
    <cfRule type="cellIs" dxfId="1734" priority="270" stopIfTrue="1" operator="equal">
      <formula>"Placeholder"</formula>
    </cfRule>
  </conditionalFormatting>
  <conditionalFormatting sqref="T3341:AA3341">
    <cfRule type="cellIs" dxfId="1733" priority="271" stopIfTrue="1" operator="equal">
      <formula>"Blue - Completed"</formula>
    </cfRule>
    <cfRule type="cellIs" dxfId="1732" priority="272" stopIfTrue="1" operator="equal">
      <formula>"Green - Started on Sched"</formula>
    </cfRule>
    <cfRule type="cellIs" dxfId="1731" priority="273" stopIfTrue="1" operator="between">
      <formula>"Q"</formula>
      <formula>"T"</formula>
    </cfRule>
  </conditionalFormatting>
  <conditionalFormatting sqref="G3341">
    <cfRule type="cellIs" dxfId="1730" priority="265" stopIfTrue="1" operator="equal">
      <formula>"4 - Complete"</formula>
    </cfRule>
    <cfRule type="cellIs" dxfId="1729" priority="274" stopIfTrue="1" operator="equal">
      <formula>"3 - Green"</formula>
    </cfRule>
    <cfRule type="cellIs" dxfId="1728" priority="275" stopIfTrue="1" operator="equal">
      <formula>"2 - Yellow"</formula>
    </cfRule>
    <cfRule type="cellIs" dxfId="1727" priority="276" stopIfTrue="1" operator="equal">
      <formula>"1 - Red"</formula>
    </cfRule>
  </conditionalFormatting>
  <conditionalFormatting sqref="L3341">
    <cfRule type="cellIs" dxfId="1726" priority="277" stopIfTrue="1" operator="equal">
      <formula>"1 - Hard Load"</formula>
    </cfRule>
    <cfRule type="cellIs" dxfId="1725" priority="278" stopIfTrue="1" operator="equal">
      <formula>"3 - Not Loaded"</formula>
    </cfRule>
    <cfRule type="cellIs" dxfId="1724" priority="279" stopIfTrue="1" operator="equal">
      <formula>"2 - Soft Load"</formula>
    </cfRule>
  </conditionalFormatting>
  <conditionalFormatting sqref="D3343">
    <cfRule type="cellIs" dxfId="1723" priority="246" stopIfTrue="1" operator="equal">
      <formula>D1381</formula>
    </cfRule>
  </conditionalFormatting>
  <conditionalFormatting sqref="AO3342:AO3345 AS3342:AS3345">
    <cfRule type="cellIs" dxfId="1722" priority="250" stopIfTrue="1" operator="equal">
      <formula>"OK"</formula>
    </cfRule>
    <cfRule type="cellIs" dxfId="1721" priority="251" stopIfTrue="1" operator="equal">
      <formula>"Add"</formula>
    </cfRule>
  </conditionalFormatting>
  <conditionalFormatting sqref="J3342:J3345">
    <cfRule type="cellIs" dxfId="1720" priority="252" stopIfTrue="1" operator="equal">
      <formula>"Lockdown"</formula>
    </cfRule>
    <cfRule type="cellIs" dxfId="1719" priority="253" stopIfTrue="1" operator="equal">
      <formula>"OOM"</formula>
    </cfRule>
    <cfRule type="cellIs" dxfId="1718" priority="254" stopIfTrue="1" operator="equal">
      <formula>"Placeholder"</formula>
    </cfRule>
  </conditionalFormatting>
  <conditionalFormatting sqref="T3342:AA3345">
    <cfRule type="cellIs" dxfId="1717" priority="255" stopIfTrue="1" operator="equal">
      <formula>"Blue - Completed"</formula>
    </cfRule>
    <cfRule type="cellIs" dxfId="1716" priority="256" stopIfTrue="1" operator="equal">
      <formula>"Green - Started on Sched"</formula>
    </cfRule>
    <cfRule type="cellIs" dxfId="1715" priority="257" stopIfTrue="1" operator="between">
      <formula>"Q"</formula>
      <formula>"T"</formula>
    </cfRule>
  </conditionalFormatting>
  <conditionalFormatting sqref="G3342:G3345">
    <cfRule type="cellIs" dxfId="1714" priority="249" stopIfTrue="1" operator="equal">
      <formula>"4 - Complete"</formula>
    </cfRule>
    <cfRule type="cellIs" dxfId="1713" priority="258" stopIfTrue="1" operator="equal">
      <formula>"3 - Green"</formula>
    </cfRule>
    <cfRule type="cellIs" dxfId="1712" priority="259" stopIfTrue="1" operator="equal">
      <formula>"2 - Yellow"</formula>
    </cfRule>
    <cfRule type="cellIs" dxfId="1711" priority="260" stopIfTrue="1" operator="equal">
      <formula>"1 - Red"</formula>
    </cfRule>
  </conditionalFormatting>
  <conditionalFormatting sqref="L3342:L3345">
    <cfRule type="cellIs" dxfId="1710" priority="261" stopIfTrue="1" operator="equal">
      <formula>"1 - Hard Load"</formula>
    </cfRule>
    <cfRule type="cellIs" dxfId="1709" priority="262" stopIfTrue="1" operator="equal">
      <formula>"3 - Not Loaded"</formula>
    </cfRule>
    <cfRule type="cellIs" dxfId="1708" priority="263" stopIfTrue="1" operator="equal">
      <formula>"2 - Soft Load"</formula>
    </cfRule>
  </conditionalFormatting>
  <conditionalFormatting sqref="D3341:D3345">
    <cfRule type="cellIs" dxfId="1707" priority="264" stopIfTrue="1" operator="equal">
      <formula>D1376</formula>
    </cfRule>
  </conditionalFormatting>
  <conditionalFormatting sqref="D3342:D3345">
    <cfRule type="cellIs" dxfId="1706" priority="248" stopIfTrue="1" operator="equal">
      <formula>D1380</formula>
    </cfRule>
  </conditionalFormatting>
  <conditionalFormatting sqref="D3342:D3345">
    <cfRule type="cellIs" dxfId="1705" priority="247" stopIfTrue="1" operator="equal">
      <formula>D1380</formula>
    </cfRule>
  </conditionalFormatting>
  <conditionalFormatting sqref="D3345">
    <cfRule type="cellIs" dxfId="1704" priority="245" stopIfTrue="1" operator="equal">
      <formula>D1383</formula>
    </cfRule>
  </conditionalFormatting>
  <conditionalFormatting sqref="D3346">
    <cfRule type="cellIs" dxfId="1703" priority="244" stopIfTrue="1" operator="equal">
      <formula>D1384</formula>
    </cfRule>
  </conditionalFormatting>
  <conditionalFormatting sqref="AS3346 AO3346">
    <cfRule type="cellIs" dxfId="1702" priority="230" stopIfTrue="1" operator="equal">
      <formula>"OK"</formula>
    </cfRule>
    <cfRule type="cellIs" dxfId="1701" priority="231" stopIfTrue="1" operator="equal">
      <formula>"Add"</formula>
    </cfRule>
  </conditionalFormatting>
  <conditionalFormatting sqref="J3346">
    <cfRule type="cellIs" dxfId="1700" priority="232" stopIfTrue="1" operator="equal">
      <formula>"Lockdown"</formula>
    </cfRule>
    <cfRule type="cellIs" dxfId="1699" priority="233" stopIfTrue="1" operator="equal">
      <formula>"OOM"</formula>
    </cfRule>
    <cfRule type="cellIs" dxfId="1698" priority="234" stopIfTrue="1" operator="equal">
      <formula>"Placeholder"</formula>
    </cfRule>
  </conditionalFormatting>
  <conditionalFormatting sqref="T3346:AA3346">
    <cfRule type="cellIs" dxfId="1697" priority="235" stopIfTrue="1" operator="equal">
      <formula>"Blue - Completed"</formula>
    </cfRule>
    <cfRule type="cellIs" dxfId="1696" priority="236" stopIfTrue="1" operator="equal">
      <formula>"Green - Started on Sched"</formula>
    </cfRule>
    <cfRule type="cellIs" dxfId="1695" priority="237" stopIfTrue="1" operator="between">
      <formula>"Q"</formula>
      <formula>"T"</formula>
    </cfRule>
  </conditionalFormatting>
  <conditionalFormatting sqref="G3346">
    <cfRule type="cellIs" dxfId="1694" priority="229" stopIfTrue="1" operator="equal">
      <formula>"4 - Complete"</formula>
    </cfRule>
    <cfRule type="cellIs" dxfId="1693" priority="238" stopIfTrue="1" operator="equal">
      <formula>"3 - Green"</formula>
    </cfRule>
    <cfRule type="cellIs" dxfId="1692" priority="239" stopIfTrue="1" operator="equal">
      <formula>"2 - Yellow"</formula>
    </cfRule>
    <cfRule type="cellIs" dxfId="1691" priority="240" stopIfTrue="1" operator="equal">
      <formula>"1 - Red"</formula>
    </cfRule>
  </conditionalFormatting>
  <conditionalFormatting sqref="L3346">
    <cfRule type="cellIs" dxfId="1690" priority="241" stopIfTrue="1" operator="equal">
      <formula>"1 - Hard Load"</formula>
    </cfRule>
    <cfRule type="cellIs" dxfId="1689" priority="242" stopIfTrue="1" operator="equal">
      <formula>"3 - Not Loaded"</formula>
    </cfRule>
    <cfRule type="cellIs" dxfId="1688" priority="243" stopIfTrue="1" operator="equal">
      <formula>"2 - Soft Load"</formula>
    </cfRule>
  </conditionalFormatting>
  <conditionalFormatting sqref="D3348">
    <cfRule type="cellIs" dxfId="1687" priority="210" stopIfTrue="1" operator="equal">
      <formula>D1386</formula>
    </cfRule>
  </conditionalFormatting>
  <conditionalFormatting sqref="AO3347:AO3350 AS3347:AS3350">
    <cfRule type="cellIs" dxfId="1686" priority="214" stopIfTrue="1" operator="equal">
      <formula>"OK"</formula>
    </cfRule>
    <cfRule type="cellIs" dxfId="1685" priority="215" stopIfTrue="1" operator="equal">
      <formula>"Add"</formula>
    </cfRule>
  </conditionalFormatting>
  <conditionalFormatting sqref="J3347:J3350">
    <cfRule type="cellIs" dxfId="1684" priority="216" stopIfTrue="1" operator="equal">
      <formula>"Lockdown"</formula>
    </cfRule>
    <cfRule type="cellIs" dxfId="1683" priority="217" stopIfTrue="1" operator="equal">
      <formula>"OOM"</formula>
    </cfRule>
    <cfRule type="cellIs" dxfId="1682" priority="218" stopIfTrue="1" operator="equal">
      <formula>"Placeholder"</formula>
    </cfRule>
  </conditionalFormatting>
  <conditionalFormatting sqref="T3347:AA3350">
    <cfRule type="cellIs" dxfId="1681" priority="219" stopIfTrue="1" operator="equal">
      <formula>"Blue - Completed"</formula>
    </cfRule>
    <cfRule type="cellIs" dxfId="1680" priority="220" stopIfTrue="1" operator="equal">
      <formula>"Green - Started on Sched"</formula>
    </cfRule>
    <cfRule type="cellIs" dxfId="1679" priority="221" stopIfTrue="1" operator="between">
      <formula>"Q"</formula>
      <formula>"T"</formula>
    </cfRule>
  </conditionalFormatting>
  <conditionalFormatting sqref="G3347:G3350">
    <cfRule type="cellIs" dxfId="1678" priority="213" stopIfTrue="1" operator="equal">
      <formula>"4 - Complete"</formula>
    </cfRule>
    <cfRule type="cellIs" dxfId="1677" priority="222" stopIfTrue="1" operator="equal">
      <formula>"3 - Green"</formula>
    </cfRule>
    <cfRule type="cellIs" dxfId="1676" priority="223" stopIfTrue="1" operator="equal">
      <formula>"2 - Yellow"</formula>
    </cfRule>
    <cfRule type="cellIs" dxfId="1675" priority="224" stopIfTrue="1" operator="equal">
      <formula>"1 - Red"</formula>
    </cfRule>
  </conditionalFormatting>
  <conditionalFormatting sqref="L3347:L3350">
    <cfRule type="cellIs" dxfId="1674" priority="225" stopIfTrue="1" operator="equal">
      <formula>"1 - Hard Load"</formula>
    </cfRule>
    <cfRule type="cellIs" dxfId="1673" priority="226" stopIfTrue="1" operator="equal">
      <formula>"3 - Not Loaded"</formula>
    </cfRule>
    <cfRule type="cellIs" dxfId="1672" priority="227" stopIfTrue="1" operator="equal">
      <formula>"2 - Soft Load"</formula>
    </cfRule>
  </conditionalFormatting>
  <conditionalFormatting sqref="D3346:D3350">
    <cfRule type="cellIs" dxfId="1671" priority="228" stopIfTrue="1" operator="equal">
      <formula>D1381</formula>
    </cfRule>
  </conditionalFormatting>
  <conditionalFormatting sqref="D3347:D3350">
    <cfRule type="cellIs" dxfId="1670" priority="212" stopIfTrue="1" operator="equal">
      <formula>D1385</formula>
    </cfRule>
  </conditionalFormatting>
  <conditionalFormatting sqref="D3347:D3350">
    <cfRule type="cellIs" dxfId="1669" priority="211" stopIfTrue="1" operator="equal">
      <formula>D1385</formula>
    </cfRule>
  </conditionalFormatting>
  <conditionalFormatting sqref="D3350">
    <cfRule type="cellIs" dxfId="1668" priority="209" stopIfTrue="1" operator="equal">
      <formula>D1388</formula>
    </cfRule>
  </conditionalFormatting>
  <conditionalFormatting sqref="D94">
    <cfRule type="cellIs" dxfId="1667" priority="194" stopIfTrue="1" operator="equal">
      <formula>D88</formula>
    </cfRule>
  </conditionalFormatting>
  <conditionalFormatting sqref="AO94 AS94">
    <cfRule type="cellIs" dxfId="1666" priority="195" stopIfTrue="1" operator="equal">
      <formula>"OK"</formula>
    </cfRule>
    <cfRule type="cellIs" dxfId="1665" priority="196" stopIfTrue="1" operator="equal">
      <formula>"Add"</formula>
    </cfRule>
  </conditionalFormatting>
  <conditionalFormatting sqref="J94">
    <cfRule type="cellIs" dxfId="1664" priority="197" stopIfTrue="1" operator="equal">
      <formula>"Lockdown"</formula>
    </cfRule>
    <cfRule type="cellIs" dxfId="1663" priority="198" stopIfTrue="1" operator="equal">
      <formula>"OOM"</formula>
    </cfRule>
    <cfRule type="cellIs" dxfId="1662" priority="199" stopIfTrue="1" operator="equal">
      <formula>"Placeholder"</formula>
    </cfRule>
  </conditionalFormatting>
  <conditionalFormatting sqref="T94:AA94">
    <cfRule type="cellIs" dxfId="1661" priority="200" stopIfTrue="1" operator="equal">
      <formula>"Blue - Completed"</formula>
    </cfRule>
    <cfRule type="cellIs" dxfId="1660" priority="201" stopIfTrue="1" operator="equal">
      <formula>"Green - Started on Sched"</formula>
    </cfRule>
    <cfRule type="cellIs" dxfId="1659" priority="202" stopIfTrue="1" operator="between">
      <formula>"Q"</formula>
      <formula>"T"</formula>
    </cfRule>
  </conditionalFormatting>
  <conditionalFormatting sqref="G94">
    <cfRule type="cellIs" dxfId="1658" priority="193" stopIfTrue="1" operator="equal">
      <formula>"4 - Complete"</formula>
    </cfRule>
    <cfRule type="cellIs" dxfId="1657" priority="203" stopIfTrue="1" operator="equal">
      <formula>"3 - Green"</formula>
    </cfRule>
    <cfRule type="cellIs" dxfId="1656" priority="204" stopIfTrue="1" operator="equal">
      <formula>"2 - Yellow"</formula>
    </cfRule>
    <cfRule type="cellIs" dxfId="1655" priority="205" stopIfTrue="1" operator="equal">
      <formula>"1 - Red"</formula>
    </cfRule>
  </conditionalFormatting>
  <conditionalFormatting sqref="L94">
    <cfRule type="cellIs" dxfId="1654" priority="206" stopIfTrue="1" operator="equal">
      <formula>"1 - Hard Load"</formula>
    </cfRule>
    <cfRule type="cellIs" dxfId="1653" priority="207" stopIfTrue="1" operator="equal">
      <formula>"3 - Not Loaded"</formula>
    </cfRule>
    <cfRule type="cellIs" dxfId="1652" priority="208" stopIfTrue="1" operator="equal">
      <formula>"2 - Soft Load"</formula>
    </cfRule>
  </conditionalFormatting>
  <conditionalFormatting sqref="D1823">
    <cfRule type="cellIs" dxfId="1651" priority="178" stopIfTrue="1" operator="equal">
      <formula>D615</formula>
    </cfRule>
  </conditionalFormatting>
  <conditionalFormatting sqref="AS1823 AO1823">
    <cfRule type="cellIs" dxfId="1650" priority="179" stopIfTrue="1" operator="equal">
      <formula>"OK"</formula>
    </cfRule>
    <cfRule type="cellIs" dxfId="1649" priority="180" stopIfTrue="1" operator="equal">
      <formula>"Add"</formula>
    </cfRule>
  </conditionalFormatting>
  <conditionalFormatting sqref="J1823">
    <cfRule type="cellIs" dxfId="1648" priority="181" stopIfTrue="1" operator="equal">
      <formula>"Lockdown"</formula>
    </cfRule>
    <cfRule type="cellIs" dxfId="1647" priority="182" stopIfTrue="1" operator="equal">
      <formula>"OOM"</formula>
    </cfRule>
    <cfRule type="cellIs" dxfId="1646" priority="183" stopIfTrue="1" operator="equal">
      <formula>"Placeholder"</formula>
    </cfRule>
  </conditionalFormatting>
  <conditionalFormatting sqref="T1823:AA1823">
    <cfRule type="cellIs" dxfId="1645" priority="184" stopIfTrue="1" operator="equal">
      <formula>"Blue - Completed"</formula>
    </cfRule>
    <cfRule type="cellIs" dxfId="1644" priority="185" stopIfTrue="1" operator="equal">
      <formula>"Green - Started on Sched"</formula>
    </cfRule>
    <cfRule type="cellIs" dxfId="1643" priority="186" stopIfTrue="1" operator="between">
      <formula>"Q"</formula>
      <formula>"T"</formula>
    </cfRule>
  </conditionalFormatting>
  <conditionalFormatting sqref="G1823">
    <cfRule type="cellIs" dxfId="1642" priority="177" stopIfTrue="1" operator="equal">
      <formula>"4 - Complete"</formula>
    </cfRule>
    <cfRule type="cellIs" dxfId="1641" priority="187" stopIfTrue="1" operator="equal">
      <formula>"3 - Green"</formula>
    </cfRule>
    <cfRule type="cellIs" dxfId="1640" priority="188" stopIfTrue="1" operator="equal">
      <formula>"2 - Yellow"</formula>
    </cfRule>
    <cfRule type="cellIs" dxfId="1639" priority="189" stopIfTrue="1" operator="equal">
      <formula>"1 - Red"</formula>
    </cfRule>
  </conditionalFormatting>
  <conditionalFormatting sqref="L1823">
    <cfRule type="cellIs" dxfId="1638" priority="190" stopIfTrue="1" operator="equal">
      <formula>"1 - Hard Load"</formula>
    </cfRule>
    <cfRule type="cellIs" dxfId="1637" priority="191" stopIfTrue="1" operator="equal">
      <formula>"3 - Not Loaded"</formula>
    </cfRule>
    <cfRule type="cellIs" dxfId="1636" priority="192" stopIfTrue="1" operator="equal">
      <formula>"2 - Soft Load"</formula>
    </cfRule>
  </conditionalFormatting>
  <conditionalFormatting sqref="D122">
    <cfRule type="cellIs" dxfId="1635" priority="176" stopIfTrue="1" operator="equal">
      <formula>D116</formula>
    </cfRule>
  </conditionalFormatting>
  <conditionalFormatting sqref="AO122 AS122">
    <cfRule type="cellIs" dxfId="1634" priority="162" stopIfTrue="1" operator="equal">
      <formula>"OK"</formula>
    </cfRule>
    <cfRule type="cellIs" dxfId="1633" priority="163" stopIfTrue="1" operator="equal">
      <formula>"Add"</formula>
    </cfRule>
  </conditionalFormatting>
  <conditionalFormatting sqref="J122">
    <cfRule type="cellIs" dxfId="1632" priority="164" stopIfTrue="1" operator="equal">
      <formula>"Lockdown"</formula>
    </cfRule>
    <cfRule type="cellIs" dxfId="1631" priority="165" stopIfTrue="1" operator="equal">
      <formula>"OOM"</formula>
    </cfRule>
    <cfRule type="cellIs" dxfId="1630" priority="166" stopIfTrue="1" operator="equal">
      <formula>"Placeholder"</formula>
    </cfRule>
  </conditionalFormatting>
  <conditionalFormatting sqref="T122:AA122">
    <cfRule type="cellIs" dxfId="1629" priority="167" stopIfTrue="1" operator="equal">
      <formula>"Blue - Completed"</formula>
    </cfRule>
    <cfRule type="cellIs" dxfId="1628" priority="168" stopIfTrue="1" operator="equal">
      <formula>"Green - Started on Sched"</formula>
    </cfRule>
    <cfRule type="cellIs" dxfId="1627" priority="169" stopIfTrue="1" operator="between">
      <formula>"Q"</formula>
      <formula>"T"</formula>
    </cfRule>
  </conditionalFormatting>
  <conditionalFormatting sqref="G122">
    <cfRule type="cellIs" dxfId="1626" priority="161" stopIfTrue="1" operator="equal">
      <formula>"4 - Complete"</formula>
    </cfRule>
    <cfRule type="cellIs" dxfId="1625" priority="170" stopIfTrue="1" operator="equal">
      <formula>"3 - Green"</formula>
    </cfRule>
    <cfRule type="cellIs" dxfId="1624" priority="171" stopIfTrue="1" operator="equal">
      <formula>"2 - Yellow"</formula>
    </cfRule>
    <cfRule type="cellIs" dxfId="1623" priority="172" stopIfTrue="1" operator="equal">
      <formula>"1 - Red"</formula>
    </cfRule>
  </conditionalFormatting>
  <conditionalFormatting sqref="L122">
    <cfRule type="cellIs" dxfId="1622" priority="173" stopIfTrue="1" operator="equal">
      <formula>"1 - Hard Load"</formula>
    </cfRule>
    <cfRule type="cellIs" dxfId="1621" priority="174" stopIfTrue="1" operator="equal">
      <formula>"3 - Not Loaded"</formula>
    </cfRule>
    <cfRule type="cellIs" dxfId="1620" priority="175" stopIfTrue="1" operator="equal">
      <formula>"2 - Soft Load"</formula>
    </cfRule>
  </conditionalFormatting>
  <conditionalFormatting sqref="D150">
    <cfRule type="cellIs" dxfId="1619" priority="146" stopIfTrue="1" operator="equal">
      <formula>D141</formula>
    </cfRule>
  </conditionalFormatting>
  <conditionalFormatting sqref="AO150 AS150">
    <cfRule type="cellIs" dxfId="1618" priority="147" stopIfTrue="1" operator="equal">
      <formula>"OK"</formula>
    </cfRule>
    <cfRule type="cellIs" dxfId="1617" priority="148" stopIfTrue="1" operator="equal">
      <formula>"Add"</formula>
    </cfRule>
  </conditionalFormatting>
  <conditionalFormatting sqref="J150">
    <cfRule type="cellIs" dxfId="1616" priority="149" stopIfTrue="1" operator="equal">
      <formula>"Lockdown"</formula>
    </cfRule>
    <cfRule type="cellIs" dxfId="1615" priority="150" stopIfTrue="1" operator="equal">
      <formula>"OOM"</formula>
    </cfRule>
    <cfRule type="cellIs" dxfId="1614" priority="151" stopIfTrue="1" operator="equal">
      <formula>"Placeholder"</formula>
    </cfRule>
  </conditionalFormatting>
  <conditionalFormatting sqref="T150:AA150">
    <cfRule type="cellIs" dxfId="1613" priority="152" stopIfTrue="1" operator="equal">
      <formula>"Blue - Completed"</formula>
    </cfRule>
    <cfRule type="cellIs" dxfId="1612" priority="153" stopIfTrue="1" operator="equal">
      <formula>"Green - Started on Sched"</formula>
    </cfRule>
    <cfRule type="cellIs" dxfId="1611" priority="154" stopIfTrue="1" operator="between">
      <formula>"Q"</formula>
      <formula>"T"</formula>
    </cfRule>
  </conditionalFormatting>
  <conditionalFormatting sqref="G150">
    <cfRule type="cellIs" dxfId="1610" priority="145" stopIfTrue="1" operator="equal">
      <formula>"4 - Complete"</formula>
    </cfRule>
    <cfRule type="cellIs" dxfId="1609" priority="155" stopIfTrue="1" operator="equal">
      <formula>"3 - Green"</formula>
    </cfRule>
    <cfRule type="cellIs" dxfId="1608" priority="156" stopIfTrue="1" operator="equal">
      <formula>"2 - Yellow"</formula>
    </cfRule>
    <cfRule type="cellIs" dxfId="1607" priority="157" stopIfTrue="1" operator="equal">
      <formula>"1 - Red"</formula>
    </cfRule>
  </conditionalFormatting>
  <conditionalFormatting sqref="L150">
    <cfRule type="cellIs" dxfId="1606" priority="158" stopIfTrue="1" operator="equal">
      <formula>"1 - Hard Load"</formula>
    </cfRule>
    <cfRule type="cellIs" dxfId="1605" priority="159" stopIfTrue="1" operator="equal">
      <formula>"3 - Not Loaded"</formula>
    </cfRule>
    <cfRule type="cellIs" dxfId="1604" priority="160" stopIfTrue="1" operator="equal">
      <formula>"2 - Soft Load"</formula>
    </cfRule>
  </conditionalFormatting>
  <conditionalFormatting sqref="D155 D110">
    <cfRule type="cellIs" dxfId="1603" priority="10982" stopIfTrue="1" operator="equal">
      <formula>#REF!</formula>
    </cfRule>
  </conditionalFormatting>
  <conditionalFormatting sqref="D214">
    <cfRule type="cellIs" dxfId="1602" priority="11006" stopIfTrue="1" operator="equal">
      <formula>#REF!</formula>
    </cfRule>
  </conditionalFormatting>
  <conditionalFormatting sqref="D225">
    <cfRule type="cellIs" dxfId="1601" priority="11013" stopIfTrue="1" operator="equal">
      <formula>#REF!</formula>
    </cfRule>
  </conditionalFormatting>
  <conditionalFormatting sqref="D232:D233 D248">
    <cfRule type="cellIs" dxfId="1600" priority="11019" stopIfTrue="1" operator="equal">
      <formula>D132</formula>
    </cfRule>
  </conditionalFormatting>
  <conditionalFormatting sqref="D213">
    <cfRule type="cellIs" dxfId="1599" priority="11023" stopIfTrue="1" operator="equal">
      <formula>#REF!</formula>
    </cfRule>
  </conditionalFormatting>
  <conditionalFormatting sqref="D221">
    <cfRule type="cellIs" dxfId="1598" priority="11031" stopIfTrue="1" operator="equal">
      <formula>D148</formula>
    </cfRule>
  </conditionalFormatting>
  <conditionalFormatting sqref="D224">
    <cfRule type="cellIs" dxfId="1597" priority="11032" stopIfTrue="1" operator="equal">
      <formula>#REF!</formula>
    </cfRule>
  </conditionalFormatting>
  <conditionalFormatting sqref="D240 D232 D247">
    <cfRule type="cellIs" dxfId="1596" priority="11035" stopIfTrue="1" operator="equal">
      <formula>D133</formula>
    </cfRule>
  </conditionalFormatting>
  <conditionalFormatting sqref="D248">
    <cfRule type="cellIs" dxfId="1595" priority="11043" stopIfTrue="1" operator="equal">
      <formula>#REF!</formula>
    </cfRule>
  </conditionalFormatting>
  <conditionalFormatting sqref="D238">
    <cfRule type="cellIs" dxfId="1594" priority="11044" stopIfTrue="1" operator="equal">
      <formula>D148</formula>
    </cfRule>
  </conditionalFormatting>
  <conditionalFormatting sqref="D241">
    <cfRule type="cellIs" dxfId="1593" priority="11045" stopIfTrue="1" operator="equal">
      <formula>#REF!</formula>
    </cfRule>
  </conditionalFormatting>
  <conditionalFormatting sqref="D237">
    <cfRule type="cellIs" dxfId="1592" priority="11073" stopIfTrue="1" operator="equal">
      <formula>D148</formula>
    </cfRule>
  </conditionalFormatting>
  <conditionalFormatting sqref="D218 D211">
    <cfRule type="cellIs" dxfId="1591" priority="11076" stopIfTrue="1" operator="equal">
      <formula>D141</formula>
    </cfRule>
  </conditionalFormatting>
  <conditionalFormatting sqref="D158">
    <cfRule type="cellIs" dxfId="1590" priority="130" stopIfTrue="1" operator="equal">
      <formula>D150</formula>
    </cfRule>
  </conditionalFormatting>
  <conditionalFormatting sqref="AO158 AS158">
    <cfRule type="cellIs" dxfId="1589" priority="131" stopIfTrue="1" operator="equal">
      <formula>"OK"</formula>
    </cfRule>
    <cfRule type="cellIs" dxfId="1588" priority="132" stopIfTrue="1" operator="equal">
      <formula>"Add"</formula>
    </cfRule>
  </conditionalFormatting>
  <conditionalFormatting sqref="J158">
    <cfRule type="cellIs" dxfId="1587" priority="133" stopIfTrue="1" operator="equal">
      <formula>"Lockdown"</formula>
    </cfRule>
    <cfRule type="cellIs" dxfId="1586" priority="134" stopIfTrue="1" operator="equal">
      <formula>"OOM"</formula>
    </cfRule>
    <cfRule type="cellIs" dxfId="1585" priority="135" stopIfTrue="1" operator="equal">
      <formula>"Placeholder"</formula>
    </cfRule>
  </conditionalFormatting>
  <conditionalFormatting sqref="T158:AA158">
    <cfRule type="cellIs" dxfId="1584" priority="136" stopIfTrue="1" operator="equal">
      <formula>"Blue - Completed"</formula>
    </cfRule>
    <cfRule type="cellIs" dxfId="1583" priority="137" stopIfTrue="1" operator="equal">
      <formula>"Green - Started on Sched"</formula>
    </cfRule>
    <cfRule type="cellIs" dxfId="1582" priority="138" stopIfTrue="1" operator="between">
      <formula>"Q"</formula>
      <formula>"T"</formula>
    </cfRule>
  </conditionalFormatting>
  <conditionalFormatting sqref="G158">
    <cfRule type="cellIs" dxfId="1581" priority="129" stopIfTrue="1" operator="equal">
      <formula>"4 - Complete"</formula>
    </cfRule>
    <cfRule type="cellIs" dxfId="1580" priority="139" stopIfTrue="1" operator="equal">
      <formula>"3 - Green"</formula>
    </cfRule>
    <cfRule type="cellIs" dxfId="1579" priority="140" stopIfTrue="1" operator="equal">
      <formula>"2 - Yellow"</formula>
    </cfRule>
    <cfRule type="cellIs" dxfId="1578" priority="141" stopIfTrue="1" operator="equal">
      <formula>"1 - Red"</formula>
    </cfRule>
  </conditionalFormatting>
  <conditionalFormatting sqref="L158">
    <cfRule type="cellIs" dxfId="1577" priority="142" stopIfTrue="1" operator="equal">
      <formula>"1 - Hard Load"</formula>
    </cfRule>
    <cfRule type="cellIs" dxfId="1576" priority="143" stopIfTrue="1" operator="equal">
      <formula>"3 - Not Loaded"</formula>
    </cfRule>
    <cfRule type="cellIs" dxfId="1575" priority="144" stopIfTrue="1" operator="equal">
      <formula>"2 - Soft Load"</formula>
    </cfRule>
  </conditionalFormatting>
  <conditionalFormatting sqref="D106">
    <cfRule type="cellIs" dxfId="1574" priority="114" stopIfTrue="1" operator="equal">
      <formula>D100</formula>
    </cfRule>
  </conditionalFormatting>
  <conditionalFormatting sqref="AS106 AO106">
    <cfRule type="cellIs" dxfId="1573" priority="115" stopIfTrue="1" operator="equal">
      <formula>"OK"</formula>
    </cfRule>
    <cfRule type="cellIs" dxfId="1572" priority="116" stopIfTrue="1" operator="equal">
      <formula>"Add"</formula>
    </cfRule>
  </conditionalFormatting>
  <conditionalFormatting sqref="J106">
    <cfRule type="cellIs" dxfId="1571" priority="117" stopIfTrue="1" operator="equal">
      <formula>"Lockdown"</formula>
    </cfRule>
    <cfRule type="cellIs" dxfId="1570" priority="118" stopIfTrue="1" operator="equal">
      <formula>"OOM"</formula>
    </cfRule>
    <cfRule type="cellIs" dxfId="1569" priority="119" stopIfTrue="1" operator="equal">
      <formula>"Placeholder"</formula>
    </cfRule>
  </conditionalFormatting>
  <conditionalFormatting sqref="T106:AA106">
    <cfRule type="cellIs" dxfId="1568" priority="120" stopIfTrue="1" operator="equal">
      <formula>"Blue - Completed"</formula>
    </cfRule>
    <cfRule type="cellIs" dxfId="1567" priority="121" stopIfTrue="1" operator="equal">
      <formula>"Green - Started on Sched"</formula>
    </cfRule>
    <cfRule type="cellIs" dxfId="1566" priority="122" stopIfTrue="1" operator="between">
      <formula>"Q"</formula>
      <formula>"T"</formula>
    </cfRule>
  </conditionalFormatting>
  <conditionalFormatting sqref="G106">
    <cfRule type="cellIs" dxfId="1565" priority="113" stopIfTrue="1" operator="equal">
      <formula>"4 - Complete"</formula>
    </cfRule>
    <cfRule type="cellIs" dxfId="1564" priority="123" stopIfTrue="1" operator="equal">
      <formula>"3 - Green"</formula>
    </cfRule>
    <cfRule type="cellIs" dxfId="1563" priority="124" stopIfTrue="1" operator="equal">
      <formula>"2 - Yellow"</formula>
    </cfRule>
    <cfRule type="cellIs" dxfId="1562" priority="125" stopIfTrue="1" operator="equal">
      <formula>"1 - Red"</formula>
    </cfRule>
  </conditionalFormatting>
  <conditionalFormatting sqref="L106">
    <cfRule type="cellIs" dxfId="1561" priority="126" stopIfTrue="1" operator="equal">
      <formula>"1 - Hard Load"</formula>
    </cfRule>
    <cfRule type="cellIs" dxfId="1560" priority="127" stopIfTrue="1" operator="equal">
      <formula>"3 - Not Loaded"</formula>
    </cfRule>
    <cfRule type="cellIs" dxfId="1559" priority="128" stopIfTrue="1" operator="equal">
      <formula>"2 - Soft Load"</formula>
    </cfRule>
  </conditionalFormatting>
  <conditionalFormatting sqref="D104">
    <cfRule type="cellIs" dxfId="1558" priority="98" stopIfTrue="1" operator="equal">
      <formula>D98</formula>
    </cfRule>
  </conditionalFormatting>
  <conditionalFormatting sqref="AS104 AO104">
    <cfRule type="cellIs" dxfId="1557" priority="99" stopIfTrue="1" operator="equal">
      <formula>"OK"</formula>
    </cfRule>
    <cfRule type="cellIs" dxfId="1556" priority="100" stopIfTrue="1" operator="equal">
      <formula>"Add"</formula>
    </cfRule>
  </conditionalFormatting>
  <conditionalFormatting sqref="J104">
    <cfRule type="cellIs" dxfId="1555" priority="101" stopIfTrue="1" operator="equal">
      <formula>"Lockdown"</formula>
    </cfRule>
    <cfRule type="cellIs" dxfId="1554" priority="102" stopIfTrue="1" operator="equal">
      <formula>"OOM"</formula>
    </cfRule>
    <cfRule type="cellIs" dxfId="1553" priority="103" stopIfTrue="1" operator="equal">
      <formula>"Placeholder"</formula>
    </cfRule>
  </conditionalFormatting>
  <conditionalFormatting sqref="T104:AA104">
    <cfRule type="cellIs" dxfId="1552" priority="104" stopIfTrue="1" operator="equal">
      <formula>"Blue - Completed"</formula>
    </cfRule>
    <cfRule type="cellIs" dxfId="1551" priority="105" stopIfTrue="1" operator="equal">
      <formula>"Green - Started on Sched"</formula>
    </cfRule>
    <cfRule type="cellIs" dxfId="1550" priority="106" stopIfTrue="1" operator="between">
      <formula>"Q"</formula>
      <formula>"T"</formula>
    </cfRule>
  </conditionalFormatting>
  <conditionalFormatting sqref="G104">
    <cfRule type="cellIs" dxfId="1549" priority="97" stopIfTrue="1" operator="equal">
      <formula>"4 - Complete"</formula>
    </cfRule>
    <cfRule type="cellIs" dxfId="1548" priority="107" stopIfTrue="1" operator="equal">
      <formula>"3 - Green"</formula>
    </cfRule>
    <cfRule type="cellIs" dxfId="1547" priority="108" stopIfTrue="1" operator="equal">
      <formula>"2 - Yellow"</formula>
    </cfRule>
    <cfRule type="cellIs" dxfId="1546" priority="109" stopIfTrue="1" operator="equal">
      <formula>"1 - Red"</formula>
    </cfRule>
  </conditionalFormatting>
  <conditionalFormatting sqref="L104">
    <cfRule type="cellIs" dxfId="1545" priority="110" stopIfTrue="1" operator="equal">
      <formula>"1 - Hard Load"</formula>
    </cfRule>
    <cfRule type="cellIs" dxfId="1544" priority="111" stopIfTrue="1" operator="equal">
      <formula>"3 - Not Loaded"</formula>
    </cfRule>
    <cfRule type="cellIs" dxfId="1543" priority="112" stopIfTrue="1" operator="equal">
      <formula>"2 - Soft Load"</formula>
    </cfRule>
  </conditionalFormatting>
  <conditionalFormatting sqref="D99">
    <cfRule type="cellIs" dxfId="1542" priority="82" stopIfTrue="1" operator="equal">
      <formula>D94</formula>
    </cfRule>
  </conditionalFormatting>
  <conditionalFormatting sqref="AS99 AO99">
    <cfRule type="cellIs" dxfId="1541" priority="83" stopIfTrue="1" operator="equal">
      <formula>"OK"</formula>
    </cfRule>
    <cfRule type="cellIs" dxfId="1540" priority="84" stopIfTrue="1" operator="equal">
      <formula>"Add"</formula>
    </cfRule>
  </conditionalFormatting>
  <conditionalFormatting sqref="J99">
    <cfRule type="cellIs" dxfId="1539" priority="85" stopIfTrue="1" operator="equal">
      <formula>"Lockdown"</formula>
    </cfRule>
    <cfRule type="cellIs" dxfId="1538" priority="86" stopIfTrue="1" operator="equal">
      <formula>"OOM"</formula>
    </cfRule>
    <cfRule type="cellIs" dxfId="1537" priority="87" stopIfTrue="1" operator="equal">
      <formula>"Placeholder"</formula>
    </cfRule>
  </conditionalFormatting>
  <conditionalFormatting sqref="T99:AA99">
    <cfRule type="cellIs" dxfId="1536" priority="88" stopIfTrue="1" operator="equal">
      <formula>"Blue - Completed"</formula>
    </cfRule>
    <cfRule type="cellIs" dxfId="1535" priority="89" stopIfTrue="1" operator="equal">
      <formula>"Green - Started on Sched"</formula>
    </cfRule>
    <cfRule type="cellIs" dxfId="1534" priority="90" stopIfTrue="1" operator="between">
      <formula>"Q"</formula>
      <formula>"T"</formula>
    </cfRule>
  </conditionalFormatting>
  <conditionalFormatting sqref="G99">
    <cfRule type="cellIs" dxfId="1533" priority="81" stopIfTrue="1" operator="equal">
      <formula>"4 - Complete"</formula>
    </cfRule>
    <cfRule type="cellIs" dxfId="1532" priority="91" stopIfTrue="1" operator="equal">
      <formula>"3 - Green"</formula>
    </cfRule>
    <cfRule type="cellIs" dxfId="1531" priority="92" stopIfTrue="1" operator="equal">
      <formula>"2 - Yellow"</formula>
    </cfRule>
    <cfRule type="cellIs" dxfId="1530" priority="93" stopIfTrue="1" operator="equal">
      <formula>"1 - Red"</formula>
    </cfRule>
  </conditionalFormatting>
  <conditionalFormatting sqref="L99">
    <cfRule type="cellIs" dxfId="1529" priority="94" stopIfTrue="1" operator="equal">
      <formula>"1 - Hard Load"</formula>
    </cfRule>
    <cfRule type="cellIs" dxfId="1528" priority="95" stopIfTrue="1" operator="equal">
      <formula>"3 - Not Loaded"</formula>
    </cfRule>
    <cfRule type="cellIs" dxfId="1527" priority="96" stopIfTrue="1" operator="equal">
      <formula>"2 - Soft Load"</formula>
    </cfRule>
  </conditionalFormatting>
  <conditionalFormatting sqref="D92">
    <cfRule type="cellIs" dxfId="1526" priority="80" stopIfTrue="1" operator="equal">
      <formula>D85</formula>
    </cfRule>
  </conditionalFormatting>
  <conditionalFormatting sqref="AO92 AS92">
    <cfRule type="cellIs" dxfId="1525" priority="66" stopIfTrue="1" operator="equal">
      <formula>"OK"</formula>
    </cfRule>
    <cfRule type="cellIs" dxfId="1524" priority="67" stopIfTrue="1" operator="equal">
      <formula>"Add"</formula>
    </cfRule>
  </conditionalFormatting>
  <conditionalFormatting sqref="J92">
    <cfRule type="cellIs" dxfId="1523" priority="68" stopIfTrue="1" operator="equal">
      <formula>"Lockdown"</formula>
    </cfRule>
    <cfRule type="cellIs" dxfId="1522" priority="69" stopIfTrue="1" operator="equal">
      <formula>"OOM"</formula>
    </cfRule>
    <cfRule type="cellIs" dxfId="1521" priority="70" stopIfTrue="1" operator="equal">
      <formula>"Placeholder"</formula>
    </cfRule>
  </conditionalFormatting>
  <conditionalFormatting sqref="T92:AA92">
    <cfRule type="cellIs" dxfId="1520" priority="71" stopIfTrue="1" operator="equal">
      <formula>"Blue - Completed"</formula>
    </cfRule>
    <cfRule type="cellIs" dxfId="1519" priority="72" stopIfTrue="1" operator="equal">
      <formula>"Green - Started on Sched"</formula>
    </cfRule>
    <cfRule type="cellIs" dxfId="1518" priority="73" stopIfTrue="1" operator="between">
      <formula>"Q"</formula>
      <formula>"T"</formula>
    </cfRule>
  </conditionalFormatting>
  <conditionalFormatting sqref="G92">
    <cfRule type="cellIs" dxfId="1517" priority="65" stopIfTrue="1" operator="equal">
      <formula>"4 - Complete"</formula>
    </cfRule>
    <cfRule type="cellIs" dxfId="1516" priority="74" stopIfTrue="1" operator="equal">
      <formula>"3 - Green"</formula>
    </cfRule>
    <cfRule type="cellIs" dxfId="1515" priority="75" stopIfTrue="1" operator="equal">
      <formula>"2 - Yellow"</formula>
    </cfRule>
    <cfRule type="cellIs" dxfId="1514" priority="76" stopIfTrue="1" operator="equal">
      <formula>"1 - Red"</formula>
    </cfRule>
  </conditionalFormatting>
  <conditionalFormatting sqref="L92">
    <cfRule type="cellIs" dxfId="1513" priority="77" stopIfTrue="1" operator="equal">
      <formula>"1 - Hard Load"</formula>
    </cfRule>
    <cfRule type="cellIs" dxfId="1512" priority="78" stopIfTrue="1" operator="equal">
      <formula>"3 - Not Loaded"</formula>
    </cfRule>
    <cfRule type="cellIs" dxfId="1511" priority="79" stopIfTrue="1" operator="equal">
      <formula>"2 - Soft Load"</formula>
    </cfRule>
  </conditionalFormatting>
  <conditionalFormatting sqref="D1778">
    <cfRule type="cellIs" dxfId="1510" priority="11078" stopIfTrue="1" operator="equal">
      <formula>D617</formula>
    </cfRule>
  </conditionalFormatting>
  <conditionalFormatting sqref="AO1777 AS1777">
    <cfRule type="cellIs" dxfId="1509" priority="50" stopIfTrue="1" operator="equal">
      <formula>"OK"</formula>
    </cfRule>
    <cfRule type="cellIs" dxfId="1508" priority="51" stopIfTrue="1" operator="equal">
      <formula>"Add"</formula>
    </cfRule>
  </conditionalFormatting>
  <conditionalFormatting sqref="J1777">
    <cfRule type="cellIs" dxfId="1507" priority="52" stopIfTrue="1" operator="equal">
      <formula>"Lockdown"</formula>
    </cfRule>
    <cfRule type="cellIs" dxfId="1506" priority="53" stopIfTrue="1" operator="equal">
      <formula>"OOM"</formula>
    </cfRule>
    <cfRule type="cellIs" dxfId="1505" priority="54" stopIfTrue="1" operator="equal">
      <formula>"Placeholder"</formula>
    </cfRule>
  </conditionalFormatting>
  <conditionalFormatting sqref="T1777:AA1777">
    <cfRule type="cellIs" dxfId="1504" priority="55" stopIfTrue="1" operator="equal">
      <formula>"Blue - Completed"</formula>
    </cfRule>
    <cfRule type="cellIs" dxfId="1503" priority="56" stopIfTrue="1" operator="equal">
      <formula>"Green - Started on Sched"</formula>
    </cfRule>
    <cfRule type="cellIs" dxfId="1502" priority="57" stopIfTrue="1" operator="between">
      <formula>"Q"</formula>
      <formula>"T"</formula>
    </cfRule>
  </conditionalFormatting>
  <conditionalFormatting sqref="G1777">
    <cfRule type="cellIs" dxfId="1501" priority="49" stopIfTrue="1" operator="equal">
      <formula>"4 - Complete"</formula>
    </cfRule>
    <cfRule type="cellIs" dxfId="1500" priority="58" stopIfTrue="1" operator="equal">
      <formula>"3 - Green"</formula>
    </cfRule>
    <cfRule type="cellIs" dxfId="1499" priority="59" stopIfTrue="1" operator="equal">
      <formula>"2 - Yellow"</formula>
    </cfRule>
    <cfRule type="cellIs" dxfId="1498" priority="60" stopIfTrue="1" operator="equal">
      <formula>"1 - Red"</formula>
    </cfRule>
  </conditionalFormatting>
  <conditionalFormatting sqref="L1777">
    <cfRule type="cellIs" dxfId="1497" priority="61" stopIfTrue="1" operator="equal">
      <formula>"1 - Hard Load"</formula>
    </cfRule>
    <cfRule type="cellIs" dxfId="1496" priority="62" stopIfTrue="1" operator="equal">
      <formula>"3 - Not Loaded"</formula>
    </cfRule>
    <cfRule type="cellIs" dxfId="1495" priority="63" stopIfTrue="1" operator="equal">
      <formula>"2 - Soft Load"</formula>
    </cfRule>
  </conditionalFormatting>
  <conditionalFormatting sqref="D1777">
    <cfRule type="cellIs" dxfId="1494" priority="64" stopIfTrue="1" operator="equal">
      <formula>D616</formula>
    </cfRule>
  </conditionalFormatting>
  <conditionalFormatting sqref="D260">
    <cfRule type="cellIs" dxfId="1493" priority="11107" stopIfTrue="1" operator="equal">
      <formula>D167</formula>
    </cfRule>
  </conditionalFormatting>
  <conditionalFormatting sqref="D233 D207 D214">
    <cfRule type="cellIs" dxfId="1492" priority="11112" stopIfTrue="1" operator="equal">
      <formula>D141</formula>
    </cfRule>
  </conditionalFormatting>
  <conditionalFormatting sqref="D169">
    <cfRule type="cellIs" dxfId="1491" priority="34" stopIfTrue="1" operator="equal">
      <formula>D161</formula>
    </cfRule>
  </conditionalFormatting>
  <conditionalFormatting sqref="AS169 AO169">
    <cfRule type="cellIs" dxfId="1490" priority="35" stopIfTrue="1" operator="equal">
      <formula>"OK"</formula>
    </cfRule>
    <cfRule type="cellIs" dxfId="1489" priority="36" stopIfTrue="1" operator="equal">
      <formula>"Add"</formula>
    </cfRule>
  </conditionalFormatting>
  <conditionalFormatting sqref="J169">
    <cfRule type="cellIs" dxfId="1488" priority="37" stopIfTrue="1" operator="equal">
      <formula>"Lockdown"</formula>
    </cfRule>
    <cfRule type="cellIs" dxfId="1487" priority="38" stopIfTrue="1" operator="equal">
      <formula>"OOM"</formula>
    </cfRule>
    <cfRule type="cellIs" dxfId="1486" priority="39" stopIfTrue="1" operator="equal">
      <formula>"Placeholder"</formula>
    </cfRule>
  </conditionalFormatting>
  <conditionalFormatting sqref="T169:AA169">
    <cfRule type="cellIs" dxfId="1485" priority="40" stopIfTrue="1" operator="equal">
      <formula>"Blue - Completed"</formula>
    </cfRule>
    <cfRule type="cellIs" dxfId="1484" priority="41" stopIfTrue="1" operator="equal">
      <formula>"Green - Started on Sched"</formula>
    </cfRule>
    <cfRule type="cellIs" dxfId="1483" priority="42" stopIfTrue="1" operator="between">
      <formula>"Q"</formula>
      <formula>"T"</formula>
    </cfRule>
  </conditionalFormatting>
  <conditionalFormatting sqref="G169">
    <cfRule type="cellIs" dxfId="1482" priority="33" stopIfTrue="1" operator="equal">
      <formula>"4 - Complete"</formula>
    </cfRule>
    <cfRule type="cellIs" dxfId="1481" priority="43" stopIfTrue="1" operator="equal">
      <formula>"3 - Green"</formula>
    </cfRule>
    <cfRule type="cellIs" dxfId="1480" priority="44" stopIfTrue="1" operator="equal">
      <formula>"2 - Yellow"</formula>
    </cfRule>
    <cfRule type="cellIs" dxfId="1479" priority="45" stopIfTrue="1" operator="equal">
      <formula>"1 - Red"</formula>
    </cfRule>
  </conditionalFormatting>
  <conditionalFormatting sqref="L169">
    <cfRule type="cellIs" dxfId="1478" priority="46" stopIfTrue="1" operator="equal">
      <formula>"1 - Hard Load"</formula>
    </cfRule>
    <cfRule type="cellIs" dxfId="1477" priority="47" stopIfTrue="1" operator="equal">
      <formula>"3 - Not Loaded"</formula>
    </cfRule>
    <cfRule type="cellIs" dxfId="1476" priority="48" stopIfTrue="1" operator="equal">
      <formula>"2 - Soft Load"</formula>
    </cfRule>
  </conditionalFormatting>
  <conditionalFormatting sqref="D235">
    <cfRule type="cellIs" dxfId="1475" priority="11138" stopIfTrue="1" operator="equal">
      <formula>D148</formula>
    </cfRule>
  </conditionalFormatting>
  <conditionalFormatting sqref="D235">
    <cfRule type="cellIs" dxfId="1474" priority="11146" stopIfTrue="1" operator="equal">
      <formula>D141</formula>
    </cfRule>
  </conditionalFormatting>
  <conditionalFormatting sqref="D207:D208">
    <cfRule type="cellIs" dxfId="1473" priority="11147" stopIfTrue="1" operator="equal">
      <formula>D140</formula>
    </cfRule>
  </conditionalFormatting>
  <conditionalFormatting sqref="D151">
    <cfRule type="cellIs" dxfId="1472" priority="18" stopIfTrue="1" operator="equal">
      <formula>D142</formula>
    </cfRule>
  </conditionalFormatting>
  <conditionalFormatting sqref="AO151 AS151">
    <cfRule type="cellIs" dxfId="1471" priority="19" stopIfTrue="1" operator="equal">
      <formula>"OK"</formula>
    </cfRule>
    <cfRule type="cellIs" dxfId="1470" priority="20" stopIfTrue="1" operator="equal">
      <formula>"Add"</formula>
    </cfRule>
  </conditionalFormatting>
  <conditionalFormatting sqref="J151">
    <cfRule type="cellIs" dxfId="1469" priority="21" stopIfTrue="1" operator="equal">
      <formula>"Lockdown"</formula>
    </cfRule>
    <cfRule type="cellIs" dxfId="1468" priority="22" stopIfTrue="1" operator="equal">
      <formula>"OOM"</formula>
    </cfRule>
    <cfRule type="cellIs" dxfId="1467" priority="23" stopIfTrue="1" operator="equal">
      <formula>"Placeholder"</formula>
    </cfRule>
  </conditionalFormatting>
  <conditionalFormatting sqref="T151:AA151">
    <cfRule type="cellIs" dxfId="1466" priority="24" stopIfTrue="1" operator="equal">
      <formula>"Blue - Completed"</formula>
    </cfRule>
    <cfRule type="cellIs" dxfId="1465" priority="25" stopIfTrue="1" operator="equal">
      <formula>"Green - Started on Sched"</formula>
    </cfRule>
    <cfRule type="cellIs" dxfId="1464" priority="26" stopIfTrue="1" operator="between">
      <formula>"Q"</formula>
      <formula>"T"</formula>
    </cfRule>
  </conditionalFormatting>
  <conditionalFormatting sqref="G151">
    <cfRule type="cellIs" dxfId="1463" priority="17" stopIfTrue="1" operator="equal">
      <formula>"4 - Complete"</formula>
    </cfRule>
    <cfRule type="cellIs" dxfId="1462" priority="27" stopIfTrue="1" operator="equal">
      <formula>"3 - Green"</formula>
    </cfRule>
    <cfRule type="cellIs" dxfId="1461" priority="28" stopIfTrue="1" operator="equal">
      <formula>"2 - Yellow"</formula>
    </cfRule>
    <cfRule type="cellIs" dxfId="1460" priority="29" stopIfTrue="1" operator="equal">
      <formula>"1 - Red"</formula>
    </cfRule>
  </conditionalFormatting>
  <conditionalFormatting sqref="L151">
    <cfRule type="cellIs" dxfId="1459" priority="30" stopIfTrue="1" operator="equal">
      <formula>"1 - Hard Load"</formula>
    </cfRule>
    <cfRule type="cellIs" dxfId="1458" priority="31" stopIfTrue="1" operator="equal">
      <formula>"3 - Not Loaded"</formula>
    </cfRule>
    <cfRule type="cellIs" dxfId="1457" priority="32" stopIfTrue="1" operator="equal">
      <formula>"2 - Soft Load"</formula>
    </cfRule>
  </conditionalFormatting>
  <conditionalFormatting sqref="D197">
    <cfRule type="cellIs" dxfId="1456" priority="2" stopIfTrue="1" operator="equal">
      <formula>D192</formula>
    </cfRule>
  </conditionalFormatting>
  <conditionalFormatting sqref="AO197 AS197">
    <cfRule type="cellIs" dxfId="1455" priority="3" stopIfTrue="1" operator="equal">
      <formula>"OK"</formula>
    </cfRule>
    <cfRule type="cellIs" dxfId="1454" priority="4" stopIfTrue="1" operator="equal">
      <formula>"Add"</formula>
    </cfRule>
  </conditionalFormatting>
  <conditionalFormatting sqref="J197">
    <cfRule type="cellIs" dxfId="1453" priority="5" stopIfTrue="1" operator="equal">
      <formula>"Lockdown"</formula>
    </cfRule>
    <cfRule type="cellIs" dxfId="1452" priority="6" stopIfTrue="1" operator="equal">
      <formula>"OOM"</formula>
    </cfRule>
    <cfRule type="cellIs" dxfId="1451" priority="7" stopIfTrue="1" operator="equal">
      <formula>"Placeholder"</formula>
    </cfRule>
  </conditionalFormatting>
  <conditionalFormatting sqref="T197:AA197">
    <cfRule type="cellIs" dxfId="1450" priority="8" stopIfTrue="1" operator="equal">
      <formula>"Blue - Completed"</formula>
    </cfRule>
    <cfRule type="cellIs" dxfId="1449" priority="9" stopIfTrue="1" operator="equal">
      <formula>"Green - Started on Sched"</formula>
    </cfRule>
    <cfRule type="cellIs" dxfId="1448" priority="10" stopIfTrue="1" operator="between">
      <formula>"Q"</formula>
      <formula>"T"</formula>
    </cfRule>
  </conditionalFormatting>
  <conditionalFormatting sqref="G197">
    <cfRule type="cellIs" dxfId="1447" priority="1" stopIfTrue="1" operator="equal">
      <formula>"4 - Complete"</formula>
    </cfRule>
    <cfRule type="cellIs" dxfId="1446" priority="11" stopIfTrue="1" operator="equal">
      <formula>"3 - Green"</formula>
    </cfRule>
    <cfRule type="cellIs" dxfId="1445" priority="12" stopIfTrue="1" operator="equal">
      <formula>"2 - Yellow"</formula>
    </cfRule>
    <cfRule type="cellIs" dxfId="1444" priority="13" stopIfTrue="1" operator="equal">
      <formula>"1 - Red"</formula>
    </cfRule>
  </conditionalFormatting>
  <conditionalFormatting sqref="L197">
    <cfRule type="cellIs" dxfId="1443" priority="14" stopIfTrue="1" operator="equal">
      <formula>"1 - Hard Load"</formula>
    </cfRule>
    <cfRule type="cellIs" dxfId="1442" priority="15" stopIfTrue="1" operator="equal">
      <formula>"3 - Not Loaded"</formula>
    </cfRule>
    <cfRule type="cellIs" dxfId="1441" priority="16" stopIfTrue="1" operator="equal">
      <formula>"2 - Soft Load"</formula>
    </cfRule>
  </conditionalFormatting>
  <dataValidations count="12">
    <dataValidation type="list" allowBlank="1" showInputMessage="1" showErrorMessage="1" sqref="O1694 O530 O1205">
      <formula1>$O$1:$O$8</formula1>
    </dataValidation>
    <dataValidation type="list" allowBlank="1" showInputMessage="1" showErrorMessage="1" sqref="J505:J3350 J16:J503">
      <formula1>$J$1:$J$3</formula1>
    </dataValidation>
    <dataValidation type="date" allowBlank="1" showInputMessage="1" showErrorMessage="1" sqref="K482:K503 K333 K219 K1526:K1527 K50:K66 K1536:K2656 K369 K84:K86 K1504:K1515 K384 K380:K381 K311 K505:K1422 K1471:K1479 K320 K1517:K1524 K345 K304:K306 K326 K358 K376:K377 K1424:K1432 K314:K316 K1483:K1501 K328:K331 K1529:K1534 K324 K290 K1434:K1469 K296:K299 K286:K288 K293:K294 K17:K21 K260:K262 K177:K178 K180:K188 K149:K152 K264:K282 K75:K82 K97:K105 K68:K71 K107 K113:K136 K45:K46 K32 K36 K168:K172 K90:K91 K193:K198">
      <formula1>36892</formula1>
      <formula2>43830</formula2>
    </dataValidation>
    <dataValidation type="date" allowBlank="1" showInputMessage="1" showErrorMessage="1" sqref="K1480:K1482 K337 K1528 K263 K307:K310 K289 K1516 K420 K1423 K359:K368 K352:K357 K383 K1502:K1503 K1433 K385 K340:K344 K1525 K332 K1535 K378:K379 K317:K319 K325 K346:K349 K327 K1470 K295 K283:K285 K291:K292 K300:K303 K2657:K2771 K2773 K370:K375 K255:K259 K312:K313 K321:K323 K67 K47:K49 K137:K148 K33:K35 K199:K202 K83 K22:K31 K173:K176 K2775:K3350 K16 K204:K218 K189:K192 K37:K44 K111 K87:K89 K92:K96">
      <formula1>36892</formula1>
      <formula2>42369</formula2>
    </dataValidation>
    <dataValidation type="date" allowBlank="1" showInputMessage="1" showErrorMessage="1" sqref="K382 K386:K419 K421:K481 K338:K339 K334:K336 K350:K351 K2772 K2774 K220:K254 K203 K108 K179">
      <formula1>36892</formula1>
      <formula2>41639</formula2>
    </dataValidation>
    <dataValidation type="list" allowBlank="1" showInputMessage="1" showErrorMessage="1" sqref="M16">
      <formula1>$M$1:$M$9</formula1>
    </dataValidation>
    <dataValidation type="list" allowBlank="1" showInputMessage="1" showErrorMessage="1" sqref="H413 H2776:H3350">
      <formula1>$H$1:$H$5</formula1>
    </dataValidation>
    <dataValidation type="list" allowBlank="1" showInputMessage="1" showErrorMessage="1" sqref="H414:H2775 H17:H412">
      <formula1>$H$1:$H$6</formula1>
    </dataValidation>
    <dataValidation type="list" allowBlank="1" showInputMessage="1" showErrorMessage="1" sqref="H16">
      <formula1>$H$1:$H$4</formula1>
    </dataValidation>
    <dataValidation type="list" allowBlank="1" showInputMessage="1" showErrorMessage="1" sqref="L16:L3350">
      <formula1>$L$1:$L$3</formula1>
    </dataValidation>
    <dataValidation type="list" allowBlank="1" showInputMessage="1" showErrorMessage="1" sqref="G16:G3350">
      <formula1>$G$1:$G$4</formula1>
    </dataValidation>
    <dataValidation type="list" allowBlank="1" showInputMessage="1" showErrorMessage="1" sqref="M17:M3350">
      <formula1>$M$1:$M$10</formula1>
    </dataValidation>
  </dataValidations>
  <printOptions horizontalCentered="1"/>
  <pageMargins left="0.25" right="0.25" top="0.5" bottom="0.5" header="0.25" footer="0.25"/>
  <pageSetup scale="68" fitToHeight="999" orientation="landscape" r:id="rId1"/>
  <headerFooter alignWithMargins="0">
    <oddHeader xml:space="preserve">&amp;CProvider Systems Queue
Master Project Listing
</oddHeader>
    <oddFooter>&amp;L&amp;F &amp;A&amp;Cpage &amp;P of &amp;N&amp;R&amp;D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612" r:id="rId4" name="Button 108">
              <controlPr defaultSize="0" print="0" autoFill="0" autoPict="0" macro="[0]!mcrD1Fullsort">
                <anchor moveWithCells="1" sizeWithCells="1">
                  <from>
                    <xdr:col>0</xdr:col>
                    <xdr:colOff>76200</xdr:colOff>
                    <xdr:row>10</xdr:row>
                    <xdr:rowOff>47625</xdr:rowOff>
                  </from>
                  <to>
                    <xdr:col>2</xdr:col>
                    <xdr:colOff>123825</xdr:colOff>
                    <xdr:row>14</xdr:row>
                    <xdr:rowOff>0</xdr:rowOff>
                  </to>
                </anchor>
              </controlPr>
            </control>
          </mc:Choice>
        </mc:AlternateContent>
        <mc:AlternateContent xmlns:mc="http://schemas.openxmlformats.org/markup-compatibility/2006">
          <mc:Choice Requires="x14">
            <control shapeId="21613" r:id="rId5" name="Button 109">
              <controlPr defaultSize="0" print="0" autoFill="0" autoPict="0" macro="[0]!mcrD1SortD">
                <anchor moveWithCells="1" sizeWithCells="1">
                  <from>
                    <xdr:col>2</xdr:col>
                    <xdr:colOff>247650</xdr:colOff>
                    <xdr:row>10</xdr:row>
                    <xdr:rowOff>47625</xdr:rowOff>
                  </from>
                  <to>
                    <xdr:col>3</xdr:col>
                    <xdr:colOff>857250</xdr:colOff>
                    <xdr:row>14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K98"/>
  <sheetViews>
    <sheetView zoomScale="70" zoomScaleNormal="70" workbookViewId="0">
      <pane xSplit="4" ySplit="10" topLeftCell="E11" activePane="bottomRight" state="frozen"/>
      <selection pane="topRight" activeCell="E1" sqref="E1"/>
      <selection pane="bottomLeft" activeCell="A5" sqref="A5"/>
      <selection pane="bottomRight" activeCell="A57" sqref="A57:XFD57"/>
    </sheetView>
  </sheetViews>
  <sheetFormatPr defaultRowHeight="11.25" x14ac:dyDescent="0.2"/>
  <cols>
    <col min="1" max="1" width="3.5703125" style="223" bestFit="1" customWidth="1"/>
    <col min="2" max="2" width="5.28515625" style="23" hidden="1" customWidth="1"/>
    <col min="3" max="3" width="12.42578125" style="130" bestFit="1" customWidth="1"/>
    <col min="4" max="4" width="25.7109375" style="22" customWidth="1"/>
    <col min="5" max="5" width="13.85546875" style="22" bestFit="1" customWidth="1"/>
    <col min="6" max="6" width="12.7109375" style="22" bestFit="1" customWidth="1"/>
    <col min="7" max="7" width="13.42578125" style="22" bestFit="1" customWidth="1"/>
    <col min="8" max="8" width="14.28515625" style="24" bestFit="1" customWidth="1"/>
    <col min="9" max="9" width="8.28515625" style="22" bestFit="1" customWidth="1"/>
    <col min="10" max="10" width="8.42578125" style="22" bestFit="1" customWidth="1"/>
    <col min="11" max="11" width="6.85546875" style="22" customWidth="1"/>
    <col min="12" max="12" width="10.140625" style="22" bestFit="1" customWidth="1"/>
    <col min="13" max="13" width="8.7109375" style="22" bestFit="1" customWidth="1"/>
    <col min="14" max="14" width="11.85546875" style="100" customWidth="1"/>
    <col min="15" max="15" width="6.28515625" style="103" bestFit="1" customWidth="1"/>
    <col min="16" max="16" width="9" style="22" bestFit="1" customWidth="1"/>
    <col min="17" max="17" width="7.85546875" style="39" customWidth="1"/>
    <col min="18" max="18" width="7.5703125" style="39" customWidth="1"/>
    <col min="19" max="20" width="8.5703125" style="39" hidden="1" customWidth="1"/>
    <col min="21" max="21" width="8.5703125" style="39" customWidth="1"/>
    <col min="22" max="22" width="9.28515625" style="39" customWidth="1"/>
    <col min="23" max="23" width="7" style="39" bestFit="1" customWidth="1"/>
    <col min="24" max="24" width="8.140625" style="39" bestFit="1" customWidth="1"/>
    <col min="25" max="25" width="7" style="39" bestFit="1" customWidth="1"/>
    <col min="26" max="26" width="9.7109375" style="70" customWidth="1"/>
    <col min="27" max="27" width="8.42578125" style="70" bestFit="1" customWidth="1"/>
    <col min="28" max="28" width="7.5703125" style="70" hidden="1" customWidth="1"/>
    <col min="29" max="29" width="28.28515625" style="73" customWidth="1"/>
    <col min="30" max="30" width="15.140625" style="22" hidden="1" customWidth="1"/>
    <col min="31" max="16384" width="9.140625" style="22"/>
  </cols>
  <sheetData>
    <row r="1" spans="1:37" hidden="1" x14ac:dyDescent="0.2">
      <c r="J1" s="22" t="s">
        <v>6825</v>
      </c>
    </row>
    <row r="2" spans="1:37" hidden="1" x14ac:dyDescent="0.2">
      <c r="J2" s="22" t="s">
        <v>6158</v>
      </c>
    </row>
    <row r="3" spans="1:37" hidden="1" x14ac:dyDescent="0.2">
      <c r="D3" s="88"/>
      <c r="J3" s="22" t="s">
        <v>6159</v>
      </c>
    </row>
    <row r="4" spans="1:37" hidden="1" x14ac:dyDescent="0.2">
      <c r="D4" s="98"/>
      <c r="J4" s="22" t="s">
        <v>6160</v>
      </c>
    </row>
    <row r="5" spans="1:37" hidden="1" x14ac:dyDescent="0.2">
      <c r="D5" s="99"/>
    </row>
    <row r="6" spans="1:37" x14ac:dyDescent="0.2">
      <c r="A6" s="226"/>
      <c r="D6" s="99"/>
      <c r="Z6" s="22" t="s">
        <v>6967</v>
      </c>
      <c r="AA6" s="72">
        <v>39994</v>
      </c>
    </row>
    <row r="7" spans="1:37" x14ac:dyDescent="0.2">
      <c r="A7" s="226"/>
      <c r="D7" s="99"/>
    </row>
    <row r="8" spans="1:37" s="24" customFormat="1" x14ac:dyDescent="0.2">
      <c r="A8" s="87"/>
      <c r="B8" s="87">
        <v>2</v>
      </c>
      <c r="C8" s="131">
        <v>3</v>
      </c>
      <c r="D8" s="99">
        <v>4</v>
      </c>
      <c r="E8" s="93">
        <v>5</v>
      </c>
      <c r="F8" s="93">
        <v>6</v>
      </c>
      <c r="G8" s="99">
        <v>7</v>
      </c>
      <c r="H8" s="93">
        <v>8</v>
      </c>
      <c r="I8" s="93">
        <v>9</v>
      </c>
      <c r="J8" s="99">
        <v>10</v>
      </c>
      <c r="K8" s="93">
        <v>11</v>
      </c>
      <c r="L8" s="93">
        <v>12</v>
      </c>
      <c r="M8" s="99">
        <v>13</v>
      </c>
      <c r="N8" s="93">
        <v>14</v>
      </c>
      <c r="O8" s="93">
        <v>15</v>
      </c>
      <c r="P8" s="99">
        <v>16</v>
      </c>
      <c r="Q8" s="93">
        <v>17</v>
      </c>
      <c r="R8" s="93">
        <v>18</v>
      </c>
      <c r="S8" s="99">
        <v>19</v>
      </c>
      <c r="T8" s="93">
        <v>20</v>
      </c>
      <c r="U8" s="93">
        <v>21</v>
      </c>
      <c r="V8" s="99">
        <v>22</v>
      </c>
      <c r="W8" s="93">
        <v>23</v>
      </c>
      <c r="X8" s="93">
        <v>24</v>
      </c>
      <c r="Y8" s="99">
        <v>25</v>
      </c>
      <c r="Z8" s="93">
        <v>26</v>
      </c>
      <c r="AA8" s="93">
        <v>27</v>
      </c>
      <c r="AB8" s="99">
        <v>28</v>
      </c>
      <c r="AC8" s="93">
        <v>29</v>
      </c>
      <c r="AD8" s="93">
        <v>30</v>
      </c>
      <c r="AE8" s="99"/>
    </row>
    <row r="9" spans="1:37" ht="11.25" customHeight="1" x14ac:dyDescent="0.2">
      <c r="A9" s="257" t="s">
        <v>7420</v>
      </c>
      <c r="B9" s="87"/>
      <c r="D9" s="99"/>
      <c r="E9" s="88"/>
      <c r="F9" s="88"/>
      <c r="G9" s="88"/>
      <c r="H9" s="93"/>
      <c r="I9" s="88"/>
      <c r="J9" s="88"/>
      <c r="K9" s="437" t="s">
        <v>6693</v>
      </c>
      <c r="L9" s="438"/>
      <c r="M9" s="439" t="s">
        <v>3872</v>
      </c>
      <c r="N9" s="439"/>
      <c r="O9" s="439"/>
      <c r="P9" s="437" t="s">
        <v>7406</v>
      </c>
      <c r="Q9" s="438"/>
      <c r="R9" s="434" t="s">
        <v>5947</v>
      </c>
      <c r="S9" s="435"/>
      <c r="T9" s="435"/>
      <c r="U9" s="435"/>
      <c r="V9" s="435"/>
      <c r="W9" s="435"/>
      <c r="X9" s="435"/>
      <c r="Y9" s="436"/>
      <c r="Z9" s="433" t="s">
        <v>6983</v>
      </c>
      <c r="AA9" s="433"/>
      <c r="AB9" s="433"/>
      <c r="AC9" s="89"/>
    </row>
    <row r="10" spans="1:37" ht="33.75" x14ac:dyDescent="0.2">
      <c r="A10" s="224" t="s">
        <v>8137</v>
      </c>
      <c r="B10" s="113" t="s">
        <v>8066</v>
      </c>
      <c r="C10" s="126" t="s">
        <v>4952</v>
      </c>
      <c r="D10" s="18" t="s">
        <v>7305</v>
      </c>
      <c r="E10" s="18" t="s">
        <v>5955</v>
      </c>
      <c r="F10" s="18" t="s">
        <v>6341</v>
      </c>
      <c r="G10" s="18" t="s">
        <v>2096</v>
      </c>
      <c r="H10" s="18" t="s">
        <v>5438</v>
      </c>
      <c r="I10" s="18" t="s">
        <v>7267</v>
      </c>
      <c r="J10" s="18" t="s">
        <v>1616</v>
      </c>
      <c r="K10" s="19" t="s">
        <v>7268</v>
      </c>
      <c r="L10" s="19" t="s">
        <v>4490</v>
      </c>
      <c r="M10" s="18" t="s">
        <v>7405</v>
      </c>
      <c r="N10" s="101" t="s">
        <v>3571</v>
      </c>
      <c r="O10" s="56" t="s">
        <v>5149</v>
      </c>
      <c r="P10" s="19" t="s">
        <v>7567</v>
      </c>
      <c r="Q10" s="21" t="s">
        <v>1448</v>
      </c>
      <c r="R10" s="95" t="s">
        <v>2465</v>
      </c>
      <c r="S10" s="95" t="s">
        <v>1646</v>
      </c>
      <c r="T10" s="95" t="s">
        <v>3074</v>
      </c>
      <c r="U10" s="95" t="s">
        <v>3075</v>
      </c>
      <c r="V10" s="95" t="s">
        <v>3076</v>
      </c>
      <c r="W10" s="68" t="s">
        <v>4097</v>
      </c>
      <c r="X10" s="68" t="s">
        <v>1528</v>
      </c>
      <c r="Y10" s="68" t="s">
        <v>1529</v>
      </c>
      <c r="Z10" s="41" t="s">
        <v>1242</v>
      </c>
      <c r="AA10" s="41" t="s">
        <v>1527</v>
      </c>
      <c r="AB10" s="41" t="s">
        <v>4342</v>
      </c>
      <c r="AC10" s="95" t="s">
        <v>8136</v>
      </c>
      <c r="AD10" s="19" t="s">
        <v>6824</v>
      </c>
    </row>
    <row r="11" spans="1:37" ht="11.25" customHeight="1" x14ac:dyDescent="0.2">
      <c r="A11" s="28">
        <v>1</v>
      </c>
      <c r="B11" s="272">
        <v>2</v>
      </c>
      <c r="C11" s="132" t="s">
        <v>5934</v>
      </c>
      <c r="D11" s="29">
        <f>INDEX('D1 - Master Project Table'!$A$1:$AK$7056,$B11,5)</f>
        <v>0</v>
      </c>
      <c r="E11" s="29">
        <f>INDEX('D1 - Master Project Table'!$A$1:$AK$7056,$B11,6)</f>
        <v>0</v>
      </c>
      <c r="F11" s="29">
        <f>INDEX('D1 - Master Project Table'!$A$1:$AK$7056,$B11,29)</f>
        <v>0</v>
      </c>
      <c r="G11" s="29" t="str">
        <f>INDEX('D1 - Master Project Table'!$A$1:$AK$7012,$B11,8)</f>
        <v>2 - Not Scheduled</v>
      </c>
      <c r="H11" s="74"/>
      <c r="I11" s="34" t="str">
        <f t="shared" ref="I11:I39" si="0">IF(AD11="YesYesOOMYes","Yes",IF(AD11="YesNROOMYes","Yes",IF(AD11="YesYesPlaceholderYes","Yes",IF(AD11="YesNRPlaceholderYes","Yes","No"))))</f>
        <v>No</v>
      </c>
      <c r="J11" s="92"/>
      <c r="K11" s="42" t="str">
        <f t="shared" ref="K11:K39" si="1">IF(L11="Scheduled","Yes",IF(L11="In Estimating", "Yes","No"))</f>
        <v>No</v>
      </c>
      <c r="L11" s="29">
        <f>INDEX('D1 - Master Project Table'!$A$1:$AK$7056,$B11,28)</f>
        <v>0</v>
      </c>
      <c r="M11" s="42" t="str">
        <f t="shared" ref="M11:M39" si="2">IF(OR(N11="NA",N11="IP"),"No","Yes")</f>
        <v>Yes</v>
      </c>
      <c r="N11" s="102">
        <f>INDEX('D1 - Master Project Table'!$A$1:$AK$7056,$B11,37)</f>
        <v>0</v>
      </c>
      <c r="O11" s="94">
        <f>INDEX('D1 - Master Project Table'!$A$1:$AK$7056,$B11,36)</f>
        <v>0</v>
      </c>
      <c r="P11" s="4" t="str">
        <f>INDEX('D1 - Master Project Table'!$A$1:$AK$7056,$B11,10)</f>
        <v>OOM</v>
      </c>
      <c r="Q11" s="30">
        <f>INDEX('D1 - Master Project Table'!$A$1:$AK$7056,$B11,9)</f>
        <v>0</v>
      </c>
      <c r="R11" s="96"/>
      <c r="S11" s="42" t="str">
        <f t="shared" ref="S11:S39" si="3">IF(Q11=0,"NA",$AA$6+T11)</f>
        <v>NA</v>
      </c>
      <c r="T11" s="30" t="str">
        <f>IF(Q11&gt;0,VLOOKUP(Q11,#REF!,16,TRUE),"NA")</f>
        <v>NA</v>
      </c>
      <c r="U11" s="96" t="str">
        <f>IF(Q11=0,"",VLOOKUP(S11,#REF!,1,TRUE))</f>
        <v/>
      </c>
      <c r="V11" s="96"/>
      <c r="W11" s="69" t="str">
        <f>INDEX('D1 - Master Project Table'!$A$1:$AK$7070,$B11,16)</f>
        <v>N</v>
      </c>
      <c r="X11" s="69" t="str">
        <f>INDEX('D1 - Master Project Table'!$A$1:$AK$7070,$B11,17)</f>
        <v>N</v>
      </c>
      <c r="Y11" s="69" t="str">
        <f>INDEX('D1 - Master Project Table'!$A$1:$AK$7070,$B11,18)</f>
        <v>N</v>
      </c>
      <c r="Z11" s="97"/>
      <c r="AA11" s="69" t="str">
        <f t="shared" ref="AA11:AA39" si="4">IF(AB11="NA","NA",U11-AB11)</f>
        <v>NA</v>
      </c>
      <c r="AB11" s="30" t="str">
        <f>IF(Q11=0,"NA",VLOOKUP(Q11,#REF!,3,TRUE))</f>
        <v>NA</v>
      </c>
      <c r="AC11" s="90"/>
      <c r="AD11" s="29" t="str">
        <f t="shared" ref="AD11:AD39" si="5">CONCATENATE(K11,M11,P11,R11)</f>
        <v>NoYesOOM</v>
      </c>
      <c r="AK11" s="24"/>
    </row>
    <row r="12" spans="1:37" ht="22.5" customHeight="1" x14ac:dyDescent="0.2">
      <c r="A12" s="28">
        <v>2</v>
      </c>
      <c r="B12" s="40">
        <f>MATCH(C12,'D1 - Master Project Table'!$D$1:$D$7056,0)</f>
        <v>229</v>
      </c>
      <c r="C12" s="177" t="s">
        <v>2527</v>
      </c>
      <c r="D12" s="29" t="str">
        <f>INDEX('D1 - Master Project Table'!$A$1:$AK$7056,$B12,5)</f>
        <v>TBS Provider Data Quality - EPDL &amp; P&amp;P</v>
      </c>
      <c r="E12" s="29">
        <f>INDEX('D1 - Master Project Table'!$A$1:$AK$7056,$B12,6)</f>
        <v>0</v>
      </c>
      <c r="F12" s="29" t="str">
        <f>INDEX('D1 - Master Project Table'!$A$1:$AK$7056,$B12,29)</f>
        <v>OptumHealth</v>
      </c>
      <c r="G12" s="29" t="str">
        <f>INDEX('D1 - Master Project Table'!$A$1:$AK$7012,$B12,8)</f>
        <v>2 - Not Scheduled</v>
      </c>
      <c r="H12" s="74"/>
      <c r="I12" s="34" t="str">
        <f t="shared" si="0"/>
        <v>No</v>
      </c>
      <c r="J12" s="92"/>
      <c r="K12" s="42" t="str">
        <f t="shared" si="1"/>
        <v>No</v>
      </c>
      <c r="L12" s="29" t="str">
        <f>INDEX('D1 - Master Project Table'!$A$1:$AK$7056,$B12,28)</f>
        <v>Return to Requestor</v>
      </c>
      <c r="M12" s="42" t="str">
        <f t="shared" si="2"/>
        <v>Yes</v>
      </c>
      <c r="N12" s="102">
        <f>INDEX('D1 - Master Project Table'!$A$1:$AK$7056,$B12,37)</f>
        <v>0</v>
      </c>
      <c r="O12" s="94">
        <f>INDEX('D1 - Master Project Table'!$A$1:$AK$7056,$B12,36)</f>
        <v>0</v>
      </c>
      <c r="P12" s="4">
        <f>INDEX('D1 - Master Project Table'!$A$1:$AK$7056,$B12,10)</f>
        <v>0</v>
      </c>
      <c r="Q12" s="30">
        <f>INDEX('D1 - Master Project Table'!$A$1:$AK$7056,$B12,9)</f>
        <v>0</v>
      </c>
      <c r="R12" s="96"/>
      <c r="S12" s="42" t="str">
        <f t="shared" si="3"/>
        <v>NA</v>
      </c>
      <c r="T12" s="30" t="str">
        <f>IF(Q12&gt;0,VLOOKUP(Q12,#REF!,16,TRUE),"NA")</f>
        <v>NA</v>
      </c>
      <c r="U12" s="96" t="str">
        <f>IF(Q12=0,"",VLOOKUP(S12,#REF!,1,TRUE))</f>
        <v/>
      </c>
      <c r="V12" s="96"/>
      <c r="W12" s="69" t="str">
        <f>INDEX('D1 - Master Project Table'!$A$1:$AK$7070,$B12,16)</f>
        <v>N</v>
      </c>
      <c r="X12" s="69" t="str">
        <f>INDEX('D1 - Master Project Table'!$A$1:$AK$7070,$B12,17)</f>
        <v>N</v>
      </c>
      <c r="Y12" s="69" t="str">
        <f>INDEX('D1 - Master Project Table'!$A$1:$AK$7070,$B12,18)</f>
        <v>N</v>
      </c>
      <c r="Z12" s="97"/>
      <c r="AA12" s="69" t="str">
        <f t="shared" si="4"/>
        <v>NA</v>
      </c>
      <c r="AB12" s="30" t="str">
        <f>IF(Q12=0,"NA",VLOOKUP(Q12,#REF!,3,TRUE))</f>
        <v>NA</v>
      </c>
      <c r="AC12" s="90"/>
      <c r="AD12" s="29" t="str">
        <f t="shared" si="5"/>
        <v>NoYes0</v>
      </c>
      <c r="AK12" s="24"/>
    </row>
    <row r="13" spans="1:37" ht="33.75" customHeight="1" x14ac:dyDescent="0.2">
      <c r="A13" s="28">
        <v>3</v>
      </c>
      <c r="B13" s="40">
        <f>MATCH(C13,'D1 - Master Project Table'!$D$1:$D$7056,0)</f>
        <v>230</v>
      </c>
      <c r="C13" s="177" t="s">
        <v>402</v>
      </c>
      <c r="D13" s="29" t="str">
        <f>INDEX('D1 - Master Project Table'!$A$1:$AK$7056,$B13,5)</f>
        <v>Emptoris Single step Provider Reassign 51.64</v>
      </c>
      <c r="E13" s="29">
        <f>INDEX('D1 - Master Project Table'!$A$1:$AK$7056,$B13,6)</f>
        <v>0</v>
      </c>
      <c r="F13" s="29" t="str">
        <f>INDEX('D1 - Master Project Table'!$A$1:$AK$7056,$B13,29)</f>
        <v>UnitedHealthcare Employer &amp; Individual</v>
      </c>
      <c r="G13" s="29" t="str">
        <f>INDEX('D1 - Master Project Table'!$A$1:$AK$7012,$B13,8)</f>
        <v>2 - Not Scheduled</v>
      </c>
      <c r="H13" s="74"/>
      <c r="I13" s="34" t="str">
        <f t="shared" si="0"/>
        <v>No</v>
      </c>
      <c r="J13" s="92"/>
      <c r="K13" s="42" t="str">
        <f t="shared" si="1"/>
        <v>No</v>
      </c>
      <c r="L13" s="29" t="str">
        <f>INDEX('D1 - Master Project Table'!$A$1:$AK$7056,$B13,28)</f>
        <v>Return to Requestor</v>
      </c>
      <c r="M13" s="42" t="str">
        <f t="shared" si="2"/>
        <v>Yes</v>
      </c>
      <c r="N13" s="102">
        <f>INDEX('D1 - Master Project Table'!$A$1:$AK$7056,$B13,37)</f>
        <v>0</v>
      </c>
      <c r="O13" s="94">
        <f>INDEX('D1 - Master Project Table'!$A$1:$AK$7056,$B13,36)</f>
        <v>0</v>
      </c>
      <c r="P13" s="4">
        <f>INDEX('D1 - Master Project Table'!$A$1:$AK$7056,$B13,10)</f>
        <v>0</v>
      </c>
      <c r="Q13" s="30">
        <f>INDEX('D1 - Master Project Table'!$A$1:$AK$7056,$B13,9)</f>
        <v>0</v>
      </c>
      <c r="R13" s="96"/>
      <c r="S13" s="42" t="str">
        <f t="shared" si="3"/>
        <v>NA</v>
      </c>
      <c r="T13" s="30" t="str">
        <f>IF(Q13&gt;0,VLOOKUP(Q13,#REF!,16,TRUE),"NA")</f>
        <v>NA</v>
      </c>
      <c r="U13" s="96" t="str">
        <f>IF(Q13=0,"",VLOOKUP(S13,#REF!,1,TRUE))</f>
        <v/>
      </c>
      <c r="V13" s="96"/>
      <c r="W13" s="69" t="str">
        <f>INDEX('D1 - Master Project Table'!$A$1:$AK$7070,$B13,16)</f>
        <v>N</v>
      </c>
      <c r="X13" s="69" t="str">
        <f>INDEX('D1 - Master Project Table'!$A$1:$AK$7070,$B13,17)</f>
        <v>Y</v>
      </c>
      <c r="Y13" s="69" t="str">
        <f>INDEX('D1 - Master Project Table'!$A$1:$AK$7070,$B13,18)</f>
        <v>N</v>
      </c>
      <c r="Z13" s="97"/>
      <c r="AA13" s="69" t="str">
        <f t="shared" si="4"/>
        <v>NA</v>
      </c>
      <c r="AB13" s="30" t="str">
        <f>IF(Q13=0,"NA",VLOOKUP(Q13,#REF!,3,TRUE))</f>
        <v>NA</v>
      </c>
      <c r="AC13" s="90"/>
      <c r="AD13" s="29" t="str">
        <f t="shared" si="5"/>
        <v>NoYes0</v>
      </c>
      <c r="AK13" s="24"/>
    </row>
    <row r="14" spans="1:37" ht="33.75" customHeight="1" x14ac:dyDescent="0.2">
      <c r="A14" s="28">
        <v>4</v>
      </c>
      <c r="B14" s="40">
        <f>MATCH(C14,'D1 - Master Project Table'!$D$1:$D$7056,0)</f>
        <v>231</v>
      </c>
      <c r="C14" s="177" t="s">
        <v>2778</v>
      </c>
      <c r="D14" s="29" t="str">
        <f>INDEX('D1 - Master Project Table'!$A$1:$AK$7056,$B14,5)</f>
        <v>Centralization of HSD tool</v>
      </c>
      <c r="E14" s="29">
        <f>INDEX('D1 - Master Project Table'!$A$1:$AK$7056,$B14,6)</f>
        <v>0</v>
      </c>
      <c r="F14" s="29" t="str">
        <f>INDEX('D1 - Master Project Table'!$A$1:$AK$7056,$B14,29)</f>
        <v>UnitedHealthcare Employer &amp; Individual</v>
      </c>
      <c r="G14" s="29" t="str">
        <f>INDEX('D1 - Master Project Table'!$A$1:$AK$7012,$B14,8)</f>
        <v>2 - Not Scheduled</v>
      </c>
      <c r="H14" s="74"/>
      <c r="I14" s="34" t="str">
        <f t="shared" si="0"/>
        <v>No</v>
      </c>
      <c r="J14" s="92"/>
      <c r="K14" s="42" t="str">
        <f t="shared" si="1"/>
        <v>No</v>
      </c>
      <c r="L14" s="29" t="str">
        <f>INDEX('D1 - Master Project Table'!$A$1:$AK$7056,$B14,28)</f>
        <v>In Funding</v>
      </c>
      <c r="M14" s="42" t="str">
        <f t="shared" si="2"/>
        <v>Yes</v>
      </c>
      <c r="N14" s="102">
        <f>INDEX('D1 - Master Project Table'!$A$1:$AK$7056,$B14,37)</f>
        <v>0</v>
      </c>
      <c r="O14" s="94">
        <f>INDEX('D1 - Master Project Table'!$A$1:$AK$7056,$B14,36)</f>
        <v>0</v>
      </c>
      <c r="P14" s="4">
        <f>INDEX('D1 - Master Project Table'!$A$1:$AK$7056,$B14,10)</f>
        <v>0</v>
      </c>
      <c r="Q14" s="30">
        <f>INDEX('D1 - Master Project Table'!$A$1:$AK$7056,$B14,9)</f>
        <v>0</v>
      </c>
      <c r="R14" s="96"/>
      <c r="S14" s="42" t="str">
        <f t="shared" si="3"/>
        <v>NA</v>
      </c>
      <c r="T14" s="30" t="str">
        <f>IF(Q14&gt;0,VLOOKUP(Q14,#REF!,16,TRUE),"NA")</f>
        <v>NA</v>
      </c>
      <c r="U14" s="96" t="str">
        <f>IF(Q14=0,"",VLOOKUP(S14,#REF!,1,TRUE))</f>
        <v/>
      </c>
      <c r="V14" s="96"/>
      <c r="W14" s="69" t="str">
        <f>INDEX('D1 - Master Project Table'!$A$1:$AK$7070,$B14,16)</f>
        <v>N</v>
      </c>
      <c r="X14" s="69" t="str">
        <f>INDEX('D1 - Master Project Table'!$A$1:$AK$7070,$B14,17)</f>
        <v>N</v>
      </c>
      <c r="Y14" s="69" t="str">
        <f>INDEX('D1 - Master Project Table'!$A$1:$AK$7070,$B14,18)</f>
        <v>N</v>
      </c>
      <c r="Z14" s="97"/>
      <c r="AA14" s="69" t="str">
        <f t="shared" si="4"/>
        <v>NA</v>
      </c>
      <c r="AB14" s="30" t="str">
        <f>IF(Q14=0,"NA",VLOOKUP(Q14,#REF!,3,TRUE))</f>
        <v>NA</v>
      </c>
      <c r="AC14" s="90"/>
      <c r="AD14" s="29" t="str">
        <f t="shared" si="5"/>
        <v>NoYes0</v>
      </c>
      <c r="AK14" s="24"/>
    </row>
    <row r="15" spans="1:37" ht="22.5" customHeight="1" x14ac:dyDescent="0.2">
      <c r="A15" s="28">
        <v>5</v>
      </c>
      <c r="B15" s="40">
        <f>MATCH(C15,'D1 - Master Project Table'!$D$1:$D$7056,0)</f>
        <v>232</v>
      </c>
      <c r="C15" s="177" t="s">
        <v>1410</v>
      </c>
      <c r="D15" s="29" t="str">
        <f>INDEX('D1 - Master Project Table'!$A$1:$AK$7056,$B15,5)</f>
        <v>Transparency: OHBS Providers CS-UHC Consumer Trans</v>
      </c>
      <c r="E15" s="29">
        <f>INDEX('D1 - Master Project Table'!$A$1:$AK$7056,$B15,6)</f>
        <v>0</v>
      </c>
      <c r="F15" s="29" t="str">
        <f>INDEX('D1 - Master Project Table'!$A$1:$AK$7056,$B15,29)</f>
        <v>OptumHealth</v>
      </c>
      <c r="G15" s="29" t="str">
        <f>INDEX('D1 - Master Project Table'!$A$1:$AK$7012,$B15,8)</f>
        <v>2 - Not Scheduled</v>
      </c>
      <c r="H15" s="74"/>
      <c r="I15" s="34" t="str">
        <f t="shared" si="0"/>
        <v>No</v>
      </c>
      <c r="J15" s="92"/>
      <c r="K15" s="42" t="str">
        <f t="shared" si="1"/>
        <v>Yes</v>
      </c>
      <c r="L15" s="29" t="str">
        <f>INDEX('D1 - Master Project Table'!$A$1:$AK$7056,$B15,28)</f>
        <v>In Estimating</v>
      </c>
      <c r="M15" s="42" t="str">
        <f t="shared" si="2"/>
        <v>Yes</v>
      </c>
      <c r="N15" s="102">
        <f>INDEX('D1 - Master Project Table'!$A$1:$AK$7056,$B15,37)</f>
        <v>0</v>
      </c>
      <c r="O15" s="94">
        <f>INDEX('D1 - Master Project Table'!$A$1:$AK$7056,$B15,36)</f>
        <v>0</v>
      </c>
      <c r="P15" s="4">
        <f>INDEX('D1 - Master Project Table'!$A$1:$AK$7056,$B15,10)</f>
        <v>0</v>
      </c>
      <c r="Q15" s="30">
        <f>INDEX('D1 - Master Project Table'!$A$1:$AK$7056,$B15,9)</f>
        <v>0</v>
      </c>
      <c r="R15" s="96"/>
      <c r="S15" s="42" t="str">
        <f t="shared" si="3"/>
        <v>NA</v>
      </c>
      <c r="T15" s="30" t="str">
        <f>IF(Q15&gt;0,VLOOKUP(Q15,#REF!,16,TRUE),"NA")</f>
        <v>NA</v>
      </c>
      <c r="U15" s="96" t="str">
        <f>IF(Q15=0,"",VLOOKUP(S15,#REF!,1,TRUE))</f>
        <v/>
      </c>
      <c r="V15" s="96"/>
      <c r="W15" s="69" t="str">
        <f>INDEX('D1 - Master Project Table'!$A$1:$AK$7070,$B15,16)</f>
        <v>Y</v>
      </c>
      <c r="X15" s="69" t="str">
        <f>INDEX('D1 - Master Project Table'!$A$1:$AK$7070,$B15,17)</f>
        <v>N</v>
      </c>
      <c r="Y15" s="69" t="str">
        <f>INDEX('D1 - Master Project Table'!$A$1:$AK$7070,$B15,18)</f>
        <v>Y</v>
      </c>
      <c r="Z15" s="97"/>
      <c r="AA15" s="69" t="str">
        <f t="shared" si="4"/>
        <v>NA</v>
      </c>
      <c r="AB15" s="30" t="str">
        <f>IF(Q15=0,"NA",VLOOKUP(Q15,#REF!,3,TRUE))</f>
        <v>NA</v>
      </c>
      <c r="AC15" s="90"/>
      <c r="AD15" s="29" t="str">
        <f t="shared" si="5"/>
        <v>YesYes0</v>
      </c>
      <c r="AK15" s="24"/>
    </row>
    <row r="16" spans="1:37" ht="33.75" customHeight="1" x14ac:dyDescent="0.2">
      <c r="A16" s="28">
        <v>6</v>
      </c>
      <c r="B16" s="40">
        <f>MATCH(C16,'D1 - Master Project Table'!$D$1:$D$7056,0)</f>
        <v>233</v>
      </c>
      <c r="C16" s="177" t="s">
        <v>1411</v>
      </c>
      <c r="D16" s="29" t="str">
        <f>INDEX('D1 - Master Project Table'!$A$1:$AK$7056,$B16,5)</f>
        <v>ORS ISSUES TO BE ASSIGNED SCREEN</v>
      </c>
      <c r="E16" s="29">
        <f>INDEX('D1 - Master Project Table'!$A$1:$AK$7056,$B16,6)</f>
        <v>0</v>
      </c>
      <c r="F16" s="29" t="str">
        <f>INDEX('D1 - Master Project Table'!$A$1:$AK$7056,$B16,29)</f>
        <v>UHG IT - Application Services Group</v>
      </c>
      <c r="G16" s="29" t="str">
        <f>INDEX('D1 - Master Project Table'!$A$1:$AK$7012,$B16,8)</f>
        <v>2 - Not Scheduled</v>
      </c>
      <c r="H16" s="74"/>
      <c r="I16" s="34" t="str">
        <f t="shared" si="0"/>
        <v>No</v>
      </c>
      <c r="J16" s="92"/>
      <c r="K16" s="42" t="str">
        <f t="shared" si="1"/>
        <v>No</v>
      </c>
      <c r="L16" s="29" t="str">
        <f>INDEX('D1 - Master Project Table'!$A$1:$AK$7056,$B16,28)</f>
        <v>In Funding</v>
      </c>
      <c r="M16" s="42" t="str">
        <f t="shared" si="2"/>
        <v>Yes</v>
      </c>
      <c r="N16" s="102">
        <f>INDEX('D1 - Master Project Table'!$A$1:$AK$7056,$B16,37)</f>
        <v>0</v>
      </c>
      <c r="O16" s="94">
        <f>INDEX('D1 - Master Project Table'!$A$1:$AK$7056,$B16,36)</f>
        <v>0</v>
      </c>
      <c r="P16" s="4">
        <f>INDEX('D1 - Master Project Table'!$A$1:$AK$7056,$B16,10)</f>
        <v>0</v>
      </c>
      <c r="Q16" s="30">
        <f>INDEX('D1 - Master Project Table'!$A$1:$AK$7056,$B16,9)</f>
        <v>0</v>
      </c>
      <c r="R16" s="96"/>
      <c r="S16" s="42" t="str">
        <f t="shared" si="3"/>
        <v>NA</v>
      </c>
      <c r="T16" s="30" t="str">
        <f>IF(Q16&gt;0,VLOOKUP(Q16,#REF!,16,TRUE),"NA")</f>
        <v>NA</v>
      </c>
      <c r="U16" s="96" t="str">
        <f>IF(Q16=0,"",VLOOKUP(S16,#REF!,1,TRUE))</f>
        <v/>
      </c>
      <c r="V16" s="96"/>
      <c r="W16" s="69" t="str">
        <f>INDEX('D1 - Master Project Table'!$A$1:$AK$7070,$B16,16)</f>
        <v>N</v>
      </c>
      <c r="X16" s="69" t="str">
        <f>INDEX('D1 - Master Project Table'!$A$1:$AK$7070,$B16,17)</f>
        <v>N</v>
      </c>
      <c r="Y16" s="69" t="str">
        <f>INDEX('D1 - Master Project Table'!$A$1:$AK$7070,$B16,18)</f>
        <v>N</v>
      </c>
      <c r="Z16" s="97"/>
      <c r="AA16" s="69" t="str">
        <f t="shared" si="4"/>
        <v>NA</v>
      </c>
      <c r="AB16" s="30" t="str">
        <f>IF(Q16=0,"NA",VLOOKUP(Q16,#REF!,3,TRUE))</f>
        <v>NA</v>
      </c>
      <c r="AC16" s="90"/>
      <c r="AD16" s="29" t="str">
        <f t="shared" si="5"/>
        <v>NoYes0</v>
      </c>
      <c r="AK16" s="24"/>
    </row>
    <row r="17" spans="1:37" ht="33.75" customHeight="1" x14ac:dyDescent="0.2">
      <c r="A17" s="28">
        <v>7</v>
      </c>
      <c r="B17" s="40">
        <f>MATCH(C17,'D1 - Master Project Table'!$D$1:$D$7056,0)</f>
        <v>234</v>
      </c>
      <c r="C17" s="177" t="s">
        <v>1696</v>
      </c>
      <c r="D17" s="29" t="str">
        <f>INDEX('D1 - Master Project Table'!$A$1:$AK$7056,$B17,5)</f>
        <v>Feed all C&amp;S Demographic data to CSP</v>
      </c>
      <c r="E17" s="29">
        <f>INDEX('D1 - Master Project Table'!$A$1:$AK$7056,$B17,6)</f>
        <v>0</v>
      </c>
      <c r="F17" s="29" t="str">
        <f>INDEX('D1 - Master Project Table'!$A$1:$AK$7056,$B17,29)</f>
        <v>UnitedHealthcare Community &amp; State</v>
      </c>
      <c r="G17" s="29" t="str">
        <f>INDEX('D1 - Master Project Table'!$A$1:$AK$7012,$B17,8)</f>
        <v>2 - Not Scheduled</v>
      </c>
      <c r="H17" s="74"/>
      <c r="I17" s="34" t="str">
        <f t="shared" si="0"/>
        <v>No</v>
      </c>
      <c r="J17" s="92"/>
      <c r="K17" s="42" t="str">
        <f t="shared" si="1"/>
        <v>No</v>
      </c>
      <c r="L17" s="29" t="str">
        <f>INDEX('D1 - Master Project Table'!$A$1:$AK$7056,$B17,28)</f>
        <v>In Funding</v>
      </c>
      <c r="M17" s="42" t="str">
        <f t="shared" si="2"/>
        <v>Yes</v>
      </c>
      <c r="N17" s="102">
        <f>INDEX('D1 - Master Project Table'!$A$1:$AK$7056,$B17,37)</f>
        <v>0</v>
      </c>
      <c r="O17" s="94">
        <f>INDEX('D1 - Master Project Table'!$A$1:$AK$7056,$B17,36)</f>
        <v>0</v>
      </c>
      <c r="P17" s="4">
        <f>INDEX('D1 - Master Project Table'!$A$1:$AK$7056,$B17,10)</f>
        <v>0</v>
      </c>
      <c r="Q17" s="30">
        <f>INDEX('D1 - Master Project Table'!$A$1:$AK$7056,$B17,9)</f>
        <v>0</v>
      </c>
      <c r="R17" s="96"/>
      <c r="S17" s="42" t="str">
        <f t="shared" si="3"/>
        <v>NA</v>
      </c>
      <c r="T17" s="30" t="str">
        <f>IF(Q17&gt;0,VLOOKUP(Q17,#REF!,16,TRUE),"NA")</f>
        <v>NA</v>
      </c>
      <c r="U17" s="96" t="str">
        <f>IF(Q17=0,"",VLOOKUP(S17,#REF!,1,TRUE))</f>
        <v/>
      </c>
      <c r="V17" s="96"/>
      <c r="W17" s="69" t="str">
        <f>INDEX('D1 - Master Project Table'!$A$1:$AK$7070,$B17,16)</f>
        <v>N</v>
      </c>
      <c r="X17" s="69" t="str">
        <f>INDEX('D1 - Master Project Table'!$A$1:$AK$7070,$B17,17)</f>
        <v>N</v>
      </c>
      <c r="Y17" s="69" t="str">
        <f>INDEX('D1 - Master Project Table'!$A$1:$AK$7070,$B17,18)</f>
        <v>N</v>
      </c>
      <c r="Z17" s="97"/>
      <c r="AA17" s="69" t="str">
        <f t="shared" si="4"/>
        <v>NA</v>
      </c>
      <c r="AB17" s="30" t="str">
        <f>IF(Q17=0,"NA",VLOOKUP(Q17,#REF!,3,TRUE))</f>
        <v>NA</v>
      </c>
      <c r="AC17" s="90"/>
      <c r="AD17" s="29" t="str">
        <f t="shared" si="5"/>
        <v>NoYes0</v>
      </c>
      <c r="AK17" s="24"/>
    </row>
    <row r="18" spans="1:37" ht="45" customHeight="1" x14ac:dyDescent="0.2">
      <c r="A18" s="28">
        <v>8</v>
      </c>
      <c r="B18" s="40">
        <f>MATCH(C18,'D1 - Master Project Table'!$D$1:$D$7056,0)</f>
        <v>235</v>
      </c>
      <c r="C18" s="177" t="s">
        <v>560</v>
      </c>
      <c r="D18" s="29" t="str">
        <f>INDEX('D1 - Master Project Table'!$A$1:$AK$7056,$B18,5)</f>
        <v>WO Add Divs to Lockout Code Report - Modify Prompt</v>
      </c>
      <c r="E18" s="29">
        <f>INDEX('D1 - Master Project Table'!$A$1:$AK$7056,$B18,6)</f>
        <v>0</v>
      </c>
      <c r="F18" s="29" t="str">
        <f>INDEX('D1 - Master Project Table'!$A$1:$AK$7056,$B18,29)</f>
        <v>OptumInsight</v>
      </c>
      <c r="G18" s="29" t="str">
        <f>INDEX('D1 - Master Project Table'!$A$1:$AK$7012,$B18,8)</f>
        <v>2 - Not Scheduled</v>
      </c>
      <c r="H18" s="74"/>
      <c r="I18" s="34" t="str">
        <f t="shared" si="0"/>
        <v>No</v>
      </c>
      <c r="J18" s="92"/>
      <c r="K18" s="42" t="str">
        <f t="shared" si="1"/>
        <v>No</v>
      </c>
      <c r="L18" s="29" t="str">
        <f>INDEX('D1 - Master Project Table'!$A$1:$AK$7056,$B18,28)</f>
        <v>In Program Manager Request Review</v>
      </c>
      <c r="M18" s="42" t="str">
        <f t="shared" si="2"/>
        <v>Yes</v>
      </c>
      <c r="N18" s="102">
        <f>INDEX('D1 - Master Project Table'!$A$1:$AK$7056,$B18,37)</f>
        <v>0</v>
      </c>
      <c r="O18" s="94">
        <f>INDEX('D1 - Master Project Table'!$A$1:$AK$7056,$B18,36)</f>
        <v>0</v>
      </c>
      <c r="P18" s="4">
        <f>INDEX('D1 - Master Project Table'!$A$1:$AK$7056,$B18,10)</f>
        <v>0</v>
      </c>
      <c r="Q18" s="30">
        <f>INDEX('D1 - Master Project Table'!$A$1:$AK$7056,$B18,9)</f>
        <v>0</v>
      </c>
      <c r="R18" s="96"/>
      <c r="S18" s="42" t="str">
        <f t="shared" si="3"/>
        <v>NA</v>
      </c>
      <c r="T18" s="30" t="str">
        <f>IF(Q18&gt;0,VLOOKUP(Q18,#REF!,16,TRUE),"NA")</f>
        <v>NA</v>
      </c>
      <c r="U18" s="96" t="str">
        <f>IF(Q18=0,"",VLOOKUP(S18,#REF!,1,TRUE))</f>
        <v/>
      </c>
      <c r="V18" s="96"/>
      <c r="W18" s="69" t="str">
        <f>INDEX('D1 - Master Project Table'!$A$1:$AK$7070,$B18,16)</f>
        <v>N</v>
      </c>
      <c r="X18" s="69" t="str">
        <f>INDEX('D1 - Master Project Table'!$A$1:$AK$7070,$B18,17)</f>
        <v>N</v>
      </c>
      <c r="Y18" s="69" t="str">
        <f>INDEX('D1 - Master Project Table'!$A$1:$AK$7070,$B18,18)</f>
        <v>N</v>
      </c>
      <c r="Z18" s="97"/>
      <c r="AA18" s="69" t="str">
        <f t="shared" si="4"/>
        <v>NA</v>
      </c>
      <c r="AB18" s="30" t="str">
        <f>IF(Q18=0,"NA",VLOOKUP(Q18,#REF!,3,TRUE))</f>
        <v>NA</v>
      </c>
      <c r="AC18" s="90"/>
      <c r="AD18" s="29" t="str">
        <f t="shared" si="5"/>
        <v>NoYes0</v>
      </c>
      <c r="AK18" s="24"/>
    </row>
    <row r="19" spans="1:37" ht="45" customHeight="1" x14ac:dyDescent="0.2">
      <c r="A19" s="28">
        <v>9</v>
      </c>
      <c r="B19" s="40">
        <f>MATCH(C19,'D1 - Master Project Table'!$D$1:$D$7056,0)</f>
        <v>212</v>
      </c>
      <c r="C19" s="177" t="s">
        <v>2178</v>
      </c>
      <c r="D19" s="29" t="str">
        <f>INDEX('D1 - Master Project Table'!$A$1:$AK$7056,$B19,5)</f>
        <v xml:space="preserve">WO NPI add to Unet ORBIT Frd &amp; Abus Non Par Prvdr </v>
      </c>
      <c r="E19" s="29">
        <f>INDEX('D1 - Master Project Table'!$A$1:$AK$7056,$B19,6)</f>
        <v>0</v>
      </c>
      <c r="F19" s="29" t="str">
        <f>INDEX('D1 - Master Project Table'!$A$1:$AK$7056,$B19,29)</f>
        <v>OptumInsight</v>
      </c>
      <c r="G19" s="29" t="str">
        <f>INDEX('D1 - Master Project Table'!$A$1:$AK$7012,$B19,8)</f>
        <v>2 - Not Scheduled</v>
      </c>
      <c r="H19" s="74"/>
      <c r="I19" s="34" t="str">
        <f t="shared" si="0"/>
        <v>No</v>
      </c>
      <c r="J19" s="92"/>
      <c r="K19" s="42" t="str">
        <f t="shared" si="1"/>
        <v>No</v>
      </c>
      <c r="L19" s="29" t="str">
        <f>INDEX('D1 - Master Project Table'!$A$1:$AK$7056,$B19,28)</f>
        <v>In Program Manager Request Review</v>
      </c>
      <c r="M19" s="42" t="str">
        <f t="shared" si="2"/>
        <v>Yes</v>
      </c>
      <c r="N19" s="102">
        <f>INDEX('D1 - Master Project Table'!$A$1:$AK$7056,$B19,37)</f>
        <v>0</v>
      </c>
      <c r="O19" s="94">
        <f>INDEX('D1 - Master Project Table'!$A$1:$AK$7056,$B19,36)</f>
        <v>0</v>
      </c>
      <c r="P19" s="4">
        <f>INDEX('D1 - Master Project Table'!$A$1:$AK$7056,$B19,10)</f>
        <v>0</v>
      </c>
      <c r="Q19" s="30">
        <f>INDEX('D1 - Master Project Table'!$A$1:$AK$7056,$B19,9)</f>
        <v>0</v>
      </c>
      <c r="R19" s="96"/>
      <c r="S19" s="42" t="str">
        <f t="shared" si="3"/>
        <v>NA</v>
      </c>
      <c r="T19" s="30" t="str">
        <f>IF(Q19&gt;0,VLOOKUP(Q19,#REF!,16,TRUE),"NA")</f>
        <v>NA</v>
      </c>
      <c r="U19" s="96" t="str">
        <f>IF(Q19=0,"",VLOOKUP(S19,#REF!,1,TRUE))</f>
        <v/>
      </c>
      <c r="V19" s="96"/>
      <c r="W19" s="69" t="str">
        <f>INDEX('D1 - Master Project Table'!$A$1:$AK$7070,$B19,16)</f>
        <v>N</v>
      </c>
      <c r="X19" s="69" t="str">
        <f>INDEX('D1 - Master Project Table'!$A$1:$AK$7070,$B19,17)</f>
        <v>N</v>
      </c>
      <c r="Y19" s="69" t="str">
        <f>INDEX('D1 - Master Project Table'!$A$1:$AK$7070,$B19,18)</f>
        <v>N</v>
      </c>
      <c r="Z19" s="97"/>
      <c r="AA19" s="69" t="str">
        <f t="shared" si="4"/>
        <v>NA</v>
      </c>
      <c r="AB19" s="30" t="str">
        <f>IF(Q19=0,"NA",VLOOKUP(Q19,#REF!,3,TRUE))</f>
        <v>NA</v>
      </c>
      <c r="AC19" s="90"/>
      <c r="AD19" s="29" t="str">
        <f t="shared" si="5"/>
        <v>NoYes0</v>
      </c>
      <c r="AK19" s="24"/>
    </row>
    <row r="20" spans="1:37" ht="45" customHeight="1" x14ac:dyDescent="0.2">
      <c r="A20" s="28">
        <v>10</v>
      </c>
      <c r="B20" s="40">
        <f>MATCH(C20,'D1 - Master Project Table'!$D$1:$D$7056,0)</f>
        <v>236</v>
      </c>
      <c r="C20" s="177" t="s">
        <v>3210</v>
      </c>
      <c r="D20" s="29" t="str">
        <f>INDEX('D1 - Master Project Table'!$A$1:$AK$7056,$B20,5)</f>
        <v>Integrated Test Environment Build Out - Charlie</v>
      </c>
      <c r="E20" s="29">
        <f>INDEX('D1 - Master Project Table'!$A$1:$AK$7056,$B20,6)</f>
        <v>0</v>
      </c>
      <c r="F20" s="29" t="str">
        <f>INDEX('D1 - Master Project Table'!$A$1:$AK$7056,$B20,29)</f>
        <v>UHG IT - Enterprise Technology Services</v>
      </c>
      <c r="G20" s="29" t="str">
        <f>INDEX('D1 - Master Project Table'!$A$1:$AK$7012,$B20,8)</f>
        <v>2 - Not Scheduled</v>
      </c>
      <c r="H20" s="74"/>
      <c r="I20" s="34" t="str">
        <f t="shared" si="0"/>
        <v>No</v>
      </c>
      <c r="J20" s="92"/>
      <c r="K20" s="42" t="str">
        <f t="shared" si="1"/>
        <v>Yes</v>
      </c>
      <c r="L20" s="29" t="str">
        <f>INDEX('D1 - Master Project Table'!$A$1:$AK$7056,$B20,28)</f>
        <v>In Estimating</v>
      </c>
      <c r="M20" s="42" t="str">
        <f t="shared" si="2"/>
        <v>Yes</v>
      </c>
      <c r="N20" s="102">
        <f>INDEX('D1 - Master Project Table'!$A$1:$AK$7056,$B20,37)</f>
        <v>0</v>
      </c>
      <c r="O20" s="94">
        <f>INDEX('D1 - Master Project Table'!$A$1:$AK$7056,$B20,36)</f>
        <v>0</v>
      </c>
      <c r="P20" s="4">
        <f>INDEX('D1 - Master Project Table'!$A$1:$AK$7056,$B20,10)</f>
        <v>0</v>
      </c>
      <c r="Q20" s="30">
        <f>INDEX('D1 - Master Project Table'!$A$1:$AK$7056,$B20,9)</f>
        <v>0</v>
      </c>
      <c r="R20" s="96"/>
      <c r="S20" s="42" t="str">
        <f t="shared" si="3"/>
        <v>NA</v>
      </c>
      <c r="T20" s="30" t="str">
        <f>IF(Q20&gt;0,VLOOKUP(Q20,#REF!,16,TRUE),"NA")</f>
        <v>NA</v>
      </c>
      <c r="U20" s="96" t="str">
        <f>IF(Q20=0,"",VLOOKUP(S20,#REF!,1,TRUE))</f>
        <v/>
      </c>
      <c r="V20" s="96"/>
      <c r="W20" s="69" t="str">
        <f>INDEX('D1 - Master Project Table'!$A$1:$AK$7070,$B20,16)</f>
        <v>Y</v>
      </c>
      <c r="X20" s="69" t="str">
        <f>INDEX('D1 - Master Project Table'!$A$1:$AK$7070,$B20,17)</f>
        <v>N</v>
      </c>
      <c r="Y20" s="69" t="str">
        <f>INDEX('D1 - Master Project Table'!$A$1:$AK$7070,$B20,18)</f>
        <v>Y</v>
      </c>
      <c r="Z20" s="97"/>
      <c r="AA20" s="69" t="str">
        <f t="shared" si="4"/>
        <v>NA</v>
      </c>
      <c r="AB20" s="30" t="str">
        <f>IF(Q20=0,"NA",VLOOKUP(Q20,#REF!,3,TRUE))</f>
        <v>NA</v>
      </c>
      <c r="AC20" s="90"/>
      <c r="AD20" s="29" t="str">
        <f t="shared" si="5"/>
        <v>YesYes0</v>
      </c>
      <c r="AK20" s="24"/>
    </row>
    <row r="21" spans="1:37" ht="45" customHeight="1" x14ac:dyDescent="0.2">
      <c r="A21" s="28">
        <v>11</v>
      </c>
      <c r="B21" s="40">
        <f>MATCH(C21,'D1 - Master Project Table'!$D$1:$D$7056,0)</f>
        <v>237</v>
      </c>
      <c r="C21" s="177" t="s">
        <v>739</v>
      </c>
      <c r="D21" s="29" t="str">
        <f>INDEX('D1 - Master Project Table'!$A$1:$AK$7056,$B21,5)</f>
        <v>Initiate Upgraded</v>
      </c>
      <c r="E21" s="29">
        <f>INDEX('D1 - Master Project Table'!$A$1:$AK$7056,$B21,6)</f>
        <v>0</v>
      </c>
      <c r="F21" s="29" t="str">
        <f>INDEX('D1 - Master Project Table'!$A$1:$AK$7056,$B21,29)</f>
        <v>UHG IT - Shared Services</v>
      </c>
      <c r="G21" s="29" t="str">
        <f>INDEX('D1 - Master Project Table'!$A$1:$AK$7012,$B21,8)</f>
        <v>2 - Not Scheduled</v>
      </c>
      <c r="H21" s="74"/>
      <c r="I21" s="34" t="str">
        <f t="shared" si="0"/>
        <v>No</v>
      </c>
      <c r="J21" s="92"/>
      <c r="K21" s="42" t="str">
        <f t="shared" si="1"/>
        <v>No</v>
      </c>
      <c r="L21" s="29" t="str">
        <f>INDEX('D1 - Master Project Table'!$A$1:$AK$7056,$B21,28)</f>
        <v>In Program Manager Request Review</v>
      </c>
      <c r="M21" s="42" t="str">
        <f t="shared" si="2"/>
        <v>Yes</v>
      </c>
      <c r="N21" s="102">
        <f>INDEX('D1 - Master Project Table'!$A$1:$AK$7056,$B21,37)</f>
        <v>0</v>
      </c>
      <c r="O21" s="94">
        <f>INDEX('D1 - Master Project Table'!$A$1:$AK$7056,$B21,36)</f>
        <v>0</v>
      </c>
      <c r="P21" s="4">
        <f>INDEX('D1 - Master Project Table'!$A$1:$AK$7056,$B21,10)</f>
        <v>0</v>
      </c>
      <c r="Q21" s="30">
        <f>INDEX('D1 - Master Project Table'!$A$1:$AK$7056,$B21,9)</f>
        <v>0</v>
      </c>
      <c r="R21" s="96"/>
      <c r="S21" s="42" t="str">
        <f t="shared" si="3"/>
        <v>NA</v>
      </c>
      <c r="T21" s="30" t="str">
        <f>IF(Q21&gt;0,VLOOKUP(Q21,#REF!,16,TRUE),"NA")</f>
        <v>NA</v>
      </c>
      <c r="U21" s="96" t="str">
        <f>IF(Q21=0,"",VLOOKUP(S21,#REF!,1,TRUE))</f>
        <v/>
      </c>
      <c r="V21" s="96"/>
      <c r="W21" s="69" t="str">
        <f>INDEX('D1 - Master Project Table'!$A$1:$AK$7070,$B21,16)</f>
        <v>N</v>
      </c>
      <c r="X21" s="69" t="str">
        <f>INDEX('D1 - Master Project Table'!$A$1:$AK$7070,$B21,17)</f>
        <v>N</v>
      </c>
      <c r="Y21" s="69" t="str">
        <f>INDEX('D1 - Master Project Table'!$A$1:$AK$7070,$B21,18)</f>
        <v>N</v>
      </c>
      <c r="Z21" s="97"/>
      <c r="AA21" s="69" t="str">
        <f t="shared" si="4"/>
        <v>NA</v>
      </c>
      <c r="AB21" s="30" t="str">
        <f>IF(Q21=0,"NA",VLOOKUP(Q21,#REF!,3,TRUE))</f>
        <v>NA</v>
      </c>
      <c r="AC21" s="90"/>
      <c r="AD21" s="29" t="str">
        <f t="shared" si="5"/>
        <v>NoYes0</v>
      </c>
      <c r="AK21" s="24"/>
    </row>
    <row r="22" spans="1:37" ht="33.75" customHeight="1" x14ac:dyDescent="0.2">
      <c r="A22" s="28">
        <v>12</v>
      </c>
      <c r="B22" s="40">
        <f>MATCH(C22,'D1 - Master Project Table'!$D$1:$D$7056,0)</f>
        <v>238</v>
      </c>
      <c r="C22" s="177" t="s">
        <v>2377</v>
      </c>
      <c r="D22" s="29" t="str">
        <f>INDEX('D1 - Master Project Table'!$A$1:$AK$7056,$B22,5)</f>
        <v>Moving XPF claims into MPQ process</v>
      </c>
      <c r="E22" s="29">
        <f>INDEX('D1 - Master Project Table'!$A$1:$AK$7056,$B22,6)</f>
        <v>0</v>
      </c>
      <c r="F22" s="29" t="str">
        <f>INDEX('D1 - Master Project Table'!$A$1:$AK$7056,$B22,29)</f>
        <v>UnitedHealthcare Community &amp; State</v>
      </c>
      <c r="G22" s="29" t="str">
        <f>INDEX('D1 - Master Project Table'!$A$1:$AK$7012,$B22,8)</f>
        <v>2 - Not Scheduled</v>
      </c>
      <c r="H22" s="74"/>
      <c r="I22" s="34" t="str">
        <f t="shared" si="0"/>
        <v>No</v>
      </c>
      <c r="J22" s="92"/>
      <c r="K22" s="42" t="str">
        <f t="shared" si="1"/>
        <v>No</v>
      </c>
      <c r="L22" s="29" t="str">
        <f>INDEX('D1 - Master Project Table'!$A$1:$AK$7056,$B22,28)</f>
        <v>In Funding</v>
      </c>
      <c r="M22" s="42" t="str">
        <f t="shared" si="2"/>
        <v>Yes</v>
      </c>
      <c r="N22" s="102">
        <f>INDEX('D1 - Master Project Table'!$A$1:$AK$7056,$B22,37)</f>
        <v>0</v>
      </c>
      <c r="O22" s="94">
        <f>INDEX('D1 - Master Project Table'!$A$1:$AK$7056,$B22,36)</f>
        <v>0</v>
      </c>
      <c r="P22" s="4">
        <f>INDEX('D1 - Master Project Table'!$A$1:$AK$7056,$B22,10)</f>
        <v>0</v>
      </c>
      <c r="Q22" s="30">
        <f>INDEX('D1 - Master Project Table'!$A$1:$AK$7056,$B22,9)</f>
        <v>0</v>
      </c>
      <c r="R22" s="96"/>
      <c r="S22" s="42" t="str">
        <f t="shared" si="3"/>
        <v>NA</v>
      </c>
      <c r="T22" s="30" t="str">
        <f>IF(Q22&gt;0,VLOOKUP(Q22,#REF!,16,TRUE),"NA")</f>
        <v>NA</v>
      </c>
      <c r="U22" s="96" t="str">
        <f>IF(Q22=0,"",VLOOKUP(S22,#REF!,1,TRUE))</f>
        <v/>
      </c>
      <c r="V22" s="96"/>
      <c r="W22" s="69" t="str">
        <f>INDEX('D1 - Master Project Table'!$A$1:$AK$7070,$B22,16)</f>
        <v>N</v>
      </c>
      <c r="X22" s="69" t="str">
        <f>INDEX('D1 - Master Project Table'!$A$1:$AK$7070,$B22,17)</f>
        <v>N</v>
      </c>
      <c r="Y22" s="69" t="str">
        <f>INDEX('D1 - Master Project Table'!$A$1:$AK$7070,$B22,18)</f>
        <v>N</v>
      </c>
      <c r="Z22" s="97"/>
      <c r="AA22" s="69" t="str">
        <f t="shared" si="4"/>
        <v>NA</v>
      </c>
      <c r="AB22" s="30" t="str">
        <f>IF(Q22=0,"NA",VLOOKUP(Q22,#REF!,3,TRUE))</f>
        <v>NA</v>
      </c>
      <c r="AC22" s="90"/>
      <c r="AD22" s="29" t="str">
        <f t="shared" si="5"/>
        <v>NoYes0</v>
      </c>
      <c r="AK22" s="24"/>
    </row>
    <row r="23" spans="1:37" ht="45" customHeight="1" x14ac:dyDescent="0.2">
      <c r="A23" s="28">
        <v>13</v>
      </c>
      <c r="B23" s="40">
        <f>MATCH(C23,'D1 - Master Project Table'!$D$1:$D$7056,0)</f>
        <v>239</v>
      </c>
      <c r="C23" s="177" t="s">
        <v>1464</v>
      </c>
      <c r="D23" s="29" t="str">
        <f>INDEX('D1 - Master Project Table'!$A$1:$AK$7056,$B23,5)</f>
        <v>Update Initiate from test to production</v>
      </c>
      <c r="E23" s="29">
        <f>INDEX('D1 - Master Project Table'!$A$1:$AK$7056,$B23,6)</f>
        <v>0</v>
      </c>
      <c r="F23" s="29" t="str">
        <f>INDEX('D1 - Master Project Table'!$A$1:$AK$7056,$B23,29)</f>
        <v>UHG IT - Shared Services</v>
      </c>
      <c r="G23" s="29" t="str">
        <f>INDEX('D1 - Master Project Table'!$A$1:$AK$7012,$B23,8)</f>
        <v>2 - Not Scheduled</v>
      </c>
      <c r="H23" s="74"/>
      <c r="I23" s="34" t="str">
        <f t="shared" si="0"/>
        <v>No</v>
      </c>
      <c r="J23" s="92"/>
      <c r="K23" s="42" t="str">
        <f t="shared" si="1"/>
        <v>No</v>
      </c>
      <c r="L23" s="29" t="str">
        <f>INDEX('D1 - Master Project Table'!$A$1:$AK$7056,$B23,28)</f>
        <v>In Funding</v>
      </c>
      <c r="M23" s="42" t="str">
        <f t="shared" si="2"/>
        <v>Yes</v>
      </c>
      <c r="N23" s="102">
        <f>INDEX('D1 - Master Project Table'!$A$1:$AK$7056,$B23,37)</f>
        <v>0</v>
      </c>
      <c r="O23" s="94">
        <f>INDEX('D1 - Master Project Table'!$A$1:$AK$7056,$B23,36)</f>
        <v>0</v>
      </c>
      <c r="P23" s="4">
        <f>INDEX('D1 - Master Project Table'!$A$1:$AK$7056,$B23,10)</f>
        <v>0</v>
      </c>
      <c r="Q23" s="30">
        <f>INDEX('D1 - Master Project Table'!$A$1:$AK$7056,$B23,9)</f>
        <v>0</v>
      </c>
      <c r="R23" s="96"/>
      <c r="S23" s="42" t="str">
        <f t="shared" si="3"/>
        <v>NA</v>
      </c>
      <c r="T23" s="30" t="str">
        <f>IF(Q23&gt;0,VLOOKUP(Q23,#REF!,16,TRUE),"NA")</f>
        <v>NA</v>
      </c>
      <c r="U23" s="96" t="str">
        <f>IF(Q23=0,"",VLOOKUP(S23,#REF!,1,TRUE))</f>
        <v/>
      </c>
      <c r="V23" s="96"/>
      <c r="W23" s="69" t="str">
        <f>INDEX('D1 - Master Project Table'!$A$1:$AK$7070,$B23,16)</f>
        <v>N</v>
      </c>
      <c r="X23" s="69" t="str">
        <f>INDEX('D1 - Master Project Table'!$A$1:$AK$7070,$B23,17)</f>
        <v>N</v>
      </c>
      <c r="Y23" s="69" t="str">
        <f>INDEX('D1 - Master Project Table'!$A$1:$AK$7070,$B23,18)</f>
        <v>N</v>
      </c>
      <c r="Z23" s="97"/>
      <c r="AA23" s="69" t="str">
        <f t="shared" si="4"/>
        <v>NA</v>
      </c>
      <c r="AB23" s="30" t="str">
        <f>IF(Q23=0,"NA",VLOOKUP(Q23,#REF!,3,TRUE))</f>
        <v>NA</v>
      </c>
      <c r="AC23" s="90"/>
      <c r="AD23" s="29" t="str">
        <f t="shared" si="5"/>
        <v>NoYes0</v>
      </c>
      <c r="AK23" s="24"/>
    </row>
    <row r="24" spans="1:37" ht="11.25" customHeight="1" x14ac:dyDescent="0.2">
      <c r="A24" s="28">
        <v>14</v>
      </c>
      <c r="B24" s="40">
        <f>MATCH(C24,'D1 - Master Project Table'!$D$1:$D$7056,0)</f>
        <v>242</v>
      </c>
      <c r="C24" s="177" t="s">
        <v>954</v>
      </c>
      <c r="D24" s="29" t="str">
        <f>INDEX('D1 - Master Project Table'!$A$1:$AK$7056,$B24,5)</f>
        <v>Oxford Commercial Migration - Pulse to UNET (AO)</v>
      </c>
      <c r="E24" s="29">
        <f>INDEX('D1 - Master Project Table'!$A$1:$AK$7056,$B24,6)</f>
        <v>0</v>
      </c>
      <c r="F24" s="29" t="str">
        <f>INDEX('D1 - Master Project Table'!$A$1:$AK$7056,$B24,29)</f>
        <v>UnitedHealthcare Employer &amp; Individual</v>
      </c>
      <c r="G24" s="29" t="str">
        <f>INDEX('D1 - Master Project Table'!$A$1:$AK$7012,$B24,8)</f>
        <v>2 - Not Scheduled</v>
      </c>
      <c r="H24" s="74"/>
      <c r="I24" s="34" t="str">
        <f t="shared" si="0"/>
        <v>No</v>
      </c>
      <c r="J24" s="92"/>
      <c r="K24" s="42" t="str">
        <f t="shared" si="1"/>
        <v>No</v>
      </c>
      <c r="L24" s="29" t="str">
        <f>INDEX('D1 - Master Project Table'!$A$1:$AK$7056,$B24,28)</f>
        <v>In Strategy Council</v>
      </c>
      <c r="M24" s="42" t="str">
        <f t="shared" si="2"/>
        <v>Yes</v>
      </c>
      <c r="N24" s="102">
        <f>INDEX('D1 - Master Project Table'!$A$1:$AK$7056,$B24,37)</f>
        <v>0</v>
      </c>
      <c r="O24" s="94">
        <f>INDEX('D1 - Master Project Table'!$A$1:$AK$7056,$B24,36)</f>
        <v>0</v>
      </c>
      <c r="P24" s="4">
        <f>INDEX('D1 - Master Project Table'!$A$1:$AK$7056,$B24,10)</f>
        <v>0</v>
      </c>
      <c r="Q24" s="30">
        <f>INDEX('D1 - Master Project Table'!$A$1:$AK$7056,$B24,9)</f>
        <v>0</v>
      </c>
      <c r="R24" s="96"/>
      <c r="S24" s="42" t="str">
        <f t="shared" si="3"/>
        <v>NA</v>
      </c>
      <c r="T24" s="30" t="str">
        <f>IF(Q24&gt;0,VLOOKUP(Q24,#REF!,16,TRUE),"NA")</f>
        <v>NA</v>
      </c>
      <c r="U24" s="96" t="str">
        <f>IF(Q24=0,"",VLOOKUP(S24,#REF!,1,TRUE))</f>
        <v/>
      </c>
      <c r="V24" s="96"/>
      <c r="W24" s="69" t="str">
        <f>INDEX('D1 - Master Project Table'!$A$1:$AK$7070,$B24,16)</f>
        <v>Y</v>
      </c>
      <c r="X24" s="69" t="str">
        <f>INDEX('D1 - Master Project Table'!$A$1:$AK$7070,$B24,17)</f>
        <v>N</v>
      </c>
      <c r="Y24" s="69" t="str">
        <f>INDEX('D1 - Master Project Table'!$A$1:$AK$7070,$B24,18)</f>
        <v>N</v>
      </c>
      <c r="Z24" s="97"/>
      <c r="AA24" s="69" t="str">
        <f t="shared" si="4"/>
        <v>NA</v>
      </c>
      <c r="AB24" s="30" t="str">
        <f>IF(Q24=0,"NA",VLOOKUP(Q24,#REF!,3,TRUE))</f>
        <v>NA</v>
      </c>
      <c r="AC24" s="90"/>
      <c r="AD24" s="29" t="str">
        <f t="shared" si="5"/>
        <v>NoYes0</v>
      </c>
      <c r="AK24" s="24"/>
    </row>
    <row r="25" spans="1:37" ht="11.25" customHeight="1" x14ac:dyDescent="0.2">
      <c r="A25" s="28">
        <v>17</v>
      </c>
      <c r="B25" s="40">
        <f>MATCH(C25,'D1 - Master Project Table'!$D$1:$D$7056,0)</f>
        <v>249</v>
      </c>
      <c r="C25" s="177" t="s">
        <v>344</v>
      </c>
      <c r="D25" s="29" t="str">
        <f>INDEX('D1 - Master Project Table'!$A$1:$AK$7056,$B25,5)</f>
        <v>Provider Decision Support Q1</v>
      </c>
      <c r="E25" s="29">
        <f>INDEX('D1 - Master Project Table'!$A$1:$AK$7056,$B25,6)</f>
        <v>0</v>
      </c>
      <c r="F25" s="29" t="str">
        <f>INDEX('D1 - Master Project Table'!$A$1:$AK$7056,$B25,29)</f>
        <v>OptumHealth</v>
      </c>
      <c r="G25" s="29" t="str">
        <f>INDEX('D1 - Master Project Table'!$A$1:$AK$7012,$B25,8)</f>
        <v>2 - Not Scheduled</v>
      </c>
      <c r="H25" s="74"/>
      <c r="I25" s="34" t="str">
        <f t="shared" si="0"/>
        <v>No</v>
      </c>
      <c r="J25" s="92"/>
      <c r="K25" s="42" t="str">
        <f t="shared" si="1"/>
        <v>Yes</v>
      </c>
      <c r="L25" s="29" t="str">
        <f>INDEX('D1 - Master Project Table'!$A$1:$AK$7056,$B25,28)</f>
        <v>In Estimating</v>
      </c>
      <c r="M25" s="42" t="str">
        <f t="shared" si="2"/>
        <v>Yes</v>
      </c>
      <c r="N25" s="102">
        <f>INDEX('D1 - Master Project Table'!$A$1:$AK$7056,$B25,37)</f>
        <v>0</v>
      </c>
      <c r="O25" s="94">
        <f>INDEX('D1 - Master Project Table'!$A$1:$AK$7056,$B25,36)</f>
        <v>0</v>
      </c>
      <c r="P25" s="4">
        <f>INDEX('D1 - Master Project Table'!$A$1:$AK$7056,$B25,10)</f>
        <v>0</v>
      </c>
      <c r="Q25" s="30">
        <f>INDEX('D1 - Master Project Table'!$A$1:$AK$7056,$B25,9)</f>
        <v>0</v>
      </c>
      <c r="R25" s="96"/>
      <c r="S25" s="42" t="str">
        <f t="shared" si="3"/>
        <v>NA</v>
      </c>
      <c r="T25" s="30" t="str">
        <f>IF(Q25&gt;0,VLOOKUP(Q25,#REF!,16,TRUE),"NA")</f>
        <v>NA</v>
      </c>
      <c r="U25" s="96" t="str">
        <f>IF(Q25=0,"",VLOOKUP(S25,#REF!,1,TRUE))</f>
        <v/>
      </c>
      <c r="V25" s="96"/>
      <c r="W25" s="69" t="str">
        <f>INDEX('D1 - Master Project Table'!$A$1:$AK$7070,$B25,16)</f>
        <v>N</v>
      </c>
      <c r="X25" s="69" t="str">
        <f>INDEX('D1 - Master Project Table'!$A$1:$AK$7070,$B25,17)</f>
        <v>N</v>
      </c>
      <c r="Y25" s="69" t="str">
        <f>INDEX('D1 - Master Project Table'!$A$1:$AK$7070,$B25,18)</f>
        <v>N</v>
      </c>
      <c r="Z25" s="97"/>
      <c r="AA25" s="69" t="str">
        <f t="shared" si="4"/>
        <v>NA</v>
      </c>
      <c r="AB25" s="30" t="str">
        <f>IF(Q25=0,"NA",VLOOKUP(Q25,#REF!,3,TRUE))</f>
        <v>NA</v>
      </c>
      <c r="AC25" s="90"/>
      <c r="AD25" s="29" t="str">
        <f t="shared" si="5"/>
        <v>YesYes0</v>
      </c>
      <c r="AK25" s="24"/>
    </row>
    <row r="26" spans="1:37" ht="11.25" customHeight="1" x14ac:dyDescent="0.2">
      <c r="A26" s="28">
        <v>18</v>
      </c>
      <c r="B26" s="40">
        <f>MATCH(C26,'D1 - Master Project Table'!$D$1:$D$7056,0)</f>
        <v>250</v>
      </c>
      <c r="C26" s="177" t="s">
        <v>345</v>
      </c>
      <c r="D26" s="29" t="str">
        <f>INDEX('D1 - Master Project Table'!$A$1:$AK$7056,$B26,5)</f>
        <v>Provider Decision Support Q2</v>
      </c>
      <c r="E26" s="29">
        <f>INDEX('D1 - Master Project Table'!$A$1:$AK$7056,$B26,6)</f>
        <v>0</v>
      </c>
      <c r="F26" s="29" t="str">
        <f>INDEX('D1 - Master Project Table'!$A$1:$AK$7056,$B26,29)</f>
        <v>OptumHealth</v>
      </c>
      <c r="G26" s="29" t="str">
        <f>INDEX('D1 - Master Project Table'!$A$1:$AK$7012,$B26,8)</f>
        <v>2 - Not Scheduled</v>
      </c>
      <c r="H26" s="74"/>
      <c r="I26" s="34" t="str">
        <f t="shared" si="0"/>
        <v>No</v>
      </c>
      <c r="J26" s="92"/>
      <c r="K26" s="42" t="str">
        <f t="shared" si="1"/>
        <v>No</v>
      </c>
      <c r="L26" s="29" t="str">
        <f>INDEX('D1 - Master Project Table'!$A$1:$AK$7056,$B26,28)</f>
        <v>In Program Manager Request Review</v>
      </c>
      <c r="M26" s="42" t="str">
        <f t="shared" si="2"/>
        <v>Yes</v>
      </c>
      <c r="N26" s="102">
        <f>INDEX('D1 - Master Project Table'!$A$1:$AK$7056,$B26,37)</f>
        <v>0</v>
      </c>
      <c r="O26" s="94">
        <f>INDEX('D1 - Master Project Table'!$A$1:$AK$7056,$B26,36)</f>
        <v>0</v>
      </c>
      <c r="P26" s="4">
        <f>INDEX('D1 - Master Project Table'!$A$1:$AK$7056,$B26,10)</f>
        <v>0</v>
      </c>
      <c r="Q26" s="30">
        <f>INDEX('D1 - Master Project Table'!$A$1:$AK$7056,$B26,9)</f>
        <v>0</v>
      </c>
      <c r="R26" s="96"/>
      <c r="S26" s="42" t="str">
        <f t="shared" si="3"/>
        <v>NA</v>
      </c>
      <c r="T26" s="30" t="str">
        <f>IF(Q26&gt;0,VLOOKUP(Q26,#REF!,16,TRUE),"NA")</f>
        <v>NA</v>
      </c>
      <c r="U26" s="96" t="str">
        <f>IF(Q26=0,"",VLOOKUP(S26,#REF!,1,TRUE))</f>
        <v/>
      </c>
      <c r="V26" s="96"/>
      <c r="W26" s="69" t="str">
        <f>INDEX('D1 - Master Project Table'!$A$1:$AK$7070,$B26,16)</f>
        <v>N</v>
      </c>
      <c r="X26" s="69" t="str">
        <f>INDEX('D1 - Master Project Table'!$A$1:$AK$7070,$B26,17)</f>
        <v>N</v>
      </c>
      <c r="Y26" s="69" t="str">
        <f>INDEX('D1 - Master Project Table'!$A$1:$AK$7070,$B26,18)</f>
        <v>N</v>
      </c>
      <c r="Z26" s="97"/>
      <c r="AA26" s="69" t="str">
        <f t="shared" si="4"/>
        <v>NA</v>
      </c>
      <c r="AB26" s="30" t="str">
        <f>IF(Q26=0,"NA",VLOOKUP(Q26,#REF!,3,TRUE))</f>
        <v>NA</v>
      </c>
      <c r="AC26" s="90"/>
      <c r="AD26" s="29" t="str">
        <f t="shared" si="5"/>
        <v>NoYes0</v>
      </c>
      <c r="AK26" s="24"/>
    </row>
    <row r="27" spans="1:37" ht="11.25" customHeight="1" x14ac:dyDescent="0.2">
      <c r="A27" s="28">
        <v>19</v>
      </c>
      <c r="B27" s="40">
        <f>MATCH(C27,'D1 - Master Project Table'!$D$1:$D$7056,0)</f>
        <v>251</v>
      </c>
      <c r="C27" s="177" t="s">
        <v>346</v>
      </c>
      <c r="D27" s="29" t="str">
        <f>INDEX('D1 - Master Project Table'!$A$1:$AK$7056,$B27,5)</f>
        <v>Provider Decision Support Q3</v>
      </c>
      <c r="E27" s="29">
        <f>INDEX('D1 - Master Project Table'!$A$1:$AK$7056,$B27,6)</f>
        <v>0</v>
      </c>
      <c r="F27" s="29" t="str">
        <f>INDEX('D1 - Master Project Table'!$A$1:$AK$7056,$B27,29)</f>
        <v>OptumHealth</v>
      </c>
      <c r="G27" s="29" t="str">
        <f>INDEX('D1 - Master Project Table'!$A$1:$AK$7012,$B27,8)</f>
        <v>2 - Not Scheduled</v>
      </c>
      <c r="H27" s="74"/>
      <c r="I27" s="34" t="str">
        <f t="shared" si="0"/>
        <v>No</v>
      </c>
      <c r="J27" s="92"/>
      <c r="K27" s="42" t="str">
        <f t="shared" si="1"/>
        <v>No</v>
      </c>
      <c r="L27" s="29" t="str">
        <f>INDEX('D1 - Master Project Table'!$A$1:$AK$7056,$B27,28)</f>
        <v>In Program Manager Request Review</v>
      </c>
      <c r="M27" s="42" t="str">
        <f t="shared" si="2"/>
        <v>Yes</v>
      </c>
      <c r="N27" s="102">
        <f>INDEX('D1 - Master Project Table'!$A$1:$AK$7056,$B27,37)</f>
        <v>0</v>
      </c>
      <c r="O27" s="94">
        <f>INDEX('D1 - Master Project Table'!$A$1:$AK$7056,$B27,36)</f>
        <v>0</v>
      </c>
      <c r="P27" s="4">
        <f>INDEX('D1 - Master Project Table'!$A$1:$AK$7056,$B27,10)</f>
        <v>0</v>
      </c>
      <c r="Q27" s="30">
        <f>INDEX('D1 - Master Project Table'!$A$1:$AK$7056,$B27,9)</f>
        <v>0</v>
      </c>
      <c r="R27" s="96"/>
      <c r="S27" s="42" t="str">
        <f t="shared" si="3"/>
        <v>NA</v>
      </c>
      <c r="T27" s="30" t="str">
        <f>IF(Q27&gt;0,VLOOKUP(Q27,#REF!,16,TRUE),"NA")</f>
        <v>NA</v>
      </c>
      <c r="U27" s="96" t="str">
        <f>IF(Q27=0,"",VLOOKUP(S27,#REF!,1,TRUE))</f>
        <v/>
      </c>
      <c r="V27" s="96"/>
      <c r="W27" s="69" t="str">
        <f>INDEX('D1 - Master Project Table'!$A$1:$AK$7070,$B27,16)</f>
        <v>N</v>
      </c>
      <c r="X27" s="69" t="str">
        <f>INDEX('D1 - Master Project Table'!$A$1:$AK$7070,$B27,17)</f>
        <v>N</v>
      </c>
      <c r="Y27" s="69" t="str">
        <f>INDEX('D1 - Master Project Table'!$A$1:$AK$7070,$B27,18)</f>
        <v>N</v>
      </c>
      <c r="Z27" s="97"/>
      <c r="AA27" s="69" t="str">
        <f t="shared" si="4"/>
        <v>NA</v>
      </c>
      <c r="AB27" s="30" t="str">
        <f>IF(Q27=0,"NA",VLOOKUP(Q27,#REF!,3,TRUE))</f>
        <v>NA</v>
      </c>
      <c r="AC27" s="90"/>
      <c r="AD27" s="29" t="str">
        <f t="shared" si="5"/>
        <v>NoYes0</v>
      </c>
      <c r="AK27" s="24"/>
    </row>
    <row r="28" spans="1:37" ht="11.25" customHeight="1" x14ac:dyDescent="0.2">
      <c r="A28" s="28">
        <v>20</v>
      </c>
      <c r="B28" s="40">
        <f>MATCH(C28,'D1 - Master Project Table'!$D$1:$D$7056,0)</f>
        <v>252</v>
      </c>
      <c r="C28" s="177" t="s">
        <v>347</v>
      </c>
      <c r="D28" s="29" t="str">
        <f>INDEX('D1 - Master Project Table'!$A$1:$AK$7056,$B28,5)</f>
        <v>Provider Decision Support Q4</v>
      </c>
      <c r="E28" s="29">
        <f>INDEX('D1 - Master Project Table'!$A$1:$AK$7056,$B28,6)</f>
        <v>0</v>
      </c>
      <c r="F28" s="29" t="str">
        <f>INDEX('D1 - Master Project Table'!$A$1:$AK$7056,$B28,29)</f>
        <v>OptumHealth</v>
      </c>
      <c r="G28" s="29" t="str">
        <f>INDEX('D1 - Master Project Table'!$A$1:$AK$7012,$B28,8)</f>
        <v>2 - Not Scheduled</v>
      </c>
      <c r="H28" s="74"/>
      <c r="I28" s="34" t="str">
        <f t="shared" si="0"/>
        <v>No</v>
      </c>
      <c r="J28" s="92"/>
      <c r="K28" s="42" t="str">
        <f t="shared" si="1"/>
        <v>Yes</v>
      </c>
      <c r="L28" s="29" t="str">
        <f>INDEX('D1 - Master Project Table'!$A$1:$AK$7056,$B28,28)</f>
        <v>In Estimating</v>
      </c>
      <c r="M28" s="42" t="str">
        <f t="shared" si="2"/>
        <v>Yes</v>
      </c>
      <c r="N28" s="102">
        <f>INDEX('D1 - Master Project Table'!$A$1:$AK$7056,$B28,37)</f>
        <v>0</v>
      </c>
      <c r="O28" s="94">
        <f>INDEX('D1 - Master Project Table'!$A$1:$AK$7056,$B28,36)</f>
        <v>0</v>
      </c>
      <c r="P28" s="4">
        <f>INDEX('D1 - Master Project Table'!$A$1:$AK$7056,$B28,10)</f>
        <v>0</v>
      </c>
      <c r="Q28" s="30">
        <f>INDEX('D1 - Master Project Table'!$A$1:$AK$7056,$B28,9)</f>
        <v>0</v>
      </c>
      <c r="R28" s="96"/>
      <c r="S28" s="42" t="str">
        <f t="shared" si="3"/>
        <v>NA</v>
      </c>
      <c r="T28" s="30" t="str">
        <f>IF(Q28&gt;0,VLOOKUP(Q28,#REF!,16,TRUE),"NA")</f>
        <v>NA</v>
      </c>
      <c r="U28" s="96" t="str">
        <f>IF(Q28=0,"",VLOOKUP(S28,#REF!,1,TRUE))</f>
        <v/>
      </c>
      <c r="V28" s="96"/>
      <c r="W28" s="69" t="str">
        <f>INDEX('D1 - Master Project Table'!$A$1:$AK$7070,$B28,16)</f>
        <v>N</v>
      </c>
      <c r="X28" s="69" t="str">
        <f>INDEX('D1 - Master Project Table'!$A$1:$AK$7070,$B28,17)</f>
        <v>N</v>
      </c>
      <c r="Y28" s="69" t="str">
        <f>INDEX('D1 - Master Project Table'!$A$1:$AK$7070,$B28,18)</f>
        <v>N</v>
      </c>
      <c r="Z28" s="97"/>
      <c r="AA28" s="69" t="str">
        <f t="shared" si="4"/>
        <v>NA</v>
      </c>
      <c r="AB28" s="30" t="str">
        <f>IF(Q28=0,"NA",VLOOKUP(Q28,#REF!,3,TRUE))</f>
        <v>NA</v>
      </c>
      <c r="AC28" s="90"/>
      <c r="AD28" s="29" t="str">
        <f t="shared" si="5"/>
        <v>YesYes0</v>
      </c>
      <c r="AK28" s="24"/>
    </row>
    <row r="29" spans="1:37" ht="11.25" customHeight="1" x14ac:dyDescent="0.2">
      <c r="A29" s="28">
        <v>22</v>
      </c>
      <c r="B29" s="40">
        <f>MATCH(C29,'D1 - Master Project Table'!$D$1:$D$7056,0)</f>
        <v>244</v>
      </c>
      <c r="C29" s="177" t="s">
        <v>6671</v>
      </c>
      <c r="D29" s="29" t="str">
        <f>INDEX('D1 - Master Project Table'!$A$1:$AK$7056,$B29,5)</f>
        <v>myHCE UnitedhealthOne integration</v>
      </c>
      <c r="E29" s="29">
        <f>INDEX('D1 - Master Project Table'!$A$1:$AK$7056,$B29,6)</f>
        <v>0</v>
      </c>
      <c r="F29" s="29" t="str">
        <f>INDEX('D1 - Master Project Table'!$A$1:$AK$7056,$B29,29)</f>
        <v>UnitedHealthcare Employer &amp; Individual</v>
      </c>
      <c r="G29" s="29" t="str">
        <f>INDEX('D1 - Master Project Table'!$A$1:$AK$7012,$B29,8)</f>
        <v>2 - Not Scheduled</v>
      </c>
      <c r="H29" s="74"/>
      <c r="I29" s="34" t="str">
        <f t="shared" si="0"/>
        <v>No</v>
      </c>
      <c r="J29" s="92"/>
      <c r="K29" s="42" t="str">
        <f t="shared" si="1"/>
        <v>Yes</v>
      </c>
      <c r="L29" s="29" t="str">
        <f>INDEX('D1 - Master Project Table'!$A$1:$AK$7056,$B29,28)</f>
        <v>In Estimating</v>
      </c>
      <c r="M29" s="42" t="str">
        <f t="shared" si="2"/>
        <v>Yes</v>
      </c>
      <c r="N29" s="102">
        <f>INDEX('D1 - Master Project Table'!$A$1:$AK$7056,$B29,37)</f>
        <v>0</v>
      </c>
      <c r="O29" s="94">
        <f>INDEX('D1 - Master Project Table'!$A$1:$AK$7056,$B29,36)</f>
        <v>0</v>
      </c>
      <c r="P29" s="4">
        <f>INDEX('D1 - Master Project Table'!$A$1:$AK$7056,$B29,10)</f>
        <v>0</v>
      </c>
      <c r="Q29" s="30">
        <f>INDEX('D1 - Master Project Table'!$A$1:$AK$7056,$B29,9)</f>
        <v>0</v>
      </c>
      <c r="R29" s="96"/>
      <c r="S29" s="42" t="str">
        <f t="shared" si="3"/>
        <v>NA</v>
      </c>
      <c r="T29" s="30" t="str">
        <f>IF(Q29&gt;0,VLOOKUP(Q29,#REF!,16,TRUE),"NA")</f>
        <v>NA</v>
      </c>
      <c r="U29" s="96" t="str">
        <f>IF(Q29=0,"",VLOOKUP(S29,#REF!,1,TRUE))</f>
        <v/>
      </c>
      <c r="V29" s="96"/>
      <c r="W29" s="69" t="str">
        <f>INDEX('D1 - Master Project Table'!$A$1:$AK$7070,$B29,16)</f>
        <v>N</v>
      </c>
      <c r="X29" s="69" t="str">
        <f>INDEX('D1 - Master Project Table'!$A$1:$AK$7070,$B29,17)</f>
        <v>N</v>
      </c>
      <c r="Y29" s="69" t="str">
        <f>INDEX('D1 - Master Project Table'!$A$1:$AK$7070,$B29,18)</f>
        <v>N</v>
      </c>
      <c r="Z29" s="97"/>
      <c r="AA29" s="69" t="str">
        <f t="shared" si="4"/>
        <v>NA</v>
      </c>
      <c r="AB29" s="30" t="str">
        <f>IF(Q29=0,"NA",VLOOKUP(Q29,#REF!,3,TRUE))</f>
        <v>NA</v>
      </c>
      <c r="AC29" s="90"/>
      <c r="AD29" s="29" t="str">
        <f t="shared" si="5"/>
        <v>YesYes0</v>
      </c>
      <c r="AK29" s="24"/>
    </row>
    <row r="30" spans="1:37" ht="11.25" customHeight="1" x14ac:dyDescent="0.2">
      <c r="A30" s="28">
        <v>23</v>
      </c>
      <c r="B30" s="40">
        <f>MATCH(C30,'D1 - Master Project Table'!$D$1:$D$7056,0)</f>
        <v>247</v>
      </c>
      <c r="C30" s="177" t="s">
        <v>6673</v>
      </c>
      <c r="D30" s="29" t="str">
        <f>INDEX('D1 - Master Project Table'!$A$1:$AK$7056,$B30,5)</f>
        <v>ICD-10 Partnership UHG Par Provider Verification</v>
      </c>
      <c r="E30" s="29">
        <f>INDEX('D1 - Master Project Table'!$A$1:$AK$7056,$B30,6)</f>
        <v>0</v>
      </c>
      <c r="F30" s="29" t="str">
        <f>INDEX('D1 - Master Project Table'!$A$1:$AK$7056,$B30,29)</f>
        <v>UnitedHealthcare Employer &amp; Individual</v>
      </c>
      <c r="G30" s="29" t="str">
        <f>INDEX('D1 - Master Project Table'!$A$1:$AK$7012,$B30,8)</f>
        <v>2 - Not Scheduled</v>
      </c>
      <c r="H30" s="74"/>
      <c r="I30" s="34" t="str">
        <f t="shared" si="0"/>
        <v>No</v>
      </c>
      <c r="J30" s="92"/>
      <c r="K30" s="42" t="str">
        <f t="shared" si="1"/>
        <v>No</v>
      </c>
      <c r="L30" s="29" t="str">
        <f>INDEX('D1 - Master Project Table'!$A$1:$AK$7056,$B30,28)</f>
        <v>In Program Manager Request Review</v>
      </c>
      <c r="M30" s="42" t="str">
        <f t="shared" si="2"/>
        <v>Yes</v>
      </c>
      <c r="N30" s="102">
        <f>INDEX('D1 - Master Project Table'!$A$1:$AK$7056,$B30,37)</f>
        <v>0</v>
      </c>
      <c r="O30" s="94">
        <f>INDEX('D1 - Master Project Table'!$A$1:$AK$7056,$B30,36)</f>
        <v>0</v>
      </c>
      <c r="P30" s="4">
        <f>INDEX('D1 - Master Project Table'!$A$1:$AK$7056,$B30,10)</f>
        <v>0</v>
      </c>
      <c r="Q30" s="30">
        <f>INDEX('D1 - Master Project Table'!$A$1:$AK$7056,$B30,9)</f>
        <v>0</v>
      </c>
      <c r="R30" s="96"/>
      <c r="S30" s="42" t="str">
        <f t="shared" si="3"/>
        <v>NA</v>
      </c>
      <c r="T30" s="30" t="str">
        <f>IF(Q30&gt;0,VLOOKUP(Q30,#REF!,16,TRUE),"NA")</f>
        <v>NA</v>
      </c>
      <c r="U30" s="96" t="str">
        <f>IF(Q30=0,"",VLOOKUP(S30,#REF!,1,TRUE))</f>
        <v/>
      </c>
      <c r="V30" s="96"/>
      <c r="W30" s="69" t="str">
        <f>INDEX('D1 - Master Project Table'!$A$1:$AK$7070,$B30,16)</f>
        <v>N</v>
      </c>
      <c r="X30" s="69" t="str">
        <f>INDEX('D1 - Master Project Table'!$A$1:$AK$7070,$B30,17)</f>
        <v>N</v>
      </c>
      <c r="Y30" s="69" t="str">
        <f>INDEX('D1 - Master Project Table'!$A$1:$AK$7070,$B30,18)</f>
        <v>N</v>
      </c>
      <c r="Z30" s="97"/>
      <c r="AA30" s="69" t="str">
        <f t="shared" si="4"/>
        <v>NA</v>
      </c>
      <c r="AB30" s="30" t="str">
        <f>IF(Q30=0,"NA",VLOOKUP(Q30,#REF!,3,TRUE))</f>
        <v>NA</v>
      </c>
      <c r="AC30" s="90"/>
      <c r="AD30" s="29" t="str">
        <f t="shared" si="5"/>
        <v>NoYes0</v>
      </c>
      <c r="AK30" s="24"/>
    </row>
    <row r="31" spans="1:37" ht="11.25" customHeight="1" x14ac:dyDescent="0.2">
      <c r="A31" s="28">
        <v>24</v>
      </c>
      <c r="B31" s="40">
        <f>MATCH(C31,'D1 - Master Project Table'!$D$1:$D$7056,0)</f>
        <v>257</v>
      </c>
      <c r="C31" s="177" t="s">
        <v>7905</v>
      </c>
      <c r="D31" s="29" t="str">
        <f>INDEX('D1 - Master Project Table'!$A$1:$AK$7056,$B31,5)</f>
        <v xml:space="preserve">Nebraska Medicaid ID Storage </v>
      </c>
      <c r="E31" s="29">
        <f>INDEX('D1 - Master Project Table'!$A$1:$AK$7056,$B31,6)</f>
        <v>0</v>
      </c>
      <c r="F31" s="29" t="str">
        <f>INDEX('D1 - Master Project Table'!$A$1:$AK$7056,$B31,29)</f>
        <v>UnitedHealthcare Community &amp; State</v>
      </c>
      <c r="G31" s="29" t="str">
        <f>INDEX('D1 - Master Project Table'!$A$1:$AK$7012,$B31,8)</f>
        <v>2 - Not Scheduled</v>
      </c>
      <c r="H31" s="74"/>
      <c r="I31" s="34" t="str">
        <f t="shared" si="0"/>
        <v>No</v>
      </c>
      <c r="J31" s="92"/>
      <c r="K31" s="42" t="str">
        <f t="shared" si="1"/>
        <v>Yes</v>
      </c>
      <c r="L31" s="29" t="str">
        <f>INDEX('D1 - Master Project Table'!$A$1:$AK$7056,$B31,28)</f>
        <v>Scheduled</v>
      </c>
      <c r="M31" s="42" t="str">
        <f t="shared" si="2"/>
        <v>Yes</v>
      </c>
      <c r="N31" s="102">
        <f>INDEX('D1 - Master Project Table'!$A$1:$AK$7056,$B31,37)</f>
        <v>0</v>
      </c>
      <c r="O31" s="94">
        <f>INDEX('D1 - Master Project Table'!$A$1:$AK$7056,$B31,36)</f>
        <v>0</v>
      </c>
      <c r="P31" s="4">
        <f>INDEX('D1 - Master Project Table'!$A$1:$AK$7056,$B31,10)</f>
        <v>0</v>
      </c>
      <c r="Q31" s="30">
        <f>INDEX('D1 - Master Project Table'!$A$1:$AK$7056,$B31,9)</f>
        <v>0</v>
      </c>
      <c r="R31" s="96"/>
      <c r="S31" s="42" t="str">
        <f t="shared" si="3"/>
        <v>NA</v>
      </c>
      <c r="T31" s="30" t="str">
        <f>IF(Q31&gt;0,VLOOKUP(Q31,#REF!,16,TRUE),"NA")</f>
        <v>NA</v>
      </c>
      <c r="U31" s="96" t="str">
        <f>IF(Q31=0,"",VLOOKUP(S31,#REF!,1,TRUE))</f>
        <v/>
      </c>
      <c r="V31" s="96"/>
      <c r="W31" s="69" t="str">
        <f>INDEX('D1 - Master Project Table'!$A$1:$AK$7070,$B31,16)</f>
        <v>N</v>
      </c>
      <c r="X31" s="69" t="str">
        <f>INDEX('D1 - Master Project Table'!$A$1:$AK$7070,$B31,17)</f>
        <v>N</v>
      </c>
      <c r="Y31" s="69" t="str">
        <f>INDEX('D1 - Master Project Table'!$A$1:$AK$7070,$B31,18)</f>
        <v>N</v>
      </c>
      <c r="Z31" s="97"/>
      <c r="AA31" s="69" t="str">
        <f t="shared" si="4"/>
        <v>NA</v>
      </c>
      <c r="AB31" s="30" t="str">
        <f>IF(Q31=0,"NA",VLOOKUP(Q31,#REF!,3,TRUE))</f>
        <v>NA</v>
      </c>
      <c r="AC31" s="90"/>
      <c r="AD31" s="29" t="str">
        <f t="shared" si="5"/>
        <v>YesYes0</v>
      </c>
      <c r="AK31" s="24"/>
    </row>
    <row r="32" spans="1:37" ht="11.25" customHeight="1" x14ac:dyDescent="0.2">
      <c r="A32" s="28">
        <v>25</v>
      </c>
      <c r="B32" s="40">
        <f>MATCH(C32,'D1 - Master Project Table'!$D$1:$D$7056,0)</f>
        <v>261</v>
      </c>
      <c r="C32" s="177" t="s">
        <v>7506</v>
      </c>
      <c r="D32" s="29" t="str">
        <f>INDEX('D1 - Master Project Table'!$A$1:$AK$7056,$B32,5)</f>
        <v xml:space="preserve">HCR- NICE: Plan Effective Date &amp; Field Length </v>
      </c>
      <c r="E32" s="29">
        <f>INDEX('D1 - Master Project Table'!$A$1:$AK$7056,$B32,6)</f>
        <v>0</v>
      </c>
      <c r="F32" s="29" t="str">
        <f>INDEX('D1 - Master Project Table'!$A$1:$AK$7056,$B32,29)</f>
        <v>UnitedHealthcare Employer &amp; Individual</v>
      </c>
      <c r="G32" s="29" t="str">
        <f>INDEX('D1 - Master Project Table'!$A$1:$AK$7012,$B32,8)</f>
        <v>2 - Not Scheduled</v>
      </c>
      <c r="H32" s="74"/>
      <c r="I32" s="34" t="str">
        <f t="shared" si="0"/>
        <v>No</v>
      </c>
      <c r="J32" s="92"/>
      <c r="K32" s="42" t="str">
        <f t="shared" si="1"/>
        <v>Yes</v>
      </c>
      <c r="L32" s="29" t="str">
        <f>INDEX('D1 - Master Project Table'!$A$1:$AK$7056,$B32,28)</f>
        <v>In Estimating</v>
      </c>
      <c r="M32" s="42" t="str">
        <f t="shared" si="2"/>
        <v>Yes</v>
      </c>
      <c r="N32" s="102">
        <f>INDEX('D1 - Master Project Table'!$A$1:$AK$7056,$B32,37)</f>
        <v>0</v>
      </c>
      <c r="O32" s="94">
        <f>INDEX('D1 - Master Project Table'!$A$1:$AK$7056,$B32,36)</f>
        <v>0</v>
      </c>
      <c r="P32" s="4">
        <f>INDEX('D1 - Master Project Table'!$A$1:$AK$7056,$B32,10)</f>
        <v>0</v>
      </c>
      <c r="Q32" s="30">
        <f>INDEX('D1 - Master Project Table'!$A$1:$AK$7056,$B32,9)</f>
        <v>0</v>
      </c>
      <c r="R32" s="96"/>
      <c r="S32" s="42" t="str">
        <f t="shared" si="3"/>
        <v>NA</v>
      </c>
      <c r="T32" s="30" t="str">
        <f>IF(Q32&gt;0,VLOOKUP(Q32,#REF!,16,TRUE),"NA")</f>
        <v>NA</v>
      </c>
      <c r="U32" s="96" t="str">
        <f>IF(Q32=0,"",VLOOKUP(S32,#REF!,1,TRUE))</f>
        <v/>
      </c>
      <c r="V32" s="96"/>
      <c r="W32" s="69" t="str">
        <f>INDEX('D1 - Master Project Table'!$A$1:$AK$7070,$B32,16)</f>
        <v>N</v>
      </c>
      <c r="X32" s="69" t="str">
        <f>INDEX('D1 - Master Project Table'!$A$1:$AK$7070,$B32,17)</f>
        <v>N</v>
      </c>
      <c r="Y32" s="69" t="str">
        <f>INDEX('D1 - Master Project Table'!$A$1:$AK$7070,$B32,18)</f>
        <v>N</v>
      </c>
      <c r="Z32" s="97"/>
      <c r="AA32" s="69" t="str">
        <f t="shared" si="4"/>
        <v>NA</v>
      </c>
      <c r="AB32" s="30" t="str">
        <f>IF(Q32=0,"NA",VLOOKUP(Q32,#REF!,3,TRUE))</f>
        <v>NA</v>
      </c>
      <c r="AC32" s="90"/>
      <c r="AD32" s="29" t="str">
        <f t="shared" si="5"/>
        <v>YesYes0</v>
      </c>
      <c r="AK32" s="24"/>
    </row>
    <row r="33" spans="1:37" ht="11.25" customHeight="1" x14ac:dyDescent="0.2">
      <c r="A33" s="28">
        <v>26</v>
      </c>
      <c r="B33" s="40">
        <f>MATCH(C33,'D1 - Master Project Table'!$D$1:$D$7056,0)</f>
        <v>260</v>
      </c>
      <c r="C33" s="177" t="s">
        <v>7507</v>
      </c>
      <c r="D33" s="29" t="str">
        <f>INDEX('D1 - Master Project Table'!$A$1:$AK$7056,$B33,5)</f>
        <v>NDC Provider Additions to EDI Submission Process</v>
      </c>
      <c r="E33" s="29">
        <f>INDEX('D1 - Master Project Table'!$A$1:$AK$7056,$B33,6)</f>
        <v>0</v>
      </c>
      <c r="F33" s="29" t="str">
        <f>INDEX('D1 - Master Project Table'!$A$1:$AK$7056,$B33,29)</f>
        <v>UnitedHealthcare Employer &amp; Individual</v>
      </c>
      <c r="G33" s="29" t="str">
        <f>INDEX('D1 - Master Project Table'!$A$1:$AK$7012,$B33,8)</f>
        <v>2 - Not Scheduled</v>
      </c>
      <c r="H33" s="74"/>
      <c r="I33" s="34" t="str">
        <f t="shared" si="0"/>
        <v>No</v>
      </c>
      <c r="J33" s="92"/>
      <c r="K33" s="42" t="str">
        <f t="shared" si="1"/>
        <v>Yes</v>
      </c>
      <c r="L33" s="29" t="str">
        <f>INDEX('D1 - Master Project Table'!$A$1:$AK$7056,$B33,28)</f>
        <v>In Estimating</v>
      </c>
      <c r="M33" s="42" t="str">
        <f t="shared" si="2"/>
        <v>Yes</v>
      </c>
      <c r="N33" s="102">
        <f>INDEX('D1 - Master Project Table'!$A$1:$AK$7056,$B33,37)</f>
        <v>0</v>
      </c>
      <c r="O33" s="94">
        <f>INDEX('D1 - Master Project Table'!$A$1:$AK$7056,$B33,36)</f>
        <v>0</v>
      </c>
      <c r="P33" s="4">
        <f>INDEX('D1 - Master Project Table'!$A$1:$AK$7056,$B33,10)</f>
        <v>0</v>
      </c>
      <c r="Q33" s="30">
        <f>INDEX('D1 - Master Project Table'!$A$1:$AK$7056,$B33,9)</f>
        <v>0</v>
      </c>
      <c r="R33" s="96"/>
      <c r="S33" s="42" t="str">
        <f t="shared" si="3"/>
        <v>NA</v>
      </c>
      <c r="T33" s="30" t="str">
        <f>IF(Q33&gt;0,VLOOKUP(Q33,#REF!,16,TRUE),"NA")</f>
        <v>NA</v>
      </c>
      <c r="U33" s="96" t="str">
        <f>IF(Q33=0,"",VLOOKUP(S33,#REF!,1,TRUE))</f>
        <v/>
      </c>
      <c r="V33" s="96"/>
      <c r="W33" s="69" t="str">
        <f>INDEX('D1 - Master Project Table'!$A$1:$AK$7070,$B33,16)</f>
        <v>N</v>
      </c>
      <c r="X33" s="69" t="str">
        <f>INDEX('D1 - Master Project Table'!$A$1:$AK$7070,$B33,17)</f>
        <v>N</v>
      </c>
      <c r="Y33" s="69" t="str">
        <f>INDEX('D1 - Master Project Table'!$A$1:$AK$7070,$B33,18)</f>
        <v>Y</v>
      </c>
      <c r="Z33" s="97"/>
      <c r="AA33" s="69" t="str">
        <f t="shared" si="4"/>
        <v>NA</v>
      </c>
      <c r="AB33" s="30" t="str">
        <f>IF(Q33=0,"NA",VLOOKUP(Q33,#REF!,3,TRUE))</f>
        <v>NA</v>
      </c>
      <c r="AC33" s="90"/>
      <c r="AD33" s="29" t="str">
        <f t="shared" si="5"/>
        <v>YesYes0</v>
      </c>
      <c r="AK33" s="24"/>
    </row>
    <row r="34" spans="1:37" ht="11.25" customHeight="1" x14ac:dyDescent="0.2">
      <c r="A34" s="28">
        <v>27</v>
      </c>
      <c r="B34" s="40">
        <f>MATCH(C34,'D1 - Master Project Table'!$D$1:$D$7056,0)</f>
        <v>241</v>
      </c>
      <c r="C34" s="177" t="s">
        <v>7724</v>
      </c>
      <c r="D34" s="29" t="str">
        <f>INDEX('D1 - Master Project Table'!$A$1:$AK$7056,$B34,5)</f>
        <v>HCR-Connect Exchanges</v>
      </c>
      <c r="E34" s="29">
        <f>INDEX('D1 - Master Project Table'!$A$1:$AK$7056,$B34,6)</f>
        <v>0</v>
      </c>
      <c r="F34" s="29" t="str">
        <f>INDEX('D1 - Master Project Table'!$A$1:$AK$7056,$B34,29)</f>
        <v>UnitedHealthcare Employer &amp; Individual</v>
      </c>
      <c r="G34" s="29" t="str">
        <f>INDEX('D1 - Master Project Table'!$A$1:$AK$7012,$B34,8)</f>
        <v>2 - Not Scheduled</v>
      </c>
      <c r="H34" s="74"/>
      <c r="I34" s="34" t="str">
        <f t="shared" si="0"/>
        <v>No</v>
      </c>
      <c r="J34" s="92"/>
      <c r="K34" s="42" t="str">
        <f t="shared" si="1"/>
        <v>Yes</v>
      </c>
      <c r="L34" s="29" t="str">
        <f>INDEX('D1 - Master Project Table'!$A$1:$AK$7056,$B34,28)</f>
        <v>In Estimating</v>
      </c>
      <c r="M34" s="42" t="str">
        <f t="shared" si="2"/>
        <v>Yes</v>
      </c>
      <c r="N34" s="102">
        <f>INDEX('D1 - Master Project Table'!$A$1:$AK$7056,$B34,37)</f>
        <v>0</v>
      </c>
      <c r="O34" s="94">
        <f>INDEX('D1 - Master Project Table'!$A$1:$AK$7056,$B34,36)</f>
        <v>0</v>
      </c>
      <c r="P34" s="4">
        <f>INDEX('D1 - Master Project Table'!$A$1:$AK$7056,$B34,10)</f>
        <v>0</v>
      </c>
      <c r="Q34" s="30">
        <f>INDEX('D1 - Master Project Table'!$A$1:$AK$7056,$B34,9)</f>
        <v>0</v>
      </c>
      <c r="R34" s="96"/>
      <c r="S34" s="42" t="str">
        <f t="shared" si="3"/>
        <v>NA</v>
      </c>
      <c r="T34" s="30" t="str">
        <f>IF(Q34&gt;0,VLOOKUP(Q34,#REF!,16,TRUE),"NA")</f>
        <v>NA</v>
      </c>
      <c r="U34" s="96" t="str">
        <f>IF(Q34=0,"",VLOOKUP(S34,#REF!,1,TRUE))</f>
        <v/>
      </c>
      <c r="V34" s="96"/>
      <c r="W34" s="69" t="str">
        <f>INDEX('D1 - Master Project Table'!$A$1:$AK$7070,$B34,16)</f>
        <v>Y</v>
      </c>
      <c r="X34" s="69" t="str">
        <f>INDEX('D1 - Master Project Table'!$A$1:$AK$7070,$B34,17)</f>
        <v>N</v>
      </c>
      <c r="Y34" s="69" t="str">
        <f>INDEX('D1 - Master Project Table'!$A$1:$AK$7070,$B34,18)</f>
        <v>N</v>
      </c>
      <c r="Z34" s="97"/>
      <c r="AA34" s="69" t="str">
        <f t="shared" si="4"/>
        <v>NA</v>
      </c>
      <c r="AB34" s="30" t="str">
        <f>IF(Q34=0,"NA",VLOOKUP(Q34,#REF!,3,TRUE))</f>
        <v>NA</v>
      </c>
      <c r="AC34" s="90"/>
      <c r="AD34" s="29" t="str">
        <f t="shared" si="5"/>
        <v>YesYes0</v>
      </c>
      <c r="AK34" s="24"/>
    </row>
    <row r="35" spans="1:37" ht="11.25" customHeight="1" x14ac:dyDescent="0.2">
      <c r="A35" s="28">
        <v>28</v>
      </c>
      <c r="B35" s="40">
        <f>MATCH(C35,'D1 - Master Project Table'!$D$1:$D$7056,0)</f>
        <v>256</v>
      </c>
      <c r="C35" s="177" t="s">
        <v>7725</v>
      </c>
      <c r="D35" s="29" t="str">
        <f>INDEX('D1 - Master Project Table'!$A$1:$AK$7056,$B35,5)</f>
        <v>Limited Rx Network ASO and FI</v>
      </c>
      <c r="E35" s="29">
        <f>INDEX('D1 - Master Project Table'!$A$1:$AK$7056,$B35,6)</f>
        <v>0</v>
      </c>
      <c r="F35" s="29" t="str">
        <f>INDEX('D1 - Master Project Table'!$A$1:$AK$7056,$B35,29)</f>
        <v>UnitedHealthcare Employer &amp; Individual</v>
      </c>
      <c r="G35" s="29" t="str">
        <f>INDEX('D1 - Master Project Table'!$A$1:$AK$7012,$B35,8)</f>
        <v>2 - Not Scheduled</v>
      </c>
      <c r="H35" s="74"/>
      <c r="I35" s="34" t="str">
        <f t="shared" si="0"/>
        <v>No</v>
      </c>
      <c r="J35" s="92"/>
      <c r="K35" s="42" t="str">
        <f t="shared" si="1"/>
        <v>No</v>
      </c>
      <c r="L35" s="29" t="str">
        <f>INDEX('D1 - Master Project Table'!$A$1:$AK$7056,$B35,28)</f>
        <v>In IT Leadership Estimate Review</v>
      </c>
      <c r="M35" s="42" t="str">
        <f t="shared" si="2"/>
        <v>Yes</v>
      </c>
      <c r="N35" s="102">
        <f>INDEX('D1 - Master Project Table'!$A$1:$AK$7056,$B35,37)</f>
        <v>0</v>
      </c>
      <c r="O35" s="94">
        <f>INDEX('D1 - Master Project Table'!$A$1:$AK$7056,$B35,36)</f>
        <v>0</v>
      </c>
      <c r="P35" s="4">
        <f>INDEX('D1 - Master Project Table'!$A$1:$AK$7056,$B35,10)</f>
        <v>0</v>
      </c>
      <c r="Q35" s="30">
        <f>INDEX('D1 - Master Project Table'!$A$1:$AK$7056,$B35,9)</f>
        <v>0</v>
      </c>
      <c r="R35" s="96"/>
      <c r="S35" s="42" t="str">
        <f t="shared" si="3"/>
        <v>NA</v>
      </c>
      <c r="T35" s="30" t="str">
        <f>IF(Q35&gt;0,VLOOKUP(Q35,#REF!,16,TRUE),"NA")</f>
        <v>NA</v>
      </c>
      <c r="U35" s="96" t="str">
        <f>IF(Q35=0,"",VLOOKUP(S35,#REF!,1,TRUE))</f>
        <v/>
      </c>
      <c r="V35" s="96"/>
      <c r="W35" s="69" t="str">
        <f>INDEX('D1 - Master Project Table'!$A$1:$AK$7070,$B35,16)</f>
        <v>Y</v>
      </c>
      <c r="X35" s="69" t="str">
        <f>INDEX('D1 - Master Project Table'!$A$1:$AK$7070,$B35,17)</f>
        <v>N</v>
      </c>
      <c r="Y35" s="69" t="str">
        <f>INDEX('D1 - Master Project Table'!$A$1:$AK$7070,$B35,18)</f>
        <v>N</v>
      </c>
      <c r="Z35" s="97"/>
      <c r="AA35" s="69" t="str">
        <f t="shared" si="4"/>
        <v>NA</v>
      </c>
      <c r="AB35" s="30" t="str">
        <f>IF(Q35=0,"NA",VLOOKUP(Q35,#REF!,3,TRUE))</f>
        <v>NA</v>
      </c>
      <c r="AC35" s="90"/>
      <c r="AD35" s="29" t="str">
        <f t="shared" si="5"/>
        <v>NoYes0</v>
      </c>
      <c r="AK35" s="24"/>
    </row>
    <row r="36" spans="1:37" ht="11.25" customHeight="1" x14ac:dyDescent="0.2">
      <c r="A36" s="28">
        <v>29</v>
      </c>
      <c r="B36" s="40">
        <f>MATCH(C36,'D1 - Master Project Table'!$D$1:$D$7056,0)</f>
        <v>246</v>
      </c>
      <c r="C36" s="177" t="s">
        <v>7188</v>
      </c>
      <c r="D36" s="29" t="str">
        <f>INDEX('D1 - Master Project Table'!$A$1:$AK$7056,$B36,5)</f>
        <v>myHCE - Support for Reverse Tiered Networks (Edge)</v>
      </c>
      <c r="E36" s="29">
        <f>INDEX('D1 - Master Project Table'!$A$1:$AK$7056,$B36,6)</f>
        <v>0</v>
      </c>
      <c r="F36" s="29" t="str">
        <f>INDEX('D1 - Master Project Table'!$A$1:$AK$7056,$B36,29)</f>
        <v>UnitedHealthcare Employer &amp; Individual</v>
      </c>
      <c r="G36" s="29" t="str">
        <f>INDEX('D1 - Master Project Table'!$A$1:$AK$7012,$B36,8)</f>
        <v>2 - Not Scheduled</v>
      </c>
      <c r="H36" s="74"/>
      <c r="I36" s="34" t="str">
        <f t="shared" si="0"/>
        <v>No</v>
      </c>
      <c r="J36" s="92"/>
      <c r="K36" s="42" t="str">
        <f t="shared" si="1"/>
        <v>Yes</v>
      </c>
      <c r="L36" s="29" t="str">
        <f>INDEX('D1 - Master Project Table'!$A$1:$AK$7056,$B36,28)</f>
        <v>In Estimating</v>
      </c>
      <c r="M36" s="42" t="str">
        <f t="shared" si="2"/>
        <v>Yes</v>
      </c>
      <c r="N36" s="102">
        <f>INDEX('D1 - Master Project Table'!$A$1:$AK$7056,$B36,37)</f>
        <v>0</v>
      </c>
      <c r="O36" s="94">
        <f>INDEX('D1 - Master Project Table'!$A$1:$AK$7056,$B36,36)</f>
        <v>0</v>
      </c>
      <c r="P36" s="4">
        <f>INDEX('D1 - Master Project Table'!$A$1:$AK$7056,$B36,10)</f>
        <v>0</v>
      </c>
      <c r="Q36" s="30">
        <f>INDEX('D1 - Master Project Table'!$A$1:$AK$7056,$B36,9)</f>
        <v>0</v>
      </c>
      <c r="R36" s="96"/>
      <c r="S36" s="42" t="str">
        <f t="shared" si="3"/>
        <v>NA</v>
      </c>
      <c r="T36" s="30" t="str">
        <f>IF(Q36&gt;0,VLOOKUP(Q36,#REF!,16,TRUE),"NA")</f>
        <v>NA</v>
      </c>
      <c r="U36" s="96" t="str">
        <f>IF(Q36=0,"",VLOOKUP(S36,#REF!,1,TRUE))</f>
        <v/>
      </c>
      <c r="V36" s="96"/>
      <c r="W36" s="69" t="str">
        <f>INDEX('D1 - Master Project Table'!$A$1:$AK$7070,$B36,16)</f>
        <v>N</v>
      </c>
      <c r="X36" s="69" t="str">
        <f>INDEX('D1 - Master Project Table'!$A$1:$AK$7070,$B36,17)</f>
        <v>N</v>
      </c>
      <c r="Y36" s="69" t="str">
        <f>INDEX('D1 - Master Project Table'!$A$1:$AK$7070,$B36,18)</f>
        <v>N</v>
      </c>
      <c r="Z36" s="97"/>
      <c r="AA36" s="69" t="str">
        <f t="shared" si="4"/>
        <v>NA</v>
      </c>
      <c r="AB36" s="30" t="str">
        <f>IF(Q36=0,"NA",VLOOKUP(Q36,#REF!,3,TRUE))</f>
        <v>NA</v>
      </c>
      <c r="AC36" s="90"/>
      <c r="AD36" s="29" t="str">
        <f t="shared" si="5"/>
        <v>YesYes0</v>
      </c>
      <c r="AK36" s="24"/>
    </row>
    <row r="37" spans="1:37" ht="11.25" customHeight="1" x14ac:dyDescent="0.2">
      <c r="A37" s="28">
        <v>30</v>
      </c>
      <c r="B37" s="40">
        <f>MATCH(C37,'D1 - Master Project Table'!$D$1:$D$7056,0)</f>
        <v>262</v>
      </c>
      <c r="C37" s="177" t="s">
        <v>7814</v>
      </c>
      <c r="D37" s="29" t="str">
        <f>INDEX('D1 - Master Project Table'!$A$1:$AK$7056,$B37,5)</f>
        <v>Medica - UHG HCR - Exchange - SHOP - C266 - 1</v>
      </c>
      <c r="E37" s="29">
        <f>INDEX('D1 - Master Project Table'!$A$1:$AK$7056,$B37,6)</f>
        <v>0</v>
      </c>
      <c r="F37" s="29" t="str">
        <f>INDEX('D1 - Master Project Table'!$A$1:$AK$7056,$B37,29)</f>
        <v>UHG IT - Shared Services</v>
      </c>
      <c r="G37" s="29" t="str">
        <f>INDEX('D1 - Master Project Table'!$A$1:$AK$7012,$B37,8)</f>
        <v>2 - Not Scheduled</v>
      </c>
      <c r="H37" s="74"/>
      <c r="I37" s="34" t="str">
        <f t="shared" si="0"/>
        <v>No</v>
      </c>
      <c r="J37" s="92"/>
      <c r="K37" s="42" t="str">
        <f t="shared" si="1"/>
        <v>Yes</v>
      </c>
      <c r="L37" s="29" t="str">
        <f>INDEX('D1 - Master Project Table'!$A$1:$AK$7056,$B37,28)</f>
        <v>Scheduled</v>
      </c>
      <c r="M37" s="42" t="str">
        <f t="shared" si="2"/>
        <v>Yes</v>
      </c>
      <c r="N37" s="102">
        <f>INDEX('D1 - Master Project Table'!$A$1:$AK$7056,$B37,37)</f>
        <v>0</v>
      </c>
      <c r="O37" s="94">
        <f>INDEX('D1 - Master Project Table'!$A$1:$AK$7056,$B37,36)</f>
        <v>0</v>
      </c>
      <c r="P37" s="4">
        <f>INDEX('D1 - Master Project Table'!$A$1:$AK$7056,$B37,10)</f>
        <v>0</v>
      </c>
      <c r="Q37" s="30">
        <f>INDEX('D1 - Master Project Table'!$A$1:$AK$7056,$B37,9)</f>
        <v>0</v>
      </c>
      <c r="R37" s="96"/>
      <c r="S37" s="42" t="str">
        <f t="shared" si="3"/>
        <v>NA</v>
      </c>
      <c r="T37" s="30" t="str">
        <f>IF(Q37&gt;0,VLOOKUP(Q37,#REF!,16,TRUE),"NA")</f>
        <v>NA</v>
      </c>
      <c r="U37" s="96" t="str">
        <f>IF(Q37=0,"",VLOOKUP(S37,#REF!,1,TRUE))</f>
        <v/>
      </c>
      <c r="V37" s="96"/>
      <c r="W37" s="69" t="str">
        <f>INDEX('D1 - Master Project Table'!$A$1:$AK$7070,$B37,16)</f>
        <v>N</v>
      </c>
      <c r="X37" s="69" t="str">
        <f>INDEX('D1 - Master Project Table'!$A$1:$AK$7070,$B37,17)</f>
        <v>N</v>
      </c>
      <c r="Y37" s="69" t="str">
        <f>INDEX('D1 - Master Project Table'!$A$1:$AK$7070,$B37,18)</f>
        <v>N</v>
      </c>
      <c r="Z37" s="97"/>
      <c r="AA37" s="69" t="str">
        <f t="shared" si="4"/>
        <v>NA</v>
      </c>
      <c r="AB37" s="30" t="str">
        <f>IF(Q37=0,"NA",VLOOKUP(Q37,#REF!,3,TRUE))</f>
        <v>NA</v>
      </c>
      <c r="AC37" s="90"/>
      <c r="AD37" s="29" t="str">
        <f t="shared" si="5"/>
        <v>YesYes0</v>
      </c>
      <c r="AK37" s="24"/>
    </row>
    <row r="38" spans="1:37" ht="11.25" customHeight="1" x14ac:dyDescent="0.2">
      <c r="A38" s="28">
        <v>31</v>
      </c>
      <c r="B38" s="40">
        <f>MATCH(C38,'D1 - Master Project Table'!$D$1:$D$7056,0)</f>
        <v>254</v>
      </c>
      <c r="C38" s="177" t="s">
        <v>589</v>
      </c>
      <c r="D38" s="29" t="str">
        <f>INDEX('D1 - Master Project Table'!$A$1:$AK$7056,$B38,5)</f>
        <v>Clinical Integration Acceleration</v>
      </c>
      <c r="E38" s="29">
        <f>INDEX('D1 - Master Project Table'!$A$1:$AK$7056,$B38,6)</f>
        <v>0</v>
      </c>
      <c r="F38" s="29" t="str">
        <f>INDEX('D1 - Master Project Table'!$A$1:$AK$7056,$B38,29)</f>
        <v>UnitedHealthcare Employer &amp; Individual</v>
      </c>
      <c r="G38" s="29" t="str">
        <f>INDEX('D1 - Master Project Table'!$A$1:$AK$7012,$B38,8)</f>
        <v>2 - Not Scheduled</v>
      </c>
      <c r="H38" s="74"/>
      <c r="I38" s="34" t="str">
        <f t="shared" si="0"/>
        <v>No</v>
      </c>
      <c r="J38" s="92"/>
      <c r="K38" s="42" t="str">
        <f t="shared" si="1"/>
        <v>Yes</v>
      </c>
      <c r="L38" s="29" t="str">
        <f>INDEX('D1 - Master Project Table'!$A$1:$AK$7056,$B38,28)</f>
        <v>Scheduled</v>
      </c>
      <c r="M38" s="42" t="str">
        <f t="shared" si="2"/>
        <v>Yes</v>
      </c>
      <c r="N38" s="102">
        <f>INDEX('D1 - Master Project Table'!$A$1:$AK$7056,$B38,37)</f>
        <v>0</v>
      </c>
      <c r="O38" s="94">
        <f>INDEX('D1 - Master Project Table'!$A$1:$AK$7056,$B38,36)</f>
        <v>0</v>
      </c>
      <c r="P38" s="4">
        <f>INDEX('D1 - Master Project Table'!$A$1:$AK$7056,$B38,10)</f>
        <v>0</v>
      </c>
      <c r="Q38" s="30">
        <f>INDEX('D1 - Master Project Table'!$A$1:$AK$7056,$B38,9)</f>
        <v>0</v>
      </c>
      <c r="R38" s="96"/>
      <c r="S38" s="42" t="str">
        <f t="shared" si="3"/>
        <v>NA</v>
      </c>
      <c r="T38" s="30" t="str">
        <f>IF(Q38&gt;0,VLOOKUP(Q38,#REF!,16,TRUE),"NA")</f>
        <v>NA</v>
      </c>
      <c r="U38" s="96" t="str">
        <f>IF(Q38=0,"",VLOOKUP(S38,#REF!,1,TRUE))</f>
        <v/>
      </c>
      <c r="V38" s="96"/>
      <c r="W38" s="69" t="str">
        <f>INDEX('D1 - Master Project Table'!$A$1:$AK$7070,$B38,16)</f>
        <v>N</v>
      </c>
      <c r="X38" s="69" t="str">
        <f>INDEX('D1 - Master Project Table'!$A$1:$AK$7070,$B38,17)</f>
        <v>N</v>
      </c>
      <c r="Y38" s="69" t="str">
        <f>INDEX('D1 - Master Project Table'!$A$1:$AK$7070,$B38,18)</f>
        <v>N</v>
      </c>
      <c r="Z38" s="97"/>
      <c r="AA38" s="69" t="str">
        <f t="shared" si="4"/>
        <v>NA</v>
      </c>
      <c r="AB38" s="30" t="str">
        <f>IF(Q38=0,"NA",VLOOKUP(Q38,#REF!,3,TRUE))</f>
        <v>NA</v>
      </c>
      <c r="AC38" s="90"/>
      <c r="AD38" s="29" t="str">
        <f t="shared" si="5"/>
        <v>YesYes0</v>
      </c>
      <c r="AK38" s="24"/>
    </row>
    <row r="39" spans="1:37" ht="11.25" customHeight="1" x14ac:dyDescent="0.2">
      <c r="A39" s="28">
        <v>32</v>
      </c>
      <c r="B39" s="40">
        <f>MATCH(C39,'D1 - Master Project Table'!$D$1:$D$7056,0)</f>
        <v>265</v>
      </c>
      <c r="C39" s="177" t="s">
        <v>7672</v>
      </c>
      <c r="D39" s="29" t="str">
        <f>INDEX('D1 - Master Project Table'!$A$1:$AK$7056,$B39,5)</f>
        <v>PLM CDB 2013 - AD</v>
      </c>
      <c r="E39" s="29">
        <f>INDEX('D1 - Master Project Table'!$A$1:$AK$7056,$B39,6)</f>
        <v>0</v>
      </c>
      <c r="F39" s="29" t="str">
        <f>INDEX('D1 - Master Project Table'!$A$1:$AK$7056,$B39,29)</f>
        <v>UnitedHealthcare Employer &amp; Individual</v>
      </c>
      <c r="G39" s="29" t="str">
        <f>INDEX('D1 - Master Project Table'!$A$1:$AK$7012,$B39,8)</f>
        <v>2 - Not Scheduled</v>
      </c>
      <c r="H39" s="74"/>
      <c r="I39" s="34" t="str">
        <f t="shared" si="0"/>
        <v>No</v>
      </c>
      <c r="J39" s="92"/>
      <c r="K39" s="42" t="str">
        <f t="shared" si="1"/>
        <v>No</v>
      </c>
      <c r="L39" s="29" t="str">
        <f>INDEX('D1 - Master Project Table'!$A$1:$AK$7056,$B39,28)</f>
        <v>In IT Leadership Estimate Review</v>
      </c>
      <c r="M39" s="42" t="str">
        <f t="shared" si="2"/>
        <v>Yes</v>
      </c>
      <c r="N39" s="102">
        <f>INDEX('D1 - Master Project Table'!$A$1:$AK$7056,$B39,37)</f>
        <v>0</v>
      </c>
      <c r="O39" s="94">
        <f>INDEX('D1 - Master Project Table'!$A$1:$AK$7056,$B39,36)</f>
        <v>0</v>
      </c>
      <c r="P39" s="4">
        <f>INDEX('D1 - Master Project Table'!$A$1:$AK$7056,$B39,10)</f>
        <v>0</v>
      </c>
      <c r="Q39" s="30">
        <f>INDEX('D1 - Master Project Table'!$A$1:$AK$7056,$B39,9)</f>
        <v>0</v>
      </c>
      <c r="R39" s="96"/>
      <c r="S39" s="42" t="str">
        <f t="shared" si="3"/>
        <v>NA</v>
      </c>
      <c r="T39" s="30" t="str">
        <f>IF(Q39&gt;0,VLOOKUP(Q39,#REF!,16,TRUE),"NA")</f>
        <v>NA</v>
      </c>
      <c r="U39" s="96" t="str">
        <f>IF(Q39=0,"",VLOOKUP(S39,#REF!,1,TRUE))</f>
        <v/>
      </c>
      <c r="V39" s="96"/>
      <c r="W39" s="69" t="str">
        <f>INDEX('D1 - Master Project Table'!$A$1:$AK$7070,$B39,16)</f>
        <v>N</v>
      </c>
      <c r="X39" s="69" t="str">
        <f>INDEX('D1 - Master Project Table'!$A$1:$AK$7070,$B39,17)</f>
        <v>N</v>
      </c>
      <c r="Y39" s="69" t="str">
        <f>INDEX('D1 - Master Project Table'!$A$1:$AK$7070,$B39,18)</f>
        <v>N</v>
      </c>
      <c r="Z39" s="97"/>
      <c r="AA39" s="69" t="str">
        <f t="shared" si="4"/>
        <v>NA</v>
      </c>
      <c r="AB39" s="30" t="str">
        <f>IF(Q39=0,"NA",VLOOKUP(Q39,#REF!,3,TRUE))</f>
        <v>NA</v>
      </c>
      <c r="AC39" s="90"/>
      <c r="AD39" s="29" t="str">
        <f t="shared" si="5"/>
        <v>NoYes0</v>
      </c>
      <c r="AK39" s="24"/>
    </row>
    <row r="40" spans="1:37" ht="11.25" customHeight="1" x14ac:dyDescent="0.2">
      <c r="A40" s="28">
        <v>34</v>
      </c>
      <c r="B40" s="40">
        <f>MATCH(C40,'D1 - Master Project Table'!$D$1:$D$7056,0)</f>
        <v>264</v>
      </c>
      <c r="C40" s="177" t="s">
        <v>85</v>
      </c>
      <c r="D40" s="29" t="str">
        <f>INDEX('D1 - Master Project Table'!$A$1:$AK$7056,$B40,5)</f>
        <v>PLM EEMS 2013 - Full AD effort</v>
      </c>
      <c r="E40" s="29">
        <f>INDEX('D1 - Master Project Table'!$A$1:$AK$7056,$B40,6)</f>
        <v>0</v>
      </c>
      <c r="F40" s="29" t="str">
        <f>INDEX('D1 - Master Project Table'!$A$1:$AK$7056,$B40,29)</f>
        <v>UnitedHealthcare Employer &amp; Individual</v>
      </c>
      <c r="G40" s="29" t="str">
        <f>INDEX('D1 - Master Project Table'!$A$1:$AK$7012,$B40,8)</f>
        <v>2 - Not Scheduled</v>
      </c>
      <c r="H40" s="74"/>
      <c r="I40" s="34" t="str">
        <f t="shared" ref="I40:I64" si="6">IF(AD40="YesYesOOMYes","Yes",IF(AD40="YesNROOMYes","Yes",IF(AD40="YesYesPlaceholderYes","Yes",IF(AD40="YesNRPlaceholderYes","Yes","No"))))</f>
        <v>No</v>
      </c>
      <c r="J40" s="92"/>
      <c r="K40" s="42" t="str">
        <f t="shared" ref="K40:K64" si="7">IF(L40="Scheduled","Yes",IF(L40="In Estimating", "Yes","No"))</f>
        <v>No</v>
      </c>
      <c r="L40" s="29" t="str">
        <f>INDEX('D1 - Master Project Table'!$A$1:$AK$7056,$B40,28)</f>
        <v>In IT Leadership Estimate Review</v>
      </c>
      <c r="M40" s="42" t="str">
        <f t="shared" ref="M40:M64" si="8">IF(OR(N40="NA",N40="IP"),"No","Yes")</f>
        <v>Yes</v>
      </c>
      <c r="N40" s="102">
        <f>INDEX('D1 - Master Project Table'!$A$1:$AK$7056,$B40,37)</f>
        <v>0</v>
      </c>
      <c r="O40" s="94">
        <f>INDEX('D1 - Master Project Table'!$A$1:$AK$7056,$B40,36)</f>
        <v>0</v>
      </c>
      <c r="P40" s="4">
        <f>INDEX('D1 - Master Project Table'!$A$1:$AK$7056,$B40,10)</f>
        <v>0</v>
      </c>
      <c r="Q40" s="30">
        <f>INDEX('D1 - Master Project Table'!$A$1:$AK$7056,$B40,9)</f>
        <v>0</v>
      </c>
      <c r="R40" s="96"/>
      <c r="S40" s="42" t="str">
        <f t="shared" ref="S40:S64" si="9">IF(Q40=0,"NA",$AA$6+T40)</f>
        <v>NA</v>
      </c>
      <c r="T40" s="30" t="str">
        <f>IF(Q40&gt;0,VLOOKUP(Q40,#REF!,16,TRUE),"NA")</f>
        <v>NA</v>
      </c>
      <c r="U40" s="96" t="str">
        <f>IF(Q40=0,"",VLOOKUP(S40,#REF!,1,TRUE))</f>
        <v/>
      </c>
      <c r="V40" s="96"/>
      <c r="W40" s="69" t="str">
        <f>INDEX('D1 - Master Project Table'!$A$1:$AK$7070,$B40,16)</f>
        <v>N</v>
      </c>
      <c r="X40" s="69" t="str">
        <f>INDEX('D1 - Master Project Table'!$A$1:$AK$7070,$B40,17)</f>
        <v>N</v>
      </c>
      <c r="Y40" s="69" t="str">
        <f>INDEX('D1 - Master Project Table'!$A$1:$AK$7070,$B40,18)</f>
        <v>N</v>
      </c>
      <c r="Z40" s="97"/>
      <c r="AA40" s="69" t="str">
        <f t="shared" ref="AA40:AA64" si="10">IF(AB40="NA","NA",U40-AB40)</f>
        <v>NA</v>
      </c>
      <c r="AB40" s="30" t="str">
        <f>IF(Q40=0,"NA",VLOOKUP(Q40,#REF!,3,TRUE))</f>
        <v>NA</v>
      </c>
      <c r="AC40" s="90"/>
      <c r="AD40" s="29" t="str">
        <f t="shared" ref="AD40:AD64" si="11">CONCATENATE(K40,M40,P40,R40)</f>
        <v>NoYes0</v>
      </c>
      <c r="AK40" s="24"/>
    </row>
    <row r="41" spans="1:37" ht="11.25" customHeight="1" x14ac:dyDescent="0.2">
      <c r="A41" s="28">
        <v>35</v>
      </c>
      <c r="B41" s="40">
        <f>MATCH(C41,'D1 - Master Project Table'!$D$1:$D$7056,0)</f>
        <v>266</v>
      </c>
      <c r="C41" s="177" t="s">
        <v>8855</v>
      </c>
      <c r="D41" s="29" t="str">
        <f>INDEX('D1 - Master Project Table'!$A$1:$AK$7056,$B41,5)</f>
        <v>Walmart Co-branding on Member Collateral</v>
      </c>
      <c r="E41" s="29">
        <f>INDEX('D1 - Master Project Table'!$A$1:$AK$7056,$B41,6)</f>
        <v>0</v>
      </c>
      <c r="F41" s="29" t="str">
        <f>INDEX('D1 - Master Project Table'!$A$1:$AK$7056,$B41,29)</f>
        <v>UnitedHealthcare Employer &amp; Individual</v>
      </c>
      <c r="G41" s="29" t="str">
        <f>INDEX('D1 - Master Project Table'!$A$1:$AK$7012,$B41,8)</f>
        <v>2 - Not Scheduled</v>
      </c>
      <c r="H41" s="74"/>
      <c r="I41" s="34" t="str">
        <f t="shared" si="6"/>
        <v>No</v>
      </c>
      <c r="J41" s="92"/>
      <c r="K41" s="42" t="str">
        <f t="shared" si="7"/>
        <v>Yes</v>
      </c>
      <c r="L41" s="29" t="str">
        <f>INDEX('D1 - Master Project Table'!$A$1:$AK$7056,$B41,28)</f>
        <v>In Estimating</v>
      </c>
      <c r="M41" s="42" t="str">
        <f t="shared" si="8"/>
        <v>Yes</v>
      </c>
      <c r="N41" s="102">
        <f>INDEX('D1 - Master Project Table'!$A$1:$AK$7056,$B41,37)</f>
        <v>0</v>
      </c>
      <c r="O41" s="94">
        <f>INDEX('D1 - Master Project Table'!$A$1:$AK$7056,$B41,36)</f>
        <v>0</v>
      </c>
      <c r="P41" s="4">
        <f>INDEX('D1 - Master Project Table'!$A$1:$AK$7056,$B41,10)</f>
        <v>0</v>
      </c>
      <c r="Q41" s="30">
        <f>INDEX('D1 - Master Project Table'!$A$1:$AK$7056,$B41,9)</f>
        <v>0</v>
      </c>
      <c r="R41" s="96"/>
      <c r="S41" s="42" t="str">
        <f t="shared" si="9"/>
        <v>NA</v>
      </c>
      <c r="T41" s="30" t="str">
        <f>IF(Q41&gt;0,VLOOKUP(Q41,#REF!,16,TRUE),"NA")</f>
        <v>NA</v>
      </c>
      <c r="U41" s="96" t="str">
        <f>IF(Q41=0,"",VLOOKUP(S41,#REF!,1,TRUE))</f>
        <v/>
      </c>
      <c r="V41" s="96"/>
      <c r="W41" s="69" t="str">
        <f>INDEX('D1 - Master Project Table'!$A$1:$AK$7070,$B41,16)</f>
        <v>Y</v>
      </c>
      <c r="X41" s="69" t="str">
        <f>INDEX('D1 - Master Project Table'!$A$1:$AK$7070,$B41,17)</f>
        <v>N</v>
      </c>
      <c r="Y41" s="69" t="str">
        <f>INDEX('D1 - Master Project Table'!$A$1:$AK$7070,$B41,18)</f>
        <v>N</v>
      </c>
      <c r="Z41" s="97"/>
      <c r="AA41" s="69" t="str">
        <f t="shared" si="10"/>
        <v>NA</v>
      </c>
      <c r="AB41" s="30" t="str">
        <f>IF(Q41=0,"NA",VLOOKUP(Q41,#REF!,3,TRUE))</f>
        <v>NA</v>
      </c>
      <c r="AC41" s="90"/>
      <c r="AD41" s="29" t="str">
        <f t="shared" si="11"/>
        <v>YesYes0</v>
      </c>
      <c r="AK41" s="24"/>
    </row>
    <row r="42" spans="1:37" ht="11.25" customHeight="1" x14ac:dyDescent="0.2">
      <c r="A42" s="28">
        <v>36</v>
      </c>
      <c r="B42" s="40">
        <f>MATCH(C42,'D1 - Master Project Table'!$D$1:$D$7056,0)</f>
        <v>253</v>
      </c>
      <c r="C42" s="177" t="s">
        <v>8857</v>
      </c>
      <c r="D42" s="29" t="str">
        <f>INDEX('D1 - Master Project Table'!$A$1:$AK$7056,$B42,5)</f>
        <v>Heritage Select Advantage Tiered Network Expansion</v>
      </c>
      <c r="E42" s="29">
        <f>INDEX('D1 - Master Project Table'!$A$1:$AK$7056,$B42,6)</f>
        <v>0</v>
      </c>
      <c r="F42" s="29" t="str">
        <f>INDEX('D1 - Master Project Table'!$A$1:$AK$7056,$B42,29)</f>
        <v>UnitedHealthcare Employer &amp; Individual</v>
      </c>
      <c r="G42" s="29" t="str">
        <f>INDEX('D1 - Master Project Table'!$A$1:$AK$7012,$B42,8)</f>
        <v>2 - Not Scheduled</v>
      </c>
      <c r="H42" s="74"/>
      <c r="I42" s="34" t="str">
        <f t="shared" si="6"/>
        <v>No</v>
      </c>
      <c r="J42" s="92"/>
      <c r="K42" s="42" t="str">
        <f t="shared" si="7"/>
        <v>Yes</v>
      </c>
      <c r="L42" s="29" t="str">
        <f>INDEX('D1 - Master Project Table'!$A$1:$AK$7056,$B42,28)</f>
        <v>In Estimating</v>
      </c>
      <c r="M42" s="42" t="str">
        <f t="shared" si="8"/>
        <v>Yes</v>
      </c>
      <c r="N42" s="102">
        <f>INDEX('D1 - Master Project Table'!$A$1:$AK$7056,$B42,37)</f>
        <v>0</v>
      </c>
      <c r="O42" s="94">
        <f>INDEX('D1 - Master Project Table'!$A$1:$AK$7056,$B42,36)</f>
        <v>0</v>
      </c>
      <c r="P42" s="4">
        <f>INDEX('D1 - Master Project Table'!$A$1:$AK$7056,$B42,10)</f>
        <v>0</v>
      </c>
      <c r="Q42" s="30">
        <f>INDEX('D1 - Master Project Table'!$A$1:$AK$7056,$B42,9)</f>
        <v>0</v>
      </c>
      <c r="R42" s="96"/>
      <c r="S42" s="42" t="str">
        <f t="shared" si="9"/>
        <v>NA</v>
      </c>
      <c r="T42" s="30" t="str">
        <f>IF(Q42&gt;0,VLOOKUP(Q42,#REF!,16,TRUE),"NA")</f>
        <v>NA</v>
      </c>
      <c r="U42" s="96" t="str">
        <f>IF(Q42=0,"",VLOOKUP(S42,#REF!,1,TRUE))</f>
        <v/>
      </c>
      <c r="V42" s="96"/>
      <c r="W42" s="69" t="str">
        <f>INDEX('D1 - Master Project Table'!$A$1:$AK$7070,$B42,16)</f>
        <v>N</v>
      </c>
      <c r="X42" s="69" t="str">
        <f>INDEX('D1 - Master Project Table'!$A$1:$AK$7070,$B42,17)</f>
        <v>N</v>
      </c>
      <c r="Y42" s="69" t="str">
        <f>INDEX('D1 - Master Project Table'!$A$1:$AK$7070,$B42,18)</f>
        <v>Y</v>
      </c>
      <c r="Z42" s="97"/>
      <c r="AA42" s="69" t="str">
        <f t="shared" si="10"/>
        <v>NA</v>
      </c>
      <c r="AB42" s="30" t="str">
        <f>IF(Q42=0,"NA",VLOOKUP(Q42,#REF!,3,TRUE))</f>
        <v>NA</v>
      </c>
      <c r="AC42" s="90"/>
      <c r="AD42" s="29" t="str">
        <f t="shared" si="11"/>
        <v>YesYes0</v>
      </c>
      <c r="AK42" s="24"/>
    </row>
    <row r="43" spans="1:37" ht="11.25" customHeight="1" x14ac:dyDescent="0.2">
      <c r="A43" s="28">
        <v>37</v>
      </c>
      <c r="B43" s="40">
        <f>MATCH(C43,'D1 - Master Project Table'!$D$1:$D$7056,0)</f>
        <v>267</v>
      </c>
      <c r="C43" s="177" t="s">
        <v>8858</v>
      </c>
      <c r="D43" s="29" t="str">
        <f>INDEX('D1 - Master Project Table'!$A$1:$AK$7056,$B43,5)</f>
        <v>Gated and Non-Gatefd Networks &amp; Product Fixes</v>
      </c>
      <c r="E43" s="29">
        <f>INDEX('D1 - Master Project Table'!$A$1:$AK$7056,$B43,6)</f>
        <v>0</v>
      </c>
      <c r="F43" s="29" t="str">
        <f>INDEX('D1 - Master Project Table'!$A$1:$AK$7056,$B43,29)</f>
        <v>UnitedHealthcare Employer &amp; Individual</v>
      </c>
      <c r="G43" s="29" t="str">
        <f>INDEX('D1 - Master Project Table'!$A$1:$AK$7012,$B43,8)</f>
        <v>2 - Not Scheduled</v>
      </c>
      <c r="H43" s="74"/>
      <c r="I43" s="34" t="str">
        <f t="shared" si="6"/>
        <v>No</v>
      </c>
      <c r="J43" s="92"/>
      <c r="K43" s="42" t="str">
        <f t="shared" si="7"/>
        <v>No</v>
      </c>
      <c r="L43" s="29" t="str">
        <f>INDEX('D1 - Master Project Table'!$A$1:$AK$7056,$B43,28)</f>
        <v>In Program Manager Request Review</v>
      </c>
      <c r="M43" s="42" t="str">
        <f t="shared" si="8"/>
        <v>Yes</v>
      </c>
      <c r="N43" s="102">
        <f>INDEX('D1 - Master Project Table'!$A$1:$AK$7056,$B43,37)</f>
        <v>0</v>
      </c>
      <c r="O43" s="94">
        <f>INDEX('D1 - Master Project Table'!$A$1:$AK$7056,$B43,36)</f>
        <v>0</v>
      </c>
      <c r="P43" s="4">
        <f>INDEX('D1 - Master Project Table'!$A$1:$AK$7056,$B43,10)</f>
        <v>0</v>
      </c>
      <c r="Q43" s="30">
        <f>INDEX('D1 - Master Project Table'!$A$1:$AK$7056,$B43,9)</f>
        <v>0</v>
      </c>
      <c r="R43" s="96"/>
      <c r="S43" s="42" t="str">
        <f t="shared" si="9"/>
        <v>NA</v>
      </c>
      <c r="T43" s="30" t="str">
        <f>IF(Q43&gt;0,VLOOKUP(Q43,#REF!,16,TRUE),"NA")</f>
        <v>NA</v>
      </c>
      <c r="U43" s="96" t="str">
        <f>IF(Q43=0,"",VLOOKUP(S43,#REF!,1,TRUE))</f>
        <v/>
      </c>
      <c r="V43" s="96"/>
      <c r="W43" s="69" t="str">
        <f>INDEX('D1 - Master Project Table'!$A$1:$AK$7070,$B43,16)</f>
        <v>N</v>
      </c>
      <c r="X43" s="69" t="str">
        <f>INDEX('D1 - Master Project Table'!$A$1:$AK$7070,$B43,17)</f>
        <v>N</v>
      </c>
      <c r="Y43" s="69" t="str">
        <f>INDEX('D1 - Master Project Table'!$A$1:$AK$7070,$B43,18)</f>
        <v>N</v>
      </c>
      <c r="Z43" s="97"/>
      <c r="AA43" s="69" t="str">
        <f t="shared" si="10"/>
        <v>NA</v>
      </c>
      <c r="AB43" s="30" t="str">
        <f>IF(Q43=0,"NA",VLOOKUP(Q43,#REF!,3,TRUE))</f>
        <v>NA</v>
      </c>
      <c r="AC43" s="90"/>
      <c r="AD43" s="29" t="str">
        <f t="shared" si="11"/>
        <v>NoYes0</v>
      </c>
      <c r="AK43" s="24"/>
    </row>
    <row r="44" spans="1:37" ht="11.25" customHeight="1" x14ac:dyDescent="0.2">
      <c r="A44" s="28">
        <v>39</v>
      </c>
      <c r="B44" s="40">
        <f>MATCH(C44,'D1 - Master Project Table'!$D$1:$D$7056,0)</f>
        <v>268</v>
      </c>
      <c r="C44" s="177" t="s">
        <v>8958</v>
      </c>
      <c r="D44" s="29" t="str">
        <f>INDEX('D1 - Master Project Table'!$A$1:$AK$7056,$B44,5)</f>
        <v>Florida Statewide Medicaid Managed Care Acute ITN</v>
      </c>
      <c r="E44" s="29">
        <f>INDEX('D1 - Master Project Table'!$A$1:$AK$7056,$B44,6)</f>
        <v>0</v>
      </c>
      <c r="F44" s="29" t="str">
        <f>INDEX('D1 - Master Project Table'!$A$1:$AK$7056,$B44,29)</f>
        <v>UnitedHealthcare Community &amp; State</v>
      </c>
      <c r="G44" s="29" t="str">
        <f>INDEX('D1 - Master Project Table'!$A$1:$AK$7012,$B44,8)</f>
        <v>2 - Not Scheduled</v>
      </c>
      <c r="H44" s="74"/>
      <c r="I44" s="34" t="str">
        <f t="shared" si="6"/>
        <v>No</v>
      </c>
      <c r="J44" s="92"/>
      <c r="K44" s="42" t="str">
        <f t="shared" si="7"/>
        <v>Yes</v>
      </c>
      <c r="L44" s="29" t="str">
        <f>INDEX('D1 - Master Project Table'!$A$1:$AK$7056,$B44,28)</f>
        <v>In Estimating</v>
      </c>
      <c r="M44" s="42" t="str">
        <f t="shared" si="8"/>
        <v>Yes</v>
      </c>
      <c r="N44" s="102">
        <f>INDEX('D1 - Master Project Table'!$A$1:$AK$7056,$B44,37)</f>
        <v>0</v>
      </c>
      <c r="O44" s="94">
        <f>INDEX('D1 - Master Project Table'!$A$1:$AK$7056,$B44,36)</f>
        <v>0</v>
      </c>
      <c r="P44" s="4">
        <f>INDEX('D1 - Master Project Table'!$A$1:$AK$7056,$B44,10)</f>
        <v>0</v>
      </c>
      <c r="Q44" s="30">
        <f>INDEX('D1 - Master Project Table'!$A$1:$AK$7056,$B44,9)</f>
        <v>0</v>
      </c>
      <c r="R44" s="96"/>
      <c r="S44" s="42" t="str">
        <f t="shared" si="9"/>
        <v>NA</v>
      </c>
      <c r="T44" s="30" t="str">
        <f>IF(Q44&gt;0,VLOOKUP(Q44,#REF!,16,TRUE),"NA")</f>
        <v>NA</v>
      </c>
      <c r="U44" s="96" t="str">
        <f>IF(Q44=0,"",VLOOKUP(S44,#REF!,1,TRUE))</f>
        <v/>
      </c>
      <c r="V44" s="96"/>
      <c r="W44" s="69" t="str">
        <f>INDEX('D1 - Master Project Table'!$A$1:$AK$7070,$B44,16)</f>
        <v>N</v>
      </c>
      <c r="X44" s="69" t="str">
        <f>INDEX('D1 - Master Project Table'!$A$1:$AK$7070,$B44,17)</f>
        <v>N</v>
      </c>
      <c r="Y44" s="69" t="str">
        <f>INDEX('D1 - Master Project Table'!$A$1:$AK$7070,$B44,18)</f>
        <v>Y</v>
      </c>
      <c r="Z44" s="97"/>
      <c r="AA44" s="69" t="str">
        <f t="shared" si="10"/>
        <v>NA</v>
      </c>
      <c r="AB44" s="30" t="str">
        <f>IF(Q44=0,"NA",VLOOKUP(Q44,#REF!,3,TRUE))</f>
        <v>NA</v>
      </c>
      <c r="AC44" s="90"/>
      <c r="AD44" s="29" t="str">
        <f t="shared" si="11"/>
        <v>YesYes0</v>
      </c>
      <c r="AK44" s="24"/>
    </row>
    <row r="45" spans="1:37" ht="11.25" customHeight="1" x14ac:dyDescent="0.2">
      <c r="A45" s="28">
        <v>41</v>
      </c>
      <c r="B45" s="40">
        <f>MATCH(C45,'D1 - Master Project Table'!$D$1:$D$7056,0)</f>
        <v>271</v>
      </c>
      <c r="C45" s="177" t="s">
        <v>8961</v>
      </c>
      <c r="D45" s="29" t="str">
        <f>INDEX('D1 - Master Project Table'!$A$1:$AK$7056,$B45,5)</f>
        <v>ESOC Gap Remediation from Phase 1b,3,pilot</v>
      </c>
      <c r="E45" s="29">
        <f>INDEX('D1 - Master Project Table'!$A$1:$AK$7056,$B45,6)</f>
        <v>0</v>
      </c>
      <c r="F45" s="29" t="str">
        <f>INDEX('D1 - Master Project Table'!$A$1:$AK$7056,$B45,29)</f>
        <v>UHG IT - Shared Services</v>
      </c>
      <c r="G45" s="29" t="str">
        <f>INDEX('D1 - Master Project Table'!$A$1:$AK$7012,$B45,8)</f>
        <v>2 - Not Scheduled</v>
      </c>
      <c r="H45" s="74"/>
      <c r="I45" s="34" t="str">
        <f t="shared" si="6"/>
        <v>No</v>
      </c>
      <c r="J45" s="92"/>
      <c r="K45" s="42" t="str">
        <f t="shared" si="7"/>
        <v>Yes</v>
      </c>
      <c r="L45" s="29" t="str">
        <f>INDEX('D1 - Master Project Table'!$A$1:$AK$7056,$B45,28)</f>
        <v>Scheduled</v>
      </c>
      <c r="M45" s="42" t="str">
        <f t="shared" si="8"/>
        <v>Yes</v>
      </c>
      <c r="N45" s="102">
        <f>INDEX('D1 - Master Project Table'!$A$1:$AK$7056,$B45,37)</f>
        <v>0</v>
      </c>
      <c r="O45" s="94">
        <f>INDEX('D1 - Master Project Table'!$A$1:$AK$7056,$B45,36)</f>
        <v>0</v>
      </c>
      <c r="P45" s="4">
        <f>INDEX('D1 - Master Project Table'!$A$1:$AK$7056,$B45,10)</f>
        <v>0</v>
      </c>
      <c r="Q45" s="30">
        <f>INDEX('D1 - Master Project Table'!$A$1:$AK$7056,$B45,9)</f>
        <v>0</v>
      </c>
      <c r="R45" s="96"/>
      <c r="S45" s="42" t="str">
        <f t="shared" si="9"/>
        <v>NA</v>
      </c>
      <c r="T45" s="30" t="str">
        <f>IF(Q45&gt;0,VLOOKUP(Q45,#REF!,16,TRUE),"NA")</f>
        <v>NA</v>
      </c>
      <c r="U45" s="96" t="str">
        <f>IF(Q45=0,"",VLOOKUP(S45,#REF!,1,TRUE))</f>
        <v/>
      </c>
      <c r="V45" s="96"/>
      <c r="W45" s="69" t="str">
        <f>INDEX('D1 - Master Project Table'!$A$1:$AK$7070,$B45,16)</f>
        <v>Y</v>
      </c>
      <c r="X45" s="69" t="str">
        <f>INDEX('D1 - Master Project Table'!$A$1:$AK$7070,$B45,17)</f>
        <v>N</v>
      </c>
      <c r="Y45" s="69" t="str">
        <f>INDEX('D1 - Master Project Table'!$A$1:$AK$7070,$B45,18)</f>
        <v>N</v>
      </c>
      <c r="Z45" s="97"/>
      <c r="AA45" s="69" t="str">
        <f t="shared" si="10"/>
        <v>NA</v>
      </c>
      <c r="AB45" s="30" t="str">
        <f>IF(Q45=0,"NA",VLOOKUP(Q45,#REF!,3,TRUE))</f>
        <v>NA</v>
      </c>
      <c r="AC45" s="90"/>
      <c r="AD45" s="29" t="str">
        <f t="shared" si="11"/>
        <v>YesYes0</v>
      </c>
      <c r="AK45" s="24"/>
    </row>
    <row r="46" spans="1:37" ht="11.25" customHeight="1" x14ac:dyDescent="0.2">
      <c r="A46" s="28">
        <v>43</v>
      </c>
      <c r="B46" s="40">
        <f>MATCH(C46,'D1 - Master Project Table'!$D$1:$D$7056,0)</f>
        <v>263</v>
      </c>
      <c r="C46" s="177" t="s">
        <v>8988</v>
      </c>
      <c r="D46" s="29" t="str">
        <f>INDEX('D1 - Master Project Table'!$A$1:$AK$7056,$B46,5)</f>
        <v>TOPS Password Strength Remediation</v>
      </c>
      <c r="E46" s="29">
        <f>INDEX('D1 - Master Project Table'!$A$1:$AK$7056,$B46,6)</f>
        <v>0</v>
      </c>
      <c r="F46" s="29" t="str">
        <f>INDEX('D1 - Master Project Table'!$A$1:$AK$7056,$B46,29)</f>
        <v>UnitedHealthcare Employer &amp; Individual</v>
      </c>
      <c r="G46" s="29" t="str">
        <f>INDEX('D1 - Master Project Table'!$A$1:$AK$7012,$B46,8)</f>
        <v>2 - Not Scheduled</v>
      </c>
      <c r="H46" s="74"/>
      <c r="I46" s="34" t="str">
        <f t="shared" si="6"/>
        <v>No</v>
      </c>
      <c r="J46" s="92"/>
      <c r="K46" s="42" t="str">
        <f t="shared" si="7"/>
        <v>No</v>
      </c>
      <c r="L46" s="29" t="str">
        <f>INDEX('D1 - Master Project Table'!$A$1:$AK$7056,$B46,28)</f>
        <v>In Strategy Council</v>
      </c>
      <c r="M46" s="42" t="str">
        <f t="shared" si="8"/>
        <v>Yes</v>
      </c>
      <c r="N46" s="102">
        <f>INDEX('D1 - Master Project Table'!$A$1:$AK$7056,$B46,37)</f>
        <v>0</v>
      </c>
      <c r="O46" s="94">
        <f>INDEX('D1 - Master Project Table'!$A$1:$AK$7056,$B46,36)</f>
        <v>0</v>
      </c>
      <c r="P46" s="4">
        <f>INDEX('D1 - Master Project Table'!$A$1:$AK$7056,$B46,10)</f>
        <v>0</v>
      </c>
      <c r="Q46" s="30">
        <f>INDEX('D1 - Master Project Table'!$A$1:$AK$7056,$B46,9)</f>
        <v>0</v>
      </c>
      <c r="R46" s="96"/>
      <c r="S46" s="42" t="str">
        <f t="shared" si="9"/>
        <v>NA</v>
      </c>
      <c r="T46" s="30" t="str">
        <f>IF(Q46&gt;0,VLOOKUP(Q46,#REF!,16,TRUE),"NA")</f>
        <v>NA</v>
      </c>
      <c r="U46" s="96" t="str">
        <f>IF(Q46=0,"",VLOOKUP(S46,#REF!,1,TRUE))</f>
        <v/>
      </c>
      <c r="V46" s="96"/>
      <c r="W46" s="69" t="str">
        <f>INDEX('D1 - Master Project Table'!$A$1:$AK$7070,$B46,16)</f>
        <v>Y</v>
      </c>
      <c r="X46" s="69" t="str">
        <f>INDEX('D1 - Master Project Table'!$A$1:$AK$7070,$B46,17)</f>
        <v>N</v>
      </c>
      <c r="Y46" s="69" t="str">
        <f>INDEX('D1 - Master Project Table'!$A$1:$AK$7070,$B46,18)</f>
        <v>N</v>
      </c>
      <c r="Z46" s="97"/>
      <c r="AA46" s="69" t="str">
        <f t="shared" si="10"/>
        <v>NA</v>
      </c>
      <c r="AB46" s="30" t="str">
        <f>IF(Q46=0,"NA",VLOOKUP(Q46,#REF!,3,TRUE))</f>
        <v>NA</v>
      </c>
      <c r="AC46" s="90"/>
      <c r="AD46" s="29" t="str">
        <f t="shared" si="11"/>
        <v>NoYes0</v>
      </c>
      <c r="AK46" s="24"/>
    </row>
    <row r="47" spans="1:37" ht="11.25" customHeight="1" x14ac:dyDescent="0.2">
      <c r="A47" s="28">
        <v>44</v>
      </c>
      <c r="B47" s="40">
        <f>MATCH(C47,'D1 - Master Project Table'!$D$1:$D$7056,0)</f>
        <v>274</v>
      </c>
      <c r="C47" s="177" t="s">
        <v>8989</v>
      </c>
      <c r="D47" s="29" t="str">
        <f>INDEX('D1 - Master Project Table'!$A$1:$AK$7056,$B47,5)</f>
        <v>NDB Contract Clause Display in ICUE</v>
      </c>
      <c r="E47" s="29">
        <f>INDEX('D1 - Master Project Table'!$A$1:$AK$7056,$B47,6)</f>
        <v>0</v>
      </c>
      <c r="F47" s="29" t="str">
        <f>INDEX('D1 - Master Project Table'!$A$1:$AK$7056,$B47,29)</f>
        <v>UnitedHealthcare Employer &amp; Individual</v>
      </c>
      <c r="G47" s="29" t="str">
        <f>INDEX('D1 - Master Project Table'!$A$1:$AK$7012,$B47,8)</f>
        <v>2 - Not Scheduled</v>
      </c>
      <c r="H47" s="74"/>
      <c r="I47" s="34" t="str">
        <f t="shared" si="6"/>
        <v>No</v>
      </c>
      <c r="J47" s="92"/>
      <c r="K47" s="42" t="str">
        <f t="shared" si="7"/>
        <v>Yes</v>
      </c>
      <c r="L47" s="29" t="str">
        <f>INDEX('D1 - Master Project Table'!$A$1:$AK$7056,$B47,28)</f>
        <v>In Estimating</v>
      </c>
      <c r="M47" s="42" t="str">
        <f t="shared" si="8"/>
        <v>Yes</v>
      </c>
      <c r="N47" s="102">
        <f>INDEX('D1 - Master Project Table'!$A$1:$AK$7056,$B47,37)</f>
        <v>0</v>
      </c>
      <c r="O47" s="94">
        <f>INDEX('D1 - Master Project Table'!$A$1:$AK$7056,$B47,36)</f>
        <v>0</v>
      </c>
      <c r="P47" s="4">
        <f>INDEX('D1 - Master Project Table'!$A$1:$AK$7056,$B47,10)</f>
        <v>0</v>
      </c>
      <c r="Q47" s="30">
        <f>INDEX('D1 - Master Project Table'!$A$1:$AK$7056,$B47,9)</f>
        <v>0</v>
      </c>
      <c r="R47" s="96"/>
      <c r="S47" s="42" t="str">
        <f t="shared" si="9"/>
        <v>NA</v>
      </c>
      <c r="T47" s="30" t="str">
        <f>IF(Q47&gt;0,VLOOKUP(Q47,#REF!,16,TRUE),"NA")</f>
        <v>NA</v>
      </c>
      <c r="U47" s="96" t="str">
        <f>IF(Q47=0,"",VLOOKUP(S47,#REF!,1,TRUE))</f>
        <v/>
      </c>
      <c r="V47" s="96"/>
      <c r="W47" s="69" t="str">
        <f>INDEX('D1 - Master Project Table'!$A$1:$AK$7070,$B47,16)</f>
        <v>N</v>
      </c>
      <c r="X47" s="69" t="str">
        <f>INDEX('D1 - Master Project Table'!$A$1:$AK$7070,$B47,17)</f>
        <v>N</v>
      </c>
      <c r="Y47" s="69" t="str">
        <f>INDEX('D1 - Master Project Table'!$A$1:$AK$7070,$B47,18)</f>
        <v>N</v>
      </c>
      <c r="Z47" s="97"/>
      <c r="AA47" s="69" t="str">
        <f t="shared" si="10"/>
        <v>NA</v>
      </c>
      <c r="AB47" s="30" t="str">
        <f>IF(Q47=0,"NA",VLOOKUP(Q47,#REF!,3,TRUE))</f>
        <v>NA</v>
      </c>
      <c r="AC47" s="90"/>
      <c r="AD47" s="29" t="str">
        <f t="shared" si="11"/>
        <v>YesYes0</v>
      </c>
      <c r="AK47" s="24"/>
    </row>
    <row r="48" spans="1:37" ht="11.25" customHeight="1" x14ac:dyDescent="0.2">
      <c r="A48" s="28">
        <v>45</v>
      </c>
      <c r="B48" s="40">
        <f>MATCH(C48,'D1 - Master Project Table'!$D$1:$D$7056,0)</f>
        <v>245</v>
      </c>
      <c r="C48" s="177" t="s">
        <v>8990</v>
      </c>
      <c r="D48" s="29" t="str">
        <f>INDEX('D1 - Master Project Table'!$A$1:$AK$7056,$B48,5)</f>
        <v>Unified Provider Search</v>
      </c>
      <c r="E48" s="29">
        <f>INDEX('D1 - Master Project Table'!$A$1:$AK$7056,$B48,6)</f>
        <v>0</v>
      </c>
      <c r="F48" s="29" t="str">
        <f>INDEX('D1 - Master Project Table'!$A$1:$AK$7056,$B48,29)</f>
        <v>UnitedHealthcare Employer &amp; Individual</v>
      </c>
      <c r="G48" s="29" t="str">
        <f>INDEX('D1 - Master Project Table'!$A$1:$AK$7012,$B48,8)</f>
        <v>2 - Not Scheduled</v>
      </c>
      <c r="H48" s="74"/>
      <c r="I48" s="34" t="str">
        <f t="shared" si="6"/>
        <v>No</v>
      </c>
      <c r="J48" s="92"/>
      <c r="K48" s="42" t="str">
        <f t="shared" si="7"/>
        <v>Yes</v>
      </c>
      <c r="L48" s="29" t="str">
        <f>INDEX('D1 - Master Project Table'!$A$1:$AK$7056,$B48,28)</f>
        <v>In Estimating</v>
      </c>
      <c r="M48" s="42" t="str">
        <f t="shared" si="8"/>
        <v>Yes</v>
      </c>
      <c r="N48" s="102">
        <f>INDEX('D1 - Master Project Table'!$A$1:$AK$7056,$B48,37)</f>
        <v>0</v>
      </c>
      <c r="O48" s="94">
        <f>INDEX('D1 - Master Project Table'!$A$1:$AK$7056,$B48,36)</f>
        <v>0</v>
      </c>
      <c r="P48" s="4">
        <f>INDEX('D1 - Master Project Table'!$A$1:$AK$7056,$B48,10)</f>
        <v>0</v>
      </c>
      <c r="Q48" s="30">
        <f>INDEX('D1 - Master Project Table'!$A$1:$AK$7056,$B48,9)</f>
        <v>0</v>
      </c>
      <c r="R48" s="96"/>
      <c r="S48" s="42" t="str">
        <f t="shared" si="9"/>
        <v>NA</v>
      </c>
      <c r="T48" s="30" t="str">
        <f>IF(Q48&gt;0,VLOOKUP(Q48,#REF!,16,TRUE),"NA")</f>
        <v>NA</v>
      </c>
      <c r="U48" s="96" t="str">
        <f>IF(Q48=0,"",VLOOKUP(S48,#REF!,1,TRUE))</f>
        <v/>
      </c>
      <c r="V48" s="96"/>
      <c r="W48" s="69" t="str">
        <f>INDEX('D1 - Master Project Table'!$A$1:$AK$7070,$B48,16)</f>
        <v>N</v>
      </c>
      <c r="X48" s="69" t="str">
        <f>INDEX('D1 - Master Project Table'!$A$1:$AK$7070,$B48,17)</f>
        <v>N</v>
      </c>
      <c r="Y48" s="69" t="str">
        <f>INDEX('D1 - Master Project Table'!$A$1:$AK$7070,$B48,18)</f>
        <v>N</v>
      </c>
      <c r="Z48" s="97"/>
      <c r="AA48" s="69" t="str">
        <f t="shared" si="10"/>
        <v>NA</v>
      </c>
      <c r="AB48" s="30" t="str">
        <f>IF(Q48=0,"NA",VLOOKUP(Q48,#REF!,3,TRUE))</f>
        <v>NA</v>
      </c>
      <c r="AC48" s="90"/>
      <c r="AD48" s="29" t="str">
        <f t="shared" si="11"/>
        <v>YesYes0</v>
      </c>
      <c r="AK48" s="24"/>
    </row>
    <row r="49" spans="1:37" ht="11.25" customHeight="1" x14ac:dyDescent="0.2">
      <c r="A49" s="28">
        <v>46</v>
      </c>
      <c r="B49" s="40">
        <f>MATCH(C49,'D1 - Master Project Table'!$D$1:$D$7056,0)</f>
        <v>279</v>
      </c>
      <c r="C49" s="177" t="s">
        <v>9005</v>
      </c>
      <c r="D49" s="29" t="str">
        <f>INDEX('D1 - Master Project Table'!$A$1:$AK$7056,$B49,5)</f>
        <v xml:space="preserve">IPA Functionality in CSP </v>
      </c>
      <c r="E49" s="29">
        <f>INDEX('D1 - Master Project Table'!$A$1:$AK$7056,$B49,6)</f>
        <v>0</v>
      </c>
      <c r="F49" s="29" t="str">
        <f>INDEX('D1 - Master Project Table'!$A$1:$AK$7056,$B49,29)</f>
        <v>UnitedHealthcare Community &amp; State</v>
      </c>
      <c r="G49" s="29" t="str">
        <f>INDEX('D1 - Master Project Table'!$A$1:$AK$7012,$B49,8)</f>
        <v>2 - Not Scheduled</v>
      </c>
      <c r="H49" s="74"/>
      <c r="I49" s="34" t="str">
        <f t="shared" si="6"/>
        <v>No</v>
      </c>
      <c r="J49" s="92"/>
      <c r="K49" s="42" t="str">
        <f t="shared" si="7"/>
        <v>Yes</v>
      </c>
      <c r="L49" s="29" t="str">
        <f>INDEX('D1 - Master Project Table'!$A$1:$AK$7056,$B49,28)</f>
        <v>In Estimating</v>
      </c>
      <c r="M49" s="42" t="str">
        <f t="shared" si="8"/>
        <v>Yes</v>
      </c>
      <c r="N49" s="102">
        <f>INDEX('D1 - Master Project Table'!$A$1:$AK$7056,$B49,37)</f>
        <v>0</v>
      </c>
      <c r="O49" s="94">
        <f>INDEX('D1 - Master Project Table'!$A$1:$AK$7056,$B49,36)</f>
        <v>0</v>
      </c>
      <c r="P49" s="4">
        <f>INDEX('D1 - Master Project Table'!$A$1:$AK$7056,$B49,10)</f>
        <v>0</v>
      </c>
      <c r="Q49" s="30">
        <f>INDEX('D1 - Master Project Table'!$A$1:$AK$7056,$B49,9)</f>
        <v>0</v>
      </c>
      <c r="R49" s="96"/>
      <c r="S49" s="42" t="str">
        <f t="shared" si="9"/>
        <v>NA</v>
      </c>
      <c r="T49" s="30" t="str">
        <f>IF(Q49&gt;0,VLOOKUP(Q49,#REF!,16,TRUE),"NA")</f>
        <v>NA</v>
      </c>
      <c r="U49" s="96" t="str">
        <f>IF(Q49=0,"",VLOOKUP(S49,#REF!,1,TRUE))</f>
        <v/>
      </c>
      <c r="V49" s="96"/>
      <c r="W49" s="69" t="str">
        <f>INDEX('D1 - Master Project Table'!$A$1:$AK$7070,$B49,16)</f>
        <v>N</v>
      </c>
      <c r="X49" s="69" t="str">
        <f>INDEX('D1 - Master Project Table'!$A$1:$AK$7070,$B49,17)</f>
        <v>N</v>
      </c>
      <c r="Y49" s="69" t="str">
        <f>INDEX('D1 - Master Project Table'!$A$1:$AK$7070,$B49,18)</f>
        <v>N</v>
      </c>
      <c r="Z49" s="97"/>
      <c r="AA49" s="69" t="str">
        <f t="shared" si="10"/>
        <v>NA</v>
      </c>
      <c r="AB49" s="30" t="str">
        <f>IF(Q49=0,"NA",VLOOKUP(Q49,#REF!,3,TRUE))</f>
        <v>NA</v>
      </c>
      <c r="AC49" s="90"/>
      <c r="AD49" s="29" t="str">
        <f t="shared" si="11"/>
        <v>YesYes0</v>
      </c>
      <c r="AK49" s="24"/>
    </row>
    <row r="50" spans="1:37" ht="11.25" customHeight="1" x14ac:dyDescent="0.2">
      <c r="A50" s="28">
        <v>47</v>
      </c>
      <c r="B50" s="40">
        <f>MATCH(C50,'D1 - Master Project Table'!$D$1:$D$7056,0)</f>
        <v>278</v>
      </c>
      <c r="C50" s="177" t="s">
        <v>9083</v>
      </c>
      <c r="D50" s="29" t="str">
        <f>INDEX('D1 - Master Project Table'!$A$1:$AK$7056,$B50,5)</f>
        <v>Heritage Gulf States Expansion</v>
      </c>
      <c r="E50" s="29">
        <f>INDEX('D1 - Master Project Table'!$A$1:$AK$7056,$B50,6)</f>
        <v>0</v>
      </c>
      <c r="F50" s="29" t="str">
        <f>INDEX('D1 - Master Project Table'!$A$1:$AK$7056,$B50,29)</f>
        <v>UnitedHealthcare Employer &amp; Individual</v>
      </c>
      <c r="G50" s="29" t="str">
        <f>INDEX('D1 - Master Project Table'!$A$1:$AK$7012,$B50,8)</f>
        <v>2 - Not Scheduled</v>
      </c>
      <c r="H50" s="74"/>
      <c r="I50" s="34" t="str">
        <f t="shared" si="6"/>
        <v>No</v>
      </c>
      <c r="J50" s="92"/>
      <c r="K50" s="42" t="str">
        <f t="shared" si="7"/>
        <v>Yes</v>
      </c>
      <c r="L50" s="29" t="str">
        <f>INDEX('D1 - Master Project Table'!$A$1:$AK$7056,$B50,28)</f>
        <v>In Estimating</v>
      </c>
      <c r="M50" s="42" t="str">
        <f t="shared" si="8"/>
        <v>Yes</v>
      </c>
      <c r="N50" s="102">
        <f>INDEX('D1 - Master Project Table'!$A$1:$AK$7056,$B50,37)</f>
        <v>0</v>
      </c>
      <c r="O50" s="94">
        <f>INDEX('D1 - Master Project Table'!$A$1:$AK$7056,$B50,36)</f>
        <v>0</v>
      </c>
      <c r="P50" s="4">
        <f>INDEX('D1 - Master Project Table'!$A$1:$AK$7056,$B50,10)</f>
        <v>0</v>
      </c>
      <c r="Q50" s="30">
        <f>INDEX('D1 - Master Project Table'!$A$1:$AK$7056,$B50,9)</f>
        <v>0</v>
      </c>
      <c r="R50" s="96"/>
      <c r="S50" s="42" t="str">
        <f t="shared" si="9"/>
        <v>NA</v>
      </c>
      <c r="T50" s="30" t="str">
        <f>IF(Q50&gt;0,VLOOKUP(Q50,#REF!,16,TRUE),"NA")</f>
        <v>NA</v>
      </c>
      <c r="U50" s="96" t="str">
        <f>IF(Q50=0,"",VLOOKUP(S50,#REF!,1,TRUE))</f>
        <v/>
      </c>
      <c r="V50" s="96"/>
      <c r="W50" s="69" t="str">
        <f>INDEX('D1 - Master Project Table'!$A$1:$AK$7070,$B50,16)</f>
        <v>N</v>
      </c>
      <c r="X50" s="69" t="str">
        <f>INDEX('D1 - Master Project Table'!$A$1:$AK$7070,$B50,17)</f>
        <v>N</v>
      </c>
      <c r="Y50" s="69" t="str">
        <f>INDEX('D1 - Master Project Table'!$A$1:$AK$7070,$B50,18)</f>
        <v>Y</v>
      </c>
      <c r="Z50" s="97"/>
      <c r="AA50" s="69" t="str">
        <f t="shared" si="10"/>
        <v>NA</v>
      </c>
      <c r="AB50" s="30" t="str">
        <f>IF(Q50=0,"NA",VLOOKUP(Q50,#REF!,3,TRUE))</f>
        <v>NA</v>
      </c>
      <c r="AC50" s="90"/>
      <c r="AD50" s="29" t="str">
        <f t="shared" si="11"/>
        <v>YesYes0</v>
      </c>
      <c r="AK50" s="24"/>
    </row>
    <row r="51" spans="1:37" ht="11.25" customHeight="1" x14ac:dyDescent="0.2">
      <c r="A51" s="28">
        <v>48</v>
      </c>
      <c r="B51" s="40">
        <f>MATCH(C51,'D1 - Master Project Table'!$D$1:$D$7056,0)</f>
        <v>281</v>
      </c>
      <c r="C51" s="177" t="s">
        <v>9084</v>
      </c>
      <c r="D51" s="29" t="str">
        <f>INDEX('D1 - Master Project Table'!$A$1:$AK$7056,$B51,5)</f>
        <v>CMC KRS Wrap Network A/O</v>
      </c>
      <c r="E51" s="29">
        <f>INDEX('D1 - Master Project Table'!$A$1:$AK$7056,$B51,6)</f>
        <v>0</v>
      </c>
      <c r="F51" s="29" t="str">
        <f>INDEX('D1 - Master Project Table'!$A$1:$AK$7056,$B51,29)</f>
        <v>OptumHealth</v>
      </c>
      <c r="G51" s="29" t="str">
        <f>INDEX('D1 - Master Project Table'!$A$1:$AK$7012,$B51,8)</f>
        <v>2 - Not Scheduled</v>
      </c>
      <c r="H51" s="74"/>
      <c r="I51" s="34" t="str">
        <f t="shared" si="6"/>
        <v>No</v>
      </c>
      <c r="J51" s="92"/>
      <c r="K51" s="42" t="str">
        <f t="shared" si="7"/>
        <v>Yes</v>
      </c>
      <c r="L51" s="29" t="str">
        <f>INDEX('D1 - Master Project Table'!$A$1:$AK$7056,$B51,28)</f>
        <v>In Estimating</v>
      </c>
      <c r="M51" s="42" t="str">
        <f t="shared" si="8"/>
        <v>Yes</v>
      </c>
      <c r="N51" s="102">
        <f>INDEX('D1 - Master Project Table'!$A$1:$AK$7056,$B51,37)</f>
        <v>0</v>
      </c>
      <c r="O51" s="94">
        <f>INDEX('D1 - Master Project Table'!$A$1:$AK$7056,$B51,36)</f>
        <v>0</v>
      </c>
      <c r="P51" s="4">
        <f>INDEX('D1 - Master Project Table'!$A$1:$AK$7056,$B51,10)</f>
        <v>0</v>
      </c>
      <c r="Q51" s="30">
        <f>INDEX('D1 - Master Project Table'!$A$1:$AK$7056,$B51,9)</f>
        <v>0</v>
      </c>
      <c r="R51" s="96"/>
      <c r="S51" s="42" t="str">
        <f t="shared" si="9"/>
        <v>NA</v>
      </c>
      <c r="T51" s="30" t="str">
        <f>IF(Q51&gt;0,VLOOKUP(Q51,#REF!,16,TRUE),"NA")</f>
        <v>NA</v>
      </c>
      <c r="U51" s="96" t="str">
        <f>IF(Q51=0,"",VLOOKUP(S51,#REF!,1,TRUE))</f>
        <v/>
      </c>
      <c r="V51" s="96"/>
      <c r="W51" s="69" t="str">
        <f>INDEX('D1 - Master Project Table'!$A$1:$AK$7070,$B51,16)</f>
        <v>Y</v>
      </c>
      <c r="X51" s="69" t="str">
        <f>INDEX('D1 - Master Project Table'!$A$1:$AK$7070,$B51,17)</f>
        <v>N</v>
      </c>
      <c r="Y51" s="69" t="str">
        <f>INDEX('D1 - Master Project Table'!$A$1:$AK$7070,$B51,18)</f>
        <v>N</v>
      </c>
      <c r="Z51" s="97"/>
      <c r="AA51" s="69" t="str">
        <f t="shared" si="10"/>
        <v>NA</v>
      </c>
      <c r="AB51" s="30" t="str">
        <f>IF(Q51=0,"NA",VLOOKUP(Q51,#REF!,3,TRUE))</f>
        <v>NA</v>
      </c>
      <c r="AC51" s="90"/>
      <c r="AD51" s="29" t="str">
        <f t="shared" si="11"/>
        <v>YesYes0</v>
      </c>
      <c r="AK51" s="24"/>
    </row>
    <row r="52" spans="1:37" ht="11.25" customHeight="1" x14ac:dyDescent="0.2">
      <c r="A52" s="28">
        <v>49</v>
      </c>
      <c r="B52" s="40">
        <f>MATCH(C52,'D1 - Master Project Table'!$D$1:$D$7056,0)</f>
        <v>248</v>
      </c>
      <c r="C52" s="177" t="s">
        <v>9117</v>
      </c>
      <c r="D52" s="29" t="str">
        <f>INDEX('D1 - Master Project Table'!$A$1:$AK$7056,$B52,5)</f>
        <v>RI LTSS/ MME -New Products</v>
      </c>
      <c r="E52" s="29">
        <f>INDEX('D1 - Master Project Table'!$A$1:$AK$7056,$B52,6)</f>
        <v>0</v>
      </c>
      <c r="F52" s="29" t="str">
        <f>INDEX('D1 - Master Project Table'!$A$1:$AK$7056,$B52,29)</f>
        <v>UnitedHealthcare Community &amp; State</v>
      </c>
      <c r="G52" s="29" t="str">
        <f>INDEX('D1 - Master Project Table'!$A$1:$AK$7012,$B52,8)</f>
        <v>2 - Not Scheduled</v>
      </c>
      <c r="H52" s="74"/>
      <c r="I52" s="34" t="str">
        <f t="shared" si="6"/>
        <v>No</v>
      </c>
      <c r="J52" s="92"/>
      <c r="K52" s="42" t="str">
        <f t="shared" si="7"/>
        <v>Yes</v>
      </c>
      <c r="L52" s="29" t="str">
        <f>INDEX('D1 - Master Project Table'!$A$1:$AK$7056,$B52,28)</f>
        <v>In Estimating</v>
      </c>
      <c r="M52" s="42" t="str">
        <f t="shared" si="8"/>
        <v>Yes</v>
      </c>
      <c r="N52" s="102">
        <f>INDEX('D1 - Master Project Table'!$A$1:$AK$7056,$B52,37)</f>
        <v>0</v>
      </c>
      <c r="O52" s="94">
        <f>INDEX('D1 - Master Project Table'!$A$1:$AK$7056,$B52,36)</f>
        <v>0</v>
      </c>
      <c r="P52" s="4">
        <f>INDEX('D1 - Master Project Table'!$A$1:$AK$7056,$B52,10)</f>
        <v>0</v>
      </c>
      <c r="Q52" s="30">
        <f>INDEX('D1 - Master Project Table'!$A$1:$AK$7056,$B52,9)</f>
        <v>0</v>
      </c>
      <c r="R52" s="96"/>
      <c r="S52" s="42" t="str">
        <f t="shared" si="9"/>
        <v>NA</v>
      </c>
      <c r="T52" s="30" t="str">
        <f>IF(Q52&gt;0,VLOOKUP(Q52,#REF!,16,TRUE),"NA")</f>
        <v>NA</v>
      </c>
      <c r="U52" s="96" t="str">
        <f>IF(Q52=0,"",VLOOKUP(S52,#REF!,1,TRUE))</f>
        <v/>
      </c>
      <c r="V52" s="96"/>
      <c r="W52" s="69" t="str">
        <f>INDEX('D1 - Master Project Table'!$A$1:$AK$7070,$B52,16)</f>
        <v>N</v>
      </c>
      <c r="X52" s="69" t="str">
        <f>INDEX('D1 - Master Project Table'!$A$1:$AK$7070,$B52,17)</f>
        <v>N</v>
      </c>
      <c r="Y52" s="69" t="str">
        <f>INDEX('D1 - Master Project Table'!$A$1:$AK$7070,$B52,18)</f>
        <v>N</v>
      </c>
      <c r="Z52" s="97"/>
      <c r="AA52" s="69" t="str">
        <f t="shared" si="10"/>
        <v>NA</v>
      </c>
      <c r="AB52" s="30" t="str">
        <f>IF(Q52=0,"NA",VLOOKUP(Q52,#REF!,3,TRUE))</f>
        <v>NA</v>
      </c>
      <c r="AC52" s="90"/>
      <c r="AD52" s="29" t="str">
        <f t="shared" si="11"/>
        <v>YesYes0</v>
      </c>
      <c r="AK52" s="24"/>
    </row>
    <row r="53" spans="1:37" ht="11.25" customHeight="1" x14ac:dyDescent="0.2">
      <c r="A53" s="28">
        <v>50</v>
      </c>
      <c r="B53" s="40">
        <f>MATCH(C53,'D1 - Master Project Table'!$D$1:$D$7056,0)</f>
        <v>269</v>
      </c>
      <c r="C53" s="177" t="s">
        <v>9118</v>
      </c>
      <c r="D53" s="29" t="str">
        <f>INDEX('D1 - Master Project Table'!$A$1:$AK$7056,$B53,5)</f>
        <v>Enhance Acct Implementation capabilities in Master</v>
      </c>
      <c r="E53" s="29">
        <f>INDEX('D1 - Master Project Table'!$A$1:$AK$7056,$B53,6)</f>
        <v>0</v>
      </c>
      <c r="F53" s="29" t="str">
        <f>INDEX('D1 - Master Project Table'!$A$1:$AK$7056,$B53,29)</f>
        <v>UHG IT - Shared Services</v>
      </c>
      <c r="G53" s="29" t="str">
        <f>INDEX('D1 - Master Project Table'!$A$1:$AK$7012,$B53,8)</f>
        <v>2 - Not Scheduled</v>
      </c>
      <c r="H53" s="74"/>
      <c r="I53" s="34" t="str">
        <f t="shared" si="6"/>
        <v>No</v>
      </c>
      <c r="J53" s="92"/>
      <c r="K53" s="42" t="str">
        <f t="shared" si="7"/>
        <v>Yes</v>
      </c>
      <c r="L53" s="29" t="str">
        <f>INDEX('D1 - Master Project Table'!$A$1:$AK$7056,$B53,28)</f>
        <v>In Estimating</v>
      </c>
      <c r="M53" s="42" t="str">
        <f t="shared" si="8"/>
        <v>Yes</v>
      </c>
      <c r="N53" s="102">
        <f>INDEX('D1 - Master Project Table'!$A$1:$AK$7056,$B53,37)</f>
        <v>0</v>
      </c>
      <c r="O53" s="94">
        <f>INDEX('D1 - Master Project Table'!$A$1:$AK$7056,$B53,36)</f>
        <v>0</v>
      </c>
      <c r="P53" s="4">
        <f>INDEX('D1 - Master Project Table'!$A$1:$AK$7056,$B53,10)</f>
        <v>0</v>
      </c>
      <c r="Q53" s="30">
        <f>INDEX('D1 - Master Project Table'!$A$1:$AK$7056,$B53,9)</f>
        <v>0</v>
      </c>
      <c r="R53" s="96"/>
      <c r="S53" s="42" t="str">
        <f t="shared" si="9"/>
        <v>NA</v>
      </c>
      <c r="T53" s="30" t="str">
        <f>IF(Q53&gt;0,VLOOKUP(Q53,#REF!,16,TRUE),"NA")</f>
        <v>NA</v>
      </c>
      <c r="U53" s="96" t="str">
        <f>IF(Q53=0,"",VLOOKUP(S53,#REF!,1,TRUE))</f>
        <v/>
      </c>
      <c r="V53" s="96"/>
      <c r="W53" s="69" t="str">
        <f>INDEX('D1 - Master Project Table'!$A$1:$AK$7070,$B53,16)</f>
        <v>Y</v>
      </c>
      <c r="X53" s="69" t="str">
        <f>INDEX('D1 - Master Project Table'!$A$1:$AK$7070,$B53,17)</f>
        <v>N</v>
      </c>
      <c r="Y53" s="69" t="str">
        <f>INDEX('D1 - Master Project Table'!$A$1:$AK$7070,$B53,18)</f>
        <v>N</v>
      </c>
      <c r="Z53" s="97"/>
      <c r="AA53" s="69" t="str">
        <f t="shared" si="10"/>
        <v>NA</v>
      </c>
      <c r="AB53" s="30" t="str">
        <f>IF(Q53=0,"NA",VLOOKUP(Q53,#REF!,3,TRUE))</f>
        <v>NA</v>
      </c>
      <c r="AC53" s="90"/>
      <c r="AD53" s="29" t="str">
        <f t="shared" si="11"/>
        <v>YesYes0</v>
      </c>
      <c r="AK53" s="24"/>
    </row>
    <row r="54" spans="1:37" ht="11.25" customHeight="1" x14ac:dyDescent="0.2">
      <c r="A54" s="28">
        <v>51</v>
      </c>
      <c r="B54" s="40">
        <f>MATCH(C54,'D1 - Master Project Table'!$D$1:$D$7056,0)</f>
        <v>280</v>
      </c>
      <c r="C54" s="177" t="s">
        <v>9120</v>
      </c>
      <c r="D54" s="29" t="str">
        <f>INDEX('D1 - Master Project Table'!$A$1:$AK$7056,$B54,5)</f>
        <v>RI Integrated Care Initiative - Phase I, LTSS</v>
      </c>
      <c r="E54" s="29">
        <f>INDEX('D1 - Master Project Table'!$A$1:$AK$7056,$B54,6)</f>
        <v>0</v>
      </c>
      <c r="F54" s="29" t="str">
        <f>INDEX('D1 - Master Project Table'!$A$1:$AK$7056,$B54,29)</f>
        <v>UnitedHealthcare Community &amp; State</v>
      </c>
      <c r="G54" s="29" t="str">
        <f>INDEX('D1 - Master Project Table'!$A$1:$AK$7012,$B54,8)</f>
        <v>2 - Not Scheduled</v>
      </c>
      <c r="H54" s="74"/>
      <c r="I54" s="34" t="str">
        <f t="shared" si="6"/>
        <v>No</v>
      </c>
      <c r="J54" s="92"/>
      <c r="K54" s="42" t="str">
        <f t="shared" si="7"/>
        <v>Yes</v>
      </c>
      <c r="L54" s="29" t="str">
        <f>INDEX('D1 - Master Project Table'!$A$1:$AK$7056,$B54,28)</f>
        <v>In Estimating</v>
      </c>
      <c r="M54" s="42" t="str">
        <f t="shared" si="8"/>
        <v>Yes</v>
      </c>
      <c r="N54" s="102">
        <f>INDEX('D1 - Master Project Table'!$A$1:$AK$7056,$B54,37)</f>
        <v>0</v>
      </c>
      <c r="O54" s="94">
        <f>INDEX('D1 - Master Project Table'!$A$1:$AK$7056,$B54,36)</f>
        <v>0</v>
      </c>
      <c r="P54" s="4">
        <f>INDEX('D1 - Master Project Table'!$A$1:$AK$7056,$B54,10)</f>
        <v>0</v>
      </c>
      <c r="Q54" s="30">
        <f>INDEX('D1 - Master Project Table'!$A$1:$AK$7056,$B54,9)</f>
        <v>0</v>
      </c>
      <c r="R54" s="96"/>
      <c r="S54" s="42" t="str">
        <f t="shared" si="9"/>
        <v>NA</v>
      </c>
      <c r="T54" s="30" t="str">
        <f>IF(Q54&gt;0,VLOOKUP(Q54,#REF!,16,TRUE),"NA")</f>
        <v>NA</v>
      </c>
      <c r="U54" s="96" t="str">
        <f>IF(Q54=0,"",VLOOKUP(S54,#REF!,1,TRUE))</f>
        <v/>
      </c>
      <c r="V54" s="96"/>
      <c r="W54" s="69" t="str">
        <f>INDEX('D1 - Master Project Table'!$A$1:$AK$7070,$B54,16)</f>
        <v>N</v>
      </c>
      <c r="X54" s="69" t="str">
        <f>INDEX('D1 - Master Project Table'!$A$1:$AK$7070,$B54,17)</f>
        <v>N</v>
      </c>
      <c r="Y54" s="69" t="str">
        <f>INDEX('D1 - Master Project Table'!$A$1:$AK$7070,$B54,18)</f>
        <v>N</v>
      </c>
      <c r="Z54" s="97"/>
      <c r="AA54" s="69" t="str">
        <f t="shared" si="10"/>
        <v>NA</v>
      </c>
      <c r="AB54" s="30" t="str">
        <f>IF(Q54=0,"NA",VLOOKUP(Q54,#REF!,3,TRUE))</f>
        <v>NA</v>
      </c>
      <c r="AC54" s="90"/>
      <c r="AD54" s="29" t="str">
        <f t="shared" si="11"/>
        <v>YesYes0</v>
      </c>
      <c r="AK54" s="24"/>
    </row>
    <row r="55" spans="1:37" ht="11.25" customHeight="1" x14ac:dyDescent="0.2">
      <c r="A55" s="28">
        <v>52</v>
      </c>
      <c r="B55" s="40">
        <f>MATCH(C55,'D1 - Master Project Table'!$D$1:$D$7056,0)</f>
        <v>270</v>
      </c>
      <c r="C55" s="177" t="s">
        <v>9121</v>
      </c>
      <c r="D55" s="29" t="str">
        <f>INDEX('D1 - Master Project Table'!$A$1:$AK$7056,$B55,5)</f>
        <v>Enhance Broker &amp; Employer capabilities in Master</v>
      </c>
      <c r="E55" s="29">
        <f>INDEX('D1 - Master Project Table'!$A$1:$AK$7056,$B55,6)</f>
        <v>0</v>
      </c>
      <c r="F55" s="29" t="str">
        <f>INDEX('D1 - Master Project Table'!$A$1:$AK$7056,$B55,29)</f>
        <v>UHG IT - Shared Services</v>
      </c>
      <c r="G55" s="29" t="str">
        <f>INDEX('D1 - Master Project Table'!$A$1:$AK$7012,$B55,8)</f>
        <v>2 - Not Scheduled</v>
      </c>
      <c r="H55" s="74"/>
      <c r="I55" s="34" t="str">
        <f t="shared" si="6"/>
        <v>No</v>
      </c>
      <c r="J55" s="92"/>
      <c r="K55" s="42" t="str">
        <f t="shared" si="7"/>
        <v>Yes</v>
      </c>
      <c r="L55" s="29" t="str">
        <f>INDEX('D1 - Master Project Table'!$A$1:$AK$7056,$B55,28)</f>
        <v>In Estimating</v>
      </c>
      <c r="M55" s="42" t="str">
        <f t="shared" si="8"/>
        <v>Yes</v>
      </c>
      <c r="N55" s="102">
        <f>INDEX('D1 - Master Project Table'!$A$1:$AK$7056,$B55,37)</f>
        <v>0</v>
      </c>
      <c r="O55" s="94">
        <f>INDEX('D1 - Master Project Table'!$A$1:$AK$7056,$B55,36)</f>
        <v>0</v>
      </c>
      <c r="P55" s="4">
        <f>INDEX('D1 - Master Project Table'!$A$1:$AK$7056,$B55,10)</f>
        <v>0</v>
      </c>
      <c r="Q55" s="30">
        <f>INDEX('D1 - Master Project Table'!$A$1:$AK$7056,$B55,9)</f>
        <v>0</v>
      </c>
      <c r="R55" s="96"/>
      <c r="S55" s="42" t="str">
        <f t="shared" si="9"/>
        <v>NA</v>
      </c>
      <c r="T55" s="30" t="str">
        <f>IF(Q55&gt;0,VLOOKUP(Q55,#REF!,16,TRUE),"NA")</f>
        <v>NA</v>
      </c>
      <c r="U55" s="96" t="str">
        <f>IF(Q55=0,"",VLOOKUP(S55,#REF!,1,TRUE))</f>
        <v/>
      </c>
      <c r="V55" s="96"/>
      <c r="W55" s="69" t="str">
        <f>INDEX('D1 - Master Project Table'!$A$1:$AK$7070,$B55,16)</f>
        <v>Y</v>
      </c>
      <c r="X55" s="69" t="str">
        <f>INDEX('D1 - Master Project Table'!$A$1:$AK$7070,$B55,17)</f>
        <v>N</v>
      </c>
      <c r="Y55" s="69" t="str">
        <f>INDEX('D1 - Master Project Table'!$A$1:$AK$7070,$B55,18)</f>
        <v>N</v>
      </c>
      <c r="Z55" s="97"/>
      <c r="AA55" s="69" t="str">
        <f t="shared" si="10"/>
        <v>NA</v>
      </c>
      <c r="AB55" s="30" t="str">
        <f>IF(Q55=0,"NA",VLOOKUP(Q55,#REF!,3,TRUE))</f>
        <v>NA</v>
      </c>
      <c r="AC55" s="90"/>
      <c r="AD55" s="29" t="str">
        <f t="shared" si="11"/>
        <v>YesYes0</v>
      </c>
      <c r="AK55" s="24"/>
    </row>
    <row r="56" spans="1:37" ht="15.75" customHeight="1" x14ac:dyDescent="0.2">
      <c r="A56" s="28">
        <v>53</v>
      </c>
      <c r="B56" s="40">
        <f>MATCH(C56,'D1 - Master Project Table'!$D$1:$D$7056,0)</f>
        <v>283</v>
      </c>
      <c r="C56" s="177" t="s">
        <v>9122</v>
      </c>
      <c r="D56" s="29" t="str">
        <f>INDEX('D1 - Master Project Table'!$A$1:$AK$7056,$B56,5)</f>
        <v>Workflow Mgmt - Scaling Advocacy traditional Reqs</v>
      </c>
      <c r="E56" s="29">
        <f>INDEX('D1 - Master Project Table'!$A$1:$AK$7056,$B56,6)</f>
        <v>0</v>
      </c>
      <c r="F56" s="29" t="str">
        <f>INDEX('D1 - Master Project Table'!$A$1:$AK$7056,$B56,29)</f>
        <v>OptumHealth</v>
      </c>
      <c r="G56" s="29" t="str">
        <f>INDEX('D1 - Master Project Table'!$A$1:$AK$7012,$B56,8)</f>
        <v>2 - Not Scheduled</v>
      </c>
      <c r="H56" s="74"/>
      <c r="I56" s="34" t="str">
        <f t="shared" si="6"/>
        <v>No</v>
      </c>
      <c r="J56" s="92"/>
      <c r="K56" s="42" t="str">
        <f t="shared" si="7"/>
        <v>Yes</v>
      </c>
      <c r="L56" s="29" t="str">
        <f>INDEX('D1 - Master Project Table'!$A$1:$AK$7056,$B56,28)</f>
        <v>In Estimating</v>
      </c>
      <c r="M56" s="42" t="str">
        <f t="shared" si="8"/>
        <v>Yes</v>
      </c>
      <c r="N56" s="102">
        <f>INDEX('D1 - Master Project Table'!$A$1:$AK$7056,$B56,37)</f>
        <v>0</v>
      </c>
      <c r="O56" s="94">
        <f>INDEX('D1 - Master Project Table'!$A$1:$AK$7056,$B56,36)</f>
        <v>0</v>
      </c>
      <c r="P56" s="4">
        <f>INDEX('D1 - Master Project Table'!$A$1:$AK$7056,$B56,10)</f>
        <v>0</v>
      </c>
      <c r="Q56" s="30">
        <f>INDEX('D1 - Master Project Table'!$A$1:$AK$7056,$B56,9)</f>
        <v>0</v>
      </c>
      <c r="R56" s="96"/>
      <c r="S56" s="42" t="str">
        <f t="shared" si="9"/>
        <v>NA</v>
      </c>
      <c r="T56" s="30" t="str">
        <f>IF(Q56&gt;0,VLOOKUP(Q56,#REF!,16,TRUE),"NA")</f>
        <v>NA</v>
      </c>
      <c r="U56" s="96" t="str">
        <f>IF(Q56=0,"",VLOOKUP(S56,#REF!,1,TRUE))</f>
        <v/>
      </c>
      <c r="V56" s="96"/>
      <c r="W56" s="69" t="str">
        <f>INDEX('D1 - Master Project Table'!$A$1:$AK$7070,$B56,16)</f>
        <v>Y</v>
      </c>
      <c r="X56" s="69" t="str">
        <f>INDEX('D1 - Master Project Table'!$A$1:$AK$7070,$B56,17)</f>
        <v>N</v>
      </c>
      <c r="Y56" s="69" t="str">
        <f>INDEX('D1 - Master Project Table'!$A$1:$AK$7070,$B56,18)</f>
        <v>N</v>
      </c>
      <c r="Z56" s="97"/>
      <c r="AA56" s="69" t="str">
        <f t="shared" si="10"/>
        <v>NA</v>
      </c>
      <c r="AB56" s="30" t="str">
        <f>IF(Q56=0,"NA",VLOOKUP(Q56,#REF!,3,TRUE))</f>
        <v>NA</v>
      </c>
      <c r="AC56" s="90"/>
      <c r="AD56" s="29" t="str">
        <f t="shared" si="11"/>
        <v>YesYes0</v>
      </c>
      <c r="AK56" s="24"/>
    </row>
    <row r="57" spans="1:37" ht="11.25" customHeight="1" x14ac:dyDescent="0.2">
      <c r="A57" s="28">
        <v>56</v>
      </c>
      <c r="B57" s="40">
        <f>MATCH(C57,'D1 - Master Project Table'!$D$1:$D$7056,0)</f>
        <v>275</v>
      </c>
      <c r="C57" s="177" t="s">
        <v>9243</v>
      </c>
      <c r="D57" s="29" t="str">
        <f>INDEX('D1 - Master Project Table'!$A$1:$AK$7056,$B57,5)</f>
        <v xml:space="preserve">Texas Star+PLUS MRSA Expansion </v>
      </c>
      <c r="E57" s="29">
        <f>INDEX('D1 - Master Project Table'!$A$1:$AK$7056,$B57,6)</f>
        <v>0</v>
      </c>
      <c r="F57" s="29" t="str">
        <f>INDEX('D1 - Master Project Table'!$A$1:$AK$7056,$B57,29)</f>
        <v>UnitedHealthcare Community &amp; State</v>
      </c>
      <c r="G57" s="29" t="str">
        <f>INDEX('D1 - Master Project Table'!$A$1:$AK$7012,$B57,8)</f>
        <v>2 - Not Scheduled</v>
      </c>
      <c r="H57" s="74"/>
      <c r="I57" s="34" t="str">
        <f t="shared" si="6"/>
        <v>No</v>
      </c>
      <c r="J57" s="92"/>
      <c r="K57" s="42" t="str">
        <f t="shared" si="7"/>
        <v>Yes</v>
      </c>
      <c r="L57" s="29" t="str">
        <f>INDEX('D1 - Master Project Table'!$A$1:$AK$7056,$B57,28)</f>
        <v>In Estimating</v>
      </c>
      <c r="M57" s="42" t="str">
        <f t="shared" si="8"/>
        <v>Yes</v>
      </c>
      <c r="N57" s="102">
        <f>INDEX('D1 - Master Project Table'!$A$1:$AK$7056,$B57,37)</f>
        <v>0</v>
      </c>
      <c r="O57" s="94">
        <f>INDEX('D1 - Master Project Table'!$A$1:$AK$7056,$B57,36)</f>
        <v>0</v>
      </c>
      <c r="P57" s="4">
        <f>INDEX('D1 - Master Project Table'!$A$1:$AK$7056,$B57,10)</f>
        <v>0</v>
      </c>
      <c r="Q57" s="30">
        <f>INDEX('D1 - Master Project Table'!$A$1:$AK$7056,$B57,9)</f>
        <v>0</v>
      </c>
      <c r="R57" s="96"/>
      <c r="S57" s="42" t="str">
        <f t="shared" si="9"/>
        <v>NA</v>
      </c>
      <c r="T57" s="30" t="str">
        <f>IF(Q57&gt;0,VLOOKUP(Q57,#REF!,16,TRUE),"NA")</f>
        <v>NA</v>
      </c>
      <c r="U57" s="96" t="str">
        <f>IF(Q57=0,"",VLOOKUP(S57,#REF!,1,TRUE))</f>
        <v/>
      </c>
      <c r="V57" s="96"/>
      <c r="W57" s="69" t="str">
        <f>INDEX('D1 - Master Project Table'!$A$1:$AK$7070,$B57,16)</f>
        <v>N</v>
      </c>
      <c r="X57" s="69" t="str">
        <f>INDEX('D1 - Master Project Table'!$A$1:$AK$7070,$B57,17)</f>
        <v>N</v>
      </c>
      <c r="Y57" s="69" t="str">
        <f>INDEX('D1 - Master Project Table'!$A$1:$AK$7070,$B57,18)</f>
        <v>N</v>
      </c>
      <c r="Z57" s="97"/>
      <c r="AA57" s="69" t="str">
        <f t="shared" si="10"/>
        <v>NA</v>
      </c>
      <c r="AB57" s="30" t="str">
        <f>IF(Q57=0,"NA",VLOOKUP(Q57,#REF!,3,TRUE))</f>
        <v>NA</v>
      </c>
      <c r="AC57" s="90"/>
      <c r="AD57" s="29" t="str">
        <f t="shared" si="11"/>
        <v>YesYes0</v>
      </c>
      <c r="AK57" s="24"/>
    </row>
    <row r="58" spans="1:37" ht="11.25" customHeight="1" x14ac:dyDescent="0.2">
      <c r="A58" s="28">
        <v>58</v>
      </c>
      <c r="B58" s="40">
        <f>MATCH(C58,'D1 - Master Project Table'!$D$1:$D$7056,0)</f>
        <v>282</v>
      </c>
      <c r="C58" s="177" t="s">
        <v>9246</v>
      </c>
      <c r="D58" s="29" t="str">
        <f>INDEX('D1 - Master Project Table'!$A$1:$AK$7056,$B58,5)</f>
        <v>Provider Touchpoint Redirect</v>
      </c>
      <c r="E58" s="29">
        <f>INDEX('D1 - Master Project Table'!$A$1:$AK$7056,$B58,6)</f>
        <v>0</v>
      </c>
      <c r="F58" s="29" t="str">
        <f>INDEX('D1 - Master Project Table'!$A$1:$AK$7056,$B58,29)</f>
        <v>UHG IT - Enterprise Technology Services</v>
      </c>
      <c r="G58" s="29" t="str">
        <f>INDEX('D1 - Master Project Table'!$A$1:$AK$7012,$B58,8)</f>
        <v>2 - Not Scheduled</v>
      </c>
      <c r="H58" s="74"/>
      <c r="I58" s="34" t="str">
        <f t="shared" si="6"/>
        <v>No</v>
      </c>
      <c r="J58" s="92"/>
      <c r="K58" s="42" t="str">
        <f t="shared" si="7"/>
        <v>Yes</v>
      </c>
      <c r="L58" s="29" t="str">
        <f>INDEX('D1 - Master Project Table'!$A$1:$AK$7056,$B58,28)</f>
        <v>In Estimating</v>
      </c>
      <c r="M58" s="42" t="str">
        <f t="shared" si="8"/>
        <v>Yes</v>
      </c>
      <c r="N58" s="102">
        <f>INDEX('D1 - Master Project Table'!$A$1:$AK$7056,$B58,37)</f>
        <v>0</v>
      </c>
      <c r="O58" s="94">
        <f>INDEX('D1 - Master Project Table'!$A$1:$AK$7056,$B58,36)</f>
        <v>0</v>
      </c>
      <c r="P58" s="4">
        <f>INDEX('D1 - Master Project Table'!$A$1:$AK$7056,$B58,10)</f>
        <v>0</v>
      </c>
      <c r="Q58" s="30">
        <f>INDEX('D1 - Master Project Table'!$A$1:$AK$7056,$B58,9)</f>
        <v>0</v>
      </c>
      <c r="R58" s="96"/>
      <c r="S58" s="42" t="str">
        <f t="shared" si="9"/>
        <v>NA</v>
      </c>
      <c r="T58" s="30" t="str">
        <f>IF(Q58&gt;0,VLOOKUP(Q58,#REF!,16,TRUE),"NA")</f>
        <v>NA</v>
      </c>
      <c r="U58" s="96" t="str">
        <f>IF(Q58=0,"",VLOOKUP(S58,#REF!,1,TRUE))</f>
        <v/>
      </c>
      <c r="V58" s="96"/>
      <c r="W58" s="69" t="str">
        <f>INDEX('D1 - Master Project Table'!$A$1:$AK$7070,$B58,16)</f>
        <v>N</v>
      </c>
      <c r="X58" s="69" t="str">
        <f>INDEX('D1 - Master Project Table'!$A$1:$AK$7070,$B58,17)</f>
        <v>N</v>
      </c>
      <c r="Y58" s="69" t="str">
        <f>INDEX('D1 - Master Project Table'!$A$1:$AK$7070,$B58,18)</f>
        <v>N</v>
      </c>
      <c r="Z58" s="97"/>
      <c r="AA58" s="69" t="str">
        <f t="shared" si="10"/>
        <v>NA</v>
      </c>
      <c r="AB58" s="30" t="str">
        <f>IF(Q58=0,"NA",VLOOKUP(Q58,#REF!,3,TRUE))</f>
        <v>NA</v>
      </c>
      <c r="AC58" s="90"/>
      <c r="AD58" s="29" t="str">
        <f t="shared" si="11"/>
        <v>YesYes0</v>
      </c>
      <c r="AK58" s="24"/>
    </row>
    <row r="59" spans="1:37" ht="11.25" customHeight="1" x14ac:dyDescent="0.2">
      <c r="A59" s="28">
        <v>59</v>
      </c>
      <c r="B59" s="40">
        <f>MATCH(C59,'D1 - Master Project Table'!$D$1:$D$7056,0)</f>
        <v>286</v>
      </c>
      <c r="C59" s="177" t="s">
        <v>9247</v>
      </c>
      <c r="D59" s="29" t="str">
        <f>INDEX('D1 - Master Project Table'!$A$1:$AK$7056,$B59,5)</f>
        <v>OnLine M&amp;R Gatekeeper Referrals - Therapy Support</v>
      </c>
      <c r="E59" s="29">
        <f>INDEX('D1 - Master Project Table'!$A$1:$AK$7056,$B59,6)</f>
        <v>0</v>
      </c>
      <c r="F59" s="29" t="str">
        <f>INDEX('D1 - Master Project Table'!$A$1:$AK$7056,$B59,29)</f>
        <v>UnitedHealthcare Medicare &amp; Retirement</v>
      </c>
      <c r="G59" s="29" t="str">
        <f>INDEX('D1 - Master Project Table'!$A$1:$AK$7012,$B59,8)</f>
        <v>2 - Not Scheduled</v>
      </c>
      <c r="H59" s="74"/>
      <c r="I59" s="34" t="str">
        <f t="shared" si="6"/>
        <v>No</v>
      </c>
      <c r="J59" s="92"/>
      <c r="K59" s="42" t="str">
        <f t="shared" si="7"/>
        <v>No</v>
      </c>
      <c r="L59" s="29" t="str">
        <f>INDEX('D1 - Master Project Table'!$A$1:$AK$7056,$B59,28)</f>
        <v>In IT Leadership Estimate Review</v>
      </c>
      <c r="M59" s="42" t="str">
        <f t="shared" si="8"/>
        <v>Yes</v>
      </c>
      <c r="N59" s="102">
        <f>INDEX('D1 - Master Project Table'!$A$1:$AK$7056,$B59,37)</f>
        <v>0</v>
      </c>
      <c r="O59" s="94">
        <f>INDEX('D1 - Master Project Table'!$A$1:$AK$7056,$B59,36)</f>
        <v>0</v>
      </c>
      <c r="P59" s="4">
        <f>INDEX('D1 - Master Project Table'!$A$1:$AK$7056,$B59,10)</f>
        <v>0</v>
      </c>
      <c r="Q59" s="30">
        <f>INDEX('D1 - Master Project Table'!$A$1:$AK$7056,$B59,9)</f>
        <v>0</v>
      </c>
      <c r="R59" s="96"/>
      <c r="S59" s="42" t="str">
        <f t="shared" si="9"/>
        <v>NA</v>
      </c>
      <c r="T59" s="30" t="str">
        <f>IF(Q59&gt;0,VLOOKUP(Q59,#REF!,16,TRUE),"NA")</f>
        <v>NA</v>
      </c>
      <c r="U59" s="96" t="str">
        <f>IF(Q59=0,"",VLOOKUP(S59,#REF!,1,TRUE))</f>
        <v/>
      </c>
      <c r="V59" s="96"/>
      <c r="W59" s="69" t="str">
        <f>INDEX('D1 - Master Project Table'!$A$1:$AK$7070,$B59,16)</f>
        <v>N</v>
      </c>
      <c r="X59" s="69" t="str">
        <f>INDEX('D1 - Master Project Table'!$A$1:$AK$7070,$B59,17)</f>
        <v>N</v>
      </c>
      <c r="Y59" s="69" t="str">
        <f>INDEX('D1 - Master Project Table'!$A$1:$AK$7070,$B59,18)</f>
        <v>N</v>
      </c>
      <c r="Z59" s="97"/>
      <c r="AA59" s="69" t="str">
        <f t="shared" si="10"/>
        <v>NA</v>
      </c>
      <c r="AB59" s="30" t="str">
        <f>IF(Q59=0,"NA",VLOOKUP(Q59,#REF!,3,TRUE))</f>
        <v>NA</v>
      </c>
      <c r="AC59" s="90"/>
      <c r="AD59" s="29" t="str">
        <f t="shared" si="11"/>
        <v>NoYes0</v>
      </c>
      <c r="AK59" s="24"/>
    </row>
    <row r="60" spans="1:37" ht="11.25" customHeight="1" x14ac:dyDescent="0.2">
      <c r="A60" s="28">
        <v>60</v>
      </c>
      <c r="B60" s="40">
        <f>MATCH(C60,'D1 - Master Project Table'!$D$1:$D$7056,0)</f>
        <v>285</v>
      </c>
      <c r="C60" s="177" t="s">
        <v>9248</v>
      </c>
      <c r="D60" s="29" t="str">
        <f>INDEX('D1 - Master Project Table'!$A$1:$AK$7056,$B60,5)</f>
        <v>UHCMW Defect release</v>
      </c>
      <c r="E60" s="29">
        <f>INDEX('D1 - Master Project Table'!$A$1:$AK$7056,$B60,6)</f>
        <v>0</v>
      </c>
      <c r="F60" s="29" t="str">
        <f>INDEX('D1 - Master Project Table'!$A$1:$AK$7056,$B60,29)</f>
        <v>UnitedHealthcare Military &amp; Veterans</v>
      </c>
      <c r="G60" s="29" t="str">
        <f>INDEX('D1 - Master Project Table'!$A$1:$AK$7012,$B60,8)</f>
        <v>2 - Not Scheduled</v>
      </c>
      <c r="H60" s="74"/>
      <c r="I60" s="34" t="str">
        <f t="shared" si="6"/>
        <v>No</v>
      </c>
      <c r="J60" s="92"/>
      <c r="K60" s="42" t="str">
        <f t="shared" si="7"/>
        <v>No</v>
      </c>
      <c r="L60" s="29" t="str">
        <f>INDEX('D1 - Master Project Table'!$A$1:$AK$7056,$B60,28)</f>
        <v>In Program Manager Request Review</v>
      </c>
      <c r="M60" s="42" t="str">
        <f t="shared" si="8"/>
        <v>Yes</v>
      </c>
      <c r="N60" s="102">
        <f>INDEX('D1 - Master Project Table'!$A$1:$AK$7056,$B60,37)</f>
        <v>0</v>
      </c>
      <c r="O60" s="94">
        <f>INDEX('D1 - Master Project Table'!$A$1:$AK$7056,$B60,36)</f>
        <v>0</v>
      </c>
      <c r="P60" s="4">
        <f>INDEX('D1 - Master Project Table'!$A$1:$AK$7056,$B60,10)</f>
        <v>0</v>
      </c>
      <c r="Q60" s="30">
        <f>INDEX('D1 - Master Project Table'!$A$1:$AK$7056,$B60,9)</f>
        <v>0</v>
      </c>
      <c r="R60" s="96"/>
      <c r="S60" s="42" t="str">
        <f t="shared" si="9"/>
        <v>NA</v>
      </c>
      <c r="T60" s="30" t="str">
        <f>IF(Q60&gt;0,VLOOKUP(Q60,#REF!,16,TRUE),"NA")</f>
        <v>NA</v>
      </c>
      <c r="U60" s="96" t="str">
        <f>IF(Q60=0,"",VLOOKUP(S60,#REF!,1,TRUE))</f>
        <v/>
      </c>
      <c r="V60" s="96"/>
      <c r="W60" s="69" t="str">
        <f>INDEX('D1 - Master Project Table'!$A$1:$AK$7070,$B60,16)</f>
        <v>N</v>
      </c>
      <c r="X60" s="69" t="str">
        <f>INDEX('D1 - Master Project Table'!$A$1:$AK$7070,$B60,17)</f>
        <v>N</v>
      </c>
      <c r="Y60" s="69" t="str">
        <f>INDEX('D1 - Master Project Table'!$A$1:$AK$7070,$B60,18)</f>
        <v>N</v>
      </c>
      <c r="Z60" s="97"/>
      <c r="AA60" s="69" t="str">
        <f t="shared" si="10"/>
        <v>NA</v>
      </c>
      <c r="AB60" s="30" t="str">
        <f>IF(Q60=0,"NA",VLOOKUP(Q60,#REF!,3,TRUE))</f>
        <v>NA</v>
      </c>
      <c r="AC60" s="90"/>
      <c r="AD60" s="29" t="str">
        <f t="shared" si="11"/>
        <v>NoYes0</v>
      </c>
      <c r="AK60" s="24"/>
    </row>
    <row r="61" spans="1:37" ht="11.25" customHeight="1" x14ac:dyDescent="0.2">
      <c r="A61" s="28">
        <v>61</v>
      </c>
      <c r="B61" s="40">
        <f>MATCH(C61,'D1 - Master Project Table'!$D$1:$D$7056,0)</f>
        <v>243</v>
      </c>
      <c r="C61" s="177" t="s">
        <v>9282</v>
      </c>
      <c r="D61" s="29" t="str">
        <f>INDEX('D1 - Master Project Table'!$A$1:$AK$7056,$B61,5)</f>
        <v>New CAID ID</v>
      </c>
      <c r="E61" s="29">
        <f>INDEX('D1 - Master Project Table'!$A$1:$AK$7056,$B61,6)</f>
        <v>0</v>
      </c>
      <c r="F61" s="29" t="str">
        <f>INDEX('D1 - Master Project Table'!$A$1:$AK$7056,$B61,29)</f>
        <v>UnitedHealthcare Community &amp; State</v>
      </c>
      <c r="G61" s="29" t="str">
        <f>INDEX('D1 - Master Project Table'!$A$1:$AK$7012,$B61,8)</f>
        <v>2 - Not Scheduled</v>
      </c>
      <c r="H61" s="74"/>
      <c r="I61" s="34" t="str">
        <f t="shared" si="6"/>
        <v>No</v>
      </c>
      <c r="J61" s="92"/>
      <c r="K61" s="42" t="str">
        <f t="shared" si="7"/>
        <v>No</v>
      </c>
      <c r="L61" s="29" t="str">
        <f>INDEX('D1 - Master Project Table'!$A$1:$AK$7056,$B61,28)</f>
        <v>In IT Leadership Estimate Review</v>
      </c>
      <c r="M61" s="42" t="str">
        <f t="shared" si="8"/>
        <v>Yes</v>
      </c>
      <c r="N61" s="102">
        <f>INDEX('D1 - Master Project Table'!$A$1:$AK$7056,$B61,37)</f>
        <v>0</v>
      </c>
      <c r="O61" s="94">
        <f>INDEX('D1 - Master Project Table'!$A$1:$AK$7056,$B61,36)</f>
        <v>0</v>
      </c>
      <c r="P61" s="4">
        <f>INDEX('D1 - Master Project Table'!$A$1:$AK$7056,$B61,10)</f>
        <v>0</v>
      </c>
      <c r="Q61" s="30">
        <f>INDEX('D1 - Master Project Table'!$A$1:$AK$7056,$B61,9)</f>
        <v>0</v>
      </c>
      <c r="R61" s="96"/>
      <c r="S61" s="42" t="str">
        <f t="shared" si="9"/>
        <v>NA</v>
      </c>
      <c r="T61" s="30" t="str">
        <f>IF(Q61&gt;0,VLOOKUP(Q61,#REF!,16,TRUE),"NA")</f>
        <v>NA</v>
      </c>
      <c r="U61" s="96" t="str">
        <f>IF(Q61=0,"",VLOOKUP(S61,#REF!,1,TRUE))</f>
        <v/>
      </c>
      <c r="V61" s="96"/>
      <c r="W61" s="69" t="str">
        <f>INDEX('D1 - Master Project Table'!$A$1:$AK$7070,$B61,16)</f>
        <v>N</v>
      </c>
      <c r="X61" s="69" t="str">
        <f>INDEX('D1 - Master Project Table'!$A$1:$AK$7070,$B61,17)</f>
        <v>N</v>
      </c>
      <c r="Y61" s="69" t="str">
        <f>INDEX('D1 - Master Project Table'!$A$1:$AK$7070,$B61,18)</f>
        <v>Y</v>
      </c>
      <c r="Z61" s="97"/>
      <c r="AA61" s="69" t="str">
        <f t="shared" si="10"/>
        <v>NA</v>
      </c>
      <c r="AB61" s="30" t="str">
        <f>IF(Q61=0,"NA",VLOOKUP(Q61,#REF!,3,TRUE))</f>
        <v>NA</v>
      </c>
      <c r="AC61" s="90"/>
      <c r="AD61" s="29" t="str">
        <f t="shared" si="11"/>
        <v>NoYes0</v>
      </c>
      <c r="AK61" s="24"/>
    </row>
    <row r="62" spans="1:37" ht="11.25" customHeight="1" x14ac:dyDescent="0.2">
      <c r="A62" s="28">
        <v>62</v>
      </c>
      <c r="B62" s="40">
        <f>MATCH(C62,'D1 - Master Project Table'!$D$1:$D$7056,0)</f>
        <v>287</v>
      </c>
      <c r="C62" s="177" t="s">
        <v>9284</v>
      </c>
      <c r="D62" s="29" t="str">
        <f>INDEX('D1 - Master Project Table'!$A$1:$AK$7056,$B62,5)</f>
        <v>Increase existing Master connectivity for ICD10</v>
      </c>
      <c r="E62" s="29">
        <f>INDEX('D1 - Master Project Table'!$A$1:$AK$7056,$B62,6)</f>
        <v>0</v>
      </c>
      <c r="F62" s="29" t="str">
        <f>INDEX('D1 - Master Project Table'!$A$1:$AK$7056,$B62,29)</f>
        <v>UHG IT - Shared Services</v>
      </c>
      <c r="G62" s="29" t="str">
        <f>INDEX('D1 - Master Project Table'!$A$1:$AK$7012,$B62,8)</f>
        <v>2 - Not Scheduled</v>
      </c>
      <c r="H62" s="74"/>
      <c r="I62" s="34" t="str">
        <f t="shared" si="6"/>
        <v>No</v>
      </c>
      <c r="J62" s="92"/>
      <c r="K62" s="42" t="str">
        <f t="shared" si="7"/>
        <v>Yes</v>
      </c>
      <c r="L62" s="29" t="str">
        <f>INDEX('D1 - Master Project Table'!$A$1:$AK$7056,$B62,28)</f>
        <v>In Estimating</v>
      </c>
      <c r="M62" s="42" t="str">
        <f t="shared" si="8"/>
        <v>Yes</v>
      </c>
      <c r="N62" s="102">
        <f>INDEX('D1 - Master Project Table'!$A$1:$AK$7056,$B62,37)</f>
        <v>0</v>
      </c>
      <c r="O62" s="94">
        <f>INDEX('D1 - Master Project Table'!$A$1:$AK$7056,$B62,36)</f>
        <v>0</v>
      </c>
      <c r="P62" s="4">
        <f>INDEX('D1 - Master Project Table'!$A$1:$AK$7056,$B62,10)</f>
        <v>0</v>
      </c>
      <c r="Q62" s="30">
        <f>INDEX('D1 - Master Project Table'!$A$1:$AK$7056,$B62,9)</f>
        <v>0</v>
      </c>
      <c r="R62" s="96"/>
      <c r="S62" s="42" t="str">
        <f t="shared" si="9"/>
        <v>NA</v>
      </c>
      <c r="T62" s="30" t="str">
        <f>IF(Q62&gt;0,VLOOKUP(Q62,#REF!,16,TRUE),"NA")</f>
        <v>NA</v>
      </c>
      <c r="U62" s="96" t="str">
        <f>IF(Q62=0,"",VLOOKUP(S62,#REF!,1,TRUE))</f>
        <v/>
      </c>
      <c r="V62" s="96"/>
      <c r="W62" s="69" t="str">
        <f>INDEX('D1 - Master Project Table'!$A$1:$AK$7070,$B62,16)</f>
        <v>Y</v>
      </c>
      <c r="X62" s="69" t="str">
        <f>INDEX('D1 - Master Project Table'!$A$1:$AK$7070,$B62,17)</f>
        <v>N</v>
      </c>
      <c r="Y62" s="69" t="str">
        <f>INDEX('D1 - Master Project Table'!$A$1:$AK$7070,$B62,18)</f>
        <v>Y</v>
      </c>
      <c r="Z62" s="97"/>
      <c r="AA62" s="69" t="str">
        <f t="shared" si="10"/>
        <v>NA</v>
      </c>
      <c r="AB62" s="30" t="str">
        <f>IF(Q62=0,"NA",VLOOKUP(Q62,#REF!,3,TRUE))</f>
        <v>NA</v>
      </c>
      <c r="AC62" s="90"/>
      <c r="AD62" s="29" t="str">
        <f t="shared" si="11"/>
        <v>YesYes0</v>
      </c>
      <c r="AK62" s="24"/>
    </row>
    <row r="63" spans="1:37" ht="11.25" customHeight="1" x14ac:dyDescent="0.2">
      <c r="A63" s="28">
        <v>63</v>
      </c>
      <c r="B63" s="40">
        <f>MATCH(C63,'D1 - Master Project Table'!$D$1:$D$7056,0)</f>
        <v>276</v>
      </c>
      <c r="C63" s="177" t="s">
        <v>9285</v>
      </c>
      <c r="D63" s="29" t="str">
        <f>INDEX('D1 - Master Project Table'!$A$1:$AK$7056,$B63,5)</f>
        <v>Replace Function/Partial Bill Replace</v>
      </c>
      <c r="E63" s="29">
        <f>INDEX('D1 - Master Project Table'!$A$1:$AK$7056,$B63,6)</f>
        <v>0</v>
      </c>
      <c r="F63" s="29" t="str">
        <f>INDEX('D1 - Master Project Table'!$A$1:$AK$7056,$B63,29)</f>
        <v>UnitedHealthcare Community &amp; State</v>
      </c>
      <c r="G63" s="29" t="str">
        <f>INDEX('D1 - Master Project Table'!$A$1:$AK$7012,$B63,8)</f>
        <v>2 - Not Scheduled</v>
      </c>
      <c r="H63" s="74"/>
      <c r="I63" s="34" t="str">
        <f t="shared" si="6"/>
        <v>No</v>
      </c>
      <c r="J63" s="92"/>
      <c r="K63" s="42" t="str">
        <f t="shared" si="7"/>
        <v>No</v>
      </c>
      <c r="L63" s="29" t="str">
        <f>INDEX('D1 - Master Project Table'!$A$1:$AK$7056,$B63,28)</f>
        <v>In Strategy Council</v>
      </c>
      <c r="M63" s="42" t="str">
        <f t="shared" si="8"/>
        <v>Yes</v>
      </c>
      <c r="N63" s="102">
        <f>INDEX('D1 - Master Project Table'!$A$1:$AK$7056,$B63,37)</f>
        <v>0</v>
      </c>
      <c r="O63" s="94">
        <f>INDEX('D1 - Master Project Table'!$A$1:$AK$7056,$B63,36)</f>
        <v>0</v>
      </c>
      <c r="P63" s="4">
        <f>INDEX('D1 - Master Project Table'!$A$1:$AK$7056,$B63,10)</f>
        <v>0</v>
      </c>
      <c r="Q63" s="30">
        <f>INDEX('D1 - Master Project Table'!$A$1:$AK$7056,$B63,9)</f>
        <v>0</v>
      </c>
      <c r="R63" s="96"/>
      <c r="S63" s="42" t="str">
        <f t="shared" si="9"/>
        <v>NA</v>
      </c>
      <c r="T63" s="30" t="str">
        <f>IF(Q63&gt;0,VLOOKUP(Q63,#REF!,16,TRUE),"NA")</f>
        <v>NA</v>
      </c>
      <c r="U63" s="96" t="str">
        <f>IF(Q63=0,"",VLOOKUP(S63,#REF!,1,TRUE))</f>
        <v/>
      </c>
      <c r="V63" s="96"/>
      <c r="W63" s="69" t="str">
        <f>INDEX('D1 - Master Project Table'!$A$1:$AK$7070,$B63,16)</f>
        <v>N</v>
      </c>
      <c r="X63" s="69" t="str">
        <f>INDEX('D1 - Master Project Table'!$A$1:$AK$7070,$B63,17)</f>
        <v>N</v>
      </c>
      <c r="Y63" s="69" t="str">
        <f>INDEX('D1 - Master Project Table'!$A$1:$AK$7070,$B63,18)</f>
        <v>N</v>
      </c>
      <c r="Z63" s="97"/>
      <c r="AA63" s="69" t="str">
        <f t="shared" si="10"/>
        <v>NA</v>
      </c>
      <c r="AB63" s="30" t="str">
        <f>IF(Q63=0,"NA",VLOOKUP(Q63,#REF!,3,TRUE))</f>
        <v>NA</v>
      </c>
      <c r="AC63" s="90"/>
      <c r="AD63" s="29" t="str">
        <f t="shared" si="11"/>
        <v>NoYes0</v>
      </c>
      <c r="AK63" s="24"/>
    </row>
    <row r="64" spans="1:37" ht="11.25" customHeight="1" x14ac:dyDescent="0.2">
      <c r="A64" s="28">
        <v>64</v>
      </c>
      <c r="B64" s="40">
        <f>MATCH(C64,'D1 - Master Project Table'!$D$1:$D$7056,0)</f>
        <v>277</v>
      </c>
      <c r="C64" s="177" t="s">
        <v>9286</v>
      </c>
      <c r="D64" s="29" t="str">
        <f>INDEX('D1 - Master Project Table'!$A$1:$AK$7056,$B64,5)</f>
        <v>Retro Change to Effective Date &amp; Group Date</v>
      </c>
      <c r="E64" s="29">
        <f>INDEX('D1 - Master Project Table'!$A$1:$AK$7056,$B64,6)</f>
        <v>0</v>
      </c>
      <c r="F64" s="29" t="str">
        <f>INDEX('D1 - Master Project Table'!$A$1:$AK$7056,$B64,29)</f>
        <v>UnitedHealthcare Community &amp; State</v>
      </c>
      <c r="G64" s="29" t="str">
        <f>INDEX('D1 - Master Project Table'!$A$1:$AK$7012,$B64,8)</f>
        <v>2 - Not Scheduled</v>
      </c>
      <c r="H64" s="74"/>
      <c r="I64" s="34" t="str">
        <f t="shared" si="6"/>
        <v>No</v>
      </c>
      <c r="J64" s="92"/>
      <c r="K64" s="42" t="str">
        <f t="shared" si="7"/>
        <v>Yes</v>
      </c>
      <c r="L64" s="29" t="str">
        <f>INDEX('D1 - Master Project Table'!$A$1:$AK$7056,$B64,28)</f>
        <v>In Estimating</v>
      </c>
      <c r="M64" s="42" t="str">
        <f t="shared" si="8"/>
        <v>Yes</v>
      </c>
      <c r="N64" s="102">
        <f>INDEX('D1 - Master Project Table'!$A$1:$AK$7056,$B64,37)</f>
        <v>0</v>
      </c>
      <c r="O64" s="94">
        <f>INDEX('D1 - Master Project Table'!$A$1:$AK$7056,$B64,36)</f>
        <v>0</v>
      </c>
      <c r="P64" s="4">
        <f>INDEX('D1 - Master Project Table'!$A$1:$AK$7056,$B64,10)</f>
        <v>0</v>
      </c>
      <c r="Q64" s="30">
        <f>INDEX('D1 - Master Project Table'!$A$1:$AK$7056,$B64,9)</f>
        <v>0</v>
      </c>
      <c r="R64" s="96"/>
      <c r="S64" s="42" t="str">
        <f t="shared" si="9"/>
        <v>NA</v>
      </c>
      <c r="T64" s="30" t="str">
        <f>IF(Q64&gt;0,VLOOKUP(Q64,#REF!,16,TRUE),"NA")</f>
        <v>NA</v>
      </c>
      <c r="U64" s="96" t="str">
        <f>IF(Q64=0,"",VLOOKUP(S64,#REF!,1,TRUE))</f>
        <v/>
      </c>
      <c r="V64" s="96"/>
      <c r="W64" s="69" t="str">
        <f>INDEX('D1 - Master Project Table'!$A$1:$AK$7070,$B64,16)</f>
        <v>N</v>
      </c>
      <c r="X64" s="69" t="str">
        <f>INDEX('D1 - Master Project Table'!$A$1:$AK$7070,$B64,17)</f>
        <v>N</v>
      </c>
      <c r="Y64" s="69" t="str">
        <f>INDEX('D1 - Master Project Table'!$A$1:$AK$7070,$B64,18)</f>
        <v>N</v>
      </c>
      <c r="Z64" s="97"/>
      <c r="AA64" s="69" t="str">
        <f t="shared" si="10"/>
        <v>NA</v>
      </c>
      <c r="AB64" s="30" t="str">
        <f>IF(Q64=0,"NA",VLOOKUP(Q64,#REF!,3,TRUE))</f>
        <v>NA</v>
      </c>
      <c r="AC64" s="90"/>
      <c r="AD64" s="29" t="str">
        <f t="shared" si="11"/>
        <v>YesYes0</v>
      </c>
      <c r="AK64" s="24"/>
    </row>
    <row r="65" spans="1:37" ht="11.25" customHeight="1" x14ac:dyDescent="0.2">
      <c r="A65" s="28">
        <v>65</v>
      </c>
      <c r="B65" s="40">
        <f>MATCH(C65,'D1 - Master Project Table'!$D$1:$D$7056,0)</f>
        <v>288</v>
      </c>
      <c r="C65" s="177" t="s">
        <v>9287</v>
      </c>
      <c r="D65" s="29" t="str">
        <f>INDEX('D1 - Master Project Table'!$A$1:$AK$7056,$B65,5)</f>
        <v>Soft $ Calculations in NDB 4000 Enhancement</v>
      </c>
      <c r="E65" s="29">
        <f>INDEX('D1 - Master Project Table'!$A$1:$AK$7056,$B65,6)</f>
        <v>0</v>
      </c>
      <c r="F65" s="29" t="str">
        <f>INDEX('D1 - Master Project Table'!$A$1:$AK$7056,$B65,29)</f>
        <v>UnitedHealthcare Employer &amp; Individual</v>
      </c>
      <c r="G65" s="29" t="str">
        <f>INDEX('D1 - Master Project Table'!$A$1:$AK$7012,$B65,8)</f>
        <v>2 - Not Scheduled</v>
      </c>
      <c r="H65" s="74"/>
      <c r="I65" s="34" t="str">
        <f t="shared" ref="I65:I98" si="12">IF(AD65="YesYesOOMYes","Yes",IF(AD65="YesNROOMYes","Yes",IF(AD65="YesYesPlaceholderYes","Yes",IF(AD65="YesNRPlaceholderYes","Yes","No"))))</f>
        <v>No</v>
      </c>
      <c r="J65" s="92"/>
      <c r="K65" s="42" t="str">
        <f t="shared" ref="K65:K93" si="13">IF(L65="Scheduled","Yes",IF(L65="In Estimating", "Yes","No"))</f>
        <v>Yes</v>
      </c>
      <c r="L65" s="29" t="str">
        <f>INDEX('D1 - Master Project Table'!$A$1:$AK$7056,$B65,28)</f>
        <v>In Estimating</v>
      </c>
      <c r="M65" s="42" t="str">
        <f t="shared" ref="M65:M93" si="14">IF(OR(N65="NA",N65="IP"),"No","Yes")</f>
        <v>Yes</v>
      </c>
      <c r="N65" s="102">
        <f>INDEX('D1 - Master Project Table'!$A$1:$AK$7056,$B65,37)</f>
        <v>0</v>
      </c>
      <c r="O65" s="94">
        <f>INDEX('D1 - Master Project Table'!$A$1:$AK$7056,$B65,36)</f>
        <v>0</v>
      </c>
      <c r="P65" s="4">
        <f>INDEX('D1 - Master Project Table'!$A$1:$AK$7056,$B65,10)</f>
        <v>0</v>
      </c>
      <c r="Q65" s="30">
        <f>INDEX('D1 - Master Project Table'!$A$1:$AK$7056,$B65,9)</f>
        <v>0</v>
      </c>
      <c r="R65" s="96"/>
      <c r="S65" s="42" t="str">
        <f t="shared" ref="S65:S93" si="15">IF(Q65=0,"NA",$AA$6+T65)</f>
        <v>NA</v>
      </c>
      <c r="T65" s="30" t="str">
        <f>IF(Q65&gt;0,VLOOKUP(Q65,#REF!,16,TRUE),"NA")</f>
        <v>NA</v>
      </c>
      <c r="U65" s="96" t="str">
        <f>IF(Q65=0,"",VLOOKUP(S65,#REF!,1,TRUE))</f>
        <v/>
      </c>
      <c r="V65" s="96"/>
      <c r="W65" s="69" t="str">
        <f>INDEX('D1 - Master Project Table'!$A$1:$AK$7070,$B65,16)</f>
        <v>N</v>
      </c>
      <c r="X65" s="69" t="str">
        <f>INDEX('D1 - Master Project Table'!$A$1:$AK$7070,$B65,17)</f>
        <v>N</v>
      </c>
      <c r="Y65" s="69" t="str">
        <f>INDEX('D1 - Master Project Table'!$A$1:$AK$7070,$B65,18)</f>
        <v>N</v>
      </c>
      <c r="Z65" s="97"/>
      <c r="AA65" s="69" t="str">
        <f t="shared" ref="AA65:AA93" si="16">IF(AB65="NA","NA",U65-AB65)</f>
        <v>NA</v>
      </c>
      <c r="AB65" s="30" t="str">
        <f>IF(Q65=0,"NA",VLOOKUP(Q65,#REF!,3,TRUE))</f>
        <v>NA</v>
      </c>
      <c r="AC65" s="90"/>
      <c r="AD65" s="29" t="str">
        <f t="shared" ref="AD65:AD98" si="17">CONCATENATE(K65,M65,P65,R65)</f>
        <v>YesYes0</v>
      </c>
      <c r="AK65" s="24"/>
    </row>
    <row r="66" spans="1:37" ht="15.75" customHeight="1" x14ac:dyDescent="0.2">
      <c r="A66" s="28">
        <v>66</v>
      </c>
      <c r="B66" s="40">
        <f>MATCH(C66,'D1 - Master Project Table'!$D$1:$D$7056,0)</f>
        <v>289</v>
      </c>
      <c r="C66" s="177" t="s">
        <v>9302</v>
      </c>
      <c r="D66" s="29" t="str">
        <f>INDEX('D1 - Master Project Table'!$A$1:$AK$7056,$B66,5)</f>
        <v>HCR EHB Plus Constituent Services</v>
      </c>
      <c r="E66" s="29">
        <f>INDEX('D1 - Master Project Table'!$A$1:$AK$7056,$B66,6)</f>
        <v>0</v>
      </c>
      <c r="F66" s="29" t="str">
        <f>INDEX('D1 - Master Project Table'!$A$1:$AK$7056,$B66,29)</f>
        <v>UnitedHealthcare Employer &amp; Individual</v>
      </c>
      <c r="G66" s="29" t="str">
        <f>INDEX('D1 - Master Project Table'!$A$1:$AK$7012,$B66,8)</f>
        <v>2 - Not Scheduled</v>
      </c>
      <c r="H66" s="74"/>
      <c r="I66" s="34" t="str">
        <f t="shared" si="12"/>
        <v>No</v>
      </c>
      <c r="J66" s="92"/>
      <c r="K66" s="42" t="str">
        <f t="shared" si="13"/>
        <v>Yes</v>
      </c>
      <c r="L66" s="29" t="str">
        <f>INDEX('D1 - Master Project Table'!$A$1:$AK$7056,$B66,28)</f>
        <v>In Estimating</v>
      </c>
      <c r="M66" s="42" t="str">
        <f t="shared" si="14"/>
        <v>Yes</v>
      </c>
      <c r="N66" s="102">
        <f>INDEX('D1 - Master Project Table'!$A$1:$AK$7056,$B66,37)</f>
        <v>0</v>
      </c>
      <c r="O66" s="94">
        <f>INDEX('D1 - Master Project Table'!$A$1:$AK$7056,$B66,36)</f>
        <v>0</v>
      </c>
      <c r="P66" s="4">
        <f>INDEX('D1 - Master Project Table'!$A$1:$AK$7056,$B66,10)</f>
        <v>0</v>
      </c>
      <c r="Q66" s="30">
        <f>INDEX('D1 - Master Project Table'!$A$1:$AK$7056,$B66,9)</f>
        <v>0</v>
      </c>
      <c r="R66" s="96"/>
      <c r="S66" s="42" t="str">
        <f t="shared" si="15"/>
        <v>NA</v>
      </c>
      <c r="T66" s="30" t="str">
        <f>IF(Q66&gt;0,VLOOKUP(Q66,#REF!,16,TRUE),"NA")</f>
        <v>NA</v>
      </c>
      <c r="U66" s="96" t="str">
        <f>IF(Q66=0,"",VLOOKUP(S66,#REF!,1,TRUE))</f>
        <v/>
      </c>
      <c r="V66" s="96"/>
      <c r="W66" s="69" t="str">
        <f>INDEX('D1 - Master Project Table'!$A$1:$AK$7070,$B66,16)</f>
        <v>Y</v>
      </c>
      <c r="X66" s="69" t="str">
        <f>INDEX('D1 - Master Project Table'!$A$1:$AK$7070,$B66,17)</f>
        <v>N</v>
      </c>
      <c r="Y66" s="69" t="str">
        <f>INDEX('D1 - Master Project Table'!$A$1:$AK$7070,$B66,18)</f>
        <v>N</v>
      </c>
      <c r="Z66" s="97"/>
      <c r="AA66" s="69" t="str">
        <f t="shared" si="16"/>
        <v>NA</v>
      </c>
      <c r="AB66" s="30" t="str">
        <f>IF(Q66=0,"NA",VLOOKUP(Q66,#REF!,3,TRUE))</f>
        <v>NA</v>
      </c>
      <c r="AC66" s="90"/>
      <c r="AD66" s="29" t="str">
        <f t="shared" si="17"/>
        <v>YesYes0</v>
      </c>
      <c r="AK66" s="24"/>
    </row>
    <row r="67" spans="1:37" ht="11.25" customHeight="1" x14ac:dyDescent="0.2">
      <c r="A67" s="28">
        <v>67</v>
      </c>
      <c r="B67" s="40">
        <f>MATCH(C67,'D1 - Master Project Table'!$D$1:$D$7056,0)</f>
        <v>273</v>
      </c>
      <c r="C67" s="177" t="s">
        <v>9303</v>
      </c>
      <c r="D67" s="29" t="str">
        <f>INDEX('D1 - Master Project Table'!$A$1:$AK$7056,$B67,5)</f>
        <v>RMIR PC imaging/Card TC/Optht TC</v>
      </c>
      <c r="E67" s="29">
        <f>INDEX('D1 - Master Project Table'!$A$1:$AK$7056,$B67,6)</f>
        <v>0</v>
      </c>
      <c r="F67" s="29" t="str">
        <f>INDEX('D1 - Master Project Table'!$A$1:$AK$7056,$B67,29)</f>
        <v>UnitedHealthcare Employer &amp; Individual</v>
      </c>
      <c r="G67" s="29" t="str">
        <f>INDEX('D1 - Master Project Table'!$A$1:$AK$7012,$B67,8)</f>
        <v>2 - Not Scheduled</v>
      </c>
      <c r="H67" s="74"/>
      <c r="I67" s="34" t="str">
        <f t="shared" si="12"/>
        <v>No</v>
      </c>
      <c r="J67" s="92"/>
      <c r="K67" s="42" t="str">
        <f t="shared" si="13"/>
        <v>No</v>
      </c>
      <c r="L67" s="29" t="str">
        <f>INDEX('D1 - Master Project Table'!$A$1:$AK$7056,$B67,28)</f>
        <v>In Program Manager Request Review</v>
      </c>
      <c r="M67" s="42" t="str">
        <f t="shared" si="14"/>
        <v>Yes</v>
      </c>
      <c r="N67" s="102">
        <f>INDEX('D1 - Master Project Table'!$A$1:$AK$7056,$B67,37)</f>
        <v>0</v>
      </c>
      <c r="O67" s="94">
        <f>INDEX('D1 - Master Project Table'!$A$1:$AK$7056,$B67,36)</f>
        <v>0</v>
      </c>
      <c r="P67" s="4">
        <f>INDEX('D1 - Master Project Table'!$A$1:$AK$7056,$B67,10)</f>
        <v>0</v>
      </c>
      <c r="Q67" s="30">
        <f>INDEX('D1 - Master Project Table'!$A$1:$AK$7056,$B67,9)</f>
        <v>0</v>
      </c>
      <c r="R67" s="96"/>
      <c r="S67" s="42" t="str">
        <f t="shared" si="15"/>
        <v>NA</v>
      </c>
      <c r="T67" s="30" t="str">
        <f>IF(Q67&gt;0,VLOOKUP(Q67,#REF!,16,TRUE),"NA")</f>
        <v>NA</v>
      </c>
      <c r="U67" s="96" t="str">
        <f>IF(Q67=0,"",VLOOKUP(S67,#REF!,1,TRUE))</f>
        <v/>
      </c>
      <c r="V67" s="96"/>
      <c r="W67" s="69" t="str">
        <f>INDEX('D1 - Master Project Table'!$A$1:$AK$7070,$B67,16)</f>
        <v>Y</v>
      </c>
      <c r="X67" s="69" t="str">
        <f>INDEX('D1 - Master Project Table'!$A$1:$AK$7070,$B67,17)</f>
        <v>N</v>
      </c>
      <c r="Y67" s="69" t="str">
        <f>INDEX('D1 - Master Project Table'!$A$1:$AK$7070,$B67,18)</f>
        <v>Y</v>
      </c>
      <c r="Z67" s="97"/>
      <c r="AA67" s="69" t="str">
        <f t="shared" si="16"/>
        <v>NA</v>
      </c>
      <c r="AB67" s="30" t="str">
        <f>IF(Q67=0,"NA",VLOOKUP(Q67,#REF!,3,TRUE))</f>
        <v>NA</v>
      </c>
      <c r="AC67" s="90"/>
      <c r="AD67" s="29" t="str">
        <f t="shared" si="17"/>
        <v>NoYes0</v>
      </c>
      <c r="AK67" s="24"/>
    </row>
    <row r="68" spans="1:37" ht="11.25" customHeight="1" x14ac:dyDescent="0.2">
      <c r="A68" s="28">
        <v>68</v>
      </c>
      <c r="B68" s="40">
        <f>MATCH(C68,'D1 - Master Project Table'!$D$1:$D$7056,0)</f>
        <v>258</v>
      </c>
      <c r="C68" s="177" t="s">
        <v>9304</v>
      </c>
      <c r="D68" s="29" t="str">
        <f>INDEX('D1 - Master Project Table'!$A$1:$AK$7056,$B68,5)</f>
        <v>2013 ROBOTs for COSMOS</v>
      </c>
      <c r="E68" s="29">
        <f>INDEX('D1 - Master Project Table'!$A$1:$AK$7056,$B68,6)</f>
        <v>0</v>
      </c>
      <c r="F68" s="29" t="str">
        <f>INDEX('D1 - Master Project Table'!$A$1:$AK$7056,$B68,29)</f>
        <v>UnitedHealthcare Medicare &amp; Retirement</v>
      </c>
      <c r="G68" s="29" t="str">
        <f>INDEX('D1 - Master Project Table'!$A$1:$AK$7012,$B68,8)</f>
        <v>2 - Not Scheduled</v>
      </c>
      <c r="H68" s="74"/>
      <c r="I68" s="34" t="str">
        <f t="shared" si="12"/>
        <v>No</v>
      </c>
      <c r="J68" s="92"/>
      <c r="K68" s="42" t="str">
        <f t="shared" si="13"/>
        <v>Yes</v>
      </c>
      <c r="L68" s="29" t="str">
        <f>INDEX('D1 - Master Project Table'!$A$1:$AK$7056,$B68,28)</f>
        <v>Scheduled</v>
      </c>
      <c r="M68" s="42" t="str">
        <f t="shared" si="14"/>
        <v>Yes</v>
      </c>
      <c r="N68" s="102">
        <f>INDEX('D1 - Master Project Table'!$A$1:$AK$7056,$B68,37)</f>
        <v>0</v>
      </c>
      <c r="O68" s="94">
        <f>INDEX('D1 - Master Project Table'!$A$1:$AK$7056,$B68,36)</f>
        <v>0</v>
      </c>
      <c r="P68" s="4">
        <f>INDEX('D1 - Master Project Table'!$A$1:$AK$7056,$B68,10)</f>
        <v>0</v>
      </c>
      <c r="Q68" s="30">
        <f>INDEX('D1 - Master Project Table'!$A$1:$AK$7056,$B68,9)</f>
        <v>0</v>
      </c>
      <c r="R68" s="96"/>
      <c r="S68" s="42" t="str">
        <f t="shared" si="15"/>
        <v>NA</v>
      </c>
      <c r="T68" s="30" t="str">
        <f>IF(Q68&gt;0,VLOOKUP(Q68,#REF!,16,TRUE),"NA")</f>
        <v>NA</v>
      </c>
      <c r="U68" s="96" t="str">
        <f>IF(Q68=0,"",VLOOKUP(S68,#REF!,1,TRUE))</f>
        <v/>
      </c>
      <c r="V68" s="96"/>
      <c r="W68" s="69" t="str">
        <f>INDEX('D1 - Master Project Table'!$A$1:$AK$7070,$B68,16)</f>
        <v>N</v>
      </c>
      <c r="X68" s="69" t="str">
        <f>INDEX('D1 - Master Project Table'!$A$1:$AK$7070,$B68,17)</f>
        <v>N</v>
      </c>
      <c r="Y68" s="69" t="str">
        <f>INDEX('D1 - Master Project Table'!$A$1:$AK$7070,$B68,18)</f>
        <v>N</v>
      </c>
      <c r="Z68" s="97"/>
      <c r="AA68" s="69" t="str">
        <f t="shared" si="16"/>
        <v>NA</v>
      </c>
      <c r="AB68" s="30" t="str">
        <f>IF(Q68=0,"NA",VLOOKUP(Q68,#REF!,3,TRUE))</f>
        <v>NA</v>
      </c>
      <c r="AC68" s="90"/>
      <c r="AD68" s="29" t="str">
        <f t="shared" si="17"/>
        <v>YesYes0</v>
      </c>
      <c r="AK68" s="24"/>
    </row>
    <row r="69" spans="1:37" ht="11.25" customHeight="1" x14ac:dyDescent="0.2">
      <c r="A69" s="28">
        <v>69</v>
      </c>
      <c r="B69" s="40">
        <f>MATCH(C69,'D1 - Master Project Table'!$D$1:$D$7056,0)</f>
        <v>290</v>
      </c>
      <c r="C69" s="177" t="s">
        <v>9330</v>
      </c>
      <c r="D69" s="29" t="str">
        <f>INDEX('D1 - Master Project Table'!$A$1:$AK$7056,$B69,5)</f>
        <v>HCR EHB Plus Claim Processing and Claim Accounting</v>
      </c>
      <c r="E69" s="29">
        <f>INDEX('D1 - Master Project Table'!$A$1:$AK$7056,$B69,6)</f>
        <v>0</v>
      </c>
      <c r="F69" s="29" t="str">
        <f>INDEX('D1 - Master Project Table'!$A$1:$AK$7056,$B69,29)</f>
        <v>UnitedHealthcare Employer &amp; Individual</v>
      </c>
      <c r="G69" s="29" t="str">
        <f>INDEX('D1 - Master Project Table'!$A$1:$AK$7012,$B69,8)</f>
        <v>2 - Not Scheduled</v>
      </c>
      <c r="H69" s="74"/>
      <c r="I69" s="34" t="str">
        <f t="shared" si="12"/>
        <v>No</v>
      </c>
      <c r="J69" s="92"/>
      <c r="K69" s="42" t="str">
        <f t="shared" si="13"/>
        <v>Yes</v>
      </c>
      <c r="L69" s="29" t="str">
        <f>INDEX('D1 - Master Project Table'!$A$1:$AK$7056,$B69,28)</f>
        <v>In Estimating</v>
      </c>
      <c r="M69" s="42" t="str">
        <f t="shared" si="14"/>
        <v>Yes</v>
      </c>
      <c r="N69" s="102">
        <f>INDEX('D1 - Master Project Table'!$A$1:$AK$7056,$B69,37)</f>
        <v>0</v>
      </c>
      <c r="O69" s="94">
        <f>INDEX('D1 - Master Project Table'!$A$1:$AK$7056,$B69,36)</f>
        <v>0</v>
      </c>
      <c r="P69" s="4">
        <f>INDEX('D1 - Master Project Table'!$A$1:$AK$7056,$B69,10)</f>
        <v>0</v>
      </c>
      <c r="Q69" s="30">
        <f>INDEX('D1 - Master Project Table'!$A$1:$AK$7056,$B69,9)</f>
        <v>0</v>
      </c>
      <c r="R69" s="96"/>
      <c r="S69" s="42" t="str">
        <f t="shared" si="15"/>
        <v>NA</v>
      </c>
      <c r="T69" s="30" t="str">
        <f>IF(Q69&gt;0,VLOOKUP(Q69,#REF!,16,TRUE),"NA")</f>
        <v>NA</v>
      </c>
      <c r="U69" s="96" t="str">
        <f>IF(Q69=0,"",VLOOKUP(S69,#REF!,1,TRUE))</f>
        <v/>
      </c>
      <c r="V69" s="96"/>
      <c r="W69" s="69" t="str">
        <f>INDEX('D1 - Master Project Table'!$A$1:$AK$7070,$B69,16)</f>
        <v>Y</v>
      </c>
      <c r="X69" s="69" t="str">
        <f>INDEX('D1 - Master Project Table'!$A$1:$AK$7070,$B69,17)</f>
        <v>N</v>
      </c>
      <c r="Y69" s="69" t="str">
        <f>INDEX('D1 - Master Project Table'!$A$1:$AK$7070,$B69,18)</f>
        <v>N</v>
      </c>
      <c r="Z69" s="97"/>
      <c r="AA69" s="69" t="str">
        <f t="shared" si="16"/>
        <v>NA</v>
      </c>
      <c r="AB69" s="30" t="str">
        <f>IF(Q69=0,"NA",VLOOKUP(Q69,#REF!,3,TRUE))</f>
        <v>NA</v>
      </c>
      <c r="AC69" s="90"/>
      <c r="AD69" s="29" t="str">
        <f t="shared" si="17"/>
        <v>YesYes0</v>
      </c>
      <c r="AK69" s="24"/>
    </row>
    <row r="70" spans="1:37" ht="11.25" customHeight="1" x14ac:dyDescent="0.2">
      <c r="A70" s="28">
        <v>70</v>
      </c>
      <c r="B70" s="40">
        <f>MATCH(C70,'D1 - Master Project Table'!$D$1:$D$7056,0)</f>
        <v>291</v>
      </c>
      <c r="C70" s="177" t="s">
        <v>9331</v>
      </c>
      <c r="D70" s="29" t="str">
        <f>INDEX('D1 - Master Project Table'!$A$1:$AK$7056,$B70,5)</f>
        <v>M&amp;V ICD-10 Remediation P00036</v>
      </c>
      <c r="E70" s="29">
        <f>INDEX('D1 - Master Project Table'!$A$1:$AK$7056,$B70,6)</f>
        <v>0</v>
      </c>
      <c r="F70" s="29" t="str">
        <f>INDEX('D1 - Master Project Table'!$A$1:$AK$7056,$B70,29)</f>
        <v>UnitedHealthcare Military &amp; Veterans</v>
      </c>
      <c r="G70" s="29" t="str">
        <f>INDEX('D1 - Master Project Table'!$A$1:$AK$7012,$B70,8)</f>
        <v>2 - Not Scheduled</v>
      </c>
      <c r="H70" s="74"/>
      <c r="I70" s="34" t="str">
        <f t="shared" si="12"/>
        <v>No</v>
      </c>
      <c r="J70" s="92"/>
      <c r="K70" s="42" t="str">
        <f t="shared" si="13"/>
        <v>No</v>
      </c>
      <c r="L70" s="29" t="str">
        <f>INDEX('D1 - Master Project Table'!$A$1:$AK$7056,$B70,28)</f>
        <v>In IT Leadership Estimate Review</v>
      </c>
      <c r="M70" s="42" t="str">
        <f t="shared" si="14"/>
        <v>Yes</v>
      </c>
      <c r="N70" s="102">
        <f>INDEX('D1 - Master Project Table'!$A$1:$AK$7056,$B70,37)</f>
        <v>0</v>
      </c>
      <c r="O70" s="94">
        <f>INDEX('D1 - Master Project Table'!$A$1:$AK$7056,$B70,36)</f>
        <v>0</v>
      </c>
      <c r="P70" s="4">
        <f>INDEX('D1 - Master Project Table'!$A$1:$AK$7056,$B70,10)</f>
        <v>0</v>
      </c>
      <c r="Q70" s="30">
        <f>INDEX('D1 - Master Project Table'!$A$1:$AK$7056,$B70,9)</f>
        <v>0</v>
      </c>
      <c r="R70" s="96"/>
      <c r="S70" s="42" t="str">
        <f t="shared" si="15"/>
        <v>NA</v>
      </c>
      <c r="T70" s="30" t="str">
        <f>IF(Q70&gt;0,VLOOKUP(Q70,#REF!,16,TRUE),"NA")</f>
        <v>NA</v>
      </c>
      <c r="U70" s="96" t="str">
        <f>IF(Q70=0,"",VLOOKUP(S70,#REF!,1,TRUE))</f>
        <v/>
      </c>
      <c r="V70" s="96"/>
      <c r="W70" s="69" t="str">
        <f>INDEX('D1 - Master Project Table'!$A$1:$AK$7070,$B70,16)</f>
        <v>N</v>
      </c>
      <c r="X70" s="69" t="str">
        <f>INDEX('D1 - Master Project Table'!$A$1:$AK$7070,$B70,17)</f>
        <v>N</v>
      </c>
      <c r="Y70" s="69" t="str">
        <f>INDEX('D1 - Master Project Table'!$A$1:$AK$7070,$B70,18)</f>
        <v>N</v>
      </c>
      <c r="Z70" s="97"/>
      <c r="AA70" s="69" t="str">
        <f t="shared" si="16"/>
        <v>NA</v>
      </c>
      <c r="AB70" s="30" t="str">
        <f>IF(Q70=0,"NA",VLOOKUP(Q70,#REF!,3,TRUE))</f>
        <v>NA</v>
      </c>
      <c r="AC70" s="90"/>
      <c r="AD70" s="29" t="str">
        <f t="shared" si="17"/>
        <v>NoYes0</v>
      </c>
      <c r="AK70" s="24"/>
    </row>
    <row r="71" spans="1:37" ht="11.25" customHeight="1" x14ac:dyDescent="0.2">
      <c r="A71" s="28">
        <v>71</v>
      </c>
      <c r="B71" s="40">
        <f>MATCH(C71,'D1 - Master Project Table'!$D$1:$D$7056,0)</f>
        <v>292</v>
      </c>
      <c r="C71" s="177" t="s">
        <v>9332</v>
      </c>
      <c r="D71" s="29" t="str">
        <f>INDEX('D1 - Master Project Table'!$A$1:$AK$7056,$B71,5)</f>
        <v>M&amp;V ICD-10 Testing P00036</v>
      </c>
      <c r="E71" s="29">
        <f>INDEX('D1 - Master Project Table'!$A$1:$AK$7056,$B71,6)</f>
        <v>0</v>
      </c>
      <c r="F71" s="29" t="str">
        <f>INDEX('D1 - Master Project Table'!$A$1:$AK$7056,$B71,29)</f>
        <v>UnitedHealthcare Military &amp; Veterans</v>
      </c>
      <c r="G71" s="29" t="str">
        <f>INDEX('D1 - Master Project Table'!$A$1:$AK$7012,$B71,8)</f>
        <v>2 - Not Scheduled</v>
      </c>
      <c r="H71" s="74"/>
      <c r="I71" s="34" t="str">
        <f t="shared" si="12"/>
        <v>No</v>
      </c>
      <c r="J71" s="92"/>
      <c r="K71" s="42" t="str">
        <f t="shared" si="13"/>
        <v>No</v>
      </c>
      <c r="L71" s="29" t="str">
        <f>INDEX('D1 - Master Project Table'!$A$1:$AK$7056,$B71,28)</f>
        <v>In IT Leadership Estimate Review</v>
      </c>
      <c r="M71" s="42" t="str">
        <f t="shared" si="14"/>
        <v>Yes</v>
      </c>
      <c r="N71" s="102">
        <f>INDEX('D1 - Master Project Table'!$A$1:$AK$7056,$B71,37)</f>
        <v>0</v>
      </c>
      <c r="O71" s="94">
        <f>INDEX('D1 - Master Project Table'!$A$1:$AK$7056,$B71,36)</f>
        <v>0</v>
      </c>
      <c r="P71" s="4">
        <f>INDEX('D1 - Master Project Table'!$A$1:$AK$7056,$B71,10)</f>
        <v>0</v>
      </c>
      <c r="Q71" s="30">
        <f>INDEX('D1 - Master Project Table'!$A$1:$AK$7056,$B71,9)</f>
        <v>0</v>
      </c>
      <c r="R71" s="96"/>
      <c r="S71" s="42" t="str">
        <f t="shared" si="15"/>
        <v>NA</v>
      </c>
      <c r="T71" s="30" t="str">
        <f>IF(Q71&gt;0,VLOOKUP(Q71,#REF!,16,TRUE),"NA")</f>
        <v>NA</v>
      </c>
      <c r="U71" s="96" t="str">
        <f>IF(Q71=0,"",VLOOKUP(S71,#REF!,1,TRUE))</f>
        <v/>
      </c>
      <c r="V71" s="96"/>
      <c r="W71" s="69" t="str">
        <f>INDEX('D1 - Master Project Table'!$A$1:$AK$7070,$B71,16)</f>
        <v>N</v>
      </c>
      <c r="X71" s="69" t="str">
        <f>INDEX('D1 - Master Project Table'!$A$1:$AK$7070,$B71,17)</f>
        <v>N</v>
      </c>
      <c r="Y71" s="69" t="str">
        <f>INDEX('D1 - Master Project Table'!$A$1:$AK$7070,$B71,18)</f>
        <v>N</v>
      </c>
      <c r="Z71" s="97"/>
      <c r="AA71" s="69" t="str">
        <f t="shared" si="16"/>
        <v>NA</v>
      </c>
      <c r="AB71" s="30" t="str">
        <f>IF(Q71=0,"NA",VLOOKUP(Q71,#REF!,3,TRUE))</f>
        <v>NA</v>
      </c>
      <c r="AC71" s="90"/>
      <c r="AD71" s="29" t="str">
        <f t="shared" si="17"/>
        <v>NoYes0</v>
      </c>
      <c r="AK71" s="24"/>
    </row>
    <row r="72" spans="1:37" ht="11.25" customHeight="1" x14ac:dyDescent="0.2">
      <c r="A72" s="28">
        <v>73</v>
      </c>
      <c r="B72" s="40">
        <f>MATCH(C72,'D1 - Master Project Table'!$D$1:$D$7056,0)</f>
        <v>284</v>
      </c>
      <c r="C72" s="177" t="s">
        <v>9334</v>
      </c>
      <c r="D72" s="29" t="str">
        <f>INDEX('D1 - Master Project Table'!$A$1:$AK$7056,$B72,5)</f>
        <v>DocGPS Implementation</v>
      </c>
      <c r="E72" s="29">
        <f>INDEX('D1 - Master Project Table'!$A$1:$AK$7056,$B72,6)</f>
        <v>0</v>
      </c>
      <c r="F72" s="29" t="str">
        <f>INDEX('D1 - Master Project Table'!$A$1:$AK$7056,$B72,29)</f>
        <v>UnitedHealthcare Military &amp; Veterans</v>
      </c>
      <c r="G72" s="29" t="str">
        <f>INDEX('D1 - Master Project Table'!$A$1:$AK$7012,$B72,8)</f>
        <v>2 - Not Scheduled</v>
      </c>
      <c r="H72" s="74"/>
      <c r="I72" s="34" t="str">
        <f t="shared" si="12"/>
        <v>No</v>
      </c>
      <c r="J72" s="92"/>
      <c r="K72" s="42" t="str">
        <f t="shared" si="13"/>
        <v>Yes</v>
      </c>
      <c r="L72" s="29" t="str">
        <f>INDEX('D1 - Master Project Table'!$A$1:$AK$7056,$B72,28)</f>
        <v>In Estimating</v>
      </c>
      <c r="M72" s="42" t="str">
        <f t="shared" si="14"/>
        <v>Yes</v>
      </c>
      <c r="N72" s="102">
        <f>INDEX('D1 - Master Project Table'!$A$1:$AK$7056,$B72,37)</f>
        <v>0</v>
      </c>
      <c r="O72" s="94">
        <f>INDEX('D1 - Master Project Table'!$A$1:$AK$7056,$B72,36)</f>
        <v>0</v>
      </c>
      <c r="P72" s="4">
        <f>INDEX('D1 - Master Project Table'!$A$1:$AK$7056,$B72,10)</f>
        <v>0</v>
      </c>
      <c r="Q72" s="30">
        <f>INDEX('D1 - Master Project Table'!$A$1:$AK$7056,$B72,9)</f>
        <v>0</v>
      </c>
      <c r="R72" s="96"/>
      <c r="S72" s="42" t="str">
        <f t="shared" si="15"/>
        <v>NA</v>
      </c>
      <c r="T72" s="30" t="str">
        <f>IF(Q72&gt;0,VLOOKUP(Q72,#REF!,16,TRUE),"NA")</f>
        <v>NA</v>
      </c>
      <c r="U72" s="96" t="str">
        <f>IF(Q72=0,"",VLOOKUP(S72,#REF!,1,TRUE))</f>
        <v/>
      </c>
      <c r="V72" s="96"/>
      <c r="W72" s="69" t="str">
        <f>INDEX('D1 - Master Project Table'!$A$1:$AK$7070,$B72,16)</f>
        <v>N</v>
      </c>
      <c r="X72" s="69" t="str">
        <f>INDEX('D1 - Master Project Table'!$A$1:$AK$7070,$B72,17)</f>
        <v>N</v>
      </c>
      <c r="Y72" s="69" t="str">
        <f>INDEX('D1 - Master Project Table'!$A$1:$AK$7070,$B72,18)</f>
        <v>N</v>
      </c>
      <c r="Z72" s="97"/>
      <c r="AA72" s="69" t="str">
        <f t="shared" si="16"/>
        <v>NA</v>
      </c>
      <c r="AB72" s="30" t="str">
        <f>IF(Q72=0,"NA",VLOOKUP(Q72,#REF!,3,TRUE))</f>
        <v>NA</v>
      </c>
      <c r="AC72" s="90"/>
      <c r="AD72" s="29" t="str">
        <f t="shared" si="17"/>
        <v>YesYes0</v>
      </c>
      <c r="AK72" s="24"/>
    </row>
    <row r="73" spans="1:37" ht="11.25" customHeight="1" x14ac:dyDescent="0.2">
      <c r="A73" s="28">
        <v>74</v>
      </c>
      <c r="B73" s="40">
        <f>MATCH(C73,'D1 - Master Project Table'!$D$1:$D$7056,0)</f>
        <v>293</v>
      </c>
      <c r="C73" s="177" t="s">
        <v>9335</v>
      </c>
      <c r="D73" s="29" t="str">
        <f>INDEX('D1 - Master Project Table'!$A$1:$AK$7056,$B73,5)</f>
        <v>Facility Registration</v>
      </c>
      <c r="E73" s="29">
        <f>INDEX('D1 - Master Project Table'!$A$1:$AK$7056,$B73,6)</f>
        <v>0</v>
      </c>
      <c r="F73" s="29" t="str">
        <f>INDEX('D1 - Master Project Table'!$A$1:$AK$7056,$B73,29)</f>
        <v>UnitedHealthcare Military &amp; Veterans</v>
      </c>
      <c r="G73" s="29" t="str">
        <f>INDEX('D1 - Master Project Table'!$A$1:$AK$7012,$B73,8)</f>
        <v>2 - Not Scheduled</v>
      </c>
      <c r="H73" s="74"/>
      <c r="I73" s="34" t="str">
        <f t="shared" si="12"/>
        <v>No</v>
      </c>
      <c r="J73" s="92"/>
      <c r="K73" s="42" t="str">
        <f t="shared" si="13"/>
        <v>No</v>
      </c>
      <c r="L73" s="29" t="str">
        <f>INDEX('D1 - Master Project Table'!$A$1:$AK$7056,$B73,28)</f>
        <v>In Program Manager Request Review</v>
      </c>
      <c r="M73" s="42" t="str">
        <f t="shared" si="14"/>
        <v>Yes</v>
      </c>
      <c r="N73" s="102">
        <f>INDEX('D1 - Master Project Table'!$A$1:$AK$7056,$B73,37)</f>
        <v>0</v>
      </c>
      <c r="O73" s="94">
        <f>INDEX('D1 - Master Project Table'!$A$1:$AK$7056,$B73,36)</f>
        <v>0</v>
      </c>
      <c r="P73" s="4">
        <f>INDEX('D1 - Master Project Table'!$A$1:$AK$7056,$B73,10)</f>
        <v>0</v>
      </c>
      <c r="Q73" s="30">
        <f>INDEX('D1 - Master Project Table'!$A$1:$AK$7056,$B73,9)</f>
        <v>0</v>
      </c>
      <c r="R73" s="96"/>
      <c r="S73" s="42" t="str">
        <f t="shared" si="15"/>
        <v>NA</v>
      </c>
      <c r="T73" s="30" t="str">
        <f>IF(Q73&gt;0,VLOOKUP(Q73,#REF!,16,TRUE),"NA")</f>
        <v>NA</v>
      </c>
      <c r="U73" s="96" t="str">
        <f>IF(Q73=0,"",VLOOKUP(S73,#REF!,1,TRUE))</f>
        <v/>
      </c>
      <c r="V73" s="96"/>
      <c r="W73" s="69" t="str">
        <f>INDEX('D1 - Master Project Table'!$A$1:$AK$7070,$B73,16)</f>
        <v>N</v>
      </c>
      <c r="X73" s="69" t="str">
        <f>INDEX('D1 - Master Project Table'!$A$1:$AK$7070,$B73,17)</f>
        <v>N</v>
      </c>
      <c r="Y73" s="69" t="str">
        <f>INDEX('D1 - Master Project Table'!$A$1:$AK$7070,$B73,18)</f>
        <v>N</v>
      </c>
      <c r="Z73" s="97"/>
      <c r="AA73" s="69" t="str">
        <f t="shared" si="16"/>
        <v>NA</v>
      </c>
      <c r="AB73" s="30" t="str">
        <f>IF(Q73=0,"NA",VLOOKUP(Q73,#REF!,3,TRUE))</f>
        <v>NA</v>
      </c>
      <c r="AC73" s="90"/>
      <c r="AD73" s="29" t="str">
        <f t="shared" si="17"/>
        <v>NoYes0</v>
      </c>
      <c r="AK73" s="24"/>
    </row>
    <row r="74" spans="1:37" ht="11.25" customHeight="1" x14ac:dyDescent="0.2">
      <c r="A74" s="28">
        <v>75</v>
      </c>
      <c r="B74" s="40">
        <f>MATCH(C74,'D1 - Master Project Table'!$D$1:$D$7056,0)</f>
        <v>255</v>
      </c>
      <c r="C74" s="177" t="s">
        <v>9419</v>
      </c>
      <c r="D74" s="29" t="str">
        <f>INDEX('D1 - Master Project Table'!$A$1:$AK$7056,$B74,5)</f>
        <v>eSync Integration Consumer Dashboard 2013 Q4</v>
      </c>
      <c r="E74" s="29">
        <f>INDEX('D1 - Master Project Table'!$A$1:$AK$7056,$B74,6)</f>
        <v>0</v>
      </c>
      <c r="F74" s="29" t="str">
        <f>INDEX('D1 - Master Project Table'!$A$1:$AK$7056,$B74,29)</f>
        <v>OptumHealth</v>
      </c>
      <c r="G74" s="29" t="str">
        <f>INDEX('D1 - Master Project Table'!$A$1:$AK$7012,$B74,8)</f>
        <v>2 - Not Scheduled</v>
      </c>
      <c r="H74" s="74"/>
      <c r="I74" s="34" t="str">
        <f t="shared" si="12"/>
        <v>No</v>
      </c>
      <c r="J74" s="92"/>
      <c r="K74" s="42" t="str">
        <f t="shared" si="13"/>
        <v>Yes</v>
      </c>
      <c r="L74" s="29" t="str">
        <f>INDEX('D1 - Master Project Table'!$A$1:$AK$7056,$B74,28)</f>
        <v>In Estimating</v>
      </c>
      <c r="M74" s="42" t="str">
        <f t="shared" si="14"/>
        <v>Yes</v>
      </c>
      <c r="N74" s="102">
        <f>INDEX('D1 - Master Project Table'!$A$1:$AK$7056,$B74,37)</f>
        <v>0</v>
      </c>
      <c r="O74" s="94">
        <f>INDEX('D1 - Master Project Table'!$A$1:$AK$7056,$B74,36)</f>
        <v>0</v>
      </c>
      <c r="P74" s="4">
        <f>INDEX('D1 - Master Project Table'!$A$1:$AK$7056,$B74,10)</f>
        <v>0</v>
      </c>
      <c r="Q74" s="30">
        <f>INDEX('D1 - Master Project Table'!$A$1:$AK$7056,$B74,9)</f>
        <v>0</v>
      </c>
      <c r="R74" s="96"/>
      <c r="S74" s="42" t="str">
        <f t="shared" si="15"/>
        <v>NA</v>
      </c>
      <c r="T74" s="30" t="str">
        <f>IF(Q74&gt;0,VLOOKUP(Q74,#REF!,16,TRUE),"NA")</f>
        <v>NA</v>
      </c>
      <c r="U74" s="96" t="str">
        <f>IF(Q74=0,"",VLOOKUP(S74,#REF!,1,TRUE))</f>
        <v/>
      </c>
      <c r="V74" s="96"/>
      <c r="W74" s="69" t="str">
        <f>INDEX('D1 - Master Project Table'!$A$1:$AK$7070,$B74,16)</f>
        <v>Y</v>
      </c>
      <c r="X74" s="69" t="str">
        <f>INDEX('D1 - Master Project Table'!$A$1:$AK$7070,$B74,17)</f>
        <v>N</v>
      </c>
      <c r="Y74" s="69" t="str">
        <f>INDEX('D1 - Master Project Table'!$A$1:$AK$7070,$B74,18)</f>
        <v>N</v>
      </c>
      <c r="Z74" s="97"/>
      <c r="AA74" s="69" t="str">
        <f t="shared" si="16"/>
        <v>NA</v>
      </c>
      <c r="AB74" s="30" t="str">
        <f>IF(Q74=0,"NA",VLOOKUP(Q74,#REF!,3,TRUE))</f>
        <v>NA</v>
      </c>
      <c r="AC74" s="90"/>
      <c r="AD74" s="29" t="str">
        <f t="shared" si="17"/>
        <v>YesYes0</v>
      </c>
      <c r="AK74" s="24"/>
    </row>
    <row r="75" spans="1:37" ht="15.75" customHeight="1" x14ac:dyDescent="0.2">
      <c r="A75" s="28">
        <v>76</v>
      </c>
      <c r="B75" s="40">
        <f>MATCH(C75,'D1 - Master Project Table'!$D$1:$D$7056,0)</f>
        <v>259</v>
      </c>
      <c r="C75" s="177" t="s">
        <v>9420</v>
      </c>
      <c r="D75" s="29" t="str">
        <f>INDEX('D1 - Master Project Table'!$A$1:$AK$7056,$B75,5)</f>
        <v>Q2 2013 Risk Carve Out</v>
      </c>
      <c r="E75" s="29">
        <f>INDEX('D1 - Master Project Table'!$A$1:$AK$7056,$B75,6)</f>
        <v>0</v>
      </c>
      <c r="F75" s="29" t="str">
        <f>INDEX('D1 - Master Project Table'!$A$1:$AK$7056,$B75,29)</f>
        <v>OptumHealth</v>
      </c>
      <c r="G75" s="29" t="str">
        <f>INDEX('D1 - Master Project Table'!$A$1:$AK$7012,$B75,8)</f>
        <v>2 - Not Scheduled</v>
      </c>
      <c r="H75" s="74"/>
      <c r="I75" s="34" t="str">
        <f t="shared" si="12"/>
        <v>No</v>
      </c>
      <c r="J75" s="92"/>
      <c r="K75" s="42" t="str">
        <f t="shared" si="13"/>
        <v>Yes</v>
      </c>
      <c r="L75" s="29" t="str">
        <f>INDEX('D1 - Master Project Table'!$A$1:$AK$7056,$B75,28)</f>
        <v>Scheduled</v>
      </c>
      <c r="M75" s="42" t="str">
        <f t="shared" si="14"/>
        <v>Yes</v>
      </c>
      <c r="N75" s="102">
        <f>INDEX('D1 - Master Project Table'!$A$1:$AK$7056,$B75,37)</f>
        <v>0</v>
      </c>
      <c r="O75" s="94">
        <f>INDEX('D1 - Master Project Table'!$A$1:$AK$7056,$B75,36)</f>
        <v>0</v>
      </c>
      <c r="P75" s="4">
        <f>INDEX('D1 - Master Project Table'!$A$1:$AK$7056,$B75,10)</f>
        <v>0</v>
      </c>
      <c r="Q75" s="30">
        <f>INDEX('D1 - Master Project Table'!$A$1:$AK$7056,$B75,9)</f>
        <v>0</v>
      </c>
      <c r="R75" s="96"/>
      <c r="S75" s="42" t="str">
        <f t="shared" si="15"/>
        <v>NA</v>
      </c>
      <c r="T75" s="30" t="str">
        <f>IF(Q75&gt;0,VLOOKUP(Q75,#REF!,16,TRUE),"NA")</f>
        <v>NA</v>
      </c>
      <c r="U75" s="96" t="str">
        <f>IF(Q75=0,"",VLOOKUP(S75,#REF!,1,TRUE))</f>
        <v/>
      </c>
      <c r="V75" s="96"/>
      <c r="W75" s="69" t="str">
        <f>INDEX('D1 - Master Project Table'!$A$1:$AK$7070,$B75,16)</f>
        <v>N</v>
      </c>
      <c r="X75" s="69" t="str">
        <f>INDEX('D1 - Master Project Table'!$A$1:$AK$7070,$B75,17)</f>
        <v>N</v>
      </c>
      <c r="Y75" s="69" t="str">
        <f>INDEX('D1 - Master Project Table'!$A$1:$AK$7070,$B75,18)</f>
        <v>N</v>
      </c>
      <c r="Z75" s="97"/>
      <c r="AA75" s="69" t="str">
        <f t="shared" si="16"/>
        <v>NA</v>
      </c>
      <c r="AB75" s="30" t="str">
        <f>IF(Q75=0,"NA",VLOOKUP(Q75,#REF!,3,TRUE))</f>
        <v>NA</v>
      </c>
      <c r="AC75" s="90"/>
      <c r="AD75" s="29" t="str">
        <f t="shared" si="17"/>
        <v>YesYes0</v>
      </c>
      <c r="AK75" s="24"/>
    </row>
    <row r="76" spans="1:37" ht="11.25" customHeight="1" x14ac:dyDescent="0.2">
      <c r="A76" s="28">
        <v>77</v>
      </c>
      <c r="B76" s="40">
        <f>MATCH(C76,'D1 - Master Project Table'!$D$1:$D$7056,0)</f>
        <v>296</v>
      </c>
      <c r="C76" s="177" t="s">
        <v>9421</v>
      </c>
      <c r="D76" s="29" t="str">
        <f>INDEX('D1 - Master Project Table'!$A$1:$AK$7056,$B76,5)</f>
        <v>myHCE: NDB Search Performance (Pagination)</v>
      </c>
      <c r="E76" s="29">
        <f>INDEX('D1 - Master Project Table'!$A$1:$AK$7056,$B76,6)</f>
        <v>0</v>
      </c>
      <c r="F76" s="29" t="str">
        <f>INDEX('D1 - Master Project Table'!$A$1:$AK$7056,$B76,29)</f>
        <v>UnitedHealthcare Employer &amp; Individual</v>
      </c>
      <c r="G76" s="29" t="str">
        <f>INDEX('D1 - Master Project Table'!$A$1:$AK$7012,$B76,8)</f>
        <v>2 - Not Scheduled</v>
      </c>
      <c r="H76" s="74"/>
      <c r="I76" s="34" t="str">
        <f t="shared" si="12"/>
        <v>No</v>
      </c>
      <c r="J76" s="92"/>
      <c r="K76" s="42" t="str">
        <f t="shared" si="13"/>
        <v>Yes</v>
      </c>
      <c r="L76" s="29" t="str">
        <f>INDEX('D1 - Master Project Table'!$A$1:$AK$7056,$B76,28)</f>
        <v>In Estimating</v>
      </c>
      <c r="M76" s="42" t="str">
        <f t="shared" si="14"/>
        <v>Yes</v>
      </c>
      <c r="N76" s="102">
        <f>INDEX('D1 - Master Project Table'!$A$1:$AK$7056,$B76,37)</f>
        <v>0</v>
      </c>
      <c r="O76" s="94">
        <f>INDEX('D1 - Master Project Table'!$A$1:$AK$7056,$B76,36)</f>
        <v>0</v>
      </c>
      <c r="P76" s="4">
        <f>INDEX('D1 - Master Project Table'!$A$1:$AK$7056,$B76,10)</f>
        <v>0</v>
      </c>
      <c r="Q76" s="30">
        <f>INDEX('D1 - Master Project Table'!$A$1:$AK$7056,$B76,9)</f>
        <v>0</v>
      </c>
      <c r="R76" s="96"/>
      <c r="S76" s="42" t="str">
        <f t="shared" si="15"/>
        <v>NA</v>
      </c>
      <c r="T76" s="30" t="str">
        <f>IF(Q76&gt;0,VLOOKUP(Q76,#REF!,16,TRUE),"NA")</f>
        <v>NA</v>
      </c>
      <c r="U76" s="96" t="str">
        <f>IF(Q76=0,"",VLOOKUP(S76,#REF!,1,TRUE))</f>
        <v/>
      </c>
      <c r="V76" s="96"/>
      <c r="W76" s="69" t="str">
        <f>INDEX('D1 - Master Project Table'!$A$1:$AK$7070,$B76,16)</f>
        <v>N</v>
      </c>
      <c r="X76" s="69" t="str">
        <f>INDEX('D1 - Master Project Table'!$A$1:$AK$7070,$B76,17)</f>
        <v>N</v>
      </c>
      <c r="Y76" s="69" t="str">
        <f>INDEX('D1 - Master Project Table'!$A$1:$AK$7070,$B76,18)</f>
        <v>N</v>
      </c>
      <c r="Z76" s="97"/>
      <c r="AA76" s="69" t="str">
        <f t="shared" si="16"/>
        <v>NA</v>
      </c>
      <c r="AB76" s="30" t="str">
        <f>IF(Q76=0,"NA",VLOOKUP(Q76,#REF!,3,TRUE))</f>
        <v>NA</v>
      </c>
      <c r="AC76" s="90"/>
      <c r="AD76" s="29" t="str">
        <f t="shared" si="17"/>
        <v>YesYes0</v>
      </c>
      <c r="AK76" s="24"/>
    </row>
    <row r="77" spans="1:37" ht="11.25" customHeight="1" x14ac:dyDescent="0.2">
      <c r="A77" s="28">
        <v>78</v>
      </c>
      <c r="B77" s="40">
        <f>MATCH(C77,'D1 - Master Project Table'!$D$1:$D$7056,0)</f>
        <v>294</v>
      </c>
      <c r="C77" s="177" t="s">
        <v>9422</v>
      </c>
      <c r="D77" s="29" t="str">
        <f>INDEX('D1 - Master Project Table'!$A$1:$AK$7056,$B77,5)</f>
        <v>Facility Amdmt - Display of non-standard clauses</v>
      </c>
      <c r="E77" s="29">
        <f>INDEX('D1 - Master Project Table'!$A$1:$AK$7056,$B77,6)</f>
        <v>0</v>
      </c>
      <c r="F77" s="29" t="str">
        <f>INDEX('D1 - Master Project Table'!$A$1:$AK$7056,$B77,29)</f>
        <v>UnitedHealthcare Employer &amp; Individual</v>
      </c>
      <c r="G77" s="29" t="str">
        <f>INDEX('D1 - Master Project Table'!$A$1:$AK$7012,$B77,8)</f>
        <v>2 - Not Scheduled</v>
      </c>
      <c r="H77" s="74"/>
      <c r="I77" s="34" t="str">
        <f t="shared" si="12"/>
        <v>No</v>
      </c>
      <c r="J77" s="92"/>
      <c r="K77" s="42" t="str">
        <f t="shared" si="13"/>
        <v>Yes</v>
      </c>
      <c r="L77" s="29" t="str">
        <f>INDEX('D1 - Master Project Table'!$A$1:$AK$7056,$B77,28)</f>
        <v>In Estimating</v>
      </c>
      <c r="M77" s="42" t="str">
        <f t="shared" si="14"/>
        <v>Yes</v>
      </c>
      <c r="N77" s="102">
        <f>INDEX('D1 - Master Project Table'!$A$1:$AK$7056,$B77,37)</f>
        <v>0</v>
      </c>
      <c r="O77" s="94">
        <f>INDEX('D1 - Master Project Table'!$A$1:$AK$7056,$B77,36)</f>
        <v>0</v>
      </c>
      <c r="P77" s="4">
        <f>INDEX('D1 - Master Project Table'!$A$1:$AK$7056,$B77,10)</f>
        <v>0</v>
      </c>
      <c r="Q77" s="30">
        <f>INDEX('D1 - Master Project Table'!$A$1:$AK$7056,$B77,9)</f>
        <v>0</v>
      </c>
      <c r="R77" s="96"/>
      <c r="S77" s="42" t="str">
        <f t="shared" si="15"/>
        <v>NA</v>
      </c>
      <c r="T77" s="30" t="str">
        <f>IF(Q77&gt;0,VLOOKUP(Q77,#REF!,16,TRUE),"NA")</f>
        <v>NA</v>
      </c>
      <c r="U77" s="96" t="str">
        <f>IF(Q77=0,"",VLOOKUP(S77,#REF!,1,TRUE))</f>
        <v/>
      </c>
      <c r="V77" s="96"/>
      <c r="W77" s="69" t="str">
        <f>INDEX('D1 - Master Project Table'!$A$1:$AK$7070,$B77,16)</f>
        <v>N</v>
      </c>
      <c r="X77" s="69" t="str">
        <f>INDEX('D1 - Master Project Table'!$A$1:$AK$7070,$B77,17)</f>
        <v>N</v>
      </c>
      <c r="Y77" s="69" t="str">
        <f>INDEX('D1 - Master Project Table'!$A$1:$AK$7070,$B77,18)</f>
        <v>N</v>
      </c>
      <c r="Z77" s="97"/>
      <c r="AA77" s="69" t="str">
        <f t="shared" si="16"/>
        <v>NA</v>
      </c>
      <c r="AB77" s="30" t="str">
        <f>IF(Q77=0,"NA",VLOOKUP(Q77,#REF!,3,TRUE))</f>
        <v>NA</v>
      </c>
      <c r="AC77" s="90"/>
      <c r="AD77" s="29" t="str">
        <f t="shared" si="17"/>
        <v>YesYes0</v>
      </c>
      <c r="AK77" s="24"/>
    </row>
    <row r="78" spans="1:37" ht="11.25" customHeight="1" x14ac:dyDescent="0.2">
      <c r="A78" s="28">
        <v>79</v>
      </c>
      <c r="B78" s="40">
        <f>MATCH(C78,'D1 - Master Project Table'!$D$1:$D$7056,0)</f>
        <v>295</v>
      </c>
      <c r="C78" s="177" t="s">
        <v>9447</v>
      </c>
      <c r="D78" s="29" t="str">
        <f>INDEX('D1 - Master Project Table'!$A$1:$AK$7056,$B78,5)</f>
        <v>UHC E&amp;I ICD10 Business Partner Testing</v>
      </c>
      <c r="E78" s="29">
        <f>INDEX('D1 - Master Project Table'!$A$1:$AK$7056,$B78,6)</f>
        <v>0</v>
      </c>
      <c r="F78" s="29" t="str">
        <f>INDEX('D1 - Master Project Table'!$A$1:$AK$7056,$B78,29)</f>
        <v>UnitedHealthcare Employer &amp; Individual</v>
      </c>
      <c r="G78" s="29" t="str">
        <f>INDEX('D1 - Master Project Table'!$A$1:$AK$7012,$B78,8)</f>
        <v>2 - Not Scheduled</v>
      </c>
      <c r="H78" s="74"/>
      <c r="I78" s="34" t="str">
        <f t="shared" si="12"/>
        <v>No</v>
      </c>
      <c r="J78" s="92"/>
      <c r="K78" s="42" t="str">
        <f t="shared" si="13"/>
        <v>Yes</v>
      </c>
      <c r="L78" s="29" t="str">
        <f>INDEX('D1 - Master Project Table'!$A$1:$AK$7056,$B78,28)</f>
        <v>In Estimating</v>
      </c>
      <c r="M78" s="42" t="str">
        <f t="shared" si="14"/>
        <v>Yes</v>
      </c>
      <c r="N78" s="102">
        <f>INDEX('D1 - Master Project Table'!$A$1:$AK$7056,$B78,37)</f>
        <v>0</v>
      </c>
      <c r="O78" s="94">
        <f>INDEX('D1 - Master Project Table'!$A$1:$AK$7056,$B78,36)</f>
        <v>0</v>
      </c>
      <c r="P78" s="4">
        <f>INDEX('D1 - Master Project Table'!$A$1:$AK$7056,$B78,10)</f>
        <v>0</v>
      </c>
      <c r="Q78" s="30">
        <f>INDEX('D1 - Master Project Table'!$A$1:$AK$7056,$B78,9)</f>
        <v>0</v>
      </c>
      <c r="R78" s="96"/>
      <c r="S78" s="42" t="str">
        <f t="shared" si="15"/>
        <v>NA</v>
      </c>
      <c r="T78" s="30" t="str">
        <f>IF(Q78&gt;0,VLOOKUP(Q78,#REF!,16,TRUE),"NA")</f>
        <v>NA</v>
      </c>
      <c r="U78" s="96" t="str">
        <f>IF(Q78=0,"",VLOOKUP(S78,#REF!,1,TRUE))</f>
        <v/>
      </c>
      <c r="V78" s="96"/>
      <c r="W78" s="69" t="str">
        <f>INDEX('D1 - Master Project Table'!$A$1:$AK$7070,$B78,16)</f>
        <v>Y</v>
      </c>
      <c r="X78" s="69" t="str">
        <f>INDEX('D1 - Master Project Table'!$A$1:$AK$7070,$B78,17)</f>
        <v>N</v>
      </c>
      <c r="Y78" s="69" t="str">
        <f>INDEX('D1 - Master Project Table'!$A$1:$AK$7070,$B78,18)</f>
        <v>Y</v>
      </c>
      <c r="Z78" s="97"/>
      <c r="AA78" s="69" t="str">
        <f t="shared" si="16"/>
        <v>NA</v>
      </c>
      <c r="AB78" s="30" t="str">
        <f>IF(Q78=0,"NA",VLOOKUP(Q78,#REF!,3,TRUE))</f>
        <v>NA</v>
      </c>
      <c r="AC78" s="90"/>
      <c r="AD78" s="29" t="str">
        <f t="shared" si="17"/>
        <v>YesYes0</v>
      </c>
      <c r="AK78" s="24"/>
    </row>
    <row r="79" spans="1:37" ht="11.25" customHeight="1" x14ac:dyDescent="0.2">
      <c r="A79" s="28">
        <v>81</v>
      </c>
      <c r="B79" s="40">
        <f>MATCH(C79,'D1 - Master Project Table'!$D$1:$D$7056,0)</f>
        <v>272</v>
      </c>
      <c r="C79" s="177" t="s">
        <v>9449</v>
      </c>
      <c r="D79" s="29" t="str">
        <f>INDEX('D1 - Master Project Table'!$A$1:$AK$7056,$B79,5)</f>
        <v>Golden Rule MNRP Pricing</v>
      </c>
      <c r="E79" s="29">
        <f>INDEX('D1 - Master Project Table'!$A$1:$AK$7056,$B79,6)</f>
        <v>0</v>
      </c>
      <c r="F79" s="29" t="str">
        <f>INDEX('D1 - Master Project Table'!$A$1:$AK$7056,$B79,29)</f>
        <v>UnitedHealthcare Employer &amp; Individual</v>
      </c>
      <c r="G79" s="29" t="str">
        <f>INDEX('D1 - Master Project Table'!$A$1:$AK$7012,$B79,8)</f>
        <v>2 - Not Scheduled</v>
      </c>
      <c r="H79" s="74"/>
      <c r="I79" s="34" t="str">
        <f t="shared" si="12"/>
        <v>No</v>
      </c>
      <c r="J79" s="92"/>
      <c r="K79" s="42" t="str">
        <f t="shared" si="13"/>
        <v>Yes</v>
      </c>
      <c r="L79" s="29" t="str">
        <f>INDEX('D1 - Master Project Table'!$A$1:$AK$7056,$B79,28)</f>
        <v>In Estimating</v>
      </c>
      <c r="M79" s="42" t="str">
        <f t="shared" si="14"/>
        <v>Yes</v>
      </c>
      <c r="N79" s="102">
        <f>INDEX('D1 - Master Project Table'!$A$1:$AK$7056,$B79,37)</f>
        <v>0</v>
      </c>
      <c r="O79" s="94">
        <f>INDEX('D1 - Master Project Table'!$A$1:$AK$7056,$B79,36)</f>
        <v>0</v>
      </c>
      <c r="P79" s="4">
        <f>INDEX('D1 - Master Project Table'!$A$1:$AK$7056,$B79,10)</f>
        <v>0</v>
      </c>
      <c r="Q79" s="30">
        <f>INDEX('D1 - Master Project Table'!$A$1:$AK$7056,$B79,9)</f>
        <v>0</v>
      </c>
      <c r="R79" s="96"/>
      <c r="S79" s="42" t="str">
        <f t="shared" si="15"/>
        <v>NA</v>
      </c>
      <c r="T79" s="30" t="str">
        <f>IF(Q79&gt;0,VLOOKUP(Q79,#REF!,16,TRUE),"NA")</f>
        <v>NA</v>
      </c>
      <c r="U79" s="96" t="str">
        <f>IF(Q79=0,"",VLOOKUP(S79,#REF!,1,TRUE))</f>
        <v/>
      </c>
      <c r="V79" s="96"/>
      <c r="W79" s="69" t="str">
        <f>INDEX('D1 - Master Project Table'!$A$1:$AK$7070,$B79,16)</f>
        <v>N</v>
      </c>
      <c r="X79" s="69" t="str">
        <f>INDEX('D1 - Master Project Table'!$A$1:$AK$7070,$B79,17)</f>
        <v>N</v>
      </c>
      <c r="Y79" s="69" t="str">
        <f>INDEX('D1 - Master Project Table'!$A$1:$AK$7070,$B79,18)</f>
        <v>Y</v>
      </c>
      <c r="Z79" s="97"/>
      <c r="AA79" s="69" t="str">
        <f t="shared" si="16"/>
        <v>NA</v>
      </c>
      <c r="AB79" s="30" t="str">
        <f>IF(Q79=0,"NA",VLOOKUP(Q79,#REF!,3,TRUE))</f>
        <v>NA</v>
      </c>
      <c r="AC79" s="90"/>
      <c r="AD79" s="29" t="str">
        <f t="shared" si="17"/>
        <v>YesYes0</v>
      </c>
      <c r="AK79" s="24"/>
    </row>
    <row r="80" spans="1:37" ht="11.25" customHeight="1" x14ac:dyDescent="0.2">
      <c r="A80" s="28">
        <v>82</v>
      </c>
      <c r="B80" s="40">
        <f>MATCH(C80,'D1 - Master Project Table'!$D$1:$D$7056,0)</f>
        <v>297</v>
      </c>
      <c r="C80" s="177" t="s">
        <v>9502</v>
      </c>
      <c r="D80" s="29" t="str">
        <f>INDEX('D1 - Master Project Table'!$A$1:$AK$7056,$B80,5)</f>
        <v>WA MME</v>
      </c>
      <c r="E80" s="29">
        <f>INDEX('D1 - Master Project Table'!$A$1:$AK$7056,$B80,6)</f>
        <v>0</v>
      </c>
      <c r="F80" s="29" t="str">
        <f>INDEX('D1 - Master Project Table'!$A$1:$AK$7056,$B80,29)</f>
        <v>UnitedHealthcare Community &amp; State</v>
      </c>
      <c r="G80" s="29" t="str">
        <f>INDEX('D1 - Master Project Table'!$A$1:$AK$7012,$B80,8)</f>
        <v>2 - Not Scheduled</v>
      </c>
      <c r="H80" s="74"/>
      <c r="I80" s="34" t="str">
        <f t="shared" si="12"/>
        <v>No</v>
      </c>
      <c r="J80" s="92"/>
      <c r="K80" s="42" t="str">
        <f t="shared" si="13"/>
        <v>Yes</v>
      </c>
      <c r="L80" s="29" t="str">
        <f>INDEX('D1 - Master Project Table'!$A$1:$AK$7056,$B80,28)</f>
        <v>In Estimating</v>
      </c>
      <c r="M80" s="42" t="str">
        <f t="shared" si="14"/>
        <v>Yes</v>
      </c>
      <c r="N80" s="102">
        <f>INDEX('D1 - Master Project Table'!$A$1:$AK$7056,$B80,37)</f>
        <v>0</v>
      </c>
      <c r="O80" s="94">
        <f>INDEX('D1 - Master Project Table'!$A$1:$AK$7056,$B80,36)</f>
        <v>0</v>
      </c>
      <c r="P80" s="4">
        <f>INDEX('D1 - Master Project Table'!$A$1:$AK$7056,$B80,10)</f>
        <v>0</v>
      </c>
      <c r="Q80" s="30">
        <f>INDEX('D1 - Master Project Table'!$A$1:$AK$7056,$B80,9)</f>
        <v>0</v>
      </c>
      <c r="R80" s="96"/>
      <c r="S80" s="42" t="str">
        <f t="shared" si="15"/>
        <v>NA</v>
      </c>
      <c r="T80" s="30" t="str">
        <f>IF(Q80&gt;0,VLOOKUP(Q80,#REF!,16,TRUE),"NA")</f>
        <v>NA</v>
      </c>
      <c r="U80" s="96" t="str">
        <f>IF(Q80=0,"",VLOOKUP(S80,#REF!,1,TRUE))</f>
        <v/>
      </c>
      <c r="V80" s="96"/>
      <c r="W80" s="69" t="str">
        <f>INDEX('D1 - Master Project Table'!$A$1:$AK$7070,$B80,16)</f>
        <v>N</v>
      </c>
      <c r="X80" s="69" t="str">
        <f>INDEX('D1 - Master Project Table'!$A$1:$AK$7070,$B80,17)</f>
        <v>N</v>
      </c>
      <c r="Y80" s="69" t="str">
        <f>INDEX('D1 - Master Project Table'!$A$1:$AK$7070,$B80,18)</f>
        <v>Y</v>
      </c>
      <c r="Z80" s="97"/>
      <c r="AA80" s="69" t="str">
        <f t="shared" si="16"/>
        <v>NA</v>
      </c>
      <c r="AB80" s="30" t="str">
        <f>IF(Q80=0,"NA",VLOOKUP(Q80,#REF!,3,TRUE))</f>
        <v>NA</v>
      </c>
      <c r="AC80" s="90"/>
      <c r="AD80" s="29" t="str">
        <f t="shared" si="17"/>
        <v>YesYes0</v>
      </c>
      <c r="AK80" s="24"/>
    </row>
    <row r="81" spans="1:37" ht="15.75" customHeight="1" x14ac:dyDescent="0.2">
      <c r="A81" s="28">
        <v>83</v>
      </c>
      <c r="B81" s="40">
        <f>MATCH(C81,'D1 - Master Project Table'!$D$1:$D$7056,0)</f>
        <v>298</v>
      </c>
      <c r="C81" s="177" t="s">
        <v>9503</v>
      </c>
      <c r="D81" s="29" t="str">
        <f>INDEX('D1 - Master Project Table'!$A$1:$AK$7056,$B81,5)</f>
        <v>OHBS DSM-5</v>
      </c>
      <c r="E81" s="29">
        <f>INDEX('D1 - Master Project Table'!$A$1:$AK$7056,$B81,6)</f>
        <v>0</v>
      </c>
      <c r="F81" s="29" t="str">
        <f>INDEX('D1 - Master Project Table'!$A$1:$AK$7056,$B81,29)</f>
        <v>OptumHealth</v>
      </c>
      <c r="G81" s="29" t="str">
        <f>INDEX('D1 - Master Project Table'!$A$1:$AK$7012,$B81,8)</f>
        <v>2 - Not Scheduled</v>
      </c>
      <c r="H81" s="74"/>
      <c r="I81" s="34" t="str">
        <f t="shared" si="12"/>
        <v>No</v>
      </c>
      <c r="J81" s="92"/>
      <c r="K81" s="42" t="str">
        <f t="shared" si="13"/>
        <v>Yes</v>
      </c>
      <c r="L81" s="29" t="str">
        <f>INDEX('D1 - Master Project Table'!$A$1:$AK$7056,$B81,28)</f>
        <v>In Estimating</v>
      </c>
      <c r="M81" s="42" t="str">
        <f t="shared" si="14"/>
        <v>Yes</v>
      </c>
      <c r="N81" s="102">
        <f>INDEX('D1 - Master Project Table'!$A$1:$AK$7056,$B81,37)</f>
        <v>0</v>
      </c>
      <c r="O81" s="94">
        <f>INDEX('D1 - Master Project Table'!$A$1:$AK$7056,$B81,36)</f>
        <v>0</v>
      </c>
      <c r="P81" s="4">
        <f>INDEX('D1 - Master Project Table'!$A$1:$AK$7056,$B81,10)</f>
        <v>0</v>
      </c>
      <c r="Q81" s="30">
        <f>INDEX('D1 - Master Project Table'!$A$1:$AK$7056,$B81,9)</f>
        <v>0</v>
      </c>
      <c r="R81" s="96"/>
      <c r="S81" s="42" t="str">
        <f t="shared" si="15"/>
        <v>NA</v>
      </c>
      <c r="T81" s="30" t="str">
        <f>IF(Q81&gt;0,VLOOKUP(Q81,#REF!,16,TRUE),"NA")</f>
        <v>NA</v>
      </c>
      <c r="U81" s="96" t="str">
        <f>IF(Q81=0,"",VLOOKUP(S81,#REF!,1,TRUE))</f>
        <v/>
      </c>
      <c r="V81" s="96"/>
      <c r="W81" s="69" t="str">
        <f>INDEX('D1 - Master Project Table'!$A$1:$AK$7070,$B81,16)</f>
        <v>Y</v>
      </c>
      <c r="X81" s="69" t="str">
        <f>INDEX('D1 - Master Project Table'!$A$1:$AK$7070,$B81,17)</f>
        <v>N</v>
      </c>
      <c r="Y81" s="69" t="str">
        <f>INDEX('D1 - Master Project Table'!$A$1:$AK$7070,$B81,18)</f>
        <v>Y</v>
      </c>
      <c r="Z81" s="97"/>
      <c r="AA81" s="69" t="str">
        <f t="shared" si="16"/>
        <v>NA</v>
      </c>
      <c r="AB81" s="30" t="str">
        <f>IF(Q81=0,"NA",VLOOKUP(Q81,#REF!,3,TRUE))</f>
        <v>NA</v>
      </c>
      <c r="AC81" s="90"/>
      <c r="AD81" s="29" t="str">
        <f t="shared" si="17"/>
        <v>YesYes0</v>
      </c>
      <c r="AK81" s="24"/>
    </row>
    <row r="82" spans="1:37" ht="11.25" customHeight="1" x14ac:dyDescent="0.2">
      <c r="A82" s="28">
        <v>85</v>
      </c>
      <c r="B82" s="40">
        <f>MATCH(C82,'D1 - Master Project Table'!$D$1:$D$7056,0)</f>
        <v>299</v>
      </c>
      <c r="C82" s="177" t="s">
        <v>9505</v>
      </c>
      <c r="D82" s="29" t="str">
        <f>INDEX('D1 - Master Project Table'!$A$1:$AK$7056,$B82,5)</f>
        <v>NDB Fee Schedule Auto Load</v>
      </c>
      <c r="E82" s="29">
        <f>INDEX('D1 - Master Project Table'!$A$1:$AK$7056,$B82,6)</f>
        <v>0</v>
      </c>
      <c r="F82" s="29" t="str">
        <f>INDEX('D1 - Master Project Table'!$A$1:$AK$7056,$B82,29)</f>
        <v>UHG IT - Application Services Group</v>
      </c>
      <c r="G82" s="29" t="str">
        <f>INDEX('D1 - Master Project Table'!$A$1:$AK$7012,$B82,8)</f>
        <v>2 - Not Scheduled</v>
      </c>
      <c r="H82" s="74"/>
      <c r="I82" s="34" t="str">
        <f t="shared" si="12"/>
        <v>No</v>
      </c>
      <c r="J82" s="92"/>
      <c r="K82" s="42" t="str">
        <f t="shared" si="13"/>
        <v>No</v>
      </c>
      <c r="L82" s="29" t="str">
        <f>INDEX('D1 - Master Project Table'!$A$1:$AK$7056,$B82,28)</f>
        <v>In Funding</v>
      </c>
      <c r="M82" s="42" t="str">
        <f t="shared" si="14"/>
        <v>Yes</v>
      </c>
      <c r="N82" s="102">
        <f>INDEX('D1 - Master Project Table'!$A$1:$AK$7056,$B82,37)</f>
        <v>0</v>
      </c>
      <c r="O82" s="94">
        <f>INDEX('D1 - Master Project Table'!$A$1:$AK$7056,$B82,36)</f>
        <v>0</v>
      </c>
      <c r="P82" s="4">
        <f>INDEX('D1 - Master Project Table'!$A$1:$AK$7056,$B82,10)</f>
        <v>0</v>
      </c>
      <c r="Q82" s="30">
        <f>INDEX('D1 - Master Project Table'!$A$1:$AK$7056,$B82,9)</f>
        <v>0</v>
      </c>
      <c r="R82" s="96"/>
      <c r="S82" s="42" t="str">
        <f t="shared" si="15"/>
        <v>NA</v>
      </c>
      <c r="T82" s="30" t="str">
        <f>IF(Q82&gt;0,VLOOKUP(Q82,#REF!,16,TRUE),"NA")</f>
        <v>NA</v>
      </c>
      <c r="U82" s="96" t="str">
        <f>IF(Q82=0,"",VLOOKUP(S82,#REF!,1,TRUE))</f>
        <v/>
      </c>
      <c r="V82" s="96"/>
      <c r="W82" s="69" t="str">
        <f>INDEX('D1 - Master Project Table'!$A$1:$AK$7070,$B82,16)</f>
        <v>N</v>
      </c>
      <c r="X82" s="69" t="str">
        <f>INDEX('D1 - Master Project Table'!$A$1:$AK$7070,$B82,17)</f>
        <v>N</v>
      </c>
      <c r="Y82" s="69" t="str">
        <f>INDEX('D1 - Master Project Table'!$A$1:$AK$7070,$B82,18)</f>
        <v>N</v>
      </c>
      <c r="Z82" s="97"/>
      <c r="AA82" s="69" t="str">
        <f t="shared" si="16"/>
        <v>NA</v>
      </c>
      <c r="AB82" s="30" t="str">
        <f>IF(Q82=0,"NA",VLOOKUP(Q82,#REF!,3,TRUE))</f>
        <v>NA</v>
      </c>
      <c r="AC82" s="90"/>
      <c r="AD82" s="29" t="str">
        <f t="shared" si="17"/>
        <v>NoYes0</v>
      </c>
      <c r="AK82" s="24"/>
    </row>
    <row r="83" spans="1:37" ht="11.25" customHeight="1" x14ac:dyDescent="0.2">
      <c r="A83" s="28"/>
      <c r="B83" s="40" t="e">
        <f>MATCH(C83,'D1 - Master Project Table'!$D$1:$D$7056,0)</f>
        <v>#N/A</v>
      </c>
      <c r="C83" s="132" t="s">
        <v>6396</v>
      </c>
      <c r="D83" s="29" t="e">
        <f>INDEX('D1 - Master Project Table'!$A$1:$AK$7056,$B83,5)</f>
        <v>#N/A</v>
      </c>
      <c r="E83" s="29" t="e">
        <f>INDEX('D1 - Master Project Table'!$A$1:$AK$7056,$B83,6)</f>
        <v>#N/A</v>
      </c>
      <c r="F83" s="29" t="e">
        <f>INDEX('D1 - Master Project Table'!$A$1:$AK$7056,$B83,29)</f>
        <v>#N/A</v>
      </c>
      <c r="G83" s="29" t="e">
        <f>INDEX('D1 - Master Project Table'!$A$1:$AK$7012,$B83,8)</f>
        <v>#N/A</v>
      </c>
      <c r="H83" s="74"/>
      <c r="I83" s="34" t="e">
        <f t="shared" si="12"/>
        <v>#N/A</v>
      </c>
      <c r="J83" s="92"/>
      <c r="K83" s="42" t="e">
        <f t="shared" si="13"/>
        <v>#N/A</v>
      </c>
      <c r="L83" s="29" t="e">
        <f>INDEX('D1 - Master Project Table'!$A$1:$AK$7056,$B83,28)</f>
        <v>#N/A</v>
      </c>
      <c r="M83" s="42" t="e">
        <f t="shared" si="14"/>
        <v>#N/A</v>
      </c>
      <c r="N83" s="102" t="e">
        <f>INDEX('D1 - Master Project Table'!$A$1:$AK$7056,$B83,37)</f>
        <v>#N/A</v>
      </c>
      <c r="O83" s="94" t="e">
        <f>INDEX('D1 - Master Project Table'!$A$1:$AK$7056,$B83,36)</f>
        <v>#N/A</v>
      </c>
      <c r="P83" s="4" t="e">
        <f>INDEX('D1 - Master Project Table'!$A$1:$AK$7056,$B83,10)</f>
        <v>#N/A</v>
      </c>
      <c r="Q83" s="30" t="e">
        <f>INDEX('D1 - Master Project Table'!$A$1:$AK$7056,$B83,9)</f>
        <v>#N/A</v>
      </c>
      <c r="R83" s="96"/>
      <c r="S83" s="42" t="e">
        <f t="shared" si="15"/>
        <v>#N/A</v>
      </c>
      <c r="T83" s="30" t="e">
        <f>IF(Q83&gt;0,VLOOKUP(Q83,#REF!,16,TRUE),"NA")</f>
        <v>#N/A</v>
      </c>
      <c r="U83" s="96" t="e">
        <f>IF(Q83=0,"",VLOOKUP(S83,#REF!,1,TRUE))</f>
        <v>#N/A</v>
      </c>
      <c r="V83" s="96"/>
      <c r="W83" s="69" t="e">
        <f>INDEX('D1 - Master Project Table'!$A$1:$AK$7070,$B83,16)</f>
        <v>#N/A</v>
      </c>
      <c r="X83" s="69" t="e">
        <f>INDEX('D1 - Master Project Table'!$A$1:$AK$7070,$B83,17)</f>
        <v>#N/A</v>
      </c>
      <c r="Y83" s="69" t="e">
        <f>INDEX('D1 - Master Project Table'!$A$1:$AK$7070,$B83,18)</f>
        <v>#N/A</v>
      </c>
      <c r="Z83" s="97"/>
      <c r="AA83" s="69" t="e">
        <f t="shared" si="16"/>
        <v>#N/A</v>
      </c>
      <c r="AB83" s="30" t="e">
        <f>IF(Q83=0,"NA",VLOOKUP(Q83,#REF!,3,TRUE))</f>
        <v>#N/A</v>
      </c>
      <c r="AC83" s="90"/>
      <c r="AD83" s="29" t="e">
        <f t="shared" si="17"/>
        <v>#N/A</v>
      </c>
      <c r="AK83" s="24"/>
    </row>
    <row r="84" spans="1:37" ht="11.25" customHeight="1" x14ac:dyDescent="0.2">
      <c r="A84" s="28"/>
      <c r="B84" s="40" t="e">
        <f>MATCH(C84,'D1 - Master Project Table'!$D$1:$D$7056,0)</f>
        <v>#N/A</v>
      </c>
      <c r="C84" s="132" t="s">
        <v>6396</v>
      </c>
      <c r="D84" s="29" t="e">
        <f>INDEX('D1 - Master Project Table'!$A$1:$AK$7056,$B84,5)</f>
        <v>#N/A</v>
      </c>
      <c r="E84" s="29" t="e">
        <f>INDEX('D1 - Master Project Table'!$A$1:$AK$7056,$B84,6)</f>
        <v>#N/A</v>
      </c>
      <c r="F84" s="29" t="e">
        <f>INDEX('D1 - Master Project Table'!$A$1:$AK$7056,$B84,29)</f>
        <v>#N/A</v>
      </c>
      <c r="G84" s="29" t="e">
        <f>INDEX('D1 - Master Project Table'!$A$1:$AK$7012,$B84,8)</f>
        <v>#N/A</v>
      </c>
      <c r="H84" s="74"/>
      <c r="I84" s="34" t="e">
        <f t="shared" si="12"/>
        <v>#N/A</v>
      </c>
      <c r="J84" s="92"/>
      <c r="K84" s="42" t="e">
        <f t="shared" si="13"/>
        <v>#N/A</v>
      </c>
      <c r="L84" s="29" t="e">
        <f>INDEX('D1 - Master Project Table'!$A$1:$AK$7056,$B84,28)</f>
        <v>#N/A</v>
      </c>
      <c r="M84" s="42" t="e">
        <f t="shared" si="14"/>
        <v>#N/A</v>
      </c>
      <c r="N84" s="102" t="e">
        <f>INDEX('D1 - Master Project Table'!$A$1:$AK$7056,$B84,37)</f>
        <v>#N/A</v>
      </c>
      <c r="O84" s="94" t="e">
        <f>INDEX('D1 - Master Project Table'!$A$1:$AK$7056,$B84,36)</f>
        <v>#N/A</v>
      </c>
      <c r="P84" s="4" t="e">
        <f>INDEX('D1 - Master Project Table'!$A$1:$AK$7056,$B84,10)</f>
        <v>#N/A</v>
      </c>
      <c r="Q84" s="30" t="e">
        <f>INDEX('D1 - Master Project Table'!$A$1:$AK$7056,$B84,9)</f>
        <v>#N/A</v>
      </c>
      <c r="R84" s="96"/>
      <c r="S84" s="42" t="e">
        <f t="shared" si="15"/>
        <v>#N/A</v>
      </c>
      <c r="T84" s="30" t="e">
        <f>IF(Q84&gt;0,VLOOKUP(Q84,#REF!,16,TRUE),"NA")</f>
        <v>#N/A</v>
      </c>
      <c r="U84" s="96" t="e">
        <f>IF(Q84=0,"",VLOOKUP(S84,#REF!,1,TRUE))</f>
        <v>#N/A</v>
      </c>
      <c r="V84" s="96"/>
      <c r="W84" s="69" t="e">
        <f>INDEX('D1 - Master Project Table'!$A$1:$AK$7070,$B84,16)</f>
        <v>#N/A</v>
      </c>
      <c r="X84" s="69" t="e">
        <f>INDEX('D1 - Master Project Table'!$A$1:$AK$7070,$B84,17)</f>
        <v>#N/A</v>
      </c>
      <c r="Y84" s="69" t="e">
        <f>INDEX('D1 - Master Project Table'!$A$1:$AK$7070,$B84,18)</f>
        <v>#N/A</v>
      </c>
      <c r="Z84" s="97"/>
      <c r="AA84" s="69" t="e">
        <f t="shared" si="16"/>
        <v>#N/A</v>
      </c>
      <c r="AB84" s="30" t="e">
        <f>IF(Q84=0,"NA",VLOOKUP(Q84,#REF!,3,TRUE))</f>
        <v>#N/A</v>
      </c>
      <c r="AC84" s="90"/>
      <c r="AD84" s="29" t="e">
        <f t="shared" si="17"/>
        <v>#N/A</v>
      </c>
      <c r="AK84" s="24"/>
    </row>
    <row r="85" spans="1:37" ht="11.25" customHeight="1" x14ac:dyDescent="0.2">
      <c r="A85" s="28"/>
      <c r="B85" s="40" t="e">
        <f>MATCH(C85,'D1 - Master Project Table'!$D$1:$D$7056,0)</f>
        <v>#N/A</v>
      </c>
      <c r="C85" s="132" t="s">
        <v>6396</v>
      </c>
      <c r="D85" s="29" t="e">
        <f>INDEX('D1 - Master Project Table'!$A$1:$AK$7056,$B85,5)</f>
        <v>#N/A</v>
      </c>
      <c r="E85" s="29" t="e">
        <f>INDEX('D1 - Master Project Table'!$A$1:$AK$7056,$B85,6)</f>
        <v>#N/A</v>
      </c>
      <c r="F85" s="29" t="e">
        <f>INDEX('D1 - Master Project Table'!$A$1:$AK$7056,$B85,29)</f>
        <v>#N/A</v>
      </c>
      <c r="G85" s="29" t="e">
        <f>INDEX('D1 - Master Project Table'!$A$1:$AK$7012,$B85,8)</f>
        <v>#N/A</v>
      </c>
      <c r="H85" s="74"/>
      <c r="I85" s="34" t="e">
        <f t="shared" si="12"/>
        <v>#N/A</v>
      </c>
      <c r="J85" s="92"/>
      <c r="K85" s="42" t="e">
        <f t="shared" si="13"/>
        <v>#N/A</v>
      </c>
      <c r="L85" s="29" t="e">
        <f>INDEX('D1 - Master Project Table'!$A$1:$AK$7056,$B85,28)</f>
        <v>#N/A</v>
      </c>
      <c r="M85" s="42" t="e">
        <f t="shared" si="14"/>
        <v>#N/A</v>
      </c>
      <c r="N85" s="102" t="e">
        <f>INDEX('D1 - Master Project Table'!$A$1:$AK$7056,$B85,37)</f>
        <v>#N/A</v>
      </c>
      <c r="O85" s="94" t="e">
        <f>INDEX('D1 - Master Project Table'!$A$1:$AK$7056,$B85,36)</f>
        <v>#N/A</v>
      </c>
      <c r="P85" s="4" t="e">
        <f>INDEX('D1 - Master Project Table'!$A$1:$AK$7056,$B85,10)</f>
        <v>#N/A</v>
      </c>
      <c r="Q85" s="30" t="e">
        <f>INDEX('D1 - Master Project Table'!$A$1:$AK$7056,$B85,9)</f>
        <v>#N/A</v>
      </c>
      <c r="R85" s="96"/>
      <c r="S85" s="42" t="e">
        <f t="shared" si="15"/>
        <v>#N/A</v>
      </c>
      <c r="T85" s="30" t="e">
        <f>IF(Q85&gt;0,VLOOKUP(Q85,#REF!,16,TRUE),"NA")</f>
        <v>#N/A</v>
      </c>
      <c r="U85" s="96" t="e">
        <f>IF(Q85=0,"",VLOOKUP(S85,#REF!,1,TRUE))</f>
        <v>#N/A</v>
      </c>
      <c r="V85" s="96"/>
      <c r="W85" s="69" t="e">
        <f>INDEX('D1 - Master Project Table'!$A$1:$AK$7070,$B85,16)</f>
        <v>#N/A</v>
      </c>
      <c r="X85" s="69" t="e">
        <f>INDEX('D1 - Master Project Table'!$A$1:$AK$7070,$B85,17)</f>
        <v>#N/A</v>
      </c>
      <c r="Y85" s="69" t="e">
        <f>INDEX('D1 - Master Project Table'!$A$1:$AK$7070,$B85,18)</f>
        <v>#N/A</v>
      </c>
      <c r="Z85" s="97"/>
      <c r="AA85" s="69" t="e">
        <f t="shared" si="16"/>
        <v>#N/A</v>
      </c>
      <c r="AB85" s="30" t="e">
        <f>IF(Q85=0,"NA",VLOOKUP(Q85,#REF!,3,TRUE))</f>
        <v>#N/A</v>
      </c>
      <c r="AC85" s="90"/>
      <c r="AD85" s="29" t="e">
        <f t="shared" si="17"/>
        <v>#N/A</v>
      </c>
      <c r="AK85" s="24"/>
    </row>
    <row r="86" spans="1:37" ht="11.25" customHeight="1" x14ac:dyDescent="0.2">
      <c r="A86" s="28"/>
      <c r="B86" s="40" t="e">
        <f>MATCH(C86,'D1 - Master Project Table'!$D$1:$D$7056,0)</f>
        <v>#N/A</v>
      </c>
      <c r="C86" s="132" t="s">
        <v>6396</v>
      </c>
      <c r="D86" s="29" t="e">
        <f>INDEX('D1 - Master Project Table'!$A$1:$AK$7056,$B86,5)</f>
        <v>#N/A</v>
      </c>
      <c r="E86" s="29" t="e">
        <f>INDEX('D1 - Master Project Table'!$A$1:$AK$7056,$B86,6)</f>
        <v>#N/A</v>
      </c>
      <c r="F86" s="29" t="e">
        <f>INDEX('D1 - Master Project Table'!$A$1:$AK$7056,$B86,29)</f>
        <v>#N/A</v>
      </c>
      <c r="G86" s="29" t="e">
        <f>INDEX('D1 - Master Project Table'!$A$1:$AK$7012,$B86,8)</f>
        <v>#N/A</v>
      </c>
      <c r="H86" s="74"/>
      <c r="I86" s="34" t="e">
        <f t="shared" si="12"/>
        <v>#N/A</v>
      </c>
      <c r="J86" s="92"/>
      <c r="K86" s="42" t="e">
        <f t="shared" si="13"/>
        <v>#N/A</v>
      </c>
      <c r="L86" s="29" t="e">
        <f>INDEX('D1 - Master Project Table'!$A$1:$AK$7056,$B86,28)</f>
        <v>#N/A</v>
      </c>
      <c r="M86" s="42" t="e">
        <f t="shared" si="14"/>
        <v>#N/A</v>
      </c>
      <c r="N86" s="102" t="e">
        <f>INDEX('D1 - Master Project Table'!$A$1:$AK$7056,$B86,37)</f>
        <v>#N/A</v>
      </c>
      <c r="O86" s="94" t="e">
        <f>INDEX('D1 - Master Project Table'!$A$1:$AK$7056,$B86,36)</f>
        <v>#N/A</v>
      </c>
      <c r="P86" s="4" t="e">
        <f>INDEX('D1 - Master Project Table'!$A$1:$AK$7056,$B86,10)</f>
        <v>#N/A</v>
      </c>
      <c r="Q86" s="30" t="e">
        <f>INDEX('D1 - Master Project Table'!$A$1:$AK$7056,$B86,9)</f>
        <v>#N/A</v>
      </c>
      <c r="R86" s="96"/>
      <c r="S86" s="42" t="e">
        <f t="shared" si="15"/>
        <v>#N/A</v>
      </c>
      <c r="T86" s="30" t="e">
        <f>IF(Q86&gt;0,VLOOKUP(Q86,#REF!,16,TRUE),"NA")</f>
        <v>#N/A</v>
      </c>
      <c r="U86" s="96" t="e">
        <f>IF(Q86=0,"",VLOOKUP(S86,#REF!,1,TRUE))</f>
        <v>#N/A</v>
      </c>
      <c r="V86" s="96"/>
      <c r="W86" s="69" t="e">
        <f>INDEX('D1 - Master Project Table'!$A$1:$AK$7070,$B86,16)</f>
        <v>#N/A</v>
      </c>
      <c r="X86" s="69" t="e">
        <f>INDEX('D1 - Master Project Table'!$A$1:$AK$7070,$B86,17)</f>
        <v>#N/A</v>
      </c>
      <c r="Y86" s="69" t="e">
        <f>INDEX('D1 - Master Project Table'!$A$1:$AK$7070,$B86,18)</f>
        <v>#N/A</v>
      </c>
      <c r="Z86" s="97"/>
      <c r="AA86" s="69" t="e">
        <f t="shared" si="16"/>
        <v>#N/A</v>
      </c>
      <c r="AB86" s="30" t="e">
        <f>IF(Q86=0,"NA",VLOOKUP(Q86,#REF!,3,TRUE))</f>
        <v>#N/A</v>
      </c>
      <c r="AC86" s="90"/>
      <c r="AD86" s="29" t="e">
        <f t="shared" si="17"/>
        <v>#N/A</v>
      </c>
      <c r="AK86" s="24"/>
    </row>
    <row r="87" spans="1:37" ht="15.75" customHeight="1" x14ac:dyDescent="0.2">
      <c r="A87" s="28"/>
      <c r="B87" s="40" t="e">
        <f>MATCH(C87,'D1 - Master Project Table'!$D$1:$D$7056,0)</f>
        <v>#N/A</v>
      </c>
      <c r="C87" s="132" t="s">
        <v>6396</v>
      </c>
      <c r="D87" s="29" t="e">
        <f>INDEX('D1 - Master Project Table'!$A$1:$AK$7056,$B87,5)</f>
        <v>#N/A</v>
      </c>
      <c r="E87" s="29" t="e">
        <f>INDEX('D1 - Master Project Table'!$A$1:$AK$7056,$B87,6)</f>
        <v>#N/A</v>
      </c>
      <c r="F87" s="29" t="e">
        <f>INDEX('D1 - Master Project Table'!$A$1:$AK$7056,$B87,29)</f>
        <v>#N/A</v>
      </c>
      <c r="G87" s="29" t="e">
        <f>INDEX('D1 - Master Project Table'!$A$1:$AK$7012,$B87,8)</f>
        <v>#N/A</v>
      </c>
      <c r="H87" s="74"/>
      <c r="I87" s="34" t="e">
        <f t="shared" si="12"/>
        <v>#N/A</v>
      </c>
      <c r="J87" s="92"/>
      <c r="K87" s="42" t="e">
        <f t="shared" si="13"/>
        <v>#N/A</v>
      </c>
      <c r="L87" s="29" t="e">
        <f>INDEX('D1 - Master Project Table'!$A$1:$AK$7056,$B87,28)</f>
        <v>#N/A</v>
      </c>
      <c r="M87" s="42" t="e">
        <f t="shared" si="14"/>
        <v>#N/A</v>
      </c>
      <c r="N87" s="102" t="e">
        <f>INDEX('D1 - Master Project Table'!$A$1:$AK$7056,$B87,37)</f>
        <v>#N/A</v>
      </c>
      <c r="O87" s="94" t="e">
        <f>INDEX('D1 - Master Project Table'!$A$1:$AK$7056,$B87,36)</f>
        <v>#N/A</v>
      </c>
      <c r="P87" s="4" t="e">
        <f>INDEX('D1 - Master Project Table'!$A$1:$AK$7056,$B87,10)</f>
        <v>#N/A</v>
      </c>
      <c r="Q87" s="30" t="e">
        <f>INDEX('D1 - Master Project Table'!$A$1:$AK$7056,$B87,9)</f>
        <v>#N/A</v>
      </c>
      <c r="R87" s="96"/>
      <c r="S87" s="42" t="e">
        <f t="shared" si="15"/>
        <v>#N/A</v>
      </c>
      <c r="T87" s="30" t="e">
        <f>IF(Q87&gt;0,VLOOKUP(Q87,#REF!,16,TRUE),"NA")</f>
        <v>#N/A</v>
      </c>
      <c r="U87" s="96" t="e">
        <f>IF(Q87=0,"",VLOOKUP(S87,#REF!,1,TRUE))</f>
        <v>#N/A</v>
      </c>
      <c r="V87" s="96"/>
      <c r="W87" s="69" t="e">
        <f>INDEX('D1 - Master Project Table'!$A$1:$AK$7070,$B87,16)</f>
        <v>#N/A</v>
      </c>
      <c r="X87" s="69" t="e">
        <f>INDEX('D1 - Master Project Table'!$A$1:$AK$7070,$B87,17)</f>
        <v>#N/A</v>
      </c>
      <c r="Y87" s="69" t="e">
        <f>INDEX('D1 - Master Project Table'!$A$1:$AK$7070,$B87,18)</f>
        <v>#N/A</v>
      </c>
      <c r="Z87" s="97"/>
      <c r="AA87" s="69" t="e">
        <f t="shared" si="16"/>
        <v>#N/A</v>
      </c>
      <c r="AB87" s="30" t="e">
        <f>IF(Q87=0,"NA",VLOOKUP(Q87,#REF!,3,TRUE))</f>
        <v>#N/A</v>
      </c>
      <c r="AC87" s="90"/>
      <c r="AD87" s="29" t="e">
        <f t="shared" si="17"/>
        <v>#N/A</v>
      </c>
      <c r="AK87" s="24"/>
    </row>
    <row r="88" spans="1:37" ht="11.25" customHeight="1" x14ac:dyDescent="0.2">
      <c r="A88" s="28"/>
      <c r="B88" s="40" t="e">
        <f>MATCH(C88,'D1 - Master Project Table'!$D$1:$D$7056,0)</f>
        <v>#N/A</v>
      </c>
      <c r="C88" s="132" t="s">
        <v>6396</v>
      </c>
      <c r="D88" s="29" t="e">
        <f>INDEX('D1 - Master Project Table'!$A$1:$AK$7056,$B88,5)</f>
        <v>#N/A</v>
      </c>
      <c r="E88" s="29" t="e">
        <f>INDEX('D1 - Master Project Table'!$A$1:$AK$7056,$B88,6)</f>
        <v>#N/A</v>
      </c>
      <c r="F88" s="29" t="e">
        <f>INDEX('D1 - Master Project Table'!$A$1:$AK$7056,$B88,29)</f>
        <v>#N/A</v>
      </c>
      <c r="G88" s="29" t="e">
        <f>INDEX('D1 - Master Project Table'!$A$1:$AK$7012,$B88,8)</f>
        <v>#N/A</v>
      </c>
      <c r="H88" s="74"/>
      <c r="I88" s="34" t="e">
        <f t="shared" si="12"/>
        <v>#N/A</v>
      </c>
      <c r="J88" s="92"/>
      <c r="K88" s="42" t="e">
        <f t="shared" si="13"/>
        <v>#N/A</v>
      </c>
      <c r="L88" s="29" t="e">
        <f>INDEX('D1 - Master Project Table'!$A$1:$AK$7056,$B88,28)</f>
        <v>#N/A</v>
      </c>
      <c r="M88" s="42" t="e">
        <f t="shared" si="14"/>
        <v>#N/A</v>
      </c>
      <c r="N88" s="102" t="e">
        <f>INDEX('D1 - Master Project Table'!$A$1:$AK$7056,$B88,37)</f>
        <v>#N/A</v>
      </c>
      <c r="O88" s="94" t="e">
        <f>INDEX('D1 - Master Project Table'!$A$1:$AK$7056,$B88,36)</f>
        <v>#N/A</v>
      </c>
      <c r="P88" s="4" t="e">
        <f>INDEX('D1 - Master Project Table'!$A$1:$AK$7056,$B88,10)</f>
        <v>#N/A</v>
      </c>
      <c r="Q88" s="30" t="e">
        <f>INDEX('D1 - Master Project Table'!$A$1:$AK$7056,$B88,9)</f>
        <v>#N/A</v>
      </c>
      <c r="R88" s="96"/>
      <c r="S88" s="42" t="e">
        <f t="shared" si="15"/>
        <v>#N/A</v>
      </c>
      <c r="T88" s="30" t="e">
        <f>IF(Q88&gt;0,VLOOKUP(Q88,#REF!,16,TRUE),"NA")</f>
        <v>#N/A</v>
      </c>
      <c r="U88" s="96" t="e">
        <f>IF(Q88=0,"",VLOOKUP(S88,#REF!,1,TRUE))</f>
        <v>#N/A</v>
      </c>
      <c r="V88" s="96"/>
      <c r="W88" s="69" t="e">
        <f>INDEX('D1 - Master Project Table'!$A$1:$AK$7070,$B88,16)</f>
        <v>#N/A</v>
      </c>
      <c r="X88" s="69" t="e">
        <f>INDEX('D1 - Master Project Table'!$A$1:$AK$7070,$B88,17)</f>
        <v>#N/A</v>
      </c>
      <c r="Y88" s="69" t="e">
        <f>INDEX('D1 - Master Project Table'!$A$1:$AK$7070,$B88,18)</f>
        <v>#N/A</v>
      </c>
      <c r="Z88" s="97"/>
      <c r="AA88" s="69" t="e">
        <f t="shared" si="16"/>
        <v>#N/A</v>
      </c>
      <c r="AB88" s="30" t="e">
        <f>IF(Q88=0,"NA",VLOOKUP(Q88,#REF!,3,TRUE))</f>
        <v>#N/A</v>
      </c>
      <c r="AC88" s="90"/>
      <c r="AD88" s="29" t="e">
        <f t="shared" si="17"/>
        <v>#N/A</v>
      </c>
      <c r="AK88" s="24"/>
    </row>
    <row r="89" spans="1:37" ht="11.25" customHeight="1" x14ac:dyDescent="0.2">
      <c r="A89" s="28"/>
      <c r="B89" s="40" t="e">
        <f>MATCH(C89,'D1 - Master Project Table'!$D$1:$D$7056,0)</f>
        <v>#N/A</v>
      </c>
      <c r="C89" s="132" t="s">
        <v>6396</v>
      </c>
      <c r="D89" s="29" t="e">
        <f>INDEX('D1 - Master Project Table'!$A$1:$AK$7056,$B89,5)</f>
        <v>#N/A</v>
      </c>
      <c r="E89" s="29" t="e">
        <f>INDEX('D1 - Master Project Table'!$A$1:$AK$7056,$B89,6)</f>
        <v>#N/A</v>
      </c>
      <c r="F89" s="29" t="e">
        <f>INDEX('D1 - Master Project Table'!$A$1:$AK$7056,$B89,29)</f>
        <v>#N/A</v>
      </c>
      <c r="G89" s="29" t="e">
        <f>INDEX('D1 - Master Project Table'!$A$1:$AK$7012,$B89,8)</f>
        <v>#N/A</v>
      </c>
      <c r="H89" s="74"/>
      <c r="I89" s="34" t="e">
        <f t="shared" si="12"/>
        <v>#N/A</v>
      </c>
      <c r="J89" s="92"/>
      <c r="K89" s="42" t="e">
        <f t="shared" si="13"/>
        <v>#N/A</v>
      </c>
      <c r="L89" s="29" t="e">
        <f>INDEX('D1 - Master Project Table'!$A$1:$AK$7056,$B89,28)</f>
        <v>#N/A</v>
      </c>
      <c r="M89" s="42" t="e">
        <f t="shared" si="14"/>
        <v>#N/A</v>
      </c>
      <c r="N89" s="102" t="e">
        <f>INDEX('D1 - Master Project Table'!$A$1:$AK$7056,$B89,37)</f>
        <v>#N/A</v>
      </c>
      <c r="O89" s="94" t="e">
        <f>INDEX('D1 - Master Project Table'!$A$1:$AK$7056,$B89,36)</f>
        <v>#N/A</v>
      </c>
      <c r="P89" s="4" t="e">
        <f>INDEX('D1 - Master Project Table'!$A$1:$AK$7056,$B89,10)</f>
        <v>#N/A</v>
      </c>
      <c r="Q89" s="30" t="e">
        <f>INDEX('D1 - Master Project Table'!$A$1:$AK$7056,$B89,9)</f>
        <v>#N/A</v>
      </c>
      <c r="R89" s="96"/>
      <c r="S89" s="42" t="e">
        <f t="shared" si="15"/>
        <v>#N/A</v>
      </c>
      <c r="T89" s="30" t="e">
        <f>IF(Q89&gt;0,VLOOKUP(Q89,#REF!,16,TRUE),"NA")</f>
        <v>#N/A</v>
      </c>
      <c r="U89" s="96" t="e">
        <f>IF(Q89=0,"",VLOOKUP(S89,#REF!,1,TRUE))</f>
        <v>#N/A</v>
      </c>
      <c r="V89" s="96"/>
      <c r="W89" s="69" t="e">
        <f>INDEX('D1 - Master Project Table'!$A$1:$AK$7070,$B89,16)</f>
        <v>#N/A</v>
      </c>
      <c r="X89" s="69" t="e">
        <f>INDEX('D1 - Master Project Table'!$A$1:$AK$7070,$B89,17)</f>
        <v>#N/A</v>
      </c>
      <c r="Y89" s="69" t="e">
        <f>INDEX('D1 - Master Project Table'!$A$1:$AK$7070,$B89,18)</f>
        <v>#N/A</v>
      </c>
      <c r="Z89" s="97"/>
      <c r="AA89" s="69" t="e">
        <f t="shared" si="16"/>
        <v>#N/A</v>
      </c>
      <c r="AB89" s="30" t="e">
        <f>IF(Q89=0,"NA",VLOOKUP(Q89,#REF!,3,TRUE))</f>
        <v>#N/A</v>
      </c>
      <c r="AC89" s="90"/>
      <c r="AD89" s="29" t="e">
        <f t="shared" si="17"/>
        <v>#N/A</v>
      </c>
      <c r="AK89" s="24"/>
    </row>
    <row r="90" spans="1:37" ht="11.25" customHeight="1" x14ac:dyDescent="0.2">
      <c r="A90" s="28"/>
      <c r="B90" s="40" t="e">
        <f>MATCH(C90,'D1 - Master Project Table'!$D$1:$D$7056,0)</f>
        <v>#N/A</v>
      </c>
      <c r="C90" s="132" t="s">
        <v>6396</v>
      </c>
      <c r="D90" s="29" t="e">
        <f>INDEX('D1 - Master Project Table'!$A$1:$AK$7056,$B90,5)</f>
        <v>#N/A</v>
      </c>
      <c r="E90" s="29" t="e">
        <f>INDEX('D1 - Master Project Table'!$A$1:$AK$7056,$B90,6)</f>
        <v>#N/A</v>
      </c>
      <c r="F90" s="29" t="e">
        <f>INDEX('D1 - Master Project Table'!$A$1:$AK$7056,$B90,29)</f>
        <v>#N/A</v>
      </c>
      <c r="G90" s="29" t="e">
        <f>INDEX('D1 - Master Project Table'!$A$1:$AK$7012,$B90,8)</f>
        <v>#N/A</v>
      </c>
      <c r="H90" s="74"/>
      <c r="I90" s="34" t="e">
        <f t="shared" si="12"/>
        <v>#N/A</v>
      </c>
      <c r="J90" s="92"/>
      <c r="K90" s="42" t="e">
        <f t="shared" si="13"/>
        <v>#N/A</v>
      </c>
      <c r="L90" s="29" t="e">
        <f>INDEX('D1 - Master Project Table'!$A$1:$AK$7056,$B90,28)</f>
        <v>#N/A</v>
      </c>
      <c r="M90" s="42" t="e">
        <f t="shared" si="14"/>
        <v>#N/A</v>
      </c>
      <c r="N90" s="102" t="e">
        <f>INDEX('D1 - Master Project Table'!$A$1:$AK$7056,$B90,37)</f>
        <v>#N/A</v>
      </c>
      <c r="O90" s="94" t="e">
        <f>INDEX('D1 - Master Project Table'!$A$1:$AK$7056,$B90,36)</f>
        <v>#N/A</v>
      </c>
      <c r="P90" s="4" t="e">
        <f>INDEX('D1 - Master Project Table'!$A$1:$AK$7056,$B90,10)</f>
        <v>#N/A</v>
      </c>
      <c r="Q90" s="30" t="e">
        <f>INDEX('D1 - Master Project Table'!$A$1:$AK$7056,$B90,9)</f>
        <v>#N/A</v>
      </c>
      <c r="R90" s="96"/>
      <c r="S90" s="42" t="e">
        <f t="shared" si="15"/>
        <v>#N/A</v>
      </c>
      <c r="T90" s="30" t="e">
        <f>IF(Q90&gt;0,VLOOKUP(Q90,#REF!,16,TRUE),"NA")</f>
        <v>#N/A</v>
      </c>
      <c r="U90" s="96" t="e">
        <f>IF(Q90=0,"",VLOOKUP(S90,#REF!,1,TRUE))</f>
        <v>#N/A</v>
      </c>
      <c r="V90" s="96"/>
      <c r="W90" s="69" t="e">
        <f>INDEX('D1 - Master Project Table'!$A$1:$AK$7070,$B90,16)</f>
        <v>#N/A</v>
      </c>
      <c r="X90" s="69" t="e">
        <f>INDEX('D1 - Master Project Table'!$A$1:$AK$7070,$B90,17)</f>
        <v>#N/A</v>
      </c>
      <c r="Y90" s="69" t="e">
        <f>INDEX('D1 - Master Project Table'!$A$1:$AK$7070,$B90,18)</f>
        <v>#N/A</v>
      </c>
      <c r="Z90" s="97"/>
      <c r="AA90" s="69" t="e">
        <f t="shared" si="16"/>
        <v>#N/A</v>
      </c>
      <c r="AB90" s="30" t="e">
        <f>IF(Q90=0,"NA",VLOOKUP(Q90,#REF!,3,TRUE))</f>
        <v>#N/A</v>
      </c>
      <c r="AC90" s="90"/>
      <c r="AD90" s="29" t="e">
        <f t="shared" si="17"/>
        <v>#N/A</v>
      </c>
      <c r="AK90" s="24"/>
    </row>
    <row r="91" spans="1:37" ht="11.25" customHeight="1" x14ac:dyDescent="0.2">
      <c r="A91" s="28"/>
      <c r="B91" s="40" t="e">
        <f>MATCH(C91,'D1 - Master Project Table'!$D$1:$D$7056,0)</f>
        <v>#N/A</v>
      </c>
      <c r="C91" s="132" t="s">
        <v>6396</v>
      </c>
      <c r="D91" s="29" t="e">
        <f>INDEX('D1 - Master Project Table'!$A$1:$AK$7056,$B91,5)</f>
        <v>#N/A</v>
      </c>
      <c r="E91" s="29" t="e">
        <f>INDEX('D1 - Master Project Table'!$A$1:$AK$7056,$B91,6)</f>
        <v>#N/A</v>
      </c>
      <c r="F91" s="29" t="e">
        <f>INDEX('D1 - Master Project Table'!$A$1:$AK$7056,$B91,29)</f>
        <v>#N/A</v>
      </c>
      <c r="G91" s="29" t="e">
        <f>INDEX('D1 - Master Project Table'!$A$1:$AK$7012,$B91,8)</f>
        <v>#N/A</v>
      </c>
      <c r="H91" s="74"/>
      <c r="I91" s="34" t="e">
        <f t="shared" si="12"/>
        <v>#N/A</v>
      </c>
      <c r="J91" s="92"/>
      <c r="K91" s="42" t="e">
        <f t="shared" si="13"/>
        <v>#N/A</v>
      </c>
      <c r="L91" s="29" t="e">
        <f>INDEX('D1 - Master Project Table'!$A$1:$AK$7056,$B91,28)</f>
        <v>#N/A</v>
      </c>
      <c r="M91" s="42" t="e">
        <f t="shared" si="14"/>
        <v>#N/A</v>
      </c>
      <c r="N91" s="102" t="e">
        <f>INDEX('D1 - Master Project Table'!$A$1:$AK$7056,$B91,37)</f>
        <v>#N/A</v>
      </c>
      <c r="O91" s="94" t="e">
        <f>INDEX('D1 - Master Project Table'!$A$1:$AK$7056,$B91,36)</f>
        <v>#N/A</v>
      </c>
      <c r="P91" s="4" t="e">
        <f>INDEX('D1 - Master Project Table'!$A$1:$AK$7056,$B91,10)</f>
        <v>#N/A</v>
      </c>
      <c r="Q91" s="30" t="e">
        <f>INDEX('D1 - Master Project Table'!$A$1:$AK$7056,$B91,9)</f>
        <v>#N/A</v>
      </c>
      <c r="R91" s="96"/>
      <c r="S91" s="42" t="e">
        <f t="shared" si="15"/>
        <v>#N/A</v>
      </c>
      <c r="T91" s="30" t="e">
        <f>IF(Q91&gt;0,VLOOKUP(Q91,#REF!,16,TRUE),"NA")</f>
        <v>#N/A</v>
      </c>
      <c r="U91" s="96" t="e">
        <f>IF(Q91=0,"",VLOOKUP(S91,#REF!,1,TRUE))</f>
        <v>#N/A</v>
      </c>
      <c r="V91" s="96"/>
      <c r="W91" s="69" t="e">
        <f>INDEX('D1 - Master Project Table'!$A$1:$AK$7070,$B91,16)</f>
        <v>#N/A</v>
      </c>
      <c r="X91" s="69" t="e">
        <f>INDEX('D1 - Master Project Table'!$A$1:$AK$7070,$B91,17)</f>
        <v>#N/A</v>
      </c>
      <c r="Y91" s="69" t="e">
        <f>INDEX('D1 - Master Project Table'!$A$1:$AK$7070,$B91,18)</f>
        <v>#N/A</v>
      </c>
      <c r="Z91" s="97"/>
      <c r="AA91" s="69" t="e">
        <f t="shared" si="16"/>
        <v>#N/A</v>
      </c>
      <c r="AB91" s="30" t="e">
        <f>IF(Q91=0,"NA",VLOOKUP(Q91,#REF!,3,TRUE))</f>
        <v>#N/A</v>
      </c>
      <c r="AC91" s="90"/>
      <c r="AD91" s="29" t="e">
        <f t="shared" si="17"/>
        <v>#N/A</v>
      </c>
      <c r="AK91" s="24"/>
    </row>
    <row r="92" spans="1:37" ht="11.25" customHeight="1" x14ac:dyDescent="0.2">
      <c r="A92" s="28"/>
      <c r="B92" s="40" t="e">
        <f>MATCH(C92,'D1 - Master Project Table'!$D$1:$D$7056,0)</f>
        <v>#N/A</v>
      </c>
      <c r="C92" s="132" t="s">
        <v>6396</v>
      </c>
      <c r="D92" s="29" t="e">
        <f>INDEX('D1 - Master Project Table'!$A$1:$AK$7056,$B92,5)</f>
        <v>#N/A</v>
      </c>
      <c r="E92" s="29" t="e">
        <f>INDEX('D1 - Master Project Table'!$A$1:$AK$7056,$B92,6)</f>
        <v>#N/A</v>
      </c>
      <c r="F92" s="29" t="e">
        <f>INDEX('D1 - Master Project Table'!$A$1:$AK$7056,$B92,29)</f>
        <v>#N/A</v>
      </c>
      <c r="G92" s="29" t="e">
        <f>INDEX('D1 - Master Project Table'!$A$1:$AK$7012,$B92,8)</f>
        <v>#N/A</v>
      </c>
      <c r="H92" s="74"/>
      <c r="I92" s="34" t="e">
        <f t="shared" si="12"/>
        <v>#N/A</v>
      </c>
      <c r="J92" s="92"/>
      <c r="K92" s="42" t="e">
        <f t="shared" si="13"/>
        <v>#N/A</v>
      </c>
      <c r="L92" s="29" t="e">
        <f>INDEX('D1 - Master Project Table'!$A$1:$AK$7056,$B92,28)</f>
        <v>#N/A</v>
      </c>
      <c r="M92" s="42" t="e">
        <f t="shared" si="14"/>
        <v>#N/A</v>
      </c>
      <c r="N92" s="102" t="e">
        <f>INDEX('D1 - Master Project Table'!$A$1:$AK$7056,$B92,37)</f>
        <v>#N/A</v>
      </c>
      <c r="O92" s="94" t="e">
        <f>INDEX('D1 - Master Project Table'!$A$1:$AK$7056,$B92,36)</f>
        <v>#N/A</v>
      </c>
      <c r="P92" s="4" t="e">
        <f>INDEX('D1 - Master Project Table'!$A$1:$AK$7056,$B92,10)</f>
        <v>#N/A</v>
      </c>
      <c r="Q92" s="30" t="e">
        <f>INDEX('D1 - Master Project Table'!$A$1:$AK$7056,$B92,9)</f>
        <v>#N/A</v>
      </c>
      <c r="R92" s="96"/>
      <c r="S92" s="42" t="e">
        <f t="shared" si="15"/>
        <v>#N/A</v>
      </c>
      <c r="T92" s="30" t="e">
        <f>IF(Q92&gt;0,VLOOKUP(Q92,#REF!,16,TRUE),"NA")</f>
        <v>#N/A</v>
      </c>
      <c r="U92" s="96" t="e">
        <f>IF(Q92=0,"",VLOOKUP(S92,#REF!,1,TRUE))</f>
        <v>#N/A</v>
      </c>
      <c r="V92" s="96"/>
      <c r="W92" s="69" t="e">
        <f>INDEX('D1 - Master Project Table'!$A$1:$AK$7070,$B92,16)</f>
        <v>#N/A</v>
      </c>
      <c r="X92" s="69" t="e">
        <f>INDEX('D1 - Master Project Table'!$A$1:$AK$7070,$B92,17)</f>
        <v>#N/A</v>
      </c>
      <c r="Y92" s="69" t="e">
        <f>INDEX('D1 - Master Project Table'!$A$1:$AK$7070,$B92,18)</f>
        <v>#N/A</v>
      </c>
      <c r="Z92" s="97"/>
      <c r="AA92" s="69" t="e">
        <f t="shared" si="16"/>
        <v>#N/A</v>
      </c>
      <c r="AB92" s="30" t="e">
        <f>IF(Q92=0,"NA",VLOOKUP(Q92,#REF!,3,TRUE))</f>
        <v>#N/A</v>
      </c>
      <c r="AC92" s="90"/>
      <c r="AD92" s="29" t="e">
        <f t="shared" si="17"/>
        <v>#N/A</v>
      </c>
      <c r="AK92" s="24"/>
    </row>
    <row r="93" spans="1:37" ht="11.25" customHeight="1" x14ac:dyDescent="0.2">
      <c r="A93" s="28"/>
      <c r="B93" s="40" t="e">
        <f>MATCH(C93,'D1 - Master Project Table'!$D$1:$D$7056,0)</f>
        <v>#N/A</v>
      </c>
      <c r="C93" s="132" t="s">
        <v>6396</v>
      </c>
      <c r="D93" s="29" t="e">
        <f>INDEX('D1 - Master Project Table'!$A$1:$AK$7056,$B93,5)</f>
        <v>#N/A</v>
      </c>
      <c r="E93" s="29" t="e">
        <f>INDEX('D1 - Master Project Table'!$A$1:$AK$7056,$B93,6)</f>
        <v>#N/A</v>
      </c>
      <c r="F93" s="29" t="e">
        <f>INDEX('D1 - Master Project Table'!$A$1:$AK$7056,$B93,29)</f>
        <v>#N/A</v>
      </c>
      <c r="G93" s="29" t="e">
        <f>INDEX('D1 - Master Project Table'!$A$1:$AK$7012,$B93,8)</f>
        <v>#N/A</v>
      </c>
      <c r="H93" s="74"/>
      <c r="I93" s="34" t="e">
        <f t="shared" si="12"/>
        <v>#N/A</v>
      </c>
      <c r="J93" s="92"/>
      <c r="K93" s="42" t="e">
        <f t="shared" si="13"/>
        <v>#N/A</v>
      </c>
      <c r="L93" s="29" t="e">
        <f>INDEX('D1 - Master Project Table'!$A$1:$AK$7056,$B93,28)</f>
        <v>#N/A</v>
      </c>
      <c r="M93" s="42" t="e">
        <f t="shared" si="14"/>
        <v>#N/A</v>
      </c>
      <c r="N93" s="102" t="e">
        <f>INDEX('D1 - Master Project Table'!$A$1:$AK$7056,$B93,37)</f>
        <v>#N/A</v>
      </c>
      <c r="O93" s="94" t="e">
        <f>INDEX('D1 - Master Project Table'!$A$1:$AK$7056,$B93,36)</f>
        <v>#N/A</v>
      </c>
      <c r="P93" s="4" t="e">
        <f>INDEX('D1 - Master Project Table'!$A$1:$AK$7056,$B93,10)</f>
        <v>#N/A</v>
      </c>
      <c r="Q93" s="30" t="e">
        <f>INDEX('D1 - Master Project Table'!$A$1:$AK$7056,$B93,9)</f>
        <v>#N/A</v>
      </c>
      <c r="R93" s="96"/>
      <c r="S93" s="42" t="e">
        <f t="shared" si="15"/>
        <v>#N/A</v>
      </c>
      <c r="T93" s="30" t="e">
        <f>IF(Q93&gt;0,VLOOKUP(Q93,#REF!,16,TRUE),"NA")</f>
        <v>#N/A</v>
      </c>
      <c r="U93" s="96" t="e">
        <f>IF(Q93=0,"",VLOOKUP(S93,#REF!,1,TRUE))</f>
        <v>#N/A</v>
      </c>
      <c r="V93" s="96"/>
      <c r="W93" s="69" t="e">
        <f>INDEX('D1 - Master Project Table'!$A$1:$AK$7070,$B93,16)</f>
        <v>#N/A</v>
      </c>
      <c r="X93" s="69" t="e">
        <f>INDEX('D1 - Master Project Table'!$A$1:$AK$7070,$B93,17)</f>
        <v>#N/A</v>
      </c>
      <c r="Y93" s="69" t="e">
        <f>INDEX('D1 - Master Project Table'!$A$1:$AK$7070,$B93,18)</f>
        <v>#N/A</v>
      </c>
      <c r="Z93" s="97"/>
      <c r="AA93" s="69" t="e">
        <f t="shared" si="16"/>
        <v>#N/A</v>
      </c>
      <c r="AB93" s="30" t="e">
        <f>IF(Q93=0,"NA",VLOOKUP(Q93,#REF!,3,TRUE))</f>
        <v>#N/A</v>
      </c>
      <c r="AC93" s="90"/>
      <c r="AD93" s="29" t="e">
        <f t="shared" si="17"/>
        <v>#N/A</v>
      </c>
      <c r="AK93" s="24"/>
    </row>
    <row r="94" spans="1:37" ht="11.25" customHeight="1" x14ac:dyDescent="0.2">
      <c r="A94" s="28"/>
      <c r="B94" s="40" t="e">
        <f>MATCH(C94,'D1 - Master Project Table'!$D$1:$D$7056,0)</f>
        <v>#N/A</v>
      </c>
      <c r="C94" s="132" t="s">
        <v>6396</v>
      </c>
      <c r="D94" s="29" t="e">
        <f>INDEX('D1 - Master Project Table'!$A$1:$AK$7056,$B94,5)</f>
        <v>#N/A</v>
      </c>
      <c r="E94" s="29" t="e">
        <f>INDEX('D1 - Master Project Table'!$A$1:$AK$7056,$B94,6)</f>
        <v>#N/A</v>
      </c>
      <c r="F94" s="29" t="e">
        <f>INDEX('D1 - Master Project Table'!$A$1:$AK$7056,$B94,29)</f>
        <v>#N/A</v>
      </c>
      <c r="G94" s="29" t="e">
        <f>INDEX('D1 - Master Project Table'!$A$1:$AK$7012,$B94,8)</f>
        <v>#N/A</v>
      </c>
      <c r="H94" s="74"/>
      <c r="I94" s="34" t="e">
        <f t="shared" si="12"/>
        <v>#N/A</v>
      </c>
      <c r="J94" s="92"/>
      <c r="K94" s="42" t="e">
        <f t="shared" ref="K94:K98" si="18">IF(L94="Scheduled","Yes",IF(L94="In Estimating", "Yes","No"))</f>
        <v>#N/A</v>
      </c>
      <c r="L94" s="29" t="e">
        <f>INDEX('D1 - Master Project Table'!$A$1:$AK$7056,$B94,28)</f>
        <v>#N/A</v>
      </c>
      <c r="M94" s="42" t="e">
        <f t="shared" ref="M94:M98" si="19">IF(OR(N94="NA",N94="IP"),"No","Yes")</f>
        <v>#N/A</v>
      </c>
      <c r="N94" s="102" t="e">
        <f>INDEX('D1 - Master Project Table'!$A$1:$AK$7056,$B94,37)</f>
        <v>#N/A</v>
      </c>
      <c r="O94" s="94" t="e">
        <f>INDEX('D1 - Master Project Table'!$A$1:$AK$7056,$B94,36)</f>
        <v>#N/A</v>
      </c>
      <c r="P94" s="4" t="e">
        <f>INDEX('D1 - Master Project Table'!$A$1:$AK$7056,$B94,10)</f>
        <v>#N/A</v>
      </c>
      <c r="Q94" s="30" t="e">
        <f>INDEX('D1 - Master Project Table'!$A$1:$AK$7056,$B94,9)</f>
        <v>#N/A</v>
      </c>
      <c r="R94" s="96"/>
      <c r="S94" s="42" t="e">
        <f t="shared" ref="S94:S98" si="20">IF(Q94=0,"NA",$AA$6+T94)</f>
        <v>#N/A</v>
      </c>
      <c r="T94" s="30" t="e">
        <f>IF(Q94&gt;0,VLOOKUP(Q94,#REF!,16,TRUE),"NA")</f>
        <v>#N/A</v>
      </c>
      <c r="U94" s="96" t="e">
        <f>IF(Q94=0,"",VLOOKUP(S94,#REF!,1,TRUE))</f>
        <v>#N/A</v>
      </c>
      <c r="V94" s="96"/>
      <c r="W94" s="69" t="e">
        <f>INDEX('D1 - Master Project Table'!$A$1:$AK$7070,$B94,16)</f>
        <v>#N/A</v>
      </c>
      <c r="X94" s="69" t="e">
        <f>INDEX('D1 - Master Project Table'!$A$1:$AK$7070,$B94,17)</f>
        <v>#N/A</v>
      </c>
      <c r="Y94" s="69" t="e">
        <f>INDEX('D1 - Master Project Table'!$A$1:$AK$7070,$B94,18)</f>
        <v>#N/A</v>
      </c>
      <c r="Z94" s="97"/>
      <c r="AA94" s="69" t="e">
        <f t="shared" ref="AA94:AA98" si="21">IF(AB94="NA","NA",U94-AB94)</f>
        <v>#N/A</v>
      </c>
      <c r="AB94" s="30" t="e">
        <f>IF(Q94=0,"NA",VLOOKUP(Q94,#REF!,3,TRUE))</f>
        <v>#N/A</v>
      </c>
      <c r="AC94" s="90"/>
      <c r="AD94" s="29" t="e">
        <f t="shared" si="17"/>
        <v>#N/A</v>
      </c>
      <c r="AK94" s="24"/>
    </row>
    <row r="95" spans="1:37" ht="15.75" customHeight="1" x14ac:dyDescent="0.2">
      <c r="A95" s="28"/>
      <c r="B95" s="40" t="e">
        <f>MATCH(C95,'D1 - Master Project Table'!$D$1:$D$7056,0)</f>
        <v>#N/A</v>
      </c>
      <c r="C95" s="132" t="s">
        <v>6396</v>
      </c>
      <c r="D95" s="29" t="e">
        <f>INDEX('D1 - Master Project Table'!$A$1:$AK$7056,$B95,5)</f>
        <v>#N/A</v>
      </c>
      <c r="E95" s="29" t="e">
        <f>INDEX('D1 - Master Project Table'!$A$1:$AK$7056,$B95,6)</f>
        <v>#N/A</v>
      </c>
      <c r="F95" s="29" t="e">
        <f>INDEX('D1 - Master Project Table'!$A$1:$AK$7056,$B95,29)</f>
        <v>#N/A</v>
      </c>
      <c r="G95" s="29" t="e">
        <f>INDEX('D1 - Master Project Table'!$A$1:$AK$7012,$B95,8)</f>
        <v>#N/A</v>
      </c>
      <c r="H95" s="74"/>
      <c r="I95" s="34" t="e">
        <f t="shared" si="12"/>
        <v>#N/A</v>
      </c>
      <c r="J95" s="92"/>
      <c r="K95" s="42" t="e">
        <f t="shared" si="18"/>
        <v>#N/A</v>
      </c>
      <c r="L95" s="29" t="e">
        <f>INDEX('D1 - Master Project Table'!$A$1:$AK$7056,$B95,28)</f>
        <v>#N/A</v>
      </c>
      <c r="M95" s="42" t="e">
        <f t="shared" si="19"/>
        <v>#N/A</v>
      </c>
      <c r="N95" s="102" t="e">
        <f>INDEX('D1 - Master Project Table'!$A$1:$AK$7056,$B95,37)</f>
        <v>#N/A</v>
      </c>
      <c r="O95" s="94" t="e">
        <f>INDEX('D1 - Master Project Table'!$A$1:$AK$7056,$B95,36)</f>
        <v>#N/A</v>
      </c>
      <c r="P95" s="4" t="e">
        <f>INDEX('D1 - Master Project Table'!$A$1:$AK$7056,$B95,10)</f>
        <v>#N/A</v>
      </c>
      <c r="Q95" s="30" t="e">
        <f>INDEX('D1 - Master Project Table'!$A$1:$AK$7056,$B95,9)</f>
        <v>#N/A</v>
      </c>
      <c r="R95" s="96"/>
      <c r="S95" s="42" t="e">
        <f t="shared" si="20"/>
        <v>#N/A</v>
      </c>
      <c r="T95" s="30" t="e">
        <f>IF(Q95&gt;0,VLOOKUP(Q95,#REF!,16,TRUE),"NA")</f>
        <v>#N/A</v>
      </c>
      <c r="U95" s="96" t="e">
        <f>IF(Q95=0,"",VLOOKUP(S95,#REF!,1,TRUE))</f>
        <v>#N/A</v>
      </c>
      <c r="V95" s="96"/>
      <c r="W95" s="69" t="e">
        <f>INDEX('D1 - Master Project Table'!$A$1:$AK$7070,$B95,16)</f>
        <v>#N/A</v>
      </c>
      <c r="X95" s="69" t="e">
        <f>INDEX('D1 - Master Project Table'!$A$1:$AK$7070,$B95,17)</f>
        <v>#N/A</v>
      </c>
      <c r="Y95" s="69" t="e">
        <f>INDEX('D1 - Master Project Table'!$A$1:$AK$7070,$B95,18)</f>
        <v>#N/A</v>
      </c>
      <c r="Z95" s="97"/>
      <c r="AA95" s="69" t="e">
        <f t="shared" si="21"/>
        <v>#N/A</v>
      </c>
      <c r="AB95" s="30" t="e">
        <f>IF(Q95=0,"NA",VLOOKUP(Q95,#REF!,3,TRUE))</f>
        <v>#N/A</v>
      </c>
      <c r="AC95" s="90"/>
      <c r="AD95" s="29" t="e">
        <f t="shared" si="17"/>
        <v>#N/A</v>
      </c>
      <c r="AK95" s="24"/>
    </row>
    <row r="96" spans="1:37" ht="11.25" customHeight="1" x14ac:dyDescent="0.2">
      <c r="A96" s="28"/>
      <c r="B96" s="40" t="e">
        <f>MATCH(C96,'D1 - Master Project Table'!$D$1:$D$7056,0)</f>
        <v>#N/A</v>
      </c>
      <c r="C96" s="132" t="s">
        <v>6396</v>
      </c>
      <c r="D96" s="29" t="e">
        <f>INDEX('D1 - Master Project Table'!$A$1:$AK$7056,$B96,5)</f>
        <v>#N/A</v>
      </c>
      <c r="E96" s="29" t="e">
        <f>INDEX('D1 - Master Project Table'!$A$1:$AK$7056,$B96,6)</f>
        <v>#N/A</v>
      </c>
      <c r="F96" s="29" t="e">
        <f>INDEX('D1 - Master Project Table'!$A$1:$AK$7056,$B96,29)</f>
        <v>#N/A</v>
      </c>
      <c r="G96" s="29" t="e">
        <f>INDEX('D1 - Master Project Table'!$A$1:$AK$7012,$B96,8)</f>
        <v>#N/A</v>
      </c>
      <c r="H96" s="74"/>
      <c r="I96" s="34" t="e">
        <f t="shared" si="12"/>
        <v>#N/A</v>
      </c>
      <c r="J96" s="92"/>
      <c r="K96" s="42" t="e">
        <f t="shared" si="18"/>
        <v>#N/A</v>
      </c>
      <c r="L96" s="29" t="e">
        <f>INDEX('D1 - Master Project Table'!$A$1:$AK$7056,$B96,28)</f>
        <v>#N/A</v>
      </c>
      <c r="M96" s="42" t="e">
        <f t="shared" si="19"/>
        <v>#N/A</v>
      </c>
      <c r="N96" s="102" t="e">
        <f>INDEX('D1 - Master Project Table'!$A$1:$AK$7056,$B96,37)</f>
        <v>#N/A</v>
      </c>
      <c r="O96" s="94" t="e">
        <f>INDEX('D1 - Master Project Table'!$A$1:$AK$7056,$B96,36)</f>
        <v>#N/A</v>
      </c>
      <c r="P96" s="4" t="e">
        <f>INDEX('D1 - Master Project Table'!$A$1:$AK$7056,$B96,10)</f>
        <v>#N/A</v>
      </c>
      <c r="Q96" s="30" t="e">
        <f>INDEX('D1 - Master Project Table'!$A$1:$AK$7056,$B96,9)</f>
        <v>#N/A</v>
      </c>
      <c r="R96" s="96"/>
      <c r="S96" s="42" t="e">
        <f t="shared" si="20"/>
        <v>#N/A</v>
      </c>
      <c r="T96" s="30" t="e">
        <f>IF(Q96&gt;0,VLOOKUP(Q96,#REF!,16,TRUE),"NA")</f>
        <v>#N/A</v>
      </c>
      <c r="U96" s="96" t="e">
        <f>IF(Q96=0,"",VLOOKUP(S96,#REF!,1,TRUE))</f>
        <v>#N/A</v>
      </c>
      <c r="V96" s="96"/>
      <c r="W96" s="69" t="e">
        <f>INDEX('D1 - Master Project Table'!$A$1:$AK$7070,$B96,16)</f>
        <v>#N/A</v>
      </c>
      <c r="X96" s="69" t="e">
        <f>INDEX('D1 - Master Project Table'!$A$1:$AK$7070,$B96,17)</f>
        <v>#N/A</v>
      </c>
      <c r="Y96" s="69" t="e">
        <f>INDEX('D1 - Master Project Table'!$A$1:$AK$7070,$B96,18)</f>
        <v>#N/A</v>
      </c>
      <c r="Z96" s="97"/>
      <c r="AA96" s="69" t="e">
        <f t="shared" si="21"/>
        <v>#N/A</v>
      </c>
      <c r="AB96" s="30" t="e">
        <f>IF(Q96=0,"NA",VLOOKUP(Q96,#REF!,3,TRUE))</f>
        <v>#N/A</v>
      </c>
      <c r="AC96" s="90"/>
      <c r="AD96" s="29" t="e">
        <f t="shared" si="17"/>
        <v>#N/A</v>
      </c>
      <c r="AK96" s="24"/>
    </row>
    <row r="97" spans="1:37" ht="11.25" customHeight="1" x14ac:dyDescent="0.2">
      <c r="A97" s="28"/>
      <c r="B97" s="40" t="e">
        <f>MATCH(C97,'D1 - Master Project Table'!$D$1:$D$7056,0)</f>
        <v>#N/A</v>
      </c>
      <c r="C97" s="132" t="s">
        <v>6396</v>
      </c>
      <c r="D97" s="29" t="e">
        <f>INDEX('D1 - Master Project Table'!$A$1:$AK$7056,$B97,5)</f>
        <v>#N/A</v>
      </c>
      <c r="E97" s="29" t="e">
        <f>INDEX('D1 - Master Project Table'!$A$1:$AK$7056,$B97,6)</f>
        <v>#N/A</v>
      </c>
      <c r="F97" s="29" t="e">
        <f>INDEX('D1 - Master Project Table'!$A$1:$AK$7056,$B97,29)</f>
        <v>#N/A</v>
      </c>
      <c r="G97" s="29" t="e">
        <f>INDEX('D1 - Master Project Table'!$A$1:$AK$7012,$B97,8)</f>
        <v>#N/A</v>
      </c>
      <c r="H97" s="74"/>
      <c r="I97" s="34" t="e">
        <f t="shared" si="12"/>
        <v>#N/A</v>
      </c>
      <c r="J97" s="92"/>
      <c r="K97" s="42" t="e">
        <f t="shared" si="18"/>
        <v>#N/A</v>
      </c>
      <c r="L97" s="29" t="e">
        <f>INDEX('D1 - Master Project Table'!$A$1:$AK$7056,$B97,28)</f>
        <v>#N/A</v>
      </c>
      <c r="M97" s="42" t="e">
        <f t="shared" si="19"/>
        <v>#N/A</v>
      </c>
      <c r="N97" s="102" t="e">
        <f>INDEX('D1 - Master Project Table'!$A$1:$AK$7056,$B97,37)</f>
        <v>#N/A</v>
      </c>
      <c r="O97" s="94" t="e">
        <f>INDEX('D1 - Master Project Table'!$A$1:$AK$7056,$B97,36)</f>
        <v>#N/A</v>
      </c>
      <c r="P97" s="4" t="e">
        <f>INDEX('D1 - Master Project Table'!$A$1:$AK$7056,$B97,10)</f>
        <v>#N/A</v>
      </c>
      <c r="Q97" s="30" t="e">
        <f>INDEX('D1 - Master Project Table'!$A$1:$AK$7056,$B97,9)</f>
        <v>#N/A</v>
      </c>
      <c r="R97" s="96"/>
      <c r="S97" s="42" t="e">
        <f t="shared" si="20"/>
        <v>#N/A</v>
      </c>
      <c r="T97" s="30" t="e">
        <f>IF(Q97&gt;0,VLOOKUP(Q97,#REF!,16,TRUE),"NA")</f>
        <v>#N/A</v>
      </c>
      <c r="U97" s="96" t="e">
        <f>IF(Q97=0,"",VLOOKUP(S97,#REF!,1,TRUE))</f>
        <v>#N/A</v>
      </c>
      <c r="V97" s="96"/>
      <c r="W97" s="69" t="e">
        <f>INDEX('D1 - Master Project Table'!$A$1:$AK$7070,$B97,16)</f>
        <v>#N/A</v>
      </c>
      <c r="X97" s="69" t="e">
        <f>INDEX('D1 - Master Project Table'!$A$1:$AK$7070,$B97,17)</f>
        <v>#N/A</v>
      </c>
      <c r="Y97" s="69" t="e">
        <f>INDEX('D1 - Master Project Table'!$A$1:$AK$7070,$B97,18)</f>
        <v>#N/A</v>
      </c>
      <c r="Z97" s="97"/>
      <c r="AA97" s="69" t="e">
        <f t="shared" si="21"/>
        <v>#N/A</v>
      </c>
      <c r="AB97" s="30" t="e">
        <f>IF(Q97=0,"NA",VLOOKUP(Q97,#REF!,3,TRUE))</f>
        <v>#N/A</v>
      </c>
      <c r="AC97" s="90"/>
      <c r="AD97" s="29" t="e">
        <f t="shared" si="17"/>
        <v>#N/A</v>
      </c>
      <c r="AK97" s="24"/>
    </row>
    <row r="98" spans="1:37" ht="11.25" customHeight="1" x14ac:dyDescent="0.2">
      <c r="A98" s="225"/>
      <c r="B98" s="40" t="e">
        <f>MATCH(C98,'D1 - Master Project Table'!$D$1:$D$7056,0)</f>
        <v>#N/A</v>
      </c>
      <c r="C98" s="132" t="s">
        <v>6396</v>
      </c>
      <c r="D98" s="29" t="e">
        <f>INDEX('D1 - Master Project Table'!$A$1:$AK$7056,$B98,5)</f>
        <v>#N/A</v>
      </c>
      <c r="E98" s="29" t="e">
        <f>INDEX('D1 - Master Project Table'!$A$1:$AK$7056,$B98,6)</f>
        <v>#N/A</v>
      </c>
      <c r="F98" s="29" t="e">
        <f>INDEX('D1 - Master Project Table'!$A$1:$AK$7056,$B98,29)</f>
        <v>#N/A</v>
      </c>
      <c r="G98" s="29" t="e">
        <f>INDEX('D1 - Master Project Table'!$A$1:$AK$7012,$B98,8)</f>
        <v>#N/A</v>
      </c>
      <c r="H98" s="74"/>
      <c r="I98" s="34" t="e">
        <f t="shared" si="12"/>
        <v>#N/A</v>
      </c>
      <c r="J98" s="92"/>
      <c r="K98" s="42" t="e">
        <f t="shared" si="18"/>
        <v>#N/A</v>
      </c>
      <c r="L98" s="29" t="e">
        <f>INDEX('D1 - Master Project Table'!$A$1:$AK$7056,$B98,28)</f>
        <v>#N/A</v>
      </c>
      <c r="M98" s="42" t="e">
        <f t="shared" si="19"/>
        <v>#N/A</v>
      </c>
      <c r="N98" s="102" t="e">
        <f>INDEX('D1 - Master Project Table'!$A$1:$AK$7056,$B98,37)</f>
        <v>#N/A</v>
      </c>
      <c r="O98" s="94" t="e">
        <f>INDEX('D1 - Master Project Table'!$A$1:$AK$7056,$B98,36)</f>
        <v>#N/A</v>
      </c>
      <c r="P98" s="4" t="e">
        <f>INDEX('D1 - Master Project Table'!$A$1:$AK$7056,$B98,10)</f>
        <v>#N/A</v>
      </c>
      <c r="Q98" s="30" t="e">
        <f>INDEX('D1 - Master Project Table'!$A$1:$AK$7056,$B98,9)</f>
        <v>#N/A</v>
      </c>
      <c r="R98" s="96"/>
      <c r="S98" s="42" t="e">
        <f t="shared" si="20"/>
        <v>#N/A</v>
      </c>
      <c r="T98" s="30" t="e">
        <f>IF(Q98&gt;0,VLOOKUP(Q98,#REF!,16,TRUE),"NA")</f>
        <v>#N/A</v>
      </c>
      <c r="U98" s="96" t="e">
        <f>IF(Q98=0,"",VLOOKUP(S98,#REF!,1,TRUE))</f>
        <v>#N/A</v>
      </c>
      <c r="V98" s="96"/>
      <c r="W98" s="69" t="e">
        <f>INDEX('D1 - Master Project Table'!$A$1:$AK$7070,$B98,16)</f>
        <v>#N/A</v>
      </c>
      <c r="X98" s="69" t="e">
        <f>INDEX('D1 - Master Project Table'!$A$1:$AK$7070,$B98,17)</f>
        <v>#N/A</v>
      </c>
      <c r="Y98" s="69" t="e">
        <f>INDEX('D1 - Master Project Table'!$A$1:$AK$7070,$B98,18)</f>
        <v>#N/A</v>
      </c>
      <c r="Z98" s="97"/>
      <c r="AA98" s="69" t="e">
        <f t="shared" si="21"/>
        <v>#N/A</v>
      </c>
      <c r="AB98" s="30" t="e">
        <f>IF(Q98=0,"NA",VLOOKUP(Q98,#REF!,3,TRUE))</f>
        <v>#N/A</v>
      </c>
      <c r="AC98" s="90"/>
      <c r="AD98" s="29" t="e">
        <f t="shared" si="17"/>
        <v>#N/A</v>
      </c>
      <c r="AK98" s="24"/>
    </row>
  </sheetData>
  <autoFilter ref="A10:AK98"/>
  <sortState ref="A11:XFD113">
    <sortCondition ref="G11"/>
    <sortCondition ref="H11"/>
    <sortCondition ref="J11"/>
  </sortState>
  <mergeCells count="5">
    <mergeCell ref="Z9:AB9"/>
    <mergeCell ref="R9:Y9"/>
    <mergeCell ref="K9:L9"/>
    <mergeCell ref="M9:O9"/>
    <mergeCell ref="P9:Q9"/>
  </mergeCells>
  <phoneticPr fontId="5" type="noConversion"/>
  <conditionalFormatting sqref="C25:C26 C29 C32 C11:C19">
    <cfRule type="cellIs" dxfId="1440" priority="2406" stopIfTrue="1" operator="equal">
      <formula>#REF!</formula>
    </cfRule>
  </conditionalFormatting>
  <conditionalFormatting sqref="A10:B10 B29 B32 B11:B20 B23:B26">
    <cfRule type="cellIs" dxfId="1439" priority="2407" stopIfTrue="1" operator="equal">
      <formula>#REF!</formula>
    </cfRule>
  </conditionalFormatting>
  <conditionalFormatting sqref="C10">
    <cfRule type="cellIs" dxfId="1438" priority="2408" stopIfTrue="1" operator="equal">
      <formula>#REF!</formula>
    </cfRule>
  </conditionalFormatting>
  <conditionalFormatting sqref="Z17 Z51 Z28:Z29 Z53 Z46:Z47 Z32 Z19:Z20 Z10:Z15 Z81 Z71:Z72 Z43:Z44 Z58 Z56 Z23:Z26 Z78 Z37:Z41">
    <cfRule type="cellIs" dxfId="1437" priority="2409" stopIfTrue="1" operator="greaterThan">
      <formula>AA10</formula>
    </cfRule>
  </conditionalFormatting>
  <conditionalFormatting sqref="W43:Y43 AA43 W29:Y29 AA29 W58:Y58 AA58 W53:Y53 AA53 W32:Y32 AA32 W10:Y20 AA10:AA20 W23:Y26 AA23:AA26 W37:Y41 AA37:AA41">
    <cfRule type="cellIs" dxfId="1436" priority="2410" stopIfTrue="1" operator="equal">
      <formula>"1 - Hard Load"</formula>
    </cfRule>
    <cfRule type="cellIs" dxfId="1435" priority="2411" stopIfTrue="1" operator="equal">
      <formula>"3 - Not Loaded"</formula>
    </cfRule>
    <cfRule type="cellIs" dxfId="1434" priority="2412" stopIfTrue="1" operator="equal">
      <formula>"2 - Soft Load"</formula>
    </cfRule>
  </conditionalFormatting>
  <conditionalFormatting sqref="R43 K43 I43 M43 R29 K29 I29 M29 R58 K58 I58 M58 R53 K53 I53 M53 R32 K32 I32 M32 R10:R20 K10:K20 I10:I20 M10:M20 R23:R26 K23:K26 I23:I26 M23:M26 R37:R41 K37:K41 I37:I41 M37:M41">
    <cfRule type="cellIs" dxfId="1433" priority="2413" stopIfTrue="1" operator="equal">
      <formula>"Yes"</formula>
    </cfRule>
    <cfRule type="cellIs" dxfId="1432" priority="2414" stopIfTrue="1" operator="equal">
      <formula>"No"</formula>
    </cfRule>
  </conditionalFormatting>
  <conditionalFormatting sqref="P43 P29 P58 P53 P32 P10:P20 P23:P26 P37:P41">
    <cfRule type="cellIs" dxfId="1431" priority="2415" stopIfTrue="1" operator="equal">
      <formula>"Lockdown"</formula>
    </cfRule>
    <cfRule type="cellIs" dxfId="1430" priority="2416" stopIfTrue="1" operator="equal">
      <formula>"OOM"</formula>
    </cfRule>
    <cfRule type="cellIs" dxfId="1429" priority="2417" stopIfTrue="1" operator="equal">
      <formula>"Placeholder"</formula>
    </cfRule>
  </conditionalFormatting>
  <conditionalFormatting sqref="Z16">
    <cfRule type="cellIs" dxfId="1428" priority="1823" stopIfTrue="1" operator="greaterThan">
      <formula>AA16</formula>
    </cfRule>
  </conditionalFormatting>
  <conditionalFormatting sqref="Z18">
    <cfRule type="cellIs" dxfId="1427" priority="1537" stopIfTrue="1" operator="greaterThan">
      <formula>AA18</formula>
    </cfRule>
  </conditionalFormatting>
  <conditionalFormatting sqref="C21 C43 C37:C39">
    <cfRule type="cellIs" dxfId="1426" priority="1249" stopIfTrue="1" operator="equal">
      <formula>#REF!</formula>
    </cfRule>
  </conditionalFormatting>
  <conditionalFormatting sqref="B21 B43 B37:B39">
    <cfRule type="cellIs" dxfId="1425" priority="1250" stopIfTrue="1" operator="equal">
      <formula>#REF!</formula>
    </cfRule>
  </conditionalFormatting>
  <conditionalFormatting sqref="Z21">
    <cfRule type="cellIs" dxfId="1424" priority="1251" stopIfTrue="1" operator="greaterThan">
      <formula>AA21</formula>
    </cfRule>
  </conditionalFormatting>
  <conditionalFormatting sqref="W21:Y21 AA21">
    <cfRule type="cellIs" dxfId="1423" priority="1252" stopIfTrue="1" operator="equal">
      <formula>"1 - Hard Load"</formula>
    </cfRule>
    <cfRule type="cellIs" dxfId="1422" priority="1253" stopIfTrue="1" operator="equal">
      <formula>"3 - Not Loaded"</formula>
    </cfRule>
    <cfRule type="cellIs" dxfId="1421" priority="1254" stopIfTrue="1" operator="equal">
      <formula>"2 - Soft Load"</formula>
    </cfRule>
  </conditionalFormatting>
  <conditionalFormatting sqref="R21 K21 I21 M21">
    <cfRule type="cellIs" dxfId="1420" priority="1255" stopIfTrue="1" operator="equal">
      <formula>"Yes"</formula>
    </cfRule>
    <cfRule type="cellIs" dxfId="1419" priority="1256" stopIfTrue="1" operator="equal">
      <formula>"No"</formula>
    </cfRule>
  </conditionalFormatting>
  <conditionalFormatting sqref="P21">
    <cfRule type="cellIs" dxfId="1418" priority="1257" stopIfTrue="1" operator="equal">
      <formula>"Lockdown"</formula>
    </cfRule>
    <cfRule type="cellIs" dxfId="1417" priority="1258" stopIfTrue="1" operator="equal">
      <formula>"OOM"</formula>
    </cfRule>
    <cfRule type="cellIs" dxfId="1416" priority="1259" stopIfTrue="1" operator="equal">
      <formula>"Placeholder"</formula>
    </cfRule>
  </conditionalFormatting>
  <conditionalFormatting sqref="C22 C58 C53 C40:C41">
    <cfRule type="cellIs" dxfId="1415" priority="1238" stopIfTrue="1" operator="equal">
      <formula>#REF!</formula>
    </cfRule>
  </conditionalFormatting>
  <conditionalFormatting sqref="B22 B58 B53 B40:B41">
    <cfRule type="cellIs" dxfId="1414" priority="1239" stopIfTrue="1" operator="equal">
      <formula>#REF!</formula>
    </cfRule>
  </conditionalFormatting>
  <conditionalFormatting sqref="Z22">
    <cfRule type="cellIs" dxfId="1413" priority="1240" stopIfTrue="1" operator="greaterThan">
      <formula>AA22</formula>
    </cfRule>
  </conditionalFormatting>
  <conditionalFormatting sqref="W22:Y22 AA22">
    <cfRule type="cellIs" dxfId="1412" priority="1241" stopIfTrue="1" operator="equal">
      <formula>"1 - Hard Load"</formula>
    </cfRule>
    <cfRule type="cellIs" dxfId="1411" priority="1242" stopIfTrue="1" operator="equal">
      <formula>"3 - Not Loaded"</formula>
    </cfRule>
    <cfRule type="cellIs" dxfId="1410" priority="1243" stopIfTrue="1" operator="equal">
      <formula>"2 - Soft Load"</formula>
    </cfRule>
  </conditionalFormatting>
  <conditionalFormatting sqref="R22 K22 I22 M22">
    <cfRule type="cellIs" dxfId="1409" priority="1244" stopIfTrue="1" operator="equal">
      <formula>"Yes"</formula>
    </cfRule>
    <cfRule type="cellIs" dxfId="1408" priority="1245" stopIfTrue="1" operator="equal">
      <formula>"No"</formula>
    </cfRule>
  </conditionalFormatting>
  <conditionalFormatting sqref="P22">
    <cfRule type="cellIs" dxfId="1407" priority="1246" stopIfTrue="1" operator="equal">
      <formula>"Lockdown"</formula>
    </cfRule>
    <cfRule type="cellIs" dxfId="1406" priority="1247" stopIfTrue="1" operator="equal">
      <formula>"OOM"</formula>
    </cfRule>
    <cfRule type="cellIs" dxfId="1405" priority="1248" stopIfTrue="1" operator="equal">
      <formula>"Placeholder"</formula>
    </cfRule>
  </conditionalFormatting>
  <conditionalFormatting sqref="C23">
    <cfRule type="cellIs" dxfId="1404" priority="1227" stopIfTrue="1" operator="equal">
      <formula>#REF!</formula>
    </cfRule>
  </conditionalFormatting>
  <conditionalFormatting sqref="C20">
    <cfRule type="cellIs" dxfId="1403" priority="1190" stopIfTrue="1" operator="equal">
      <formula>C1046514</formula>
    </cfRule>
  </conditionalFormatting>
  <conditionalFormatting sqref="C20">
    <cfRule type="cellIs" dxfId="1402" priority="1193" stopIfTrue="1" operator="equal">
      <formula>C1046511</formula>
    </cfRule>
  </conditionalFormatting>
  <conditionalFormatting sqref="C24">
    <cfRule type="cellIs" dxfId="1401" priority="1104" stopIfTrue="1" operator="equal">
      <formula>C1046538</formula>
    </cfRule>
  </conditionalFormatting>
  <conditionalFormatting sqref="C27">
    <cfRule type="cellIs" dxfId="1400" priority="1035" stopIfTrue="1" operator="equal">
      <formula>#REF!</formula>
    </cfRule>
  </conditionalFormatting>
  <conditionalFormatting sqref="B27">
    <cfRule type="cellIs" dxfId="1399" priority="1036" stopIfTrue="1" operator="equal">
      <formula>#REF!</formula>
    </cfRule>
  </conditionalFormatting>
  <conditionalFormatting sqref="Z27">
    <cfRule type="cellIs" dxfId="1398" priority="1037" stopIfTrue="1" operator="greaterThan">
      <formula>AA27</formula>
    </cfRule>
  </conditionalFormatting>
  <conditionalFormatting sqref="W27:Y27 AA27">
    <cfRule type="cellIs" dxfId="1397" priority="1038" stopIfTrue="1" operator="equal">
      <formula>"1 - Hard Load"</formula>
    </cfRule>
    <cfRule type="cellIs" dxfId="1396" priority="1039" stopIfTrue="1" operator="equal">
      <formula>"3 - Not Loaded"</formula>
    </cfRule>
    <cfRule type="cellIs" dxfId="1395" priority="1040" stopIfTrue="1" operator="equal">
      <formula>"2 - Soft Load"</formula>
    </cfRule>
  </conditionalFormatting>
  <conditionalFormatting sqref="R27 K27 I27 M27">
    <cfRule type="cellIs" dxfId="1394" priority="1041" stopIfTrue="1" operator="equal">
      <formula>"Yes"</formula>
    </cfRule>
    <cfRule type="cellIs" dxfId="1393" priority="1042" stopIfTrue="1" operator="equal">
      <formula>"No"</formula>
    </cfRule>
  </conditionalFormatting>
  <conditionalFormatting sqref="P27">
    <cfRule type="cellIs" dxfId="1392" priority="1043" stopIfTrue="1" operator="equal">
      <formula>"Lockdown"</formula>
    </cfRule>
    <cfRule type="cellIs" dxfId="1391" priority="1044" stopIfTrue="1" operator="equal">
      <formula>"OOM"</formula>
    </cfRule>
    <cfRule type="cellIs" dxfId="1390" priority="1045" stopIfTrue="1" operator="equal">
      <formula>"Placeholder"</formula>
    </cfRule>
  </conditionalFormatting>
  <conditionalFormatting sqref="C28">
    <cfRule type="cellIs" dxfId="1389" priority="1024" stopIfTrue="1" operator="equal">
      <formula>#REF!</formula>
    </cfRule>
  </conditionalFormatting>
  <conditionalFormatting sqref="B28">
    <cfRule type="cellIs" dxfId="1388" priority="1025" stopIfTrue="1" operator="equal">
      <formula>#REF!</formula>
    </cfRule>
  </conditionalFormatting>
  <conditionalFormatting sqref="W28:Y28 AA28">
    <cfRule type="cellIs" dxfId="1387" priority="1027" stopIfTrue="1" operator="equal">
      <formula>"1 - Hard Load"</formula>
    </cfRule>
    <cfRule type="cellIs" dxfId="1386" priority="1028" stopIfTrue="1" operator="equal">
      <formula>"3 - Not Loaded"</formula>
    </cfRule>
    <cfRule type="cellIs" dxfId="1385" priority="1029" stopIfTrue="1" operator="equal">
      <formula>"2 - Soft Load"</formula>
    </cfRule>
  </conditionalFormatting>
  <conditionalFormatting sqref="R28 K28 I28 M28">
    <cfRule type="cellIs" dxfId="1384" priority="1030" stopIfTrue="1" operator="equal">
      <formula>"Yes"</formula>
    </cfRule>
    <cfRule type="cellIs" dxfId="1383" priority="1031" stopIfTrue="1" operator="equal">
      <formula>"No"</formula>
    </cfRule>
  </conditionalFormatting>
  <conditionalFormatting sqref="P28">
    <cfRule type="cellIs" dxfId="1382" priority="1032" stopIfTrue="1" operator="equal">
      <formula>"Lockdown"</formula>
    </cfRule>
    <cfRule type="cellIs" dxfId="1381" priority="1033" stopIfTrue="1" operator="equal">
      <formula>"OOM"</formula>
    </cfRule>
    <cfRule type="cellIs" dxfId="1380" priority="1034" stopIfTrue="1" operator="equal">
      <formula>"Placeholder"</formula>
    </cfRule>
  </conditionalFormatting>
  <conditionalFormatting sqref="C24">
    <cfRule type="cellIs" dxfId="1379" priority="9366" stopIfTrue="1" operator="equal">
      <formula>C1046535</formula>
    </cfRule>
  </conditionalFormatting>
  <conditionalFormatting sqref="C30">
    <cfRule type="cellIs" dxfId="1378" priority="936" stopIfTrue="1" operator="equal">
      <formula>#REF!</formula>
    </cfRule>
  </conditionalFormatting>
  <conditionalFormatting sqref="B30">
    <cfRule type="cellIs" dxfId="1377" priority="937" stopIfTrue="1" operator="equal">
      <formula>#REF!</formula>
    </cfRule>
  </conditionalFormatting>
  <conditionalFormatting sqref="Z30">
    <cfRule type="cellIs" dxfId="1376" priority="938" stopIfTrue="1" operator="greaterThan">
      <formula>AA30</formula>
    </cfRule>
  </conditionalFormatting>
  <conditionalFormatting sqref="W30:Y30 AA30">
    <cfRule type="cellIs" dxfId="1375" priority="939" stopIfTrue="1" operator="equal">
      <formula>"1 - Hard Load"</formula>
    </cfRule>
    <cfRule type="cellIs" dxfId="1374" priority="940" stopIfTrue="1" operator="equal">
      <formula>"3 - Not Loaded"</formula>
    </cfRule>
    <cfRule type="cellIs" dxfId="1373" priority="941" stopIfTrue="1" operator="equal">
      <formula>"2 - Soft Load"</formula>
    </cfRule>
  </conditionalFormatting>
  <conditionalFormatting sqref="R30 K30 I30 M30">
    <cfRule type="cellIs" dxfId="1372" priority="942" stopIfTrue="1" operator="equal">
      <formula>"Yes"</formula>
    </cfRule>
    <cfRule type="cellIs" dxfId="1371" priority="943" stopIfTrue="1" operator="equal">
      <formula>"No"</formula>
    </cfRule>
  </conditionalFormatting>
  <conditionalFormatting sqref="P30">
    <cfRule type="cellIs" dxfId="1370" priority="944" stopIfTrue="1" operator="equal">
      <formula>"Lockdown"</formula>
    </cfRule>
    <cfRule type="cellIs" dxfId="1369" priority="945" stopIfTrue="1" operator="equal">
      <formula>"OOM"</formula>
    </cfRule>
    <cfRule type="cellIs" dxfId="1368" priority="946" stopIfTrue="1" operator="equal">
      <formula>"Placeholder"</formula>
    </cfRule>
  </conditionalFormatting>
  <conditionalFormatting sqref="C31">
    <cfRule type="cellIs" dxfId="1367" priority="925" stopIfTrue="1" operator="equal">
      <formula>#REF!</formula>
    </cfRule>
  </conditionalFormatting>
  <conditionalFormatting sqref="B31">
    <cfRule type="cellIs" dxfId="1366" priority="926" stopIfTrue="1" operator="equal">
      <formula>#REF!</formula>
    </cfRule>
  </conditionalFormatting>
  <conditionalFormatting sqref="Z31">
    <cfRule type="cellIs" dxfId="1365" priority="927" stopIfTrue="1" operator="greaterThan">
      <formula>AA31</formula>
    </cfRule>
  </conditionalFormatting>
  <conditionalFormatting sqref="W31:Y31 AA31">
    <cfRule type="cellIs" dxfId="1364" priority="928" stopIfTrue="1" operator="equal">
      <formula>"1 - Hard Load"</formula>
    </cfRule>
    <cfRule type="cellIs" dxfId="1363" priority="929" stopIfTrue="1" operator="equal">
      <formula>"3 - Not Loaded"</formula>
    </cfRule>
    <cfRule type="cellIs" dxfId="1362" priority="930" stopIfTrue="1" operator="equal">
      <formula>"2 - Soft Load"</formula>
    </cfRule>
  </conditionalFormatting>
  <conditionalFormatting sqref="R31 K31 I31 M31">
    <cfRule type="cellIs" dxfId="1361" priority="931" stopIfTrue="1" operator="equal">
      <formula>"Yes"</formula>
    </cfRule>
    <cfRule type="cellIs" dxfId="1360" priority="932" stopIfTrue="1" operator="equal">
      <formula>"No"</formula>
    </cfRule>
  </conditionalFormatting>
  <conditionalFormatting sqref="P31">
    <cfRule type="cellIs" dxfId="1359" priority="933" stopIfTrue="1" operator="equal">
      <formula>"Lockdown"</formula>
    </cfRule>
    <cfRule type="cellIs" dxfId="1358" priority="934" stopIfTrue="1" operator="equal">
      <formula>"OOM"</formula>
    </cfRule>
    <cfRule type="cellIs" dxfId="1357" priority="935" stopIfTrue="1" operator="equal">
      <formula>"Placeholder"</formula>
    </cfRule>
  </conditionalFormatting>
  <conditionalFormatting sqref="C33">
    <cfRule type="cellIs" dxfId="1356" priority="837" stopIfTrue="1" operator="equal">
      <formula>#REF!</formula>
    </cfRule>
  </conditionalFormatting>
  <conditionalFormatting sqref="B33">
    <cfRule type="cellIs" dxfId="1355" priority="838" stopIfTrue="1" operator="equal">
      <formula>#REF!</formula>
    </cfRule>
  </conditionalFormatting>
  <conditionalFormatting sqref="Z33">
    <cfRule type="cellIs" dxfId="1354" priority="839" stopIfTrue="1" operator="greaterThan">
      <formula>AA33</formula>
    </cfRule>
  </conditionalFormatting>
  <conditionalFormatting sqref="W33:Y33 AA33">
    <cfRule type="cellIs" dxfId="1353" priority="840" stopIfTrue="1" operator="equal">
      <formula>"1 - Hard Load"</formula>
    </cfRule>
    <cfRule type="cellIs" dxfId="1352" priority="841" stopIfTrue="1" operator="equal">
      <formula>"3 - Not Loaded"</formula>
    </cfRule>
    <cfRule type="cellIs" dxfId="1351" priority="842" stopIfTrue="1" operator="equal">
      <formula>"2 - Soft Load"</formula>
    </cfRule>
  </conditionalFormatting>
  <conditionalFormatting sqref="R33 K33 I33 M33">
    <cfRule type="cellIs" dxfId="1350" priority="843" stopIfTrue="1" operator="equal">
      <formula>"Yes"</formula>
    </cfRule>
    <cfRule type="cellIs" dxfId="1349" priority="844" stopIfTrue="1" operator="equal">
      <formula>"No"</formula>
    </cfRule>
  </conditionalFormatting>
  <conditionalFormatting sqref="P33">
    <cfRule type="cellIs" dxfId="1348" priority="845" stopIfTrue="1" operator="equal">
      <formula>"Lockdown"</formula>
    </cfRule>
    <cfRule type="cellIs" dxfId="1347" priority="846" stopIfTrue="1" operator="equal">
      <formula>"OOM"</formula>
    </cfRule>
    <cfRule type="cellIs" dxfId="1346" priority="847" stopIfTrue="1" operator="equal">
      <formula>"Placeholder"</formula>
    </cfRule>
  </conditionalFormatting>
  <conditionalFormatting sqref="C34:C35">
    <cfRule type="cellIs" dxfId="1345" priority="793" stopIfTrue="1" operator="equal">
      <formula>#REF!</formula>
    </cfRule>
  </conditionalFormatting>
  <conditionalFormatting sqref="B34:B35">
    <cfRule type="cellIs" dxfId="1344" priority="794" stopIfTrue="1" operator="equal">
      <formula>#REF!</formula>
    </cfRule>
  </conditionalFormatting>
  <conditionalFormatting sqref="Z34:Z35">
    <cfRule type="cellIs" dxfId="1343" priority="795" stopIfTrue="1" operator="greaterThan">
      <formula>AA34</formula>
    </cfRule>
  </conditionalFormatting>
  <conditionalFormatting sqref="W34:Y35 AA34:AA35">
    <cfRule type="cellIs" dxfId="1342" priority="796" stopIfTrue="1" operator="equal">
      <formula>"1 - Hard Load"</formula>
    </cfRule>
    <cfRule type="cellIs" dxfId="1341" priority="797" stopIfTrue="1" operator="equal">
      <formula>"3 - Not Loaded"</formula>
    </cfRule>
    <cfRule type="cellIs" dxfId="1340" priority="798" stopIfTrue="1" operator="equal">
      <formula>"2 - Soft Load"</formula>
    </cfRule>
  </conditionalFormatting>
  <conditionalFormatting sqref="R34:R35 K34:K35 I34:I35 M34:M35">
    <cfRule type="cellIs" dxfId="1339" priority="799" stopIfTrue="1" operator="equal">
      <formula>"Yes"</formula>
    </cfRule>
    <cfRule type="cellIs" dxfId="1338" priority="800" stopIfTrue="1" operator="equal">
      <formula>"No"</formula>
    </cfRule>
  </conditionalFormatting>
  <conditionalFormatting sqref="P34:P35">
    <cfRule type="cellIs" dxfId="1337" priority="801" stopIfTrue="1" operator="equal">
      <formula>"Lockdown"</formula>
    </cfRule>
    <cfRule type="cellIs" dxfId="1336" priority="802" stopIfTrue="1" operator="equal">
      <formula>"OOM"</formula>
    </cfRule>
    <cfRule type="cellIs" dxfId="1335" priority="803" stopIfTrue="1" operator="equal">
      <formula>"Placeholder"</formula>
    </cfRule>
  </conditionalFormatting>
  <conditionalFormatting sqref="C36">
    <cfRule type="cellIs" dxfId="1334" priority="782" stopIfTrue="1" operator="equal">
      <formula>#REF!</formula>
    </cfRule>
  </conditionalFormatting>
  <conditionalFormatting sqref="B36">
    <cfRule type="cellIs" dxfId="1333" priority="783" stopIfTrue="1" operator="equal">
      <formula>#REF!</formula>
    </cfRule>
  </conditionalFormatting>
  <conditionalFormatting sqref="Z36">
    <cfRule type="cellIs" dxfId="1332" priority="784" stopIfTrue="1" operator="greaterThan">
      <formula>AA36</formula>
    </cfRule>
  </conditionalFormatting>
  <conditionalFormatting sqref="W36:Y36 AA36">
    <cfRule type="cellIs" dxfId="1331" priority="785" stopIfTrue="1" operator="equal">
      <formula>"1 - Hard Load"</formula>
    </cfRule>
    <cfRule type="cellIs" dxfId="1330" priority="786" stopIfTrue="1" operator="equal">
      <formula>"3 - Not Loaded"</formula>
    </cfRule>
    <cfRule type="cellIs" dxfId="1329" priority="787" stopIfTrue="1" operator="equal">
      <formula>"2 - Soft Load"</formula>
    </cfRule>
  </conditionalFormatting>
  <conditionalFormatting sqref="R36 K36 I36 M36">
    <cfRule type="cellIs" dxfId="1328" priority="788" stopIfTrue="1" operator="equal">
      <formula>"Yes"</formula>
    </cfRule>
    <cfRule type="cellIs" dxfId="1327" priority="789" stopIfTrue="1" operator="equal">
      <formula>"No"</formula>
    </cfRule>
  </conditionalFormatting>
  <conditionalFormatting sqref="P36">
    <cfRule type="cellIs" dxfId="1326" priority="790" stopIfTrue="1" operator="equal">
      <formula>"Lockdown"</formula>
    </cfRule>
    <cfRule type="cellIs" dxfId="1325" priority="791" stopIfTrue="1" operator="equal">
      <formula>"OOM"</formula>
    </cfRule>
    <cfRule type="cellIs" dxfId="1324" priority="792" stopIfTrue="1" operator="equal">
      <formula>"Placeholder"</formula>
    </cfRule>
  </conditionalFormatting>
  <conditionalFormatting sqref="C42">
    <cfRule type="cellIs" dxfId="1323" priority="672" stopIfTrue="1" operator="equal">
      <formula>#REF!</formula>
    </cfRule>
  </conditionalFormatting>
  <conditionalFormatting sqref="B42">
    <cfRule type="cellIs" dxfId="1322" priority="673" stopIfTrue="1" operator="equal">
      <formula>#REF!</formula>
    </cfRule>
  </conditionalFormatting>
  <conditionalFormatting sqref="Z42">
    <cfRule type="cellIs" dxfId="1321" priority="674" stopIfTrue="1" operator="greaterThan">
      <formula>AA42</formula>
    </cfRule>
  </conditionalFormatting>
  <conditionalFormatting sqref="W42:Y42 AA42">
    <cfRule type="cellIs" dxfId="1320" priority="675" stopIfTrue="1" operator="equal">
      <formula>"1 - Hard Load"</formula>
    </cfRule>
    <cfRule type="cellIs" dxfId="1319" priority="676" stopIfTrue="1" operator="equal">
      <formula>"3 - Not Loaded"</formula>
    </cfRule>
    <cfRule type="cellIs" dxfId="1318" priority="677" stopIfTrue="1" operator="equal">
      <formula>"2 - Soft Load"</formula>
    </cfRule>
  </conditionalFormatting>
  <conditionalFormatting sqref="R42 K42 I42 M42">
    <cfRule type="cellIs" dxfId="1317" priority="678" stopIfTrue="1" operator="equal">
      <formula>"Yes"</formula>
    </cfRule>
    <cfRule type="cellIs" dxfId="1316" priority="679" stopIfTrue="1" operator="equal">
      <formula>"No"</formula>
    </cfRule>
  </conditionalFormatting>
  <conditionalFormatting sqref="P42">
    <cfRule type="cellIs" dxfId="1315" priority="680" stopIfTrue="1" operator="equal">
      <formula>"Lockdown"</formula>
    </cfRule>
    <cfRule type="cellIs" dxfId="1314" priority="681" stopIfTrue="1" operator="equal">
      <formula>"OOM"</formula>
    </cfRule>
    <cfRule type="cellIs" dxfId="1313" priority="682" stopIfTrue="1" operator="equal">
      <formula>"Placeholder"</formula>
    </cfRule>
  </conditionalFormatting>
  <conditionalFormatting sqref="C44">
    <cfRule type="cellIs" dxfId="1312" priority="639" stopIfTrue="1" operator="equal">
      <formula>#REF!</formula>
    </cfRule>
  </conditionalFormatting>
  <conditionalFormatting sqref="B44">
    <cfRule type="cellIs" dxfId="1311" priority="640" stopIfTrue="1" operator="equal">
      <formula>#REF!</formula>
    </cfRule>
  </conditionalFormatting>
  <conditionalFormatting sqref="W44:Y44 AA44">
    <cfRule type="cellIs" dxfId="1310" priority="642" stopIfTrue="1" operator="equal">
      <formula>"1 - Hard Load"</formula>
    </cfRule>
    <cfRule type="cellIs" dxfId="1309" priority="643" stopIfTrue="1" operator="equal">
      <formula>"3 - Not Loaded"</formula>
    </cfRule>
    <cfRule type="cellIs" dxfId="1308" priority="644" stopIfTrue="1" operator="equal">
      <formula>"2 - Soft Load"</formula>
    </cfRule>
  </conditionalFormatting>
  <conditionalFormatting sqref="R44 K44 I44 M44">
    <cfRule type="cellIs" dxfId="1307" priority="645" stopIfTrue="1" operator="equal">
      <formula>"Yes"</formula>
    </cfRule>
    <cfRule type="cellIs" dxfId="1306" priority="646" stopIfTrue="1" operator="equal">
      <formula>"No"</formula>
    </cfRule>
  </conditionalFormatting>
  <conditionalFormatting sqref="P44">
    <cfRule type="cellIs" dxfId="1305" priority="647" stopIfTrue="1" operator="equal">
      <formula>"Lockdown"</formula>
    </cfRule>
    <cfRule type="cellIs" dxfId="1304" priority="648" stopIfTrue="1" operator="equal">
      <formula>"OOM"</formula>
    </cfRule>
    <cfRule type="cellIs" dxfId="1303" priority="649" stopIfTrue="1" operator="equal">
      <formula>"Placeholder"</formula>
    </cfRule>
  </conditionalFormatting>
  <conditionalFormatting sqref="C45">
    <cfRule type="cellIs" dxfId="1302" priority="595" stopIfTrue="1" operator="equal">
      <formula>#REF!</formula>
    </cfRule>
  </conditionalFormatting>
  <conditionalFormatting sqref="B45">
    <cfRule type="cellIs" dxfId="1301" priority="596" stopIfTrue="1" operator="equal">
      <formula>#REF!</formula>
    </cfRule>
  </conditionalFormatting>
  <conditionalFormatting sqref="Z45">
    <cfRule type="cellIs" dxfId="1300" priority="597" stopIfTrue="1" operator="greaterThan">
      <formula>AA45</formula>
    </cfRule>
  </conditionalFormatting>
  <conditionalFormatting sqref="W45:Y45 AA45">
    <cfRule type="cellIs" dxfId="1299" priority="598" stopIfTrue="1" operator="equal">
      <formula>"1 - Hard Load"</formula>
    </cfRule>
    <cfRule type="cellIs" dxfId="1298" priority="599" stopIfTrue="1" operator="equal">
      <formula>"3 - Not Loaded"</formula>
    </cfRule>
    <cfRule type="cellIs" dxfId="1297" priority="600" stopIfTrue="1" operator="equal">
      <formula>"2 - Soft Load"</formula>
    </cfRule>
  </conditionalFormatting>
  <conditionalFormatting sqref="R45 K45 I45 M45">
    <cfRule type="cellIs" dxfId="1296" priority="601" stopIfTrue="1" operator="equal">
      <formula>"Yes"</formula>
    </cfRule>
    <cfRule type="cellIs" dxfId="1295" priority="602" stopIfTrue="1" operator="equal">
      <formula>"No"</formula>
    </cfRule>
  </conditionalFormatting>
  <conditionalFormatting sqref="P45">
    <cfRule type="cellIs" dxfId="1294" priority="603" stopIfTrue="1" operator="equal">
      <formula>"Lockdown"</formula>
    </cfRule>
    <cfRule type="cellIs" dxfId="1293" priority="604" stopIfTrue="1" operator="equal">
      <formula>"OOM"</formula>
    </cfRule>
    <cfRule type="cellIs" dxfId="1292" priority="605" stopIfTrue="1" operator="equal">
      <formula>"Placeholder"</formula>
    </cfRule>
  </conditionalFormatting>
  <conditionalFormatting sqref="C46:C47">
    <cfRule type="cellIs" dxfId="1291" priority="573" stopIfTrue="1" operator="equal">
      <formula>#REF!</formula>
    </cfRule>
  </conditionalFormatting>
  <conditionalFormatting sqref="B46:B47">
    <cfRule type="cellIs" dxfId="1290" priority="574" stopIfTrue="1" operator="equal">
      <formula>#REF!</formula>
    </cfRule>
  </conditionalFormatting>
  <conditionalFormatting sqref="W46:Y47 AA46:AA47">
    <cfRule type="cellIs" dxfId="1289" priority="576" stopIfTrue="1" operator="equal">
      <formula>"1 - Hard Load"</formula>
    </cfRule>
    <cfRule type="cellIs" dxfId="1288" priority="577" stopIfTrue="1" operator="equal">
      <formula>"3 - Not Loaded"</formula>
    </cfRule>
    <cfRule type="cellIs" dxfId="1287" priority="578" stopIfTrue="1" operator="equal">
      <formula>"2 - Soft Load"</formula>
    </cfRule>
  </conditionalFormatting>
  <conditionalFormatting sqref="R46:R47 K46:K47 I46:I47 M46:M47">
    <cfRule type="cellIs" dxfId="1286" priority="579" stopIfTrue="1" operator="equal">
      <formula>"Yes"</formula>
    </cfRule>
    <cfRule type="cellIs" dxfId="1285" priority="580" stopIfTrue="1" operator="equal">
      <formula>"No"</formula>
    </cfRule>
  </conditionalFormatting>
  <conditionalFormatting sqref="P46:P47">
    <cfRule type="cellIs" dxfId="1284" priority="581" stopIfTrue="1" operator="equal">
      <formula>"Lockdown"</formula>
    </cfRule>
    <cfRule type="cellIs" dxfId="1283" priority="582" stopIfTrue="1" operator="equal">
      <formula>"OOM"</formula>
    </cfRule>
    <cfRule type="cellIs" dxfId="1282" priority="583" stopIfTrue="1" operator="equal">
      <formula>"Placeholder"</formula>
    </cfRule>
  </conditionalFormatting>
  <conditionalFormatting sqref="C48:C49">
    <cfRule type="cellIs" dxfId="1281" priority="551" stopIfTrue="1" operator="equal">
      <formula>#REF!</formula>
    </cfRule>
  </conditionalFormatting>
  <conditionalFormatting sqref="B48:B49">
    <cfRule type="cellIs" dxfId="1280" priority="552" stopIfTrue="1" operator="equal">
      <formula>#REF!</formula>
    </cfRule>
  </conditionalFormatting>
  <conditionalFormatting sqref="Z48:Z49">
    <cfRule type="cellIs" dxfId="1279" priority="553" stopIfTrue="1" operator="greaterThan">
      <formula>AA48</formula>
    </cfRule>
  </conditionalFormatting>
  <conditionalFormatting sqref="W48:Y49 AA48:AA49">
    <cfRule type="cellIs" dxfId="1278" priority="554" stopIfTrue="1" operator="equal">
      <formula>"1 - Hard Load"</formula>
    </cfRule>
    <cfRule type="cellIs" dxfId="1277" priority="555" stopIfTrue="1" operator="equal">
      <formula>"3 - Not Loaded"</formula>
    </cfRule>
    <cfRule type="cellIs" dxfId="1276" priority="556" stopIfTrue="1" operator="equal">
      <formula>"2 - Soft Load"</formula>
    </cfRule>
  </conditionalFormatting>
  <conditionalFormatting sqref="R48:R49 K48:K49 I48:I49 M48:M49">
    <cfRule type="cellIs" dxfId="1275" priority="557" stopIfTrue="1" operator="equal">
      <formula>"Yes"</formula>
    </cfRule>
    <cfRule type="cellIs" dxfId="1274" priority="558" stopIfTrue="1" operator="equal">
      <formula>"No"</formula>
    </cfRule>
  </conditionalFormatting>
  <conditionalFormatting sqref="P48:P49">
    <cfRule type="cellIs" dxfId="1273" priority="559" stopIfTrue="1" operator="equal">
      <formula>"Lockdown"</formula>
    </cfRule>
    <cfRule type="cellIs" dxfId="1272" priority="560" stopIfTrue="1" operator="equal">
      <formula>"OOM"</formula>
    </cfRule>
    <cfRule type="cellIs" dxfId="1271" priority="561" stopIfTrue="1" operator="equal">
      <formula>"Placeholder"</formula>
    </cfRule>
  </conditionalFormatting>
  <conditionalFormatting sqref="C50">
    <cfRule type="cellIs" dxfId="1270" priority="540" stopIfTrue="1" operator="equal">
      <formula>#REF!</formula>
    </cfRule>
  </conditionalFormatting>
  <conditionalFormatting sqref="B50">
    <cfRule type="cellIs" dxfId="1269" priority="541" stopIfTrue="1" operator="equal">
      <formula>#REF!</formula>
    </cfRule>
  </conditionalFormatting>
  <conditionalFormatting sqref="Z50">
    <cfRule type="cellIs" dxfId="1268" priority="542" stopIfTrue="1" operator="greaterThan">
      <formula>AA50</formula>
    </cfRule>
  </conditionalFormatting>
  <conditionalFormatting sqref="W50:Y50 AA50">
    <cfRule type="cellIs" dxfId="1267" priority="543" stopIfTrue="1" operator="equal">
      <formula>"1 - Hard Load"</formula>
    </cfRule>
    <cfRule type="cellIs" dxfId="1266" priority="544" stopIfTrue="1" operator="equal">
      <formula>"3 - Not Loaded"</formula>
    </cfRule>
    <cfRule type="cellIs" dxfId="1265" priority="545" stopIfTrue="1" operator="equal">
      <formula>"2 - Soft Load"</formula>
    </cfRule>
  </conditionalFormatting>
  <conditionalFormatting sqref="R50 K50 I50 M50">
    <cfRule type="cellIs" dxfId="1264" priority="546" stopIfTrue="1" operator="equal">
      <formula>"Yes"</formula>
    </cfRule>
    <cfRule type="cellIs" dxfId="1263" priority="547" stopIfTrue="1" operator="equal">
      <formula>"No"</formula>
    </cfRule>
  </conditionalFormatting>
  <conditionalFormatting sqref="P50">
    <cfRule type="cellIs" dxfId="1262" priority="548" stopIfTrue="1" operator="equal">
      <formula>"Lockdown"</formula>
    </cfRule>
    <cfRule type="cellIs" dxfId="1261" priority="549" stopIfTrue="1" operator="equal">
      <formula>"OOM"</formula>
    </cfRule>
    <cfRule type="cellIs" dxfId="1260" priority="550" stopIfTrue="1" operator="equal">
      <formula>"Placeholder"</formula>
    </cfRule>
  </conditionalFormatting>
  <conditionalFormatting sqref="C51">
    <cfRule type="cellIs" dxfId="1259" priority="529" stopIfTrue="1" operator="equal">
      <formula>#REF!</formula>
    </cfRule>
  </conditionalFormatting>
  <conditionalFormatting sqref="B51">
    <cfRule type="cellIs" dxfId="1258" priority="530" stopIfTrue="1" operator="equal">
      <formula>#REF!</formula>
    </cfRule>
  </conditionalFormatting>
  <conditionalFormatting sqref="W51:Y51 AA51">
    <cfRule type="cellIs" dxfId="1257" priority="532" stopIfTrue="1" operator="equal">
      <formula>"1 - Hard Load"</formula>
    </cfRule>
    <cfRule type="cellIs" dxfId="1256" priority="533" stopIfTrue="1" operator="equal">
      <formula>"3 - Not Loaded"</formula>
    </cfRule>
    <cfRule type="cellIs" dxfId="1255" priority="534" stopIfTrue="1" operator="equal">
      <formula>"2 - Soft Load"</formula>
    </cfRule>
  </conditionalFormatting>
  <conditionalFormatting sqref="R51 K51 I51 M51">
    <cfRule type="cellIs" dxfId="1254" priority="535" stopIfTrue="1" operator="equal">
      <formula>"Yes"</formula>
    </cfRule>
    <cfRule type="cellIs" dxfId="1253" priority="536" stopIfTrue="1" operator="equal">
      <formula>"No"</formula>
    </cfRule>
  </conditionalFormatting>
  <conditionalFormatting sqref="P51">
    <cfRule type="cellIs" dxfId="1252" priority="537" stopIfTrue="1" operator="equal">
      <formula>"Lockdown"</formula>
    </cfRule>
    <cfRule type="cellIs" dxfId="1251" priority="538" stopIfTrue="1" operator="equal">
      <formula>"OOM"</formula>
    </cfRule>
    <cfRule type="cellIs" dxfId="1250" priority="539" stopIfTrue="1" operator="equal">
      <formula>"Placeholder"</formula>
    </cfRule>
  </conditionalFormatting>
  <conditionalFormatting sqref="C52">
    <cfRule type="cellIs" dxfId="1249" priority="518" stopIfTrue="1" operator="equal">
      <formula>#REF!</formula>
    </cfRule>
  </conditionalFormatting>
  <conditionalFormatting sqref="B52">
    <cfRule type="cellIs" dxfId="1248" priority="519" stopIfTrue="1" operator="equal">
      <formula>#REF!</formula>
    </cfRule>
  </conditionalFormatting>
  <conditionalFormatting sqref="Z52">
    <cfRule type="cellIs" dxfId="1247" priority="520" stopIfTrue="1" operator="greaterThan">
      <formula>AA52</formula>
    </cfRule>
  </conditionalFormatting>
  <conditionalFormatting sqref="W52:Y52 AA52">
    <cfRule type="cellIs" dxfId="1246" priority="521" stopIfTrue="1" operator="equal">
      <formula>"1 - Hard Load"</formula>
    </cfRule>
    <cfRule type="cellIs" dxfId="1245" priority="522" stopIfTrue="1" operator="equal">
      <formula>"3 - Not Loaded"</formula>
    </cfRule>
    <cfRule type="cellIs" dxfId="1244" priority="523" stopIfTrue="1" operator="equal">
      <formula>"2 - Soft Load"</formula>
    </cfRule>
  </conditionalFormatting>
  <conditionalFormatting sqref="R52 K52 I52 M52">
    <cfRule type="cellIs" dxfId="1243" priority="524" stopIfTrue="1" operator="equal">
      <formula>"Yes"</formula>
    </cfRule>
    <cfRule type="cellIs" dxfId="1242" priority="525" stopIfTrue="1" operator="equal">
      <formula>"No"</formula>
    </cfRule>
  </conditionalFormatting>
  <conditionalFormatting sqref="P52">
    <cfRule type="cellIs" dxfId="1241" priority="526" stopIfTrue="1" operator="equal">
      <formula>"Lockdown"</formula>
    </cfRule>
    <cfRule type="cellIs" dxfId="1240" priority="527" stopIfTrue="1" operator="equal">
      <formula>"OOM"</formula>
    </cfRule>
    <cfRule type="cellIs" dxfId="1239" priority="528" stopIfTrue="1" operator="equal">
      <formula>"Placeholder"</formula>
    </cfRule>
  </conditionalFormatting>
  <conditionalFormatting sqref="C54">
    <cfRule type="cellIs" dxfId="1238" priority="496" stopIfTrue="1" operator="equal">
      <formula>#REF!</formula>
    </cfRule>
  </conditionalFormatting>
  <conditionalFormatting sqref="B54">
    <cfRule type="cellIs" dxfId="1237" priority="497" stopIfTrue="1" operator="equal">
      <formula>#REF!</formula>
    </cfRule>
  </conditionalFormatting>
  <conditionalFormatting sqref="Z54">
    <cfRule type="cellIs" dxfId="1236" priority="498" stopIfTrue="1" operator="greaterThan">
      <formula>AA54</formula>
    </cfRule>
  </conditionalFormatting>
  <conditionalFormatting sqref="W54:Y54 AA54">
    <cfRule type="cellIs" dxfId="1235" priority="499" stopIfTrue="1" operator="equal">
      <formula>"1 - Hard Load"</formula>
    </cfRule>
    <cfRule type="cellIs" dxfId="1234" priority="500" stopIfTrue="1" operator="equal">
      <formula>"3 - Not Loaded"</formula>
    </cfRule>
    <cfRule type="cellIs" dxfId="1233" priority="501" stopIfTrue="1" operator="equal">
      <formula>"2 - Soft Load"</formula>
    </cfRule>
  </conditionalFormatting>
  <conditionalFormatting sqref="R54 K54 I54 M54">
    <cfRule type="cellIs" dxfId="1232" priority="502" stopIfTrue="1" operator="equal">
      <formula>"Yes"</formula>
    </cfRule>
    <cfRule type="cellIs" dxfId="1231" priority="503" stopIfTrue="1" operator="equal">
      <formula>"No"</formula>
    </cfRule>
  </conditionalFormatting>
  <conditionalFormatting sqref="P54">
    <cfRule type="cellIs" dxfId="1230" priority="504" stopIfTrue="1" operator="equal">
      <formula>"Lockdown"</formula>
    </cfRule>
    <cfRule type="cellIs" dxfId="1229" priority="505" stopIfTrue="1" operator="equal">
      <formula>"OOM"</formula>
    </cfRule>
    <cfRule type="cellIs" dxfId="1228" priority="506" stopIfTrue="1" operator="equal">
      <formula>"Placeholder"</formula>
    </cfRule>
  </conditionalFormatting>
  <conditionalFormatting sqref="C55">
    <cfRule type="cellIs" dxfId="1227" priority="485" stopIfTrue="1" operator="equal">
      <formula>#REF!</formula>
    </cfRule>
  </conditionalFormatting>
  <conditionalFormatting sqref="B55">
    <cfRule type="cellIs" dxfId="1226" priority="486" stopIfTrue="1" operator="equal">
      <formula>#REF!</formula>
    </cfRule>
  </conditionalFormatting>
  <conditionalFormatting sqref="Z55">
    <cfRule type="cellIs" dxfId="1225" priority="487" stopIfTrue="1" operator="greaterThan">
      <formula>AA55</formula>
    </cfRule>
  </conditionalFormatting>
  <conditionalFormatting sqref="W55:Y55 AA55">
    <cfRule type="cellIs" dxfId="1224" priority="488" stopIfTrue="1" operator="equal">
      <formula>"1 - Hard Load"</formula>
    </cfRule>
    <cfRule type="cellIs" dxfId="1223" priority="489" stopIfTrue="1" operator="equal">
      <formula>"3 - Not Loaded"</formula>
    </cfRule>
    <cfRule type="cellIs" dxfId="1222" priority="490" stopIfTrue="1" operator="equal">
      <formula>"2 - Soft Load"</formula>
    </cfRule>
  </conditionalFormatting>
  <conditionalFormatting sqref="R55 K55 I55 M55">
    <cfRule type="cellIs" dxfId="1221" priority="491" stopIfTrue="1" operator="equal">
      <formula>"Yes"</formula>
    </cfRule>
    <cfRule type="cellIs" dxfId="1220" priority="492" stopIfTrue="1" operator="equal">
      <formula>"No"</formula>
    </cfRule>
  </conditionalFormatting>
  <conditionalFormatting sqref="P55">
    <cfRule type="cellIs" dxfId="1219" priority="493" stopIfTrue="1" operator="equal">
      <formula>"Lockdown"</formula>
    </cfRule>
    <cfRule type="cellIs" dxfId="1218" priority="494" stopIfTrue="1" operator="equal">
      <formula>"OOM"</formula>
    </cfRule>
    <cfRule type="cellIs" dxfId="1217" priority="495" stopIfTrue="1" operator="equal">
      <formula>"Placeholder"</formula>
    </cfRule>
  </conditionalFormatting>
  <conditionalFormatting sqref="C56">
    <cfRule type="cellIs" dxfId="1216" priority="474" stopIfTrue="1" operator="equal">
      <formula>#REF!</formula>
    </cfRule>
  </conditionalFormatting>
  <conditionalFormatting sqref="B56">
    <cfRule type="cellIs" dxfId="1215" priority="475" stopIfTrue="1" operator="equal">
      <formula>#REF!</formula>
    </cfRule>
  </conditionalFormatting>
  <conditionalFormatting sqref="W56:Y56 AA56">
    <cfRule type="cellIs" dxfId="1214" priority="477" stopIfTrue="1" operator="equal">
      <formula>"1 - Hard Load"</formula>
    </cfRule>
    <cfRule type="cellIs" dxfId="1213" priority="478" stopIfTrue="1" operator="equal">
      <formula>"3 - Not Loaded"</formula>
    </cfRule>
    <cfRule type="cellIs" dxfId="1212" priority="479" stopIfTrue="1" operator="equal">
      <formula>"2 - Soft Load"</formula>
    </cfRule>
  </conditionalFormatting>
  <conditionalFormatting sqref="R56 K56 I56 M56">
    <cfRule type="cellIs" dxfId="1211" priority="480" stopIfTrue="1" operator="equal">
      <formula>"Yes"</formula>
    </cfRule>
    <cfRule type="cellIs" dxfId="1210" priority="481" stopIfTrue="1" operator="equal">
      <formula>"No"</formula>
    </cfRule>
  </conditionalFormatting>
  <conditionalFormatting sqref="P56">
    <cfRule type="cellIs" dxfId="1209" priority="482" stopIfTrue="1" operator="equal">
      <formula>"Lockdown"</formula>
    </cfRule>
    <cfRule type="cellIs" dxfId="1208" priority="483" stopIfTrue="1" operator="equal">
      <formula>"OOM"</formula>
    </cfRule>
    <cfRule type="cellIs" dxfId="1207" priority="484" stopIfTrue="1" operator="equal">
      <formula>"Placeholder"</formula>
    </cfRule>
  </conditionalFormatting>
  <conditionalFormatting sqref="C57">
    <cfRule type="cellIs" dxfId="1206" priority="430" stopIfTrue="1" operator="equal">
      <formula>#REF!</formula>
    </cfRule>
  </conditionalFormatting>
  <conditionalFormatting sqref="B57">
    <cfRule type="cellIs" dxfId="1205" priority="431" stopIfTrue="1" operator="equal">
      <formula>#REF!</formula>
    </cfRule>
  </conditionalFormatting>
  <conditionalFormatting sqref="Z57">
    <cfRule type="cellIs" dxfId="1204" priority="432" stopIfTrue="1" operator="greaterThan">
      <formula>AA57</formula>
    </cfRule>
  </conditionalFormatting>
  <conditionalFormatting sqref="W57:Y57 AA57">
    <cfRule type="cellIs" dxfId="1203" priority="433" stopIfTrue="1" operator="equal">
      <formula>"1 - Hard Load"</formula>
    </cfRule>
    <cfRule type="cellIs" dxfId="1202" priority="434" stopIfTrue="1" operator="equal">
      <formula>"3 - Not Loaded"</formula>
    </cfRule>
    <cfRule type="cellIs" dxfId="1201" priority="435" stopIfTrue="1" operator="equal">
      <formula>"2 - Soft Load"</formula>
    </cfRule>
  </conditionalFormatting>
  <conditionalFormatting sqref="R57 K57 I57 M57">
    <cfRule type="cellIs" dxfId="1200" priority="436" stopIfTrue="1" operator="equal">
      <formula>"Yes"</formula>
    </cfRule>
    <cfRule type="cellIs" dxfId="1199" priority="437" stopIfTrue="1" operator="equal">
      <formula>"No"</formula>
    </cfRule>
  </conditionalFormatting>
  <conditionalFormatting sqref="P57">
    <cfRule type="cellIs" dxfId="1198" priority="438" stopIfTrue="1" operator="equal">
      <formula>"Lockdown"</formula>
    </cfRule>
    <cfRule type="cellIs" dxfId="1197" priority="439" stopIfTrue="1" operator="equal">
      <formula>"OOM"</formula>
    </cfRule>
    <cfRule type="cellIs" dxfId="1196" priority="440" stopIfTrue="1" operator="equal">
      <formula>"Placeholder"</formula>
    </cfRule>
  </conditionalFormatting>
  <conditionalFormatting sqref="C69:C70">
    <cfRule type="cellIs" dxfId="1195" priority="265" stopIfTrue="1" operator="equal">
      <formula>#REF!</formula>
    </cfRule>
  </conditionalFormatting>
  <conditionalFormatting sqref="B69:B70">
    <cfRule type="cellIs" dxfId="1194" priority="266" stopIfTrue="1" operator="equal">
      <formula>#REF!</formula>
    </cfRule>
  </conditionalFormatting>
  <conditionalFormatting sqref="Z69:Z70">
    <cfRule type="cellIs" dxfId="1193" priority="267" stopIfTrue="1" operator="greaterThan">
      <formula>AA69</formula>
    </cfRule>
  </conditionalFormatting>
  <conditionalFormatting sqref="W69:Y70 AA69:AA70">
    <cfRule type="cellIs" dxfId="1192" priority="268" stopIfTrue="1" operator="equal">
      <formula>"1 - Hard Load"</formula>
    </cfRule>
    <cfRule type="cellIs" dxfId="1191" priority="269" stopIfTrue="1" operator="equal">
      <formula>"3 - Not Loaded"</formula>
    </cfRule>
    <cfRule type="cellIs" dxfId="1190" priority="270" stopIfTrue="1" operator="equal">
      <formula>"2 - Soft Load"</formula>
    </cfRule>
  </conditionalFormatting>
  <conditionalFormatting sqref="R69:R70 K69:K70 I69:I70 M69:M70">
    <cfRule type="cellIs" dxfId="1189" priority="271" stopIfTrue="1" operator="equal">
      <formula>"Yes"</formula>
    </cfRule>
    <cfRule type="cellIs" dxfId="1188" priority="272" stopIfTrue="1" operator="equal">
      <formula>"No"</formula>
    </cfRule>
  </conditionalFormatting>
  <conditionalFormatting sqref="P69:P70">
    <cfRule type="cellIs" dxfId="1187" priority="273" stopIfTrue="1" operator="equal">
      <formula>"Lockdown"</formula>
    </cfRule>
    <cfRule type="cellIs" dxfId="1186" priority="274" stopIfTrue="1" operator="equal">
      <formula>"OOM"</formula>
    </cfRule>
    <cfRule type="cellIs" dxfId="1185" priority="275" stopIfTrue="1" operator="equal">
      <formula>"Placeholder"</formula>
    </cfRule>
  </conditionalFormatting>
  <conditionalFormatting sqref="C59:C60">
    <cfRule type="cellIs" dxfId="1184" priority="375" stopIfTrue="1" operator="equal">
      <formula>#REF!</formula>
    </cfRule>
  </conditionalFormatting>
  <conditionalFormatting sqref="B59:B60">
    <cfRule type="cellIs" dxfId="1183" priority="376" stopIfTrue="1" operator="equal">
      <formula>#REF!</formula>
    </cfRule>
  </conditionalFormatting>
  <conditionalFormatting sqref="Z59:Z60">
    <cfRule type="cellIs" dxfId="1182" priority="377" stopIfTrue="1" operator="greaterThan">
      <formula>AA59</formula>
    </cfRule>
  </conditionalFormatting>
  <conditionalFormatting sqref="W59:Y60 AA59:AA60">
    <cfRule type="cellIs" dxfId="1181" priority="378" stopIfTrue="1" operator="equal">
      <formula>"1 - Hard Load"</formula>
    </cfRule>
    <cfRule type="cellIs" dxfId="1180" priority="379" stopIfTrue="1" operator="equal">
      <formula>"3 - Not Loaded"</formula>
    </cfRule>
    <cfRule type="cellIs" dxfId="1179" priority="380" stopIfTrue="1" operator="equal">
      <formula>"2 - Soft Load"</formula>
    </cfRule>
  </conditionalFormatting>
  <conditionalFormatting sqref="R59:R60 K59:K60 I59:I60 M59:M60">
    <cfRule type="cellIs" dxfId="1178" priority="381" stopIfTrue="1" operator="equal">
      <formula>"Yes"</formula>
    </cfRule>
    <cfRule type="cellIs" dxfId="1177" priority="382" stopIfTrue="1" operator="equal">
      <formula>"No"</formula>
    </cfRule>
  </conditionalFormatting>
  <conditionalFormatting sqref="P59:P60">
    <cfRule type="cellIs" dxfId="1176" priority="383" stopIfTrue="1" operator="equal">
      <formula>"Lockdown"</formula>
    </cfRule>
    <cfRule type="cellIs" dxfId="1175" priority="384" stopIfTrue="1" operator="equal">
      <formula>"OOM"</formula>
    </cfRule>
    <cfRule type="cellIs" dxfId="1174" priority="385" stopIfTrue="1" operator="equal">
      <formula>"Placeholder"</formula>
    </cfRule>
  </conditionalFormatting>
  <conditionalFormatting sqref="C61">
    <cfRule type="cellIs" dxfId="1173" priority="353" stopIfTrue="1" operator="equal">
      <formula>#REF!</formula>
    </cfRule>
  </conditionalFormatting>
  <conditionalFormatting sqref="B61">
    <cfRule type="cellIs" dxfId="1172" priority="354" stopIfTrue="1" operator="equal">
      <formula>#REF!</formula>
    </cfRule>
  </conditionalFormatting>
  <conditionalFormatting sqref="Z61">
    <cfRule type="cellIs" dxfId="1171" priority="355" stopIfTrue="1" operator="greaterThan">
      <formula>AA61</formula>
    </cfRule>
  </conditionalFormatting>
  <conditionalFormatting sqref="W61:Y61 AA61">
    <cfRule type="cellIs" dxfId="1170" priority="356" stopIfTrue="1" operator="equal">
      <formula>"1 - Hard Load"</formula>
    </cfRule>
    <cfRule type="cellIs" dxfId="1169" priority="357" stopIfTrue="1" operator="equal">
      <formula>"3 - Not Loaded"</formula>
    </cfRule>
    <cfRule type="cellIs" dxfId="1168" priority="358" stopIfTrue="1" operator="equal">
      <formula>"2 - Soft Load"</formula>
    </cfRule>
  </conditionalFormatting>
  <conditionalFormatting sqref="R61 K61 I61 M61">
    <cfRule type="cellIs" dxfId="1167" priority="359" stopIfTrue="1" operator="equal">
      <formula>"Yes"</formula>
    </cfRule>
    <cfRule type="cellIs" dxfId="1166" priority="360" stopIfTrue="1" operator="equal">
      <formula>"No"</formula>
    </cfRule>
  </conditionalFormatting>
  <conditionalFormatting sqref="P61">
    <cfRule type="cellIs" dxfId="1165" priority="361" stopIfTrue="1" operator="equal">
      <formula>"Lockdown"</formula>
    </cfRule>
    <cfRule type="cellIs" dxfId="1164" priority="362" stopIfTrue="1" operator="equal">
      <formula>"OOM"</formula>
    </cfRule>
    <cfRule type="cellIs" dxfId="1163" priority="363" stopIfTrue="1" operator="equal">
      <formula>"Placeholder"</formula>
    </cfRule>
  </conditionalFormatting>
  <conditionalFormatting sqref="C62:C63">
    <cfRule type="cellIs" dxfId="1162" priority="320" stopIfTrue="1" operator="equal">
      <formula>#REF!</formula>
    </cfRule>
  </conditionalFormatting>
  <conditionalFormatting sqref="B62:B63">
    <cfRule type="cellIs" dxfId="1161" priority="321" stopIfTrue="1" operator="equal">
      <formula>#REF!</formula>
    </cfRule>
  </conditionalFormatting>
  <conditionalFormatting sqref="Z62:Z63">
    <cfRule type="cellIs" dxfId="1160" priority="322" stopIfTrue="1" operator="greaterThan">
      <formula>AA62</formula>
    </cfRule>
  </conditionalFormatting>
  <conditionalFormatting sqref="W62:Y63 AA62:AA63">
    <cfRule type="cellIs" dxfId="1159" priority="323" stopIfTrue="1" operator="equal">
      <formula>"1 - Hard Load"</formula>
    </cfRule>
    <cfRule type="cellIs" dxfId="1158" priority="324" stopIfTrue="1" operator="equal">
      <formula>"3 - Not Loaded"</formula>
    </cfRule>
    <cfRule type="cellIs" dxfId="1157" priority="325" stopIfTrue="1" operator="equal">
      <formula>"2 - Soft Load"</formula>
    </cfRule>
  </conditionalFormatting>
  <conditionalFormatting sqref="R62:R63 K62:K63 I62:I63 M62:M63">
    <cfRule type="cellIs" dxfId="1156" priority="326" stopIfTrue="1" operator="equal">
      <formula>"Yes"</formula>
    </cfRule>
    <cfRule type="cellIs" dxfId="1155" priority="327" stopIfTrue="1" operator="equal">
      <formula>"No"</formula>
    </cfRule>
  </conditionalFormatting>
  <conditionalFormatting sqref="P62:P63">
    <cfRule type="cellIs" dxfId="1154" priority="328" stopIfTrue="1" operator="equal">
      <formula>"Lockdown"</formula>
    </cfRule>
    <cfRule type="cellIs" dxfId="1153" priority="329" stopIfTrue="1" operator="equal">
      <formula>"OOM"</formula>
    </cfRule>
    <cfRule type="cellIs" dxfId="1152" priority="330" stopIfTrue="1" operator="equal">
      <formula>"Placeholder"</formula>
    </cfRule>
  </conditionalFormatting>
  <conditionalFormatting sqref="C64">
    <cfRule type="cellIs" dxfId="1151" priority="309" stopIfTrue="1" operator="equal">
      <formula>#REF!</formula>
    </cfRule>
  </conditionalFormatting>
  <conditionalFormatting sqref="B64">
    <cfRule type="cellIs" dxfId="1150" priority="310" stopIfTrue="1" operator="equal">
      <formula>#REF!</formula>
    </cfRule>
  </conditionalFormatting>
  <conditionalFormatting sqref="Z64">
    <cfRule type="cellIs" dxfId="1149" priority="311" stopIfTrue="1" operator="greaterThan">
      <formula>AA64</formula>
    </cfRule>
  </conditionalFormatting>
  <conditionalFormatting sqref="W64:Y64 AA64">
    <cfRule type="cellIs" dxfId="1148" priority="312" stopIfTrue="1" operator="equal">
      <formula>"1 - Hard Load"</formula>
    </cfRule>
    <cfRule type="cellIs" dxfId="1147" priority="313" stopIfTrue="1" operator="equal">
      <formula>"3 - Not Loaded"</formula>
    </cfRule>
    <cfRule type="cellIs" dxfId="1146" priority="314" stopIfTrue="1" operator="equal">
      <formula>"2 - Soft Load"</formula>
    </cfRule>
  </conditionalFormatting>
  <conditionalFormatting sqref="R64 K64 I64 M64">
    <cfRule type="cellIs" dxfId="1145" priority="315" stopIfTrue="1" operator="equal">
      <formula>"Yes"</formula>
    </cfRule>
    <cfRule type="cellIs" dxfId="1144" priority="316" stopIfTrue="1" operator="equal">
      <formula>"No"</formula>
    </cfRule>
  </conditionalFormatting>
  <conditionalFormatting sqref="P64">
    <cfRule type="cellIs" dxfId="1143" priority="317" stopIfTrue="1" operator="equal">
      <formula>"Lockdown"</formula>
    </cfRule>
    <cfRule type="cellIs" dxfId="1142" priority="318" stopIfTrue="1" operator="equal">
      <formula>"OOM"</formula>
    </cfRule>
    <cfRule type="cellIs" dxfId="1141" priority="319" stopIfTrue="1" operator="equal">
      <formula>"Placeholder"</formula>
    </cfRule>
  </conditionalFormatting>
  <conditionalFormatting sqref="C65">
    <cfRule type="cellIs" dxfId="1140" priority="298" stopIfTrue="1" operator="equal">
      <formula>#REF!</formula>
    </cfRule>
  </conditionalFormatting>
  <conditionalFormatting sqref="B65">
    <cfRule type="cellIs" dxfId="1139" priority="299" stopIfTrue="1" operator="equal">
      <formula>#REF!</formula>
    </cfRule>
  </conditionalFormatting>
  <conditionalFormatting sqref="Z65">
    <cfRule type="cellIs" dxfId="1138" priority="300" stopIfTrue="1" operator="greaterThan">
      <formula>AA65</formula>
    </cfRule>
  </conditionalFormatting>
  <conditionalFormatting sqref="W65:Y65 AA65">
    <cfRule type="cellIs" dxfId="1137" priority="301" stopIfTrue="1" operator="equal">
      <formula>"1 - Hard Load"</formula>
    </cfRule>
    <cfRule type="cellIs" dxfId="1136" priority="302" stopIfTrue="1" operator="equal">
      <formula>"3 - Not Loaded"</formula>
    </cfRule>
    <cfRule type="cellIs" dxfId="1135" priority="303" stopIfTrue="1" operator="equal">
      <formula>"2 - Soft Load"</formula>
    </cfRule>
  </conditionalFormatting>
  <conditionalFormatting sqref="R65 K65 I65 M65">
    <cfRule type="cellIs" dxfId="1134" priority="304" stopIfTrue="1" operator="equal">
      <formula>"Yes"</formula>
    </cfRule>
    <cfRule type="cellIs" dxfId="1133" priority="305" stopIfTrue="1" operator="equal">
      <formula>"No"</formula>
    </cfRule>
  </conditionalFormatting>
  <conditionalFormatting sqref="P65">
    <cfRule type="cellIs" dxfId="1132" priority="306" stopIfTrue="1" operator="equal">
      <formula>"Lockdown"</formula>
    </cfRule>
    <cfRule type="cellIs" dxfId="1131" priority="307" stopIfTrue="1" operator="equal">
      <formula>"OOM"</formula>
    </cfRule>
    <cfRule type="cellIs" dxfId="1130" priority="308" stopIfTrue="1" operator="equal">
      <formula>"Placeholder"</formula>
    </cfRule>
  </conditionalFormatting>
  <conditionalFormatting sqref="C66:C67">
    <cfRule type="cellIs" dxfId="1129" priority="287" stopIfTrue="1" operator="equal">
      <formula>#REF!</formula>
    </cfRule>
  </conditionalFormatting>
  <conditionalFormatting sqref="B66:B67">
    <cfRule type="cellIs" dxfId="1128" priority="288" stopIfTrue="1" operator="equal">
      <formula>#REF!</formula>
    </cfRule>
  </conditionalFormatting>
  <conditionalFormatting sqref="Z66:Z67">
    <cfRule type="cellIs" dxfId="1127" priority="289" stopIfTrue="1" operator="greaterThan">
      <formula>AA66</formula>
    </cfRule>
  </conditionalFormatting>
  <conditionalFormatting sqref="W66:Y67 AA66:AA67">
    <cfRule type="cellIs" dxfId="1126" priority="290" stopIfTrue="1" operator="equal">
      <formula>"1 - Hard Load"</formula>
    </cfRule>
    <cfRule type="cellIs" dxfId="1125" priority="291" stopIfTrue="1" operator="equal">
      <formula>"3 - Not Loaded"</formula>
    </cfRule>
    <cfRule type="cellIs" dxfId="1124" priority="292" stopIfTrue="1" operator="equal">
      <formula>"2 - Soft Load"</formula>
    </cfRule>
  </conditionalFormatting>
  <conditionalFormatting sqref="R66:R67 K66:K67 I66:I67 M66:M67">
    <cfRule type="cellIs" dxfId="1123" priority="293" stopIfTrue="1" operator="equal">
      <formula>"Yes"</formula>
    </cfRule>
    <cfRule type="cellIs" dxfId="1122" priority="294" stopIfTrue="1" operator="equal">
      <formula>"No"</formula>
    </cfRule>
  </conditionalFormatting>
  <conditionalFormatting sqref="P66:P67">
    <cfRule type="cellIs" dxfId="1121" priority="295" stopIfTrue="1" operator="equal">
      <formula>"Lockdown"</formula>
    </cfRule>
    <cfRule type="cellIs" dxfId="1120" priority="296" stopIfTrue="1" operator="equal">
      <formula>"OOM"</formula>
    </cfRule>
    <cfRule type="cellIs" dxfId="1119" priority="297" stopIfTrue="1" operator="equal">
      <formula>"Placeholder"</formula>
    </cfRule>
  </conditionalFormatting>
  <conditionalFormatting sqref="C68">
    <cfRule type="cellIs" dxfId="1118" priority="276" stopIfTrue="1" operator="equal">
      <formula>#REF!</formula>
    </cfRule>
  </conditionalFormatting>
  <conditionalFormatting sqref="B68">
    <cfRule type="cellIs" dxfId="1117" priority="277" stopIfTrue="1" operator="equal">
      <formula>#REF!</formula>
    </cfRule>
  </conditionalFormatting>
  <conditionalFormatting sqref="Z68">
    <cfRule type="cellIs" dxfId="1116" priority="278" stopIfTrue="1" operator="greaterThan">
      <formula>AA68</formula>
    </cfRule>
  </conditionalFormatting>
  <conditionalFormatting sqref="W68:Y68 AA68">
    <cfRule type="cellIs" dxfId="1115" priority="279" stopIfTrue="1" operator="equal">
      <formula>"1 - Hard Load"</formula>
    </cfRule>
    <cfRule type="cellIs" dxfId="1114" priority="280" stopIfTrue="1" operator="equal">
      <formula>"3 - Not Loaded"</formula>
    </cfRule>
    <cfRule type="cellIs" dxfId="1113" priority="281" stopIfTrue="1" operator="equal">
      <formula>"2 - Soft Load"</formula>
    </cfRule>
  </conditionalFormatting>
  <conditionalFormatting sqref="R68 K68 I68 M68">
    <cfRule type="cellIs" dxfId="1112" priority="282" stopIfTrue="1" operator="equal">
      <formula>"Yes"</formula>
    </cfRule>
    <cfRule type="cellIs" dxfId="1111" priority="283" stopIfTrue="1" operator="equal">
      <formula>"No"</formula>
    </cfRule>
  </conditionalFormatting>
  <conditionalFormatting sqref="P68">
    <cfRule type="cellIs" dxfId="1110" priority="284" stopIfTrue="1" operator="equal">
      <formula>"Lockdown"</formula>
    </cfRule>
    <cfRule type="cellIs" dxfId="1109" priority="285" stopIfTrue="1" operator="equal">
      <formula>"OOM"</formula>
    </cfRule>
    <cfRule type="cellIs" dxfId="1108" priority="286" stopIfTrue="1" operator="equal">
      <formula>"Placeholder"</formula>
    </cfRule>
  </conditionalFormatting>
  <conditionalFormatting sqref="C71">
    <cfRule type="cellIs" dxfId="1107" priority="254" stopIfTrue="1" operator="equal">
      <formula>#REF!</formula>
    </cfRule>
  </conditionalFormatting>
  <conditionalFormatting sqref="B71">
    <cfRule type="cellIs" dxfId="1106" priority="255" stopIfTrue="1" operator="equal">
      <formula>#REF!</formula>
    </cfRule>
  </conditionalFormatting>
  <conditionalFormatting sqref="W71:Y71 AA71">
    <cfRule type="cellIs" dxfId="1105" priority="257" stopIfTrue="1" operator="equal">
      <formula>"1 - Hard Load"</formula>
    </cfRule>
    <cfRule type="cellIs" dxfId="1104" priority="258" stopIfTrue="1" operator="equal">
      <formula>"3 - Not Loaded"</formula>
    </cfRule>
    <cfRule type="cellIs" dxfId="1103" priority="259" stopIfTrue="1" operator="equal">
      <formula>"2 - Soft Load"</formula>
    </cfRule>
  </conditionalFormatting>
  <conditionalFormatting sqref="R71 K71 I71 M71">
    <cfRule type="cellIs" dxfId="1102" priority="260" stopIfTrue="1" operator="equal">
      <formula>"Yes"</formula>
    </cfRule>
    <cfRule type="cellIs" dxfId="1101" priority="261" stopIfTrue="1" operator="equal">
      <formula>"No"</formula>
    </cfRule>
  </conditionalFormatting>
  <conditionalFormatting sqref="P71">
    <cfRule type="cellIs" dxfId="1100" priority="262" stopIfTrue="1" operator="equal">
      <formula>"Lockdown"</formula>
    </cfRule>
    <cfRule type="cellIs" dxfId="1099" priority="263" stopIfTrue="1" operator="equal">
      <formula>"OOM"</formula>
    </cfRule>
    <cfRule type="cellIs" dxfId="1098" priority="264" stopIfTrue="1" operator="equal">
      <formula>"Placeholder"</formula>
    </cfRule>
  </conditionalFormatting>
  <conditionalFormatting sqref="C83">
    <cfRule type="cellIs" dxfId="1097" priority="133" stopIfTrue="1" operator="equal">
      <formula>#REF!</formula>
    </cfRule>
  </conditionalFormatting>
  <conditionalFormatting sqref="B83">
    <cfRule type="cellIs" dxfId="1096" priority="134" stopIfTrue="1" operator="equal">
      <formula>#REF!</formula>
    </cfRule>
  </conditionalFormatting>
  <conditionalFormatting sqref="Z83">
    <cfRule type="cellIs" dxfId="1095" priority="135" stopIfTrue="1" operator="greaterThan">
      <formula>AA83</formula>
    </cfRule>
  </conditionalFormatting>
  <conditionalFormatting sqref="W83:Y83 AA83">
    <cfRule type="cellIs" dxfId="1094" priority="136" stopIfTrue="1" operator="equal">
      <formula>"1 - Hard Load"</formula>
    </cfRule>
    <cfRule type="cellIs" dxfId="1093" priority="137" stopIfTrue="1" operator="equal">
      <formula>"3 - Not Loaded"</formula>
    </cfRule>
    <cfRule type="cellIs" dxfId="1092" priority="138" stopIfTrue="1" operator="equal">
      <formula>"2 - Soft Load"</formula>
    </cfRule>
  </conditionalFormatting>
  <conditionalFormatting sqref="R83 K83 I83 M83">
    <cfRule type="cellIs" dxfId="1091" priority="139" stopIfTrue="1" operator="equal">
      <formula>"Yes"</formula>
    </cfRule>
    <cfRule type="cellIs" dxfId="1090" priority="140" stopIfTrue="1" operator="equal">
      <formula>"No"</formula>
    </cfRule>
  </conditionalFormatting>
  <conditionalFormatting sqref="P83">
    <cfRule type="cellIs" dxfId="1089" priority="141" stopIfTrue="1" operator="equal">
      <formula>"Lockdown"</formula>
    </cfRule>
    <cfRule type="cellIs" dxfId="1088" priority="142" stopIfTrue="1" operator="equal">
      <formula>"OOM"</formula>
    </cfRule>
    <cfRule type="cellIs" dxfId="1087" priority="143" stopIfTrue="1" operator="equal">
      <formula>"Placeholder"</formula>
    </cfRule>
  </conditionalFormatting>
  <conditionalFormatting sqref="C72">
    <cfRule type="cellIs" dxfId="1086" priority="243" stopIfTrue="1" operator="equal">
      <formula>#REF!</formula>
    </cfRule>
  </conditionalFormatting>
  <conditionalFormatting sqref="B72">
    <cfRule type="cellIs" dxfId="1085" priority="244" stopIfTrue="1" operator="equal">
      <formula>#REF!</formula>
    </cfRule>
  </conditionalFormatting>
  <conditionalFormatting sqref="W72:Y72 AA72">
    <cfRule type="cellIs" dxfId="1084" priority="246" stopIfTrue="1" operator="equal">
      <formula>"1 - Hard Load"</formula>
    </cfRule>
    <cfRule type="cellIs" dxfId="1083" priority="247" stopIfTrue="1" operator="equal">
      <formula>"3 - Not Loaded"</formula>
    </cfRule>
    <cfRule type="cellIs" dxfId="1082" priority="248" stopIfTrue="1" operator="equal">
      <formula>"2 - Soft Load"</formula>
    </cfRule>
  </conditionalFormatting>
  <conditionalFormatting sqref="R72 K72 I72 M72">
    <cfRule type="cellIs" dxfId="1081" priority="249" stopIfTrue="1" operator="equal">
      <formula>"Yes"</formula>
    </cfRule>
    <cfRule type="cellIs" dxfId="1080" priority="250" stopIfTrue="1" operator="equal">
      <formula>"No"</formula>
    </cfRule>
  </conditionalFormatting>
  <conditionalFormatting sqref="P72">
    <cfRule type="cellIs" dxfId="1079" priority="251" stopIfTrue="1" operator="equal">
      <formula>"Lockdown"</formula>
    </cfRule>
    <cfRule type="cellIs" dxfId="1078" priority="252" stopIfTrue="1" operator="equal">
      <formula>"OOM"</formula>
    </cfRule>
    <cfRule type="cellIs" dxfId="1077" priority="253" stopIfTrue="1" operator="equal">
      <formula>"Placeholder"</formula>
    </cfRule>
  </conditionalFormatting>
  <conditionalFormatting sqref="C73">
    <cfRule type="cellIs" dxfId="1076" priority="232" stopIfTrue="1" operator="equal">
      <formula>#REF!</formula>
    </cfRule>
  </conditionalFormatting>
  <conditionalFormatting sqref="B73">
    <cfRule type="cellIs" dxfId="1075" priority="233" stopIfTrue="1" operator="equal">
      <formula>#REF!</formula>
    </cfRule>
  </conditionalFormatting>
  <conditionalFormatting sqref="Z73">
    <cfRule type="cellIs" dxfId="1074" priority="234" stopIfTrue="1" operator="greaterThan">
      <formula>AA73</formula>
    </cfRule>
  </conditionalFormatting>
  <conditionalFormatting sqref="W73:Y73 AA73">
    <cfRule type="cellIs" dxfId="1073" priority="235" stopIfTrue="1" operator="equal">
      <formula>"1 - Hard Load"</formula>
    </cfRule>
    <cfRule type="cellIs" dxfId="1072" priority="236" stopIfTrue="1" operator="equal">
      <formula>"3 - Not Loaded"</formula>
    </cfRule>
    <cfRule type="cellIs" dxfId="1071" priority="237" stopIfTrue="1" operator="equal">
      <formula>"2 - Soft Load"</formula>
    </cfRule>
  </conditionalFormatting>
  <conditionalFormatting sqref="R73 K73 I73 M73">
    <cfRule type="cellIs" dxfId="1070" priority="238" stopIfTrue="1" operator="equal">
      <formula>"Yes"</formula>
    </cfRule>
    <cfRule type="cellIs" dxfId="1069" priority="239" stopIfTrue="1" operator="equal">
      <formula>"No"</formula>
    </cfRule>
  </conditionalFormatting>
  <conditionalFormatting sqref="P73">
    <cfRule type="cellIs" dxfId="1068" priority="240" stopIfTrue="1" operator="equal">
      <formula>"Lockdown"</formula>
    </cfRule>
    <cfRule type="cellIs" dxfId="1067" priority="241" stopIfTrue="1" operator="equal">
      <formula>"OOM"</formula>
    </cfRule>
    <cfRule type="cellIs" dxfId="1066" priority="242" stopIfTrue="1" operator="equal">
      <formula>"Placeholder"</formula>
    </cfRule>
  </conditionalFormatting>
  <conditionalFormatting sqref="C74">
    <cfRule type="cellIs" dxfId="1065" priority="221" stopIfTrue="1" operator="equal">
      <formula>#REF!</formula>
    </cfRule>
  </conditionalFormatting>
  <conditionalFormatting sqref="B74">
    <cfRule type="cellIs" dxfId="1064" priority="222" stopIfTrue="1" operator="equal">
      <formula>#REF!</formula>
    </cfRule>
  </conditionalFormatting>
  <conditionalFormatting sqref="Z74">
    <cfRule type="cellIs" dxfId="1063" priority="223" stopIfTrue="1" operator="greaterThan">
      <formula>AA74</formula>
    </cfRule>
  </conditionalFormatting>
  <conditionalFormatting sqref="W74:Y74 AA74">
    <cfRule type="cellIs" dxfId="1062" priority="224" stopIfTrue="1" operator="equal">
      <formula>"1 - Hard Load"</formula>
    </cfRule>
    <cfRule type="cellIs" dxfId="1061" priority="225" stopIfTrue="1" operator="equal">
      <formula>"3 - Not Loaded"</formula>
    </cfRule>
    <cfRule type="cellIs" dxfId="1060" priority="226" stopIfTrue="1" operator="equal">
      <formula>"2 - Soft Load"</formula>
    </cfRule>
  </conditionalFormatting>
  <conditionalFormatting sqref="R74 K74 I74 M74">
    <cfRule type="cellIs" dxfId="1059" priority="227" stopIfTrue="1" operator="equal">
      <formula>"Yes"</formula>
    </cfRule>
    <cfRule type="cellIs" dxfId="1058" priority="228" stopIfTrue="1" operator="equal">
      <formula>"No"</formula>
    </cfRule>
  </conditionalFormatting>
  <conditionalFormatting sqref="P74">
    <cfRule type="cellIs" dxfId="1057" priority="229" stopIfTrue="1" operator="equal">
      <formula>"Lockdown"</formula>
    </cfRule>
    <cfRule type="cellIs" dxfId="1056" priority="230" stopIfTrue="1" operator="equal">
      <formula>"OOM"</formula>
    </cfRule>
    <cfRule type="cellIs" dxfId="1055" priority="231" stopIfTrue="1" operator="equal">
      <formula>"Placeholder"</formula>
    </cfRule>
  </conditionalFormatting>
  <conditionalFormatting sqref="C75:C76">
    <cfRule type="cellIs" dxfId="1054" priority="210" stopIfTrue="1" operator="equal">
      <formula>#REF!</formula>
    </cfRule>
  </conditionalFormatting>
  <conditionalFormatting sqref="B75:B76">
    <cfRule type="cellIs" dxfId="1053" priority="211" stopIfTrue="1" operator="equal">
      <formula>#REF!</formula>
    </cfRule>
  </conditionalFormatting>
  <conditionalFormatting sqref="Z75:Z76">
    <cfRule type="cellIs" dxfId="1052" priority="212" stopIfTrue="1" operator="greaterThan">
      <formula>AA75</formula>
    </cfRule>
  </conditionalFormatting>
  <conditionalFormatting sqref="W75:Y76 AA75:AA76">
    <cfRule type="cellIs" dxfId="1051" priority="213" stopIfTrue="1" operator="equal">
      <formula>"1 - Hard Load"</formula>
    </cfRule>
    <cfRule type="cellIs" dxfId="1050" priority="214" stopIfTrue="1" operator="equal">
      <formula>"3 - Not Loaded"</formula>
    </cfRule>
    <cfRule type="cellIs" dxfId="1049" priority="215" stopIfTrue="1" operator="equal">
      <formula>"2 - Soft Load"</formula>
    </cfRule>
  </conditionalFormatting>
  <conditionalFormatting sqref="R75:R76 K75:K76 I75:I76 M75:M76">
    <cfRule type="cellIs" dxfId="1048" priority="216" stopIfTrue="1" operator="equal">
      <formula>"Yes"</formula>
    </cfRule>
    <cfRule type="cellIs" dxfId="1047" priority="217" stopIfTrue="1" operator="equal">
      <formula>"No"</formula>
    </cfRule>
  </conditionalFormatting>
  <conditionalFormatting sqref="P75:P76">
    <cfRule type="cellIs" dxfId="1046" priority="218" stopIfTrue="1" operator="equal">
      <formula>"Lockdown"</formula>
    </cfRule>
    <cfRule type="cellIs" dxfId="1045" priority="219" stopIfTrue="1" operator="equal">
      <formula>"OOM"</formula>
    </cfRule>
    <cfRule type="cellIs" dxfId="1044" priority="220" stopIfTrue="1" operator="equal">
      <formula>"Placeholder"</formula>
    </cfRule>
  </conditionalFormatting>
  <conditionalFormatting sqref="C77">
    <cfRule type="cellIs" dxfId="1043" priority="199" stopIfTrue="1" operator="equal">
      <formula>#REF!</formula>
    </cfRule>
  </conditionalFormatting>
  <conditionalFormatting sqref="B77">
    <cfRule type="cellIs" dxfId="1042" priority="200" stopIfTrue="1" operator="equal">
      <formula>#REF!</formula>
    </cfRule>
  </conditionalFormatting>
  <conditionalFormatting sqref="Z77">
    <cfRule type="cellIs" dxfId="1041" priority="201" stopIfTrue="1" operator="greaterThan">
      <formula>AA77</formula>
    </cfRule>
  </conditionalFormatting>
  <conditionalFormatting sqref="W77:Y77 AA77">
    <cfRule type="cellIs" dxfId="1040" priority="202" stopIfTrue="1" operator="equal">
      <formula>"1 - Hard Load"</formula>
    </cfRule>
    <cfRule type="cellIs" dxfId="1039" priority="203" stopIfTrue="1" operator="equal">
      <formula>"3 - Not Loaded"</formula>
    </cfRule>
    <cfRule type="cellIs" dxfId="1038" priority="204" stopIfTrue="1" operator="equal">
      <formula>"2 - Soft Load"</formula>
    </cfRule>
  </conditionalFormatting>
  <conditionalFormatting sqref="R77 K77 I77 M77">
    <cfRule type="cellIs" dxfId="1037" priority="205" stopIfTrue="1" operator="equal">
      <formula>"Yes"</formula>
    </cfRule>
    <cfRule type="cellIs" dxfId="1036" priority="206" stopIfTrue="1" operator="equal">
      <formula>"No"</formula>
    </cfRule>
  </conditionalFormatting>
  <conditionalFormatting sqref="P77">
    <cfRule type="cellIs" dxfId="1035" priority="207" stopIfTrue="1" operator="equal">
      <formula>"Lockdown"</formula>
    </cfRule>
    <cfRule type="cellIs" dxfId="1034" priority="208" stopIfTrue="1" operator="equal">
      <formula>"OOM"</formula>
    </cfRule>
    <cfRule type="cellIs" dxfId="1033" priority="209" stopIfTrue="1" operator="equal">
      <formula>"Placeholder"</formula>
    </cfRule>
  </conditionalFormatting>
  <conditionalFormatting sqref="C78">
    <cfRule type="cellIs" dxfId="1032" priority="188" stopIfTrue="1" operator="equal">
      <formula>#REF!</formula>
    </cfRule>
  </conditionalFormatting>
  <conditionalFormatting sqref="B78">
    <cfRule type="cellIs" dxfId="1031" priority="189" stopIfTrue="1" operator="equal">
      <formula>#REF!</formula>
    </cfRule>
  </conditionalFormatting>
  <conditionalFormatting sqref="W78:Y78 AA78">
    <cfRule type="cellIs" dxfId="1030" priority="191" stopIfTrue="1" operator="equal">
      <formula>"1 - Hard Load"</formula>
    </cfRule>
    <cfRule type="cellIs" dxfId="1029" priority="192" stopIfTrue="1" operator="equal">
      <formula>"3 - Not Loaded"</formula>
    </cfRule>
    <cfRule type="cellIs" dxfId="1028" priority="193" stopIfTrue="1" operator="equal">
      <formula>"2 - Soft Load"</formula>
    </cfRule>
  </conditionalFormatting>
  <conditionalFormatting sqref="R78 K78 I78 M78">
    <cfRule type="cellIs" dxfId="1027" priority="194" stopIfTrue="1" operator="equal">
      <formula>"Yes"</formula>
    </cfRule>
    <cfRule type="cellIs" dxfId="1026" priority="195" stopIfTrue="1" operator="equal">
      <formula>"No"</formula>
    </cfRule>
  </conditionalFormatting>
  <conditionalFormatting sqref="P78">
    <cfRule type="cellIs" dxfId="1025" priority="196" stopIfTrue="1" operator="equal">
      <formula>"Lockdown"</formula>
    </cfRule>
    <cfRule type="cellIs" dxfId="1024" priority="197" stopIfTrue="1" operator="equal">
      <formula>"OOM"</formula>
    </cfRule>
    <cfRule type="cellIs" dxfId="1023" priority="198" stopIfTrue="1" operator="equal">
      <formula>"Placeholder"</formula>
    </cfRule>
  </conditionalFormatting>
  <conditionalFormatting sqref="C79">
    <cfRule type="cellIs" dxfId="1022" priority="177" stopIfTrue="1" operator="equal">
      <formula>#REF!</formula>
    </cfRule>
  </conditionalFormatting>
  <conditionalFormatting sqref="B79">
    <cfRule type="cellIs" dxfId="1021" priority="178" stopIfTrue="1" operator="equal">
      <formula>#REF!</formula>
    </cfRule>
  </conditionalFormatting>
  <conditionalFormatting sqref="Z79">
    <cfRule type="cellIs" dxfId="1020" priority="179" stopIfTrue="1" operator="greaterThan">
      <formula>AA79</formula>
    </cfRule>
  </conditionalFormatting>
  <conditionalFormatting sqref="W79:Y79 AA79">
    <cfRule type="cellIs" dxfId="1019" priority="180" stopIfTrue="1" operator="equal">
      <formula>"1 - Hard Load"</formula>
    </cfRule>
    <cfRule type="cellIs" dxfId="1018" priority="181" stopIfTrue="1" operator="equal">
      <formula>"3 - Not Loaded"</formula>
    </cfRule>
    <cfRule type="cellIs" dxfId="1017" priority="182" stopIfTrue="1" operator="equal">
      <formula>"2 - Soft Load"</formula>
    </cfRule>
  </conditionalFormatting>
  <conditionalFormatting sqref="R79 K79 I79 M79">
    <cfRule type="cellIs" dxfId="1016" priority="183" stopIfTrue="1" operator="equal">
      <formula>"Yes"</formula>
    </cfRule>
    <cfRule type="cellIs" dxfId="1015" priority="184" stopIfTrue="1" operator="equal">
      <formula>"No"</formula>
    </cfRule>
  </conditionalFormatting>
  <conditionalFormatting sqref="P79">
    <cfRule type="cellIs" dxfId="1014" priority="185" stopIfTrue="1" operator="equal">
      <formula>"Lockdown"</formula>
    </cfRule>
    <cfRule type="cellIs" dxfId="1013" priority="186" stopIfTrue="1" operator="equal">
      <formula>"OOM"</formula>
    </cfRule>
    <cfRule type="cellIs" dxfId="1012" priority="187" stopIfTrue="1" operator="equal">
      <formula>"Placeholder"</formula>
    </cfRule>
  </conditionalFormatting>
  <conditionalFormatting sqref="C80">
    <cfRule type="cellIs" dxfId="1011" priority="166" stopIfTrue="1" operator="equal">
      <formula>#REF!</formula>
    </cfRule>
  </conditionalFormatting>
  <conditionalFormatting sqref="B80">
    <cfRule type="cellIs" dxfId="1010" priority="167" stopIfTrue="1" operator="equal">
      <formula>#REF!</formula>
    </cfRule>
  </conditionalFormatting>
  <conditionalFormatting sqref="Z80">
    <cfRule type="cellIs" dxfId="1009" priority="168" stopIfTrue="1" operator="greaterThan">
      <formula>AA80</formula>
    </cfRule>
  </conditionalFormatting>
  <conditionalFormatting sqref="W80:Y80 AA80">
    <cfRule type="cellIs" dxfId="1008" priority="169" stopIfTrue="1" operator="equal">
      <formula>"1 - Hard Load"</formula>
    </cfRule>
    <cfRule type="cellIs" dxfId="1007" priority="170" stopIfTrue="1" operator="equal">
      <formula>"3 - Not Loaded"</formula>
    </cfRule>
    <cfRule type="cellIs" dxfId="1006" priority="171" stopIfTrue="1" operator="equal">
      <formula>"2 - Soft Load"</formula>
    </cfRule>
  </conditionalFormatting>
  <conditionalFormatting sqref="R80 K80 I80 M80">
    <cfRule type="cellIs" dxfId="1005" priority="172" stopIfTrue="1" operator="equal">
      <formula>"Yes"</formula>
    </cfRule>
    <cfRule type="cellIs" dxfId="1004" priority="173" stopIfTrue="1" operator="equal">
      <formula>"No"</formula>
    </cfRule>
  </conditionalFormatting>
  <conditionalFormatting sqref="P80">
    <cfRule type="cellIs" dxfId="1003" priority="174" stopIfTrue="1" operator="equal">
      <formula>"Lockdown"</formula>
    </cfRule>
    <cfRule type="cellIs" dxfId="1002" priority="175" stopIfTrue="1" operator="equal">
      <formula>"OOM"</formula>
    </cfRule>
    <cfRule type="cellIs" dxfId="1001" priority="176" stopIfTrue="1" operator="equal">
      <formula>"Placeholder"</formula>
    </cfRule>
  </conditionalFormatting>
  <conditionalFormatting sqref="C81">
    <cfRule type="cellIs" dxfId="1000" priority="155" stopIfTrue="1" operator="equal">
      <formula>#REF!</formula>
    </cfRule>
  </conditionalFormatting>
  <conditionalFormatting sqref="B81">
    <cfRule type="cellIs" dxfId="999" priority="156" stopIfTrue="1" operator="equal">
      <formula>#REF!</formula>
    </cfRule>
  </conditionalFormatting>
  <conditionalFormatting sqref="W81:Y81 AA81">
    <cfRule type="cellIs" dxfId="998" priority="158" stopIfTrue="1" operator="equal">
      <formula>"1 - Hard Load"</formula>
    </cfRule>
    <cfRule type="cellIs" dxfId="997" priority="159" stopIfTrue="1" operator="equal">
      <formula>"3 - Not Loaded"</formula>
    </cfRule>
    <cfRule type="cellIs" dxfId="996" priority="160" stopIfTrue="1" operator="equal">
      <formula>"2 - Soft Load"</formula>
    </cfRule>
  </conditionalFormatting>
  <conditionalFormatting sqref="R81 K81 I81 M81">
    <cfRule type="cellIs" dxfId="995" priority="161" stopIfTrue="1" operator="equal">
      <formula>"Yes"</formula>
    </cfRule>
    <cfRule type="cellIs" dxfId="994" priority="162" stopIfTrue="1" operator="equal">
      <formula>"No"</formula>
    </cfRule>
  </conditionalFormatting>
  <conditionalFormatting sqref="P81">
    <cfRule type="cellIs" dxfId="993" priority="163" stopIfTrue="1" operator="equal">
      <formula>"Lockdown"</formula>
    </cfRule>
    <cfRule type="cellIs" dxfId="992" priority="164" stopIfTrue="1" operator="equal">
      <formula>"OOM"</formula>
    </cfRule>
    <cfRule type="cellIs" dxfId="991" priority="165" stopIfTrue="1" operator="equal">
      <formula>"Placeholder"</formula>
    </cfRule>
  </conditionalFormatting>
  <conditionalFormatting sqref="C82">
    <cfRule type="cellIs" dxfId="990" priority="144" stopIfTrue="1" operator="equal">
      <formula>#REF!</formula>
    </cfRule>
  </conditionalFormatting>
  <conditionalFormatting sqref="B82">
    <cfRule type="cellIs" dxfId="989" priority="145" stopIfTrue="1" operator="equal">
      <formula>#REF!</formula>
    </cfRule>
  </conditionalFormatting>
  <conditionalFormatting sqref="Z82">
    <cfRule type="cellIs" dxfId="988" priority="146" stopIfTrue="1" operator="greaterThan">
      <formula>AA82</formula>
    </cfRule>
  </conditionalFormatting>
  <conditionalFormatting sqref="W82:Y82 AA82">
    <cfRule type="cellIs" dxfId="987" priority="147" stopIfTrue="1" operator="equal">
      <formula>"1 - Hard Load"</formula>
    </cfRule>
    <cfRule type="cellIs" dxfId="986" priority="148" stopIfTrue="1" operator="equal">
      <formula>"3 - Not Loaded"</formula>
    </cfRule>
    <cfRule type="cellIs" dxfId="985" priority="149" stopIfTrue="1" operator="equal">
      <formula>"2 - Soft Load"</formula>
    </cfRule>
  </conditionalFormatting>
  <conditionalFormatting sqref="R82 K82 I82 M82">
    <cfRule type="cellIs" dxfId="984" priority="150" stopIfTrue="1" operator="equal">
      <formula>"Yes"</formula>
    </cfRule>
    <cfRule type="cellIs" dxfId="983" priority="151" stopIfTrue="1" operator="equal">
      <formula>"No"</formula>
    </cfRule>
  </conditionalFormatting>
  <conditionalFormatting sqref="P82">
    <cfRule type="cellIs" dxfId="982" priority="152" stopIfTrue="1" operator="equal">
      <formula>"Lockdown"</formula>
    </cfRule>
    <cfRule type="cellIs" dxfId="981" priority="153" stopIfTrue="1" operator="equal">
      <formula>"OOM"</formula>
    </cfRule>
    <cfRule type="cellIs" dxfId="980" priority="154" stopIfTrue="1" operator="equal">
      <formula>"Placeholder"</formula>
    </cfRule>
  </conditionalFormatting>
  <conditionalFormatting sqref="C98">
    <cfRule type="cellIs" dxfId="979" priority="1" stopIfTrue="1" operator="equal">
      <formula>#REF!</formula>
    </cfRule>
  </conditionalFormatting>
  <conditionalFormatting sqref="B98">
    <cfRule type="cellIs" dxfId="978" priority="2" stopIfTrue="1" operator="equal">
      <formula>#REF!</formula>
    </cfRule>
  </conditionalFormatting>
  <conditionalFormatting sqref="Z98">
    <cfRule type="cellIs" dxfId="977" priority="3" stopIfTrue="1" operator="greaterThan">
      <formula>AA98</formula>
    </cfRule>
  </conditionalFormatting>
  <conditionalFormatting sqref="W98:Y98 AA98">
    <cfRule type="cellIs" dxfId="976" priority="4" stopIfTrue="1" operator="equal">
      <formula>"1 - Hard Load"</formula>
    </cfRule>
    <cfRule type="cellIs" dxfId="975" priority="5" stopIfTrue="1" operator="equal">
      <formula>"3 - Not Loaded"</formula>
    </cfRule>
    <cfRule type="cellIs" dxfId="974" priority="6" stopIfTrue="1" operator="equal">
      <formula>"2 - Soft Load"</formula>
    </cfRule>
  </conditionalFormatting>
  <conditionalFormatting sqref="R98 K98 I98 M98">
    <cfRule type="cellIs" dxfId="973" priority="7" stopIfTrue="1" operator="equal">
      <formula>"Yes"</formula>
    </cfRule>
    <cfRule type="cellIs" dxfId="972" priority="8" stopIfTrue="1" operator="equal">
      <formula>"No"</formula>
    </cfRule>
  </conditionalFormatting>
  <conditionalFormatting sqref="P98">
    <cfRule type="cellIs" dxfId="971" priority="9" stopIfTrue="1" operator="equal">
      <formula>"Lockdown"</formula>
    </cfRule>
    <cfRule type="cellIs" dxfId="970" priority="10" stopIfTrue="1" operator="equal">
      <formula>"OOM"</formula>
    </cfRule>
    <cfRule type="cellIs" dxfId="969" priority="11" stopIfTrue="1" operator="equal">
      <formula>"Placeholder"</formula>
    </cfRule>
  </conditionalFormatting>
  <conditionalFormatting sqref="C84:C85">
    <cfRule type="cellIs" dxfId="968" priority="122" stopIfTrue="1" operator="equal">
      <formula>#REF!</formula>
    </cfRule>
  </conditionalFormatting>
  <conditionalFormatting sqref="B84:B85">
    <cfRule type="cellIs" dxfId="967" priority="123" stopIfTrue="1" operator="equal">
      <formula>#REF!</formula>
    </cfRule>
  </conditionalFormatting>
  <conditionalFormatting sqref="Z84:Z85">
    <cfRule type="cellIs" dxfId="966" priority="124" stopIfTrue="1" operator="greaterThan">
      <formula>AA84</formula>
    </cfRule>
  </conditionalFormatting>
  <conditionalFormatting sqref="W84:Y85 AA84:AA85">
    <cfRule type="cellIs" dxfId="965" priority="125" stopIfTrue="1" operator="equal">
      <formula>"1 - Hard Load"</formula>
    </cfRule>
    <cfRule type="cellIs" dxfId="964" priority="126" stopIfTrue="1" operator="equal">
      <formula>"3 - Not Loaded"</formula>
    </cfRule>
    <cfRule type="cellIs" dxfId="963" priority="127" stopIfTrue="1" operator="equal">
      <formula>"2 - Soft Load"</formula>
    </cfRule>
  </conditionalFormatting>
  <conditionalFormatting sqref="R84:R85 K84:K85 I84:I85 M84:M85">
    <cfRule type="cellIs" dxfId="962" priority="128" stopIfTrue="1" operator="equal">
      <formula>"Yes"</formula>
    </cfRule>
    <cfRule type="cellIs" dxfId="961" priority="129" stopIfTrue="1" operator="equal">
      <formula>"No"</formula>
    </cfRule>
  </conditionalFormatting>
  <conditionalFormatting sqref="P84:P85">
    <cfRule type="cellIs" dxfId="960" priority="130" stopIfTrue="1" operator="equal">
      <formula>"Lockdown"</formula>
    </cfRule>
    <cfRule type="cellIs" dxfId="959" priority="131" stopIfTrue="1" operator="equal">
      <formula>"OOM"</formula>
    </cfRule>
    <cfRule type="cellIs" dxfId="958" priority="132" stopIfTrue="1" operator="equal">
      <formula>"Placeholder"</formula>
    </cfRule>
  </conditionalFormatting>
  <conditionalFormatting sqref="C86">
    <cfRule type="cellIs" dxfId="957" priority="111" stopIfTrue="1" operator="equal">
      <formula>#REF!</formula>
    </cfRule>
  </conditionalFormatting>
  <conditionalFormatting sqref="B86">
    <cfRule type="cellIs" dxfId="956" priority="112" stopIfTrue="1" operator="equal">
      <formula>#REF!</formula>
    </cfRule>
  </conditionalFormatting>
  <conditionalFormatting sqref="Z86">
    <cfRule type="cellIs" dxfId="955" priority="113" stopIfTrue="1" operator="greaterThan">
      <formula>AA86</formula>
    </cfRule>
  </conditionalFormatting>
  <conditionalFormatting sqref="W86:Y86 AA86">
    <cfRule type="cellIs" dxfId="954" priority="114" stopIfTrue="1" operator="equal">
      <formula>"1 - Hard Load"</formula>
    </cfRule>
    <cfRule type="cellIs" dxfId="953" priority="115" stopIfTrue="1" operator="equal">
      <formula>"3 - Not Loaded"</formula>
    </cfRule>
    <cfRule type="cellIs" dxfId="952" priority="116" stopIfTrue="1" operator="equal">
      <formula>"2 - Soft Load"</formula>
    </cfRule>
  </conditionalFormatting>
  <conditionalFormatting sqref="R86 K86 I86 M86">
    <cfRule type="cellIs" dxfId="951" priority="117" stopIfTrue="1" operator="equal">
      <formula>"Yes"</formula>
    </cfRule>
    <cfRule type="cellIs" dxfId="950" priority="118" stopIfTrue="1" operator="equal">
      <formula>"No"</formula>
    </cfRule>
  </conditionalFormatting>
  <conditionalFormatting sqref="P86">
    <cfRule type="cellIs" dxfId="949" priority="119" stopIfTrue="1" operator="equal">
      <formula>"Lockdown"</formula>
    </cfRule>
    <cfRule type="cellIs" dxfId="948" priority="120" stopIfTrue="1" operator="equal">
      <formula>"OOM"</formula>
    </cfRule>
    <cfRule type="cellIs" dxfId="947" priority="121" stopIfTrue="1" operator="equal">
      <formula>"Placeholder"</formula>
    </cfRule>
  </conditionalFormatting>
  <conditionalFormatting sqref="C87">
    <cfRule type="cellIs" dxfId="946" priority="100" stopIfTrue="1" operator="equal">
      <formula>#REF!</formula>
    </cfRule>
  </conditionalFormatting>
  <conditionalFormatting sqref="B87">
    <cfRule type="cellIs" dxfId="945" priority="101" stopIfTrue="1" operator="equal">
      <formula>#REF!</formula>
    </cfRule>
  </conditionalFormatting>
  <conditionalFormatting sqref="Z87">
    <cfRule type="cellIs" dxfId="944" priority="102" stopIfTrue="1" operator="greaterThan">
      <formula>AA87</formula>
    </cfRule>
  </conditionalFormatting>
  <conditionalFormatting sqref="W87:Y87 AA87">
    <cfRule type="cellIs" dxfId="943" priority="103" stopIfTrue="1" operator="equal">
      <formula>"1 - Hard Load"</formula>
    </cfRule>
    <cfRule type="cellIs" dxfId="942" priority="104" stopIfTrue="1" operator="equal">
      <formula>"3 - Not Loaded"</formula>
    </cfRule>
    <cfRule type="cellIs" dxfId="941" priority="105" stopIfTrue="1" operator="equal">
      <formula>"2 - Soft Load"</formula>
    </cfRule>
  </conditionalFormatting>
  <conditionalFormatting sqref="R87 K87 I87 M87">
    <cfRule type="cellIs" dxfId="940" priority="106" stopIfTrue="1" operator="equal">
      <formula>"Yes"</formula>
    </cfRule>
    <cfRule type="cellIs" dxfId="939" priority="107" stopIfTrue="1" operator="equal">
      <formula>"No"</formula>
    </cfRule>
  </conditionalFormatting>
  <conditionalFormatting sqref="P87">
    <cfRule type="cellIs" dxfId="938" priority="108" stopIfTrue="1" operator="equal">
      <formula>"Lockdown"</formula>
    </cfRule>
    <cfRule type="cellIs" dxfId="937" priority="109" stopIfTrue="1" operator="equal">
      <formula>"OOM"</formula>
    </cfRule>
    <cfRule type="cellIs" dxfId="936" priority="110" stopIfTrue="1" operator="equal">
      <formula>"Placeholder"</formula>
    </cfRule>
  </conditionalFormatting>
  <conditionalFormatting sqref="C88:C89">
    <cfRule type="cellIs" dxfId="935" priority="89" stopIfTrue="1" operator="equal">
      <formula>#REF!</formula>
    </cfRule>
  </conditionalFormatting>
  <conditionalFormatting sqref="B88:B89">
    <cfRule type="cellIs" dxfId="934" priority="90" stopIfTrue="1" operator="equal">
      <formula>#REF!</formula>
    </cfRule>
  </conditionalFormatting>
  <conditionalFormatting sqref="Z88:Z89">
    <cfRule type="cellIs" dxfId="933" priority="91" stopIfTrue="1" operator="greaterThan">
      <formula>AA88</formula>
    </cfRule>
  </conditionalFormatting>
  <conditionalFormatting sqref="W88:Y89 AA88:AA89">
    <cfRule type="cellIs" dxfId="932" priority="92" stopIfTrue="1" operator="equal">
      <formula>"1 - Hard Load"</formula>
    </cfRule>
    <cfRule type="cellIs" dxfId="931" priority="93" stopIfTrue="1" operator="equal">
      <formula>"3 - Not Loaded"</formula>
    </cfRule>
    <cfRule type="cellIs" dxfId="930" priority="94" stopIfTrue="1" operator="equal">
      <formula>"2 - Soft Load"</formula>
    </cfRule>
  </conditionalFormatting>
  <conditionalFormatting sqref="R88:R89 K88:K89 I88:I89 M88:M89">
    <cfRule type="cellIs" dxfId="929" priority="95" stopIfTrue="1" operator="equal">
      <formula>"Yes"</formula>
    </cfRule>
    <cfRule type="cellIs" dxfId="928" priority="96" stopIfTrue="1" operator="equal">
      <formula>"No"</formula>
    </cfRule>
  </conditionalFormatting>
  <conditionalFormatting sqref="P88:P89">
    <cfRule type="cellIs" dxfId="927" priority="97" stopIfTrue="1" operator="equal">
      <formula>"Lockdown"</formula>
    </cfRule>
    <cfRule type="cellIs" dxfId="926" priority="98" stopIfTrue="1" operator="equal">
      <formula>"OOM"</formula>
    </cfRule>
    <cfRule type="cellIs" dxfId="925" priority="99" stopIfTrue="1" operator="equal">
      <formula>"Placeholder"</formula>
    </cfRule>
  </conditionalFormatting>
  <conditionalFormatting sqref="C90">
    <cfRule type="cellIs" dxfId="924" priority="78" stopIfTrue="1" operator="equal">
      <formula>#REF!</formula>
    </cfRule>
  </conditionalFormatting>
  <conditionalFormatting sqref="B90">
    <cfRule type="cellIs" dxfId="923" priority="79" stopIfTrue="1" operator="equal">
      <formula>#REF!</formula>
    </cfRule>
  </conditionalFormatting>
  <conditionalFormatting sqref="Z90">
    <cfRule type="cellIs" dxfId="922" priority="80" stopIfTrue="1" operator="greaterThan">
      <formula>AA90</formula>
    </cfRule>
  </conditionalFormatting>
  <conditionalFormatting sqref="W90:Y90 AA90">
    <cfRule type="cellIs" dxfId="921" priority="81" stopIfTrue="1" operator="equal">
      <formula>"1 - Hard Load"</formula>
    </cfRule>
    <cfRule type="cellIs" dxfId="920" priority="82" stopIfTrue="1" operator="equal">
      <formula>"3 - Not Loaded"</formula>
    </cfRule>
    <cfRule type="cellIs" dxfId="919" priority="83" stopIfTrue="1" operator="equal">
      <formula>"2 - Soft Load"</formula>
    </cfRule>
  </conditionalFormatting>
  <conditionalFormatting sqref="R90 K90 I90 M90">
    <cfRule type="cellIs" dxfId="918" priority="84" stopIfTrue="1" operator="equal">
      <formula>"Yes"</formula>
    </cfRule>
    <cfRule type="cellIs" dxfId="917" priority="85" stopIfTrue="1" operator="equal">
      <formula>"No"</formula>
    </cfRule>
  </conditionalFormatting>
  <conditionalFormatting sqref="P90">
    <cfRule type="cellIs" dxfId="916" priority="86" stopIfTrue="1" operator="equal">
      <formula>"Lockdown"</formula>
    </cfRule>
    <cfRule type="cellIs" dxfId="915" priority="87" stopIfTrue="1" operator="equal">
      <formula>"OOM"</formula>
    </cfRule>
    <cfRule type="cellIs" dxfId="914" priority="88" stopIfTrue="1" operator="equal">
      <formula>"Placeholder"</formula>
    </cfRule>
  </conditionalFormatting>
  <conditionalFormatting sqref="C91">
    <cfRule type="cellIs" dxfId="913" priority="56" stopIfTrue="1" operator="equal">
      <formula>#REF!</formula>
    </cfRule>
  </conditionalFormatting>
  <conditionalFormatting sqref="B91">
    <cfRule type="cellIs" dxfId="912" priority="57" stopIfTrue="1" operator="equal">
      <formula>#REF!</formula>
    </cfRule>
  </conditionalFormatting>
  <conditionalFormatting sqref="Z91">
    <cfRule type="cellIs" dxfId="911" priority="58" stopIfTrue="1" operator="greaterThan">
      <formula>AA91</formula>
    </cfRule>
  </conditionalFormatting>
  <conditionalFormatting sqref="W91:Y91 AA91">
    <cfRule type="cellIs" dxfId="910" priority="59" stopIfTrue="1" operator="equal">
      <formula>"1 - Hard Load"</formula>
    </cfRule>
    <cfRule type="cellIs" dxfId="909" priority="60" stopIfTrue="1" operator="equal">
      <formula>"3 - Not Loaded"</formula>
    </cfRule>
    <cfRule type="cellIs" dxfId="908" priority="61" stopIfTrue="1" operator="equal">
      <formula>"2 - Soft Load"</formula>
    </cfRule>
  </conditionalFormatting>
  <conditionalFormatting sqref="R91 K91 I91 M91">
    <cfRule type="cellIs" dxfId="907" priority="62" stopIfTrue="1" operator="equal">
      <formula>"Yes"</formula>
    </cfRule>
    <cfRule type="cellIs" dxfId="906" priority="63" stopIfTrue="1" operator="equal">
      <formula>"No"</formula>
    </cfRule>
  </conditionalFormatting>
  <conditionalFormatting sqref="P91">
    <cfRule type="cellIs" dxfId="905" priority="64" stopIfTrue="1" operator="equal">
      <formula>"Lockdown"</formula>
    </cfRule>
    <cfRule type="cellIs" dxfId="904" priority="65" stopIfTrue="1" operator="equal">
      <formula>"OOM"</formula>
    </cfRule>
    <cfRule type="cellIs" dxfId="903" priority="66" stopIfTrue="1" operator="equal">
      <formula>"Placeholder"</formula>
    </cfRule>
  </conditionalFormatting>
  <conditionalFormatting sqref="C92:C93">
    <cfRule type="cellIs" dxfId="902" priority="45" stopIfTrue="1" operator="equal">
      <formula>#REF!</formula>
    </cfRule>
  </conditionalFormatting>
  <conditionalFormatting sqref="B92:B93">
    <cfRule type="cellIs" dxfId="901" priority="46" stopIfTrue="1" operator="equal">
      <formula>#REF!</formula>
    </cfRule>
  </conditionalFormatting>
  <conditionalFormatting sqref="Z92:Z93">
    <cfRule type="cellIs" dxfId="900" priority="47" stopIfTrue="1" operator="greaterThan">
      <formula>AA92</formula>
    </cfRule>
  </conditionalFormatting>
  <conditionalFormatting sqref="W92:Y93 AA92:AA93">
    <cfRule type="cellIs" dxfId="899" priority="48" stopIfTrue="1" operator="equal">
      <formula>"1 - Hard Load"</formula>
    </cfRule>
    <cfRule type="cellIs" dxfId="898" priority="49" stopIfTrue="1" operator="equal">
      <formula>"3 - Not Loaded"</formula>
    </cfRule>
    <cfRule type="cellIs" dxfId="897" priority="50" stopIfTrue="1" operator="equal">
      <formula>"2 - Soft Load"</formula>
    </cfRule>
  </conditionalFormatting>
  <conditionalFormatting sqref="R92:R93 K92:K93 I92:I93 M92:M93">
    <cfRule type="cellIs" dxfId="896" priority="51" stopIfTrue="1" operator="equal">
      <formula>"Yes"</formula>
    </cfRule>
    <cfRule type="cellIs" dxfId="895" priority="52" stopIfTrue="1" operator="equal">
      <formula>"No"</formula>
    </cfRule>
  </conditionalFormatting>
  <conditionalFormatting sqref="P92:P93">
    <cfRule type="cellIs" dxfId="894" priority="53" stopIfTrue="1" operator="equal">
      <formula>"Lockdown"</formula>
    </cfRule>
    <cfRule type="cellIs" dxfId="893" priority="54" stopIfTrue="1" operator="equal">
      <formula>"OOM"</formula>
    </cfRule>
    <cfRule type="cellIs" dxfId="892" priority="55" stopIfTrue="1" operator="equal">
      <formula>"Placeholder"</formula>
    </cfRule>
  </conditionalFormatting>
  <conditionalFormatting sqref="C94">
    <cfRule type="cellIs" dxfId="891" priority="34" stopIfTrue="1" operator="equal">
      <formula>#REF!</formula>
    </cfRule>
  </conditionalFormatting>
  <conditionalFormatting sqref="B94">
    <cfRule type="cellIs" dxfId="890" priority="35" stopIfTrue="1" operator="equal">
      <formula>#REF!</formula>
    </cfRule>
  </conditionalFormatting>
  <conditionalFormatting sqref="Z94">
    <cfRule type="cellIs" dxfId="889" priority="36" stopIfTrue="1" operator="greaterThan">
      <formula>AA94</formula>
    </cfRule>
  </conditionalFormatting>
  <conditionalFormatting sqref="W94:Y94 AA94">
    <cfRule type="cellIs" dxfId="888" priority="37" stopIfTrue="1" operator="equal">
      <formula>"1 - Hard Load"</formula>
    </cfRule>
    <cfRule type="cellIs" dxfId="887" priority="38" stopIfTrue="1" operator="equal">
      <formula>"3 - Not Loaded"</formula>
    </cfRule>
    <cfRule type="cellIs" dxfId="886" priority="39" stopIfTrue="1" operator="equal">
      <formula>"2 - Soft Load"</formula>
    </cfRule>
  </conditionalFormatting>
  <conditionalFormatting sqref="R94 K94 I94 M94">
    <cfRule type="cellIs" dxfId="885" priority="40" stopIfTrue="1" operator="equal">
      <formula>"Yes"</formula>
    </cfRule>
    <cfRule type="cellIs" dxfId="884" priority="41" stopIfTrue="1" operator="equal">
      <formula>"No"</formula>
    </cfRule>
  </conditionalFormatting>
  <conditionalFormatting sqref="P94">
    <cfRule type="cellIs" dxfId="883" priority="42" stopIfTrue="1" operator="equal">
      <formula>"Lockdown"</formula>
    </cfRule>
    <cfRule type="cellIs" dxfId="882" priority="43" stopIfTrue="1" operator="equal">
      <formula>"OOM"</formula>
    </cfRule>
    <cfRule type="cellIs" dxfId="881" priority="44" stopIfTrue="1" operator="equal">
      <formula>"Placeholder"</formula>
    </cfRule>
  </conditionalFormatting>
  <conditionalFormatting sqref="C95">
    <cfRule type="cellIs" dxfId="880" priority="23" stopIfTrue="1" operator="equal">
      <formula>#REF!</formula>
    </cfRule>
  </conditionalFormatting>
  <conditionalFormatting sqref="B95">
    <cfRule type="cellIs" dxfId="879" priority="24" stopIfTrue="1" operator="equal">
      <formula>#REF!</formula>
    </cfRule>
  </conditionalFormatting>
  <conditionalFormatting sqref="Z95">
    <cfRule type="cellIs" dxfId="878" priority="25" stopIfTrue="1" operator="greaterThan">
      <formula>AA95</formula>
    </cfRule>
  </conditionalFormatting>
  <conditionalFormatting sqref="W95:Y95 AA95">
    <cfRule type="cellIs" dxfId="877" priority="26" stopIfTrue="1" operator="equal">
      <formula>"1 - Hard Load"</formula>
    </cfRule>
    <cfRule type="cellIs" dxfId="876" priority="27" stopIfTrue="1" operator="equal">
      <formula>"3 - Not Loaded"</formula>
    </cfRule>
    <cfRule type="cellIs" dxfId="875" priority="28" stopIfTrue="1" operator="equal">
      <formula>"2 - Soft Load"</formula>
    </cfRule>
  </conditionalFormatting>
  <conditionalFormatting sqref="R95 K95 I95 M95">
    <cfRule type="cellIs" dxfId="874" priority="29" stopIfTrue="1" operator="equal">
      <formula>"Yes"</formula>
    </cfRule>
    <cfRule type="cellIs" dxfId="873" priority="30" stopIfTrue="1" operator="equal">
      <formula>"No"</formula>
    </cfRule>
  </conditionalFormatting>
  <conditionalFormatting sqref="P95">
    <cfRule type="cellIs" dxfId="872" priority="31" stopIfTrue="1" operator="equal">
      <formula>"Lockdown"</formula>
    </cfRule>
    <cfRule type="cellIs" dxfId="871" priority="32" stopIfTrue="1" operator="equal">
      <formula>"OOM"</formula>
    </cfRule>
    <cfRule type="cellIs" dxfId="870" priority="33" stopIfTrue="1" operator="equal">
      <formula>"Placeholder"</formula>
    </cfRule>
  </conditionalFormatting>
  <conditionalFormatting sqref="C96:C97">
    <cfRule type="cellIs" dxfId="869" priority="12" stopIfTrue="1" operator="equal">
      <formula>#REF!</formula>
    </cfRule>
  </conditionalFormatting>
  <conditionalFormatting sqref="B96:B97">
    <cfRule type="cellIs" dxfId="868" priority="13" stopIfTrue="1" operator="equal">
      <formula>#REF!</formula>
    </cfRule>
  </conditionalFormatting>
  <conditionalFormatting sqref="Z96:Z97">
    <cfRule type="cellIs" dxfId="867" priority="14" stopIfTrue="1" operator="greaterThan">
      <formula>AA96</formula>
    </cfRule>
  </conditionalFormatting>
  <conditionalFormatting sqref="W96:Y97 AA96:AA97">
    <cfRule type="cellIs" dxfId="866" priority="15" stopIfTrue="1" operator="equal">
      <formula>"1 - Hard Load"</formula>
    </cfRule>
    <cfRule type="cellIs" dxfId="865" priority="16" stopIfTrue="1" operator="equal">
      <formula>"3 - Not Loaded"</formula>
    </cfRule>
    <cfRule type="cellIs" dxfId="864" priority="17" stopIfTrue="1" operator="equal">
      <formula>"2 - Soft Load"</formula>
    </cfRule>
  </conditionalFormatting>
  <conditionalFormatting sqref="R96:R97 K96:K97 I96:I97 M96:M97">
    <cfRule type="cellIs" dxfId="863" priority="18" stopIfTrue="1" operator="equal">
      <formula>"Yes"</formula>
    </cfRule>
    <cfRule type="cellIs" dxfId="862" priority="19" stopIfTrue="1" operator="equal">
      <formula>"No"</formula>
    </cfRule>
  </conditionalFormatting>
  <conditionalFormatting sqref="P96:P97">
    <cfRule type="cellIs" dxfId="861" priority="20" stopIfTrue="1" operator="equal">
      <formula>"Lockdown"</formula>
    </cfRule>
    <cfRule type="cellIs" dxfId="860" priority="21" stopIfTrue="1" operator="equal">
      <formula>"OOM"</formula>
    </cfRule>
    <cfRule type="cellIs" dxfId="859" priority="22" stopIfTrue="1" operator="equal">
      <formula>"Placeholder"</formula>
    </cfRule>
  </conditionalFormatting>
  <dataValidations count="3">
    <dataValidation type="date" allowBlank="1" showInputMessage="1" showErrorMessage="1" sqref="U10:V10 Z10:Z98 V11:V98">
      <formula1>38718</formula1>
      <formula2>40543</formula2>
    </dataValidation>
    <dataValidation type="list" allowBlank="1" showInputMessage="1" showErrorMessage="1" sqref="J10:J98">
      <formula1>$J$1:$J$4</formula1>
    </dataValidation>
    <dataValidation type="list" allowBlank="1" showInputMessage="1" showErrorMessage="1" sqref="R10:R98">
      <formula1>"Yes, No"</formula1>
    </dataValidation>
  </dataValidations>
  <pageMargins left="0.5" right="0.5" top="0.75" bottom="0.75" header="0.5" footer="0.5"/>
  <pageSetup scale="48" fitToHeight="0" orientation="landscape" r:id="rId1"/>
  <headerFooter alignWithMargins="0">
    <oddHeader xml:space="preserve">&amp;CProvider Systems Queue
Provider Council - Unscheduled Projects
</oddHeader>
    <oddFooter>&amp;L&amp;F &amp;A&amp;Cpage &amp;P of &amp;N&amp;R&amp;D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39" r:id="rId4" name="Button 43">
              <controlPr defaultSize="0" print="0" autoFill="0" autoPict="0" macro="[0]!mcrD4bCSort">
                <anchor moveWithCells="1" sizeWithCells="1">
                  <from>
                    <xdr:col>5</xdr:col>
                    <xdr:colOff>266700</xdr:colOff>
                    <xdr:row>5</xdr:row>
                    <xdr:rowOff>57150</xdr:rowOff>
                  </from>
                  <to>
                    <xdr:col>6</xdr:col>
                    <xdr:colOff>371475</xdr:colOff>
                    <xdr:row>7</xdr:row>
                    <xdr:rowOff>95250</xdr:rowOff>
                  </to>
                </anchor>
              </controlPr>
            </control>
          </mc:Choice>
        </mc:AlternateContent>
        <mc:AlternateContent xmlns:mc="http://schemas.openxmlformats.org/markup-compatibility/2006">
          <mc:Choice Requires="x14">
            <control shapeId="29742" r:id="rId5" name="Button 46">
              <controlPr defaultSize="0" print="0" autoFill="0" autoPict="0" macro="[0]!mcrD4bIUSort">
                <anchor moveWithCells="1" sizeWithCells="1">
                  <from>
                    <xdr:col>4</xdr:col>
                    <xdr:colOff>123825</xdr:colOff>
                    <xdr:row>5</xdr:row>
                    <xdr:rowOff>19050</xdr:rowOff>
                  </from>
                  <to>
                    <xdr:col>5</xdr:col>
                    <xdr:colOff>114300</xdr:colOff>
                    <xdr:row>7</xdr:row>
                    <xdr:rowOff>114300</xdr:rowOff>
                  </to>
                </anchor>
              </controlPr>
            </control>
          </mc:Choice>
        </mc:AlternateContent>
        <mc:AlternateContent xmlns:mc="http://schemas.openxmlformats.org/markup-compatibility/2006">
          <mc:Choice Requires="x14">
            <control shapeId="29743" r:id="rId6" name="Button 47">
              <controlPr defaultSize="0" print="0" autoFill="0" autoPict="0" macro="[0]!mcrD4bASort">
                <anchor moveWithCells="1" sizeWithCells="1">
                  <from>
                    <xdr:col>6</xdr:col>
                    <xdr:colOff>485775</xdr:colOff>
                    <xdr:row>5</xdr:row>
                    <xdr:rowOff>57150</xdr:rowOff>
                  </from>
                  <to>
                    <xdr:col>7</xdr:col>
                    <xdr:colOff>857250</xdr:colOff>
                    <xdr:row>7</xdr:row>
                    <xdr:rowOff>104775</xdr:rowOff>
                  </to>
                </anchor>
              </controlPr>
            </control>
          </mc:Choice>
        </mc:AlternateContent>
        <mc:AlternateContent xmlns:mc="http://schemas.openxmlformats.org/markup-compatibility/2006">
          <mc:Choice Requires="x14">
            <control shapeId="29744" r:id="rId7" name="Button 48">
              <controlPr defaultSize="0" print="0" autoFill="0" autoPict="0" macro="[0]!mcrD4bGHJISort">
                <anchor moveWithCells="1" sizeWithCells="1">
                  <from>
                    <xdr:col>0</xdr:col>
                    <xdr:colOff>228600</xdr:colOff>
                    <xdr:row>5</xdr:row>
                    <xdr:rowOff>38100</xdr:rowOff>
                  </from>
                  <to>
                    <xdr:col>3</xdr:col>
                    <xdr:colOff>819150</xdr:colOff>
                    <xdr:row>8</xdr:row>
                    <xdr:rowOff>57150</xdr:rowOff>
                  </to>
                </anchor>
              </controlPr>
            </control>
          </mc:Choice>
        </mc:AlternateContent>
        <mc:AlternateContent xmlns:mc="http://schemas.openxmlformats.org/markup-compatibility/2006">
          <mc:Choice Requires="x14">
            <control shapeId="29746" r:id="rId8" name="Button 50">
              <controlPr defaultSize="0" print="0" autoFill="0" autoPict="0" macro="[0]!mcrD4bJHSort">
                <anchor moveWithCells="1" sizeWithCells="1">
                  <from>
                    <xdr:col>7</xdr:col>
                    <xdr:colOff>923925</xdr:colOff>
                    <xdr:row>5</xdr:row>
                    <xdr:rowOff>57150</xdr:rowOff>
                  </from>
                  <to>
                    <xdr:col>9</xdr:col>
                    <xdr:colOff>533400</xdr:colOff>
                    <xdr:row>7</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BE222"/>
  <sheetViews>
    <sheetView tabSelected="1" zoomScaleNormal="100" workbookViewId="0">
      <pane xSplit="4" ySplit="6" topLeftCell="E197" activePane="bottomRight" state="frozen"/>
      <selection activeCell="C5" sqref="C5"/>
      <selection pane="topRight" activeCell="C5" sqref="C5"/>
      <selection pane="bottomLeft" activeCell="C5" sqref="C5"/>
      <selection pane="bottomRight" activeCell="I200" sqref="I200"/>
    </sheetView>
  </sheetViews>
  <sheetFormatPr defaultRowHeight="11.25" x14ac:dyDescent="0.2"/>
  <cols>
    <col min="1" max="1" width="5.5703125" style="22" hidden="1" customWidth="1"/>
    <col min="2" max="2" width="3.140625" style="22" hidden="1" customWidth="1"/>
    <col min="3" max="3" width="23.85546875" style="51" customWidth="1"/>
    <col min="4" max="4" width="26.140625" style="24" customWidth="1"/>
    <col min="5" max="5" width="8.28515625" style="22" customWidth="1"/>
    <col min="6" max="6" width="10.7109375" style="22" bestFit="1" customWidth="1"/>
    <col min="7" max="8" width="10.7109375" style="22" customWidth="1"/>
    <col min="9" max="9" width="53" style="54" customWidth="1"/>
    <col min="10" max="11" width="8" style="22" customWidth="1"/>
    <col min="12" max="12" width="6.28515625" style="22" customWidth="1"/>
    <col min="13" max="13" width="5.5703125" style="22" customWidth="1"/>
    <col min="14" max="14" width="7.85546875" style="22" customWidth="1"/>
    <col min="15" max="15" width="7.7109375" style="22" customWidth="1"/>
    <col min="16" max="16" width="6.85546875" style="22" customWidth="1"/>
    <col min="17" max="17" width="15.7109375" style="51" customWidth="1"/>
    <col min="18" max="18" width="15.7109375" style="77" customWidth="1"/>
    <col min="19" max="19" width="9.85546875" style="114" customWidth="1"/>
    <col min="20" max="20" width="7.85546875" style="114" customWidth="1"/>
    <col min="21" max="21" width="19.85546875" style="23" customWidth="1"/>
    <col min="22" max="22" width="9.42578125" style="77" customWidth="1"/>
    <col min="23" max="23" width="14" style="77" customWidth="1"/>
    <col min="24" max="24" width="12.85546875" style="23" customWidth="1"/>
    <col min="25" max="25" width="12.28515625" style="77" customWidth="1"/>
    <col min="26" max="26" width="11.85546875" style="23" customWidth="1"/>
    <col min="27" max="27" width="11.85546875" style="83" customWidth="1"/>
    <col min="28" max="28" width="15.28515625" style="73" bestFit="1" customWidth="1"/>
    <col min="29" max="29" width="11.42578125" style="73" customWidth="1"/>
    <col min="30" max="30" width="11.28515625" style="22" customWidth="1"/>
    <col min="31" max="31" width="10.85546875" style="22" customWidth="1"/>
    <col min="32" max="32" width="10.7109375" style="24" customWidth="1"/>
    <col min="33" max="33" width="10.85546875" style="22" customWidth="1"/>
    <col min="34" max="34" width="10.5703125" style="22" customWidth="1"/>
    <col min="35" max="16384" width="9.140625" style="22"/>
  </cols>
  <sheetData>
    <row r="1" spans="1:57" x14ac:dyDescent="0.2">
      <c r="BE1" s="24" t="s">
        <v>3758</v>
      </c>
    </row>
    <row r="2" spans="1:57" ht="12.75" x14ac:dyDescent="0.2">
      <c r="F2" s="1" t="s">
        <v>7420</v>
      </c>
      <c r="I2" s="213"/>
      <c r="V2" s="214" t="s">
        <v>2193</v>
      </c>
      <c r="X2" s="178" t="s">
        <v>7420</v>
      </c>
      <c r="AA2" s="405" t="s">
        <v>7420</v>
      </c>
      <c r="AD2" s="179" t="s">
        <v>7420</v>
      </c>
      <c r="BE2" s="24" t="s">
        <v>3572</v>
      </c>
    </row>
    <row r="3" spans="1:57" ht="12.75" x14ac:dyDescent="0.2">
      <c r="E3" s="162" t="s">
        <v>6177</v>
      </c>
      <c r="X3" s="178" t="s">
        <v>7420</v>
      </c>
    </row>
    <row r="4" spans="1:57" x14ac:dyDescent="0.2">
      <c r="A4" s="22">
        <v>1</v>
      </c>
      <c r="B4" s="22">
        <v>2</v>
      </c>
      <c r="C4" s="124">
        <v>3</v>
      </c>
      <c r="D4" s="24">
        <v>4</v>
      </c>
      <c r="E4" s="22">
        <v>5</v>
      </c>
      <c r="F4" s="22">
        <v>6</v>
      </c>
      <c r="G4" s="22">
        <v>7</v>
      </c>
      <c r="H4" s="22">
        <v>8</v>
      </c>
      <c r="I4" s="22">
        <v>9</v>
      </c>
      <c r="J4" s="22">
        <v>10</v>
      </c>
      <c r="K4" s="22">
        <v>11</v>
      </c>
      <c r="L4" s="22">
        <v>12</v>
      </c>
      <c r="M4" s="22">
        <v>13</v>
      </c>
      <c r="N4" s="22">
        <v>14</v>
      </c>
      <c r="O4" s="22">
        <v>15</v>
      </c>
      <c r="P4" s="22">
        <v>16</v>
      </c>
      <c r="Q4" s="22">
        <v>17</v>
      </c>
      <c r="R4" s="22">
        <v>18</v>
      </c>
      <c r="S4" s="22">
        <v>19</v>
      </c>
      <c r="T4" s="22">
        <v>20</v>
      </c>
      <c r="U4" s="22">
        <v>21</v>
      </c>
      <c r="V4" s="22">
        <v>22</v>
      </c>
      <c r="W4" s="22">
        <v>23</v>
      </c>
      <c r="X4" s="22">
        <v>24</v>
      </c>
      <c r="Y4" s="22">
        <v>25</v>
      </c>
      <c r="Z4" s="22">
        <v>26</v>
      </c>
      <c r="AA4" s="22">
        <v>27</v>
      </c>
      <c r="AB4" s="22">
        <v>28</v>
      </c>
      <c r="AC4" s="22">
        <v>29</v>
      </c>
      <c r="AD4" s="22">
        <v>30</v>
      </c>
      <c r="AE4" s="22">
        <v>31</v>
      </c>
      <c r="AF4" s="22">
        <v>32</v>
      </c>
    </row>
    <row r="5" spans="1:57" ht="12.75" x14ac:dyDescent="0.2">
      <c r="C5" s="127" t="s">
        <v>5821</v>
      </c>
      <c r="D5" s="135">
        <f ca="1">TODAY()</f>
        <v>41423</v>
      </c>
      <c r="F5" s="35"/>
      <c r="I5" s="86" t="s">
        <v>8135</v>
      </c>
      <c r="J5" s="25">
        <v>36892</v>
      </c>
      <c r="K5" s="75"/>
      <c r="L5" s="75"/>
      <c r="M5" s="76"/>
      <c r="N5" s="76"/>
      <c r="O5" s="76"/>
      <c r="P5" s="76"/>
      <c r="V5" s="78"/>
      <c r="W5" s="78"/>
      <c r="X5" s="75"/>
      <c r="Y5" s="78"/>
      <c r="Z5" s="75"/>
      <c r="AA5" s="78"/>
      <c r="AB5" s="75"/>
      <c r="AC5" s="75"/>
      <c r="AD5" s="76"/>
      <c r="AE5" s="33"/>
      <c r="AF5" s="33"/>
    </row>
    <row r="6" spans="1:57" ht="39.950000000000003" customHeight="1" x14ac:dyDescent="0.2">
      <c r="A6" s="26" t="s">
        <v>8066</v>
      </c>
      <c r="B6" s="26" t="s">
        <v>7125</v>
      </c>
      <c r="C6" s="37" t="s">
        <v>4952</v>
      </c>
      <c r="D6" s="17" t="s">
        <v>7305</v>
      </c>
      <c r="E6" s="18" t="s">
        <v>4939</v>
      </c>
      <c r="F6" s="26" t="s">
        <v>4096</v>
      </c>
      <c r="G6" s="26" t="s">
        <v>6340</v>
      </c>
      <c r="H6" s="18" t="s">
        <v>7288</v>
      </c>
      <c r="I6" s="27" t="s">
        <v>8136</v>
      </c>
      <c r="J6" s="27" t="s">
        <v>3163</v>
      </c>
      <c r="K6" s="27" t="s">
        <v>6733</v>
      </c>
      <c r="L6" s="19" t="s">
        <v>6732</v>
      </c>
      <c r="M6" s="27" t="s">
        <v>4537</v>
      </c>
      <c r="N6" s="19" t="s">
        <v>1888</v>
      </c>
      <c r="O6" s="19" t="s">
        <v>5786</v>
      </c>
      <c r="P6" s="27" t="s">
        <v>4538</v>
      </c>
      <c r="Q6" s="50" t="s">
        <v>7300</v>
      </c>
      <c r="R6" s="82" t="s">
        <v>4398</v>
      </c>
      <c r="S6" s="241" t="s">
        <v>2736</v>
      </c>
      <c r="T6" s="115" t="s">
        <v>7021</v>
      </c>
      <c r="U6" s="26" t="s">
        <v>1657</v>
      </c>
      <c r="V6" s="79" t="s">
        <v>4432</v>
      </c>
      <c r="W6" s="79" t="s">
        <v>7467</v>
      </c>
      <c r="X6" s="27" t="s">
        <v>4106</v>
      </c>
      <c r="Y6" s="82" t="s">
        <v>7018</v>
      </c>
      <c r="Z6" s="26" t="s">
        <v>4107</v>
      </c>
      <c r="AA6" s="193" t="s">
        <v>547</v>
      </c>
      <c r="AB6" s="19" t="s">
        <v>548</v>
      </c>
      <c r="AC6" s="19" t="s">
        <v>549</v>
      </c>
      <c r="AD6" s="19" t="s">
        <v>2713</v>
      </c>
      <c r="AE6" s="26" t="s">
        <v>1448</v>
      </c>
      <c r="AF6" s="26" t="s">
        <v>2096</v>
      </c>
      <c r="AG6" s="26" t="s">
        <v>1668</v>
      </c>
      <c r="AH6" s="18" t="s">
        <v>1669</v>
      </c>
    </row>
    <row r="7" spans="1:57" x14ac:dyDescent="0.2">
      <c r="A7" s="36">
        <f>MATCH(C7,'D1 - Master Project Table'!$D$1:$D$7056,0)</f>
        <v>19</v>
      </c>
      <c r="B7" s="36" t="e">
        <f>MATCH(C7,#REF!,0)</f>
        <v>#REF!</v>
      </c>
      <c r="C7" s="125" t="s">
        <v>926</v>
      </c>
      <c r="D7" s="34" t="str">
        <f>INDEX('D1 - Master Project Table'!$A$1:$AK$7056,$A7,5)</f>
        <v>NICE Alpha to Itanium</v>
      </c>
      <c r="E7" s="31">
        <f>INDEX('D1 - Master Project Table'!$A$1:$AK$7056,$A7,11)</f>
        <v>41174</v>
      </c>
      <c r="F7" s="32" t="str">
        <f>INDEX('D1 - Master Project Table'!$A$1:$AK$7056,$A7,13)</f>
        <v>Testing</v>
      </c>
      <c r="G7" s="32" t="str">
        <f>INDEX('D1 - Master Project Table'!$A$1:$AK$7056,$A7,7)</f>
        <v>3 - Green</v>
      </c>
      <c r="H7" s="32"/>
      <c r="I7" s="74" t="s">
        <v>3740</v>
      </c>
      <c r="J7" s="28"/>
      <c r="K7" s="28"/>
      <c r="L7" s="28"/>
      <c r="M7" s="28"/>
      <c r="N7" s="28"/>
      <c r="O7" s="28"/>
      <c r="P7" s="28"/>
      <c r="Q7" s="8" t="s">
        <v>1731</v>
      </c>
      <c r="R7" s="80"/>
      <c r="S7" s="116"/>
      <c r="T7" s="116"/>
      <c r="U7" s="28"/>
      <c r="V7" s="80"/>
      <c r="W7" s="80"/>
      <c r="X7" s="28"/>
      <c r="Y7" s="80"/>
      <c r="Z7" s="8" t="s">
        <v>955</v>
      </c>
      <c r="AA7" s="84"/>
      <c r="AB7" s="74"/>
      <c r="AC7" s="74"/>
      <c r="AD7" s="74"/>
      <c r="AE7" s="30">
        <f>INDEX('D1 - Master Project Table'!$A$1:$AK$7056,$A7,9)</f>
        <v>0.02</v>
      </c>
      <c r="AF7" s="34" t="str">
        <f>INDEX('D1 - Master Project Table'!$A$1:$AK$7056,$A7,8)</f>
        <v>1 - Scheduled</v>
      </c>
      <c r="AG7" s="146"/>
      <c r="AH7" s="227"/>
    </row>
    <row r="8" spans="1:57" ht="22.5" x14ac:dyDescent="0.2">
      <c r="A8" s="36">
        <f>MATCH(C8,'D1 - Master Project Table'!$D$1:$D$7056,0)</f>
        <v>20</v>
      </c>
      <c r="B8" s="36" t="e">
        <f>MATCH(C8,#REF!,0)</f>
        <v>#REF!</v>
      </c>
      <c r="C8" s="200" t="s">
        <v>53</v>
      </c>
      <c r="D8" s="34" t="str">
        <f>INDEX('D1 - Master Project Table'!$A$1:$AK$7056,$A8,5)</f>
        <v>Cont CDB Core Processing: Inc View Cutovers</v>
      </c>
      <c r="E8" s="31">
        <f>INDEX('D1 - Master Project Table'!$A$1:$AK$7056,$A8,11)</f>
        <v>41223</v>
      </c>
      <c r="F8" s="32" t="str">
        <f>INDEX('D1 - Master Project Table'!$A$1:$AK$7056,$A8,13)</f>
        <v>Testing</v>
      </c>
      <c r="G8" s="32" t="str">
        <f>INDEX('D1 - Master Project Table'!$A$1:$AK$7056,$A8,7)</f>
        <v>3 - Green</v>
      </c>
      <c r="H8" s="32"/>
      <c r="I8" s="9" t="s">
        <v>52</v>
      </c>
      <c r="J8" s="28"/>
      <c r="K8" s="28"/>
      <c r="L8" s="28"/>
      <c r="M8" s="28"/>
      <c r="N8" s="28"/>
      <c r="O8" s="28"/>
      <c r="P8" s="28"/>
      <c r="Q8" s="8" t="s">
        <v>1731</v>
      </c>
      <c r="R8" s="80"/>
      <c r="S8" s="116"/>
      <c r="T8" s="116"/>
      <c r="U8" s="28"/>
      <c r="V8" s="80"/>
      <c r="W8" s="80"/>
      <c r="X8" s="28"/>
      <c r="Y8" s="80"/>
      <c r="Z8" s="8" t="s">
        <v>955</v>
      </c>
      <c r="AA8" s="84"/>
      <c r="AB8" s="74"/>
      <c r="AC8" s="74"/>
      <c r="AD8" s="74"/>
      <c r="AE8" s="30">
        <f>INDEX('D1 - Master Project Table'!$A$1:$AK$7056,$A8,9)</f>
        <v>7.0000000000000007E-2</v>
      </c>
      <c r="AF8" s="34" t="str">
        <f>INDEX('D1 - Master Project Table'!$A$1:$AK$7056,$A8,8)</f>
        <v>1 - Scheduled</v>
      </c>
      <c r="AG8" s="146"/>
      <c r="AH8" s="227"/>
    </row>
    <row r="9" spans="1:57" x14ac:dyDescent="0.2">
      <c r="A9" s="53" t="e">
        <f>MATCH(C9,'D1 - Master Project Table'!$D$1:$D$7056,0)</f>
        <v>#N/A</v>
      </c>
      <c r="B9" s="53" t="e">
        <f>MATCH(C9,#REF!,0)</f>
        <v>#REF!</v>
      </c>
      <c r="C9" s="173" t="s">
        <v>7420</v>
      </c>
      <c r="D9" s="137" t="s">
        <v>3510</v>
      </c>
      <c r="E9" s="199">
        <v>41321</v>
      </c>
      <c r="F9" s="201"/>
      <c r="G9" s="43" t="e">
        <f>INDEX('D1 - Master Project Table'!$A$1:$AK$7056,$A9,13)</f>
        <v>#N/A</v>
      </c>
      <c r="H9" s="43"/>
      <c r="I9" s="201"/>
      <c r="J9" s="43" t="e">
        <f>INDEX('D1 - Master Project Table'!$A$1:$AK$7056,$A9,13)</f>
        <v>#N/A</v>
      </c>
      <c r="K9" s="43" t="e">
        <f>INDEX('D1 - Master Project Table'!$A$1:$AK$7056,$A9,13)</f>
        <v>#N/A</v>
      </c>
      <c r="L9" s="43" t="e">
        <f>INDEX('D1 - Master Project Table'!$A$1:$AK$7056,$A9,13)</f>
        <v>#N/A</v>
      </c>
      <c r="M9" s="43" t="e">
        <f>INDEX('D1 - Master Project Table'!$A$1:$AK$7056,$A9,13)</f>
        <v>#N/A</v>
      </c>
      <c r="N9" s="43" t="e">
        <f>INDEX('D1 - Master Project Table'!$A$1:$AK$7056,$A9,13)</f>
        <v>#N/A</v>
      </c>
      <c r="O9" s="43" t="e">
        <f>INDEX('D1 - Master Project Table'!$A$1:$AK$7056,$A9,13)</f>
        <v>#N/A</v>
      </c>
      <c r="P9" s="43" t="e">
        <f>INDEX('D1 - Master Project Table'!$A$1:$AK$7056,$A9,13)</f>
        <v>#N/A</v>
      </c>
      <c r="Q9" s="43">
        <v>0</v>
      </c>
      <c r="R9" s="43">
        <v>0</v>
      </c>
      <c r="S9" s="43">
        <v>0</v>
      </c>
      <c r="T9" s="43">
        <v>0</v>
      </c>
      <c r="U9" s="43">
        <v>0</v>
      </c>
      <c r="V9" s="81">
        <v>0</v>
      </c>
      <c r="W9" s="81">
        <v>0</v>
      </c>
      <c r="X9" s="43">
        <v>0</v>
      </c>
      <c r="Y9" s="81">
        <v>0</v>
      </c>
      <c r="Z9" s="43">
        <v>0</v>
      </c>
      <c r="AA9" s="85">
        <v>0</v>
      </c>
      <c r="AB9" s="44">
        <v>0</v>
      </c>
      <c r="AC9" s="44">
        <v>0</v>
      </c>
      <c r="AD9" s="52" t="e">
        <v>#N/A</v>
      </c>
      <c r="AE9" s="45"/>
      <c r="AF9" s="44"/>
      <c r="AG9" s="146"/>
      <c r="AH9" s="227"/>
    </row>
    <row r="10" spans="1:57" ht="22.5" x14ac:dyDescent="0.2">
      <c r="A10" s="36">
        <f>MATCH(C10,'D1 - Master Project Table'!$D$1:$D$7056,0)</f>
        <v>21</v>
      </c>
      <c r="B10" s="36" t="e">
        <f>MATCH(C10,#REF!,0)</f>
        <v>#REF!</v>
      </c>
      <c r="C10" s="125" t="s">
        <v>3987</v>
      </c>
      <c r="D10" s="34" t="str">
        <f>INDEX('D1 - Master Project Table'!$A$1:$AK$7056,$A10,5)</f>
        <v>CDB Online: Convert Update Foundation Views</v>
      </c>
      <c r="E10" s="31">
        <f>INDEX('D1 - Master Project Table'!$A$1:$AK$7056,$A10,11)</f>
        <v>41321</v>
      </c>
      <c r="F10" s="32" t="str">
        <f>INDEX('D1 - Master Project Table'!$A$1:$AK$7056,$A10,13)</f>
        <v>Testing</v>
      </c>
      <c r="G10" s="32" t="str">
        <f>INDEX('D1 - Master Project Table'!$A$1:$AK$7056,$A10,7)</f>
        <v>3 - Green</v>
      </c>
      <c r="H10" s="32"/>
      <c r="I10" s="74"/>
      <c r="J10" s="28"/>
      <c r="K10" s="28"/>
      <c r="L10" s="28"/>
      <c r="M10" s="28"/>
      <c r="N10" s="28"/>
      <c r="O10" s="28"/>
      <c r="P10" s="28"/>
      <c r="Q10" s="8" t="s">
        <v>1731</v>
      </c>
      <c r="R10" s="80"/>
      <c r="S10" s="116"/>
      <c r="T10" s="116"/>
      <c r="U10" s="28"/>
      <c r="V10" s="80"/>
      <c r="W10" s="80"/>
      <c r="X10" s="28"/>
      <c r="Y10" s="80"/>
      <c r="Z10" s="9" t="s">
        <v>955</v>
      </c>
      <c r="AA10" s="84"/>
      <c r="AB10" s="74"/>
      <c r="AC10" s="74"/>
      <c r="AD10" s="74"/>
      <c r="AE10" s="30">
        <f>INDEX('D1 - Master Project Table'!$A$1:$AK$7056,$A10,9)</f>
        <v>0.91</v>
      </c>
      <c r="AF10" s="34" t="str">
        <f>INDEX('D1 - Master Project Table'!$A$1:$AK$7056,$A10,8)</f>
        <v>1 - Scheduled</v>
      </c>
      <c r="AG10" s="146"/>
      <c r="AH10" s="227"/>
    </row>
    <row r="11" spans="1:57" ht="22.5" x14ac:dyDescent="0.2">
      <c r="A11" s="36">
        <f>MATCH(C11,'D1 - Master Project Table'!$D$1:$D$7056,0)</f>
        <v>22</v>
      </c>
      <c r="B11" s="36" t="e">
        <f>MATCH(C11,#REF!,0)</f>
        <v>#REF!</v>
      </c>
      <c r="C11" s="200" t="s">
        <v>61</v>
      </c>
      <c r="D11" s="34" t="str">
        <f>INDEX('D1 - Master Project Table'!$A$1:$AK$7056,$A11,5)</f>
        <v>UHC West - CarePlanner to ICUE Capability Release</v>
      </c>
      <c r="E11" s="31">
        <f>INDEX('D1 - Master Project Table'!$A$1:$AK$7056,$A11,11)</f>
        <v>41321</v>
      </c>
      <c r="F11" s="32" t="str">
        <f>INDEX('D1 - Master Project Table'!$A$1:$AK$7056,$A11,13)</f>
        <v>Testing</v>
      </c>
      <c r="G11" s="32" t="str">
        <f>INDEX('D1 - Master Project Table'!$A$1:$AK$7056,$A11,7)</f>
        <v>3 - Green</v>
      </c>
      <c r="H11" s="32"/>
      <c r="I11" s="38" t="s">
        <v>831</v>
      </c>
      <c r="J11" s="28"/>
      <c r="K11" s="28"/>
      <c r="L11" s="28"/>
      <c r="M11" s="28"/>
      <c r="N11" s="28"/>
      <c r="O11" s="28"/>
      <c r="P11" s="28"/>
      <c r="Q11" s="8" t="s">
        <v>1731</v>
      </c>
      <c r="R11" s="80"/>
      <c r="S11" s="116"/>
      <c r="T11" s="116"/>
      <c r="U11" s="28"/>
      <c r="V11" s="80"/>
      <c r="W11" s="80"/>
      <c r="X11" s="28"/>
      <c r="Y11" s="80"/>
      <c r="Z11" s="9" t="s">
        <v>955</v>
      </c>
      <c r="AA11" s="84"/>
      <c r="AB11" s="74"/>
      <c r="AC11" s="74"/>
      <c r="AD11" s="74"/>
      <c r="AE11" s="30">
        <f>INDEX('D1 - Master Project Table'!$A$1:$AK$7056,$A11,9)</f>
        <v>0.16</v>
      </c>
      <c r="AF11" s="34" t="str">
        <f>INDEX('D1 - Master Project Table'!$A$1:$AK$7056,$A11,8)</f>
        <v>1 - Scheduled</v>
      </c>
      <c r="AG11" s="146"/>
      <c r="AH11" s="227"/>
    </row>
    <row r="12" spans="1:57" ht="33.75" x14ac:dyDescent="0.2">
      <c r="A12" s="36">
        <f>MATCH(C12,'D1 - Master Project Table'!$D$1:$D$7056,0)</f>
        <v>23</v>
      </c>
      <c r="B12" s="36" t="e">
        <f>MATCH(C12,#REF!,0)</f>
        <v>#REF!</v>
      </c>
      <c r="C12" s="125" t="s">
        <v>6592</v>
      </c>
      <c r="D12" s="34" t="str">
        <f>INDEX('D1 - Master Project Table'!$A$1:$AK$7056,$A12,5)</f>
        <v xml:space="preserve">ICD10 E &amp; I Compliance Release </v>
      </c>
      <c r="E12" s="31">
        <f>INDEX('D1 - Master Project Table'!$A$1:$AK$7056,$A12,11)</f>
        <v>41321</v>
      </c>
      <c r="F12" s="32" t="str">
        <f>INDEX('D1 - Master Project Table'!$A$1:$AK$7056,$A12,13)</f>
        <v>Support Only</v>
      </c>
      <c r="G12" s="32" t="str">
        <f>INDEX('D1 - Master Project Table'!$A$1:$AK$7056,$A12,7)</f>
        <v>3 - Green</v>
      </c>
      <c r="H12" s="32"/>
      <c r="I12" s="9" t="s">
        <v>364</v>
      </c>
      <c r="J12" s="28"/>
      <c r="K12" s="28"/>
      <c r="L12" s="28"/>
      <c r="M12" s="28"/>
      <c r="N12" s="28"/>
      <c r="O12" s="28"/>
      <c r="P12" s="28"/>
      <c r="Q12" s="8" t="s">
        <v>515</v>
      </c>
      <c r="R12" s="80"/>
      <c r="S12" s="116"/>
      <c r="T12" s="116"/>
      <c r="U12" s="8" t="s">
        <v>363</v>
      </c>
      <c r="V12" s="80"/>
      <c r="W12" s="80"/>
      <c r="X12" s="28"/>
      <c r="Y12" s="80"/>
      <c r="Z12" s="28"/>
      <c r="AA12" s="84"/>
      <c r="AB12" s="74"/>
      <c r="AC12" s="74"/>
      <c r="AD12" s="74"/>
      <c r="AE12" s="30">
        <f>INDEX('D1 - Master Project Table'!$A$1:$AK$7056,$A12,9)</f>
        <v>2.61</v>
      </c>
      <c r="AF12" s="34" t="str">
        <f>INDEX('D1 - Master Project Table'!$A$1:$AK$7056,$A12,8)</f>
        <v>1 - Scheduled</v>
      </c>
      <c r="AG12" s="146"/>
      <c r="AH12" s="227"/>
    </row>
    <row r="13" spans="1:57" ht="22.5" x14ac:dyDescent="0.2">
      <c r="A13" s="36">
        <f>MATCH(C13,'D1 - Master Project Table'!$D$1:$D$7056,0)</f>
        <v>24</v>
      </c>
      <c r="B13" s="36" t="e">
        <f>MATCH(C13,#REF!,0)</f>
        <v>#REF!</v>
      </c>
      <c r="C13" s="125" t="s">
        <v>0</v>
      </c>
      <c r="D13" s="34" t="str">
        <f>INDEX('D1 - Master Project Table'!$A$1:$AK$7056,$A13,5)</f>
        <v>Health Care Cost Estimator  Release 2.2</v>
      </c>
      <c r="E13" s="31">
        <f>INDEX('D1 - Master Project Table'!$A$1:$AK$7056,$A13,11)</f>
        <v>41321</v>
      </c>
      <c r="F13" s="32" t="str">
        <f>INDEX('D1 - Master Project Table'!$A$1:$AK$7056,$A13,13)</f>
        <v>Dev-Led</v>
      </c>
      <c r="G13" s="32" t="str">
        <f>INDEX('D1 - Master Project Table'!$A$1:$AK$7056,$A13,7)</f>
        <v>3 - Green</v>
      </c>
      <c r="H13" s="32"/>
      <c r="I13" s="74" t="s">
        <v>6</v>
      </c>
      <c r="J13" s="28"/>
      <c r="K13" s="28"/>
      <c r="L13" s="28"/>
      <c r="M13" s="28"/>
      <c r="N13" s="28"/>
      <c r="O13" s="28"/>
      <c r="P13" s="28"/>
      <c r="Q13" s="8" t="s">
        <v>4599</v>
      </c>
      <c r="R13" s="80"/>
      <c r="S13" s="116"/>
      <c r="T13" s="116"/>
      <c r="U13" s="28"/>
      <c r="V13" s="80"/>
      <c r="W13" s="80"/>
      <c r="X13" s="28"/>
      <c r="Y13" s="80"/>
      <c r="Z13" s="28"/>
      <c r="AA13" s="84"/>
      <c r="AB13" s="74"/>
      <c r="AC13" s="74"/>
      <c r="AD13" s="74"/>
      <c r="AE13" s="30">
        <f>INDEX('D1 - Master Project Table'!$A$1:$AK$7056,$A13,9)</f>
        <v>0</v>
      </c>
      <c r="AF13" s="34" t="str">
        <f>INDEX('D1 - Master Project Table'!$A$1:$AK$7056,$A13,8)</f>
        <v>1 - Scheduled</v>
      </c>
      <c r="AG13" s="146"/>
      <c r="AH13" s="227"/>
    </row>
    <row r="14" spans="1:57" ht="22.5" x14ac:dyDescent="0.2">
      <c r="A14" s="36">
        <f>MATCH(C14,'D1 - Master Project Table'!$D$1:$D$7056,0)</f>
        <v>25</v>
      </c>
      <c r="B14" s="36" t="e">
        <f>MATCH(C14,#REF!,0)</f>
        <v>#REF!</v>
      </c>
      <c r="C14" s="200" t="s">
        <v>2158</v>
      </c>
      <c r="D14" s="34" t="str">
        <f>INDEX('D1 - Master Project Table'!$A$1:$AK$7056,$A14,5)</f>
        <v>NHP Expansion within Florida Market</v>
      </c>
      <c r="E14" s="31">
        <f>INDEX('D1 - Master Project Table'!$A$1:$AK$7056,$A14,11)</f>
        <v>41321</v>
      </c>
      <c r="F14" s="32" t="str">
        <f>INDEX('D1 - Master Project Table'!$A$1:$AK$7056,$A14,13)</f>
        <v>Testing</v>
      </c>
      <c r="G14" s="32" t="str">
        <f>INDEX('D1 - Master Project Table'!$A$1:$AK$7056,$A14,7)</f>
        <v>3 - Green</v>
      </c>
      <c r="H14" s="32"/>
      <c r="I14" s="74"/>
      <c r="J14" s="28"/>
      <c r="K14" s="28"/>
      <c r="L14" s="28"/>
      <c r="M14" s="28"/>
      <c r="N14" s="28"/>
      <c r="O14" s="28"/>
      <c r="P14" s="28"/>
      <c r="Q14" s="8" t="s">
        <v>1731</v>
      </c>
      <c r="R14" s="80"/>
      <c r="S14" s="116"/>
      <c r="T14" s="116"/>
      <c r="U14" s="28"/>
      <c r="V14" s="80"/>
      <c r="W14" s="80"/>
      <c r="X14" s="28"/>
      <c r="Y14" s="80"/>
      <c r="Z14" s="8" t="s">
        <v>955</v>
      </c>
      <c r="AA14" s="84"/>
      <c r="AB14" s="74"/>
      <c r="AC14" s="74"/>
      <c r="AD14" s="74"/>
      <c r="AE14" s="30">
        <f>INDEX('D1 - Master Project Table'!$A$1:$AK$7056,$A14,9)</f>
        <v>0.82</v>
      </c>
      <c r="AF14" s="34" t="str">
        <f>INDEX('D1 - Master Project Table'!$A$1:$AK$7056,$A14,8)</f>
        <v>1 - Scheduled</v>
      </c>
      <c r="AG14" s="146"/>
      <c r="AH14" s="227"/>
    </row>
    <row r="15" spans="1:57" ht="178.5" customHeight="1" x14ac:dyDescent="0.2">
      <c r="A15" s="36">
        <f>MATCH(C15,'D1 - Master Project Table'!$D$1:$D$7056,0)</f>
        <v>26</v>
      </c>
      <c r="B15" s="36" t="e">
        <f>MATCH(C15,#REF!,0)</f>
        <v>#REF!</v>
      </c>
      <c r="C15" s="200" t="s">
        <v>196</v>
      </c>
      <c r="D15" s="34" t="str">
        <f>INDEX('D1 - Master Project Table'!$A$1:$AK$7056,$A15,5)</f>
        <v>COSMOS Array Remediaton</v>
      </c>
      <c r="E15" s="31">
        <f>INDEX('D1 - Master Project Table'!$A$1:$AK$7056,$A15,11)</f>
        <v>41321</v>
      </c>
      <c r="F15" s="32" t="str">
        <f>INDEX('D1 - Master Project Table'!$A$1:$AK$7056,$A15,13)</f>
        <v>Testing</v>
      </c>
      <c r="G15" s="32" t="str">
        <f>INDEX('D1 - Master Project Table'!$A$1:$AK$7056,$A15,7)</f>
        <v>3 - Green</v>
      </c>
      <c r="H15" s="32"/>
      <c r="I15" s="38" t="s">
        <v>8033</v>
      </c>
      <c r="J15" s="28"/>
      <c r="K15" s="28"/>
      <c r="L15" s="28"/>
      <c r="M15" s="28"/>
      <c r="N15" s="28"/>
      <c r="O15" s="28"/>
      <c r="P15" s="28"/>
      <c r="Q15" s="8" t="s">
        <v>1731</v>
      </c>
      <c r="R15" s="80"/>
      <c r="S15" s="116"/>
      <c r="T15" s="116"/>
      <c r="U15" s="28"/>
      <c r="V15" s="80"/>
      <c r="W15" s="80"/>
      <c r="X15" s="28"/>
      <c r="Y15" s="80"/>
      <c r="Z15" s="8" t="s">
        <v>955</v>
      </c>
      <c r="AA15" s="84"/>
      <c r="AB15" s="74"/>
      <c r="AC15" s="74"/>
      <c r="AD15" s="74"/>
      <c r="AE15" s="30">
        <f>INDEX('D1 - Master Project Table'!$A$1:$AK$7056,$A15,9)</f>
        <v>0.14000000000000001</v>
      </c>
      <c r="AF15" s="34" t="str">
        <f>INDEX('D1 - Master Project Table'!$A$1:$AK$7056,$A15,8)</f>
        <v>1 - Scheduled</v>
      </c>
      <c r="AG15" s="146"/>
      <c r="AH15" s="227"/>
    </row>
    <row r="16" spans="1:57" ht="90" x14ac:dyDescent="0.2">
      <c r="A16" s="36">
        <f>MATCH(C16,'D1 - Master Project Table'!$D$1:$D$7056,0)</f>
        <v>27</v>
      </c>
      <c r="B16" s="36" t="e">
        <f>MATCH(C16,#REF!,0)</f>
        <v>#REF!</v>
      </c>
      <c r="C16" s="200" t="s">
        <v>879</v>
      </c>
      <c r="D16" s="34" t="str">
        <f>INDEX('D1 - Master Project Table'!$A$1:$AK$7056,$A16,5)</f>
        <v>TRICARE West Implementation FD: Provider/Network</v>
      </c>
      <c r="E16" s="31">
        <f>INDEX('D1 - Master Project Table'!$A$1:$AK$7056,$A16,11)</f>
        <v>41321</v>
      </c>
      <c r="F16" s="32" t="str">
        <f>INDEX('D1 - Master Project Table'!$A$1:$AK$7056,$A16,13)</f>
        <v>Project</v>
      </c>
      <c r="G16" s="32" t="str">
        <f>INDEX('D1 - Master Project Table'!$A$1:$AK$7056,$A16,7)</f>
        <v>3 - Green</v>
      </c>
      <c r="H16" s="4" t="s">
        <v>7291</v>
      </c>
      <c r="I16" s="9" t="s">
        <v>8101</v>
      </c>
      <c r="J16" s="8" t="s">
        <v>3758</v>
      </c>
      <c r="K16" s="8" t="s">
        <v>7273</v>
      </c>
      <c r="L16" s="8" t="s">
        <v>3758</v>
      </c>
      <c r="M16" s="8" t="s">
        <v>3758</v>
      </c>
      <c r="N16" s="8" t="s">
        <v>7273</v>
      </c>
      <c r="O16" s="8" t="s">
        <v>7273</v>
      </c>
      <c r="P16" s="8" t="s">
        <v>7273</v>
      </c>
      <c r="Q16" s="8" t="s">
        <v>59</v>
      </c>
      <c r="R16" s="175" t="s">
        <v>5458</v>
      </c>
      <c r="S16" s="57" t="s">
        <v>2737</v>
      </c>
      <c r="T16" s="116"/>
      <c r="U16" s="8" t="s">
        <v>504</v>
      </c>
      <c r="V16" s="175" t="s">
        <v>4769</v>
      </c>
      <c r="W16" s="80">
        <v>41229</v>
      </c>
      <c r="X16" s="9" t="s">
        <v>1847</v>
      </c>
      <c r="Y16" s="175" t="s">
        <v>7890</v>
      </c>
      <c r="Z16" s="8" t="s">
        <v>5183</v>
      </c>
      <c r="AA16" s="84">
        <v>41280</v>
      </c>
      <c r="AB16" s="9" t="s">
        <v>1842</v>
      </c>
      <c r="AC16" s="74"/>
      <c r="AD16" s="74"/>
      <c r="AE16" s="30">
        <f>INDEX('D1 - Master Project Table'!$A$1:$AK$7056,$A16,9)</f>
        <v>59.13</v>
      </c>
      <c r="AF16" s="34" t="str">
        <f>INDEX('D1 - Master Project Table'!$A$1:$AK$7056,$A16,8)</f>
        <v>1 - Scheduled</v>
      </c>
      <c r="AG16" s="146"/>
      <c r="AH16" s="227"/>
    </row>
    <row r="17" spans="1:34" x14ac:dyDescent="0.2">
      <c r="A17" s="36">
        <f>MATCH(C17,'D1 - Master Project Table'!$D$1:$D$7056,0)</f>
        <v>28</v>
      </c>
      <c r="B17" s="36" t="e">
        <f>MATCH(C17,#REF!,0)</f>
        <v>#REF!</v>
      </c>
      <c r="C17" s="200" t="s">
        <v>1385</v>
      </c>
      <c r="D17" s="34" t="str">
        <f>INDEX('D1 - Master Project Table'!$A$1:$AK$7056,$A17,5)</f>
        <v>eSync Advocacy - Q1 2013</v>
      </c>
      <c r="E17" s="31">
        <f>INDEX('D1 - Master Project Table'!$A$1:$AK$7056,$A17,11)</f>
        <v>41321</v>
      </c>
      <c r="F17" s="32" t="str">
        <f>INDEX('D1 - Master Project Table'!$A$1:$AK$7056,$A17,13)</f>
        <v>Testing</v>
      </c>
      <c r="G17" s="32" t="str">
        <f>INDEX('D1 - Master Project Table'!$A$1:$AK$7056,$A17,7)</f>
        <v>3 - Green</v>
      </c>
      <c r="H17" s="32"/>
      <c r="I17" s="74"/>
      <c r="J17" s="28"/>
      <c r="K17" s="28"/>
      <c r="L17" s="28"/>
      <c r="M17" s="28"/>
      <c r="N17" s="28"/>
      <c r="O17" s="28"/>
      <c r="P17" s="28"/>
      <c r="Q17" s="8" t="s">
        <v>1731</v>
      </c>
      <c r="R17" s="80"/>
      <c r="S17" s="116"/>
      <c r="T17" s="116"/>
      <c r="U17" s="28"/>
      <c r="V17" s="80"/>
      <c r="W17" s="80"/>
      <c r="X17" s="28"/>
      <c r="Y17" s="80"/>
      <c r="Z17" s="8" t="s">
        <v>955</v>
      </c>
      <c r="AA17" s="84"/>
      <c r="AB17" s="74"/>
      <c r="AC17" s="74"/>
      <c r="AD17" s="74"/>
      <c r="AE17" s="30">
        <f>INDEX('D1 - Master Project Table'!$A$1:$AK$7056,$A17,9)</f>
        <v>0.12</v>
      </c>
      <c r="AF17" s="34" t="str">
        <f>INDEX('D1 - Master Project Table'!$A$1:$AK$7056,$A17,8)</f>
        <v>1 - Scheduled</v>
      </c>
      <c r="AG17" s="146"/>
      <c r="AH17" s="227"/>
    </row>
    <row r="18" spans="1:34" ht="22.5" x14ac:dyDescent="0.2">
      <c r="A18" s="36">
        <f>MATCH(C18,'D1 - Master Project Table'!$D$1:$D$7056,0)</f>
        <v>29</v>
      </c>
      <c r="B18" s="36" t="e">
        <f>MATCH(C18,#REF!,0)</f>
        <v>#REF!</v>
      </c>
      <c r="C18" s="200" t="s">
        <v>354</v>
      </c>
      <c r="D18" s="34" t="str">
        <f>INDEX('D1 - Master Project Table'!$A$1:$AK$7056,$A18,5)</f>
        <v>COSMOS Testing Environment Sandbox’</v>
      </c>
      <c r="E18" s="31">
        <f>INDEX('D1 - Master Project Table'!$A$1:$AK$7056,$A18,11)</f>
        <v>41321</v>
      </c>
      <c r="F18" s="32" t="str">
        <f>INDEX('D1 - Master Project Table'!$A$1:$AK$7056,$A18,13)</f>
        <v>Testing</v>
      </c>
      <c r="G18" s="32" t="str">
        <f>INDEX('D1 - Master Project Table'!$A$1:$AK$7056,$A18,7)</f>
        <v>3 - Green</v>
      </c>
      <c r="H18" s="32"/>
      <c r="I18" s="74" t="s">
        <v>54</v>
      </c>
      <c r="J18" s="28"/>
      <c r="K18" s="28"/>
      <c r="L18" s="28"/>
      <c r="M18" s="28"/>
      <c r="N18" s="28"/>
      <c r="O18" s="28"/>
      <c r="P18" s="28"/>
      <c r="Q18" s="8" t="s">
        <v>1731</v>
      </c>
      <c r="R18" s="80"/>
      <c r="S18" s="116"/>
      <c r="T18" s="116"/>
      <c r="U18" s="28"/>
      <c r="V18" s="80"/>
      <c r="W18" s="80"/>
      <c r="X18" s="28"/>
      <c r="Y18" s="80"/>
      <c r="Z18" s="8" t="s">
        <v>955</v>
      </c>
      <c r="AA18" s="84"/>
      <c r="AB18" s="74"/>
      <c r="AC18" s="74"/>
      <c r="AD18" s="74"/>
      <c r="AE18" s="30">
        <f>INDEX('D1 - Master Project Table'!$A$1:$AK$7056,$A18,9)</f>
        <v>0.55000000000000004</v>
      </c>
      <c r="AF18" s="34" t="str">
        <f>INDEX('D1 - Master Project Table'!$A$1:$AK$7056,$A18,8)</f>
        <v>1 - Scheduled</v>
      </c>
      <c r="AG18" s="146"/>
      <c r="AH18" s="227"/>
    </row>
    <row r="19" spans="1:34" x14ac:dyDescent="0.2">
      <c r="A19" s="53" t="e">
        <f>MATCH(C19,'D1 - Master Project Table'!$D$1:$D$7056,0)</f>
        <v>#N/A</v>
      </c>
      <c r="B19" s="53" t="e">
        <f>MATCH(C19,#REF!,0)</f>
        <v>#REF!</v>
      </c>
      <c r="C19" s="173" t="s">
        <v>7420</v>
      </c>
      <c r="D19" s="137" t="s">
        <v>362</v>
      </c>
      <c r="E19" s="199">
        <v>41335</v>
      </c>
      <c r="F19" s="201"/>
      <c r="G19" s="43" t="e">
        <f>INDEX('D1 - Master Project Table'!$A$1:$AK$7056,$A19,13)</f>
        <v>#N/A</v>
      </c>
      <c r="H19" s="43"/>
      <c r="I19" s="201"/>
      <c r="J19" s="43" t="e">
        <f>INDEX('D1 - Master Project Table'!$A$1:$AK$7056,$A19,13)</f>
        <v>#N/A</v>
      </c>
      <c r="K19" s="43" t="e">
        <f>INDEX('D1 - Master Project Table'!$A$1:$AK$7056,$A19,13)</f>
        <v>#N/A</v>
      </c>
      <c r="L19" s="43" t="e">
        <f>INDEX('D1 - Master Project Table'!$A$1:$AK$7056,$A19,13)</f>
        <v>#N/A</v>
      </c>
      <c r="M19" s="43" t="e">
        <f>INDEX('D1 - Master Project Table'!$A$1:$AK$7056,$A19,13)</f>
        <v>#N/A</v>
      </c>
      <c r="N19" s="43" t="e">
        <f>INDEX('D1 - Master Project Table'!$A$1:$AK$7056,$A19,13)</f>
        <v>#N/A</v>
      </c>
      <c r="O19" s="43" t="e">
        <f>INDEX('D1 - Master Project Table'!$A$1:$AK$7056,$A19,13)</f>
        <v>#N/A</v>
      </c>
      <c r="P19" s="43" t="e">
        <f>INDEX('D1 - Master Project Table'!$A$1:$AK$7056,$A19,13)</f>
        <v>#N/A</v>
      </c>
      <c r="Q19" s="43">
        <v>0</v>
      </c>
      <c r="R19" s="43">
        <v>0</v>
      </c>
      <c r="S19" s="43">
        <v>0</v>
      </c>
      <c r="T19" s="43">
        <v>0</v>
      </c>
      <c r="U19" s="43">
        <v>0</v>
      </c>
      <c r="V19" s="81">
        <v>0</v>
      </c>
      <c r="W19" s="81">
        <v>0</v>
      </c>
      <c r="X19" s="43">
        <v>0</v>
      </c>
      <c r="Y19" s="81">
        <v>0</v>
      </c>
      <c r="Z19" s="43">
        <v>0</v>
      </c>
      <c r="AA19" s="85">
        <v>0</v>
      </c>
      <c r="AB19" s="44">
        <v>0</v>
      </c>
      <c r="AC19" s="44">
        <v>0</v>
      </c>
      <c r="AD19" s="52" t="e">
        <v>#N/A</v>
      </c>
      <c r="AE19" s="45"/>
      <c r="AF19" s="44"/>
      <c r="AG19" s="146"/>
      <c r="AH19" s="227"/>
    </row>
    <row r="20" spans="1:34" ht="33.75" x14ac:dyDescent="0.2">
      <c r="A20" s="36">
        <f>MATCH(C20,'D1 - Master Project Table'!$D$1:$D$7056,0)</f>
        <v>30</v>
      </c>
      <c r="B20" s="36" t="e">
        <f>MATCH(C20,#REF!,0)</f>
        <v>#REF!</v>
      </c>
      <c r="C20" s="125" t="s">
        <v>2734</v>
      </c>
      <c r="D20" s="34" t="str">
        <f>INDEX('D1 - Master Project Table'!$A$1:$AK$7056,$A20,5)</f>
        <v>Access Heritage River Valley Contracts; VA and TN</v>
      </c>
      <c r="E20" s="31">
        <f>INDEX('D1 - Master Project Table'!$A$1:$AK$7056,$A20,11)</f>
        <v>41346</v>
      </c>
      <c r="F20" s="32" t="str">
        <f>INDEX('D1 - Master Project Table'!$A$1:$AK$7056,$A20,13)</f>
        <v>Testing</v>
      </c>
      <c r="G20" s="32" t="str">
        <f>INDEX('D1 - Master Project Table'!$A$1:$AK$7056,$A20,7)</f>
        <v>3 - Green</v>
      </c>
      <c r="H20" s="32"/>
      <c r="I20" s="74" t="s">
        <v>857</v>
      </c>
      <c r="J20" s="28"/>
      <c r="K20" s="28"/>
      <c r="L20" s="28"/>
      <c r="M20" s="28"/>
      <c r="N20" s="28"/>
      <c r="O20" s="28"/>
      <c r="P20" s="28"/>
      <c r="Q20" s="8" t="s">
        <v>1731</v>
      </c>
      <c r="R20" s="80"/>
      <c r="S20" s="116"/>
      <c r="T20" s="116"/>
      <c r="U20" s="28"/>
      <c r="V20" s="80"/>
      <c r="W20" s="80"/>
      <c r="X20" s="28"/>
      <c r="Y20" s="80"/>
      <c r="Z20" s="8" t="s">
        <v>1731</v>
      </c>
      <c r="AA20" s="84"/>
      <c r="AB20" s="74"/>
      <c r="AC20" s="74"/>
      <c r="AD20" s="74"/>
      <c r="AE20" s="30">
        <f>INDEX('D1 - Master Project Table'!$A$1:$AK$7056,$A20,9)</f>
        <v>0.38</v>
      </c>
      <c r="AF20" s="34" t="str">
        <f>INDEX('D1 - Master Project Table'!$A$1:$AK$7056,$A20,8)</f>
        <v>1 - Scheduled</v>
      </c>
      <c r="AG20" s="146"/>
      <c r="AH20" s="227"/>
    </row>
    <row r="21" spans="1:34" x14ac:dyDescent="0.2">
      <c r="A21" s="53" t="e">
        <f>MATCH(C21,'D1 - Master Project Table'!$D$1:$D$7056,0)</f>
        <v>#N/A</v>
      </c>
      <c r="B21" s="53" t="e">
        <f>MATCH(C21,#REF!,0)</f>
        <v>#REF!</v>
      </c>
      <c r="C21" s="173" t="s">
        <v>7420</v>
      </c>
      <c r="D21" s="137" t="s">
        <v>7426</v>
      </c>
      <c r="E21" s="199">
        <v>41356</v>
      </c>
      <c r="F21" s="201"/>
      <c r="G21" s="43" t="e">
        <f>INDEX('D1 - Master Project Table'!$A$1:$AK$7056,$A21,13)</f>
        <v>#N/A</v>
      </c>
      <c r="H21" s="43"/>
      <c r="I21" s="201"/>
      <c r="J21" s="43" t="e">
        <f>INDEX('D1 - Master Project Table'!$A$1:$AK$7056,$A21,13)</f>
        <v>#N/A</v>
      </c>
      <c r="K21" s="43" t="e">
        <f>INDEX('D1 - Master Project Table'!$A$1:$AK$7056,$A21,13)</f>
        <v>#N/A</v>
      </c>
      <c r="L21" s="43" t="e">
        <f>INDEX('D1 - Master Project Table'!$A$1:$AK$7056,$A21,13)</f>
        <v>#N/A</v>
      </c>
      <c r="M21" s="43" t="e">
        <f>INDEX('D1 - Master Project Table'!$A$1:$AK$7056,$A21,13)</f>
        <v>#N/A</v>
      </c>
      <c r="N21" s="43" t="e">
        <f>INDEX('D1 - Master Project Table'!$A$1:$AK$7056,$A21,13)</f>
        <v>#N/A</v>
      </c>
      <c r="O21" s="43" t="e">
        <f>INDEX('D1 - Master Project Table'!$A$1:$AK$7056,$A21,13)</f>
        <v>#N/A</v>
      </c>
      <c r="P21" s="43" t="e">
        <f>INDEX('D1 - Master Project Table'!$A$1:$AK$7056,$A21,13)</f>
        <v>#N/A</v>
      </c>
      <c r="Q21" s="43">
        <v>0</v>
      </c>
      <c r="R21" s="43">
        <v>0</v>
      </c>
      <c r="S21" s="43">
        <v>0</v>
      </c>
      <c r="T21" s="43">
        <v>0</v>
      </c>
      <c r="U21" s="43">
        <v>0</v>
      </c>
      <c r="V21" s="81">
        <v>0</v>
      </c>
      <c r="W21" s="81">
        <v>0</v>
      </c>
      <c r="X21" s="43">
        <v>0</v>
      </c>
      <c r="Y21" s="81">
        <v>0</v>
      </c>
      <c r="Z21" s="43">
        <v>0</v>
      </c>
      <c r="AA21" s="85">
        <v>0</v>
      </c>
      <c r="AB21" s="44">
        <v>0</v>
      </c>
      <c r="AC21" s="44">
        <v>0</v>
      </c>
      <c r="AD21" s="52" t="e">
        <v>#N/A</v>
      </c>
      <c r="AE21" s="45"/>
      <c r="AF21" s="44"/>
      <c r="AG21" s="146"/>
      <c r="AH21" s="227"/>
    </row>
    <row r="22" spans="1:34" ht="24" customHeight="1" x14ac:dyDescent="0.2">
      <c r="A22" s="36">
        <f>MATCH(C22,'D1 - Master Project Table'!$D$1:$D$7056,0)</f>
        <v>31</v>
      </c>
      <c r="B22" s="36" t="e">
        <f>MATCH(C22,#REF!,0)</f>
        <v>#REF!</v>
      </c>
      <c r="C22" s="125" t="s">
        <v>2328</v>
      </c>
      <c r="D22" s="34" t="str">
        <f>INDEX('D1 - Master Project Table'!$A$1:$AK$7056,$A22,5)</f>
        <v>EeS Modernization R2- UI redesign Shared Architect</v>
      </c>
      <c r="E22" s="31">
        <f>INDEX('D1 - Master Project Table'!$A$1:$AK$7056,$A22,11)</f>
        <v>41356</v>
      </c>
      <c r="F22" s="32" t="str">
        <f>INDEX('D1 - Master Project Table'!$A$1:$AK$7056,$A22,13)</f>
        <v>Testing</v>
      </c>
      <c r="G22" s="32" t="str">
        <f>INDEX('D1 - Master Project Table'!$A$1:$AK$7056,$A22,7)</f>
        <v>3 - Green</v>
      </c>
      <c r="H22" s="32"/>
      <c r="I22" s="74" t="s">
        <v>295</v>
      </c>
      <c r="J22" s="28"/>
      <c r="K22" s="28"/>
      <c r="L22" s="28"/>
      <c r="M22" s="28"/>
      <c r="N22" s="28"/>
      <c r="O22" s="28"/>
      <c r="P22" s="28"/>
      <c r="Q22" s="8" t="s">
        <v>1731</v>
      </c>
      <c r="R22" s="80"/>
      <c r="S22" s="116"/>
      <c r="T22" s="116"/>
      <c r="U22" s="28"/>
      <c r="V22" s="80"/>
      <c r="W22" s="80"/>
      <c r="X22" s="28"/>
      <c r="Y22" s="80"/>
      <c r="Z22" s="8" t="s">
        <v>955</v>
      </c>
      <c r="AA22" s="84"/>
      <c r="AB22" s="74"/>
      <c r="AC22" s="74"/>
      <c r="AD22" s="74"/>
      <c r="AE22" s="30">
        <f>INDEX('D1 - Master Project Table'!$A$1:$AK$7056,$A22,9)</f>
        <v>7.0000000000000007E-2</v>
      </c>
      <c r="AF22" s="34" t="str">
        <f>INDEX('D1 - Master Project Table'!$A$1:$AK$7056,$A22,8)</f>
        <v>1 - Scheduled</v>
      </c>
      <c r="AG22" s="146"/>
      <c r="AH22" s="227"/>
    </row>
    <row r="23" spans="1:34" ht="249.75" customHeight="1" x14ac:dyDescent="0.2">
      <c r="A23" s="36">
        <f>MATCH(C23,'D1 - Master Project Table'!$D$1:$D$7056,0)</f>
        <v>32</v>
      </c>
      <c r="B23" s="36" t="e">
        <f>MATCH(C23,#REF!,0)</f>
        <v>#REF!</v>
      </c>
      <c r="C23" s="200" t="s">
        <v>411</v>
      </c>
      <c r="D23" s="34" t="str">
        <f>INDEX('D1 - Master Project Table'!$A$1:$AK$7056,$A23,5)</f>
        <v>NDB SoT - C&amp;S Strategic NDB SoT Enhancements A/D</v>
      </c>
      <c r="E23" s="31">
        <f>INDEX('D1 - Master Project Table'!$A$1:$AK$7056,$A23,11)</f>
        <v>41356</v>
      </c>
      <c r="F23" s="32" t="str">
        <f>INDEX('D1 - Master Project Table'!$A$1:$AK$7056,$A23,13)</f>
        <v>Project</v>
      </c>
      <c r="G23" s="32" t="str">
        <f>INDEX('D1 - Master Project Table'!$A$1:$AK$7056,$A23,7)</f>
        <v>3 - Green</v>
      </c>
      <c r="H23" s="4" t="s">
        <v>7289</v>
      </c>
      <c r="I23" s="9" t="s">
        <v>9063</v>
      </c>
      <c r="J23" s="28"/>
      <c r="K23" s="28"/>
      <c r="L23" s="28"/>
      <c r="M23" s="28"/>
      <c r="N23" s="28"/>
      <c r="O23" s="28"/>
      <c r="P23" s="28"/>
      <c r="Q23" s="8" t="s">
        <v>3105</v>
      </c>
      <c r="R23" s="80"/>
      <c r="S23" s="116"/>
      <c r="T23" s="116"/>
      <c r="U23" s="8" t="s">
        <v>404</v>
      </c>
      <c r="V23" s="80"/>
      <c r="W23" s="175" t="s">
        <v>8103</v>
      </c>
      <c r="X23" s="8" t="s">
        <v>2810</v>
      </c>
      <c r="Y23" s="80">
        <v>41316</v>
      </c>
      <c r="Z23" s="9" t="s">
        <v>7907</v>
      </c>
      <c r="AA23" s="176">
        <v>41325</v>
      </c>
      <c r="AB23" s="74"/>
      <c r="AC23" s="74"/>
      <c r="AD23" s="74"/>
      <c r="AE23" s="30">
        <f>INDEX('D1 - Master Project Table'!$A$1:$AK$7056,$A23,9)</f>
        <v>33.17</v>
      </c>
      <c r="AF23" s="34" t="str">
        <f>INDEX('D1 - Master Project Table'!$A$1:$AK$7056,$A23,8)</f>
        <v>1 - Scheduled</v>
      </c>
      <c r="AG23" s="146"/>
      <c r="AH23" s="227"/>
    </row>
    <row r="24" spans="1:34" ht="33.75" x14ac:dyDescent="0.2">
      <c r="A24" s="36">
        <f>MATCH(C24,'D1 - Master Project Table'!$D$1:$D$7056,0)</f>
        <v>33</v>
      </c>
      <c r="B24" s="36" t="e">
        <f>MATCH(C24,#REF!,0)</f>
        <v>#REF!</v>
      </c>
      <c r="C24" s="125" t="s">
        <v>8969</v>
      </c>
      <c r="D24" s="34" t="str">
        <f>INDEX('D1 - Master Project Table'!$A$1:$AK$7056,$A24,5)</f>
        <v>NDB SoT - C&amp;S Strategic NDB SoT Enhancements A/D</v>
      </c>
      <c r="E24" s="31">
        <f>INDEX('D1 - Master Project Table'!$A$1:$AK$7056,$A24,11)</f>
        <v>41356</v>
      </c>
      <c r="F24" s="32" t="str">
        <f>INDEX('D1 - Master Project Table'!$A$1:$AK$7056,$A24,13)</f>
        <v>Project</v>
      </c>
      <c r="G24" s="32" t="str">
        <f>INDEX('D1 - Master Project Table'!$A$1:$AK$7056,$A24,7)</f>
        <v>3 - Green</v>
      </c>
      <c r="H24" s="32"/>
      <c r="I24" s="9" t="s">
        <v>9022</v>
      </c>
      <c r="J24" s="28"/>
      <c r="K24" s="28"/>
      <c r="L24" s="28"/>
      <c r="M24" s="28"/>
      <c r="N24" s="28"/>
      <c r="O24" s="28"/>
      <c r="P24" s="28"/>
      <c r="Q24" s="28" t="s">
        <v>3105</v>
      </c>
      <c r="R24" s="80"/>
      <c r="S24" s="116"/>
      <c r="T24" s="116"/>
      <c r="U24" s="28"/>
      <c r="V24" s="80"/>
      <c r="W24" s="80"/>
      <c r="X24" s="28"/>
      <c r="Y24" s="80"/>
      <c r="Z24" s="8" t="s">
        <v>5183</v>
      </c>
      <c r="AA24" s="84"/>
      <c r="AB24" s="74"/>
      <c r="AC24" s="74"/>
      <c r="AD24" s="74"/>
      <c r="AE24" s="30">
        <f>INDEX('D1 - Master Project Table'!$A$1:$AK$7056,$A24,9)</f>
        <v>0</v>
      </c>
      <c r="AF24" s="34" t="str">
        <f>INDEX('D1 - Master Project Table'!$A$1:$AK$7056,$A24,8)</f>
        <v>1 - Scheduled</v>
      </c>
      <c r="AG24" s="146"/>
      <c r="AH24" s="227"/>
    </row>
    <row r="25" spans="1:34" ht="33.75" x14ac:dyDescent="0.2">
      <c r="A25" s="36">
        <f>MATCH(C25,'D1 - Master Project Table'!$D$1:$D$7056,0)</f>
        <v>34</v>
      </c>
      <c r="B25" s="36" t="e">
        <f>MATCH(C25,#REF!,0)</f>
        <v>#REF!</v>
      </c>
      <c r="C25" s="125" t="s">
        <v>1720</v>
      </c>
      <c r="D25" s="34" t="str">
        <f>INDEX('D1 - Master Project Table'!$A$1:$AK$7056,$A25,5)</f>
        <v>B2C Build in Master Enviroment</v>
      </c>
      <c r="E25" s="31">
        <f>INDEX('D1 - Master Project Table'!$A$1:$AK$7056,$A25,11)</f>
        <v>41356</v>
      </c>
      <c r="F25" s="32" t="str">
        <f>INDEX('D1 - Master Project Table'!$A$1:$AK$7056,$A25,13)</f>
        <v>Testing</v>
      </c>
      <c r="G25" s="32" t="str">
        <f>INDEX('D1 - Master Project Table'!$A$1:$AK$7056,$A25,7)</f>
        <v>3 - Green</v>
      </c>
      <c r="H25" s="32"/>
      <c r="I25" s="9" t="s">
        <v>58</v>
      </c>
      <c r="J25" s="28"/>
      <c r="K25" s="28"/>
      <c r="L25" s="28"/>
      <c r="M25" s="28"/>
      <c r="N25" s="28"/>
      <c r="O25" s="28"/>
      <c r="P25" s="28"/>
      <c r="Q25" s="8" t="s">
        <v>1731</v>
      </c>
      <c r="R25" s="80"/>
      <c r="S25" s="116"/>
      <c r="T25" s="116"/>
      <c r="U25" s="28"/>
      <c r="V25" s="80"/>
      <c r="W25" s="80"/>
      <c r="X25" s="28"/>
      <c r="Y25" s="80"/>
      <c r="Z25" s="8" t="s">
        <v>955</v>
      </c>
      <c r="AA25" s="84"/>
      <c r="AB25" s="74"/>
      <c r="AC25" s="74"/>
      <c r="AD25" s="74"/>
      <c r="AE25" s="30">
        <f>INDEX('D1 - Master Project Table'!$A$1:$AK$7056,$A25,9)</f>
        <v>0.82</v>
      </c>
      <c r="AF25" s="34" t="str">
        <f>INDEX('D1 - Master Project Table'!$A$1:$AK$7056,$A25,8)</f>
        <v>1 - Scheduled</v>
      </c>
      <c r="AG25" s="146"/>
      <c r="AH25" s="227"/>
    </row>
    <row r="26" spans="1:34" ht="281.25" x14ac:dyDescent="0.2">
      <c r="A26" s="36">
        <f>MATCH(C26,'D1 - Master Project Table'!$D$1:$D$7056,0)</f>
        <v>35</v>
      </c>
      <c r="B26" s="36" t="e">
        <f>MATCH(C26,#REF!,0)</f>
        <v>#REF!</v>
      </c>
      <c r="C26" s="200" t="s">
        <v>62</v>
      </c>
      <c r="D26" s="34" t="str">
        <f>INDEX('D1 - Master Project Table'!$A$1:$AK$7056,$A26,5)</f>
        <v>TRICARE West Implementation FD: Provider/Network</v>
      </c>
      <c r="E26" s="31">
        <f>INDEX('D1 - Master Project Table'!$A$1:$AK$7056,$A26,11)</f>
        <v>41356</v>
      </c>
      <c r="F26" s="32" t="str">
        <f>INDEX('D1 - Master Project Table'!$A$1:$AK$7056,$A26,13)</f>
        <v>Project</v>
      </c>
      <c r="G26" s="32" t="str">
        <f>INDEX('D1 - Master Project Table'!$A$1:$AK$7056,$A26,7)</f>
        <v>3 - Green</v>
      </c>
      <c r="H26" s="4" t="s">
        <v>1196</v>
      </c>
      <c r="I26" s="9" t="s">
        <v>9147</v>
      </c>
      <c r="J26" s="28" t="s">
        <v>7273</v>
      </c>
      <c r="K26" s="28" t="s">
        <v>7273</v>
      </c>
      <c r="L26" s="8" t="s">
        <v>3758</v>
      </c>
      <c r="M26" s="28"/>
      <c r="N26" s="28" t="s">
        <v>7273</v>
      </c>
      <c r="O26" s="28" t="s">
        <v>7273</v>
      </c>
      <c r="P26" s="8" t="s">
        <v>3758</v>
      </c>
      <c r="Q26" s="8" t="s">
        <v>59</v>
      </c>
      <c r="R26" s="80" t="s">
        <v>7726</v>
      </c>
      <c r="S26" s="116" t="s">
        <v>2737</v>
      </c>
      <c r="T26" s="116"/>
      <c r="U26" s="8" t="s">
        <v>5212</v>
      </c>
      <c r="V26" s="80"/>
      <c r="W26" s="175">
        <v>41327</v>
      </c>
      <c r="X26" s="8" t="s">
        <v>2810</v>
      </c>
      <c r="Y26" s="80">
        <v>41316</v>
      </c>
      <c r="Z26" s="8" t="s">
        <v>5183</v>
      </c>
      <c r="AA26" s="176" t="s">
        <v>8209</v>
      </c>
      <c r="AB26" s="9" t="s">
        <v>8233</v>
      </c>
      <c r="AC26" s="74"/>
      <c r="AD26" s="74"/>
      <c r="AE26" s="30">
        <f>INDEX('D1 - Master Project Table'!$A$1:$AK$7056,$A26,9)</f>
        <v>7.84</v>
      </c>
      <c r="AF26" s="34" t="str">
        <f>INDEX('D1 - Master Project Table'!$A$1:$AK$7056,$A26,8)</f>
        <v>1 - Scheduled</v>
      </c>
      <c r="AG26" s="146"/>
      <c r="AH26" s="227"/>
    </row>
    <row r="27" spans="1:34" ht="22.5" x14ac:dyDescent="0.2">
      <c r="A27" s="36">
        <f>MATCH(C27,'D1 - Master Project Table'!$D$1:$D$7056,0)</f>
        <v>36</v>
      </c>
      <c r="B27" s="36" t="e">
        <f>MATCH(C27,#REF!,0)</f>
        <v>#REF!</v>
      </c>
      <c r="C27" s="125" t="s">
        <v>9057</v>
      </c>
      <c r="D27" s="34" t="str">
        <f>INDEX('D1 - Master Project Table'!$A$1:$AK$7056,$A27,5)</f>
        <v>TRICARE West Implementation FD: Provider/Network</v>
      </c>
      <c r="E27" s="31">
        <f>INDEX('D1 - Master Project Table'!$A$1:$AK$7056,$A27,11)</f>
        <v>41356</v>
      </c>
      <c r="F27" s="32" t="str">
        <f>INDEX('D1 - Master Project Table'!$A$1:$AK$7056,$A27,13)</f>
        <v>Testing</v>
      </c>
      <c r="G27" s="32" t="str">
        <f>INDEX('D1 - Master Project Table'!$A$1:$AK$7056,$A27,7)</f>
        <v>3 - Green</v>
      </c>
      <c r="H27" s="32"/>
      <c r="I27" s="74"/>
      <c r="J27" s="28"/>
      <c r="K27" s="28"/>
      <c r="L27" s="28"/>
      <c r="M27" s="28"/>
      <c r="N27" s="28"/>
      <c r="O27" s="28"/>
      <c r="P27" s="28"/>
      <c r="Q27" s="8" t="s">
        <v>1731</v>
      </c>
      <c r="R27" s="80"/>
      <c r="S27" s="116"/>
      <c r="T27" s="116"/>
      <c r="U27" s="28"/>
      <c r="V27" s="80"/>
      <c r="W27" s="80"/>
      <c r="X27" s="28"/>
      <c r="Y27" s="80"/>
      <c r="Z27" s="28"/>
      <c r="AA27" s="84"/>
      <c r="AB27" s="74"/>
      <c r="AC27" s="74"/>
      <c r="AD27" s="74"/>
      <c r="AE27" s="30">
        <f>INDEX('D1 - Master Project Table'!$A$1:$AK$7056,$A27,9)</f>
        <v>0.35</v>
      </c>
      <c r="AF27" s="34" t="str">
        <f>INDEX('D1 - Master Project Table'!$A$1:$AK$7056,$A27,8)</f>
        <v>1 - Scheduled</v>
      </c>
      <c r="AG27" s="146"/>
      <c r="AH27" s="227"/>
    </row>
    <row r="28" spans="1:34" ht="19.5" customHeight="1" x14ac:dyDescent="0.2">
      <c r="A28" s="36">
        <f>MATCH(C28,'D1 - Master Project Table'!$D$1:$D$7056,0)</f>
        <v>37</v>
      </c>
      <c r="B28" s="36" t="e">
        <f>MATCH(C28,#REF!,0)</f>
        <v>#REF!</v>
      </c>
      <c r="C28" s="200" t="s">
        <v>7815</v>
      </c>
      <c r="D28" s="34" t="str">
        <f>INDEX('D1 - Master Project Table'!$A$1:$AK$7056,$A28,5)</f>
        <v>UBCS Planning</v>
      </c>
      <c r="E28" s="31">
        <f>INDEX('D1 - Master Project Table'!$A$1:$AK$7056,$A28,11)</f>
        <v>41356</v>
      </c>
      <c r="F28" s="32" t="str">
        <f>INDEX('D1 - Master Project Table'!$A$1:$AK$7056,$A28,13)</f>
        <v>Analysis</v>
      </c>
      <c r="G28" s="32" t="str">
        <f>INDEX('D1 - Master Project Table'!$A$1:$AK$7056,$A28,7)</f>
        <v>3 - Green</v>
      </c>
      <c r="H28" s="32"/>
      <c r="I28" s="74" t="s">
        <v>2256</v>
      </c>
      <c r="J28" s="28"/>
      <c r="K28" s="28"/>
      <c r="L28" s="28"/>
      <c r="M28" s="28"/>
      <c r="N28" s="28"/>
      <c r="O28" s="28"/>
      <c r="P28" s="28"/>
      <c r="Q28" s="8" t="s">
        <v>8039</v>
      </c>
      <c r="R28" s="80"/>
      <c r="S28" s="116"/>
      <c r="T28" s="116"/>
      <c r="U28" s="28"/>
      <c r="V28" s="80"/>
      <c r="W28" s="80"/>
      <c r="X28" s="28"/>
      <c r="Y28" s="80"/>
      <c r="Z28" s="28"/>
      <c r="AA28" s="84"/>
      <c r="AB28" s="74"/>
      <c r="AC28" s="74"/>
      <c r="AD28" s="74"/>
      <c r="AE28" s="30">
        <f>INDEX('D1 - Master Project Table'!$A$1:$AK$7056,$A28,9)</f>
        <v>1.3</v>
      </c>
      <c r="AF28" s="34" t="str">
        <f>INDEX('D1 - Master Project Table'!$A$1:$AK$7056,$A28,8)</f>
        <v>1 - Scheduled</v>
      </c>
      <c r="AG28" s="146"/>
      <c r="AH28" s="227"/>
    </row>
    <row r="29" spans="1:34" ht="22.5" x14ac:dyDescent="0.2">
      <c r="A29" s="36">
        <f>MATCH(C29,'D1 - Master Project Table'!$D$1:$D$7056,0)</f>
        <v>38</v>
      </c>
      <c r="B29" s="36" t="e">
        <f>MATCH(C29,#REF!,0)</f>
        <v>#REF!</v>
      </c>
      <c r="C29" s="200" t="s">
        <v>6672</v>
      </c>
      <c r="D29" s="34" t="str">
        <f>INDEX('D1 - Master Project Table'!$A$1:$AK$7056,$A29,5)</f>
        <v>eFullfillment of Group Retiree Materials</v>
      </c>
      <c r="E29" s="31">
        <f>INDEX('D1 - Master Project Table'!$A$1:$AK$7056,$A29,11)</f>
        <v>41356</v>
      </c>
      <c r="F29" s="32" t="str">
        <f>INDEX('D1 - Master Project Table'!$A$1:$AK$7056,$A29,13)</f>
        <v>Analysis</v>
      </c>
      <c r="G29" s="32" t="str">
        <f>INDEX('D1 - Master Project Table'!$A$1:$AK$7056,$A29,7)</f>
        <v>3 - Green</v>
      </c>
      <c r="H29" s="32"/>
      <c r="I29" s="9" t="s">
        <v>7193</v>
      </c>
      <c r="J29" s="28"/>
      <c r="K29" s="28"/>
      <c r="L29" s="28"/>
      <c r="M29" s="28"/>
      <c r="N29" s="28"/>
      <c r="O29" s="28"/>
      <c r="P29" s="28"/>
      <c r="Q29" s="8" t="s">
        <v>2259</v>
      </c>
      <c r="R29" s="80"/>
      <c r="S29" s="116"/>
      <c r="T29" s="116"/>
      <c r="U29" s="28"/>
      <c r="V29" s="80"/>
      <c r="W29" s="80"/>
      <c r="X29" s="28"/>
      <c r="Y29" s="80"/>
      <c r="Z29" s="28"/>
      <c r="AA29" s="84"/>
      <c r="AB29" s="74"/>
      <c r="AC29" s="74"/>
      <c r="AD29" s="74"/>
      <c r="AE29" s="30">
        <f>INDEX('D1 - Master Project Table'!$A$1:$AK$7056,$A29,9)</f>
        <v>0.77</v>
      </c>
      <c r="AF29" s="34" t="str">
        <f>INDEX('D1 - Master Project Table'!$A$1:$AK$7056,$A29,8)</f>
        <v>1 - Scheduled</v>
      </c>
      <c r="AG29" s="146"/>
      <c r="AH29" s="227"/>
    </row>
    <row r="30" spans="1:34" x14ac:dyDescent="0.2">
      <c r="A30" s="36">
        <f>MATCH(C30,'D1 - Master Project Table'!$D$1:$D$7056,0)</f>
        <v>39</v>
      </c>
      <c r="B30" s="36" t="e">
        <f>MATCH(C30,#REF!,0)</f>
        <v>#REF!</v>
      </c>
      <c r="C30" s="125" t="s">
        <v>7003</v>
      </c>
      <c r="D30" s="34" t="str">
        <f>INDEX('D1 - Master Project Table'!$A$1:$AK$7056,$A30,5)</f>
        <v>NDB Emptoris Synchronization</v>
      </c>
      <c r="E30" s="31">
        <f>INDEX('D1 - Master Project Table'!$A$1:$AK$7056,$A30,11)</f>
        <v>41356</v>
      </c>
      <c r="F30" s="32" t="str">
        <f>INDEX('D1 - Master Project Table'!$A$1:$AK$7056,$A30,13)</f>
        <v>Analysis</v>
      </c>
      <c r="G30" s="32" t="str">
        <f>INDEX('D1 - Master Project Table'!$A$1:$AK$7056,$A30,7)</f>
        <v>3 - Green</v>
      </c>
      <c r="H30" s="32"/>
      <c r="I30" s="74"/>
      <c r="J30" s="28"/>
      <c r="K30" s="28"/>
      <c r="L30" s="28"/>
      <c r="M30" s="28"/>
      <c r="N30" s="28"/>
      <c r="O30" s="28"/>
      <c r="P30" s="28"/>
      <c r="Q30" s="8" t="s">
        <v>4173</v>
      </c>
      <c r="R30" s="80"/>
      <c r="S30" s="116"/>
      <c r="T30" s="116"/>
      <c r="U30" s="28"/>
      <c r="V30" s="80"/>
      <c r="W30" s="80"/>
      <c r="X30" s="28"/>
      <c r="Y30" s="80"/>
      <c r="Z30" s="28"/>
      <c r="AA30" s="84"/>
      <c r="AB30" s="74"/>
      <c r="AC30" s="74"/>
      <c r="AD30" s="74"/>
      <c r="AE30" s="30">
        <f>INDEX('D1 - Master Project Table'!$A$1:$AK$7056,$A30,9)</f>
        <v>0.14000000000000001</v>
      </c>
      <c r="AF30" s="34" t="str">
        <f>INDEX('D1 - Master Project Table'!$A$1:$AK$7056,$A30,8)</f>
        <v>1 - Scheduled</v>
      </c>
      <c r="AG30" s="146"/>
      <c r="AH30" s="227"/>
    </row>
    <row r="31" spans="1:34" ht="22.5" x14ac:dyDescent="0.2">
      <c r="A31" s="36">
        <f>MATCH(C31,'D1 - Master Project Table'!$D$1:$D$7056,0)</f>
        <v>40</v>
      </c>
      <c r="B31" s="36" t="e">
        <f>MATCH(C31,#REF!,0)</f>
        <v>#REF!</v>
      </c>
      <c r="C31" s="200" t="s">
        <v>601</v>
      </c>
      <c r="D31" s="34" t="str">
        <f>INDEX('D1 - Master Project Table'!$A$1:$AK$7056,$A31,5)</f>
        <v xml:space="preserve">Sys.Operating Control-Gap Analysis &amp; Self-Service </v>
      </c>
      <c r="E31" s="31">
        <f>INDEX('D1 - Master Project Table'!$A$1:$AK$7056,$A31,11)</f>
        <v>41356</v>
      </c>
      <c r="F31" s="32" t="str">
        <f>INDEX('D1 - Master Project Table'!$A$1:$AK$7056,$A31,13)</f>
        <v>Analysis</v>
      </c>
      <c r="G31" s="32" t="str">
        <f>INDEX('D1 - Master Project Table'!$A$1:$AK$7056,$A31,7)</f>
        <v>3 - Green</v>
      </c>
      <c r="H31" s="32"/>
      <c r="I31" s="74" t="s">
        <v>1680</v>
      </c>
      <c r="J31" s="28"/>
      <c r="K31" s="28"/>
      <c r="L31" s="28"/>
      <c r="M31" s="28"/>
      <c r="N31" s="28"/>
      <c r="O31" s="28"/>
      <c r="P31" s="28"/>
      <c r="Q31" s="8" t="s">
        <v>1678</v>
      </c>
      <c r="R31" s="80"/>
      <c r="S31" s="116"/>
      <c r="T31" s="116"/>
      <c r="U31" s="28"/>
      <c r="V31" s="80"/>
      <c r="W31" s="80"/>
      <c r="X31" s="28"/>
      <c r="Y31" s="80"/>
      <c r="Z31" s="28"/>
      <c r="AA31" s="84"/>
      <c r="AB31" s="74"/>
      <c r="AC31" s="74"/>
      <c r="AD31" s="74"/>
      <c r="AE31" s="30">
        <f>INDEX('D1 - Master Project Table'!$A$1:$AK$7056,$A31,9)</f>
        <v>0.74</v>
      </c>
      <c r="AF31" s="34" t="str">
        <f>INDEX('D1 - Master Project Table'!$A$1:$AK$7056,$A31,8)</f>
        <v>1 - Scheduled</v>
      </c>
      <c r="AG31" s="146"/>
      <c r="AH31" s="227"/>
    </row>
    <row r="32" spans="1:34" x14ac:dyDescent="0.2">
      <c r="A32" s="36">
        <f>MATCH(C32,'D1 - Master Project Table'!$D$1:$D$7056,0)</f>
        <v>41</v>
      </c>
      <c r="B32" s="36" t="e">
        <f>MATCH(C32,#REF!,0)</f>
        <v>#REF!</v>
      </c>
      <c r="C32" s="200" t="s">
        <v>88</v>
      </c>
      <c r="D32" s="34" t="str">
        <f>INDEX('D1 - Master Project Table'!$A$1:$AK$7056,$A32,5)</f>
        <v>Maryland CRISP</v>
      </c>
      <c r="E32" s="31">
        <f>INDEX('D1 - Master Project Table'!$A$1:$AK$7056,$A32,11)</f>
        <v>41356</v>
      </c>
      <c r="F32" s="32" t="str">
        <f>INDEX('D1 - Master Project Table'!$A$1:$AK$7056,$A32,13)</f>
        <v>Analysis</v>
      </c>
      <c r="G32" s="32" t="str">
        <f>INDEX('D1 - Master Project Table'!$A$1:$AK$7056,$A32,7)</f>
        <v>3 - Green</v>
      </c>
      <c r="H32" s="32"/>
      <c r="I32" s="74"/>
      <c r="J32" s="28"/>
      <c r="K32" s="28"/>
      <c r="L32" s="28"/>
      <c r="M32" s="28"/>
      <c r="N32" s="28"/>
      <c r="O32" s="28"/>
      <c r="P32" s="28"/>
      <c r="Q32" s="8" t="s">
        <v>8226</v>
      </c>
      <c r="R32" s="80"/>
      <c r="S32" s="116"/>
      <c r="T32" s="116"/>
      <c r="U32" s="28"/>
      <c r="V32" s="80"/>
      <c r="W32" s="80"/>
      <c r="X32" s="28"/>
      <c r="Y32" s="80"/>
      <c r="Z32" s="28"/>
      <c r="AA32" s="84"/>
      <c r="AB32" s="74"/>
      <c r="AC32" s="74"/>
      <c r="AD32" s="74"/>
      <c r="AE32" s="30">
        <f>INDEX('D1 - Master Project Table'!$A$1:$AK$7056,$A32,9)</f>
        <v>1.33</v>
      </c>
      <c r="AF32" s="34" t="str">
        <f>INDEX('D1 - Master Project Table'!$A$1:$AK$7056,$A32,8)</f>
        <v>1 - Scheduled</v>
      </c>
      <c r="AG32" s="146"/>
      <c r="AH32" s="227"/>
    </row>
    <row r="33" spans="1:34" ht="141" customHeight="1" x14ac:dyDescent="0.2">
      <c r="A33" s="36">
        <f>MATCH(C33,'D1 - Master Project Table'!$D$1:$D$7056,0)</f>
        <v>42</v>
      </c>
      <c r="B33" s="36" t="e">
        <f>MATCH(C33,#REF!,0)</f>
        <v>#REF!</v>
      </c>
      <c r="C33" s="200" t="s">
        <v>9056</v>
      </c>
      <c r="D33" s="34" t="str">
        <f>INDEX('D1 - Master Project Table'!$A$1:$AK$7056,$A33,5)</f>
        <v>Health Care Cost Estimator  Release 2.2</v>
      </c>
      <c r="E33" s="31">
        <f>INDEX('D1 - Master Project Table'!$A$1:$AK$7056,$A33,11)</f>
        <v>41360</v>
      </c>
      <c r="F33" s="32" t="str">
        <f>INDEX('D1 - Master Project Table'!$A$1:$AK$7056,$A33,13)</f>
        <v>Project</v>
      </c>
      <c r="G33" s="32" t="str">
        <f>INDEX('D1 - Master Project Table'!$A$1:$AK$7056,$A33,7)</f>
        <v>3 - Green</v>
      </c>
      <c r="H33" s="32"/>
      <c r="I33" s="9" t="s">
        <v>9146</v>
      </c>
      <c r="J33" s="28"/>
      <c r="K33" s="28"/>
      <c r="L33" s="28"/>
      <c r="M33" s="28"/>
      <c r="N33" s="28"/>
      <c r="O33" s="28"/>
      <c r="P33" s="28"/>
      <c r="Q33" s="8" t="s">
        <v>4599</v>
      </c>
      <c r="R33" s="80"/>
      <c r="S33" s="116"/>
      <c r="T33" s="116"/>
      <c r="U33" s="28"/>
      <c r="V33" s="80"/>
      <c r="W33" s="80"/>
      <c r="X33" s="28"/>
      <c r="Y33" s="80"/>
      <c r="Z33" s="28"/>
      <c r="AA33" s="84"/>
      <c r="AB33" s="9" t="s">
        <v>9128</v>
      </c>
      <c r="AC33" s="74"/>
      <c r="AD33" s="74"/>
      <c r="AE33" s="30">
        <f>INDEX('D1 - Master Project Table'!$A$1:$AK$7056,$A33,9)</f>
        <v>0</v>
      </c>
      <c r="AF33" s="34" t="str">
        <f>INDEX('D1 - Master Project Table'!$A$1:$AK$7056,$A33,8)</f>
        <v>1 - Scheduled</v>
      </c>
      <c r="AG33" s="146"/>
      <c r="AH33" s="227"/>
    </row>
    <row r="34" spans="1:34" x14ac:dyDescent="0.2">
      <c r="A34" s="53" t="e">
        <f>MATCH(C34,'D1 - Master Project Table'!$D$1:$D$7056,0)</f>
        <v>#N/A</v>
      </c>
      <c r="B34" s="53" t="e">
        <f>MATCH(C34,#REF!,0)</f>
        <v>#REF!</v>
      </c>
      <c r="C34" s="173" t="s">
        <v>7420</v>
      </c>
      <c r="D34" s="137" t="s">
        <v>8213</v>
      </c>
      <c r="E34" s="199">
        <v>41376</v>
      </c>
      <c r="F34" s="201"/>
      <c r="G34" s="43" t="e">
        <f>INDEX('D1 - Master Project Table'!$A$1:$AK$7056,$A34,13)</f>
        <v>#N/A</v>
      </c>
      <c r="H34" s="43"/>
      <c r="I34" s="201"/>
      <c r="J34" s="43" t="e">
        <f>INDEX('D1 - Master Project Table'!$A$1:$AK$7056,$A34,13)</f>
        <v>#N/A</v>
      </c>
      <c r="K34" s="43" t="e">
        <f>INDEX('D1 - Master Project Table'!$A$1:$AK$7056,$A34,13)</f>
        <v>#N/A</v>
      </c>
      <c r="L34" s="43" t="e">
        <f>INDEX('D1 - Master Project Table'!$A$1:$AK$7056,$A34,13)</f>
        <v>#N/A</v>
      </c>
      <c r="M34" s="43" t="e">
        <f>INDEX('D1 - Master Project Table'!$A$1:$AK$7056,$A34,13)</f>
        <v>#N/A</v>
      </c>
      <c r="N34" s="43" t="e">
        <f>INDEX('D1 - Master Project Table'!$A$1:$AK$7056,$A34,13)</f>
        <v>#N/A</v>
      </c>
      <c r="O34" s="43" t="e">
        <f>INDEX('D1 - Master Project Table'!$A$1:$AK$7056,$A34,13)</f>
        <v>#N/A</v>
      </c>
      <c r="P34" s="43" t="e">
        <f>INDEX('D1 - Master Project Table'!$A$1:$AK$7056,$A34,13)</f>
        <v>#N/A</v>
      </c>
      <c r="Q34" s="43">
        <v>0</v>
      </c>
      <c r="R34" s="43">
        <v>0</v>
      </c>
      <c r="S34" s="43">
        <v>0</v>
      </c>
      <c r="T34" s="43">
        <v>0</v>
      </c>
      <c r="U34" s="43">
        <v>0</v>
      </c>
      <c r="V34" s="81">
        <v>0</v>
      </c>
      <c r="W34" s="81">
        <v>0</v>
      </c>
      <c r="X34" s="43">
        <v>0</v>
      </c>
      <c r="Y34" s="81">
        <v>0</v>
      </c>
      <c r="Z34" s="43">
        <v>0</v>
      </c>
      <c r="AA34" s="85">
        <v>0</v>
      </c>
      <c r="AB34" s="44">
        <v>0</v>
      </c>
      <c r="AC34" s="44">
        <v>0</v>
      </c>
      <c r="AD34" s="52" t="e">
        <v>#N/A</v>
      </c>
      <c r="AE34" s="45"/>
      <c r="AF34" s="44"/>
      <c r="AG34" s="146"/>
      <c r="AH34" s="227"/>
    </row>
    <row r="35" spans="1:34" ht="102" customHeight="1" x14ac:dyDescent="0.2">
      <c r="A35" s="36">
        <f>MATCH(C35,'D1 - Master Project Table'!$D$1:$D$7056,0)</f>
        <v>43</v>
      </c>
      <c r="B35" s="36" t="e">
        <f>MATCH(C35,#REF!,0)</f>
        <v>#REF!</v>
      </c>
      <c r="C35" s="200" t="s">
        <v>693</v>
      </c>
      <c r="D35" s="34" t="str">
        <f>INDEX('D1 - Master Project Table'!$A$1:$AK$7056,$A35,5)</f>
        <v xml:space="preserve">FACETS CSP Build in Master </v>
      </c>
      <c r="E35" s="31">
        <f>INDEX('D1 - Master Project Table'!$A$1:$AK$7056,$A35,11)</f>
        <v>41376</v>
      </c>
      <c r="F35" s="32" t="str">
        <f>INDEX('D1 - Master Project Table'!$A$1:$AK$7056,$A35,13)</f>
        <v>Testing</v>
      </c>
      <c r="G35" s="32" t="str">
        <f>INDEX('D1 - Master Project Table'!$A$1:$AK$7056,$A35,7)</f>
        <v>3 - Green</v>
      </c>
      <c r="H35" s="32"/>
      <c r="I35" s="38" t="s">
        <v>800</v>
      </c>
      <c r="J35" s="28"/>
      <c r="K35" s="28"/>
      <c r="L35" s="28"/>
      <c r="M35" s="28"/>
      <c r="N35" s="28"/>
      <c r="O35" s="28"/>
      <c r="P35" s="28"/>
      <c r="Q35" s="8" t="s">
        <v>1731</v>
      </c>
      <c r="R35" s="80"/>
      <c r="S35" s="116"/>
      <c r="T35" s="116"/>
      <c r="U35" s="28"/>
      <c r="V35" s="80"/>
      <c r="W35" s="80"/>
      <c r="X35" s="28"/>
      <c r="Y35" s="80"/>
      <c r="Z35" s="28" t="s">
        <v>955</v>
      </c>
      <c r="AA35" s="84"/>
      <c r="AB35" s="74"/>
      <c r="AC35" s="74"/>
      <c r="AD35" s="74"/>
      <c r="AE35" s="30">
        <f>INDEX('D1 - Master Project Table'!$A$1:$AK$7056,$A35,9)</f>
        <v>1.2</v>
      </c>
      <c r="AF35" s="34" t="str">
        <f>INDEX('D1 - Master Project Table'!$A$1:$AK$7056,$A35,8)</f>
        <v>1 - Scheduled</v>
      </c>
      <c r="AG35" s="146"/>
      <c r="AH35" s="227"/>
    </row>
    <row r="36" spans="1:34" x14ac:dyDescent="0.2">
      <c r="A36" s="53" t="e">
        <f>MATCH(C36,'D1 - Master Project Table'!$D$1:$D$7056,0)</f>
        <v>#N/A</v>
      </c>
      <c r="B36" s="53" t="e">
        <f>MATCH(C36,#REF!,0)</f>
        <v>#REF!</v>
      </c>
      <c r="C36" s="173" t="s">
        <v>7420</v>
      </c>
      <c r="D36" s="137" t="s">
        <v>8214</v>
      </c>
      <c r="E36" s="199">
        <v>41404</v>
      </c>
      <c r="F36" s="201"/>
      <c r="G36" s="43" t="e">
        <f>INDEX('D1 - Master Project Table'!$A$1:$AK$7056,$A36,13)</f>
        <v>#N/A</v>
      </c>
      <c r="H36" s="43"/>
      <c r="I36" s="201"/>
      <c r="J36" s="43" t="e">
        <f>INDEX('D1 - Master Project Table'!$A$1:$AK$7056,$A36,13)</f>
        <v>#N/A</v>
      </c>
      <c r="K36" s="43" t="e">
        <f>INDEX('D1 - Master Project Table'!$A$1:$AK$7056,$A36,13)</f>
        <v>#N/A</v>
      </c>
      <c r="L36" s="43" t="e">
        <f>INDEX('D1 - Master Project Table'!$A$1:$AK$7056,$A36,13)</f>
        <v>#N/A</v>
      </c>
      <c r="M36" s="43" t="e">
        <f>INDEX('D1 - Master Project Table'!$A$1:$AK$7056,$A36,13)</f>
        <v>#N/A</v>
      </c>
      <c r="N36" s="43" t="e">
        <f>INDEX('D1 - Master Project Table'!$A$1:$AK$7056,$A36,13)</f>
        <v>#N/A</v>
      </c>
      <c r="O36" s="43" t="e">
        <f>INDEX('D1 - Master Project Table'!$A$1:$AK$7056,$A36,13)</f>
        <v>#N/A</v>
      </c>
      <c r="P36" s="43" t="e">
        <f>INDEX('D1 - Master Project Table'!$A$1:$AK$7056,$A36,13)</f>
        <v>#N/A</v>
      </c>
      <c r="Q36" s="43">
        <v>0</v>
      </c>
      <c r="R36" s="43">
        <v>0</v>
      </c>
      <c r="S36" s="43">
        <v>0</v>
      </c>
      <c r="T36" s="43">
        <v>0</v>
      </c>
      <c r="U36" s="43">
        <v>0</v>
      </c>
      <c r="V36" s="81">
        <v>0</v>
      </c>
      <c r="W36" s="81">
        <v>0</v>
      </c>
      <c r="X36" s="43">
        <v>0</v>
      </c>
      <c r="Y36" s="81">
        <v>0</v>
      </c>
      <c r="Z36" s="43">
        <v>0</v>
      </c>
      <c r="AA36" s="85">
        <v>0</v>
      </c>
      <c r="AB36" s="44">
        <v>0</v>
      </c>
      <c r="AC36" s="44">
        <v>0</v>
      </c>
      <c r="AD36" s="52" t="e">
        <v>#N/A</v>
      </c>
      <c r="AE36" s="45"/>
      <c r="AF36" s="44"/>
      <c r="AG36" s="146"/>
      <c r="AH36" s="227"/>
    </row>
    <row r="37" spans="1:34" ht="227.25" customHeight="1" x14ac:dyDescent="0.2">
      <c r="A37" s="36">
        <f>MATCH(C37,'D1 - Master Project Table'!$D$1:$D$7056,0)</f>
        <v>44</v>
      </c>
      <c r="B37" s="36" t="e">
        <f>MATCH(C37,#REF!,0)</f>
        <v>#REF!</v>
      </c>
      <c r="C37" s="200" t="s">
        <v>296</v>
      </c>
      <c r="D37" s="34" t="str">
        <f>INDEX('D1 - Master Project Table'!$A$1:$AK$7056,$A37,5)</f>
        <v>Florida Long Term Care Expansion</v>
      </c>
      <c r="E37" s="31">
        <f>INDEX('D1 - Master Project Table'!$A$1:$AK$7056,$A37,11)</f>
        <v>41404</v>
      </c>
      <c r="F37" s="32" t="str">
        <f>INDEX('D1 - Master Project Table'!$A$1:$AK$7056,$A37,13)</f>
        <v>Project</v>
      </c>
      <c r="G37" s="32" t="str">
        <f>INDEX('D1 - Master Project Table'!$A$1:$AK$7056,$A37,7)</f>
        <v>3 - Green</v>
      </c>
      <c r="H37" s="32"/>
      <c r="I37" s="9" t="s">
        <v>9464</v>
      </c>
      <c r="J37" s="8" t="s">
        <v>7273</v>
      </c>
      <c r="K37" s="8" t="s">
        <v>7273</v>
      </c>
      <c r="L37" s="8" t="s">
        <v>7273</v>
      </c>
      <c r="M37" s="8" t="s">
        <v>7273</v>
      </c>
      <c r="N37" s="8" t="s">
        <v>7273</v>
      </c>
      <c r="O37" s="8" t="s">
        <v>7273</v>
      </c>
      <c r="P37" s="8" t="s">
        <v>3758</v>
      </c>
      <c r="Q37" s="8" t="s">
        <v>1379</v>
      </c>
      <c r="R37" s="80">
        <v>41383</v>
      </c>
      <c r="S37" s="57" t="s">
        <v>2737</v>
      </c>
      <c r="T37" s="116"/>
      <c r="U37" s="8" t="s">
        <v>2815</v>
      </c>
      <c r="V37" s="175" t="s">
        <v>4769</v>
      </c>
      <c r="W37" s="175">
        <v>41388</v>
      </c>
      <c r="X37" s="8" t="s">
        <v>212</v>
      </c>
      <c r="Y37" s="80">
        <v>41415</v>
      </c>
      <c r="Z37" s="9" t="s">
        <v>9017</v>
      </c>
      <c r="AA37" s="176" t="s">
        <v>9361</v>
      </c>
      <c r="AB37" s="9" t="s">
        <v>4027</v>
      </c>
      <c r="AC37" s="9" t="s">
        <v>9197</v>
      </c>
      <c r="AD37" s="74"/>
      <c r="AE37" s="30">
        <f>INDEX('D1 - Master Project Table'!$A$1:$AK$7056,$A37,9)</f>
        <v>6.65</v>
      </c>
      <c r="AF37" s="34" t="str">
        <f>INDEX('D1 - Master Project Table'!$A$1:$AK$7056,$A37,8)</f>
        <v>1 - Scheduled</v>
      </c>
      <c r="AG37" s="146"/>
      <c r="AH37" s="227"/>
    </row>
    <row r="38" spans="1:34" ht="258.75" customHeight="1" x14ac:dyDescent="0.2">
      <c r="A38" s="36">
        <f>MATCH(C38,'D1 - Master Project Table'!$D$1:$D$7056,0)</f>
        <v>45</v>
      </c>
      <c r="B38" s="36" t="e">
        <f>MATCH(C38,#REF!,0)</f>
        <v>#REF!</v>
      </c>
      <c r="C38" s="125" t="s">
        <v>9522</v>
      </c>
      <c r="D38" s="34" t="str">
        <f>INDEX('D1 - Master Project Table'!$A$1:$AK$7056,$A38,5)</f>
        <v>UHCMW Defect release (Portal Only)</v>
      </c>
      <c r="E38" s="31">
        <f>INDEX('D1 - Master Project Table'!$A$1:$AK$7056,$A38,11)</f>
        <v>41405</v>
      </c>
      <c r="F38" s="32" t="str">
        <f>INDEX('D1 - Master Project Table'!$A$1:$AK$7056,$A38,13)</f>
        <v>Project</v>
      </c>
      <c r="G38" s="32" t="str">
        <f>INDEX('D1 - Master Project Table'!$A$1:$AK$7056,$A38,7)</f>
        <v>3 - Green</v>
      </c>
      <c r="H38" s="32"/>
      <c r="I38" s="9" t="s">
        <v>9527</v>
      </c>
      <c r="J38" s="28"/>
      <c r="K38" s="28"/>
      <c r="L38" s="28"/>
      <c r="M38" s="28"/>
      <c r="N38" s="28"/>
      <c r="O38" s="28"/>
      <c r="P38" s="28"/>
      <c r="Q38" s="8" t="s">
        <v>59</v>
      </c>
      <c r="R38" s="80"/>
      <c r="S38" s="116"/>
      <c r="T38" s="116"/>
      <c r="U38" s="8" t="s">
        <v>9526</v>
      </c>
      <c r="V38" s="80"/>
      <c r="W38" s="80"/>
      <c r="X38" s="8" t="s">
        <v>5080</v>
      </c>
      <c r="Y38" s="80"/>
      <c r="Z38" s="28"/>
      <c r="AA38" s="84"/>
      <c r="AB38" s="74"/>
      <c r="AC38" s="74"/>
      <c r="AD38" s="74"/>
      <c r="AE38" s="30">
        <f>INDEX('D1 - Master Project Table'!$A$1:$AK$7056,$A38,9)</f>
        <v>0.42</v>
      </c>
      <c r="AF38" s="34" t="str">
        <f>INDEX('D1 - Master Project Table'!$A$1:$AK$7056,$A38,8)</f>
        <v>1 - Scheduled</v>
      </c>
      <c r="AG38" s="146"/>
      <c r="AH38" s="227"/>
    </row>
    <row r="39" spans="1:34" ht="146.25" x14ac:dyDescent="0.2">
      <c r="A39" s="36">
        <f>MATCH(C39,'D1 - Master Project Table'!$D$1:$D$7056,0)</f>
        <v>46</v>
      </c>
      <c r="B39" s="36" t="e">
        <f>MATCH(C39,#REF!,0)</f>
        <v>#REF!</v>
      </c>
      <c r="C39" s="8" t="s">
        <v>1412</v>
      </c>
      <c r="D39" s="34" t="str">
        <f>INDEX('D1 - Master Project Table'!$A$1:$AK$7056,$A39,5)</f>
        <v>New Jersey CSP Facets Migration</v>
      </c>
      <c r="E39" s="31">
        <f>INDEX('D1 - Master Project Table'!$A$1:$AK$7056,$A39,11)</f>
        <v>41411</v>
      </c>
      <c r="F39" s="4" t="s">
        <v>6007</v>
      </c>
      <c r="G39" s="32" t="str">
        <f>INDEX('D1 - Master Project Table'!$A$1:$AK$7056,$A39,7)</f>
        <v>3 - Green</v>
      </c>
      <c r="H39" s="4" t="s">
        <v>1447</v>
      </c>
      <c r="I39" s="285" t="s">
        <v>9468</v>
      </c>
      <c r="J39" s="8" t="s">
        <v>7273</v>
      </c>
      <c r="K39" s="8" t="s">
        <v>7273</v>
      </c>
      <c r="L39" s="8" t="s">
        <v>3758</v>
      </c>
      <c r="M39" s="8" t="s">
        <v>7273</v>
      </c>
      <c r="N39" s="8" t="s">
        <v>7273</v>
      </c>
      <c r="O39" s="8" t="s">
        <v>7273</v>
      </c>
      <c r="P39" s="8" t="s">
        <v>3758</v>
      </c>
      <c r="Q39" s="8" t="s">
        <v>219</v>
      </c>
      <c r="R39" s="175">
        <v>41376</v>
      </c>
      <c r="S39" s="57" t="s">
        <v>6007</v>
      </c>
      <c r="T39" s="57" t="s">
        <v>3572</v>
      </c>
      <c r="U39" s="175" t="s">
        <v>1755</v>
      </c>
      <c r="V39" s="57" t="s">
        <v>3572</v>
      </c>
      <c r="W39" s="175" t="s">
        <v>3572</v>
      </c>
      <c r="X39" s="175" t="s">
        <v>3547</v>
      </c>
      <c r="Y39" s="57" t="s">
        <v>3572</v>
      </c>
      <c r="Z39" s="57" t="s">
        <v>779</v>
      </c>
      <c r="AA39" s="409">
        <v>41375</v>
      </c>
      <c r="AB39" s="413" t="s">
        <v>9150</v>
      </c>
      <c r="AC39" s="57" t="s">
        <v>3572</v>
      </c>
      <c r="AD39" s="9"/>
      <c r="AE39" s="30">
        <f>INDEX('D1 - Master Project Table'!$A$1:$AK$7056,$A39,9)</f>
        <v>3.12</v>
      </c>
      <c r="AF39" s="34" t="str">
        <f>INDEX('D1 - Master Project Table'!$A$1:$AK$7056,$A39,8)</f>
        <v>1 - Scheduled</v>
      </c>
      <c r="AG39" s="146"/>
      <c r="AH39" s="227"/>
    </row>
    <row r="40" spans="1:34" ht="33" customHeight="1" x14ac:dyDescent="0.2">
      <c r="A40" s="53" t="e">
        <f>MATCH(C40,'D1 - Master Project Table'!$D$1:$D$7056,0)</f>
        <v>#N/A</v>
      </c>
      <c r="B40" s="53" t="e">
        <f>MATCH(C40,#REF!,0)</f>
        <v>#REF!</v>
      </c>
      <c r="C40" s="173" t="s">
        <v>7420</v>
      </c>
      <c r="D40" s="137" t="s">
        <v>7889</v>
      </c>
      <c r="E40" s="199">
        <v>41412</v>
      </c>
      <c r="F40" s="201"/>
      <c r="G40" s="43" t="e">
        <f>INDEX('D1 - Master Project Table'!$A$1:$AK$7056,$A40,13)</f>
        <v>#N/A</v>
      </c>
      <c r="H40" s="43"/>
      <c r="I40" s="201"/>
      <c r="J40" s="43" t="e">
        <f>INDEX('D1 - Master Project Table'!$A$1:$AK$7056,$A40,13)</f>
        <v>#N/A</v>
      </c>
      <c r="K40" s="43" t="e">
        <f>INDEX('D1 - Master Project Table'!$A$1:$AK$7056,$A40,13)</f>
        <v>#N/A</v>
      </c>
      <c r="L40" s="43" t="e">
        <f>INDEX('D1 - Master Project Table'!$A$1:$AK$7056,$A40,13)</f>
        <v>#N/A</v>
      </c>
      <c r="M40" s="43" t="e">
        <f>INDEX('D1 - Master Project Table'!$A$1:$AK$7056,$A40,13)</f>
        <v>#N/A</v>
      </c>
      <c r="N40" s="43" t="e">
        <f>INDEX('D1 - Master Project Table'!$A$1:$AK$7056,$A40,13)</f>
        <v>#N/A</v>
      </c>
      <c r="O40" s="43" t="e">
        <f>INDEX('D1 - Master Project Table'!$A$1:$AK$7056,$A40,13)</f>
        <v>#N/A</v>
      </c>
      <c r="P40" s="43" t="e">
        <f>INDEX('D1 - Master Project Table'!$A$1:$AK$7056,$A40,13)</f>
        <v>#N/A</v>
      </c>
      <c r="Q40" s="43">
        <v>0</v>
      </c>
      <c r="R40" s="43">
        <v>0</v>
      </c>
      <c r="S40" s="43">
        <v>0</v>
      </c>
      <c r="T40" s="43">
        <v>0</v>
      </c>
      <c r="U40" s="43">
        <v>0</v>
      </c>
      <c r="V40" s="81">
        <v>0</v>
      </c>
      <c r="W40" s="81">
        <v>0</v>
      </c>
      <c r="X40" s="43">
        <v>0</v>
      </c>
      <c r="Y40" s="81">
        <v>0</v>
      </c>
      <c r="Z40" s="43">
        <v>0</v>
      </c>
      <c r="AA40" s="85">
        <v>0</v>
      </c>
      <c r="AB40" s="44">
        <v>0</v>
      </c>
      <c r="AC40" s="44">
        <v>0</v>
      </c>
      <c r="AD40" s="52" t="e">
        <v>#N/A</v>
      </c>
      <c r="AE40" s="45"/>
      <c r="AF40" s="44"/>
      <c r="AG40" s="146"/>
      <c r="AH40" s="227"/>
    </row>
    <row r="41" spans="1:34" ht="156" customHeight="1" x14ac:dyDescent="0.2">
      <c r="A41" s="36">
        <f>MATCH(C41,'D1 - Master Project Table'!$D$1:$D$7056,0)</f>
        <v>47</v>
      </c>
      <c r="B41" s="36" t="e">
        <f>MATCH(C41,#REF!,0)</f>
        <v>#REF!</v>
      </c>
      <c r="C41" s="125" t="s">
        <v>8037</v>
      </c>
      <c r="D41" s="34" t="str">
        <f>INDEX('D1 - Master Project Table'!$A$1:$AK$7056,$A41,5)</f>
        <v>CDB Online:  Update /Channels Other</v>
      </c>
      <c r="E41" s="31">
        <f>INDEX('D1 - Master Project Table'!$A$1:$AK$7056,$A41,11)</f>
        <v>41412</v>
      </c>
      <c r="F41" s="32" t="str">
        <f>INDEX('D1 - Master Project Table'!$A$1:$AK$7056,$A41,13)</f>
        <v>Testing</v>
      </c>
      <c r="G41" s="32" t="str">
        <f>INDEX('D1 - Master Project Table'!$A$1:$AK$7056,$A41,7)</f>
        <v>3 - Green</v>
      </c>
      <c r="H41" s="32"/>
      <c r="I41" s="74" t="s">
        <v>8034</v>
      </c>
      <c r="J41" s="28"/>
      <c r="K41" s="28"/>
      <c r="L41" s="28"/>
      <c r="M41" s="28"/>
      <c r="N41" s="28"/>
      <c r="O41" s="28"/>
      <c r="P41" s="28"/>
      <c r="Q41" s="8" t="s">
        <v>1731</v>
      </c>
      <c r="R41" s="80"/>
      <c r="S41" s="116"/>
      <c r="T41" s="116"/>
      <c r="U41" s="28"/>
      <c r="V41" s="80"/>
      <c r="W41" s="80"/>
      <c r="X41" s="28"/>
      <c r="Y41" s="80"/>
      <c r="Z41" s="8" t="s">
        <v>955</v>
      </c>
      <c r="AA41" s="84"/>
      <c r="AB41" s="74"/>
      <c r="AC41" s="74"/>
      <c r="AD41" s="74"/>
      <c r="AE41" s="30">
        <f>INDEX('D1 - Master Project Table'!$A$1:$AK$7056,$A41,9)</f>
        <v>0.85</v>
      </c>
      <c r="AF41" s="34" t="str">
        <f>INDEX('D1 - Master Project Table'!$A$1:$AK$7056,$A41,8)</f>
        <v>1 - Scheduled</v>
      </c>
      <c r="AG41" s="146"/>
      <c r="AH41" s="227"/>
    </row>
    <row r="42" spans="1:34" ht="112.5" x14ac:dyDescent="0.2">
      <c r="A42" s="36">
        <f>MATCH(C42,'D1 - Master Project Table'!$D$1:$D$7056,0)</f>
        <v>48</v>
      </c>
      <c r="B42" s="36" t="e">
        <f>MATCH(C42,#REF!,0)</f>
        <v>#REF!</v>
      </c>
      <c r="C42" s="200" t="s">
        <v>7095</v>
      </c>
      <c r="D42" s="34" t="str">
        <f>INDEX('D1 - Master Project Table'!$A$1:$AK$7056,$A42,5)</f>
        <v>Medical Necessity - Rad/Card Prior Auth</v>
      </c>
      <c r="E42" s="31">
        <f>INDEX('D1 - Master Project Table'!$A$1:$AK$7056,$A42,11)</f>
        <v>41412</v>
      </c>
      <c r="F42" s="32" t="str">
        <f>INDEX('D1 - Master Project Table'!$A$1:$AK$7056,$A42,13)</f>
        <v>Project</v>
      </c>
      <c r="G42" s="32" t="str">
        <f>INDEX('D1 - Master Project Table'!$A$1:$AK$7056,$A42,7)</f>
        <v>3 - Green</v>
      </c>
      <c r="H42" s="32"/>
      <c r="I42" s="9" t="s">
        <v>9539</v>
      </c>
      <c r="J42" s="28" t="s">
        <v>3758</v>
      </c>
      <c r="K42" s="28" t="s">
        <v>3758</v>
      </c>
      <c r="L42" s="28" t="s">
        <v>7273</v>
      </c>
      <c r="M42" s="28" t="s">
        <v>7273</v>
      </c>
      <c r="N42" s="28" t="s">
        <v>3758</v>
      </c>
      <c r="O42" s="28" t="s">
        <v>3758</v>
      </c>
      <c r="P42" s="28" t="s">
        <v>3758</v>
      </c>
      <c r="Q42" s="8" t="s">
        <v>515</v>
      </c>
      <c r="R42" s="80">
        <v>41250</v>
      </c>
      <c r="S42" s="116" t="s">
        <v>2737</v>
      </c>
      <c r="T42" s="116" t="s">
        <v>3758</v>
      </c>
      <c r="U42" s="74" t="s">
        <v>8061</v>
      </c>
      <c r="V42" s="176">
        <v>41313</v>
      </c>
      <c r="W42" s="80">
        <v>41320</v>
      </c>
      <c r="X42" s="28" t="s">
        <v>2810</v>
      </c>
      <c r="Y42" s="80">
        <v>41351</v>
      </c>
      <c r="Z42" s="9" t="s">
        <v>9020</v>
      </c>
      <c r="AA42" s="84">
        <v>41374</v>
      </c>
      <c r="AB42" s="9" t="s">
        <v>9131</v>
      </c>
      <c r="AC42" s="74" t="s">
        <v>4027</v>
      </c>
      <c r="AD42" s="74"/>
      <c r="AE42" s="30">
        <f>INDEX('D1 - Master Project Table'!$A$1:$AK$7056,$A42,9)</f>
        <v>43.4</v>
      </c>
      <c r="AF42" s="34" t="str">
        <f>INDEX('D1 - Master Project Table'!$A$1:$AK$7056,$A42,8)</f>
        <v>1 - Scheduled</v>
      </c>
      <c r="AG42" s="146"/>
      <c r="AH42" s="227"/>
    </row>
    <row r="43" spans="1:34" ht="135" x14ac:dyDescent="0.2">
      <c r="A43" s="36">
        <f>MATCH(C43,'D1 - Master Project Table'!$D$1:$D$7056,0)</f>
        <v>49</v>
      </c>
      <c r="B43" s="36" t="e">
        <f>MATCH(C43,#REF!,0)</f>
        <v>#REF!</v>
      </c>
      <c r="C43" s="8" t="s">
        <v>660</v>
      </c>
      <c r="D43" s="34" t="str">
        <f>INDEX('D1 - Master Project Table'!$A$1:$AK$7056,$A43,5)</f>
        <v>Addition of NPI to NDB and COSMOS Provider Pick</v>
      </c>
      <c r="E43" s="31">
        <f>INDEX('D1 - Master Project Table'!$A$1:$AK$7056,$A43,11)</f>
        <v>41412</v>
      </c>
      <c r="F43" s="32" t="str">
        <f>INDEX('D1 - Master Project Table'!$A$1:$AK$7056,$A43,13)</f>
        <v>Project</v>
      </c>
      <c r="G43" s="32" t="str">
        <f>INDEX('D1 - Master Project Table'!$A$1:$AK$7056,$A43,7)</f>
        <v>3 - Green</v>
      </c>
      <c r="H43" s="32"/>
      <c r="I43" s="285" t="s">
        <v>9533</v>
      </c>
      <c r="J43" s="8" t="s">
        <v>3758</v>
      </c>
      <c r="K43" s="8" t="s">
        <v>3758</v>
      </c>
      <c r="L43" s="8" t="s">
        <v>3758</v>
      </c>
      <c r="M43" s="8" t="s">
        <v>7273</v>
      </c>
      <c r="N43" s="8" t="s">
        <v>7273</v>
      </c>
      <c r="O43" s="8" t="s">
        <v>7273</v>
      </c>
      <c r="P43" s="8" t="s">
        <v>7273</v>
      </c>
      <c r="Q43" s="8" t="s">
        <v>4599</v>
      </c>
      <c r="R43" s="175">
        <v>41201</v>
      </c>
      <c r="S43" s="57" t="s">
        <v>2737</v>
      </c>
      <c r="T43" s="57" t="s">
        <v>3758</v>
      </c>
      <c r="U43" s="8" t="s">
        <v>613</v>
      </c>
      <c r="V43" s="80">
        <v>41355</v>
      </c>
      <c r="W43" s="175">
        <v>41295</v>
      </c>
      <c r="X43" s="9" t="s">
        <v>8864</v>
      </c>
      <c r="Y43" s="175">
        <v>41351</v>
      </c>
      <c r="Z43" s="9" t="s">
        <v>9012</v>
      </c>
      <c r="AA43" s="176">
        <v>41365</v>
      </c>
      <c r="AB43" s="9" t="s">
        <v>9208</v>
      </c>
      <c r="AC43" s="74"/>
      <c r="AD43" s="74"/>
      <c r="AE43" s="30">
        <f>INDEX('D1 - Master Project Table'!$A$1:$AK$7056,$A43,9)</f>
        <v>100.78</v>
      </c>
      <c r="AF43" s="34" t="str">
        <f>INDEX('D1 - Master Project Table'!$A$1:$AK$7056,$A43,8)</f>
        <v>1 - Scheduled</v>
      </c>
      <c r="AG43" s="146"/>
      <c r="AH43" s="227"/>
    </row>
    <row r="44" spans="1:34" ht="22.5" x14ac:dyDescent="0.2">
      <c r="A44" s="36">
        <f>MATCH(C44,'D1 - Master Project Table'!$D$1:$D$7056,0)</f>
        <v>50</v>
      </c>
      <c r="B44" s="36" t="e">
        <f>MATCH(C44,#REF!,0)</f>
        <v>#REF!</v>
      </c>
      <c r="C44" s="200" t="s">
        <v>1</v>
      </c>
      <c r="D44" s="34" t="str">
        <f>INDEX('D1 - Master Project Table'!$A$1:$AK$7056,$A44,5)</f>
        <v>Addition of NPI to NDB and COSMOS Provider Pick</v>
      </c>
      <c r="E44" s="31">
        <f>INDEX('D1 - Master Project Table'!$A$1:$AK$7056,$A44,11)</f>
        <v>41412</v>
      </c>
      <c r="F44" s="32" t="str">
        <f>INDEX('D1 - Master Project Table'!$A$1:$AK$7056,$A44,13)</f>
        <v>Project</v>
      </c>
      <c r="G44" s="32" t="str">
        <f>INDEX('D1 - Master Project Table'!$A$1:$AK$7056,$A44,7)</f>
        <v>3 - Green</v>
      </c>
      <c r="H44" s="32"/>
      <c r="I44" s="9" t="s">
        <v>8210</v>
      </c>
      <c r="J44" s="28"/>
      <c r="K44" s="28"/>
      <c r="L44" s="28"/>
      <c r="M44" s="28"/>
      <c r="N44" s="28"/>
      <c r="O44" s="28"/>
      <c r="P44" s="28"/>
      <c r="Q44" s="8" t="s">
        <v>4599</v>
      </c>
      <c r="R44" s="80"/>
      <c r="S44" s="116"/>
      <c r="T44" s="116"/>
      <c r="U44" s="28"/>
      <c r="V44" s="80"/>
      <c r="W44" s="80"/>
      <c r="X44" s="28"/>
      <c r="Y44" s="80"/>
      <c r="Z44" s="8" t="s">
        <v>5183</v>
      </c>
      <c r="AA44" s="84"/>
      <c r="AB44" s="74"/>
      <c r="AC44" s="74"/>
      <c r="AD44" s="74"/>
      <c r="AE44" s="30">
        <f>INDEX('D1 - Master Project Table'!$A$1:$AK$7056,$A44,9)</f>
        <v>1.43</v>
      </c>
      <c r="AF44" s="34" t="str">
        <f>INDEX('D1 - Master Project Table'!$A$1:$AK$7056,$A44,8)</f>
        <v>1 - Scheduled</v>
      </c>
      <c r="AG44" s="146"/>
      <c r="AH44" s="227"/>
    </row>
    <row r="45" spans="1:34" ht="22.5" x14ac:dyDescent="0.2">
      <c r="A45" s="36">
        <f>MATCH(C45,'D1 - Master Project Table'!$D$1:$D$7056,0)</f>
        <v>51</v>
      </c>
      <c r="B45" s="36" t="e">
        <f>MATCH(C45,#REF!,0)</f>
        <v>#REF!</v>
      </c>
      <c r="C45" s="125" t="s">
        <v>1677</v>
      </c>
      <c r="D45" s="34" t="str">
        <f>INDEX('D1 - Master Project Table'!$A$1:$AK$7056,$A45,5)</f>
        <v>Cont CDB Core Processing: Inc View Cutovers</v>
      </c>
      <c r="E45" s="31">
        <f>INDEX('D1 - Master Project Table'!$A$1:$AK$7056,$A45,11)</f>
        <v>41412</v>
      </c>
      <c r="F45" s="32" t="str">
        <f>INDEX('D1 - Master Project Table'!$A$1:$AK$7056,$A45,13)</f>
        <v>Testing</v>
      </c>
      <c r="G45" s="32" t="str">
        <f>INDEX('D1 - Master Project Table'!$A$1:$AK$7056,$A45,7)</f>
        <v>3 - Green</v>
      </c>
      <c r="H45" s="32"/>
      <c r="I45" s="9" t="s">
        <v>852</v>
      </c>
      <c r="J45" s="28"/>
      <c r="K45" s="28"/>
      <c r="L45" s="28"/>
      <c r="M45" s="28"/>
      <c r="N45" s="28"/>
      <c r="O45" s="28"/>
      <c r="P45" s="28"/>
      <c r="Q45" s="28" t="s">
        <v>1731</v>
      </c>
      <c r="R45" s="80"/>
      <c r="S45" s="116"/>
      <c r="T45" s="116"/>
      <c r="U45" s="28"/>
      <c r="V45" s="80"/>
      <c r="W45" s="80"/>
      <c r="X45" s="28"/>
      <c r="Y45" s="80"/>
      <c r="Z45" s="28" t="s">
        <v>955</v>
      </c>
      <c r="AA45" s="84"/>
      <c r="AB45" s="74"/>
      <c r="AC45" s="74"/>
      <c r="AD45" s="74"/>
      <c r="AE45" s="30">
        <f>INDEX('D1 - Master Project Table'!$A$1:$AK$7056,$A45,9)</f>
        <v>0.21</v>
      </c>
      <c r="AF45" s="34" t="str">
        <f>INDEX('D1 - Master Project Table'!$A$1:$AK$7056,$A45,8)</f>
        <v>1 - Scheduled</v>
      </c>
      <c r="AG45" s="146"/>
      <c r="AH45" s="227"/>
    </row>
    <row r="46" spans="1:34" x14ac:dyDescent="0.2">
      <c r="A46" s="36">
        <f>MATCH(C46,'D1 - Master Project Table'!$D$1:$D$7056,0)</f>
        <v>52</v>
      </c>
      <c r="B46" s="36" t="e">
        <f>MATCH(C46,#REF!,0)</f>
        <v>#REF!</v>
      </c>
      <c r="C46" s="125" t="s">
        <v>9140</v>
      </c>
      <c r="D46" s="34" t="str">
        <f>INDEX('D1 - Master Project Table'!$A$1:$AK$7056,$A46,5)</f>
        <v>ICD10- Field Expansion- UHC EI</v>
      </c>
      <c r="E46" s="31">
        <f>INDEX('D1 - Master Project Table'!$A$1:$AK$7056,$A46,11)</f>
        <v>41412</v>
      </c>
      <c r="F46" s="32" t="str">
        <f>INDEX('D1 - Master Project Table'!$A$1:$AK$7056,$A46,13)</f>
        <v>Testing</v>
      </c>
      <c r="G46" s="32" t="str">
        <f>INDEX('D1 - Master Project Table'!$A$1:$AK$7056,$A46,7)</f>
        <v>3 - Green</v>
      </c>
      <c r="H46" s="32"/>
      <c r="I46" s="9" t="s">
        <v>9144</v>
      </c>
      <c r="J46" s="28"/>
      <c r="K46" s="28"/>
      <c r="L46" s="28"/>
      <c r="M46" s="28"/>
      <c r="N46" s="28"/>
      <c r="O46" s="28"/>
      <c r="P46" s="28"/>
      <c r="Q46" s="8" t="s">
        <v>1731</v>
      </c>
      <c r="R46" s="80"/>
      <c r="S46" s="116"/>
      <c r="T46" s="116"/>
      <c r="U46" s="28"/>
      <c r="V46" s="80"/>
      <c r="W46" s="80"/>
      <c r="X46" s="28"/>
      <c r="Y46" s="80"/>
      <c r="Z46" s="8" t="s">
        <v>955</v>
      </c>
      <c r="AA46" s="84"/>
      <c r="AB46" s="74"/>
      <c r="AC46" s="74"/>
      <c r="AD46" s="74"/>
      <c r="AE46" s="30">
        <f>INDEX('D1 - Master Project Table'!$A$1:$AK$7056,$A46,9)</f>
        <v>7.0000000000000007E-2</v>
      </c>
      <c r="AF46" s="34" t="str">
        <f>INDEX('D1 - Master Project Table'!$A$1:$AK$7056,$A46,8)</f>
        <v>1 - Scheduled</v>
      </c>
      <c r="AG46" s="146"/>
      <c r="AH46" s="227"/>
    </row>
    <row r="47" spans="1:34" ht="33" customHeight="1" x14ac:dyDescent="0.2">
      <c r="A47" s="36">
        <f>MATCH(C47,'D1 - Master Project Table'!$D$1:$D$7056,0)</f>
        <v>53</v>
      </c>
      <c r="B47" s="36" t="e">
        <f>MATCH(C47,#REF!,0)</f>
        <v>#REF!</v>
      </c>
      <c r="C47" s="125" t="s">
        <v>849</v>
      </c>
      <c r="D47" s="34" t="str">
        <f>INDEX('D1 - Master Project Table'!$A$1:$AK$7056,$A47,5)</f>
        <v>Change NICE denial logic to store @the line level</v>
      </c>
      <c r="E47" s="31">
        <f>INDEX('D1 - Master Project Table'!$A$1:$AK$7056,$A47,11)</f>
        <v>41412</v>
      </c>
      <c r="F47" s="32" t="str">
        <f>INDEX('D1 - Master Project Table'!$A$1:$AK$7056,$A47,13)</f>
        <v>Testing</v>
      </c>
      <c r="G47" s="32" t="str">
        <f>INDEX('D1 - Master Project Table'!$A$1:$AK$7056,$A47,7)</f>
        <v>3 - Green</v>
      </c>
      <c r="H47" s="32"/>
      <c r="I47" s="9" t="s">
        <v>2748</v>
      </c>
      <c r="J47" s="28"/>
      <c r="K47" s="28"/>
      <c r="L47" s="28"/>
      <c r="M47" s="28"/>
      <c r="N47" s="28"/>
      <c r="O47" s="28"/>
      <c r="P47" s="28"/>
      <c r="Q47" s="8" t="s">
        <v>1731</v>
      </c>
      <c r="R47" s="80"/>
      <c r="S47" s="116"/>
      <c r="T47" s="116"/>
      <c r="U47" s="28"/>
      <c r="V47" s="80"/>
      <c r="W47" s="80"/>
      <c r="X47" s="28"/>
      <c r="Y47" s="80"/>
      <c r="Z47" s="28" t="s">
        <v>955</v>
      </c>
      <c r="AA47" s="84"/>
      <c r="AB47" s="74"/>
      <c r="AC47" s="74"/>
      <c r="AD47" s="74"/>
      <c r="AE47" s="30">
        <f>INDEX('D1 - Master Project Table'!$A$1:$AK$7056,$A47,9)</f>
        <v>7.0000000000000007E-2</v>
      </c>
      <c r="AF47" s="34" t="str">
        <f>INDEX('D1 - Master Project Table'!$A$1:$AK$7056,$A47,8)</f>
        <v>1 - Scheduled</v>
      </c>
      <c r="AG47" s="146"/>
      <c r="AH47" s="227"/>
    </row>
    <row r="48" spans="1:34" ht="147" customHeight="1" x14ac:dyDescent="0.2">
      <c r="A48" s="36">
        <f>MATCH(C48,'D1 - Master Project Table'!$D$1:$D$7056,0)</f>
        <v>54</v>
      </c>
      <c r="B48" s="36" t="e">
        <f>MATCH(C48,#REF!,0)</f>
        <v>#REF!</v>
      </c>
      <c r="C48" s="125" t="s">
        <v>9141</v>
      </c>
      <c r="D48" s="34" t="str">
        <f>INDEX('D1 - Master Project Table'!$A$1:$AK$7056,$A48,5)</f>
        <v>DME – Competitive Bidding Process</v>
      </c>
      <c r="E48" s="31">
        <f>INDEX('D1 - Master Project Table'!$A$1:$AK$7056,$A48,11)</f>
        <v>41412</v>
      </c>
      <c r="F48" s="32" t="str">
        <f>INDEX('D1 - Master Project Table'!$A$1:$AK$7056,$A48,13)</f>
        <v>Testing</v>
      </c>
      <c r="G48" s="32" t="str">
        <f>INDEX('D1 - Master Project Table'!$A$1:$AK$7056,$A48,7)</f>
        <v>3 - Green</v>
      </c>
      <c r="H48" s="32"/>
      <c r="I48" s="9" t="s">
        <v>5976</v>
      </c>
      <c r="J48" s="28"/>
      <c r="K48" s="28"/>
      <c r="L48" s="28"/>
      <c r="M48" s="28"/>
      <c r="N48" s="28"/>
      <c r="O48" s="28"/>
      <c r="P48" s="28"/>
      <c r="Q48" s="8" t="s">
        <v>1731</v>
      </c>
      <c r="R48" s="80"/>
      <c r="S48" s="116"/>
      <c r="T48" s="116"/>
      <c r="U48" s="28"/>
      <c r="V48" s="80"/>
      <c r="W48" s="80"/>
      <c r="X48" s="28"/>
      <c r="Y48" s="80"/>
      <c r="Z48" s="28" t="s">
        <v>955</v>
      </c>
      <c r="AA48" s="84"/>
      <c r="AB48" s="74"/>
      <c r="AC48" s="74"/>
      <c r="AD48" s="74"/>
      <c r="AE48" s="30">
        <f>INDEX('D1 - Master Project Table'!$A$1:$AK$7056,$A48,9)</f>
        <v>2.62</v>
      </c>
      <c r="AF48" s="34" t="str">
        <f>INDEX('D1 - Master Project Table'!$A$1:$AK$7056,$A48,8)</f>
        <v>1 - Scheduled</v>
      </c>
      <c r="AG48" s="146"/>
      <c r="AH48" s="227"/>
    </row>
    <row r="49" spans="1:34" ht="41.25" customHeight="1" x14ac:dyDescent="0.2">
      <c r="A49" s="36">
        <f>MATCH(C49,'D1 - Master Project Table'!$D$1:$D$7056,0)</f>
        <v>55</v>
      </c>
      <c r="B49" s="36" t="e">
        <f>MATCH(C49,#REF!,0)</f>
        <v>#REF!</v>
      </c>
      <c r="C49" s="200" t="s">
        <v>7190</v>
      </c>
      <c r="D49" s="34" t="str">
        <f>INDEX('D1 - Master Project Table'!$A$1:$AK$7056,$A49,5)</f>
        <v>New Jersey CSP Facets Migration</v>
      </c>
      <c r="E49" s="31">
        <f>INDEX('D1 - Master Project Table'!$A$1:$AK$7056,$A49,11)</f>
        <v>41412</v>
      </c>
      <c r="F49" s="32" t="str">
        <f>INDEX('D1 - Master Project Table'!$A$1:$AK$7056,$A49,13)</f>
        <v>Project</v>
      </c>
      <c r="G49" s="32" t="str">
        <f>INDEX('D1 - Master Project Table'!$A$1:$AK$7056,$A49,7)</f>
        <v>3 - Green</v>
      </c>
      <c r="H49" s="4" t="s">
        <v>2207</v>
      </c>
      <c r="I49" s="9" t="s">
        <v>9540</v>
      </c>
      <c r="J49" s="8" t="s">
        <v>7273</v>
      </c>
      <c r="K49" s="8" t="s">
        <v>7273</v>
      </c>
      <c r="L49" s="8" t="s">
        <v>3758</v>
      </c>
      <c r="M49" s="8" t="s">
        <v>7273</v>
      </c>
      <c r="N49" s="8" t="s">
        <v>7273</v>
      </c>
      <c r="O49" s="8" t="s">
        <v>7273</v>
      </c>
      <c r="P49" s="8" t="s">
        <v>3758</v>
      </c>
      <c r="Q49" s="8" t="s">
        <v>1667</v>
      </c>
      <c r="R49" s="175">
        <v>41355</v>
      </c>
      <c r="S49" s="57" t="s">
        <v>2737</v>
      </c>
      <c r="T49" s="116"/>
      <c r="U49" s="8" t="s">
        <v>404</v>
      </c>
      <c r="V49" s="175" t="s">
        <v>3572</v>
      </c>
      <c r="W49" s="175">
        <v>41318</v>
      </c>
      <c r="X49" s="8" t="s">
        <v>3547</v>
      </c>
      <c r="Y49" s="80">
        <v>41362</v>
      </c>
      <c r="Z49" s="9" t="s">
        <v>779</v>
      </c>
      <c r="AA49" s="84">
        <v>41374</v>
      </c>
      <c r="AB49" s="9" t="s">
        <v>7657</v>
      </c>
      <c r="AC49" s="74"/>
      <c r="AD49" s="74"/>
      <c r="AE49" s="30">
        <f>INDEX('D1 - Master Project Table'!$A$1:$AK$7056,$A49,9)</f>
        <v>5.71</v>
      </c>
      <c r="AF49" s="34" t="str">
        <f>INDEX('D1 - Master Project Table'!$A$1:$AK$7056,$A49,8)</f>
        <v>1 - Scheduled</v>
      </c>
      <c r="AG49" s="146"/>
      <c r="AH49" s="227"/>
    </row>
    <row r="50" spans="1:34" ht="103.5" customHeight="1" x14ac:dyDescent="0.2">
      <c r="A50" s="36">
        <f>MATCH(C50,'D1 - Master Project Table'!$D$1:$D$7056,0)</f>
        <v>56</v>
      </c>
      <c r="B50" s="36" t="e">
        <f>MATCH(C50,#REF!,0)</f>
        <v>#REF!</v>
      </c>
      <c r="C50" s="125" t="s">
        <v>9454</v>
      </c>
      <c r="D50" s="34" t="str">
        <f>INDEX('D1 - Master Project Table'!$A$1:$AK$7056,$A50,5)</f>
        <v>New Jersey CSP Facets Migration</v>
      </c>
      <c r="E50" s="31">
        <f>INDEX('D1 - Master Project Table'!$A$1:$AK$7056,$A50,11)</f>
        <v>41412</v>
      </c>
      <c r="F50" s="32" t="str">
        <f>INDEX('D1 - Master Project Table'!$A$1:$AK$7056,$A50,13)</f>
        <v>Support Only</v>
      </c>
      <c r="G50" s="32" t="str">
        <f>INDEX('D1 - Master Project Table'!$A$1:$AK$7056,$A50,7)</f>
        <v>3 - Green</v>
      </c>
      <c r="H50" s="32"/>
      <c r="I50" s="9" t="s">
        <v>9469</v>
      </c>
      <c r="J50" s="28"/>
      <c r="K50" s="28"/>
      <c r="L50" s="28"/>
      <c r="M50" s="28"/>
      <c r="N50" s="28"/>
      <c r="O50" s="28"/>
      <c r="P50" s="28"/>
      <c r="Q50" s="8" t="s">
        <v>1667</v>
      </c>
      <c r="R50" s="80"/>
      <c r="S50" s="116"/>
      <c r="T50" s="116"/>
      <c r="U50" s="8" t="s">
        <v>404</v>
      </c>
      <c r="V50" s="80"/>
      <c r="W50" s="80"/>
      <c r="X50" s="28"/>
      <c r="Y50" s="80"/>
      <c r="Z50" s="28"/>
      <c r="AA50" s="84"/>
      <c r="AB50" s="74"/>
      <c r="AC50" s="74"/>
      <c r="AD50" s="74"/>
      <c r="AE50" s="30">
        <f>INDEX('D1 - Master Project Table'!$A$1:$AK$7056,$A50,9)</f>
        <v>0.93</v>
      </c>
      <c r="AF50" s="34" t="str">
        <f>INDEX('D1 - Master Project Table'!$A$1:$AK$7056,$A50,8)</f>
        <v>1 - Scheduled</v>
      </c>
      <c r="AG50" s="146"/>
      <c r="AH50" s="227"/>
    </row>
    <row r="51" spans="1:34" ht="54" customHeight="1" x14ac:dyDescent="0.2">
      <c r="A51" s="36">
        <f>MATCH(C51,'D1 - Master Project Table'!$D$1:$D$7056,0)</f>
        <v>57</v>
      </c>
      <c r="B51" s="36" t="e">
        <f>MATCH(C51,#REF!,0)</f>
        <v>#REF!</v>
      </c>
      <c r="C51" s="200" t="s">
        <v>785</v>
      </c>
      <c r="D51" s="34" t="str">
        <f>INDEX('D1 - Master Project Table'!$A$1:$AK$7056,$A51,5)</f>
        <v xml:space="preserve">ICD10 E &amp; I Compliance Release </v>
      </c>
      <c r="E51" s="31">
        <f>INDEX('D1 - Master Project Table'!$A$1:$AK$7056,$A51,11)</f>
        <v>41412</v>
      </c>
      <c r="F51" s="32" t="str">
        <f>INDEX('D1 - Master Project Table'!$A$1:$AK$7056,$A51,13)</f>
        <v>Project</v>
      </c>
      <c r="G51" s="32" t="str">
        <f>INDEX('D1 - Master Project Table'!$A$1:$AK$7056,$A51,7)</f>
        <v>3 - Green</v>
      </c>
      <c r="H51" s="4" t="s">
        <v>7291</v>
      </c>
      <c r="I51" s="9" t="s">
        <v>9534</v>
      </c>
      <c r="J51" s="8" t="s">
        <v>3758</v>
      </c>
      <c r="K51" s="8" t="s">
        <v>3758</v>
      </c>
      <c r="L51" s="8" t="s">
        <v>3758</v>
      </c>
      <c r="M51" s="8" t="s">
        <v>7273</v>
      </c>
      <c r="N51" s="8" t="s">
        <v>7273</v>
      </c>
      <c r="O51" s="8" t="s">
        <v>7273</v>
      </c>
      <c r="P51" s="8" t="s">
        <v>7273</v>
      </c>
      <c r="Q51" s="8" t="s">
        <v>515</v>
      </c>
      <c r="R51" s="80">
        <v>41264</v>
      </c>
      <c r="S51" s="57" t="s">
        <v>2737</v>
      </c>
      <c r="T51" s="57" t="s">
        <v>3758</v>
      </c>
      <c r="U51" s="8" t="s">
        <v>2815</v>
      </c>
      <c r="V51" s="175">
        <v>41313</v>
      </c>
      <c r="W51" s="80">
        <v>41299</v>
      </c>
      <c r="X51" s="8" t="s">
        <v>2810</v>
      </c>
      <c r="Y51" s="80">
        <v>41351</v>
      </c>
      <c r="Z51" s="9" t="s">
        <v>9013</v>
      </c>
      <c r="AA51" s="176" t="s">
        <v>9359</v>
      </c>
      <c r="AB51" s="9" t="s">
        <v>9153</v>
      </c>
      <c r="AC51" s="74"/>
      <c r="AD51" s="74"/>
      <c r="AE51" s="30">
        <f>INDEX('D1 - Master Project Table'!$A$1:$AK$7056,$A51,9)</f>
        <v>21.2</v>
      </c>
      <c r="AF51" s="34" t="str">
        <f>INDEX('D1 - Master Project Table'!$A$1:$AK$7056,$A51,8)</f>
        <v>1 - Scheduled</v>
      </c>
      <c r="AG51" s="146"/>
      <c r="AH51" s="227"/>
    </row>
    <row r="52" spans="1:34" ht="49.5" customHeight="1" x14ac:dyDescent="0.2">
      <c r="A52" s="36">
        <f>MATCH(C52,'D1 - Master Project Table'!$D$1:$D$7056,0)</f>
        <v>58</v>
      </c>
      <c r="B52" s="36" t="e">
        <f>MATCH(C52,#REF!,0)</f>
        <v>#REF!</v>
      </c>
      <c r="C52" s="125" t="s">
        <v>1024</v>
      </c>
      <c r="D52" s="34" t="str">
        <f>INDEX('D1 - Master Project Table'!$A$1:$AK$7056,$A52,5)</f>
        <v>ICD10 Compliance Oxford - External Exchanges</v>
      </c>
      <c r="E52" s="31">
        <f>INDEX('D1 - Master Project Table'!$A$1:$AK$7056,$A52,11)</f>
        <v>41412</v>
      </c>
      <c r="F52" s="32" t="str">
        <f>INDEX('D1 - Master Project Table'!$A$1:$AK$7056,$A52,13)</f>
        <v>Testing</v>
      </c>
      <c r="G52" s="32" t="str">
        <f>INDEX('D1 - Master Project Table'!$A$1:$AK$7056,$A52,7)</f>
        <v>3 - Green</v>
      </c>
      <c r="H52" s="32"/>
      <c r="I52" s="74"/>
      <c r="J52" s="28" t="s">
        <v>7273</v>
      </c>
      <c r="K52" s="28" t="s">
        <v>7273</v>
      </c>
      <c r="L52" s="28" t="s">
        <v>7273</v>
      </c>
      <c r="M52" s="28" t="s">
        <v>7273</v>
      </c>
      <c r="N52" s="28" t="s">
        <v>7273</v>
      </c>
      <c r="O52" s="28" t="s">
        <v>7273</v>
      </c>
      <c r="P52" s="28" t="s">
        <v>7273</v>
      </c>
      <c r="Q52" s="8" t="s">
        <v>1731</v>
      </c>
      <c r="R52" s="116" t="s">
        <v>3572</v>
      </c>
      <c r="S52" s="116" t="s">
        <v>3572</v>
      </c>
      <c r="T52" s="116" t="s">
        <v>3572</v>
      </c>
      <c r="U52" s="116" t="s">
        <v>3572</v>
      </c>
      <c r="V52" s="116" t="s">
        <v>3572</v>
      </c>
      <c r="W52" s="116" t="s">
        <v>3572</v>
      </c>
      <c r="X52" s="116" t="s">
        <v>3572</v>
      </c>
      <c r="Y52" s="116" t="s">
        <v>3572</v>
      </c>
      <c r="Z52" s="8" t="s">
        <v>955</v>
      </c>
      <c r="AA52" s="174" t="s">
        <v>3572</v>
      </c>
      <c r="AB52" s="174" t="s">
        <v>3572</v>
      </c>
      <c r="AC52" s="174" t="s">
        <v>3572</v>
      </c>
      <c r="AD52" s="74"/>
      <c r="AE52" s="30">
        <f>INDEX('D1 - Master Project Table'!$A$1:$AK$7056,$A52,9)</f>
        <v>0.34</v>
      </c>
      <c r="AF52" s="34" t="str">
        <f>INDEX('D1 - Master Project Table'!$A$1:$AK$7056,$A52,8)</f>
        <v>1 - Scheduled</v>
      </c>
      <c r="AG52" s="146"/>
      <c r="AH52" s="227"/>
    </row>
    <row r="53" spans="1:34" ht="237.75" customHeight="1" x14ac:dyDescent="0.2">
      <c r="A53" s="36">
        <f>MATCH(C53,'D1 - Master Project Table'!$D$1:$D$7056,0)</f>
        <v>59</v>
      </c>
      <c r="B53" s="36" t="e">
        <f>MATCH(C53,#REF!,0)</f>
        <v>#REF!</v>
      </c>
      <c r="C53" s="125" t="s">
        <v>1695</v>
      </c>
      <c r="D53" s="34" t="str">
        <f>INDEX('D1 - Master Project Table'!$A$1:$AK$7056,$A53,5)</f>
        <v>ICD-10 E &amp; I Commercial Paper Claims Release</v>
      </c>
      <c r="E53" s="31">
        <f>INDEX('D1 - Master Project Table'!$A$1:$AK$7056,$A53,11)</f>
        <v>41412</v>
      </c>
      <c r="F53" s="32" t="str">
        <f>INDEX('D1 - Master Project Table'!$A$1:$AK$7056,$A53,13)</f>
        <v>Project</v>
      </c>
      <c r="G53" s="32" t="str">
        <f>INDEX('D1 - Master Project Table'!$A$1:$AK$7056,$A53,7)</f>
        <v>3 - Green</v>
      </c>
      <c r="H53" s="32"/>
      <c r="I53" s="285" t="s">
        <v>9537</v>
      </c>
      <c r="J53" s="8" t="s">
        <v>7273</v>
      </c>
      <c r="K53" s="8" t="s">
        <v>7273</v>
      </c>
      <c r="L53" s="8" t="s">
        <v>3758</v>
      </c>
      <c r="M53" s="8" t="s">
        <v>7273</v>
      </c>
      <c r="N53" s="8" t="s">
        <v>7273</v>
      </c>
      <c r="O53" s="8" t="s">
        <v>7273</v>
      </c>
      <c r="P53" s="8" t="s">
        <v>7273</v>
      </c>
      <c r="Q53" s="8" t="s">
        <v>515</v>
      </c>
      <c r="R53" s="80">
        <v>41250</v>
      </c>
      <c r="S53" s="57" t="s">
        <v>2737</v>
      </c>
      <c r="T53" s="116" t="s">
        <v>3758</v>
      </c>
      <c r="U53" s="8" t="s">
        <v>2815</v>
      </c>
      <c r="V53" s="80" t="s">
        <v>7273</v>
      </c>
      <c r="W53" s="80">
        <v>40922</v>
      </c>
      <c r="X53" s="8" t="s">
        <v>8060</v>
      </c>
      <c r="Y53" s="80">
        <v>41351</v>
      </c>
      <c r="Z53" s="9" t="s">
        <v>9014</v>
      </c>
      <c r="AA53" s="176">
        <v>41374</v>
      </c>
      <c r="AB53" s="9" t="s">
        <v>9470</v>
      </c>
      <c r="AC53" s="74"/>
      <c r="AD53" s="74"/>
      <c r="AE53" s="30">
        <f>INDEX('D1 - Master Project Table'!$A$1:$AK$7056,$A53,9)</f>
        <v>5.68</v>
      </c>
      <c r="AF53" s="34" t="str">
        <f>INDEX('D1 - Master Project Table'!$A$1:$AK$7056,$A53,8)</f>
        <v>1 - Scheduled</v>
      </c>
      <c r="AG53" s="146"/>
      <c r="AH53" s="227"/>
    </row>
    <row r="54" spans="1:34" ht="266.25" customHeight="1" x14ac:dyDescent="0.2">
      <c r="A54" s="36">
        <f>MATCH(C54,'D1 - Master Project Table'!$D$1:$D$7056,0)</f>
        <v>60</v>
      </c>
      <c r="B54" s="36" t="e">
        <f>MATCH(C54,#REF!,0)</f>
        <v>#REF!</v>
      </c>
      <c r="C54" s="125" t="s">
        <v>2</v>
      </c>
      <c r="D54" s="34" t="str">
        <f>INDEX('D1 - Master Project Table'!$A$1:$AK$7056,$A54,5)</f>
        <v>HCR Preventative Care Additional Services</v>
      </c>
      <c r="E54" s="31">
        <f>INDEX('D1 - Master Project Table'!$A$1:$AK$7056,$A54,11)</f>
        <v>41412</v>
      </c>
      <c r="F54" s="32" t="str">
        <f>INDEX('D1 - Master Project Table'!$A$1:$AK$7056,$A54,13)</f>
        <v>Testing</v>
      </c>
      <c r="G54" s="32" t="str">
        <f>INDEX('D1 - Master Project Table'!$A$1:$AK$7056,$A54,7)</f>
        <v>3 - Green</v>
      </c>
      <c r="H54" s="32"/>
      <c r="I54" s="9" t="s">
        <v>51</v>
      </c>
      <c r="J54" s="28"/>
      <c r="K54" s="28"/>
      <c r="L54" s="28"/>
      <c r="M54" s="28"/>
      <c r="N54" s="28"/>
      <c r="O54" s="28"/>
      <c r="P54" s="28"/>
      <c r="Q54" s="8" t="s">
        <v>1731</v>
      </c>
      <c r="R54" s="80"/>
      <c r="S54" s="116"/>
      <c r="T54" s="116"/>
      <c r="U54" s="28"/>
      <c r="V54" s="80"/>
      <c r="W54" s="80"/>
      <c r="X54" s="28"/>
      <c r="Y54" s="80"/>
      <c r="Z54" s="8" t="s">
        <v>9363</v>
      </c>
      <c r="AA54" s="84"/>
      <c r="AB54" s="74"/>
      <c r="AC54" s="74"/>
      <c r="AD54" s="74"/>
      <c r="AE54" s="30">
        <f>INDEX('D1 - Master Project Table'!$A$1:$AK$7056,$A54,9)</f>
        <v>0.27</v>
      </c>
      <c r="AF54" s="34" t="str">
        <f>INDEX('D1 - Master Project Table'!$A$1:$AK$7056,$A54,8)</f>
        <v>1 - Scheduled</v>
      </c>
      <c r="AG54" s="146"/>
      <c r="AH54" s="227"/>
    </row>
    <row r="55" spans="1:34" ht="22.5" x14ac:dyDescent="0.2">
      <c r="A55" s="36">
        <f>MATCH(C55,'D1 - Master Project Table'!$D$1:$D$7056,0)</f>
        <v>61</v>
      </c>
      <c r="B55" s="36" t="e">
        <f>MATCH(C55,#REF!,0)</f>
        <v>#REF!</v>
      </c>
      <c r="C55" s="200" t="s">
        <v>4447</v>
      </c>
      <c r="D55" s="34" t="str">
        <f>INDEX('D1 - Master Project Table'!$A$1:$AK$7056,$A55,5)</f>
        <v>Integrated Testing Environment Buildout</v>
      </c>
      <c r="E55" s="31">
        <f>INDEX('D1 - Master Project Table'!$A$1:$AK$7056,$A55,11)</f>
        <v>41412</v>
      </c>
      <c r="F55" s="32" t="str">
        <f>INDEX('D1 - Master Project Table'!$A$1:$AK$7056,$A55,13)</f>
        <v>Analysis</v>
      </c>
      <c r="G55" s="32" t="str">
        <f>INDEX('D1 - Master Project Table'!$A$1:$AK$7056,$A55,7)</f>
        <v>3 - Green</v>
      </c>
      <c r="H55" s="32"/>
      <c r="I55" s="74"/>
      <c r="J55" s="8" t="s">
        <v>7273</v>
      </c>
      <c r="K55" s="8" t="s">
        <v>7273</v>
      </c>
      <c r="L55" s="8" t="s">
        <v>7273</v>
      </c>
      <c r="M55" s="8" t="s">
        <v>7273</v>
      </c>
      <c r="N55" s="8" t="s">
        <v>7273</v>
      </c>
      <c r="O55" s="8" t="s">
        <v>7273</v>
      </c>
      <c r="P55" s="8" t="s">
        <v>7273</v>
      </c>
      <c r="Q55" s="8" t="s">
        <v>2229</v>
      </c>
      <c r="R55" s="175" t="s">
        <v>3572</v>
      </c>
      <c r="S55" s="57" t="s">
        <v>3572</v>
      </c>
      <c r="T55" s="57" t="s">
        <v>3572</v>
      </c>
      <c r="U55" s="8" t="s">
        <v>4027</v>
      </c>
      <c r="V55" s="175" t="s">
        <v>3572</v>
      </c>
      <c r="W55" s="175" t="s">
        <v>3572</v>
      </c>
      <c r="X55" s="8" t="s">
        <v>2229</v>
      </c>
      <c r="Y55" s="175" t="s">
        <v>3572</v>
      </c>
      <c r="Z55" s="8" t="s">
        <v>4027</v>
      </c>
      <c r="AA55" s="176" t="s">
        <v>3572</v>
      </c>
      <c r="AB55" s="9" t="s">
        <v>3572</v>
      </c>
      <c r="AC55" s="9" t="s">
        <v>3572</v>
      </c>
      <c r="AD55" s="74"/>
      <c r="AE55" s="30">
        <f>INDEX('D1 - Master Project Table'!$A$1:$AK$7056,$A55,9)</f>
        <v>0.41</v>
      </c>
      <c r="AF55" s="34" t="str">
        <f>INDEX('D1 - Master Project Table'!$A$1:$AK$7056,$A55,8)</f>
        <v>1 - Scheduled</v>
      </c>
      <c r="AG55" s="146"/>
      <c r="AH55" s="227"/>
    </row>
    <row r="56" spans="1:34" ht="40.5" customHeight="1" x14ac:dyDescent="0.2">
      <c r="A56" s="36">
        <f>MATCH(C56,'D1 - Master Project Table'!$D$1:$D$7056,0)</f>
        <v>62</v>
      </c>
      <c r="B56" s="36" t="e">
        <f>MATCH(C56,#REF!,0)</f>
        <v>#REF!</v>
      </c>
      <c r="C56" s="125" t="s">
        <v>1025</v>
      </c>
      <c r="D56" s="34" t="str">
        <f>INDEX('D1 - Master Project Table'!$A$1:$AK$7056,$A56,5)</f>
        <v>Essential Health Benefits</v>
      </c>
      <c r="E56" s="31">
        <f>INDEX('D1 - Master Project Table'!$A$1:$AK$7056,$A56,11)</f>
        <v>41412</v>
      </c>
      <c r="F56" s="32" t="str">
        <f>INDEX('D1 - Master Project Table'!$A$1:$AK$7056,$A56,13)</f>
        <v>Analysis</v>
      </c>
      <c r="G56" s="32" t="str">
        <f>INDEX('D1 - Master Project Table'!$A$1:$AK$7056,$A56,7)</f>
        <v>3 - Green</v>
      </c>
      <c r="H56" s="32"/>
      <c r="I56" s="9" t="s">
        <v>300</v>
      </c>
      <c r="J56" s="28" t="s">
        <v>7273</v>
      </c>
      <c r="K56" s="28" t="s">
        <v>7273</v>
      </c>
      <c r="L56" s="28" t="s">
        <v>7273</v>
      </c>
      <c r="M56" s="28" t="s">
        <v>7273</v>
      </c>
      <c r="N56" s="28" t="s">
        <v>7273</v>
      </c>
      <c r="O56" s="28" t="s">
        <v>7273</v>
      </c>
      <c r="P56" s="28" t="s">
        <v>7273</v>
      </c>
      <c r="Q56" s="8" t="s">
        <v>2248</v>
      </c>
      <c r="R56" s="80"/>
      <c r="S56" s="116"/>
      <c r="T56" s="116"/>
      <c r="U56" s="28"/>
      <c r="V56" s="80"/>
      <c r="W56" s="80"/>
      <c r="X56" s="28"/>
      <c r="Y56" s="80"/>
      <c r="Z56" s="28"/>
      <c r="AA56" s="84"/>
      <c r="AB56" s="74"/>
      <c r="AC56" s="74"/>
      <c r="AD56" s="74"/>
      <c r="AE56" s="30">
        <f>INDEX('D1 - Master Project Table'!$A$1:$AK$7056,$A56,9)</f>
        <v>1.34</v>
      </c>
      <c r="AF56" s="34" t="str">
        <f>INDEX('D1 - Master Project Table'!$A$1:$AK$7056,$A56,8)</f>
        <v>1 - Scheduled</v>
      </c>
      <c r="AG56" s="146"/>
      <c r="AH56" s="227"/>
    </row>
    <row r="57" spans="1:34" ht="285" customHeight="1" x14ac:dyDescent="0.2">
      <c r="A57" s="36">
        <f>MATCH(C57,'D1 - Master Project Table'!$D$1:$D$7056,0)</f>
        <v>63</v>
      </c>
      <c r="B57" s="36" t="e">
        <f>MATCH(C57,#REF!,0)</f>
        <v>#REF!</v>
      </c>
      <c r="C57" s="125" t="s">
        <v>1721</v>
      </c>
      <c r="D57" s="34" t="str">
        <f>INDEX('D1 - Master Project Table'!$A$1:$AK$7056,$A57,5)</f>
        <v>eSync Clin Ops Q2 2013</v>
      </c>
      <c r="E57" s="31">
        <f>INDEX('D1 - Master Project Table'!$A$1:$AK$7056,$A57,11)</f>
        <v>41412</v>
      </c>
      <c r="F57" s="32" t="str">
        <f>INDEX('D1 - Master Project Table'!$A$1:$AK$7056,$A57,13)</f>
        <v>Testing</v>
      </c>
      <c r="G57" s="32" t="str">
        <f>INDEX('D1 - Master Project Table'!$A$1:$AK$7056,$A57,7)</f>
        <v>3 - Green</v>
      </c>
      <c r="H57" s="32"/>
      <c r="I57" s="74"/>
      <c r="J57" s="28"/>
      <c r="K57" s="28"/>
      <c r="L57" s="28"/>
      <c r="M57" s="28"/>
      <c r="N57" s="28"/>
      <c r="O57" s="28"/>
      <c r="P57" s="28"/>
      <c r="Q57" s="8" t="s">
        <v>1731</v>
      </c>
      <c r="R57" s="80"/>
      <c r="S57" s="116"/>
      <c r="T57" s="116"/>
      <c r="U57" s="28"/>
      <c r="V57" s="80"/>
      <c r="W57" s="80"/>
      <c r="X57" s="28"/>
      <c r="Y57" s="80"/>
      <c r="Z57" s="28" t="s">
        <v>955</v>
      </c>
      <c r="AA57" s="84"/>
      <c r="AB57" s="74"/>
      <c r="AC57" s="74"/>
      <c r="AD57" s="74"/>
      <c r="AE57" s="30">
        <f>INDEX('D1 - Master Project Table'!$A$1:$AK$7056,$A57,9)</f>
        <v>0.39</v>
      </c>
      <c r="AF57" s="34" t="str">
        <f>INDEX('D1 - Master Project Table'!$A$1:$AK$7056,$A57,8)</f>
        <v>1 - Scheduled</v>
      </c>
      <c r="AG57" s="146"/>
      <c r="AH57" s="227"/>
    </row>
    <row r="58" spans="1:34" ht="161.25" customHeight="1" x14ac:dyDescent="0.2">
      <c r="A58" s="36">
        <f>MATCH(C58,'D1 - Master Project Table'!$D$1:$D$7056,0)</f>
        <v>64</v>
      </c>
      <c r="B58" s="36" t="e">
        <f>MATCH(C58,#REF!,0)</f>
        <v>#REF!</v>
      </c>
      <c r="C58" s="125" t="s">
        <v>2327</v>
      </c>
      <c r="D58" s="34" t="str">
        <f>INDEX('D1 - Master Project Table'!$A$1:$AK$7056,$A58,5)</f>
        <v>ICD-10 E&amp;I Commercial End to End Testing</v>
      </c>
      <c r="E58" s="31">
        <f>INDEX('D1 - Master Project Table'!$A$1:$AK$7056,$A58,11)</f>
        <v>41412</v>
      </c>
      <c r="F58" s="32" t="str">
        <f>INDEX('D1 - Master Project Table'!$A$1:$AK$7056,$A58,13)</f>
        <v>Testing</v>
      </c>
      <c r="G58" s="32" t="str">
        <f>INDEX('D1 - Master Project Table'!$A$1:$AK$7056,$A58,7)</f>
        <v>3 - Green</v>
      </c>
      <c r="H58" s="32"/>
      <c r="I58" s="74"/>
      <c r="J58" s="28"/>
      <c r="K58" s="28"/>
      <c r="L58" s="28"/>
      <c r="M58" s="28"/>
      <c r="N58" s="28"/>
      <c r="O58" s="28"/>
      <c r="P58" s="28"/>
      <c r="Q58" s="8" t="s">
        <v>1731</v>
      </c>
      <c r="R58" s="80"/>
      <c r="S58" s="116"/>
      <c r="T58" s="116"/>
      <c r="U58" s="28"/>
      <c r="V58" s="80"/>
      <c r="W58" s="80"/>
      <c r="X58" s="28"/>
      <c r="Y58" s="80"/>
      <c r="Z58" s="28" t="s">
        <v>955</v>
      </c>
      <c r="AA58" s="84"/>
      <c r="AB58" s="74"/>
      <c r="AC58" s="74"/>
      <c r="AD58" s="74"/>
      <c r="AE58" s="30">
        <f>INDEX('D1 - Master Project Table'!$A$1:$AK$7056,$A58,9)</f>
        <v>2</v>
      </c>
      <c r="AF58" s="34" t="str">
        <f>INDEX('D1 - Master Project Table'!$A$1:$AK$7056,$A58,8)</f>
        <v>1 - Scheduled</v>
      </c>
      <c r="AG58" s="146"/>
      <c r="AH58" s="227"/>
    </row>
    <row r="59" spans="1:34" ht="162.75" customHeight="1" x14ac:dyDescent="0.2">
      <c r="A59" s="36">
        <f>MATCH(C59,'D1 - Master Project Table'!$D$1:$D$7056,0)</f>
        <v>65</v>
      </c>
      <c r="B59" s="36" t="e">
        <f>MATCH(C59,#REF!,0)</f>
        <v>#REF!</v>
      </c>
      <c r="C59" s="125" t="s">
        <v>738</v>
      </c>
      <c r="D59" s="34" t="str">
        <f>INDEX('D1 - Master Project Table'!$A$1:$AK$7056,$A59,5)</f>
        <v>HCR-Exchanges(Prd/Ntw/Bill/Enrl/Prducr)</v>
      </c>
      <c r="E59" s="31">
        <f>INDEX('D1 - Master Project Table'!$A$1:$AK$7056,$A59,11)</f>
        <v>41412</v>
      </c>
      <c r="F59" s="32" t="str">
        <f>INDEX('D1 - Master Project Table'!$A$1:$AK$7056,$A59,13)</f>
        <v>Testing</v>
      </c>
      <c r="G59" s="32" t="str">
        <f>INDEX('D1 - Master Project Table'!$A$1:$AK$7056,$A59,7)</f>
        <v>3 - Green</v>
      </c>
      <c r="H59" s="32"/>
      <c r="I59" s="74"/>
      <c r="J59" s="28"/>
      <c r="K59" s="28"/>
      <c r="L59" s="28"/>
      <c r="M59" s="28"/>
      <c r="N59" s="28"/>
      <c r="O59" s="28"/>
      <c r="P59" s="28"/>
      <c r="Q59" s="28" t="s">
        <v>1731</v>
      </c>
      <c r="R59" s="80"/>
      <c r="S59" s="116"/>
      <c r="T59" s="116"/>
      <c r="U59" s="28"/>
      <c r="V59" s="80"/>
      <c r="W59" s="80"/>
      <c r="X59" s="28"/>
      <c r="Y59" s="80"/>
      <c r="Z59" s="28" t="s">
        <v>955</v>
      </c>
      <c r="AA59" s="84"/>
      <c r="AB59" s="74"/>
      <c r="AC59" s="74"/>
      <c r="AD59" s="74"/>
      <c r="AE59" s="30">
        <f>INDEX('D1 - Master Project Table'!$A$1:$AK$7056,$A59,9)</f>
        <v>0.21</v>
      </c>
      <c r="AF59" s="34" t="str">
        <f>INDEX('D1 - Master Project Table'!$A$1:$AK$7056,$A59,8)</f>
        <v>1 - Scheduled</v>
      </c>
      <c r="AG59" s="146"/>
      <c r="AH59" s="227"/>
    </row>
    <row r="60" spans="1:34" ht="101.25" x14ac:dyDescent="0.2">
      <c r="A60" s="36">
        <f>MATCH(C60,'D1 - Master Project Table'!$D$1:$D$7056,0)</f>
        <v>66</v>
      </c>
      <c r="B60" s="36" t="e">
        <f>MATCH(C60,#REF!,0)</f>
        <v>#REF!</v>
      </c>
      <c r="C60" s="200" t="s">
        <v>612</v>
      </c>
      <c r="D60" s="34" t="str">
        <f>INDEX('D1 - Master Project Table'!$A$1:$AK$7056,$A60,5)</f>
        <v>Q1 2013 Risk Carve Out</v>
      </c>
      <c r="E60" s="31">
        <f>INDEX('D1 - Master Project Table'!$A$1:$AK$7056,$A60,11)</f>
        <v>41412</v>
      </c>
      <c r="F60" s="32" t="str">
        <f>INDEX('D1 - Master Project Table'!$A$1:$AK$7056,$A60,13)</f>
        <v>Project</v>
      </c>
      <c r="G60" s="32" t="str">
        <f>INDEX('D1 - Master Project Table'!$A$1:$AK$7056,$A60,7)</f>
        <v>3 - Green</v>
      </c>
      <c r="H60" s="32"/>
      <c r="I60" s="9" t="s">
        <v>9538</v>
      </c>
      <c r="J60" s="8" t="s">
        <v>3758</v>
      </c>
      <c r="K60" s="8" t="s">
        <v>3758</v>
      </c>
      <c r="L60" s="8" t="s">
        <v>3758</v>
      </c>
      <c r="M60" s="8" t="s">
        <v>7273</v>
      </c>
      <c r="N60" s="8" t="s">
        <v>7273</v>
      </c>
      <c r="O60" s="8" t="s">
        <v>7273</v>
      </c>
      <c r="P60" s="8" t="s">
        <v>7273</v>
      </c>
      <c r="Q60" s="8" t="s">
        <v>895</v>
      </c>
      <c r="R60" s="80">
        <v>41362</v>
      </c>
      <c r="S60" s="57" t="s">
        <v>2737</v>
      </c>
      <c r="T60" s="116"/>
      <c r="U60" s="28" t="s">
        <v>1060</v>
      </c>
      <c r="V60" s="176" t="s">
        <v>7978</v>
      </c>
      <c r="W60" s="176">
        <v>41362</v>
      </c>
      <c r="X60" s="8" t="s">
        <v>212</v>
      </c>
      <c r="Y60" s="176" t="s">
        <v>9064</v>
      </c>
      <c r="Z60" s="9" t="s">
        <v>9015</v>
      </c>
      <c r="AA60" s="176">
        <v>41386</v>
      </c>
      <c r="AB60" s="9" t="s">
        <v>9198</v>
      </c>
      <c r="AC60" s="74"/>
      <c r="AD60" s="74"/>
      <c r="AE60" s="30">
        <f>INDEX('D1 - Master Project Table'!$A$1:$AK$7056,$A60,9)</f>
        <v>20.93</v>
      </c>
      <c r="AF60" s="34" t="str">
        <f>INDEX('D1 - Master Project Table'!$A$1:$AK$7056,$A60,8)</f>
        <v>1 - Scheduled</v>
      </c>
      <c r="AG60" s="146"/>
      <c r="AH60" s="227"/>
    </row>
    <row r="61" spans="1:34" ht="22.5" x14ac:dyDescent="0.2">
      <c r="A61" s="36">
        <f>MATCH(C61,'D1 - Master Project Table'!$D$1:$D$7056,0)</f>
        <v>67</v>
      </c>
      <c r="B61" s="36" t="e">
        <f>MATCH(C61,#REF!,0)</f>
        <v>#REF!</v>
      </c>
      <c r="C61" s="125" t="s">
        <v>9455</v>
      </c>
      <c r="D61" s="34" t="str">
        <f>INDEX('D1 - Master Project Table'!$A$1:$AK$7056,$A61,5)</f>
        <v>Ohio Migration</v>
      </c>
      <c r="E61" s="31">
        <f>INDEX('D1 - Master Project Table'!$A$1:$AK$7056,$A61,11)</f>
        <v>41412</v>
      </c>
      <c r="F61" s="32" t="str">
        <f>INDEX('D1 - Master Project Table'!$A$1:$AK$7056,$A61,13)</f>
        <v>Support Only</v>
      </c>
      <c r="G61" s="32" t="str">
        <f>INDEX('D1 - Master Project Table'!$A$1:$AK$7056,$A61,7)</f>
        <v>3 - Green</v>
      </c>
      <c r="H61" s="32"/>
      <c r="I61" s="74" t="s">
        <v>9456</v>
      </c>
      <c r="J61" s="28"/>
      <c r="K61" s="28"/>
      <c r="L61" s="28"/>
      <c r="M61" s="28"/>
      <c r="N61" s="28"/>
      <c r="O61" s="28"/>
      <c r="P61" s="28"/>
      <c r="Q61" s="28"/>
      <c r="R61" s="80"/>
      <c r="S61" s="116"/>
      <c r="T61" s="116"/>
      <c r="U61" s="8" t="s">
        <v>404</v>
      </c>
      <c r="V61" s="80"/>
      <c r="W61" s="80"/>
      <c r="X61" s="28"/>
      <c r="Y61" s="80"/>
      <c r="Z61" s="28"/>
      <c r="AA61" s="84"/>
      <c r="AB61" s="74"/>
      <c r="AC61" s="74"/>
      <c r="AD61" s="74"/>
      <c r="AE61" s="30">
        <f>INDEX('D1 - Master Project Table'!$A$1:$AK$7056,$A61,9)</f>
        <v>0.93</v>
      </c>
      <c r="AF61" s="34" t="str">
        <f>INDEX('D1 - Master Project Table'!$A$1:$AK$7056,$A61,8)</f>
        <v>1 - Scheduled</v>
      </c>
      <c r="AG61" s="146"/>
      <c r="AH61" s="227"/>
    </row>
    <row r="62" spans="1:34" ht="94.5" customHeight="1" x14ac:dyDescent="0.2">
      <c r="A62" s="36">
        <f>MATCH(C62,'D1 - Master Project Table'!$D$1:$D$7056,0)</f>
        <v>68</v>
      </c>
      <c r="B62" s="36" t="e">
        <f>MATCH(C62,#REF!,0)</f>
        <v>#REF!</v>
      </c>
      <c r="C62" s="125" t="s">
        <v>7816</v>
      </c>
      <c r="D62" s="34" t="str">
        <f>INDEX('D1 - Master Project Table'!$A$1:$AK$7056,$A62,5)</f>
        <v>ICD 10 Inventory Management and Code Review Tool</v>
      </c>
      <c r="E62" s="31">
        <f>INDEX('D1 - Master Project Table'!$A$1:$AK$7056,$A62,11)</f>
        <v>41412</v>
      </c>
      <c r="F62" s="32" t="str">
        <f>INDEX('D1 - Master Project Table'!$A$1:$AK$7056,$A62,13)</f>
        <v>Testing</v>
      </c>
      <c r="G62" s="32" t="str">
        <f>INDEX('D1 - Master Project Table'!$A$1:$AK$7056,$A62,7)</f>
        <v>3 - Green</v>
      </c>
      <c r="H62" s="32"/>
      <c r="I62" s="74" t="s">
        <v>9145</v>
      </c>
      <c r="J62" s="28"/>
      <c r="K62" s="28"/>
      <c r="L62" s="28"/>
      <c r="M62" s="28"/>
      <c r="N62" s="28"/>
      <c r="O62" s="28"/>
      <c r="P62" s="28"/>
      <c r="Q62" s="8" t="s">
        <v>1731</v>
      </c>
      <c r="R62" s="80"/>
      <c r="S62" s="116"/>
      <c r="T62" s="116" t="s">
        <v>9167</v>
      </c>
      <c r="U62" s="28"/>
      <c r="V62" s="80"/>
      <c r="W62" s="80"/>
      <c r="X62" s="28"/>
      <c r="Y62" s="80"/>
      <c r="Z62" s="8" t="s">
        <v>955</v>
      </c>
      <c r="AA62" s="84"/>
      <c r="AB62" s="74"/>
      <c r="AC62" s="74"/>
      <c r="AD62" s="74"/>
      <c r="AE62" s="30">
        <f>INDEX('D1 - Master Project Table'!$A$1:$AK$7056,$A62,9)</f>
        <v>0.55000000000000004</v>
      </c>
      <c r="AF62" s="34" t="str">
        <f>INDEX('D1 - Master Project Table'!$A$1:$AK$7056,$A62,8)</f>
        <v>1 - Scheduled</v>
      </c>
      <c r="AG62" s="146"/>
      <c r="AH62" s="227"/>
    </row>
    <row r="63" spans="1:34" ht="41.25" customHeight="1" x14ac:dyDescent="0.2">
      <c r="A63" s="36">
        <f>MATCH(C63,'D1 - Master Project Table'!$D$1:$D$7056,0)</f>
        <v>69</v>
      </c>
      <c r="B63" s="36" t="e">
        <f>MATCH(C63,#REF!,0)</f>
        <v>#REF!</v>
      </c>
      <c r="C63" s="200" t="s">
        <v>63</v>
      </c>
      <c r="D63" s="34" t="str">
        <f>INDEX('D1 - Master Project Table'!$A$1:$AK$7056,$A63,5)</f>
        <v>Medica Commercial Business - COSMOS New DIV</v>
      </c>
      <c r="E63" s="31">
        <f>INDEX('D1 - Master Project Table'!$A$1:$AK$7056,$A63,11)</f>
        <v>41412</v>
      </c>
      <c r="F63" s="32" t="str">
        <f>INDEX('D1 - Master Project Table'!$A$1:$AK$7056,$A63,13)</f>
        <v>Project</v>
      </c>
      <c r="G63" s="32" t="str">
        <f>INDEX('D1 - Master Project Table'!$A$1:$AK$7056,$A63,7)</f>
        <v>3 - Green</v>
      </c>
      <c r="H63" s="32"/>
      <c r="I63" s="65" t="s">
        <v>9535</v>
      </c>
      <c r="J63" s="28" t="s">
        <v>7273</v>
      </c>
      <c r="K63" s="8" t="s">
        <v>7273</v>
      </c>
      <c r="L63" s="28" t="s">
        <v>3758</v>
      </c>
      <c r="M63" s="28" t="s">
        <v>7273</v>
      </c>
      <c r="N63" s="28" t="s">
        <v>7273</v>
      </c>
      <c r="O63" s="28" t="s">
        <v>7273</v>
      </c>
      <c r="P63" s="28" t="s">
        <v>3758</v>
      </c>
      <c r="Q63" s="8" t="s">
        <v>515</v>
      </c>
      <c r="R63" s="80">
        <v>41257</v>
      </c>
      <c r="S63" s="116" t="s">
        <v>2737</v>
      </c>
      <c r="T63" s="116" t="s">
        <v>3758</v>
      </c>
      <c r="U63" s="28" t="s">
        <v>7739</v>
      </c>
      <c r="V63" s="80" t="s">
        <v>7273</v>
      </c>
      <c r="W63" s="80">
        <v>41302</v>
      </c>
      <c r="X63" s="28" t="s">
        <v>2810</v>
      </c>
      <c r="Y63" s="80">
        <v>41366</v>
      </c>
      <c r="Z63" s="9" t="s">
        <v>9016</v>
      </c>
      <c r="AA63" s="84">
        <v>41386</v>
      </c>
      <c r="AB63" s="9" t="s">
        <v>9065</v>
      </c>
      <c r="AC63" s="74" t="s">
        <v>4027</v>
      </c>
      <c r="AD63" s="74"/>
      <c r="AE63" s="30">
        <f>INDEX('D1 - Master Project Table'!$A$1:$AK$7056,$A63,9)</f>
        <v>7.69</v>
      </c>
      <c r="AF63" s="34" t="str">
        <f>INDEX('D1 - Master Project Table'!$A$1:$AK$7056,$A63,8)</f>
        <v>1 - Scheduled</v>
      </c>
      <c r="AG63" s="146"/>
      <c r="AH63" s="227"/>
    </row>
    <row r="64" spans="1:34" ht="172.5" customHeight="1" x14ac:dyDescent="0.2">
      <c r="A64" s="36">
        <f>MATCH(C64,'D1 - Master Project Table'!$D$1:$D$7056,0)</f>
        <v>70</v>
      </c>
      <c r="B64" s="36" t="e">
        <f>MATCH(C64,#REF!,0)</f>
        <v>#REF!</v>
      </c>
      <c r="C64" s="125" t="s">
        <v>355</v>
      </c>
      <c r="D64" s="34" t="str">
        <f>INDEX('D1 - Master Project Table'!$A$1:$AK$7056,$A64,5)</f>
        <v>ICUE Medica Passport Capability Build</v>
      </c>
      <c r="E64" s="31">
        <f>INDEX('D1 - Master Project Table'!$A$1:$AK$7056,$A64,11)</f>
        <v>41412</v>
      </c>
      <c r="F64" s="32" t="str">
        <f>INDEX('D1 - Master Project Table'!$A$1:$AK$7056,$A64,13)</f>
        <v>Testing</v>
      </c>
      <c r="G64" s="32" t="str">
        <f>INDEX('D1 - Master Project Table'!$A$1:$AK$7056,$A64,7)</f>
        <v>3 - Green</v>
      </c>
      <c r="H64" s="32"/>
      <c r="I64" s="74"/>
      <c r="J64" s="28"/>
      <c r="K64" s="28"/>
      <c r="L64" s="28"/>
      <c r="M64" s="28"/>
      <c r="N64" s="28"/>
      <c r="O64" s="28"/>
      <c r="P64" s="28"/>
      <c r="Q64" s="8" t="s">
        <v>1731</v>
      </c>
      <c r="R64" s="80"/>
      <c r="S64" s="116"/>
      <c r="T64" s="116"/>
      <c r="U64" s="28"/>
      <c r="V64" s="80"/>
      <c r="W64" s="80"/>
      <c r="X64" s="28"/>
      <c r="Y64" s="80"/>
      <c r="Z64" s="8" t="s">
        <v>9363</v>
      </c>
      <c r="AA64" s="84"/>
      <c r="AB64" s="74"/>
      <c r="AC64" s="74"/>
      <c r="AD64" s="74"/>
      <c r="AE64" s="30">
        <f>INDEX('D1 - Master Project Table'!$A$1:$AK$7056,$A64,9)</f>
        <v>1.4</v>
      </c>
      <c r="AF64" s="34" t="str">
        <f>INDEX('D1 - Master Project Table'!$A$1:$AK$7056,$A64,8)</f>
        <v>1 - Scheduled</v>
      </c>
      <c r="AG64" s="146"/>
      <c r="AH64" s="227"/>
    </row>
    <row r="65" spans="1:34" ht="191.25" x14ac:dyDescent="0.2">
      <c r="A65" s="36">
        <f>MATCH(C65,'D1 - Master Project Table'!$D$1:$D$7056,0)</f>
        <v>71</v>
      </c>
      <c r="B65" s="36" t="e">
        <f>MATCH(C65,#REF!,0)</f>
        <v>#REF!</v>
      </c>
      <c r="C65" s="200" t="s">
        <v>283</v>
      </c>
      <c r="D65" s="34" t="str">
        <f>INDEX('D1 - Master Project Table'!$A$1:$AK$7056,$A65,5)</f>
        <v>ICD-10 Load Codes for Enterprise Test</v>
      </c>
      <c r="E65" s="31">
        <f>INDEX('D1 - Master Project Table'!$A$1:$AK$7056,$A65,11)</f>
        <v>41412</v>
      </c>
      <c r="F65" s="32" t="str">
        <f>INDEX('D1 - Master Project Table'!$A$1:$AK$7056,$A65,13)</f>
        <v>Project</v>
      </c>
      <c r="G65" s="4" t="s">
        <v>5565</v>
      </c>
      <c r="H65" s="32"/>
      <c r="I65" s="9" t="s">
        <v>9589</v>
      </c>
      <c r="J65" s="8" t="s">
        <v>7273</v>
      </c>
      <c r="K65" s="8" t="s">
        <v>7273</v>
      </c>
      <c r="L65" s="8" t="s">
        <v>3758</v>
      </c>
      <c r="M65" s="8" t="s">
        <v>7273</v>
      </c>
      <c r="N65" s="8" t="s">
        <v>7273</v>
      </c>
      <c r="O65" s="8" t="s">
        <v>7273</v>
      </c>
      <c r="P65" s="8" t="s">
        <v>7273</v>
      </c>
      <c r="Q65" s="8" t="s">
        <v>4599</v>
      </c>
      <c r="R65" s="80">
        <v>41257</v>
      </c>
      <c r="S65" s="57" t="s">
        <v>2737</v>
      </c>
      <c r="T65" s="116" t="s">
        <v>3758</v>
      </c>
      <c r="U65" s="8" t="s">
        <v>7887</v>
      </c>
      <c r="V65" s="80"/>
      <c r="W65" s="176" t="s">
        <v>7175</v>
      </c>
      <c r="X65" s="8" t="s">
        <v>1276</v>
      </c>
      <c r="Y65" s="176">
        <v>41355</v>
      </c>
      <c r="Z65" s="9" t="s">
        <v>9013</v>
      </c>
      <c r="AA65" s="176" t="s">
        <v>9546</v>
      </c>
      <c r="AB65" s="9" t="s">
        <v>9545</v>
      </c>
      <c r="AC65" s="9" t="s">
        <v>4769</v>
      </c>
      <c r="AD65" s="74"/>
      <c r="AE65" s="30">
        <f>INDEX('D1 - Master Project Table'!$A$1:$AK$7056,$A65,9)</f>
        <v>54.67</v>
      </c>
      <c r="AF65" s="34" t="str">
        <f>INDEX('D1 - Master Project Table'!$A$1:$AK$7056,$A65,8)</f>
        <v>1 - Scheduled</v>
      </c>
      <c r="AG65" s="146"/>
      <c r="AH65" s="227"/>
    </row>
    <row r="66" spans="1:34" ht="96.75" customHeight="1" x14ac:dyDescent="0.2">
      <c r="A66" s="36">
        <f>MATCH(C66,'D1 - Master Project Table'!$D$1:$D$7056,0)</f>
        <v>72</v>
      </c>
      <c r="B66" s="36" t="e">
        <f>MATCH(C66,#REF!,0)</f>
        <v>#REF!</v>
      </c>
      <c r="C66" s="125" t="s">
        <v>9283</v>
      </c>
      <c r="D66" s="34" t="str">
        <f>INDEX('D1 - Master Project Table'!$A$1:$AK$7056,$A66,5)</f>
        <v>HCR - Cause Code at detail level for UB format</v>
      </c>
      <c r="E66" s="31">
        <f>INDEX('D1 - Master Project Table'!$A$1:$AK$7056,$A66,11)</f>
        <v>41412</v>
      </c>
      <c r="F66" s="32" t="str">
        <f>INDEX('D1 - Master Project Table'!$A$1:$AK$7056,$A66,13)</f>
        <v>Analysis</v>
      </c>
      <c r="G66" s="32" t="str">
        <f>INDEX('D1 - Master Project Table'!$A$1:$AK$7056,$A66,7)</f>
        <v>3 - Green</v>
      </c>
      <c r="H66" s="32"/>
      <c r="I66" s="74" t="s">
        <v>9390</v>
      </c>
      <c r="J66" s="28"/>
      <c r="K66" s="28"/>
      <c r="L66" s="28"/>
      <c r="M66" s="28"/>
      <c r="N66" s="28"/>
      <c r="O66" s="28"/>
      <c r="P66" s="28"/>
      <c r="Q66" s="8" t="s">
        <v>2248</v>
      </c>
      <c r="R66" s="80"/>
      <c r="S66" s="116"/>
      <c r="T66" s="116"/>
      <c r="U66" s="28"/>
      <c r="V66" s="80"/>
      <c r="W66" s="80"/>
      <c r="X66" s="28"/>
      <c r="Y66" s="80"/>
      <c r="Z66" s="28"/>
      <c r="AA66" s="84"/>
      <c r="AB66" s="74"/>
      <c r="AC66" s="74"/>
      <c r="AD66" s="74"/>
      <c r="AE66" s="30">
        <f>INDEX('D1 - Master Project Table'!$A$1:$AK$7056,$A66,9)</f>
        <v>0.53</v>
      </c>
      <c r="AF66" s="34" t="str">
        <f>INDEX('D1 - Master Project Table'!$A$1:$AK$7056,$A66,8)</f>
        <v>1 - Scheduled</v>
      </c>
      <c r="AG66" s="146"/>
      <c r="AH66" s="227"/>
    </row>
    <row r="67" spans="1:34" ht="108.75" customHeight="1" x14ac:dyDescent="0.2">
      <c r="A67" s="36">
        <f>MATCH(C67,'D1 - Master Project Table'!$D$1:$D$7056,0)</f>
        <v>73</v>
      </c>
      <c r="B67" s="36" t="e">
        <f>MATCH(C67,#REF!,0)</f>
        <v>#REF!</v>
      </c>
      <c r="C67" s="125" t="s">
        <v>919</v>
      </c>
      <c r="D67" s="34" t="str">
        <f>INDEX('D1 - Master Project Table'!$A$1:$AK$7056,$A67,5)</f>
        <v>iCES Clearinghouse May 2013 Maintenance Release</v>
      </c>
      <c r="E67" s="31">
        <f>INDEX('D1 - Master Project Table'!$A$1:$AK$7056,$A67,11)</f>
        <v>41412</v>
      </c>
      <c r="F67" s="32" t="str">
        <f>INDEX('D1 - Master Project Table'!$A$1:$AK$7056,$A67,13)</f>
        <v>Testing</v>
      </c>
      <c r="G67" s="32" t="str">
        <f>INDEX('D1 - Master Project Table'!$A$1:$AK$7056,$A67,7)</f>
        <v>3 - Green</v>
      </c>
      <c r="H67" s="32"/>
      <c r="I67" s="74"/>
      <c r="J67" s="28"/>
      <c r="K67" s="28"/>
      <c r="L67" s="28"/>
      <c r="M67" s="28"/>
      <c r="N67" s="28"/>
      <c r="O67" s="28"/>
      <c r="P67" s="28"/>
      <c r="Q67" s="8" t="s">
        <v>1731</v>
      </c>
      <c r="R67" s="80"/>
      <c r="S67" s="116"/>
      <c r="T67" s="116"/>
      <c r="U67" s="28"/>
      <c r="V67" s="80"/>
      <c r="W67" s="80"/>
      <c r="X67" s="28"/>
      <c r="Y67" s="80"/>
      <c r="Z67" s="28" t="s">
        <v>955</v>
      </c>
      <c r="AA67" s="84"/>
      <c r="AB67" s="74"/>
      <c r="AC67" s="74"/>
      <c r="AD67" s="74"/>
      <c r="AE67" s="30">
        <f>INDEX('D1 - Master Project Table'!$A$1:$AK$7056,$A67,9)</f>
        <v>0.34</v>
      </c>
      <c r="AF67" s="34" t="str">
        <f>INDEX('D1 - Master Project Table'!$A$1:$AK$7056,$A67,8)</f>
        <v>1 - Scheduled</v>
      </c>
      <c r="AG67" s="146"/>
      <c r="AH67" s="227"/>
    </row>
    <row r="68" spans="1:34" ht="80.25" customHeight="1" x14ac:dyDescent="0.2">
      <c r="A68" s="36">
        <f>MATCH(C68,'D1 - Master Project Table'!$D$1:$D$7056,0)</f>
        <v>74</v>
      </c>
      <c r="B68" s="36" t="e">
        <f>MATCH(C68,#REF!,0)</f>
        <v>#REF!</v>
      </c>
      <c r="C68" s="200" t="s">
        <v>194</v>
      </c>
      <c r="D68" s="34" t="str">
        <f>INDEX('D1 - Master Project Table'!$A$1:$AK$7056,$A68,5)</f>
        <v>I-CUE Release Q2 2013 - PHS</v>
      </c>
      <c r="E68" s="31">
        <f>INDEX('D1 - Master Project Table'!$A$1:$AK$7056,$A68,11)</f>
        <v>41412</v>
      </c>
      <c r="F68" s="32" t="str">
        <f>INDEX('D1 - Master Project Table'!$A$1:$AK$7056,$A68,13)</f>
        <v>Testing</v>
      </c>
      <c r="G68" s="32" t="str">
        <f>INDEX('D1 - Master Project Table'!$A$1:$AK$7056,$A68,7)</f>
        <v>3 - Green</v>
      </c>
      <c r="H68" s="32"/>
      <c r="I68" s="74"/>
      <c r="J68" s="28"/>
      <c r="K68" s="28"/>
      <c r="L68" s="28"/>
      <c r="M68" s="28"/>
      <c r="N68" s="28"/>
      <c r="O68" s="28"/>
      <c r="P68" s="28"/>
      <c r="Q68" s="8" t="s">
        <v>1731</v>
      </c>
      <c r="R68" s="80"/>
      <c r="S68" s="116"/>
      <c r="T68" s="116"/>
      <c r="U68" s="28"/>
      <c r="V68" s="80"/>
      <c r="W68" s="80"/>
      <c r="X68" s="28"/>
      <c r="Y68" s="80"/>
      <c r="Z68" s="28" t="s">
        <v>955</v>
      </c>
      <c r="AA68" s="84"/>
      <c r="AB68" s="74"/>
      <c r="AC68" s="74"/>
      <c r="AD68" s="74"/>
      <c r="AE68" s="30">
        <f>INDEX('D1 - Master Project Table'!$A$1:$AK$7056,$A68,9)</f>
        <v>0.1</v>
      </c>
      <c r="AF68" s="34" t="str">
        <f>INDEX('D1 - Master Project Table'!$A$1:$AK$7056,$A68,8)</f>
        <v>1 - Scheduled</v>
      </c>
      <c r="AG68" s="146"/>
      <c r="AH68" s="227"/>
    </row>
    <row r="69" spans="1:34" ht="81" customHeight="1" x14ac:dyDescent="0.2">
      <c r="A69" s="36">
        <f>MATCH(C69,'D1 - Master Project Table'!$D$1:$D$7056,0)</f>
        <v>75</v>
      </c>
      <c r="B69" s="36" t="e">
        <f>MATCH(C69,#REF!,0)</f>
        <v>#REF!</v>
      </c>
      <c r="C69" s="125" t="s">
        <v>8252</v>
      </c>
      <c r="D69" s="34" t="str">
        <f>INDEX('D1 - Master Project Table'!$A$1:$AK$7056,$A69,5)</f>
        <v xml:space="preserve">Integrated Administration - Structure Matching </v>
      </c>
      <c r="E69" s="31">
        <f>INDEX('D1 - Master Project Table'!$A$1:$AK$7056,$A69,11)</f>
        <v>41412</v>
      </c>
      <c r="F69" s="32" t="str">
        <f>INDEX('D1 - Master Project Table'!$A$1:$AK$7056,$A69,13)</f>
        <v>Testing</v>
      </c>
      <c r="G69" s="32" t="str">
        <f>INDEX('D1 - Master Project Table'!$A$1:$AK$7056,$A69,7)</f>
        <v>3 - Green</v>
      </c>
      <c r="H69" s="32"/>
      <c r="I69" s="9" t="s">
        <v>3067</v>
      </c>
      <c r="J69" s="28"/>
      <c r="K69" s="28"/>
      <c r="L69" s="28"/>
      <c r="M69" s="28"/>
      <c r="N69" s="28"/>
      <c r="O69" s="28"/>
      <c r="P69" s="28"/>
      <c r="Q69" s="8" t="s">
        <v>1731</v>
      </c>
      <c r="R69" s="80"/>
      <c r="S69" s="116"/>
      <c r="T69" s="116"/>
      <c r="U69" s="28"/>
      <c r="V69" s="80"/>
      <c r="W69" s="80"/>
      <c r="X69" s="28"/>
      <c r="Y69" s="80"/>
      <c r="Z69" s="8" t="s">
        <v>9363</v>
      </c>
      <c r="AA69" s="84"/>
      <c r="AB69" s="74"/>
      <c r="AC69" s="74"/>
      <c r="AD69" s="74"/>
      <c r="AE69" s="30">
        <f>INDEX('D1 - Master Project Table'!$A$1:$AK$7056,$A69,9)</f>
        <v>0.1</v>
      </c>
      <c r="AF69" s="34" t="str">
        <f>INDEX('D1 - Master Project Table'!$A$1:$AK$7056,$A69,8)</f>
        <v>1 - Scheduled</v>
      </c>
      <c r="AG69" s="146"/>
      <c r="AH69" s="227"/>
    </row>
    <row r="70" spans="1:34" ht="84" customHeight="1" x14ac:dyDescent="0.2">
      <c r="A70" s="36">
        <f>MATCH(C70,'D1 - Master Project Table'!$D$1:$D$7056,0)</f>
        <v>76</v>
      </c>
      <c r="B70" s="36" t="e">
        <f>MATCH(C70,#REF!,0)</f>
        <v>#REF!</v>
      </c>
      <c r="C70" s="200" t="s">
        <v>2286</v>
      </c>
      <c r="D70" s="34" t="str">
        <f>INDEX('D1 - Master Project Table'!$A$1:$AK$7056,$A70,5)</f>
        <v>CSS-B2X 2013B Release (PHS Migration)</v>
      </c>
      <c r="E70" s="31">
        <f>INDEX('D1 - Master Project Table'!$A$1:$AK$7056,$A70,11)</f>
        <v>41412</v>
      </c>
      <c r="F70" s="32" t="str">
        <f>INDEX('D1 - Master Project Table'!$A$1:$AK$7056,$A70,13)</f>
        <v>Testing</v>
      </c>
      <c r="G70" s="32" t="str">
        <f>INDEX('D1 - Master Project Table'!$A$1:$AK$7056,$A70,7)</f>
        <v>3 - Green</v>
      </c>
      <c r="H70" s="32"/>
      <c r="I70" s="74"/>
      <c r="J70" s="28"/>
      <c r="K70" s="28"/>
      <c r="L70" s="28"/>
      <c r="M70" s="28"/>
      <c r="N70" s="28"/>
      <c r="O70" s="28"/>
      <c r="P70" s="28"/>
      <c r="Q70" s="8" t="s">
        <v>1731</v>
      </c>
      <c r="R70" s="80"/>
      <c r="S70" s="116"/>
      <c r="T70" s="116"/>
      <c r="U70" s="28"/>
      <c r="V70" s="80"/>
      <c r="W70" s="80"/>
      <c r="X70" s="28"/>
      <c r="Y70" s="80"/>
      <c r="Z70" s="28" t="s">
        <v>955</v>
      </c>
      <c r="AA70" s="84"/>
      <c r="AB70" s="74"/>
      <c r="AC70" s="74"/>
      <c r="AD70" s="74"/>
      <c r="AE70" s="30">
        <f>INDEX('D1 - Master Project Table'!$A$1:$AK$7056,$A70,9)</f>
        <v>0.49</v>
      </c>
      <c r="AF70" s="34" t="str">
        <f>INDEX('D1 - Master Project Table'!$A$1:$AK$7056,$A70,8)</f>
        <v>1 - Scheduled</v>
      </c>
      <c r="AG70" s="146"/>
      <c r="AH70" s="227"/>
    </row>
    <row r="71" spans="1:34" ht="33.75" x14ac:dyDescent="0.2">
      <c r="A71" s="36">
        <f>MATCH(C71,'D1 - Master Project Table'!$D$1:$D$7056,0)</f>
        <v>77</v>
      </c>
      <c r="B71" s="36" t="e">
        <f>MATCH(C71,#REF!,0)</f>
        <v>#REF!</v>
      </c>
      <c r="C71" s="200" t="s">
        <v>2287</v>
      </c>
      <c r="D71" s="34" t="str">
        <f>INDEX('D1 - Master Project Table'!$A$1:$AK$7056,$A71,5)</f>
        <v>C&amp;S COSMOS Full Radiology Implementation</v>
      </c>
      <c r="E71" s="31">
        <f>INDEX('D1 - Master Project Table'!$A$1:$AK$7056,$A71,11)</f>
        <v>41412</v>
      </c>
      <c r="F71" s="32" t="str">
        <f>INDEX('D1 - Master Project Table'!$A$1:$AK$7056,$A71,13)</f>
        <v>Project</v>
      </c>
      <c r="G71" s="32" t="str">
        <f>INDEX('D1 - Master Project Table'!$A$1:$AK$7056,$A71,7)</f>
        <v>3 - Green</v>
      </c>
      <c r="H71" s="32"/>
      <c r="I71" s="285" t="s">
        <v>9541</v>
      </c>
      <c r="J71" s="28" t="s">
        <v>7273</v>
      </c>
      <c r="K71" s="28" t="s">
        <v>7273</v>
      </c>
      <c r="L71" s="28" t="s">
        <v>3758</v>
      </c>
      <c r="M71" s="28" t="s">
        <v>7273</v>
      </c>
      <c r="N71" s="28" t="s">
        <v>7273</v>
      </c>
      <c r="O71" s="28" t="s">
        <v>7273</v>
      </c>
      <c r="P71" s="28" t="s">
        <v>7273</v>
      </c>
      <c r="Q71" s="8" t="s">
        <v>1667</v>
      </c>
      <c r="R71" s="175">
        <v>41355</v>
      </c>
      <c r="S71" s="57" t="s">
        <v>2737</v>
      </c>
      <c r="T71" s="116"/>
      <c r="U71" s="8" t="s">
        <v>7727</v>
      </c>
      <c r="V71" s="175" t="s">
        <v>4769</v>
      </c>
      <c r="W71" s="176">
        <v>41313</v>
      </c>
      <c r="X71" s="8" t="s">
        <v>3547</v>
      </c>
      <c r="Y71" s="80">
        <v>41355</v>
      </c>
      <c r="Z71" s="9" t="s">
        <v>9017</v>
      </c>
      <c r="AA71" s="84">
        <v>41374</v>
      </c>
      <c r="AB71" s="9" t="s">
        <v>9171</v>
      </c>
      <c r="AC71" s="74"/>
      <c r="AD71" s="74"/>
      <c r="AE71" s="30">
        <f>INDEX('D1 - Master Project Table'!$A$1:$AK$7056,$A71,9)</f>
        <v>9.32</v>
      </c>
      <c r="AF71" s="34" t="str">
        <f>INDEX('D1 - Master Project Table'!$A$1:$AK$7056,$A71,8)</f>
        <v>1 - Scheduled</v>
      </c>
      <c r="AG71" s="146"/>
      <c r="AH71" s="227"/>
    </row>
    <row r="72" spans="1:34" ht="33.75" x14ac:dyDescent="0.2">
      <c r="A72" s="36">
        <f>MATCH(C72,'D1 - Master Project Table'!$D$1:$D$7056,0)</f>
        <v>78</v>
      </c>
      <c r="B72" s="36" t="e">
        <f>MATCH(C72,#REF!,0)</f>
        <v>#REF!</v>
      </c>
      <c r="C72" s="200" t="s">
        <v>2288</v>
      </c>
      <c r="D72" s="34" t="str">
        <f>INDEX('D1 - Master Project Table'!$A$1:$AK$7056,$A72,5)</f>
        <v>C&amp;S CSP FACETS Full Radiology Implementation</v>
      </c>
      <c r="E72" s="31">
        <f>INDEX('D1 - Master Project Table'!$A$1:$AK$7056,$A72,11)</f>
        <v>41412</v>
      </c>
      <c r="F72" s="32" t="str">
        <f>INDEX('D1 - Master Project Table'!$A$1:$AK$7056,$A72,13)</f>
        <v>Project</v>
      </c>
      <c r="G72" s="32" t="str">
        <f>INDEX('D1 - Master Project Table'!$A$1:$AK$7056,$A72,7)</f>
        <v>3 - Green</v>
      </c>
      <c r="H72" s="32"/>
      <c r="I72" s="285" t="s">
        <v>9542</v>
      </c>
      <c r="J72" s="28" t="s">
        <v>7273</v>
      </c>
      <c r="K72" s="28" t="s">
        <v>7273</v>
      </c>
      <c r="L72" s="28" t="s">
        <v>3758</v>
      </c>
      <c r="M72" s="28" t="s">
        <v>7273</v>
      </c>
      <c r="N72" s="28" t="s">
        <v>7273</v>
      </c>
      <c r="O72" s="28" t="s">
        <v>7273</v>
      </c>
      <c r="P72" s="28" t="s">
        <v>7273</v>
      </c>
      <c r="Q72" s="8" t="s">
        <v>1667</v>
      </c>
      <c r="R72" s="80">
        <v>41299</v>
      </c>
      <c r="S72" s="57" t="s">
        <v>2737</v>
      </c>
      <c r="T72" s="116"/>
      <c r="U72" s="9" t="s">
        <v>7728</v>
      </c>
      <c r="V72" s="175" t="s">
        <v>4769</v>
      </c>
      <c r="W72" s="80">
        <v>41299</v>
      </c>
      <c r="X72" s="8" t="s">
        <v>3547</v>
      </c>
      <c r="Y72" s="80">
        <v>41362</v>
      </c>
      <c r="Z72" s="9" t="s">
        <v>9018</v>
      </c>
      <c r="AA72" s="84">
        <v>41374</v>
      </c>
      <c r="AB72" s="9" t="s">
        <v>9171</v>
      </c>
      <c r="AC72" s="74"/>
      <c r="AD72" s="74"/>
      <c r="AE72" s="30">
        <f>INDEX('D1 - Master Project Table'!$A$1:$AK$7056,$A72,9)</f>
        <v>9.32</v>
      </c>
      <c r="AF72" s="34" t="str">
        <f>INDEX('D1 - Master Project Table'!$A$1:$AK$7056,$A72,8)</f>
        <v>1 - Scheduled</v>
      </c>
      <c r="AG72" s="146"/>
      <c r="AH72" s="227"/>
    </row>
    <row r="73" spans="1:34" ht="45" x14ac:dyDescent="0.2">
      <c r="A73" s="36">
        <f>MATCH(C73,'D1 - Master Project Table'!$D$1:$D$7056,0)</f>
        <v>79</v>
      </c>
      <c r="B73" s="36" t="e">
        <f>MATCH(C73,#REF!,0)</f>
        <v>#REF!</v>
      </c>
      <c r="C73" s="125" t="s">
        <v>38</v>
      </c>
      <c r="D73" s="34" t="str">
        <f>INDEX('D1 - Master Project Table'!$A$1:$AK$7056,$A73,5)</f>
        <v>Common Medicaid Platform Analysis</v>
      </c>
      <c r="E73" s="31">
        <f>INDEX('D1 - Master Project Table'!$A$1:$AK$7056,$A73,11)</f>
        <v>41412</v>
      </c>
      <c r="F73" s="32" t="str">
        <f>INDEX('D1 - Master Project Table'!$A$1:$AK$7056,$A73,13)</f>
        <v>Analysis</v>
      </c>
      <c r="G73" s="32" t="str">
        <f>INDEX('D1 - Master Project Table'!$A$1:$AK$7056,$A73,7)</f>
        <v>3 - Green</v>
      </c>
      <c r="H73" s="32"/>
      <c r="I73" s="38" t="s">
        <v>299</v>
      </c>
      <c r="J73" s="28"/>
      <c r="K73" s="28"/>
      <c r="L73" s="28"/>
      <c r="M73" s="28"/>
      <c r="N73" s="28"/>
      <c r="O73" s="28"/>
      <c r="P73" s="28"/>
      <c r="Q73" s="8" t="s">
        <v>1755</v>
      </c>
      <c r="R73" s="80"/>
      <c r="S73" s="116"/>
      <c r="T73" s="116"/>
      <c r="U73" s="28"/>
      <c r="V73" s="80"/>
      <c r="W73" s="80"/>
      <c r="X73" s="28"/>
      <c r="Y73" s="80"/>
      <c r="Z73" s="28"/>
      <c r="AA73" s="84"/>
      <c r="AB73" s="74"/>
      <c r="AC73" s="74"/>
      <c r="AD73" s="74"/>
      <c r="AE73" s="30">
        <f>INDEX('D1 - Master Project Table'!$A$1:$AK$7056,$A73,9)</f>
        <v>0.55000000000000004</v>
      </c>
      <c r="AF73" s="34" t="str">
        <f>INDEX('D1 - Master Project Table'!$A$1:$AK$7056,$A73,8)</f>
        <v>1 - Scheduled</v>
      </c>
      <c r="AG73" s="146"/>
      <c r="AH73" s="227"/>
    </row>
    <row r="74" spans="1:34" ht="147.75" customHeight="1" x14ac:dyDescent="0.2">
      <c r="A74" s="36">
        <f>MATCH(C74,'D1 - Master Project Table'!$D$1:$D$7056,0)</f>
        <v>80</v>
      </c>
      <c r="B74" s="36" t="e">
        <f>MATCH(C74,#REF!,0)</f>
        <v>#REF!</v>
      </c>
      <c r="C74" s="125" t="s">
        <v>502</v>
      </c>
      <c r="D74" s="34" t="str">
        <f>INDEX('D1 - Master Project Table'!$A$1:$AK$7056,$A74,5)</f>
        <v>Q2 2013 eSync Advocacy</v>
      </c>
      <c r="E74" s="31">
        <f>INDEX('D1 - Master Project Table'!$A$1:$AK$7056,$A74,11)</f>
        <v>41412</v>
      </c>
      <c r="F74" s="32" t="str">
        <f>INDEX('D1 - Master Project Table'!$A$1:$AK$7056,$A74,13)</f>
        <v>Testing</v>
      </c>
      <c r="G74" s="32" t="str">
        <f>INDEX('D1 - Master Project Table'!$A$1:$AK$7056,$A74,7)</f>
        <v>3 - Green</v>
      </c>
      <c r="H74" s="32"/>
      <c r="I74" s="74"/>
      <c r="J74" s="28"/>
      <c r="K74" s="28"/>
      <c r="L74" s="28"/>
      <c r="M74" s="28"/>
      <c r="N74" s="28"/>
      <c r="O74" s="28"/>
      <c r="P74" s="28"/>
      <c r="Q74" s="8" t="s">
        <v>1731</v>
      </c>
      <c r="R74" s="80"/>
      <c r="S74" s="116"/>
      <c r="T74" s="116"/>
      <c r="U74" s="28"/>
      <c r="V74" s="80"/>
      <c r="W74" s="80"/>
      <c r="X74" s="28"/>
      <c r="Y74" s="80"/>
      <c r="Z74" s="28" t="s">
        <v>955</v>
      </c>
      <c r="AA74" s="84"/>
      <c r="AB74" s="74"/>
      <c r="AC74" s="74"/>
      <c r="AD74" s="74"/>
      <c r="AE74" s="30">
        <f>INDEX('D1 - Master Project Table'!$A$1:$AK$7056,$A74,9)</f>
        <v>0.21</v>
      </c>
      <c r="AF74" s="34" t="str">
        <f>INDEX('D1 - Master Project Table'!$A$1:$AK$7056,$A74,8)</f>
        <v>1 - Scheduled</v>
      </c>
      <c r="AG74" s="146"/>
      <c r="AH74" s="227"/>
    </row>
    <row r="75" spans="1:34" ht="146.25" x14ac:dyDescent="0.2">
      <c r="A75" s="36">
        <f>MATCH(C75,'D1 - Master Project Table'!$D$1:$D$7056,0)</f>
        <v>81</v>
      </c>
      <c r="B75" s="36" t="e">
        <f>MATCH(C75,#REF!,0)</f>
        <v>#REF!</v>
      </c>
      <c r="C75" s="200" t="s">
        <v>195</v>
      </c>
      <c r="D75" s="34" t="str">
        <f>INDEX('D1 - Master Project Table'!$A$1:$AK$7056,$A75,5)</f>
        <v xml:space="preserve">Clia Project for CSP </v>
      </c>
      <c r="E75" s="31">
        <f>INDEX('D1 - Master Project Table'!$A$1:$AK$7056,$A75,11)</f>
        <v>41412</v>
      </c>
      <c r="F75" s="32" t="str">
        <f>INDEX('D1 - Master Project Table'!$A$1:$AK$7056,$A75,13)</f>
        <v>Project</v>
      </c>
      <c r="G75" s="32" t="str">
        <f>INDEX('D1 - Master Project Table'!$A$1:$AK$7056,$A75,7)</f>
        <v>3 - Green</v>
      </c>
      <c r="H75" s="32"/>
      <c r="I75" s="285" t="s">
        <v>9544</v>
      </c>
      <c r="J75" s="8" t="s">
        <v>7273</v>
      </c>
      <c r="K75" s="28" t="s">
        <v>7273</v>
      </c>
      <c r="L75" s="28" t="s">
        <v>3758</v>
      </c>
      <c r="M75" s="28" t="s">
        <v>7273</v>
      </c>
      <c r="N75" s="28" t="s">
        <v>7273</v>
      </c>
      <c r="O75" s="28" t="s">
        <v>7273</v>
      </c>
      <c r="P75" s="28" t="s">
        <v>3758</v>
      </c>
      <c r="Q75" s="8" t="s">
        <v>1667</v>
      </c>
      <c r="R75" s="80">
        <v>41302</v>
      </c>
      <c r="S75" s="57" t="s">
        <v>2737</v>
      </c>
      <c r="T75" s="116" t="s">
        <v>3758</v>
      </c>
      <c r="U75" s="8" t="s">
        <v>7888</v>
      </c>
      <c r="V75" s="175" t="s">
        <v>3572</v>
      </c>
      <c r="W75" s="175" t="s">
        <v>8235</v>
      </c>
      <c r="X75" s="8" t="s">
        <v>3547</v>
      </c>
      <c r="Y75" s="80">
        <v>41366</v>
      </c>
      <c r="Z75" s="8" t="s">
        <v>9207</v>
      </c>
      <c r="AA75" s="84">
        <v>41374</v>
      </c>
      <c r="AB75" s="9" t="s">
        <v>9172</v>
      </c>
      <c r="AC75" s="74"/>
      <c r="AD75" s="74"/>
      <c r="AE75" s="30">
        <f>INDEX('D1 - Master Project Table'!$A$1:$AK$7056,$A75,9)</f>
        <v>8.48</v>
      </c>
      <c r="AF75" s="34" t="str">
        <f>INDEX('D1 - Master Project Table'!$A$1:$AK$7056,$A75,8)</f>
        <v>1 - Scheduled</v>
      </c>
      <c r="AG75" s="146"/>
      <c r="AH75" s="227"/>
    </row>
    <row r="76" spans="1:34" x14ac:dyDescent="0.2">
      <c r="A76" s="36">
        <f>MATCH(C76,'D1 - Master Project Table'!$D$1:$D$7056,0)</f>
        <v>82</v>
      </c>
      <c r="B76" s="36" t="e">
        <f>MATCH(C76,#REF!,0)</f>
        <v>#REF!</v>
      </c>
      <c r="C76" s="200" t="s">
        <v>1357</v>
      </c>
      <c r="D76" s="34" t="str">
        <f>INDEX('D1 - Master Project Table'!$A$1:$AK$7056,$A76,5)</f>
        <v>PhyCon NDB Integration Analysis</v>
      </c>
      <c r="E76" s="31">
        <f>INDEX('D1 - Master Project Table'!$A$1:$AK$7056,$A76,11)</f>
        <v>41412</v>
      </c>
      <c r="F76" s="32" t="str">
        <f>INDEX('D1 - Master Project Table'!$A$1:$AK$7056,$A76,13)</f>
        <v>Analysis</v>
      </c>
      <c r="G76" s="32" t="str">
        <f>INDEX('D1 - Master Project Table'!$A$1:$AK$7056,$A76,7)</f>
        <v>3 - Green</v>
      </c>
      <c r="H76" s="32"/>
      <c r="I76" s="74"/>
      <c r="J76" s="28"/>
      <c r="K76" s="28"/>
      <c r="L76" s="28"/>
      <c r="M76" s="28"/>
      <c r="N76" s="28"/>
      <c r="O76" s="28"/>
      <c r="P76" s="28"/>
      <c r="Q76" s="8" t="s">
        <v>5898</v>
      </c>
      <c r="R76" s="80"/>
      <c r="S76" s="116"/>
      <c r="T76" s="116"/>
      <c r="U76" s="28"/>
      <c r="V76" s="80"/>
      <c r="W76" s="80"/>
      <c r="X76" s="28"/>
      <c r="Y76" s="80"/>
      <c r="Z76" s="28"/>
      <c r="AA76" s="84"/>
      <c r="AB76" s="74"/>
      <c r="AC76" s="74"/>
      <c r="AD76" s="74"/>
      <c r="AE76" s="30">
        <f>INDEX('D1 - Master Project Table'!$A$1:$AK$7056,$A76,9)</f>
        <v>0.53</v>
      </c>
      <c r="AF76" s="34" t="str">
        <f>INDEX('D1 - Master Project Table'!$A$1:$AK$7056,$A76,8)</f>
        <v>1 - Scheduled</v>
      </c>
      <c r="AG76" s="146"/>
      <c r="AH76" s="227"/>
    </row>
    <row r="77" spans="1:34" ht="22.5" x14ac:dyDescent="0.2">
      <c r="A77" s="36">
        <f>MATCH(C77,'D1 - Master Project Table'!$D$1:$D$7056,0)</f>
        <v>83</v>
      </c>
      <c r="B77" s="36" t="e">
        <f>MATCH(C77,#REF!,0)</f>
        <v>#REF!</v>
      </c>
      <c r="C77" s="125" t="s">
        <v>7505</v>
      </c>
      <c r="D77" s="34" t="str">
        <f>INDEX('D1 - Master Project Table'!$A$1:$AK$7056,$A77,5)</f>
        <v>MyUHC - Member Payment Capability</v>
      </c>
      <c r="E77" s="31">
        <f>INDEX('D1 - Master Project Table'!$A$1:$AK$7056,$A77,11)</f>
        <v>41412</v>
      </c>
      <c r="F77" s="32" t="str">
        <f>INDEX('D1 - Master Project Table'!$A$1:$AK$7056,$A77,13)</f>
        <v>Testing</v>
      </c>
      <c r="G77" s="32" t="str">
        <f>INDEX('D1 - Master Project Table'!$A$1:$AK$7056,$A77,7)</f>
        <v>3 - Green</v>
      </c>
      <c r="H77" s="32"/>
      <c r="I77" s="74" t="s">
        <v>9060</v>
      </c>
      <c r="J77" s="28"/>
      <c r="K77" s="28"/>
      <c r="L77" s="28"/>
      <c r="M77" s="28"/>
      <c r="N77" s="28"/>
      <c r="O77" s="28"/>
      <c r="P77" s="28"/>
      <c r="Q77" s="8" t="s">
        <v>1731</v>
      </c>
      <c r="R77" s="80"/>
      <c r="S77" s="116"/>
      <c r="T77" s="116"/>
      <c r="U77" s="28"/>
      <c r="V77" s="80"/>
      <c r="W77" s="80"/>
      <c r="X77" s="28"/>
      <c r="Y77" s="80"/>
      <c r="Z77" s="8" t="s">
        <v>955</v>
      </c>
      <c r="AA77" s="84"/>
      <c r="AB77" s="74"/>
      <c r="AC77" s="74"/>
      <c r="AD77" s="74"/>
      <c r="AE77" s="30">
        <f>INDEX('D1 - Master Project Table'!$A$1:$AK$7056,$A77,9)</f>
        <v>0.54</v>
      </c>
      <c r="AF77" s="34" t="str">
        <f>INDEX('D1 - Master Project Table'!$A$1:$AK$7056,$A77,8)</f>
        <v>1 - Scheduled</v>
      </c>
      <c r="AG77" s="146"/>
      <c r="AH77" s="227"/>
    </row>
    <row r="78" spans="1:34" ht="45" x14ac:dyDescent="0.2">
      <c r="A78" s="36">
        <f>MATCH(C78,'D1 - Master Project Table'!$D$1:$D$7056,0)</f>
        <v>84</v>
      </c>
      <c r="B78" s="36" t="e">
        <f>MATCH(C78,#REF!,0)</f>
        <v>#REF!</v>
      </c>
      <c r="C78" s="200" t="s">
        <v>7169</v>
      </c>
      <c r="D78" s="34" t="str">
        <f>INDEX('D1 - Master Project Table'!$A$1:$AK$7056,$A78,5)</f>
        <v>WOQ NDB One Shot to update LOS Contract Clauses</v>
      </c>
      <c r="E78" s="31">
        <f>INDEX('D1 - Master Project Table'!$A$1:$AK$7056,$A78,11)</f>
        <v>41412</v>
      </c>
      <c r="F78" s="32" t="str">
        <f>INDEX('D1 - Master Project Table'!$A$1:$AK$7056,$A78,13)</f>
        <v>WO</v>
      </c>
      <c r="G78" s="32" t="str">
        <f>INDEX('D1 - Master Project Table'!$A$1:$AK$7056,$A78,7)</f>
        <v>3 - Green</v>
      </c>
      <c r="H78" s="32"/>
      <c r="I78" s="9" t="s">
        <v>9536</v>
      </c>
      <c r="J78" s="28" t="s">
        <v>7273</v>
      </c>
      <c r="K78" s="28" t="s">
        <v>7273</v>
      </c>
      <c r="L78" s="28" t="s">
        <v>7273</v>
      </c>
      <c r="M78" s="8" t="s">
        <v>7273</v>
      </c>
      <c r="N78" s="28" t="s">
        <v>7273</v>
      </c>
      <c r="O78" s="28" t="s">
        <v>7273</v>
      </c>
      <c r="P78" s="28" t="s">
        <v>3758</v>
      </c>
      <c r="Q78" s="28" t="s">
        <v>253</v>
      </c>
      <c r="R78" s="80">
        <v>41334</v>
      </c>
      <c r="S78" s="57" t="s">
        <v>6007</v>
      </c>
      <c r="T78" s="116" t="s">
        <v>3758</v>
      </c>
      <c r="U78" s="28" t="s">
        <v>592</v>
      </c>
      <c r="V78" s="175" t="s">
        <v>4769</v>
      </c>
      <c r="W78" s="80">
        <v>41327</v>
      </c>
      <c r="X78" s="28" t="s">
        <v>2810</v>
      </c>
      <c r="Y78" s="80">
        <v>41351</v>
      </c>
      <c r="Z78" s="9" t="s">
        <v>6594</v>
      </c>
      <c r="AA78" s="176">
        <v>41374</v>
      </c>
      <c r="AB78" s="74" t="s">
        <v>9066</v>
      </c>
      <c r="AC78" s="74" t="s">
        <v>4027</v>
      </c>
      <c r="AD78" s="74"/>
      <c r="AE78" s="30">
        <f>INDEX('D1 - Master Project Table'!$A$1:$AK$7056,$A78,9)</f>
        <v>6.65</v>
      </c>
      <c r="AF78" s="34" t="str">
        <f>INDEX('D1 - Master Project Table'!$A$1:$AK$7056,$A78,8)</f>
        <v>1 - Scheduled</v>
      </c>
      <c r="AG78" s="146"/>
      <c r="AH78" s="227"/>
    </row>
    <row r="79" spans="1:34" ht="22.5" x14ac:dyDescent="0.2">
      <c r="A79" s="36">
        <f>MATCH(C79,'D1 - Master Project Table'!$D$1:$D$7056,0)</f>
        <v>85</v>
      </c>
      <c r="B79" s="36" t="e">
        <f>MATCH(C79,#REF!,0)</f>
        <v>#REF!</v>
      </c>
      <c r="C79" s="125" t="s">
        <v>7817</v>
      </c>
      <c r="D79" s="34" t="str">
        <f>INDEX('D1 - Master Project Table'!$A$1:$AK$7056,$A79,5)</f>
        <v>UMR EPS Reroute Corrected Claims 2259</v>
      </c>
      <c r="E79" s="31">
        <f>INDEX('D1 - Master Project Table'!$A$1:$AK$7056,$A79,11)</f>
        <v>41412</v>
      </c>
      <c r="F79" s="32" t="str">
        <f>INDEX('D1 - Master Project Table'!$A$1:$AK$7056,$A79,13)</f>
        <v>Testing</v>
      </c>
      <c r="G79" s="32" t="str">
        <f>INDEX('D1 - Master Project Table'!$A$1:$AK$7056,$A79,7)</f>
        <v>3 - Green</v>
      </c>
      <c r="H79" s="32"/>
      <c r="I79" s="74" t="s">
        <v>7193</v>
      </c>
      <c r="J79" s="28"/>
      <c r="K79" s="28"/>
      <c r="L79" s="28"/>
      <c r="M79" s="28"/>
      <c r="N79" s="28"/>
      <c r="O79" s="28"/>
      <c r="P79" s="28"/>
      <c r="Q79" s="8" t="s">
        <v>1731</v>
      </c>
      <c r="R79" s="80"/>
      <c r="S79" s="116"/>
      <c r="T79" s="116"/>
      <c r="U79" s="28"/>
      <c r="V79" s="80"/>
      <c r="W79" s="80"/>
      <c r="X79" s="28"/>
      <c r="Y79" s="80"/>
      <c r="Z79" s="8" t="s">
        <v>955</v>
      </c>
      <c r="AA79" s="84"/>
      <c r="AB79" s="74"/>
      <c r="AC79" s="74"/>
      <c r="AD79" s="74"/>
      <c r="AE79" s="30">
        <f>INDEX('D1 - Master Project Table'!$A$1:$AK$7056,$A79,9)</f>
        <v>0.11</v>
      </c>
      <c r="AF79" s="34" t="str">
        <f>INDEX('D1 - Master Project Table'!$A$1:$AK$7056,$A79,8)</f>
        <v>1 - Scheduled</v>
      </c>
      <c r="AG79" s="146"/>
      <c r="AH79" s="227"/>
    </row>
    <row r="80" spans="1:34" x14ac:dyDescent="0.2">
      <c r="A80" s="36">
        <f>MATCH(C80,'D1 - Master Project Table'!$D$1:$D$7056,0)</f>
        <v>86</v>
      </c>
      <c r="B80" s="36" t="e">
        <f>MATCH(C80,#REF!,0)</f>
        <v>#REF!</v>
      </c>
      <c r="C80" s="200" t="s">
        <v>8251</v>
      </c>
      <c r="D80" s="34" t="str">
        <f>INDEX('D1 - Master Project Table'!$A$1:$AK$7056,$A80,5)</f>
        <v>NDB Provider Data Quality – A/O</v>
      </c>
      <c r="E80" s="31">
        <f>INDEX('D1 - Master Project Table'!$A$1:$AK$7056,$A80,11)</f>
        <v>41412</v>
      </c>
      <c r="F80" s="32" t="str">
        <f>INDEX('D1 - Master Project Table'!$A$1:$AK$7056,$A80,13)</f>
        <v>Analysis</v>
      </c>
      <c r="G80" s="32" t="str">
        <f>INDEX('D1 - Master Project Table'!$A$1:$AK$7056,$A80,7)</f>
        <v>3 - Green</v>
      </c>
      <c r="H80" s="32"/>
      <c r="I80" s="74"/>
      <c r="J80" s="28"/>
      <c r="K80" s="28"/>
      <c r="L80" s="28"/>
      <c r="M80" s="28"/>
      <c r="N80" s="28"/>
      <c r="O80" s="28"/>
      <c r="P80" s="28"/>
      <c r="Q80" s="8" t="s">
        <v>8226</v>
      </c>
      <c r="R80" s="80"/>
      <c r="S80" s="116"/>
      <c r="T80" s="116"/>
      <c r="U80" s="28"/>
      <c r="V80" s="80"/>
      <c r="W80" s="80"/>
      <c r="X80" s="28"/>
      <c r="Y80" s="80"/>
      <c r="Z80" s="28"/>
      <c r="AA80" s="84"/>
      <c r="AB80" s="74"/>
      <c r="AC80" s="74"/>
      <c r="AD80" s="74"/>
      <c r="AE80" s="30">
        <f>INDEX('D1 - Master Project Table'!$A$1:$AK$7056,$A80,9)</f>
        <v>6.07</v>
      </c>
      <c r="AF80" s="34" t="str">
        <f>INDEX('D1 - Master Project Table'!$A$1:$AK$7056,$A80,8)</f>
        <v>1 - Scheduled</v>
      </c>
      <c r="AG80" s="146"/>
      <c r="AH80" s="227"/>
    </row>
    <row r="81" spans="1:34" ht="22.5" x14ac:dyDescent="0.2">
      <c r="A81" s="36">
        <f>MATCH(C81,'D1 - Master Project Table'!$D$1:$D$7056,0)</f>
        <v>87</v>
      </c>
      <c r="B81" s="36" t="e">
        <f>MATCH(C81,#REF!,0)</f>
        <v>#REF!</v>
      </c>
      <c r="C81" s="200" t="s">
        <v>7675</v>
      </c>
      <c r="D81" s="34" t="str">
        <f>INDEX('D1 - Master Project Table'!$A$1:$AK$7056,$A81,5)</f>
        <v>NDB Fee Schedule ID Tactical Solution</v>
      </c>
      <c r="E81" s="31">
        <f>INDEX('D1 - Master Project Table'!$A$1:$AK$7056,$A81,11)</f>
        <v>41412</v>
      </c>
      <c r="F81" s="32" t="str">
        <f>INDEX('D1 - Master Project Table'!$A$1:$AK$7056,$A81,13)</f>
        <v>Analysis</v>
      </c>
      <c r="G81" s="32" t="str">
        <f>INDEX('D1 - Master Project Table'!$A$1:$AK$7056,$A81,7)</f>
        <v>3 - Green</v>
      </c>
      <c r="H81" s="32"/>
      <c r="I81" s="74"/>
      <c r="J81" s="28"/>
      <c r="K81" s="28"/>
      <c r="L81" s="28"/>
      <c r="M81" s="28"/>
      <c r="N81" s="28"/>
      <c r="O81" s="28"/>
      <c r="P81" s="28"/>
      <c r="Q81" s="28"/>
      <c r="R81" s="80"/>
      <c r="S81" s="116"/>
      <c r="T81" s="116"/>
      <c r="U81" s="28"/>
      <c r="V81" s="80"/>
      <c r="W81" s="80"/>
      <c r="X81" s="28"/>
      <c r="Y81" s="80"/>
      <c r="Z81" s="28"/>
      <c r="AA81" s="84"/>
      <c r="AB81" s="74"/>
      <c r="AC81" s="74"/>
      <c r="AD81" s="74"/>
      <c r="AE81" s="30">
        <f>INDEX('D1 - Master Project Table'!$A$1:$AK$7056,$A81,9)</f>
        <v>0.99</v>
      </c>
      <c r="AF81" s="34" t="str">
        <f>INDEX('D1 - Master Project Table'!$A$1:$AK$7056,$A81,8)</f>
        <v>1 - Scheduled</v>
      </c>
      <c r="AG81" s="146"/>
      <c r="AH81" s="227"/>
    </row>
    <row r="82" spans="1:34" x14ac:dyDescent="0.2">
      <c r="A82" s="36">
        <f>MATCH(C82,'D1 - Master Project Table'!$D$1:$D$7056,0)</f>
        <v>88</v>
      </c>
      <c r="B82" s="36" t="e">
        <f>MATCH(C82,#REF!,0)</f>
        <v>#REF!</v>
      </c>
      <c r="C82" s="125" t="s">
        <v>9504</v>
      </c>
      <c r="D82" s="34" t="str">
        <f>INDEX('D1 - Master Project Table'!$A$1:$AK$7056,$A82,5)</f>
        <v>Referral / Auth intake on Portal</v>
      </c>
      <c r="E82" s="31">
        <f>INDEX('D1 - Master Project Table'!$A$1:$AK$7056,$A82,11)</f>
        <v>41412</v>
      </c>
      <c r="F82" s="32" t="str">
        <f>INDEX('D1 - Master Project Table'!$A$1:$AK$7056,$A82,13)</f>
        <v>Testing</v>
      </c>
      <c r="G82" s="32" t="str">
        <f>INDEX('D1 - Master Project Table'!$A$1:$AK$7056,$A82,7)</f>
        <v>3 - Green</v>
      </c>
      <c r="H82" s="32"/>
      <c r="I82" s="74"/>
      <c r="J82" s="28"/>
      <c r="K82" s="28"/>
      <c r="L82" s="28"/>
      <c r="M82" s="28"/>
      <c r="N82" s="28"/>
      <c r="O82" s="28"/>
      <c r="P82" s="28"/>
      <c r="Q82" s="8" t="s">
        <v>1731</v>
      </c>
      <c r="R82" s="80"/>
      <c r="S82" s="116"/>
      <c r="T82" s="116"/>
      <c r="U82" s="28"/>
      <c r="V82" s="80"/>
      <c r="W82" s="80"/>
      <c r="X82" s="28"/>
      <c r="Y82" s="80"/>
      <c r="Z82" s="28"/>
      <c r="AA82" s="84"/>
      <c r="AB82" s="74"/>
      <c r="AC82" s="74"/>
      <c r="AD82" s="74"/>
      <c r="AE82" s="30">
        <f>INDEX('D1 - Master Project Table'!$A$1:$AK$7056,$A82,9)</f>
        <v>1.48</v>
      </c>
      <c r="AF82" s="34" t="str">
        <f>INDEX('D1 - Master Project Table'!$A$1:$AK$7056,$A82,8)</f>
        <v>1 - Scheduled</v>
      </c>
      <c r="AG82" s="146"/>
      <c r="AH82" s="227"/>
    </row>
    <row r="83" spans="1:34" ht="315" x14ac:dyDescent="0.2">
      <c r="A83" s="36">
        <f>MATCH(C83,'D1 - Master Project Table'!$D$1:$D$7056,0)</f>
        <v>89</v>
      </c>
      <c r="B83" s="36" t="e">
        <f>MATCH(C83,#REF!,0)</f>
        <v>#REF!</v>
      </c>
      <c r="C83" s="200" t="s">
        <v>1729</v>
      </c>
      <c r="D83" s="34" t="str">
        <f>INDEX('D1 - Master Project Table'!$A$1:$AK$7056,$A83,5)</f>
        <v>OH MME</v>
      </c>
      <c r="E83" s="31">
        <f>INDEX('D1 - Master Project Table'!$A$1:$AK$7056,$A83,11)</f>
        <v>41440</v>
      </c>
      <c r="F83" s="32" t="str">
        <f>INDEX('D1 - Master Project Table'!$A$1:$AK$7056,$A83,13)</f>
        <v>WO</v>
      </c>
      <c r="G83" s="4" t="s">
        <v>5565</v>
      </c>
      <c r="H83" s="4" t="s">
        <v>1447</v>
      </c>
      <c r="I83" s="9" t="s">
        <v>9641</v>
      </c>
      <c r="J83" s="8" t="s">
        <v>7273</v>
      </c>
      <c r="K83" s="8" t="s">
        <v>7273</v>
      </c>
      <c r="L83" s="8" t="s">
        <v>7273</v>
      </c>
      <c r="M83" s="8" t="s">
        <v>7273</v>
      </c>
      <c r="N83" s="8" t="s">
        <v>7273</v>
      </c>
      <c r="O83" s="8" t="s">
        <v>7273</v>
      </c>
      <c r="P83" s="8" t="s">
        <v>3758</v>
      </c>
      <c r="Q83" s="8" t="s">
        <v>9044</v>
      </c>
      <c r="R83" s="80">
        <v>41326</v>
      </c>
      <c r="S83" s="57" t="s">
        <v>6007</v>
      </c>
      <c r="T83" s="116"/>
      <c r="U83" s="8" t="s">
        <v>404</v>
      </c>
      <c r="V83" s="175" t="s">
        <v>3572</v>
      </c>
      <c r="W83" s="175" t="s">
        <v>3572</v>
      </c>
      <c r="X83" s="8" t="s">
        <v>3547</v>
      </c>
      <c r="Y83" s="80">
        <v>41333</v>
      </c>
      <c r="Z83" s="9" t="s">
        <v>9010</v>
      </c>
      <c r="AA83" s="176" t="s">
        <v>7979</v>
      </c>
      <c r="AB83" s="9" t="s">
        <v>50</v>
      </c>
      <c r="AC83" s="9" t="s">
        <v>50</v>
      </c>
      <c r="AD83" s="74"/>
      <c r="AE83" s="30">
        <f>INDEX('D1 - Master Project Table'!$A$1:$AK$7056,$A83,9)</f>
        <v>3.21</v>
      </c>
      <c r="AF83" s="34" t="str">
        <f>INDEX('D1 - Master Project Table'!$A$1:$AK$7056,$A83,8)</f>
        <v>1 - Scheduled</v>
      </c>
      <c r="AG83" s="146"/>
      <c r="AH83" s="227"/>
    </row>
    <row r="84" spans="1:34" x14ac:dyDescent="0.2">
      <c r="A84" s="53" t="e">
        <f>MATCH(C84,'D1 - Master Project Table'!$D$1:$D$7056,0)</f>
        <v>#N/A</v>
      </c>
      <c r="B84" s="53" t="e">
        <f>MATCH(C84,#REF!,0)</f>
        <v>#REF!</v>
      </c>
      <c r="C84" s="173" t="s">
        <v>7420</v>
      </c>
      <c r="D84" s="137" t="s">
        <v>614</v>
      </c>
      <c r="E84" s="199">
        <v>41446</v>
      </c>
      <c r="F84" s="201"/>
      <c r="G84" s="43" t="e">
        <f>INDEX('D1 - Master Project Table'!$A$1:$AK$7056,$A84,13)</f>
        <v>#N/A</v>
      </c>
      <c r="H84" s="43"/>
      <c r="I84" s="201"/>
      <c r="J84" s="43" t="e">
        <f>INDEX('D1 - Master Project Table'!$A$1:$AK$7056,$A84,13)</f>
        <v>#N/A</v>
      </c>
      <c r="K84" s="43" t="e">
        <f>INDEX('D1 - Master Project Table'!$A$1:$AK$7056,$A84,13)</f>
        <v>#N/A</v>
      </c>
      <c r="L84" s="43" t="e">
        <f>INDEX('D1 - Master Project Table'!$A$1:$AK$7056,$A84,13)</f>
        <v>#N/A</v>
      </c>
      <c r="M84" s="43" t="e">
        <f>INDEX('D1 - Master Project Table'!$A$1:$AK$7056,$A84,13)</f>
        <v>#N/A</v>
      </c>
      <c r="N84" s="43" t="e">
        <f>INDEX('D1 - Master Project Table'!$A$1:$AK$7056,$A84,13)</f>
        <v>#N/A</v>
      </c>
      <c r="O84" s="43" t="e">
        <f>INDEX('D1 - Master Project Table'!$A$1:$AK$7056,$A84,13)</f>
        <v>#N/A</v>
      </c>
      <c r="P84" s="43" t="e">
        <f>INDEX('D1 - Master Project Table'!$A$1:$AK$7056,$A84,13)</f>
        <v>#N/A</v>
      </c>
      <c r="Q84" s="43">
        <v>0</v>
      </c>
      <c r="R84" s="43">
        <v>0</v>
      </c>
      <c r="S84" s="43">
        <v>0</v>
      </c>
      <c r="T84" s="43">
        <v>0</v>
      </c>
      <c r="U84" s="43">
        <v>0</v>
      </c>
      <c r="V84" s="81">
        <v>0</v>
      </c>
      <c r="W84" s="81">
        <v>0</v>
      </c>
      <c r="X84" s="43">
        <v>0</v>
      </c>
      <c r="Y84" s="81">
        <v>0</v>
      </c>
      <c r="Z84" s="43">
        <v>0</v>
      </c>
      <c r="AA84" s="85">
        <v>0</v>
      </c>
      <c r="AB84" s="44">
        <v>0</v>
      </c>
      <c r="AC84" s="44">
        <v>0</v>
      </c>
      <c r="AD84" s="52" t="e">
        <v>#N/A</v>
      </c>
      <c r="AE84" s="45"/>
      <c r="AF84" s="44"/>
      <c r="AG84" s="146"/>
      <c r="AH84" s="227"/>
    </row>
    <row r="85" spans="1:34" ht="175.5" customHeight="1" x14ac:dyDescent="0.2">
      <c r="A85" s="36">
        <f>MATCH(C85,'D1 - Master Project Table'!$D$1:$D$7056,0)</f>
        <v>90</v>
      </c>
      <c r="B85" s="36" t="e">
        <f>MATCH(C85,#REF!,0)</f>
        <v>#REF!</v>
      </c>
      <c r="C85" s="200" t="s">
        <v>294</v>
      </c>
      <c r="D85" s="34" t="str">
        <f>INDEX('D1 - Master Project Table'!$A$1:$AK$7056,$A85,5)</f>
        <v>WINDOWS 7 Upgrade Testing</v>
      </c>
      <c r="E85" s="31">
        <f>INDEX('D1 - Master Project Table'!$A$1:$AK$7056,$A85,11)</f>
        <v>41447</v>
      </c>
      <c r="F85" s="32" t="str">
        <f>INDEX('D1 - Master Project Table'!$A$1:$AK$7056,$A85,13)</f>
        <v>Dev-Led</v>
      </c>
      <c r="G85" s="32" t="str">
        <f>INDEX('D1 - Master Project Table'!$A$1:$AK$7056,$A85,7)</f>
        <v>3 - Green</v>
      </c>
      <c r="H85" s="32"/>
      <c r="I85" s="9" t="s">
        <v>9590</v>
      </c>
      <c r="J85" s="28"/>
      <c r="K85" s="28"/>
      <c r="L85" s="28"/>
      <c r="M85" s="28"/>
      <c r="N85" s="28"/>
      <c r="O85" s="28"/>
      <c r="P85" s="28"/>
      <c r="Q85" s="8" t="s">
        <v>515</v>
      </c>
      <c r="R85" s="80"/>
      <c r="S85" s="116"/>
      <c r="T85" s="116"/>
      <c r="U85" s="28"/>
      <c r="V85" s="80"/>
      <c r="W85" s="80"/>
      <c r="X85" s="28"/>
      <c r="Y85" s="80"/>
      <c r="Z85" s="9" t="s">
        <v>9011</v>
      </c>
      <c r="AA85" s="84"/>
      <c r="AB85" s="74"/>
      <c r="AC85" s="74"/>
      <c r="AD85" s="74"/>
      <c r="AE85" s="30">
        <f>INDEX('D1 - Master Project Table'!$A$1:$AK$7056,$A85,9)</f>
        <v>8</v>
      </c>
      <c r="AF85" s="34" t="str">
        <f>INDEX('D1 - Master Project Table'!$A$1:$AK$7056,$A85,8)</f>
        <v>1 - Scheduled</v>
      </c>
      <c r="AG85" s="146"/>
      <c r="AH85" s="227"/>
    </row>
    <row r="86" spans="1:34" ht="235.5" customHeight="1" x14ac:dyDescent="0.2">
      <c r="A86" s="36">
        <f>MATCH(C86,'D1 - Master Project Table'!$D$1:$D$7056,0)</f>
        <v>91</v>
      </c>
      <c r="B86" s="36" t="e">
        <f>MATCH(C86,#REF!,0)</f>
        <v>#REF!</v>
      </c>
      <c r="C86" s="125" t="s">
        <v>850</v>
      </c>
      <c r="D86" s="34" t="str">
        <f>INDEX('D1 - Master Project Table'!$A$1:$AK$7056,$A86,5)</f>
        <v>UNET ELIG SYS LOGIC FOR CDB Decision Logic Gap ENH</v>
      </c>
      <c r="E86" s="31">
        <f>INDEX('D1 - Master Project Table'!$A$1:$AK$7056,$A86,11)</f>
        <v>41447</v>
      </c>
      <c r="F86" s="32" t="str">
        <f>INDEX('D1 - Master Project Table'!$A$1:$AK$7056,$A86,13)</f>
        <v>Testing</v>
      </c>
      <c r="G86" s="32" t="str">
        <f>INDEX('D1 - Master Project Table'!$A$1:$AK$7056,$A86,7)</f>
        <v>3 - Green</v>
      </c>
      <c r="H86" s="32"/>
      <c r="I86" s="74" t="s">
        <v>853</v>
      </c>
      <c r="J86" s="28"/>
      <c r="K86" s="28"/>
      <c r="L86" s="28"/>
      <c r="M86" s="28"/>
      <c r="N86" s="28"/>
      <c r="O86" s="28"/>
      <c r="P86" s="28"/>
      <c r="Q86" s="8" t="s">
        <v>1731</v>
      </c>
      <c r="R86" s="80"/>
      <c r="S86" s="116"/>
      <c r="T86" s="116"/>
      <c r="U86" s="28"/>
      <c r="V86" s="80"/>
      <c r="W86" s="80"/>
      <c r="X86" s="28"/>
      <c r="Y86" s="80"/>
      <c r="Z86" s="28" t="s">
        <v>955</v>
      </c>
      <c r="AA86" s="84"/>
      <c r="AB86" s="74"/>
      <c r="AC86" s="74"/>
      <c r="AD86" s="74"/>
      <c r="AE86" s="30">
        <f>INDEX('D1 - Master Project Table'!$A$1:$AK$7056,$A86,9)</f>
        <v>7.0000000000000007E-2</v>
      </c>
      <c r="AF86" s="34" t="str">
        <f>INDEX('D1 - Master Project Table'!$A$1:$AK$7056,$A86,8)</f>
        <v>1 - Scheduled</v>
      </c>
      <c r="AG86" s="146"/>
      <c r="AH86" s="227"/>
    </row>
    <row r="87" spans="1:34" ht="134.25" customHeight="1" x14ac:dyDescent="0.2">
      <c r="A87" s="36">
        <f>MATCH(C87,'D1 - Master Project Table'!$D$1:$D$7056,0)</f>
        <v>92</v>
      </c>
      <c r="B87" s="36" t="e">
        <f>MATCH(C87,#REF!,0)</f>
        <v>#REF!</v>
      </c>
      <c r="C87" s="200" t="s">
        <v>7191</v>
      </c>
      <c r="D87" s="34" t="str">
        <f>INDEX('D1 - Master Project Table'!$A$1:$AK$7056,$A87,5)</f>
        <v>New Jersey CSP Facets Migration</v>
      </c>
      <c r="E87" s="31">
        <f>INDEX('D1 - Master Project Table'!$A$1:$AK$7056,$A87,11)</f>
        <v>41447</v>
      </c>
      <c r="F87" s="32" t="str">
        <f>INDEX('D1 - Master Project Table'!$A$1:$AK$7056,$A87,13)</f>
        <v>Project</v>
      </c>
      <c r="G87" s="32" t="str">
        <f>INDEX('D1 - Master Project Table'!$A$1:$AK$7056,$A87,7)</f>
        <v>1 - Red</v>
      </c>
      <c r="H87" s="4" t="s">
        <v>2330</v>
      </c>
      <c r="I87" s="9" t="s">
        <v>9591</v>
      </c>
      <c r="J87" s="8" t="s">
        <v>7273</v>
      </c>
      <c r="K87" s="28" t="s">
        <v>3758</v>
      </c>
      <c r="L87" s="8" t="s">
        <v>3758</v>
      </c>
      <c r="M87" s="8" t="s">
        <v>7273</v>
      </c>
      <c r="N87" s="8" t="s">
        <v>7273</v>
      </c>
      <c r="O87" s="8" t="s">
        <v>7273</v>
      </c>
      <c r="P87" s="8" t="s">
        <v>7273</v>
      </c>
      <c r="Q87" s="8" t="s">
        <v>1667</v>
      </c>
      <c r="R87" s="80">
        <v>41355</v>
      </c>
      <c r="S87" s="57" t="s">
        <v>2737</v>
      </c>
      <c r="T87" s="116"/>
      <c r="U87" s="8" t="s">
        <v>404</v>
      </c>
      <c r="V87" s="175" t="s">
        <v>3572</v>
      </c>
      <c r="W87" s="175" t="s">
        <v>8102</v>
      </c>
      <c r="X87" s="8" t="s">
        <v>3547</v>
      </c>
      <c r="Y87" s="80">
        <v>41369</v>
      </c>
      <c r="Z87" s="9" t="s">
        <v>9019</v>
      </c>
      <c r="AA87" s="176">
        <v>41416</v>
      </c>
      <c r="AB87" s="9" t="s">
        <v>9151</v>
      </c>
      <c r="AC87" s="74"/>
      <c r="AD87" s="74"/>
      <c r="AE87" s="30">
        <f>INDEX('D1 - Master Project Table'!$A$1:$AK$7056,$A87,9)</f>
        <v>4.76</v>
      </c>
      <c r="AF87" s="34" t="str">
        <f>INDEX('D1 - Master Project Table'!$A$1:$AK$7056,$A87,8)</f>
        <v>1 - Scheduled</v>
      </c>
      <c r="AG87" s="146"/>
      <c r="AH87" s="227"/>
    </row>
    <row r="88" spans="1:34" ht="264" customHeight="1" x14ac:dyDescent="0.2">
      <c r="A88" s="36">
        <f>MATCH(C88,'D1 - Master Project Table'!$D$1:$D$7056,0)</f>
        <v>93</v>
      </c>
      <c r="B88" s="36" t="e">
        <f>MATCH(C88,#REF!,0)</f>
        <v>#REF!</v>
      </c>
      <c r="C88" s="200" t="s">
        <v>8970</v>
      </c>
      <c r="D88" s="34" t="str">
        <f>INDEX('D1 - Master Project Table'!$A$1:$AK$7056,$A88,5)</f>
        <v>NY CSP Facets Migration</v>
      </c>
      <c r="E88" s="31">
        <f>INDEX('D1 - Master Project Table'!$A$1:$AK$7056,$A88,11)</f>
        <v>41447</v>
      </c>
      <c r="F88" s="32" t="str">
        <f>INDEX('D1 - Master Project Table'!$A$1:$AK$7056,$A88,13)</f>
        <v>Project</v>
      </c>
      <c r="G88" s="32" t="str">
        <f>INDEX('D1 - Master Project Table'!$A$1:$AK$7056,$A88,7)</f>
        <v>3 - Green</v>
      </c>
      <c r="H88" s="32"/>
      <c r="I88" s="9" t="s">
        <v>9465</v>
      </c>
      <c r="J88" s="8" t="s">
        <v>3758</v>
      </c>
      <c r="K88" s="8" t="s">
        <v>3758</v>
      </c>
      <c r="L88" s="8" t="s">
        <v>3758</v>
      </c>
      <c r="M88" s="8" t="s">
        <v>7273</v>
      </c>
      <c r="N88" s="8" t="s">
        <v>7273</v>
      </c>
      <c r="O88" s="8" t="s">
        <v>7273</v>
      </c>
      <c r="P88" s="8" t="s">
        <v>7273</v>
      </c>
      <c r="Q88" s="28" t="s">
        <v>219</v>
      </c>
      <c r="R88" s="80">
        <v>41362</v>
      </c>
      <c r="S88" s="57" t="s">
        <v>2737</v>
      </c>
      <c r="T88" s="116"/>
      <c r="U88" s="8" t="s">
        <v>404</v>
      </c>
      <c r="V88" s="175" t="s">
        <v>4027</v>
      </c>
      <c r="W88" s="80">
        <v>41348</v>
      </c>
      <c r="X88" s="8" t="s">
        <v>2810</v>
      </c>
      <c r="Y88" s="80">
        <v>41389</v>
      </c>
      <c r="Z88" s="9" t="s">
        <v>9337</v>
      </c>
      <c r="AA88" s="84">
        <v>41416</v>
      </c>
      <c r="AB88" s="9" t="s">
        <v>9149</v>
      </c>
      <c r="AC88" s="74"/>
      <c r="AD88" s="74"/>
      <c r="AE88" s="30">
        <f>INDEX('D1 - Master Project Table'!$A$1:$AK$7056,$A88,9)</f>
        <v>16.059999999999999</v>
      </c>
      <c r="AF88" s="34" t="str">
        <f>INDEX('D1 - Master Project Table'!$A$1:$AK$7056,$A88,8)</f>
        <v>1 - Scheduled</v>
      </c>
      <c r="AG88" s="146"/>
      <c r="AH88" s="227"/>
    </row>
    <row r="89" spans="1:34" ht="236.25" x14ac:dyDescent="0.2">
      <c r="A89" s="36">
        <f>MATCH(C89,'D1 - Master Project Table'!$D$1:$D$7056,0)</f>
        <v>94</v>
      </c>
      <c r="B89" s="36" t="e">
        <f>MATCH(C89,#REF!,0)</f>
        <v>#REF!</v>
      </c>
      <c r="C89" s="200" t="s">
        <v>2293</v>
      </c>
      <c r="D89" s="34" t="str">
        <f>INDEX('D1 - Master Project Table'!$A$1:$AK$7056,$A89,5)</f>
        <v xml:space="preserve">Capitation Feed for CSP from NDB </v>
      </c>
      <c r="E89" s="31">
        <f>INDEX('D1 - Master Project Table'!$A$1:$AK$7056,$A89,11)</f>
        <v>41447</v>
      </c>
      <c r="F89" s="32" t="str">
        <f>INDEX('D1 - Master Project Table'!$A$1:$AK$7056,$A89,13)</f>
        <v>Project</v>
      </c>
      <c r="G89" s="32" t="str">
        <f>INDEX('D1 - Master Project Table'!$A$1:$AK$7056,$A89,7)</f>
        <v>1 - Red</v>
      </c>
      <c r="H89" s="32"/>
      <c r="I89" s="285" t="s">
        <v>9588</v>
      </c>
      <c r="J89" s="8" t="s">
        <v>3758</v>
      </c>
      <c r="K89" s="28" t="s">
        <v>3758</v>
      </c>
      <c r="L89" s="28" t="s">
        <v>3758</v>
      </c>
      <c r="M89" s="28" t="s">
        <v>7273</v>
      </c>
      <c r="N89" s="28" t="s">
        <v>7273</v>
      </c>
      <c r="O89" s="28" t="s">
        <v>7273</v>
      </c>
      <c r="P89" s="28" t="s">
        <v>3758</v>
      </c>
      <c r="Q89" s="8" t="s">
        <v>1667</v>
      </c>
      <c r="R89" s="175">
        <v>41360</v>
      </c>
      <c r="S89" s="57" t="s">
        <v>2737</v>
      </c>
      <c r="T89" s="116"/>
      <c r="U89" s="8" t="s">
        <v>404</v>
      </c>
      <c r="V89" s="80">
        <v>41351</v>
      </c>
      <c r="W89" s="176">
        <v>41375</v>
      </c>
      <c r="X89" s="8" t="s">
        <v>3547</v>
      </c>
      <c r="Y89" s="80">
        <v>41383</v>
      </c>
      <c r="Z89" s="8" t="s">
        <v>9016</v>
      </c>
      <c r="AA89" s="84">
        <v>41416</v>
      </c>
      <c r="AB89" s="9" t="s">
        <v>9175</v>
      </c>
      <c r="AC89" s="74"/>
      <c r="AD89" s="74"/>
      <c r="AE89" s="30">
        <f>INDEX('D1 - Master Project Table'!$A$1:$AK$7056,$A89,9)</f>
        <v>17.82</v>
      </c>
      <c r="AF89" s="34" t="str">
        <f>INDEX('D1 - Master Project Table'!$A$1:$AK$7056,$A89,8)</f>
        <v>1 - Scheduled</v>
      </c>
      <c r="AG89" s="146"/>
      <c r="AH89" s="227"/>
    </row>
    <row r="90" spans="1:34" x14ac:dyDescent="0.2">
      <c r="A90" s="36">
        <f>MATCH(C90,'D1 - Master Project Table'!$D$1:$D$7056,0)</f>
        <v>95</v>
      </c>
      <c r="B90" s="36" t="e">
        <f>MATCH(C90,#REF!,0)</f>
        <v>#REF!</v>
      </c>
      <c r="C90" s="125" t="s">
        <v>8222</v>
      </c>
      <c r="D90" s="34" t="str">
        <f>INDEX('D1 - Master Project Table'!$A$1:$AK$7056,$A90,5)</f>
        <v xml:space="preserve">Capitation Feed for CSP from NDB </v>
      </c>
      <c r="E90" s="31">
        <f>INDEX('D1 - Master Project Table'!$A$1:$AK$7056,$A90,11)</f>
        <v>41447</v>
      </c>
      <c r="F90" s="32" t="str">
        <f>INDEX('D1 - Master Project Table'!$A$1:$AK$7056,$A90,13)</f>
        <v>Project</v>
      </c>
      <c r="G90" s="32" t="str">
        <f>INDEX('D1 - Master Project Table'!$A$1:$AK$7056,$A90,7)</f>
        <v>1 - Red</v>
      </c>
      <c r="H90" s="32"/>
      <c r="I90" s="9" t="s">
        <v>9209</v>
      </c>
      <c r="J90" s="28"/>
      <c r="K90" s="28"/>
      <c r="L90" s="28"/>
      <c r="M90" s="28"/>
      <c r="N90" s="28"/>
      <c r="O90" s="28"/>
      <c r="P90" s="28"/>
      <c r="Q90" s="8" t="s">
        <v>1667</v>
      </c>
      <c r="R90" s="80"/>
      <c r="S90" s="116"/>
      <c r="T90" s="116"/>
      <c r="U90" s="8" t="s">
        <v>404</v>
      </c>
      <c r="V90" s="175" t="s">
        <v>3572</v>
      </c>
      <c r="W90" s="80">
        <v>41355</v>
      </c>
      <c r="X90" s="8" t="s">
        <v>2810</v>
      </c>
      <c r="Y90" s="80">
        <v>41367</v>
      </c>
      <c r="Z90" s="8" t="s">
        <v>5183</v>
      </c>
      <c r="AA90" s="84">
        <v>41416</v>
      </c>
      <c r="AB90" s="9" t="s">
        <v>9152</v>
      </c>
      <c r="AC90" s="74"/>
      <c r="AD90" s="74"/>
      <c r="AE90" s="30">
        <f>INDEX('D1 - Master Project Table'!$A$1:$AK$7056,$A90,9)</f>
        <v>1.43</v>
      </c>
      <c r="AF90" s="34" t="str">
        <f>INDEX('D1 - Master Project Table'!$A$1:$AK$7056,$A90,8)</f>
        <v>1 - Scheduled</v>
      </c>
      <c r="AG90" s="146"/>
      <c r="AH90" s="227"/>
    </row>
    <row r="91" spans="1:34" ht="66" customHeight="1" x14ac:dyDescent="0.2">
      <c r="A91" s="36">
        <f>MATCH(C91,'D1 - Master Project Table'!$D$1:$D$7056,0)</f>
        <v>96</v>
      </c>
      <c r="B91" s="36" t="e">
        <f>MATCH(C91,#REF!,0)</f>
        <v>#REF!</v>
      </c>
      <c r="C91" s="200" t="s">
        <v>2032</v>
      </c>
      <c r="D91" s="34" t="str">
        <f>INDEX('D1 - Master Project Table'!$A$1:$AK$7056,$A91,5)</f>
        <v>Provider Reimbursement Modernization – Phase I</v>
      </c>
      <c r="E91" s="31">
        <f>INDEX('D1 - Master Project Table'!$A$1:$AK$7056,$A91,11)</f>
        <v>41447</v>
      </c>
      <c r="F91" s="32" t="str">
        <f>INDEX('D1 - Master Project Table'!$A$1:$AK$7056,$A91,13)</f>
        <v>Project</v>
      </c>
      <c r="G91" s="32" t="s">
        <v>7980</v>
      </c>
      <c r="H91" s="32"/>
      <c r="I91" s="285" t="s">
        <v>9632</v>
      </c>
      <c r="J91" s="8" t="s">
        <v>3758</v>
      </c>
      <c r="K91" s="8" t="s">
        <v>3758</v>
      </c>
      <c r="L91" s="8" t="s">
        <v>3758</v>
      </c>
      <c r="M91" s="8" t="s">
        <v>7273</v>
      </c>
      <c r="N91" s="8" t="s">
        <v>7273</v>
      </c>
      <c r="O91" s="8" t="s">
        <v>7273</v>
      </c>
      <c r="P91" s="8" t="s">
        <v>7273</v>
      </c>
      <c r="Q91" s="8" t="s">
        <v>895</v>
      </c>
      <c r="R91" s="80">
        <v>41180</v>
      </c>
      <c r="S91" s="57" t="s">
        <v>2737</v>
      </c>
      <c r="T91" s="116" t="s">
        <v>3758</v>
      </c>
      <c r="U91" s="8" t="s">
        <v>5212</v>
      </c>
      <c r="V91" s="80">
        <v>41281</v>
      </c>
      <c r="W91" s="175">
        <v>41302</v>
      </c>
      <c r="X91" s="8" t="s">
        <v>1276</v>
      </c>
      <c r="Y91" s="80">
        <v>41355</v>
      </c>
      <c r="Z91" s="9" t="s">
        <v>9007</v>
      </c>
      <c r="AA91" s="305">
        <v>41374</v>
      </c>
      <c r="AB91" s="9" t="s">
        <v>503</v>
      </c>
      <c r="AC91" s="8"/>
      <c r="AD91" s="74"/>
      <c r="AE91" s="30">
        <f>INDEX('D1 - Master Project Table'!$A$1:$AK$7056,$A91,9)</f>
        <v>7.36</v>
      </c>
      <c r="AF91" s="34" t="str">
        <f>INDEX('D1 - Master Project Table'!$A$1:$AK$7056,$A91,8)</f>
        <v>1 - Scheduled</v>
      </c>
      <c r="AG91" s="146"/>
      <c r="AH91" s="227"/>
    </row>
    <row r="92" spans="1:34" ht="191.25" x14ac:dyDescent="0.2">
      <c r="A92" s="36">
        <f>MATCH(C92,'D1 - Master Project Table'!$D$1:$D$7056,0)</f>
        <v>97</v>
      </c>
      <c r="B92" s="36" t="e">
        <f>MATCH(C92,#REF!,0)</f>
        <v>#REF!</v>
      </c>
      <c r="C92" s="200" t="s">
        <v>8232</v>
      </c>
      <c r="D92" s="34" t="str">
        <f>INDEX('D1 - Master Project Table'!$A$1:$AK$7056,$A92,5)</f>
        <v>NDB SoT - C&amp;S Strategic NDB SoT Enhancements A/D</v>
      </c>
      <c r="E92" s="31">
        <f>INDEX('D1 - Master Project Table'!$A$1:$AK$7056,$A92,11)</f>
        <v>41447</v>
      </c>
      <c r="F92" s="32" t="str">
        <f>INDEX('D1 - Master Project Table'!$A$1:$AK$7056,$A92,13)</f>
        <v>Support Only</v>
      </c>
      <c r="G92" s="32" t="str">
        <f>INDEX('D1 - Master Project Table'!$A$1:$AK$7056,$A92,7)</f>
        <v>3 - Green</v>
      </c>
      <c r="H92" s="32"/>
      <c r="I92" s="9" t="s">
        <v>9642</v>
      </c>
      <c r="J92" s="28"/>
      <c r="K92" s="28"/>
      <c r="L92" s="28"/>
      <c r="M92" s="28"/>
      <c r="N92" s="28"/>
      <c r="O92" s="28"/>
      <c r="P92" s="28"/>
      <c r="Q92" s="8" t="s">
        <v>3105</v>
      </c>
      <c r="R92" s="80"/>
      <c r="S92" s="116"/>
      <c r="T92" s="116"/>
      <c r="U92" s="28"/>
      <c r="V92" s="80"/>
      <c r="W92" s="80"/>
      <c r="X92" s="28"/>
      <c r="Y92" s="80"/>
      <c r="Z92" s="9" t="s">
        <v>7907</v>
      </c>
      <c r="AA92" s="84"/>
      <c r="AB92" s="74"/>
      <c r="AC92" s="74"/>
      <c r="AD92" s="74"/>
      <c r="AE92" s="30">
        <f>INDEX('D1 - Master Project Table'!$A$1:$AK$7056,$A92,9)</f>
        <v>2.7</v>
      </c>
      <c r="AF92" s="34" t="str">
        <f>INDEX('D1 - Master Project Table'!$A$1:$AK$7056,$A92,8)</f>
        <v>1 - Scheduled</v>
      </c>
      <c r="AG92" s="146"/>
      <c r="AH92" s="227"/>
    </row>
    <row r="93" spans="1:34" ht="63" customHeight="1" x14ac:dyDescent="0.2">
      <c r="A93" s="36">
        <f>MATCH(C93,'D1 - Master Project Table'!$D$1:$D$7056,0)</f>
        <v>98</v>
      </c>
      <c r="B93" s="36" t="e">
        <f>MATCH(C93,#REF!,0)</f>
        <v>#REF!</v>
      </c>
      <c r="C93" s="125" t="s">
        <v>9570</v>
      </c>
      <c r="D93" s="34" t="str">
        <f>INDEX('D1 - Master Project Table'!$A$1:$AK$7056,$A93,5)</f>
        <v>NDB SoT - C&amp;S Strategic NDB SoT Enhancements A/D</v>
      </c>
      <c r="E93" s="31">
        <f>INDEX('D1 - Master Project Table'!$A$1:$AK$7056,$A93,11)</f>
        <v>41447</v>
      </c>
      <c r="F93" s="32" t="str">
        <f>INDEX('D1 - Master Project Table'!$A$1:$AK$7056,$A93,13)</f>
        <v>Project</v>
      </c>
      <c r="G93" s="32" t="str">
        <f>INDEX('D1 - Master Project Table'!$A$1:$AK$7056,$A93,7)</f>
        <v>3 - Green</v>
      </c>
      <c r="H93" s="32"/>
      <c r="I93" s="74" t="s">
        <v>2748</v>
      </c>
      <c r="J93" s="28"/>
      <c r="K93" s="28"/>
      <c r="L93" s="28"/>
      <c r="M93" s="28"/>
      <c r="N93" s="28"/>
      <c r="O93" s="28"/>
      <c r="P93" s="28"/>
      <c r="Q93" s="8" t="s">
        <v>3105</v>
      </c>
      <c r="R93" s="80"/>
      <c r="S93" s="116"/>
      <c r="T93" s="116"/>
      <c r="U93" s="8" t="s">
        <v>404</v>
      </c>
      <c r="V93" s="80"/>
      <c r="W93" s="80"/>
      <c r="X93" s="8" t="s">
        <v>2810</v>
      </c>
      <c r="Y93" s="80"/>
      <c r="Z93" s="28"/>
      <c r="AA93" s="84"/>
      <c r="AB93" s="74"/>
      <c r="AC93" s="74"/>
      <c r="AD93" s="74"/>
      <c r="AE93" s="30">
        <f>INDEX('D1 - Master Project Table'!$A$1:$AK$7056,$A93,9)</f>
        <v>3.04</v>
      </c>
      <c r="AF93" s="34" t="str">
        <f>INDEX('D1 - Master Project Table'!$A$1:$AK$7056,$A93,8)</f>
        <v>1 - Scheduled</v>
      </c>
      <c r="AG93" s="146"/>
      <c r="AH93" s="227"/>
    </row>
    <row r="94" spans="1:34" ht="161.25" customHeight="1" x14ac:dyDescent="0.2">
      <c r="A94" s="36">
        <f>MATCH(C94,'D1 - Master Project Table'!$D$1:$D$7056,0)</f>
        <v>99</v>
      </c>
      <c r="B94" s="36" t="e">
        <f>MATCH(C94,#REF!,0)</f>
        <v>#REF!</v>
      </c>
      <c r="C94" s="125" t="s">
        <v>9186</v>
      </c>
      <c r="D94" s="34" t="str">
        <f>INDEX('D1 - Master Project Table'!$A$1:$AK$7056,$A94,5)</f>
        <v>ICD-10 E&amp;I Commercial End to End Testing</v>
      </c>
      <c r="E94" s="31">
        <f>INDEX('D1 - Master Project Table'!$A$1:$AK$7056,$A94,11)</f>
        <v>41447</v>
      </c>
      <c r="F94" s="32" t="str">
        <f>INDEX('D1 - Master Project Table'!$A$1:$AK$7056,$A94,13)</f>
        <v>Testing</v>
      </c>
      <c r="G94" s="32" t="str">
        <f>INDEX('D1 - Master Project Table'!$A$1:$AK$7056,$A94,7)</f>
        <v>3 - Green</v>
      </c>
      <c r="H94" s="32"/>
      <c r="I94" s="74" t="s">
        <v>1189</v>
      </c>
      <c r="J94" s="28"/>
      <c r="K94" s="28"/>
      <c r="L94" s="28"/>
      <c r="M94" s="28"/>
      <c r="N94" s="28"/>
      <c r="O94" s="28"/>
      <c r="P94" s="28"/>
      <c r="Q94" s="28"/>
      <c r="R94" s="80"/>
      <c r="S94" s="116"/>
      <c r="T94" s="116"/>
      <c r="U94" s="28"/>
      <c r="V94" s="80"/>
      <c r="W94" s="80"/>
      <c r="X94" s="28"/>
      <c r="Y94" s="80"/>
      <c r="Z94" s="8" t="s">
        <v>955</v>
      </c>
      <c r="AA94" s="84"/>
      <c r="AB94" s="74"/>
      <c r="AC94" s="74"/>
      <c r="AD94" s="74"/>
      <c r="AE94" s="30">
        <f>INDEX('D1 - Master Project Table'!$A$1:$AK$7056,$A94,9)</f>
        <v>2</v>
      </c>
      <c r="AF94" s="34" t="str">
        <f>INDEX('D1 - Master Project Table'!$A$1:$AK$7056,$A94,8)</f>
        <v>1 - Scheduled</v>
      </c>
      <c r="AG94" s="146"/>
      <c r="AH94" s="227"/>
    </row>
    <row r="95" spans="1:34" ht="143.25" customHeight="1" x14ac:dyDescent="0.2">
      <c r="A95" s="36">
        <f>MATCH(C95,'D1 - Master Project Table'!$D$1:$D$7056,0)</f>
        <v>100</v>
      </c>
      <c r="B95" s="36" t="e">
        <f>MATCH(C95,#REF!,0)</f>
        <v>#REF!</v>
      </c>
      <c r="C95" s="125" t="s">
        <v>9385</v>
      </c>
      <c r="D95" s="34" t="str">
        <f>INDEX('D1 - Master Project Table'!$A$1:$AK$7056,$A95,5)</f>
        <v xml:space="preserve">OneNet EDI Trading Partner Setup </v>
      </c>
      <c r="E95" s="31">
        <f>INDEX('D1 - Master Project Table'!$A$1:$AK$7056,$A95,11)</f>
        <v>41447</v>
      </c>
      <c r="F95" s="32" t="str">
        <f>INDEX('D1 - Master Project Table'!$A$1:$AK$7056,$A95,13)</f>
        <v>Testing</v>
      </c>
      <c r="G95" s="32" t="str">
        <f>INDEX('D1 - Master Project Table'!$A$1:$AK$7056,$A95,7)</f>
        <v>3 - Green</v>
      </c>
      <c r="H95" s="32"/>
      <c r="I95" s="74"/>
      <c r="J95" s="28"/>
      <c r="K95" s="28"/>
      <c r="L95" s="28"/>
      <c r="M95" s="28"/>
      <c r="N95" s="28"/>
      <c r="O95" s="28"/>
      <c r="P95" s="28"/>
      <c r="Q95" s="8" t="s">
        <v>1731</v>
      </c>
      <c r="R95" s="80"/>
      <c r="S95" s="116"/>
      <c r="T95" s="116"/>
      <c r="U95" s="28"/>
      <c r="V95" s="80"/>
      <c r="W95" s="80"/>
      <c r="X95" s="28"/>
      <c r="Y95" s="80"/>
      <c r="Z95" s="28"/>
      <c r="AA95" s="84"/>
      <c r="AB95" s="74"/>
      <c r="AC95" s="74"/>
      <c r="AD95" s="74"/>
      <c r="AE95" s="30">
        <f>INDEX('D1 - Master Project Table'!$A$1:$AK$7056,$A95,9)</f>
        <v>0.23</v>
      </c>
      <c r="AF95" s="34" t="str">
        <f>INDEX('D1 - Master Project Table'!$A$1:$AK$7056,$A95,8)</f>
        <v>1 - Scheduled</v>
      </c>
      <c r="AG95" s="146"/>
      <c r="AH95" s="227"/>
    </row>
    <row r="96" spans="1:34" x14ac:dyDescent="0.2">
      <c r="A96" s="36">
        <f>MATCH(C96,'D1 - Master Project Table'!$D$1:$D$7056,0)</f>
        <v>101</v>
      </c>
      <c r="B96" s="36" t="e">
        <f>MATCH(C96,#REF!,0)</f>
        <v>#REF!</v>
      </c>
      <c r="C96" s="200" t="s">
        <v>2376</v>
      </c>
      <c r="D96" s="34" t="str">
        <f>INDEX('D1 - Master Project Table'!$A$1:$AK$7056,$A96,5)</f>
        <v>myMedica Find A Doc integration</v>
      </c>
      <c r="E96" s="31">
        <f>INDEX('D1 - Master Project Table'!$A$1:$AK$7056,$A96,11)</f>
        <v>41447</v>
      </c>
      <c r="F96" s="32" t="str">
        <f>INDEX('D1 - Master Project Table'!$A$1:$AK$7056,$A96,13)</f>
        <v>Testing</v>
      </c>
      <c r="G96" s="32" t="str">
        <f>INDEX('D1 - Master Project Table'!$A$1:$AK$7056,$A96,7)</f>
        <v>3 - Green</v>
      </c>
      <c r="H96" s="32"/>
      <c r="I96" s="74"/>
      <c r="J96" s="28"/>
      <c r="K96" s="28"/>
      <c r="L96" s="28"/>
      <c r="M96" s="28"/>
      <c r="N96" s="28"/>
      <c r="O96" s="28"/>
      <c r="P96" s="28"/>
      <c r="Q96" s="8" t="s">
        <v>1731</v>
      </c>
      <c r="R96" s="80"/>
      <c r="S96" s="116"/>
      <c r="T96" s="116"/>
      <c r="U96" s="28"/>
      <c r="V96" s="80"/>
      <c r="W96" s="80"/>
      <c r="X96" s="28"/>
      <c r="Y96" s="80"/>
      <c r="Z96" s="8" t="s">
        <v>955</v>
      </c>
      <c r="AA96" s="84"/>
      <c r="AB96" s="74"/>
      <c r="AC96" s="74"/>
      <c r="AD96" s="74"/>
      <c r="AE96" s="30">
        <f>INDEX('D1 - Master Project Table'!$A$1:$AK$7056,$A96,9)</f>
        <v>0.26</v>
      </c>
      <c r="AF96" s="34" t="str">
        <f>INDEX('D1 - Master Project Table'!$A$1:$AK$7056,$A96,8)</f>
        <v>1 - Scheduled</v>
      </c>
      <c r="AG96" s="146"/>
      <c r="AH96" s="227"/>
    </row>
    <row r="97" spans="1:34" ht="135.75" customHeight="1" x14ac:dyDescent="0.2">
      <c r="A97" s="36">
        <f>MATCH(C97,'D1 - Master Project Table'!$D$1:$D$7056,0)</f>
        <v>102</v>
      </c>
      <c r="B97" s="36" t="e">
        <f>MATCH(C97,#REF!,0)</f>
        <v>#REF!</v>
      </c>
      <c r="C97" s="200" t="s">
        <v>4</v>
      </c>
      <c r="D97" s="34" t="str">
        <f>INDEX('D1 - Master Project Table'!$A$1:$AK$7056,$A97,5)</f>
        <v>ICD-10 Load Codes for Enterprise Test</v>
      </c>
      <c r="E97" s="31">
        <f>INDEX('D1 - Master Project Table'!$A$1:$AK$7056,$A97,11)</f>
        <v>41447</v>
      </c>
      <c r="F97" s="32" t="str">
        <f>INDEX('D1 - Master Project Table'!$A$1:$AK$7056,$A97,13)</f>
        <v>Project</v>
      </c>
      <c r="G97" s="32" t="str">
        <f>INDEX('D1 - Master Project Table'!$A$1:$AK$7056,$A97,7)</f>
        <v>2 - Yellow</v>
      </c>
      <c r="H97" s="32"/>
      <c r="I97" s="9" t="s">
        <v>9584</v>
      </c>
      <c r="J97" s="8" t="s">
        <v>7273</v>
      </c>
      <c r="K97" s="8" t="s">
        <v>7273</v>
      </c>
      <c r="L97" s="8" t="s">
        <v>3758</v>
      </c>
      <c r="M97" s="8" t="s">
        <v>7273</v>
      </c>
      <c r="N97" s="8" t="s">
        <v>7273</v>
      </c>
      <c r="O97" s="8" t="s">
        <v>7273</v>
      </c>
      <c r="P97" s="8" t="s">
        <v>7273</v>
      </c>
      <c r="Q97" s="8" t="s">
        <v>4599</v>
      </c>
      <c r="R97" s="175">
        <v>41297</v>
      </c>
      <c r="S97" s="57" t="s">
        <v>2737</v>
      </c>
      <c r="T97" s="116" t="s">
        <v>3758</v>
      </c>
      <c r="U97" s="8" t="s">
        <v>2815</v>
      </c>
      <c r="V97" s="175" t="s">
        <v>4769</v>
      </c>
      <c r="W97" s="80">
        <v>41383</v>
      </c>
      <c r="X97" s="8" t="s">
        <v>1276</v>
      </c>
      <c r="Y97" s="80">
        <v>41442</v>
      </c>
      <c r="Z97" s="9" t="s">
        <v>9013</v>
      </c>
      <c r="AA97" s="84">
        <v>41472</v>
      </c>
      <c r="AB97" s="9" t="s">
        <v>9130</v>
      </c>
      <c r="AC97" s="9" t="s">
        <v>4769</v>
      </c>
      <c r="AD97" s="74"/>
      <c r="AE97" s="30">
        <f>INDEX('D1 - Master Project Table'!$A$1:$AK$7056,$A97,9)</f>
        <v>8.57</v>
      </c>
      <c r="AF97" s="34" t="str">
        <f>INDEX('D1 - Master Project Table'!$A$1:$AK$7056,$A97,8)</f>
        <v>1 - Scheduled</v>
      </c>
      <c r="AG97" s="6" t="s">
        <v>9043</v>
      </c>
      <c r="AH97" s="228"/>
    </row>
    <row r="98" spans="1:34" ht="44.25" customHeight="1" x14ac:dyDescent="0.2">
      <c r="A98" s="36">
        <f>MATCH(C98,'D1 - Master Project Table'!$D$1:$D$7056,0)</f>
        <v>103</v>
      </c>
      <c r="B98" s="36" t="e">
        <f>MATCH(C98,#REF!,0)</f>
        <v>#REF!</v>
      </c>
      <c r="C98" s="125" t="s">
        <v>851</v>
      </c>
      <c r="D98" s="34" t="str">
        <f>INDEX('D1 - Master Project Table'!$A$1:$AK$7056,$A98,5)</f>
        <v xml:space="preserve">Kansas BH Claims Processing on CSP &amp; Careone </v>
      </c>
      <c r="E98" s="31">
        <f>INDEX('D1 - Master Project Table'!$A$1:$AK$7056,$A98,11)</f>
        <v>41447</v>
      </c>
      <c r="F98" s="32" t="str">
        <f>INDEX('D1 - Master Project Table'!$A$1:$AK$7056,$A98,13)</f>
        <v>Project</v>
      </c>
      <c r="G98" s="32" t="str">
        <f>INDEX('D1 - Master Project Table'!$A$1:$AK$7056,$A98,7)</f>
        <v>3 - Green</v>
      </c>
      <c r="H98" s="32"/>
      <c r="I98" s="9" t="s">
        <v>9543</v>
      </c>
      <c r="J98" s="8" t="s">
        <v>3758</v>
      </c>
      <c r="K98" s="8" t="s">
        <v>3758</v>
      </c>
      <c r="L98" s="8" t="s">
        <v>3758</v>
      </c>
      <c r="M98" s="8" t="s">
        <v>7273</v>
      </c>
      <c r="N98" s="8" t="s">
        <v>7273</v>
      </c>
      <c r="O98" s="8" t="s">
        <v>7273</v>
      </c>
      <c r="P98" s="8" t="s">
        <v>3758</v>
      </c>
      <c r="Q98" s="8" t="s">
        <v>1667</v>
      </c>
      <c r="R98" s="80"/>
      <c r="S98" s="57" t="s">
        <v>2737</v>
      </c>
      <c r="T98" s="116"/>
      <c r="U98" s="8" t="s">
        <v>404</v>
      </c>
      <c r="V98" s="80"/>
      <c r="W98" s="80">
        <v>41348</v>
      </c>
      <c r="X98" s="8" t="s">
        <v>8212</v>
      </c>
      <c r="Y98" s="80">
        <v>41395</v>
      </c>
      <c r="Z98" s="28" t="s">
        <v>779</v>
      </c>
      <c r="AA98" s="176">
        <v>41416</v>
      </c>
      <c r="AB98" s="9" t="s">
        <v>9173</v>
      </c>
      <c r="AC98" s="74"/>
      <c r="AD98" s="74"/>
      <c r="AE98" s="30">
        <f>INDEX('D1 - Master Project Table'!$A$1:$AK$7056,$A98,9)</f>
        <v>7.8</v>
      </c>
      <c r="AF98" s="34" t="str">
        <f>INDEX('D1 - Master Project Table'!$A$1:$AK$7056,$A98,8)</f>
        <v>1 - Scheduled</v>
      </c>
      <c r="AG98" s="146"/>
      <c r="AH98" s="227"/>
    </row>
    <row r="99" spans="1:34" ht="51.75" customHeight="1" x14ac:dyDescent="0.2">
      <c r="A99" s="36">
        <f>MATCH(C99,'D1 - Master Project Table'!$D$1:$D$7056,0)</f>
        <v>104</v>
      </c>
      <c r="B99" s="36" t="e">
        <f>MATCH(C99,#REF!,0)</f>
        <v>#REF!</v>
      </c>
      <c r="C99" s="125" t="s">
        <v>9029</v>
      </c>
      <c r="D99" s="34" t="str">
        <f>INDEX('D1 - Master Project Table'!$A$1:$AK$7056,$A99,5)</f>
        <v xml:space="preserve">Kansas BH Claims Processing on CSP &amp; Careone </v>
      </c>
      <c r="E99" s="31">
        <f>INDEX('D1 - Master Project Table'!$A$1:$AK$7056,$A99,11)</f>
        <v>41447</v>
      </c>
      <c r="F99" s="32" t="str">
        <f>INDEX('D1 - Master Project Table'!$A$1:$AK$7056,$A99,13)</f>
        <v>Project</v>
      </c>
      <c r="G99" s="32" t="str">
        <f>INDEX('D1 - Master Project Table'!$A$1:$AK$7056,$A99,7)</f>
        <v>3 - Green</v>
      </c>
      <c r="H99" s="32"/>
      <c r="I99" s="9" t="s">
        <v>9176</v>
      </c>
      <c r="J99" s="8" t="s">
        <v>7273</v>
      </c>
      <c r="K99" s="8" t="s">
        <v>3758</v>
      </c>
      <c r="L99" s="8" t="s">
        <v>7273</v>
      </c>
      <c r="M99" s="8" t="s">
        <v>7273</v>
      </c>
      <c r="N99" s="8" t="s">
        <v>7273</v>
      </c>
      <c r="O99" s="8" t="s">
        <v>7273</v>
      </c>
      <c r="P99" s="8" t="s">
        <v>7273</v>
      </c>
      <c r="Q99" s="28" t="s">
        <v>1667</v>
      </c>
      <c r="R99" s="80"/>
      <c r="S99" s="57" t="s">
        <v>2737</v>
      </c>
      <c r="T99" s="116"/>
      <c r="U99" s="8" t="s">
        <v>404</v>
      </c>
      <c r="V99" s="80"/>
      <c r="W99" s="80">
        <v>41348</v>
      </c>
      <c r="X99" s="8" t="s">
        <v>2810</v>
      </c>
      <c r="Y99" s="80">
        <v>41386</v>
      </c>
      <c r="Z99" s="8" t="s">
        <v>5183</v>
      </c>
      <c r="AA99" s="84">
        <v>41416</v>
      </c>
      <c r="AB99" s="9" t="s">
        <v>4027</v>
      </c>
      <c r="AC99" s="74"/>
      <c r="AD99" s="74"/>
      <c r="AE99" s="30">
        <f>INDEX('D1 - Master Project Table'!$A$1:$AK$7056,$A99,9)</f>
        <v>0</v>
      </c>
      <c r="AF99" s="34" t="str">
        <f>INDEX('D1 - Master Project Table'!$A$1:$AK$7056,$A99,8)</f>
        <v>1 - Scheduled</v>
      </c>
      <c r="AG99" s="146"/>
      <c r="AH99" s="227"/>
    </row>
    <row r="100" spans="1:34" ht="48" customHeight="1" x14ac:dyDescent="0.2">
      <c r="A100" s="36">
        <f>MATCH(C100,'D1 - Master Project Table'!$D$1:$D$7056,0)</f>
        <v>105</v>
      </c>
      <c r="B100" s="36" t="e">
        <f>MATCH(C100,#REF!,0)</f>
        <v>#REF!</v>
      </c>
      <c r="C100" s="125" t="s">
        <v>9523</v>
      </c>
      <c r="D100" s="34" t="str">
        <f>INDEX('D1 - Master Project Table'!$A$1:$AK$7056,$A100,5)</f>
        <v>Navigate2 Product Network Clone</v>
      </c>
      <c r="E100" s="31">
        <f>INDEX('D1 - Master Project Table'!$A$1:$AK$7056,$A100,11)</f>
        <v>41447</v>
      </c>
      <c r="F100" s="32" t="str">
        <f>INDEX('D1 - Master Project Table'!$A$1:$AK$7056,$A100,13)</f>
        <v>Project</v>
      </c>
      <c r="G100" s="32" t="str">
        <f>INDEX('D1 - Master Project Table'!$A$1:$AK$7056,$A100,7)</f>
        <v>3 - Green</v>
      </c>
      <c r="H100" s="32"/>
      <c r="I100" s="9" t="s">
        <v>9529</v>
      </c>
      <c r="J100" s="28"/>
      <c r="K100" s="28"/>
      <c r="L100" s="28"/>
      <c r="M100" s="28"/>
      <c r="N100" s="28"/>
      <c r="O100" s="28"/>
      <c r="P100" s="28"/>
      <c r="Q100" s="8" t="s">
        <v>895</v>
      </c>
      <c r="R100" s="80"/>
      <c r="S100" s="116"/>
      <c r="T100" s="116"/>
      <c r="U100" s="8" t="s">
        <v>927</v>
      </c>
      <c r="V100" s="80"/>
      <c r="W100" s="175" t="s">
        <v>212</v>
      </c>
      <c r="X100" s="28"/>
      <c r="Y100" s="80"/>
      <c r="Z100" s="28"/>
      <c r="AA100" s="84"/>
      <c r="AB100" s="74"/>
      <c r="AC100" s="74"/>
      <c r="AD100" s="74"/>
      <c r="AE100" s="30">
        <f>INDEX('D1 - Master Project Table'!$A$1:$AK$7056,$A100,9)</f>
        <v>2.82</v>
      </c>
      <c r="AF100" s="34" t="str">
        <f>INDEX('D1 - Master Project Table'!$A$1:$AK$7056,$A100,8)</f>
        <v>1 - Scheduled</v>
      </c>
      <c r="AG100" s="146"/>
      <c r="AH100" s="227"/>
    </row>
    <row r="101" spans="1:34" ht="228" customHeight="1" x14ac:dyDescent="0.2">
      <c r="A101" s="36">
        <f>MATCH(C101,'D1 - Master Project Table'!$D$1:$D$7056,0)</f>
        <v>106</v>
      </c>
      <c r="B101" s="36" t="e">
        <f>MATCH(C101,#REF!,0)</f>
        <v>#REF!</v>
      </c>
      <c r="C101" s="200" t="s">
        <v>297</v>
      </c>
      <c r="D101" s="34" t="str">
        <f>INDEX('D1 - Master Project Table'!$A$1:$AK$7056,$A101,5)</f>
        <v>5010: RI Provider File - Proprietary to HIPAA</v>
      </c>
      <c r="E101" s="31">
        <f>INDEX('D1 - Master Project Table'!$A$1:$AK$7056,$A101,11)</f>
        <v>41447</v>
      </c>
      <c r="F101" s="32" t="str">
        <f>INDEX('D1 - Master Project Table'!$A$1:$AK$7056,$A101,13)</f>
        <v>Project</v>
      </c>
      <c r="G101" s="32" t="s">
        <v>7980</v>
      </c>
      <c r="H101" s="32"/>
      <c r="I101" s="285" t="s">
        <v>9585</v>
      </c>
      <c r="J101" s="28" t="s">
        <v>7273</v>
      </c>
      <c r="K101" s="28" t="s">
        <v>7273</v>
      </c>
      <c r="L101" s="28" t="s">
        <v>3758</v>
      </c>
      <c r="M101" s="28" t="s">
        <v>7273</v>
      </c>
      <c r="N101" s="28" t="s">
        <v>7273</v>
      </c>
      <c r="O101" s="28" t="s">
        <v>7273</v>
      </c>
      <c r="P101" s="28" t="s">
        <v>7273</v>
      </c>
      <c r="Q101" s="8" t="s">
        <v>515</v>
      </c>
      <c r="R101" s="80">
        <v>41334</v>
      </c>
      <c r="S101" s="116" t="s">
        <v>2737</v>
      </c>
      <c r="T101" s="116" t="s">
        <v>3758</v>
      </c>
      <c r="U101" s="28" t="s">
        <v>404</v>
      </c>
      <c r="V101" s="175" t="s">
        <v>4769</v>
      </c>
      <c r="W101" s="80">
        <v>41348</v>
      </c>
      <c r="X101" s="74" t="s">
        <v>252</v>
      </c>
      <c r="Y101" s="80">
        <v>41389</v>
      </c>
      <c r="Z101" s="8" t="s">
        <v>8863</v>
      </c>
      <c r="AA101" s="176" t="s">
        <v>9170</v>
      </c>
      <c r="AB101" s="9" t="s">
        <v>9169</v>
      </c>
      <c r="AC101" s="74"/>
      <c r="AD101" s="74"/>
      <c r="AE101" s="30">
        <f>INDEX('D1 - Master Project Table'!$A$1:$AK$7056,$A101,9)</f>
        <v>6.09</v>
      </c>
      <c r="AF101" s="34" t="str">
        <f>INDEX('D1 - Master Project Table'!$A$1:$AK$7056,$A101,8)</f>
        <v>1 - Scheduled</v>
      </c>
      <c r="AG101" s="146"/>
      <c r="AH101" s="227"/>
    </row>
    <row r="102" spans="1:34" ht="60" customHeight="1" x14ac:dyDescent="0.2">
      <c r="A102" s="36">
        <f>MATCH(C102,'D1 - Master Project Table'!$D$1:$D$7056,0)</f>
        <v>107</v>
      </c>
      <c r="B102" s="36" t="e">
        <f>MATCH(C102,#REF!,0)</f>
        <v>#REF!</v>
      </c>
      <c r="C102" s="125" t="s">
        <v>7168</v>
      </c>
      <c r="D102" s="34" t="str">
        <f>INDEX('D1 - Master Project Table'!$A$1:$AK$7056,$A102,5)</f>
        <v>UHCOnline Updates - MIPA/OCI Compliance of MD E-PA</v>
      </c>
      <c r="E102" s="31">
        <f>INDEX('D1 - Master Project Table'!$A$1:$AK$7056,$A102,11)</f>
        <v>41447</v>
      </c>
      <c r="F102" s="32" t="str">
        <f>INDEX('D1 - Master Project Table'!$A$1:$AK$7056,$A102,13)</f>
        <v>Testing</v>
      </c>
      <c r="G102" s="32" t="str">
        <f>INDEX('D1 - Master Project Table'!$A$1:$AK$7056,$A102,7)</f>
        <v>3 - Green</v>
      </c>
      <c r="H102" s="32"/>
      <c r="I102" s="74"/>
      <c r="J102" s="28"/>
      <c r="K102" s="28"/>
      <c r="L102" s="28"/>
      <c r="M102" s="28"/>
      <c r="N102" s="28"/>
      <c r="O102" s="28"/>
      <c r="P102" s="28"/>
      <c r="Q102" s="8" t="s">
        <v>1731</v>
      </c>
      <c r="R102" s="80"/>
      <c r="S102" s="116"/>
      <c r="T102" s="116"/>
      <c r="U102" s="28"/>
      <c r="V102" s="80"/>
      <c r="W102" s="80"/>
      <c r="X102" s="28"/>
      <c r="Y102" s="80"/>
      <c r="Z102" s="8" t="s">
        <v>955</v>
      </c>
      <c r="AA102" s="84"/>
      <c r="AB102" s="74"/>
      <c r="AC102" s="74"/>
      <c r="AD102" s="74"/>
      <c r="AE102" s="30">
        <f>INDEX('D1 - Master Project Table'!$A$1:$AK$7056,$A102,9)</f>
        <v>0.49</v>
      </c>
      <c r="AF102" s="34" t="str">
        <f>INDEX('D1 - Master Project Table'!$A$1:$AK$7056,$A102,8)</f>
        <v>1 - Scheduled</v>
      </c>
      <c r="AG102" s="146"/>
      <c r="AH102" s="227"/>
    </row>
    <row r="103" spans="1:34" ht="121.5" customHeight="1" x14ac:dyDescent="0.2">
      <c r="A103" s="36">
        <f>MATCH(C103,'D1 - Master Project Table'!$D$1:$D$7056,0)</f>
        <v>108</v>
      </c>
      <c r="B103" s="36" t="e">
        <f>MATCH(C103,#REF!,0)</f>
        <v>#REF!</v>
      </c>
      <c r="C103" s="125" t="s">
        <v>9386</v>
      </c>
      <c r="D103" s="34" t="str">
        <f>INDEX('D1 - Master Project Table'!$A$1:$AK$7056,$A103,5)</f>
        <v>Data Classification &amp; Retention Survey</v>
      </c>
      <c r="E103" s="31">
        <f>INDEX('D1 - Master Project Table'!$A$1:$AK$7056,$A103,11)</f>
        <v>41447</v>
      </c>
      <c r="F103" s="32" t="str">
        <f>INDEX('D1 - Master Project Table'!$A$1:$AK$7056,$A103,13)</f>
        <v>Dev-Led</v>
      </c>
      <c r="G103" s="32" t="str">
        <f>INDEX('D1 - Master Project Table'!$A$1:$AK$7056,$A103,7)</f>
        <v>3 - Green</v>
      </c>
      <c r="H103" s="32"/>
      <c r="I103" s="9" t="s">
        <v>9391</v>
      </c>
      <c r="J103" s="28"/>
      <c r="K103" s="28"/>
      <c r="L103" s="28"/>
      <c r="M103" s="28"/>
      <c r="N103" s="28"/>
      <c r="O103" s="28"/>
      <c r="P103" s="28"/>
      <c r="Q103" s="28"/>
      <c r="R103" s="80"/>
      <c r="S103" s="116"/>
      <c r="T103" s="116"/>
      <c r="U103" s="28"/>
      <c r="V103" s="80"/>
      <c r="W103" s="80"/>
      <c r="X103" s="28"/>
      <c r="Y103" s="80"/>
      <c r="Z103" s="28"/>
      <c r="AA103" s="84"/>
      <c r="AB103" s="74"/>
      <c r="AC103" s="74"/>
      <c r="AD103" s="74"/>
      <c r="AE103" s="30">
        <f>INDEX('D1 - Master Project Table'!$A$1:$AK$7056,$A103,9)</f>
        <v>0.03</v>
      </c>
      <c r="AF103" s="34" t="str">
        <f>INDEX('D1 - Master Project Table'!$A$1:$AK$7056,$A103,8)</f>
        <v>1 - Scheduled</v>
      </c>
      <c r="AG103" s="146"/>
      <c r="AH103" s="227"/>
    </row>
    <row r="104" spans="1:34" ht="22.5" x14ac:dyDescent="0.2">
      <c r="A104" s="36">
        <f>MATCH(C104,'D1 - Master Project Table'!$D$1:$D$7056,0)</f>
        <v>109</v>
      </c>
      <c r="B104" s="36" t="e">
        <f>MATCH(C104,#REF!,0)</f>
        <v>#REF!</v>
      </c>
      <c r="C104" s="125" t="s">
        <v>9387</v>
      </c>
      <c r="D104" s="34" t="str">
        <f>INDEX('D1 - Master Project Table'!$A$1:$AK$7056,$A104,5)</f>
        <v>Data Classification &amp; Retention Survey</v>
      </c>
      <c r="E104" s="31">
        <f>INDEX('D1 - Master Project Table'!$A$1:$AK$7056,$A104,11)</f>
        <v>41447</v>
      </c>
      <c r="F104" s="32" t="str">
        <f>INDEX('D1 - Master Project Table'!$A$1:$AK$7056,$A104,13)</f>
        <v>Dev-Led</v>
      </c>
      <c r="G104" s="32" t="str">
        <f>INDEX('D1 - Master Project Table'!$A$1:$AK$7056,$A104,7)</f>
        <v>3 - Green</v>
      </c>
      <c r="H104" s="32"/>
      <c r="I104" s="9" t="s">
        <v>9391</v>
      </c>
      <c r="J104" s="28"/>
      <c r="K104" s="28"/>
      <c r="L104" s="28"/>
      <c r="M104" s="28"/>
      <c r="N104" s="28"/>
      <c r="O104" s="28"/>
      <c r="P104" s="28"/>
      <c r="Q104" s="28"/>
      <c r="R104" s="80"/>
      <c r="S104" s="116"/>
      <c r="T104" s="116"/>
      <c r="U104" s="28"/>
      <c r="V104" s="80"/>
      <c r="W104" s="80"/>
      <c r="X104" s="28"/>
      <c r="Y104" s="80"/>
      <c r="Z104" s="28"/>
      <c r="AA104" s="84"/>
      <c r="AB104" s="74"/>
      <c r="AC104" s="74"/>
      <c r="AD104" s="74"/>
      <c r="AE104" s="30">
        <f>INDEX('D1 - Master Project Table'!$A$1:$AK$7056,$A104,9)</f>
        <v>0.03</v>
      </c>
      <c r="AF104" s="34" t="str">
        <f>INDEX('D1 - Master Project Table'!$A$1:$AK$7056,$A104,8)</f>
        <v>1 - Scheduled</v>
      </c>
      <c r="AG104" s="146"/>
      <c r="AH104" s="227"/>
    </row>
    <row r="105" spans="1:34" ht="22.5" x14ac:dyDescent="0.2">
      <c r="A105" s="36">
        <f>MATCH(C105,'D1 - Master Project Table'!$D$1:$D$7056,0)</f>
        <v>110</v>
      </c>
      <c r="B105" s="36" t="e">
        <f>MATCH(C105,#REF!,0)</f>
        <v>#REF!</v>
      </c>
      <c r="C105" s="125" t="s">
        <v>7721</v>
      </c>
      <c r="D105" s="34" t="str">
        <f>INDEX('D1 - Master Project Table'!$A$1:$AK$7056,$A105,5)</f>
        <v>UHCOnline Update-Golden Rule Compliance MD E-PA</v>
      </c>
      <c r="E105" s="31">
        <f>INDEX('D1 - Master Project Table'!$A$1:$AK$7056,$A105,11)</f>
        <v>41447</v>
      </c>
      <c r="F105" s="32" t="str">
        <f>INDEX('D1 - Master Project Table'!$A$1:$AK$7056,$A105,13)</f>
        <v>Testing</v>
      </c>
      <c r="G105" s="32" t="str">
        <f>INDEX('D1 - Master Project Table'!$A$1:$AK$7056,$A105,7)</f>
        <v>3 - Green</v>
      </c>
      <c r="H105" s="32"/>
      <c r="I105" s="74"/>
      <c r="J105" s="28"/>
      <c r="K105" s="28"/>
      <c r="L105" s="28"/>
      <c r="M105" s="28"/>
      <c r="N105" s="28"/>
      <c r="O105" s="28"/>
      <c r="P105" s="28"/>
      <c r="Q105" s="8" t="s">
        <v>1731</v>
      </c>
      <c r="R105" s="80"/>
      <c r="S105" s="116"/>
      <c r="T105" s="116"/>
      <c r="U105" s="28"/>
      <c r="V105" s="80"/>
      <c r="W105" s="80"/>
      <c r="X105" s="28"/>
      <c r="Y105" s="80"/>
      <c r="Z105" s="8" t="s">
        <v>955</v>
      </c>
      <c r="AA105" s="84"/>
      <c r="AB105" s="74"/>
      <c r="AC105" s="74"/>
      <c r="AD105" s="74"/>
      <c r="AE105" s="30">
        <f>INDEX('D1 - Master Project Table'!$A$1:$AK$7056,$A105,9)</f>
        <v>0.46</v>
      </c>
      <c r="AF105" s="34" t="str">
        <f>INDEX('D1 - Master Project Table'!$A$1:$AK$7056,$A105,8)</f>
        <v>1 - Scheduled</v>
      </c>
      <c r="AG105" s="146"/>
      <c r="AH105" s="227"/>
    </row>
    <row r="106" spans="1:34" x14ac:dyDescent="0.2">
      <c r="A106" s="36">
        <f>MATCH(C106,'D1 - Master Project Table'!$D$1:$D$7056,0)</f>
        <v>111</v>
      </c>
      <c r="B106" s="36" t="e">
        <f>MATCH(C106,#REF!,0)</f>
        <v>#REF!</v>
      </c>
      <c r="C106" s="125" t="s">
        <v>590</v>
      </c>
      <c r="D106" s="34" t="str">
        <f>INDEX('D1 - Master Project Table'!$A$1:$AK$7056,$A106,5)</f>
        <v>Arizona Acute &amp; CRS RFP</v>
      </c>
      <c r="E106" s="31">
        <f>INDEX('D1 - Master Project Table'!$A$1:$AK$7056,$A106,11)</f>
        <v>41447</v>
      </c>
      <c r="F106" s="32" t="str">
        <f>INDEX('D1 - Master Project Table'!$A$1:$AK$7056,$A106,13)</f>
        <v>Testing</v>
      </c>
      <c r="G106" s="32" t="str">
        <f>INDEX('D1 - Master Project Table'!$A$1:$AK$7056,$A106,7)</f>
        <v>3 - Green</v>
      </c>
      <c r="H106" s="32"/>
      <c r="I106" s="74"/>
      <c r="J106" s="28"/>
      <c r="K106" s="28"/>
      <c r="L106" s="28"/>
      <c r="M106" s="28"/>
      <c r="N106" s="28"/>
      <c r="O106" s="28"/>
      <c r="P106" s="28"/>
      <c r="Q106" s="8" t="s">
        <v>1731</v>
      </c>
      <c r="R106" s="80"/>
      <c r="S106" s="116"/>
      <c r="T106" s="116"/>
      <c r="U106" s="28"/>
      <c r="V106" s="80"/>
      <c r="W106" s="80"/>
      <c r="X106" s="28"/>
      <c r="Y106" s="80"/>
      <c r="Z106" s="8" t="s">
        <v>955</v>
      </c>
      <c r="AA106" s="84"/>
      <c r="AB106" s="74"/>
      <c r="AC106" s="74"/>
      <c r="AD106" s="74"/>
      <c r="AE106" s="30">
        <f>INDEX('D1 - Master Project Table'!$A$1:$AK$7056,$A106,9)</f>
        <v>0.18</v>
      </c>
      <c r="AF106" s="34" t="str">
        <f>INDEX('D1 - Master Project Table'!$A$1:$AK$7056,$A106,8)</f>
        <v>1 - Scheduled</v>
      </c>
      <c r="AG106" s="146"/>
      <c r="AH106" s="227"/>
    </row>
    <row r="107" spans="1:34" ht="23.25" customHeight="1" x14ac:dyDescent="0.2">
      <c r="A107" s="36">
        <f>MATCH(C107,'D1 - Master Project Table'!$D$1:$D$7056,0)</f>
        <v>112</v>
      </c>
      <c r="B107" s="36" t="e">
        <f>MATCH(C107,#REF!,0)</f>
        <v>#REF!</v>
      </c>
      <c r="C107" s="125" t="s">
        <v>9621</v>
      </c>
      <c r="D107" s="34" t="str">
        <f>INDEX('D1 - Master Project Table'!$A$1:$AK$7056,$A107,5)</f>
        <v>UHOne Med Nec PA/IPCM for New &amp; Existing Products</v>
      </c>
      <c r="E107" s="31">
        <f>INDEX('D1 - Master Project Table'!$A$1:$AK$7056,$A107,11)</f>
        <v>41447</v>
      </c>
      <c r="F107" s="32" t="str">
        <f>INDEX('D1 - Master Project Table'!$A$1:$AK$7056,$A107,13)</f>
        <v>Analysis</v>
      </c>
      <c r="G107" s="32" t="str">
        <f>INDEX('D1 - Master Project Table'!$A$1:$AK$7056,$A107,7)</f>
        <v>3 - Green</v>
      </c>
      <c r="H107" s="32"/>
      <c r="I107" s="9" t="s">
        <v>7193</v>
      </c>
      <c r="J107" s="28"/>
      <c r="K107" s="28"/>
      <c r="L107" s="28"/>
      <c r="M107" s="28"/>
      <c r="N107" s="28"/>
      <c r="O107" s="28"/>
      <c r="P107" s="28"/>
      <c r="Q107" s="8" t="s">
        <v>4173</v>
      </c>
      <c r="R107" s="80"/>
      <c r="S107" s="116"/>
      <c r="T107" s="116"/>
      <c r="U107" s="28"/>
      <c r="V107" s="80"/>
      <c r="W107" s="80"/>
      <c r="X107" s="28"/>
      <c r="Y107" s="80"/>
      <c r="Z107" s="28"/>
      <c r="AA107" s="84"/>
      <c r="AB107" s="74"/>
      <c r="AC107" s="74"/>
      <c r="AD107" s="74"/>
      <c r="AE107" s="30">
        <f>INDEX('D1 - Master Project Table'!$A$1:$AK$7056,$A107,9)</f>
        <v>0.35</v>
      </c>
      <c r="AF107" s="34" t="str">
        <f>INDEX('D1 - Master Project Table'!$A$1:$AK$7056,$A107,8)</f>
        <v>1 - Scheduled</v>
      </c>
      <c r="AG107" s="146"/>
      <c r="AH107" s="227"/>
    </row>
    <row r="108" spans="1:34" ht="132.75" customHeight="1" x14ac:dyDescent="0.2">
      <c r="A108" s="36">
        <f>MATCH(C108,'D1 - Master Project Table'!$D$1:$D$7056,0)</f>
        <v>113</v>
      </c>
      <c r="B108" s="36" t="e">
        <f>MATCH(C108,#REF!,0)</f>
        <v>#REF!</v>
      </c>
      <c r="C108" s="125" t="s">
        <v>9244</v>
      </c>
      <c r="D108" s="34" t="str">
        <f>INDEX('D1 - Master Project Table'!$A$1:$AK$7056,$A108,5)</f>
        <v>NowClinic 2.0</v>
      </c>
      <c r="E108" s="31">
        <f>INDEX('D1 - Master Project Table'!$A$1:$AK$7056,$A108,11)</f>
        <v>41447</v>
      </c>
      <c r="F108" s="32" t="str">
        <f>INDEX('D1 - Master Project Table'!$A$1:$AK$7056,$A108,13)</f>
        <v>Analysis</v>
      </c>
      <c r="G108" s="32" t="str">
        <f>INDEX('D1 - Master Project Table'!$A$1:$AK$7056,$A108,7)</f>
        <v>3 - Green</v>
      </c>
      <c r="H108" s="32"/>
      <c r="I108" s="74" t="s">
        <v>1680</v>
      </c>
      <c r="J108" s="28"/>
      <c r="K108" s="28"/>
      <c r="L108" s="28"/>
      <c r="M108" s="28"/>
      <c r="N108" s="28"/>
      <c r="O108" s="28"/>
      <c r="P108" s="28"/>
      <c r="Q108" s="8" t="s">
        <v>2259</v>
      </c>
      <c r="R108" s="80"/>
      <c r="S108" s="116"/>
      <c r="T108" s="116"/>
      <c r="U108" s="28"/>
      <c r="V108" s="80"/>
      <c r="W108" s="80"/>
      <c r="X108" s="28"/>
      <c r="Y108" s="80"/>
      <c r="Z108" s="28"/>
      <c r="AA108" s="84"/>
      <c r="AB108" s="74"/>
      <c r="AC108" s="74"/>
      <c r="AD108" s="74"/>
      <c r="AE108" s="30">
        <f>INDEX('D1 - Master Project Table'!$A$1:$AK$7056,$A108,9)</f>
        <v>0.9</v>
      </c>
      <c r="AF108" s="34" t="str">
        <f>INDEX('D1 - Master Project Table'!$A$1:$AK$7056,$A108,8)</f>
        <v>1 - Scheduled</v>
      </c>
      <c r="AG108" s="146"/>
      <c r="AH108" s="227"/>
    </row>
    <row r="109" spans="1:34" ht="45" x14ac:dyDescent="0.2">
      <c r="A109" s="36">
        <f>MATCH(C109,'D1 - Master Project Table'!$D$1:$D$7056,0)</f>
        <v>114</v>
      </c>
      <c r="B109" s="36" t="e">
        <f>MATCH(C109,#REF!,0)</f>
        <v>#REF!</v>
      </c>
      <c r="C109" s="125" t="s">
        <v>9006</v>
      </c>
      <c r="D109" s="34" t="str">
        <f>INDEX('D1 - Master Project Table'!$A$1:$AK$7056,$A109,5)</f>
        <v>Monthly Batch Feed of NPI and Zip</v>
      </c>
      <c r="E109" s="31">
        <f>INDEX('D1 - Master Project Table'!$A$1:$AK$7056,$A109,11)</f>
        <v>41447</v>
      </c>
      <c r="F109" s="32" t="str">
        <f>INDEX('D1 - Master Project Table'!$A$1:$AK$7056,$A109,13)</f>
        <v>Project</v>
      </c>
      <c r="G109" s="32" t="str">
        <f>INDEX('D1 - Master Project Table'!$A$1:$AK$7056,$A109,7)</f>
        <v>3 - Green</v>
      </c>
      <c r="H109" s="32"/>
      <c r="I109" s="9" t="s">
        <v>9594</v>
      </c>
      <c r="J109" s="28"/>
      <c r="K109" s="28"/>
      <c r="L109" s="28"/>
      <c r="M109" s="28"/>
      <c r="N109" s="28"/>
      <c r="O109" s="28"/>
      <c r="P109" s="28"/>
      <c r="Q109" s="8" t="s">
        <v>895</v>
      </c>
      <c r="R109" s="80"/>
      <c r="S109" s="116"/>
      <c r="T109" s="116"/>
      <c r="U109" s="8" t="s">
        <v>2815</v>
      </c>
      <c r="V109" s="80"/>
      <c r="W109" s="80"/>
      <c r="X109" s="8" t="s">
        <v>2810</v>
      </c>
      <c r="Y109" s="80"/>
      <c r="Z109" s="8" t="s">
        <v>779</v>
      </c>
      <c r="AA109" s="176" t="s">
        <v>9593</v>
      </c>
      <c r="AB109" s="9" t="s">
        <v>9461</v>
      </c>
      <c r="AC109" s="74"/>
      <c r="AD109" s="74"/>
      <c r="AE109" s="30">
        <f>INDEX('D1 - Master Project Table'!$A$1:$AK$7056,$A109,9)</f>
        <v>3.8</v>
      </c>
      <c r="AF109" s="34" t="str">
        <f>INDEX('D1 - Master Project Table'!$A$1:$AK$7056,$A109,8)</f>
        <v>1 - Scheduled</v>
      </c>
      <c r="AG109" s="146"/>
      <c r="AH109" s="227"/>
    </row>
    <row r="110" spans="1:34" ht="22.5" x14ac:dyDescent="0.2">
      <c r="A110" s="36">
        <f>MATCH(C110,'D1 - Master Project Table'!$D$1:$D$7056,0)</f>
        <v>115</v>
      </c>
      <c r="B110" s="36" t="e">
        <f>MATCH(C110,#REF!,0)</f>
        <v>#REF!</v>
      </c>
      <c r="C110" s="125" t="s">
        <v>9124</v>
      </c>
      <c r="D110" s="34" t="str">
        <f>INDEX('D1 - Master Project Table'!$A$1:$AK$7056,$A110,5)</f>
        <v>UBCS Prototype:  End to End Scenarios</v>
      </c>
      <c r="E110" s="31">
        <f>INDEX('D1 - Master Project Table'!$A$1:$AK$7056,$A110,11)</f>
        <v>41447</v>
      </c>
      <c r="F110" s="32" t="str">
        <f>INDEX('D1 - Master Project Table'!$A$1:$AK$7056,$A110,13)</f>
        <v>Arch-Led</v>
      </c>
      <c r="G110" s="32" t="str">
        <f>INDEX('D1 - Master Project Table'!$A$1:$AK$7056,$A110,7)</f>
        <v>3 - Green</v>
      </c>
      <c r="H110" s="32"/>
      <c r="I110" s="9" t="s">
        <v>9392</v>
      </c>
      <c r="J110" s="28"/>
      <c r="K110" s="28"/>
      <c r="L110" s="28"/>
      <c r="M110" s="28"/>
      <c r="N110" s="28"/>
      <c r="O110" s="28"/>
      <c r="P110" s="28"/>
      <c r="Q110" s="28" t="s">
        <v>9394</v>
      </c>
      <c r="R110" s="80"/>
      <c r="S110" s="116"/>
      <c r="T110" s="116"/>
      <c r="U110" s="28"/>
      <c r="V110" s="80"/>
      <c r="W110" s="80"/>
      <c r="X110" s="28"/>
      <c r="Y110" s="80"/>
      <c r="Z110" s="28"/>
      <c r="AA110" s="84"/>
      <c r="AB110" s="74"/>
      <c r="AC110" s="74"/>
      <c r="AD110" s="74"/>
      <c r="AE110" s="30">
        <f>INDEX('D1 - Master Project Table'!$A$1:$AK$7056,$A110,9)</f>
        <v>3.99</v>
      </c>
      <c r="AF110" s="34" t="str">
        <f>INDEX('D1 - Master Project Table'!$A$1:$AK$7056,$A110,8)</f>
        <v>1 - Scheduled</v>
      </c>
      <c r="AG110" s="146"/>
      <c r="AH110" s="227"/>
    </row>
    <row r="111" spans="1:34" ht="22.5" x14ac:dyDescent="0.2">
      <c r="A111" s="36">
        <f>MATCH(C111,'D1 - Master Project Table'!$D$1:$D$7056,0)</f>
        <v>116</v>
      </c>
      <c r="B111" s="36" t="e">
        <f>MATCH(C111,#REF!,0)</f>
        <v>#REF!</v>
      </c>
      <c r="C111" s="125" t="s">
        <v>9125</v>
      </c>
      <c r="D111" s="34" t="str">
        <f>INDEX('D1 - Master Project Table'!$A$1:$AK$7056,$A111,5)</f>
        <v>UBCS Prototype: Provider Demographics &amp; Credential</v>
      </c>
      <c r="E111" s="31">
        <f>INDEX('D1 - Master Project Table'!$A$1:$AK$7056,$A111,11)</f>
        <v>41447</v>
      </c>
      <c r="F111" s="32" t="str">
        <f>INDEX('D1 - Master Project Table'!$A$1:$AK$7056,$A111,13)</f>
        <v>Arch-Led</v>
      </c>
      <c r="G111" s="32" t="str">
        <f>INDEX('D1 - Master Project Table'!$A$1:$AK$7056,$A111,7)</f>
        <v>3 - Green</v>
      </c>
      <c r="H111" s="32"/>
      <c r="I111" s="9" t="s">
        <v>9392</v>
      </c>
      <c r="J111" s="28"/>
      <c r="K111" s="28"/>
      <c r="L111" s="28"/>
      <c r="M111" s="28"/>
      <c r="N111" s="28"/>
      <c r="O111" s="28"/>
      <c r="P111" s="28"/>
      <c r="Q111" s="28" t="s">
        <v>9394</v>
      </c>
      <c r="R111" s="80"/>
      <c r="S111" s="116"/>
      <c r="T111" s="116"/>
      <c r="U111" s="28"/>
      <c r="V111" s="80"/>
      <c r="W111" s="80"/>
      <c r="X111" s="28"/>
      <c r="Y111" s="80"/>
      <c r="Z111" s="28"/>
      <c r="AA111" s="84"/>
      <c r="AB111" s="74"/>
      <c r="AC111" s="74"/>
      <c r="AD111" s="74"/>
      <c r="AE111" s="30">
        <f>INDEX('D1 - Master Project Table'!$A$1:$AK$7056,$A111,9)</f>
        <v>11.97</v>
      </c>
      <c r="AF111" s="34" t="str">
        <f>INDEX('D1 - Master Project Table'!$A$1:$AK$7056,$A111,8)</f>
        <v>1 - Scheduled</v>
      </c>
      <c r="AG111" s="146"/>
      <c r="AH111" s="227"/>
    </row>
    <row r="112" spans="1:34" ht="22.5" x14ac:dyDescent="0.2">
      <c r="A112" s="36">
        <f>MATCH(C112,'D1 - Master Project Table'!$D$1:$D$7056,0)</f>
        <v>117</v>
      </c>
      <c r="B112" s="36" t="e">
        <f>MATCH(C112,#REF!,0)</f>
        <v>#REF!</v>
      </c>
      <c r="C112" s="125" t="s">
        <v>9126</v>
      </c>
      <c r="D112" s="34" t="str">
        <f>INDEX('D1 - Master Project Table'!$A$1:$AK$7056,$A112,5)</f>
        <v>UBCS Prototype: Design/Develop (deep dive)Provider</v>
      </c>
      <c r="E112" s="31">
        <f>INDEX('D1 - Master Project Table'!$A$1:$AK$7056,$A112,11)</f>
        <v>41447</v>
      </c>
      <c r="F112" s="32" t="str">
        <f>INDEX('D1 - Master Project Table'!$A$1:$AK$7056,$A112,13)</f>
        <v>Arch-Led</v>
      </c>
      <c r="G112" s="32" t="str">
        <f>INDEX('D1 - Master Project Table'!$A$1:$AK$7056,$A112,7)</f>
        <v>3 - Green</v>
      </c>
      <c r="H112" s="32"/>
      <c r="I112" s="9" t="s">
        <v>9392</v>
      </c>
      <c r="J112" s="28"/>
      <c r="K112" s="28"/>
      <c r="L112" s="28"/>
      <c r="M112" s="28"/>
      <c r="N112" s="28"/>
      <c r="O112" s="28"/>
      <c r="P112" s="28"/>
      <c r="Q112" s="28" t="s">
        <v>9394</v>
      </c>
      <c r="R112" s="80"/>
      <c r="S112" s="116"/>
      <c r="T112" s="116"/>
      <c r="U112" s="28"/>
      <c r="V112" s="80"/>
      <c r="W112" s="80"/>
      <c r="X112" s="28"/>
      <c r="Y112" s="80"/>
      <c r="Z112" s="28"/>
      <c r="AA112" s="84"/>
      <c r="AB112" s="74"/>
      <c r="AC112" s="74"/>
      <c r="AD112" s="74"/>
      <c r="AE112" s="30">
        <f>INDEX('D1 - Master Project Table'!$A$1:$AK$7056,$A112,9)</f>
        <v>15.95</v>
      </c>
      <c r="AF112" s="34" t="str">
        <f>INDEX('D1 - Master Project Table'!$A$1:$AK$7056,$A112,8)</f>
        <v>1 - Scheduled</v>
      </c>
      <c r="AG112" s="146"/>
      <c r="AH112" s="227"/>
    </row>
    <row r="113" spans="1:34" x14ac:dyDescent="0.2">
      <c r="A113" s="36">
        <f>MATCH(C113,'D1 - Master Project Table'!$D$1:$D$7056,0)</f>
        <v>118</v>
      </c>
      <c r="B113" s="36" t="e">
        <f>MATCH(C113,#REF!,0)</f>
        <v>#REF!</v>
      </c>
      <c r="C113" s="125" t="s">
        <v>917</v>
      </c>
      <c r="D113" s="34" t="str">
        <f>INDEX('D1 - Master Project Table'!$A$1:$AK$7056,$A113,5)</f>
        <v>Medica HCCE EPDL Enhancements</v>
      </c>
      <c r="E113" s="31">
        <f>INDEX('D1 - Master Project Table'!$A$1:$AK$7056,$A113,11)</f>
        <v>41455</v>
      </c>
      <c r="F113" s="32" t="str">
        <f>INDEX('D1 - Master Project Table'!$A$1:$AK$7056,$A113,13)</f>
        <v>Testing</v>
      </c>
      <c r="G113" s="32" t="str">
        <f>INDEX('D1 - Master Project Table'!$A$1:$AK$7056,$A113,7)</f>
        <v>3 - Green</v>
      </c>
      <c r="H113" s="32"/>
      <c r="I113" s="74"/>
      <c r="J113" s="28"/>
      <c r="K113" s="28"/>
      <c r="L113" s="28"/>
      <c r="M113" s="28"/>
      <c r="N113" s="28"/>
      <c r="O113" s="28"/>
      <c r="P113" s="28"/>
      <c r="Q113" s="8" t="s">
        <v>1731</v>
      </c>
      <c r="R113" s="80"/>
      <c r="S113" s="116"/>
      <c r="T113" s="116"/>
      <c r="U113" s="28"/>
      <c r="V113" s="80"/>
      <c r="W113" s="80"/>
      <c r="X113" s="28"/>
      <c r="Y113" s="80"/>
      <c r="Z113" s="8" t="s">
        <v>955</v>
      </c>
      <c r="AA113" s="84"/>
      <c r="AB113" s="74"/>
      <c r="AC113" s="74"/>
      <c r="AD113" s="74"/>
      <c r="AE113" s="30">
        <f>INDEX('D1 - Master Project Table'!$A$1:$AK$7056,$A113,9)</f>
        <v>1.05</v>
      </c>
      <c r="AF113" s="34" t="str">
        <f>INDEX('D1 - Master Project Table'!$A$1:$AK$7056,$A113,8)</f>
        <v>1 - Scheduled</v>
      </c>
      <c r="AG113" s="146"/>
      <c r="AH113" s="227"/>
    </row>
    <row r="114" spans="1:34" ht="146.25" x14ac:dyDescent="0.2">
      <c r="A114" s="36">
        <f>MATCH(C114,'D1 - Master Project Table'!$D$1:$D$7056,0)</f>
        <v>119</v>
      </c>
      <c r="B114" s="36" t="e">
        <f>MATCH(C114,#REF!,0)</f>
        <v>#REF!</v>
      </c>
      <c r="C114" s="200" t="s">
        <v>7000</v>
      </c>
      <c r="D114" s="34" t="str">
        <f>INDEX('D1 - Master Project Table'!$A$1:$AK$7056,$A114,5)</f>
        <v>Navigate2 Product Network Clone</v>
      </c>
      <c r="E114" s="31">
        <f>INDEX('D1 - Master Project Table'!$A$1:$AK$7056,$A114,11)</f>
        <v>41467</v>
      </c>
      <c r="F114" s="32" t="str">
        <f>INDEX('D1 - Master Project Table'!$A$1:$AK$7056,$A114,13)</f>
        <v>Project</v>
      </c>
      <c r="G114" s="32" t="str">
        <f>INDEX('D1 - Master Project Table'!$A$1:$AK$7056,$A114,7)</f>
        <v>3 - Green</v>
      </c>
      <c r="H114" s="32"/>
      <c r="I114" s="285" t="s">
        <v>9626</v>
      </c>
      <c r="J114" s="8" t="s">
        <v>7273</v>
      </c>
      <c r="K114" s="8" t="s">
        <v>7273</v>
      </c>
      <c r="L114" s="8" t="s">
        <v>3758</v>
      </c>
      <c r="M114" s="8" t="s">
        <v>7273</v>
      </c>
      <c r="N114" s="8" t="s">
        <v>7273</v>
      </c>
      <c r="O114" s="8" t="s">
        <v>7273</v>
      </c>
      <c r="P114" s="8" t="s">
        <v>3758</v>
      </c>
      <c r="Q114" s="8" t="s">
        <v>895</v>
      </c>
      <c r="R114" s="176">
        <v>41376</v>
      </c>
      <c r="S114" s="57" t="s">
        <v>2737</v>
      </c>
      <c r="T114" s="116"/>
      <c r="U114" s="8" t="s">
        <v>927</v>
      </c>
      <c r="V114" s="175" t="s">
        <v>3572</v>
      </c>
      <c r="W114" s="80">
        <v>41379</v>
      </c>
      <c r="X114" s="8" t="s">
        <v>212</v>
      </c>
      <c r="Y114" s="175">
        <v>41400</v>
      </c>
      <c r="Z114" s="9" t="s">
        <v>9338</v>
      </c>
      <c r="AA114" s="176">
        <v>41414</v>
      </c>
      <c r="AB114" s="9" t="s">
        <v>9178</v>
      </c>
      <c r="AC114" s="74"/>
      <c r="AD114" s="74"/>
      <c r="AE114" s="30">
        <f>INDEX('D1 - Master Project Table'!$A$1:$AK$7056,$A114,9)</f>
        <v>17.010000000000002</v>
      </c>
      <c r="AF114" s="34" t="str">
        <f>INDEX('D1 - Master Project Table'!$A$1:$AK$7056,$A114,8)</f>
        <v>1 - Scheduled</v>
      </c>
      <c r="AG114" s="146"/>
      <c r="AH114" s="227"/>
    </row>
    <row r="115" spans="1:34" ht="39" customHeight="1" x14ac:dyDescent="0.2">
      <c r="A115" s="36">
        <f>MATCH(C115,'D1 - Master Project Table'!$D$1:$D$7056,0)</f>
        <v>120</v>
      </c>
      <c r="B115" s="36" t="e">
        <f>MATCH(C115,#REF!,0)</f>
        <v>#REF!</v>
      </c>
      <c r="C115" s="8" t="s">
        <v>7265</v>
      </c>
      <c r="D115" s="34" t="str">
        <f>INDEX('D1 - Master Project Table'!$A$1:$AK$7056,$A115,5)</f>
        <v>NY CSP Facets Migration</v>
      </c>
      <c r="E115" s="31">
        <f>INDEX('D1 - Master Project Table'!$A$1:$AK$7056,$A115,11)</f>
        <v>41474</v>
      </c>
      <c r="F115" s="32" t="str">
        <f>INDEX('D1 - Master Project Table'!$A$1:$AK$7056,$A115,13)</f>
        <v>Support Only</v>
      </c>
      <c r="G115" s="32" t="str">
        <f>INDEX('D1 - Master Project Table'!$A$1:$AK$7056,$A115,7)</f>
        <v>3 - Green</v>
      </c>
      <c r="H115" s="4" t="s">
        <v>1447</v>
      </c>
      <c r="I115" s="9" t="s">
        <v>9592</v>
      </c>
      <c r="J115" s="8" t="s">
        <v>7273</v>
      </c>
      <c r="K115" s="8" t="s">
        <v>7273</v>
      </c>
      <c r="L115" s="8" t="s">
        <v>7273</v>
      </c>
      <c r="M115" s="8" t="s">
        <v>7273</v>
      </c>
      <c r="N115" s="8" t="s">
        <v>7273</v>
      </c>
      <c r="O115" s="8" t="s">
        <v>7273</v>
      </c>
      <c r="P115" s="8" t="s">
        <v>3758</v>
      </c>
      <c r="Q115" s="8" t="s">
        <v>219</v>
      </c>
      <c r="R115" s="175">
        <v>41355</v>
      </c>
      <c r="S115" s="57" t="s">
        <v>3572</v>
      </c>
      <c r="T115" s="57" t="s">
        <v>3572</v>
      </c>
      <c r="U115" s="175" t="s">
        <v>404</v>
      </c>
      <c r="V115" s="57" t="s">
        <v>3572</v>
      </c>
      <c r="W115" s="175" t="s">
        <v>3572</v>
      </c>
      <c r="X115" s="175" t="s">
        <v>3547</v>
      </c>
      <c r="Y115" s="416" t="s">
        <v>4027</v>
      </c>
      <c r="Z115" s="57" t="s">
        <v>779</v>
      </c>
      <c r="AA115" s="420">
        <v>0.12</v>
      </c>
      <c r="AB115" s="57" t="s">
        <v>9173</v>
      </c>
      <c r="AC115" s="57" t="s">
        <v>3572</v>
      </c>
      <c r="AD115" s="9"/>
      <c r="AE115" s="30">
        <f>INDEX('D1 - Master Project Table'!$A$1:$AK$7056,$A115,9)</f>
        <v>4.0599999999999996</v>
      </c>
      <c r="AF115" s="34" t="str">
        <f>INDEX('D1 - Master Project Table'!$A$1:$AK$7056,$A115,8)</f>
        <v>1 - Scheduled</v>
      </c>
      <c r="AG115" s="146"/>
      <c r="AH115" s="227"/>
    </row>
    <row r="116" spans="1:34" x14ac:dyDescent="0.2">
      <c r="A116" s="36">
        <f>MATCH(C116,'D1 - Master Project Table'!$D$1:$D$7056,0)</f>
        <v>121</v>
      </c>
      <c r="B116" s="36" t="e">
        <f>MATCH(C116,#REF!,0)</f>
        <v>#REF!</v>
      </c>
      <c r="C116" s="125" t="s">
        <v>7906</v>
      </c>
      <c r="D116" s="34" t="str">
        <f>INDEX('D1 - Master Project Table'!$A$1:$AK$7056,$A116,5)</f>
        <v>AZ LTC Phase IV - ASC Claims</v>
      </c>
      <c r="E116" s="31">
        <f>INDEX('D1 - Master Project Table'!$A$1:$AK$7056,$A116,11)</f>
        <v>41500</v>
      </c>
      <c r="F116" s="32" t="str">
        <f>INDEX('D1 - Master Project Table'!$A$1:$AK$7056,$A116,13)</f>
        <v>Testing</v>
      </c>
      <c r="G116" s="32" t="str">
        <f>INDEX('D1 - Master Project Table'!$A$1:$AK$7056,$A116,7)</f>
        <v>3 - Green</v>
      </c>
      <c r="H116" s="32"/>
      <c r="I116" s="9" t="s">
        <v>2256</v>
      </c>
      <c r="J116" s="28"/>
      <c r="K116" s="28"/>
      <c r="L116" s="28"/>
      <c r="M116" s="28"/>
      <c r="N116" s="28"/>
      <c r="O116" s="28"/>
      <c r="P116" s="28"/>
      <c r="Q116" s="8" t="s">
        <v>1731</v>
      </c>
      <c r="R116" s="80"/>
      <c r="S116" s="116"/>
      <c r="T116" s="116"/>
      <c r="U116" s="28"/>
      <c r="V116" s="80"/>
      <c r="W116" s="80"/>
      <c r="X116" s="28"/>
      <c r="Y116" s="80"/>
      <c r="Z116" s="8" t="s">
        <v>955</v>
      </c>
      <c r="AA116" s="84"/>
      <c r="AB116" s="74"/>
      <c r="AC116" s="74"/>
      <c r="AD116" s="74"/>
      <c r="AE116" s="30">
        <f>INDEX('D1 - Master Project Table'!$A$1:$AK$7056,$A116,9)</f>
        <v>0.55000000000000004</v>
      </c>
      <c r="AF116" s="34" t="str">
        <f>INDEX('D1 - Master Project Table'!$A$1:$AK$7056,$A116,8)</f>
        <v>1 - Scheduled</v>
      </c>
      <c r="AG116" s="146"/>
      <c r="AH116" s="227"/>
    </row>
    <row r="117" spans="1:34" ht="56.25" x14ac:dyDescent="0.2">
      <c r="A117" s="36">
        <f>MATCH(C117,'D1 - Master Project Table'!$D$1:$D$7056,0)</f>
        <v>122</v>
      </c>
      <c r="B117" s="36" t="e">
        <f>MATCH(C117,#REF!,0)</f>
        <v>#REF!</v>
      </c>
      <c r="C117" s="28" t="s">
        <v>1325</v>
      </c>
      <c r="D117" s="34" t="str">
        <f>INDEX('D1 - Master Project Table'!$A$1:$AK$7056,$A117,5)</f>
        <v>Wisconsin CSP Facets Migration</v>
      </c>
      <c r="E117" s="31">
        <f>INDEX('D1 - Master Project Table'!$A$1:$AK$7056,$A117,11)</f>
        <v>41503</v>
      </c>
      <c r="F117" s="32" t="str">
        <f>INDEX('D1 - Master Project Table'!$A$1:$AK$7056,$A117,13)</f>
        <v>Support Only</v>
      </c>
      <c r="G117" s="32" t="str">
        <f>INDEX('D1 - Master Project Table'!$A$1:$AK$7056,$A117,7)</f>
        <v>3 - Green</v>
      </c>
      <c r="H117" s="4" t="s">
        <v>1447</v>
      </c>
      <c r="I117" s="9" t="s">
        <v>9179</v>
      </c>
      <c r="J117" s="8" t="s">
        <v>7273</v>
      </c>
      <c r="K117" s="8" t="s">
        <v>7273</v>
      </c>
      <c r="L117" s="8" t="s">
        <v>7273</v>
      </c>
      <c r="M117" s="8" t="s">
        <v>7273</v>
      </c>
      <c r="N117" s="8" t="s">
        <v>7273</v>
      </c>
      <c r="O117" s="8" t="s">
        <v>7273</v>
      </c>
      <c r="P117" s="8" t="s">
        <v>7273</v>
      </c>
      <c r="Q117" s="8" t="s">
        <v>3105</v>
      </c>
      <c r="R117" s="80" t="s">
        <v>3572</v>
      </c>
      <c r="S117" s="116" t="s">
        <v>3572</v>
      </c>
      <c r="T117" s="116" t="s">
        <v>3572</v>
      </c>
      <c r="U117" s="175" t="s">
        <v>404</v>
      </c>
      <c r="V117" s="116" t="s">
        <v>3572</v>
      </c>
      <c r="W117" s="80" t="s">
        <v>3572</v>
      </c>
      <c r="X117" s="175" t="s">
        <v>3547</v>
      </c>
      <c r="Y117" s="116" t="s">
        <v>3572</v>
      </c>
      <c r="Z117" s="8" t="s">
        <v>3572</v>
      </c>
      <c r="AA117" s="116" t="s">
        <v>3572</v>
      </c>
      <c r="AB117" s="116" t="s">
        <v>3572</v>
      </c>
      <c r="AC117" s="116" t="s">
        <v>3572</v>
      </c>
      <c r="AD117" s="74"/>
      <c r="AE117" s="30">
        <f>INDEX('D1 - Master Project Table'!$A$1:$AK$7056,$A117,9)</f>
        <v>3.12</v>
      </c>
      <c r="AF117" s="34" t="str">
        <f>INDEX('D1 - Master Project Table'!$A$1:$AK$7056,$A117,8)</f>
        <v>1 - Scheduled</v>
      </c>
      <c r="AG117" s="146"/>
      <c r="AH117" s="227"/>
    </row>
    <row r="118" spans="1:34" x14ac:dyDescent="0.2">
      <c r="A118" s="53" t="e">
        <f>MATCH(C118,'D1 - Master Project Table'!$D$1:$D$7056,0)</f>
        <v>#N/A</v>
      </c>
      <c r="B118" s="53" t="e">
        <f>MATCH(C118,#REF!,0)</f>
        <v>#REF!</v>
      </c>
      <c r="C118" s="173" t="s">
        <v>7420</v>
      </c>
      <c r="D118" s="137" t="s">
        <v>9577</v>
      </c>
      <c r="E118" s="199">
        <v>41510</v>
      </c>
      <c r="F118" s="201"/>
      <c r="G118" s="43" t="e">
        <f>INDEX('D1 - Master Project Table'!$A$1:$AK$7056,$A118,13)</f>
        <v>#N/A</v>
      </c>
      <c r="H118" s="43"/>
      <c r="I118" s="201"/>
      <c r="J118" s="43" t="e">
        <f>INDEX('D1 - Master Project Table'!$A$1:$AK$7056,$A118,13)</f>
        <v>#N/A</v>
      </c>
      <c r="K118" s="43" t="e">
        <f>INDEX('D1 - Master Project Table'!$A$1:$AK$7056,$A118,13)</f>
        <v>#N/A</v>
      </c>
      <c r="L118" s="43" t="e">
        <f>INDEX('D1 - Master Project Table'!$A$1:$AK$7056,$A118,13)</f>
        <v>#N/A</v>
      </c>
      <c r="M118" s="43" t="e">
        <f>INDEX('D1 - Master Project Table'!$A$1:$AK$7056,$A118,13)</f>
        <v>#N/A</v>
      </c>
      <c r="N118" s="43" t="e">
        <f>INDEX('D1 - Master Project Table'!$A$1:$AK$7056,$A118,13)</f>
        <v>#N/A</v>
      </c>
      <c r="O118" s="43" t="e">
        <f>INDEX('D1 - Master Project Table'!$A$1:$AK$7056,$A118,13)</f>
        <v>#N/A</v>
      </c>
      <c r="P118" s="43" t="e">
        <f>INDEX('D1 - Master Project Table'!$A$1:$AK$7056,$A118,13)</f>
        <v>#N/A</v>
      </c>
      <c r="Q118" s="43">
        <v>0</v>
      </c>
      <c r="R118" s="43">
        <v>0</v>
      </c>
      <c r="S118" s="43">
        <v>0</v>
      </c>
      <c r="T118" s="43">
        <v>0</v>
      </c>
      <c r="U118" s="43">
        <v>0</v>
      </c>
      <c r="V118" s="81">
        <v>0</v>
      </c>
      <c r="W118" s="81">
        <v>0</v>
      </c>
      <c r="X118" s="43">
        <v>0</v>
      </c>
      <c r="Y118" s="81">
        <v>0</v>
      </c>
      <c r="Z118" s="43">
        <v>0</v>
      </c>
      <c r="AA118" s="85">
        <v>0</v>
      </c>
      <c r="AB118" s="44">
        <v>0</v>
      </c>
      <c r="AC118" s="44">
        <v>0</v>
      </c>
      <c r="AD118" s="52" t="e">
        <v>#N/A</v>
      </c>
      <c r="AE118" s="45"/>
      <c r="AF118" s="44"/>
      <c r="AG118" s="146"/>
      <c r="AH118" s="227"/>
    </row>
    <row r="119" spans="1:34" ht="180" x14ac:dyDescent="0.2">
      <c r="A119" s="36">
        <f>MATCH(C119,'D1 - Master Project Table'!$D$1:$D$7056,0)</f>
        <v>123</v>
      </c>
      <c r="B119" s="36" t="e">
        <f>MATCH(C119,#REF!,0)</f>
        <v>#REF!</v>
      </c>
      <c r="C119" s="200" t="s">
        <v>5</v>
      </c>
      <c r="D119" s="34" t="str">
        <f>INDEX('D1 - Master Project Table'!$A$1:$AK$7056,$A119,5)</f>
        <v>Medical Necessity - Rad/Card Prior Auth</v>
      </c>
      <c r="E119" s="31">
        <f>INDEX('D1 - Master Project Table'!$A$1:$AK$7056,$A119,11)</f>
        <v>41510</v>
      </c>
      <c r="F119" s="32" t="str">
        <f>INDEX('D1 - Master Project Table'!$A$1:$AK$7056,$A119,13)</f>
        <v>Project</v>
      </c>
      <c r="G119" s="32" t="str">
        <f>INDEX('D1 - Master Project Table'!$A$1:$AK$7056,$A119,7)</f>
        <v>3 - Green</v>
      </c>
      <c r="H119" s="4" t="s">
        <v>9471</v>
      </c>
      <c r="I119" s="285" t="s">
        <v>9586</v>
      </c>
      <c r="J119" s="28" t="s">
        <v>3758</v>
      </c>
      <c r="K119" s="28" t="s">
        <v>3758</v>
      </c>
      <c r="L119" s="28" t="s">
        <v>7273</v>
      </c>
      <c r="M119" s="28" t="s">
        <v>7273</v>
      </c>
      <c r="N119" s="28" t="s">
        <v>3758</v>
      </c>
      <c r="O119" s="28" t="s">
        <v>3758</v>
      </c>
      <c r="P119" s="28" t="s">
        <v>3758</v>
      </c>
      <c r="Q119" s="8" t="s">
        <v>515</v>
      </c>
      <c r="R119" s="80">
        <v>41250</v>
      </c>
      <c r="S119" s="116" t="s">
        <v>2737</v>
      </c>
      <c r="T119" s="116" t="s">
        <v>3758</v>
      </c>
      <c r="U119" s="74" t="s">
        <v>8061</v>
      </c>
      <c r="V119" s="176">
        <v>41313</v>
      </c>
      <c r="W119" s="80">
        <v>41390</v>
      </c>
      <c r="X119" s="28" t="s">
        <v>2810</v>
      </c>
      <c r="Y119" s="80">
        <v>41351</v>
      </c>
      <c r="Z119" s="9" t="s">
        <v>9020</v>
      </c>
      <c r="AA119" s="84">
        <v>41383</v>
      </c>
      <c r="AB119" s="9" t="s">
        <v>9131</v>
      </c>
      <c r="AC119" s="74"/>
      <c r="AD119" s="74"/>
      <c r="AE119" s="30">
        <f>INDEX('D1 - Master Project Table'!$A$1:$AK$7056,$A119,9)</f>
        <v>11.47</v>
      </c>
      <c r="AF119" s="34" t="str">
        <f>INDEX('D1 - Master Project Table'!$A$1:$AK$7056,$A119,8)</f>
        <v>1 - Scheduled</v>
      </c>
      <c r="AG119" s="146"/>
      <c r="AH119" s="227"/>
    </row>
    <row r="120" spans="1:34" ht="63" customHeight="1" x14ac:dyDescent="0.2">
      <c r="A120" s="36">
        <f>MATCH(C120,'D1 - Master Project Table'!$D$1:$D$7056,0)</f>
        <v>124</v>
      </c>
      <c r="B120" s="36" t="e">
        <f>MATCH(C120,#REF!,0)</f>
        <v>#REF!</v>
      </c>
      <c r="C120" s="200" t="s">
        <v>6718</v>
      </c>
      <c r="D120" s="34" t="str">
        <f>INDEX('D1 - Master Project Table'!$A$1:$AK$7056,$A120,5)</f>
        <v>Addition of NPI to NDB and COSMOS Provider Pick</v>
      </c>
      <c r="E120" s="31">
        <f>INDEX('D1 - Master Project Table'!$A$1:$AK$7056,$A120,11)</f>
        <v>41510</v>
      </c>
      <c r="F120" s="32" t="str">
        <f>INDEX('D1 - Master Project Table'!$A$1:$AK$7056,$A120,13)</f>
        <v>Project</v>
      </c>
      <c r="G120" s="32" t="str">
        <f>INDEX('D1 - Master Project Table'!$A$1:$AK$7056,$A120,7)</f>
        <v>3 - Green</v>
      </c>
      <c r="H120" s="32"/>
      <c r="I120" s="9" t="s">
        <v>9549</v>
      </c>
      <c r="J120" s="28"/>
      <c r="K120" s="28"/>
      <c r="L120" s="28"/>
      <c r="M120" s="28"/>
      <c r="N120" s="28"/>
      <c r="O120" s="28"/>
      <c r="P120" s="28"/>
      <c r="Q120" s="8" t="s">
        <v>4599</v>
      </c>
      <c r="R120" s="80"/>
      <c r="S120" s="116"/>
      <c r="T120" s="116"/>
      <c r="U120" s="28"/>
      <c r="V120" s="80"/>
      <c r="W120" s="80"/>
      <c r="X120" s="28"/>
      <c r="Y120" s="80"/>
      <c r="Z120" s="9" t="s">
        <v>9357</v>
      </c>
      <c r="AA120" s="84"/>
      <c r="AB120" s="74"/>
      <c r="AC120" s="74"/>
      <c r="AD120" s="74"/>
      <c r="AE120" s="30">
        <f>INDEX('D1 - Master Project Table'!$A$1:$AK$7056,$A120,9)</f>
        <v>16</v>
      </c>
      <c r="AF120" s="34" t="str">
        <f>INDEX('D1 - Master Project Table'!$A$1:$AK$7056,$A120,8)</f>
        <v>1 - Scheduled</v>
      </c>
      <c r="AG120" s="146"/>
      <c r="AH120" s="227"/>
    </row>
    <row r="121" spans="1:34" x14ac:dyDescent="0.2">
      <c r="A121" s="36">
        <f>MATCH(C121,'D1 - Master Project Table'!$D$1:$D$7056,0)</f>
        <v>125</v>
      </c>
      <c r="B121" s="36" t="e">
        <f>MATCH(C121,#REF!,0)</f>
        <v>#REF!</v>
      </c>
      <c r="C121" s="28" t="s">
        <v>4448</v>
      </c>
      <c r="D121" s="34" t="str">
        <f>INDEX('D1 - Master Project Table'!$A$1:$AK$7056,$A121,5)</f>
        <v>CDB TOPS: Hot Key</v>
      </c>
      <c r="E121" s="31">
        <f>INDEX('D1 - Master Project Table'!$A$1:$AK$7056,$A121,11)</f>
        <v>41510</v>
      </c>
      <c r="F121" s="32" t="str">
        <f>INDEX('D1 - Master Project Table'!$A$1:$AK$7056,$A121,13)</f>
        <v>Testing</v>
      </c>
      <c r="G121" s="32" t="str">
        <f>INDEX('D1 - Master Project Table'!$A$1:$AK$7056,$A121,7)</f>
        <v>3 - Green</v>
      </c>
      <c r="H121" s="32"/>
      <c r="I121" s="9" t="s">
        <v>2748</v>
      </c>
      <c r="J121" s="28" t="s">
        <v>7273</v>
      </c>
      <c r="K121" s="28" t="s">
        <v>7273</v>
      </c>
      <c r="L121" s="28" t="s">
        <v>7273</v>
      </c>
      <c r="M121" s="28" t="s">
        <v>7273</v>
      </c>
      <c r="N121" s="28" t="s">
        <v>7273</v>
      </c>
      <c r="O121" s="28" t="s">
        <v>7273</v>
      </c>
      <c r="P121" s="28" t="s">
        <v>7273</v>
      </c>
      <c r="Q121" s="8" t="s">
        <v>1731</v>
      </c>
      <c r="R121" s="116" t="s">
        <v>3572</v>
      </c>
      <c r="S121" s="116" t="s">
        <v>3572</v>
      </c>
      <c r="T121" s="116" t="s">
        <v>3572</v>
      </c>
      <c r="U121" s="116" t="s">
        <v>3572</v>
      </c>
      <c r="V121" s="116" t="s">
        <v>3572</v>
      </c>
      <c r="W121" s="116" t="s">
        <v>3572</v>
      </c>
      <c r="X121" s="116" t="s">
        <v>3572</v>
      </c>
      <c r="Y121" s="116" t="s">
        <v>3572</v>
      </c>
      <c r="Z121" s="8" t="s">
        <v>955</v>
      </c>
      <c r="AA121" s="174" t="s">
        <v>3572</v>
      </c>
      <c r="AB121" s="174" t="s">
        <v>3572</v>
      </c>
      <c r="AC121" s="174" t="s">
        <v>3572</v>
      </c>
      <c r="AD121" s="74"/>
      <c r="AE121" s="30">
        <f>INDEX('D1 - Master Project Table'!$A$1:$AK$7056,$A121,9)</f>
        <v>0.35</v>
      </c>
      <c r="AF121" s="34" t="str">
        <f>INDEX('D1 - Master Project Table'!$A$1:$AK$7056,$A121,8)</f>
        <v>1 - Scheduled</v>
      </c>
      <c r="AG121" s="146"/>
      <c r="AH121" s="227"/>
    </row>
    <row r="122" spans="1:34" ht="22.5" x14ac:dyDescent="0.2">
      <c r="A122" s="36">
        <f>MATCH(C122,'D1 - Master Project Table'!$D$1:$D$7056,0)</f>
        <v>126</v>
      </c>
      <c r="B122" s="36" t="e">
        <f>MATCH(C122,#REF!,0)</f>
        <v>#REF!</v>
      </c>
      <c r="C122" s="28" t="s">
        <v>3988</v>
      </c>
      <c r="D122" s="34" t="str">
        <f>INDEX('D1 - Master Project Table'!$A$1:$AK$7056,$A122,5)</f>
        <v>CDB Core Processing: PCP Processing</v>
      </c>
      <c r="E122" s="31">
        <f>INDEX('D1 - Master Project Table'!$A$1:$AK$7056,$A122,11)</f>
        <v>41510</v>
      </c>
      <c r="F122" s="32" t="str">
        <f>INDEX('D1 - Master Project Table'!$A$1:$AK$7056,$A122,13)</f>
        <v>Testing</v>
      </c>
      <c r="G122" s="32" t="str">
        <f>INDEX('D1 - Master Project Table'!$A$1:$AK$7056,$A122,7)</f>
        <v>3 - Green</v>
      </c>
      <c r="H122" s="32"/>
      <c r="I122" s="9"/>
      <c r="J122" s="8" t="s">
        <v>7273</v>
      </c>
      <c r="K122" s="8" t="s">
        <v>7273</v>
      </c>
      <c r="L122" s="8" t="s">
        <v>7273</v>
      </c>
      <c r="M122" s="8" t="s">
        <v>7273</v>
      </c>
      <c r="N122" s="8" t="s">
        <v>7273</v>
      </c>
      <c r="O122" s="8" t="s">
        <v>7273</v>
      </c>
      <c r="P122" s="8" t="s">
        <v>7273</v>
      </c>
      <c r="Q122" s="8" t="s">
        <v>1731</v>
      </c>
      <c r="R122" s="116" t="s">
        <v>3572</v>
      </c>
      <c r="S122" s="116" t="s">
        <v>3572</v>
      </c>
      <c r="T122" s="116" t="s">
        <v>3572</v>
      </c>
      <c r="U122" s="116" t="s">
        <v>3572</v>
      </c>
      <c r="V122" s="116" t="s">
        <v>3572</v>
      </c>
      <c r="W122" s="116" t="s">
        <v>3572</v>
      </c>
      <c r="X122" s="116" t="s">
        <v>3572</v>
      </c>
      <c r="Y122" s="116" t="s">
        <v>3572</v>
      </c>
      <c r="Z122" s="9" t="s">
        <v>955</v>
      </c>
      <c r="AA122" s="174" t="s">
        <v>3572</v>
      </c>
      <c r="AB122" s="174" t="s">
        <v>3572</v>
      </c>
      <c r="AC122" s="174" t="s">
        <v>3572</v>
      </c>
      <c r="AD122" s="9" t="s">
        <v>3541</v>
      </c>
      <c r="AE122" s="30">
        <f>INDEX('D1 - Master Project Table'!$A$1:$AK$7056,$A122,9)</f>
        <v>0.67</v>
      </c>
      <c r="AF122" s="34" t="str">
        <f>INDEX('D1 - Master Project Table'!$A$1:$AK$7056,$A122,8)</f>
        <v>1 - Scheduled</v>
      </c>
      <c r="AG122" s="146"/>
      <c r="AH122" s="227"/>
    </row>
    <row r="123" spans="1:34" ht="45" x14ac:dyDescent="0.2">
      <c r="A123" s="36">
        <f>MATCH(C123,'D1 - Master Project Table'!$D$1:$D$7056,0)</f>
        <v>127</v>
      </c>
      <c r="B123" s="36" t="e">
        <f>MATCH(C123,#REF!,0)</f>
        <v>#REF!</v>
      </c>
      <c r="C123" s="125" t="s">
        <v>10</v>
      </c>
      <c r="D123" s="34" t="str">
        <f>INDEX('D1 - Master Project Table'!$A$1:$AK$7056,$A123,5)</f>
        <v>ICD10- Field Expansion- UHC EI</v>
      </c>
      <c r="E123" s="31">
        <f>INDEX('D1 - Master Project Table'!$A$1:$AK$7056,$A123,11)</f>
        <v>41510</v>
      </c>
      <c r="F123" s="32" t="str">
        <f>INDEX('D1 - Master Project Table'!$A$1:$AK$7056,$A123,13)</f>
        <v>Project</v>
      </c>
      <c r="G123" s="32" t="str">
        <f>INDEX('D1 - Master Project Table'!$A$1:$AK$7056,$A123,7)</f>
        <v>3 - Green</v>
      </c>
      <c r="H123" s="4" t="s">
        <v>7273</v>
      </c>
      <c r="I123" s="9" t="s">
        <v>9581</v>
      </c>
      <c r="J123" s="8" t="s">
        <v>7273</v>
      </c>
      <c r="K123" s="8" t="s">
        <v>3758</v>
      </c>
      <c r="L123" s="8" t="s">
        <v>7273</v>
      </c>
      <c r="M123" s="8" t="s">
        <v>7273</v>
      </c>
      <c r="N123" s="8" t="s">
        <v>7273</v>
      </c>
      <c r="O123" s="8" t="s">
        <v>7273</v>
      </c>
      <c r="P123" s="8" t="s">
        <v>7273</v>
      </c>
      <c r="Q123" s="8" t="s">
        <v>4599</v>
      </c>
      <c r="R123" s="80">
        <v>41302</v>
      </c>
      <c r="S123" s="57" t="s">
        <v>2737</v>
      </c>
      <c r="T123" s="116"/>
      <c r="U123" s="8" t="s">
        <v>2815</v>
      </c>
      <c r="V123" s="175" t="s">
        <v>3572</v>
      </c>
      <c r="W123" s="80">
        <v>41383</v>
      </c>
      <c r="X123" s="8" t="s">
        <v>1276</v>
      </c>
      <c r="Y123" s="80">
        <v>41442</v>
      </c>
      <c r="Z123" s="9" t="s">
        <v>9013</v>
      </c>
      <c r="AA123" s="176">
        <v>41472</v>
      </c>
      <c r="AB123" s="9" t="s">
        <v>9550</v>
      </c>
      <c r="AC123" s="74"/>
      <c r="AD123" s="74"/>
      <c r="AE123" s="30">
        <f>INDEX('D1 - Master Project Table'!$A$1:$AK$7056,$A123,9)</f>
        <v>13.46</v>
      </c>
      <c r="AF123" s="34" t="str">
        <f>INDEX('D1 - Master Project Table'!$A$1:$AK$7056,$A123,8)</f>
        <v>1 - Scheduled</v>
      </c>
      <c r="AG123" s="146"/>
      <c r="AH123" s="227"/>
    </row>
    <row r="124" spans="1:34" x14ac:dyDescent="0.2">
      <c r="A124" s="36">
        <f>MATCH(C124,'D1 - Master Project Table'!$D$1:$D$7056,0)</f>
        <v>128</v>
      </c>
      <c r="B124" s="36" t="e">
        <f>MATCH(C124,#REF!,0)</f>
        <v>#REF!</v>
      </c>
      <c r="C124" s="125" t="s">
        <v>9058</v>
      </c>
      <c r="D124" s="34" t="str">
        <f>INDEX('D1 - Master Project Table'!$A$1:$AK$7056,$A124,5)</f>
        <v>ICD10- Field Expansion- UHC EI</v>
      </c>
      <c r="E124" s="31">
        <f>INDEX('D1 - Master Project Table'!$A$1:$AK$7056,$A124,11)</f>
        <v>41510</v>
      </c>
      <c r="F124" s="32" t="str">
        <f>INDEX('D1 - Master Project Table'!$A$1:$AK$7056,$A124,13)</f>
        <v>Testing</v>
      </c>
      <c r="G124" s="32" t="str">
        <f>INDEX('D1 - Master Project Table'!$A$1:$AK$7056,$A124,7)</f>
        <v>3 - Green</v>
      </c>
      <c r="H124" s="32"/>
      <c r="I124" s="74" t="s">
        <v>9059</v>
      </c>
      <c r="J124" s="28"/>
      <c r="K124" s="28"/>
      <c r="L124" s="28"/>
      <c r="M124" s="28"/>
      <c r="N124" s="28"/>
      <c r="O124" s="28"/>
      <c r="P124" s="28"/>
      <c r="Q124" s="8" t="s">
        <v>1731</v>
      </c>
      <c r="R124" s="80"/>
      <c r="S124" s="116"/>
      <c r="T124" s="116"/>
      <c r="U124" s="28"/>
      <c r="V124" s="80"/>
      <c r="W124" s="80"/>
      <c r="X124" s="28"/>
      <c r="Y124" s="80"/>
      <c r="Z124" s="8" t="s">
        <v>955</v>
      </c>
      <c r="AA124" s="84"/>
      <c r="AB124" s="74"/>
      <c r="AC124" s="74"/>
      <c r="AD124" s="74"/>
      <c r="AE124" s="30">
        <f>INDEX('D1 - Master Project Table'!$A$1:$AK$7056,$A124,9)</f>
        <v>0.34</v>
      </c>
      <c r="AF124" s="34" t="str">
        <f>INDEX('D1 - Master Project Table'!$A$1:$AK$7056,$A124,8)</f>
        <v>1 - Scheduled</v>
      </c>
      <c r="AG124" s="146"/>
      <c r="AH124" s="227"/>
    </row>
    <row r="125" spans="1:34" ht="42.75" customHeight="1" x14ac:dyDescent="0.2">
      <c r="A125" s="36">
        <f>MATCH(C125,'D1 - Master Project Table'!$D$1:$D$7056,0)</f>
        <v>129</v>
      </c>
      <c r="B125" s="36" t="e">
        <f>MATCH(C125,#REF!,0)</f>
        <v>#REF!</v>
      </c>
      <c r="C125" s="125" t="s">
        <v>9245</v>
      </c>
      <c r="D125" s="34" t="str">
        <f>INDEX('D1 - Master Project Table'!$A$1:$AK$7056,$A125,5)</f>
        <v>ICD10 Field Expansion UHC EI UMR</v>
      </c>
      <c r="E125" s="31">
        <f>INDEX('D1 - Master Project Table'!$A$1:$AK$7056,$A125,11)</f>
        <v>41510</v>
      </c>
      <c r="F125" s="32" t="str">
        <f>INDEX('D1 - Master Project Table'!$A$1:$AK$7056,$A125,13)</f>
        <v>Testing</v>
      </c>
      <c r="G125" s="32" t="str">
        <f>INDEX('D1 - Master Project Table'!$A$1:$AK$7056,$A125,7)</f>
        <v>3 - Green</v>
      </c>
      <c r="H125" s="32"/>
      <c r="I125" s="74" t="s">
        <v>9373</v>
      </c>
      <c r="J125" s="28"/>
      <c r="K125" s="28"/>
      <c r="L125" s="28"/>
      <c r="M125" s="28"/>
      <c r="N125" s="28"/>
      <c r="O125" s="28"/>
      <c r="P125" s="28"/>
      <c r="Q125" s="8" t="s">
        <v>1731</v>
      </c>
      <c r="R125" s="80"/>
      <c r="S125" s="116"/>
      <c r="T125" s="116"/>
      <c r="U125" s="28"/>
      <c r="V125" s="80"/>
      <c r="W125" s="80"/>
      <c r="X125" s="28"/>
      <c r="Y125" s="80"/>
      <c r="Z125" s="28"/>
      <c r="AA125" s="84"/>
      <c r="AB125" s="74"/>
      <c r="AC125" s="74"/>
      <c r="AD125" s="74"/>
      <c r="AE125" s="30">
        <f>INDEX('D1 - Master Project Table'!$A$1:$AK$7056,$A125,9)</f>
        <v>0.14000000000000001</v>
      </c>
      <c r="AF125" s="34" t="str">
        <f>INDEX('D1 - Master Project Table'!$A$1:$AK$7056,$A125,8)</f>
        <v>1 - Scheduled</v>
      </c>
      <c r="AG125" s="146"/>
      <c r="AH125" s="227"/>
    </row>
    <row r="126" spans="1:34" ht="75.75" customHeight="1" x14ac:dyDescent="0.2">
      <c r="A126" s="36">
        <f>MATCH(C126,'D1 - Master Project Table'!$D$1:$D$7056,0)</f>
        <v>130</v>
      </c>
      <c r="B126" s="36" t="e">
        <f>MATCH(C126,#REF!,0)</f>
        <v>#REF!</v>
      </c>
      <c r="C126" s="125" t="s">
        <v>8223</v>
      </c>
      <c r="D126" s="34" t="str">
        <f>INDEX('D1 - Master Project Table'!$A$1:$AK$7056,$A126,5)</f>
        <v>HP JV Member Portal Model Project</v>
      </c>
      <c r="E126" s="31">
        <f>INDEX('D1 - Master Project Table'!$A$1:$AK$7056,$A126,11)</f>
        <v>41510</v>
      </c>
      <c r="F126" s="32" t="str">
        <f>INDEX('D1 - Master Project Table'!$A$1:$AK$7056,$A126,13)</f>
        <v>Testing</v>
      </c>
      <c r="G126" s="32" t="str">
        <f>INDEX('D1 - Master Project Table'!$A$1:$AK$7056,$A126,7)</f>
        <v>3 - Green</v>
      </c>
      <c r="H126" s="32"/>
      <c r="I126" s="9" t="s">
        <v>4011</v>
      </c>
      <c r="J126" s="28"/>
      <c r="K126" s="28"/>
      <c r="L126" s="28"/>
      <c r="M126" s="28"/>
      <c r="N126" s="28"/>
      <c r="O126" s="28"/>
      <c r="P126" s="28"/>
      <c r="Q126" s="8" t="s">
        <v>1731</v>
      </c>
      <c r="R126" s="80"/>
      <c r="S126" s="116"/>
      <c r="T126" s="116"/>
      <c r="U126" s="28"/>
      <c r="V126" s="80"/>
      <c r="W126" s="80"/>
      <c r="X126" s="28"/>
      <c r="Y126" s="80"/>
      <c r="Z126" s="8" t="s">
        <v>955</v>
      </c>
      <c r="AA126" s="84"/>
      <c r="AB126" s="74"/>
      <c r="AC126" s="74"/>
      <c r="AD126" s="74"/>
      <c r="AE126" s="30">
        <f>INDEX('D1 - Master Project Table'!$A$1:$AK$7056,$A126,9)</f>
        <v>0.2</v>
      </c>
      <c r="AF126" s="34" t="str">
        <f>INDEX('D1 - Master Project Table'!$A$1:$AK$7056,$A126,8)</f>
        <v>1 - Scheduled</v>
      </c>
      <c r="AG126" s="146"/>
      <c r="AH126" s="227"/>
    </row>
    <row r="127" spans="1:34" ht="23.25" customHeight="1" x14ac:dyDescent="0.2">
      <c r="A127" s="36">
        <f>MATCH(C127,'D1 - Master Project Table'!$D$1:$D$7056,0)</f>
        <v>131</v>
      </c>
      <c r="B127" s="36" t="e">
        <f>MATCH(C127,#REF!,0)</f>
        <v>#REF!</v>
      </c>
      <c r="C127" s="125" t="s">
        <v>9571</v>
      </c>
      <c r="D127" s="34" t="str">
        <f>INDEX('D1 - Master Project Table'!$A$1:$AK$7056,$A127,5)</f>
        <v>New Jersey CSP Facets Migration</v>
      </c>
      <c r="E127" s="31">
        <f>INDEX('D1 - Master Project Table'!$A$1:$AK$7056,$A127,11)</f>
        <v>41510</v>
      </c>
      <c r="F127" s="32" t="str">
        <f>INDEX('D1 - Master Project Table'!$A$1:$AK$7056,$A127,13)</f>
        <v>Project</v>
      </c>
      <c r="G127" s="32" t="str">
        <f>INDEX('D1 - Master Project Table'!$A$1:$AK$7056,$A127,7)</f>
        <v>3 - Green</v>
      </c>
      <c r="H127" s="32"/>
      <c r="I127" s="9" t="s">
        <v>9575</v>
      </c>
      <c r="J127" s="28"/>
      <c r="K127" s="28"/>
      <c r="L127" s="28"/>
      <c r="M127" s="28"/>
      <c r="N127" s="28"/>
      <c r="O127" s="28"/>
      <c r="P127" s="28"/>
      <c r="Q127" s="8" t="s">
        <v>219</v>
      </c>
      <c r="R127" s="80"/>
      <c r="S127" s="116"/>
      <c r="T127" s="116"/>
      <c r="U127" s="8" t="s">
        <v>404</v>
      </c>
      <c r="V127" s="80"/>
      <c r="W127" s="80"/>
      <c r="X127" s="8" t="s">
        <v>9560</v>
      </c>
      <c r="Y127" s="80"/>
      <c r="Z127" s="28"/>
      <c r="AA127" s="84"/>
      <c r="AB127" s="74"/>
      <c r="AC127" s="74"/>
      <c r="AD127" s="74"/>
      <c r="AE127" s="30">
        <f>INDEX('D1 - Master Project Table'!$A$1:$AK$7056,$A127,9)</f>
        <v>8.3699999999999992</v>
      </c>
      <c r="AF127" s="34" t="str">
        <f>INDEX('D1 - Master Project Table'!$A$1:$AK$7056,$A127,8)</f>
        <v>1 - Scheduled</v>
      </c>
      <c r="AG127" s="146"/>
      <c r="AH127" s="227"/>
    </row>
    <row r="128" spans="1:34" ht="90.75" customHeight="1" x14ac:dyDescent="0.2">
      <c r="A128" s="36">
        <f>MATCH(C128,'D1 - Master Project Table'!$D$1:$D$7056,0)</f>
        <v>132</v>
      </c>
      <c r="B128" s="36" t="e">
        <f>MATCH(C128,#REF!,0)</f>
        <v>#REF!</v>
      </c>
      <c r="C128" s="125" t="s">
        <v>9611</v>
      </c>
      <c r="D128" s="34" t="str">
        <f>INDEX('D1 - Master Project Table'!$A$1:$AK$7056,$A128,5)</f>
        <v xml:space="preserve">ICD10 E &amp; I Compliance Release </v>
      </c>
      <c r="E128" s="31">
        <f>INDEX('D1 - Master Project Table'!$A$1:$AK$7056,$A128,11)</f>
        <v>41510</v>
      </c>
      <c r="F128" s="32" t="str">
        <f>INDEX('D1 - Master Project Table'!$A$1:$AK$7056,$A128,13)</f>
        <v>Testing</v>
      </c>
      <c r="G128" s="32" t="str">
        <f>INDEX('D1 - Master Project Table'!$A$1:$AK$7056,$A128,7)</f>
        <v>3 - Green</v>
      </c>
      <c r="H128" s="32"/>
      <c r="I128" s="9" t="s">
        <v>9610</v>
      </c>
      <c r="J128" s="28"/>
      <c r="K128" s="28"/>
      <c r="L128" s="28"/>
      <c r="M128" s="28"/>
      <c r="N128" s="28"/>
      <c r="O128" s="28"/>
      <c r="P128" s="28"/>
      <c r="Q128" s="8" t="s">
        <v>1731</v>
      </c>
      <c r="R128" s="80"/>
      <c r="S128" s="116"/>
      <c r="T128" s="116"/>
      <c r="U128" s="28"/>
      <c r="V128" s="80"/>
      <c r="W128" s="80"/>
      <c r="X128" s="28"/>
      <c r="Y128" s="80"/>
      <c r="Z128" s="28"/>
      <c r="AA128" s="84"/>
      <c r="AB128" s="74"/>
      <c r="AC128" s="74"/>
      <c r="AD128" s="74"/>
      <c r="AE128" s="30">
        <f>INDEX('D1 - Master Project Table'!$A$1:$AK$7056,$A128,9)</f>
        <v>2.52</v>
      </c>
      <c r="AF128" s="34" t="str">
        <f>INDEX('D1 - Master Project Table'!$A$1:$AK$7056,$A128,8)</f>
        <v>1 - Scheduled</v>
      </c>
      <c r="AG128" s="146"/>
      <c r="AH128" s="227"/>
    </row>
    <row r="129" spans="1:34" ht="409.5" x14ac:dyDescent="0.2">
      <c r="A129" s="36">
        <f>MATCH(C129,'D1 - Master Project Table'!$D$1:$D$7056,0)</f>
        <v>133</v>
      </c>
      <c r="B129" s="36" t="e">
        <f>MATCH(C129,#REF!,0)</f>
        <v>#REF!</v>
      </c>
      <c r="C129" s="200" t="s">
        <v>250</v>
      </c>
      <c r="D129" s="34" t="str">
        <f>INDEX('D1 - Master Project Table'!$A$1:$AK$7056,$A129,5)</f>
        <v xml:space="preserve">NDB Cosmos Demo SoT OHBS </v>
      </c>
      <c r="E129" s="31">
        <f>INDEX('D1 - Master Project Table'!$A$1:$AK$7056,$A129,11)</f>
        <v>41510</v>
      </c>
      <c r="F129" s="32" t="str">
        <f>INDEX('D1 - Master Project Table'!$A$1:$AK$7056,$A129,13)</f>
        <v>Project</v>
      </c>
      <c r="G129" s="32" t="str">
        <f>INDEX('D1 - Master Project Table'!$A$1:$AK$7056,$A129,7)</f>
        <v>3 - Green</v>
      </c>
      <c r="H129" s="32"/>
      <c r="I129" s="9" t="s">
        <v>9634</v>
      </c>
      <c r="J129" s="8" t="s">
        <v>3758</v>
      </c>
      <c r="K129" s="8" t="s">
        <v>3758</v>
      </c>
      <c r="L129" s="8" t="s">
        <v>3758</v>
      </c>
      <c r="M129" s="8" t="s">
        <v>3758</v>
      </c>
      <c r="N129" s="8" t="s">
        <v>7273</v>
      </c>
      <c r="O129" s="8" t="s">
        <v>7273</v>
      </c>
      <c r="P129" s="8" t="s">
        <v>3758</v>
      </c>
      <c r="Q129" s="8" t="s">
        <v>1379</v>
      </c>
      <c r="R129" s="80">
        <v>41317</v>
      </c>
      <c r="S129" s="57" t="s">
        <v>2737</v>
      </c>
      <c r="T129" s="116" t="s">
        <v>3758</v>
      </c>
      <c r="U129" s="8" t="s">
        <v>9037</v>
      </c>
      <c r="V129" s="175">
        <v>41368</v>
      </c>
      <c r="W129" s="80">
        <v>41383</v>
      </c>
      <c r="X129" s="9" t="s">
        <v>9038</v>
      </c>
      <c r="Y129" s="80">
        <v>41442</v>
      </c>
      <c r="Z129" s="294" t="s">
        <v>9343</v>
      </c>
      <c r="AA129" s="84" t="s">
        <v>7684</v>
      </c>
      <c r="AB129" s="74"/>
      <c r="AC129" s="301" t="s">
        <v>7685</v>
      </c>
      <c r="AD129" s="74"/>
      <c r="AE129" s="30">
        <f>INDEX('D1 - Master Project Table'!$A$1:$AK$7056,$A129,9)</f>
        <v>51.75</v>
      </c>
      <c r="AF129" s="34" t="str">
        <f>INDEX('D1 - Master Project Table'!$A$1:$AK$7056,$A129,8)</f>
        <v>1 - Scheduled</v>
      </c>
      <c r="AG129" s="6" t="s">
        <v>9042</v>
      </c>
      <c r="AH129" s="228"/>
    </row>
    <row r="130" spans="1:34" ht="77.25" customHeight="1" x14ac:dyDescent="0.2">
      <c r="A130" s="36">
        <f>MATCH(C130,'D1 - Master Project Table'!$D$1:$D$7056,0)</f>
        <v>134</v>
      </c>
      <c r="B130" s="36" t="e">
        <f>MATCH(C130,#REF!,0)</f>
        <v>#REF!</v>
      </c>
      <c r="C130" s="125" t="s">
        <v>9142</v>
      </c>
      <c r="D130" s="34" t="str">
        <f>INDEX('D1 - Master Project Table'!$A$1:$AK$7056,$A130,5)</f>
        <v xml:space="preserve">NDB Cosmos Demo SoT OHBS </v>
      </c>
      <c r="E130" s="31">
        <f>INDEX('D1 - Master Project Table'!$A$1:$AK$7056,$A130,11)</f>
        <v>41510</v>
      </c>
      <c r="F130" s="32" t="str">
        <f>INDEX('D1 - Master Project Table'!$A$1:$AK$7056,$A130,13)</f>
        <v>Project</v>
      </c>
      <c r="G130" s="32" t="str">
        <f>INDEX('D1 - Master Project Table'!$A$1:$AK$7056,$A130,7)</f>
        <v>3 - Green</v>
      </c>
      <c r="H130" s="32"/>
      <c r="I130" s="9" t="s">
        <v>9395</v>
      </c>
      <c r="J130" s="8" t="s">
        <v>7273</v>
      </c>
      <c r="K130" s="8" t="s">
        <v>3758</v>
      </c>
      <c r="L130" s="8" t="s">
        <v>7273</v>
      </c>
      <c r="M130" s="8" t="s">
        <v>7273</v>
      </c>
      <c r="N130" s="8" t="s">
        <v>7273</v>
      </c>
      <c r="O130" s="8" t="s">
        <v>7273</v>
      </c>
      <c r="P130" s="8" t="s">
        <v>7273</v>
      </c>
      <c r="Q130" s="8" t="s">
        <v>1379</v>
      </c>
      <c r="R130" s="80"/>
      <c r="S130" s="116"/>
      <c r="T130" s="116"/>
      <c r="U130" s="28"/>
      <c r="V130" s="80"/>
      <c r="W130" s="80"/>
      <c r="X130" s="28"/>
      <c r="Y130" s="80"/>
      <c r="Z130" s="8" t="s">
        <v>5183</v>
      </c>
      <c r="AA130" s="84"/>
      <c r="AB130" s="74"/>
      <c r="AC130" s="74"/>
      <c r="AD130" s="74"/>
      <c r="AE130" s="30">
        <f>INDEX('D1 - Master Project Table'!$A$1:$AK$7056,$A130,9)</f>
        <v>1.42</v>
      </c>
      <c r="AF130" s="34" t="str">
        <f>INDEX('D1 - Master Project Table'!$A$1:$AK$7056,$A130,8)</f>
        <v>1 - Scheduled</v>
      </c>
      <c r="AG130" s="146"/>
      <c r="AH130" s="227"/>
    </row>
    <row r="131" spans="1:34" ht="22.5" x14ac:dyDescent="0.2">
      <c r="A131" s="36">
        <f>MATCH(C131,'D1 - Master Project Table'!$D$1:$D$7056,0)</f>
        <v>135</v>
      </c>
      <c r="B131" s="36" t="e">
        <f>MATCH(C131,#REF!,0)</f>
        <v>#REF!</v>
      </c>
      <c r="C131" s="125" t="s">
        <v>9572</v>
      </c>
      <c r="D131" s="34" t="str">
        <f>INDEX('D1 - Master Project Table'!$A$1:$AK$7056,$A131,5)</f>
        <v>Kansas Medicaid - KanCare Implementation</v>
      </c>
      <c r="E131" s="31">
        <f>INDEX('D1 - Master Project Table'!$A$1:$AK$7056,$A131,11)</f>
        <v>41510</v>
      </c>
      <c r="F131" s="32" t="str">
        <f>INDEX('D1 - Master Project Table'!$A$1:$AK$7056,$A131,13)</f>
        <v>Testing</v>
      </c>
      <c r="G131" s="32" t="str">
        <f>INDEX('D1 - Master Project Table'!$A$1:$AK$7056,$A131,7)</f>
        <v>3 - Green</v>
      </c>
      <c r="H131" s="32"/>
      <c r="I131" s="74" t="s">
        <v>9574</v>
      </c>
      <c r="J131" s="28"/>
      <c r="K131" s="28"/>
      <c r="L131" s="28"/>
      <c r="M131" s="28"/>
      <c r="N131" s="28"/>
      <c r="O131" s="28"/>
      <c r="P131" s="28"/>
      <c r="Q131" s="8" t="s">
        <v>1731</v>
      </c>
      <c r="R131" s="80"/>
      <c r="S131" s="116"/>
      <c r="T131" s="116"/>
      <c r="U131" s="28"/>
      <c r="V131" s="80"/>
      <c r="W131" s="80"/>
      <c r="X131" s="28"/>
      <c r="Y131" s="80"/>
      <c r="Z131" s="28"/>
      <c r="AA131" s="84"/>
      <c r="AB131" s="74"/>
      <c r="AC131" s="74"/>
      <c r="AD131" s="74"/>
      <c r="AE131" s="30">
        <f>INDEX('D1 - Master Project Table'!$A$1:$AK$7056,$A131,9)</f>
        <v>0.37</v>
      </c>
      <c r="AF131" s="34" t="str">
        <f>INDEX('D1 - Master Project Table'!$A$1:$AK$7056,$A131,8)</f>
        <v>1 - Scheduled</v>
      </c>
      <c r="AG131" s="146"/>
      <c r="AH131" s="227"/>
    </row>
    <row r="132" spans="1:34" ht="105.75" customHeight="1" x14ac:dyDescent="0.2">
      <c r="A132" s="36">
        <f>MATCH(C132,'D1 - Master Project Table'!$D$1:$D$7056,0)</f>
        <v>136</v>
      </c>
      <c r="B132" s="36" t="e">
        <f>MATCH(C132,#REF!,0)</f>
        <v>#REF!</v>
      </c>
      <c r="C132" s="200" t="s">
        <v>432</v>
      </c>
      <c r="D132" s="34" t="str">
        <f>INDEX('D1 - Master Project Table'!$A$1:$AK$7056,$A132,5)</f>
        <v>Provider Reimbursement Modernization – Phase I</v>
      </c>
      <c r="E132" s="31">
        <f>INDEX('D1 - Master Project Table'!$A$1:$AK$7056,$A132,11)</f>
        <v>41510</v>
      </c>
      <c r="F132" s="32" t="str">
        <f>INDEX('D1 - Master Project Table'!$A$1:$AK$7056,$A132,13)</f>
        <v>Project</v>
      </c>
      <c r="G132" s="32" t="str">
        <f>INDEX('D1 - Master Project Table'!$A$1:$AK$7056,$A132,7)</f>
        <v>3 - Green</v>
      </c>
      <c r="H132" s="32"/>
      <c r="I132" s="9" t="s">
        <v>9625</v>
      </c>
      <c r="J132" s="8" t="s">
        <v>3758</v>
      </c>
      <c r="K132" s="8" t="s">
        <v>7273</v>
      </c>
      <c r="L132" s="8" t="s">
        <v>3758</v>
      </c>
      <c r="M132" s="8" t="s">
        <v>7273</v>
      </c>
      <c r="N132" s="8" t="s">
        <v>7273</v>
      </c>
      <c r="O132" s="8" t="s">
        <v>7273</v>
      </c>
      <c r="P132" s="8" t="s">
        <v>7273</v>
      </c>
      <c r="Q132" s="8" t="s">
        <v>895</v>
      </c>
      <c r="R132" s="80"/>
      <c r="S132" s="57" t="s">
        <v>2737</v>
      </c>
      <c r="T132" s="116"/>
      <c r="U132" s="8" t="s">
        <v>5212</v>
      </c>
      <c r="V132" s="80">
        <v>41320</v>
      </c>
      <c r="W132" s="80">
        <v>41348</v>
      </c>
      <c r="X132" s="8" t="s">
        <v>212</v>
      </c>
      <c r="Y132" s="80">
        <v>41389</v>
      </c>
      <c r="Z132" s="9" t="s">
        <v>9008</v>
      </c>
      <c r="AA132" s="84">
        <v>41416</v>
      </c>
      <c r="AB132" s="9" t="s">
        <v>9168</v>
      </c>
      <c r="AC132" s="74"/>
      <c r="AD132" s="74"/>
      <c r="AE132" s="30">
        <f>INDEX('D1 - Master Project Table'!$A$1:$AK$7056,$A132,9)</f>
        <v>8.11</v>
      </c>
      <c r="AF132" s="34" t="str">
        <f>INDEX('D1 - Master Project Table'!$A$1:$AK$7056,$A132,8)</f>
        <v>1 - Scheduled</v>
      </c>
      <c r="AG132" s="146"/>
      <c r="AH132" s="227"/>
    </row>
    <row r="133" spans="1:34" ht="22.5" x14ac:dyDescent="0.2">
      <c r="A133" s="36">
        <f>MATCH(C133,'D1 - Master Project Table'!$D$1:$D$7056,0)</f>
        <v>137</v>
      </c>
      <c r="B133" s="36" t="e">
        <f>MATCH(C133,#REF!,0)</f>
        <v>#REF!</v>
      </c>
      <c r="C133" s="125" t="s">
        <v>2033</v>
      </c>
      <c r="D133" s="34" t="str">
        <f>INDEX('D1 - Master Project Table'!$A$1:$AK$7056,$A133,5)</f>
        <v>Adding ICM and RR Codes to Benefits/Systems</v>
      </c>
      <c r="E133" s="31">
        <f>INDEX('D1 - Master Project Table'!$A$1:$AK$7056,$A133,11)</f>
        <v>41510</v>
      </c>
      <c r="F133" s="32" t="str">
        <f>INDEX('D1 - Master Project Table'!$A$1:$AK$7056,$A133,13)</f>
        <v>Testing</v>
      </c>
      <c r="G133" s="32" t="str">
        <f>INDEX('D1 - Master Project Table'!$A$1:$AK$7056,$A133,7)</f>
        <v>3 - Green</v>
      </c>
      <c r="H133" s="32"/>
      <c r="I133" s="74"/>
      <c r="J133" s="28" t="s">
        <v>7273</v>
      </c>
      <c r="K133" s="28" t="s">
        <v>7273</v>
      </c>
      <c r="L133" s="28" t="s">
        <v>7273</v>
      </c>
      <c r="M133" s="28" t="s">
        <v>7273</v>
      </c>
      <c r="N133" s="28" t="s">
        <v>7273</v>
      </c>
      <c r="O133" s="28" t="s">
        <v>7273</v>
      </c>
      <c r="P133" s="28" t="s">
        <v>7273</v>
      </c>
      <c r="Q133" s="8" t="s">
        <v>1731</v>
      </c>
      <c r="R133" s="116" t="s">
        <v>3572</v>
      </c>
      <c r="S133" s="116" t="s">
        <v>3572</v>
      </c>
      <c r="T133" s="116" t="s">
        <v>3572</v>
      </c>
      <c r="U133" s="116" t="s">
        <v>3572</v>
      </c>
      <c r="V133" s="116" t="s">
        <v>3572</v>
      </c>
      <c r="W133" s="116" t="s">
        <v>3572</v>
      </c>
      <c r="X133" s="116" t="s">
        <v>3572</v>
      </c>
      <c r="Y133" s="116" t="s">
        <v>3572</v>
      </c>
      <c r="Z133" s="8" t="s">
        <v>955</v>
      </c>
      <c r="AA133" s="174" t="s">
        <v>3572</v>
      </c>
      <c r="AB133" s="174" t="s">
        <v>3572</v>
      </c>
      <c r="AC133" s="174" t="s">
        <v>3572</v>
      </c>
      <c r="AD133" s="74"/>
      <c r="AE133" s="30">
        <f>INDEX('D1 - Master Project Table'!$A$1:$AK$7056,$A133,9)</f>
        <v>7.0000000000000007E-2</v>
      </c>
      <c r="AF133" s="34" t="str">
        <f>INDEX('D1 - Master Project Table'!$A$1:$AK$7056,$A133,8)</f>
        <v>1 - Scheduled</v>
      </c>
      <c r="AG133" s="146"/>
      <c r="AH133" s="227"/>
    </row>
    <row r="134" spans="1:34" x14ac:dyDescent="0.2">
      <c r="A134" s="36">
        <f>MATCH(C134,'D1 - Master Project Table'!$D$1:$D$7056,0)</f>
        <v>138</v>
      </c>
      <c r="B134" s="36" t="e">
        <f>MATCH(C134,#REF!,0)</f>
        <v>#REF!</v>
      </c>
      <c r="C134" s="125" t="s">
        <v>2326</v>
      </c>
      <c r="D134" s="34" t="str">
        <f>INDEX('D1 - Master Project Table'!$A$1:$AK$7056,$A134,5)</f>
        <v>PHC Eligibility Migration to GPS</v>
      </c>
      <c r="E134" s="31">
        <f>INDEX('D1 - Master Project Table'!$A$1:$AK$7056,$A134,11)</f>
        <v>41510</v>
      </c>
      <c r="F134" s="32" t="str">
        <f>INDEX('D1 - Master Project Table'!$A$1:$AK$7056,$A134,13)</f>
        <v>Testing</v>
      </c>
      <c r="G134" s="32" t="str">
        <f>INDEX('D1 - Master Project Table'!$A$1:$AK$7056,$A134,7)</f>
        <v>3 - Green</v>
      </c>
      <c r="H134" s="32"/>
      <c r="I134" s="74" t="s">
        <v>1679</v>
      </c>
      <c r="J134" s="28"/>
      <c r="K134" s="28"/>
      <c r="L134" s="28"/>
      <c r="M134" s="28"/>
      <c r="N134" s="28"/>
      <c r="O134" s="28"/>
      <c r="P134" s="28"/>
      <c r="Q134" s="28" t="s">
        <v>1731</v>
      </c>
      <c r="R134" s="80"/>
      <c r="S134" s="116"/>
      <c r="T134" s="116"/>
      <c r="U134" s="28"/>
      <c r="V134" s="80"/>
      <c r="W134" s="80"/>
      <c r="X134" s="28"/>
      <c r="Y134" s="80"/>
      <c r="Z134" s="8" t="s">
        <v>955</v>
      </c>
      <c r="AA134" s="84"/>
      <c r="AB134" s="74"/>
      <c r="AC134" s="74"/>
      <c r="AD134" s="74"/>
      <c r="AE134" s="30">
        <f>INDEX('D1 - Master Project Table'!$A$1:$AK$7056,$A134,9)</f>
        <v>0.47</v>
      </c>
      <c r="AF134" s="34" t="str">
        <f>INDEX('D1 - Master Project Table'!$A$1:$AK$7056,$A134,8)</f>
        <v>1 - Scheduled</v>
      </c>
      <c r="AG134" s="146"/>
      <c r="AH134" s="227"/>
    </row>
    <row r="135" spans="1:34" ht="55.5" customHeight="1" x14ac:dyDescent="0.2">
      <c r="A135" s="36">
        <f>MATCH(C135,'D1 - Master Project Table'!$D$1:$D$7056,0)</f>
        <v>140</v>
      </c>
      <c r="B135" s="36" t="e">
        <f>MATCH(C135,#REF!,0)</f>
        <v>#REF!</v>
      </c>
      <c r="C135" s="125" t="s">
        <v>9336</v>
      </c>
      <c r="D135" s="34" t="str">
        <f>INDEX('D1 - Master Project Table'!$A$1:$AK$7056,$A135,5)</f>
        <v>Texas Health Steps</v>
      </c>
      <c r="E135" s="31">
        <f>INDEX('D1 - Master Project Table'!$A$1:$AK$7056,$A135,11)</f>
        <v>41510</v>
      </c>
      <c r="F135" s="32" t="str">
        <f>INDEX('D1 - Master Project Table'!$A$1:$AK$7056,$A135,13)</f>
        <v>Project</v>
      </c>
      <c r="G135" s="32" t="str">
        <f>INDEX('D1 - Master Project Table'!$A$1:$AK$7056,$A135,7)</f>
        <v>3 - Green</v>
      </c>
      <c r="H135" s="32"/>
      <c r="I135" s="9" t="s">
        <v>9639</v>
      </c>
      <c r="J135" s="28"/>
      <c r="K135" s="28"/>
      <c r="L135" s="28"/>
      <c r="M135" s="28"/>
      <c r="N135" s="28"/>
      <c r="O135" s="28"/>
      <c r="P135" s="28"/>
      <c r="Q135" s="8" t="s">
        <v>3105</v>
      </c>
      <c r="R135" s="80"/>
      <c r="S135" s="116"/>
      <c r="T135" s="116"/>
      <c r="U135" s="8" t="s">
        <v>404</v>
      </c>
      <c r="V135" s="175" t="s">
        <v>4769</v>
      </c>
      <c r="W135" s="80">
        <v>41425</v>
      </c>
      <c r="X135" s="8" t="s">
        <v>2810</v>
      </c>
      <c r="Y135" s="80"/>
      <c r="Z135" s="8" t="s">
        <v>4027</v>
      </c>
      <c r="AA135" s="84"/>
      <c r="AB135" s="9" t="s">
        <v>9551</v>
      </c>
      <c r="AC135" s="74"/>
      <c r="AD135" s="74"/>
      <c r="AE135" s="30">
        <f>INDEX('D1 - Master Project Table'!$A$1:$AK$7056,$A135,9)</f>
        <v>1.1399999999999999</v>
      </c>
      <c r="AF135" s="34" t="str">
        <f>INDEX('D1 - Master Project Table'!$A$1:$AK$7056,$A135,8)</f>
        <v>1 - Scheduled</v>
      </c>
      <c r="AG135" s="146"/>
      <c r="AH135" s="227"/>
    </row>
    <row r="136" spans="1:34" ht="31.5" customHeight="1" x14ac:dyDescent="0.2">
      <c r="A136" s="36">
        <f>MATCH(C136,'D1 - Master Project Table'!$D$1:$D$7056,0)</f>
        <v>141</v>
      </c>
      <c r="B136" s="36" t="e">
        <f>MATCH(C136,#REF!,0)</f>
        <v>#REF!</v>
      </c>
      <c r="C136" s="125" t="s">
        <v>9205</v>
      </c>
      <c r="D136" s="34" t="str">
        <f>INDEX('D1 - Master Project Table'!$A$1:$AK$7056,$A136,5)</f>
        <v>TRICARE West Implementation FD: Provider/Network</v>
      </c>
      <c r="E136" s="31">
        <f>INDEX('D1 - Master Project Table'!$A$1:$AK$7056,$A136,11)</f>
        <v>41510</v>
      </c>
      <c r="F136" s="32" t="str">
        <f>INDEX('D1 - Master Project Table'!$A$1:$AK$7056,$A136,13)</f>
        <v>Testing</v>
      </c>
      <c r="G136" s="32" t="str">
        <f>INDEX('D1 - Master Project Table'!$A$1:$AK$7056,$A136,7)</f>
        <v>3 - Green</v>
      </c>
      <c r="H136" s="32"/>
      <c r="I136" s="74" t="s">
        <v>4276</v>
      </c>
      <c r="J136" s="28"/>
      <c r="K136" s="28"/>
      <c r="L136" s="28"/>
      <c r="M136" s="28"/>
      <c r="N136" s="28"/>
      <c r="O136" s="28"/>
      <c r="P136" s="28"/>
      <c r="Q136" s="8" t="s">
        <v>1731</v>
      </c>
      <c r="R136" s="80"/>
      <c r="S136" s="116"/>
      <c r="T136" s="116"/>
      <c r="U136" s="28"/>
      <c r="V136" s="80"/>
      <c r="W136" s="80"/>
      <c r="X136" s="28"/>
      <c r="Y136" s="80"/>
      <c r="Z136" s="8" t="s">
        <v>955</v>
      </c>
      <c r="AA136" s="84"/>
      <c r="AB136" s="74"/>
      <c r="AC136" s="74"/>
      <c r="AD136" s="74"/>
      <c r="AE136" s="30">
        <f>INDEX('D1 - Master Project Table'!$A$1:$AK$7056,$A136,9)</f>
        <v>0.35</v>
      </c>
      <c r="AF136" s="34" t="str">
        <f>INDEX('D1 - Master Project Table'!$A$1:$AK$7056,$A136,8)</f>
        <v>1 - Scheduled</v>
      </c>
      <c r="AG136" s="146"/>
      <c r="AH136" s="227"/>
    </row>
    <row r="137" spans="1:34" ht="121.5" customHeight="1" x14ac:dyDescent="0.2">
      <c r="A137" s="36">
        <f>MATCH(C137,'D1 - Master Project Table'!$D$1:$D$7056,0)</f>
        <v>142</v>
      </c>
      <c r="B137" s="36" t="e">
        <f>MATCH(C137,#REF!,0)</f>
        <v>#REF!</v>
      </c>
      <c r="C137" s="125" t="s">
        <v>9573</v>
      </c>
      <c r="D137" s="34" t="str">
        <f>INDEX('D1 - Master Project Table'!$A$1:$AK$7056,$A137,5)</f>
        <v>ICD-10 Load Codes for Enterprise Test</v>
      </c>
      <c r="E137" s="31">
        <f>INDEX('D1 - Master Project Table'!$A$1:$AK$7056,$A137,11)</f>
        <v>41510</v>
      </c>
      <c r="F137" s="32" t="str">
        <f>INDEX('D1 - Master Project Table'!$A$1:$AK$7056,$A137,13)</f>
        <v>Project</v>
      </c>
      <c r="G137" s="32" t="str">
        <f>INDEX('D1 - Master Project Table'!$A$1:$AK$7056,$A137,7)</f>
        <v>3 - Green</v>
      </c>
      <c r="H137" s="4" t="s">
        <v>7290</v>
      </c>
      <c r="I137" s="9" t="s">
        <v>9583</v>
      </c>
      <c r="J137" s="28"/>
      <c r="K137" s="28"/>
      <c r="L137" s="28"/>
      <c r="M137" s="28"/>
      <c r="N137" s="28"/>
      <c r="O137" s="28"/>
      <c r="P137" s="28"/>
      <c r="Q137" s="8" t="s">
        <v>4599</v>
      </c>
      <c r="R137" s="80"/>
      <c r="S137" s="116"/>
      <c r="T137" s="116"/>
      <c r="U137" s="8" t="s">
        <v>927</v>
      </c>
      <c r="V137" s="80"/>
      <c r="W137" s="80"/>
      <c r="X137" s="8" t="s">
        <v>9576</v>
      </c>
      <c r="Y137" s="80"/>
      <c r="Z137" s="28"/>
      <c r="AA137" s="84"/>
      <c r="AB137" s="74"/>
      <c r="AC137" s="74"/>
      <c r="AD137" s="74"/>
      <c r="AE137" s="30">
        <f>INDEX('D1 - Master Project Table'!$A$1:$AK$7056,$A137,9)</f>
        <v>39.340000000000003</v>
      </c>
      <c r="AF137" s="34" t="str">
        <f>INDEX('D1 - Master Project Table'!$A$1:$AK$7056,$A137,8)</f>
        <v>1 - Scheduled</v>
      </c>
      <c r="AG137" s="146"/>
      <c r="AH137" s="227"/>
    </row>
    <row r="138" spans="1:34" ht="70.5" customHeight="1" x14ac:dyDescent="0.2">
      <c r="A138" s="36">
        <f>MATCH(C138,'D1 - Master Project Table'!$D$1:$D$7056,0)</f>
        <v>143</v>
      </c>
      <c r="B138" s="36" t="e">
        <f>MATCH(C138,#REF!,0)</f>
        <v>#REF!</v>
      </c>
      <c r="C138" s="125" t="s">
        <v>920</v>
      </c>
      <c r="D138" s="34" t="str">
        <f>INDEX('D1 - Master Project Table'!$A$1:$AK$7056,$A138,5)</f>
        <v>iCES Clearinghouse August 2013 Maintenance Release</v>
      </c>
      <c r="E138" s="31">
        <f>INDEX('D1 - Master Project Table'!$A$1:$AK$7056,$A138,11)</f>
        <v>41510</v>
      </c>
      <c r="F138" s="32" t="str">
        <f>INDEX('D1 - Master Project Table'!$A$1:$AK$7056,$A138,13)</f>
        <v>Testing</v>
      </c>
      <c r="G138" s="32" t="str">
        <f>INDEX('D1 - Master Project Table'!$A$1:$AK$7056,$A138,7)</f>
        <v>3 - Green</v>
      </c>
      <c r="H138" s="32"/>
      <c r="I138" s="74"/>
      <c r="J138" s="28"/>
      <c r="K138" s="28"/>
      <c r="L138" s="28"/>
      <c r="M138" s="28"/>
      <c r="N138" s="28"/>
      <c r="O138" s="28"/>
      <c r="P138" s="28"/>
      <c r="Q138" s="8" t="s">
        <v>1731</v>
      </c>
      <c r="R138" s="80"/>
      <c r="S138" s="116"/>
      <c r="T138" s="116"/>
      <c r="U138" s="28"/>
      <c r="V138" s="80"/>
      <c r="W138" s="80"/>
      <c r="X138" s="28"/>
      <c r="Y138" s="80"/>
      <c r="Z138" s="28" t="s">
        <v>955</v>
      </c>
      <c r="AA138" s="84"/>
      <c r="AB138" s="74"/>
      <c r="AC138" s="74"/>
      <c r="AD138" s="74"/>
      <c r="AE138" s="30">
        <f>INDEX('D1 - Master Project Table'!$A$1:$AK$7056,$A138,9)</f>
        <v>0.17</v>
      </c>
      <c r="AF138" s="34" t="str">
        <f>INDEX('D1 - Master Project Table'!$A$1:$AK$7056,$A138,8)</f>
        <v>1 - Scheduled</v>
      </c>
      <c r="AG138" s="146"/>
      <c r="AH138" s="227"/>
    </row>
    <row r="139" spans="1:34" ht="78.75" x14ac:dyDescent="0.2">
      <c r="A139" s="36">
        <f>MATCH(C139,'D1 - Master Project Table'!$D$1:$D$7056,0)</f>
        <v>144</v>
      </c>
      <c r="B139" s="36" t="e">
        <f>MATCH(C139,#REF!,0)</f>
        <v>#REF!</v>
      </c>
      <c r="C139" s="200" t="s">
        <v>8224</v>
      </c>
      <c r="D139" s="34" t="str">
        <f>INDEX('D1 - Master Project Table'!$A$1:$AK$7056,$A139,5)</f>
        <v>C&amp;S Q1 MME Interface Enhancements</v>
      </c>
      <c r="E139" s="31">
        <f>INDEX('D1 - Master Project Table'!$A$1:$AK$7056,$A139,11)</f>
        <v>41510</v>
      </c>
      <c r="F139" s="32" t="str">
        <f>INDEX('D1 - Master Project Table'!$A$1:$AK$7056,$A139,13)</f>
        <v>Project</v>
      </c>
      <c r="G139" s="32" t="str">
        <f>INDEX('D1 - Master Project Table'!$A$1:$AK$7056,$A139,7)</f>
        <v>3 - Green</v>
      </c>
      <c r="H139" s="32"/>
      <c r="I139" s="9" t="s">
        <v>9643</v>
      </c>
      <c r="J139" s="28"/>
      <c r="K139" s="28"/>
      <c r="L139" s="28"/>
      <c r="M139" s="28"/>
      <c r="N139" s="28"/>
      <c r="O139" s="28"/>
      <c r="P139" s="28"/>
      <c r="Q139" s="8" t="s">
        <v>3105</v>
      </c>
      <c r="R139" s="175" t="s">
        <v>4027</v>
      </c>
      <c r="S139" s="116"/>
      <c r="T139" s="116"/>
      <c r="U139" s="8" t="s">
        <v>404</v>
      </c>
      <c r="V139" s="175" t="s">
        <v>4027</v>
      </c>
      <c r="W139" s="175">
        <v>41383</v>
      </c>
      <c r="X139" s="8" t="s">
        <v>3547</v>
      </c>
      <c r="Y139" s="80">
        <v>41442</v>
      </c>
      <c r="Z139" s="419" t="s">
        <v>9339</v>
      </c>
      <c r="AA139" s="176" t="s">
        <v>8861</v>
      </c>
      <c r="AB139" s="9" t="s">
        <v>9553</v>
      </c>
      <c r="AC139" s="74"/>
      <c r="AD139" s="74"/>
      <c r="AE139" s="30">
        <f>INDEX('D1 - Master Project Table'!$A$1:$AK$7056,$A139,9)</f>
        <v>18.12</v>
      </c>
      <c r="AF139" s="34" t="str">
        <f>INDEX('D1 - Master Project Table'!$A$1:$AK$7056,$A139,8)</f>
        <v>1 - Scheduled</v>
      </c>
      <c r="AG139" s="146"/>
      <c r="AH139" s="227"/>
    </row>
    <row r="140" spans="1:34" ht="33.75" x14ac:dyDescent="0.2">
      <c r="A140" s="36">
        <f>MATCH(C140,'D1 - Master Project Table'!$D$1:$D$7056,0)</f>
        <v>145</v>
      </c>
      <c r="B140" s="36" t="e">
        <f>MATCH(C140,#REF!,0)</f>
        <v>#REF!</v>
      </c>
      <c r="C140" s="125" t="s">
        <v>9388</v>
      </c>
      <c r="D140" s="34" t="str">
        <f>INDEX('D1 - Master Project Table'!$A$1:$AK$7056,$A140,5)</f>
        <v>C&amp;S Q1 MME Interface Enhancements</v>
      </c>
      <c r="E140" s="31">
        <f>INDEX('D1 - Master Project Table'!$A$1:$AK$7056,$A140,11)</f>
        <v>41510</v>
      </c>
      <c r="F140" s="32" t="str">
        <f>INDEX('D1 - Master Project Table'!$A$1:$AK$7056,$A140,13)</f>
        <v>Project</v>
      </c>
      <c r="G140" s="32" t="str">
        <f>INDEX('D1 - Master Project Table'!$A$1:$AK$7056,$A140,7)</f>
        <v>3 - Green</v>
      </c>
      <c r="H140" s="32"/>
      <c r="I140" s="9" t="s">
        <v>9638</v>
      </c>
      <c r="J140" s="28"/>
      <c r="K140" s="28"/>
      <c r="L140" s="28"/>
      <c r="M140" s="28"/>
      <c r="N140" s="28"/>
      <c r="O140" s="28"/>
      <c r="P140" s="28"/>
      <c r="Q140" s="8" t="s">
        <v>3105</v>
      </c>
      <c r="R140" s="175" t="s">
        <v>4027</v>
      </c>
      <c r="S140" s="116"/>
      <c r="T140" s="116"/>
      <c r="U140" s="8" t="s">
        <v>404</v>
      </c>
      <c r="V140" s="80"/>
      <c r="W140" s="80"/>
      <c r="X140" s="8" t="s">
        <v>2810</v>
      </c>
      <c r="Y140" s="80"/>
      <c r="Z140" s="8" t="s">
        <v>4027</v>
      </c>
      <c r="AA140" s="84"/>
      <c r="AB140" s="9" t="s">
        <v>9552</v>
      </c>
      <c r="AC140" s="74"/>
      <c r="AD140" s="74"/>
      <c r="AE140" s="30">
        <f>INDEX('D1 - Master Project Table'!$A$1:$AK$7056,$A140,9)</f>
        <v>1.72</v>
      </c>
      <c r="AF140" s="34" t="str">
        <f>INDEX('D1 - Master Project Table'!$A$1:$AK$7056,$A140,8)</f>
        <v>1 - Scheduled</v>
      </c>
      <c r="AG140" s="146"/>
      <c r="AH140" s="227"/>
    </row>
    <row r="141" spans="1:34" ht="43.5" customHeight="1" x14ac:dyDescent="0.2">
      <c r="A141" s="36">
        <f>MATCH(C141,'D1 - Master Project Table'!$D$1:$D$7056,0)</f>
        <v>146</v>
      </c>
      <c r="B141" s="36" t="e">
        <f>MATCH(C141,#REF!,0)</f>
        <v>#REF!</v>
      </c>
      <c r="C141" s="125" t="s">
        <v>7818</v>
      </c>
      <c r="D141" s="34" t="str">
        <f>INDEX('D1 - Master Project Table'!$A$1:$AK$7056,$A141,5)</f>
        <v>Q3 2013 eSync Supplemental Features</v>
      </c>
      <c r="E141" s="31">
        <f>INDEX('D1 - Master Project Table'!$A$1:$AK$7056,$A141,11)</f>
        <v>41510</v>
      </c>
      <c r="F141" s="32" t="str">
        <f>INDEX('D1 - Master Project Table'!$A$1:$AK$7056,$A141,13)</f>
        <v>Testing</v>
      </c>
      <c r="G141" s="32" t="str">
        <f>INDEX('D1 - Master Project Table'!$A$1:$AK$7056,$A141,7)</f>
        <v>3 - Green</v>
      </c>
      <c r="H141" s="32"/>
      <c r="I141" s="74"/>
      <c r="J141" s="28"/>
      <c r="K141" s="28"/>
      <c r="L141" s="28"/>
      <c r="M141" s="28"/>
      <c r="N141" s="28"/>
      <c r="O141" s="28"/>
      <c r="P141" s="28"/>
      <c r="Q141" s="28" t="s">
        <v>1731</v>
      </c>
      <c r="R141" s="80"/>
      <c r="S141" s="116"/>
      <c r="T141" s="116"/>
      <c r="U141" s="28"/>
      <c r="V141" s="80"/>
      <c r="W141" s="80"/>
      <c r="X141" s="28"/>
      <c r="Y141" s="80"/>
      <c r="Z141" s="8" t="s">
        <v>955</v>
      </c>
      <c r="AA141" s="84"/>
      <c r="AB141" s="74"/>
      <c r="AC141" s="74"/>
      <c r="AD141" s="74"/>
      <c r="AE141" s="30">
        <f>INDEX('D1 - Master Project Table'!$A$1:$AK$7056,$A141,9)</f>
        <v>0.17</v>
      </c>
      <c r="AF141" s="34" t="str">
        <f>INDEX('D1 - Master Project Table'!$A$1:$AK$7056,$A141,8)</f>
        <v>1 - Scheduled</v>
      </c>
      <c r="AG141" s="146"/>
      <c r="AH141" s="227"/>
    </row>
    <row r="142" spans="1:34" ht="127.5" customHeight="1" x14ac:dyDescent="0.2">
      <c r="A142" s="36">
        <f>MATCH(C142,'D1 - Master Project Table'!$D$1:$D$7056,0)</f>
        <v>147</v>
      </c>
      <c r="B142" s="36" t="e">
        <f>MATCH(C142,#REF!,0)</f>
        <v>#REF!</v>
      </c>
      <c r="C142" s="125" t="s">
        <v>87</v>
      </c>
      <c r="D142" s="34" t="str">
        <f>INDEX('D1 - Master Project Table'!$A$1:$AK$7056,$A142,5)</f>
        <v>Provider Data for Massachusetts SCO Encounter Repo</v>
      </c>
      <c r="E142" s="31">
        <f>INDEX('D1 - Master Project Table'!$A$1:$AK$7056,$A142,11)</f>
        <v>41510</v>
      </c>
      <c r="F142" s="32" t="str">
        <f>INDEX('D1 - Master Project Table'!$A$1:$AK$7056,$A142,13)</f>
        <v>Project</v>
      </c>
      <c r="G142" s="32" t="str">
        <f>INDEX('D1 - Master Project Table'!$A$1:$AK$7056,$A142,7)</f>
        <v>3 - Green</v>
      </c>
      <c r="H142" s="32"/>
      <c r="I142" s="9" t="s">
        <v>9554</v>
      </c>
      <c r="J142" s="28"/>
      <c r="K142" s="28"/>
      <c r="L142" s="28"/>
      <c r="M142" s="28"/>
      <c r="N142" s="28"/>
      <c r="O142" s="28"/>
      <c r="P142" s="28"/>
      <c r="Q142" s="8" t="s">
        <v>895</v>
      </c>
      <c r="R142" s="80"/>
      <c r="S142" s="116"/>
      <c r="T142" s="116"/>
      <c r="U142" s="8" t="s">
        <v>404</v>
      </c>
      <c r="V142" s="175" t="s">
        <v>3572</v>
      </c>
      <c r="W142" s="80"/>
      <c r="X142" s="8" t="s">
        <v>3547</v>
      </c>
      <c r="Y142" s="80"/>
      <c r="Z142" s="8" t="s">
        <v>9344</v>
      </c>
      <c r="AA142" s="84"/>
      <c r="AB142" s="74"/>
      <c r="AC142" s="74"/>
      <c r="AD142" s="74"/>
      <c r="AE142" s="30">
        <f>INDEX('D1 - Master Project Table'!$A$1:$AK$7056,$A142,9)</f>
        <v>6.09</v>
      </c>
      <c r="AF142" s="34" t="str">
        <f>INDEX('D1 - Master Project Table'!$A$1:$AK$7056,$A142,8)</f>
        <v>1 - Scheduled</v>
      </c>
      <c r="AG142" s="146"/>
      <c r="AH142" s="227"/>
    </row>
    <row r="143" spans="1:34" ht="99.75" customHeight="1" x14ac:dyDescent="0.2">
      <c r="A143" s="36">
        <f>MATCH(C143,'D1 - Master Project Table'!$D$1:$D$7056,0)</f>
        <v>148</v>
      </c>
      <c r="B143" s="36" t="e">
        <f>MATCH(C143,#REF!,0)</f>
        <v>#REF!</v>
      </c>
      <c r="C143" s="125" t="s">
        <v>7504</v>
      </c>
      <c r="D143" s="34" t="str">
        <f>INDEX('D1 - Master Project Table'!$A$1:$AK$7056,$A143,5)</f>
        <v>ICUE Release Q3 2013 - PHS</v>
      </c>
      <c r="E143" s="31">
        <f>INDEX('D1 - Master Project Table'!$A$1:$AK$7056,$A143,11)</f>
        <v>41510</v>
      </c>
      <c r="F143" s="32" t="str">
        <f>INDEX('D1 - Master Project Table'!$A$1:$AK$7056,$A143,13)</f>
        <v>Testing</v>
      </c>
      <c r="G143" s="32" t="str">
        <f>INDEX('D1 - Master Project Table'!$A$1:$AK$7056,$A143,7)</f>
        <v>3 - Green</v>
      </c>
      <c r="H143" s="32"/>
      <c r="I143" s="74"/>
      <c r="J143" s="28"/>
      <c r="K143" s="28"/>
      <c r="L143" s="28"/>
      <c r="M143" s="28"/>
      <c r="N143" s="28"/>
      <c r="O143" s="28"/>
      <c r="P143" s="28"/>
      <c r="Q143" s="8" t="s">
        <v>1731</v>
      </c>
      <c r="R143" s="80"/>
      <c r="S143" s="116"/>
      <c r="T143" s="116"/>
      <c r="U143" s="28"/>
      <c r="V143" s="80"/>
      <c r="W143" s="80"/>
      <c r="X143" s="28"/>
      <c r="Y143" s="80"/>
      <c r="Z143" s="8" t="s">
        <v>955</v>
      </c>
      <c r="AA143" s="84"/>
      <c r="AB143" s="74"/>
      <c r="AC143" s="74"/>
      <c r="AD143" s="74"/>
      <c r="AE143" s="30">
        <f>INDEX('D1 - Master Project Table'!$A$1:$AK$7056,$A143,9)</f>
        <v>0.53</v>
      </c>
      <c r="AF143" s="34" t="str">
        <f>INDEX('D1 - Master Project Table'!$A$1:$AK$7056,$A143,8)</f>
        <v>1 - Scheduled</v>
      </c>
      <c r="AG143" s="146"/>
      <c r="AH143" s="227"/>
    </row>
    <row r="144" spans="1:34" ht="57" customHeight="1" x14ac:dyDescent="0.2">
      <c r="A144" s="36">
        <f>MATCH(C144,'D1 - Master Project Table'!$D$1:$D$7056,0)</f>
        <v>149</v>
      </c>
      <c r="B144" s="36" t="e">
        <f>MATCH(C144,#REF!,0)</f>
        <v>#REF!</v>
      </c>
      <c r="C144" s="125" t="s">
        <v>8017</v>
      </c>
      <c r="D144" s="34" t="str">
        <f>INDEX('D1 - Master Project Table'!$A$1:$AK$7056,$A144,5)</f>
        <v>Prior Auth/Notification POS Translation</v>
      </c>
      <c r="E144" s="31">
        <f>INDEX('D1 - Master Project Table'!$A$1:$AK$7056,$A144,11)</f>
        <v>41510</v>
      </c>
      <c r="F144" s="32" t="str">
        <f>INDEX('D1 - Master Project Table'!$A$1:$AK$7056,$A144,13)</f>
        <v>Project</v>
      </c>
      <c r="G144" s="32" t="str">
        <f>INDEX('D1 - Master Project Table'!$A$1:$AK$7056,$A144,7)</f>
        <v>3 - Green</v>
      </c>
      <c r="H144" s="32"/>
      <c r="I144" s="9" t="s">
        <v>9587</v>
      </c>
      <c r="J144" s="8" t="s">
        <v>3758</v>
      </c>
      <c r="K144" s="8" t="s">
        <v>3758</v>
      </c>
      <c r="L144" s="8" t="s">
        <v>7273</v>
      </c>
      <c r="M144" s="8" t="s">
        <v>7273</v>
      </c>
      <c r="N144" s="8" t="s">
        <v>3758</v>
      </c>
      <c r="O144" s="8" t="s">
        <v>7273</v>
      </c>
      <c r="P144" s="8" t="s">
        <v>7273</v>
      </c>
      <c r="Q144" s="8" t="s">
        <v>515</v>
      </c>
      <c r="R144" s="80">
        <v>41334</v>
      </c>
      <c r="S144" s="57" t="s">
        <v>2737</v>
      </c>
      <c r="T144" s="57" t="s">
        <v>3758</v>
      </c>
      <c r="U144" s="8" t="s">
        <v>9039</v>
      </c>
      <c r="V144" s="175">
        <v>41332</v>
      </c>
      <c r="W144" s="80">
        <v>41383</v>
      </c>
      <c r="X144" s="8" t="s">
        <v>2810</v>
      </c>
      <c r="Y144" s="80">
        <v>41442</v>
      </c>
      <c r="Z144" s="9" t="s">
        <v>9345</v>
      </c>
      <c r="AA144" s="84">
        <v>41472</v>
      </c>
      <c r="AB144" s="9" t="s">
        <v>9555</v>
      </c>
      <c r="AC144" s="9" t="s">
        <v>4027</v>
      </c>
      <c r="AD144" s="74"/>
      <c r="AE144" s="30">
        <f>INDEX('D1 - Master Project Table'!$A$1:$AK$7056,$A144,9)</f>
        <v>10.11</v>
      </c>
      <c r="AF144" s="34" t="str">
        <f>INDEX('D1 - Master Project Table'!$A$1:$AK$7056,$A144,8)</f>
        <v>1 - Scheduled</v>
      </c>
      <c r="AG144" s="146"/>
      <c r="AH144" s="227"/>
    </row>
    <row r="145" spans="1:34" ht="22.5" x14ac:dyDescent="0.2">
      <c r="A145" s="36">
        <f>MATCH(C145,'D1 - Master Project Table'!$D$1:$D$7056,0)</f>
        <v>150</v>
      </c>
      <c r="B145" s="36" t="e">
        <f>MATCH(C145,#REF!,0)</f>
        <v>#REF!</v>
      </c>
      <c r="C145" s="125" t="s">
        <v>8225</v>
      </c>
      <c r="D145" s="34" t="str">
        <f>INDEX('D1 - Master Project Table'!$A$1:$AK$7056,$A145,5)</f>
        <v>Prior Auth/Notification POS Translation</v>
      </c>
      <c r="E145" s="31">
        <f>INDEX('D1 - Master Project Table'!$A$1:$AK$7056,$A145,11)</f>
        <v>41510</v>
      </c>
      <c r="F145" s="32" t="str">
        <f>INDEX('D1 - Master Project Table'!$A$1:$AK$7056,$A145,13)</f>
        <v>Project</v>
      </c>
      <c r="G145" s="32" t="str">
        <f>INDEX('D1 - Master Project Table'!$A$1:$AK$7056,$A145,7)</f>
        <v>3 - Green</v>
      </c>
      <c r="H145" s="32"/>
      <c r="I145" s="9" t="s">
        <v>9556</v>
      </c>
      <c r="J145" s="8" t="s">
        <v>7273</v>
      </c>
      <c r="K145" s="8" t="s">
        <v>3758</v>
      </c>
      <c r="L145" s="8" t="s">
        <v>7273</v>
      </c>
      <c r="M145" s="8" t="s">
        <v>7273</v>
      </c>
      <c r="N145" s="8" t="s">
        <v>7273</v>
      </c>
      <c r="O145" s="8" t="s">
        <v>7273</v>
      </c>
      <c r="P145" s="8" t="s">
        <v>7273</v>
      </c>
      <c r="Q145" s="8" t="s">
        <v>515</v>
      </c>
      <c r="R145" s="80"/>
      <c r="S145" s="116"/>
      <c r="T145" s="116"/>
      <c r="U145" s="8" t="s">
        <v>9039</v>
      </c>
      <c r="V145" s="80"/>
      <c r="W145" s="80"/>
      <c r="X145" s="8" t="s">
        <v>2810</v>
      </c>
      <c r="Y145" s="80"/>
      <c r="Z145" s="8" t="s">
        <v>5183</v>
      </c>
      <c r="AA145" s="84"/>
      <c r="AB145" s="74"/>
      <c r="AC145" s="74"/>
      <c r="AD145" s="74"/>
      <c r="AE145" s="30">
        <f>INDEX('D1 - Master Project Table'!$A$1:$AK$7056,$A145,9)</f>
        <v>1.43</v>
      </c>
      <c r="AF145" s="34" t="str">
        <f>INDEX('D1 - Master Project Table'!$A$1:$AK$7056,$A145,8)</f>
        <v>1 - Scheduled</v>
      </c>
      <c r="AG145" s="146"/>
      <c r="AH145" s="227"/>
    </row>
    <row r="146" spans="1:34" ht="22.5" x14ac:dyDescent="0.2">
      <c r="A146" s="36">
        <f>MATCH(C146,'D1 - Master Project Table'!$D$1:$D$7056,0)</f>
        <v>151</v>
      </c>
      <c r="B146" s="36" t="e">
        <f>MATCH(C146,#REF!,0)</f>
        <v>#REF!</v>
      </c>
      <c r="C146" s="125" t="s">
        <v>341</v>
      </c>
      <c r="D146" s="34" t="str">
        <f>INDEX('D1 - Master Project Table'!$A$1:$AK$7056,$A146,5)</f>
        <v>CSS-B2X 2013C Release (PHS Migration)</v>
      </c>
      <c r="E146" s="31">
        <f>INDEX('D1 - Master Project Table'!$A$1:$AK$7056,$A146,11)</f>
        <v>41510</v>
      </c>
      <c r="F146" s="32" t="str">
        <f>INDEX('D1 - Master Project Table'!$A$1:$AK$7056,$A146,13)</f>
        <v>Testing</v>
      </c>
      <c r="G146" s="32" t="str">
        <f>INDEX('D1 - Master Project Table'!$A$1:$AK$7056,$A146,7)</f>
        <v>3 - Green</v>
      </c>
      <c r="H146" s="32"/>
      <c r="I146" s="74"/>
      <c r="J146" s="28"/>
      <c r="K146" s="28"/>
      <c r="L146" s="28"/>
      <c r="M146" s="28"/>
      <c r="N146" s="28"/>
      <c r="O146" s="28"/>
      <c r="P146" s="28"/>
      <c r="Q146" s="28" t="s">
        <v>1731</v>
      </c>
      <c r="R146" s="80"/>
      <c r="S146" s="116"/>
      <c r="T146" s="116"/>
      <c r="U146" s="28"/>
      <c r="V146" s="80"/>
      <c r="W146" s="80"/>
      <c r="X146" s="28"/>
      <c r="Y146" s="80"/>
      <c r="Z146" s="8" t="s">
        <v>955</v>
      </c>
      <c r="AA146" s="84"/>
      <c r="AB146" s="74"/>
      <c r="AC146" s="74"/>
      <c r="AD146" s="74"/>
      <c r="AE146" s="30">
        <f>INDEX('D1 - Master Project Table'!$A$1:$AK$7056,$A146,9)</f>
        <v>0.16</v>
      </c>
      <c r="AF146" s="34" t="str">
        <f>INDEX('D1 - Master Project Table'!$A$1:$AK$7056,$A146,8)</f>
        <v>1 - Scheduled</v>
      </c>
      <c r="AG146" s="146"/>
      <c r="AH146" s="227"/>
    </row>
    <row r="147" spans="1:34" ht="78.75" x14ac:dyDescent="0.2">
      <c r="A147" s="36">
        <f>MATCH(C147,'D1 - Master Project Table'!$D$1:$D$7056,0)</f>
        <v>152</v>
      </c>
      <c r="B147" s="36" t="e">
        <f>MATCH(C147,#REF!,0)</f>
        <v>#REF!</v>
      </c>
      <c r="C147" s="125" t="s">
        <v>7002</v>
      </c>
      <c r="D147" s="34" t="str">
        <f>INDEX('D1 - Master Project Table'!$A$1:$AK$7056,$A147,5)</f>
        <v>Navigate2 Quote Ready</v>
      </c>
      <c r="E147" s="31">
        <f>INDEX('D1 - Master Project Table'!$A$1:$AK$7056,$A147,11)</f>
        <v>41510</v>
      </c>
      <c r="F147" s="32" t="str">
        <f>INDEX('D1 - Master Project Table'!$A$1:$AK$7056,$A147,13)</f>
        <v>Project</v>
      </c>
      <c r="G147" s="32" t="str">
        <f>INDEX('D1 - Master Project Table'!$A$1:$AK$7056,$A147,7)</f>
        <v>3 - Green</v>
      </c>
      <c r="H147" s="32"/>
      <c r="I147" s="9" t="s">
        <v>9627</v>
      </c>
      <c r="J147" s="8" t="s">
        <v>7273</v>
      </c>
      <c r="K147" s="8" t="s">
        <v>7273</v>
      </c>
      <c r="L147" s="8" t="s">
        <v>3758</v>
      </c>
      <c r="M147" s="8" t="s">
        <v>7273</v>
      </c>
      <c r="N147" s="8" t="s">
        <v>7273</v>
      </c>
      <c r="O147" s="8" t="s">
        <v>7273</v>
      </c>
      <c r="P147" s="8" t="s">
        <v>7273</v>
      </c>
      <c r="Q147" s="8" t="s">
        <v>895</v>
      </c>
      <c r="R147" s="175">
        <v>41383</v>
      </c>
      <c r="S147" s="57" t="s">
        <v>2737</v>
      </c>
      <c r="T147" s="116"/>
      <c r="U147" s="8" t="s">
        <v>2815</v>
      </c>
      <c r="V147" s="175" t="s">
        <v>4769</v>
      </c>
      <c r="W147" s="80">
        <v>41383</v>
      </c>
      <c r="X147" s="8" t="s">
        <v>212</v>
      </c>
      <c r="Y147" s="80">
        <v>41442</v>
      </c>
      <c r="Z147" s="9" t="s">
        <v>9009</v>
      </c>
      <c r="AA147" s="176" t="s">
        <v>8862</v>
      </c>
      <c r="AB147" s="74"/>
      <c r="AC147" s="74"/>
      <c r="AD147" s="74"/>
      <c r="AE147" s="30">
        <f>INDEX('D1 - Master Project Table'!$A$1:$AK$7056,$A147,9)</f>
        <v>9.2899999999999991</v>
      </c>
      <c r="AF147" s="34" t="str">
        <f>INDEX('D1 - Master Project Table'!$A$1:$AK$7056,$A147,8)</f>
        <v>1 - Scheduled</v>
      </c>
      <c r="AG147" s="146"/>
      <c r="AH147" s="227"/>
    </row>
    <row r="148" spans="1:34" x14ac:dyDescent="0.2">
      <c r="A148" s="36">
        <f>MATCH(C148,'D1 - Master Project Table'!$D$1:$D$7056,0)</f>
        <v>153</v>
      </c>
      <c r="B148" s="36" t="e">
        <f>MATCH(C148,#REF!,0)</f>
        <v>#REF!</v>
      </c>
      <c r="C148" s="125" t="s">
        <v>7718</v>
      </c>
      <c r="D148" s="34" t="str">
        <f>INDEX('D1 - Master Project Table'!$A$1:$AK$7056,$A148,5)</f>
        <v>EFT ERA Op Rules - AD- E&amp;I</v>
      </c>
      <c r="E148" s="31">
        <f>INDEX('D1 - Master Project Table'!$A$1:$AK$7056,$A148,11)</f>
        <v>41510</v>
      </c>
      <c r="F148" s="32" t="str">
        <f>INDEX('D1 - Master Project Table'!$A$1:$AK$7056,$A148,13)</f>
        <v>Testing</v>
      </c>
      <c r="G148" s="32" t="str">
        <f>INDEX('D1 - Master Project Table'!$A$1:$AK$7056,$A148,7)</f>
        <v>3 - Green</v>
      </c>
      <c r="H148" s="32"/>
      <c r="I148" s="74"/>
      <c r="J148" s="28"/>
      <c r="K148" s="28"/>
      <c r="L148" s="28"/>
      <c r="M148" s="28"/>
      <c r="N148" s="28"/>
      <c r="O148" s="28"/>
      <c r="P148" s="28"/>
      <c r="Q148" s="8" t="s">
        <v>1731</v>
      </c>
      <c r="R148" s="80"/>
      <c r="S148" s="116"/>
      <c r="T148" s="116"/>
      <c r="U148" s="28"/>
      <c r="V148" s="80"/>
      <c r="W148" s="80"/>
      <c r="X148" s="28"/>
      <c r="Y148" s="80"/>
      <c r="Z148" s="8" t="s">
        <v>955</v>
      </c>
      <c r="AA148" s="84"/>
      <c r="AB148" s="74"/>
      <c r="AC148" s="74"/>
      <c r="AD148" s="74"/>
      <c r="AE148" s="30">
        <f>INDEX('D1 - Master Project Table'!$A$1:$AK$7056,$A148,9)</f>
        <v>1.98</v>
      </c>
      <c r="AF148" s="34" t="str">
        <f>INDEX('D1 - Master Project Table'!$A$1:$AK$7056,$A148,8)</f>
        <v>1 - Scheduled</v>
      </c>
      <c r="AG148" s="146"/>
      <c r="AH148" s="227"/>
    </row>
    <row r="149" spans="1:34" ht="22.5" x14ac:dyDescent="0.2">
      <c r="A149" s="36">
        <f>MATCH(C149,'D1 - Master Project Table'!$D$1:$D$7056,0)</f>
        <v>154</v>
      </c>
      <c r="B149" s="36" t="e">
        <f>MATCH(C149,#REF!,0)</f>
        <v>#REF!</v>
      </c>
      <c r="C149" s="125" t="s">
        <v>7719</v>
      </c>
      <c r="D149" s="34" t="str">
        <f>INDEX('D1 - Master Project Table'!$A$1:$AK$7056,$A149,5)</f>
        <v>Store Adjusments (Copays/Ded) at the Detail Line</v>
      </c>
      <c r="E149" s="31">
        <f>INDEX('D1 - Master Project Table'!$A$1:$AK$7056,$A149,11)</f>
        <v>41510</v>
      </c>
      <c r="F149" s="32" t="str">
        <f>INDEX('D1 - Master Project Table'!$A$1:$AK$7056,$A149,13)</f>
        <v>Testing</v>
      </c>
      <c r="G149" s="32" t="str">
        <f>INDEX('D1 - Master Project Table'!$A$1:$AK$7056,$A149,7)</f>
        <v>3 - Green</v>
      </c>
      <c r="H149" s="32"/>
      <c r="I149" s="74"/>
      <c r="J149" s="28"/>
      <c r="K149" s="28"/>
      <c r="L149" s="28"/>
      <c r="M149" s="28"/>
      <c r="N149" s="28"/>
      <c r="O149" s="28"/>
      <c r="P149" s="28"/>
      <c r="Q149" s="8" t="s">
        <v>1731</v>
      </c>
      <c r="R149" s="80"/>
      <c r="S149" s="116"/>
      <c r="T149" s="116"/>
      <c r="U149" s="28"/>
      <c r="V149" s="80"/>
      <c r="W149" s="80"/>
      <c r="X149" s="28"/>
      <c r="Y149" s="80"/>
      <c r="Z149" s="28"/>
      <c r="AA149" s="84"/>
      <c r="AB149" s="74"/>
      <c r="AC149" s="74"/>
      <c r="AD149" s="74"/>
      <c r="AE149" s="30">
        <f>INDEX('D1 - Master Project Table'!$A$1:$AK$7056,$A149,9)</f>
        <v>0.17</v>
      </c>
      <c r="AF149" s="34" t="str">
        <f>INDEX('D1 - Master Project Table'!$A$1:$AK$7056,$A149,8)</f>
        <v>1 - Scheduled</v>
      </c>
      <c r="AG149" s="146"/>
      <c r="AH149" s="227"/>
    </row>
    <row r="150" spans="1:34" ht="177.75" customHeight="1" x14ac:dyDescent="0.2">
      <c r="A150" s="36">
        <f>MATCH(C150,'D1 - Master Project Table'!$D$1:$D$7056,0)</f>
        <v>155</v>
      </c>
      <c r="B150" s="36" t="e">
        <f>MATCH(C150,#REF!,0)</f>
        <v>#REF!</v>
      </c>
      <c r="C150" s="125" t="s">
        <v>7720</v>
      </c>
      <c r="D150" s="34" t="str">
        <f>INDEX('D1 - Master Project Table'!$A$1:$AK$7056,$A150,5)</f>
        <v>HCR EHB Plus Case Installation &amp; Eligibility Ready</v>
      </c>
      <c r="E150" s="31">
        <f>INDEX('D1 - Master Project Table'!$A$1:$AK$7056,$A150,11)</f>
        <v>41510</v>
      </c>
      <c r="F150" s="32" t="str">
        <f>INDEX('D1 - Master Project Table'!$A$1:$AK$7056,$A150,13)</f>
        <v>Testing</v>
      </c>
      <c r="G150" s="32" t="str">
        <f>INDEX('D1 - Master Project Table'!$A$1:$AK$7056,$A150,7)</f>
        <v>3 - Green</v>
      </c>
      <c r="H150" s="32"/>
      <c r="I150" s="74"/>
      <c r="J150" s="28"/>
      <c r="K150" s="28"/>
      <c r="L150" s="28"/>
      <c r="M150" s="28"/>
      <c r="N150" s="28"/>
      <c r="O150" s="28"/>
      <c r="P150" s="28"/>
      <c r="Q150" s="8" t="s">
        <v>1731</v>
      </c>
      <c r="R150" s="80"/>
      <c r="S150" s="116"/>
      <c r="T150" s="116"/>
      <c r="U150" s="28"/>
      <c r="V150" s="80"/>
      <c r="W150" s="80"/>
      <c r="X150" s="28"/>
      <c r="Y150" s="80"/>
      <c r="Z150" s="8" t="s">
        <v>955</v>
      </c>
      <c r="AA150" s="84"/>
      <c r="AB150" s="74"/>
      <c r="AC150" s="74"/>
      <c r="AD150" s="74"/>
      <c r="AE150" s="30">
        <f>INDEX('D1 - Master Project Table'!$A$1:$AK$7056,$A150,9)</f>
        <v>0.46</v>
      </c>
      <c r="AF150" s="34" t="str">
        <f>INDEX('D1 - Master Project Table'!$A$1:$AK$7056,$A150,8)</f>
        <v>1 - Scheduled</v>
      </c>
      <c r="AG150" s="146"/>
      <c r="AH150" s="227"/>
    </row>
    <row r="151" spans="1:34" ht="104.25" customHeight="1" x14ac:dyDescent="0.2">
      <c r="A151" s="36">
        <f>MATCH(C151,'D1 - Master Project Table'!$D$1:$D$7056,0)</f>
        <v>156</v>
      </c>
      <c r="B151" s="36" t="e">
        <f>MATCH(C151,#REF!,0)</f>
        <v>#REF!</v>
      </c>
      <c r="C151" s="125" t="s">
        <v>7673</v>
      </c>
      <c r="D151" s="34" t="str">
        <f>INDEX('D1 - Master Project Table'!$A$1:$AK$7056,$A151,5)</f>
        <v>Market Type Solution</v>
      </c>
      <c r="E151" s="31">
        <f>INDEX('D1 - Master Project Table'!$A$1:$AK$7056,$A151,11)</f>
        <v>41510</v>
      </c>
      <c r="F151" s="32" t="str">
        <f>INDEX('D1 - Master Project Table'!$A$1:$AK$7056,$A151,13)</f>
        <v>Analysis</v>
      </c>
      <c r="G151" s="32" t="str">
        <f>INDEX('D1 - Master Project Table'!$A$1:$AK$7056,$A151,7)</f>
        <v>3 - Green</v>
      </c>
      <c r="H151" s="32"/>
      <c r="I151" s="74"/>
      <c r="J151" s="28"/>
      <c r="K151" s="28"/>
      <c r="L151" s="28"/>
      <c r="M151" s="28"/>
      <c r="N151" s="28"/>
      <c r="O151" s="28"/>
      <c r="P151" s="28"/>
      <c r="Q151" s="8" t="s">
        <v>4173</v>
      </c>
      <c r="R151" s="80"/>
      <c r="S151" s="116"/>
      <c r="T151" s="116"/>
      <c r="U151" s="28"/>
      <c r="V151" s="80"/>
      <c r="W151" s="80"/>
      <c r="X151" s="28"/>
      <c r="Y151" s="80"/>
      <c r="Z151" s="28"/>
      <c r="AA151" s="84"/>
      <c r="AB151" s="74"/>
      <c r="AC151" s="74"/>
      <c r="AD151" s="74"/>
      <c r="AE151" s="30">
        <f>INDEX('D1 - Master Project Table'!$A$1:$AK$7056,$A151,9)</f>
        <v>2.0499999999999998</v>
      </c>
      <c r="AF151" s="34" t="str">
        <f>INDEX('D1 - Master Project Table'!$A$1:$AK$7056,$A151,8)</f>
        <v>1 - Scheduled</v>
      </c>
      <c r="AG151" s="146"/>
      <c r="AH151" s="227"/>
    </row>
    <row r="152" spans="1:34" ht="48" customHeight="1" x14ac:dyDescent="0.2">
      <c r="A152" s="36">
        <f>MATCH(C152,'D1 - Master Project Table'!$D$1:$D$7056,0)</f>
        <v>157</v>
      </c>
      <c r="B152" s="36" t="e">
        <f>MATCH(C152,#REF!,0)</f>
        <v>#REF!</v>
      </c>
      <c r="C152" s="125" t="s">
        <v>86</v>
      </c>
      <c r="D152" s="34" t="str">
        <f>INDEX('D1 - Master Project Table'!$A$1:$AK$7056,$A152,5)</f>
        <v xml:space="preserve">NDB Test Enviroment </v>
      </c>
      <c r="E152" s="31">
        <f>INDEX('D1 - Master Project Table'!$A$1:$AK$7056,$A152,11)</f>
        <v>41510</v>
      </c>
      <c r="F152" s="32" t="str">
        <f>INDEX('D1 - Master Project Table'!$A$1:$AK$7056,$A152,13)</f>
        <v>Dev-Led</v>
      </c>
      <c r="G152" s="32" t="str">
        <f>INDEX('D1 - Master Project Table'!$A$1:$AK$7056,$A152,7)</f>
        <v>3 - Green</v>
      </c>
      <c r="H152" s="32"/>
      <c r="I152" s="9" t="s">
        <v>9628</v>
      </c>
      <c r="J152" s="8" t="s">
        <v>3758</v>
      </c>
      <c r="K152" s="8" t="s">
        <v>3758</v>
      </c>
      <c r="L152" s="8" t="s">
        <v>3758</v>
      </c>
      <c r="M152" s="8" t="s">
        <v>3758</v>
      </c>
      <c r="N152" s="8" t="s">
        <v>3758</v>
      </c>
      <c r="O152" s="8" t="s">
        <v>7273</v>
      </c>
      <c r="P152" s="8" t="s">
        <v>3758</v>
      </c>
      <c r="Q152" s="8" t="s">
        <v>1379</v>
      </c>
      <c r="R152" s="80"/>
      <c r="S152" s="116"/>
      <c r="T152" s="116"/>
      <c r="U152" s="8" t="s">
        <v>404</v>
      </c>
      <c r="V152" s="80"/>
      <c r="W152" s="80"/>
      <c r="X152" s="28" t="s">
        <v>9185</v>
      </c>
      <c r="Y152" s="80"/>
      <c r="Z152" s="28"/>
      <c r="AA152" s="84"/>
      <c r="AB152" s="74"/>
      <c r="AC152" s="74"/>
      <c r="AD152" s="74"/>
      <c r="AE152" s="30">
        <f>INDEX('D1 - Master Project Table'!$A$1:$AK$7056,$A152,9)</f>
        <v>7.18</v>
      </c>
      <c r="AF152" s="34" t="str">
        <f>INDEX('D1 - Master Project Table'!$A$1:$AK$7056,$A152,8)</f>
        <v>1 - Scheduled</v>
      </c>
      <c r="AG152" s="146"/>
      <c r="AH152" s="227"/>
    </row>
    <row r="153" spans="1:34" ht="22.5" x14ac:dyDescent="0.2">
      <c r="A153" s="36">
        <f>MATCH(C153,'D1 - Master Project Table'!$D$1:$D$7056,0)</f>
        <v>158</v>
      </c>
      <c r="B153" s="36" t="e">
        <f>MATCH(C153,#REF!,0)</f>
        <v>#REF!</v>
      </c>
      <c r="C153" s="125" t="s">
        <v>8856</v>
      </c>
      <c r="D153" s="34" t="str">
        <f>INDEX('D1 - Master Project Table'!$A$1:$AK$7056,$A153,5)</f>
        <v>NHP Facets System Enhancements and OOA Wrap</v>
      </c>
      <c r="E153" s="31">
        <f>INDEX('D1 - Master Project Table'!$A$1:$AK$7056,$A153,11)</f>
        <v>41510</v>
      </c>
      <c r="F153" s="32" t="str">
        <f>INDEX('D1 - Master Project Table'!$A$1:$AK$7056,$A153,13)</f>
        <v>Testing</v>
      </c>
      <c r="G153" s="32" t="str">
        <f>INDEX('D1 - Master Project Table'!$A$1:$AK$7056,$A153,7)</f>
        <v>3 - Green</v>
      </c>
      <c r="H153" s="32"/>
      <c r="I153" s="74"/>
      <c r="J153" s="28"/>
      <c r="K153" s="28"/>
      <c r="L153" s="28"/>
      <c r="M153" s="28"/>
      <c r="N153" s="28"/>
      <c r="O153" s="28"/>
      <c r="P153" s="28"/>
      <c r="Q153" s="8" t="s">
        <v>1731</v>
      </c>
      <c r="R153" s="80"/>
      <c r="S153" s="116"/>
      <c r="T153" s="116"/>
      <c r="U153" s="28"/>
      <c r="V153" s="80"/>
      <c r="W153" s="80"/>
      <c r="X153" s="28"/>
      <c r="Y153" s="80"/>
      <c r="Z153" s="28"/>
      <c r="AA153" s="84"/>
      <c r="AB153" s="74"/>
      <c r="AC153" s="74"/>
      <c r="AD153" s="74"/>
      <c r="AE153" s="30">
        <f>INDEX('D1 - Master Project Table'!$A$1:$AK$7056,$A153,9)</f>
        <v>0.9</v>
      </c>
      <c r="AF153" s="34" t="str">
        <f>INDEX('D1 - Master Project Table'!$A$1:$AK$7056,$A153,8)</f>
        <v>1 - Scheduled</v>
      </c>
      <c r="AG153" s="146"/>
      <c r="AH153" s="227"/>
    </row>
    <row r="154" spans="1:34" ht="78.75" x14ac:dyDescent="0.2">
      <c r="A154" s="36">
        <f>MATCH(C154,'D1 - Master Project Table'!$D$1:$D$7056,0)</f>
        <v>159</v>
      </c>
      <c r="B154" s="36" t="e">
        <f>MATCH(C154,#REF!,0)</f>
        <v>#REF!</v>
      </c>
      <c r="C154" s="125" t="s">
        <v>8963</v>
      </c>
      <c r="D154" s="34" t="str">
        <f>INDEX('D1 - Master Project Table'!$A$1:$AK$7056,$A154,5)</f>
        <v>OHBS Reciprocity Development 2013</v>
      </c>
      <c r="E154" s="31">
        <f>INDEX('D1 - Master Project Table'!$A$1:$AK$7056,$A154,11)</f>
        <v>41510</v>
      </c>
      <c r="F154" s="32" t="str">
        <f>INDEX('D1 - Master Project Table'!$A$1:$AK$7056,$A154,13)</f>
        <v>Testing</v>
      </c>
      <c r="G154" s="32" t="str">
        <f>INDEX('D1 - Master Project Table'!$A$1:$AK$7056,$A154,7)</f>
        <v>3 - Green</v>
      </c>
      <c r="H154" s="32"/>
      <c r="I154" s="425" t="s">
        <v>9582</v>
      </c>
      <c r="J154" s="28"/>
      <c r="K154" s="28"/>
      <c r="L154" s="28"/>
      <c r="M154" s="28"/>
      <c r="N154" s="28"/>
      <c r="O154" s="28"/>
      <c r="P154" s="28"/>
      <c r="Q154" s="8" t="s">
        <v>4599</v>
      </c>
      <c r="R154" s="80"/>
      <c r="S154" s="116"/>
      <c r="T154" s="116"/>
      <c r="U154" s="28"/>
      <c r="V154" s="80"/>
      <c r="W154" s="80"/>
      <c r="X154" s="28"/>
      <c r="Y154" s="80"/>
      <c r="Z154" s="8" t="s">
        <v>9355</v>
      </c>
      <c r="AA154" s="84"/>
      <c r="AB154" s="74"/>
      <c r="AC154" s="74"/>
      <c r="AD154" s="74"/>
      <c r="AE154" s="30" t="str">
        <f>INDEX('D1 - Master Project Table'!$A$1:$AK$7056,$A154,9)</f>
        <v>TBD</v>
      </c>
      <c r="AF154" s="34" t="str">
        <f>INDEX('D1 - Master Project Table'!$A$1:$AK$7056,$A154,8)</f>
        <v>1 - Scheduled</v>
      </c>
      <c r="AG154" s="146"/>
      <c r="AH154" s="227"/>
    </row>
    <row r="155" spans="1:34" ht="22.5" x14ac:dyDescent="0.2">
      <c r="A155" s="36">
        <f>MATCH(C155,'D1 - Master Project Table'!$D$1:$D$7056,0)</f>
        <v>160</v>
      </c>
      <c r="B155" s="36" t="e">
        <f>MATCH(C155,#REF!,0)</f>
        <v>#REF!</v>
      </c>
      <c r="C155" s="125" t="s">
        <v>9004</v>
      </c>
      <c r="D155" s="34" t="str">
        <f>INDEX('D1 - Master Project Table'!$A$1:$AK$7056,$A155,5)</f>
        <v>OPTIM: Test Data Mgmt and Data Masking in Zulu</v>
      </c>
      <c r="E155" s="31">
        <f>INDEX('D1 - Master Project Table'!$A$1:$AK$7056,$A155,11)</f>
        <v>41510</v>
      </c>
      <c r="F155" s="32" t="str">
        <f>INDEX('D1 - Master Project Table'!$A$1:$AK$7056,$A155,13)</f>
        <v>Arch-Led</v>
      </c>
      <c r="G155" s="32" t="str">
        <f>INDEX('D1 - Master Project Table'!$A$1:$AK$7056,$A155,7)</f>
        <v>3 - Green</v>
      </c>
      <c r="H155" s="32"/>
      <c r="I155" s="74" t="s">
        <v>9393</v>
      </c>
      <c r="J155" s="28"/>
      <c r="K155" s="28"/>
      <c r="L155" s="28"/>
      <c r="M155" s="28"/>
      <c r="N155" s="28"/>
      <c r="O155" s="28"/>
      <c r="P155" s="28"/>
      <c r="Q155" s="8" t="s">
        <v>9394</v>
      </c>
      <c r="R155" s="80"/>
      <c r="S155" s="116"/>
      <c r="T155" s="116"/>
      <c r="U155" s="28"/>
      <c r="V155" s="80"/>
      <c r="W155" s="80"/>
      <c r="X155" s="28"/>
      <c r="Y155" s="80"/>
      <c r="Z155" s="28"/>
      <c r="AA155" s="84"/>
      <c r="AB155" s="74"/>
      <c r="AC155" s="74"/>
      <c r="AD155" s="74"/>
      <c r="AE155" s="30">
        <f>INDEX('D1 - Master Project Table'!$A$1:$AK$7056,$A155,9)</f>
        <v>1.31</v>
      </c>
      <c r="AF155" s="34" t="str">
        <f>INDEX('D1 - Master Project Table'!$A$1:$AK$7056,$A155,8)</f>
        <v>1 - Scheduled</v>
      </c>
      <c r="AG155" s="146"/>
      <c r="AH155" s="227"/>
    </row>
    <row r="156" spans="1:34" x14ac:dyDescent="0.2">
      <c r="A156" s="36">
        <f>MATCH(C156,'D1 - Master Project Table'!$D$1:$D$7056,0)</f>
        <v>161</v>
      </c>
      <c r="B156" s="36" t="e">
        <f>MATCH(C156,#REF!,0)</f>
        <v>#REF!</v>
      </c>
      <c r="C156" s="125" t="s">
        <v>9333</v>
      </c>
      <c r="D156" s="34" t="str">
        <f>INDEX('D1 - Master Project Table'!$A$1:$AK$7056,$A156,5)</f>
        <v>Provider Withhold</v>
      </c>
      <c r="E156" s="31">
        <f>INDEX('D1 - Master Project Table'!$A$1:$AK$7056,$A156,11)</f>
        <v>41510</v>
      </c>
      <c r="F156" s="32" t="str">
        <f>INDEX('D1 - Master Project Table'!$A$1:$AK$7056,$A156,13)</f>
        <v>Analysis</v>
      </c>
      <c r="G156" s="32" t="str">
        <f>INDEX('D1 - Master Project Table'!$A$1:$AK$7056,$A156,7)</f>
        <v>3 - Green</v>
      </c>
      <c r="H156" s="32"/>
      <c r="I156" s="74"/>
      <c r="J156" s="28"/>
      <c r="K156" s="28"/>
      <c r="L156" s="28"/>
      <c r="M156" s="28"/>
      <c r="N156" s="28"/>
      <c r="O156" s="28"/>
      <c r="P156" s="28"/>
      <c r="Q156" s="8" t="s">
        <v>5898</v>
      </c>
      <c r="R156" s="80"/>
      <c r="S156" s="116"/>
      <c r="T156" s="116"/>
      <c r="U156" s="28"/>
      <c r="V156" s="80"/>
      <c r="W156" s="80"/>
      <c r="X156" s="28"/>
      <c r="Y156" s="80"/>
      <c r="Z156" s="28"/>
      <c r="AA156" s="84"/>
      <c r="AB156" s="74"/>
      <c r="AC156" s="74"/>
      <c r="AD156" s="74"/>
      <c r="AE156" s="30">
        <f>INDEX('D1 - Master Project Table'!$A$1:$AK$7056,$A156,9)</f>
        <v>0.55000000000000004</v>
      </c>
      <c r="AF156" s="34" t="str">
        <f>INDEX('D1 - Master Project Table'!$A$1:$AK$7056,$A156,8)</f>
        <v>1 - Scheduled</v>
      </c>
      <c r="AG156" s="146"/>
      <c r="AH156" s="227"/>
    </row>
    <row r="157" spans="1:34" x14ac:dyDescent="0.2">
      <c r="A157" s="53" t="e">
        <f>MATCH(C157,'D1 - Master Project Table'!$D$1:$D$7056,0)</f>
        <v>#N/A</v>
      </c>
      <c r="B157" s="53" t="e">
        <f>MATCH(C157,#REF!,0)</f>
        <v>#REF!</v>
      </c>
      <c r="C157" s="173" t="s">
        <v>7420</v>
      </c>
      <c r="D157" s="137" t="s">
        <v>9596</v>
      </c>
      <c r="E157" s="199">
        <v>41538</v>
      </c>
      <c r="F157" s="201"/>
      <c r="G157" s="43" t="e">
        <f>INDEX('D1 - Master Project Table'!$A$1:$AK$7056,$A157,13)</f>
        <v>#N/A</v>
      </c>
      <c r="H157" s="43"/>
      <c r="I157" s="201"/>
      <c r="J157" s="43" t="e">
        <f>INDEX('D1 - Master Project Table'!$A$1:$AK$7056,$A157,13)</f>
        <v>#N/A</v>
      </c>
      <c r="K157" s="43" t="e">
        <f>INDEX('D1 - Master Project Table'!$A$1:$AK$7056,$A157,13)</f>
        <v>#N/A</v>
      </c>
      <c r="L157" s="43" t="e">
        <f>INDEX('D1 - Master Project Table'!$A$1:$AK$7056,$A157,13)</f>
        <v>#N/A</v>
      </c>
      <c r="M157" s="43" t="e">
        <f>INDEX('D1 - Master Project Table'!$A$1:$AK$7056,$A157,13)</f>
        <v>#N/A</v>
      </c>
      <c r="N157" s="43" t="e">
        <f>INDEX('D1 - Master Project Table'!$A$1:$AK$7056,$A157,13)</f>
        <v>#N/A</v>
      </c>
      <c r="O157" s="43" t="e">
        <f>INDEX('D1 - Master Project Table'!$A$1:$AK$7056,$A157,13)</f>
        <v>#N/A</v>
      </c>
      <c r="P157" s="43" t="e">
        <f>INDEX('D1 - Master Project Table'!$A$1:$AK$7056,$A157,13)</f>
        <v>#N/A</v>
      </c>
      <c r="Q157" s="43">
        <v>0</v>
      </c>
      <c r="R157" s="43">
        <v>0</v>
      </c>
      <c r="S157" s="43">
        <v>0</v>
      </c>
      <c r="T157" s="43">
        <v>0</v>
      </c>
      <c r="U157" s="43">
        <v>0</v>
      </c>
      <c r="V157" s="81">
        <v>0</v>
      </c>
      <c r="W157" s="81">
        <v>0</v>
      </c>
      <c r="X157" s="43">
        <v>0</v>
      </c>
      <c r="Y157" s="81">
        <v>0</v>
      </c>
      <c r="Z157" s="43">
        <v>0</v>
      </c>
      <c r="AA157" s="85">
        <v>0</v>
      </c>
      <c r="AB157" s="44">
        <v>0</v>
      </c>
      <c r="AC157" s="44">
        <v>0</v>
      </c>
      <c r="AD157" s="52" t="e">
        <v>#N/A</v>
      </c>
      <c r="AE157" s="45"/>
      <c r="AF157" s="44"/>
      <c r="AG157" s="146"/>
      <c r="AH157" s="227"/>
    </row>
    <row r="158" spans="1:34" ht="33.75" x14ac:dyDescent="0.2">
      <c r="A158" s="36">
        <f>MATCH(C158,'D1 - Master Project Table'!$D$1:$D$7056,0)</f>
        <v>162</v>
      </c>
      <c r="B158" s="36" t="e">
        <f>MATCH(C158,#REF!,0)</f>
        <v>#REF!</v>
      </c>
      <c r="C158" s="125" t="s">
        <v>9163</v>
      </c>
      <c r="D158" s="34" t="str">
        <f>INDEX('D1 - Master Project Table'!$A$1:$AK$7056,$A158,5)</f>
        <v>Wisconsin CSP Facets Migration</v>
      </c>
      <c r="E158" s="31">
        <f>INDEX('D1 - Master Project Table'!$A$1:$AK$7056,$A158,11)</f>
        <v>41538</v>
      </c>
      <c r="F158" s="32" t="str">
        <f>INDEX('D1 - Master Project Table'!$A$1:$AK$7056,$A158,13)</f>
        <v>Project</v>
      </c>
      <c r="G158" s="32" t="str">
        <f>INDEX('D1 - Master Project Table'!$A$1:$AK$7056,$A158,7)</f>
        <v>3 - Green</v>
      </c>
      <c r="H158" s="32"/>
      <c r="I158" s="9" t="s">
        <v>9640</v>
      </c>
      <c r="J158" s="28"/>
      <c r="K158" s="28"/>
      <c r="L158" s="28"/>
      <c r="M158" s="28"/>
      <c r="N158" s="28"/>
      <c r="O158" s="28"/>
      <c r="P158" s="28"/>
      <c r="Q158" s="8" t="s">
        <v>3105</v>
      </c>
      <c r="R158" s="80"/>
      <c r="S158" s="116"/>
      <c r="T158" s="116"/>
      <c r="U158" s="8" t="s">
        <v>404</v>
      </c>
      <c r="V158" s="80"/>
      <c r="W158" s="80"/>
      <c r="X158" s="28"/>
      <c r="Y158" s="80"/>
      <c r="Z158" s="9" t="s">
        <v>9346</v>
      </c>
      <c r="AA158" s="84"/>
      <c r="AB158" s="74"/>
      <c r="AC158" s="74"/>
      <c r="AD158" s="74"/>
      <c r="AE158" s="30">
        <f>INDEX('D1 - Master Project Table'!$A$1:$AK$7056,$A158,9)</f>
        <v>21.17</v>
      </c>
      <c r="AF158" s="34" t="str">
        <f>INDEX('D1 - Master Project Table'!$A$1:$AK$7056,$A158,8)</f>
        <v>1 - Scheduled</v>
      </c>
      <c r="AG158" s="146"/>
      <c r="AH158" s="227"/>
    </row>
    <row r="159" spans="1:34" ht="101.25" x14ac:dyDescent="0.2">
      <c r="A159" s="36">
        <f>MATCH(C159,'D1 - Master Project Table'!$D$1:$D$7056,0)</f>
        <v>163</v>
      </c>
      <c r="B159" s="36" t="e">
        <f>MATCH(C159,#REF!,0)</f>
        <v>#REF!</v>
      </c>
      <c r="C159" s="125" t="s">
        <v>8221</v>
      </c>
      <c r="D159" s="34" t="str">
        <f>INDEX('D1 - Master Project Table'!$A$1:$AK$7056,$A159,5)</f>
        <v>Health Care Cost Estimator  Release 2.2</v>
      </c>
      <c r="E159" s="31">
        <f>INDEX('D1 - Master Project Table'!$A$1:$AK$7056,$A159,11)</f>
        <v>41538</v>
      </c>
      <c r="F159" s="32" t="str">
        <f>INDEX('D1 - Master Project Table'!$A$1:$AK$7056,$A159,13)</f>
        <v>Project</v>
      </c>
      <c r="G159" s="32" t="str">
        <f>INDEX('D1 - Master Project Table'!$A$1:$AK$7056,$A159,7)</f>
        <v>3 - Green</v>
      </c>
      <c r="H159" s="32"/>
      <c r="I159" s="9" t="s">
        <v>9578</v>
      </c>
      <c r="J159" s="8" t="s">
        <v>3758</v>
      </c>
      <c r="K159" s="8" t="s">
        <v>3758</v>
      </c>
      <c r="L159" s="8" t="s">
        <v>3758</v>
      </c>
      <c r="M159" s="8" t="s">
        <v>7273</v>
      </c>
      <c r="N159" s="8" t="s">
        <v>3758</v>
      </c>
      <c r="O159" s="8" t="s">
        <v>7273</v>
      </c>
      <c r="P159" s="8" t="s">
        <v>7273</v>
      </c>
      <c r="Q159" s="8" t="s">
        <v>4599</v>
      </c>
      <c r="R159" s="80">
        <v>41205</v>
      </c>
      <c r="S159" s="57" t="s">
        <v>2737</v>
      </c>
      <c r="T159" s="57" t="s">
        <v>3758</v>
      </c>
      <c r="U159" s="8" t="s">
        <v>1060</v>
      </c>
      <c r="V159" s="175">
        <v>41355</v>
      </c>
      <c r="W159" s="175">
        <v>41305</v>
      </c>
      <c r="X159" s="9" t="s">
        <v>8234</v>
      </c>
      <c r="Y159" s="80">
        <v>41338</v>
      </c>
      <c r="Z159" s="8" t="s">
        <v>8863</v>
      </c>
      <c r="AA159" s="84">
        <v>41389</v>
      </c>
      <c r="AB159" s="9" t="s">
        <v>9165</v>
      </c>
      <c r="AC159" s="9"/>
      <c r="AD159" s="74"/>
      <c r="AE159" s="30">
        <f>INDEX('D1 - Master Project Table'!$A$1:$AK$7056,$A159,9)</f>
        <v>63.6</v>
      </c>
      <c r="AF159" s="34" t="str">
        <f>INDEX('D1 - Master Project Table'!$A$1:$AK$7056,$A159,8)</f>
        <v>1 - Scheduled</v>
      </c>
      <c r="AG159" s="146"/>
      <c r="AH159" s="227"/>
    </row>
    <row r="160" spans="1:34" ht="191.25" x14ac:dyDescent="0.2">
      <c r="A160" s="36">
        <f>MATCH(C160,'D1 - Master Project Table'!$D$1:$D$7056,0)</f>
        <v>139</v>
      </c>
      <c r="B160" s="36" t="e">
        <f>MATCH(C160,#REF!,0)</f>
        <v>#REF!</v>
      </c>
      <c r="C160" s="200" t="s">
        <v>692</v>
      </c>
      <c r="D160" s="34" t="str">
        <f>INDEX('D1 - Master Project Table'!$A$1:$AK$7056,$A160,5)</f>
        <v>HCR-Exchanges Connect Platforms to DI Layer</v>
      </c>
      <c r="E160" s="31">
        <f>INDEX('D1 - Master Project Table'!$A$1:$AK$7056,$A160,11)</f>
        <v>41538</v>
      </c>
      <c r="F160" s="32" t="str">
        <f>INDEX('D1 - Master Project Table'!$A$1:$AK$7056,$A160,13)</f>
        <v>Project</v>
      </c>
      <c r="G160" s="32" t="str">
        <f>INDEX('D1 - Master Project Table'!$A$1:$AK$7056,$A160,7)</f>
        <v>1 - Red</v>
      </c>
      <c r="H160" s="32"/>
      <c r="I160" s="9" t="s">
        <v>9633</v>
      </c>
      <c r="J160" s="8" t="s">
        <v>3758</v>
      </c>
      <c r="K160" s="8" t="s">
        <v>3758</v>
      </c>
      <c r="L160" s="8" t="s">
        <v>3758</v>
      </c>
      <c r="M160" s="8" t="s">
        <v>7273</v>
      </c>
      <c r="N160" s="8" t="s">
        <v>7273</v>
      </c>
      <c r="O160" s="8" t="s">
        <v>7273</v>
      </c>
      <c r="P160" s="8" t="s">
        <v>3758</v>
      </c>
      <c r="Q160" s="8" t="s">
        <v>895</v>
      </c>
      <c r="R160" s="176" t="s">
        <v>9466</v>
      </c>
      <c r="S160" s="57" t="s">
        <v>2737</v>
      </c>
      <c r="T160" s="116"/>
      <c r="U160" s="9" t="s">
        <v>9034</v>
      </c>
      <c r="V160" s="175" t="s">
        <v>4027</v>
      </c>
      <c r="W160" s="80">
        <v>41424</v>
      </c>
      <c r="X160" s="9" t="s">
        <v>9036</v>
      </c>
      <c r="Y160" s="80">
        <v>41439</v>
      </c>
      <c r="Z160" s="8" t="s">
        <v>9021</v>
      </c>
      <c r="AA160" s="176" t="s">
        <v>9463</v>
      </c>
      <c r="AB160" s="9" t="s">
        <v>9152</v>
      </c>
      <c r="AC160" s="74"/>
      <c r="AD160" s="74"/>
      <c r="AE160" s="30">
        <f>INDEX('D1 - Master Project Table'!$A$1:$AK$7056,$A160,9)</f>
        <v>9.1300000000000008</v>
      </c>
      <c r="AF160" s="34" t="str">
        <f>INDEX('D1 - Master Project Table'!$A$1:$AK$7056,$A160,8)</f>
        <v>1 - Scheduled</v>
      </c>
      <c r="AG160" s="6" t="s">
        <v>9035</v>
      </c>
      <c r="AH160" s="227"/>
    </row>
    <row r="161" spans="1:34" ht="45" customHeight="1" x14ac:dyDescent="0.2">
      <c r="A161" s="36">
        <f>MATCH(C161,'D1 - Master Project Table'!$D$1:$D$7056,0)</f>
        <v>164</v>
      </c>
      <c r="B161" s="36" t="e">
        <f>MATCH(C161,#REF!,0)</f>
        <v>#REF!</v>
      </c>
      <c r="C161" s="125" t="s">
        <v>343</v>
      </c>
      <c r="D161" s="34" t="str">
        <f>INDEX('D1 - Master Project Table'!$A$1:$AK$7056,$A161,5)</f>
        <v>Emptoris v9.X Upgrade</v>
      </c>
      <c r="E161" s="31">
        <f>INDEX('D1 - Master Project Table'!$A$1:$AK$7056,$A161,11)</f>
        <v>41538</v>
      </c>
      <c r="F161" s="32" t="str">
        <f>INDEX('D1 - Master Project Table'!$A$1:$AK$7056,$A161,13)</f>
        <v>Project</v>
      </c>
      <c r="G161" s="32" t="str">
        <f>INDEX('D1 - Master Project Table'!$A$1:$AK$7056,$A161,7)</f>
        <v>3 - Green</v>
      </c>
      <c r="H161" s="32"/>
      <c r="I161" s="74" t="s">
        <v>7681</v>
      </c>
      <c r="J161" s="28"/>
      <c r="K161" s="28"/>
      <c r="L161" s="28"/>
      <c r="M161" s="28"/>
      <c r="N161" s="28"/>
      <c r="O161" s="28"/>
      <c r="P161" s="28"/>
      <c r="Q161" s="28" t="s">
        <v>1731</v>
      </c>
      <c r="R161" s="80"/>
      <c r="S161" s="116"/>
      <c r="T161" s="116"/>
      <c r="U161" s="28"/>
      <c r="V161" s="80"/>
      <c r="W161" s="80"/>
      <c r="X161" s="28"/>
      <c r="Y161" s="80"/>
      <c r="Z161" s="8" t="s">
        <v>955</v>
      </c>
      <c r="AA161" s="84"/>
      <c r="AB161" s="74"/>
      <c r="AC161" s="74"/>
      <c r="AD161" s="74"/>
      <c r="AE161" s="30">
        <f>INDEX('D1 - Master Project Table'!$A$1:$AK$7056,$A161,9)</f>
        <v>1.52</v>
      </c>
      <c r="AF161" s="34" t="str">
        <f>INDEX('D1 - Master Project Table'!$A$1:$AK$7056,$A161,8)</f>
        <v>1 - Scheduled</v>
      </c>
      <c r="AG161" s="146"/>
      <c r="AH161" s="227"/>
    </row>
    <row r="162" spans="1:34" ht="23.25" customHeight="1" x14ac:dyDescent="0.2">
      <c r="A162" s="36">
        <f>MATCH(C162,'D1 - Master Project Table'!$D$1:$D$7056,0)</f>
        <v>165</v>
      </c>
      <c r="B162" s="36" t="e">
        <f>MATCH(C162,#REF!,0)</f>
        <v>#REF!</v>
      </c>
      <c r="C162" s="125" t="s">
        <v>7716</v>
      </c>
      <c r="D162" s="34" t="str">
        <f>INDEX('D1 - Master Project Table'!$A$1:$AK$7056,$A162,5)</f>
        <v>Provider Touchpoint- Claims Reconsideration 1.5</v>
      </c>
      <c r="E162" s="31">
        <f>INDEX('D1 - Master Project Table'!$A$1:$AK$7056,$A162,11)</f>
        <v>41538</v>
      </c>
      <c r="F162" s="32" t="str">
        <f>INDEX('D1 - Master Project Table'!$A$1:$AK$7056,$A162,13)</f>
        <v>Testing</v>
      </c>
      <c r="G162" s="32" t="str">
        <f>INDEX('D1 - Master Project Table'!$A$1:$AK$7056,$A162,7)</f>
        <v>3 - Green</v>
      </c>
      <c r="H162" s="32"/>
      <c r="I162" s="74"/>
      <c r="J162" s="28"/>
      <c r="K162" s="28"/>
      <c r="L162" s="28"/>
      <c r="M162" s="28"/>
      <c r="N162" s="28"/>
      <c r="O162" s="28"/>
      <c r="P162" s="28"/>
      <c r="Q162" s="8" t="s">
        <v>1731</v>
      </c>
      <c r="R162" s="80"/>
      <c r="S162" s="116"/>
      <c r="T162" s="116"/>
      <c r="U162" s="28"/>
      <c r="V162" s="80"/>
      <c r="W162" s="80"/>
      <c r="X162" s="28"/>
      <c r="Y162" s="80"/>
      <c r="Z162" s="8" t="s">
        <v>955</v>
      </c>
      <c r="AA162" s="84"/>
      <c r="AB162" s="74"/>
      <c r="AC162" s="74"/>
      <c r="AD162" s="74"/>
      <c r="AE162" s="30">
        <f>INDEX('D1 - Master Project Table'!$A$1:$AK$7056,$A162,9)</f>
        <v>0.35</v>
      </c>
      <c r="AF162" s="34" t="str">
        <f>INDEX('D1 - Master Project Table'!$A$1:$AK$7056,$A162,8)</f>
        <v>1 - Scheduled</v>
      </c>
      <c r="AG162" s="146"/>
      <c r="AH162" s="227"/>
    </row>
    <row r="163" spans="1:34" ht="22.5" x14ac:dyDescent="0.2">
      <c r="A163" s="36">
        <f>MATCH(C163,'D1 - Master Project Table'!$D$1:$D$7056,0)</f>
        <v>166</v>
      </c>
      <c r="B163" s="36" t="e">
        <f>MATCH(C163,#REF!,0)</f>
        <v>#REF!</v>
      </c>
      <c r="C163" s="125" t="s">
        <v>7717</v>
      </c>
      <c r="D163" s="34" t="str">
        <f>INDEX('D1 - Master Project Table'!$A$1:$AK$7056,$A163,5)</f>
        <v>Provider Touchpoint - Claims Management</v>
      </c>
      <c r="E163" s="31">
        <f>INDEX('D1 - Master Project Table'!$A$1:$AK$7056,$A163,11)</f>
        <v>41538</v>
      </c>
      <c r="F163" s="32" t="str">
        <f>INDEX('D1 - Master Project Table'!$A$1:$AK$7056,$A163,13)</f>
        <v>Testing</v>
      </c>
      <c r="G163" s="32" t="str">
        <f>INDEX('D1 - Master Project Table'!$A$1:$AK$7056,$A163,7)</f>
        <v>3 - Green</v>
      </c>
      <c r="H163" s="32"/>
      <c r="I163" s="9" t="s">
        <v>9174</v>
      </c>
      <c r="J163" s="28"/>
      <c r="K163" s="28"/>
      <c r="L163" s="28"/>
      <c r="M163" s="28"/>
      <c r="N163" s="28"/>
      <c r="O163" s="28"/>
      <c r="P163" s="28"/>
      <c r="Q163" s="8" t="s">
        <v>895</v>
      </c>
      <c r="R163" s="80"/>
      <c r="S163" s="116"/>
      <c r="T163" s="116"/>
      <c r="U163" s="28"/>
      <c r="V163" s="80"/>
      <c r="W163" s="80"/>
      <c r="X163" s="28"/>
      <c r="Y163" s="80"/>
      <c r="Z163" s="8" t="s">
        <v>9344</v>
      </c>
      <c r="AA163" s="84"/>
      <c r="AB163" s="74"/>
      <c r="AC163" s="74"/>
      <c r="AD163" s="74"/>
      <c r="AE163" s="30">
        <f>INDEX('D1 - Master Project Table'!$A$1:$AK$7056,$A163,9)</f>
        <v>1.61</v>
      </c>
      <c r="AF163" s="34" t="str">
        <f>INDEX('D1 - Master Project Table'!$A$1:$AK$7056,$A163,8)</f>
        <v>1 - Scheduled</v>
      </c>
      <c r="AG163" s="146"/>
      <c r="AH163" s="227"/>
    </row>
    <row r="164" spans="1:34" ht="22.5" x14ac:dyDescent="0.2">
      <c r="A164" s="36">
        <f>MATCH(C164,'D1 - Master Project Table'!$D$1:$D$7056,0)</f>
        <v>167</v>
      </c>
      <c r="B164" s="36" t="e">
        <f>MATCH(C164,#REF!,0)</f>
        <v>#REF!</v>
      </c>
      <c r="C164" s="200" t="s">
        <v>8860</v>
      </c>
      <c r="D164" s="34" t="str">
        <f>INDEX('D1 - Master Project Table'!$A$1:$AK$7056,$A164,5)</f>
        <v>Provider Touchpoint - Scheduling and Registration</v>
      </c>
      <c r="E164" s="31">
        <f>INDEX('D1 - Master Project Table'!$A$1:$AK$7056,$A164,11)</f>
        <v>41538</v>
      </c>
      <c r="F164" s="32" t="str">
        <f>INDEX('D1 - Master Project Table'!$A$1:$AK$7056,$A164,13)</f>
        <v>Project</v>
      </c>
      <c r="G164" s="32" t="str">
        <f>INDEX('D1 - Master Project Table'!$A$1:$AK$7056,$A164,7)</f>
        <v>3 - Green</v>
      </c>
      <c r="H164" s="32"/>
      <c r="I164" s="74" t="s">
        <v>9530</v>
      </c>
      <c r="J164" s="28"/>
      <c r="K164" s="28"/>
      <c r="L164" s="28"/>
      <c r="M164" s="28"/>
      <c r="N164" s="28"/>
      <c r="O164" s="28"/>
      <c r="P164" s="28"/>
      <c r="Q164" s="8" t="s">
        <v>515</v>
      </c>
      <c r="R164" s="80"/>
      <c r="S164" s="116"/>
      <c r="T164" s="116"/>
      <c r="U164" s="8" t="s">
        <v>9526</v>
      </c>
      <c r="V164" s="80"/>
      <c r="W164" s="80"/>
      <c r="X164" s="9" t="s">
        <v>9559</v>
      </c>
      <c r="Y164" s="80"/>
      <c r="Z164" s="28"/>
      <c r="AA164" s="84"/>
      <c r="AB164" s="74"/>
      <c r="AC164" s="74"/>
      <c r="AD164" s="74"/>
      <c r="AE164" s="30">
        <f>INDEX('D1 - Master Project Table'!$A$1:$AK$7056,$A164,9)</f>
        <v>40.1</v>
      </c>
      <c r="AF164" s="34" t="str">
        <f>INDEX('D1 - Master Project Table'!$A$1:$AK$7056,$A164,8)</f>
        <v>1 - Scheduled</v>
      </c>
      <c r="AG164" s="146"/>
      <c r="AH164" s="227"/>
    </row>
    <row r="165" spans="1:34" ht="33.75" x14ac:dyDescent="0.2">
      <c r="A165" s="36">
        <f>MATCH(C165,'D1 - Master Project Table'!$D$1:$D$7056,0)</f>
        <v>168</v>
      </c>
      <c r="B165" s="36" t="e">
        <f>MATCH(C165,#REF!,0)</f>
        <v>#REF!</v>
      </c>
      <c r="C165" s="125" t="s">
        <v>7819</v>
      </c>
      <c r="D165" s="34" t="str">
        <f>INDEX('D1 - Master Project Table'!$A$1:$AK$7056,$A165,5)</f>
        <v xml:space="preserve">2013 Transparency: OHBS Members CS-UHC Consumer </v>
      </c>
      <c r="E165" s="31">
        <f>INDEX('D1 - Master Project Table'!$A$1:$AK$7056,$A165,11)</f>
        <v>41538</v>
      </c>
      <c r="F165" s="32" t="str">
        <f>INDEX('D1 - Master Project Table'!$A$1:$AK$7056,$A165,13)</f>
        <v>Project</v>
      </c>
      <c r="G165" s="32" t="str">
        <f>INDEX('D1 - Master Project Table'!$A$1:$AK$7056,$A165,7)</f>
        <v>3 - Green</v>
      </c>
      <c r="H165" s="4" t="s">
        <v>7290</v>
      </c>
      <c r="I165" s="9" t="s">
        <v>9579</v>
      </c>
      <c r="J165" s="28"/>
      <c r="K165" s="28"/>
      <c r="L165" s="28"/>
      <c r="M165" s="28"/>
      <c r="N165" s="28"/>
      <c r="O165" s="28"/>
      <c r="P165" s="28"/>
      <c r="Q165" s="8" t="s">
        <v>4599</v>
      </c>
      <c r="R165" s="80"/>
      <c r="S165" s="116"/>
      <c r="T165" s="116"/>
      <c r="U165" s="28"/>
      <c r="V165" s="80"/>
      <c r="W165" s="80"/>
      <c r="X165" s="28"/>
      <c r="Y165" s="80"/>
      <c r="Z165" s="9" t="s">
        <v>9347</v>
      </c>
      <c r="AA165" s="84"/>
      <c r="AB165" s="74"/>
      <c r="AC165" s="74"/>
      <c r="AD165" s="74"/>
      <c r="AE165" s="30">
        <f>INDEX('D1 - Master Project Table'!$A$1:$AK$7056,$A165,9)</f>
        <v>34.979999999999997</v>
      </c>
      <c r="AF165" s="34" t="str">
        <f>INDEX('D1 - Master Project Table'!$A$1:$AK$7056,$A165,8)</f>
        <v>1 - Scheduled</v>
      </c>
      <c r="AG165" s="146"/>
      <c r="AH165" s="227"/>
    </row>
    <row r="166" spans="1:34" ht="123.75" x14ac:dyDescent="0.2">
      <c r="A166" s="36">
        <f>MATCH(C166,'D1 - Master Project Table'!$D$1:$D$7056,0)</f>
        <v>169</v>
      </c>
      <c r="B166" s="36" t="e">
        <f>MATCH(C166,#REF!,0)</f>
        <v>#REF!</v>
      </c>
      <c r="C166" s="200" t="s">
        <v>8971</v>
      </c>
      <c r="D166" s="34" t="str">
        <f>INDEX('D1 - Master Project Table'!$A$1:$AK$7056,$A166,5)</f>
        <v>CAQH - EPDI Feed</v>
      </c>
      <c r="E166" s="31">
        <f>INDEX('D1 - Master Project Table'!$A$1:$AK$7056,$A166,11)</f>
        <v>41538</v>
      </c>
      <c r="F166" s="32" t="str">
        <f>INDEX('D1 - Master Project Table'!$A$1:$AK$7056,$A166,13)</f>
        <v>Project</v>
      </c>
      <c r="G166" s="32" t="str">
        <f>INDEX('D1 - Master Project Table'!$A$1:$AK$7056,$A166,7)</f>
        <v>2 - Yellow</v>
      </c>
      <c r="H166" s="32"/>
      <c r="I166" s="9" t="s">
        <v>9631</v>
      </c>
      <c r="J166" s="8" t="s">
        <v>3758</v>
      </c>
      <c r="K166" s="8" t="s">
        <v>7273</v>
      </c>
      <c r="L166" s="8" t="s">
        <v>3758</v>
      </c>
      <c r="M166" s="8" t="s">
        <v>7273</v>
      </c>
      <c r="N166" s="8" t="s">
        <v>7273</v>
      </c>
      <c r="O166" s="8" t="s">
        <v>7273</v>
      </c>
      <c r="P166" s="8" t="s">
        <v>7273</v>
      </c>
      <c r="Q166" s="8" t="s">
        <v>59</v>
      </c>
      <c r="R166" s="80">
        <v>41418</v>
      </c>
      <c r="S166" s="57" t="s">
        <v>2737</v>
      </c>
      <c r="T166" s="116"/>
      <c r="U166" s="8" t="s">
        <v>9595</v>
      </c>
      <c r="V166" s="175" t="s">
        <v>4027</v>
      </c>
      <c r="W166" s="80">
        <v>41428</v>
      </c>
      <c r="X166" s="8" t="s">
        <v>2810</v>
      </c>
      <c r="Y166" s="80">
        <v>41473</v>
      </c>
      <c r="Z166" s="9" t="s">
        <v>9349</v>
      </c>
      <c r="AA166" s="84">
        <v>41491</v>
      </c>
      <c r="AB166" s="9" t="s">
        <v>9548</v>
      </c>
      <c r="AC166" s="74"/>
      <c r="AD166" s="74"/>
      <c r="AE166" s="30">
        <f>INDEX('D1 - Master Project Table'!$A$1:$AK$7056,$A166,9)</f>
        <v>23.01</v>
      </c>
      <c r="AF166" s="34" t="str">
        <f>INDEX('D1 - Master Project Table'!$A$1:$AK$7056,$A166,8)</f>
        <v>1 - Scheduled</v>
      </c>
      <c r="AG166" s="146"/>
      <c r="AH166" s="227"/>
    </row>
    <row r="167" spans="1:34" x14ac:dyDescent="0.2">
      <c r="A167" s="36">
        <f>MATCH(C167,'D1 - Master Project Table'!$D$1:$D$7056,0)</f>
        <v>170</v>
      </c>
      <c r="B167" s="36" t="e">
        <f>MATCH(C167,#REF!,0)</f>
        <v>#REF!</v>
      </c>
      <c r="C167" s="125" t="s">
        <v>9389</v>
      </c>
      <c r="D167" s="34" t="str">
        <f>INDEX('D1 - Master Project Table'!$A$1:$AK$7056,$A167,5)</f>
        <v>CAQH - EPDI Feed</v>
      </c>
      <c r="E167" s="31">
        <f>INDEX('D1 - Master Project Table'!$A$1:$AK$7056,$A167,11)</f>
        <v>41538</v>
      </c>
      <c r="F167" s="32" t="str">
        <f>INDEX('D1 - Master Project Table'!$A$1:$AK$7056,$A167,13)</f>
        <v>Project</v>
      </c>
      <c r="G167" s="32" t="str">
        <f>INDEX('D1 - Master Project Table'!$A$1:$AK$7056,$A167,7)</f>
        <v>2 - Yellow</v>
      </c>
      <c r="H167" s="32"/>
      <c r="I167" s="74"/>
      <c r="J167" s="28"/>
      <c r="K167" s="28"/>
      <c r="L167" s="28"/>
      <c r="M167" s="28"/>
      <c r="N167" s="28"/>
      <c r="O167" s="28"/>
      <c r="P167" s="28"/>
      <c r="Q167" s="8" t="s">
        <v>59</v>
      </c>
      <c r="R167" s="80"/>
      <c r="S167" s="116"/>
      <c r="T167" s="116"/>
      <c r="U167" s="28"/>
      <c r="V167" s="80"/>
      <c r="W167" s="80"/>
      <c r="X167" s="28"/>
      <c r="Y167" s="80"/>
      <c r="Z167" s="28"/>
      <c r="AA167" s="84"/>
      <c r="AB167" s="74"/>
      <c r="AC167" s="74"/>
      <c r="AD167" s="74"/>
      <c r="AE167" s="30">
        <f>INDEX('D1 - Master Project Table'!$A$1:$AK$7056,$A167,9)</f>
        <v>1.43</v>
      </c>
      <c r="AF167" s="34" t="str">
        <f>INDEX('D1 - Master Project Table'!$A$1:$AK$7056,$A167,8)</f>
        <v>1 - Scheduled</v>
      </c>
      <c r="AG167" s="146"/>
      <c r="AH167" s="227"/>
    </row>
    <row r="168" spans="1:34" ht="157.5" x14ac:dyDescent="0.2">
      <c r="A168" s="36">
        <f>MATCH(C168,'D1 - Master Project Table'!$D$1:$D$7056,0)</f>
        <v>171</v>
      </c>
      <c r="B168" s="36" t="e">
        <f>MATCH(C168,#REF!,0)</f>
        <v>#REF!</v>
      </c>
      <c r="C168" s="200" t="s">
        <v>8960</v>
      </c>
      <c r="D168" s="34" t="str">
        <f>INDEX('D1 - Master Project Table'!$A$1:$AK$7056,$A168,5)</f>
        <v>Medicare Advantage Part C EOB Day 1 Project (A/D)</v>
      </c>
      <c r="E168" s="31">
        <f>INDEX('D1 - Master Project Table'!$A$1:$AK$7056,$A168,11)</f>
        <v>41538</v>
      </c>
      <c r="F168" s="32" t="str">
        <f>INDEX('D1 - Master Project Table'!$A$1:$AK$7056,$A168,13)</f>
        <v>Project</v>
      </c>
      <c r="G168" s="32" t="str">
        <f>INDEX('D1 - Master Project Table'!$A$1:$AK$7056,$A168,7)</f>
        <v>2 - Yellow</v>
      </c>
      <c r="H168" s="32"/>
      <c r="I168" s="9" t="s">
        <v>9598</v>
      </c>
      <c r="J168" s="8" t="s">
        <v>3758</v>
      </c>
      <c r="K168" s="8" t="s">
        <v>3758</v>
      </c>
      <c r="L168" s="8" t="s">
        <v>3758</v>
      </c>
      <c r="M168" s="8" t="s">
        <v>7273</v>
      </c>
      <c r="N168" s="8" t="s">
        <v>3758</v>
      </c>
      <c r="O168" s="8" t="s">
        <v>7273</v>
      </c>
      <c r="P168" s="8" t="s">
        <v>7273</v>
      </c>
      <c r="Q168" s="8" t="s">
        <v>219</v>
      </c>
      <c r="R168" s="176" t="s">
        <v>9467</v>
      </c>
      <c r="S168" s="57" t="s">
        <v>2737</v>
      </c>
      <c r="T168" s="116"/>
      <c r="U168" s="8" t="s">
        <v>9040</v>
      </c>
      <c r="V168" s="175" t="s">
        <v>4027</v>
      </c>
      <c r="W168" s="175">
        <v>41422</v>
      </c>
      <c r="X168" s="8" t="s">
        <v>2810</v>
      </c>
      <c r="Y168" s="175">
        <v>41477</v>
      </c>
      <c r="Z168" s="9" t="s">
        <v>9350</v>
      </c>
      <c r="AA168" s="84"/>
      <c r="AB168" s="9" t="s">
        <v>9547</v>
      </c>
      <c r="AC168" s="74"/>
      <c r="AD168" s="74"/>
      <c r="AE168" s="30">
        <f>INDEX('D1 - Master Project Table'!$A$1:$AK$7056,$A168,9)</f>
        <v>33.58</v>
      </c>
      <c r="AF168" s="34" t="str">
        <f>INDEX('D1 - Master Project Table'!$A$1:$AK$7056,$A168,8)</f>
        <v>1 - Scheduled</v>
      </c>
      <c r="AG168" s="6" t="s">
        <v>9041</v>
      </c>
      <c r="AH168" s="227"/>
    </row>
    <row r="169" spans="1:34" ht="112.5" x14ac:dyDescent="0.2">
      <c r="A169" s="36">
        <f>MATCH(C169,'D1 - Master Project Table'!$D$1:$D$7056,0)</f>
        <v>172</v>
      </c>
      <c r="B169" s="36" t="e">
        <f>MATCH(C169,#REF!,0)</f>
        <v>#REF!</v>
      </c>
      <c r="C169" s="200" t="s">
        <v>8962</v>
      </c>
      <c r="D169" s="34" t="str">
        <f>INDEX('D1 - Master Project Table'!$A$1:$AK$7056,$A169,5)</f>
        <v>myHCE: TCI Tables (Core functionality) 2013</v>
      </c>
      <c r="E169" s="31">
        <f>INDEX('D1 - Master Project Table'!$A$1:$AK$7056,$A169,11)</f>
        <v>41538</v>
      </c>
      <c r="F169" s="32" t="str">
        <f>INDEX('D1 - Master Project Table'!$A$1:$AK$7056,$A169,13)</f>
        <v>Project</v>
      </c>
      <c r="G169" s="32" t="str">
        <f>INDEX('D1 - Master Project Table'!$A$1:$AK$7056,$A169,7)</f>
        <v>3 - Green</v>
      </c>
      <c r="H169" s="32"/>
      <c r="I169" s="9" t="s">
        <v>9580</v>
      </c>
      <c r="J169" s="8" t="s">
        <v>3758</v>
      </c>
      <c r="K169" s="8" t="s">
        <v>3758</v>
      </c>
      <c r="L169" s="8" t="s">
        <v>3758</v>
      </c>
      <c r="M169" s="8" t="s">
        <v>7273</v>
      </c>
      <c r="N169" s="8" t="s">
        <v>3758</v>
      </c>
      <c r="O169" s="8" t="s">
        <v>7273</v>
      </c>
      <c r="P169" s="8" t="s">
        <v>3758</v>
      </c>
      <c r="Q169" s="8" t="s">
        <v>4599</v>
      </c>
      <c r="R169" s="80">
        <v>41372</v>
      </c>
      <c r="S169" s="57" t="s">
        <v>2737</v>
      </c>
      <c r="T169" s="116"/>
      <c r="U169" s="8" t="s">
        <v>9155</v>
      </c>
      <c r="V169" s="80">
        <v>41362</v>
      </c>
      <c r="W169" s="176" t="s">
        <v>9154</v>
      </c>
      <c r="X169" s="9" t="s">
        <v>9156</v>
      </c>
      <c r="Y169" s="176" t="s">
        <v>9177</v>
      </c>
      <c r="Z169" s="8" t="s">
        <v>8863</v>
      </c>
      <c r="AA169" s="84">
        <v>41379</v>
      </c>
      <c r="AB169" s="9" t="s">
        <v>9166</v>
      </c>
      <c r="AC169" s="74"/>
      <c r="AD169" s="74"/>
      <c r="AE169" s="30">
        <f>INDEX('D1 - Master Project Table'!$A$1:$AK$7056,$A169,9)</f>
        <v>50.72</v>
      </c>
      <c r="AF169" s="34" t="str">
        <f>INDEX('D1 - Master Project Table'!$A$1:$AK$7056,$A169,8)</f>
        <v>1 - Scheduled</v>
      </c>
      <c r="AG169" s="146"/>
      <c r="AH169" s="227"/>
    </row>
    <row r="170" spans="1:34" ht="33.75" x14ac:dyDescent="0.2">
      <c r="A170" s="36">
        <f>MATCH(C170,'D1 - Master Project Table'!$D$1:$D$7056,0)</f>
        <v>173</v>
      </c>
      <c r="B170" s="36" t="e">
        <f>MATCH(C170,#REF!,0)</f>
        <v>#REF!</v>
      </c>
      <c r="C170" s="125" t="s">
        <v>9033</v>
      </c>
      <c r="D170" s="34" t="str">
        <f>INDEX('D1 - Master Project Table'!$A$1:$AK$7056,$A170,5)</f>
        <v>myHCE: TCI Tables (Core functionality) 2013</v>
      </c>
      <c r="E170" s="31">
        <f>INDEX('D1 - Master Project Table'!$A$1:$AK$7056,$A170,11)</f>
        <v>41538</v>
      </c>
      <c r="F170" s="32" t="str">
        <f>INDEX('D1 - Master Project Table'!$A$1:$AK$7056,$A170,13)</f>
        <v>Project</v>
      </c>
      <c r="G170" s="32" t="str">
        <f>INDEX('D1 - Master Project Table'!$A$1:$AK$7056,$A170,7)</f>
        <v>3 - Green</v>
      </c>
      <c r="H170" s="32"/>
      <c r="I170" s="9" t="s">
        <v>9158</v>
      </c>
      <c r="J170" s="8" t="s">
        <v>7273</v>
      </c>
      <c r="K170" s="8" t="s">
        <v>3758</v>
      </c>
      <c r="L170" s="8" t="s">
        <v>7273</v>
      </c>
      <c r="M170" s="8" t="s">
        <v>7273</v>
      </c>
      <c r="N170" s="8" t="s">
        <v>7273</v>
      </c>
      <c r="O170" s="8" t="s">
        <v>7273</v>
      </c>
      <c r="P170" s="8" t="s">
        <v>7273</v>
      </c>
      <c r="Q170" s="8" t="s">
        <v>4599</v>
      </c>
      <c r="R170" s="175" t="s">
        <v>9157</v>
      </c>
      <c r="S170" s="57" t="s">
        <v>2737</v>
      </c>
      <c r="T170" s="116"/>
      <c r="U170" s="8" t="s">
        <v>9155</v>
      </c>
      <c r="V170" s="175" t="s">
        <v>3572</v>
      </c>
      <c r="W170" s="80">
        <v>41305</v>
      </c>
      <c r="X170" s="8" t="s">
        <v>2810</v>
      </c>
      <c r="Y170" s="80">
        <v>41358</v>
      </c>
      <c r="Z170" s="8" t="s">
        <v>8863</v>
      </c>
      <c r="AA170" s="84">
        <v>41379</v>
      </c>
      <c r="AB170" s="9" t="s">
        <v>9129</v>
      </c>
      <c r="AC170" s="74"/>
      <c r="AD170" s="74"/>
      <c r="AE170" s="30">
        <f>INDEX('D1 - Master Project Table'!$A$1:$AK$7056,$A170,9)</f>
        <v>1.43</v>
      </c>
      <c r="AF170" s="34" t="str">
        <f>INDEX('D1 - Master Project Table'!$A$1:$AK$7056,$A170,8)</f>
        <v>1 - Scheduled</v>
      </c>
      <c r="AG170" s="146"/>
      <c r="AH170" s="227"/>
    </row>
    <row r="171" spans="1:34" ht="45" x14ac:dyDescent="0.2">
      <c r="A171" s="36">
        <f>MATCH(C171,'D1 - Master Project Table'!$D$1:$D$7056,0)</f>
        <v>174</v>
      </c>
      <c r="B171" s="36" t="e">
        <f>MATCH(C171,#REF!,0)</f>
        <v>#REF!</v>
      </c>
      <c r="C171" s="28" t="s">
        <v>770</v>
      </c>
      <c r="D171" s="34" t="str">
        <f>INDEX('D1 - Master Project Table'!$A$1:$AK$7056,$A171,5)</f>
        <v>Arizona CSP Facets Migration</v>
      </c>
      <c r="E171" s="31">
        <f>INDEX('D1 - Master Project Table'!$A$1:$AK$7056,$A171,11)</f>
        <v>41558</v>
      </c>
      <c r="F171" s="32" t="str">
        <f>INDEX('D1 - Master Project Table'!$A$1:$AK$7056,$A171,13)</f>
        <v>Support Only</v>
      </c>
      <c r="G171" s="32" t="str">
        <f>INDEX('D1 - Master Project Table'!$A$1:$AK$7056,$A171,7)</f>
        <v>3 - Green</v>
      </c>
      <c r="H171" s="4" t="s">
        <v>1447</v>
      </c>
      <c r="I171" s="9" t="s">
        <v>9637</v>
      </c>
      <c r="J171" s="28"/>
      <c r="K171" s="28"/>
      <c r="L171" s="28"/>
      <c r="M171" s="28"/>
      <c r="N171" s="28"/>
      <c r="O171" s="28"/>
      <c r="P171" s="28"/>
      <c r="Q171" s="8" t="s">
        <v>3105</v>
      </c>
      <c r="R171" s="80"/>
      <c r="S171" s="116"/>
      <c r="T171" s="116"/>
      <c r="U171" s="8" t="s">
        <v>404</v>
      </c>
      <c r="V171" s="80"/>
      <c r="W171" s="80"/>
      <c r="X171" s="8" t="s">
        <v>3547</v>
      </c>
      <c r="Y171" s="80"/>
      <c r="Z171" s="9" t="s">
        <v>1200</v>
      </c>
      <c r="AA171" s="84"/>
      <c r="AB171" s="74"/>
      <c r="AC171" s="74"/>
      <c r="AD171" s="74"/>
      <c r="AE171" s="30">
        <f>INDEX('D1 - Master Project Table'!$A$1:$AK$7056,$A171,9)</f>
        <v>4.0599999999999996</v>
      </c>
      <c r="AF171" s="34" t="str">
        <f>INDEX('D1 - Master Project Table'!$A$1:$AK$7056,$A171,8)</f>
        <v>1 - Scheduled</v>
      </c>
      <c r="AG171" s="146"/>
      <c r="AH171" s="227"/>
    </row>
    <row r="172" spans="1:34" ht="33.75" customHeight="1" x14ac:dyDescent="0.2">
      <c r="A172" s="36">
        <f>MATCH(C172,'D1 - Master Project Table'!$D$1:$D$7056,0)</f>
        <v>175</v>
      </c>
      <c r="B172" s="36" t="e">
        <f>MATCH(C172,#REF!,0)</f>
        <v>#REF!</v>
      </c>
      <c r="C172" s="125" t="s">
        <v>9206</v>
      </c>
      <c r="D172" s="34" t="str">
        <f>INDEX('D1 - Master Project Table'!$A$1:$AK$7056,$A172,5)</f>
        <v>Arizona CSP Facets Migration</v>
      </c>
      <c r="E172" s="31">
        <f>INDEX('D1 - Master Project Table'!$A$1:$AK$7056,$A172,11)</f>
        <v>41558</v>
      </c>
      <c r="F172" s="32" t="str">
        <f>INDEX('D1 - Master Project Table'!$A$1:$AK$7056,$A172,13)</f>
        <v>Project</v>
      </c>
      <c r="G172" s="32" t="str">
        <f>INDEX('D1 - Master Project Table'!$A$1:$AK$7056,$A172,7)</f>
        <v>3 - Green</v>
      </c>
      <c r="H172" s="32"/>
      <c r="I172" s="9" t="s">
        <v>847</v>
      </c>
      <c r="J172" s="28"/>
      <c r="K172" s="28"/>
      <c r="L172" s="28"/>
      <c r="M172" s="28"/>
      <c r="N172" s="28"/>
      <c r="O172" s="28"/>
      <c r="P172" s="28"/>
      <c r="Q172" s="8" t="s">
        <v>3105</v>
      </c>
      <c r="R172" s="80"/>
      <c r="S172" s="116"/>
      <c r="T172" s="116"/>
      <c r="U172" s="28"/>
      <c r="V172" s="80"/>
      <c r="W172" s="80"/>
      <c r="X172" s="28"/>
      <c r="Y172" s="80"/>
      <c r="Z172" s="9" t="s">
        <v>9341</v>
      </c>
      <c r="AA172" s="84"/>
      <c r="AB172" s="74"/>
      <c r="AC172" s="74"/>
      <c r="AD172" s="74"/>
      <c r="AE172" s="30">
        <f>INDEX('D1 - Master Project Table'!$A$1:$AK$7056,$A172,9)</f>
        <v>12.71</v>
      </c>
      <c r="AF172" s="34" t="str">
        <f>INDEX('D1 - Master Project Table'!$A$1:$AK$7056,$A172,8)</f>
        <v>1 - Scheduled</v>
      </c>
      <c r="AG172" s="146"/>
      <c r="AH172" s="227"/>
    </row>
    <row r="173" spans="1:34" x14ac:dyDescent="0.2">
      <c r="A173" s="53" t="e">
        <f>MATCH(C173,'D1 - Master Project Table'!$D$1:$D$7056,0)</f>
        <v>#N/A</v>
      </c>
      <c r="B173" s="53" t="e">
        <f>MATCH(C173,#REF!,0)</f>
        <v>#REF!</v>
      </c>
      <c r="C173" s="173" t="s">
        <v>7420</v>
      </c>
      <c r="D173" s="137" t="s">
        <v>9597</v>
      </c>
      <c r="E173" s="199">
        <v>41594</v>
      </c>
      <c r="F173" s="201"/>
      <c r="G173" s="43" t="e">
        <f>INDEX('D1 - Master Project Table'!$A$1:$AK$7056,$A173,13)</f>
        <v>#N/A</v>
      </c>
      <c r="H173" s="43"/>
      <c r="I173" s="201"/>
      <c r="J173" s="43" t="e">
        <f>INDEX('D1 - Master Project Table'!$A$1:$AK$7056,$A173,13)</f>
        <v>#N/A</v>
      </c>
      <c r="K173" s="43" t="e">
        <f>INDEX('D1 - Master Project Table'!$A$1:$AK$7056,$A173,13)</f>
        <v>#N/A</v>
      </c>
      <c r="L173" s="43" t="e">
        <f>INDEX('D1 - Master Project Table'!$A$1:$AK$7056,$A173,13)</f>
        <v>#N/A</v>
      </c>
      <c r="M173" s="43" t="e">
        <f>INDEX('D1 - Master Project Table'!$A$1:$AK$7056,$A173,13)</f>
        <v>#N/A</v>
      </c>
      <c r="N173" s="43" t="e">
        <f>INDEX('D1 - Master Project Table'!$A$1:$AK$7056,$A173,13)</f>
        <v>#N/A</v>
      </c>
      <c r="O173" s="43" t="e">
        <f>INDEX('D1 - Master Project Table'!$A$1:$AK$7056,$A173,13)</f>
        <v>#N/A</v>
      </c>
      <c r="P173" s="43" t="e">
        <f>INDEX('D1 - Master Project Table'!$A$1:$AK$7056,$A173,13)</f>
        <v>#N/A</v>
      </c>
      <c r="Q173" s="43">
        <v>0</v>
      </c>
      <c r="R173" s="43">
        <v>0</v>
      </c>
      <c r="S173" s="43">
        <v>0</v>
      </c>
      <c r="T173" s="43">
        <v>0</v>
      </c>
      <c r="U173" s="43">
        <v>0</v>
      </c>
      <c r="V173" s="81">
        <v>0</v>
      </c>
      <c r="W173" s="81">
        <v>0</v>
      </c>
      <c r="X173" s="43">
        <v>0</v>
      </c>
      <c r="Y173" s="81">
        <v>0</v>
      </c>
      <c r="Z173" s="43">
        <v>0</v>
      </c>
      <c r="AA173" s="85">
        <v>0</v>
      </c>
      <c r="AB173" s="44">
        <v>0</v>
      </c>
      <c r="AC173" s="44">
        <v>0</v>
      </c>
      <c r="AD173" s="52" t="e">
        <v>#N/A</v>
      </c>
      <c r="AE173" s="45"/>
      <c r="AF173" s="44"/>
      <c r="AG173" s="146"/>
      <c r="AH173" s="227"/>
    </row>
    <row r="174" spans="1:34" ht="33.75" x14ac:dyDescent="0.2">
      <c r="A174" s="36">
        <f>MATCH(C174,'D1 - Master Project Table'!$D$1:$D$7056,0)</f>
        <v>176</v>
      </c>
      <c r="B174" s="36" t="e">
        <f>MATCH(C174,#REF!,0)</f>
        <v>#REF!</v>
      </c>
      <c r="C174" s="125" t="s">
        <v>9028</v>
      </c>
      <c r="D174" s="34" t="str">
        <f>INDEX('D1 - Master Project Table'!$A$1:$AK$7056,$A174,5)</f>
        <v xml:space="preserve">Capitation Feed for CSP from NDB </v>
      </c>
      <c r="E174" s="31">
        <f>INDEX('D1 - Master Project Table'!$A$1:$AK$7056,$A174,11)</f>
        <v>41594</v>
      </c>
      <c r="F174" s="32" t="str">
        <f>INDEX('D1 - Master Project Table'!$A$1:$AK$7056,$A174,13)</f>
        <v>Project</v>
      </c>
      <c r="G174" s="32" t="str">
        <f>INDEX('D1 - Master Project Table'!$A$1:$AK$7056,$A174,7)</f>
        <v>3 - Green</v>
      </c>
      <c r="H174" s="32"/>
      <c r="I174" s="9" t="s">
        <v>9148</v>
      </c>
      <c r="J174" s="28"/>
      <c r="K174" s="28"/>
      <c r="L174" s="28"/>
      <c r="M174" s="28"/>
      <c r="N174" s="28"/>
      <c r="O174" s="28"/>
      <c r="P174" s="28"/>
      <c r="Q174" s="8" t="s">
        <v>219</v>
      </c>
      <c r="R174" s="80"/>
      <c r="S174" s="116"/>
      <c r="T174" s="116"/>
      <c r="U174" s="28"/>
      <c r="V174" s="80"/>
      <c r="W174" s="80"/>
      <c r="X174" s="28"/>
      <c r="Y174" s="80"/>
      <c r="Z174" s="9" t="s">
        <v>9351</v>
      </c>
      <c r="AA174" s="84"/>
      <c r="AB174" s="74"/>
      <c r="AC174" s="74"/>
      <c r="AD174" s="74"/>
      <c r="AE174" s="30">
        <f>INDEX('D1 - Master Project Table'!$A$1:$AK$7056,$A174,9)</f>
        <v>28.3</v>
      </c>
      <c r="AF174" s="34" t="str">
        <f>INDEX('D1 - Master Project Table'!$A$1:$AK$7056,$A174,8)</f>
        <v>1 - Scheduled</v>
      </c>
      <c r="AG174" s="146"/>
      <c r="AH174" s="227"/>
    </row>
    <row r="175" spans="1:34" ht="22.5" x14ac:dyDescent="0.2">
      <c r="A175" s="36">
        <f>MATCH(C175,'D1 - Master Project Table'!$D$1:$D$7056,0)</f>
        <v>177</v>
      </c>
      <c r="B175" s="36" t="e">
        <f>MATCH(C175,#REF!,0)</f>
        <v>#REF!</v>
      </c>
      <c r="C175" s="125" t="s">
        <v>9143</v>
      </c>
      <c r="D175" s="34" t="str">
        <f>INDEX('D1 - Master Project Table'!$A$1:$AK$7056,$A175,5)</f>
        <v>Provider Reimbursement Modernization – Phase I</v>
      </c>
      <c r="E175" s="31">
        <f>INDEX('D1 - Master Project Table'!$A$1:$AK$7056,$A175,11)</f>
        <v>41594</v>
      </c>
      <c r="F175" s="32" t="str">
        <f>INDEX('D1 - Master Project Table'!$A$1:$AK$7056,$A175,13)</f>
        <v>Testing</v>
      </c>
      <c r="G175" s="32" t="str">
        <f>INDEX('D1 - Master Project Table'!$A$1:$AK$7056,$A175,7)</f>
        <v>3 - Green</v>
      </c>
      <c r="H175" s="32"/>
      <c r="I175" s="9" t="s">
        <v>1982</v>
      </c>
      <c r="J175" s="28"/>
      <c r="K175" s="28"/>
      <c r="L175" s="28"/>
      <c r="M175" s="28"/>
      <c r="N175" s="28"/>
      <c r="O175" s="28"/>
      <c r="P175" s="28"/>
      <c r="Q175" s="8" t="s">
        <v>9045</v>
      </c>
      <c r="R175" s="80"/>
      <c r="S175" s="116"/>
      <c r="T175" s="116"/>
      <c r="U175" s="28"/>
      <c r="V175" s="80"/>
      <c r="W175" s="80"/>
      <c r="X175" s="28"/>
      <c r="Y175" s="80"/>
      <c r="Z175" s="8" t="s">
        <v>955</v>
      </c>
      <c r="AA175" s="84"/>
      <c r="AB175" s="74"/>
      <c r="AC175" s="74"/>
      <c r="AD175" s="74"/>
      <c r="AE175" s="30">
        <f>INDEX('D1 - Master Project Table'!$A$1:$AK$7056,$A175,9)</f>
        <v>0.73</v>
      </c>
      <c r="AF175" s="34" t="str">
        <f>INDEX('D1 - Master Project Table'!$A$1:$AK$7056,$A175,8)</f>
        <v>1 - Scheduled</v>
      </c>
      <c r="AG175" s="146"/>
      <c r="AH175" s="227"/>
    </row>
    <row r="176" spans="1:34" ht="107.25" customHeight="1" x14ac:dyDescent="0.2">
      <c r="A176" s="36">
        <f>MATCH(C176,'D1 - Master Project Table'!$D$1:$D$7056,0)</f>
        <v>178</v>
      </c>
      <c r="B176" s="36" t="e">
        <f>MATCH(C176,#REF!,0)</f>
        <v>#REF!</v>
      </c>
      <c r="C176" s="125" t="s">
        <v>7192</v>
      </c>
      <c r="D176" s="34" t="str">
        <f>INDEX('D1 - Master Project Table'!$A$1:$AK$7056,$A176,5)</f>
        <v>PHC Eligibility Migration to GPS</v>
      </c>
      <c r="E176" s="31">
        <f>INDEX('D1 - Master Project Table'!$A$1:$AK$7056,$A176,11)</f>
        <v>41594</v>
      </c>
      <c r="F176" s="32" t="str">
        <f>INDEX('D1 - Master Project Table'!$A$1:$AK$7056,$A176,13)</f>
        <v>Testing</v>
      </c>
      <c r="G176" s="32" t="str">
        <f>INDEX('D1 - Master Project Table'!$A$1:$AK$7056,$A176,7)</f>
        <v>3 - Green</v>
      </c>
      <c r="H176" s="32"/>
      <c r="I176" s="74" t="s">
        <v>7194</v>
      </c>
      <c r="J176" s="28"/>
      <c r="K176" s="28"/>
      <c r="L176" s="28"/>
      <c r="M176" s="28"/>
      <c r="N176" s="28"/>
      <c r="O176" s="28"/>
      <c r="P176" s="28"/>
      <c r="Q176" s="28" t="s">
        <v>1731</v>
      </c>
      <c r="R176" s="80"/>
      <c r="S176" s="116"/>
      <c r="T176" s="116"/>
      <c r="U176" s="28"/>
      <c r="V176" s="80"/>
      <c r="W176" s="80"/>
      <c r="X176" s="28"/>
      <c r="Y176" s="80"/>
      <c r="Z176" s="8" t="s">
        <v>955</v>
      </c>
      <c r="AA176" s="84"/>
      <c r="AB176" s="74"/>
      <c r="AC176" s="74"/>
      <c r="AD176" s="74"/>
      <c r="AE176" s="30">
        <f>INDEX('D1 - Master Project Table'!$A$1:$AK$7056,$A176,9)</f>
        <v>0.48</v>
      </c>
      <c r="AF176" s="34" t="str">
        <f>INDEX('D1 - Master Project Table'!$A$1:$AK$7056,$A176,8)</f>
        <v>1 - Scheduled</v>
      </c>
      <c r="AG176" s="146"/>
      <c r="AH176" s="227"/>
    </row>
    <row r="177" spans="1:34" ht="22.5" x14ac:dyDescent="0.2">
      <c r="A177" s="36">
        <f>MATCH(C177,'D1 - Master Project Table'!$D$1:$D$7056,0)</f>
        <v>179</v>
      </c>
      <c r="B177" s="36" t="e">
        <f>MATCH(C177,#REF!,0)</f>
        <v>#REF!</v>
      </c>
      <c r="C177" s="125" t="s">
        <v>9003</v>
      </c>
      <c r="D177" s="34" t="str">
        <f>INDEX('D1 - Master Project Table'!$A$1:$AK$7056,$A177,5)</f>
        <v>Clinical Adoption - Legacy PHS Migration Support</v>
      </c>
      <c r="E177" s="31">
        <f>INDEX('D1 - Master Project Table'!$A$1:$AK$7056,$A177,11)</f>
        <v>41594</v>
      </c>
      <c r="F177" s="32" t="str">
        <f>INDEX('D1 - Master Project Table'!$A$1:$AK$7056,$A177,13)</f>
        <v>Testing</v>
      </c>
      <c r="G177" s="32" t="str">
        <f>INDEX('D1 - Master Project Table'!$A$1:$AK$7056,$A177,7)</f>
        <v>3 - Green</v>
      </c>
      <c r="H177" s="32"/>
      <c r="I177" s="74"/>
      <c r="J177" s="28"/>
      <c r="K177" s="28"/>
      <c r="L177" s="28"/>
      <c r="M177" s="28"/>
      <c r="N177" s="28"/>
      <c r="O177" s="28"/>
      <c r="P177" s="28"/>
      <c r="Q177" s="8" t="s">
        <v>1731</v>
      </c>
      <c r="R177" s="80"/>
      <c r="S177" s="116"/>
      <c r="T177" s="116"/>
      <c r="U177" s="28"/>
      <c r="V177" s="80"/>
      <c r="W177" s="80"/>
      <c r="X177" s="28"/>
      <c r="Y177" s="80"/>
      <c r="Z177" s="28"/>
      <c r="AA177" s="84"/>
      <c r="AB177" s="74"/>
      <c r="AC177" s="74"/>
      <c r="AD177" s="74"/>
      <c r="AE177" s="30">
        <f>INDEX('D1 - Master Project Table'!$A$1:$AK$7056,$A177,9)</f>
        <v>0.2</v>
      </c>
      <c r="AF177" s="34" t="str">
        <f>INDEX('D1 - Master Project Table'!$A$1:$AK$7056,$A177,8)</f>
        <v>1 - Scheduled</v>
      </c>
      <c r="AG177" s="146"/>
      <c r="AH177" s="227"/>
    </row>
    <row r="178" spans="1:34" ht="409.5" x14ac:dyDescent="0.2">
      <c r="A178" s="36">
        <f>MATCH(C178,'D1 - Master Project Table'!$D$1:$D$7056,0)</f>
        <v>180</v>
      </c>
      <c r="B178" s="36" t="e">
        <f>MATCH(C178,#REF!,0)</f>
        <v>#REF!</v>
      </c>
      <c r="C178" s="200" t="s">
        <v>970</v>
      </c>
      <c r="D178" s="34" t="str">
        <f>INDEX('D1 - Master Project Table'!$A$1:$AK$7056,$A178,5)</f>
        <v>New Mexico Implementation</v>
      </c>
      <c r="E178" s="31">
        <f>INDEX('D1 - Master Project Table'!$A$1:$AK$7056,$A178,11)</f>
        <v>41594</v>
      </c>
      <c r="F178" s="32" t="str">
        <f>INDEX('D1 - Master Project Table'!$A$1:$AK$7056,$A178,13)</f>
        <v>Project</v>
      </c>
      <c r="G178" s="32" t="s">
        <v>5565</v>
      </c>
      <c r="H178" s="32"/>
      <c r="I178" s="285" t="s">
        <v>9635</v>
      </c>
      <c r="J178" s="8" t="s">
        <v>7273</v>
      </c>
      <c r="K178" s="8" t="s">
        <v>7273</v>
      </c>
      <c r="L178" s="8" t="s">
        <v>7273</v>
      </c>
      <c r="M178" s="8" t="s">
        <v>7273</v>
      </c>
      <c r="N178" s="8" t="s">
        <v>7273</v>
      </c>
      <c r="O178" s="8" t="s">
        <v>7273</v>
      </c>
      <c r="P178" s="8" t="s">
        <v>3758</v>
      </c>
      <c r="Q178" s="8" t="s">
        <v>1379</v>
      </c>
      <c r="R178" s="80">
        <v>41390</v>
      </c>
      <c r="S178" s="57" t="s">
        <v>2737</v>
      </c>
      <c r="T178" s="116"/>
      <c r="U178" s="8" t="s">
        <v>2815</v>
      </c>
      <c r="V178" s="80"/>
      <c r="W178" s="175">
        <v>41474</v>
      </c>
      <c r="X178" s="8" t="s">
        <v>212</v>
      </c>
      <c r="Y178" s="80">
        <v>41527</v>
      </c>
      <c r="Z178" s="8" t="s">
        <v>779</v>
      </c>
      <c r="AA178" s="176" t="s">
        <v>9362</v>
      </c>
      <c r="AB178" s="74"/>
      <c r="AC178" s="415">
        <v>41502</v>
      </c>
      <c r="AD178" s="74"/>
      <c r="AE178" s="30">
        <f>INDEX('D1 - Master Project Table'!$A$1:$AK$7056,$A178,9)</f>
        <v>5.12</v>
      </c>
      <c r="AF178" s="34" t="str">
        <f>INDEX('D1 - Master Project Table'!$A$1:$AK$7056,$A178,8)</f>
        <v>1 - Scheduled</v>
      </c>
      <c r="AG178" s="146"/>
      <c r="AH178" s="227"/>
    </row>
    <row r="179" spans="1:34" ht="22.5" x14ac:dyDescent="0.2">
      <c r="A179" s="36">
        <f>MATCH(C179,'D1 - Master Project Table'!$D$1:$D$7056,0)</f>
        <v>181</v>
      </c>
      <c r="B179" s="36" t="e">
        <f>MATCH(C179,#REF!,0)</f>
        <v>#REF!</v>
      </c>
      <c r="C179" s="125" t="s">
        <v>1363</v>
      </c>
      <c r="D179" s="34" t="str">
        <f>INDEX('D1 - Master Project Table'!$A$1:$AK$7056,$A179,5)</f>
        <v>2012 NDB Provider Pick Research Analysis Only</v>
      </c>
      <c r="E179" s="31">
        <f>INDEX('D1 - Master Project Table'!$A$1:$AK$7056,$A179,11)</f>
        <v>41594</v>
      </c>
      <c r="F179" s="32" t="str">
        <f>INDEX('D1 - Master Project Table'!$A$1:$AK$7056,$A179,13)</f>
        <v>Analysis</v>
      </c>
      <c r="G179" s="32" t="str">
        <f>INDEX('D1 - Master Project Table'!$A$1:$AK$7056,$A179,7)</f>
        <v>3 - Green</v>
      </c>
      <c r="H179" s="32"/>
      <c r="I179" s="74" t="s">
        <v>359</v>
      </c>
      <c r="J179" s="28"/>
      <c r="K179" s="28"/>
      <c r="L179" s="28"/>
      <c r="M179" s="28"/>
      <c r="N179" s="28"/>
      <c r="O179" s="28"/>
      <c r="P179" s="28"/>
      <c r="Q179" s="8" t="s">
        <v>840</v>
      </c>
      <c r="R179" s="80"/>
      <c r="S179" s="116"/>
      <c r="T179" s="116"/>
      <c r="U179" s="28"/>
      <c r="V179" s="80"/>
      <c r="W179" s="80"/>
      <c r="X179" s="28"/>
      <c r="Y179" s="80"/>
      <c r="Z179" s="28"/>
      <c r="AA179" s="84"/>
      <c r="AB179" s="74"/>
      <c r="AC179" s="74"/>
      <c r="AD179" s="74"/>
      <c r="AE179" s="30">
        <f>INDEX('D1 - Master Project Table'!$A$1:$AK$7056,$A179,9)</f>
        <v>1.07</v>
      </c>
      <c r="AF179" s="34" t="str">
        <f>INDEX('D1 - Master Project Table'!$A$1:$AK$7056,$A179,8)</f>
        <v>1 - Scheduled</v>
      </c>
      <c r="AG179" s="146"/>
      <c r="AH179" s="227"/>
    </row>
    <row r="180" spans="1:34" ht="22.5" x14ac:dyDescent="0.2">
      <c r="A180" s="36">
        <f>MATCH(C180,'D1 - Master Project Table'!$D$1:$D$7056,0)</f>
        <v>182</v>
      </c>
      <c r="B180" s="36" t="e">
        <f>MATCH(C180,#REF!,0)</f>
        <v>#REF!</v>
      </c>
      <c r="C180" s="125" t="s">
        <v>9448</v>
      </c>
      <c r="D180" s="34" t="str">
        <f>INDEX('D1 - Master Project Table'!$A$1:$AK$7056,$A180,5)</f>
        <v>HCR OHCS - Release B - EDI 270/271, 276/277</v>
      </c>
      <c r="E180" s="31">
        <f>INDEX('D1 - Master Project Table'!$A$1:$AK$7056,$A180,11)</f>
        <v>41594</v>
      </c>
      <c r="F180" s="32" t="str">
        <f>INDEX('D1 - Master Project Table'!$A$1:$AK$7056,$A180,13)</f>
        <v>Testing</v>
      </c>
      <c r="G180" s="32" t="str">
        <f>INDEX('D1 - Master Project Table'!$A$1:$AK$7056,$A180,7)</f>
        <v>3 - Green</v>
      </c>
      <c r="H180" s="32"/>
      <c r="I180" s="9" t="s">
        <v>2256</v>
      </c>
      <c r="J180" s="28"/>
      <c r="K180" s="28"/>
      <c r="L180" s="28"/>
      <c r="M180" s="28"/>
      <c r="N180" s="28"/>
      <c r="O180" s="28"/>
      <c r="P180" s="28"/>
      <c r="Q180" s="8" t="s">
        <v>1731</v>
      </c>
      <c r="R180" s="80"/>
      <c r="S180" s="116"/>
      <c r="T180" s="116"/>
      <c r="U180" s="28"/>
      <c r="V180" s="80"/>
      <c r="W180" s="80"/>
      <c r="X180" s="28"/>
      <c r="Y180" s="80"/>
      <c r="Z180" s="28"/>
      <c r="AA180" s="84"/>
      <c r="AB180" s="74"/>
      <c r="AC180" s="74"/>
      <c r="AD180" s="74"/>
      <c r="AE180" s="30">
        <f>INDEX('D1 - Master Project Table'!$A$1:$AK$7056,$A180,9)</f>
        <v>1.48</v>
      </c>
      <c r="AF180" s="34" t="str">
        <f>INDEX('D1 - Master Project Table'!$A$1:$AK$7056,$A180,8)</f>
        <v>1 - Scheduled</v>
      </c>
      <c r="AG180" s="146"/>
      <c r="AH180" s="227"/>
    </row>
    <row r="181" spans="1:34" ht="22.5" x14ac:dyDescent="0.2">
      <c r="A181" s="36">
        <f>MATCH(C181,'D1 - Master Project Table'!$D$1:$D$7056,0)</f>
        <v>183</v>
      </c>
      <c r="B181" s="36" t="e">
        <f>MATCH(C181,#REF!,0)</f>
        <v>#REF!</v>
      </c>
      <c r="C181" s="125" t="s">
        <v>918</v>
      </c>
      <c r="D181" s="34" t="str">
        <f>INDEX('D1 - Master Project Table'!$A$1:$AK$7056,$A181,5)</f>
        <v>iCES Clearinghouse Nov 2013 Maintenance Release</v>
      </c>
      <c r="E181" s="31">
        <f>INDEX('D1 - Master Project Table'!$A$1:$AK$7056,$A181,11)</f>
        <v>41594</v>
      </c>
      <c r="F181" s="32" t="str">
        <f>INDEX('D1 - Master Project Table'!$A$1:$AK$7056,$A181,13)</f>
        <v>Testing</v>
      </c>
      <c r="G181" s="32" t="str">
        <f>INDEX('D1 - Master Project Table'!$A$1:$AK$7056,$A181,7)</f>
        <v>3 - Green</v>
      </c>
      <c r="H181" s="32"/>
      <c r="I181" s="74"/>
      <c r="J181" s="28"/>
      <c r="K181" s="28"/>
      <c r="L181" s="28"/>
      <c r="M181" s="28"/>
      <c r="N181" s="28"/>
      <c r="O181" s="28"/>
      <c r="P181" s="28"/>
      <c r="Q181" s="8" t="s">
        <v>1731</v>
      </c>
      <c r="R181" s="80"/>
      <c r="S181" s="116"/>
      <c r="T181" s="116"/>
      <c r="U181" s="28"/>
      <c r="V181" s="80"/>
      <c r="W181" s="80"/>
      <c r="X181" s="28"/>
      <c r="Y181" s="80"/>
      <c r="Z181" s="28" t="s">
        <v>955</v>
      </c>
      <c r="AA181" s="84"/>
      <c r="AB181" s="74"/>
      <c r="AC181" s="74"/>
      <c r="AD181" s="74"/>
      <c r="AE181" s="30">
        <f>INDEX('D1 - Master Project Table'!$A$1:$AK$7056,$A181,9)</f>
        <v>0.17</v>
      </c>
      <c r="AF181" s="34" t="str">
        <f>INDEX('D1 - Master Project Table'!$A$1:$AK$7056,$A181,8)</f>
        <v>1 - Scheduled</v>
      </c>
      <c r="AG181" s="146"/>
      <c r="AH181" s="227"/>
    </row>
    <row r="182" spans="1:34" ht="72" customHeight="1" x14ac:dyDescent="0.2">
      <c r="A182" s="36">
        <f>MATCH(C182,'D1 - Master Project Table'!$D$1:$D$7056,0)</f>
        <v>184</v>
      </c>
      <c r="B182" s="36" t="e">
        <f>MATCH(C182,#REF!,0)</f>
        <v>#REF!</v>
      </c>
      <c r="C182" s="125" t="s">
        <v>2290</v>
      </c>
      <c r="D182" s="34" t="str">
        <f>INDEX('D1 - Master Project Table'!$A$1:$AK$7056,$A182,5)</f>
        <v>F2F Michigan Migration</v>
      </c>
      <c r="E182" s="31">
        <f>INDEX('D1 - Master Project Table'!$A$1:$AK$7056,$A182,11)</f>
        <v>41594</v>
      </c>
      <c r="F182" s="32" t="str">
        <f>INDEX('D1 - Master Project Table'!$A$1:$AK$7056,$A182,13)</f>
        <v>Project</v>
      </c>
      <c r="G182" s="32" t="str">
        <f>INDEX('D1 - Master Project Table'!$A$1:$AK$7056,$A182,7)</f>
        <v>3 - Green</v>
      </c>
      <c r="H182" s="32"/>
      <c r="I182" s="430" t="s">
        <v>9636</v>
      </c>
      <c r="J182" s="28"/>
      <c r="K182" s="28"/>
      <c r="L182" s="28"/>
      <c r="M182" s="28"/>
      <c r="N182" s="28"/>
      <c r="O182" s="28"/>
      <c r="P182" s="28"/>
      <c r="Q182" s="8" t="s">
        <v>3105</v>
      </c>
      <c r="R182" s="80"/>
      <c r="S182" s="116"/>
      <c r="T182" s="116"/>
      <c r="U182" s="28"/>
      <c r="V182" s="80"/>
      <c r="W182" s="80"/>
      <c r="X182" s="28"/>
      <c r="Y182" s="80"/>
      <c r="Z182" s="9" t="s">
        <v>9342</v>
      </c>
      <c r="AA182" s="84"/>
      <c r="AB182" s="74"/>
      <c r="AC182" s="74"/>
      <c r="AD182" s="74"/>
      <c r="AE182" s="30">
        <f>INDEX('D1 - Master Project Table'!$A$1:$AK$7056,$A182,9)</f>
        <v>17.04</v>
      </c>
      <c r="AF182" s="34" t="str">
        <f>INDEX('D1 - Master Project Table'!$A$1:$AK$7056,$A182,8)</f>
        <v>1 - Scheduled</v>
      </c>
      <c r="AG182" s="146"/>
      <c r="AH182" s="227"/>
    </row>
    <row r="183" spans="1:34" x14ac:dyDescent="0.2">
      <c r="A183" s="36">
        <f>MATCH(C183,'D1 - Master Project Table'!$D$1:$D$7056,0)</f>
        <v>185</v>
      </c>
      <c r="B183" s="36" t="e">
        <f>MATCH(C183,#REF!,0)</f>
        <v>#REF!</v>
      </c>
      <c r="C183" s="125" t="s">
        <v>342</v>
      </c>
      <c r="D183" s="34" t="str">
        <f>INDEX('D1 - Master Project Table'!$A$1:$AK$7056,$A183,5)</f>
        <v>2013 PRIME Product and Rate</v>
      </c>
      <c r="E183" s="31">
        <f>INDEX('D1 - Master Project Table'!$A$1:$AK$7056,$A183,11)</f>
        <v>41594</v>
      </c>
      <c r="F183" s="32" t="str">
        <f>INDEX('D1 - Master Project Table'!$A$1:$AK$7056,$A183,13)</f>
        <v>Testing</v>
      </c>
      <c r="G183" s="32" t="str">
        <f>INDEX('D1 - Master Project Table'!$A$1:$AK$7056,$A183,7)</f>
        <v>3 - Green</v>
      </c>
      <c r="H183" s="32"/>
      <c r="I183" s="74"/>
      <c r="J183" s="28"/>
      <c r="K183" s="28"/>
      <c r="L183" s="28"/>
      <c r="M183" s="28"/>
      <c r="N183" s="28"/>
      <c r="O183" s="28"/>
      <c r="P183" s="28"/>
      <c r="Q183" s="28" t="s">
        <v>1731</v>
      </c>
      <c r="R183" s="80"/>
      <c r="S183" s="116"/>
      <c r="T183" s="116"/>
      <c r="U183" s="28"/>
      <c r="V183" s="80"/>
      <c r="W183" s="80"/>
      <c r="X183" s="28"/>
      <c r="Y183" s="80"/>
      <c r="Z183" s="8" t="s">
        <v>955</v>
      </c>
      <c r="AA183" s="84"/>
      <c r="AB183" s="74"/>
      <c r="AC183" s="74"/>
      <c r="AD183" s="74"/>
      <c r="AE183" s="30">
        <f>INDEX('D1 - Master Project Table'!$A$1:$AK$7056,$A183,9)</f>
        <v>0.17</v>
      </c>
      <c r="AF183" s="34" t="str">
        <f>INDEX('D1 - Master Project Table'!$A$1:$AK$7056,$A183,8)</f>
        <v>1 - Scheduled</v>
      </c>
      <c r="AG183" s="146"/>
      <c r="AH183" s="227"/>
    </row>
    <row r="184" spans="1:34" x14ac:dyDescent="0.2">
      <c r="A184" s="36">
        <f>MATCH(C184,'D1 - Master Project Table'!$D$1:$D$7056,0)</f>
        <v>186</v>
      </c>
      <c r="B184" s="36" t="e">
        <f>MATCH(C184,#REF!,0)</f>
        <v>#REF!</v>
      </c>
      <c r="C184" s="125" t="s">
        <v>7715</v>
      </c>
      <c r="D184" s="34" t="str">
        <f>INDEX('D1 - Master Project Table'!$A$1:$AK$7056,$A184,5)</f>
        <v>Navigate2 Case Effective</v>
      </c>
      <c r="E184" s="31">
        <f>INDEX('D1 - Master Project Table'!$A$1:$AK$7056,$A184,11)</f>
        <v>41594</v>
      </c>
      <c r="F184" s="32" t="str">
        <f>INDEX('D1 - Master Project Table'!$A$1:$AK$7056,$A184,13)</f>
        <v>Testing</v>
      </c>
      <c r="G184" s="32" t="str">
        <f>INDEX('D1 - Master Project Table'!$A$1:$AK$7056,$A184,7)</f>
        <v>3 - Green</v>
      </c>
      <c r="H184" s="32"/>
      <c r="I184" s="74"/>
      <c r="J184" s="28"/>
      <c r="K184" s="28"/>
      <c r="L184" s="28"/>
      <c r="M184" s="28"/>
      <c r="N184" s="28"/>
      <c r="O184" s="28"/>
      <c r="P184" s="28"/>
      <c r="Q184" s="8" t="s">
        <v>9045</v>
      </c>
      <c r="R184" s="80"/>
      <c r="S184" s="116"/>
      <c r="T184" s="116"/>
      <c r="U184" s="28"/>
      <c r="V184" s="80"/>
      <c r="W184" s="80"/>
      <c r="X184" s="28"/>
      <c r="Y184" s="80"/>
      <c r="Z184" s="8" t="s">
        <v>955</v>
      </c>
      <c r="AA184" s="84"/>
      <c r="AB184" s="74"/>
      <c r="AC184" s="74"/>
      <c r="AD184" s="74"/>
      <c r="AE184" s="30">
        <f>INDEX('D1 - Master Project Table'!$A$1:$AK$7056,$A184,9)</f>
        <v>1.2</v>
      </c>
      <c r="AF184" s="34" t="str">
        <f>INDEX('D1 - Master Project Table'!$A$1:$AK$7056,$A184,8)</f>
        <v>1 - Scheduled</v>
      </c>
      <c r="AG184" s="146"/>
      <c r="AH184" s="227"/>
    </row>
    <row r="185" spans="1:34" x14ac:dyDescent="0.2">
      <c r="A185" s="36">
        <f>MATCH(C185,'D1 - Master Project Table'!$D$1:$D$7056,0)</f>
        <v>187</v>
      </c>
      <c r="B185" s="36" t="e">
        <f>MATCH(C185,#REF!,0)</f>
        <v>#REF!</v>
      </c>
      <c r="C185" s="125" t="s">
        <v>9612</v>
      </c>
      <c r="D185" s="34" t="str">
        <f>INDEX('D1 - Master Project Table'!$A$1:$AK$7056,$A185,5)</f>
        <v>EFT ERA Op Rules - AD- E&amp;I</v>
      </c>
      <c r="E185" s="31">
        <f>INDEX('D1 - Master Project Table'!$A$1:$AK$7056,$A185,11)</f>
        <v>41594</v>
      </c>
      <c r="F185" s="32" t="str">
        <f>INDEX('D1 - Master Project Table'!$A$1:$AK$7056,$A185,13)</f>
        <v>Project</v>
      </c>
      <c r="G185" s="32" t="str">
        <f>INDEX('D1 - Master Project Table'!$A$1:$AK$7056,$A185,7)</f>
        <v>3 - Green</v>
      </c>
      <c r="H185" s="32"/>
      <c r="I185" s="9" t="s">
        <v>1875</v>
      </c>
      <c r="J185" s="28"/>
      <c r="K185" s="28"/>
      <c r="L185" s="28"/>
      <c r="M185" s="28"/>
      <c r="N185" s="28"/>
      <c r="O185" s="28"/>
      <c r="P185" s="28"/>
      <c r="Q185" s="8" t="s">
        <v>9614</v>
      </c>
      <c r="R185" s="80"/>
      <c r="S185" s="116"/>
      <c r="T185" s="116"/>
      <c r="U185" s="28"/>
      <c r="V185" s="80"/>
      <c r="W185" s="80"/>
      <c r="X185" s="28"/>
      <c r="Y185" s="80"/>
      <c r="Z185" s="28"/>
      <c r="AA185" s="84"/>
      <c r="AB185" s="74"/>
      <c r="AC185" s="74"/>
      <c r="AD185" s="74"/>
      <c r="AE185" s="30">
        <f>INDEX('D1 - Master Project Table'!$A$1:$AK$7056,$A185,9)</f>
        <v>2.95</v>
      </c>
      <c r="AF185" s="34" t="str">
        <f>INDEX('D1 - Master Project Table'!$A$1:$AK$7056,$A185,8)</f>
        <v>1 - Scheduled</v>
      </c>
      <c r="AG185" s="146"/>
      <c r="AH185" s="227"/>
    </row>
    <row r="186" spans="1:34" x14ac:dyDescent="0.2">
      <c r="A186" s="36">
        <f>MATCH(C186,'D1 - Master Project Table'!$D$1:$D$7056,0)</f>
        <v>188</v>
      </c>
      <c r="B186" s="36" t="e">
        <f>MATCH(C186,#REF!,0)</f>
        <v>#REF!</v>
      </c>
      <c r="C186" s="125" t="s">
        <v>7723</v>
      </c>
      <c r="D186" s="34" t="str">
        <f>INDEX('D1 - Master Project Table'!$A$1:$AK$7056,$A186,5)</f>
        <v>CIA – ICUE HSR Core Build</v>
      </c>
      <c r="E186" s="31">
        <f>INDEX('D1 - Master Project Table'!$A$1:$AK$7056,$A186,11)</f>
        <v>41594</v>
      </c>
      <c r="F186" s="32" t="str">
        <f>INDEX('D1 - Master Project Table'!$A$1:$AK$7056,$A186,13)</f>
        <v>Project</v>
      </c>
      <c r="G186" s="32" t="str">
        <f>INDEX('D1 - Master Project Table'!$A$1:$AK$7056,$A186,7)</f>
        <v>3 - Green</v>
      </c>
      <c r="H186" s="32"/>
      <c r="I186" s="74"/>
      <c r="J186" s="28"/>
      <c r="K186" s="28"/>
      <c r="L186" s="28"/>
      <c r="M186" s="28"/>
      <c r="N186" s="28"/>
      <c r="O186" s="28"/>
      <c r="P186" s="28"/>
      <c r="Q186" s="8" t="s">
        <v>59</v>
      </c>
      <c r="R186" s="80"/>
      <c r="S186" s="116"/>
      <c r="T186" s="116"/>
      <c r="U186" s="8" t="s">
        <v>1060</v>
      </c>
      <c r="V186" s="80"/>
      <c r="W186" s="80"/>
      <c r="X186" s="8" t="s">
        <v>212</v>
      </c>
      <c r="Y186" s="80"/>
      <c r="Z186" s="28"/>
      <c r="AA186" s="84"/>
      <c r="AB186" s="74"/>
      <c r="AC186" s="74"/>
      <c r="AD186" s="74"/>
      <c r="AE186" s="30">
        <f>INDEX('D1 - Master Project Table'!$A$1:$AK$7056,$A186,9)</f>
        <v>26.78</v>
      </c>
      <c r="AF186" s="34" t="str">
        <f>INDEX('D1 - Master Project Table'!$A$1:$AK$7056,$A186,8)</f>
        <v>1 - Scheduled</v>
      </c>
      <c r="AG186" s="146"/>
      <c r="AH186" s="227"/>
    </row>
    <row r="187" spans="1:34" x14ac:dyDescent="0.2">
      <c r="A187" s="36">
        <f>MATCH(C187,'D1 - Master Project Table'!$D$1:$D$7056,0)</f>
        <v>189</v>
      </c>
      <c r="B187" s="36" t="e">
        <f>MATCH(C187,#REF!,0)</f>
        <v>#REF!</v>
      </c>
      <c r="C187" s="125" t="s">
        <v>588</v>
      </c>
      <c r="D187" s="34" t="str">
        <f>INDEX('D1 - Master Project Table'!$A$1:$AK$7056,$A187,5)</f>
        <v>NDB 2013 One Shot Requests</v>
      </c>
      <c r="E187" s="31">
        <f>INDEX('D1 - Master Project Table'!$A$1:$AK$7056,$A187,11)</f>
        <v>41594</v>
      </c>
      <c r="F187" s="32" t="str">
        <f>INDEX('D1 - Master Project Table'!$A$1:$AK$7056,$A187,13)</f>
        <v>Project</v>
      </c>
      <c r="G187" s="32" t="str">
        <f>INDEX('D1 - Master Project Table'!$A$1:$AK$7056,$A187,7)</f>
        <v>3 - Green</v>
      </c>
      <c r="H187" s="32"/>
      <c r="I187" s="74"/>
      <c r="J187" s="28"/>
      <c r="K187" s="28"/>
      <c r="L187" s="28"/>
      <c r="M187" s="28"/>
      <c r="N187" s="28"/>
      <c r="O187" s="28"/>
      <c r="P187" s="28"/>
      <c r="Q187" s="28"/>
      <c r="R187" s="80"/>
      <c r="S187" s="116"/>
      <c r="T187" s="116"/>
      <c r="U187" s="28"/>
      <c r="V187" s="80"/>
      <c r="W187" s="80"/>
      <c r="X187" s="28"/>
      <c r="Y187" s="80"/>
      <c r="Z187" s="8" t="s">
        <v>9358</v>
      </c>
      <c r="AA187" s="84"/>
      <c r="AB187" s="74"/>
      <c r="AC187" s="74"/>
      <c r="AD187" s="74"/>
      <c r="AE187" s="30">
        <f>INDEX('D1 - Master Project Table'!$A$1:$AK$7056,$A187,9)</f>
        <v>10.27</v>
      </c>
      <c r="AF187" s="34" t="str">
        <f>INDEX('D1 - Master Project Table'!$A$1:$AK$7056,$A187,8)</f>
        <v>1 - Scheduled</v>
      </c>
      <c r="AG187" s="146"/>
      <c r="AH187" s="227"/>
    </row>
    <row r="188" spans="1:34" ht="33.75" x14ac:dyDescent="0.2">
      <c r="A188" s="36">
        <f>MATCH(C188,'D1 - Master Project Table'!$D$1:$D$7056,0)</f>
        <v>190</v>
      </c>
      <c r="B188" s="36" t="e">
        <f>MATCH(C188,#REF!,0)</f>
        <v>#REF!</v>
      </c>
      <c r="C188" s="125" t="s">
        <v>9524</v>
      </c>
      <c r="D188" s="34" t="str">
        <f>INDEX('D1 - Master Project Table'!$A$1:$AK$7056,$A188,5)</f>
        <v>HCA, Inc. GSP Custom Network Delsys Value to PO</v>
      </c>
      <c r="E188" s="31">
        <f>INDEX('D1 - Master Project Table'!$A$1:$AK$7056,$A188,11)</f>
        <v>41594</v>
      </c>
      <c r="F188" s="32" t="str">
        <f>INDEX('D1 - Master Project Table'!$A$1:$AK$7056,$A188,13)</f>
        <v>Project</v>
      </c>
      <c r="G188" s="32" t="str">
        <f>INDEX('D1 - Master Project Table'!$A$1:$AK$7056,$A188,7)</f>
        <v>3 - Green</v>
      </c>
      <c r="H188" s="32"/>
      <c r="I188" s="9" t="s">
        <v>9629</v>
      </c>
      <c r="J188" s="28"/>
      <c r="K188" s="28"/>
      <c r="L188" s="28"/>
      <c r="M188" s="28"/>
      <c r="N188" s="28"/>
      <c r="O188" s="28"/>
      <c r="P188" s="28"/>
      <c r="Q188" s="8" t="s">
        <v>59</v>
      </c>
      <c r="R188" s="80"/>
      <c r="S188" s="116"/>
      <c r="T188" s="116"/>
      <c r="U188" s="8" t="s">
        <v>9526</v>
      </c>
      <c r="V188" s="80"/>
      <c r="W188" s="80"/>
      <c r="X188" s="8" t="s">
        <v>212</v>
      </c>
      <c r="Y188" s="80"/>
      <c r="Z188" s="28"/>
      <c r="AA188" s="84"/>
      <c r="AB188" s="74"/>
      <c r="AC188" s="74"/>
      <c r="AD188" s="74"/>
      <c r="AE188" s="30">
        <f>INDEX('D1 - Master Project Table'!$A$1:$AK$7056,$A188,9)</f>
        <v>7.42</v>
      </c>
      <c r="AF188" s="34" t="str">
        <f>INDEX('D1 - Master Project Table'!$A$1:$AK$7056,$A188,8)</f>
        <v>1 - Scheduled</v>
      </c>
      <c r="AG188" s="146"/>
      <c r="AH188" s="227"/>
    </row>
    <row r="189" spans="1:34" ht="112.5" x14ac:dyDescent="0.2">
      <c r="A189" s="36">
        <f>MATCH(C189,'D1 - Master Project Table'!$D$1:$D$7056,0)</f>
        <v>191</v>
      </c>
      <c r="B189" s="36" t="e">
        <f>MATCH(C189,#REF!,0)</f>
        <v>#REF!</v>
      </c>
      <c r="C189" s="125" t="s">
        <v>8859</v>
      </c>
      <c r="D189" s="34" t="str">
        <f>INDEX('D1 - Master Project Table'!$A$1:$AK$7056,$A189,5)</f>
        <v>New Basics Directory Changes</v>
      </c>
      <c r="E189" s="31">
        <f>INDEX('D1 - Master Project Table'!$A$1:$AK$7056,$A189,11)</f>
        <v>41594</v>
      </c>
      <c r="F189" s="32" t="str">
        <f>INDEX('D1 - Master Project Table'!$A$1:$AK$7056,$A189,13)</f>
        <v>Project</v>
      </c>
      <c r="G189" s="32" t="str">
        <f>INDEX('D1 - Master Project Table'!$A$1:$AK$7056,$A189,7)</f>
        <v>3 - Green</v>
      </c>
      <c r="H189" s="4" t="s">
        <v>2193</v>
      </c>
      <c r="I189" s="9" t="s">
        <v>9630</v>
      </c>
      <c r="J189" s="28"/>
      <c r="K189" s="28"/>
      <c r="L189" s="28"/>
      <c r="M189" s="28"/>
      <c r="N189" s="28"/>
      <c r="O189" s="28"/>
      <c r="P189" s="28"/>
      <c r="Q189" s="8" t="s">
        <v>59</v>
      </c>
      <c r="R189" s="80">
        <v>41389</v>
      </c>
      <c r="S189" s="116"/>
      <c r="T189" s="116"/>
      <c r="U189" s="28"/>
      <c r="V189" s="80"/>
      <c r="W189" s="80">
        <v>41474</v>
      </c>
      <c r="X189" s="8" t="s">
        <v>212</v>
      </c>
      <c r="Y189" s="80">
        <v>41527</v>
      </c>
      <c r="Z189" s="9" t="s">
        <v>9348</v>
      </c>
      <c r="AA189" s="176" t="s">
        <v>9360</v>
      </c>
      <c r="AB189" s="74"/>
      <c r="AC189" s="74"/>
      <c r="AD189" s="74"/>
      <c r="AE189" s="30">
        <f>INDEX('D1 - Master Project Table'!$A$1:$AK$7056,$A189,9)</f>
        <v>108.59</v>
      </c>
      <c r="AF189" s="34" t="str">
        <f>INDEX('D1 - Master Project Table'!$A$1:$AK$7056,$A189,8)</f>
        <v>1 - Scheduled</v>
      </c>
      <c r="AG189" s="146"/>
      <c r="AH189" s="227"/>
    </row>
    <row r="190" spans="1:34" ht="33.75" x14ac:dyDescent="0.2">
      <c r="A190" s="36">
        <f>MATCH(C190,'D1 - Master Project Table'!$D$1:$D$7056,0)</f>
        <v>192</v>
      </c>
      <c r="B190" s="36" t="e">
        <f>MATCH(C190,#REF!,0)</f>
        <v>#REF!</v>
      </c>
      <c r="C190" s="125" t="s">
        <v>8854</v>
      </c>
      <c r="D190" s="34" t="str">
        <f>INDEX('D1 - Master Project Table'!$A$1:$AK$7056,$A190,5)</f>
        <v>Tiered Benefit Plan Enhancements</v>
      </c>
      <c r="E190" s="31">
        <f>INDEX('D1 - Master Project Table'!$A$1:$AK$7056,$A190,11)</f>
        <v>41594</v>
      </c>
      <c r="F190" s="32" t="str">
        <f>INDEX('D1 - Master Project Table'!$A$1:$AK$7056,$A190,13)</f>
        <v>Project</v>
      </c>
      <c r="G190" s="32" t="str">
        <f>INDEX('D1 - Master Project Table'!$A$1:$AK$7056,$A190,7)</f>
        <v>3 - Green</v>
      </c>
      <c r="H190" s="32"/>
      <c r="I190" s="9" t="s">
        <v>9188</v>
      </c>
      <c r="J190" s="28"/>
      <c r="K190" s="28"/>
      <c r="L190" s="28"/>
      <c r="M190" s="28"/>
      <c r="N190" s="28"/>
      <c r="O190" s="28"/>
      <c r="P190" s="28"/>
      <c r="Q190" s="8" t="s">
        <v>895</v>
      </c>
      <c r="R190" s="80"/>
      <c r="S190" s="116"/>
      <c r="T190" s="116"/>
      <c r="U190" s="28"/>
      <c r="V190" s="80"/>
      <c r="W190" s="80"/>
      <c r="X190" s="28"/>
      <c r="Y190" s="80"/>
      <c r="Z190" s="9" t="s">
        <v>9353</v>
      </c>
      <c r="AA190" s="84"/>
      <c r="AB190" s="74"/>
      <c r="AC190" s="74"/>
      <c r="AD190" s="74"/>
      <c r="AE190" s="30">
        <f>INDEX('D1 - Master Project Table'!$A$1:$AK$7056,$A190,9)</f>
        <v>14.59</v>
      </c>
      <c r="AF190" s="34" t="str">
        <f>INDEX('D1 - Master Project Table'!$A$1:$AK$7056,$A190,8)</f>
        <v>1 - Scheduled</v>
      </c>
      <c r="AG190" s="146"/>
      <c r="AH190" s="227"/>
    </row>
    <row r="191" spans="1:34" x14ac:dyDescent="0.2">
      <c r="A191" s="36">
        <f>MATCH(C191,'D1 - Master Project Table'!$D$1:$D$7056,0)</f>
        <v>193</v>
      </c>
      <c r="B191" s="36" t="e">
        <f>MATCH(C191,#REF!,0)</f>
        <v>#REF!</v>
      </c>
      <c r="C191" s="125" t="s">
        <v>9187</v>
      </c>
      <c r="D191" s="34" t="str">
        <f>INDEX('D1 - Master Project Table'!$A$1:$AK$7056,$A191,5)</f>
        <v>Tiered Benefit Plan Enhancements</v>
      </c>
      <c r="E191" s="31">
        <f>INDEX('D1 - Master Project Table'!$A$1:$AK$7056,$A191,11)</f>
        <v>41594</v>
      </c>
      <c r="F191" s="32" t="str">
        <f>INDEX('D1 - Master Project Table'!$A$1:$AK$7056,$A191,13)</f>
        <v>Project</v>
      </c>
      <c r="G191" s="32" t="str">
        <f>INDEX('D1 - Master Project Table'!$A$1:$AK$7056,$A191,7)</f>
        <v>3 - Green</v>
      </c>
      <c r="H191" s="32"/>
      <c r="I191" s="9" t="s">
        <v>9188</v>
      </c>
      <c r="J191" s="28"/>
      <c r="K191" s="28"/>
      <c r="L191" s="28"/>
      <c r="M191" s="28"/>
      <c r="N191" s="28"/>
      <c r="O191" s="28"/>
      <c r="P191" s="28"/>
      <c r="Q191" s="8" t="s">
        <v>895</v>
      </c>
      <c r="R191" s="80"/>
      <c r="S191" s="116"/>
      <c r="T191" s="116"/>
      <c r="U191" s="28"/>
      <c r="V191" s="80"/>
      <c r="W191" s="80"/>
      <c r="X191" s="28"/>
      <c r="Y191" s="80"/>
      <c r="Z191" s="8" t="s">
        <v>5183</v>
      </c>
      <c r="AA191" s="84"/>
      <c r="AB191" s="74"/>
      <c r="AC191" s="74"/>
      <c r="AD191" s="74"/>
      <c r="AE191" s="30">
        <f>INDEX('D1 - Master Project Table'!$A$1:$AK$7056,$A191,9)</f>
        <v>1.9</v>
      </c>
      <c r="AF191" s="34" t="str">
        <f>INDEX('D1 - Master Project Table'!$A$1:$AK$7056,$A191,8)</f>
        <v>1 - Scheduled</v>
      </c>
      <c r="AG191" s="146"/>
      <c r="AH191" s="227"/>
    </row>
    <row r="192" spans="1:34" x14ac:dyDescent="0.2">
      <c r="A192" s="36">
        <f>MATCH(C192,'D1 - Master Project Table'!$D$1:$D$7056,0)</f>
        <v>194</v>
      </c>
      <c r="B192" s="36" t="e">
        <f>MATCH(C192,#REF!,0)</f>
        <v>#REF!</v>
      </c>
      <c r="C192" s="125" t="s">
        <v>7674</v>
      </c>
      <c r="D192" s="34" t="str">
        <f>INDEX('D1 - Master Project Table'!$A$1:$AK$7056,$A192,5)</f>
        <v>PD Designation Display Change</v>
      </c>
      <c r="E192" s="31">
        <f>INDEX('D1 - Master Project Table'!$A$1:$AK$7056,$A192,11)</f>
        <v>41594</v>
      </c>
      <c r="F192" s="32" t="str">
        <f>INDEX('D1 - Master Project Table'!$A$1:$AK$7056,$A192,13)</f>
        <v>Project</v>
      </c>
      <c r="G192" s="32" t="str">
        <f>INDEX('D1 - Master Project Table'!$A$1:$AK$7056,$A192,7)</f>
        <v>3 - Green</v>
      </c>
      <c r="H192" s="32"/>
      <c r="I192" s="74"/>
      <c r="J192" s="28"/>
      <c r="K192" s="28"/>
      <c r="L192" s="28"/>
      <c r="M192" s="28"/>
      <c r="N192" s="28"/>
      <c r="O192" s="28"/>
      <c r="P192" s="28"/>
      <c r="Q192" s="8" t="s">
        <v>895</v>
      </c>
      <c r="R192" s="80"/>
      <c r="S192" s="116"/>
      <c r="T192" s="116"/>
      <c r="U192" s="28"/>
      <c r="V192" s="80"/>
      <c r="W192" s="80"/>
      <c r="X192" s="28"/>
      <c r="Y192" s="80"/>
      <c r="Z192" s="8" t="s">
        <v>9340</v>
      </c>
      <c r="AA192" s="84"/>
      <c r="AB192" s="74"/>
      <c r="AC192" s="74"/>
      <c r="AD192" s="74"/>
      <c r="AE192" s="30">
        <f>INDEX('D1 - Master Project Table'!$A$1:$AK$7056,$A192,9)</f>
        <v>5.04</v>
      </c>
      <c r="AF192" s="34" t="str">
        <f>INDEX('D1 - Master Project Table'!$A$1:$AK$7056,$A192,8)</f>
        <v>1 - Scheduled</v>
      </c>
      <c r="AG192" s="146"/>
      <c r="AH192" s="227"/>
    </row>
    <row r="193" spans="1:34" ht="22.5" x14ac:dyDescent="0.2">
      <c r="A193" s="36">
        <f>MATCH(C193,'D1 - Master Project Table'!$D$1:$D$7056,0)</f>
        <v>195</v>
      </c>
      <c r="B193" s="36" t="e">
        <f>MATCH(C193,#REF!,0)</f>
        <v>#REF!</v>
      </c>
      <c r="C193" s="125" t="s">
        <v>9613</v>
      </c>
      <c r="D193" s="34" t="str">
        <f>INDEX('D1 - Master Project Table'!$A$1:$AK$7056,$A193,5)</f>
        <v>Medicare Advantage Part C EOB Day 1 Project (A/D)</v>
      </c>
      <c r="E193" s="31">
        <f>INDEX('D1 - Master Project Table'!$A$1:$AK$7056,$A193,11)</f>
        <v>41594</v>
      </c>
      <c r="F193" s="32" t="str">
        <f>INDEX('D1 - Master Project Table'!$A$1:$AK$7056,$A193,13)</f>
        <v>Project</v>
      </c>
      <c r="G193" s="32" t="str">
        <f>INDEX('D1 - Master Project Table'!$A$1:$AK$7056,$A193,7)</f>
        <v>3 - Green</v>
      </c>
      <c r="H193" s="32"/>
      <c r="I193" s="9" t="s">
        <v>9615</v>
      </c>
      <c r="J193" s="28"/>
      <c r="K193" s="28"/>
      <c r="L193" s="28"/>
      <c r="M193" s="28"/>
      <c r="N193" s="28"/>
      <c r="O193" s="28"/>
      <c r="P193" s="28"/>
      <c r="Q193" s="28"/>
      <c r="R193" s="80"/>
      <c r="S193" s="116"/>
      <c r="T193" s="116"/>
      <c r="U193" s="28"/>
      <c r="V193" s="80"/>
      <c r="W193" s="80"/>
      <c r="X193" s="28"/>
      <c r="Y193" s="80"/>
      <c r="Z193" s="28"/>
      <c r="AA193" s="84"/>
      <c r="AB193" s="74"/>
      <c r="AC193" s="74"/>
      <c r="AD193" s="74"/>
      <c r="AE193" s="30" t="str">
        <f>INDEX('D1 - Master Project Table'!$A$1:$AK$7056,$A193,9)</f>
        <v>TBD</v>
      </c>
      <c r="AF193" s="34" t="str">
        <f>INDEX('D1 - Master Project Table'!$A$1:$AK$7056,$A193,8)</f>
        <v>1 - Scheduled</v>
      </c>
      <c r="AG193" s="146"/>
      <c r="AH193" s="227"/>
    </row>
    <row r="194" spans="1:34" ht="0" hidden="1" customHeight="1" x14ac:dyDescent="0.2">
      <c r="A194" s="53" t="e">
        <f>MATCH(C194,'D1 - Master Project Table'!$D$1:$D$7056,0)</f>
        <v>#N/A</v>
      </c>
      <c r="B194" s="53" t="e">
        <f>MATCH(C194,#REF!,0)</f>
        <v>#REF!</v>
      </c>
      <c r="C194" s="173" t="s">
        <v>7420</v>
      </c>
      <c r="D194" s="137" t="s">
        <v>7420</v>
      </c>
      <c r="E194" s="199" t="s">
        <v>7420</v>
      </c>
      <c r="F194" s="43" t="e">
        <f>INDEX('D1 - Master Project Table'!$A$1:$AK$7056,$A194,13)</f>
        <v>#N/A</v>
      </c>
      <c r="G194" s="43" t="e">
        <f>INDEX('D1 - Master Project Table'!$A$1:$AK$7056,$A194,13)</f>
        <v>#N/A</v>
      </c>
      <c r="H194" s="43"/>
      <c r="I194" s="180" t="s">
        <v>6177</v>
      </c>
      <c r="J194" s="43" t="e">
        <f>INDEX('D1 - Master Project Table'!$A$1:$AK$7056,$A194,13)</f>
        <v>#N/A</v>
      </c>
      <c r="K194" s="43" t="e">
        <f>INDEX('D1 - Master Project Table'!$A$1:$AK$7056,$A194,13)</f>
        <v>#N/A</v>
      </c>
      <c r="L194" s="43" t="e">
        <f>INDEX('D1 - Master Project Table'!$A$1:$AK$7056,$A194,13)</f>
        <v>#N/A</v>
      </c>
      <c r="M194" s="43" t="e">
        <f>INDEX('D1 - Master Project Table'!$A$1:$AK$7056,$A194,13)</f>
        <v>#N/A</v>
      </c>
      <c r="N194" s="43" t="e">
        <f>INDEX('D1 - Master Project Table'!$A$1:$AK$7056,$A194,13)</f>
        <v>#N/A</v>
      </c>
      <c r="O194" s="43" t="e">
        <f>INDEX('D1 - Master Project Table'!$A$1:$AK$7056,$A194,13)</f>
        <v>#N/A</v>
      </c>
      <c r="P194" s="43" t="e">
        <f>INDEX('D1 - Master Project Table'!$A$1:$AK$7056,$A194,13)</f>
        <v>#N/A</v>
      </c>
      <c r="Q194" s="43">
        <v>0</v>
      </c>
      <c r="R194" s="43">
        <v>0</v>
      </c>
      <c r="S194" s="43">
        <v>0</v>
      </c>
      <c r="T194" s="43">
        <v>0</v>
      </c>
      <c r="U194" s="43">
        <v>0</v>
      </c>
      <c r="V194" s="81">
        <v>0</v>
      </c>
      <c r="W194" s="81">
        <v>0</v>
      </c>
      <c r="X194" s="43">
        <v>0</v>
      </c>
      <c r="Y194" s="81">
        <v>0</v>
      </c>
      <c r="Z194" s="43">
        <v>0</v>
      </c>
      <c r="AA194" s="85">
        <v>0</v>
      </c>
      <c r="AB194" s="44">
        <v>0</v>
      </c>
      <c r="AC194" s="44">
        <v>0</v>
      </c>
      <c r="AD194" s="52" t="e">
        <v>#N/A</v>
      </c>
      <c r="AE194" s="45"/>
      <c r="AF194" s="44"/>
      <c r="AG194" s="146"/>
      <c r="AH194" s="227"/>
    </row>
    <row r="195" spans="1:34" ht="45" x14ac:dyDescent="0.2">
      <c r="A195" s="36">
        <f>MATCH(C195,'D1 - Master Project Table'!$D$1:$D$7056,0)</f>
        <v>196</v>
      </c>
      <c r="B195" s="36" t="e">
        <f>MATCH(C195,#REF!,0)</f>
        <v>#REF!</v>
      </c>
      <c r="C195" s="125" t="s">
        <v>84</v>
      </c>
      <c r="D195" s="34" t="str">
        <f>INDEX('D1 - Master Project Table'!$A$1:$AK$7056,$A195,5)</f>
        <v>myHCE M&amp;R Implementation</v>
      </c>
      <c r="E195" s="31">
        <f>INDEX('D1 - Master Project Table'!$A$1:$AK$7056,$A195,11)</f>
        <v>41594</v>
      </c>
      <c r="F195" s="32" t="str">
        <f>INDEX('D1 - Master Project Table'!$A$1:$AK$7056,$A195,13)</f>
        <v>Project</v>
      </c>
      <c r="G195" s="32" t="str">
        <f>INDEX('D1 - Master Project Table'!$A$1:$AK$7056,$A195,7)</f>
        <v>3 - Green</v>
      </c>
      <c r="H195" s="32"/>
      <c r="I195" s="74"/>
      <c r="J195" s="28"/>
      <c r="K195" s="28"/>
      <c r="L195" s="28"/>
      <c r="M195" s="28"/>
      <c r="N195" s="28"/>
      <c r="O195" s="28"/>
      <c r="P195" s="28"/>
      <c r="Q195" s="8" t="s">
        <v>4599</v>
      </c>
      <c r="R195" s="80"/>
      <c r="S195" s="116"/>
      <c r="T195" s="116"/>
      <c r="U195" s="8" t="s">
        <v>9164</v>
      </c>
      <c r="V195" s="80"/>
      <c r="W195" s="80"/>
      <c r="X195" s="28"/>
      <c r="Y195" s="80"/>
      <c r="Z195" s="9" t="s">
        <v>9354</v>
      </c>
      <c r="AA195" s="84"/>
      <c r="AB195" s="74"/>
      <c r="AC195" s="74"/>
      <c r="AD195" s="74"/>
      <c r="AE195" s="30">
        <f>INDEX('D1 - Master Project Table'!$A$1:$AK$7056,$A195,9)</f>
        <v>49.19</v>
      </c>
      <c r="AF195" s="34" t="str">
        <f>INDEX('D1 - Master Project Table'!$A$1:$AK$7056,$A195,8)</f>
        <v>1 - Scheduled</v>
      </c>
      <c r="AG195" s="146"/>
      <c r="AH195" s="227"/>
    </row>
    <row r="196" spans="1:34" ht="210.75" customHeight="1" x14ac:dyDescent="0.2">
      <c r="A196" s="36">
        <f>MATCH(C196,'D1 - Master Project Table'!$D$1:$D$7056,0)</f>
        <v>197</v>
      </c>
      <c r="B196" s="36" t="e">
        <f>MATCH(C196,#REF!,0)</f>
        <v>#REF!</v>
      </c>
      <c r="C196" s="125" t="s">
        <v>8987</v>
      </c>
      <c r="D196" s="34" t="str">
        <f>INDEX('D1 - Master Project Table'!$A$1:$AK$7056,$A196,5)</f>
        <v xml:space="preserve">Villages &amp; Preferred Care Partners </v>
      </c>
      <c r="E196" s="31">
        <f>INDEX('D1 - Master Project Table'!$A$1:$AK$7056,$A196,11)</f>
        <v>41594</v>
      </c>
      <c r="F196" s="32" t="str">
        <f>INDEX('D1 - Master Project Table'!$A$1:$AK$7056,$A196,13)</f>
        <v>Testing</v>
      </c>
      <c r="G196" s="32" t="str">
        <f>INDEX('D1 - Master Project Table'!$A$1:$AK$7056,$A196,7)</f>
        <v>3 - Green</v>
      </c>
      <c r="H196" s="32"/>
      <c r="I196" s="74"/>
      <c r="J196" s="28"/>
      <c r="K196" s="28"/>
      <c r="L196" s="28"/>
      <c r="M196" s="28"/>
      <c r="N196" s="28"/>
      <c r="O196" s="28"/>
      <c r="P196" s="28"/>
      <c r="Q196" s="8" t="s">
        <v>1731</v>
      </c>
      <c r="R196" s="80"/>
      <c r="S196" s="116"/>
      <c r="T196" s="116"/>
      <c r="U196" s="28"/>
      <c r="V196" s="80"/>
      <c r="W196" s="80"/>
      <c r="X196" s="28"/>
      <c r="Y196" s="80"/>
      <c r="Z196" s="28"/>
      <c r="AA196" s="84"/>
      <c r="AB196" s="74"/>
      <c r="AC196" s="74"/>
      <c r="AD196" s="74"/>
      <c r="AE196" s="30">
        <f>INDEX('D1 - Master Project Table'!$A$1:$AK$7056,$A196,9)</f>
        <v>0.96</v>
      </c>
      <c r="AF196" s="34" t="str">
        <f>INDEX('D1 - Master Project Table'!$A$1:$AK$7056,$A196,8)</f>
        <v>1 - Scheduled</v>
      </c>
      <c r="AG196" s="146"/>
      <c r="AH196" s="227"/>
    </row>
    <row r="197" spans="1:34" ht="67.5" x14ac:dyDescent="0.2">
      <c r="A197" s="36">
        <f>MATCH(C197,'D1 - Master Project Table'!$D$1:$D$7056,0)</f>
        <v>198</v>
      </c>
      <c r="B197" s="36" t="e">
        <f>MATCH(C197,#REF!,0)</f>
        <v>#REF!</v>
      </c>
      <c r="C197" s="125" t="s">
        <v>9119</v>
      </c>
      <c r="D197" s="34" t="str">
        <f>INDEX('D1 - Master Project Table'!$A$1:$AK$7056,$A197,5)</f>
        <v>OISP Release 1</v>
      </c>
      <c r="E197" s="31">
        <f>INDEX('D1 - Master Project Table'!$A$1:$AK$7056,$A197,11)</f>
        <v>41594</v>
      </c>
      <c r="F197" s="32" t="str">
        <f>INDEX('D1 - Master Project Table'!$A$1:$AK$7056,$A197,13)</f>
        <v>Project</v>
      </c>
      <c r="G197" s="32" t="str">
        <f>INDEX('D1 - Master Project Table'!$A$1:$AK$7056,$A197,7)</f>
        <v>3 - Green</v>
      </c>
      <c r="H197" s="32"/>
      <c r="I197" s="9" t="s">
        <v>9462</v>
      </c>
      <c r="J197" s="28"/>
      <c r="K197" s="28"/>
      <c r="L197" s="28"/>
      <c r="M197" s="28"/>
      <c r="N197" s="28"/>
      <c r="O197" s="28"/>
      <c r="P197" s="28"/>
      <c r="Q197" s="8" t="s">
        <v>4599</v>
      </c>
      <c r="R197" s="80"/>
      <c r="S197" s="116"/>
      <c r="T197" s="116"/>
      <c r="U197" s="28"/>
      <c r="V197" s="80"/>
      <c r="W197" s="80"/>
      <c r="X197" s="28"/>
      <c r="Y197" s="80"/>
      <c r="Z197" s="28"/>
      <c r="AA197" s="84"/>
      <c r="AB197" s="74"/>
      <c r="AC197" s="74"/>
      <c r="AD197" s="74"/>
      <c r="AE197" s="30">
        <f>INDEX('D1 - Master Project Table'!$A$1:$AK$7056,$A197,9)</f>
        <v>46.41</v>
      </c>
      <c r="AF197" s="34" t="str">
        <f>INDEX('D1 - Master Project Table'!$A$1:$AK$7056,$A197,8)</f>
        <v>1 - Scheduled</v>
      </c>
      <c r="AG197" s="146"/>
      <c r="AH197" s="227"/>
    </row>
    <row r="198" spans="1:34" x14ac:dyDescent="0.2">
      <c r="A198" s="36">
        <f>MATCH(C198,'D1 - Master Project Table'!$D$1:$D$7056,0)</f>
        <v>199</v>
      </c>
      <c r="B198" s="36" t="e">
        <f>MATCH(C198,#REF!,0)</f>
        <v>#REF!</v>
      </c>
      <c r="C198" s="125" t="s">
        <v>9127</v>
      </c>
      <c r="D198" s="34" t="str">
        <f>INDEX('D1 - Master Project Table'!$A$1:$AK$7056,$A198,5)</f>
        <v>Navigate Required Enhancements</v>
      </c>
      <c r="E198" s="31">
        <f>INDEX('D1 - Master Project Table'!$A$1:$AK$7056,$A198,11)</f>
        <v>41594</v>
      </c>
      <c r="F198" s="32" t="str">
        <f>INDEX('D1 - Master Project Table'!$A$1:$AK$7056,$A198,13)</f>
        <v>Project</v>
      </c>
      <c r="G198" s="32" t="str">
        <f>INDEX('D1 - Master Project Table'!$A$1:$AK$7056,$A198,7)</f>
        <v>3 - Green</v>
      </c>
      <c r="H198" s="32"/>
      <c r="I198" s="9" t="s">
        <v>9623</v>
      </c>
      <c r="J198" s="28"/>
      <c r="K198" s="28"/>
      <c r="L198" s="28"/>
      <c r="M198" s="28"/>
      <c r="N198" s="28"/>
      <c r="O198" s="28"/>
      <c r="P198" s="28"/>
      <c r="Q198" s="8" t="s">
        <v>895</v>
      </c>
      <c r="R198" s="80"/>
      <c r="S198" s="116"/>
      <c r="T198" s="116"/>
      <c r="U198" s="8" t="s">
        <v>2259</v>
      </c>
      <c r="V198" s="80"/>
      <c r="W198" s="80"/>
      <c r="X198" s="28"/>
      <c r="Y198" s="80"/>
      <c r="Z198" s="28"/>
      <c r="AA198" s="84"/>
      <c r="AB198" s="74"/>
      <c r="AC198" s="74"/>
      <c r="AD198" s="74"/>
      <c r="AE198" s="30">
        <f>INDEX('D1 - Master Project Table'!$A$1:$AK$7056,$A198,9)</f>
        <v>106.26</v>
      </c>
      <c r="AF198" s="34" t="str">
        <f>INDEX('D1 - Master Project Table'!$A$1:$AK$7056,$A198,8)</f>
        <v>1 - Scheduled</v>
      </c>
      <c r="AG198" s="146"/>
      <c r="AH198" s="227"/>
    </row>
    <row r="199" spans="1:34" ht="22.5" x14ac:dyDescent="0.2">
      <c r="A199" s="36">
        <f>MATCH(C199,'D1 - Master Project Table'!$D$1:$D$7056,0)</f>
        <v>200</v>
      </c>
      <c r="B199" s="36" t="e">
        <f>MATCH(C199,#REF!,0)</f>
        <v>#REF!</v>
      </c>
      <c r="C199" s="125" t="s">
        <v>8959</v>
      </c>
      <c r="D199" s="34" t="str">
        <f>INDEX('D1 - Master Project Table'!$A$1:$AK$7056,$A199,5)</f>
        <v>Pennsylvania Facets to Facets Migration</v>
      </c>
      <c r="E199" s="31">
        <f>INDEX('D1 - Master Project Table'!$A$1:$AK$7056,$A199,11)</f>
        <v>41656</v>
      </c>
      <c r="F199" s="32" t="str">
        <f>INDEX('D1 - Master Project Table'!$A$1:$AK$7056,$A199,13)</f>
        <v>Project</v>
      </c>
      <c r="G199" s="32" t="str">
        <f>INDEX('D1 - Master Project Table'!$A$1:$AK$7056,$A199,7)</f>
        <v>3 - Green</v>
      </c>
      <c r="H199" s="32"/>
      <c r="I199" s="74"/>
      <c r="J199" s="28"/>
      <c r="K199" s="28"/>
      <c r="L199" s="28"/>
      <c r="M199" s="28"/>
      <c r="N199" s="28"/>
      <c r="O199" s="28"/>
      <c r="P199" s="28"/>
      <c r="Q199" s="8" t="s">
        <v>515</v>
      </c>
      <c r="R199" s="80"/>
      <c r="S199" s="116"/>
      <c r="T199" s="116"/>
      <c r="U199" s="8" t="s">
        <v>9531</v>
      </c>
      <c r="V199" s="80"/>
      <c r="W199" s="80"/>
      <c r="X199" s="28"/>
      <c r="Y199" s="80"/>
      <c r="Z199" s="8" t="s">
        <v>9560</v>
      </c>
      <c r="AA199" s="84"/>
      <c r="AB199" s="74"/>
      <c r="AC199" s="74"/>
      <c r="AD199" s="74"/>
      <c r="AE199" s="30">
        <f>INDEX('D1 - Master Project Table'!$A$1:$AK$7056,$A199,9)</f>
        <v>13.06</v>
      </c>
      <c r="AF199" s="34" t="str">
        <f>INDEX('D1 - Master Project Table'!$A$1:$AK$7056,$A199,8)</f>
        <v>1 - Scheduled</v>
      </c>
      <c r="AG199" s="146"/>
      <c r="AH199" s="227"/>
    </row>
    <row r="200" spans="1:34" ht="90" x14ac:dyDescent="0.2">
      <c r="A200" s="36">
        <f>MATCH(C200,'D1 - Master Project Table'!$D$1:$D$7056,0)</f>
        <v>201</v>
      </c>
      <c r="B200" s="36" t="e">
        <f>MATCH(C200,#REF!,0)</f>
        <v>#REF!</v>
      </c>
      <c r="C200" s="125" t="s">
        <v>2289</v>
      </c>
      <c r="D200" s="34" t="str">
        <f>INDEX('D1 - Master Project Table'!$A$1:$AK$7056,$A200,5)</f>
        <v>F2F - Delaware Migration</v>
      </c>
      <c r="E200" s="31">
        <f>INDEX('D1 - Master Project Table'!$A$1:$AK$7056,$A200,11)</f>
        <v>41685</v>
      </c>
      <c r="F200" s="32" t="str">
        <f>INDEX('D1 - Master Project Table'!$A$1:$AK$7056,$A200,13)</f>
        <v>Project</v>
      </c>
      <c r="G200" s="32" t="str">
        <f>INDEX('D1 - Master Project Table'!$A$1:$AK$7056,$A200,7)</f>
        <v>3 - Green</v>
      </c>
      <c r="H200" s="32"/>
      <c r="I200" s="9" t="s">
        <v>9644</v>
      </c>
      <c r="J200" s="28"/>
      <c r="K200" s="28"/>
      <c r="L200" s="28"/>
      <c r="M200" s="28"/>
      <c r="N200" s="28"/>
      <c r="O200" s="28"/>
      <c r="P200" s="28"/>
      <c r="Q200" s="8" t="s">
        <v>3105</v>
      </c>
      <c r="R200" s="80"/>
      <c r="S200" s="116"/>
      <c r="T200" s="116"/>
      <c r="U200" s="28"/>
      <c r="V200" s="80"/>
      <c r="W200" s="80"/>
      <c r="X200" s="28"/>
      <c r="Y200" s="80"/>
      <c r="Z200" s="9" t="s">
        <v>9342</v>
      </c>
      <c r="AA200" s="84"/>
      <c r="AB200" s="74"/>
      <c r="AC200" s="74"/>
      <c r="AD200" s="74"/>
      <c r="AE200" s="30">
        <f>INDEX('D1 - Master Project Table'!$A$1:$AK$7056,$A200,9)</f>
        <v>22.17</v>
      </c>
      <c r="AF200" s="34" t="str">
        <f>INDEX('D1 - Master Project Table'!$A$1:$AK$7056,$A200,8)</f>
        <v>1 - Scheduled</v>
      </c>
      <c r="AG200" s="146"/>
      <c r="AH200" s="227"/>
    </row>
    <row r="201" spans="1:34" ht="22.5" x14ac:dyDescent="0.2">
      <c r="A201" s="36">
        <f>MATCH(C201,'D1 - Master Project Table'!$D$1:$D$7056,0)</f>
        <v>202</v>
      </c>
      <c r="B201" s="36" t="e">
        <f>MATCH(C201,#REF!,0)</f>
        <v>#REF!</v>
      </c>
      <c r="C201" s="125" t="s">
        <v>7001</v>
      </c>
      <c r="D201" s="34" t="str">
        <f>INDEX('D1 - Master Project Table'!$A$1:$AK$7056,$A201,5)</f>
        <v>Harvard Pilgrim Network Systems Migration Support</v>
      </c>
      <c r="E201" s="31">
        <f>INDEX('D1 - Master Project Table'!$A$1:$AK$7056,$A201,11)</f>
        <v>41685</v>
      </c>
      <c r="F201" s="32" t="str">
        <f>INDEX('D1 - Master Project Table'!$A$1:$AK$7056,$A201,13)</f>
        <v>Testing</v>
      </c>
      <c r="G201" s="32" t="str">
        <f>INDEX('D1 - Master Project Table'!$A$1:$AK$7056,$A201,7)</f>
        <v>3 - Green</v>
      </c>
      <c r="H201" s="32"/>
      <c r="I201" s="74"/>
      <c r="J201" s="28"/>
      <c r="K201" s="28"/>
      <c r="L201" s="28"/>
      <c r="M201" s="28"/>
      <c r="N201" s="28"/>
      <c r="O201" s="28"/>
      <c r="P201" s="28"/>
      <c r="Q201" s="8" t="s">
        <v>1731</v>
      </c>
      <c r="R201" s="80"/>
      <c r="S201" s="116"/>
      <c r="T201" s="116"/>
      <c r="U201" s="28"/>
      <c r="V201" s="80"/>
      <c r="W201" s="80"/>
      <c r="X201" s="28"/>
      <c r="Y201" s="80"/>
      <c r="Z201" s="28"/>
      <c r="AA201" s="84"/>
      <c r="AB201" s="74"/>
      <c r="AC201" s="74"/>
      <c r="AD201" s="74"/>
      <c r="AE201" s="30">
        <f>INDEX('D1 - Master Project Table'!$A$1:$AK$7056,$A201,9)</f>
        <v>0.55000000000000004</v>
      </c>
      <c r="AF201" s="34" t="str">
        <f>INDEX('D1 - Master Project Table'!$A$1:$AK$7056,$A201,8)</f>
        <v>1 - Scheduled</v>
      </c>
      <c r="AG201" s="146"/>
      <c r="AH201" s="227"/>
    </row>
    <row r="202" spans="1:34" ht="22.5" x14ac:dyDescent="0.2">
      <c r="A202" s="36">
        <f>MATCH(C202,'D1 - Master Project Table'!$D$1:$D$7056,0)</f>
        <v>203</v>
      </c>
      <c r="B202" s="36" t="e">
        <f>MATCH(C202,#REF!,0)</f>
        <v>#REF!</v>
      </c>
      <c r="C202" s="125" t="s">
        <v>7508</v>
      </c>
      <c r="D202" s="34" t="str">
        <f>INDEX('D1 - Master Project Table'!$A$1:$AK$7056,$A202,5)</f>
        <v xml:space="preserve">System support of Capitation and Case Rates </v>
      </c>
      <c r="E202" s="31">
        <f>INDEX('D1 - Master Project Table'!$A$1:$AK$7056,$A202,11)</f>
        <v>41685</v>
      </c>
      <c r="F202" s="32" t="str">
        <f>INDEX('D1 - Master Project Table'!$A$1:$AK$7056,$A202,13)</f>
        <v>Analysis</v>
      </c>
      <c r="G202" s="32" t="str">
        <f>INDEX('D1 - Master Project Table'!$A$1:$AK$7056,$A202,7)</f>
        <v>3 - Green</v>
      </c>
      <c r="H202" s="32"/>
      <c r="I202" s="74"/>
      <c r="J202" s="28"/>
      <c r="K202" s="28"/>
      <c r="L202" s="28"/>
      <c r="M202" s="28"/>
      <c r="N202" s="28"/>
      <c r="O202" s="28"/>
      <c r="P202" s="28"/>
      <c r="Q202" s="8" t="s">
        <v>2248</v>
      </c>
      <c r="R202" s="80"/>
      <c r="S202" s="116"/>
      <c r="T202" s="116"/>
      <c r="U202" s="28"/>
      <c r="V202" s="80"/>
      <c r="W202" s="80"/>
      <c r="X202" s="28"/>
      <c r="Y202" s="80"/>
      <c r="Z202" s="28"/>
      <c r="AA202" s="84"/>
      <c r="AB202" s="74"/>
      <c r="AC202" s="74"/>
      <c r="AD202" s="74"/>
      <c r="AE202" s="30">
        <f>INDEX('D1 - Master Project Table'!$A$1:$AK$7056,$A202,9)</f>
        <v>1.01</v>
      </c>
      <c r="AF202" s="34" t="str">
        <f>INDEX('D1 - Master Project Table'!$A$1:$AK$7056,$A202,8)</f>
        <v>1 - Scheduled</v>
      </c>
      <c r="AG202" s="146"/>
      <c r="AH202" s="227"/>
    </row>
    <row r="203" spans="1:34" ht="22.5" x14ac:dyDescent="0.2">
      <c r="A203" s="36">
        <f>MATCH(C203,'D1 - Master Project Table'!$D$1:$D$7056,0)</f>
        <v>204</v>
      </c>
      <c r="B203" s="36" t="e">
        <f>MATCH(C203,#REF!,0)</f>
        <v>#REF!</v>
      </c>
      <c r="C203" s="125" t="s">
        <v>7676</v>
      </c>
      <c r="D203" s="34" t="str">
        <f>INDEX('D1 - Master Project Table'!$A$1:$AK$7056,$A203,5)</f>
        <v>OON FACILITY PAYMENT METHODOLOGY</v>
      </c>
      <c r="E203" s="31">
        <f>INDEX('D1 - Master Project Table'!$A$1:$AK$7056,$A203,11)</f>
        <v>41685</v>
      </c>
      <c r="F203" s="32" t="str">
        <f>INDEX('D1 - Master Project Table'!$A$1:$AK$7056,$A203,13)</f>
        <v>Project</v>
      </c>
      <c r="G203" s="32" t="str">
        <f>INDEX('D1 - Master Project Table'!$A$1:$AK$7056,$A203,7)</f>
        <v>3 - Green</v>
      </c>
      <c r="H203" s="32"/>
      <c r="I203" s="74"/>
      <c r="J203" s="28"/>
      <c r="K203" s="28"/>
      <c r="L203" s="28"/>
      <c r="M203" s="28"/>
      <c r="N203" s="28"/>
      <c r="O203" s="28"/>
      <c r="P203" s="28"/>
      <c r="Q203" s="8" t="s">
        <v>895</v>
      </c>
      <c r="R203" s="80"/>
      <c r="S203" s="116"/>
      <c r="T203" s="116"/>
      <c r="U203" s="8" t="s">
        <v>9039</v>
      </c>
      <c r="V203" s="80"/>
      <c r="W203" s="80"/>
      <c r="X203" s="8" t="s">
        <v>2810</v>
      </c>
      <c r="Y203" s="80"/>
      <c r="Z203" s="9" t="s">
        <v>9356</v>
      </c>
      <c r="AA203" s="84"/>
      <c r="AB203" s="74"/>
      <c r="AC203" s="74"/>
      <c r="AD203" s="74"/>
      <c r="AE203" s="30">
        <f>INDEX('D1 - Master Project Table'!$A$1:$AK$7056,$A203,9)</f>
        <v>26.33</v>
      </c>
      <c r="AF203" s="34" t="str">
        <f>INDEX('D1 - Master Project Table'!$A$1:$AK$7056,$A203,8)</f>
        <v>1 - Scheduled</v>
      </c>
      <c r="AG203" s="146"/>
      <c r="AH203" s="227"/>
    </row>
    <row r="204" spans="1:34" ht="22.5" x14ac:dyDescent="0.2">
      <c r="A204" s="36">
        <f>MATCH(C204,'D1 - Master Project Table'!$D$1:$D$7056,0)</f>
        <v>205</v>
      </c>
      <c r="B204" s="36" t="e">
        <f>MATCH(C204,#REF!,0)</f>
        <v>#REF!</v>
      </c>
      <c r="C204" s="125" t="s">
        <v>9525</v>
      </c>
      <c r="D204" s="34" t="str">
        <f>INDEX('D1 - Master Project Table'!$A$1:$AK$7056,$A204,5)</f>
        <v>OPTIM: Test Data Mgmt and Data Masking in Zulu</v>
      </c>
      <c r="E204" s="31">
        <f>INDEX('D1 - Master Project Table'!$A$1:$AK$7056,$A204,11)</f>
        <v>41685</v>
      </c>
      <c r="F204" s="32" t="str">
        <f>INDEX('D1 - Master Project Table'!$A$1:$AK$7056,$A204,13)</f>
        <v>Arch-Led</v>
      </c>
      <c r="G204" s="32" t="str">
        <f>INDEX('D1 - Master Project Table'!$A$1:$AK$7056,$A204,7)</f>
        <v>3 - Green</v>
      </c>
      <c r="H204" s="32"/>
      <c r="I204" s="74" t="s">
        <v>9532</v>
      </c>
      <c r="J204" s="28"/>
      <c r="K204" s="28"/>
      <c r="L204" s="28"/>
      <c r="M204" s="28"/>
      <c r="N204" s="28"/>
      <c r="O204" s="28"/>
      <c r="P204" s="28"/>
      <c r="Q204" s="8" t="s">
        <v>9528</v>
      </c>
      <c r="R204" s="80"/>
      <c r="S204" s="116"/>
      <c r="T204" s="116"/>
      <c r="U204" s="28"/>
      <c r="V204" s="80"/>
      <c r="W204" s="80"/>
      <c r="X204" s="28"/>
      <c r="Y204" s="80"/>
      <c r="Z204" s="28"/>
      <c r="AA204" s="84"/>
      <c r="AB204" s="74"/>
      <c r="AC204" s="74"/>
      <c r="AD204" s="74"/>
      <c r="AE204" s="30">
        <f>INDEX('D1 - Master Project Table'!$A$1:$AK$7056,$A204,9)</f>
        <v>1.31</v>
      </c>
      <c r="AF204" s="34" t="str">
        <f>INDEX('D1 - Master Project Table'!$A$1:$AK$7056,$A204,8)</f>
        <v>1 - Scheduled</v>
      </c>
      <c r="AG204" s="146"/>
      <c r="AH204" s="227"/>
    </row>
    <row r="205" spans="1:34" ht="22.5" x14ac:dyDescent="0.2">
      <c r="A205" s="36">
        <f>MATCH(C205,'D1 - Master Project Table'!$D$1:$D$7056,0)</f>
        <v>206</v>
      </c>
      <c r="B205" s="36" t="e">
        <f>MATCH(C205,#REF!,0)</f>
        <v>#REF!</v>
      </c>
      <c r="C205" s="125" t="s">
        <v>9123</v>
      </c>
      <c r="D205" s="34" t="str">
        <f>INDEX('D1 - Master Project Table'!$A$1:$AK$7056,$A205,5)</f>
        <v>NDB Provider Pick Enh/COSMOS Pick Shutdown A&amp;D</v>
      </c>
      <c r="E205" s="31">
        <f>INDEX('D1 - Master Project Table'!$A$1:$AK$7056,$A205,11)</f>
        <v>41685</v>
      </c>
      <c r="F205" s="32" t="str">
        <f>INDEX('D1 - Master Project Table'!$A$1:$AK$7056,$A205,13)</f>
        <v>Project</v>
      </c>
      <c r="G205" s="32" t="str">
        <f>INDEX('D1 - Master Project Table'!$A$1:$AK$7056,$A205,7)</f>
        <v>3 - Green</v>
      </c>
      <c r="H205" s="32"/>
      <c r="I205" s="74"/>
      <c r="J205" s="28"/>
      <c r="K205" s="28"/>
      <c r="L205" s="28"/>
      <c r="M205" s="28"/>
      <c r="N205" s="28"/>
      <c r="O205" s="28"/>
      <c r="P205" s="28"/>
      <c r="Q205" s="8" t="s">
        <v>4599</v>
      </c>
      <c r="R205" s="80"/>
      <c r="S205" s="116"/>
      <c r="T205" s="116"/>
      <c r="U205" s="28"/>
      <c r="V205" s="80"/>
      <c r="W205" s="80"/>
      <c r="X205" s="28"/>
      <c r="Y205" s="80"/>
      <c r="Z205" s="28"/>
      <c r="AA205" s="84"/>
      <c r="AB205" s="74"/>
      <c r="AC205" s="74"/>
      <c r="AD205" s="74"/>
      <c r="AE205" s="30">
        <f>INDEX('D1 - Master Project Table'!$A$1:$AK$7056,$A205,9)</f>
        <v>34.700000000000003</v>
      </c>
      <c r="AF205" s="34" t="str">
        <f>INDEX('D1 - Master Project Table'!$A$1:$AK$7056,$A205,8)</f>
        <v>1 - Scheduled</v>
      </c>
      <c r="AG205" s="146"/>
      <c r="AH205" s="227"/>
    </row>
    <row r="206" spans="1:34" ht="22.5" x14ac:dyDescent="0.2">
      <c r="A206" s="36">
        <f>MATCH(C206,'D1 - Master Project Table'!$D$1:$D$7056,0)</f>
        <v>207</v>
      </c>
      <c r="B206" s="36" t="e">
        <f>MATCH(C206,#REF!,0)</f>
        <v>#REF!</v>
      </c>
      <c r="C206" s="125" t="s">
        <v>3</v>
      </c>
      <c r="D206" s="34" t="str">
        <f>INDEX('D1 - Master Project Table'!$A$1:$AK$7056,$A206,5)</f>
        <v xml:space="preserve">ICD10 E &amp; I Compliance Release </v>
      </c>
      <c r="E206" s="31">
        <f>INDEX('D1 - Master Project Table'!$A$1:$AK$7056,$A206,11)</f>
        <v>41692</v>
      </c>
      <c r="F206" s="32" t="str">
        <f>INDEX('D1 - Master Project Table'!$A$1:$AK$7056,$A206,13)</f>
        <v>Support Only</v>
      </c>
      <c r="G206" s="32" t="str">
        <f>INDEX('D1 - Master Project Table'!$A$1:$AK$7056,$A206,7)</f>
        <v>3 - Green</v>
      </c>
      <c r="H206" s="32"/>
      <c r="I206" s="9" t="s">
        <v>7683</v>
      </c>
      <c r="J206" s="28"/>
      <c r="K206" s="28"/>
      <c r="L206" s="28"/>
      <c r="M206" s="28"/>
      <c r="N206" s="28"/>
      <c r="O206" s="28"/>
      <c r="P206" s="28"/>
      <c r="Q206" s="8" t="s">
        <v>2248</v>
      </c>
      <c r="R206" s="80"/>
      <c r="S206" s="116"/>
      <c r="T206" s="116"/>
      <c r="U206" s="28"/>
      <c r="V206" s="80"/>
      <c r="W206" s="80"/>
      <c r="X206" s="28"/>
      <c r="Y206" s="80"/>
      <c r="Z206" s="28"/>
      <c r="AA206" s="84"/>
      <c r="AB206" s="74"/>
      <c r="AC206" s="74"/>
      <c r="AD206" s="74"/>
      <c r="AE206" s="30">
        <f>INDEX('D1 - Master Project Table'!$A$1:$AK$7056,$A206,9)</f>
        <v>2.2799999999999998</v>
      </c>
      <c r="AF206" s="34" t="str">
        <f>INDEX('D1 - Master Project Table'!$A$1:$AK$7056,$A206,8)</f>
        <v>1 - Scheduled</v>
      </c>
      <c r="AG206" s="146"/>
      <c r="AH206" s="227"/>
    </row>
    <row r="207" spans="1:34" ht="45" x14ac:dyDescent="0.2">
      <c r="A207" s="36">
        <f>MATCH(C207,'D1 - Master Project Table'!$D$1:$D$7056,0)</f>
        <v>208</v>
      </c>
      <c r="B207" s="36" t="e">
        <f>MATCH(C207,#REF!,0)</f>
        <v>#REF!</v>
      </c>
      <c r="C207" s="125" t="s">
        <v>7722</v>
      </c>
      <c r="D207" s="34" t="str">
        <f>INDEX('D1 - Master Project Table'!$A$1:$AK$7056,$A207,5)</f>
        <v>CSS Portal &amp; EDI Clinical Integration Acceleration</v>
      </c>
      <c r="E207" s="31">
        <f>INDEX('D1 - Master Project Table'!$A$1:$AK$7056,$A207,11)</f>
        <v>41874</v>
      </c>
      <c r="F207" s="32" t="str">
        <f>INDEX('D1 - Master Project Table'!$A$1:$AK$7056,$A207,13)</f>
        <v>Testing</v>
      </c>
      <c r="G207" s="32" t="str">
        <f>INDEX('D1 - Master Project Table'!$A$1:$AK$7056,$A207,7)</f>
        <v>3 - Green</v>
      </c>
      <c r="H207" s="32"/>
      <c r="I207" s="74"/>
      <c r="J207" s="28"/>
      <c r="K207" s="28"/>
      <c r="L207" s="28"/>
      <c r="M207" s="28"/>
      <c r="N207" s="28"/>
      <c r="O207" s="28"/>
      <c r="P207" s="28"/>
      <c r="Q207" s="8" t="s">
        <v>895</v>
      </c>
      <c r="R207" s="80"/>
      <c r="S207" s="116"/>
      <c r="T207" s="116"/>
      <c r="U207" s="28"/>
      <c r="V207" s="80"/>
      <c r="W207" s="80"/>
      <c r="X207" s="28"/>
      <c r="Y207" s="80"/>
      <c r="Z207" s="9" t="s">
        <v>9352</v>
      </c>
      <c r="AA207" s="84"/>
      <c r="AB207" s="74"/>
      <c r="AC207" s="74"/>
      <c r="AD207" s="74"/>
      <c r="AE207" s="30">
        <f>INDEX('D1 - Master Project Table'!$A$1:$AK$7056,$A207,9)</f>
        <v>0.41</v>
      </c>
      <c r="AF207" s="34" t="str">
        <f>INDEX('D1 - Master Project Table'!$A$1:$AK$7056,$A207,8)</f>
        <v>1 - Scheduled</v>
      </c>
      <c r="AG207" s="146"/>
      <c r="AH207" s="227"/>
    </row>
    <row r="208" spans="1:34" x14ac:dyDescent="0.2">
      <c r="A208" s="53" t="e">
        <f>MATCH(C208,'D1 - Master Project Table'!$D$1:$D$7056,0)</f>
        <v>#N/A</v>
      </c>
      <c r="B208" s="53" t="e">
        <f>MATCH(C208,#REF!,0)</f>
        <v>#REF!</v>
      </c>
      <c r="C208" s="173" t="s">
        <v>7420</v>
      </c>
      <c r="D208" s="137" t="s">
        <v>174</v>
      </c>
      <c r="E208" s="199" t="s">
        <v>692</v>
      </c>
      <c r="F208" s="201"/>
      <c r="G208" s="43" t="e">
        <f>INDEX('D1 - Master Project Table'!$A$1:$AK$7056,$A208,13)</f>
        <v>#N/A</v>
      </c>
      <c r="H208" s="43"/>
      <c r="I208" s="201"/>
      <c r="J208" s="43" t="e">
        <f>INDEX('D1 - Master Project Table'!$A$1:$AK$7056,$A208,13)</f>
        <v>#N/A</v>
      </c>
      <c r="K208" s="43" t="e">
        <f>INDEX('D1 - Master Project Table'!$A$1:$AK$7056,$A208,13)</f>
        <v>#N/A</v>
      </c>
      <c r="L208" s="43" t="e">
        <f>INDEX('D1 - Master Project Table'!$A$1:$AK$7056,$A208,13)</f>
        <v>#N/A</v>
      </c>
      <c r="M208" s="43" t="e">
        <f>INDEX('D1 - Master Project Table'!$A$1:$AK$7056,$A208,13)</f>
        <v>#N/A</v>
      </c>
      <c r="N208" s="43" t="e">
        <f>INDEX('D1 - Master Project Table'!$A$1:$AK$7056,$A208,13)</f>
        <v>#N/A</v>
      </c>
      <c r="O208" s="43" t="e">
        <f>INDEX('D1 - Master Project Table'!$A$1:$AK$7056,$A208,13)</f>
        <v>#N/A</v>
      </c>
      <c r="P208" s="43" t="e">
        <f>INDEX('D1 - Master Project Table'!$A$1:$AK$7056,$A208,13)</f>
        <v>#N/A</v>
      </c>
      <c r="Q208" s="43">
        <v>0</v>
      </c>
      <c r="R208" s="43">
        <v>0</v>
      </c>
      <c r="S208" s="43">
        <v>0</v>
      </c>
      <c r="T208" s="43">
        <v>0</v>
      </c>
      <c r="U208" s="43">
        <v>0</v>
      </c>
      <c r="V208" s="81">
        <v>0</v>
      </c>
      <c r="W208" s="81">
        <v>0</v>
      </c>
      <c r="X208" s="43">
        <v>0</v>
      </c>
      <c r="Y208" s="81">
        <v>0</v>
      </c>
      <c r="Z208" s="43">
        <v>0</v>
      </c>
      <c r="AA208" s="85">
        <v>0</v>
      </c>
      <c r="AB208" s="44">
        <v>0</v>
      </c>
      <c r="AC208" s="44">
        <v>0</v>
      </c>
      <c r="AD208" s="52" t="e">
        <v>#N/A</v>
      </c>
      <c r="AE208" s="44">
        <v>0</v>
      </c>
      <c r="AF208" s="44"/>
      <c r="AG208" s="146"/>
      <c r="AH208" s="227"/>
    </row>
    <row r="209" spans="1:57" ht="276.75" x14ac:dyDescent="0.2">
      <c r="A209" s="36" t="e">
        <f>MATCH(C209,'D1 - Master Project Table'!$D$1:$D$7056,0)</f>
        <v>#N/A</v>
      </c>
      <c r="B209" s="36" t="e">
        <f>MATCH(C209,#REF!,0)</f>
        <v>#REF!</v>
      </c>
      <c r="C209" s="200" t="s">
        <v>8211</v>
      </c>
      <c r="D209" s="34" t="e">
        <f>INDEX('D1 - Master Project Table'!$A$1:$AK$7056,$A209,5)</f>
        <v>#N/A</v>
      </c>
      <c r="E209" s="31" t="e">
        <f>INDEX('D1 - Master Project Table'!$A$1:$AK$7056,$A209,11)</f>
        <v>#N/A</v>
      </c>
      <c r="F209" s="32" t="e">
        <f>INDEX('D1 - Master Project Table'!$A$1:$AK$7056,$A209,13)</f>
        <v>#N/A</v>
      </c>
      <c r="G209" s="32" t="e">
        <f>INDEX('D1 - Master Project Table'!$A$1:$AK$7056,$A209,7)</f>
        <v>#N/A</v>
      </c>
      <c r="H209" s="32"/>
      <c r="I209" s="285" t="s">
        <v>971</v>
      </c>
      <c r="J209" s="8" t="s">
        <v>7273</v>
      </c>
      <c r="K209" s="8" t="s">
        <v>3758</v>
      </c>
      <c r="L209" s="8" t="s">
        <v>3758</v>
      </c>
      <c r="M209" s="8" t="s">
        <v>7273</v>
      </c>
      <c r="N209" s="8" t="s">
        <v>3758</v>
      </c>
      <c r="O209" s="8" t="s">
        <v>7273</v>
      </c>
      <c r="P209" s="8" t="s">
        <v>7273</v>
      </c>
      <c r="Q209" s="8" t="s">
        <v>4599</v>
      </c>
      <c r="R209" s="80">
        <v>41157</v>
      </c>
      <c r="S209" s="57" t="s">
        <v>2737</v>
      </c>
      <c r="T209" s="116"/>
      <c r="U209" s="8" t="s">
        <v>1060</v>
      </c>
      <c r="V209" s="80"/>
      <c r="W209" s="80">
        <v>41201</v>
      </c>
      <c r="X209" s="8" t="s">
        <v>312</v>
      </c>
      <c r="Y209" s="175">
        <v>41222</v>
      </c>
      <c r="Z209" s="8" t="s">
        <v>412</v>
      </c>
      <c r="AA209" s="84">
        <v>41239</v>
      </c>
      <c r="AB209" s="9" t="s">
        <v>1843</v>
      </c>
      <c r="AC209" s="74"/>
      <c r="AD209" s="74"/>
      <c r="AE209" s="30" t="e">
        <f>INDEX('D1 - Master Project Table'!$A$1:$AK$7056,$A209,9)</f>
        <v>#N/A</v>
      </c>
      <c r="AF209" s="34" t="e">
        <f>INDEX('D1 - Master Project Table'!$A$1:$AK$7056,$A209,8)</f>
        <v>#N/A</v>
      </c>
      <c r="AG209" s="146"/>
      <c r="AH209" s="227"/>
    </row>
    <row r="210" spans="1:57" x14ac:dyDescent="0.2">
      <c r="A210" s="36" t="e">
        <f>MATCH(C210,'D1 - Master Project Table'!$D$1:$D$7056,0)</f>
        <v>#N/A</v>
      </c>
      <c r="B210" s="36" t="e">
        <f>MATCH(C210,#REF!,0)</f>
        <v>#REF!</v>
      </c>
      <c r="C210" s="125" t="s">
        <v>6396</v>
      </c>
      <c r="D210" s="34" t="e">
        <f>INDEX('D1 - Master Project Table'!$A$1:$AK$7056,$A210,5)</f>
        <v>#N/A</v>
      </c>
      <c r="E210" s="31" t="e">
        <f>INDEX('D1 - Master Project Table'!$A$1:$AK$7056,$A210,11)</f>
        <v>#N/A</v>
      </c>
      <c r="F210" s="32" t="e">
        <f>INDEX('D1 - Master Project Table'!$A$1:$AK$7056,$A210,13)</f>
        <v>#N/A</v>
      </c>
      <c r="G210" s="32" t="e">
        <f>INDEX('D1 - Master Project Table'!$A$1:$AK$7056,$A210,7)</f>
        <v>#N/A</v>
      </c>
      <c r="H210" s="32"/>
      <c r="I210" s="74"/>
      <c r="J210" s="28"/>
      <c r="K210" s="28"/>
      <c r="L210" s="28"/>
      <c r="M210" s="28"/>
      <c r="N210" s="28"/>
      <c r="O210" s="28"/>
      <c r="P210" s="28"/>
      <c r="Q210" s="28"/>
      <c r="R210" s="80"/>
      <c r="S210" s="116"/>
      <c r="T210" s="116"/>
      <c r="U210" s="28"/>
      <c r="V210" s="80"/>
      <c r="W210" s="80"/>
      <c r="X210" s="28"/>
      <c r="Y210" s="80"/>
      <c r="Z210" s="28"/>
      <c r="AA210" s="84"/>
      <c r="AB210" s="74"/>
      <c r="AC210" s="74"/>
      <c r="AD210" s="74"/>
      <c r="AE210" s="30" t="e">
        <f>INDEX('D1 - Master Project Table'!$A$1:$AK$7056,$A210,9)</f>
        <v>#N/A</v>
      </c>
      <c r="AF210" s="34" t="e">
        <f>INDEX('D1 - Master Project Table'!$A$1:$AK$7056,$A210,8)</f>
        <v>#N/A</v>
      </c>
      <c r="AG210" s="146"/>
      <c r="AH210" s="227"/>
    </row>
    <row r="211" spans="1:57" x14ac:dyDescent="0.2">
      <c r="A211" s="36" t="e">
        <f>MATCH(C211,'D1 - Master Project Table'!$D$1:$D$7056,0)</f>
        <v>#N/A</v>
      </c>
      <c r="B211" s="36" t="e">
        <f>MATCH(C211,#REF!,0)</f>
        <v>#REF!</v>
      </c>
      <c r="C211" s="125" t="s">
        <v>6396</v>
      </c>
      <c r="D211" s="34" t="e">
        <f>INDEX('D1 - Master Project Table'!$A$1:$AK$7056,$A211,5)</f>
        <v>#N/A</v>
      </c>
      <c r="E211" s="31" t="e">
        <f>INDEX('D1 - Master Project Table'!$A$1:$AK$7056,$A211,11)</f>
        <v>#N/A</v>
      </c>
      <c r="F211" s="32" t="e">
        <f>INDEX('D1 - Master Project Table'!$A$1:$AK$7056,$A211,13)</f>
        <v>#N/A</v>
      </c>
      <c r="G211" s="32" t="e">
        <f>INDEX('D1 - Master Project Table'!$A$1:$AK$7056,$A211,7)</f>
        <v>#N/A</v>
      </c>
      <c r="H211" s="32"/>
      <c r="I211" s="74"/>
      <c r="J211" s="28"/>
      <c r="K211" s="28"/>
      <c r="L211" s="28"/>
      <c r="M211" s="28"/>
      <c r="N211" s="28"/>
      <c r="O211" s="28"/>
      <c r="P211" s="28"/>
      <c r="Q211" s="28"/>
      <c r="R211" s="80"/>
      <c r="S211" s="116"/>
      <c r="T211" s="116"/>
      <c r="U211" s="28"/>
      <c r="V211" s="80"/>
      <c r="W211" s="80"/>
      <c r="X211" s="28"/>
      <c r="Y211" s="80"/>
      <c r="Z211" s="28"/>
      <c r="AA211" s="84"/>
      <c r="AB211" s="74"/>
      <c r="AC211" s="74"/>
      <c r="AD211" s="74"/>
      <c r="AE211" s="30" t="e">
        <f>INDEX('D1 - Master Project Table'!$A$1:$AK$7056,$A211,9)</f>
        <v>#N/A</v>
      </c>
      <c r="AF211" s="34" t="e">
        <f>INDEX('D1 - Master Project Table'!$A$1:$AK$7056,$A211,8)</f>
        <v>#N/A</v>
      </c>
      <c r="AG211" s="146"/>
      <c r="AH211" s="227"/>
    </row>
    <row r="212" spans="1:57" x14ac:dyDescent="0.2">
      <c r="A212" s="36" t="e">
        <f>MATCH(C212,'D1 - Master Project Table'!$D$1:$D$7056,0)</f>
        <v>#N/A</v>
      </c>
      <c r="B212" s="36" t="e">
        <f>MATCH(C212,#REF!,0)</f>
        <v>#REF!</v>
      </c>
      <c r="C212" s="125" t="s">
        <v>6396</v>
      </c>
      <c r="D212" s="34" t="e">
        <f>INDEX('D1 - Master Project Table'!$A$1:$AK$7056,$A212,5)</f>
        <v>#N/A</v>
      </c>
      <c r="E212" s="31" t="e">
        <f>INDEX('D1 - Master Project Table'!$A$1:$AK$7056,$A212,11)</f>
        <v>#N/A</v>
      </c>
      <c r="F212" s="32" t="e">
        <f>INDEX('D1 - Master Project Table'!$A$1:$AK$7056,$A212,13)</f>
        <v>#N/A</v>
      </c>
      <c r="G212" s="32" t="e">
        <f>INDEX('D1 - Master Project Table'!$A$1:$AK$7056,$A212,7)</f>
        <v>#N/A</v>
      </c>
      <c r="H212" s="32"/>
      <c r="I212" s="74"/>
      <c r="J212" s="28"/>
      <c r="K212" s="28"/>
      <c r="L212" s="28"/>
      <c r="M212" s="28"/>
      <c r="N212" s="28"/>
      <c r="O212" s="28"/>
      <c r="P212" s="28"/>
      <c r="Q212" s="28"/>
      <c r="R212" s="80"/>
      <c r="S212" s="116"/>
      <c r="T212" s="116"/>
      <c r="U212" s="28"/>
      <c r="V212" s="80"/>
      <c r="W212" s="80"/>
      <c r="X212" s="28"/>
      <c r="Y212" s="80"/>
      <c r="Z212" s="28"/>
      <c r="AA212" s="84"/>
      <c r="AB212" s="74"/>
      <c r="AC212" s="74"/>
      <c r="AD212" s="74"/>
      <c r="AE212" s="30" t="e">
        <f>INDEX('D1 - Master Project Table'!$A$1:$AK$7056,$A212,9)</f>
        <v>#N/A</v>
      </c>
      <c r="AF212" s="34" t="e">
        <f>INDEX('D1 - Master Project Table'!$A$1:$AK$7056,$A212,8)</f>
        <v>#N/A</v>
      </c>
      <c r="AG212" s="146"/>
      <c r="AH212" s="227"/>
    </row>
    <row r="213" spans="1:57" x14ac:dyDescent="0.2">
      <c r="A213" s="36" t="e">
        <f>MATCH(C213,'D1 - Master Project Table'!$D$1:$D$7056,0)</f>
        <v>#N/A</v>
      </c>
      <c r="B213" s="36" t="e">
        <f>MATCH(C213,#REF!,0)</f>
        <v>#REF!</v>
      </c>
      <c r="C213" s="125" t="s">
        <v>6396</v>
      </c>
      <c r="D213" s="34" t="e">
        <f>INDEX('D1 - Master Project Table'!$A$1:$AK$7056,$A213,5)</f>
        <v>#N/A</v>
      </c>
      <c r="E213" s="31" t="e">
        <f>INDEX('D1 - Master Project Table'!$A$1:$AK$7056,$A213,11)</f>
        <v>#N/A</v>
      </c>
      <c r="F213" s="32" t="e">
        <f>INDEX('D1 - Master Project Table'!$A$1:$AK$7056,$A213,13)</f>
        <v>#N/A</v>
      </c>
      <c r="G213" s="32" t="e">
        <f>INDEX('D1 - Master Project Table'!$A$1:$AK$7056,$A213,7)</f>
        <v>#N/A</v>
      </c>
      <c r="H213" s="32"/>
      <c r="I213" s="74"/>
      <c r="J213" s="28"/>
      <c r="K213" s="28"/>
      <c r="L213" s="28"/>
      <c r="M213" s="28"/>
      <c r="N213" s="28"/>
      <c r="O213" s="28"/>
      <c r="P213" s="28"/>
      <c r="Q213" s="28"/>
      <c r="R213" s="80"/>
      <c r="S213" s="116"/>
      <c r="T213" s="116"/>
      <c r="U213" s="28"/>
      <c r="V213" s="80"/>
      <c r="W213" s="80"/>
      <c r="X213" s="28"/>
      <c r="Y213" s="80"/>
      <c r="Z213" s="28"/>
      <c r="AA213" s="84"/>
      <c r="AB213" s="74"/>
      <c r="AC213" s="74"/>
      <c r="AD213" s="74"/>
      <c r="AE213" s="30" t="e">
        <f>INDEX('D1 - Master Project Table'!$A$1:$AK$7056,$A213,9)</f>
        <v>#N/A</v>
      </c>
      <c r="AF213" s="34" t="e">
        <f>INDEX('D1 - Master Project Table'!$A$1:$AK$7056,$A213,8)</f>
        <v>#N/A</v>
      </c>
      <c r="AG213" s="146"/>
      <c r="AH213" s="227"/>
    </row>
    <row r="214" spans="1:57" x14ac:dyDescent="0.2">
      <c r="A214" s="36" t="e">
        <f>MATCH(C214,'D1 - Master Project Table'!$D$1:$D$7056,0)</f>
        <v>#N/A</v>
      </c>
      <c r="B214" s="36" t="e">
        <f>MATCH(C214,#REF!,0)</f>
        <v>#REF!</v>
      </c>
      <c r="C214" s="125" t="s">
        <v>6396</v>
      </c>
      <c r="D214" s="34" t="e">
        <f>INDEX('D1 - Master Project Table'!$A$1:$AK$7056,$A214,5)</f>
        <v>#N/A</v>
      </c>
      <c r="E214" s="31" t="e">
        <f>INDEX('D1 - Master Project Table'!$A$1:$AK$7056,$A214,11)</f>
        <v>#N/A</v>
      </c>
      <c r="F214" s="32" t="e">
        <f>INDEX('D1 - Master Project Table'!$A$1:$AK$7056,$A214,13)</f>
        <v>#N/A</v>
      </c>
      <c r="G214" s="32" t="e">
        <f>INDEX('D1 - Master Project Table'!$A$1:$AK$7056,$A214,7)</f>
        <v>#N/A</v>
      </c>
      <c r="H214" s="32"/>
      <c r="I214" s="74"/>
      <c r="J214" s="28"/>
      <c r="K214" s="28"/>
      <c r="L214" s="28"/>
      <c r="M214" s="28"/>
      <c r="N214" s="28"/>
      <c r="O214" s="28"/>
      <c r="P214" s="28"/>
      <c r="Q214" s="28"/>
      <c r="R214" s="80"/>
      <c r="S214" s="116"/>
      <c r="T214" s="116"/>
      <c r="U214" s="28"/>
      <c r="V214" s="80"/>
      <c r="W214" s="80"/>
      <c r="X214" s="28"/>
      <c r="Y214" s="80"/>
      <c r="Z214" s="28"/>
      <c r="AA214" s="84"/>
      <c r="AB214" s="74"/>
      <c r="AC214" s="74"/>
      <c r="AD214" s="74"/>
      <c r="AE214" s="30" t="e">
        <f>INDEX('D1 - Master Project Table'!$A$1:$AK$7056,$A214,9)</f>
        <v>#N/A</v>
      </c>
      <c r="AF214" s="34" t="e">
        <f>INDEX('D1 - Master Project Table'!$A$1:$AK$7056,$A214,8)</f>
        <v>#N/A</v>
      </c>
      <c r="AG214" s="146"/>
      <c r="AH214" s="227"/>
    </row>
    <row r="215" spans="1:57" x14ac:dyDescent="0.2">
      <c r="A215" s="53" t="e">
        <f>MATCH(C215,'D1 - Master Project Table'!$D$1:$D$7056,0)</f>
        <v>#N/A</v>
      </c>
      <c r="B215" s="53" t="e">
        <f>MATCH(C215,#REF!,0)</f>
        <v>#REF!</v>
      </c>
      <c r="C215" s="173" t="s">
        <v>7420</v>
      </c>
      <c r="D215" s="137" t="s">
        <v>2192</v>
      </c>
      <c r="E215" s="199"/>
      <c r="F215" s="201" t="s">
        <v>408</v>
      </c>
      <c r="G215" s="43" t="e">
        <f>INDEX('D1 - Master Project Table'!$A$1:$AK$7056,$A215,13)</f>
        <v>#N/A</v>
      </c>
      <c r="H215" s="43"/>
      <c r="I215" s="180" t="s">
        <v>6177</v>
      </c>
      <c r="J215" s="43" t="e">
        <f>INDEX('D1 - Master Project Table'!$A$1:$AK$7056,$A215,13)</f>
        <v>#N/A</v>
      </c>
      <c r="K215" s="43" t="e">
        <f>INDEX('D1 - Master Project Table'!$A$1:$AK$7056,$A215,13)</f>
        <v>#N/A</v>
      </c>
      <c r="L215" s="43" t="e">
        <f>INDEX('D1 - Master Project Table'!$A$1:$AK$7056,$A215,13)</f>
        <v>#N/A</v>
      </c>
      <c r="M215" s="43" t="e">
        <f>INDEX('D1 - Master Project Table'!$A$1:$AK$7056,$A215,13)</f>
        <v>#N/A</v>
      </c>
      <c r="N215" s="43" t="e">
        <f>INDEX('D1 - Master Project Table'!$A$1:$AK$7056,$A215,13)</f>
        <v>#N/A</v>
      </c>
      <c r="O215" s="43" t="e">
        <f>INDEX('D1 - Master Project Table'!$A$1:$AK$7056,$A215,13)</f>
        <v>#N/A</v>
      </c>
      <c r="P215" s="43" t="e">
        <f>INDEX('D1 - Master Project Table'!$A$1:$AK$7056,$A215,13)</f>
        <v>#N/A</v>
      </c>
      <c r="Q215" s="43">
        <v>0</v>
      </c>
      <c r="R215" s="43">
        <v>0</v>
      </c>
      <c r="S215" s="43">
        <v>0</v>
      </c>
      <c r="T215" s="43">
        <v>0</v>
      </c>
      <c r="U215" s="43">
        <v>0</v>
      </c>
      <c r="V215" s="81">
        <v>0</v>
      </c>
      <c r="W215" s="81">
        <v>0</v>
      </c>
      <c r="X215" s="43">
        <v>0</v>
      </c>
      <c r="Y215" s="81">
        <v>0</v>
      </c>
      <c r="Z215" s="43">
        <v>0</v>
      </c>
      <c r="AA215" s="85">
        <v>0</v>
      </c>
      <c r="AB215" s="44">
        <v>0</v>
      </c>
      <c r="AC215" s="44">
        <v>0</v>
      </c>
      <c r="AD215" s="52" t="e">
        <v>#N/A</v>
      </c>
      <c r="AE215" s="45"/>
      <c r="AF215" s="44"/>
      <c r="AG215" s="146"/>
      <c r="AH215" s="227"/>
    </row>
    <row r="216" spans="1:57" x14ac:dyDescent="0.2">
      <c r="A216" s="185"/>
      <c r="B216" s="185"/>
      <c r="C216" s="200" t="s">
        <v>2680</v>
      </c>
      <c r="D216" s="7" t="s">
        <v>3687</v>
      </c>
      <c r="E216" s="31"/>
      <c r="F216" s="32"/>
      <c r="G216" s="32"/>
      <c r="H216" s="4"/>
      <c r="I216" s="9" t="s">
        <v>2681</v>
      </c>
      <c r="J216" s="187"/>
      <c r="K216" s="187"/>
      <c r="L216" s="187"/>
      <c r="M216" s="187"/>
      <c r="N216" s="187"/>
      <c r="O216" s="187"/>
      <c r="P216" s="187"/>
      <c r="Q216" s="187"/>
      <c r="R216" s="187"/>
      <c r="S216" s="187"/>
      <c r="T216" s="187"/>
      <c r="U216" s="187"/>
      <c r="V216" s="187"/>
      <c r="W216" s="187"/>
      <c r="X216" s="187"/>
      <c r="Y216" s="188"/>
      <c r="Z216" s="187"/>
      <c r="AA216" s="188"/>
      <c r="AB216" s="187"/>
      <c r="AC216" s="188"/>
      <c r="AD216" s="186"/>
      <c r="AE216" s="189"/>
      <c r="AF216" s="7"/>
      <c r="AG216" s="12"/>
      <c r="AH216" s="228"/>
      <c r="AI216" s="1"/>
      <c r="AJ216" s="1"/>
      <c r="AK216" s="1"/>
      <c r="AL216" s="1"/>
      <c r="AM216" s="1"/>
      <c r="AN216" s="1"/>
      <c r="AO216" s="1"/>
      <c r="AP216" s="1"/>
      <c r="AQ216" s="1"/>
      <c r="AR216" s="1"/>
      <c r="AS216" s="1"/>
      <c r="AT216" s="1"/>
      <c r="AU216" s="1"/>
      <c r="AV216" s="1"/>
      <c r="AW216" s="1"/>
      <c r="AX216" s="1"/>
      <c r="AY216" s="1"/>
      <c r="AZ216" s="1"/>
      <c r="BA216" s="1"/>
      <c r="BB216" s="1"/>
      <c r="BC216" s="1"/>
      <c r="BD216" s="1"/>
      <c r="BE216" s="1"/>
    </row>
    <row r="217" spans="1:57" ht="12.75" x14ac:dyDescent="0.2">
      <c r="A217" s="36"/>
      <c r="B217" s="36"/>
      <c r="C217" s="163" t="s">
        <v>694</v>
      </c>
      <c r="D217" s="163" t="s">
        <v>694</v>
      </c>
      <c r="E217" s="31"/>
      <c r="F217" s="4" t="s">
        <v>695</v>
      </c>
      <c r="G217" s="4" t="s">
        <v>696</v>
      </c>
      <c r="H217" s="32"/>
      <c r="I217" s="9" t="s">
        <v>697</v>
      </c>
      <c r="J217" s="28"/>
      <c r="K217" s="28"/>
      <c r="L217" s="28"/>
      <c r="M217" s="28"/>
      <c r="N217" s="28"/>
      <c r="O217" s="28"/>
      <c r="P217" s="28"/>
      <c r="Q217" s="8" t="s">
        <v>698</v>
      </c>
      <c r="R217" s="80"/>
      <c r="S217" s="116"/>
      <c r="T217" s="116"/>
      <c r="U217" s="28"/>
      <c r="V217" s="80"/>
      <c r="W217" s="80"/>
      <c r="X217" s="28"/>
      <c r="Y217" s="80"/>
      <c r="Z217" s="28"/>
      <c r="AA217" s="176" t="s">
        <v>4769</v>
      </c>
      <c r="AB217" s="9" t="s">
        <v>4769</v>
      </c>
      <c r="AC217" s="74"/>
      <c r="AD217" s="74"/>
      <c r="AE217" s="30"/>
      <c r="AF217" s="34"/>
      <c r="AG217" s="146"/>
      <c r="AH217" s="227"/>
    </row>
    <row r="218" spans="1:57" x14ac:dyDescent="0.2">
      <c r="A218" s="146"/>
      <c r="B218" s="146"/>
      <c r="C218" s="168"/>
      <c r="D218" s="148"/>
      <c r="E218" s="146"/>
      <c r="F218" s="146"/>
      <c r="G218" s="146"/>
      <c r="H218" s="146"/>
      <c r="I218" s="143"/>
      <c r="J218" s="146"/>
      <c r="K218" s="146"/>
      <c r="L218" s="146"/>
      <c r="M218" s="146"/>
      <c r="N218" s="146"/>
      <c r="O218" s="146"/>
      <c r="P218" s="146"/>
      <c r="Q218" s="168"/>
      <c r="R218" s="169"/>
      <c r="S218" s="170"/>
      <c r="T218" s="170"/>
      <c r="U218" s="171"/>
      <c r="V218" s="169"/>
      <c r="W218" s="169"/>
      <c r="X218" s="171"/>
      <c r="Y218" s="169"/>
      <c r="Z218" s="171"/>
      <c r="AA218" s="172"/>
      <c r="AB218" s="144"/>
      <c r="AC218" s="144"/>
      <c r="AD218" s="194"/>
      <c r="AE218" s="146"/>
      <c r="AF218" s="148"/>
      <c r="AG218" s="146"/>
      <c r="AH218" s="227"/>
    </row>
    <row r="219" spans="1:57" x14ac:dyDescent="0.2">
      <c r="A219" s="146"/>
      <c r="B219" s="146"/>
      <c r="C219" s="168"/>
      <c r="D219" s="148"/>
      <c r="E219" s="146"/>
      <c r="F219" s="146"/>
      <c r="G219" s="146"/>
      <c r="H219" s="146"/>
      <c r="I219" s="143"/>
      <c r="J219" s="146"/>
      <c r="K219" s="146"/>
      <c r="L219" s="146"/>
      <c r="M219" s="146"/>
      <c r="N219" s="146"/>
      <c r="O219" s="146"/>
      <c r="P219" s="146"/>
      <c r="Q219" s="168"/>
      <c r="R219" s="169"/>
      <c r="S219" s="170"/>
      <c r="T219" s="170"/>
      <c r="U219" s="171"/>
      <c r="V219" s="169"/>
      <c r="W219" s="169"/>
      <c r="X219" s="171"/>
      <c r="Y219" s="169"/>
      <c r="Z219" s="171"/>
      <c r="AA219" s="172"/>
      <c r="AB219" s="144"/>
      <c r="AC219" s="144"/>
      <c r="AD219" s="146"/>
      <c r="AE219" s="146"/>
      <c r="AF219" s="148"/>
      <c r="AG219" s="146"/>
      <c r="AH219" s="227"/>
    </row>
    <row r="220" spans="1:57" x14ac:dyDescent="0.2">
      <c r="A220" s="146"/>
      <c r="B220" s="146"/>
      <c r="C220" s="168"/>
      <c r="D220" s="148"/>
      <c r="E220" s="146"/>
      <c r="F220" s="146"/>
      <c r="G220" s="146"/>
      <c r="H220" s="146"/>
      <c r="I220" s="143"/>
      <c r="J220" s="146"/>
      <c r="K220" s="146"/>
      <c r="L220" s="146"/>
      <c r="M220" s="146"/>
      <c r="N220" s="146"/>
      <c r="O220" s="146"/>
      <c r="P220" s="146"/>
      <c r="Q220" s="168"/>
      <c r="R220" s="169"/>
      <c r="S220" s="170"/>
      <c r="T220" s="170"/>
      <c r="U220" s="171"/>
      <c r="V220" s="169"/>
      <c r="W220" s="169"/>
      <c r="X220" s="171"/>
      <c r="Y220" s="169"/>
      <c r="Z220" s="171"/>
      <c r="AA220" s="172"/>
      <c r="AB220" s="144"/>
      <c r="AC220" s="144"/>
      <c r="AD220" s="146"/>
      <c r="AE220" s="146"/>
      <c r="AF220" s="148"/>
      <c r="AG220" s="146"/>
      <c r="AH220" s="227"/>
    </row>
    <row r="221" spans="1:57" x14ac:dyDescent="0.2">
      <c r="A221" s="146"/>
      <c r="B221" s="146"/>
      <c r="C221" s="168"/>
      <c r="D221" s="148"/>
      <c r="E221" s="146"/>
      <c r="F221" s="146"/>
      <c r="G221" s="146"/>
      <c r="H221" s="146"/>
      <c r="I221" s="143"/>
      <c r="J221" s="146"/>
      <c r="K221" s="146"/>
      <c r="L221" s="146"/>
      <c r="M221" s="146"/>
      <c r="N221" s="146"/>
      <c r="O221" s="146"/>
      <c r="P221" s="146"/>
      <c r="Q221" s="168"/>
      <c r="R221" s="169"/>
      <c r="S221" s="170"/>
      <c r="T221" s="170"/>
      <c r="U221" s="171"/>
      <c r="V221" s="169"/>
      <c r="W221" s="169"/>
      <c r="X221" s="171"/>
      <c r="Y221" s="169"/>
      <c r="Z221" s="171"/>
      <c r="AA221" s="172"/>
      <c r="AB221" s="144"/>
      <c r="AC221" s="144"/>
      <c r="AD221" s="146"/>
      <c r="AE221" s="146"/>
      <c r="AF221" s="148"/>
      <c r="AG221" s="146"/>
      <c r="AH221" s="227"/>
    </row>
    <row r="222" spans="1:57" x14ac:dyDescent="0.2">
      <c r="A222" s="146"/>
      <c r="B222" s="146"/>
      <c r="C222" s="168"/>
      <c r="D222" s="148"/>
      <c r="E222" s="146"/>
      <c r="F222" s="146"/>
      <c r="G222" s="146"/>
      <c r="H222" s="146"/>
      <c r="I222" s="143"/>
      <c r="J222" s="146"/>
      <c r="K222" s="146"/>
      <c r="L222" s="146"/>
      <c r="M222" s="146"/>
      <c r="N222" s="146"/>
      <c r="O222" s="146"/>
      <c r="P222" s="146"/>
      <c r="Q222" s="168"/>
      <c r="R222" s="169"/>
      <c r="S222" s="170"/>
      <c r="T222" s="170"/>
      <c r="U222" s="171"/>
      <c r="V222" s="169"/>
      <c r="W222" s="169"/>
      <c r="X222" s="171"/>
      <c r="Y222" s="169"/>
      <c r="Z222" s="171"/>
      <c r="AA222" s="172"/>
      <c r="AB222" s="144"/>
      <c r="AC222" s="144"/>
      <c r="AD222" s="146"/>
      <c r="AE222" s="146"/>
      <c r="AF222" s="148"/>
      <c r="AG222" s="146"/>
      <c r="AH222" s="227"/>
    </row>
  </sheetData>
  <autoFilter ref="A6:BE217"/>
  <sortState ref="A7:XFD222">
    <sortCondition ref="E7"/>
    <sortCondition ref="C7"/>
  </sortState>
  <phoneticPr fontId="5" type="noConversion"/>
  <conditionalFormatting sqref="J125:AC125 J212:AC222 J112:AC114 J38:AC68 J31:AC36 J7:AC29 J75:AC79">
    <cfRule type="expression" dxfId="858" priority="2550" stopIfTrue="1">
      <formula>ISBLANK(J7)</formula>
    </cfRule>
  </conditionalFormatting>
  <conditionalFormatting sqref="I1 I27:I29 I125 I91 I212:I65569 I39:I69 I112:I114 I31:I36 I3:I23 I75:I79">
    <cfRule type="cellIs" dxfId="857" priority="2551" stopIfTrue="1" operator="equal">
      <formula>"null"</formula>
    </cfRule>
  </conditionalFormatting>
  <conditionalFormatting sqref="AD125 AD91 AD212:AD222 AD38:AD69 AD112:AD114 AD31:AD36 AD7:AD29 AD75:AD79">
    <cfRule type="cellIs" dxfId="856" priority="2552" stopIfTrue="1" operator="equal">
      <formula>"1 - Hard Load"</formula>
    </cfRule>
    <cfRule type="cellIs" dxfId="855" priority="2553" stopIfTrue="1" operator="equal">
      <formula>"2 - Soft Load"</formula>
    </cfRule>
    <cfRule type="cellIs" dxfId="854" priority="2554" stopIfTrue="1" operator="equal">
      <formula>"3 - Not Loaded"</formula>
    </cfRule>
  </conditionalFormatting>
  <conditionalFormatting sqref="AF125 AF91 AF212:AF65569 AF38:AF69 AF112:AF114 AF31:AF36 AF7:AF29 AF75:AF79">
    <cfRule type="cellIs" dxfId="853" priority="2555" stopIfTrue="1" operator="notEqual">
      <formula>"1 - Scheduled"</formula>
    </cfRule>
  </conditionalFormatting>
  <conditionalFormatting sqref="G125:H125 G91:H91 G212:H222 G38:H69 G112:H114 G31:H36 G7:H29 G75:H79">
    <cfRule type="cellIs" dxfId="852" priority="2556" stopIfTrue="1" operator="equal">
      <formula>"3 - Green"</formula>
    </cfRule>
    <cfRule type="cellIs" dxfId="851" priority="2557" stopIfTrue="1" operator="equal">
      <formula>"2 - Yellow"</formula>
    </cfRule>
    <cfRule type="cellIs" dxfId="850" priority="2558" stopIfTrue="1" operator="equal">
      <formula>"1 - Red"</formula>
    </cfRule>
  </conditionalFormatting>
  <conditionalFormatting sqref="A125:B125 A91:B91 A212:B222 A38:B69 A112:B114 A31:B36 A7:B29 A75:B79">
    <cfRule type="cellIs" dxfId="849" priority="2559" stopIfTrue="1" operator="equal">
      <formula>#REF!</formula>
    </cfRule>
  </conditionalFormatting>
  <conditionalFormatting sqref="G125 G91 G212:G220 G38:G69 G112:G114 G31:G36 G7:G29 G75:G79">
    <cfRule type="cellIs" dxfId="848" priority="2485" stopIfTrue="1" operator="equal">
      <formula>"4 - Complete"</formula>
    </cfRule>
  </conditionalFormatting>
  <conditionalFormatting sqref="C20:C22">
    <cfRule type="cellIs" dxfId="847" priority="1244" stopIfTrue="1" operator="equal">
      <formula>#REF!</formula>
    </cfRule>
  </conditionalFormatting>
  <conditionalFormatting sqref="J30:AC30">
    <cfRule type="expression" dxfId="846" priority="918" stopIfTrue="1">
      <formula>ISBLANK(J30)</formula>
    </cfRule>
  </conditionalFormatting>
  <conditionalFormatting sqref="I30">
    <cfRule type="cellIs" dxfId="845" priority="919" stopIfTrue="1" operator="equal">
      <formula>"null"</formula>
    </cfRule>
  </conditionalFormatting>
  <conditionalFormatting sqref="AD30">
    <cfRule type="cellIs" dxfId="844" priority="920" stopIfTrue="1" operator="equal">
      <formula>"1 - Hard Load"</formula>
    </cfRule>
    <cfRule type="cellIs" dxfId="843" priority="921" stopIfTrue="1" operator="equal">
      <formula>"2 - Soft Load"</formula>
    </cfRule>
    <cfRule type="cellIs" dxfId="842" priority="922" stopIfTrue="1" operator="equal">
      <formula>"3 - Not Loaded"</formula>
    </cfRule>
  </conditionalFormatting>
  <conditionalFormatting sqref="AF30">
    <cfRule type="cellIs" dxfId="841" priority="923" stopIfTrue="1" operator="notEqual">
      <formula>"1 - Scheduled"</formula>
    </cfRule>
  </conditionalFormatting>
  <conditionalFormatting sqref="G30:H30">
    <cfRule type="cellIs" dxfId="840" priority="924" stopIfTrue="1" operator="equal">
      <formula>"3 - Green"</formula>
    </cfRule>
    <cfRule type="cellIs" dxfId="839" priority="925" stopIfTrue="1" operator="equal">
      <formula>"2 - Yellow"</formula>
    </cfRule>
    <cfRule type="cellIs" dxfId="838" priority="926" stopIfTrue="1" operator="equal">
      <formula>"1 - Red"</formula>
    </cfRule>
  </conditionalFormatting>
  <conditionalFormatting sqref="A30:B30">
    <cfRule type="cellIs" dxfId="837" priority="927" stopIfTrue="1" operator="equal">
      <formula>#REF!</formula>
    </cfRule>
  </conditionalFormatting>
  <conditionalFormatting sqref="G30">
    <cfRule type="cellIs" dxfId="836" priority="917" stopIfTrue="1" operator="equal">
      <formula>"4 - Complete"</formula>
    </cfRule>
  </conditionalFormatting>
  <conditionalFormatting sqref="J70:P70 R70:AC70 J71:AC74">
    <cfRule type="expression" dxfId="835" priority="896" stopIfTrue="1">
      <formula>ISBLANK(J70)</formula>
    </cfRule>
  </conditionalFormatting>
  <conditionalFormatting sqref="I70:I74">
    <cfRule type="cellIs" dxfId="834" priority="897" stopIfTrue="1" operator="equal">
      <formula>"null"</formula>
    </cfRule>
  </conditionalFormatting>
  <conditionalFormatting sqref="AD70:AD74">
    <cfRule type="cellIs" dxfId="833" priority="898" stopIfTrue="1" operator="equal">
      <formula>"1 - Hard Load"</formula>
    </cfRule>
    <cfRule type="cellIs" dxfId="832" priority="899" stopIfTrue="1" operator="equal">
      <formula>"2 - Soft Load"</formula>
    </cfRule>
    <cfRule type="cellIs" dxfId="831" priority="900" stopIfTrue="1" operator="equal">
      <formula>"3 - Not Loaded"</formula>
    </cfRule>
  </conditionalFormatting>
  <conditionalFormatting sqref="AF70:AF74">
    <cfRule type="cellIs" dxfId="830" priority="901" stopIfTrue="1" operator="notEqual">
      <formula>"1 - Scheduled"</formula>
    </cfRule>
  </conditionalFormatting>
  <conditionalFormatting sqref="G70:H74">
    <cfRule type="cellIs" dxfId="829" priority="902" stopIfTrue="1" operator="equal">
      <formula>"3 - Green"</formula>
    </cfRule>
    <cfRule type="cellIs" dxfId="828" priority="903" stopIfTrue="1" operator="equal">
      <formula>"2 - Yellow"</formula>
    </cfRule>
    <cfRule type="cellIs" dxfId="827" priority="904" stopIfTrue="1" operator="equal">
      <formula>"1 - Red"</formula>
    </cfRule>
  </conditionalFormatting>
  <conditionalFormatting sqref="A70:B74">
    <cfRule type="cellIs" dxfId="826" priority="905" stopIfTrue="1" operator="equal">
      <formula>#REF!</formula>
    </cfRule>
  </conditionalFormatting>
  <conditionalFormatting sqref="G70:G74">
    <cfRule type="cellIs" dxfId="825" priority="895" stopIfTrue="1" operator="equal">
      <formula>"4 - Complete"</formula>
    </cfRule>
  </conditionalFormatting>
  <conditionalFormatting sqref="J69:P69 R69:AC69 Q69:Q70">
    <cfRule type="expression" dxfId="824" priority="885" stopIfTrue="1">
      <formula>ISBLANK(J69)</formula>
    </cfRule>
  </conditionalFormatting>
  <conditionalFormatting sqref="J86:AC86 J124:AC124">
    <cfRule type="expression" dxfId="823" priority="874" stopIfTrue="1">
      <formula>ISBLANK(J86)</formula>
    </cfRule>
  </conditionalFormatting>
  <conditionalFormatting sqref="I86 I124">
    <cfRule type="cellIs" dxfId="822" priority="875" stopIfTrue="1" operator="equal">
      <formula>"null"</formula>
    </cfRule>
  </conditionalFormatting>
  <conditionalFormatting sqref="AD86 AD124">
    <cfRule type="cellIs" dxfId="821" priority="876" stopIfTrue="1" operator="equal">
      <formula>"1 - Hard Load"</formula>
    </cfRule>
    <cfRule type="cellIs" dxfId="820" priority="877" stopIfTrue="1" operator="equal">
      <formula>"2 - Soft Load"</formula>
    </cfRule>
    <cfRule type="cellIs" dxfId="819" priority="878" stopIfTrue="1" operator="equal">
      <formula>"3 - Not Loaded"</formula>
    </cfRule>
  </conditionalFormatting>
  <conditionalFormatting sqref="AF86 AF124">
    <cfRule type="cellIs" dxfId="818" priority="879" stopIfTrue="1" operator="notEqual">
      <formula>"1 - Scheduled"</formula>
    </cfRule>
  </conditionalFormatting>
  <conditionalFormatting sqref="G86:H86 G124:H124">
    <cfRule type="cellIs" dxfId="817" priority="880" stopIfTrue="1" operator="equal">
      <formula>"3 - Green"</formula>
    </cfRule>
    <cfRule type="cellIs" dxfId="816" priority="881" stopIfTrue="1" operator="equal">
      <formula>"2 - Yellow"</formula>
    </cfRule>
    <cfRule type="cellIs" dxfId="815" priority="882" stopIfTrue="1" operator="equal">
      <formula>"1 - Red"</formula>
    </cfRule>
  </conditionalFormatting>
  <conditionalFormatting sqref="A86:B86 A124:B124">
    <cfRule type="cellIs" dxfId="814" priority="883" stopIfTrue="1" operator="equal">
      <formula>#REF!</formula>
    </cfRule>
  </conditionalFormatting>
  <conditionalFormatting sqref="G86 G124">
    <cfRule type="cellIs" dxfId="813" priority="873" stopIfTrue="1" operator="equal">
      <formula>"4 - Complete"</formula>
    </cfRule>
  </conditionalFormatting>
  <conditionalFormatting sqref="J85:Y85 J83:P84 R83:AC84 AA85:AC85">
    <cfRule type="expression" dxfId="812" priority="863" stopIfTrue="1">
      <formula>ISBLANK(J83)</formula>
    </cfRule>
  </conditionalFormatting>
  <conditionalFormatting sqref="I83:I85">
    <cfRule type="cellIs" dxfId="811" priority="864" stopIfTrue="1" operator="equal">
      <formula>"null"</formula>
    </cfRule>
  </conditionalFormatting>
  <conditionalFormatting sqref="AD83:AD85">
    <cfRule type="cellIs" dxfId="810" priority="865" stopIfTrue="1" operator="equal">
      <formula>"1 - Hard Load"</formula>
    </cfRule>
    <cfRule type="cellIs" dxfId="809" priority="866" stopIfTrue="1" operator="equal">
      <formula>"2 - Soft Load"</formula>
    </cfRule>
    <cfRule type="cellIs" dxfId="808" priority="867" stopIfTrue="1" operator="equal">
      <formula>"3 - Not Loaded"</formula>
    </cfRule>
  </conditionalFormatting>
  <conditionalFormatting sqref="AF83:AF85">
    <cfRule type="cellIs" dxfId="807" priority="868" stopIfTrue="1" operator="notEqual">
      <formula>"1 - Scheduled"</formula>
    </cfRule>
  </conditionalFormatting>
  <conditionalFormatting sqref="G84:H85 H83">
    <cfRule type="cellIs" dxfId="806" priority="869" stopIfTrue="1" operator="equal">
      <formula>"3 - Green"</formula>
    </cfRule>
    <cfRule type="cellIs" dxfId="805" priority="870" stopIfTrue="1" operator="equal">
      <formula>"2 - Yellow"</formula>
    </cfRule>
    <cfRule type="cellIs" dxfId="804" priority="871" stopIfTrue="1" operator="equal">
      <formula>"1 - Red"</formula>
    </cfRule>
  </conditionalFormatting>
  <conditionalFormatting sqref="A83:B85">
    <cfRule type="cellIs" dxfId="803" priority="872" stopIfTrue="1" operator="equal">
      <formula>#REF!</formula>
    </cfRule>
  </conditionalFormatting>
  <conditionalFormatting sqref="G84:G85">
    <cfRule type="cellIs" dxfId="802" priority="862" stopIfTrue="1" operator="equal">
      <formula>"4 - Complete"</formula>
    </cfRule>
  </conditionalFormatting>
  <conditionalFormatting sqref="J80:AC82 Q83:Q84">
    <cfRule type="expression" dxfId="801" priority="852" stopIfTrue="1">
      <formula>ISBLANK(J80)</formula>
    </cfRule>
  </conditionalFormatting>
  <conditionalFormatting sqref="I80:I82">
    <cfRule type="cellIs" dxfId="800" priority="853" stopIfTrue="1" operator="equal">
      <formula>"null"</formula>
    </cfRule>
  </conditionalFormatting>
  <conditionalFormatting sqref="AD80:AD82">
    <cfRule type="cellIs" dxfId="799" priority="854" stopIfTrue="1" operator="equal">
      <formula>"1 - Hard Load"</formula>
    </cfRule>
    <cfRule type="cellIs" dxfId="798" priority="855" stopIfTrue="1" operator="equal">
      <formula>"2 - Soft Load"</formula>
    </cfRule>
    <cfRule type="cellIs" dxfId="797" priority="856" stopIfTrue="1" operator="equal">
      <formula>"3 - Not Loaded"</formula>
    </cfRule>
  </conditionalFormatting>
  <conditionalFormatting sqref="AF80:AF82">
    <cfRule type="cellIs" dxfId="796" priority="857" stopIfTrue="1" operator="notEqual">
      <formula>"1 - Scheduled"</formula>
    </cfRule>
  </conditionalFormatting>
  <conditionalFormatting sqref="G80:H82">
    <cfRule type="cellIs" dxfId="795" priority="858" stopIfTrue="1" operator="equal">
      <formula>"3 - Green"</formula>
    </cfRule>
    <cfRule type="cellIs" dxfId="794" priority="859" stopIfTrue="1" operator="equal">
      <formula>"2 - Yellow"</formula>
    </cfRule>
    <cfRule type="cellIs" dxfId="793" priority="860" stopIfTrue="1" operator="equal">
      <formula>"1 - Red"</formula>
    </cfRule>
  </conditionalFormatting>
  <conditionalFormatting sqref="A80:B82">
    <cfRule type="cellIs" dxfId="792" priority="861" stopIfTrue="1" operator="equal">
      <formula>#REF!</formula>
    </cfRule>
  </conditionalFormatting>
  <conditionalFormatting sqref="G80:G82">
    <cfRule type="cellIs" dxfId="791" priority="851" stopIfTrue="1" operator="equal">
      <formula>"4 - Complete"</formula>
    </cfRule>
  </conditionalFormatting>
  <conditionalFormatting sqref="J102:AC102 J109:AC110">
    <cfRule type="expression" dxfId="790" priority="830" stopIfTrue="1">
      <formula>ISBLANK(J102)</formula>
    </cfRule>
  </conditionalFormatting>
  <conditionalFormatting sqref="I102 I109:I110">
    <cfRule type="cellIs" dxfId="789" priority="831" stopIfTrue="1" operator="equal">
      <formula>"null"</formula>
    </cfRule>
  </conditionalFormatting>
  <conditionalFormatting sqref="AD102 AD109:AD110">
    <cfRule type="cellIs" dxfId="788" priority="832" stopIfTrue="1" operator="equal">
      <formula>"1 - Hard Load"</formula>
    </cfRule>
    <cfRule type="cellIs" dxfId="787" priority="833" stopIfTrue="1" operator="equal">
      <formula>"2 - Soft Load"</formula>
    </cfRule>
    <cfRule type="cellIs" dxfId="786" priority="834" stopIfTrue="1" operator="equal">
      <formula>"3 - Not Loaded"</formula>
    </cfRule>
  </conditionalFormatting>
  <conditionalFormatting sqref="AF102 AF109:AF110">
    <cfRule type="cellIs" dxfId="785" priority="835" stopIfTrue="1" operator="notEqual">
      <formula>"1 - Scheduled"</formula>
    </cfRule>
  </conditionalFormatting>
  <conditionalFormatting sqref="G102:H102 G109:H110">
    <cfRule type="cellIs" dxfId="784" priority="836" stopIfTrue="1" operator="equal">
      <formula>"3 - Green"</formula>
    </cfRule>
    <cfRule type="cellIs" dxfId="783" priority="837" stopIfTrue="1" operator="equal">
      <formula>"2 - Yellow"</formula>
    </cfRule>
    <cfRule type="cellIs" dxfId="782" priority="838" stopIfTrue="1" operator="equal">
      <formula>"1 - Red"</formula>
    </cfRule>
  </conditionalFormatting>
  <conditionalFormatting sqref="A102:B102 A109:B110">
    <cfRule type="cellIs" dxfId="781" priority="839" stopIfTrue="1" operator="equal">
      <formula>#REF!</formula>
    </cfRule>
  </conditionalFormatting>
  <conditionalFormatting sqref="G102 G109:G110">
    <cfRule type="cellIs" dxfId="780" priority="829" stopIfTrue="1" operator="equal">
      <formula>"4 - Complete"</formula>
    </cfRule>
  </conditionalFormatting>
  <conditionalFormatting sqref="J101:AC101">
    <cfRule type="expression" dxfId="779" priority="819" stopIfTrue="1">
      <formula>ISBLANK(J101)</formula>
    </cfRule>
  </conditionalFormatting>
  <conditionalFormatting sqref="I101">
    <cfRule type="cellIs" dxfId="778" priority="820" stopIfTrue="1" operator="equal">
      <formula>"null"</formula>
    </cfRule>
  </conditionalFormatting>
  <conditionalFormatting sqref="AD101">
    <cfRule type="cellIs" dxfId="777" priority="821" stopIfTrue="1" operator="equal">
      <formula>"1 - Hard Load"</formula>
    </cfRule>
    <cfRule type="cellIs" dxfId="776" priority="822" stopIfTrue="1" operator="equal">
      <formula>"2 - Soft Load"</formula>
    </cfRule>
    <cfRule type="cellIs" dxfId="775" priority="823" stopIfTrue="1" operator="equal">
      <formula>"3 - Not Loaded"</formula>
    </cfRule>
  </conditionalFormatting>
  <conditionalFormatting sqref="AF101">
    <cfRule type="cellIs" dxfId="774" priority="824" stopIfTrue="1" operator="notEqual">
      <formula>"1 - Scheduled"</formula>
    </cfRule>
  </conditionalFormatting>
  <conditionalFormatting sqref="G101:H101">
    <cfRule type="cellIs" dxfId="773" priority="825" stopIfTrue="1" operator="equal">
      <formula>"3 - Green"</formula>
    </cfRule>
    <cfRule type="cellIs" dxfId="772" priority="826" stopIfTrue="1" operator="equal">
      <formula>"2 - Yellow"</formula>
    </cfRule>
    <cfRule type="cellIs" dxfId="771" priority="827" stopIfTrue="1" operator="equal">
      <formula>"1 - Red"</formula>
    </cfRule>
  </conditionalFormatting>
  <conditionalFormatting sqref="A101:B101">
    <cfRule type="cellIs" dxfId="770" priority="828" stopIfTrue="1" operator="equal">
      <formula>#REF!</formula>
    </cfRule>
  </conditionalFormatting>
  <conditionalFormatting sqref="G101">
    <cfRule type="cellIs" dxfId="769" priority="818" stopIfTrue="1" operator="equal">
      <formula>"4 - Complete"</formula>
    </cfRule>
  </conditionalFormatting>
  <conditionalFormatting sqref="J98:AC100">
    <cfRule type="expression" dxfId="768" priority="808" stopIfTrue="1">
      <formula>ISBLANK(J98)</formula>
    </cfRule>
  </conditionalFormatting>
  <conditionalFormatting sqref="I98:I100">
    <cfRule type="cellIs" dxfId="767" priority="809" stopIfTrue="1" operator="equal">
      <formula>"null"</formula>
    </cfRule>
  </conditionalFormatting>
  <conditionalFormatting sqref="AD98:AD100">
    <cfRule type="cellIs" dxfId="766" priority="810" stopIfTrue="1" operator="equal">
      <formula>"1 - Hard Load"</formula>
    </cfRule>
    <cfRule type="cellIs" dxfId="765" priority="811" stopIfTrue="1" operator="equal">
      <formula>"2 - Soft Load"</formula>
    </cfRule>
    <cfRule type="cellIs" dxfId="764" priority="812" stopIfTrue="1" operator="equal">
      <formula>"3 - Not Loaded"</formula>
    </cfRule>
  </conditionalFormatting>
  <conditionalFormatting sqref="AF98:AF100">
    <cfRule type="cellIs" dxfId="763" priority="813" stopIfTrue="1" operator="notEqual">
      <formula>"1 - Scheduled"</formula>
    </cfRule>
  </conditionalFormatting>
  <conditionalFormatting sqref="G99:H100 H98">
    <cfRule type="cellIs" dxfId="762" priority="814" stopIfTrue="1" operator="equal">
      <formula>"3 - Green"</formula>
    </cfRule>
    <cfRule type="cellIs" dxfId="761" priority="815" stopIfTrue="1" operator="equal">
      <formula>"2 - Yellow"</formula>
    </cfRule>
    <cfRule type="cellIs" dxfId="760" priority="816" stopIfTrue="1" operator="equal">
      <formula>"1 - Red"</formula>
    </cfRule>
  </conditionalFormatting>
  <conditionalFormatting sqref="A98:B100">
    <cfRule type="cellIs" dxfId="759" priority="817" stopIfTrue="1" operator="equal">
      <formula>#REF!</formula>
    </cfRule>
  </conditionalFormatting>
  <conditionalFormatting sqref="G99:G100">
    <cfRule type="cellIs" dxfId="758" priority="807" stopIfTrue="1" operator="equal">
      <formula>"4 - Complete"</formula>
    </cfRule>
  </conditionalFormatting>
  <conditionalFormatting sqref="J97:AC97">
    <cfRule type="expression" dxfId="757" priority="797" stopIfTrue="1">
      <formula>ISBLANK(J97)</formula>
    </cfRule>
  </conditionalFormatting>
  <conditionalFormatting sqref="I97">
    <cfRule type="cellIs" dxfId="756" priority="798" stopIfTrue="1" operator="equal">
      <formula>"null"</formula>
    </cfRule>
  </conditionalFormatting>
  <conditionalFormatting sqref="AD97">
    <cfRule type="cellIs" dxfId="755" priority="799" stopIfTrue="1" operator="equal">
      <formula>"1 - Hard Load"</formula>
    </cfRule>
    <cfRule type="cellIs" dxfId="754" priority="800" stopIfTrue="1" operator="equal">
      <formula>"2 - Soft Load"</formula>
    </cfRule>
    <cfRule type="cellIs" dxfId="753" priority="801" stopIfTrue="1" operator="equal">
      <formula>"3 - Not Loaded"</formula>
    </cfRule>
  </conditionalFormatting>
  <conditionalFormatting sqref="AF97">
    <cfRule type="cellIs" dxfId="752" priority="802" stopIfTrue="1" operator="notEqual">
      <formula>"1 - Scheduled"</formula>
    </cfRule>
  </conditionalFormatting>
  <conditionalFormatting sqref="G97:H97">
    <cfRule type="cellIs" dxfId="751" priority="803" stopIfTrue="1" operator="equal">
      <formula>"3 - Green"</formula>
    </cfRule>
    <cfRule type="cellIs" dxfId="750" priority="804" stopIfTrue="1" operator="equal">
      <formula>"2 - Yellow"</formula>
    </cfRule>
    <cfRule type="cellIs" dxfId="749" priority="805" stopIfTrue="1" operator="equal">
      <formula>"1 - Red"</formula>
    </cfRule>
  </conditionalFormatting>
  <conditionalFormatting sqref="A97:B97">
    <cfRule type="cellIs" dxfId="748" priority="806" stopIfTrue="1" operator="equal">
      <formula>#REF!</formula>
    </cfRule>
  </conditionalFormatting>
  <conditionalFormatting sqref="G97">
    <cfRule type="cellIs" dxfId="747" priority="796" stopIfTrue="1" operator="equal">
      <formula>"4 - Complete"</formula>
    </cfRule>
  </conditionalFormatting>
  <conditionalFormatting sqref="J94:AC95 J93:Y93 AA93:AC93">
    <cfRule type="expression" dxfId="746" priority="786" stopIfTrue="1">
      <formula>ISBLANK(J93)</formula>
    </cfRule>
  </conditionalFormatting>
  <conditionalFormatting sqref="I93:I95">
    <cfRule type="cellIs" dxfId="745" priority="787" stopIfTrue="1" operator="equal">
      <formula>"null"</formula>
    </cfRule>
  </conditionalFormatting>
  <conditionalFormatting sqref="AD93:AD95">
    <cfRule type="cellIs" dxfId="744" priority="788" stopIfTrue="1" operator="equal">
      <formula>"1 - Hard Load"</formula>
    </cfRule>
    <cfRule type="cellIs" dxfId="743" priority="789" stopIfTrue="1" operator="equal">
      <formula>"2 - Soft Load"</formula>
    </cfRule>
    <cfRule type="cellIs" dxfId="742" priority="790" stopIfTrue="1" operator="equal">
      <formula>"3 - Not Loaded"</formula>
    </cfRule>
  </conditionalFormatting>
  <conditionalFormatting sqref="AF93:AF95">
    <cfRule type="cellIs" dxfId="741" priority="791" stopIfTrue="1" operator="notEqual">
      <formula>"1 - Scheduled"</formula>
    </cfRule>
  </conditionalFormatting>
  <conditionalFormatting sqref="G93:H95">
    <cfRule type="cellIs" dxfId="740" priority="792" stopIfTrue="1" operator="equal">
      <formula>"3 - Green"</formula>
    </cfRule>
    <cfRule type="cellIs" dxfId="739" priority="793" stopIfTrue="1" operator="equal">
      <formula>"2 - Yellow"</formula>
    </cfRule>
    <cfRule type="cellIs" dxfId="738" priority="794" stopIfTrue="1" operator="equal">
      <formula>"1 - Red"</formula>
    </cfRule>
  </conditionalFormatting>
  <conditionalFormatting sqref="A93:B95">
    <cfRule type="cellIs" dxfId="737" priority="795" stopIfTrue="1" operator="equal">
      <formula>#REF!</formula>
    </cfRule>
  </conditionalFormatting>
  <conditionalFormatting sqref="G93:G95">
    <cfRule type="cellIs" dxfId="736" priority="785" stopIfTrue="1" operator="equal">
      <formula>"4 - Complete"</formula>
    </cfRule>
  </conditionalFormatting>
  <conditionalFormatting sqref="J92:AC92">
    <cfRule type="expression" dxfId="735" priority="775" stopIfTrue="1">
      <formula>ISBLANK(J92)</formula>
    </cfRule>
  </conditionalFormatting>
  <conditionalFormatting sqref="I92">
    <cfRule type="cellIs" dxfId="734" priority="776" stopIfTrue="1" operator="equal">
      <formula>"null"</formula>
    </cfRule>
  </conditionalFormatting>
  <conditionalFormatting sqref="AD92">
    <cfRule type="cellIs" dxfId="733" priority="777" stopIfTrue="1" operator="equal">
      <formula>"1 - Hard Load"</formula>
    </cfRule>
    <cfRule type="cellIs" dxfId="732" priority="778" stopIfTrue="1" operator="equal">
      <formula>"2 - Soft Load"</formula>
    </cfRule>
    <cfRule type="cellIs" dxfId="731" priority="779" stopIfTrue="1" operator="equal">
      <formula>"3 - Not Loaded"</formula>
    </cfRule>
  </conditionalFormatting>
  <conditionalFormatting sqref="AF92">
    <cfRule type="cellIs" dxfId="730" priority="780" stopIfTrue="1" operator="notEqual">
      <formula>"1 - Scheduled"</formula>
    </cfRule>
  </conditionalFormatting>
  <conditionalFormatting sqref="G92:H92">
    <cfRule type="cellIs" dxfId="729" priority="781" stopIfTrue="1" operator="equal">
      <formula>"3 - Green"</formula>
    </cfRule>
    <cfRule type="cellIs" dxfId="728" priority="782" stopIfTrue="1" operator="equal">
      <formula>"2 - Yellow"</formula>
    </cfRule>
    <cfRule type="cellIs" dxfId="727" priority="783" stopIfTrue="1" operator="equal">
      <formula>"1 - Red"</formula>
    </cfRule>
  </conditionalFormatting>
  <conditionalFormatting sqref="A92:B92">
    <cfRule type="cellIs" dxfId="726" priority="784" stopIfTrue="1" operator="equal">
      <formula>#REF!</formula>
    </cfRule>
  </conditionalFormatting>
  <conditionalFormatting sqref="G92">
    <cfRule type="cellIs" dxfId="725" priority="774" stopIfTrue="1" operator="equal">
      <formula>"4 - Complete"</formula>
    </cfRule>
  </conditionalFormatting>
  <conditionalFormatting sqref="J91:AC91">
    <cfRule type="expression" dxfId="724" priority="764" stopIfTrue="1">
      <formula>ISBLANK(J91)</formula>
    </cfRule>
  </conditionalFormatting>
  <conditionalFormatting sqref="J90:P90 R90:AC90">
    <cfRule type="expression" dxfId="723" priority="753" stopIfTrue="1">
      <formula>ISBLANK(J90)</formula>
    </cfRule>
  </conditionalFormatting>
  <conditionalFormatting sqref="I90">
    <cfRule type="cellIs" dxfId="722" priority="754" stopIfTrue="1" operator="equal">
      <formula>"null"</formula>
    </cfRule>
  </conditionalFormatting>
  <conditionalFormatting sqref="AD90">
    <cfRule type="cellIs" dxfId="721" priority="755" stopIfTrue="1" operator="equal">
      <formula>"1 - Hard Load"</formula>
    </cfRule>
    <cfRule type="cellIs" dxfId="720" priority="756" stopIfTrue="1" operator="equal">
      <formula>"2 - Soft Load"</formula>
    </cfRule>
    <cfRule type="cellIs" dxfId="719" priority="757" stopIfTrue="1" operator="equal">
      <formula>"3 - Not Loaded"</formula>
    </cfRule>
  </conditionalFormatting>
  <conditionalFormatting sqref="AF90">
    <cfRule type="cellIs" dxfId="718" priority="758" stopIfTrue="1" operator="notEqual">
      <formula>"1 - Scheduled"</formula>
    </cfRule>
  </conditionalFormatting>
  <conditionalFormatting sqref="G90:H90">
    <cfRule type="cellIs" dxfId="717" priority="759" stopIfTrue="1" operator="equal">
      <formula>"3 - Green"</formula>
    </cfRule>
    <cfRule type="cellIs" dxfId="716" priority="760" stopIfTrue="1" operator="equal">
      <formula>"2 - Yellow"</formula>
    </cfRule>
    <cfRule type="cellIs" dxfId="715" priority="761" stopIfTrue="1" operator="equal">
      <formula>"1 - Red"</formula>
    </cfRule>
  </conditionalFormatting>
  <conditionalFormatting sqref="A90:B90">
    <cfRule type="cellIs" dxfId="714" priority="762" stopIfTrue="1" operator="equal">
      <formula>#REF!</formula>
    </cfRule>
  </conditionalFormatting>
  <conditionalFormatting sqref="G90">
    <cfRule type="cellIs" dxfId="713" priority="752" stopIfTrue="1" operator="equal">
      <formula>"4 - Complete"</formula>
    </cfRule>
  </conditionalFormatting>
  <conditionalFormatting sqref="J87:AC89 Q90">
    <cfRule type="expression" dxfId="712" priority="742" stopIfTrue="1">
      <formula>ISBLANK(J87)</formula>
    </cfRule>
  </conditionalFormatting>
  <conditionalFormatting sqref="I87:I89">
    <cfRule type="cellIs" dxfId="711" priority="743" stopIfTrue="1" operator="equal">
      <formula>"null"</formula>
    </cfRule>
  </conditionalFormatting>
  <conditionalFormatting sqref="AD87:AD89">
    <cfRule type="cellIs" dxfId="710" priority="744" stopIfTrue="1" operator="equal">
      <formula>"1 - Hard Load"</formula>
    </cfRule>
    <cfRule type="cellIs" dxfId="709" priority="745" stopIfTrue="1" operator="equal">
      <formula>"2 - Soft Load"</formula>
    </cfRule>
    <cfRule type="cellIs" dxfId="708" priority="746" stopIfTrue="1" operator="equal">
      <formula>"3 - Not Loaded"</formula>
    </cfRule>
  </conditionalFormatting>
  <conditionalFormatting sqref="AF87:AF89">
    <cfRule type="cellIs" dxfId="707" priority="747" stopIfTrue="1" operator="notEqual">
      <formula>"1 - Scheduled"</formula>
    </cfRule>
  </conditionalFormatting>
  <conditionalFormatting sqref="G87:H89">
    <cfRule type="cellIs" dxfId="706" priority="748" stopIfTrue="1" operator="equal">
      <formula>"3 - Green"</formula>
    </cfRule>
    <cfRule type="cellIs" dxfId="705" priority="749" stopIfTrue="1" operator="equal">
      <formula>"2 - Yellow"</formula>
    </cfRule>
    <cfRule type="cellIs" dxfId="704" priority="750" stopIfTrue="1" operator="equal">
      <formula>"1 - Red"</formula>
    </cfRule>
  </conditionalFormatting>
  <conditionalFormatting sqref="A87:B89">
    <cfRule type="cellIs" dxfId="703" priority="751" stopIfTrue="1" operator="equal">
      <formula>#REF!</formula>
    </cfRule>
  </conditionalFormatting>
  <conditionalFormatting sqref="G87:G89">
    <cfRule type="cellIs" dxfId="702" priority="741" stopIfTrue="1" operator="equal">
      <formula>"4 - Complete"</formula>
    </cfRule>
  </conditionalFormatting>
  <conditionalFormatting sqref="J106:AC108">
    <cfRule type="expression" dxfId="701" priority="720" stopIfTrue="1">
      <formula>ISBLANK(J106)</formula>
    </cfRule>
  </conditionalFormatting>
  <conditionalFormatting sqref="I106:I108">
    <cfRule type="cellIs" dxfId="700" priority="721" stopIfTrue="1" operator="equal">
      <formula>"null"</formula>
    </cfRule>
  </conditionalFormatting>
  <conditionalFormatting sqref="AD106:AD108">
    <cfRule type="cellIs" dxfId="699" priority="722" stopIfTrue="1" operator="equal">
      <formula>"1 - Hard Load"</formula>
    </cfRule>
    <cfRule type="cellIs" dxfId="698" priority="723" stopIfTrue="1" operator="equal">
      <formula>"2 - Soft Load"</formula>
    </cfRule>
    <cfRule type="cellIs" dxfId="697" priority="724" stopIfTrue="1" operator="equal">
      <formula>"3 - Not Loaded"</formula>
    </cfRule>
  </conditionalFormatting>
  <conditionalFormatting sqref="AF106:AF108">
    <cfRule type="cellIs" dxfId="696" priority="725" stopIfTrue="1" operator="notEqual">
      <formula>"1 - Scheduled"</formula>
    </cfRule>
  </conditionalFormatting>
  <conditionalFormatting sqref="G106:H108">
    <cfRule type="cellIs" dxfId="695" priority="726" stopIfTrue="1" operator="equal">
      <formula>"3 - Green"</formula>
    </cfRule>
    <cfRule type="cellIs" dxfId="694" priority="727" stopIfTrue="1" operator="equal">
      <formula>"2 - Yellow"</formula>
    </cfRule>
    <cfRule type="cellIs" dxfId="693" priority="728" stopIfTrue="1" operator="equal">
      <formula>"1 - Red"</formula>
    </cfRule>
  </conditionalFormatting>
  <conditionalFormatting sqref="A106:B108">
    <cfRule type="cellIs" dxfId="692" priority="729" stopIfTrue="1" operator="equal">
      <formula>#REF!</formula>
    </cfRule>
  </conditionalFormatting>
  <conditionalFormatting sqref="G106:G108">
    <cfRule type="cellIs" dxfId="691" priority="719" stopIfTrue="1" operator="equal">
      <formula>"4 - Complete"</formula>
    </cfRule>
  </conditionalFormatting>
  <conditionalFormatting sqref="AC105">
    <cfRule type="expression" dxfId="690" priority="709" stopIfTrue="1">
      <formula>ISBLANK(AC105)</formula>
    </cfRule>
  </conditionalFormatting>
  <conditionalFormatting sqref="I105">
    <cfRule type="cellIs" dxfId="689" priority="710" stopIfTrue="1" operator="equal">
      <formula>"null"</formula>
    </cfRule>
  </conditionalFormatting>
  <conditionalFormatting sqref="AD105">
    <cfRule type="cellIs" dxfId="688" priority="711" stopIfTrue="1" operator="equal">
      <formula>"1 - Hard Load"</formula>
    </cfRule>
    <cfRule type="cellIs" dxfId="687" priority="712" stopIfTrue="1" operator="equal">
      <formula>"2 - Soft Load"</formula>
    </cfRule>
    <cfRule type="cellIs" dxfId="686" priority="713" stopIfTrue="1" operator="equal">
      <formula>"3 - Not Loaded"</formula>
    </cfRule>
  </conditionalFormatting>
  <conditionalFormatting sqref="AF105">
    <cfRule type="cellIs" dxfId="685" priority="714" stopIfTrue="1" operator="notEqual">
      <formula>"1 - Scheduled"</formula>
    </cfRule>
  </conditionalFormatting>
  <conditionalFormatting sqref="G105:H105">
    <cfRule type="cellIs" dxfId="684" priority="715" stopIfTrue="1" operator="equal">
      <formula>"3 - Green"</formula>
    </cfRule>
    <cfRule type="cellIs" dxfId="683" priority="716" stopIfTrue="1" operator="equal">
      <formula>"2 - Yellow"</formula>
    </cfRule>
    <cfRule type="cellIs" dxfId="682" priority="717" stopIfTrue="1" operator="equal">
      <formula>"1 - Red"</formula>
    </cfRule>
  </conditionalFormatting>
  <conditionalFormatting sqref="A105:B105">
    <cfRule type="cellIs" dxfId="681" priority="718" stopIfTrue="1" operator="equal">
      <formula>#REF!</formula>
    </cfRule>
  </conditionalFormatting>
  <conditionalFormatting sqref="G105">
    <cfRule type="cellIs" dxfId="680" priority="708" stopIfTrue="1" operator="equal">
      <formula>"4 - Complete"</formula>
    </cfRule>
  </conditionalFormatting>
  <conditionalFormatting sqref="J103:AC104">
    <cfRule type="expression" dxfId="679" priority="698" stopIfTrue="1">
      <formula>ISBLANK(J103)</formula>
    </cfRule>
  </conditionalFormatting>
  <conditionalFormatting sqref="I103:I104">
    <cfRule type="cellIs" dxfId="678" priority="699" stopIfTrue="1" operator="equal">
      <formula>"null"</formula>
    </cfRule>
  </conditionalFormatting>
  <conditionalFormatting sqref="AD103:AD104">
    <cfRule type="cellIs" dxfId="677" priority="700" stopIfTrue="1" operator="equal">
      <formula>"1 - Hard Load"</formula>
    </cfRule>
    <cfRule type="cellIs" dxfId="676" priority="701" stopIfTrue="1" operator="equal">
      <formula>"2 - Soft Load"</formula>
    </cfRule>
    <cfRule type="cellIs" dxfId="675" priority="702" stopIfTrue="1" operator="equal">
      <formula>"3 - Not Loaded"</formula>
    </cfRule>
  </conditionalFormatting>
  <conditionalFormatting sqref="AF103:AF104">
    <cfRule type="cellIs" dxfId="674" priority="703" stopIfTrue="1" operator="notEqual">
      <formula>"1 - Scheduled"</formula>
    </cfRule>
  </conditionalFormatting>
  <conditionalFormatting sqref="G103:H104">
    <cfRule type="cellIs" dxfId="673" priority="704" stopIfTrue="1" operator="equal">
      <formula>"3 - Green"</formula>
    </cfRule>
    <cfRule type="cellIs" dxfId="672" priority="705" stopIfTrue="1" operator="equal">
      <formula>"2 - Yellow"</formula>
    </cfRule>
    <cfRule type="cellIs" dxfId="671" priority="706" stopIfTrue="1" operator="equal">
      <formula>"1 - Red"</formula>
    </cfRule>
  </conditionalFormatting>
  <conditionalFormatting sqref="A103:B104">
    <cfRule type="cellIs" dxfId="670" priority="707" stopIfTrue="1" operator="equal">
      <formula>#REF!</formula>
    </cfRule>
  </conditionalFormatting>
  <conditionalFormatting sqref="G103:G104">
    <cfRule type="cellIs" dxfId="669" priority="697" stopIfTrue="1" operator="equal">
      <formula>"4 - Complete"</formula>
    </cfRule>
  </conditionalFormatting>
  <conditionalFormatting sqref="J37:AC37">
    <cfRule type="expression" dxfId="668" priority="687" stopIfTrue="1">
      <formula>ISBLANK(J37)</formula>
    </cfRule>
  </conditionalFormatting>
  <conditionalFormatting sqref="I37">
    <cfRule type="cellIs" dxfId="667" priority="688" stopIfTrue="1" operator="equal">
      <formula>"null"</formula>
    </cfRule>
  </conditionalFormatting>
  <conditionalFormatting sqref="AD37">
    <cfRule type="cellIs" dxfId="666" priority="689" stopIfTrue="1" operator="equal">
      <formula>"1 - Hard Load"</formula>
    </cfRule>
    <cfRule type="cellIs" dxfId="665" priority="690" stopIfTrue="1" operator="equal">
      <formula>"2 - Soft Load"</formula>
    </cfRule>
    <cfRule type="cellIs" dxfId="664" priority="691" stopIfTrue="1" operator="equal">
      <formula>"3 - Not Loaded"</formula>
    </cfRule>
  </conditionalFormatting>
  <conditionalFormatting sqref="AF37">
    <cfRule type="cellIs" dxfId="663" priority="692" stopIfTrue="1" operator="notEqual">
      <formula>"1 - Scheduled"</formula>
    </cfRule>
  </conditionalFormatting>
  <conditionalFormatting sqref="G37:H37">
    <cfRule type="cellIs" dxfId="662" priority="693" stopIfTrue="1" operator="equal">
      <formula>"3 - Green"</formula>
    </cfRule>
    <cfRule type="cellIs" dxfId="661" priority="694" stopIfTrue="1" operator="equal">
      <formula>"2 - Yellow"</formula>
    </cfRule>
    <cfRule type="cellIs" dxfId="660" priority="695" stopIfTrue="1" operator="equal">
      <formula>"1 - Red"</formula>
    </cfRule>
  </conditionalFormatting>
  <conditionalFormatting sqref="A37:B37">
    <cfRule type="cellIs" dxfId="659" priority="696" stopIfTrue="1" operator="equal">
      <formula>#REF!</formula>
    </cfRule>
  </conditionalFormatting>
  <conditionalFormatting sqref="G37">
    <cfRule type="cellIs" dxfId="658" priority="686" stopIfTrue="1" operator="equal">
      <formula>"4 - Complete"</formula>
    </cfRule>
  </conditionalFormatting>
  <conditionalFormatting sqref="J120:AC123">
    <cfRule type="expression" dxfId="657" priority="676" stopIfTrue="1">
      <formula>ISBLANK(J120)</formula>
    </cfRule>
  </conditionalFormatting>
  <conditionalFormatting sqref="I120:I123">
    <cfRule type="cellIs" dxfId="656" priority="677" stopIfTrue="1" operator="equal">
      <formula>"null"</formula>
    </cfRule>
  </conditionalFormatting>
  <conditionalFormatting sqref="AD120:AD123">
    <cfRule type="cellIs" dxfId="655" priority="678" stopIfTrue="1" operator="equal">
      <formula>"1 - Hard Load"</formula>
    </cfRule>
    <cfRule type="cellIs" dxfId="654" priority="679" stopIfTrue="1" operator="equal">
      <formula>"2 - Soft Load"</formula>
    </cfRule>
    <cfRule type="cellIs" dxfId="653" priority="680" stopIfTrue="1" operator="equal">
      <formula>"3 - Not Loaded"</formula>
    </cfRule>
  </conditionalFormatting>
  <conditionalFormatting sqref="AF120:AF123">
    <cfRule type="cellIs" dxfId="652" priority="681" stopIfTrue="1" operator="notEqual">
      <formula>"1 - Scheduled"</formula>
    </cfRule>
  </conditionalFormatting>
  <conditionalFormatting sqref="G120:H123">
    <cfRule type="cellIs" dxfId="651" priority="682" stopIfTrue="1" operator="equal">
      <formula>"3 - Green"</formula>
    </cfRule>
    <cfRule type="cellIs" dxfId="650" priority="683" stopIfTrue="1" operator="equal">
      <formula>"2 - Yellow"</formula>
    </cfRule>
    <cfRule type="cellIs" dxfId="649" priority="684" stopIfTrue="1" operator="equal">
      <formula>"1 - Red"</formula>
    </cfRule>
  </conditionalFormatting>
  <conditionalFormatting sqref="A120:B123">
    <cfRule type="cellIs" dxfId="648" priority="685" stopIfTrue="1" operator="equal">
      <formula>#REF!</formula>
    </cfRule>
  </conditionalFormatting>
  <conditionalFormatting sqref="G120:G123">
    <cfRule type="cellIs" dxfId="647" priority="675" stopIfTrue="1" operator="equal">
      <formula>"4 - Complete"</formula>
    </cfRule>
  </conditionalFormatting>
  <conditionalFormatting sqref="J119:AC119">
    <cfRule type="expression" dxfId="646" priority="665" stopIfTrue="1">
      <formula>ISBLANK(J119)</formula>
    </cfRule>
  </conditionalFormatting>
  <conditionalFormatting sqref="I119">
    <cfRule type="cellIs" dxfId="645" priority="666" stopIfTrue="1" operator="equal">
      <formula>"null"</formula>
    </cfRule>
  </conditionalFormatting>
  <conditionalFormatting sqref="AD119">
    <cfRule type="cellIs" dxfId="644" priority="667" stopIfTrue="1" operator="equal">
      <formula>"1 - Hard Load"</formula>
    </cfRule>
    <cfRule type="cellIs" dxfId="643" priority="668" stopIfTrue="1" operator="equal">
      <formula>"2 - Soft Load"</formula>
    </cfRule>
    <cfRule type="cellIs" dxfId="642" priority="669" stopIfTrue="1" operator="equal">
      <formula>"3 - Not Loaded"</formula>
    </cfRule>
  </conditionalFormatting>
  <conditionalFormatting sqref="AF119">
    <cfRule type="cellIs" dxfId="641" priority="670" stopIfTrue="1" operator="notEqual">
      <formula>"1 - Scheduled"</formula>
    </cfRule>
  </conditionalFormatting>
  <conditionalFormatting sqref="G119:H119">
    <cfRule type="cellIs" dxfId="640" priority="671" stopIfTrue="1" operator="equal">
      <formula>"3 - Green"</formula>
    </cfRule>
    <cfRule type="cellIs" dxfId="639" priority="672" stopIfTrue="1" operator="equal">
      <formula>"2 - Yellow"</formula>
    </cfRule>
    <cfRule type="cellIs" dxfId="638" priority="673" stopIfTrue="1" operator="equal">
      <formula>"1 - Red"</formula>
    </cfRule>
  </conditionalFormatting>
  <conditionalFormatting sqref="A119:B119">
    <cfRule type="cellIs" dxfId="637" priority="674" stopIfTrue="1" operator="equal">
      <formula>#REF!</formula>
    </cfRule>
  </conditionalFormatting>
  <conditionalFormatting sqref="G119">
    <cfRule type="cellIs" dxfId="636" priority="664" stopIfTrue="1" operator="equal">
      <formula>"4 - Complete"</formula>
    </cfRule>
  </conditionalFormatting>
  <conditionalFormatting sqref="J116:AC118">
    <cfRule type="expression" dxfId="635" priority="654" stopIfTrue="1">
      <formula>ISBLANK(J116)</formula>
    </cfRule>
  </conditionalFormatting>
  <conditionalFormatting sqref="I116:I118">
    <cfRule type="cellIs" dxfId="634" priority="655" stopIfTrue="1" operator="equal">
      <formula>"null"</formula>
    </cfRule>
  </conditionalFormatting>
  <conditionalFormatting sqref="AD116:AD118">
    <cfRule type="cellIs" dxfId="633" priority="656" stopIfTrue="1" operator="equal">
      <formula>"1 - Hard Load"</formula>
    </cfRule>
    <cfRule type="cellIs" dxfId="632" priority="657" stopIfTrue="1" operator="equal">
      <formula>"2 - Soft Load"</formula>
    </cfRule>
    <cfRule type="cellIs" dxfId="631" priority="658" stopIfTrue="1" operator="equal">
      <formula>"3 - Not Loaded"</formula>
    </cfRule>
  </conditionalFormatting>
  <conditionalFormatting sqref="AF116:AF118">
    <cfRule type="cellIs" dxfId="630" priority="659" stopIfTrue="1" operator="notEqual">
      <formula>"1 - Scheduled"</formula>
    </cfRule>
  </conditionalFormatting>
  <conditionalFormatting sqref="G116:H118">
    <cfRule type="cellIs" dxfId="629" priority="660" stopIfTrue="1" operator="equal">
      <formula>"3 - Green"</formula>
    </cfRule>
    <cfRule type="cellIs" dxfId="628" priority="661" stopIfTrue="1" operator="equal">
      <formula>"2 - Yellow"</formula>
    </cfRule>
    <cfRule type="cellIs" dxfId="627" priority="662" stopIfTrue="1" operator="equal">
      <formula>"1 - Red"</formula>
    </cfRule>
  </conditionalFormatting>
  <conditionalFormatting sqref="A116:B118">
    <cfRule type="cellIs" dxfId="626" priority="663" stopIfTrue="1" operator="equal">
      <formula>#REF!</formula>
    </cfRule>
  </conditionalFormatting>
  <conditionalFormatting sqref="G116:G118">
    <cfRule type="cellIs" dxfId="625" priority="653" stopIfTrue="1" operator="equal">
      <formula>"4 - Complete"</formula>
    </cfRule>
  </conditionalFormatting>
  <conditionalFormatting sqref="J115:AC115">
    <cfRule type="expression" dxfId="624" priority="643" stopIfTrue="1">
      <formula>ISBLANK(J115)</formula>
    </cfRule>
  </conditionalFormatting>
  <conditionalFormatting sqref="I115">
    <cfRule type="cellIs" dxfId="623" priority="644" stopIfTrue="1" operator="equal">
      <formula>"null"</formula>
    </cfRule>
  </conditionalFormatting>
  <conditionalFormatting sqref="AD115">
    <cfRule type="cellIs" dxfId="622" priority="645" stopIfTrue="1" operator="equal">
      <formula>"1 - Hard Load"</formula>
    </cfRule>
    <cfRule type="cellIs" dxfId="621" priority="646" stopIfTrue="1" operator="equal">
      <formula>"2 - Soft Load"</formula>
    </cfRule>
    <cfRule type="cellIs" dxfId="620" priority="647" stopIfTrue="1" operator="equal">
      <formula>"3 - Not Loaded"</formula>
    </cfRule>
  </conditionalFormatting>
  <conditionalFormatting sqref="AF115">
    <cfRule type="cellIs" dxfId="619" priority="648" stopIfTrue="1" operator="notEqual">
      <formula>"1 - Scheduled"</formula>
    </cfRule>
  </conditionalFormatting>
  <conditionalFormatting sqref="G115:H115">
    <cfRule type="cellIs" dxfId="618" priority="649" stopIfTrue="1" operator="equal">
      <formula>"3 - Green"</formula>
    </cfRule>
    <cfRule type="cellIs" dxfId="617" priority="650" stopIfTrue="1" operator="equal">
      <formula>"2 - Yellow"</formula>
    </cfRule>
    <cfRule type="cellIs" dxfId="616" priority="651" stopIfTrue="1" operator="equal">
      <formula>"1 - Red"</formula>
    </cfRule>
  </conditionalFormatting>
  <conditionalFormatting sqref="A115:B115">
    <cfRule type="cellIs" dxfId="615" priority="652" stopIfTrue="1" operator="equal">
      <formula>#REF!</formula>
    </cfRule>
  </conditionalFormatting>
  <conditionalFormatting sqref="G115">
    <cfRule type="cellIs" dxfId="614" priority="642" stopIfTrue="1" operator="equal">
      <formula>"4 - Complete"</formula>
    </cfRule>
  </conditionalFormatting>
  <conditionalFormatting sqref="J111:AC111">
    <cfRule type="expression" dxfId="613" priority="621" stopIfTrue="1">
      <formula>ISBLANK(J111)</formula>
    </cfRule>
  </conditionalFormatting>
  <conditionalFormatting sqref="I111">
    <cfRule type="cellIs" dxfId="612" priority="622" stopIfTrue="1" operator="equal">
      <formula>"null"</formula>
    </cfRule>
  </conditionalFormatting>
  <conditionalFormatting sqref="AD111">
    <cfRule type="cellIs" dxfId="611" priority="623" stopIfTrue="1" operator="equal">
      <formula>"1 - Hard Load"</formula>
    </cfRule>
    <cfRule type="cellIs" dxfId="610" priority="624" stopIfTrue="1" operator="equal">
      <formula>"2 - Soft Load"</formula>
    </cfRule>
    <cfRule type="cellIs" dxfId="609" priority="625" stopIfTrue="1" operator="equal">
      <formula>"3 - Not Loaded"</formula>
    </cfRule>
  </conditionalFormatting>
  <conditionalFormatting sqref="AF111">
    <cfRule type="cellIs" dxfId="608" priority="626" stopIfTrue="1" operator="notEqual">
      <formula>"1 - Scheduled"</formula>
    </cfRule>
  </conditionalFormatting>
  <conditionalFormatting sqref="G111:H111">
    <cfRule type="cellIs" dxfId="607" priority="627" stopIfTrue="1" operator="equal">
      <formula>"3 - Green"</formula>
    </cfRule>
    <cfRule type="cellIs" dxfId="606" priority="628" stopIfTrue="1" operator="equal">
      <formula>"2 - Yellow"</formula>
    </cfRule>
    <cfRule type="cellIs" dxfId="605" priority="629" stopIfTrue="1" operator="equal">
      <formula>"1 - Red"</formula>
    </cfRule>
  </conditionalFormatting>
  <conditionalFormatting sqref="A111:B111">
    <cfRule type="cellIs" dxfId="604" priority="630" stopIfTrue="1" operator="equal">
      <formula>#REF!</formula>
    </cfRule>
  </conditionalFormatting>
  <conditionalFormatting sqref="G111">
    <cfRule type="cellIs" dxfId="603" priority="620" stopIfTrue="1" operator="equal">
      <formula>"4 - Complete"</formula>
    </cfRule>
  </conditionalFormatting>
  <conditionalFormatting sqref="J130:AC131 J211:AC211">
    <cfRule type="expression" dxfId="602" priority="610" stopIfTrue="1">
      <formula>ISBLANK(J130)</formula>
    </cfRule>
  </conditionalFormatting>
  <conditionalFormatting sqref="I130:I131 I211">
    <cfRule type="cellIs" dxfId="601" priority="611" stopIfTrue="1" operator="equal">
      <formula>"null"</formula>
    </cfRule>
  </conditionalFormatting>
  <conditionalFormatting sqref="AD130:AD131 AD211">
    <cfRule type="cellIs" dxfId="600" priority="612" stopIfTrue="1" operator="equal">
      <formula>"1 - Hard Load"</formula>
    </cfRule>
    <cfRule type="cellIs" dxfId="599" priority="613" stopIfTrue="1" operator="equal">
      <formula>"2 - Soft Load"</formula>
    </cfRule>
    <cfRule type="cellIs" dxfId="598" priority="614" stopIfTrue="1" operator="equal">
      <formula>"3 - Not Loaded"</formula>
    </cfRule>
  </conditionalFormatting>
  <conditionalFormatting sqref="AF130:AF131 AF211">
    <cfRule type="cellIs" dxfId="597" priority="615" stopIfTrue="1" operator="notEqual">
      <formula>"1 - Scheduled"</formula>
    </cfRule>
  </conditionalFormatting>
  <conditionalFormatting sqref="G130:H131 G211:H211">
    <cfRule type="cellIs" dxfId="596" priority="616" stopIfTrue="1" operator="equal">
      <formula>"3 - Green"</formula>
    </cfRule>
    <cfRule type="cellIs" dxfId="595" priority="617" stopIfTrue="1" operator="equal">
      <formula>"2 - Yellow"</formula>
    </cfRule>
    <cfRule type="cellIs" dxfId="594" priority="618" stopIfTrue="1" operator="equal">
      <formula>"1 - Red"</formula>
    </cfRule>
  </conditionalFormatting>
  <conditionalFormatting sqref="A130:B131 A211:B211">
    <cfRule type="cellIs" dxfId="593" priority="619" stopIfTrue="1" operator="equal">
      <formula>#REF!</formula>
    </cfRule>
  </conditionalFormatting>
  <conditionalFormatting sqref="G130:G131 G211">
    <cfRule type="cellIs" dxfId="592" priority="609" stopIfTrue="1" operator="equal">
      <formula>"4 - Complete"</formula>
    </cfRule>
  </conditionalFormatting>
  <conditionalFormatting sqref="J129:P129 R129:AC129">
    <cfRule type="expression" dxfId="591" priority="599" stopIfTrue="1">
      <formula>ISBLANK(J129)</formula>
    </cfRule>
  </conditionalFormatting>
  <conditionalFormatting sqref="I129">
    <cfRule type="cellIs" dxfId="590" priority="600" stopIfTrue="1" operator="equal">
      <formula>"null"</formula>
    </cfRule>
  </conditionalFormatting>
  <conditionalFormatting sqref="AD129">
    <cfRule type="cellIs" dxfId="589" priority="601" stopIfTrue="1" operator="equal">
      <formula>"1 - Hard Load"</formula>
    </cfRule>
    <cfRule type="cellIs" dxfId="588" priority="602" stopIfTrue="1" operator="equal">
      <formula>"2 - Soft Load"</formula>
    </cfRule>
    <cfRule type="cellIs" dxfId="587" priority="603" stopIfTrue="1" operator="equal">
      <formula>"3 - Not Loaded"</formula>
    </cfRule>
  </conditionalFormatting>
  <conditionalFormatting sqref="AF129">
    <cfRule type="cellIs" dxfId="586" priority="604" stopIfTrue="1" operator="notEqual">
      <formula>"1 - Scheduled"</formula>
    </cfRule>
  </conditionalFormatting>
  <conditionalFormatting sqref="G129:H129">
    <cfRule type="cellIs" dxfId="585" priority="605" stopIfTrue="1" operator="equal">
      <formula>"3 - Green"</formula>
    </cfRule>
    <cfRule type="cellIs" dxfId="584" priority="606" stopIfTrue="1" operator="equal">
      <formula>"2 - Yellow"</formula>
    </cfRule>
    <cfRule type="cellIs" dxfId="583" priority="607" stopIfTrue="1" operator="equal">
      <formula>"1 - Red"</formula>
    </cfRule>
  </conditionalFormatting>
  <conditionalFormatting sqref="A129:B129">
    <cfRule type="cellIs" dxfId="582" priority="608" stopIfTrue="1" operator="equal">
      <formula>#REF!</formula>
    </cfRule>
  </conditionalFormatting>
  <conditionalFormatting sqref="G129">
    <cfRule type="cellIs" dxfId="581" priority="598" stopIfTrue="1" operator="equal">
      <formula>"4 - Complete"</formula>
    </cfRule>
  </conditionalFormatting>
  <conditionalFormatting sqref="J126:AC128 Q129">
    <cfRule type="expression" dxfId="580" priority="588" stopIfTrue="1">
      <formula>ISBLANK(J126)</formula>
    </cfRule>
  </conditionalFormatting>
  <conditionalFormatting sqref="I126:I128">
    <cfRule type="cellIs" dxfId="579" priority="589" stopIfTrue="1" operator="equal">
      <formula>"null"</formula>
    </cfRule>
  </conditionalFormatting>
  <conditionalFormatting sqref="AD126:AD128">
    <cfRule type="cellIs" dxfId="578" priority="590" stopIfTrue="1" operator="equal">
      <formula>"1 - Hard Load"</formula>
    </cfRule>
    <cfRule type="cellIs" dxfId="577" priority="591" stopIfTrue="1" operator="equal">
      <formula>"2 - Soft Load"</formula>
    </cfRule>
    <cfRule type="cellIs" dxfId="576" priority="592" stopIfTrue="1" operator="equal">
      <formula>"3 - Not Loaded"</formula>
    </cfRule>
  </conditionalFormatting>
  <conditionalFormatting sqref="AF126:AF128">
    <cfRule type="cellIs" dxfId="575" priority="593" stopIfTrue="1" operator="notEqual">
      <formula>"1 - Scheduled"</formula>
    </cfRule>
  </conditionalFormatting>
  <conditionalFormatting sqref="G126:H128">
    <cfRule type="cellIs" dxfId="574" priority="594" stopIfTrue="1" operator="equal">
      <formula>"3 - Green"</formula>
    </cfRule>
    <cfRule type="cellIs" dxfId="573" priority="595" stopIfTrue="1" operator="equal">
      <formula>"2 - Yellow"</formula>
    </cfRule>
    <cfRule type="cellIs" dxfId="572" priority="596" stopIfTrue="1" operator="equal">
      <formula>"1 - Red"</formula>
    </cfRule>
  </conditionalFormatting>
  <conditionalFormatting sqref="A126:B128">
    <cfRule type="cellIs" dxfId="571" priority="597" stopIfTrue="1" operator="equal">
      <formula>#REF!</formula>
    </cfRule>
  </conditionalFormatting>
  <conditionalFormatting sqref="G126:G128">
    <cfRule type="cellIs" dxfId="570" priority="587" stopIfTrue="1" operator="equal">
      <formula>"4 - Complete"</formula>
    </cfRule>
  </conditionalFormatting>
  <conditionalFormatting sqref="J138:AC139 J137:P137 R137:AC137">
    <cfRule type="expression" dxfId="569" priority="577" stopIfTrue="1">
      <formula>ISBLANK(J137)</formula>
    </cfRule>
  </conditionalFormatting>
  <conditionalFormatting sqref="I137:I139">
    <cfRule type="cellIs" dxfId="568" priority="578" stopIfTrue="1" operator="equal">
      <formula>"null"</formula>
    </cfRule>
  </conditionalFormatting>
  <conditionalFormatting sqref="AD137:AD139">
    <cfRule type="cellIs" dxfId="567" priority="579" stopIfTrue="1" operator="equal">
      <formula>"1 - Hard Load"</formula>
    </cfRule>
    <cfRule type="cellIs" dxfId="566" priority="580" stopIfTrue="1" operator="equal">
      <formula>"2 - Soft Load"</formula>
    </cfRule>
    <cfRule type="cellIs" dxfId="565" priority="581" stopIfTrue="1" operator="equal">
      <formula>"3 - Not Loaded"</formula>
    </cfRule>
  </conditionalFormatting>
  <conditionalFormatting sqref="AF137:AF139">
    <cfRule type="cellIs" dxfId="564" priority="582" stopIfTrue="1" operator="notEqual">
      <formula>"1 - Scheduled"</formula>
    </cfRule>
  </conditionalFormatting>
  <conditionalFormatting sqref="G137:H139">
    <cfRule type="cellIs" dxfId="563" priority="583" stopIfTrue="1" operator="equal">
      <formula>"3 - Green"</formula>
    </cfRule>
    <cfRule type="cellIs" dxfId="562" priority="584" stopIfTrue="1" operator="equal">
      <formula>"2 - Yellow"</formula>
    </cfRule>
    <cfRule type="cellIs" dxfId="561" priority="585" stopIfTrue="1" operator="equal">
      <formula>"1 - Red"</formula>
    </cfRule>
  </conditionalFormatting>
  <conditionalFormatting sqref="A137:B139">
    <cfRule type="cellIs" dxfId="560" priority="586" stopIfTrue="1" operator="equal">
      <formula>#REF!</formula>
    </cfRule>
  </conditionalFormatting>
  <conditionalFormatting sqref="G137:G139">
    <cfRule type="cellIs" dxfId="559" priority="576" stopIfTrue="1" operator="equal">
      <formula>"4 - Complete"</formula>
    </cfRule>
  </conditionalFormatting>
  <conditionalFormatting sqref="J136:AC136 Q137">
    <cfRule type="expression" dxfId="558" priority="566" stopIfTrue="1">
      <formula>ISBLANK(J136)</formula>
    </cfRule>
  </conditionalFormatting>
  <conditionalFormatting sqref="I136">
    <cfRule type="cellIs" dxfId="557" priority="567" stopIfTrue="1" operator="equal">
      <formula>"null"</formula>
    </cfRule>
  </conditionalFormatting>
  <conditionalFormatting sqref="AD136">
    <cfRule type="cellIs" dxfId="556" priority="568" stopIfTrue="1" operator="equal">
      <formula>"1 - Hard Load"</formula>
    </cfRule>
    <cfRule type="cellIs" dxfId="555" priority="569" stopIfTrue="1" operator="equal">
      <formula>"2 - Soft Load"</formula>
    </cfRule>
    <cfRule type="cellIs" dxfId="554" priority="570" stopIfTrue="1" operator="equal">
      <formula>"3 - Not Loaded"</formula>
    </cfRule>
  </conditionalFormatting>
  <conditionalFormatting sqref="AF136">
    <cfRule type="cellIs" dxfId="553" priority="571" stopIfTrue="1" operator="notEqual">
      <formula>"1 - Scheduled"</formula>
    </cfRule>
  </conditionalFormatting>
  <conditionalFormatting sqref="G136:H136">
    <cfRule type="cellIs" dxfId="552" priority="572" stopIfTrue="1" operator="equal">
      <formula>"3 - Green"</formula>
    </cfRule>
    <cfRule type="cellIs" dxfId="551" priority="573" stopIfTrue="1" operator="equal">
      <formula>"2 - Yellow"</formula>
    </cfRule>
    <cfRule type="cellIs" dxfId="550" priority="574" stopIfTrue="1" operator="equal">
      <formula>"1 - Red"</formula>
    </cfRule>
  </conditionalFormatting>
  <conditionalFormatting sqref="A136:B136">
    <cfRule type="cellIs" dxfId="549" priority="575" stopIfTrue="1" operator="equal">
      <formula>#REF!</formula>
    </cfRule>
  </conditionalFormatting>
  <conditionalFormatting sqref="G136">
    <cfRule type="cellIs" dxfId="548" priority="565" stopIfTrue="1" operator="equal">
      <formula>"4 - Complete"</formula>
    </cfRule>
  </conditionalFormatting>
  <conditionalFormatting sqref="J135:AC135 J133:P134 R133:AC134">
    <cfRule type="expression" dxfId="547" priority="555" stopIfTrue="1">
      <formula>ISBLANK(J133)</formula>
    </cfRule>
  </conditionalFormatting>
  <conditionalFormatting sqref="I133:I135">
    <cfRule type="cellIs" dxfId="546" priority="556" stopIfTrue="1" operator="equal">
      <formula>"null"</formula>
    </cfRule>
  </conditionalFormatting>
  <conditionalFormatting sqref="AD133:AD135">
    <cfRule type="cellIs" dxfId="545" priority="557" stopIfTrue="1" operator="equal">
      <formula>"1 - Hard Load"</formula>
    </cfRule>
    <cfRule type="cellIs" dxfId="544" priority="558" stopIfTrue="1" operator="equal">
      <formula>"2 - Soft Load"</formula>
    </cfRule>
    <cfRule type="cellIs" dxfId="543" priority="559" stopIfTrue="1" operator="equal">
      <formula>"3 - Not Loaded"</formula>
    </cfRule>
  </conditionalFormatting>
  <conditionalFormatting sqref="AF133:AF135">
    <cfRule type="cellIs" dxfId="542" priority="560" stopIfTrue="1" operator="notEqual">
      <formula>"1 - Scheduled"</formula>
    </cfRule>
  </conditionalFormatting>
  <conditionalFormatting sqref="G133:H135">
    <cfRule type="cellIs" dxfId="541" priority="561" stopIfTrue="1" operator="equal">
      <formula>"3 - Green"</formula>
    </cfRule>
    <cfRule type="cellIs" dxfId="540" priority="562" stopIfTrue="1" operator="equal">
      <formula>"2 - Yellow"</formula>
    </cfRule>
    <cfRule type="cellIs" dxfId="539" priority="563" stopIfTrue="1" operator="equal">
      <formula>"1 - Red"</formula>
    </cfRule>
  </conditionalFormatting>
  <conditionalFormatting sqref="A133:B135">
    <cfRule type="cellIs" dxfId="538" priority="564" stopIfTrue="1" operator="equal">
      <formula>#REF!</formula>
    </cfRule>
  </conditionalFormatting>
  <conditionalFormatting sqref="G133:G135">
    <cfRule type="cellIs" dxfId="537" priority="554" stopIfTrue="1" operator="equal">
      <formula>"4 - Complete"</formula>
    </cfRule>
  </conditionalFormatting>
  <conditionalFormatting sqref="J132:Y132 Q133:Q134 AA132:AC132">
    <cfRule type="expression" dxfId="536" priority="544" stopIfTrue="1">
      <formula>ISBLANK(J132)</formula>
    </cfRule>
  </conditionalFormatting>
  <conditionalFormatting sqref="I132">
    <cfRule type="cellIs" dxfId="535" priority="545" stopIfTrue="1" operator="equal">
      <formula>"null"</formula>
    </cfRule>
  </conditionalFormatting>
  <conditionalFormatting sqref="AD132">
    <cfRule type="cellIs" dxfId="534" priority="546" stopIfTrue="1" operator="equal">
      <formula>"1 - Hard Load"</formula>
    </cfRule>
    <cfRule type="cellIs" dxfId="533" priority="547" stopIfTrue="1" operator="equal">
      <formula>"2 - Soft Load"</formula>
    </cfRule>
    <cfRule type="cellIs" dxfId="532" priority="548" stopIfTrue="1" operator="equal">
      <formula>"3 - Not Loaded"</formula>
    </cfRule>
  </conditionalFormatting>
  <conditionalFormatting sqref="AF132">
    <cfRule type="cellIs" dxfId="531" priority="549" stopIfTrue="1" operator="notEqual">
      <formula>"1 - Scheduled"</formula>
    </cfRule>
  </conditionalFormatting>
  <conditionalFormatting sqref="G132:H132">
    <cfRule type="cellIs" dxfId="530" priority="550" stopIfTrue="1" operator="equal">
      <formula>"3 - Green"</formula>
    </cfRule>
    <cfRule type="cellIs" dxfId="529" priority="551" stopIfTrue="1" operator="equal">
      <formula>"2 - Yellow"</formula>
    </cfRule>
    <cfRule type="cellIs" dxfId="528" priority="552" stopIfTrue="1" operator="equal">
      <formula>"1 - Red"</formula>
    </cfRule>
  </conditionalFormatting>
  <conditionalFormatting sqref="A132:B132">
    <cfRule type="cellIs" dxfId="527" priority="553" stopIfTrue="1" operator="equal">
      <formula>#REF!</formula>
    </cfRule>
  </conditionalFormatting>
  <conditionalFormatting sqref="G132">
    <cfRule type="cellIs" dxfId="526" priority="543" stopIfTrue="1" operator="equal">
      <formula>"4 - Complete"</formula>
    </cfRule>
  </conditionalFormatting>
  <conditionalFormatting sqref="J96:AC96">
    <cfRule type="expression" dxfId="525" priority="533" stopIfTrue="1">
      <formula>ISBLANK(J96)</formula>
    </cfRule>
  </conditionalFormatting>
  <conditionalFormatting sqref="I96">
    <cfRule type="cellIs" dxfId="524" priority="534" stopIfTrue="1" operator="equal">
      <formula>"null"</formula>
    </cfRule>
  </conditionalFormatting>
  <conditionalFormatting sqref="AD96">
    <cfRule type="cellIs" dxfId="523" priority="535" stopIfTrue="1" operator="equal">
      <formula>"1 - Hard Load"</formula>
    </cfRule>
    <cfRule type="cellIs" dxfId="522" priority="536" stopIfTrue="1" operator="equal">
      <formula>"2 - Soft Load"</formula>
    </cfRule>
    <cfRule type="cellIs" dxfId="521" priority="537" stopIfTrue="1" operator="equal">
      <formula>"3 - Not Loaded"</formula>
    </cfRule>
  </conditionalFormatting>
  <conditionalFormatting sqref="AF96">
    <cfRule type="cellIs" dxfId="520" priority="538" stopIfTrue="1" operator="notEqual">
      <formula>"1 - Scheduled"</formula>
    </cfRule>
  </conditionalFormatting>
  <conditionalFormatting sqref="G96:H96">
    <cfRule type="cellIs" dxfId="519" priority="539" stopIfTrue="1" operator="equal">
      <formula>"3 - Green"</formula>
    </cfRule>
    <cfRule type="cellIs" dxfId="518" priority="540" stopIfTrue="1" operator="equal">
      <formula>"2 - Yellow"</formula>
    </cfRule>
    <cfRule type="cellIs" dxfId="517" priority="541" stopIfTrue="1" operator="equal">
      <formula>"1 - Red"</formula>
    </cfRule>
  </conditionalFormatting>
  <conditionalFormatting sqref="A96:B96">
    <cfRule type="cellIs" dxfId="516" priority="542" stopIfTrue="1" operator="equal">
      <formula>#REF!</formula>
    </cfRule>
  </conditionalFormatting>
  <conditionalFormatting sqref="G96">
    <cfRule type="cellIs" dxfId="515" priority="532" stopIfTrue="1" operator="equal">
      <formula>"4 - Complete"</formula>
    </cfRule>
  </conditionalFormatting>
  <conditionalFormatting sqref="J145:AC145 J157:AC157 J197:AC197">
    <cfRule type="expression" dxfId="514" priority="522" stopIfTrue="1">
      <formula>ISBLANK(J145)</formula>
    </cfRule>
  </conditionalFormatting>
  <conditionalFormatting sqref="I145 I157 I197">
    <cfRule type="cellIs" dxfId="513" priority="523" stopIfTrue="1" operator="equal">
      <formula>"null"</formula>
    </cfRule>
  </conditionalFormatting>
  <conditionalFormatting sqref="AD145 AD157 AD197">
    <cfRule type="cellIs" dxfId="512" priority="524" stopIfTrue="1" operator="equal">
      <formula>"1 - Hard Load"</formula>
    </cfRule>
    <cfRule type="cellIs" dxfId="511" priority="525" stopIfTrue="1" operator="equal">
      <formula>"2 - Soft Load"</formula>
    </cfRule>
    <cfRule type="cellIs" dxfId="510" priority="526" stopIfTrue="1" operator="equal">
      <formula>"3 - Not Loaded"</formula>
    </cfRule>
  </conditionalFormatting>
  <conditionalFormatting sqref="AF145 AF157 AF197">
    <cfRule type="cellIs" dxfId="509" priority="527" stopIfTrue="1" operator="notEqual">
      <formula>"1 - Scheduled"</formula>
    </cfRule>
  </conditionalFormatting>
  <conditionalFormatting sqref="G145:H145 G157:H157 G197:H197">
    <cfRule type="cellIs" dxfId="508" priority="528" stopIfTrue="1" operator="equal">
      <formula>"3 - Green"</formula>
    </cfRule>
    <cfRule type="cellIs" dxfId="507" priority="529" stopIfTrue="1" operator="equal">
      <formula>"2 - Yellow"</formula>
    </cfRule>
    <cfRule type="cellIs" dxfId="506" priority="530" stopIfTrue="1" operator="equal">
      <formula>"1 - Red"</formula>
    </cfRule>
  </conditionalFormatting>
  <conditionalFormatting sqref="A145:B145 A157:B157 A197:B197">
    <cfRule type="cellIs" dxfId="505" priority="531" stopIfTrue="1" operator="equal">
      <formula>#REF!</formula>
    </cfRule>
  </conditionalFormatting>
  <conditionalFormatting sqref="G145 G157 G197">
    <cfRule type="cellIs" dxfId="504" priority="521" stopIfTrue="1" operator="equal">
      <formula>"4 - Complete"</formula>
    </cfRule>
  </conditionalFormatting>
  <conditionalFormatting sqref="J144:P144 R144:AC144">
    <cfRule type="expression" dxfId="503" priority="511" stopIfTrue="1">
      <formula>ISBLANK(J144)</formula>
    </cfRule>
  </conditionalFormatting>
  <conditionalFormatting sqref="I144">
    <cfRule type="cellIs" dxfId="502" priority="512" stopIfTrue="1" operator="equal">
      <formula>"null"</formula>
    </cfRule>
  </conditionalFormatting>
  <conditionalFormatting sqref="AD144">
    <cfRule type="cellIs" dxfId="501" priority="513" stopIfTrue="1" operator="equal">
      <formula>"1 - Hard Load"</formula>
    </cfRule>
    <cfRule type="cellIs" dxfId="500" priority="514" stopIfTrue="1" operator="equal">
      <formula>"2 - Soft Load"</formula>
    </cfRule>
    <cfRule type="cellIs" dxfId="499" priority="515" stopIfTrue="1" operator="equal">
      <formula>"3 - Not Loaded"</formula>
    </cfRule>
  </conditionalFormatting>
  <conditionalFormatting sqref="AF144">
    <cfRule type="cellIs" dxfId="498" priority="516" stopIfTrue="1" operator="notEqual">
      <formula>"1 - Scheduled"</formula>
    </cfRule>
  </conditionalFormatting>
  <conditionalFormatting sqref="G144:H144">
    <cfRule type="cellIs" dxfId="497" priority="517" stopIfTrue="1" operator="equal">
      <formula>"3 - Green"</formula>
    </cfRule>
    <cfRule type="cellIs" dxfId="496" priority="518" stopIfTrue="1" operator="equal">
      <formula>"2 - Yellow"</formula>
    </cfRule>
    <cfRule type="cellIs" dxfId="495" priority="519" stopIfTrue="1" operator="equal">
      <formula>"1 - Red"</formula>
    </cfRule>
  </conditionalFormatting>
  <conditionalFormatting sqref="A144:B144">
    <cfRule type="cellIs" dxfId="494" priority="520" stopIfTrue="1" operator="equal">
      <formula>#REF!</formula>
    </cfRule>
  </conditionalFormatting>
  <conditionalFormatting sqref="G144">
    <cfRule type="cellIs" dxfId="493" priority="510" stopIfTrue="1" operator="equal">
      <formula>"4 - Complete"</formula>
    </cfRule>
  </conditionalFormatting>
  <conditionalFormatting sqref="J142:AC143 Q144 J141:Y141 AA141:AC141">
    <cfRule type="expression" dxfId="492" priority="500" stopIfTrue="1">
      <formula>ISBLANK(J141)</formula>
    </cfRule>
  </conditionalFormatting>
  <conditionalFormatting sqref="I141:I143">
    <cfRule type="cellIs" dxfId="491" priority="501" stopIfTrue="1" operator="equal">
      <formula>"null"</formula>
    </cfRule>
  </conditionalFormatting>
  <conditionalFormatting sqref="AD141:AD143">
    <cfRule type="cellIs" dxfId="490" priority="502" stopIfTrue="1" operator="equal">
      <formula>"1 - Hard Load"</formula>
    </cfRule>
    <cfRule type="cellIs" dxfId="489" priority="503" stopIfTrue="1" operator="equal">
      <formula>"2 - Soft Load"</formula>
    </cfRule>
    <cfRule type="cellIs" dxfId="488" priority="504" stopIfTrue="1" operator="equal">
      <formula>"3 - Not Loaded"</formula>
    </cfRule>
  </conditionalFormatting>
  <conditionalFormatting sqref="AF141:AF143">
    <cfRule type="cellIs" dxfId="487" priority="505" stopIfTrue="1" operator="notEqual">
      <formula>"1 - Scheduled"</formula>
    </cfRule>
  </conditionalFormatting>
  <conditionalFormatting sqref="G141:H143">
    <cfRule type="cellIs" dxfId="486" priority="506" stopIfTrue="1" operator="equal">
      <formula>"3 - Green"</formula>
    </cfRule>
    <cfRule type="cellIs" dxfId="485" priority="507" stopIfTrue="1" operator="equal">
      <formula>"2 - Yellow"</formula>
    </cfRule>
    <cfRule type="cellIs" dxfId="484" priority="508" stopIfTrue="1" operator="equal">
      <formula>"1 - Red"</formula>
    </cfRule>
  </conditionalFormatting>
  <conditionalFormatting sqref="A141:B143">
    <cfRule type="cellIs" dxfId="483" priority="509" stopIfTrue="1" operator="equal">
      <formula>#REF!</formula>
    </cfRule>
  </conditionalFormatting>
  <conditionalFormatting sqref="G141:G143">
    <cfRule type="cellIs" dxfId="482" priority="499" stopIfTrue="1" operator="equal">
      <formula>"4 - Complete"</formula>
    </cfRule>
  </conditionalFormatting>
  <conditionalFormatting sqref="J140:Y140 AA140:AC140">
    <cfRule type="expression" dxfId="481" priority="489" stopIfTrue="1">
      <formula>ISBLANK(J140)</formula>
    </cfRule>
  </conditionalFormatting>
  <conditionalFormatting sqref="I140">
    <cfRule type="cellIs" dxfId="480" priority="490" stopIfTrue="1" operator="equal">
      <formula>"null"</formula>
    </cfRule>
  </conditionalFormatting>
  <conditionalFormatting sqref="AD140">
    <cfRule type="cellIs" dxfId="479" priority="491" stopIfTrue="1" operator="equal">
      <formula>"1 - Hard Load"</formula>
    </cfRule>
    <cfRule type="cellIs" dxfId="478" priority="492" stopIfTrue="1" operator="equal">
      <formula>"2 - Soft Load"</formula>
    </cfRule>
    <cfRule type="cellIs" dxfId="477" priority="493" stopIfTrue="1" operator="equal">
      <formula>"3 - Not Loaded"</formula>
    </cfRule>
  </conditionalFormatting>
  <conditionalFormatting sqref="AF140">
    <cfRule type="cellIs" dxfId="476" priority="494" stopIfTrue="1" operator="notEqual">
      <formula>"1 - Scheduled"</formula>
    </cfRule>
  </conditionalFormatting>
  <conditionalFormatting sqref="G140:H140">
    <cfRule type="cellIs" dxfId="475" priority="495" stopIfTrue="1" operator="equal">
      <formula>"3 - Green"</formula>
    </cfRule>
    <cfRule type="cellIs" dxfId="474" priority="496" stopIfTrue="1" operator="equal">
      <formula>"2 - Yellow"</formula>
    </cfRule>
    <cfRule type="cellIs" dxfId="473" priority="497" stopIfTrue="1" operator="equal">
      <formula>"1 - Red"</formula>
    </cfRule>
  </conditionalFormatting>
  <conditionalFormatting sqref="A140:B140">
    <cfRule type="cellIs" dxfId="472" priority="498" stopIfTrue="1" operator="equal">
      <formula>#REF!</formula>
    </cfRule>
  </conditionalFormatting>
  <conditionalFormatting sqref="G140">
    <cfRule type="cellIs" dxfId="471" priority="488" stopIfTrue="1" operator="equal">
      <formula>"4 - Complete"</formula>
    </cfRule>
  </conditionalFormatting>
  <conditionalFormatting sqref="J149:P150 R149:AC150">
    <cfRule type="expression" dxfId="470" priority="478" stopIfTrue="1">
      <formula>ISBLANK(J149)</formula>
    </cfRule>
  </conditionalFormatting>
  <conditionalFormatting sqref="I149:I150">
    <cfRule type="cellIs" dxfId="469" priority="479" stopIfTrue="1" operator="equal">
      <formula>"null"</formula>
    </cfRule>
  </conditionalFormatting>
  <conditionalFormatting sqref="AD149:AD150">
    <cfRule type="cellIs" dxfId="468" priority="480" stopIfTrue="1" operator="equal">
      <formula>"1 - Hard Load"</formula>
    </cfRule>
    <cfRule type="cellIs" dxfId="467" priority="481" stopIfTrue="1" operator="equal">
      <formula>"2 - Soft Load"</formula>
    </cfRule>
    <cfRule type="cellIs" dxfId="466" priority="482" stopIfTrue="1" operator="equal">
      <formula>"3 - Not Loaded"</formula>
    </cfRule>
  </conditionalFormatting>
  <conditionalFormatting sqref="AF149:AF150">
    <cfRule type="cellIs" dxfId="465" priority="483" stopIfTrue="1" operator="notEqual">
      <formula>"1 - Scheduled"</formula>
    </cfRule>
  </conditionalFormatting>
  <conditionalFormatting sqref="G149:H150">
    <cfRule type="cellIs" dxfId="464" priority="484" stopIfTrue="1" operator="equal">
      <formula>"3 - Green"</formula>
    </cfRule>
    <cfRule type="cellIs" dxfId="463" priority="485" stopIfTrue="1" operator="equal">
      <formula>"2 - Yellow"</formula>
    </cfRule>
    <cfRule type="cellIs" dxfId="462" priority="486" stopIfTrue="1" operator="equal">
      <formula>"1 - Red"</formula>
    </cfRule>
  </conditionalFormatting>
  <conditionalFormatting sqref="A149:B150">
    <cfRule type="cellIs" dxfId="461" priority="487" stopIfTrue="1" operator="equal">
      <formula>#REF!</formula>
    </cfRule>
  </conditionalFormatting>
  <conditionalFormatting sqref="G149:G150">
    <cfRule type="cellIs" dxfId="460" priority="477" stopIfTrue="1" operator="equal">
      <formula>"4 - Complete"</formula>
    </cfRule>
  </conditionalFormatting>
  <conditionalFormatting sqref="J148:P148 R148:AC148">
    <cfRule type="expression" dxfId="459" priority="467" stopIfTrue="1">
      <formula>ISBLANK(J148)</formula>
    </cfRule>
  </conditionalFormatting>
  <conditionalFormatting sqref="I148">
    <cfRule type="cellIs" dxfId="458" priority="468" stopIfTrue="1" operator="equal">
      <formula>"null"</formula>
    </cfRule>
  </conditionalFormatting>
  <conditionalFormatting sqref="AD148">
    <cfRule type="cellIs" dxfId="457" priority="469" stopIfTrue="1" operator="equal">
      <formula>"1 - Hard Load"</formula>
    </cfRule>
    <cfRule type="cellIs" dxfId="456" priority="470" stopIfTrue="1" operator="equal">
      <formula>"2 - Soft Load"</formula>
    </cfRule>
    <cfRule type="cellIs" dxfId="455" priority="471" stopIfTrue="1" operator="equal">
      <formula>"3 - Not Loaded"</formula>
    </cfRule>
  </conditionalFormatting>
  <conditionalFormatting sqref="AF148">
    <cfRule type="cellIs" dxfId="454" priority="472" stopIfTrue="1" operator="notEqual">
      <formula>"1 - Scheduled"</formula>
    </cfRule>
  </conditionalFormatting>
  <conditionalFormatting sqref="G148:H148">
    <cfRule type="cellIs" dxfId="453" priority="473" stopIfTrue="1" operator="equal">
      <formula>"3 - Green"</formula>
    </cfRule>
    <cfRule type="cellIs" dxfId="452" priority="474" stopIfTrue="1" operator="equal">
      <formula>"2 - Yellow"</formula>
    </cfRule>
    <cfRule type="cellIs" dxfId="451" priority="475" stopIfTrue="1" operator="equal">
      <formula>"1 - Red"</formula>
    </cfRule>
  </conditionalFormatting>
  <conditionalFormatting sqref="A148:B148">
    <cfRule type="cellIs" dxfId="450" priority="476" stopIfTrue="1" operator="equal">
      <formula>#REF!</formula>
    </cfRule>
  </conditionalFormatting>
  <conditionalFormatting sqref="G148">
    <cfRule type="cellIs" dxfId="449" priority="466" stopIfTrue="1" operator="equal">
      <formula>"4 - Complete"</formula>
    </cfRule>
  </conditionalFormatting>
  <conditionalFormatting sqref="J146:AC146 J147:P147 R147:AC147 Q147:Q150">
    <cfRule type="expression" dxfId="448" priority="456" stopIfTrue="1">
      <formula>ISBLANK(J146)</formula>
    </cfRule>
  </conditionalFormatting>
  <conditionalFormatting sqref="I146:I147">
    <cfRule type="cellIs" dxfId="447" priority="457" stopIfTrue="1" operator="equal">
      <formula>"null"</formula>
    </cfRule>
  </conditionalFormatting>
  <conditionalFormatting sqref="AD146:AD147">
    <cfRule type="cellIs" dxfId="446" priority="458" stopIfTrue="1" operator="equal">
      <formula>"1 - Hard Load"</formula>
    </cfRule>
    <cfRule type="cellIs" dxfId="445" priority="459" stopIfTrue="1" operator="equal">
      <formula>"2 - Soft Load"</formula>
    </cfRule>
    <cfRule type="cellIs" dxfId="444" priority="460" stopIfTrue="1" operator="equal">
      <formula>"3 - Not Loaded"</formula>
    </cfRule>
  </conditionalFormatting>
  <conditionalFormatting sqref="AF146:AF147">
    <cfRule type="cellIs" dxfId="443" priority="461" stopIfTrue="1" operator="notEqual">
      <formula>"1 - Scheduled"</formula>
    </cfRule>
  </conditionalFormatting>
  <conditionalFormatting sqref="G146:H147">
    <cfRule type="cellIs" dxfId="442" priority="462" stopIfTrue="1" operator="equal">
      <formula>"3 - Green"</formula>
    </cfRule>
    <cfRule type="cellIs" dxfId="441" priority="463" stopIfTrue="1" operator="equal">
      <formula>"2 - Yellow"</formula>
    </cfRule>
    <cfRule type="cellIs" dxfId="440" priority="464" stopIfTrue="1" operator="equal">
      <formula>"1 - Red"</formula>
    </cfRule>
  </conditionalFormatting>
  <conditionalFormatting sqref="A146:B147">
    <cfRule type="cellIs" dxfId="439" priority="465" stopIfTrue="1" operator="equal">
      <formula>#REF!</formula>
    </cfRule>
  </conditionalFormatting>
  <conditionalFormatting sqref="G146:G147">
    <cfRule type="cellIs" dxfId="438" priority="455" stopIfTrue="1" operator="equal">
      <formula>"4 - Complete"</formula>
    </cfRule>
  </conditionalFormatting>
  <conditionalFormatting sqref="Q105:AB105">
    <cfRule type="expression" dxfId="437" priority="454" stopIfTrue="1">
      <formula>ISBLANK(Q105)</formula>
    </cfRule>
  </conditionalFormatting>
  <conditionalFormatting sqref="J105:P105">
    <cfRule type="expression" dxfId="436" priority="453" stopIfTrue="1">
      <formula>ISBLANK(J105)</formula>
    </cfRule>
  </conditionalFormatting>
  <conditionalFormatting sqref="J154:AC154 J156:AC156">
    <cfRule type="expression" dxfId="435" priority="443" stopIfTrue="1">
      <formula>ISBLANK(J154)</formula>
    </cfRule>
  </conditionalFormatting>
  <conditionalFormatting sqref="I154 I156">
    <cfRule type="cellIs" dxfId="434" priority="444" stopIfTrue="1" operator="equal">
      <formula>"null"</formula>
    </cfRule>
  </conditionalFormatting>
  <conditionalFormatting sqref="AD154 AD156">
    <cfRule type="cellIs" dxfId="433" priority="445" stopIfTrue="1" operator="equal">
      <formula>"1 - Hard Load"</formula>
    </cfRule>
    <cfRule type="cellIs" dxfId="432" priority="446" stopIfTrue="1" operator="equal">
      <formula>"2 - Soft Load"</formula>
    </cfRule>
    <cfRule type="cellIs" dxfId="431" priority="447" stopIfTrue="1" operator="equal">
      <formula>"3 - Not Loaded"</formula>
    </cfRule>
  </conditionalFormatting>
  <conditionalFormatting sqref="AF154 AF156">
    <cfRule type="cellIs" dxfId="430" priority="448" stopIfTrue="1" operator="notEqual">
      <formula>"1 - Scheduled"</formula>
    </cfRule>
  </conditionalFormatting>
  <conditionalFormatting sqref="G154:H154 G156:H156">
    <cfRule type="cellIs" dxfId="429" priority="449" stopIfTrue="1" operator="equal">
      <formula>"3 - Green"</formula>
    </cfRule>
    <cfRule type="cellIs" dxfId="428" priority="450" stopIfTrue="1" operator="equal">
      <formula>"2 - Yellow"</formula>
    </cfRule>
    <cfRule type="cellIs" dxfId="427" priority="451" stopIfTrue="1" operator="equal">
      <formula>"1 - Red"</formula>
    </cfRule>
  </conditionalFormatting>
  <conditionalFormatting sqref="A154:B154 A156:B156">
    <cfRule type="cellIs" dxfId="426" priority="452" stopIfTrue="1" operator="equal">
      <formula>#REF!</formula>
    </cfRule>
  </conditionalFormatting>
  <conditionalFormatting sqref="G154 G156">
    <cfRule type="cellIs" dxfId="425" priority="442" stopIfTrue="1" operator="equal">
      <formula>"4 - Complete"</formula>
    </cfRule>
  </conditionalFormatting>
  <conditionalFormatting sqref="J153:AC153">
    <cfRule type="expression" dxfId="424" priority="432" stopIfTrue="1">
      <formula>ISBLANK(J153)</formula>
    </cfRule>
  </conditionalFormatting>
  <conditionalFormatting sqref="I153">
    <cfRule type="cellIs" dxfId="423" priority="433" stopIfTrue="1" operator="equal">
      <formula>"null"</formula>
    </cfRule>
  </conditionalFormatting>
  <conditionalFormatting sqref="AD153">
    <cfRule type="cellIs" dxfId="422" priority="434" stopIfTrue="1" operator="equal">
      <formula>"1 - Hard Load"</formula>
    </cfRule>
    <cfRule type="cellIs" dxfId="421" priority="435" stopIfTrue="1" operator="equal">
      <formula>"2 - Soft Load"</formula>
    </cfRule>
    <cfRule type="cellIs" dxfId="420" priority="436" stopIfTrue="1" operator="equal">
      <formula>"3 - Not Loaded"</formula>
    </cfRule>
  </conditionalFormatting>
  <conditionalFormatting sqref="AF153">
    <cfRule type="cellIs" dxfId="419" priority="437" stopIfTrue="1" operator="notEqual">
      <formula>"1 - Scheduled"</formula>
    </cfRule>
  </conditionalFormatting>
  <conditionalFormatting sqref="G153:H153">
    <cfRule type="cellIs" dxfId="418" priority="438" stopIfTrue="1" operator="equal">
      <formula>"3 - Green"</formula>
    </cfRule>
    <cfRule type="cellIs" dxfId="417" priority="439" stopIfTrue="1" operator="equal">
      <formula>"2 - Yellow"</formula>
    </cfRule>
    <cfRule type="cellIs" dxfId="416" priority="440" stopIfTrue="1" operator="equal">
      <formula>"1 - Red"</formula>
    </cfRule>
  </conditionalFormatting>
  <conditionalFormatting sqref="A153:B153">
    <cfRule type="cellIs" dxfId="415" priority="441" stopIfTrue="1" operator="equal">
      <formula>#REF!</formula>
    </cfRule>
  </conditionalFormatting>
  <conditionalFormatting sqref="G153">
    <cfRule type="cellIs" dxfId="414" priority="431" stopIfTrue="1" operator="equal">
      <formula>"4 - Complete"</formula>
    </cfRule>
  </conditionalFormatting>
  <conditionalFormatting sqref="J151:AC152">
    <cfRule type="expression" dxfId="413" priority="421" stopIfTrue="1">
      <formula>ISBLANK(J151)</formula>
    </cfRule>
  </conditionalFormatting>
  <conditionalFormatting sqref="I151:I152">
    <cfRule type="cellIs" dxfId="412" priority="422" stopIfTrue="1" operator="equal">
      <formula>"null"</formula>
    </cfRule>
  </conditionalFormatting>
  <conditionalFormatting sqref="AD151:AD152">
    <cfRule type="cellIs" dxfId="411" priority="423" stopIfTrue="1" operator="equal">
      <formula>"1 - Hard Load"</formula>
    </cfRule>
    <cfRule type="cellIs" dxfId="410" priority="424" stopIfTrue="1" operator="equal">
      <formula>"2 - Soft Load"</formula>
    </cfRule>
    <cfRule type="cellIs" dxfId="409" priority="425" stopIfTrue="1" operator="equal">
      <formula>"3 - Not Loaded"</formula>
    </cfRule>
  </conditionalFormatting>
  <conditionalFormatting sqref="AF151:AF152">
    <cfRule type="cellIs" dxfId="408" priority="426" stopIfTrue="1" operator="notEqual">
      <formula>"1 - Scheduled"</formula>
    </cfRule>
  </conditionalFormatting>
  <conditionalFormatting sqref="G151:H152">
    <cfRule type="cellIs" dxfId="407" priority="427" stopIfTrue="1" operator="equal">
      <formula>"3 - Green"</formula>
    </cfRule>
    <cfRule type="cellIs" dxfId="406" priority="428" stopIfTrue="1" operator="equal">
      <formula>"2 - Yellow"</formula>
    </cfRule>
    <cfRule type="cellIs" dxfId="405" priority="429" stopIfTrue="1" operator="equal">
      <formula>"1 - Red"</formula>
    </cfRule>
  </conditionalFormatting>
  <conditionalFormatting sqref="A151:B152">
    <cfRule type="cellIs" dxfId="404" priority="430" stopIfTrue="1" operator="equal">
      <formula>#REF!</formula>
    </cfRule>
  </conditionalFormatting>
  <conditionalFormatting sqref="G151:G152">
    <cfRule type="cellIs" dxfId="403" priority="420" stopIfTrue="1" operator="equal">
      <formula>"4 - Complete"</formula>
    </cfRule>
  </conditionalFormatting>
  <conditionalFormatting sqref="J160:AC161">
    <cfRule type="expression" dxfId="402" priority="410" stopIfTrue="1">
      <formula>ISBLANK(J160)</formula>
    </cfRule>
  </conditionalFormatting>
  <conditionalFormatting sqref="I160:I161">
    <cfRule type="cellIs" dxfId="401" priority="411" stopIfTrue="1" operator="equal">
      <formula>"null"</formula>
    </cfRule>
  </conditionalFormatting>
  <conditionalFormatting sqref="AD160:AD161">
    <cfRule type="cellIs" dxfId="400" priority="412" stopIfTrue="1" operator="equal">
      <formula>"1 - Hard Load"</formula>
    </cfRule>
    <cfRule type="cellIs" dxfId="399" priority="413" stopIfTrue="1" operator="equal">
      <formula>"2 - Soft Load"</formula>
    </cfRule>
    <cfRule type="cellIs" dxfId="398" priority="414" stopIfTrue="1" operator="equal">
      <formula>"3 - Not Loaded"</formula>
    </cfRule>
  </conditionalFormatting>
  <conditionalFormatting sqref="AF160:AF161">
    <cfRule type="cellIs" dxfId="397" priority="415" stopIfTrue="1" operator="notEqual">
      <formula>"1 - Scheduled"</formula>
    </cfRule>
  </conditionalFormatting>
  <conditionalFormatting sqref="G160:H161">
    <cfRule type="cellIs" dxfId="396" priority="416" stopIfTrue="1" operator="equal">
      <formula>"3 - Green"</formula>
    </cfRule>
    <cfRule type="cellIs" dxfId="395" priority="417" stopIfTrue="1" operator="equal">
      <formula>"2 - Yellow"</formula>
    </cfRule>
    <cfRule type="cellIs" dxfId="394" priority="418" stopIfTrue="1" operator="equal">
      <formula>"1 - Red"</formula>
    </cfRule>
  </conditionalFormatting>
  <conditionalFormatting sqref="A160:B161">
    <cfRule type="cellIs" dxfId="393" priority="419" stopIfTrue="1" operator="equal">
      <formula>#REF!</formula>
    </cfRule>
  </conditionalFormatting>
  <conditionalFormatting sqref="G160:G161">
    <cfRule type="cellIs" dxfId="392" priority="409" stopIfTrue="1" operator="equal">
      <formula>"4 - Complete"</formula>
    </cfRule>
  </conditionalFormatting>
  <conditionalFormatting sqref="J159:P159 R159:AC159">
    <cfRule type="expression" dxfId="391" priority="399" stopIfTrue="1">
      <formula>ISBLANK(J159)</formula>
    </cfRule>
  </conditionalFormatting>
  <conditionalFormatting sqref="I159">
    <cfRule type="cellIs" dxfId="390" priority="400" stopIfTrue="1" operator="equal">
      <formula>"null"</formula>
    </cfRule>
  </conditionalFormatting>
  <conditionalFormatting sqref="AD159">
    <cfRule type="cellIs" dxfId="389" priority="401" stopIfTrue="1" operator="equal">
      <formula>"1 - Hard Load"</formula>
    </cfRule>
    <cfRule type="cellIs" dxfId="388" priority="402" stopIfTrue="1" operator="equal">
      <formula>"2 - Soft Load"</formula>
    </cfRule>
    <cfRule type="cellIs" dxfId="387" priority="403" stopIfTrue="1" operator="equal">
      <formula>"3 - Not Loaded"</formula>
    </cfRule>
  </conditionalFormatting>
  <conditionalFormatting sqref="AF159">
    <cfRule type="cellIs" dxfId="386" priority="404" stopIfTrue="1" operator="notEqual">
      <formula>"1 - Scheduled"</formula>
    </cfRule>
  </conditionalFormatting>
  <conditionalFormatting sqref="G159:H159">
    <cfRule type="cellIs" dxfId="385" priority="405" stopIfTrue="1" operator="equal">
      <formula>"3 - Green"</formula>
    </cfRule>
    <cfRule type="cellIs" dxfId="384" priority="406" stopIfTrue="1" operator="equal">
      <formula>"2 - Yellow"</formula>
    </cfRule>
    <cfRule type="cellIs" dxfId="383" priority="407" stopIfTrue="1" operator="equal">
      <formula>"1 - Red"</formula>
    </cfRule>
  </conditionalFormatting>
  <conditionalFormatting sqref="A159:B159">
    <cfRule type="cellIs" dxfId="382" priority="408" stopIfTrue="1" operator="equal">
      <formula>#REF!</formula>
    </cfRule>
  </conditionalFormatting>
  <conditionalFormatting sqref="G159">
    <cfRule type="cellIs" dxfId="381" priority="398" stopIfTrue="1" operator="equal">
      <formula>"4 - Complete"</formula>
    </cfRule>
  </conditionalFormatting>
  <conditionalFormatting sqref="J158:AC158 Q159">
    <cfRule type="expression" dxfId="380" priority="388" stopIfTrue="1">
      <formula>ISBLANK(J158)</formula>
    </cfRule>
  </conditionalFormatting>
  <conditionalFormatting sqref="I158">
    <cfRule type="cellIs" dxfId="379" priority="389" stopIfTrue="1" operator="equal">
      <formula>"null"</formula>
    </cfRule>
  </conditionalFormatting>
  <conditionalFormatting sqref="AD158">
    <cfRule type="cellIs" dxfId="378" priority="390" stopIfTrue="1" operator="equal">
      <formula>"1 - Hard Load"</formula>
    </cfRule>
    <cfRule type="cellIs" dxfId="377" priority="391" stopIfTrue="1" operator="equal">
      <formula>"2 - Soft Load"</formula>
    </cfRule>
    <cfRule type="cellIs" dxfId="376" priority="392" stopIfTrue="1" operator="equal">
      <formula>"3 - Not Loaded"</formula>
    </cfRule>
  </conditionalFormatting>
  <conditionalFormatting sqref="AF158">
    <cfRule type="cellIs" dxfId="375" priority="393" stopIfTrue="1" operator="notEqual">
      <formula>"1 - Scheduled"</formula>
    </cfRule>
  </conditionalFormatting>
  <conditionalFormatting sqref="G158:H158">
    <cfRule type="cellIs" dxfId="374" priority="394" stopIfTrue="1" operator="equal">
      <formula>"3 - Green"</formula>
    </cfRule>
    <cfRule type="cellIs" dxfId="373" priority="395" stopIfTrue="1" operator="equal">
      <formula>"2 - Yellow"</formula>
    </cfRule>
    <cfRule type="cellIs" dxfId="372" priority="396" stopIfTrue="1" operator="equal">
      <formula>"1 - Red"</formula>
    </cfRule>
  </conditionalFormatting>
  <conditionalFormatting sqref="A158:B158">
    <cfRule type="cellIs" dxfId="371" priority="397" stopIfTrue="1" operator="equal">
      <formula>#REF!</formula>
    </cfRule>
  </conditionalFormatting>
  <conditionalFormatting sqref="G158">
    <cfRule type="cellIs" dxfId="370" priority="387" stopIfTrue="1" operator="equal">
      <formula>"4 - Complete"</formula>
    </cfRule>
  </conditionalFormatting>
  <conditionalFormatting sqref="J166:AC166 J196:AC196 J195:T195 V195:AC195">
    <cfRule type="expression" dxfId="369" priority="377" stopIfTrue="1">
      <formula>ISBLANK(J166)</formula>
    </cfRule>
  </conditionalFormatting>
  <conditionalFormatting sqref="I166 I195:I196">
    <cfRule type="cellIs" dxfId="368" priority="378" stopIfTrue="1" operator="equal">
      <formula>"null"</formula>
    </cfRule>
  </conditionalFormatting>
  <conditionalFormatting sqref="AD166 AD195:AD196">
    <cfRule type="cellIs" dxfId="367" priority="379" stopIfTrue="1" operator="equal">
      <formula>"1 - Hard Load"</formula>
    </cfRule>
    <cfRule type="cellIs" dxfId="366" priority="380" stopIfTrue="1" operator="equal">
      <formula>"2 - Soft Load"</formula>
    </cfRule>
    <cfRule type="cellIs" dxfId="365" priority="381" stopIfTrue="1" operator="equal">
      <formula>"3 - Not Loaded"</formula>
    </cfRule>
  </conditionalFormatting>
  <conditionalFormatting sqref="AF166 AF195:AF196">
    <cfRule type="cellIs" dxfId="364" priority="382" stopIfTrue="1" operator="notEqual">
      <formula>"1 - Scheduled"</formula>
    </cfRule>
  </conditionalFormatting>
  <conditionalFormatting sqref="G166:H166 G195:H196">
    <cfRule type="cellIs" dxfId="363" priority="383" stopIfTrue="1" operator="equal">
      <formula>"3 - Green"</formula>
    </cfRule>
    <cfRule type="cellIs" dxfId="362" priority="384" stopIfTrue="1" operator="equal">
      <formula>"2 - Yellow"</formula>
    </cfRule>
    <cfRule type="cellIs" dxfId="361" priority="385" stopIfTrue="1" operator="equal">
      <formula>"1 - Red"</formula>
    </cfRule>
  </conditionalFormatting>
  <conditionalFormatting sqref="A166:B166 A195:B196">
    <cfRule type="cellIs" dxfId="360" priority="386" stopIfTrue="1" operator="equal">
      <formula>#REF!</formula>
    </cfRule>
  </conditionalFormatting>
  <conditionalFormatting sqref="G166 G195:G196">
    <cfRule type="cellIs" dxfId="359" priority="376" stopIfTrue="1" operator="equal">
      <formula>"4 - Complete"</formula>
    </cfRule>
  </conditionalFormatting>
  <conditionalFormatting sqref="J165:AC165">
    <cfRule type="expression" dxfId="358" priority="366" stopIfTrue="1">
      <formula>ISBLANK(J165)</formula>
    </cfRule>
  </conditionalFormatting>
  <conditionalFormatting sqref="I165">
    <cfRule type="cellIs" dxfId="357" priority="367" stopIfTrue="1" operator="equal">
      <formula>"null"</formula>
    </cfRule>
  </conditionalFormatting>
  <conditionalFormatting sqref="AD165">
    <cfRule type="cellIs" dxfId="356" priority="368" stopIfTrue="1" operator="equal">
      <formula>"1 - Hard Load"</formula>
    </cfRule>
    <cfRule type="cellIs" dxfId="355" priority="369" stopIfTrue="1" operator="equal">
      <formula>"2 - Soft Load"</formula>
    </cfRule>
    <cfRule type="cellIs" dxfId="354" priority="370" stopIfTrue="1" operator="equal">
      <formula>"3 - Not Loaded"</formula>
    </cfRule>
  </conditionalFormatting>
  <conditionalFormatting sqref="AF165">
    <cfRule type="cellIs" dxfId="353" priority="371" stopIfTrue="1" operator="notEqual">
      <formula>"1 - Scheduled"</formula>
    </cfRule>
  </conditionalFormatting>
  <conditionalFormatting sqref="G165:H165">
    <cfRule type="cellIs" dxfId="352" priority="372" stopIfTrue="1" operator="equal">
      <formula>"3 - Green"</formula>
    </cfRule>
    <cfRule type="cellIs" dxfId="351" priority="373" stopIfTrue="1" operator="equal">
      <formula>"2 - Yellow"</formula>
    </cfRule>
    <cfRule type="cellIs" dxfId="350" priority="374" stopIfTrue="1" operator="equal">
      <formula>"1 - Red"</formula>
    </cfRule>
  </conditionalFormatting>
  <conditionalFormatting sqref="A165:B165">
    <cfRule type="cellIs" dxfId="349" priority="375" stopIfTrue="1" operator="equal">
      <formula>#REF!</formula>
    </cfRule>
  </conditionalFormatting>
  <conditionalFormatting sqref="G165">
    <cfRule type="cellIs" dxfId="348" priority="365" stopIfTrue="1" operator="equal">
      <formula>"4 - Complete"</formula>
    </cfRule>
  </conditionalFormatting>
  <conditionalFormatting sqref="J164:AC164">
    <cfRule type="expression" dxfId="347" priority="355" stopIfTrue="1">
      <formula>ISBLANK(J164)</formula>
    </cfRule>
  </conditionalFormatting>
  <conditionalFormatting sqref="I164">
    <cfRule type="cellIs" dxfId="346" priority="356" stopIfTrue="1" operator="equal">
      <formula>"null"</formula>
    </cfRule>
  </conditionalFormatting>
  <conditionalFormatting sqref="AD164">
    <cfRule type="cellIs" dxfId="345" priority="357" stopIfTrue="1" operator="equal">
      <formula>"1 - Hard Load"</formula>
    </cfRule>
    <cfRule type="cellIs" dxfId="344" priority="358" stopIfTrue="1" operator="equal">
      <formula>"2 - Soft Load"</formula>
    </cfRule>
    <cfRule type="cellIs" dxfId="343" priority="359" stopIfTrue="1" operator="equal">
      <formula>"3 - Not Loaded"</formula>
    </cfRule>
  </conditionalFormatting>
  <conditionalFormatting sqref="AF164">
    <cfRule type="cellIs" dxfId="342" priority="360" stopIfTrue="1" operator="notEqual">
      <formula>"1 - Scheduled"</formula>
    </cfRule>
  </conditionalFormatting>
  <conditionalFormatting sqref="G164:H164">
    <cfRule type="cellIs" dxfId="341" priority="361" stopIfTrue="1" operator="equal">
      <formula>"3 - Green"</formula>
    </cfRule>
    <cfRule type="cellIs" dxfId="340" priority="362" stopIfTrue="1" operator="equal">
      <formula>"2 - Yellow"</formula>
    </cfRule>
    <cfRule type="cellIs" dxfId="339" priority="363" stopIfTrue="1" operator="equal">
      <formula>"1 - Red"</formula>
    </cfRule>
  </conditionalFormatting>
  <conditionalFormatting sqref="A164:B164">
    <cfRule type="cellIs" dxfId="338" priority="364" stopIfTrue="1" operator="equal">
      <formula>#REF!</formula>
    </cfRule>
  </conditionalFormatting>
  <conditionalFormatting sqref="G164">
    <cfRule type="cellIs" dxfId="337" priority="354" stopIfTrue="1" operator="equal">
      <formula>"4 - Complete"</formula>
    </cfRule>
  </conditionalFormatting>
  <conditionalFormatting sqref="J163:AC163">
    <cfRule type="expression" dxfId="336" priority="344" stopIfTrue="1">
      <formula>ISBLANK(J163)</formula>
    </cfRule>
  </conditionalFormatting>
  <conditionalFormatting sqref="I163">
    <cfRule type="cellIs" dxfId="335" priority="345" stopIfTrue="1" operator="equal">
      <formula>"null"</formula>
    </cfRule>
  </conditionalFormatting>
  <conditionalFormatting sqref="AD163">
    <cfRule type="cellIs" dxfId="334" priority="346" stopIfTrue="1" operator="equal">
      <formula>"1 - Hard Load"</formula>
    </cfRule>
    <cfRule type="cellIs" dxfId="333" priority="347" stopIfTrue="1" operator="equal">
      <formula>"2 - Soft Load"</formula>
    </cfRule>
    <cfRule type="cellIs" dxfId="332" priority="348" stopIfTrue="1" operator="equal">
      <formula>"3 - Not Loaded"</formula>
    </cfRule>
  </conditionalFormatting>
  <conditionalFormatting sqref="AF163">
    <cfRule type="cellIs" dxfId="331" priority="349" stopIfTrue="1" operator="notEqual">
      <formula>"1 - Scheduled"</formula>
    </cfRule>
  </conditionalFormatting>
  <conditionalFormatting sqref="G163:H163">
    <cfRule type="cellIs" dxfId="330" priority="350" stopIfTrue="1" operator="equal">
      <formula>"3 - Green"</formula>
    </cfRule>
    <cfRule type="cellIs" dxfId="329" priority="351" stopIfTrue="1" operator="equal">
      <formula>"2 - Yellow"</formula>
    </cfRule>
    <cfRule type="cellIs" dxfId="328" priority="352" stopIfTrue="1" operator="equal">
      <formula>"1 - Red"</formula>
    </cfRule>
  </conditionalFormatting>
  <conditionalFormatting sqref="A163:B163">
    <cfRule type="cellIs" dxfId="327" priority="353" stopIfTrue="1" operator="equal">
      <formula>#REF!</formula>
    </cfRule>
  </conditionalFormatting>
  <conditionalFormatting sqref="G163">
    <cfRule type="cellIs" dxfId="326" priority="343" stopIfTrue="1" operator="equal">
      <formula>"4 - Complete"</formula>
    </cfRule>
  </conditionalFormatting>
  <conditionalFormatting sqref="J162:P162 R162:AC162">
    <cfRule type="expression" dxfId="325" priority="333" stopIfTrue="1">
      <formula>ISBLANK(J162)</formula>
    </cfRule>
  </conditionalFormatting>
  <conditionalFormatting sqref="I162">
    <cfRule type="cellIs" dxfId="324" priority="334" stopIfTrue="1" operator="equal">
      <formula>"null"</formula>
    </cfRule>
  </conditionalFormatting>
  <conditionalFormatting sqref="AD162">
    <cfRule type="cellIs" dxfId="323" priority="335" stopIfTrue="1" operator="equal">
      <formula>"1 - Hard Load"</formula>
    </cfRule>
    <cfRule type="cellIs" dxfId="322" priority="336" stopIfTrue="1" operator="equal">
      <formula>"2 - Soft Load"</formula>
    </cfRule>
    <cfRule type="cellIs" dxfId="321" priority="337" stopIfTrue="1" operator="equal">
      <formula>"3 - Not Loaded"</formula>
    </cfRule>
  </conditionalFormatting>
  <conditionalFormatting sqref="AF162">
    <cfRule type="cellIs" dxfId="320" priority="338" stopIfTrue="1" operator="notEqual">
      <formula>"1 - Scheduled"</formula>
    </cfRule>
  </conditionalFormatting>
  <conditionalFormatting sqref="G162:H162">
    <cfRule type="cellIs" dxfId="319" priority="339" stopIfTrue="1" operator="equal">
      <formula>"3 - Green"</formula>
    </cfRule>
    <cfRule type="cellIs" dxfId="318" priority="340" stopIfTrue="1" operator="equal">
      <formula>"2 - Yellow"</formula>
    </cfRule>
    <cfRule type="cellIs" dxfId="317" priority="341" stopIfTrue="1" operator="equal">
      <formula>"1 - Red"</formula>
    </cfRule>
  </conditionalFormatting>
  <conditionalFormatting sqref="A162:B162">
    <cfRule type="cellIs" dxfId="316" priority="342" stopIfTrue="1" operator="equal">
      <formula>#REF!</formula>
    </cfRule>
  </conditionalFormatting>
  <conditionalFormatting sqref="G162">
    <cfRule type="cellIs" dxfId="315" priority="332" stopIfTrue="1" operator="equal">
      <formula>"4 - Complete"</formula>
    </cfRule>
  </conditionalFormatting>
  <conditionalFormatting sqref="Q162">
    <cfRule type="expression" dxfId="314" priority="322" stopIfTrue="1">
      <formula>ISBLANK(Q162)</formula>
    </cfRule>
  </conditionalFormatting>
  <conditionalFormatting sqref="Z85">
    <cfRule type="expression" dxfId="313" priority="320" stopIfTrue="1">
      <formula>ISBLANK(Z85)</formula>
    </cfRule>
  </conditionalFormatting>
  <conditionalFormatting sqref="Z93">
    <cfRule type="expression" dxfId="312" priority="319" stopIfTrue="1">
      <formula>ISBLANK(Z93)</formula>
    </cfRule>
  </conditionalFormatting>
  <conditionalFormatting sqref="Z140">
    <cfRule type="expression" dxfId="311" priority="318" stopIfTrue="1">
      <formula>ISBLANK(Z140)</formula>
    </cfRule>
  </conditionalFormatting>
  <conditionalFormatting sqref="Z141">
    <cfRule type="expression" dxfId="310" priority="317" stopIfTrue="1">
      <formula>ISBLANK(Z141)</formula>
    </cfRule>
  </conditionalFormatting>
  <conditionalFormatting sqref="Z132">
    <cfRule type="expression" dxfId="309" priority="316" stopIfTrue="1">
      <formula>ISBLANK(Z132)</formula>
    </cfRule>
  </conditionalFormatting>
  <conditionalFormatting sqref="J187:AC187 J181:P181 R181:AC181">
    <cfRule type="expression" dxfId="308" priority="306" stopIfTrue="1">
      <formula>ISBLANK(J181)</formula>
    </cfRule>
  </conditionalFormatting>
  <conditionalFormatting sqref="I181 I187">
    <cfRule type="cellIs" dxfId="307" priority="307" stopIfTrue="1" operator="equal">
      <formula>"null"</formula>
    </cfRule>
  </conditionalFormatting>
  <conditionalFormatting sqref="AD181 AD187">
    <cfRule type="cellIs" dxfId="306" priority="308" stopIfTrue="1" operator="equal">
      <formula>"1 - Hard Load"</formula>
    </cfRule>
    <cfRule type="cellIs" dxfId="305" priority="309" stopIfTrue="1" operator="equal">
      <formula>"2 - Soft Load"</formula>
    </cfRule>
    <cfRule type="cellIs" dxfId="304" priority="310" stopIfTrue="1" operator="equal">
      <formula>"3 - Not Loaded"</formula>
    </cfRule>
  </conditionalFormatting>
  <conditionalFormatting sqref="AF181 AF187">
    <cfRule type="cellIs" dxfId="303" priority="311" stopIfTrue="1" operator="notEqual">
      <formula>"1 - Scheduled"</formula>
    </cfRule>
  </conditionalFormatting>
  <conditionalFormatting sqref="G181:H181 G187:H187">
    <cfRule type="cellIs" dxfId="302" priority="312" stopIfTrue="1" operator="equal">
      <formula>"3 - Green"</formula>
    </cfRule>
    <cfRule type="cellIs" dxfId="301" priority="313" stopIfTrue="1" operator="equal">
      <formula>"2 - Yellow"</formula>
    </cfRule>
    <cfRule type="cellIs" dxfId="300" priority="314" stopIfTrue="1" operator="equal">
      <formula>"1 - Red"</formula>
    </cfRule>
  </conditionalFormatting>
  <conditionalFormatting sqref="A181:B181 A187:B187">
    <cfRule type="cellIs" dxfId="299" priority="315" stopIfTrue="1" operator="equal">
      <formula>#REF!</formula>
    </cfRule>
  </conditionalFormatting>
  <conditionalFormatting sqref="G181 G187">
    <cfRule type="cellIs" dxfId="298" priority="305" stopIfTrue="1" operator="equal">
      <formula>"4 - Complete"</formula>
    </cfRule>
  </conditionalFormatting>
  <conditionalFormatting sqref="J180:AC180 Q181">
    <cfRule type="expression" dxfId="297" priority="295" stopIfTrue="1">
      <formula>ISBLANK(J180)</formula>
    </cfRule>
  </conditionalFormatting>
  <conditionalFormatting sqref="I180">
    <cfRule type="cellIs" dxfId="296" priority="296" stopIfTrue="1" operator="equal">
      <formula>"null"</formula>
    </cfRule>
  </conditionalFormatting>
  <conditionalFormatting sqref="AD180">
    <cfRule type="cellIs" dxfId="295" priority="297" stopIfTrue="1" operator="equal">
      <formula>"1 - Hard Load"</formula>
    </cfRule>
    <cfRule type="cellIs" dxfId="294" priority="298" stopIfTrue="1" operator="equal">
      <formula>"2 - Soft Load"</formula>
    </cfRule>
    <cfRule type="cellIs" dxfId="293" priority="299" stopIfTrue="1" operator="equal">
      <formula>"3 - Not Loaded"</formula>
    </cfRule>
  </conditionalFormatting>
  <conditionalFormatting sqref="AF180">
    <cfRule type="cellIs" dxfId="292" priority="300" stopIfTrue="1" operator="notEqual">
      <formula>"1 - Scheduled"</formula>
    </cfRule>
  </conditionalFormatting>
  <conditionalFormatting sqref="G180:H180">
    <cfRule type="cellIs" dxfId="291" priority="301" stopIfTrue="1" operator="equal">
      <formula>"3 - Green"</formula>
    </cfRule>
    <cfRule type="cellIs" dxfId="290" priority="302" stopIfTrue="1" operator="equal">
      <formula>"2 - Yellow"</formula>
    </cfRule>
    <cfRule type="cellIs" dxfId="289" priority="303" stopIfTrue="1" operator="equal">
      <formula>"1 - Red"</formula>
    </cfRule>
  </conditionalFormatting>
  <conditionalFormatting sqref="A180:B180">
    <cfRule type="cellIs" dxfId="288" priority="304" stopIfTrue="1" operator="equal">
      <formula>#REF!</formula>
    </cfRule>
  </conditionalFormatting>
  <conditionalFormatting sqref="G180">
    <cfRule type="cellIs" dxfId="287" priority="294" stopIfTrue="1" operator="equal">
      <formula>"4 - Complete"</formula>
    </cfRule>
  </conditionalFormatting>
  <conditionalFormatting sqref="J179:AC179">
    <cfRule type="expression" dxfId="286" priority="284" stopIfTrue="1">
      <formula>ISBLANK(J179)</formula>
    </cfRule>
  </conditionalFormatting>
  <conditionalFormatting sqref="I179">
    <cfRule type="cellIs" dxfId="285" priority="285" stopIfTrue="1" operator="equal">
      <formula>"null"</formula>
    </cfRule>
  </conditionalFormatting>
  <conditionalFormatting sqref="AD179">
    <cfRule type="cellIs" dxfId="284" priority="286" stopIfTrue="1" operator="equal">
      <formula>"1 - Hard Load"</formula>
    </cfRule>
    <cfRule type="cellIs" dxfId="283" priority="287" stopIfTrue="1" operator="equal">
      <formula>"2 - Soft Load"</formula>
    </cfRule>
    <cfRule type="cellIs" dxfId="282" priority="288" stopIfTrue="1" operator="equal">
      <formula>"3 - Not Loaded"</formula>
    </cfRule>
  </conditionalFormatting>
  <conditionalFormatting sqref="AF179">
    <cfRule type="cellIs" dxfId="281" priority="289" stopIfTrue="1" operator="notEqual">
      <formula>"1 - Scheduled"</formula>
    </cfRule>
  </conditionalFormatting>
  <conditionalFormatting sqref="G179:H179">
    <cfRule type="cellIs" dxfId="280" priority="290" stopIfTrue="1" operator="equal">
      <formula>"3 - Green"</formula>
    </cfRule>
    <cfRule type="cellIs" dxfId="279" priority="291" stopIfTrue="1" operator="equal">
      <formula>"2 - Yellow"</formula>
    </cfRule>
    <cfRule type="cellIs" dxfId="278" priority="292" stopIfTrue="1" operator="equal">
      <formula>"1 - Red"</formula>
    </cfRule>
  </conditionalFormatting>
  <conditionalFormatting sqref="A179:B179">
    <cfRule type="cellIs" dxfId="277" priority="293" stopIfTrue="1" operator="equal">
      <formula>#REF!</formula>
    </cfRule>
  </conditionalFormatting>
  <conditionalFormatting sqref="G179">
    <cfRule type="cellIs" dxfId="276" priority="283" stopIfTrue="1" operator="equal">
      <formula>"4 - Complete"</formula>
    </cfRule>
  </conditionalFormatting>
  <conditionalFormatting sqref="J177:AC178">
    <cfRule type="expression" dxfId="275" priority="273" stopIfTrue="1">
      <formula>ISBLANK(J177)</formula>
    </cfRule>
  </conditionalFormatting>
  <conditionalFormatting sqref="I177:I178">
    <cfRule type="cellIs" dxfId="274" priority="274" stopIfTrue="1" operator="equal">
      <formula>"null"</formula>
    </cfRule>
  </conditionalFormatting>
  <conditionalFormatting sqref="AD177:AD178">
    <cfRule type="cellIs" dxfId="273" priority="275" stopIfTrue="1" operator="equal">
      <formula>"1 - Hard Load"</formula>
    </cfRule>
    <cfRule type="cellIs" dxfId="272" priority="276" stopIfTrue="1" operator="equal">
      <formula>"2 - Soft Load"</formula>
    </cfRule>
    <cfRule type="cellIs" dxfId="271" priority="277" stopIfTrue="1" operator="equal">
      <formula>"3 - Not Loaded"</formula>
    </cfRule>
  </conditionalFormatting>
  <conditionalFormatting sqref="AF177:AF178">
    <cfRule type="cellIs" dxfId="270" priority="278" stopIfTrue="1" operator="notEqual">
      <formula>"1 - Scheduled"</formula>
    </cfRule>
  </conditionalFormatting>
  <conditionalFormatting sqref="G177:H178">
    <cfRule type="cellIs" dxfId="269" priority="279" stopIfTrue="1" operator="equal">
      <formula>"3 - Green"</formula>
    </cfRule>
    <cfRule type="cellIs" dxfId="268" priority="280" stopIfTrue="1" operator="equal">
      <formula>"2 - Yellow"</formula>
    </cfRule>
    <cfRule type="cellIs" dxfId="267" priority="281" stopIfTrue="1" operator="equal">
      <formula>"1 - Red"</formula>
    </cfRule>
  </conditionalFormatting>
  <conditionalFormatting sqref="A177:B178">
    <cfRule type="cellIs" dxfId="266" priority="282" stopIfTrue="1" operator="equal">
      <formula>#REF!</formula>
    </cfRule>
  </conditionalFormatting>
  <conditionalFormatting sqref="G177:G178">
    <cfRule type="cellIs" dxfId="265" priority="272" stopIfTrue="1" operator="equal">
      <formula>"4 - Complete"</formula>
    </cfRule>
  </conditionalFormatting>
  <conditionalFormatting sqref="J176:AC176">
    <cfRule type="expression" dxfId="264" priority="262" stopIfTrue="1">
      <formula>ISBLANK(J176)</formula>
    </cfRule>
  </conditionalFormatting>
  <conditionalFormatting sqref="I176">
    <cfRule type="cellIs" dxfId="263" priority="263" stopIfTrue="1" operator="equal">
      <formula>"null"</formula>
    </cfRule>
  </conditionalFormatting>
  <conditionalFormatting sqref="AD176">
    <cfRule type="cellIs" dxfId="262" priority="264" stopIfTrue="1" operator="equal">
      <formula>"1 - Hard Load"</formula>
    </cfRule>
    <cfRule type="cellIs" dxfId="261" priority="265" stopIfTrue="1" operator="equal">
      <formula>"2 - Soft Load"</formula>
    </cfRule>
    <cfRule type="cellIs" dxfId="260" priority="266" stopIfTrue="1" operator="equal">
      <formula>"3 - Not Loaded"</formula>
    </cfRule>
  </conditionalFormatting>
  <conditionalFormatting sqref="AF176">
    <cfRule type="cellIs" dxfId="259" priority="267" stopIfTrue="1" operator="notEqual">
      <formula>"1 - Scheduled"</formula>
    </cfRule>
  </conditionalFormatting>
  <conditionalFormatting sqref="G176:H176">
    <cfRule type="cellIs" dxfId="258" priority="268" stopIfTrue="1" operator="equal">
      <formula>"3 - Green"</formula>
    </cfRule>
    <cfRule type="cellIs" dxfId="257" priority="269" stopIfTrue="1" operator="equal">
      <formula>"2 - Yellow"</formula>
    </cfRule>
    <cfRule type="cellIs" dxfId="256" priority="270" stopIfTrue="1" operator="equal">
      <formula>"1 - Red"</formula>
    </cfRule>
  </conditionalFormatting>
  <conditionalFormatting sqref="A176:B176">
    <cfRule type="cellIs" dxfId="255" priority="271" stopIfTrue="1" operator="equal">
      <formula>#REF!</formula>
    </cfRule>
  </conditionalFormatting>
  <conditionalFormatting sqref="G176">
    <cfRule type="cellIs" dxfId="254" priority="261" stopIfTrue="1" operator="equal">
      <formula>"4 - Complete"</formula>
    </cfRule>
  </conditionalFormatting>
  <conditionalFormatting sqref="J175:AC175 J174:P174 R174:AC174">
    <cfRule type="expression" dxfId="253" priority="251" stopIfTrue="1">
      <formula>ISBLANK(J174)</formula>
    </cfRule>
  </conditionalFormatting>
  <conditionalFormatting sqref="I175">
    <cfRule type="cellIs" dxfId="252" priority="252" stopIfTrue="1" operator="equal">
      <formula>"null"</formula>
    </cfRule>
  </conditionalFormatting>
  <conditionalFormatting sqref="AD174:AD175">
    <cfRule type="cellIs" dxfId="251" priority="253" stopIfTrue="1" operator="equal">
      <formula>"1 - Hard Load"</formula>
    </cfRule>
    <cfRule type="cellIs" dxfId="250" priority="254" stopIfTrue="1" operator="equal">
      <formula>"2 - Soft Load"</formula>
    </cfRule>
    <cfRule type="cellIs" dxfId="249" priority="255" stopIfTrue="1" operator="equal">
      <formula>"3 - Not Loaded"</formula>
    </cfRule>
  </conditionalFormatting>
  <conditionalFormatting sqref="AF174:AF175">
    <cfRule type="cellIs" dxfId="248" priority="256" stopIfTrue="1" operator="notEqual">
      <formula>"1 - Scheduled"</formula>
    </cfRule>
  </conditionalFormatting>
  <conditionalFormatting sqref="G174:H175">
    <cfRule type="cellIs" dxfId="247" priority="257" stopIfTrue="1" operator="equal">
      <formula>"3 - Green"</formula>
    </cfRule>
    <cfRule type="cellIs" dxfId="246" priority="258" stopIfTrue="1" operator="equal">
      <formula>"2 - Yellow"</formula>
    </cfRule>
    <cfRule type="cellIs" dxfId="245" priority="259" stopIfTrue="1" operator="equal">
      <formula>"1 - Red"</formula>
    </cfRule>
  </conditionalFormatting>
  <conditionalFormatting sqref="A174:B175">
    <cfRule type="cellIs" dxfId="244" priority="260" stopIfTrue="1" operator="equal">
      <formula>#REF!</formula>
    </cfRule>
  </conditionalFormatting>
  <conditionalFormatting sqref="G174:G175">
    <cfRule type="cellIs" dxfId="243" priority="250" stopIfTrue="1" operator="equal">
      <formula>"4 - Complete"</formula>
    </cfRule>
  </conditionalFormatting>
  <conditionalFormatting sqref="J172:AC172 J173:P173 R173:W173 Q174 Y173:AC173">
    <cfRule type="expression" dxfId="242" priority="240" stopIfTrue="1">
      <formula>ISBLANK(J172)</formula>
    </cfRule>
  </conditionalFormatting>
  <conditionalFormatting sqref="I172:I174">
    <cfRule type="cellIs" dxfId="241" priority="241" stopIfTrue="1" operator="equal">
      <formula>"null"</formula>
    </cfRule>
  </conditionalFormatting>
  <conditionalFormatting sqref="AD172:AD173">
    <cfRule type="cellIs" dxfId="240" priority="242" stopIfTrue="1" operator="equal">
      <formula>"1 - Hard Load"</formula>
    </cfRule>
    <cfRule type="cellIs" dxfId="239" priority="243" stopIfTrue="1" operator="equal">
      <formula>"2 - Soft Load"</formula>
    </cfRule>
    <cfRule type="cellIs" dxfId="238" priority="244" stopIfTrue="1" operator="equal">
      <formula>"3 - Not Loaded"</formula>
    </cfRule>
  </conditionalFormatting>
  <conditionalFormatting sqref="AF172:AF173">
    <cfRule type="cellIs" dxfId="237" priority="245" stopIfTrue="1" operator="notEqual">
      <formula>"1 - Scheduled"</formula>
    </cfRule>
  </conditionalFormatting>
  <conditionalFormatting sqref="G172:H173">
    <cfRule type="cellIs" dxfId="236" priority="246" stopIfTrue="1" operator="equal">
      <formula>"3 - Green"</formula>
    </cfRule>
    <cfRule type="cellIs" dxfId="235" priority="247" stopIfTrue="1" operator="equal">
      <formula>"2 - Yellow"</formula>
    </cfRule>
    <cfRule type="cellIs" dxfId="234" priority="248" stopIfTrue="1" operator="equal">
      <formula>"1 - Red"</formula>
    </cfRule>
  </conditionalFormatting>
  <conditionalFormatting sqref="A172:B173">
    <cfRule type="cellIs" dxfId="233" priority="249" stopIfTrue="1" operator="equal">
      <formula>#REF!</formula>
    </cfRule>
  </conditionalFormatting>
  <conditionalFormatting sqref="G172:G173">
    <cfRule type="cellIs" dxfId="232" priority="239" stopIfTrue="1" operator="equal">
      <formula>"4 - Complete"</formula>
    </cfRule>
  </conditionalFormatting>
  <conditionalFormatting sqref="J171:AC171">
    <cfRule type="expression" dxfId="231" priority="229" stopIfTrue="1">
      <formula>ISBLANK(J171)</formula>
    </cfRule>
  </conditionalFormatting>
  <conditionalFormatting sqref="I171">
    <cfRule type="cellIs" dxfId="230" priority="230" stopIfTrue="1" operator="equal">
      <formula>"null"</formula>
    </cfRule>
  </conditionalFormatting>
  <conditionalFormatting sqref="AD171">
    <cfRule type="cellIs" dxfId="229" priority="231" stopIfTrue="1" operator="equal">
      <formula>"1 - Hard Load"</formula>
    </cfRule>
    <cfRule type="cellIs" dxfId="228" priority="232" stopIfTrue="1" operator="equal">
      <formula>"2 - Soft Load"</formula>
    </cfRule>
    <cfRule type="cellIs" dxfId="227" priority="233" stopIfTrue="1" operator="equal">
      <formula>"3 - Not Loaded"</formula>
    </cfRule>
  </conditionalFormatting>
  <conditionalFormatting sqref="AF171">
    <cfRule type="cellIs" dxfId="226" priority="234" stopIfTrue="1" operator="notEqual">
      <formula>"1 - Scheduled"</formula>
    </cfRule>
  </conditionalFormatting>
  <conditionalFormatting sqref="G171:H171">
    <cfRule type="cellIs" dxfId="225" priority="235" stopIfTrue="1" operator="equal">
      <formula>"3 - Green"</formula>
    </cfRule>
    <cfRule type="cellIs" dxfId="224" priority="236" stopIfTrue="1" operator="equal">
      <formula>"2 - Yellow"</formula>
    </cfRule>
    <cfRule type="cellIs" dxfId="223" priority="237" stopIfTrue="1" operator="equal">
      <formula>"1 - Red"</formula>
    </cfRule>
  </conditionalFormatting>
  <conditionalFormatting sqref="A171:B171">
    <cfRule type="cellIs" dxfId="222" priority="238" stopIfTrue="1" operator="equal">
      <formula>#REF!</formula>
    </cfRule>
  </conditionalFormatting>
  <conditionalFormatting sqref="G171">
    <cfRule type="cellIs" dxfId="221" priority="228" stopIfTrue="1" operator="equal">
      <formula>"4 - Complete"</formula>
    </cfRule>
  </conditionalFormatting>
  <conditionalFormatting sqref="J170:AC170">
    <cfRule type="expression" dxfId="220" priority="218" stopIfTrue="1">
      <formula>ISBLANK(J170)</formula>
    </cfRule>
  </conditionalFormatting>
  <conditionalFormatting sqref="I170">
    <cfRule type="cellIs" dxfId="219" priority="219" stopIfTrue="1" operator="equal">
      <formula>"null"</formula>
    </cfRule>
  </conditionalFormatting>
  <conditionalFormatting sqref="AD170">
    <cfRule type="cellIs" dxfId="218" priority="220" stopIfTrue="1" operator="equal">
      <formula>"1 - Hard Load"</formula>
    </cfRule>
    <cfRule type="cellIs" dxfId="217" priority="221" stopIfTrue="1" operator="equal">
      <formula>"2 - Soft Load"</formula>
    </cfRule>
    <cfRule type="cellIs" dxfId="216" priority="222" stopIfTrue="1" operator="equal">
      <formula>"3 - Not Loaded"</formula>
    </cfRule>
  </conditionalFormatting>
  <conditionalFormatting sqref="AF170">
    <cfRule type="cellIs" dxfId="215" priority="223" stopIfTrue="1" operator="notEqual">
      <formula>"1 - Scheduled"</formula>
    </cfRule>
  </conditionalFormatting>
  <conditionalFormatting sqref="G170:H170">
    <cfRule type="cellIs" dxfId="214" priority="224" stopIfTrue="1" operator="equal">
      <formula>"3 - Green"</formula>
    </cfRule>
    <cfRule type="cellIs" dxfId="213" priority="225" stopIfTrue="1" operator="equal">
      <formula>"2 - Yellow"</formula>
    </cfRule>
    <cfRule type="cellIs" dxfId="212" priority="226" stopIfTrue="1" operator="equal">
      <formula>"1 - Red"</formula>
    </cfRule>
  </conditionalFormatting>
  <conditionalFormatting sqref="A170:B170">
    <cfRule type="cellIs" dxfId="211" priority="227" stopIfTrue="1" operator="equal">
      <formula>#REF!</formula>
    </cfRule>
  </conditionalFormatting>
  <conditionalFormatting sqref="G170">
    <cfRule type="cellIs" dxfId="210" priority="217" stopIfTrue="1" operator="equal">
      <formula>"4 - Complete"</formula>
    </cfRule>
  </conditionalFormatting>
  <conditionalFormatting sqref="J167:AC167 J169:AC169">
    <cfRule type="expression" dxfId="209" priority="207" stopIfTrue="1">
      <formula>ISBLANK(J167)</formula>
    </cfRule>
  </conditionalFormatting>
  <conditionalFormatting sqref="I167 I169">
    <cfRule type="cellIs" dxfId="208" priority="208" stopIfTrue="1" operator="equal">
      <formula>"null"</formula>
    </cfRule>
  </conditionalFormatting>
  <conditionalFormatting sqref="AD167 AD169">
    <cfRule type="cellIs" dxfId="207" priority="209" stopIfTrue="1" operator="equal">
      <formula>"1 - Hard Load"</formula>
    </cfRule>
    <cfRule type="cellIs" dxfId="206" priority="210" stopIfTrue="1" operator="equal">
      <formula>"2 - Soft Load"</formula>
    </cfRule>
    <cfRule type="cellIs" dxfId="205" priority="211" stopIfTrue="1" operator="equal">
      <formula>"3 - Not Loaded"</formula>
    </cfRule>
  </conditionalFormatting>
  <conditionalFormatting sqref="AF167 AF169">
    <cfRule type="cellIs" dxfId="204" priority="212" stopIfTrue="1" operator="notEqual">
      <formula>"1 - Scheduled"</formula>
    </cfRule>
  </conditionalFormatting>
  <conditionalFormatting sqref="G167:H167 G169:H169">
    <cfRule type="cellIs" dxfId="203" priority="213" stopIfTrue="1" operator="equal">
      <formula>"3 - Green"</formula>
    </cfRule>
    <cfRule type="cellIs" dxfId="202" priority="214" stopIfTrue="1" operator="equal">
      <formula>"2 - Yellow"</formula>
    </cfRule>
    <cfRule type="cellIs" dxfId="201" priority="215" stopIfTrue="1" operator="equal">
      <formula>"1 - Red"</formula>
    </cfRule>
  </conditionalFormatting>
  <conditionalFormatting sqref="A167:B167 A169:B169">
    <cfRule type="cellIs" dxfId="200" priority="216" stopIfTrue="1" operator="equal">
      <formula>#REF!</formula>
    </cfRule>
  </conditionalFormatting>
  <conditionalFormatting sqref="G167 G169">
    <cfRule type="cellIs" dxfId="199" priority="206" stopIfTrue="1" operator="equal">
      <formula>"4 - Complete"</formula>
    </cfRule>
  </conditionalFormatting>
  <conditionalFormatting sqref="J186:AC186">
    <cfRule type="expression" dxfId="198" priority="196" stopIfTrue="1">
      <formula>ISBLANK(J186)</formula>
    </cfRule>
  </conditionalFormatting>
  <conditionalFormatting sqref="I186">
    <cfRule type="cellIs" dxfId="197" priority="197" stopIfTrue="1" operator="equal">
      <formula>"null"</formula>
    </cfRule>
  </conditionalFormatting>
  <conditionalFormatting sqref="AD186">
    <cfRule type="cellIs" dxfId="196" priority="198" stopIfTrue="1" operator="equal">
      <formula>"1 - Hard Load"</formula>
    </cfRule>
    <cfRule type="cellIs" dxfId="195" priority="199" stopIfTrue="1" operator="equal">
      <formula>"2 - Soft Load"</formula>
    </cfRule>
    <cfRule type="cellIs" dxfId="194" priority="200" stopIfTrue="1" operator="equal">
      <formula>"3 - Not Loaded"</formula>
    </cfRule>
  </conditionalFormatting>
  <conditionalFormatting sqref="AF186">
    <cfRule type="cellIs" dxfId="193" priority="201" stopIfTrue="1" operator="notEqual">
      <formula>"1 - Scheduled"</formula>
    </cfRule>
  </conditionalFormatting>
  <conditionalFormatting sqref="G186:H186">
    <cfRule type="cellIs" dxfId="192" priority="202" stopIfTrue="1" operator="equal">
      <formula>"3 - Green"</formula>
    </cfRule>
    <cfRule type="cellIs" dxfId="191" priority="203" stopIfTrue="1" operator="equal">
      <formula>"2 - Yellow"</formula>
    </cfRule>
    <cfRule type="cellIs" dxfId="190" priority="204" stopIfTrue="1" operator="equal">
      <formula>"1 - Red"</formula>
    </cfRule>
  </conditionalFormatting>
  <conditionalFormatting sqref="A186:B186">
    <cfRule type="cellIs" dxfId="189" priority="205" stopIfTrue="1" operator="equal">
      <formula>#REF!</formula>
    </cfRule>
  </conditionalFormatting>
  <conditionalFormatting sqref="G186">
    <cfRule type="cellIs" dxfId="188" priority="195" stopIfTrue="1" operator="equal">
      <formula>"4 - Complete"</formula>
    </cfRule>
  </conditionalFormatting>
  <conditionalFormatting sqref="J185:P185 R185:AC185">
    <cfRule type="expression" dxfId="187" priority="185" stopIfTrue="1">
      <formula>ISBLANK(J185)</formula>
    </cfRule>
  </conditionalFormatting>
  <conditionalFormatting sqref="I185">
    <cfRule type="cellIs" dxfId="186" priority="186" stopIfTrue="1" operator="equal">
      <formula>"null"</formula>
    </cfRule>
  </conditionalFormatting>
  <conditionalFormatting sqref="AD185">
    <cfRule type="cellIs" dxfId="185" priority="187" stopIfTrue="1" operator="equal">
      <formula>"1 - Hard Load"</formula>
    </cfRule>
    <cfRule type="cellIs" dxfId="184" priority="188" stopIfTrue="1" operator="equal">
      <formula>"2 - Soft Load"</formula>
    </cfRule>
    <cfRule type="cellIs" dxfId="183" priority="189" stopIfTrue="1" operator="equal">
      <formula>"3 - Not Loaded"</formula>
    </cfRule>
  </conditionalFormatting>
  <conditionalFormatting sqref="AF185">
    <cfRule type="cellIs" dxfId="182" priority="190" stopIfTrue="1" operator="notEqual">
      <formula>"1 - Scheduled"</formula>
    </cfRule>
  </conditionalFormatting>
  <conditionalFormatting sqref="G185:H185">
    <cfRule type="cellIs" dxfId="181" priority="191" stopIfTrue="1" operator="equal">
      <formula>"3 - Green"</formula>
    </cfRule>
    <cfRule type="cellIs" dxfId="180" priority="192" stopIfTrue="1" operator="equal">
      <formula>"2 - Yellow"</formula>
    </cfRule>
    <cfRule type="cellIs" dxfId="179" priority="193" stopIfTrue="1" operator="equal">
      <formula>"1 - Red"</formula>
    </cfRule>
  </conditionalFormatting>
  <conditionalFormatting sqref="A185:B185">
    <cfRule type="cellIs" dxfId="178" priority="194" stopIfTrue="1" operator="equal">
      <formula>#REF!</formula>
    </cfRule>
  </conditionalFormatting>
  <conditionalFormatting sqref="G185">
    <cfRule type="cellIs" dxfId="177" priority="184" stopIfTrue="1" operator="equal">
      <formula>"4 - Complete"</formula>
    </cfRule>
  </conditionalFormatting>
  <conditionalFormatting sqref="J184:AC184 J183:T183 V183:AC183 Q185">
    <cfRule type="expression" dxfId="176" priority="174" stopIfTrue="1">
      <formula>ISBLANK(J183)</formula>
    </cfRule>
  </conditionalFormatting>
  <conditionalFormatting sqref="I183:I184">
    <cfRule type="cellIs" dxfId="175" priority="175" stopIfTrue="1" operator="equal">
      <formula>"null"</formula>
    </cfRule>
  </conditionalFormatting>
  <conditionalFormatting sqref="AD183:AD184">
    <cfRule type="cellIs" dxfId="174" priority="176" stopIfTrue="1" operator="equal">
      <formula>"1 - Hard Load"</formula>
    </cfRule>
    <cfRule type="cellIs" dxfId="173" priority="177" stopIfTrue="1" operator="equal">
      <formula>"2 - Soft Load"</formula>
    </cfRule>
    <cfRule type="cellIs" dxfId="172" priority="178" stopIfTrue="1" operator="equal">
      <formula>"3 - Not Loaded"</formula>
    </cfRule>
  </conditionalFormatting>
  <conditionalFormatting sqref="AF183:AF184">
    <cfRule type="cellIs" dxfId="171" priority="179" stopIfTrue="1" operator="notEqual">
      <formula>"1 - Scheduled"</formula>
    </cfRule>
  </conditionalFormatting>
  <conditionalFormatting sqref="G183:H184">
    <cfRule type="cellIs" dxfId="170" priority="180" stopIfTrue="1" operator="equal">
      <formula>"3 - Green"</formula>
    </cfRule>
    <cfRule type="cellIs" dxfId="169" priority="181" stopIfTrue="1" operator="equal">
      <formula>"2 - Yellow"</formula>
    </cfRule>
    <cfRule type="cellIs" dxfId="168" priority="182" stopIfTrue="1" operator="equal">
      <formula>"1 - Red"</formula>
    </cfRule>
  </conditionalFormatting>
  <conditionalFormatting sqref="A183:B184">
    <cfRule type="cellIs" dxfId="167" priority="183" stopIfTrue="1" operator="equal">
      <formula>#REF!</formula>
    </cfRule>
  </conditionalFormatting>
  <conditionalFormatting sqref="G183:G184">
    <cfRule type="cellIs" dxfId="166" priority="173" stopIfTrue="1" operator="equal">
      <formula>"4 - Complete"</formula>
    </cfRule>
  </conditionalFormatting>
  <conditionalFormatting sqref="J182:AC182 U183">
    <cfRule type="expression" dxfId="165" priority="163" stopIfTrue="1">
      <formula>ISBLANK(J182)</formula>
    </cfRule>
  </conditionalFormatting>
  <conditionalFormatting sqref="I182">
    <cfRule type="cellIs" dxfId="164" priority="164" stopIfTrue="1" operator="equal">
      <formula>"null"</formula>
    </cfRule>
  </conditionalFormatting>
  <conditionalFormatting sqref="AD182">
    <cfRule type="cellIs" dxfId="163" priority="165" stopIfTrue="1" operator="equal">
      <formula>"1 - Hard Load"</formula>
    </cfRule>
    <cfRule type="cellIs" dxfId="162" priority="166" stopIfTrue="1" operator="equal">
      <formula>"2 - Soft Load"</formula>
    </cfRule>
    <cfRule type="cellIs" dxfId="161" priority="167" stopIfTrue="1" operator="equal">
      <formula>"3 - Not Loaded"</formula>
    </cfRule>
  </conditionalFormatting>
  <conditionalFormatting sqref="AF182">
    <cfRule type="cellIs" dxfId="160" priority="168" stopIfTrue="1" operator="notEqual">
      <formula>"1 - Scheduled"</formula>
    </cfRule>
  </conditionalFormatting>
  <conditionalFormatting sqref="G182:H182">
    <cfRule type="cellIs" dxfId="159" priority="169" stopIfTrue="1" operator="equal">
      <formula>"3 - Green"</formula>
    </cfRule>
    <cfRule type="cellIs" dxfId="158" priority="170" stopIfTrue="1" operator="equal">
      <formula>"2 - Yellow"</formula>
    </cfRule>
    <cfRule type="cellIs" dxfId="157" priority="171" stopIfTrue="1" operator="equal">
      <formula>"1 - Red"</formula>
    </cfRule>
  </conditionalFormatting>
  <conditionalFormatting sqref="A182:B182">
    <cfRule type="cellIs" dxfId="156" priority="172" stopIfTrue="1" operator="equal">
      <formula>#REF!</formula>
    </cfRule>
  </conditionalFormatting>
  <conditionalFormatting sqref="G182">
    <cfRule type="cellIs" dxfId="155" priority="162" stopIfTrue="1" operator="equal">
      <formula>"4 - Complete"</formula>
    </cfRule>
  </conditionalFormatting>
  <conditionalFormatting sqref="Q173">
    <cfRule type="expression" dxfId="154" priority="161" stopIfTrue="1">
      <formula>ISBLANK(Q173)</formula>
    </cfRule>
  </conditionalFormatting>
  <conditionalFormatting sqref="X173">
    <cfRule type="expression" dxfId="153" priority="160" stopIfTrue="1">
      <formula>ISBLANK(X173)</formula>
    </cfRule>
  </conditionalFormatting>
  <conditionalFormatting sqref="J192:AC194 U195">
    <cfRule type="expression" dxfId="152" priority="150" stopIfTrue="1">
      <formula>ISBLANK(J192)</formula>
    </cfRule>
  </conditionalFormatting>
  <conditionalFormatting sqref="I192:I194">
    <cfRule type="cellIs" dxfId="151" priority="151" stopIfTrue="1" operator="equal">
      <formula>"null"</formula>
    </cfRule>
  </conditionalFormatting>
  <conditionalFormatting sqref="AD192:AD194">
    <cfRule type="cellIs" dxfId="150" priority="152" stopIfTrue="1" operator="equal">
      <formula>"1 - Hard Load"</formula>
    </cfRule>
    <cfRule type="cellIs" dxfId="149" priority="153" stopIfTrue="1" operator="equal">
      <formula>"2 - Soft Load"</formula>
    </cfRule>
    <cfRule type="cellIs" dxfId="148" priority="154" stopIfTrue="1" operator="equal">
      <formula>"3 - Not Loaded"</formula>
    </cfRule>
  </conditionalFormatting>
  <conditionalFormatting sqref="AF192:AF194">
    <cfRule type="cellIs" dxfId="147" priority="155" stopIfTrue="1" operator="notEqual">
      <formula>"1 - Scheduled"</formula>
    </cfRule>
  </conditionalFormatting>
  <conditionalFormatting sqref="G192:H194">
    <cfRule type="cellIs" dxfId="146" priority="156" stopIfTrue="1" operator="equal">
      <formula>"3 - Green"</formula>
    </cfRule>
    <cfRule type="cellIs" dxfId="145" priority="157" stopIfTrue="1" operator="equal">
      <formula>"2 - Yellow"</formula>
    </cfRule>
    <cfRule type="cellIs" dxfId="144" priority="158" stopIfTrue="1" operator="equal">
      <formula>"1 - Red"</formula>
    </cfRule>
  </conditionalFormatting>
  <conditionalFormatting sqref="A192:B194">
    <cfRule type="cellIs" dxfId="143" priority="159" stopIfTrue="1" operator="equal">
      <formula>#REF!</formula>
    </cfRule>
  </conditionalFormatting>
  <conditionalFormatting sqref="G192:G194">
    <cfRule type="cellIs" dxfId="142" priority="149" stopIfTrue="1" operator="equal">
      <formula>"4 - Complete"</formula>
    </cfRule>
  </conditionalFormatting>
  <conditionalFormatting sqref="J191:AC191">
    <cfRule type="expression" dxfId="141" priority="139" stopIfTrue="1">
      <formula>ISBLANK(J191)</formula>
    </cfRule>
  </conditionalFormatting>
  <conditionalFormatting sqref="I191">
    <cfRule type="cellIs" dxfId="140" priority="140" stopIfTrue="1" operator="equal">
      <formula>"null"</formula>
    </cfRule>
  </conditionalFormatting>
  <conditionalFormatting sqref="AD191">
    <cfRule type="cellIs" dxfId="139" priority="141" stopIfTrue="1" operator="equal">
      <formula>"1 - Hard Load"</formula>
    </cfRule>
    <cfRule type="cellIs" dxfId="138" priority="142" stopIfTrue="1" operator="equal">
      <formula>"2 - Soft Load"</formula>
    </cfRule>
    <cfRule type="cellIs" dxfId="137" priority="143" stopIfTrue="1" operator="equal">
      <formula>"3 - Not Loaded"</formula>
    </cfRule>
  </conditionalFormatting>
  <conditionalFormatting sqref="AF191">
    <cfRule type="cellIs" dxfId="136" priority="144" stopIfTrue="1" operator="notEqual">
      <formula>"1 - Scheduled"</formula>
    </cfRule>
  </conditionalFormatting>
  <conditionalFormatting sqref="G191:H191">
    <cfRule type="cellIs" dxfId="135" priority="145" stopIfTrue="1" operator="equal">
      <formula>"3 - Green"</formula>
    </cfRule>
    <cfRule type="cellIs" dxfId="134" priority="146" stopIfTrue="1" operator="equal">
      <formula>"2 - Yellow"</formula>
    </cfRule>
    <cfRule type="cellIs" dxfId="133" priority="147" stopIfTrue="1" operator="equal">
      <formula>"1 - Red"</formula>
    </cfRule>
  </conditionalFormatting>
  <conditionalFormatting sqref="A191:B191">
    <cfRule type="cellIs" dxfId="132" priority="148" stopIfTrue="1" operator="equal">
      <formula>#REF!</formula>
    </cfRule>
  </conditionalFormatting>
  <conditionalFormatting sqref="G191">
    <cfRule type="cellIs" dxfId="131" priority="138" stopIfTrue="1" operator="equal">
      <formula>"4 - Complete"</formula>
    </cfRule>
  </conditionalFormatting>
  <conditionalFormatting sqref="J190:AC190">
    <cfRule type="expression" dxfId="130" priority="128" stopIfTrue="1">
      <formula>ISBLANK(J190)</formula>
    </cfRule>
  </conditionalFormatting>
  <conditionalFormatting sqref="I190">
    <cfRule type="cellIs" dxfId="129" priority="129" stopIfTrue="1" operator="equal">
      <formula>"null"</formula>
    </cfRule>
  </conditionalFormatting>
  <conditionalFormatting sqref="AD190">
    <cfRule type="cellIs" dxfId="128" priority="130" stopIfTrue="1" operator="equal">
      <formula>"1 - Hard Load"</formula>
    </cfRule>
    <cfRule type="cellIs" dxfId="127" priority="131" stopIfTrue="1" operator="equal">
      <formula>"2 - Soft Load"</formula>
    </cfRule>
    <cfRule type="cellIs" dxfId="126" priority="132" stopIfTrue="1" operator="equal">
      <formula>"3 - Not Loaded"</formula>
    </cfRule>
  </conditionalFormatting>
  <conditionalFormatting sqref="AF190">
    <cfRule type="cellIs" dxfId="125" priority="133" stopIfTrue="1" operator="notEqual">
      <formula>"1 - Scheduled"</formula>
    </cfRule>
  </conditionalFormatting>
  <conditionalFormatting sqref="G190:H190">
    <cfRule type="cellIs" dxfId="124" priority="134" stopIfTrue="1" operator="equal">
      <formula>"3 - Green"</formula>
    </cfRule>
    <cfRule type="cellIs" dxfId="123" priority="135" stopIfTrue="1" operator="equal">
      <formula>"2 - Yellow"</formula>
    </cfRule>
    <cfRule type="cellIs" dxfId="122" priority="136" stopIfTrue="1" operator="equal">
      <formula>"1 - Red"</formula>
    </cfRule>
  </conditionalFormatting>
  <conditionalFormatting sqref="A190:B190">
    <cfRule type="cellIs" dxfId="121" priority="137" stopIfTrue="1" operator="equal">
      <formula>#REF!</formula>
    </cfRule>
  </conditionalFormatting>
  <conditionalFormatting sqref="G190">
    <cfRule type="cellIs" dxfId="120" priority="127" stopIfTrue="1" operator="equal">
      <formula>"4 - Complete"</formula>
    </cfRule>
  </conditionalFormatting>
  <conditionalFormatting sqref="J188:AC189">
    <cfRule type="expression" dxfId="119" priority="117" stopIfTrue="1">
      <formula>ISBLANK(J188)</formula>
    </cfRule>
  </conditionalFormatting>
  <conditionalFormatting sqref="I188:I189">
    <cfRule type="cellIs" dxfId="118" priority="118" stopIfTrue="1" operator="equal">
      <formula>"null"</formula>
    </cfRule>
  </conditionalFormatting>
  <conditionalFormatting sqref="AD188:AD189">
    <cfRule type="cellIs" dxfId="117" priority="119" stopIfTrue="1" operator="equal">
      <formula>"1 - Hard Load"</formula>
    </cfRule>
    <cfRule type="cellIs" dxfId="116" priority="120" stopIfTrue="1" operator="equal">
      <formula>"2 - Soft Load"</formula>
    </cfRule>
    <cfRule type="cellIs" dxfId="115" priority="121" stopIfTrue="1" operator="equal">
      <formula>"3 - Not Loaded"</formula>
    </cfRule>
  </conditionalFormatting>
  <conditionalFormatting sqref="AF188:AF189">
    <cfRule type="cellIs" dxfId="114" priority="122" stopIfTrue="1" operator="notEqual">
      <formula>"1 - Scheduled"</formula>
    </cfRule>
  </conditionalFormatting>
  <conditionalFormatting sqref="G188:H189">
    <cfRule type="cellIs" dxfId="113" priority="123" stopIfTrue="1" operator="equal">
      <formula>"3 - Green"</formula>
    </cfRule>
    <cfRule type="cellIs" dxfId="112" priority="124" stopIfTrue="1" operator="equal">
      <formula>"2 - Yellow"</formula>
    </cfRule>
    <cfRule type="cellIs" dxfId="111" priority="125" stopIfTrue="1" operator="equal">
      <formula>"1 - Red"</formula>
    </cfRule>
  </conditionalFormatting>
  <conditionalFormatting sqref="A188:B189">
    <cfRule type="cellIs" dxfId="110" priority="126" stopIfTrue="1" operator="equal">
      <formula>#REF!</formula>
    </cfRule>
  </conditionalFormatting>
  <conditionalFormatting sqref="G188:G189">
    <cfRule type="cellIs" dxfId="109" priority="116" stopIfTrue="1" operator="equal">
      <formula>"4 - Complete"</formula>
    </cfRule>
  </conditionalFormatting>
  <conditionalFormatting sqref="G98">
    <cfRule type="cellIs" dxfId="108" priority="105" stopIfTrue="1" operator="equal">
      <formula>"3 - Green"</formula>
    </cfRule>
    <cfRule type="cellIs" dxfId="107" priority="106" stopIfTrue="1" operator="equal">
      <formula>"2 - Yellow"</formula>
    </cfRule>
    <cfRule type="cellIs" dxfId="106" priority="107" stopIfTrue="1" operator="equal">
      <formula>"1 - Red"</formula>
    </cfRule>
  </conditionalFormatting>
  <conditionalFormatting sqref="G98">
    <cfRule type="cellIs" dxfId="105" priority="104" stopIfTrue="1" operator="equal">
      <formula>"4 - Complete"</formula>
    </cfRule>
  </conditionalFormatting>
  <conditionalFormatting sqref="J199:AC201">
    <cfRule type="expression" dxfId="104" priority="94" stopIfTrue="1">
      <formula>ISBLANK(J199)</formula>
    </cfRule>
  </conditionalFormatting>
  <conditionalFormatting sqref="I199:I201">
    <cfRule type="cellIs" dxfId="103" priority="95" stopIfTrue="1" operator="equal">
      <formula>"null"</formula>
    </cfRule>
  </conditionalFormatting>
  <conditionalFormatting sqref="AD199:AD201">
    <cfRule type="cellIs" dxfId="102" priority="96" stopIfTrue="1" operator="equal">
      <formula>"1 - Hard Load"</formula>
    </cfRule>
    <cfRule type="cellIs" dxfId="101" priority="97" stopIfTrue="1" operator="equal">
      <formula>"2 - Soft Load"</formula>
    </cfRule>
    <cfRule type="cellIs" dxfId="100" priority="98" stopIfTrue="1" operator="equal">
      <formula>"3 - Not Loaded"</formula>
    </cfRule>
  </conditionalFormatting>
  <conditionalFormatting sqref="AF199:AF201">
    <cfRule type="cellIs" dxfId="99" priority="99" stopIfTrue="1" operator="notEqual">
      <formula>"1 - Scheduled"</formula>
    </cfRule>
  </conditionalFormatting>
  <conditionalFormatting sqref="G199:H201">
    <cfRule type="cellIs" dxfId="98" priority="100" stopIfTrue="1" operator="equal">
      <formula>"3 - Green"</formula>
    </cfRule>
    <cfRule type="cellIs" dxfId="97" priority="101" stopIfTrue="1" operator="equal">
      <formula>"2 - Yellow"</formula>
    </cfRule>
    <cfRule type="cellIs" dxfId="96" priority="102" stopIfTrue="1" operator="equal">
      <formula>"1 - Red"</formula>
    </cfRule>
  </conditionalFormatting>
  <conditionalFormatting sqref="A199:B201">
    <cfRule type="cellIs" dxfId="95" priority="103" stopIfTrue="1" operator="equal">
      <formula>#REF!</formula>
    </cfRule>
  </conditionalFormatting>
  <conditionalFormatting sqref="G199:G201">
    <cfRule type="cellIs" dxfId="94" priority="93" stopIfTrue="1" operator="equal">
      <formula>"4 - Complete"</formula>
    </cfRule>
  </conditionalFormatting>
  <conditionalFormatting sqref="J198:AC198">
    <cfRule type="expression" dxfId="93" priority="83" stopIfTrue="1">
      <formula>ISBLANK(J198)</formula>
    </cfRule>
  </conditionalFormatting>
  <conditionalFormatting sqref="I198">
    <cfRule type="cellIs" dxfId="92" priority="84" stopIfTrue="1" operator="equal">
      <formula>"null"</formula>
    </cfRule>
  </conditionalFormatting>
  <conditionalFormatting sqref="AD198">
    <cfRule type="cellIs" dxfId="91" priority="85" stopIfTrue="1" operator="equal">
      <formula>"1 - Hard Load"</formula>
    </cfRule>
    <cfRule type="cellIs" dxfId="90" priority="86" stopIfTrue="1" operator="equal">
      <formula>"2 - Soft Load"</formula>
    </cfRule>
    <cfRule type="cellIs" dxfId="89" priority="87" stopIfTrue="1" operator="equal">
      <formula>"3 - Not Loaded"</formula>
    </cfRule>
  </conditionalFormatting>
  <conditionalFormatting sqref="AF198">
    <cfRule type="cellIs" dxfId="88" priority="88" stopIfTrue="1" operator="notEqual">
      <formula>"1 - Scheduled"</formula>
    </cfRule>
  </conditionalFormatting>
  <conditionalFormatting sqref="G198:H198">
    <cfRule type="cellIs" dxfId="87" priority="89" stopIfTrue="1" operator="equal">
      <formula>"3 - Green"</formula>
    </cfRule>
    <cfRule type="cellIs" dxfId="86" priority="90" stopIfTrue="1" operator="equal">
      <formula>"2 - Yellow"</formula>
    </cfRule>
    <cfRule type="cellIs" dxfId="85" priority="91" stopIfTrue="1" operator="equal">
      <formula>"1 - Red"</formula>
    </cfRule>
  </conditionalFormatting>
  <conditionalFormatting sqref="A198:B198">
    <cfRule type="cellIs" dxfId="84" priority="92" stopIfTrue="1" operator="equal">
      <formula>#REF!</formula>
    </cfRule>
  </conditionalFormatting>
  <conditionalFormatting sqref="G198">
    <cfRule type="cellIs" dxfId="83" priority="82" stopIfTrue="1" operator="equal">
      <formula>"4 - Complete"</formula>
    </cfRule>
  </conditionalFormatting>
  <conditionalFormatting sqref="J209:AC210">
    <cfRule type="expression" dxfId="82" priority="72" stopIfTrue="1">
      <formula>ISBLANK(J209)</formula>
    </cfRule>
  </conditionalFormatting>
  <conditionalFormatting sqref="I209:I210">
    <cfRule type="cellIs" dxfId="81" priority="73" stopIfTrue="1" operator="equal">
      <formula>"null"</formula>
    </cfRule>
  </conditionalFormatting>
  <conditionalFormatting sqref="AD209:AD210">
    <cfRule type="cellIs" dxfId="80" priority="74" stopIfTrue="1" operator="equal">
      <formula>"1 - Hard Load"</formula>
    </cfRule>
    <cfRule type="cellIs" dxfId="79" priority="75" stopIfTrue="1" operator="equal">
      <formula>"2 - Soft Load"</formula>
    </cfRule>
    <cfRule type="cellIs" dxfId="78" priority="76" stopIfTrue="1" operator="equal">
      <formula>"3 - Not Loaded"</formula>
    </cfRule>
  </conditionalFormatting>
  <conditionalFormatting sqref="AF209:AF210">
    <cfRule type="cellIs" dxfId="77" priority="77" stopIfTrue="1" operator="notEqual">
      <formula>"1 - Scheduled"</formula>
    </cfRule>
  </conditionalFormatting>
  <conditionalFormatting sqref="G209:H210">
    <cfRule type="cellIs" dxfId="76" priority="78" stopIfTrue="1" operator="equal">
      <formula>"3 - Green"</formula>
    </cfRule>
    <cfRule type="cellIs" dxfId="75" priority="79" stopIfTrue="1" operator="equal">
      <formula>"2 - Yellow"</formula>
    </cfRule>
    <cfRule type="cellIs" dxfId="74" priority="80" stopIfTrue="1" operator="equal">
      <formula>"1 - Red"</formula>
    </cfRule>
  </conditionalFormatting>
  <conditionalFormatting sqref="A209:B210">
    <cfRule type="cellIs" dxfId="73" priority="81" stopIfTrue="1" operator="equal">
      <formula>#REF!</formula>
    </cfRule>
  </conditionalFormatting>
  <conditionalFormatting sqref="G209:G210">
    <cfRule type="cellIs" dxfId="72" priority="71" stopIfTrue="1" operator="equal">
      <formula>"4 - Complete"</formula>
    </cfRule>
  </conditionalFormatting>
  <conditionalFormatting sqref="J202:AC202">
    <cfRule type="expression" dxfId="71" priority="61" stopIfTrue="1">
      <formula>ISBLANK(J202)</formula>
    </cfRule>
  </conditionalFormatting>
  <conditionalFormatting sqref="I202">
    <cfRule type="cellIs" dxfId="70" priority="62" stopIfTrue="1" operator="equal">
      <formula>"null"</formula>
    </cfRule>
  </conditionalFormatting>
  <conditionalFormatting sqref="AD202">
    <cfRule type="cellIs" dxfId="69" priority="63" stopIfTrue="1" operator="equal">
      <formula>"1 - Hard Load"</formula>
    </cfRule>
    <cfRule type="cellIs" dxfId="68" priority="64" stopIfTrue="1" operator="equal">
      <formula>"2 - Soft Load"</formula>
    </cfRule>
    <cfRule type="cellIs" dxfId="67" priority="65" stopIfTrue="1" operator="equal">
      <formula>"3 - Not Loaded"</formula>
    </cfRule>
  </conditionalFormatting>
  <conditionalFormatting sqref="AF202">
    <cfRule type="cellIs" dxfId="66" priority="66" stopIfTrue="1" operator="notEqual">
      <formula>"1 - Scheduled"</formula>
    </cfRule>
  </conditionalFormatting>
  <conditionalFormatting sqref="G202:H202">
    <cfRule type="cellIs" dxfId="65" priority="67" stopIfTrue="1" operator="equal">
      <formula>"3 - Green"</formula>
    </cfRule>
    <cfRule type="cellIs" dxfId="64" priority="68" stopIfTrue="1" operator="equal">
      <formula>"2 - Yellow"</formula>
    </cfRule>
    <cfRule type="cellIs" dxfId="63" priority="69" stopIfTrue="1" operator="equal">
      <formula>"1 - Red"</formula>
    </cfRule>
  </conditionalFormatting>
  <conditionalFormatting sqref="A202:B202">
    <cfRule type="cellIs" dxfId="62" priority="70" stopIfTrue="1" operator="equal">
      <formula>#REF!</formula>
    </cfRule>
  </conditionalFormatting>
  <conditionalFormatting sqref="G202">
    <cfRule type="cellIs" dxfId="61" priority="60" stopIfTrue="1" operator="equal">
      <formula>"4 - Complete"</formula>
    </cfRule>
  </conditionalFormatting>
  <conditionalFormatting sqref="J155:AC155">
    <cfRule type="expression" dxfId="60" priority="50" stopIfTrue="1">
      <formula>ISBLANK(J155)</formula>
    </cfRule>
  </conditionalFormatting>
  <conditionalFormatting sqref="I155">
    <cfRule type="cellIs" dxfId="59" priority="51" stopIfTrue="1" operator="equal">
      <formula>"null"</formula>
    </cfRule>
  </conditionalFormatting>
  <conditionalFormatting sqref="AD155">
    <cfRule type="cellIs" dxfId="58" priority="52" stopIfTrue="1" operator="equal">
      <formula>"1 - Hard Load"</formula>
    </cfRule>
    <cfRule type="cellIs" dxfId="57" priority="53" stopIfTrue="1" operator="equal">
      <formula>"2 - Soft Load"</formula>
    </cfRule>
    <cfRule type="cellIs" dxfId="56" priority="54" stopIfTrue="1" operator="equal">
      <formula>"3 - Not Loaded"</formula>
    </cfRule>
  </conditionalFormatting>
  <conditionalFormatting sqref="AF155">
    <cfRule type="cellIs" dxfId="55" priority="55" stopIfTrue="1" operator="notEqual">
      <formula>"1 - Scheduled"</formula>
    </cfRule>
  </conditionalFormatting>
  <conditionalFormatting sqref="G155:H155">
    <cfRule type="cellIs" dxfId="54" priority="56" stopIfTrue="1" operator="equal">
      <formula>"3 - Green"</formula>
    </cfRule>
    <cfRule type="cellIs" dxfId="53" priority="57" stopIfTrue="1" operator="equal">
      <formula>"2 - Yellow"</formula>
    </cfRule>
    <cfRule type="cellIs" dxfId="52" priority="58" stopIfTrue="1" operator="equal">
      <formula>"1 - Red"</formula>
    </cfRule>
  </conditionalFormatting>
  <conditionalFormatting sqref="A155:B155">
    <cfRule type="cellIs" dxfId="51" priority="59" stopIfTrue="1" operator="equal">
      <formula>#REF!</formula>
    </cfRule>
  </conditionalFormatting>
  <conditionalFormatting sqref="G155">
    <cfRule type="cellIs" dxfId="50" priority="49" stopIfTrue="1" operator="equal">
      <formula>"4 - Complete"</formula>
    </cfRule>
  </conditionalFormatting>
  <conditionalFormatting sqref="J168:AC168">
    <cfRule type="expression" dxfId="49" priority="39" stopIfTrue="1">
      <formula>ISBLANK(J168)</formula>
    </cfRule>
  </conditionalFormatting>
  <conditionalFormatting sqref="I168">
    <cfRule type="cellIs" dxfId="48" priority="40" stopIfTrue="1" operator="equal">
      <formula>"null"</formula>
    </cfRule>
  </conditionalFormatting>
  <conditionalFormatting sqref="AD168">
    <cfRule type="cellIs" dxfId="47" priority="41" stopIfTrue="1" operator="equal">
      <formula>"1 - Hard Load"</formula>
    </cfRule>
    <cfRule type="cellIs" dxfId="46" priority="42" stopIfTrue="1" operator="equal">
      <formula>"2 - Soft Load"</formula>
    </cfRule>
    <cfRule type="cellIs" dxfId="45" priority="43" stopIfTrue="1" operator="equal">
      <formula>"3 - Not Loaded"</formula>
    </cfRule>
  </conditionalFormatting>
  <conditionalFormatting sqref="AF168">
    <cfRule type="cellIs" dxfId="44" priority="44" stopIfTrue="1" operator="notEqual">
      <formula>"1 - Scheduled"</formula>
    </cfRule>
  </conditionalFormatting>
  <conditionalFormatting sqref="G168:H168">
    <cfRule type="cellIs" dxfId="43" priority="45" stopIfTrue="1" operator="equal">
      <formula>"3 - Green"</formula>
    </cfRule>
    <cfRule type="cellIs" dxfId="42" priority="46" stopIfTrue="1" operator="equal">
      <formula>"2 - Yellow"</formula>
    </cfRule>
    <cfRule type="cellIs" dxfId="41" priority="47" stopIfTrue="1" operator="equal">
      <formula>"1 - Red"</formula>
    </cfRule>
  </conditionalFormatting>
  <conditionalFormatting sqref="A168:B168">
    <cfRule type="cellIs" dxfId="40" priority="48" stopIfTrue="1" operator="equal">
      <formula>#REF!</formula>
    </cfRule>
  </conditionalFormatting>
  <conditionalFormatting sqref="G168">
    <cfRule type="cellIs" dxfId="39" priority="38" stopIfTrue="1" operator="equal">
      <formula>"4 - Complete"</formula>
    </cfRule>
  </conditionalFormatting>
  <conditionalFormatting sqref="J206:AC208">
    <cfRule type="expression" dxfId="38" priority="28" stopIfTrue="1">
      <formula>ISBLANK(J206)</formula>
    </cfRule>
  </conditionalFormatting>
  <conditionalFormatting sqref="I206:I208">
    <cfRule type="cellIs" dxfId="37" priority="29" stopIfTrue="1" operator="equal">
      <formula>"null"</formula>
    </cfRule>
  </conditionalFormatting>
  <conditionalFormatting sqref="AD206:AD208">
    <cfRule type="cellIs" dxfId="36" priority="30" stopIfTrue="1" operator="equal">
      <formula>"1 - Hard Load"</formula>
    </cfRule>
    <cfRule type="cellIs" dxfId="35" priority="31" stopIfTrue="1" operator="equal">
      <formula>"2 - Soft Load"</formula>
    </cfRule>
    <cfRule type="cellIs" dxfId="34" priority="32" stopIfTrue="1" operator="equal">
      <formula>"3 - Not Loaded"</formula>
    </cfRule>
  </conditionalFormatting>
  <conditionalFormatting sqref="AF206:AF208">
    <cfRule type="cellIs" dxfId="33" priority="33" stopIfTrue="1" operator="notEqual">
      <formula>"1 - Scheduled"</formula>
    </cfRule>
  </conditionalFormatting>
  <conditionalFormatting sqref="G206:H208">
    <cfRule type="cellIs" dxfId="32" priority="34" stopIfTrue="1" operator="equal">
      <formula>"3 - Green"</formula>
    </cfRule>
    <cfRule type="cellIs" dxfId="31" priority="35" stopIfTrue="1" operator="equal">
      <formula>"2 - Yellow"</formula>
    </cfRule>
    <cfRule type="cellIs" dxfId="30" priority="36" stopIfTrue="1" operator="equal">
      <formula>"1 - Red"</formula>
    </cfRule>
  </conditionalFormatting>
  <conditionalFormatting sqref="A206:B208">
    <cfRule type="cellIs" dxfId="29" priority="37" stopIfTrue="1" operator="equal">
      <formula>#REF!</formula>
    </cfRule>
  </conditionalFormatting>
  <conditionalFormatting sqref="G206:G208">
    <cfRule type="cellIs" dxfId="28" priority="27" stopIfTrue="1" operator="equal">
      <formula>"4 - Complete"</formula>
    </cfRule>
  </conditionalFormatting>
  <conditionalFormatting sqref="J205:AC205">
    <cfRule type="expression" dxfId="27" priority="17" stopIfTrue="1">
      <formula>ISBLANK(J205)</formula>
    </cfRule>
  </conditionalFormatting>
  <conditionalFormatting sqref="I205">
    <cfRule type="cellIs" dxfId="26" priority="18" stopIfTrue="1" operator="equal">
      <formula>"null"</formula>
    </cfRule>
  </conditionalFormatting>
  <conditionalFormatting sqref="AD205">
    <cfRule type="cellIs" dxfId="25" priority="19" stopIfTrue="1" operator="equal">
      <formula>"1 - Hard Load"</formula>
    </cfRule>
    <cfRule type="cellIs" dxfId="24" priority="20" stopIfTrue="1" operator="equal">
      <formula>"2 - Soft Load"</formula>
    </cfRule>
    <cfRule type="cellIs" dxfId="23" priority="21" stopIfTrue="1" operator="equal">
      <formula>"3 - Not Loaded"</formula>
    </cfRule>
  </conditionalFormatting>
  <conditionalFormatting sqref="AF205">
    <cfRule type="cellIs" dxfId="22" priority="22" stopIfTrue="1" operator="notEqual">
      <formula>"1 - Scheduled"</formula>
    </cfRule>
  </conditionalFormatting>
  <conditionalFormatting sqref="G205:H205">
    <cfRule type="cellIs" dxfId="21" priority="23" stopIfTrue="1" operator="equal">
      <formula>"3 - Green"</formula>
    </cfRule>
    <cfRule type="cellIs" dxfId="20" priority="24" stopIfTrue="1" operator="equal">
      <formula>"2 - Yellow"</formula>
    </cfRule>
    <cfRule type="cellIs" dxfId="19" priority="25" stopIfTrue="1" operator="equal">
      <formula>"1 - Red"</formula>
    </cfRule>
  </conditionalFormatting>
  <conditionalFormatting sqref="A205:B205">
    <cfRule type="cellIs" dxfId="18" priority="26" stopIfTrue="1" operator="equal">
      <formula>#REF!</formula>
    </cfRule>
  </conditionalFormatting>
  <conditionalFormatting sqref="G205">
    <cfRule type="cellIs" dxfId="17" priority="16" stopIfTrue="1" operator="equal">
      <formula>"4 - Complete"</formula>
    </cfRule>
  </conditionalFormatting>
  <conditionalFormatting sqref="J203:AC204">
    <cfRule type="expression" dxfId="16" priority="6" stopIfTrue="1">
      <formula>ISBLANK(J203)</formula>
    </cfRule>
  </conditionalFormatting>
  <conditionalFormatting sqref="I203:I204">
    <cfRule type="cellIs" dxfId="15" priority="7" stopIfTrue="1" operator="equal">
      <formula>"null"</formula>
    </cfRule>
  </conditionalFormatting>
  <conditionalFormatting sqref="AD203:AD204">
    <cfRule type="cellIs" dxfId="14" priority="8" stopIfTrue="1" operator="equal">
      <formula>"1 - Hard Load"</formula>
    </cfRule>
    <cfRule type="cellIs" dxfId="13" priority="9" stopIfTrue="1" operator="equal">
      <formula>"2 - Soft Load"</formula>
    </cfRule>
    <cfRule type="cellIs" dxfId="12" priority="10" stopIfTrue="1" operator="equal">
      <formula>"3 - Not Loaded"</formula>
    </cfRule>
  </conditionalFormatting>
  <conditionalFormatting sqref="AF203:AF204">
    <cfRule type="cellIs" dxfId="11" priority="11" stopIfTrue="1" operator="notEqual">
      <formula>"1 - Scheduled"</formula>
    </cfRule>
  </conditionalFormatting>
  <conditionalFormatting sqref="G203:H204">
    <cfRule type="cellIs" dxfId="10" priority="12" stopIfTrue="1" operator="equal">
      <formula>"3 - Green"</formula>
    </cfRule>
    <cfRule type="cellIs" dxfId="9" priority="13" stopIfTrue="1" operator="equal">
      <formula>"2 - Yellow"</formula>
    </cfRule>
    <cfRule type="cellIs" dxfId="8" priority="14" stopIfTrue="1" operator="equal">
      <formula>"1 - Red"</formula>
    </cfRule>
  </conditionalFormatting>
  <conditionalFormatting sqref="A203:B204">
    <cfRule type="cellIs" dxfId="7" priority="15" stopIfTrue="1" operator="equal">
      <formula>#REF!</formula>
    </cfRule>
  </conditionalFormatting>
  <conditionalFormatting sqref="G203:G204">
    <cfRule type="cellIs" dxfId="6" priority="5" stopIfTrue="1" operator="equal">
      <formula>"4 - Complete"</formula>
    </cfRule>
  </conditionalFormatting>
  <conditionalFormatting sqref="G83">
    <cfRule type="cellIs" dxfId="5" priority="2" stopIfTrue="1" operator="equal">
      <formula>"3 - Green"</formula>
    </cfRule>
    <cfRule type="cellIs" dxfId="4" priority="3" stopIfTrue="1" operator="equal">
      <formula>"2 - Yellow"</formula>
    </cfRule>
    <cfRule type="cellIs" dxfId="3" priority="4" stopIfTrue="1" operator="equal">
      <formula>"1 - Red"</formula>
    </cfRule>
  </conditionalFormatting>
  <conditionalFormatting sqref="G83">
    <cfRule type="cellIs" dxfId="2" priority="1" stopIfTrue="1" operator="equal">
      <formula>"4 - Complete"</formula>
    </cfRule>
  </conditionalFormatting>
  <dataValidations count="1">
    <dataValidation type="list" allowBlank="1" showErrorMessage="1" errorTitle="Invalid Value" error="Valid Values are only Y or N/A_x000a_" promptTitle="Invalid Values" prompt="Valid values are only 'Y' or N/A'" sqref="T7:T222">
      <formula1>$BE$1:$BE$2</formula1>
    </dataValidation>
  </dataValidations>
  <printOptions horizontalCentered="1"/>
  <pageMargins left="0.25" right="0.25" top="0.5" bottom="0.5" header="0.25" footer="0.25"/>
  <pageSetup paperSize="5" scale="45" fitToHeight="999" orientation="landscape" r:id="rId1"/>
  <headerFooter alignWithMargins="0">
    <oddHeader xml:space="preserve">&amp;CProvider Systems Queue
Gatekeeper
</oddHeader>
    <oddFooter>&amp;L&amp;F &amp;A&amp;Cpage &amp;P of &amp;N&amp;R&amp;D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719" r:id="rId4" name="Button 119">
              <controlPr defaultSize="0" print="0" autoFill="0" autoPict="0" macro="[0]!mcrD4ECSort">
                <anchor moveWithCells="1" sizeWithCells="1">
                  <from>
                    <xdr:col>2</xdr:col>
                    <xdr:colOff>57150</xdr:colOff>
                    <xdr:row>0</xdr:row>
                    <xdr:rowOff>57150</xdr:rowOff>
                  </from>
                  <to>
                    <xdr:col>3</xdr:col>
                    <xdr:colOff>333375</xdr:colOff>
                    <xdr:row>3</xdr:row>
                    <xdr:rowOff>28575</xdr:rowOff>
                  </to>
                </anchor>
              </controlPr>
            </control>
          </mc:Choice>
        </mc:AlternateContent>
        <mc:AlternateContent xmlns:mc="http://schemas.openxmlformats.org/markup-compatibility/2006">
          <mc:Choice Requires="x14">
            <control shapeId="25720" r:id="rId5" name="Button 120">
              <controlPr defaultSize="0" print="0" autoFill="0" autoPict="0" macro="[0]!mcrD3CSort">
                <anchor moveWithCells="1" sizeWithCells="1">
                  <from>
                    <xdr:col>3</xdr:col>
                    <xdr:colOff>504825</xdr:colOff>
                    <xdr:row>0</xdr:row>
                    <xdr:rowOff>66675</xdr:rowOff>
                  </from>
                  <to>
                    <xdr:col>3</xdr:col>
                    <xdr:colOff>1647825</xdr:colOff>
                    <xdr:row>3</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4:IV2850"/>
  <sheetViews>
    <sheetView workbookViewId="0">
      <pane xSplit="5" ySplit="5" topLeftCell="F2845" activePane="bottomRight" state="frozen"/>
      <selection pane="topRight" activeCell="F1" sqref="F1"/>
      <selection pane="bottomLeft" activeCell="A6" sqref="A6"/>
      <selection pane="bottomRight" activeCell="E2850" sqref="E2850"/>
    </sheetView>
  </sheetViews>
  <sheetFormatPr defaultRowHeight="14.25" x14ac:dyDescent="0.2"/>
  <cols>
    <col min="1" max="1" width="5.28515625" style="128" bestFit="1" customWidth="1"/>
    <col min="2" max="2" width="9.5703125" style="128" bestFit="1" customWidth="1"/>
    <col min="3" max="3" width="10.140625" style="128" bestFit="1" customWidth="1"/>
    <col min="4" max="4" width="5.140625" style="128" bestFit="1" customWidth="1"/>
    <col min="5" max="5" width="11" style="206" customWidth="1"/>
    <col min="6" max="6" width="25.7109375" style="156" customWidth="1"/>
    <col min="7" max="7" width="19.42578125" style="128" customWidth="1"/>
    <col min="8" max="8" width="14" style="128" customWidth="1"/>
    <col min="9" max="9" width="40.7109375" style="128" customWidth="1"/>
    <col min="10" max="10" width="19.5703125" style="128" customWidth="1"/>
    <col min="11" max="11" width="36.85546875" style="128" customWidth="1"/>
    <col min="12" max="12" width="75.7109375" style="158" customWidth="1"/>
    <col min="13" max="13" width="5.140625" style="128" bestFit="1" customWidth="1"/>
    <col min="14" max="14" width="6.5703125" style="128" bestFit="1" customWidth="1"/>
    <col min="15" max="15" width="7.140625" style="128" bestFit="1" customWidth="1"/>
    <col min="16" max="16" width="25.140625" style="158" customWidth="1"/>
    <col min="17" max="17" width="9.140625" style="128"/>
    <col min="18" max="18" width="11.28515625" style="388" bestFit="1" customWidth="1"/>
    <col min="19" max="16384" width="9.140625" style="128"/>
  </cols>
  <sheetData>
    <row r="4" spans="1:21" s="129" customFormat="1" x14ac:dyDescent="0.2">
      <c r="A4" s="440" t="s">
        <v>3285</v>
      </c>
      <c r="B4" s="440"/>
      <c r="C4" s="440"/>
      <c r="D4" s="440"/>
      <c r="E4" s="207">
        <v>1</v>
      </c>
      <c r="F4" s="149">
        <v>2</v>
      </c>
      <c r="G4" s="148">
        <v>3</v>
      </c>
      <c r="H4" s="148">
        <v>4</v>
      </c>
      <c r="I4" s="148">
        <v>5</v>
      </c>
      <c r="J4" s="148">
        <v>6</v>
      </c>
      <c r="K4" s="148">
        <v>7</v>
      </c>
      <c r="L4" s="150">
        <v>8</v>
      </c>
      <c r="M4" s="148">
        <v>9</v>
      </c>
      <c r="N4" s="148">
        <v>10</v>
      </c>
      <c r="O4" s="148">
        <v>11</v>
      </c>
      <c r="P4" s="150"/>
      <c r="R4" s="385"/>
    </row>
    <row r="5" spans="1:21" s="157" customFormat="1" ht="25.5" x14ac:dyDescent="0.2">
      <c r="A5" s="3" t="s">
        <v>8066</v>
      </c>
      <c r="B5" s="66" t="s">
        <v>6790</v>
      </c>
      <c r="C5" s="66" t="s">
        <v>6244</v>
      </c>
      <c r="D5" s="66" t="s">
        <v>3434</v>
      </c>
      <c r="E5" s="208" t="s">
        <v>4823</v>
      </c>
      <c r="F5" s="151" t="s">
        <v>7938</v>
      </c>
      <c r="G5" s="151" t="s">
        <v>5861</v>
      </c>
      <c r="H5" s="152" t="s">
        <v>4029</v>
      </c>
      <c r="I5" s="152" t="s">
        <v>5977</v>
      </c>
      <c r="J5" s="152" t="s">
        <v>7272</v>
      </c>
      <c r="K5" s="152" t="s">
        <v>4400</v>
      </c>
      <c r="L5" s="151" t="s">
        <v>4314</v>
      </c>
      <c r="M5" s="152" t="s">
        <v>5096</v>
      </c>
      <c r="N5" s="152" t="s">
        <v>4695</v>
      </c>
      <c r="O5" s="152" t="s">
        <v>6644</v>
      </c>
      <c r="P5" s="151" t="s">
        <v>8136</v>
      </c>
      <c r="R5" s="386" t="s">
        <v>7312</v>
      </c>
    </row>
    <row r="6" spans="1:21" ht="45" customHeight="1" x14ac:dyDescent="0.25">
      <c r="A6" s="63">
        <f>MATCH($E6,'D1 - Master Project Table'!$B$24:$B$7056,0)</f>
        <v>1217</v>
      </c>
      <c r="B6" s="63" t="b">
        <f t="shared" ref="B6:B69" si="0">ISERROR(A6)</f>
        <v>0</v>
      </c>
      <c r="C6" s="63" t="b">
        <f t="shared" ref="C6:C69" si="1">OR(H6="Completed",H6="Cancelled")</f>
        <v>1</v>
      </c>
      <c r="D6" s="63" t="str">
        <f t="shared" ref="D6:D69" si="2">IF(AND(B6=TRUE,C6=FALSE),"Add","OK")</f>
        <v>OK</v>
      </c>
      <c r="E6" s="393">
        <v>400030288</v>
      </c>
      <c r="F6" s="392" t="s">
        <v>3822</v>
      </c>
      <c r="G6" s="392" t="s">
        <v>7182</v>
      </c>
      <c r="H6" s="392" t="s">
        <v>7418</v>
      </c>
      <c r="I6" s="392" t="s">
        <v>7745</v>
      </c>
      <c r="J6" s="392" t="s">
        <v>3823</v>
      </c>
      <c r="K6" s="392" t="s">
        <v>3824</v>
      </c>
      <c r="L6" s="392" t="s">
        <v>106</v>
      </c>
      <c r="M6" s="392" t="s">
        <v>3758</v>
      </c>
      <c r="N6" s="392" t="s">
        <v>7273</v>
      </c>
      <c r="O6" s="392" t="s">
        <v>3758</v>
      </c>
      <c r="P6"/>
      <c r="Q6"/>
      <c r="R6" s="387">
        <f>VLOOKUP(E6,'[1]NDB Impacted SPRFs 05032013'!$A$2:$A$65536,1,FALSE)</f>
        <v>400030288</v>
      </c>
      <c r="S6" s="159"/>
      <c r="T6" s="159"/>
      <c r="U6" s="159"/>
    </row>
    <row r="7" spans="1:21" s="159" customFormat="1" ht="60" x14ac:dyDescent="0.25">
      <c r="A7" s="63">
        <f>MATCH($E7,'D1 - Master Project Table'!$B$24:$B$7056,0)</f>
        <v>2001</v>
      </c>
      <c r="B7" s="63" t="b">
        <f t="shared" si="0"/>
        <v>0</v>
      </c>
      <c r="C7" s="63" t="b">
        <f t="shared" si="1"/>
        <v>1</v>
      </c>
      <c r="D7" s="63" t="str">
        <f t="shared" si="2"/>
        <v>OK</v>
      </c>
      <c r="E7" s="393">
        <v>400031355</v>
      </c>
      <c r="F7" s="392" t="s">
        <v>2584</v>
      </c>
      <c r="G7" s="392" t="s">
        <v>6065</v>
      </c>
      <c r="H7" s="392" t="s">
        <v>7418</v>
      </c>
      <c r="I7" s="392" t="s">
        <v>2655</v>
      </c>
      <c r="J7" s="392" t="s">
        <v>2585</v>
      </c>
      <c r="K7" s="392" t="s">
        <v>5656</v>
      </c>
      <c r="L7" s="392" t="s">
        <v>6313</v>
      </c>
      <c r="M7" s="392" t="s">
        <v>3758</v>
      </c>
      <c r="N7" s="392" t="s">
        <v>7273</v>
      </c>
      <c r="O7" s="392" t="s">
        <v>3758</v>
      </c>
      <c r="P7"/>
      <c r="Q7"/>
      <c r="R7" s="387">
        <f>VLOOKUP(E7,'[1]NDB Impacted SPRFs 05032013'!$A$2:$A$65536,1,FALSE)</f>
        <v>400031355</v>
      </c>
    </row>
    <row r="8" spans="1:21" s="159" customFormat="1" ht="60" x14ac:dyDescent="0.25">
      <c r="A8" s="63" t="e">
        <f>MATCH($E8,'D1 - Master Project Table'!$B$24:$B$7056,0)</f>
        <v>#N/A</v>
      </c>
      <c r="B8" s="63" t="b">
        <f t="shared" si="0"/>
        <v>1</v>
      </c>
      <c r="C8" s="63" t="b">
        <f t="shared" si="1"/>
        <v>1</v>
      </c>
      <c r="D8" s="63" t="str">
        <f t="shared" si="2"/>
        <v>OK</v>
      </c>
      <c r="E8" s="393">
        <v>400001630</v>
      </c>
      <c r="F8" s="392" t="s">
        <v>7599</v>
      </c>
      <c r="G8" s="392" t="s">
        <v>5001</v>
      </c>
      <c r="H8" s="392" t="s">
        <v>5314</v>
      </c>
      <c r="I8" s="392" t="s">
        <v>1828</v>
      </c>
      <c r="J8" s="392" t="s">
        <v>8739</v>
      </c>
      <c r="K8" s="392" t="s">
        <v>7600</v>
      </c>
      <c r="L8" s="392" t="s">
        <v>5553</v>
      </c>
      <c r="M8" s="392" t="s">
        <v>3758</v>
      </c>
      <c r="N8" s="392" t="s">
        <v>7273</v>
      </c>
      <c r="O8" s="392" t="s">
        <v>7273</v>
      </c>
      <c r="P8"/>
      <c r="Q8"/>
      <c r="R8" s="387">
        <f>VLOOKUP(E8,'[1]NDB Impacted SPRFs 05032013'!$A$2:$A$65536,1,FALSE)</f>
        <v>400001630</v>
      </c>
      <c r="S8" s="128"/>
      <c r="T8" s="128"/>
      <c r="U8" s="128"/>
    </row>
    <row r="9" spans="1:21" ht="60" x14ac:dyDescent="0.25">
      <c r="A9" s="63">
        <f>MATCH($E9,'D1 - Master Project Table'!$B$24:$B$7056,0)</f>
        <v>2905</v>
      </c>
      <c r="B9" s="63" t="b">
        <f t="shared" si="0"/>
        <v>0</v>
      </c>
      <c r="C9" s="63" t="b">
        <f t="shared" si="1"/>
        <v>1</v>
      </c>
      <c r="D9" s="63" t="str">
        <f t="shared" si="2"/>
        <v>OK</v>
      </c>
      <c r="E9" s="393">
        <v>400030954</v>
      </c>
      <c r="F9" s="392" t="s">
        <v>6489</v>
      </c>
      <c r="G9" s="392" t="s">
        <v>5001</v>
      </c>
      <c r="H9" s="392" t="s">
        <v>5314</v>
      </c>
      <c r="I9" s="392" t="s">
        <v>2297</v>
      </c>
      <c r="J9" s="392" t="s">
        <v>8759</v>
      </c>
      <c r="K9" s="392" t="s">
        <v>1654</v>
      </c>
      <c r="L9" s="392" t="s">
        <v>1929</v>
      </c>
      <c r="M9" s="392" t="s">
        <v>3758</v>
      </c>
      <c r="N9" s="392" t="s">
        <v>7273</v>
      </c>
      <c r="O9" s="392" t="s">
        <v>3758</v>
      </c>
      <c r="P9"/>
      <c r="Q9"/>
      <c r="R9" s="387">
        <f>VLOOKUP(E9,'[1]NDB Impacted SPRFs 05032013'!$A$2:$A$65536,1,FALSE)</f>
        <v>400030954</v>
      </c>
      <c r="S9" s="159"/>
      <c r="T9" s="159"/>
      <c r="U9" s="159"/>
    </row>
    <row r="10" spans="1:21" s="159" customFormat="1" ht="60" x14ac:dyDescent="0.25">
      <c r="A10" s="63">
        <f>MATCH($E10,'D1 - Master Project Table'!$B$24:$B$7056,0)</f>
        <v>42</v>
      </c>
      <c r="B10" s="63" t="b">
        <f t="shared" si="0"/>
        <v>0</v>
      </c>
      <c r="C10" s="63" t="b">
        <f t="shared" si="1"/>
        <v>0</v>
      </c>
      <c r="D10" s="63" t="str">
        <f t="shared" si="2"/>
        <v>OK</v>
      </c>
      <c r="E10" s="393">
        <v>400051823</v>
      </c>
      <c r="F10" s="392" t="s">
        <v>3211</v>
      </c>
      <c r="G10" s="392" t="s">
        <v>5324</v>
      </c>
      <c r="H10" s="392" t="s">
        <v>4917</v>
      </c>
      <c r="I10" s="392" t="s">
        <v>1762</v>
      </c>
      <c r="J10" s="392" t="s">
        <v>4977</v>
      </c>
      <c r="K10" s="392" t="s">
        <v>2201</v>
      </c>
      <c r="L10" s="392" t="s">
        <v>7702</v>
      </c>
      <c r="M10" s="392" t="s">
        <v>3758</v>
      </c>
      <c r="N10" s="392" t="s">
        <v>7273</v>
      </c>
      <c r="O10" s="392" t="s">
        <v>7273</v>
      </c>
      <c r="P10"/>
      <c r="Q10"/>
      <c r="R10" s="387">
        <f>VLOOKUP(E10,'[1]NDB Impacted SPRFs 05032013'!$A$2:$A$65536,1,FALSE)</f>
        <v>400051823</v>
      </c>
      <c r="S10" s="128"/>
      <c r="T10" s="128"/>
      <c r="U10" s="128"/>
    </row>
    <row r="11" spans="1:21" s="159" customFormat="1" ht="60" x14ac:dyDescent="0.25">
      <c r="A11" s="63" t="e">
        <f>MATCH($E11,'D1 - Master Project Table'!$B$24:$B$7056,0)</f>
        <v>#N/A</v>
      </c>
      <c r="B11" s="63" t="b">
        <f t="shared" si="0"/>
        <v>1</v>
      </c>
      <c r="C11" s="63" t="b">
        <f t="shared" si="1"/>
        <v>1</v>
      </c>
      <c r="D11" s="63" t="str">
        <f t="shared" si="2"/>
        <v>OK</v>
      </c>
      <c r="E11" s="393">
        <v>400006070</v>
      </c>
      <c r="F11" s="392" t="s">
        <v>1295</v>
      </c>
      <c r="G11" s="392" t="s">
        <v>5787</v>
      </c>
      <c r="H11" s="392" t="s">
        <v>7418</v>
      </c>
      <c r="I11" s="392" t="s">
        <v>1778</v>
      </c>
      <c r="J11" s="392" t="s">
        <v>1032</v>
      </c>
      <c r="K11" s="392" t="s">
        <v>6849</v>
      </c>
      <c r="L11" s="392" t="s">
        <v>1296</v>
      </c>
      <c r="M11" s="392" t="s">
        <v>3758</v>
      </c>
      <c r="N11" s="392" t="s">
        <v>7273</v>
      </c>
      <c r="O11" s="392" t="s">
        <v>7273</v>
      </c>
      <c r="P11"/>
      <c r="Q11"/>
      <c r="R11" s="387">
        <f>VLOOKUP(E11,'[1]NDB Impacted SPRFs 05032013'!$A$2:$A$65536,1,FALSE)</f>
        <v>400006070</v>
      </c>
    </row>
    <row r="12" spans="1:21" s="159" customFormat="1" ht="60" x14ac:dyDescent="0.25">
      <c r="A12" s="63" t="e">
        <f>MATCH($E12,'D1 - Master Project Table'!$B$24:$B$7056,0)</f>
        <v>#N/A</v>
      </c>
      <c r="B12" s="63" t="b">
        <f t="shared" si="0"/>
        <v>1</v>
      </c>
      <c r="C12" s="63" t="b">
        <f t="shared" si="1"/>
        <v>1</v>
      </c>
      <c r="D12" s="63" t="str">
        <f t="shared" si="2"/>
        <v>OK</v>
      </c>
      <c r="E12" s="393">
        <v>400030799</v>
      </c>
      <c r="F12" s="392" t="s">
        <v>6315</v>
      </c>
      <c r="G12" s="392" t="s">
        <v>5001</v>
      </c>
      <c r="H12" s="392" t="s">
        <v>7418</v>
      </c>
      <c r="I12" s="392" t="s">
        <v>2655</v>
      </c>
      <c r="J12" s="392" t="s">
        <v>8755</v>
      </c>
      <c r="K12" s="392" t="s">
        <v>5980</v>
      </c>
      <c r="L12" s="392" t="s">
        <v>1413</v>
      </c>
      <c r="M12" s="392" t="s">
        <v>3758</v>
      </c>
      <c r="N12" s="392" t="s">
        <v>7273</v>
      </c>
      <c r="O12" s="392" t="s">
        <v>3758</v>
      </c>
      <c r="P12" s="158"/>
      <c r="Q12" s="128"/>
      <c r="R12" s="387">
        <f>VLOOKUP(E12,'[1]NDB Impacted SPRFs 05032013'!$A$2:$A$65536,1,FALSE)</f>
        <v>400030799</v>
      </c>
      <c r="S12" s="128"/>
      <c r="T12" s="128"/>
      <c r="U12" s="128"/>
    </row>
    <row r="13" spans="1:21" ht="60" x14ac:dyDescent="0.25">
      <c r="A13" s="63">
        <f>MATCH($E13,'D1 - Master Project Table'!$B$24:$B$7056,0)</f>
        <v>1737</v>
      </c>
      <c r="B13" s="63" t="b">
        <f t="shared" si="0"/>
        <v>0</v>
      </c>
      <c r="C13" s="63" t="b">
        <f t="shared" si="1"/>
        <v>1</v>
      </c>
      <c r="D13" s="63" t="str">
        <f t="shared" si="2"/>
        <v>OK</v>
      </c>
      <c r="E13" s="393">
        <v>400052233</v>
      </c>
      <c r="F13" s="392" t="s">
        <v>1699</v>
      </c>
      <c r="G13" s="392" t="s">
        <v>5324</v>
      </c>
      <c r="H13" s="392" t="s">
        <v>7418</v>
      </c>
      <c r="I13" s="392" t="s">
        <v>1786</v>
      </c>
      <c r="J13" s="392" t="s">
        <v>766</v>
      </c>
      <c r="K13" s="392" t="s">
        <v>766</v>
      </c>
      <c r="L13" s="392" t="s">
        <v>1833</v>
      </c>
      <c r="M13" s="392" t="s">
        <v>3758</v>
      </c>
      <c r="N13" s="392" t="s">
        <v>7273</v>
      </c>
      <c r="O13" s="392" t="s">
        <v>3758</v>
      </c>
      <c r="P13"/>
      <c r="Q13"/>
      <c r="R13" s="387">
        <f>VLOOKUP(E13,'[1]NDB Impacted SPRFs 05032013'!$A$2:$A$65536,1,FALSE)</f>
        <v>400052233</v>
      </c>
      <c r="S13" s="159"/>
      <c r="T13" s="159"/>
      <c r="U13" s="159"/>
    </row>
    <row r="14" spans="1:21" ht="60" x14ac:dyDescent="0.25">
      <c r="A14" s="63">
        <f>MATCH($E14,'D1 - Master Project Table'!$B$24:$B$7056,0)</f>
        <v>1701</v>
      </c>
      <c r="B14" s="63" t="b">
        <f t="shared" si="0"/>
        <v>0</v>
      </c>
      <c r="C14" s="63" t="b">
        <f t="shared" si="1"/>
        <v>1</v>
      </c>
      <c r="D14" s="63" t="str">
        <f t="shared" si="2"/>
        <v>OK</v>
      </c>
      <c r="E14" s="393">
        <v>400048835</v>
      </c>
      <c r="F14" s="392" t="s">
        <v>144</v>
      </c>
      <c r="G14" s="392" t="s">
        <v>9210</v>
      </c>
      <c r="H14" s="392" t="s">
        <v>7418</v>
      </c>
      <c r="I14" s="392" t="s">
        <v>7666</v>
      </c>
      <c r="J14" s="392" t="s">
        <v>1957</v>
      </c>
      <c r="K14" s="392" t="s">
        <v>4617</v>
      </c>
      <c r="L14" s="392" t="s">
        <v>688</v>
      </c>
      <c r="M14" s="392" t="s">
        <v>3758</v>
      </c>
      <c r="N14" s="392" t="s">
        <v>7273</v>
      </c>
      <c r="O14" s="392" t="s">
        <v>3758</v>
      </c>
      <c r="P14"/>
      <c r="Q14"/>
      <c r="R14" s="387">
        <f>VLOOKUP(E14,'[1]NDB Impacted SPRFs 05032013'!$A$2:$A$65536,1,FALSE)</f>
        <v>400048835</v>
      </c>
      <c r="S14" s="159"/>
      <c r="T14" s="159"/>
      <c r="U14" s="159"/>
    </row>
    <row r="15" spans="1:21" s="159" customFormat="1" ht="60" x14ac:dyDescent="0.25">
      <c r="A15" s="63">
        <f>MATCH($E15,'D1 - Master Project Table'!$B$24:$B$7056,0)</f>
        <v>2998</v>
      </c>
      <c r="B15" s="63" t="b">
        <f t="shared" si="0"/>
        <v>0</v>
      </c>
      <c r="C15" s="63" t="b">
        <f t="shared" si="1"/>
        <v>1</v>
      </c>
      <c r="D15" s="63" t="str">
        <f t="shared" si="2"/>
        <v>OK</v>
      </c>
      <c r="E15" s="393">
        <v>400038788</v>
      </c>
      <c r="F15" s="392" t="s">
        <v>5480</v>
      </c>
      <c r="G15" s="392" t="s">
        <v>5324</v>
      </c>
      <c r="H15" s="392" t="s">
        <v>5314</v>
      </c>
      <c r="I15" s="392" t="s">
        <v>1758</v>
      </c>
      <c r="J15" s="392" t="s">
        <v>5481</v>
      </c>
      <c r="K15" s="392" t="s">
        <v>7043</v>
      </c>
      <c r="L15" s="392" t="s">
        <v>6323</v>
      </c>
      <c r="M15" s="392" t="s">
        <v>3758</v>
      </c>
      <c r="N15" s="392" t="s">
        <v>7273</v>
      </c>
      <c r="O15" s="392" t="s">
        <v>7273</v>
      </c>
      <c r="P15" s="212"/>
      <c r="Q15" s="212"/>
      <c r="R15" s="387">
        <f>VLOOKUP(E15,'[1]NDB Impacted SPRFs 05032013'!$A$2:$A$65536,1,FALSE)</f>
        <v>400038788</v>
      </c>
    </row>
    <row r="16" spans="1:21" ht="60" x14ac:dyDescent="0.25">
      <c r="A16" s="63">
        <f>MATCH($E16,'D1 - Master Project Table'!$B$24:$B$7056,0)</f>
        <v>29</v>
      </c>
      <c r="B16" s="63" t="b">
        <f t="shared" si="0"/>
        <v>0</v>
      </c>
      <c r="C16" s="63" t="b">
        <f t="shared" si="1"/>
        <v>0</v>
      </c>
      <c r="D16" s="63" t="str">
        <f t="shared" si="2"/>
        <v>OK</v>
      </c>
      <c r="E16" s="393">
        <v>400041737</v>
      </c>
      <c r="F16" s="392" t="s">
        <v>1182</v>
      </c>
      <c r="G16" s="392" t="s">
        <v>5324</v>
      </c>
      <c r="H16" s="392" t="s">
        <v>4917</v>
      </c>
      <c r="I16" s="392" t="s">
        <v>1762</v>
      </c>
      <c r="J16" s="392" t="s">
        <v>4796</v>
      </c>
      <c r="K16" s="392" t="s">
        <v>8075</v>
      </c>
      <c r="L16" s="392" t="s">
        <v>9249</v>
      </c>
      <c r="M16" s="392" t="s">
        <v>3758</v>
      </c>
      <c r="N16" s="392" t="s">
        <v>7273</v>
      </c>
      <c r="O16" s="392" t="s">
        <v>3758</v>
      </c>
      <c r="P16"/>
      <c r="Q16"/>
      <c r="R16" s="387">
        <f>VLOOKUP(E16,'[1]NDB Impacted SPRFs 05032013'!$A$2:$A$65536,1,FALSE)</f>
        <v>400041737</v>
      </c>
      <c r="S16" s="159"/>
      <c r="T16" s="159"/>
      <c r="U16" s="159"/>
    </row>
    <row r="17" spans="1:21" s="159" customFormat="1" ht="60" x14ac:dyDescent="0.25">
      <c r="A17" s="63">
        <f>MATCH($E17,'D1 - Master Project Table'!$B$24:$B$7056,0)</f>
        <v>3053</v>
      </c>
      <c r="B17" s="63" t="b">
        <f t="shared" si="0"/>
        <v>0</v>
      </c>
      <c r="C17" s="63" t="b">
        <f t="shared" si="1"/>
        <v>1</v>
      </c>
      <c r="D17" s="63" t="str">
        <f t="shared" si="2"/>
        <v>OK</v>
      </c>
      <c r="E17" s="393">
        <v>400043280</v>
      </c>
      <c r="F17" s="392" t="s">
        <v>1313</v>
      </c>
      <c r="G17" s="392" t="s">
        <v>5325</v>
      </c>
      <c r="H17" s="392" t="s">
        <v>5314</v>
      </c>
      <c r="I17" s="392" t="s">
        <v>6419</v>
      </c>
      <c r="J17" s="392" t="s">
        <v>3449</v>
      </c>
      <c r="K17" s="392" t="s">
        <v>5162</v>
      </c>
      <c r="L17" s="392" t="s">
        <v>1314</v>
      </c>
      <c r="M17" s="392" t="s">
        <v>7273</v>
      </c>
      <c r="N17" s="392" t="s">
        <v>7273</v>
      </c>
      <c r="O17" s="392" t="s">
        <v>7273</v>
      </c>
      <c r="P17"/>
      <c r="Q17"/>
      <c r="R17" s="387">
        <f>VLOOKUP(E17,'[1]NDB Impacted SPRFs 05032013'!$A$2:$A$65536,1,FALSE)</f>
        <v>400043280</v>
      </c>
      <c r="S17" s="128"/>
      <c r="T17" s="128"/>
      <c r="U17" s="128"/>
    </row>
    <row r="18" spans="1:21" s="159" customFormat="1" ht="60" x14ac:dyDescent="0.25">
      <c r="A18" s="63">
        <f>MATCH($E18,'D1 - Master Project Table'!$B$24:$B$7056,0)</f>
        <v>133</v>
      </c>
      <c r="B18" s="63" t="b">
        <f t="shared" si="0"/>
        <v>0</v>
      </c>
      <c r="C18" s="63" t="b">
        <f t="shared" si="1"/>
        <v>0</v>
      </c>
      <c r="D18" s="63" t="str">
        <f t="shared" si="2"/>
        <v>OK</v>
      </c>
      <c r="E18" s="393">
        <v>400057023</v>
      </c>
      <c r="F18" s="392" t="s">
        <v>7662</v>
      </c>
      <c r="G18" s="392" t="s">
        <v>5324</v>
      </c>
      <c r="H18" s="392" t="s">
        <v>8012</v>
      </c>
      <c r="I18" s="392" t="s">
        <v>1763</v>
      </c>
      <c r="J18" s="392" t="s">
        <v>9472</v>
      </c>
      <c r="K18" s="392" t="s">
        <v>7663</v>
      </c>
      <c r="L18" s="392" t="s">
        <v>9423</v>
      </c>
      <c r="M18" s="392" t="s">
        <v>3758</v>
      </c>
      <c r="N18" s="392" t="s">
        <v>7273</v>
      </c>
      <c r="O18" s="392" t="s">
        <v>3758</v>
      </c>
      <c r="P18"/>
      <c r="Q18"/>
      <c r="R18" s="387">
        <f>VLOOKUP(E18,'[1]NDB Impacted SPRFs 05032013'!$A$2:$A$65536,1,FALSE)</f>
        <v>400057023</v>
      </c>
    </row>
    <row r="19" spans="1:21" s="159" customFormat="1" ht="60" x14ac:dyDescent="0.25">
      <c r="A19" s="63" t="e">
        <f>MATCH($E19,'D1 - Master Project Table'!$B$24:$B$7056,0)</f>
        <v>#N/A</v>
      </c>
      <c r="B19" s="63" t="b">
        <f t="shared" si="0"/>
        <v>1</v>
      </c>
      <c r="C19" s="63" t="b">
        <f t="shared" si="1"/>
        <v>1</v>
      </c>
      <c r="D19" s="63" t="str">
        <f t="shared" si="2"/>
        <v>OK</v>
      </c>
      <c r="E19" s="393">
        <v>400000508</v>
      </c>
      <c r="F19" s="392" t="s">
        <v>5715</v>
      </c>
      <c r="G19" s="392" t="s">
        <v>5787</v>
      </c>
      <c r="H19" s="392" t="s">
        <v>5314</v>
      </c>
      <c r="I19" s="392" t="s">
        <v>1782</v>
      </c>
      <c r="J19" s="392" t="s">
        <v>5807</v>
      </c>
      <c r="K19" s="392" t="s">
        <v>6100</v>
      </c>
      <c r="L19" s="392" t="s">
        <v>6120</v>
      </c>
      <c r="M19" s="392" t="s">
        <v>3758</v>
      </c>
      <c r="N19" s="392" t="s">
        <v>7273</v>
      </c>
      <c r="O19" s="392" t="s">
        <v>7273</v>
      </c>
      <c r="P19"/>
      <c r="Q19"/>
      <c r="R19" s="387">
        <f>VLOOKUP(E19,'[1]NDB Impacted SPRFs 05032013'!$A$2:$A$65536,1,FALSE)</f>
        <v>400000508</v>
      </c>
    </row>
    <row r="20" spans="1:21" s="159" customFormat="1" ht="60" x14ac:dyDescent="0.25">
      <c r="A20" s="63" t="e">
        <f>MATCH($E20,'D1 - Master Project Table'!$B$24:$B$7056,0)</f>
        <v>#N/A</v>
      </c>
      <c r="B20" s="63" t="b">
        <f t="shared" si="0"/>
        <v>1</v>
      </c>
      <c r="C20" s="63" t="b">
        <f t="shared" si="1"/>
        <v>1</v>
      </c>
      <c r="D20" s="63" t="str">
        <f t="shared" si="2"/>
        <v>OK</v>
      </c>
      <c r="E20" s="393">
        <v>400009144</v>
      </c>
      <c r="F20" s="392" t="s">
        <v>5321</v>
      </c>
      <c r="G20" s="392" t="s">
        <v>3441</v>
      </c>
      <c r="H20" s="392" t="s">
        <v>7418</v>
      </c>
      <c r="I20" s="392" t="s">
        <v>1770</v>
      </c>
      <c r="J20" s="392" t="s">
        <v>7269</v>
      </c>
      <c r="K20" s="392" t="s">
        <v>6963</v>
      </c>
      <c r="L20" s="392" t="s">
        <v>5322</v>
      </c>
      <c r="M20" s="392" t="s">
        <v>3758</v>
      </c>
      <c r="N20" s="392" t="s">
        <v>7273</v>
      </c>
      <c r="O20" s="392" t="s">
        <v>7273</v>
      </c>
      <c r="P20"/>
      <c r="Q20"/>
      <c r="R20" s="387">
        <f>VLOOKUP(E20,'[1]NDB Impacted SPRFs 05032013'!$A$2:$A$65536,1,FALSE)</f>
        <v>400009144</v>
      </c>
    </row>
    <row r="21" spans="1:21" s="159" customFormat="1" ht="60" x14ac:dyDescent="0.25">
      <c r="A21" s="63">
        <f>MATCH($E21,'D1 - Master Project Table'!$B$24:$B$7056,0)</f>
        <v>650</v>
      </c>
      <c r="B21" s="63" t="b">
        <f t="shared" si="0"/>
        <v>0</v>
      </c>
      <c r="C21" s="63" t="b">
        <f t="shared" si="1"/>
        <v>1</v>
      </c>
      <c r="D21" s="63" t="str">
        <f t="shared" si="2"/>
        <v>OK</v>
      </c>
      <c r="E21" s="393">
        <v>400014596</v>
      </c>
      <c r="F21" s="392" t="s">
        <v>1297</v>
      </c>
      <c r="G21" s="392" t="s">
        <v>5787</v>
      </c>
      <c r="H21" s="392" t="s">
        <v>7418</v>
      </c>
      <c r="I21" s="392" t="s">
        <v>1771</v>
      </c>
      <c r="J21" s="392" t="s">
        <v>6522</v>
      </c>
      <c r="K21" s="392" t="s">
        <v>4671</v>
      </c>
      <c r="L21" s="392" t="s">
        <v>1298</v>
      </c>
      <c r="M21" s="392" t="s">
        <v>7273</v>
      </c>
      <c r="N21" s="392" t="s">
        <v>7273</v>
      </c>
      <c r="O21" s="392" t="s">
        <v>7273</v>
      </c>
      <c r="P21"/>
      <c r="Q21"/>
      <c r="R21" s="387">
        <f>VLOOKUP(E21,'[1]NDB Impacted SPRFs 05032013'!$A$2:$A$65536,1,FALSE)</f>
        <v>400014596</v>
      </c>
    </row>
    <row r="22" spans="1:21" s="159" customFormat="1" ht="60" x14ac:dyDescent="0.25">
      <c r="A22" s="63">
        <f>MATCH($E22,'D1 - Master Project Table'!$B$24:$B$7056,0)</f>
        <v>39</v>
      </c>
      <c r="B22" s="63" t="b">
        <f t="shared" si="0"/>
        <v>0</v>
      </c>
      <c r="C22" s="63" t="b">
        <f t="shared" si="1"/>
        <v>0</v>
      </c>
      <c r="D22" s="63" t="str">
        <f t="shared" si="2"/>
        <v>OK</v>
      </c>
      <c r="E22" s="393">
        <v>400049434</v>
      </c>
      <c r="F22" s="392" t="s">
        <v>1016</v>
      </c>
      <c r="G22" s="392" t="s">
        <v>5324</v>
      </c>
      <c r="H22" s="392" t="s">
        <v>4917</v>
      </c>
      <c r="I22" s="392" t="s">
        <v>1762</v>
      </c>
      <c r="J22" s="392" t="s">
        <v>1017</v>
      </c>
      <c r="K22" s="392" t="s">
        <v>1018</v>
      </c>
      <c r="L22" s="392" t="s">
        <v>537</v>
      </c>
      <c r="M22" s="392" t="s">
        <v>3758</v>
      </c>
      <c r="N22" s="392" t="s">
        <v>7273</v>
      </c>
      <c r="O22" s="392" t="s">
        <v>7273</v>
      </c>
      <c r="P22"/>
      <c r="Q22"/>
      <c r="R22" s="387">
        <f>VLOOKUP(E22,'[1]NDB Impacted SPRFs 05032013'!$A$2:$A$65536,1,FALSE)</f>
        <v>400049434</v>
      </c>
    </row>
    <row r="23" spans="1:21" ht="60" x14ac:dyDescent="0.25">
      <c r="A23" s="63" t="e">
        <f>MATCH($E23,'D1 - Master Project Table'!$B$24:$B$7056,0)</f>
        <v>#N/A</v>
      </c>
      <c r="B23" s="63" t="b">
        <f t="shared" si="0"/>
        <v>1</v>
      </c>
      <c r="C23" s="63" t="b">
        <f t="shared" si="1"/>
        <v>1</v>
      </c>
      <c r="D23" s="63" t="str">
        <f t="shared" si="2"/>
        <v>OK</v>
      </c>
      <c r="E23" s="393">
        <v>400024001</v>
      </c>
      <c r="F23" s="392" t="s">
        <v>6317</v>
      </c>
      <c r="G23" s="392" t="s">
        <v>5001</v>
      </c>
      <c r="H23" s="392" t="s">
        <v>7418</v>
      </c>
      <c r="I23" s="392" t="s">
        <v>2659</v>
      </c>
      <c r="J23" s="392" t="s">
        <v>8768</v>
      </c>
      <c r="K23" s="392" t="s">
        <v>6318</v>
      </c>
      <c r="L23" s="392" t="s">
        <v>6319</v>
      </c>
      <c r="M23" s="392" t="s">
        <v>7273</v>
      </c>
      <c r="N23" s="392" t="s">
        <v>7273</v>
      </c>
      <c r="O23" s="392" t="s">
        <v>7273</v>
      </c>
      <c r="P23"/>
      <c r="Q23"/>
      <c r="R23" s="387">
        <f>VLOOKUP(E23,'[1]NDB Impacted SPRFs 05032013'!$A$2:$A$65536,1,FALSE)</f>
        <v>400024001</v>
      </c>
    </row>
    <row r="24" spans="1:21" s="159" customFormat="1" ht="60" x14ac:dyDescent="0.25">
      <c r="A24" s="63">
        <f>MATCH($E24,'D1 - Master Project Table'!$B$24:$B$7056,0)</f>
        <v>85</v>
      </c>
      <c r="B24" s="63" t="b">
        <f t="shared" si="0"/>
        <v>0</v>
      </c>
      <c r="C24" s="63" t="b">
        <f t="shared" si="1"/>
        <v>0</v>
      </c>
      <c r="D24" s="63" t="str">
        <f t="shared" si="2"/>
        <v>OK</v>
      </c>
      <c r="E24" s="393">
        <v>400056887</v>
      </c>
      <c r="F24" s="392" t="s">
        <v>9365</v>
      </c>
      <c r="G24" s="392" t="s">
        <v>5001</v>
      </c>
      <c r="H24" s="392" t="s">
        <v>8012</v>
      </c>
      <c r="I24" s="392" t="s">
        <v>9366</v>
      </c>
      <c r="J24" s="392" t="s">
        <v>9367</v>
      </c>
      <c r="K24" s="392" t="s">
        <v>7751</v>
      </c>
      <c r="L24" s="392" t="s">
        <v>9473</v>
      </c>
      <c r="M24" s="392" t="s">
        <v>7273</v>
      </c>
      <c r="N24" s="392" t="s">
        <v>7273</v>
      </c>
      <c r="O24" s="392" t="s">
        <v>3758</v>
      </c>
      <c r="P24"/>
      <c r="Q24"/>
      <c r="R24" s="387">
        <f>VLOOKUP(E24,'[1]NDB Impacted SPRFs 05032013'!$A$2:$A$65536,1,FALSE)</f>
        <v>400056887</v>
      </c>
    </row>
    <row r="25" spans="1:21" s="159" customFormat="1" ht="60" x14ac:dyDescent="0.25">
      <c r="A25" s="63">
        <f>MATCH($E25,'D1 - Master Project Table'!$B$24:$B$7056,0)</f>
        <v>1757</v>
      </c>
      <c r="B25" s="63" t="b">
        <f t="shared" si="0"/>
        <v>0</v>
      </c>
      <c r="C25" s="63" t="b">
        <f t="shared" si="1"/>
        <v>0</v>
      </c>
      <c r="D25" s="63" t="str">
        <f t="shared" si="2"/>
        <v>OK</v>
      </c>
      <c r="E25" s="393">
        <v>400041984</v>
      </c>
      <c r="F25" s="392" t="s">
        <v>1210</v>
      </c>
      <c r="G25" s="392" t="s">
        <v>5324</v>
      </c>
      <c r="H25" s="392" t="s">
        <v>4917</v>
      </c>
      <c r="I25" s="392" t="s">
        <v>1762</v>
      </c>
      <c r="J25" s="392" t="s">
        <v>4110</v>
      </c>
      <c r="K25" s="392" t="s">
        <v>8075</v>
      </c>
      <c r="L25" s="392" t="s">
        <v>3579</v>
      </c>
      <c r="M25" s="392" t="s">
        <v>3758</v>
      </c>
      <c r="N25" s="392" t="s">
        <v>7273</v>
      </c>
      <c r="O25" s="392" t="s">
        <v>3758</v>
      </c>
      <c r="P25"/>
      <c r="Q25"/>
      <c r="R25" s="387">
        <f>VLOOKUP(E25,'[1]NDB Impacted SPRFs 05032013'!$A$2:$A$65536,1,FALSE)</f>
        <v>400041984</v>
      </c>
    </row>
    <row r="26" spans="1:21" s="159" customFormat="1" ht="60" x14ac:dyDescent="0.25">
      <c r="A26" s="63">
        <f>MATCH($E26,'D1 - Master Project Table'!$B$24:$B$7056,0)</f>
        <v>1389</v>
      </c>
      <c r="B26" s="63" t="b">
        <f t="shared" si="0"/>
        <v>0</v>
      </c>
      <c r="C26" s="63" t="b">
        <f t="shared" si="1"/>
        <v>1</v>
      </c>
      <c r="D26" s="63" t="str">
        <f t="shared" si="2"/>
        <v>OK</v>
      </c>
      <c r="E26" s="393">
        <v>400033418</v>
      </c>
      <c r="F26" s="392" t="s">
        <v>4641</v>
      </c>
      <c r="G26" s="392" t="s">
        <v>5325</v>
      </c>
      <c r="H26" s="392" t="s">
        <v>7418</v>
      </c>
      <c r="I26" s="392" t="s">
        <v>1671</v>
      </c>
      <c r="J26" s="392" t="s">
        <v>5326</v>
      </c>
      <c r="K26" s="392" t="s">
        <v>4642</v>
      </c>
      <c r="L26" s="392" t="s">
        <v>3064</v>
      </c>
      <c r="M26" s="392" t="s">
        <v>3758</v>
      </c>
      <c r="N26" s="392" t="s">
        <v>7273</v>
      </c>
      <c r="O26" s="392" t="s">
        <v>3758</v>
      </c>
      <c r="P26"/>
      <c r="Q26"/>
      <c r="R26" s="387">
        <f>VLOOKUP(E26,'[1]NDB Impacted SPRFs 05032013'!$A$2:$A$65536,1,FALSE)</f>
        <v>400033418</v>
      </c>
    </row>
    <row r="27" spans="1:21" s="159" customFormat="1" ht="60" x14ac:dyDescent="0.25">
      <c r="A27" s="63">
        <f>MATCH($E27,'D1 - Master Project Table'!$B$24:$B$7056,0)</f>
        <v>2033</v>
      </c>
      <c r="B27" s="63" t="b">
        <f t="shared" si="0"/>
        <v>0</v>
      </c>
      <c r="C27" s="63" t="b">
        <f t="shared" si="1"/>
        <v>1</v>
      </c>
      <c r="D27" s="63" t="str">
        <f t="shared" si="2"/>
        <v>OK</v>
      </c>
      <c r="E27" s="393">
        <v>400046355</v>
      </c>
      <c r="F27" s="392" t="s">
        <v>1105</v>
      </c>
      <c r="G27" s="392" t="s">
        <v>9210</v>
      </c>
      <c r="H27" s="392" t="s">
        <v>7418</v>
      </c>
      <c r="I27" s="392" t="s">
        <v>2661</v>
      </c>
      <c r="J27" s="392" t="s">
        <v>8744</v>
      </c>
      <c r="K27" s="392" t="s">
        <v>7150</v>
      </c>
      <c r="L27" s="392" t="s">
        <v>1120</v>
      </c>
      <c r="M27" s="392" t="s">
        <v>3758</v>
      </c>
      <c r="N27" s="392" t="s">
        <v>7273</v>
      </c>
      <c r="O27" s="392" t="s">
        <v>3758</v>
      </c>
      <c r="P27"/>
      <c r="Q27"/>
      <c r="R27" s="387">
        <f>VLOOKUP(E27,'[1]NDB Impacted SPRFs 05032013'!$A$2:$A$65536,1,FALSE)</f>
        <v>400046355</v>
      </c>
    </row>
    <row r="28" spans="1:21" s="159" customFormat="1" ht="60" x14ac:dyDescent="0.25">
      <c r="A28" s="63">
        <f>MATCH($E28,'D1 - Master Project Table'!$B$24:$B$7056,0)</f>
        <v>132</v>
      </c>
      <c r="B28" s="63" t="b">
        <f t="shared" si="0"/>
        <v>0</v>
      </c>
      <c r="C28" s="63" t="b">
        <f t="shared" si="1"/>
        <v>0</v>
      </c>
      <c r="D28" s="63" t="str">
        <f t="shared" si="2"/>
        <v>OK</v>
      </c>
      <c r="E28" s="393">
        <v>400056886</v>
      </c>
      <c r="F28" s="392" t="s">
        <v>7440</v>
      </c>
      <c r="G28" s="392" t="s">
        <v>5324</v>
      </c>
      <c r="H28" s="392" t="s">
        <v>7479</v>
      </c>
      <c r="I28" s="392" t="s">
        <v>1762</v>
      </c>
      <c r="J28" s="392" t="s">
        <v>1006</v>
      </c>
      <c r="K28" s="392" t="s">
        <v>7784</v>
      </c>
      <c r="L28" s="392" t="s">
        <v>9474</v>
      </c>
      <c r="M28" s="392" t="s">
        <v>3758</v>
      </c>
      <c r="N28" s="392" t="s">
        <v>7273</v>
      </c>
      <c r="O28" s="392" t="s">
        <v>7273</v>
      </c>
      <c r="P28"/>
      <c r="Q28"/>
      <c r="R28" s="387">
        <f>VLOOKUP(E28,'[1]NDB Impacted SPRFs 05032013'!$A$2:$A$65536,1,FALSE)</f>
        <v>400056886</v>
      </c>
    </row>
    <row r="29" spans="1:21" s="159" customFormat="1" ht="60" x14ac:dyDescent="0.25">
      <c r="A29" s="63" t="e">
        <f>MATCH($E29,'D1 - Master Project Table'!$B$24:$B$7056,0)</f>
        <v>#N/A</v>
      </c>
      <c r="B29" s="63" t="b">
        <f t="shared" si="0"/>
        <v>1</v>
      </c>
      <c r="C29" s="63" t="b">
        <f t="shared" si="1"/>
        <v>1</v>
      </c>
      <c r="D29" s="63" t="str">
        <f t="shared" si="2"/>
        <v>OK</v>
      </c>
      <c r="E29" s="393">
        <v>400026639</v>
      </c>
      <c r="F29" s="392" t="s">
        <v>1053</v>
      </c>
      <c r="G29" s="392" t="s">
        <v>5324</v>
      </c>
      <c r="H29" s="392" t="s">
        <v>7418</v>
      </c>
      <c r="I29" s="392" t="s">
        <v>1757</v>
      </c>
      <c r="J29" s="392" t="s">
        <v>3417</v>
      </c>
      <c r="K29" s="392" t="s">
        <v>7044</v>
      </c>
      <c r="L29" s="392" t="s">
        <v>3618</v>
      </c>
      <c r="M29" s="392" t="s">
        <v>3758</v>
      </c>
      <c r="N29" s="392" t="s">
        <v>7273</v>
      </c>
      <c r="O29" s="392" t="s">
        <v>7273</v>
      </c>
      <c r="P29"/>
      <c r="Q29"/>
      <c r="R29" s="387">
        <f>VLOOKUP(E29,'[1]NDB Impacted SPRFs 05032013'!$A$2:$A$65536,1,FALSE)</f>
        <v>400026639</v>
      </c>
    </row>
    <row r="30" spans="1:21" s="159" customFormat="1" ht="60" x14ac:dyDescent="0.25">
      <c r="A30" s="63" t="e">
        <f>MATCH($E30,'D1 - Master Project Table'!$B$24:$B$7056,0)</f>
        <v>#N/A</v>
      </c>
      <c r="B30" s="63" t="b">
        <f t="shared" si="0"/>
        <v>1</v>
      </c>
      <c r="C30" s="63" t="b">
        <f t="shared" si="1"/>
        <v>1</v>
      </c>
      <c r="D30" s="63" t="str">
        <f t="shared" si="2"/>
        <v>OK</v>
      </c>
      <c r="E30" s="393">
        <v>400011813</v>
      </c>
      <c r="F30" s="392" t="s">
        <v>5344</v>
      </c>
      <c r="G30" s="392" t="s">
        <v>5324</v>
      </c>
      <c r="H30" s="392" t="s">
        <v>5314</v>
      </c>
      <c r="I30" s="392" t="s">
        <v>1763</v>
      </c>
      <c r="J30" s="392" t="s">
        <v>5481</v>
      </c>
      <c r="K30" s="392" t="s">
        <v>7408</v>
      </c>
      <c r="L30" s="392" t="s">
        <v>1052</v>
      </c>
      <c r="M30" s="392" t="s">
        <v>3758</v>
      </c>
      <c r="N30" s="392" t="s">
        <v>7273</v>
      </c>
      <c r="O30" s="392" t="s">
        <v>7273</v>
      </c>
      <c r="P30"/>
      <c r="Q30"/>
      <c r="R30" s="387">
        <f>VLOOKUP(E30,'[1]NDB Impacted SPRFs 05032013'!$A$2:$A$65536,1,FALSE)</f>
        <v>400011813</v>
      </c>
      <c r="S30" s="128"/>
      <c r="T30" s="128"/>
      <c r="U30" s="128"/>
    </row>
    <row r="31" spans="1:21" s="159" customFormat="1" ht="60" x14ac:dyDescent="0.25">
      <c r="A31" s="63">
        <f>MATCH($E31,'D1 - Master Project Table'!$B$24:$B$7056,0)</f>
        <v>390</v>
      </c>
      <c r="B31" s="63" t="b">
        <f t="shared" si="0"/>
        <v>0</v>
      </c>
      <c r="C31" s="63" t="b">
        <f t="shared" si="1"/>
        <v>1</v>
      </c>
      <c r="D31" s="63" t="str">
        <f t="shared" si="2"/>
        <v>OK</v>
      </c>
      <c r="E31" s="393">
        <v>400008028</v>
      </c>
      <c r="F31" s="392" t="s">
        <v>6320</v>
      </c>
      <c r="G31" s="392" t="s">
        <v>5787</v>
      </c>
      <c r="H31" s="392" t="s">
        <v>7418</v>
      </c>
      <c r="I31" s="392" t="s">
        <v>1771</v>
      </c>
      <c r="J31" s="392" t="s">
        <v>6522</v>
      </c>
      <c r="K31" s="392" t="s">
        <v>4671</v>
      </c>
      <c r="L31" s="392" t="s">
        <v>6321</v>
      </c>
      <c r="M31" s="392" t="s">
        <v>3758</v>
      </c>
      <c r="N31" s="392" t="s">
        <v>7273</v>
      </c>
      <c r="O31" s="392" t="s">
        <v>7273</v>
      </c>
      <c r="P31"/>
      <c r="Q31"/>
      <c r="R31" s="387">
        <f>VLOOKUP(E31,'[1]NDB Impacted SPRFs 05032013'!$A$2:$A$65536,1,FALSE)</f>
        <v>400008028</v>
      </c>
    </row>
    <row r="32" spans="1:21" s="159" customFormat="1" ht="60" x14ac:dyDescent="0.25">
      <c r="A32" s="63">
        <f>MATCH($E32,'D1 - Master Project Table'!$B$24:$B$7056,0)</f>
        <v>1136</v>
      </c>
      <c r="B32" s="63" t="b">
        <f t="shared" si="0"/>
        <v>0</v>
      </c>
      <c r="C32" s="63" t="b">
        <f t="shared" si="1"/>
        <v>1</v>
      </c>
      <c r="D32" s="63" t="str">
        <f t="shared" si="2"/>
        <v>OK</v>
      </c>
      <c r="E32" s="393">
        <v>400027002</v>
      </c>
      <c r="F32" s="392" t="s">
        <v>3917</v>
      </c>
      <c r="G32" s="392" t="s">
        <v>5001</v>
      </c>
      <c r="H32" s="392" t="s">
        <v>7418</v>
      </c>
      <c r="I32" s="392" t="s">
        <v>2661</v>
      </c>
      <c r="J32" s="392" t="s">
        <v>8765</v>
      </c>
      <c r="K32" s="392" t="s">
        <v>7150</v>
      </c>
      <c r="L32" s="392" t="s">
        <v>6316</v>
      </c>
      <c r="M32" s="392" t="s">
        <v>7273</v>
      </c>
      <c r="N32" s="392" t="s">
        <v>7273</v>
      </c>
      <c r="O32" s="392" t="s">
        <v>3758</v>
      </c>
      <c r="P32"/>
      <c r="Q32"/>
      <c r="R32" s="387">
        <f>VLOOKUP(E32,'[1]NDB Impacted SPRFs 05032013'!$A$2:$A$65536,1,FALSE)</f>
        <v>400027002</v>
      </c>
    </row>
    <row r="33" spans="1:21" s="159" customFormat="1" ht="60" x14ac:dyDescent="0.25">
      <c r="A33" s="63">
        <f>MATCH($E33,'D1 - Master Project Table'!$B$24:$B$7056,0)</f>
        <v>2302</v>
      </c>
      <c r="B33" s="63" t="b">
        <f t="shared" si="0"/>
        <v>0</v>
      </c>
      <c r="C33" s="63" t="b">
        <f t="shared" si="1"/>
        <v>1</v>
      </c>
      <c r="D33" s="63" t="str">
        <f t="shared" si="2"/>
        <v>OK</v>
      </c>
      <c r="E33" s="393">
        <v>400041330</v>
      </c>
      <c r="F33" s="392" t="s">
        <v>1144</v>
      </c>
      <c r="G33" s="392" t="s">
        <v>5324</v>
      </c>
      <c r="H33" s="392" t="s">
        <v>7418</v>
      </c>
      <c r="I33" s="392" t="s">
        <v>1762</v>
      </c>
      <c r="J33" s="392" t="s">
        <v>1145</v>
      </c>
      <c r="K33" s="392" t="s">
        <v>1146</v>
      </c>
      <c r="L33" s="392" t="s">
        <v>2777</v>
      </c>
      <c r="M33" s="392" t="s">
        <v>3758</v>
      </c>
      <c r="N33" s="392" t="s">
        <v>7273</v>
      </c>
      <c r="O33" s="392" t="s">
        <v>7273</v>
      </c>
      <c r="P33"/>
      <c r="Q33"/>
      <c r="R33" s="387">
        <f>VLOOKUP(E33,'[1]NDB Impacted SPRFs 05032013'!$A$2:$A$65536,1,FALSE)</f>
        <v>400041330</v>
      </c>
    </row>
    <row r="34" spans="1:21" s="159" customFormat="1" ht="60" x14ac:dyDescent="0.25">
      <c r="A34" s="63">
        <f>MATCH($E34,'D1 - Master Project Table'!$B$24:$B$7056,0)</f>
        <v>1181</v>
      </c>
      <c r="B34" s="63" t="b">
        <f t="shared" si="0"/>
        <v>0</v>
      </c>
      <c r="C34" s="63" t="b">
        <f t="shared" si="1"/>
        <v>1</v>
      </c>
      <c r="D34" s="63" t="str">
        <f t="shared" si="2"/>
        <v>OK</v>
      </c>
      <c r="E34" s="393">
        <v>400031209</v>
      </c>
      <c r="F34" s="392" t="s">
        <v>6545</v>
      </c>
      <c r="G34" s="392" t="s">
        <v>5324</v>
      </c>
      <c r="H34" s="392" t="s">
        <v>7418</v>
      </c>
      <c r="I34" s="392" t="s">
        <v>1758</v>
      </c>
      <c r="J34" s="392" t="s">
        <v>6543</v>
      </c>
      <c r="K34" s="392" t="s">
        <v>6444</v>
      </c>
      <c r="L34" s="392" t="s">
        <v>2388</v>
      </c>
      <c r="M34" s="392" t="s">
        <v>3758</v>
      </c>
      <c r="N34" s="392" t="s">
        <v>7273</v>
      </c>
      <c r="O34" s="392" t="s">
        <v>3758</v>
      </c>
      <c r="P34"/>
      <c r="Q34"/>
      <c r="R34" s="387">
        <f>VLOOKUP(E34,'[1]NDB Impacted SPRFs 05032013'!$A$2:$A$65536,1,FALSE)</f>
        <v>400031209</v>
      </c>
    </row>
    <row r="35" spans="1:21" s="159" customFormat="1" ht="60" x14ac:dyDescent="0.25">
      <c r="A35" s="63">
        <f>MATCH($E35,'D1 - Master Project Table'!$B$24:$B$7056,0)</f>
        <v>559</v>
      </c>
      <c r="B35" s="63" t="b">
        <f t="shared" si="0"/>
        <v>0</v>
      </c>
      <c r="C35" s="63" t="b">
        <f t="shared" si="1"/>
        <v>1</v>
      </c>
      <c r="D35" s="63" t="str">
        <f t="shared" si="2"/>
        <v>OK</v>
      </c>
      <c r="E35" s="393">
        <v>400011426</v>
      </c>
      <c r="F35" s="392" t="s">
        <v>2591</v>
      </c>
      <c r="G35" s="392" t="s">
        <v>3441</v>
      </c>
      <c r="H35" s="392" t="s">
        <v>7418</v>
      </c>
      <c r="I35" s="392" t="s">
        <v>2662</v>
      </c>
      <c r="J35" s="392" t="s">
        <v>5296</v>
      </c>
      <c r="K35" s="392" t="s">
        <v>2592</v>
      </c>
      <c r="L35" s="392" t="s">
        <v>3986</v>
      </c>
      <c r="M35" s="392" t="s">
        <v>3758</v>
      </c>
      <c r="N35" s="392" t="s">
        <v>7273</v>
      </c>
      <c r="O35" s="392" t="s">
        <v>7273</v>
      </c>
      <c r="P35"/>
      <c r="Q35"/>
      <c r="R35" s="387">
        <f>VLOOKUP(E35,'[1]NDB Impacted SPRFs 05032013'!$A$2:$A$65536,1,FALSE)</f>
        <v>400011426</v>
      </c>
    </row>
    <row r="36" spans="1:21" s="159" customFormat="1" ht="60" x14ac:dyDescent="0.25">
      <c r="A36" s="63">
        <f>MATCH($E36,'D1 - Master Project Table'!$B$24:$B$7056,0)</f>
        <v>766</v>
      </c>
      <c r="B36" s="63" t="b">
        <f t="shared" si="0"/>
        <v>0</v>
      </c>
      <c r="C36" s="63" t="b">
        <f t="shared" si="1"/>
        <v>1</v>
      </c>
      <c r="D36" s="63" t="str">
        <f t="shared" si="2"/>
        <v>OK</v>
      </c>
      <c r="E36" s="393">
        <v>400013422</v>
      </c>
      <c r="F36" s="392" t="s">
        <v>7025</v>
      </c>
      <c r="G36" s="392" t="s">
        <v>5324</v>
      </c>
      <c r="H36" s="392" t="s">
        <v>7418</v>
      </c>
      <c r="I36" s="392" t="s">
        <v>1759</v>
      </c>
      <c r="J36" s="392" t="s">
        <v>3000</v>
      </c>
      <c r="K36" s="392" t="s">
        <v>3005</v>
      </c>
      <c r="L36" s="392" t="s">
        <v>2538</v>
      </c>
      <c r="M36" s="392" t="s">
        <v>3758</v>
      </c>
      <c r="N36" s="392" t="s">
        <v>7273</v>
      </c>
      <c r="O36" s="392" t="s">
        <v>7273</v>
      </c>
      <c r="P36"/>
      <c r="Q36"/>
      <c r="R36" s="387">
        <f>VLOOKUP(E36,'[1]NDB Impacted SPRFs 05032013'!$A$2:$A$65536,1,FALSE)</f>
        <v>400013422</v>
      </c>
    </row>
    <row r="37" spans="1:21" ht="60" x14ac:dyDescent="0.25">
      <c r="A37" s="63">
        <f>MATCH($E37,'D1 - Master Project Table'!$B$24:$B$7056,0)</f>
        <v>966</v>
      </c>
      <c r="B37" s="63" t="b">
        <f t="shared" si="0"/>
        <v>0</v>
      </c>
      <c r="C37" s="63" t="b">
        <f t="shared" si="1"/>
        <v>1</v>
      </c>
      <c r="D37" s="63" t="str">
        <f t="shared" si="2"/>
        <v>OK</v>
      </c>
      <c r="E37" s="393">
        <v>400022158</v>
      </c>
      <c r="F37" s="392" t="s">
        <v>3356</v>
      </c>
      <c r="G37" s="392" t="s">
        <v>5324</v>
      </c>
      <c r="H37" s="392" t="s">
        <v>7418</v>
      </c>
      <c r="I37" s="392" t="s">
        <v>1756</v>
      </c>
      <c r="J37" s="392" t="s">
        <v>4634</v>
      </c>
      <c r="K37" s="392" t="s">
        <v>1506</v>
      </c>
      <c r="L37" s="392" t="s">
        <v>395</v>
      </c>
      <c r="M37" s="392" t="s">
        <v>3758</v>
      </c>
      <c r="N37" s="392" t="s">
        <v>7273</v>
      </c>
      <c r="O37" s="392" t="s">
        <v>7273</v>
      </c>
      <c r="P37"/>
      <c r="Q37"/>
      <c r="R37" s="387">
        <f>VLOOKUP(E37,'[1]NDB Impacted SPRFs 05032013'!$A$2:$A$65536,1,FALSE)</f>
        <v>400022158</v>
      </c>
      <c r="S37" s="159"/>
      <c r="T37" s="159"/>
      <c r="U37" s="159"/>
    </row>
    <row r="38" spans="1:21" s="159" customFormat="1" ht="60" x14ac:dyDescent="0.25">
      <c r="A38" s="63">
        <f>MATCH($E38,'D1 - Master Project Table'!$B$24:$B$7056,0)</f>
        <v>1970</v>
      </c>
      <c r="B38" s="63" t="b">
        <f t="shared" si="0"/>
        <v>0</v>
      </c>
      <c r="C38" s="63" t="b">
        <f t="shared" si="1"/>
        <v>1</v>
      </c>
      <c r="D38" s="63" t="str">
        <f t="shared" si="2"/>
        <v>OK</v>
      </c>
      <c r="E38" s="393">
        <v>400025511</v>
      </c>
      <c r="F38" s="392" t="s">
        <v>6003</v>
      </c>
      <c r="G38" s="392" t="s">
        <v>5324</v>
      </c>
      <c r="H38" s="392" t="s">
        <v>7418</v>
      </c>
      <c r="I38" s="392" t="s">
        <v>1759</v>
      </c>
      <c r="J38" s="392" t="s">
        <v>6004</v>
      </c>
      <c r="K38" s="392" t="s">
        <v>6005</v>
      </c>
      <c r="L38" s="392" t="s">
        <v>8191</v>
      </c>
      <c r="M38" s="392" t="s">
        <v>3758</v>
      </c>
      <c r="N38" s="392" t="s">
        <v>7273</v>
      </c>
      <c r="O38" s="392" t="s">
        <v>3758</v>
      </c>
      <c r="P38"/>
      <c r="Q38"/>
      <c r="R38" s="387">
        <f>VLOOKUP(E38,'[1]NDB Impacted SPRFs 05032013'!$A$2:$A$65536,1,FALSE)</f>
        <v>400025511</v>
      </c>
    </row>
    <row r="39" spans="1:21" s="159" customFormat="1" ht="60" x14ac:dyDescent="0.25">
      <c r="A39" s="63">
        <f>MATCH($E39,'D1 - Master Project Table'!$B$24:$B$7056,0)</f>
        <v>2142</v>
      </c>
      <c r="B39" s="63" t="b">
        <f t="shared" si="0"/>
        <v>0</v>
      </c>
      <c r="C39" s="63" t="b">
        <f t="shared" si="1"/>
        <v>1</v>
      </c>
      <c r="D39" s="63" t="str">
        <f t="shared" si="2"/>
        <v>OK</v>
      </c>
      <c r="E39" s="393">
        <v>400015751</v>
      </c>
      <c r="F39" s="392" t="s">
        <v>6897</v>
      </c>
      <c r="G39" s="392" t="s">
        <v>3441</v>
      </c>
      <c r="H39" s="392" t="s">
        <v>5314</v>
      </c>
      <c r="I39" s="392" t="s">
        <v>2662</v>
      </c>
      <c r="J39" s="392" t="s">
        <v>1104</v>
      </c>
      <c r="K39" s="392" t="s">
        <v>1506</v>
      </c>
      <c r="L39" s="392" t="s">
        <v>8920</v>
      </c>
      <c r="M39" s="392" t="s">
        <v>3758</v>
      </c>
      <c r="N39" s="392" t="s">
        <v>7273</v>
      </c>
      <c r="O39" s="392" t="s">
        <v>7273</v>
      </c>
      <c r="P39"/>
      <c r="Q39"/>
      <c r="R39" s="387">
        <f>VLOOKUP(E39,'[1]NDB Impacted SPRFs 05032013'!$A$2:$A$65536,1,FALSE)</f>
        <v>400015751</v>
      </c>
    </row>
    <row r="40" spans="1:21" s="159" customFormat="1" ht="60" x14ac:dyDescent="0.25">
      <c r="A40" s="63">
        <f>MATCH($E40,'D1 - Master Project Table'!$B$24:$B$7056,0)</f>
        <v>1986</v>
      </c>
      <c r="B40" s="63" t="b">
        <f t="shared" si="0"/>
        <v>0</v>
      </c>
      <c r="C40" s="63" t="b">
        <f t="shared" si="1"/>
        <v>1</v>
      </c>
      <c r="D40" s="63" t="str">
        <f t="shared" si="2"/>
        <v>OK</v>
      </c>
      <c r="E40" s="393">
        <v>400028495</v>
      </c>
      <c r="F40" s="392" t="s">
        <v>7854</v>
      </c>
      <c r="G40" s="392" t="s">
        <v>6065</v>
      </c>
      <c r="H40" s="392" t="s">
        <v>7418</v>
      </c>
      <c r="I40" s="392" t="s">
        <v>2655</v>
      </c>
      <c r="J40" s="392" t="s">
        <v>5944</v>
      </c>
      <c r="K40" s="392" t="s">
        <v>5980</v>
      </c>
      <c r="L40" s="392" t="s">
        <v>2928</v>
      </c>
      <c r="M40" s="392" t="s">
        <v>3758</v>
      </c>
      <c r="N40" s="392" t="s">
        <v>7273</v>
      </c>
      <c r="O40" s="392" t="s">
        <v>7273</v>
      </c>
      <c r="P40"/>
      <c r="Q40"/>
      <c r="R40" s="387">
        <f>VLOOKUP(E40,'[1]NDB Impacted SPRFs 05032013'!$A$2:$A$65536,1,FALSE)</f>
        <v>400028495</v>
      </c>
    </row>
    <row r="41" spans="1:21" ht="60" x14ac:dyDescent="0.25">
      <c r="A41" s="63">
        <f>MATCH($E41,'D1 - Master Project Table'!$B$24:$B$7056,0)</f>
        <v>2331</v>
      </c>
      <c r="B41" s="63" t="b">
        <f t="shared" si="0"/>
        <v>0</v>
      </c>
      <c r="C41" s="63" t="b">
        <f t="shared" si="1"/>
        <v>1</v>
      </c>
      <c r="D41" s="63" t="str">
        <f t="shared" si="2"/>
        <v>OK</v>
      </c>
      <c r="E41" s="393">
        <v>400053873</v>
      </c>
      <c r="F41" s="392" t="s">
        <v>287</v>
      </c>
      <c r="G41" s="392" t="s">
        <v>5324</v>
      </c>
      <c r="H41" s="392" t="s">
        <v>7418</v>
      </c>
      <c r="I41" s="392" t="s">
        <v>1758</v>
      </c>
      <c r="J41" s="392" t="s">
        <v>8082</v>
      </c>
      <c r="K41" s="392" t="s">
        <v>6444</v>
      </c>
      <c r="L41" s="392" t="s">
        <v>6640</v>
      </c>
      <c r="M41" s="392" t="s">
        <v>3758</v>
      </c>
      <c r="N41" s="392" t="s">
        <v>7273</v>
      </c>
      <c r="O41" s="392" t="s">
        <v>7273</v>
      </c>
      <c r="P41"/>
      <c r="Q41"/>
      <c r="R41" s="387">
        <f>VLOOKUP(E41,'[1]NDB Impacted SPRFs 05032013'!$A$2:$A$65536,1,FALSE)</f>
        <v>400053873</v>
      </c>
    </row>
    <row r="42" spans="1:21" s="159" customFormat="1" ht="60" x14ac:dyDescent="0.25">
      <c r="A42" s="63">
        <f>MATCH($E42,'D1 - Master Project Table'!$B$24:$B$7056,0)</f>
        <v>2570</v>
      </c>
      <c r="B42" s="63" t="b">
        <f t="shared" si="0"/>
        <v>0</v>
      </c>
      <c r="C42" s="63" t="b">
        <f t="shared" si="1"/>
        <v>1</v>
      </c>
      <c r="D42" s="63" t="str">
        <f t="shared" si="2"/>
        <v>OK</v>
      </c>
      <c r="E42" s="393">
        <v>400010145</v>
      </c>
      <c r="F42" s="392" t="s">
        <v>4707</v>
      </c>
      <c r="G42" s="392" t="s">
        <v>3441</v>
      </c>
      <c r="H42" s="392" t="s">
        <v>7418</v>
      </c>
      <c r="I42" s="392" t="s">
        <v>2662</v>
      </c>
      <c r="J42" s="392" t="s">
        <v>8725</v>
      </c>
      <c r="K42" s="392" t="s">
        <v>5541</v>
      </c>
      <c r="L42" s="392" t="s">
        <v>5246</v>
      </c>
      <c r="M42" s="392" t="s">
        <v>3758</v>
      </c>
      <c r="N42" s="392" t="s">
        <v>7273</v>
      </c>
      <c r="O42" s="392" t="s">
        <v>7273</v>
      </c>
      <c r="P42"/>
      <c r="Q42"/>
      <c r="R42" s="387">
        <f>VLOOKUP(E42,'[1]NDB Impacted SPRFs 05032013'!$A$2:$A$65536,1,FALSE)</f>
        <v>400010145</v>
      </c>
    </row>
    <row r="43" spans="1:21" s="159" customFormat="1" ht="60" x14ac:dyDescent="0.25">
      <c r="A43" s="63">
        <f>MATCH($E43,'D1 - Master Project Table'!$B$24:$B$7056,0)</f>
        <v>80</v>
      </c>
      <c r="B43" s="63" t="b">
        <f t="shared" si="0"/>
        <v>0</v>
      </c>
      <c r="C43" s="63" t="b">
        <f t="shared" si="1"/>
        <v>0</v>
      </c>
      <c r="D43" s="63" t="str">
        <f t="shared" si="2"/>
        <v>OK</v>
      </c>
      <c r="E43" s="393">
        <v>400054944</v>
      </c>
      <c r="F43" s="392" t="s">
        <v>30</v>
      </c>
      <c r="G43" s="392" t="s">
        <v>6322</v>
      </c>
      <c r="H43" s="392" t="s">
        <v>4917</v>
      </c>
      <c r="I43" s="392" t="s">
        <v>1758</v>
      </c>
      <c r="J43" s="392" t="s">
        <v>31</v>
      </c>
      <c r="K43" s="392" t="s">
        <v>32</v>
      </c>
      <c r="L43" s="392" t="s">
        <v>8926</v>
      </c>
      <c r="M43" s="392" t="s">
        <v>7273</v>
      </c>
      <c r="N43" s="392" t="s">
        <v>7273</v>
      </c>
      <c r="O43" s="392" t="s">
        <v>7273</v>
      </c>
      <c r="P43"/>
      <c r="Q43"/>
      <c r="R43" s="387">
        <f>VLOOKUP(E43,'[1]NDB Impacted SPRFs 05032013'!$A$2:$A$65536,1,FALSE)</f>
        <v>400054944</v>
      </c>
    </row>
    <row r="44" spans="1:21" s="159" customFormat="1" ht="60" x14ac:dyDescent="0.25">
      <c r="A44" s="63">
        <f>MATCH($E44,'D1 - Master Project Table'!$B$24:$B$7056,0)</f>
        <v>1526</v>
      </c>
      <c r="B44" s="63" t="b">
        <f t="shared" si="0"/>
        <v>0</v>
      </c>
      <c r="C44" s="63" t="b">
        <f t="shared" si="1"/>
        <v>1</v>
      </c>
      <c r="D44" s="63" t="str">
        <f t="shared" si="2"/>
        <v>OK</v>
      </c>
      <c r="E44" s="393">
        <v>400043816</v>
      </c>
      <c r="F44" s="392" t="s">
        <v>377</v>
      </c>
      <c r="G44" s="392" t="s">
        <v>6322</v>
      </c>
      <c r="H44" s="392" t="s">
        <v>7418</v>
      </c>
      <c r="I44" s="392" t="s">
        <v>1758</v>
      </c>
      <c r="J44" s="392" t="s">
        <v>2251</v>
      </c>
      <c r="K44" s="392" t="s">
        <v>7403</v>
      </c>
      <c r="L44" s="392" t="s">
        <v>8653</v>
      </c>
      <c r="M44" s="392" t="s">
        <v>7273</v>
      </c>
      <c r="N44" s="392" t="s">
        <v>7273</v>
      </c>
      <c r="O44" s="392" t="s">
        <v>3758</v>
      </c>
      <c r="P44"/>
      <c r="Q44"/>
      <c r="R44" s="387">
        <f>VLOOKUP(E44,'[1]NDB Impacted SPRFs 05032013'!$A$2:$A$65536,1,FALSE)</f>
        <v>400043816</v>
      </c>
    </row>
    <row r="45" spans="1:21" s="159" customFormat="1" ht="60" x14ac:dyDescent="0.25">
      <c r="A45" s="63">
        <f>MATCH($E45,'D1 - Master Project Table'!$B$24:$B$7056,0)</f>
        <v>1990</v>
      </c>
      <c r="B45" s="63" t="b">
        <f t="shared" si="0"/>
        <v>0</v>
      </c>
      <c r="C45" s="63" t="b">
        <f t="shared" si="1"/>
        <v>1</v>
      </c>
      <c r="D45" s="63" t="str">
        <f t="shared" si="2"/>
        <v>OK</v>
      </c>
      <c r="E45" s="393">
        <v>400029089</v>
      </c>
      <c r="F45" s="392" t="s">
        <v>6233</v>
      </c>
      <c r="G45" s="392" t="s">
        <v>5324</v>
      </c>
      <c r="H45" s="392" t="s">
        <v>7418</v>
      </c>
      <c r="I45" s="392" t="s">
        <v>1763</v>
      </c>
      <c r="J45" s="392" t="s">
        <v>6851</v>
      </c>
      <c r="K45" s="392" t="s">
        <v>8075</v>
      </c>
      <c r="L45" s="392" t="s">
        <v>5830</v>
      </c>
      <c r="M45" s="392" t="s">
        <v>3758</v>
      </c>
      <c r="N45" s="392" t="s">
        <v>7273</v>
      </c>
      <c r="O45" s="392" t="s">
        <v>3758</v>
      </c>
      <c r="P45"/>
      <c r="Q45"/>
      <c r="R45" s="387">
        <f>VLOOKUP(E45,'[1]NDB Impacted SPRFs 05032013'!$A$2:$A$65536,1,FALSE)</f>
        <v>400029089</v>
      </c>
    </row>
    <row r="46" spans="1:21" s="161" customFormat="1" ht="60" x14ac:dyDescent="0.25">
      <c r="A46" s="63">
        <f>MATCH($E46,'D1 - Master Project Table'!$B$24:$B$7056,0)</f>
        <v>1291</v>
      </c>
      <c r="B46" s="63" t="b">
        <f t="shared" si="0"/>
        <v>0</v>
      </c>
      <c r="C46" s="63" t="b">
        <f t="shared" si="1"/>
        <v>1</v>
      </c>
      <c r="D46" s="63" t="str">
        <f t="shared" si="2"/>
        <v>OK</v>
      </c>
      <c r="E46" s="393">
        <v>400032654</v>
      </c>
      <c r="F46" s="392" t="s">
        <v>2455</v>
      </c>
      <c r="G46" s="392" t="s">
        <v>5325</v>
      </c>
      <c r="H46" s="392" t="s">
        <v>7418</v>
      </c>
      <c r="I46" s="392" t="s">
        <v>6419</v>
      </c>
      <c r="J46" s="392" t="s">
        <v>6584</v>
      </c>
      <c r="K46" s="392" t="s">
        <v>2456</v>
      </c>
      <c r="L46" s="392" t="s">
        <v>5341</v>
      </c>
      <c r="M46" s="392" t="s">
        <v>3758</v>
      </c>
      <c r="N46" s="392" t="s">
        <v>7273</v>
      </c>
      <c r="O46" s="392" t="s">
        <v>7273</v>
      </c>
      <c r="P46"/>
      <c r="Q46"/>
      <c r="R46" s="387">
        <f>VLOOKUP(E46,'[1]NDB Impacted SPRFs 05032013'!$A$2:$A$65536,1,FALSE)</f>
        <v>400032654</v>
      </c>
      <c r="S46" s="128"/>
      <c r="T46" s="128"/>
      <c r="U46" s="128"/>
    </row>
    <row r="47" spans="1:21" s="159" customFormat="1" ht="60" x14ac:dyDescent="0.25">
      <c r="A47" s="63">
        <f>MATCH($E47,'D1 - Master Project Table'!$B$24:$B$7056,0)</f>
        <v>796</v>
      </c>
      <c r="B47" s="63" t="b">
        <f t="shared" si="0"/>
        <v>0</v>
      </c>
      <c r="C47" s="63" t="b">
        <f t="shared" si="1"/>
        <v>1</v>
      </c>
      <c r="D47" s="63" t="str">
        <f t="shared" si="2"/>
        <v>OK</v>
      </c>
      <c r="E47" s="393">
        <v>400018524</v>
      </c>
      <c r="F47" s="392" t="s">
        <v>4994</v>
      </c>
      <c r="G47" s="392" t="s">
        <v>5325</v>
      </c>
      <c r="H47" s="392" t="s">
        <v>7418</v>
      </c>
      <c r="I47" s="392" t="s">
        <v>1801</v>
      </c>
      <c r="J47" s="392" t="s">
        <v>1499</v>
      </c>
      <c r="K47" s="392" t="s">
        <v>5457</v>
      </c>
      <c r="L47" s="392" t="s">
        <v>7921</v>
      </c>
      <c r="M47" s="392" t="s">
        <v>7273</v>
      </c>
      <c r="N47" s="392" t="s">
        <v>7273</v>
      </c>
      <c r="O47" s="392" t="s">
        <v>7273</v>
      </c>
      <c r="P47" s="158"/>
      <c r="Q47" s="128"/>
      <c r="R47" s="387">
        <f>VLOOKUP(E47,'[1]NDB Impacted SPRFs 05032013'!$A$2:$A$65536,1,FALSE)</f>
        <v>400018524</v>
      </c>
      <c r="S47" s="128"/>
      <c r="T47" s="128"/>
      <c r="U47" s="128"/>
    </row>
    <row r="48" spans="1:21" ht="60" x14ac:dyDescent="0.25">
      <c r="A48" s="63">
        <f>MATCH($E48,'D1 - Master Project Table'!$B$24:$B$7056,0)</f>
        <v>3174</v>
      </c>
      <c r="B48" s="63" t="b">
        <f t="shared" si="0"/>
        <v>0</v>
      </c>
      <c r="C48" s="63" t="b">
        <f t="shared" si="1"/>
        <v>1</v>
      </c>
      <c r="D48" s="63" t="str">
        <f t="shared" si="2"/>
        <v>OK</v>
      </c>
      <c r="E48" s="393">
        <v>400049904</v>
      </c>
      <c r="F48" s="392" t="s">
        <v>1378</v>
      </c>
      <c r="G48" s="392" t="s">
        <v>5995</v>
      </c>
      <c r="H48" s="392" t="s">
        <v>7418</v>
      </c>
      <c r="I48" s="392" t="s">
        <v>3533</v>
      </c>
      <c r="J48" s="392" t="s">
        <v>1707</v>
      </c>
      <c r="K48" s="392" t="s">
        <v>1708</v>
      </c>
      <c r="L48" s="392" t="s">
        <v>9257</v>
      </c>
      <c r="M48" s="392" t="s">
        <v>3758</v>
      </c>
      <c r="N48" s="392" t="s">
        <v>7273</v>
      </c>
      <c r="O48" s="392" t="s">
        <v>7273</v>
      </c>
      <c r="P48"/>
      <c r="Q48"/>
      <c r="R48" s="387">
        <f>VLOOKUP(E48,'[1]NDB Impacted SPRFs 05032013'!$A$2:$A$65536,1,FALSE)</f>
        <v>400049904</v>
      </c>
    </row>
    <row r="49" spans="1:21" s="159" customFormat="1" ht="60" x14ac:dyDescent="0.25">
      <c r="A49" s="63">
        <f>MATCH($E49,'D1 - Master Project Table'!$B$24:$B$7056,0)</f>
        <v>1901</v>
      </c>
      <c r="B49" s="63" t="b">
        <f t="shared" si="0"/>
        <v>0</v>
      </c>
      <c r="C49" s="63" t="b">
        <f t="shared" si="1"/>
        <v>1</v>
      </c>
      <c r="D49" s="63" t="str">
        <f t="shared" si="2"/>
        <v>OK</v>
      </c>
      <c r="E49" s="393">
        <v>400007755</v>
      </c>
      <c r="F49" s="392" t="s">
        <v>6364</v>
      </c>
      <c r="G49" s="392" t="s">
        <v>5787</v>
      </c>
      <c r="H49" s="392" t="s">
        <v>7418</v>
      </c>
      <c r="I49" s="392" t="s">
        <v>1775</v>
      </c>
      <c r="J49" s="392" t="s">
        <v>4854</v>
      </c>
      <c r="K49" s="392" t="s">
        <v>5300</v>
      </c>
      <c r="L49" s="392" t="s">
        <v>3981</v>
      </c>
      <c r="M49" s="392" t="s">
        <v>3758</v>
      </c>
      <c r="N49" s="392" t="s">
        <v>7273</v>
      </c>
      <c r="O49" s="392" t="s">
        <v>7273</v>
      </c>
      <c r="P49"/>
      <c r="Q49"/>
      <c r="R49" s="387">
        <f>VLOOKUP(E49,'[1]NDB Impacted SPRFs 05032013'!$A$2:$A$65536,1,FALSE)</f>
        <v>400007755</v>
      </c>
      <c r="S49" s="128"/>
      <c r="T49" s="128"/>
      <c r="U49" s="128"/>
    </row>
    <row r="50" spans="1:21" ht="60" x14ac:dyDescent="0.25">
      <c r="A50" s="63">
        <f>MATCH($E50,'D1 - Master Project Table'!$B$24:$B$7056,0)</f>
        <v>3068</v>
      </c>
      <c r="B50" s="63" t="b">
        <f t="shared" si="0"/>
        <v>0</v>
      </c>
      <c r="C50" s="63" t="b">
        <f t="shared" si="1"/>
        <v>1</v>
      </c>
      <c r="D50" s="63" t="str">
        <f t="shared" si="2"/>
        <v>OK</v>
      </c>
      <c r="E50" s="393">
        <v>400045042</v>
      </c>
      <c r="F50" s="392" t="s">
        <v>3580</v>
      </c>
      <c r="G50" s="392" t="s">
        <v>5324</v>
      </c>
      <c r="H50" s="392" t="s">
        <v>5314</v>
      </c>
      <c r="I50" s="392" t="s">
        <v>1762</v>
      </c>
      <c r="J50" s="392" t="s">
        <v>3581</v>
      </c>
      <c r="K50" s="392" t="s">
        <v>8075</v>
      </c>
      <c r="L50" s="392" t="s">
        <v>764</v>
      </c>
      <c r="M50" s="392" t="s">
        <v>3758</v>
      </c>
      <c r="N50" s="392" t="s">
        <v>7273</v>
      </c>
      <c r="O50" s="392" t="s">
        <v>3758</v>
      </c>
      <c r="P50"/>
      <c r="Q50"/>
      <c r="R50" s="387">
        <f>VLOOKUP(E50,'[1]NDB Impacted SPRFs 05032013'!$A$2:$A$65536,1,FALSE)</f>
        <v>400045042</v>
      </c>
      <c r="S50" s="159"/>
      <c r="T50" s="159"/>
      <c r="U50" s="159"/>
    </row>
    <row r="51" spans="1:21" s="159" customFormat="1" ht="60" x14ac:dyDescent="0.25">
      <c r="A51" s="63">
        <f>MATCH($E51,'D1 - Master Project Table'!$B$24:$B$7056,0)</f>
        <v>3022</v>
      </c>
      <c r="B51" s="63" t="b">
        <f t="shared" si="0"/>
        <v>0</v>
      </c>
      <c r="C51" s="63" t="b">
        <f t="shared" si="1"/>
        <v>1</v>
      </c>
      <c r="D51" s="63" t="str">
        <f t="shared" si="2"/>
        <v>OK</v>
      </c>
      <c r="E51" s="393">
        <v>400040764</v>
      </c>
      <c r="F51" s="392" t="s">
        <v>2477</v>
      </c>
      <c r="G51" s="392" t="s">
        <v>5001</v>
      </c>
      <c r="H51" s="392" t="s">
        <v>7418</v>
      </c>
      <c r="I51" s="392" t="s">
        <v>2184</v>
      </c>
      <c r="J51" s="392" t="s">
        <v>8744</v>
      </c>
      <c r="K51" s="392" t="s">
        <v>2478</v>
      </c>
      <c r="L51" s="392" t="s">
        <v>2261</v>
      </c>
      <c r="M51" s="392" t="s">
        <v>3758</v>
      </c>
      <c r="N51" s="392" t="s">
        <v>7273</v>
      </c>
      <c r="O51" s="392" t="s">
        <v>3758</v>
      </c>
      <c r="P51"/>
      <c r="Q51"/>
      <c r="R51" s="387">
        <f>VLOOKUP(E51,'[1]NDB Impacted SPRFs 05032013'!$A$2:$A$65536,1,FALSE)</f>
        <v>400040764</v>
      </c>
      <c r="S51" s="128"/>
      <c r="T51" s="128"/>
      <c r="U51" s="128"/>
    </row>
    <row r="52" spans="1:21" s="159" customFormat="1" ht="60" x14ac:dyDescent="0.25">
      <c r="A52" s="63">
        <f>MATCH($E52,'D1 - Master Project Table'!$B$24:$B$7056,0)</f>
        <v>2025</v>
      </c>
      <c r="B52" s="63" t="b">
        <f t="shared" si="0"/>
        <v>0</v>
      </c>
      <c r="C52" s="63" t="b">
        <f t="shared" si="1"/>
        <v>1</v>
      </c>
      <c r="D52" s="63" t="str">
        <f t="shared" si="2"/>
        <v>OK</v>
      </c>
      <c r="E52" s="393">
        <v>400039913</v>
      </c>
      <c r="F52" s="392" t="s">
        <v>2054</v>
      </c>
      <c r="G52" s="392" t="s">
        <v>5324</v>
      </c>
      <c r="H52" s="392" t="s">
        <v>7418</v>
      </c>
      <c r="I52" s="392" t="s">
        <v>1762</v>
      </c>
      <c r="J52" s="392" t="s">
        <v>1570</v>
      </c>
      <c r="K52" s="392" t="s">
        <v>8075</v>
      </c>
      <c r="L52" s="392" t="s">
        <v>4900</v>
      </c>
      <c r="M52" s="392" t="s">
        <v>3758</v>
      </c>
      <c r="N52" s="392" t="s">
        <v>7273</v>
      </c>
      <c r="O52" s="392" t="s">
        <v>3758</v>
      </c>
      <c r="P52"/>
      <c r="Q52"/>
      <c r="R52" s="387">
        <f>VLOOKUP(E52,'[1]NDB Impacted SPRFs 05032013'!$A$2:$A$65536,1,FALSE)</f>
        <v>400039913</v>
      </c>
    </row>
    <row r="53" spans="1:21" s="159" customFormat="1" ht="60" x14ac:dyDescent="0.25">
      <c r="A53" s="63">
        <f>MATCH($E53,'D1 - Master Project Table'!$B$24:$B$7056,0)</f>
        <v>2662</v>
      </c>
      <c r="B53" s="63" t="b">
        <f t="shared" si="0"/>
        <v>0</v>
      </c>
      <c r="C53" s="63" t="b">
        <f t="shared" si="1"/>
        <v>1</v>
      </c>
      <c r="D53" s="63" t="str">
        <f t="shared" si="2"/>
        <v>OK</v>
      </c>
      <c r="E53" s="393">
        <v>400015611</v>
      </c>
      <c r="F53" s="392" t="s">
        <v>5489</v>
      </c>
      <c r="G53" s="392" t="s">
        <v>5324</v>
      </c>
      <c r="H53" s="392" t="s">
        <v>5314</v>
      </c>
      <c r="I53" s="392" t="s">
        <v>1756</v>
      </c>
      <c r="J53" s="392" t="s">
        <v>7155</v>
      </c>
      <c r="K53" s="392" t="s">
        <v>1506</v>
      </c>
      <c r="L53" s="392" t="s">
        <v>4953</v>
      </c>
      <c r="M53" s="392" t="s">
        <v>3758</v>
      </c>
      <c r="N53" s="392" t="s">
        <v>7273</v>
      </c>
      <c r="O53" s="392" t="s">
        <v>3758</v>
      </c>
      <c r="P53"/>
      <c r="Q53"/>
      <c r="R53" s="387">
        <f>VLOOKUP(E53,'[1]NDB Impacted SPRFs 05032013'!$A$2:$A$65536,1,FALSE)</f>
        <v>400015611</v>
      </c>
      <c r="S53" s="128"/>
      <c r="T53" s="128"/>
      <c r="U53" s="128"/>
    </row>
    <row r="54" spans="1:21" s="159" customFormat="1" ht="60" x14ac:dyDescent="0.25">
      <c r="A54" s="63">
        <f>MATCH($E54,'D1 - Master Project Table'!$B$24:$B$7056,0)</f>
        <v>3119</v>
      </c>
      <c r="B54" s="63" t="b">
        <f t="shared" si="0"/>
        <v>0</v>
      </c>
      <c r="C54" s="63" t="b">
        <f t="shared" si="1"/>
        <v>1</v>
      </c>
      <c r="D54" s="63" t="str">
        <f t="shared" si="2"/>
        <v>OK</v>
      </c>
      <c r="E54" s="393">
        <v>400052576</v>
      </c>
      <c r="F54" s="392" t="s">
        <v>768</v>
      </c>
      <c r="G54" s="392" t="s">
        <v>5324</v>
      </c>
      <c r="H54" s="392" t="s">
        <v>5314</v>
      </c>
      <c r="I54" s="392" t="s">
        <v>1786</v>
      </c>
      <c r="J54" s="392" t="s">
        <v>5546</v>
      </c>
      <c r="K54" s="392" t="s">
        <v>4617</v>
      </c>
      <c r="L54" s="392" t="s">
        <v>358</v>
      </c>
      <c r="M54" s="392" t="s">
        <v>7273</v>
      </c>
      <c r="N54" s="392" t="s">
        <v>7273</v>
      </c>
      <c r="O54" s="392" t="s">
        <v>3758</v>
      </c>
      <c r="P54"/>
      <c r="Q54"/>
      <c r="R54" s="387">
        <f>VLOOKUP(E54,'[1]NDB Impacted SPRFs 05032013'!$A$2:$A$65536,1,FALSE)</f>
        <v>400052576</v>
      </c>
    </row>
    <row r="55" spans="1:21" s="159" customFormat="1" ht="60" x14ac:dyDescent="0.25">
      <c r="A55" s="63">
        <f>MATCH($E55,'D1 - Master Project Table'!$B$24:$B$7056,0)</f>
        <v>46</v>
      </c>
      <c r="B55" s="63" t="b">
        <f t="shared" si="0"/>
        <v>0</v>
      </c>
      <c r="C55" s="63" t="b">
        <f t="shared" si="1"/>
        <v>0</v>
      </c>
      <c r="D55" s="63" t="str">
        <f t="shared" si="2"/>
        <v>OK</v>
      </c>
      <c r="E55" s="393">
        <v>400053058</v>
      </c>
      <c r="F55" s="392" t="s">
        <v>1739</v>
      </c>
      <c r="G55" s="392" t="s">
        <v>9210</v>
      </c>
      <c r="H55" s="392" t="s">
        <v>4917</v>
      </c>
      <c r="I55" s="392" t="s">
        <v>7666</v>
      </c>
      <c r="J55" s="392" t="s">
        <v>8746</v>
      </c>
      <c r="K55" s="392" t="s">
        <v>4617</v>
      </c>
      <c r="L55" s="392" t="s">
        <v>79</v>
      </c>
      <c r="M55" s="392" t="s">
        <v>3758</v>
      </c>
      <c r="N55" s="392" t="s">
        <v>7273</v>
      </c>
      <c r="O55" s="392" t="s">
        <v>3758</v>
      </c>
      <c r="P55"/>
      <c r="Q55"/>
      <c r="R55" s="387">
        <f>VLOOKUP(E55,'[1]NDB Impacted SPRFs 05032013'!$A$2:$A$65536,1,FALSE)</f>
        <v>400053058</v>
      </c>
    </row>
    <row r="56" spans="1:21" s="159" customFormat="1" ht="60" x14ac:dyDescent="0.25">
      <c r="A56" s="63">
        <f>MATCH($E56,'D1 - Master Project Table'!$B$24:$B$7056,0)</f>
        <v>219</v>
      </c>
      <c r="B56" s="63" t="b">
        <f t="shared" si="0"/>
        <v>0</v>
      </c>
      <c r="C56" s="63" t="b">
        <f t="shared" si="1"/>
        <v>0</v>
      </c>
      <c r="D56" s="63" t="str">
        <f t="shared" si="2"/>
        <v>OK</v>
      </c>
      <c r="E56" s="393">
        <v>400054091</v>
      </c>
      <c r="F56" s="392" t="s">
        <v>950</v>
      </c>
      <c r="G56" s="392" t="s">
        <v>5324</v>
      </c>
      <c r="H56" s="392" t="s">
        <v>7479</v>
      </c>
      <c r="I56" s="392" t="s">
        <v>1757</v>
      </c>
      <c r="J56" s="392" t="s">
        <v>3907</v>
      </c>
      <c r="K56" s="392" t="s">
        <v>2900</v>
      </c>
      <c r="L56" s="392" t="s">
        <v>7700</v>
      </c>
      <c r="M56" s="392" t="s">
        <v>3758</v>
      </c>
      <c r="N56" s="392" t="s">
        <v>7273</v>
      </c>
      <c r="O56" s="392" t="s">
        <v>7273</v>
      </c>
      <c r="P56"/>
      <c r="Q56"/>
      <c r="R56" s="387">
        <f>VLOOKUP(E56,'[1]NDB Impacted SPRFs 05032013'!$A$2:$A$65536,1,FALSE)</f>
        <v>400054091</v>
      </c>
    </row>
    <row r="57" spans="1:21" s="159" customFormat="1" ht="60" x14ac:dyDescent="0.25">
      <c r="A57" s="63">
        <f>MATCH($E57,'D1 - Master Project Table'!$B$24:$B$7056,0)</f>
        <v>2178</v>
      </c>
      <c r="B57" s="63" t="b">
        <f t="shared" si="0"/>
        <v>0</v>
      </c>
      <c r="C57" s="63" t="b">
        <f t="shared" si="1"/>
        <v>1</v>
      </c>
      <c r="D57" s="63" t="str">
        <f t="shared" si="2"/>
        <v>OK</v>
      </c>
      <c r="E57" s="393">
        <v>400020307</v>
      </c>
      <c r="F57" s="392" t="s">
        <v>6721</v>
      </c>
      <c r="G57" s="392" t="s">
        <v>5324</v>
      </c>
      <c r="H57" s="392" t="s">
        <v>7418</v>
      </c>
      <c r="I57" s="392" t="s">
        <v>1756</v>
      </c>
      <c r="J57" s="392" t="s">
        <v>5647</v>
      </c>
      <c r="K57" s="392" t="s">
        <v>6163</v>
      </c>
      <c r="L57" s="392" t="s">
        <v>2053</v>
      </c>
      <c r="M57" s="392" t="s">
        <v>3758</v>
      </c>
      <c r="N57" s="392" t="s">
        <v>7273</v>
      </c>
      <c r="O57" s="392" t="s">
        <v>7273</v>
      </c>
      <c r="P57"/>
      <c r="Q57"/>
      <c r="R57" s="387">
        <f>VLOOKUP(E57,'[1]NDB Impacted SPRFs 05032013'!$A$2:$A$65536,1,FALSE)</f>
        <v>400020307</v>
      </c>
    </row>
    <row r="58" spans="1:21" s="159" customFormat="1" ht="60" x14ac:dyDescent="0.25">
      <c r="A58" s="63">
        <f>MATCH($E58,'D1 - Master Project Table'!$B$24:$B$7056,0)</f>
        <v>1293</v>
      </c>
      <c r="B58" s="63" t="b">
        <f t="shared" si="0"/>
        <v>0</v>
      </c>
      <c r="C58" s="63" t="b">
        <f t="shared" si="1"/>
        <v>1</v>
      </c>
      <c r="D58" s="63" t="str">
        <f t="shared" si="2"/>
        <v>OK</v>
      </c>
      <c r="E58" s="393">
        <v>400033127</v>
      </c>
      <c r="F58" s="392" t="s">
        <v>7072</v>
      </c>
      <c r="G58" s="392" t="s">
        <v>5324</v>
      </c>
      <c r="H58" s="392" t="s">
        <v>7418</v>
      </c>
      <c r="I58" s="392" t="s">
        <v>1595</v>
      </c>
      <c r="J58" s="392" t="s">
        <v>4796</v>
      </c>
      <c r="K58" s="392" t="s">
        <v>8075</v>
      </c>
      <c r="L58" s="392" t="s">
        <v>8125</v>
      </c>
      <c r="M58" s="392" t="s">
        <v>3758</v>
      </c>
      <c r="N58" s="392" t="s">
        <v>7273</v>
      </c>
      <c r="O58" s="392" t="s">
        <v>3758</v>
      </c>
      <c r="P58"/>
      <c r="Q58"/>
      <c r="R58" s="387">
        <f>VLOOKUP(E58,'[1]NDB Impacted SPRFs 05032013'!$A$2:$A$65536,1,FALSE)</f>
        <v>400033127</v>
      </c>
    </row>
    <row r="59" spans="1:21" s="159" customFormat="1" ht="60" x14ac:dyDescent="0.25">
      <c r="A59" s="63">
        <f>MATCH($E59,'D1 - Master Project Table'!$B$24:$B$7056,0)</f>
        <v>3170</v>
      </c>
      <c r="B59" s="63" t="b">
        <f t="shared" si="0"/>
        <v>0</v>
      </c>
      <c r="C59" s="63" t="b">
        <f t="shared" si="1"/>
        <v>0</v>
      </c>
      <c r="D59" s="63" t="str">
        <f t="shared" si="2"/>
        <v>OK</v>
      </c>
      <c r="E59" s="393">
        <v>400055325</v>
      </c>
      <c r="F59" s="392" t="s">
        <v>505</v>
      </c>
      <c r="G59" s="392" t="s">
        <v>5324</v>
      </c>
      <c r="H59" s="392" t="s">
        <v>4917</v>
      </c>
      <c r="I59" s="392" t="s">
        <v>1762</v>
      </c>
      <c r="J59" s="392" t="s">
        <v>506</v>
      </c>
      <c r="K59" s="392" t="s">
        <v>1576</v>
      </c>
      <c r="L59" s="392" t="s">
        <v>9288</v>
      </c>
      <c r="M59" s="392" t="s">
        <v>3758</v>
      </c>
      <c r="N59" s="392" t="s">
        <v>7273</v>
      </c>
      <c r="O59" s="392" t="s">
        <v>7273</v>
      </c>
      <c r="P59"/>
      <c r="Q59"/>
      <c r="R59" s="387">
        <f>VLOOKUP(E59,'[1]NDB Impacted SPRFs 05032013'!$A$2:$A$65536,1,FALSE)</f>
        <v>400055325</v>
      </c>
    </row>
    <row r="60" spans="1:21" s="159" customFormat="1" ht="60" x14ac:dyDescent="0.25">
      <c r="A60" s="63">
        <f>MATCH($E60,'D1 - Master Project Table'!$B$24:$B$7056,0)</f>
        <v>163</v>
      </c>
      <c r="B60" s="63" t="b">
        <f t="shared" si="0"/>
        <v>0</v>
      </c>
      <c r="C60" s="63" t="b">
        <f t="shared" si="1"/>
        <v>0</v>
      </c>
      <c r="D60" s="63" t="str">
        <f t="shared" si="2"/>
        <v>OK</v>
      </c>
      <c r="E60" s="393">
        <v>400055999</v>
      </c>
      <c r="F60" s="392" t="s">
        <v>7431</v>
      </c>
      <c r="G60" s="392" t="s">
        <v>5324</v>
      </c>
      <c r="H60" s="392" t="s">
        <v>4917</v>
      </c>
      <c r="I60" s="392" t="s">
        <v>1758</v>
      </c>
      <c r="J60" s="392" t="s">
        <v>2024</v>
      </c>
      <c r="K60" s="392" t="s">
        <v>1576</v>
      </c>
      <c r="L60" s="392" t="s">
        <v>8972</v>
      </c>
      <c r="M60" s="392" t="s">
        <v>3758</v>
      </c>
      <c r="N60" s="392" t="s">
        <v>7273</v>
      </c>
      <c r="O60" s="392" t="s">
        <v>7273</v>
      </c>
      <c r="P60"/>
      <c r="Q60"/>
      <c r="R60" s="387">
        <f>VLOOKUP(E60,'[1]NDB Impacted SPRFs 05032013'!$A$2:$A$65536,1,FALSE)</f>
        <v>400055999</v>
      </c>
    </row>
    <row r="61" spans="1:21" s="159" customFormat="1" ht="60" x14ac:dyDescent="0.25">
      <c r="A61" s="63">
        <f>MATCH($E61,'D1 - Master Project Table'!$B$24:$B$7056,0)</f>
        <v>1449</v>
      </c>
      <c r="B61" s="63" t="b">
        <f t="shared" si="0"/>
        <v>0</v>
      </c>
      <c r="C61" s="63" t="b">
        <f t="shared" si="1"/>
        <v>1</v>
      </c>
      <c r="D61" s="63" t="str">
        <f t="shared" si="2"/>
        <v>OK</v>
      </c>
      <c r="E61" s="393">
        <v>400037013</v>
      </c>
      <c r="F61" s="392" t="s">
        <v>1205</v>
      </c>
      <c r="G61" s="392" t="s">
        <v>5324</v>
      </c>
      <c r="H61" s="392" t="s">
        <v>7418</v>
      </c>
      <c r="I61" s="392" t="s">
        <v>1758</v>
      </c>
      <c r="J61" s="392" t="s">
        <v>1206</v>
      </c>
      <c r="K61" s="392" t="s">
        <v>1207</v>
      </c>
      <c r="L61" s="392" t="s">
        <v>4841</v>
      </c>
      <c r="M61" s="392" t="s">
        <v>3758</v>
      </c>
      <c r="N61" s="392" t="s">
        <v>7273</v>
      </c>
      <c r="O61" s="392" t="s">
        <v>7273</v>
      </c>
      <c r="P61"/>
      <c r="Q61"/>
      <c r="R61" s="387">
        <f>VLOOKUP(E61,'[1]NDB Impacted SPRFs 05032013'!$A$2:$A$65536,1,FALSE)</f>
        <v>400037013</v>
      </c>
    </row>
    <row r="62" spans="1:21" s="159" customFormat="1" ht="60" x14ac:dyDescent="0.25">
      <c r="A62" s="63">
        <f>MATCH($E62,'D1 - Master Project Table'!$B$24:$B$7056,0)</f>
        <v>1847</v>
      </c>
      <c r="B62" s="63" t="b">
        <f t="shared" si="0"/>
        <v>0</v>
      </c>
      <c r="C62" s="63" t="b">
        <f t="shared" si="1"/>
        <v>1</v>
      </c>
      <c r="D62" s="63" t="str">
        <f t="shared" si="2"/>
        <v>OK</v>
      </c>
      <c r="E62" s="393">
        <v>400006567</v>
      </c>
      <c r="F62" s="392" t="s">
        <v>5746</v>
      </c>
      <c r="G62" s="392" t="s">
        <v>5787</v>
      </c>
      <c r="H62" s="392" t="s">
        <v>7418</v>
      </c>
      <c r="I62" s="392" t="s">
        <v>1771</v>
      </c>
      <c r="J62" s="392" t="s">
        <v>3244</v>
      </c>
      <c r="K62" s="392" t="s">
        <v>6963</v>
      </c>
      <c r="L62" s="392" t="s">
        <v>6408</v>
      </c>
      <c r="M62" s="392" t="s">
        <v>3758</v>
      </c>
      <c r="N62" s="392" t="s">
        <v>7273</v>
      </c>
      <c r="O62" s="392" t="s">
        <v>7273</v>
      </c>
      <c r="P62"/>
      <c r="Q62"/>
      <c r="R62" s="387">
        <f>VLOOKUP(E62,'[1]NDB Impacted SPRFs 05032013'!$A$2:$A$65536,1,FALSE)</f>
        <v>400006567</v>
      </c>
    </row>
    <row r="63" spans="1:21" s="159" customFormat="1" ht="60" x14ac:dyDescent="0.25">
      <c r="A63" s="63">
        <f>MATCH($E63,'D1 - Master Project Table'!$B$24:$B$7056,0)</f>
        <v>3090</v>
      </c>
      <c r="B63" s="63" t="b">
        <f t="shared" si="0"/>
        <v>0</v>
      </c>
      <c r="C63" s="63" t="b">
        <f t="shared" si="1"/>
        <v>1</v>
      </c>
      <c r="D63" s="63" t="str">
        <f t="shared" si="2"/>
        <v>OK</v>
      </c>
      <c r="E63" s="393">
        <v>400048402</v>
      </c>
      <c r="F63" s="392" t="s">
        <v>2036</v>
      </c>
      <c r="G63" s="392" t="s">
        <v>5324</v>
      </c>
      <c r="H63" s="392" t="s">
        <v>7418</v>
      </c>
      <c r="I63" s="392" t="s">
        <v>1758</v>
      </c>
      <c r="J63" s="392" t="s">
        <v>2037</v>
      </c>
      <c r="K63" s="392" t="s">
        <v>1576</v>
      </c>
      <c r="L63" s="392" t="s">
        <v>2038</v>
      </c>
      <c r="M63" s="392" t="s">
        <v>3758</v>
      </c>
      <c r="N63" s="392" t="s">
        <v>7273</v>
      </c>
      <c r="O63" s="392" t="s">
        <v>3758</v>
      </c>
      <c r="P63" s="158"/>
      <c r="Q63" s="128"/>
      <c r="R63" s="387">
        <f>VLOOKUP(E63,'[1]NDB Impacted SPRFs 05032013'!$A$2:$A$65536,1,FALSE)</f>
        <v>400048402</v>
      </c>
      <c r="S63" s="128"/>
      <c r="T63" s="128"/>
      <c r="U63" s="128"/>
    </row>
    <row r="64" spans="1:21" s="159" customFormat="1" ht="60" x14ac:dyDescent="0.25">
      <c r="A64" s="63" t="e">
        <f>MATCH($E64,'D1 - Master Project Table'!$B$24:$B$7056,0)</f>
        <v>#N/A</v>
      </c>
      <c r="B64" s="63" t="b">
        <f t="shared" si="0"/>
        <v>1</v>
      </c>
      <c r="C64" s="63" t="b">
        <f t="shared" si="1"/>
        <v>1</v>
      </c>
      <c r="D64" s="63" t="str">
        <f t="shared" si="2"/>
        <v>OK</v>
      </c>
      <c r="E64" s="393">
        <v>400002030</v>
      </c>
      <c r="F64" s="392" t="s">
        <v>4613</v>
      </c>
      <c r="G64" s="392" t="s">
        <v>5787</v>
      </c>
      <c r="H64" s="392" t="s">
        <v>7418</v>
      </c>
      <c r="I64" s="392" t="s">
        <v>1782</v>
      </c>
      <c r="J64" s="392" t="s">
        <v>3353</v>
      </c>
      <c r="K64" s="392" t="s">
        <v>3353</v>
      </c>
      <c r="L64" s="392" t="s">
        <v>6712</v>
      </c>
      <c r="M64" s="392" t="s">
        <v>3758</v>
      </c>
      <c r="N64" s="392" t="s">
        <v>7273</v>
      </c>
      <c r="O64" s="392" t="s">
        <v>7273</v>
      </c>
      <c r="P64"/>
      <c r="Q64"/>
      <c r="R64" s="387">
        <f>VLOOKUP(E64,'[1]NDB Impacted SPRFs 05032013'!$A$2:$A$65536,1,FALSE)</f>
        <v>400002030</v>
      </c>
    </row>
    <row r="65" spans="1:21" ht="60" x14ac:dyDescent="0.25">
      <c r="A65" s="63">
        <f>MATCH($E65,'D1 - Master Project Table'!$B$24:$B$7056,0)</f>
        <v>1143</v>
      </c>
      <c r="B65" s="63" t="b">
        <f t="shared" si="0"/>
        <v>0</v>
      </c>
      <c r="C65" s="63" t="b">
        <f t="shared" si="1"/>
        <v>1</v>
      </c>
      <c r="D65" s="63" t="str">
        <f t="shared" si="2"/>
        <v>OK</v>
      </c>
      <c r="E65" s="393">
        <v>400028576</v>
      </c>
      <c r="F65" s="392" t="s">
        <v>4792</v>
      </c>
      <c r="G65" s="392" t="s">
        <v>5001</v>
      </c>
      <c r="H65" s="392" t="s">
        <v>7418</v>
      </c>
      <c r="I65" s="392" t="s">
        <v>3540</v>
      </c>
      <c r="J65" s="392" t="s">
        <v>1973</v>
      </c>
      <c r="K65" s="392" t="s">
        <v>2578</v>
      </c>
      <c r="L65" s="392" t="s">
        <v>8865</v>
      </c>
      <c r="M65" s="392" t="s">
        <v>3758</v>
      </c>
      <c r="N65" s="392" t="s">
        <v>7273</v>
      </c>
      <c r="O65" s="392" t="s">
        <v>3758</v>
      </c>
      <c r="P65"/>
      <c r="Q65"/>
      <c r="R65" s="387">
        <f>VLOOKUP(E65,'[1]NDB Impacted SPRFs 05032013'!$A$2:$A$65536,1,FALSE)</f>
        <v>400028576</v>
      </c>
      <c r="S65" s="159"/>
      <c r="T65" s="159"/>
      <c r="U65" s="159"/>
    </row>
    <row r="66" spans="1:21" s="159" customFormat="1" ht="60" x14ac:dyDescent="0.25">
      <c r="A66" s="63">
        <f>MATCH($E66,'D1 - Master Project Table'!$B$24:$B$7056,0)</f>
        <v>1056</v>
      </c>
      <c r="B66" s="63" t="b">
        <f t="shared" si="0"/>
        <v>0</v>
      </c>
      <c r="C66" s="63" t="b">
        <f t="shared" si="1"/>
        <v>1</v>
      </c>
      <c r="D66" s="63" t="str">
        <f t="shared" si="2"/>
        <v>OK</v>
      </c>
      <c r="E66" s="393">
        <v>400024137</v>
      </c>
      <c r="F66" s="392" t="s">
        <v>3947</v>
      </c>
      <c r="G66" s="392" t="s">
        <v>5324</v>
      </c>
      <c r="H66" s="392" t="s">
        <v>7418</v>
      </c>
      <c r="I66" s="392" t="s">
        <v>1762</v>
      </c>
      <c r="J66" s="392" t="s">
        <v>4440</v>
      </c>
      <c r="K66" s="392" t="s">
        <v>7237</v>
      </c>
      <c r="L66" s="392" t="s">
        <v>5832</v>
      </c>
      <c r="M66" s="392" t="s">
        <v>3758</v>
      </c>
      <c r="N66" s="392" t="s">
        <v>7273</v>
      </c>
      <c r="O66" s="392" t="s">
        <v>3758</v>
      </c>
      <c r="P66"/>
      <c r="Q66"/>
      <c r="R66" s="387">
        <f>VLOOKUP(E66,'[1]NDB Impacted SPRFs 05032013'!$A$2:$A$65536,1,FALSE)</f>
        <v>400024137</v>
      </c>
    </row>
    <row r="67" spans="1:21" ht="60" x14ac:dyDescent="0.25">
      <c r="A67" s="63">
        <f>MATCH($E67,'D1 - Master Project Table'!$B$24:$B$7056,0)</f>
        <v>267</v>
      </c>
      <c r="B67" s="63" t="b">
        <f t="shared" si="0"/>
        <v>0</v>
      </c>
      <c r="C67" s="63" t="b">
        <f t="shared" si="1"/>
        <v>0</v>
      </c>
      <c r="D67" s="63" t="str">
        <f t="shared" si="2"/>
        <v>OK</v>
      </c>
      <c r="E67" s="393">
        <v>400059236</v>
      </c>
      <c r="F67" s="392" t="s">
        <v>9305</v>
      </c>
      <c r="G67" s="392" t="s">
        <v>5324</v>
      </c>
      <c r="H67" s="392" t="s">
        <v>8012</v>
      </c>
      <c r="I67" s="392" t="s">
        <v>1762</v>
      </c>
      <c r="J67" s="392" t="s">
        <v>1006</v>
      </c>
      <c r="K67" s="392" t="s">
        <v>9290</v>
      </c>
      <c r="L67" s="392" t="s">
        <v>9396</v>
      </c>
      <c r="M67" s="392" t="s">
        <v>3758</v>
      </c>
      <c r="N67" s="392" t="s">
        <v>7273</v>
      </c>
      <c r="O67" s="392" t="s">
        <v>7273</v>
      </c>
      <c r="P67"/>
      <c r="Q67"/>
      <c r="R67" s="387">
        <f>VLOOKUP(E67,'[1]NDB Impacted SPRFs 05032013'!$A$2:$A$65536,1,FALSE)</f>
        <v>400059236</v>
      </c>
      <c r="S67" s="159"/>
      <c r="T67" s="159"/>
      <c r="U67" s="159"/>
    </row>
    <row r="68" spans="1:21" ht="60" x14ac:dyDescent="0.25">
      <c r="A68" s="63">
        <f>MATCH($E68,'D1 - Master Project Table'!$B$24:$B$7056,0)</f>
        <v>1676</v>
      </c>
      <c r="B68" s="63" t="b">
        <f t="shared" si="0"/>
        <v>0</v>
      </c>
      <c r="C68" s="63" t="b">
        <f t="shared" si="1"/>
        <v>1</v>
      </c>
      <c r="D68" s="63" t="str">
        <f t="shared" si="2"/>
        <v>OK</v>
      </c>
      <c r="E68" s="393">
        <v>400046205</v>
      </c>
      <c r="F68" s="392" t="s">
        <v>1095</v>
      </c>
      <c r="G68" s="392" t="s">
        <v>5324</v>
      </c>
      <c r="H68" s="392" t="s">
        <v>7418</v>
      </c>
      <c r="I68" s="392" t="s">
        <v>1759</v>
      </c>
      <c r="J68" s="392" t="s">
        <v>7368</v>
      </c>
      <c r="K68" s="392" t="s">
        <v>1096</v>
      </c>
      <c r="L68" s="392" t="s">
        <v>3613</v>
      </c>
      <c r="M68" s="392" t="s">
        <v>3758</v>
      </c>
      <c r="N68" s="392" t="s">
        <v>7273</v>
      </c>
      <c r="O68" s="392" t="s">
        <v>3758</v>
      </c>
      <c r="P68" s="212"/>
      <c r="Q68"/>
      <c r="R68" s="387">
        <f>VLOOKUP(E68,'[1]NDB Impacted SPRFs 05032013'!$A$2:$A$65536,1,FALSE)</f>
        <v>400046205</v>
      </c>
      <c r="S68" s="159"/>
      <c r="T68" s="159"/>
      <c r="U68" s="159"/>
    </row>
    <row r="69" spans="1:21" s="159" customFormat="1" ht="60" x14ac:dyDescent="0.25">
      <c r="A69" s="63">
        <f>MATCH($E69,'D1 - Master Project Table'!$B$24:$B$7056,0)</f>
        <v>1010</v>
      </c>
      <c r="B69" s="63" t="b">
        <f t="shared" si="0"/>
        <v>0</v>
      </c>
      <c r="C69" s="63" t="b">
        <f t="shared" si="1"/>
        <v>1</v>
      </c>
      <c r="D69" s="63" t="str">
        <f t="shared" si="2"/>
        <v>OK</v>
      </c>
      <c r="E69" s="393">
        <v>400020808</v>
      </c>
      <c r="F69" s="392" t="s">
        <v>5506</v>
      </c>
      <c r="G69" s="392" t="s">
        <v>5324</v>
      </c>
      <c r="H69" s="392" t="s">
        <v>7418</v>
      </c>
      <c r="I69" s="392" t="s">
        <v>1756</v>
      </c>
      <c r="J69" s="392" t="s">
        <v>7155</v>
      </c>
      <c r="K69" s="392" t="s">
        <v>1506</v>
      </c>
      <c r="L69" s="392" t="s">
        <v>3851</v>
      </c>
      <c r="M69" s="392" t="s">
        <v>3758</v>
      </c>
      <c r="N69" s="392" t="s">
        <v>7273</v>
      </c>
      <c r="O69" s="392" t="s">
        <v>7273</v>
      </c>
      <c r="P69"/>
      <c r="Q69"/>
      <c r="R69" s="387">
        <f>VLOOKUP(E69,'[1]NDB Impacted SPRFs 05032013'!$A$2:$A$65536,1,FALSE)</f>
        <v>400020808</v>
      </c>
      <c r="S69" s="128"/>
      <c r="T69" s="128"/>
      <c r="U69" s="128"/>
    </row>
    <row r="70" spans="1:21" s="159" customFormat="1" ht="60" x14ac:dyDescent="0.25">
      <c r="A70" s="63">
        <f>MATCH($E70,'D1 - Master Project Table'!$B$24:$B$7056,0)</f>
        <v>792</v>
      </c>
      <c r="B70" s="63" t="b">
        <f t="shared" ref="B70:B133" si="3">ISERROR(A70)</f>
        <v>0</v>
      </c>
      <c r="C70" s="63" t="b">
        <f t="shared" ref="C70:C133" si="4">OR(H70="Completed",H70="Cancelled")</f>
        <v>1</v>
      </c>
      <c r="D70" s="63" t="str">
        <f t="shared" ref="D70:D133" si="5">IF(AND(B70=TRUE,C70=FALSE),"Add","OK")</f>
        <v>OK</v>
      </c>
      <c r="E70" s="393">
        <v>400015510</v>
      </c>
      <c r="F70" s="392" t="s">
        <v>6962</v>
      </c>
      <c r="G70" s="392" t="s">
        <v>5324</v>
      </c>
      <c r="H70" s="392" t="s">
        <v>7418</v>
      </c>
      <c r="I70" s="392" t="s">
        <v>1788</v>
      </c>
      <c r="J70" s="392" t="s">
        <v>7155</v>
      </c>
      <c r="K70" s="392" t="s">
        <v>1506</v>
      </c>
      <c r="L70" s="392" t="s">
        <v>7954</v>
      </c>
      <c r="M70" s="392" t="s">
        <v>3758</v>
      </c>
      <c r="N70" s="392" t="s">
        <v>7273</v>
      </c>
      <c r="O70" s="392" t="s">
        <v>7273</v>
      </c>
      <c r="P70"/>
      <c r="Q70"/>
      <c r="R70" s="387">
        <f>VLOOKUP(E70,'[1]NDB Impacted SPRFs 05032013'!$A$2:$A$65536,1,FALSE)</f>
        <v>400015510</v>
      </c>
      <c r="S70" s="128"/>
      <c r="T70" s="128"/>
      <c r="U70" s="128"/>
    </row>
    <row r="71" spans="1:21" s="159" customFormat="1" ht="60" x14ac:dyDescent="0.25">
      <c r="A71" s="63">
        <f>MATCH($E71,'D1 - Master Project Table'!$B$24:$B$7056,0)</f>
        <v>476</v>
      </c>
      <c r="B71" s="63" t="b">
        <f t="shared" si="3"/>
        <v>0</v>
      </c>
      <c r="C71" s="63" t="b">
        <f t="shared" si="4"/>
        <v>1</v>
      </c>
      <c r="D71" s="63" t="str">
        <f t="shared" si="5"/>
        <v>OK</v>
      </c>
      <c r="E71" s="393">
        <v>400009141</v>
      </c>
      <c r="F71" s="392" t="s">
        <v>4346</v>
      </c>
      <c r="G71" s="392" t="s">
        <v>5001</v>
      </c>
      <c r="H71" s="392" t="s">
        <v>7418</v>
      </c>
      <c r="I71" s="392" t="s">
        <v>1828</v>
      </c>
      <c r="J71" s="392" t="s">
        <v>6367</v>
      </c>
      <c r="K71" s="392" t="s">
        <v>4671</v>
      </c>
      <c r="L71" s="392" t="s">
        <v>7337</v>
      </c>
      <c r="M71" s="392" t="s">
        <v>3758</v>
      </c>
      <c r="N71" s="392" t="s">
        <v>7273</v>
      </c>
      <c r="O71" s="392" t="s">
        <v>7273</v>
      </c>
      <c r="P71"/>
      <c r="Q71"/>
      <c r="R71" s="387">
        <f>VLOOKUP(E71,'[1]NDB Impacted SPRFs 05032013'!$A$2:$A$65536,1,FALSE)</f>
        <v>400009141</v>
      </c>
    </row>
    <row r="72" spans="1:21" ht="60" x14ac:dyDescent="0.25">
      <c r="A72" s="63">
        <f>MATCH($E72,'D1 - Master Project Table'!$B$24:$B$7056,0)</f>
        <v>1818</v>
      </c>
      <c r="B72" s="63" t="b">
        <f t="shared" si="3"/>
        <v>0</v>
      </c>
      <c r="C72" s="63" t="b">
        <f t="shared" si="4"/>
        <v>1</v>
      </c>
      <c r="D72" s="63" t="str">
        <f t="shared" si="5"/>
        <v>OK</v>
      </c>
      <c r="E72" s="393">
        <v>400054992</v>
      </c>
      <c r="F72" s="392" t="s">
        <v>1303</v>
      </c>
      <c r="G72" s="392" t="s">
        <v>5324</v>
      </c>
      <c r="H72" s="392" t="s">
        <v>7418</v>
      </c>
      <c r="I72" s="392" t="s">
        <v>1758</v>
      </c>
      <c r="J72" s="392" t="s">
        <v>2024</v>
      </c>
      <c r="K72" s="392" t="s">
        <v>1576</v>
      </c>
      <c r="L72" s="392" t="s">
        <v>2673</v>
      </c>
      <c r="M72" s="392" t="s">
        <v>3758</v>
      </c>
      <c r="N72" s="392" t="s">
        <v>7273</v>
      </c>
      <c r="O72" s="392" t="s">
        <v>7273</v>
      </c>
      <c r="P72"/>
      <c r="Q72"/>
      <c r="R72" s="387">
        <f>VLOOKUP(E72,'[1]NDB Impacted SPRFs 05032013'!$A$2:$A$65536,1,FALSE)</f>
        <v>400054992</v>
      </c>
      <c r="S72" s="159"/>
      <c r="T72" s="159"/>
      <c r="U72" s="159"/>
    </row>
    <row r="73" spans="1:21" s="159" customFormat="1" ht="60" x14ac:dyDescent="0.25">
      <c r="A73" s="63">
        <f>MATCH($E73,'D1 - Master Project Table'!$B$24:$B$7056,0)</f>
        <v>23</v>
      </c>
      <c r="B73" s="63" t="b">
        <f t="shared" si="3"/>
        <v>0</v>
      </c>
      <c r="C73" s="63" t="b">
        <f t="shared" si="4"/>
        <v>0</v>
      </c>
      <c r="D73" s="63" t="str">
        <f t="shared" si="5"/>
        <v>OK</v>
      </c>
      <c r="E73" s="393">
        <v>400046616</v>
      </c>
      <c r="F73" s="392" t="s">
        <v>1396</v>
      </c>
      <c r="G73" s="392" t="s">
        <v>6322</v>
      </c>
      <c r="H73" s="392" t="s">
        <v>4917</v>
      </c>
      <c r="I73" s="392" t="s">
        <v>1756</v>
      </c>
      <c r="J73" s="392" t="s">
        <v>1397</v>
      </c>
      <c r="K73" s="392" t="s">
        <v>4978</v>
      </c>
      <c r="L73" s="392" t="s">
        <v>9397</v>
      </c>
      <c r="M73" s="392" t="s">
        <v>7273</v>
      </c>
      <c r="N73" s="392" t="s">
        <v>7273</v>
      </c>
      <c r="O73" s="392" t="s">
        <v>3758</v>
      </c>
      <c r="P73"/>
      <c r="Q73"/>
      <c r="R73" s="387">
        <f>VLOOKUP(E73,'[1]NDB Impacted SPRFs 05032013'!$A$2:$A$65536,1,FALSE)</f>
        <v>400046616</v>
      </c>
    </row>
    <row r="74" spans="1:21" ht="60" x14ac:dyDescent="0.25">
      <c r="A74" s="63">
        <f>MATCH($E74,'D1 - Master Project Table'!$B$24:$B$7056,0)</f>
        <v>1211</v>
      </c>
      <c r="B74" s="63" t="b">
        <f t="shared" si="3"/>
        <v>0</v>
      </c>
      <c r="C74" s="63" t="b">
        <f t="shared" si="4"/>
        <v>1</v>
      </c>
      <c r="D74" s="63" t="str">
        <f t="shared" si="5"/>
        <v>OK</v>
      </c>
      <c r="E74" s="393">
        <v>400026974</v>
      </c>
      <c r="F74" s="392" t="s">
        <v>5770</v>
      </c>
      <c r="G74" s="392" t="s">
        <v>5001</v>
      </c>
      <c r="H74" s="392" t="s">
        <v>7418</v>
      </c>
      <c r="I74" s="392" t="s">
        <v>3540</v>
      </c>
      <c r="J74" s="392" t="s">
        <v>8764</v>
      </c>
      <c r="K74" s="392" t="s">
        <v>5771</v>
      </c>
      <c r="L74" s="392" t="s">
        <v>3998</v>
      </c>
      <c r="M74" s="392" t="s">
        <v>3758</v>
      </c>
      <c r="N74" s="392" t="s">
        <v>7273</v>
      </c>
      <c r="O74" s="392" t="s">
        <v>7273</v>
      </c>
      <c r="P74"/>
      <c r="Q74"/>
      <c r="R74" s="387">
        <f>VLOOKUP(E74,'[1]NDB Impacted SPRFs 05032013'!$A$2:$A$65536,1,FALSE)</f>
        <v>400026974</v>
      </c>
      <c r="S74" s="159"/>
      <c r="T74" s="159"/>
      <c r="U74" s="159"/>
    </row>
    <row r="75" spans="1:21" s="159" customFormat="1" ht="60" x14ac:dyDescent="0.25">
      <c r="A75" s="63">
        <f>MATCH($E75,'D1 - Master Project Table'!$B$24:$B$7056,0)</f>
        <v>3222</v>
      </c>
      <c r="B75" s="63" t="b">
        <f t="shared" si="3"/>
        <v>0</v>
      </c>
      <c r="C75" s="63" t="b">
        <f t="shared" si="4"/>
        <v>1</v>
      </c>
      <c r="D75" s="63" t="str">
        <f t="shared" si="5"/>
        <v>OK</v>
      </c>
      <c r="E75" s="393">
        <v>400049826</v>
      </c>
      <c r="F75" s="392" t="s">
        <v>535</v>
      </c>
      <c r="G75" s="392" t="s">
        <v>5324</v>
      </c>
      <c r="H75" s="392" t="s">
        <v>7418</v>
      </c>
      <c r="I75" s="392" t="s">
        <v>1762</v>
      </c>
      <c r="J75" s="392" t="s">
        <v>6905</v>
      </c>
      <c r="K75" s="392" t="s">
        <v>761</v>
      </c>
      <c r="L75" s="392" t="s">
        <v>536</v>
      </c>
      <c r="M75" s="392" t="s">
        <v>7273</v>
      </c>
      <c r="N75" s="392" t="s">
        <v>7273</v>
      </c>
      <c r="O75" s="392" t="s">
        <v>7273</v>
      </c>
      <c r="P75"/>
      <c r="Q75"/>
      <c r="R75" s="387">
        <f>VLOOKUP(E75,'[1]NDB Impacted SPRFs 05032013'!$A$2:$A$65536,1,FALSE)</f>
        <v>400049826</v>
      </c>
    </row>
    <row r="76" spans="1:21" s="159" customFormat="1" ht="60" x14ac:dyDescent="0.25">
      <c r="A76" s="63">
        <f>MATCH($E76,'D1 - Master Project Table'!$B$24:$B$7056,0)</f>
        <v>1913</v>
      </c>
      <c r="B76" s="63" t="b">
        <f t="shared" si="3"/>
        <v>0</v>
      </c>
      <c r="C76" s="63" t="b">
        <f t="shared" si="4"/>
        <v>1</v>
      </c>
      <c r="D76" s="63" t="str">
        <f t="shared" si="5"/>
        <v>OK</v>
      </c>
      <c r="E76" s="393">
        <v>400008742</v>
      </c>
      <c r="F76" s="392" t="s">
        <v>2877</v>
      </c>
      <c r="G76" s="392" t="s">
        <v>5787</v>
      </c>
      <c r="H76" s="392" t="s">
        <v>7418</v>
      </c>
      <c r="I76" s="392" t="s">
        <v>1771</v>
      </c>
      <c r="J76" s="392" t="s">
        <v>6366</v>
      </c>
      <c r="K76" s="392" t="s">
        <v>6078</v>
      </c>
      <c r="L76" s="392" t="s">
        <v>3217</v>
      </c>
      <c r="M76" s="392" t="s">
        <v>3758</v>
      </c>
      <c r="N76" s="392" t="s">
        <v>7273</v>
      </c>
      <c r="O76" s="392" t="s">
        <v>7273</v>
      </c>
      <c r="P76"/>
      <c r="Q76"/>
      <c r="R76" s="387">
        <f>VLOOKUP(E76,'[1]NDB Impacted SPRFs 05032013'!$A$2:$A$65536,1,FALSE)</f>
        <v>400008742</v>
      </c>
      <c r="S76" s="128"/>
      <c r="T76" s="128"/>
      <c r="U76" s="128"/>
    </row>
    <row r="77" spans="1:21" s="159" customFormat="1" ht="60" x14ac:dyDescent="0.25">
      <c r="A77" s="63">
        <f>MATCH($E77,'D1 - Master Project Table'!$B$24:$B$7056,0)</f>
        <v>1504</v>
      </c>
      <c r="B77" s="63" t="b">
        <f t="shared" si="3"/>
        <v>0</v>
      </c>
      <c r="C77" s="63" t="b">
        <f t="shared" si="4"/>
        <v>1</v>
      </c>
      <c r="D77" s="63" t="str">
        <f t="shared" si="5"/>
        <v>OK</v>
      </c>
      <c r="E77" s="393">
        <v>400040729</v>
      </c>
      <c r="F77" s="392" t="s">
        <v>2623</v>
      </c>
      <c r="G77" s="392" t="s">
        <v>5324</v>
      </c>
      <c r="H77" s="392" t="s">
        <v>7418</v>
      </c>
      <c r="I77" s="392" t="s">
        <v>1595</v>
      </c>
      <c r="J77" s="392" t="s">
        <v>1577</v>
      </c>
      <c r="K77" s="392" t="s">
        <v>8075</v>
      </c>
      <c r="L77" s="392" t="s">
        <v>184</v>
      </c>
      <c r="M77" s="392" t="s">
        <v>3758</v>
      </c>
      <c r="N77" s="392" t="s">
        <v>7273</v>
      </c>
      <c r="O77" s="392" t="s">
        <v>3758</v>
      </c>
      <c r="P77"/>
      <c r="Q77"/>
      <c r="R77" s="387">
        <f>VLOOKUP(E77,'[1]NDB Impacted SPRFs 05032013'!$A$2:$A$65536,1,FALSE)</f>
        <v>400040729</v>
      </c>
    </row>
    <row r="78" spans="1:21" s="159" customFormat="1" ht="60" x14ac:dyDescent="0.25">
      <c r="A78" s="63">
        <f>MATCH($E78,'D1 - Master Project Table'!$B$24:$B$7056,0)</f>
        <v>2817</v>
      </c>
      <c r="B78" s="63" t="b">
        <f t="shared" si="3"/>
        <v>0</v>
      </c>
      <c r="C78" s="63" t="b">
        <f t="shared" si="4"/>
        <v>1</v>
      </c>
      <c r="D78" s="63" t="str">
        <f t="shared" si="5"/>
        <v>OK</v>
      </c>
      <c r="E78" s="393">
        <v>400024121</v>
      </c>
      <c r="F78" s="392" t="s">
        <v>4033</v>
      </c>
      <c r="G78" s="392" t="s">
        <v>5324</v>
      </c>
      <c r="H78" s="392" t="s">
        <v>5314</v>
      </c>
      <c r="I78" s="392" t="s">
        <v>1756</v>
      </c>
      <c r="J78" s="392" t="s">
        <v>7155</v>
      </c>
      <c r="K78" s="392" t="s">
        <v>1506</v>
      </c>
      <c r="L78" s="392" t="s">
        <v>3856</v>
      </c>
      <c r="M78" s="392" t="s">
        <v>3758</v>
      </c>
      <c r="N78" s="392" t="s">
        <v>7273</v>
      </c>
      <c r="O78" s="392" t="s">
        <v>7273</v>
      </c>
      <c r="P78"/>
      <c r="Q78"/>
      <c r="R78" s="387">
        <f>VLOOKUP(E78,'[1]NDB Impacted SPRFs 05032013'!$A$2:$A$65536,1,FALSE)</f>
        <v>400024121</v>
      </c>
      <c r="S78" s="128"/>
      <c r="T78" s="128"/>
      <c r="U78" s="128"/>
    </row>
    <row r="79" spans="1:21" s="159" customFormat="1" ht="60" x14ac:dyDescent="0.25">
      <c r="A79" s="63">
        <f>MATCH($E79,'D1 - Master Project Table'!$B$24:$B$7056,0)</f>
        <v>1600</v>
      </c>
      <c r="B79" s="63" t="b">
        <f t="shared" si="3"/>
        <v>0</v>
      </c>
      <c r="C79" s="63" t="b">
        <f t="shared" si="4"/>
        <v>1</v>
      </c>
      <c r="D79" s="63" t="str">
        <f t="shared" si="5"/>
        <v>OK</v>
      </c>
      <c r="E79" s="393">
        <v>400045842</v>
      </c>
      <c r="F79" s="392" t="s">
        <v>2268</v>
      </c>
      <c r="G79" s="392" t="s">
        <v>6322</v>
      </c>
      <c r="H79" s="392" t="s">
        <v>7418</v>
      </c>
      <c r="I79" s="392" t="s">
        <v>1758</v>
      </c>
      <c r="J79" s="392" t="s">
        <v>2251</v>
      </c>
      <c r="K79" s="392" t="s">
        <v>2269</v>
      </c>
      <c r="L79" s="392" t="s">
        <v>1537</v>
      </c>
      <c r="M79" s="392" t="s">
        <v>7273</v>
      </c>
      <c r="N79" s="392" t="s">
        <v>7273</v>
      </c>
      <c r="O79" s="392" t="s">
        <v>3758</v>
      </c>
      <c r="P79"/>
      <c r="Q79"/>
      <c r="R79" s="387">
        <f>VLOOKUP(E79,'[1]NDB Impacted SPRFs 05032013'!$A$2:$A$65536,1,FALSE)</f>
        <v>400045842</v>
      </c>
    </row>
    <row r="80" spans="1:21" s="159" customFormat="1" ht="60" x14ac:dyDescent="0.25">
      <c r="A80" s="63">
        <f>MATCH($E80,'D1 - Master Project Table'!$B$24:$B$7056,0)</f>
        <v>1675</v>
      </c>
      <c r="B80" s="63" t="b">
        <f t="shared" si="3"/>
        <v>0</v>
      </c>
      <c r="C80" s="63" t="b">
        <f t="shared" si="4"/>
        <v>0</v>
      </c>
      <c r="D80" s="63" t="str">
        <f t="shared" si="5"/>
        <v>OK</v>
      </c>
      <c r="E80" s="393">
        <v>400046103</v>
      </c>
      <c r="F80" s="392" t="s">
        <v>7256</v>
      </c>
      <c r="G80" s="392" t="s">
        <v>6322</v>
      </c>
      <c r="H80" s="392" t="s">
        <v>4917</v>
      </c>
      <c r="I80" s="392" t="s">
        <v>1758</v>
      </c>
      <c r="J80" s="392" t="s">
        <v>2251</v>
      </c>
      <c r="K80" s="392" t="s">
        <v>7403</v>
      </c>
      <c r="L80" s="392" t="s">
        <v>966</v>
      </c>
      <c r="M80" s="392" t="s">
        <v>7273</v>
      </c>
      <c r="N80" s="392" t="s">
        <v>7273</v>
      </c>
      <c r="O80" s="392" t="s">
        <v>3758</v>
      </c>
      <c r="P80"/>
      <c r="Q80"/>
      <c r="R80" s="387">
        <f>VLOOKUP(E80,'[1]NDB Impacted SPRFs 05032013'!$A$2:$A$65536,1,FALSE)</f>
        <v>400046103</v>
      </c>
      <c r="S80" s="128"/>
      <c r="T80" s="128"/>
      <c r="U80" s="128"/>
    </row>
    <row r="81" spans="1:21" s="159" customFormat="1" ht="60" x14ac:dyDescent="0.25">
      <c r="A81" s="63">
        <f>MATCH($E81,'D1 - Master Project Table'!$B$24:$B$7056,0)</f>
        <v>1502</v>
      </c>
      <c r="B81" s="63" t="b">
        <f t="shared" si="3"/>
        <v>0</v>
      </c>
      <c r="C81" s="63" t="b">
        <f t="shared" si="4"/>
        <v>1</v>
      </c>
      <c r="D81" s="63" t="str">
        <f t="shared" si="5"/>
        <v>OK</v>
      </c>
      <c r="E81" s="393">
        <v>400040075</v>
      </c>
      <c r="F81" s="392" t="s">
        <v>1563</v>
      </c>
      <c r="G81" s="392" t="s">
        <v>5324</v>
      </c>
      <c r="H81" s="392" t="s">
        <v>7418</v>
      </c>
      <c r="I81" s="392" t="s">
        <v>1758</v>
      </c>
      <c r="J81" s="392" t="s">
        <v>2273</v>
      </c>
      <c r="K81" s="392" t="s">
        <v>1564</v>
      </c>
      <c r="L81" s="392" t="s">
        <v>1028</v>
      </c>
      <c r="M81" s="392" t="s">
        <v>3758</v>
      </c>
      <c r="N81" s="392" t="s">
        <v>7273</v>
      </c>
      <c r="O81" s="392" t="s">
        <v>7273</v>
      </c>
      <c r="P81"/>
      <c r="Q81"/>
      <c r="R81" s="387">
        <f>VLOOKUP(E81,'[1]NDB Impacted SPRFs 05032013'!$A$2:$A$65536,1,FALSE)</f>
        <v>400040075</v>
      </c>
    </row>
    <row r="82" spans="1:21" ht="60" x14ac:dyDescent="0.25">
      <c r="A82" s="63">
        <f>MATCH($E82,'D1 - Master Project Table'!$B$24:$B$7056,0)</f>
        <v>41</v>
      </c>
      <c r="B82" s="63" t="b">
        <f t="shared" si="3"/>
        <v>0</v>
      </c>
      <c r="C82" s="63" t="b">
        <f t="shared" si="4"/>
        <v>0</v>
      </c>
      <c r="D82" s="63" t="str">
        <f t="shared" si="5"/>
        <v>OK</v>
      </c>
      <c r="E82" s="393">
        <v>400050744</v>
      </c>
      <c r="F82" s="392" t="s">
        <v>2164</v>
      </c>
      <c r="G82" s="392" t="s">
        <v>5324</v>
      </c>
      <c r="H82" s="392" t="s">
        <v>4917</v>
      </c>
      <c r="I82" s="392" t="s">
        <v>1762</v>
      </c>
      <c r="J82" s="392" t="s">
        <v>880</v>
      </c>
      <c r="K82" s="392" t="s">
        <v>8075</v>
      </c>
      <c r="L82" s="392" t="s">
        <v>9475</v>
      </c>
      <c r="M82" s="392" t="s">
        <v>3758</v>
      </c>
      <c r="N82" s="392" t="s">
        <v>7273</v>
      </c>
      <c r="O82" s="392" t="s">
        <v>3758</v>
      </c>
      <c r="P82"/>
      <c r="Q82"/>
      <c r="R82" s="387">
        <f>VLOOKUP(E82,'[1]NDB Impacted SPRFs 05032013'!$A$2:$A$65536,1,FALSE)</f>
        <v>400050744</v>
      </c>
      <c r="S82" s="159"/>
      <c r="T82" s="159"/>
      <c r="U82" s="159"/>
    </row>
    <row r="83" spans="1:21" s="159" customFormat="1" ht="60" x14ac:dyDescent="0.25">
      <c r="A83" s="63">
        <f>MATCH($E83,'D1 - Master Project Table'!$B$24:$B$7056,0)</f>
        <v>2656</v>
      </c>
      <c r="B83" s="63" t="b">
        <f t="shared" si="3"/>
        <v>0</v>
      </c>
      <c r="C83" s="63" t="b">
        <f t="shared" si="4"/>
        <v>1</v>
      </c>
      <c r="D83" s="63" t="str">
        <f t="shared" si="5"/>
        <v>OK</v>
      </c>
      <c r="E83" s="393">
        <v>400015441</v>
      </c>
      <c r="F83" s="392" t="s">
        <v>6167</v>
      </c>
      <c r="G83" s="392" t="s">
        <v>5324</v>
      </c>
      <c r="H83" s="392" t="s">
        <v>5314</v>
      </c>
      <c r="I83" s="392" t="s">
        <v>1788</v>
      </c>
      <c r="J83" s="392" t="s">
        <v>6905</v>
      </c>
      <c r="K83" s="392" t="s">
        <v>1506</v>
      </c>
      <c r="L83" s="392" t="s">
        <v>7328</v>
      </c>
      <c r="M83" s="392" t="s">
        <v>3758</v>
      </c>
      <c r="N83" s="392" t="s">
        <v>7273</v>
      </c>
      <c r="O83" s="392" t="s">
        <v>7273</v>
      </c>
      <c r="P83"/>
      <c r="Q83"/>
      <c r="R83" s="387">
        <f>VLOOKUP(E83,'[1]NDB Impacted SPRFs 05032013'!$A$2:$A$65536,1,FALSE)</f>
        <v>400015441</v>
      </c>
    </row>
    <row r="84" spans="1:21" ht="60" x14ac:dyDescent="0.25">
      <c r="A84" s="63">
        <f>MATCH($E84,'D1 - Master Project Table'!$B$24:$B$7056,0)</f>
        <v>1130</v>
      </c>
      <c r="B84" s="63" t="b">
        <f t="shared" si="3"/>
        <v>0</v>
      </c>
      <c r="C84" s="63" t="b">
        <f t="shared" si="4"/>
        <v>1</v>
      </c>
      <c r="D84" s="63" t="str">
        <f t="shared" si="5"/>
        <v>OK</v>
      </c>
      <c r="E84" s="393">
        <v>400019663</v>
      </c>
      <c r="F84" s="392" t="s">
        <v>7944</v>
      </c>
      <c r="G84" s="392" t="s">
        <v>5324</v>
      </c>
      <c r="H84" s="392" t="s">
        <v>7418</v>
      </c>
      <c r="I84" s="392" t="s">
        <v>1788</v>
      </c>
      <c r="J84" s="392" t="s">
        <v>7155</v>
      </c>
      <c r="K84" s="392" t="s">
        <v>1506</v>
      </c>
      <c r="L84" s="392" t="s">
        <v>2631</v>
      </c>
      <c r="M84" s="392" t="s">
        <v>3758</v>
      </c>
      <c r="N84" s="392" t="s">
        <v>7273</v>
      </c>
      <c r="O84" s="392" t="s">
        <v>7273</v>
      </c>
      <c r="P84"/>
      <c r="Q84"/>
      <c r="R84" s="387">
        <f>VLOOKUP(E84,'[1]NDB Impacted SPRFs 05032013'!$A$2:$A$65536,1,FALSE)</f>
        <v>400019663</v>
      </c>
      <c r="S84" s="159"/>
      <c r="T84" s="159"/>
      <c r="U84" s="159"/>
    </row>
    <row r="85" spans="1:21" ht="60" x14ac:dyDescent="0.25">
      <c r="A85" s="63">
        <f>MATCH($E85,'D1 - Master Project Table'!$B$24:$B$7056,0)</f>
        <v>112</v>
      </c>
      <c r="B85" s="63" t="b">
        <f t="shared" si="3"/>
        <v>0</v>
      </c>
      <c r="C85" s="63" t="b">
        <f t="shared" si="4"/>
        <v>0</v>
      </c>
      <c r="D85" s="63" t="str">
        <f t="shared" si="5"/>
        <v>OK</v>
      </c>
      <c r="E85" s="393">
        <v>400049798</v>
      </c>
      <c r="F85" s="392" t="s">
        <v>769</v>
      </c>
      <c r="G85" s="392" t="s">
        <v>6322</v>
      </c>
      <c r="H85" s="392" t="s">
        <v>4917</v>
      </c>
      <c r="I85" s="392" t="s">
        <v>1758</v>
      </c>
      <c r="J85" s="392" t="s">
        <v>2534</v>
      </c>
      <c r="K85" s="392" t="s">
        <v>1440</v>
      </c>
      <c r="L85" s="392" t="s">
        <v>3062</v>
      </c>
      <c r="M85" s="392" t="s">
        <v>7273</v>
      </c>
      <c r="N85" s="392" t="s">
        <v>7273</v>
      </c>
      <c r="O85" s="392" t="s">
        <v>3758</v>
      </c>
      <c r="P85"/>
      <c r="Q85"/>
      <c r="R85" s="387">
        <f>VLOOKUP(E85,'[1]NDB Impacted SPRFs 05032013'!$A$2:$A$65536,1,FALSE)</f>
        <v>400049798</v>
      </c>
      <c r="S85" s="159"/>
      <c r="T85" s="159"/>
      <c r="U85" s="159"/>
    </row>
    <row r="86" spans="1:21" s="159" customFormat="1" ht="60" x14ac:dyDescent="0.25">
      <c r="A86" s="63">
        <f>MATCH($E86,'D1 - Master Project Table'!$B$24:$B$7056,0)</f>
        <v>70</v>
      </c>
      <c r="B86" s="63" t="b">
        <f t="shared" si="3"/>
        <v>0</v>
      </c>
      <c r="C86" s="63" t="b">
        <f t="shared" si="4"/>
        <v>0</v>
      </c>
      <c r="D86" s="63" t="str">
        <f t="shared" si="5"/>
        <v>OK</v>
      </c>
      <c r="E86" s="393">
        <v>400047192</v>
      </c>
      <c r="F86" s="392" t="s">
        <v>7258</v>
      </c>
      <c r="G86" s="392" t="s">
        <v>6322</v>
      </c>
      <c r="H86" s="392" t="s">
        <v>4917</v>
      </c>
      <c r="I86" s="392" t="s">
        <v>1756</v>
      </c>
      <c r="J86" s="392" t="s">
        <v>2372</v>
      </c>
      <c r="K86" s="392" t="s">
        <v>4978</v>
      </c>
      <c r="L86" s="392" t="s">
        <v>9211</v>
      </c>
      <c r="M86" s="392" t="s">
        <v>7273</v>
      </c>
      <c r="N86" s="392" t="s">
        <v>7273</v>
      </c>
      <c r="O86" s="392" t="s">
        <v>3758</v>
      </c>
      <c r="P86"/>
      <c r="Q86"/>
      <c r="R86" s="387">
        <f>VLOOKUP(E86,'[1]NDB Impacted SPRFs 05032013'!$A$2:$A$65536,1,FALSE)</f>
        <v>400047192</v>
      </c>
    </row>
    <row r="87" spans="1:21" s="159" customFormat="1" ht="60" x14ac:dyDescent="0.25">
      <c r="A87" s="63">
        <f>MATCH($E87,'D1 - Master Project Table'!$B$24:$B$7056,0)</f>
        <v>1739</v>
      </c>
      <c r="B87" s="63" t="b">
        <f t="shared" si="3"/>
        <v>0</v>
      </c>
      <c r="C87" s="63" t="b">
        <f t="shared" si="4"/>
        <v>1</v>
      </c>
      <c r="D87" s="63" t="str">
        <f t="shared" si="5"/>
        <v>OK</v>
      </c>
      <c r="E87" s="393">
        <v>400052259</v>
      </c>
      <c r="F87" s="392" t="s">
        <v>767</v>
      </c>
      <c r="G87" s="392" t="s">
        <v>5324</v>
      </c>
      <c r="H87" s="392" t="s">
        <v>7418</v>
      </c>
      <c r="I87" s="392" t="s">
        <v>1786</v>
      </c>
      <c r="J87" s="392" t="s">
        <v>766</v>
      </c>
      <c r="K87" s="392" t="s">
        <v>3307</v>
      </c>
      <c r="L87" s="392" t="s">
        <v>7535</v>
      </c>
      <c r="M87" s="392" t="s">
        <v>3758</v>
      </c>
      <c r="N87" s="392" t="s">
        <v>7273</v>
      </c>
      <c r="O87" s="392" t="s">
        <v>7273</v>
      </c>
      <c r="P87"/>
      <c r="Q87"/>
      <c r="R87" s="387">
        <f>VLOOKUP(E87,'[1]NDB Impacted SPRFs 05032013'!$A$2:$A$65536,1,FALSE)</f>
        <v>400052259</v>
      </c>
    </row>
    <row r="88" spans="1:21" s="159" customFormat="1" ht="60" x14ac:dyDescent="0.25">
      <c r="A88" s="63">
        <f>MATCH($E88,'D1 - Master Project Table'!$B$24:$B$7056,0)</f>
        <v>129</v>
      </c>
      <c r="B88" s="63" t="b">
        <f t="shared" si="3"/>
        <v>0</v>
      </c>
      <c r="C88" s="63" t="b">
        <f t="shared" si="4"/>
        <v>0</v>
      </c>
      <c r="D88" s="63" t="str">
        <f t="shared" si="5"/>
        <v>OK</v>
      </c>
      <c r="E88" s="393">
        <v>400055987</v>
      </c>
      <c r="F88" s="392" t="s">
        <v>7468</v>
      </c>
      <c r="G88" s="392" t="s">
        <v>5324</v>
      </c>
      <c r="H88" s="392" t="s">
        <v>4917</v>
      </c>
      <c r="I88" s="392" t="s">
        <v>1758</v>
      </c>
      <c r="J88" s="392" t="s">
        <v>2024</v>
      </c>
      <c r="K88" s="392" t="s">
        <v>1576</v>
      </c>
      <c r="L88" s="392" t="s">
        <v>7430</v>
      </c>
      <c r="M88" s="392" t="s">
        <v>3758</v>
      </c>
      <c r="N88" s="392" t="s">
        <v>7273</v>
      </c>
      <c r="O88" s="392" t="s">
        <v>7273</v>
      </c>
      <c r="P88"/>
      <c r="Q88"/>
      <c r="R88" s="387">
        <f>VLOOKUP(E88,'[1]NDB Impacted SPRFs 05032013'!$A$2:$A$65536,1,FALSE)</f>
        <v>400055987</v>
      </c>
    </row>
    <row r="89" spans="1:21" s="159" customFormat="1" ht="60" x14ac:dyDescent="0.25">
      <c r="A89" s="63">
        <f>MATCH($E89,'D1 - Master Project Table'!$B$24:$B$7056,0)</f>
        <v>422</v>
      </c>
      <c r="B89" s="63" t="b">
        <f t="shared" si="3"/>
        <v>0</v>
      </c>
      <c r="C89" s="63" t="b">
        <f t="shared" si="4"/>
        <v>1</v>
      </c>
      <c r="D89" s="63" t="str">
        <f t="shared" si="5"/>
        <v>OK</v>
      </c>
      <c r="E89" s="393">
        <v>400008351</v>
      </c>
      <c r="F89" s="392" t="s">
        <v>6977</v>
      </c>
      <c r="G89" s="392" t="s">
        <v>5787</v>
      </c>
      <c r="H89" s="392" t="s">
        <v>7418</v>
      </c>
      <c r="I89" s="392" t="s">
        <v>1824</v>
      </c>
      <c r="J89" s="392" t="s">
        <v>4774</v>
      </c>
      <c r="K89" s="392" t="s">
        <v>4861</v>
      </c>
      <c r="L89" s="392" t="s">
        <v>7930</v>
      </c>
      <c r="M89" s="392" t="s">
        <v>3758</v>
      </c>
      <c r="N89" s="392" t="s">
        <v>7273</v>
      </c>
      <c r="O89" s="392" t="s">
        <v>7273</v>
      </c>
      <c r="P89"/>
      <c r="Q89"/>
      <c r="R89" s="387">
        <f>VLOOKUP(E89,'[1]NDB Impacted SPRFs 05032013'!$A$2:$A$65536,1,FALSE)</f>
        <v>400008351</v>
      </c>
    </row>
    <row r="90" spans="1:21" ht="60" x14ac:dyDescent="0.25">
      <c r="A90" s="63" t="e">
        <f>MATCH($E90,'D1 - Master Project Table'!$B$24:$B$7056,0)</f>
        <v>#N/A</v>
      </c>
      <c r="B90" s="63" t="b">
        <f t="shared" si="3"/>
        <v>1</v>
      </c>
      <c r="C90" s="63" t="b">
        <f t="shared" si="4"/>
        <v>1</v>
      </c>
      <c r="D90" s="63" t="str">
        <f t="shared" si="5"/>
        <v>OK</v>
      </c>
      <c r="E90" s="393">
        <v>400001117</v>
      </c>
      <c r="F90" s="392" t="s">
        <v>6655</v>
      </c>
      <c r="G90" s="392" t="s">
        <v>5001</v>
      </c>
      <c r="H90" s="392" t="s">
        <v>7418</v>
      </c>
      <c r="I90" s="392" t="s">
        <v>1828</v>
      </c>
      <c r="J90" s="392" t="s">
        <v>6486</v>
      </c>
      <c r="K90" s="392" t="s">
        <v>6656</v>
      </c>
      <c r="L90" s="392" t="s">
        <v>5729</v>
      </c>
      <c r="M90" s="392" t="s">
        <v>3758</v>
      </c>
      <c r="N90" s="392" t="s">
        <v>7273</v>
      </c>
      <c r="O90" s="392" t="s">
        <v>7273</v>
      </c>
      <c r="R90" s="387">
        <f>VLOOKUP(E90,'[1]NDB Impacted SPRFs 05032013'!$A$2:$A$65536,1,FALSE)</f>
        <v>400001117</v>
      </c>
    </row>
    <row r="91" spans="1:21" s="159" customFormat="1" ht="60" x14ac:dyDescent="0.25">
      <c r="A91" s="63">
        <f>MATCH($E91,'D1 - Master Project Table'!$B$24:$B$7056,0)</f>
        <v>988</v>
      </c>
      <c r="B91" s="63" t="b">
        <f t="shared" si="3"/>
        <v>0</v>
      </c>
      <c r="C91" s="63" t="b">
        <f t="shared" si="4"/>
        <v>1</v>
      </c>
      <c r="D91" s="63" t="str">
        <f t="shared" si="5"/>
        <v>OK</v>
      </c>
      <c r="E91" s="393">
        <v>400024295</v>
      </c>
      <c r="F91" s="392" t="s">
        <v>7236</v>
      </c>
      <c r="G91" s="392" t="s">
        <v>5324</v>
      </c>
      <c r="H91" s="392" t="s">
        <v>7418</v>
      </c>
      <c r="I91" s="392" t="s">
        <v>1762</v>
      </c>
      <c r="J91" s="392" t="s">
        <v>7226</v>
      </c>
      <c r="K91" s="392" t="s">
        <v>2508</v>
      </c>
      <c r="L91" s="392" t="s">
        <v>4350</v>
      </c>
      <c r="M91" s="392" t="s">
        <v>3758</v>
      </c>
      <c r="N91" s="392" t="s">
        <v>7273</v>
      </c>
      <c r="O91" s="392" t="s">
        <v>7273</v>
      </c>
      <c r="P91"/>
      <c r="Q91"/>
      <c r="R91" s="387">
        <f>VLOOKUP(E91,'[1]NDB Impacted SPRFs 05032013'!$A$2:$A$65536,1,FALSE)</f>
        <v>400024295</v>
      </c>
    </row>
    <row r="92" spans="1:21" s="159" customFormat="1" ht="60" x14ac:dyDescent="0.25">
      <c r="A92" s="63">
        <f>MATCH($E92,'D1 - Master Project Table'!$B$24:$B$7056,0)</f>
        <v>439</v>
      </c>
      <c r="B92" s="63" t="b">
        <f t="shared" si="3"/>
        <v>0</v>
      </c>
      <c r="C92" s="63" t="b">
        <f t="shared" si="4"/>
        <v>1</v>
      </c>
      <c r="D92" s="63" t="str">
        <f t="shared" si="5"/>
        <v>OK</v>
      </c>
      <c r="E92" s="393">
        <v>400008571</v>
      </c>
      <c r="F92" s="392" t="s">
        <v>3397</v>
      </c>
      <c r="G92" s="392" t="s">
        <v>5787</v>
      </c>
      <c r="H92" s="392" t="s">
        <v>7418</v>
      </c>
      <c r="I92" s="392" t="s">
        <v>1771</v>
      </c>
      <c r="J92" s="392" t="s">
        <v>4771</v>
      </c>
      <c r="K92" s="392" t="s">
        <v>7859</v>
      </c>
      <c r="L92" s="392" t="s">
        <v>3378</v>
      </c>
      <c r="M92" s="392" t="s">
        <v>3758</v>
      </c>
      <c r="N92" s="392" t="s">
        <v>7273</v>
      </c>
      <c r="O92" s="392" t="s">
        <v>7273</v>
      </c>
      <c r="P92"/>
      <c r="Q92"/>
      <c r="R92" s="387">
        <f>VLOOKUP(E92,'[1]NDB Impacted SPRFs 05032013'!$A$2:$A$65536,1,FALSE)</f>
        <v>400008571</v>
      </c>
    </row>
    <row r="93" spans="1:21" s="159" customFormat="1" ht="60" x14ac:dyDescent="0.25">
      <c r="A93" s="63">
        <f>MATCH($E93,'D1 - Master Project Table'!$B$24:$B$7056,0)</f>
        <v>1605</v>
      </c>
      <c r="B93" s="63" t="b">
        <f t="shared" si="3"/>
        <v>0</v>
      </c>
      <c r="C93" s="63" t="b">
        <f t="shared" si="4"/>
        <v>1</v>
      </c>
      <c r="D93" s="63" t="str">
        <f t="shared" si="5"/>
        <v>OK</v>
      </c>
      <c r="E93" s="393">
        <v>400041390</v>
      </c>
      <c r="F93" s="392" t="s">
        <v>4456</v>
      </c>
      <c r="G93" s="392" t="s">
        <v>6322</v>
      </c>
      <c r="H93" s="392" t="s">
        <v>7418</v>
      </c>
      <c r="I93" s="392" t="s">
        <v>1758</v>
      </c>
      <c r="J93" s="392" t="s">
        <v>4688</v>
      </c>
      <c r="K93" s="392" t="s">
        <v>6600</v>
      </c>
      <c r="L93" s="392" t="s">
        <v>8866</v>
      </c>
      <c r="M93" s="392" t="s">
        <v>7273</v>
      </c>
      <c r="N93" s="392" t="s">
        <v>7273</v>
      </c>
      <c r="O93" s="392" t="s">
        <v>7273</v>
      </c>
      <c r="P93"/>
      <c r="Q93"/>
      <c r="R93" s="387">
        <f>VLOOKUP(E93,'[1]NDB Impacted SPRFs 05032013'!$A$2:$A$65536,1,FALSE)</f>
        <v>400041390</v>
      </c>
    </row>
    <row r="94" spans="1:21" s="159" customFormat="1" ht="60" x14ac:dyDescent="0.25">
      <c r="A94" s="63">
        <f>MATCH($E94,'D1 - Master Project Table'!$B$24:$B$7056,0)</f>
        <v>1738</v>
      </c>
      <c r="B94" s="63" t="b">
        <f t="shared" si="3"/>
        <v>0</v>
      </c>
      <c r="C94" s="63" t="b">
        <f t="shared" si="4"/>
        <v>1</v>
      </c>
      <c r="D94" s="63" t="str">
        <f t="shared" si="5"/>
        <v>OK</v>
      </c>
      <c r="E94" s="393">
        <v>400052244</v>
      </c>
      <c r="F94" s="392" t="s">
        <v>1467</v>
      </c>
      <c r="G94" s="392" t="s">
        <v>5324</v>
      </c>
      <c r="H94" s="392" t="s">
        <v>7418</v>
      </c>
      <c r="I94" s="392" t="s">
        <v>1786</v>
      </c>
      <c r="J94" s="392" t="s">
        <v>766</v>
      </c>
      <c r="K94" s="392" t="s">
        <v>3307</v>
      </c>
      <c r="L94" s="392" t="s">
        <v>1839</v>
      </c>
      <c r="M94" s="392" t="s">
        <v>3758</v>
      </c>
      <c r="N94" s="392" t="s">
        <v>7273</v>
      </c>
      <c r="O94" s="392" t="s">
        <v>7273</v>
      </c>
      <c r="P94"/>
      <c r="Q94"/>
      <c r="R94" s="387">
        <f>VLOOKUP(E94,'[1]NDB Impacted SPRFs 05032013'!$A$2:$A$65536,1,FALSE)</f>
        <v>400052244</v>
      </c>
    </row>
    <row r="95" spans="1:21" s="159" customFormat="1" ht="60" x14ac:dyDescent="0.25">
      <c r="A95" s="63">
        <f>MATCH($E95,'D1 - Master Project Table'!$B$24:$B$7056,0)</f>
        <v>1395</v>
      </c>
      <c r="B95" s="63" t="b">
        <f t="shared" si="3"/>
        <v>0</v>
      </c>
      <c r="C95" s="63" t="b">
        <f t="shared" si="4"/>
        <v>1</v>
      </c>
      <c r="D95" s="63" t="str">
        <f t="shared" si="5"/>
        <v>OK</v>
      </c>
      <c r="E95" s="393">
        <v>400036303</v>
      </c>
      <c r="F95" s="392" t="s">
        <v>1446</v>
      </c>
      <c r="G95" s="392" t="s">
        <v>7182</v>
      </c>
      <c r="H95" s="392" t="s">
        <v>7418</v>
      </c>
      <c r="I95" s="392" t="s">
        <v>7745</v>
      </c>
      <c r="J95" s="392" t="s">
        <v>3637</v>
      </c>
      <c r="K95" s="392" t="s">
        <v>3638</v>
      </c>
      <c r="L95" s="392" t="s">
        <v>893</v>
      </c>
      <c r="M95" s="392" t="s">
        <v>3758</v>
      </c>
      <c r="N95" s="392" t="s">
        <v>7273</v>
      </c>
      <c r="O95" s="392" t="s">
        <v>7273</v>
      </c>
      <c r="P95"/>
      <c r="Q95"/>
      <c r="R95" s="387">
        <f>VLOOKUP(E95,'[1]NDB Impacted SPRFs 05032013'!$A$2:$A$65536,1,FALSE)</f>
        <v>400036303</v>
      </c>
    </row>
    <row r="96" spans="1:21" s="159" customFormat="1" ht="60" x14ac:dyDescent="0.25">
      <c r="A96" s="63">
        <f>MATCH($E96,'D1 - Master Project Table'!$B$24:$B$7056,0)</f>
        <v>1367</v>
      </c>
      <c r="B96" s="63" t="b">
        <f t="shared" si="3"/>
        <v>0</v>
      </c>
      <c r="C96" s="63" t="b">
        <f t="shared" si="4"/>
        <v>1</v>
      </c>
      <c r="D96" s="63" t="str">
        <f t="shared" si="5"/>
        <v>OK</v>
      </c>
      <c r="E96" s="393">
        <v>400036184</v>
      </c>
      <c r="F96" s="392" t="s">
        <v>3636</v>
      </c>
      <c r="G96" s="392" t="s">
        <v>7182</v>
      </c>
      <c r="H96" s="392" t="s">
        <v>7418</v>
      </c>
      <c r="I96" s="392" t="s">
        <v>7745</v>
      </c>
      <c r="J96" s="392" t="s">
        <v>3637</v>
      </c>
      <c r="K96" s="392" t="s">
        <v>3638</v>
      </c>
      <c r="L96" s="392" t="s">
        <v>8867</v>
      </c>
      <c r="M96" s="392" t="s">
        <v>3758</v>
      </c>
      <c r="N96" s="392" t="s">
        <v>7273</v>
      </c>
      <c r="O96" s="392" t="s">
        <v>7273</v>
      </c>
      <c r="P96"/>
      <c r="Q96"/>
      <c r="R96" s="387">
        <f>VLOOKUP(E96,'[1]NDB Impacted SPRFs 05032013'!$A$2:$A$65536,1,FALSE)</f>
        <v>400036184</v>
      </c>
    </row>
    <row r="97" spans="1:21" s="159" customFormat="1" ht="60" x14ac:dyDescent="0.25">
      <c r="A97" s="63">
        <f>MATCH($E97,'D1 - Master Project Table'!$B$24:$B$7056,0)</f>
        <v>688</v>
      </c>
      <c r="B97" s="63" t="b">
        <f t="shared" si="3"/>
        <v>0</v>
      </c>
      <c r="C97" s="63" t="b">
        <f t="shared" si="4"/>
        <v>1</v>
      </c>
      <c r="D97" s="63" t="str">
        <f t="shared" si="5"/>
        <v>OK</v>
      </c>
      <c r="E97" s="393">
        <v>400016845</v>
      </c>
      <c r="F97" s="392" t="s">
        <v>4940</v>
      </c>
      <c r="G97" s="392" t="s">
        <v>5324</v>
      </c>
      <c r="H97" s="392" t="s">
        <v>7418</v>
      </c>
      <c r="I97" s="392" t="s">
        <v>1756</v>
      </c>
      <c r="J97" s="392" t="s">
        <v>6905</v>
      </c>
      <c r="K97" s="392" t="s">
        <v>1506</v>
      </c>
      <c r="L97" s="392" t="s">
        <v>5942</v>
      </c>
      <c r="M97" s="392" t="s">
        <v>3758</v>
      </c>
      <c r="N97" s="392" t="s">
        <v>7273</v>
      </c>
      <c r="O97" s="392" t="s">
        <v>7273</v>
      </c>
      <c r="P97"/>
      <c r="Q97"/>
      <c r="R97" s="387">
        <f>VLOOKUP(E97,'[1]NDB Impacted SPRFs 05032013'!$A$2:$A$65536,1,FALSE)</f>
        <v>400016845</v>
      </c>
    </row>
    <row r="98" spans="1:21" ht="60" x14ac:dyDescent="0.25">
      <c r="A98" s="63">
        <f>MATCH($E98,'D1 - Master Project Table'!$B$24:$B$7056,0)</f>
        <v>157</v>
      </c>
      <c r="B98" s="63" t="b">
        <f t="shared" si="3"/>
        <v>0</v>
      </c>
      <c r="C98" s="63" t="b">
        <f t="shared" si="4"/>
        <v>0</v>
      </c>
      <c r="D98" s="63" t="str">
        <f t="shared" si="5"/>
        <v>OK</v>
      </c>
      <c r="E98" s="393">
        <v>400053451</v>
      </c>
      <c r="F98" s="392" t="s">
        <v>562</v>
      </c>
      <c r="G98" s="392" t="s">
        <v>6322</v>
      </c>
      <c r="H98" s="392" t="s">
        <v>4917</v>
      </c>
      <c r="I98" s="392" t="s">
        <v>1758</v>
      </c>
      <c r="J98" s="392" t="s">
        <v>9212</v>
      </c>
      <c r="K98" s="392" t="s">
        <v>563</v>
      </c>
      <c r="L98" s="392" t="s">
        <v>564</v>
      </c>
      <c r="M98" s="392" t="s">
        <v>7273</v>
      </c>
      <c r="N98" s="392" t="s">
        <v>7273</v>
      </c>
      <c r="O98" s="392" t="s">
        <v>3758</v>
      </c>
      <c r="P98"/>
      <c r="Q98"/>
      <c r="R98" s="387">
        <f>VLOOKUP(E98,'[1]NDB Impacted SPRFs 05032013'!$A$2:$A$65536,1,FALSE)</f>
        <v>400053451</v>
      </c>
    </row>
    <row r="99" spans="1:21" s="159" customFormat="1" ht="60" x14ac:dyDescent="0.25">
      <c r="A99" s="63">
        <f>MATCH($E99,'D1 - Master Project Table'!$B$24:$B$7056,0)</f>
        <v>281</v>
      </c>
      <c r="B99" s="63" t="b">
        <f t="shared" si="3"/>
        <v>0</v>
      </c>
      <c r="C99" s="63" t="b">
        <f t="shared" si="4"/>
        <v>1</v>
      </c>
      <c r="D99" s="63" t="str">
        <f t="shared" si="5"/>
        <v>OK</v>
      </c>
      <c r="E99" s="393">
        <v>400002320</v>
      </c>
      <c r="F99" s="392" t="s">
        <v>4514</v>
      </c>
      <c r="G99" s="392" t="s">
        <v>5787</v>
      </c>
      <c r="H99" s="392" t="s">
        <v>7418</v>
      </c>
      <c r="I99" s="392" t="s">
        <v>1782</v>
      </c>
      <c r="J99" s="392" t="s">
        <v>5025</v>
      </c>
      <c r="K99" s="392" t="s">
        <v>3353</v>
      </c>
      <c r="L99" s="392" t="s">
        <v>3984</v>
      </c>
      <c r="M99" s="392" t="s">
        <v>3758</v>
      </c>
      <c r="N99" s="392" t="s">
        <v>7273</v>
      </c>
      <c r="O99" s="392" t="s">
        <v>7273</v>
      </c>
      <c r="P99" s="158"/>
      <c r="Q99" s="128"/>
      <c r="R99" s="387">
        <f>VLOOKUP(E99,'[1]NDB Impacted SPRFs 05032013'!$A$2:$A$65536,1,FALSE)</f>
        <v>400002320</v>
      </c>
      <c r="S99" s="128"/>
      <c r="T99" s="128"/>
      <c r="U99" s="128"/>
    </row>
    <row r="100" spans="1:21" s="159" customFormat="1" ht="60" x14ac:dyDescent="0.25">
      <c r="A100" s="63">
        <f>MATCH($E100,'D1 - Master Project Table'!$B$24:$B$7056,0)</f>
        <v>1842</v>
      </c>
      <c r="B100" s="63" t="b">
        <f t="shared" si="3"/>
        <v>0</v>
      </c>
      <c r="C100" s="63" t="b">
        <f t="shared" si="4"/>
        <v>1</v>
      </c>
      <c r="D100" s="63" t="str">
        <f t="shared" si="5"/>
        <v>OK</v>
      </c>
      <c r="E100" s="393">
        <v>400055211</v>
      </c>
      <c r="F100" s="392" t="s">
        <v>6664</v>
      </c>
      <c r="G100" s="392" t="s">
        <v>3530</v>
      </c>
      <c r="H100" s="392" t="s">
        <v>7418</v>
      </c>
      <c r="I100" s="392" t="s">
        <v>3530</v>
      </c>
      <c r="J100" s="392" t="s">
        <v>8836</v>
      </c>
      <c r="K100" s="392" t="s">
        <v>6665</v>
      </c>
      <c r="L100" s="392" t="s">
        <v>7501</v>
      </c>
      <c r="M100" s="392" t="s">
        <v>7273</v>
      </c>
      <c r="N100" s="392" t="s">
        <v>7273</v>
      </c>
      <c r="O100" s="392" t="s">
        <v>7273</v>
      </c>
      <c r="P100"/>
      <c r="Q100"/>
      <c r="R100" s="387">
        <f>VLOOKUP(E100,'[1]NDB Impacted SPRFs 05032013'!$A$2:$A$65536,1,FALSE)</f>
        <v>400055211</v>
      </c>
      <c r="S100" s="128"/>
      <c r="T100" s="128"/>
      <c r="U100" s="128"/>
    </row>
    <row r="101" spans="1:21" s="159" customFormat="1" ht="60" x14ac:dyDescent="0.25">
      <c r="A101" s="63">
        <f>MATCH($E101,'D1 - Master Project Table'!$B$24:$B$7056,0)</f>
        <v>25</v>
      </c>
      <c r="B101" s="63" t="b">
        <f t="shared" si="3"/>
        <v>0</v>
      </c>
      <c r="C101" s="63" t="b">
        <f t="shared" si="4"/>
        <v>0</v>
      </c>
      <c r="D101" s="63" t="str">
        <f t="shared" si="5"/>
        <v>OK</v>
      </c>
      <c r="E101" s="393">
        <v>400039622</v>
      </c>
      <c r="F101" s="392" t="s">
        <v>5485</v>
      </c>
      <c r="G101" s="392" t="s">
        <v>5324</v>
      </c>
      <c r="H101" s="392" t="s">
        <v>4917</v>
      </c>
      <c r="I101" s="392" t="s">
        <v>1759</v>
      </c>
      <c r="J101" s="392" t="s">
        <v>7476</v>
      </c>
      <c r="K101" s="392" t="s">
        <v>5486</v>
      </c>
      <c r="L101" s="392" t="s">
        <v>9067</v>
      </c>
      <c r="M101" s="392" t="s">
        <v>3758</v>
      </c>
      <c r="N101" s="392" t="s">
        <v>7273</v>
      </c>
      <c r="O101" s="392" t="s">
        <v>3758</v>
      </c>
      <c r="P101"/>
      <c r="Q101"/>
      <c r="R101" s="387">
        <f>VLOOKUP(E101,'[1]NDB Impacted SPRFs 05032013'!$A$2:$A$65536,1,FALSE)</f>
        <v>400039622</v>
      </c>
    </row>
    <row r="102" spans="1:21" s="159" customFormat="1" ht="60" x14ac:dyDescent="0.25">
      <c r="A102" s="63">
        <f>MATCH($E102,'D1 - Master Project Table'!$B$24:$B$7056,0)</f>
        <v>438</v>
      </c>
      <c r="B102" s="63" t="b">
        <f t="shared" si="3"/>
        <v>0</v>
      </c>
      <c r="C102" s="63" t="b">
        <f t="shared" si="4"/>
        <v>1</v>
      </c>
      <c r="D102" s="63" t="str">
        <f t="shared" si="5"/>
        <v>OK</v>
      </c>
      <c r="E102" s="393">
        <v>400008339</v>
      </c>
      <c r="F102" s="392" t="s">
        <v>4568</v>
      </c>
      <c r="G102" s="392" t="s">
        <v>3441</v>
      </c>
      <c r="H102" s="392" t="s">
        <v>7418</v>
      </c>
      <c r="I102" s="392" t="s">
        <v>4168</v>
      </c>
      <c r="J102" s="392" t="s">
        <v>6348</v>
      </c>
      <c r="K102" s="392" t="s">
        <v>1506</v>
      </c>
      <c r="L102" s="392" t="s">
        <v>4363</v>
      </c>
      <c r="M102" s="392" t="s">
        <v>3758</v>
      </c>
      <c r="N102" s="392" t="s">
        <v>7273</v>
      </c>
      <c r="O102" s="392" t="s">
        <v>7273</v>
      </c>
      <c r="P102"/>
      <c r="Q102"/>
      <c r="R102" s="387">
        <f>VLOOKUP(E102,'[1]NDB Impacted SPRFs 05032013'!$A$2:$A$65536,1,FALSE)</f>
        <v>400008339</v>
      </c>
    </row>
    <row r="103" spans="1:21" s="159" customFormat="1" ht="60" x14ac:dyDescent="0.25">
      <c r="A103" s="63">
        <f>MATCH($E103,'D1 - Master Project Table'!$B$24:$B$7056,0)</f>
        <v>622</v>
      </c>
      <c r="B103" s="63" t="b">
        <f t="shared" si="3"/>
        <v>0</v>
      </c>
      <c r="C103" s="63" t="b">
        <f t="shared" si="4"/>
        <v>1</v>
      </c>
      <c r="D103" s="63" t="str">
        <f t="shared" si="5"/>
        <v>OK</v>
      </c>
      <c r="E103" s="393">
        <v>400013458</v>
      </c>
      <c r="F103" s="392" t="s">
        <v>2581</v>
      </c>
      <c r="G103" s="392" t="s">
        <v>3441</v>
      </c>
      <c r="H103" s="392" t="s">
        <v>7418</v>
      </c>
      <c r="I103" s="392" t="s">
        <v>2662</v>
      </c>
      <c r="J103" s="392" t="s">
        <v>6285</v>
      </c>
      <c r="K103" s="392" t="s">
        <v>7932</v>
      </c>
      <c r="L103" s="392" t="s">
        <v>4888</v>
      </c>
      <c r="M103" s="392" t="s">
        <v>3758</v>
      </c>
      <c r="N103" s="392" t="s">
        <v>7273</v>
      </c>
      <c r="O103" s="392" t="s">
        <v>7273</v>
      </c>
      <c r="P103"/>
      <c r="Q103"/>
      <c r="R103" s="387">
        <f>VLOOKUP(E103,'[1]NDB Impacted SPRFs 05032013'!$A$2:$A$65536,1,FALSE)</f>
        <v>400013458</v>
      </c>
      <c r="S103" s="128"/>
      <c r="T103" s="128"/>
      <c r="U103" s="128"/>
    </row>
    <row r="104" spans="1:21" s="159" customFormat="1" ht="60" x14ac:dyDescent="0.25">
      <c r="A104" s="63">
        <f>MATCH($E104,'D1 - Master Project Table'!$B$24:$B$7056,0)</f>
        <v>3140</v>
      </c>
      <c r="B104" s="63" t="b">
        <f t="shared" si="3"/>
        <v>0</v>
      </c>
      <c r="C104" s="63" t="b">
        <f t="shared" si="4"/>
        <v>1</v>
      </c>
      <c r="D104" s="63" t="str">
        <f t="shared" si="5"/>
        <v>OK</v>
      </c>
      <c r="E104" s="393">
        <v>400056183</v>
      </c>
      <c r="F104" s="392" t="s">
        <v>570</v>
      </c>
      <c r="G104" s="392" t="s">
        <v>6322</v>
      </c>
      <c r="H104" s="392" t="s">
        <v>5314</v>
      </c>
      <c r="I104" s="392" t="s">
        <v>1758</v>
      </c>
      <c r="J104" s="392" t="s">
        <v>571</v>
      </c>
      <c r="K104" s="392" t="s">
        <v>572</v>
      </c>
      <c r="L104" s="392" t="s">
        <v>1267</v>
      </c>
      <c r="M104" s="392" t="s">
        <v>7273</v>
      </c>
      <c r="N104" s="392" t="s">
        <v>7273</v>
      </c>
      <c r="O104" s="392" t="s">
        <v>3758</v>
      </c>
      <c r="P104"/>
      <c r="Q104"/>
      <c r="R104" s="387">
        <f>VLOOKUP(E104,'[1]NDB Impacted SPRFs 05032013'!$A$2:$A$65536,1,FALSE)</f>
        <v>400056183</v>
      </c>
    </row>
    <row r="105" spans="1:21" s="159" customFormat="1" ht="60" x14ac:dyDescent="0.25">
      <c r="A105" s="63">
        <f>MATCH($E105,'D1 - Master Project Table'!$B$24:$B$7056,0)</f>
        <v>266</v>
      </c>
      <c r="B105" s="63" t="b">
        <f t="shared" si="3"/>
        <v>0</v>
      </c>
      <c r="C105" s="63" t="b">
        <f t="shared" si="4"/>
        <v>0</v>
      </c>
      <c r="D105" s="63" t="str">
        <f t="shared" si="5"/>
        <v>OK</v>
      </c>
      <c r="E105" s="393">
        <v>400059234</v>
      </c>
      <c r="F105" s="392" t="s">
        <v>9289</v>
      </c>
      <c r="G105" s="392" t="s">
        <v>5324</v>
      </c>
      <c r="H105" s="392" t="s">
        <v>8012</v>
      </c>
      <c r="I105" s="392" t="s">
        <v>1762</v>
      </c>
      <c r="J105" s="392" t="s">
        <v>1006</v>
      </c>
      <c r="K105" s="392" t="s">
        <v>9290</v>
      </c>
      <c r="L105" s="392" t="s">
        <v>9476</v>
      </c>
      <c r="M105" s="392" t="s">
        <v>3758</v>
      </c>
      <c r="N105" s="392" t="s">
        <v>7273</v>
      </c>
      <c r="O105" s="392" t="s">
        <v>7273</v>
      </c>
      <c r="P105"/>
      <c r="Q105"/>
      <c r="R105" s="387">
        <f>VLOOKUP(E105,'[1]NDB Impacted SPRFs 05032013'!$A$2:$A$65536,1,FALSE)</f>
        <v>400059234</v>
      </c>
      <c r="S105" s="128"/>
      <c r="T105" s="128"/>
      <c r="U105" s="128"/>
    </row>
    <row r="106" spans="1:21" s="159" customFormat="1" ht="60" x14ac:dyDescent="0.25">
      <c r="A106" s="63">
        <f>MATCH($E106,'D1 - Master Project Table'!$B$24:$B$7056,0)</f>
        <v>285</v>
      </c>
      <c r="B106" s="63" t="b">
        <f t="shared" si="3"/>
        <v>0</v>
      </c>
      <c r="C106" s="63" t="b">
        <f t="shared" si="4"/>
        <v>1</v>
      </c>
      <c r="D106" s="63" t="str">
        <f t="shared" si="5"/>
        <v>OK</v>
      </c>
      <c r="E106" s="393">
        <v>400004549</v>
      </c>
      <c r="F106" s="392" t="s">
        <v>2990</v>
      </c>
      <c r="G106" s="392" t="s">
        <v>7182</v>
      </c>
      <c r="H106" s="392" t="s">
        <v>7418</v>
      </c>
      <c r="I106" s="392" t="s">
        <v>4168</v>
      </c>
      <c r="J106" s="392" t="s">
        <v>5621</v>
      </c>
      <c r="K106" s="392" t="s">
        <v>5541</v>
      </c>
      <c r="L106" s="392" t="s">
        <v>2130</v>
      </c>
      <c r="M106" s="392" t="s">
        <v>3758</v>
      </c>
      <c r="N106" s="392" t="s">
        <v>7273</v>
      </c>
      <c r="O106" s="392" t="s">
        <v>7273</v>
      </c>
      <c r="P106"/>
      <c r="Q106"/>
      <c r="R106" s="387">
        <f>VLOOKUP(E106,'[1]NDB Impacted SPRFs 05032013'!$A$2:$A$65536,1,FALSE)</f>
        <v>400004549</v>
      </c>
    </row>
    <row r="107" spans="1:21" s="159" customFormat="1" ht="60" x14ac:dyDescent="0.25">
      <c r="A107" s="63">
        <f>MATCH($E107,'D1 - Master Project Table'!$B$24:$B$7056,0)</f>
        <v>21</v>
      </c>
      <c r="B107" s="63" t="b">
        <f t="shared" si="3"/>
        <v>0</v>
      </c>
      <c r="C107" s="63" t="b">
        <f t="shared" si="4"/>
        <v>0</v>
      </c>
      <c r="D107" s="63" t="str">
        <f t="shared" si="5"/>
        <v>OK</v>
      </c>
      <c r="E107" s="393">
        <v>400054686</v>
      </c>
      <c r="F107" s="392" t="s">
        <v>566</v>
      </c>
      <c r="G107" s="392" t="s">
        <v>6322</v>
      </c>
      <c r="H107" s="392" t="s">
        <v>4917</v>
      </c>
      <c r="I107" s="392" t="s">
        <v>1758</v>
      </c>
      <c r="J107" s="392" t="s">
        <v>567</v>
      </c>
      <c r="K107" s="392" t="s">
        <v>568</v>
      </c>
      <c r="L107" s="392" t="s">
        <v>569</v>
      </c>
      <c r="M107" s="392" t="s">
        <v>7273</v>
      </c>
      <c r="N107" s="392" t="s">
        <v>7273</v>
      </c>
      <c r="O107" s="392" t="s">
        <v>3758</v>
      </c>
      <c r="P107"/>
      <c r="Q107"/>
      <c r="R107" s="387">
        <f>VLOOKUP(E107,'[1]NDB Impacted SPRFs 05032013'!$A$2:$A$65536,1,FALSE)</f>
        <v>400054686</v>
      </c>
    </row>
    <row r="108" spans="1:21" s="159" customFormat="1" ht="60" x14ac:dyDescent="0.25">
      <c r="A108" s="63">
        <f>MATCH($E108,'D1 - Master Project Table'!$B$24:$B$7056,0)</f>
        <v>2330</v>
      </c>
      <c r="B108" s="63" t="b">
        <f t="shared" si="3"/>
        <v>0</v>
      </c>
      <c r="C108" s="63" t="b">
        <f t="shared" si="4"/>
        <v>1</v>
      </c>
      <c r="D108" s="63" t="str">
        <f t="shared" si="5"/>
        <v>OK</v>
      </c>
      <c r="E108" s="393">
        <v>400052357</v>
      </c>
      <c r="F108" s="392" t="s">
        <v>3047</v>
      </c>
      <c r="G108" s="392" t="s">
        <v>6322</v>
      </c>
      <c r="H108" s="392" t="s">
        <v>5314</v>
      </c>
      <c r="I108" s="392" t="s">
        <v>1758</v>
      </c>
      <c r="J108" s="392" t="s">
        <v>3048</v>
      </c>
      <c r="K108" s="392" t="s">
        <v>3049</v>
      </c>
      <c r="L108" s="392" t="s">
        <v>561</v>
      </c>
      <c r="M108" s="392" t="s">
        <v>7273</v>
      </c>
      <c r="N108" s="392" t="s">
        <v>7273</v>
      </c>
      <c r="O108" s="392" t="s">
        <v>3758</v>
      </c>
      <c r="P108"/>
      <c r="Q108"/>
      <c r="R108" s="387">
        <f>VLOOKUP(E108,'[1]NDB Impacted SPRFs 05032013'!$A$2:$A$65536,1,FALSE)</f>
        <v>400052357</v>
      </c>
    </row>
    <row r="109" spans="1:21" s="159" customFormat="1" ht="60" x14ac:dyDescent="0.25">
      <c r="A109" s="63">
        <f>MATCH($E109,'D1 - Master Project Table'!$B$24:$B$7056,0)</f>
        <v>1540</v>
      </c>
      <c r="B109" s="63" t="b">
        <f t="shared" si="3"/>
        <v>0</v>
      </c>
      <c r="C109" s="63" t="b">
        <f t="shared" si="4"/>
        <v>1</v>
      </c>
      <c r="D109" s="63" t="str">
        <f t="shared" si="5"/>
        <v>OK</v>
      </c>
      <c r="E109" s="393">
        <v>400036284</v>
      </c>
      <c r="F109" s="392" t="s">
        <v>8127</v>
      </c>
      <c r="G109" s="392" t="s">
        <v>7182</v>
      </c>
      <c r="H109" s="392" t="s">
        <v>7418</v>
      </c>
      <c r="I109" s="392" t="s">
        <v>7745</v>
      </c>
      <c r="J109" s="392" t="s">
        <v>3637</v>
      </c>
      <c r="K109" s="392" t="s">
        <v>3638</v>
      </c>
      <c r="L109" s="392" t="s">
        <v>8868</v>
      </c>
      <c r="M109" s="392" t="s">
        <v>3758</v>
      </c>
      <c r="N109" s="392" t="s">
        <v>7273</v>
      </c>
      <c r="O109" s="392" t="s">
        <v>7273</v>
      </c>
      <c r="P109"/>
      <c r="Q109"/>
      <c r="R109" s="387">
        <f>VLOOKUP(E109,'[1]NDB Impacted SPRFs 05032013'!$A$2:$A$65536,1,FALSE)</f>
        <v>400036284</v>
      </c>
      <c r="S109" s="128"/>
      <c r="T109" s="128"/>
      <c r="U109" s="128"/>
    </row>
    <row r="110" spans="1:21" s="159" customFormat="1" ht="60" x14ac:dyDescent="0.25">
      <c r="A110" s="63">
        <f>MATCH($E110,'D1 - Master Project Table'!$B$24:$B$7056,0)</f>
        <v>115</v>
      </c>
      <c r="B110" s="63" t="b">
        <f t="shared" si="3"/>
        <v>0</v>
      </c>
      <c r="C110" s="63" t="b">
        <f t="shared" si="4"/>
        <v>0</v>
      </c>
      <c r="D110" s="63" t="str">
        <f t="shared" si="5"/>
        <v>OK</v>
      </c>
      <c r="E110" s="393">
        <v>400051510</v>
      </c>
      <c r="F110" s="392" t="s">
        <v>313</v>
      </c>
      <c r="G110" s="392" t="s">
        <v>5325</v>
      </c>
      <c r="H110" s="392" t="s">
        <v>4917</v>
      </c>
      <c r="I110" s="392" t="s">
        <v>1756</v>
      </c>
      <c r="J110" s="392" t="s">
        <v>2160</v>
      </c>
      <c r="K110" s="392" t="s">
        <v>2161</v>
      </c>
      <c r="L110" s="392" t="s">
        <v>8991</v>
      </c>
      <c r="M110" s="392" t="s">
        <v>7273</v>
      </c>
      <c r="N110" s="392" t="s">
        <v>7273</v>
      </c>
      <c r="O110" s="392" t="s">
        <v>7273</v>
      </c>
      <c r="P110"/>
      <c r="Q110"/>
      <c r="R110" s="387">
        <f>VLOOKUP(E110,'[1]NDB Impacted SPRFs 05032013'!$A$2:$A$65536,1,FALSE)</f>
        <v>400051510</v>
      </c>
    </row>
    <row r="111" spans="1:21" s="159" customFormat="1" ht="60" x14ac:dyDescent="0.25">
      <c r="A111" s="63">
        <f>MATCH($E111,'D1 - Master Project Table'!$B$24:$B$7056,0)</f>
        <v>196</v>
      </c>
      <c r="B111" s="63" t="b">
        <f t="shared" si="3"/>
        <v>0</v>
      </c>
      <c r="C111" s="63" t="b">
        <f t="shared" si="4"/>
        <v>0</v>
      </c>
      <c r="D111" s="63" t="str">
        <f t="shared" si="5"/>
        <v>OK</v>
      </c>
      <c r="E111" s="393">
        <v>400040360</v>
      </c>
      <c r="F111" s="392" t="s">
        <v>1349</v>
      </c>
      <c r="G111" s="392" t="s">
        <v>5324</v>
      </c>
      <c r="H111" s="392" t="s">
        <v>4917</v>
      </c>
      <c r="I111" s="392" t="s">
        <v>1759</v>
      </c>
      <c r="J111" s="392" t="s">
        <v>7476</v>
      </c>
      <c r="K111" s="392" t="s">
        <v>5486</v>
      </c>
      <c r="L111" s="392" t="s">
        <v>1844</v>
      </c>
      <c r="M111" s="392" t="s">
        <v>3758</v>
      </c>
      <c r="N111" s="392" t="s">
        <v>7273</v>
      </c>
      <c r="O111" s="392" t="s">
        <v>3758</v>
      </c>
      <c r="P111"/>
      <c r="Q111"/>
      <c r="R111" s="387">
        <f>VLOOKUP(E111,'[1]NDB Impacted SPRFs 05032013'!$A$2:$A$65536,1,FALSE)</f>
        <v>400040360</v>
      </c>
    </row>
    <row r="112" spans="1:21" s="159" customFormat="1" ht="60" x14ac:dyDescent="0.25">
      <c r="A112" s="63">
        <f>MATCH($E112,'D1 - Master Project Table'!$B$24:$B$7056,0)</f>
        <v>346</v>
      </c>
      <c r="B112" s="63" t="b">
        <f t="shared" si="3"/>
        <v>0</v>
      </c>
      <c r="C112" s="63" t="b">
        <f t="shared" si="4"/>
        <v>1</v>
      </c>
      <c r="D112" s="63" t="str">
        <f t="shared" si="5"/>
        <v>OK</v>
      </c>
      <c r="E112" s="393">
        <v>400005906</v>
      </c>
      <c r="F112" s="392" t="s">
        <v>7339</v>
      </c>
      <c r="G112" s="392" t="s">
        <v>3441</v>
      </c>
      <c r="H112" s="392" t="s">
        <v>7418</v>
      </c>
      <c r="I112" s="392" t="s">
        <v>4168</v>
      </c>
      <c r="J112" s="392" t="s">
        <v>6348</v>
      </c>
      <c r="K112" s="392" t="s">
        <v>5684</v>
      </c>
      <c r="L112" s="392" t="s">
        <v>4756</v>
      </c>
      <c r="M112" s="392" t="s">
        <v>3758</v>
      </c>
      <c r="N112" s="392" t="s">
        <v>7273</v>
      </c>
      <c r="O112" s="392" t="s">
        <v>7273</v>
      </c>
      <c r="P112"/>
      <c r="Q112"/>
      <c r="R112" s="387">
        <f>VLOOKUP(E112,'[1]NDB Impacted SPRFs 05032013'!$A$2:$A$65536,1,FALSE)</f>
        <v>400005906</v>
      </c>
    </row>
    <row r="113" spans="1:21" s="159" customFormat="1" ht="60" x14ac:dyDescent="0.25">
      <c r="A113" s="63">
        <f>MATCH($E113,'D1 - Master Project Table'!$B$24:$B$7056,0)</f>
        <v>1436</v>
      </c>
      <c r="B113" s="63" t="b">
        <f t="shared" si="3"/>
        <v>0</v>
      </c>
      <c r="C113" s="63" t="b">
        <f t="shared" si="4"/>
        <v>1</v>
      </c>
      <c r="D113" s="63" t="str">
        <f t="shared" si="5"/>
        <v>OK</v>
      </c>
      <c r="E113" s="393">
        <v>400034709</v>
      </c>
      <c r="F113" s="392" t="s">
        <v>3753</v>
      </c>
      <c r="G113" s="392" t="s">
        <v>5324</v>
      </c>
      <c r="H113" s="392" t="s">
        <v>7418</v>
      </c>
      <c r="I113" s="392" t="s">
        <v>1758</v>
      </c>
      <c r="J113" s="392" t="s">
        <v>2273</v>
      </c>
      <c r="K113" s="392" t="s">
        <v>6444</v>
      </c>
      <c r="L113" s="392" t="s">
        <v>808</v>
      </c>
      <c r="M113" s="392" t="s">
        <v>3758</v>
      </c>
      <c r="N113" s="392" t="s">
        <v>7273</v>
      </c>
      <c r="O113" s="392" t="s">
        <v>7273</v>
      </c>
      <c r="P113" s="212"/>
      <c r="Q113"/>
      <c r="R113" s="387">
        <f>VLOOKUP(E113,'[1]NDB Impacted SPRFs 05032013'!$A$2:$A$65536,1,FALSE)</f>
        <v>400034709</v>
      </c>
    </row>
    <row r="114" spans="1:21" s="159" customFormat="1" ht="60" x14ac:dyDescent="0.25">
      <c r="A114" s="63">
        <f>MATCH($E114,'D1 - Master Project Table'!$B$24:$B$7056,0)</f>
        <v>1645</v>
      </c>
      <c r="B114" s="63" t="b">
        <f t="shared" si="3"/>
        <v>0</v>
      </c>
      <c r="C114" s="63" t="b">
        <f t="shared" si="4"/>
        <v>1</v>
      </c>
      <c r="D114" s="63" t="str">
        <f t="shared" si="5"/>
        <v>OK</v>
      </c>
      <c r="E114" s="393">
        <v>400044331</v>
      </c>
      <c r="F114" s="392" t="s">
        <v>1873</v>
      </c>
      <c r="G114" s="392" t="s">
        <v>5325</v>
      </c>
      <c r="H114" s="392" t="s">
        <v>5314</v>
      </c>
      <c r="I114" s="392" t="s">
        <v>1756</v>
      </c>
      <c r="J114" s="392" t="s">
        <v>3704</v>
      </c>
      <c r="K114" s="392" t="s">
        <v>1874</v>
      </c>
      <c r="L114" s="392" t="s">
        <v>8869</v>
      </c>
      <c r="M114" s="392" t="s">
        <v>7273</v>
      </c>
      <c r="N114" s="392" t="s">
        <v>7273</v>
      </c>
      <c r="O114" s="392" t="s">
        <v>7273</v>
      </c>
      <c r="P114"/>
      <c r="Q114"/>
      <c r="R114" s="387">
        <f>VLOOKUP(E114,'[1]NDB Impacted SPRFs 05032013'!$A$2:$A$65536,1,FALSE)</f>
        <v>400044331</v>
      </c>
      <c r="S114" s="128"/>
      <c r="T114" s="128"/>
      <c r="U114" s="128"/>
    </row>
    <row r="115" spans="1:21" s="159" customFormat="1" ht="60" x14ac:dyDescent="0.25">
      <c r="A115" s="63">
        <f>MATCH($E115,'D1 - Master Project Table'!$B$24:$B$7056,0)</f>
        <v>190</v>
      </c>
      <c r="B115" s="63" t="b">
        <f t="shared" si="3"/>
        <v>0</v>
      </c>
      <c r="C115" s="63" t="b">
        <f t="shared" si="4"/>
        <v>1</v>
      </c>
      <c r="D115" s="63" t="str">
        <f t="shared" si="5"/>
        <v>OK</v>
      </c>
      <c r="E115" s="393">
        <v>400033231</v>
      </c>
      <c r="F115" s="392" t="s">
        <v>3385</v>
      </c>
      <c r="G115" s="392" t="s">
        <v>5324</v>
      </c>
      <c r="H115" s="392" t="s">
        <v>7418</v>
      </c>
      <c r="I115" s="392" t="s">
        <v>1595</v>
      </c>
      <c r="J115" s="392" t="s">
        <v>6865</v>
      </c>
      <c r="K115" s="392" t="s">
        <v>8075</v>
      </c>
      <c r="L115" s="392" t="s">
        <v>7542</v>
      </c>
      <c r="M115" s="392" t="s">
        <v>3758</v>
      </c>
      <c r="N115" s="392" t="s">
        <v>7273</v>
      </c>
      <c r="O115" s="392" t="s">
        <v>3758</v>
      </c>
      <c r="P115"/>
      <c r="Q115"/>
      <c r="R115" s="387">
        <f>VLOOKUP(E115,'[1]NDB Impacted SPRFs 05032013'!$A$2:$A$65536,1,FALSE)</f>
        <v>400033231</v>
      </c>
    </row>
    <row r="116" spans="1:21" s="159" customFormat="1" ht="60" x14ac:dyDescent="0.25">
      <c r="A116" s="63">
        <f>MATCH($E116,'D1 - Master Project Table'!$B$24:$B$7056,0)</f>
        <v>148</v>
      </c>
      <c r="B116" s="63" t="b">
        <f t="shared" si="3"/>
        <v>0</v>
      </c>
      <c r="C116" s="63" t="b">
        <f t="shared" si="4"/>
        <v>0</v>
      </c>
      <c r="D116" s="63" t="str">
        <f t="shared" si="5"/>
        <v>OK</v>
      </c>
      <c r="E116" s="393">
        <v>400057743</v>
      </c>
      <c r="F116" s="392" t="s">
        <v>8892</v>
      </c>
      <c r="G116" s="392" t="s">
        <v>5325</v>
      </c>
      <c r="H116" s="392" t="s">
        <v>7479</v>
      </c>
      <c r="I116" s="392" t="s">
        <v>1757</v>
      </c>
      <c r="J116" s="392" t="s">
        <v>2859</v>
      </c>
      <c r="K116" s="392" t="s">
        <v>8893</v>
      </c>
      <c r="L116" s="392" t="s">
        <v>9306</v>
      </c>
      <c r="M116" s="392" t="s">
        <v>7273</v>
      </c>
      <c r="N116" s="392" t="s">
        <v>7273</v>
      </c>
      <c r="O116" s="392" t="s">
        <v>7273</v>
      </c>
      <c r="P116"/>
      <c r="Q116"/>
      <c r="R116" s="387">
        <f>VLOOKUP(E116,'[1]NDB Impacted SPRFs 05032013'!$A$2:$A$65536,1,FALSE)</f>
        <v>400057743</v>
      </c>
    </row>
    <row r="117" spans="1:21" s="159" customFormat="1" ht="60" x14ac:dyDescent="0.25">
      <c r="A117" s="63" t="e">
        <f>MATCH($E117,'D1 - Master Project Table'!$B$24:$B$7056,0)</f>
        <v>#N/A</v>
      </c>
      <c r="B117" s="63" t="b">
        <f t="shared" si="3"/>
        <v>1</v>
      </c>
      <c r="C117" s="63" t="b">
        <f t="shared" si="4"/>
        <v>1</v>
      </c>
      <c r="D117" s="63" t="str">
        <f t="shared" si="5"/>
        <v>OK</v>
      </c>
      <c r="E117" s="393">
        <v>400004368</v>
      </c>
      <c r="F117" s="392" t="s">
        <v>1949</v>
      </c>
      <c r="G117" s="392" t="s">
        <v>7182</v>
      </c>
      <c r="H117" s="392" t="s">
        <v>7418</v>
      </c>
      <c r="I117" s="392" t="s">
        <v>7022</v>
      </c>
      <c r="J117" s="392" t="s">
        <v>4630</v>
      </c>
      <c r="K117" s="392" t="s">
        <v>4073</v>
      </c>
      <c r="L117" s="392" t="s">
        <v>2131</v>
      </c>
      <c r="M117" s="392" t="s">
        <v>3758</v>
      </c>
      <c r="N117" s="392" t="s">
        <v>7273</v>
      </c>
      <c r="O117" s="392" t="s">
        <v>7273</v>
      </c>
      <c r="P117"/>
      <c r="Q117"/>
      <c r="R117" s="387">
        <f>VLOOKUP(E117,'[1]NDB Impacted SPRFs 05032013'!$A$2:$A$65536,1,FALSE)</f>
        <v>400004368</v>
      </c>
    </row>
    <row r="118" spans="1:21" s="159" customFormat="1" ht="60" x14ac:dyDescent="0.25">
      <c r="A118" s="63">
        <f>MATCH($E118,'D1 - Master Project Table'!$B$24:$B$7056,0)</f>
        <v>1706</v>
      </c>
      <c r="B118" s="63" t="b">
        <f t="shared" si="3"/>
        <v>0</v>
      </c>
      <c r="C118" s="63" t="b">
        <f t="shared" si="4"/>
        <v>1</v>
      </c>
      <c r="D118" s="63" t="str">
        <f t="shared" si="5"/>
        <v>OK</v>
      </c>
      <c r="E118" s="393">
        <v>400051518</v>
      </c>
      <c r="F118" s="392" t="s">
        <v>2153</v>
      </c>
      <c r="G118" s="392" t="s">
        <v>5324</v>
      </c>
      <c r="H118" s="392" t="s">
        <v>7418</v>
      </c>
      <c r="I118" s="392" t="s">
        <v>1786</v>
      </c>
      <c r="J118" s="392" t="s">
        <v>2154</v>
      </c>
      <c r="K118" s="392" t="s">
        <v>3307</v>
      </c>
      <c r="L118" s="392" t="s">
        <v>1743</v>
      </c>
      <c r="M118" s="392" t="s">
        <v>3758</v>
      </c>
      <c r="N118" s="392" t="s">
        <v>7273</v>
      </c>
      <c r="O118" s="392" t="s">
        <v>7273</v>
      </c>
      <c r="P118"/>
      <c r="Q118"/>
      <c r="R118" s="387">
        <f>VLOOKUP(E118,'[1]NDB Impacted SPRFs 05032013'!$A$2:$A$65536,1,FALSE)</f>
        <v>400051518</v>
      </c>
    </row>
    <row r="119" spans="1:21" s="159" customFormat="1" ht="60" x14ac:dyDescent="0.25">
      <c r="A119" s="63">
        <f>MATCH($E119,'D1 - Master Project Table'!$B$24:$B$7056,0)</f>
        <v>546</v>
      </c>
      <c r="B119" s="63" t="b">
        <f t="shared" si="3"/>
        <v>0</v>
      </c>
      <c r="C119" s="63" t="b">
        <f t="shared" si="4"/>
        <v>1</v>
      </c>
      <c r="D119" s="63" t="str">
        <f t="shared" si="5"/>
        <v>OK</v>
      </c>
      <c r="E119" s="393">
        <v>400008017</v>
      </c>
      <c r="F119" s="392" t="s">
        <v>6891</v>
      </c>
      <c r="G119" s="392" t="s">
        <v>3441</v>
      </c>
      <c r="H119" s="392" t="s">
        <v>7418</v>
      </c>
      <c r="I119" s="392" t="s">
        <v>1770</v>
      </c>
      <c r="J119" s="392" t="s">
        <v>5087</v>
      </c>
      <c r="K119" s="392" t="s">
        <v>5541</v>
      </c>
      <c r="L119" s="392" t="s">
        <v>4362</v>
      </c>
      <c r="M119" s="392" t="s">
        <v>3758</v>
      </c>
      <c r="N119" s="392" t="s">
        <v>7273</v>
      </c>
      <c r="O119" s="392" t="s">
        <v>7273</v>
      </c>
      <c r="P119"/>
      <c r="Q119"/>
      <c r="R119" s="387">
        <f>VLOOKUP(E119,'[1]NDB Impacted SPRFs 05032013'!$A$2:$A$65536,1,FALSE)</f>
        <v>400008017</v>
      </c>
    </row>
    <row r="120" spans="1:21" s="159" customFormat="1" ht="60" x14ac:dyDescent="0.25">
      <c r="A120" s="63">
        <f>MATCH($E120,'D1 - Master Project Table'!$B$24:$B$7056,0)</f>
        <v>676</v>
      </c>
      <c r="B120" s="63" t="b">
        <f t="shared" si="3"/>
        <v>0</v>
      </c>
      <c r="C120" s="63" t="b">
        <f t="shared" si="4"/>
        <v>1</v>
      </c>
      <c r="D120" s="63" t="str">
        <f t="shared" si="5"/>
        <v>OK</v>
      </c>
      <c r="E120" s="393">
        <v>400013376</v>
      </c>
      <c r="F120" s="392" t="s">
        <v>4705</v>
      </c>
      <c r="G120" s="392" t="s">
        <v>5324</v>
      </c>
      <c r="H120" s="392" t="s">
        <v>7418</v>
      </c>
      <c r="I120" s="392" t="s">
        <v>1759</v>
      </c>
      <c r="J120" s="392" t="s">
        <v>1499</v>
      </c>
      <c r="K120" s="392" t="s">
        <v>7024</v>
      </c>
      <c r="L120" s="392" t="s">
        <v>3576</v>
      </c>
      <c r="M120" s="392" t="s">
        <v>3758</v>
      </c>
      <c r="N120" s="392" t="s">
        <v>7273</v>
      </c>
      <c r="O120" s="392" t="s">
        <v>3758</v>
      </c>
      <c r="P120"/>
      <c r="Q120"/>
      <c r="R120" s="387">
        <f>VLOOKUP(E120,'[1]NDB Impacted SPRFs 05032013'!$A$2:$A$65536,1,FALSE)</f>
        <v>400013376</v>
      </c>
    </row>
    <row r="121" spans="1:21" s="159" customFormat="1" ht="60" x14ac:dyDescent="0.25">
      <c r="A121" s="63" t="e">
        <f>MATCH($E121,'D1 - Master Project Table'!$B$24:$B$7056,0)</f>
        <v>#N/A</v>
      </c>
      <c r="B121" s="63" t="b">
        <f t="shared" si="3"/>
        <v>1</v>
      </c>
      <c r="C121" s="63" t="b">
        <f t="shared" si="4"/>
        <v>1</v>
      </c>
      <c r="D121" s="63" t="str">
        <f t="shared" si="5"/>
        <v>OK</v>
      </c>
      <c r="E121" s="393">
        <v>400053155</v>
      </c>
      <c r="F121" s="392" t="s">
        <v>3052</v>
      </c>
      <c r="G121" s="392" t="s">
        <v>6322</v>
      </c>
      <c r="H121" s="392" t="s">
        <v>5314</v>
      </c>
      <c r="I121" s="392" t="s">
        <v>1758</v>
      </c>
      <c r="J121" s="392" t="s">
        <v>3053</v>
      </c>
      <c r="K121" s="392" t="s">
        <v>6162</v>
      </c>
      <c r="L121" s="392" t="s">
        <v>3054</v>
      </c>
      <c r="M121" s="392" t="s">
        <v>7273</v>
      </c>
      <c r="N121" s="392" t="s">
        <v>7273</v>
      </c>
      <c r="O121" s="392" t="s">
        <v>3758</v>
      </c>
      <c r="P121"/>
      <c r="Q121"/>
      <c r="R121" s="387">
        <f>VLOOKUP(E121,'[1]NDB Impacted SPRFs 05032013'!$A$2:$A$65536,1,FALSE)</f>
        <v>400053155</v>
      </c>
      <c r="S121" s="128"/>
      <c r="T121" s="128"/>
      <c r="U121" s="128"/>
    </row>
    <row r="122" spans="1:21" s="159" customFormat="1" ht="60" x14ac:dyDescent="0.25">
      <c r="A122" s="63">
        <f>MATCH($E122,'D1 - Master Project Table'!$B$24:$B$7056,0)</f>
        <v>3113</v>
      </c>
      <c r="B122" s="63" t="b">
        <f t="shared" si="3"/>
        <v>0</v>
      </c>
      <c r="C122" s="63" t="b">
        <f t="shared" si="4"/>
        <v>1</v>
      </c>
      <c r="D122" s="63" t="str">
        <f t="shared" si="5"/>
        <v>OK</v>
      </c>
      <c r="E122" s="393">
        <v>400052076</v>
      </c>
      <c r="F122" s="392" t="s">
        <v>745</v>
      </c>
      <c r="G122" s="392" t="s">
        <v>5324</v>
      </c>
      <c r="H122" s="392" t="s">
        <v>5314</v>
      </c>
      <c r="I122" s="392" t="s">
        <v>1786</v>
      </c>
      <c r="J122" s="392" t="s">
        <v>1957</v>
      </c>
      <c r="K122" s="392" t="s">
        <v>1987</v>
      </c>
      <c r="L122" s="392" t="s">
        <v>1742</v>
      </c>
      <c r="M122" s="392" t="s">
        <v>3758</v>
      </c>
      <c r="N122" s="392" t="s">
        <v>7273</v>
      </c>
      <c r="O122" s="392" t="s">
        <v>7273</v>
      </c>
      <c r="P122"/>
      <c r="Q122"/>
      <c r="R122" s="387">
        <f>VLOOKUP(E122,'[1]NDB Impacted SPRFs 05032013'!$A$2:$A$65536,1,FALSE)</f>
        <v>400052076</v>
      </c>
      <c r="S122" s="128"/>
      <c r="T122" s="128"/>
      <c r="U122" s="128"/>
    </row>
    <row r="123" spans="1:21" s="159" customFormat="1" ht="60" x14ac:dyDescent="0.25">
      <c r="A123" s="63">
        <f>MATCH($E123,'D1 - Master Project Table'!$B$24:$B$7056,0)</f>
        <v>1665</v>
      </c>
      <c r="B123" s="63" t="b">
        <f t="shared" si="3"/>
        <v>0</v>
      </c>
      <c r="C123" s="63" t="b">
        <f t="shared" si="4"/>
        <v>1</v>
      </c>
      <c r="D123" s="63" t="str">
        <f t="shared" si="5"/>
        <v>OK</v>
      </c>
      <c r="E123" s="393">
        <v>400040568</v>
      </c>
      <c r="F123" s="392" t="s">
        <v>5391</v>
      </c>
      <c r="G123" s="392" t="s">
        <v>5324</v>
      </c>
      <c r="H123" s="392" t="s">
        <v>7418</v>
      </c>
      <c r="I123" s="392" t="s">
        <v>1763</v>
      </c>
      <c r="J123" s="392" t="s">
        <v>5392</v>
      </c>
      <c r="K123" s="392" t="s">
        <v>7224</v>
      </c>
      <c r="L123" s="392" t="s">
        <v>2675</v>
      </c>
      <c r="M123" s="392" t="s">
        <v>3758</v>
      </c>
      <c r="N123" s="392" t="s">
        <v>7273</v>
      </c>
      <c r="O123" s="392" t="s">
        <v>3758</v>
      </c>
      <c r="P123"/>
      <c r="Q123"/>
      <c r="R123" s="387">
        <f>VLOOKUP(E123,'[1]NDB Impacted SPRFs 05032013'!$A$2:$A$65536,1,FALSE)</f>
        <v>400040568</v>
      </c>
      <c r="S123" s="128"/>
      <c r="T123" s="128"/>
      <c r="U123" s="128"/>
    </row>
    <row r="124" spans="1:21" s="159" customFormat="1" ht="60" x14ac:dyDescent="0.25">
      <c r="A124" s="63">
        <f>MATCH($E124,'D1 - Master Project Table'!$B$24:$B$7056,0)</f>
        <v>2729</v>
      </c>
      <c r="B124" s="63" t="b">
        <f t="shared" si="3"/>
        <v>0</v>
      </c>
      <c r="C124" s="63" t="b">
        <f t="shared" si="4"/>
        <v>1</v>
      </c>
      <c r="D124" s="63" t="str">
        <f t="shared" si="5"/>
        <v>OK</v>
      </c>
      <c r="E124" s="393">
        <v>400019706</v>
      </c>
      <c r="F124" s="392" t="s">
        <v>5781</v>
      </c>
      <c r="G124" s="392" t="s">
        <v>6065</v>
      </c>
      <c r="H124" s="392" t="s">
        <v>5314</v>
      </c>
      <c r="I124" s="392" t="s">
        <v>2655</v>
      </c>
      <c r="J124" s="392" t="s">
        <v>4540</v>
      </c>
      <c r="K124" s="392" t="s">
        <v>5218</v>
      </c>
      <c r="L124" s="392" t="s">
        <v>3777</v>
      </c>
      <c r="M124" s="392" t="s">
        <v>3758</v>
      </c>
      <c r="N124" s="392" t="s">
        <v>7273</v>
      </c>
      <c r="O124" s="392" t="s">
        <v>7273</v>
      </c>
      <c r="P124"/>
      <c r="Q124"/>
      <c r="R124" s="387">
        <f>VLOOKUP(E124,'[1]NDB Impacted SPRFs 05032013'!$A$2:$A$65536,1,FALSE)</f>
        <v>400019706</v>
      </c>
    </row>
    <row r="125" spans="1:21" ht="60" x14ac:dyDescent="0.25">
      <c r="A125" s="63">
        <f>MATCH($E125,'D1 - Master Project Table'!$B$24:$B$7056,0)</f>
        <v>1149</v>
      </c>
      <c r="B125" s="63" t="b">
        <f t="shared" si="3"/>
        <v>0</v>
      </c>
      <c r="C125" s="63" t="b">
        <f t="shared" si="4"/>
        <v>1</v>
      </c>
      <c r="D125" s="63" t="str">
        <f t="shared" si="5"/>
        <v>OK</v>
      </c>
      <c r="E125" s="393">
        <v>400029470</v>
      </c>
      <c r="F125" s="392" t="s">
        <v>4385</v>
      </c>
      <c r="G125" s="392" t="s">
        <v>5324</v>
      </c>
      <c r="H125" s="392" t="s">
        <v>7418</v>
      </c>
      <c r="I125" s="392" t="s">
        <v>1756</v>
      </c>
      <c r="J125" s="392" t="s">
        <v>452</v>
      </c>
      <c r="K125" s="392" t="s">
        <v>1506</v>
      </c>
      <c r="L125" s="392" t="s">
        <v>4290</v>
      </c>
      <c r="M125" s="392" t="s">
        <v>3758</v>
      </c>
      <c r="N125" s="392" t="s">
        <v>7273</v>
      </c>
      <c r="O125" s="392" t="s">
        <v>7273</v>
      </c>
      <c r="P125"/>
      <c r="Q125"/>
      <c r="R125" s="387">
        <f>VLOOKUP(E125,'[1]NDB Impacted SPRFs 05032013'!$A$2:$A$65536,1,FALSE)</f>
        <v>400029470</v>
      </c>
      <c r="S125" s="159"/>
      <c r="T125" s="159"/>
      <c r="U125" s="159"/>
    </row>
    <row r="126" spans="1:21" s="159" customFormat="1" ht="60" x14ac:dyDescent="0.25">
      <c r="A126" s="63">
        <f>MATCH($E126,'D1 - Master Project Table'!$B$24:$B$7056,0)</f>
        <v>99</v>
      </c>
      <c r="B126" s="63" t="b">
        <f t="shared" si="3"/>
        <v>0</v>
      </c>
      <c r="C126" s="63" t="b">
        <f t="shared" si="4"/>
        <v>0</v>
      </c>
      <c r="D126" s="63" t="str">
        <f t="shared" si="5"/>
        <v>OK</v>
      </c>
      <c r="E126" s="393">
        <v>400046739</v>
      </c>
      <c r="F126" s="392" t="s">
        <v>1321</v>
      </c>
      <c r="G126" s="392" t="s">
        <v>6322</v>
      </c>
      <c r="H126" s="392" t="s">
        <v>4917</v>
      </c>
      <c r="I126" s="392" t="s">
        <v>1756</v>
      </c>
      <c r="J126" s="392" t="s">
        <v>1711</v>
      </c>
      <c r="K126" s="392" t="s">
        <v>4978</v>
      </c>
      <c r="L126" s="392" t="s">
        <v>8973</v>
      </c>
      <c r="M126" s="392" t="s">
        <v>7273</v>
      </c>
      <c r="N126" s="392" t="s">
        <v>7273</v>
      </c>
      <c r="O126" s="392" t="s">
        <v>3758</v>
      </c>
      <c r="P126"/>
      <c r="Q126"/>
      <c r="R126" s="387">
        <f>VLOOKUP(E126,'[1]NDB Impacted SPRFs 05032013'!$A$2:$A$65536,1,FALSE)</f>
        <v>400046739</v>
      </c>
    </row>
    <row r="127" spans="1:21" s="159" customFormat="1" ht="60" x14ac:dyDescent="0.25">
      <c r="A127" s="63">
        <f>MATCH($E127,'D1 - Master Project Table'!$B$24:$B$7056,0)</f>
        <v>3103</v>
      </c>
      <c r="B127" s="63" t="b">
        <f t="shared" si="3"/>
        <v>0</v>
      </c>
      <c r="C127" s="63" t="b">
        <f t="shared" si="4"/>
        <v>1</v>
      </c>
      <c r="D127" s="63" t="str">
        <f t="shared" si="5"/>
        <v>OK</v>
      </c>
      <c r="E127" s="393">
        <v>400051135</v>
      </c>
      <c r="F127" s="392" t="s">
        <v>887</v>
      </c>
      <c r="G127" s="392" t="s">
        <v>5324</v>
      </c>
      <c r="H127" s="392" t="s">
        <v>5314</v>
      </c>
      <c r="I127" s="392" t="s">
        <v>1758</v>
      </c>
      <c r="J127" s="392" t="s">
        <v>888</v>
      </c>
      <c r="K127" s="392" t="s">
        <v>1576</v>
      </c>
      <c r="L127" s="392" t="s">
        <v>3148</v>
      </c>
      <c r="M127" s="392" t="s">
        <v>3758</v>
      </c>
      <c r="N127" s="392" t="s">
        <v>7273</v>
      </c>
      <c r="O127" s="392" t="s">
        <v>7273</v>
      </c>
      <c r="P127"/>
      <c r="Q127"/>
      <c r="R127" s="387">
        <f>VLOOKUP(E127,'[1]NDB Impacted SPRFs 05032013'!$A$2:$A$65536,1,FALSE)</f>
        <v>400051135</v>
      </c>
      <c r="S127" s="128"/>
      <c r="T127" s="128"/>
      <c r="U127" s="128"/>
    </row>
    <row r="128" spans="1:21" ht="60" x14ac:dyDescent="0.25">
      <c r="A128" s="63">
        <f>MATCH($E128,'D1 - Master Project Table'!$B$24:$B$7056,0)</f>
        <v>151</v>
      </c>
      <c r="B128" s="63" t="b">
        <f t="shared" si="3"/>
        <v>0</v>
      </c>
      <c r="C128" s="63" t="b">
        <f t="shared" si="4"/>
        <v>0</v>
      </c>
      <c r="D128" s="63" t="str">
        <f t="shared" si="5"/>
        <v>OK</v>
      </c>
      <c r="E128" s="393">
        <v>400047877</v>
      </c>
      <c r="F128" s="392" t="s">
        <v>1713</v>
      </c>
      <c r="G128" s="392" t="s">
        <v>6322</v>
      </c>
      <c r="H128" s="392" t="s">
        <v>4917</v>
      </c>
      <c r="I128" s="392" t="s">
        <v>1756</v>
      </c>
      <c r="J128" s="392" t="s">
        <v>3063</v>
      </c>
      <c r="K128" s="392" t="s">
        <v>4978</v>
      </c>
      <c r="L128" s="392" t="s">
        <v>9398</v>
      </c>
      <c r="M128" s="392" t="s">
        <v>7273</v>
      </c>
      <c r="N128" s="392" t="s">
        <v>7273</v>
      </c>
      <c r="O128" s="392" t="s">
        <v>3758</v>
      </c>
      <c r="P128"/>
      <c r="Q128"/>
      <c r="R128" s="387">
        <f>VLOOKUP(E128,'[1]NDB Impacted SPRFs 05032013'!$A$2:$A$65536,1,FALSE)</f>
        <v>400047877</v>
      </c>
      <c r="S128" s="159"/>
      <c r="T128" s="159"/>
      <c r="U128" s="159"/>
    </row>
    <row r="129" spans="1:21" s="159" customFormat="1" ht="60" x14ac:dyDescent="0.25">
      <c r="A129" s="63">
        <f>MATCH($E129,'D1 - Master Project Table'!$B$24:$B$7056,0)</f>
        <v>2122</v>
      </c>
      <c r="B129" s="63" t="b">
        <f t="shared" si="3"/>
        <v>0</v>
      </c>
      <c r="C129" s="63" t="b">
        <f t="shared" si="4"/>
        <v>1</v>
      </c>
      <c r="D129" s="63" t="str">
        <f t="shared" si="5"/>
        <v>OK</v>
      </c>
      <c r="E129" s="393">
        <v>400014745</v>
      </c>
      <c r="F129" s="392" t="s">
        <v>4949</v>
      </c>
      <c r="G129" s="392" t="s">
        <v>5324</v>
      </c>
      <c r="H129" s="392" t="s">
        <v>5314</v>
      </c>
      <c r="I129" s="392" t="s">
        <v>1756</v>
      </c>
      <c r="J129" s="392" t="s">
        <v>6905</v>
      </c>
      <c r="K129" s="392" t="s">
        <v>1506</v>
      </c>
      <c r="L129" s="392" t="s">
        <v>2805</v>
      </c>
      <c r="M129" s="392" t="s">
        <v>3758</v>
      </c>
      <c r="N129" s="392" t="s">
        <v>7273</v>
      </c>
      <c r="O129" s="392" t="s">
        <v>7273</v>
      </c>
      <c r="P129"/>
      <c r="Q129"/>
      <c r="R129" s="387">
        <f>VLOOKUP(E129,'[1]NDB Impacted SPRFs 05032013'!$A$2:$A$65536,1,FALSE)</f>
        <v>400014745</v>
      </c>
    </row>
    <row r="130" spans="1:21" s="159" customFormat="1" ht="60" x14ac:dyDescent="0.25">
      <c r="A130" s="63">
        <f>MATCH($E130,'D1 - Master Project Table'!$B$24:$B$7056,0)</f>
        <v>477</v>
      </c>
      <c r="B130" s="63" t="b">
        <f t="shared" si="3"/>
        <v>0</v>
      </c>
      <c r="C130" s="63" t="b">
        <f t="shared" si="4"/>
        <v>1</v>
      </c>
      <c r="D130" s="63" t="str">
        <f t="shared" si="5"/>
        <v>OK</v>
      </c>
      <c r="E130" s="393">
        <v>400009454</v>
      </c>
      <c r="F130" s="392" t="s">
        <v>3174</v>
      </c>
      <c r="G130" s="392" t="s">
        <v>3441</v>
      </c>
      <c r="H130" s="392" t="s">
        <v>7418</v>
      </c>
      <c r="I130" s="392" t="s">
        <v>4168</v>
      </c>
      <c r="J130" s="392" t="s">
        <v>6348</v>
      </c>
      <c r="K130" s="392" t="s">
        <v>1506</v>
      </c>
      <c r="L130" s="392" t="s">
        <v>4022</v>
      </c>
      <c r="M130" s="392" t="s">
        <v>3758</v>
      </c>
      <c r="N130" s="392" t="s">
        <v>7273</v>
      </c>
      <c r="O130" s="392" t="s">
        <v>7273</v>
      </c>
      <c r="P130"/>
      <c r="Q130"/>
      <c r="R130" s="387">
        <f>VLOOKUP(E130,'[1]NDB Impacted SPRFs 05032013'!$A$2:$A$65536,1,FALSE)</f>
        <v>400009454</v>
      </c>
      <c r="S130" s="128"/>
      <c r="T130" s="128"/>
      <c r="U130" s="128"/>
    </row>
    <row r="131" spans="1:21" s="159" customFormat="1" ht="60" x14ac:dyDescent="0.25">
      <c r="A131" s="63">
        <f>MATCH($E131,'D1 - Master Project Table'!$B$24:$B$7056,0)</f>
        <v>865</v>
      </c>
      <c r="B131" s="63" t="b">
        <f t="shared" si="3"/>
        <v>0</v>
      </c>
      <c r="C131" s="63" t="b">
        <f t="shared" si="4"/>
        <v>1</v>
      </c>
      <c r="D131" s="63" t="str">
        <f t="shared" si="5"/>
        <v>OK</v>
      </c>
      <c r="E131" s="393">
        <v>400015305</v>
      </c>
      <c r="F131" s="392" t="s">
        <v>4623</v>
      </c>
      <c r="G131" s="392" t="s">
        <v>5324</v>
      </c>
      <c r="H131" s="392" t="s">
        <v>7418</v>
      </c>
      <c r="I131" s="392" t="s">
        <v>1756</v>
      </c>
      <c r="J131" s="392" t="s">
        <v>3352</v>
      </c>
      <c r="K131" s="392" t="s">
        <v>1506</v>
      </c>
      <c r="L131" s="392" t="s">
        <v>396</v>
      </c>
      <c r="M131" s="392" t="s">
        <v>3758</v>
      </c>
      <c r="N131" s="392" t="s">
        <v>7273</v>
      </c>
      <c r="O131" s="392" t="s">
        <v>7273</v>
      </c>
      <c r="P131" s="158"/>
      <c r="Q131" s="128"/>
      <c r="R131" s="387">
        <f>VLOOKUP(E131,'[1]NDB Impacted SPRFs 05032013'!$A$2:$A$65536,1,FALSE)</f>
        <v>400015305</v>
      </c>
      <c r="S131" s="128"/>
      <c r="T131" s="128"/>
      <c r="U131" s="128"/>
    </row>
    <row r="132" spans="1:21" s="159" customFormat="1" ht="60" x14ac:dyDescent="0.25">
      <c r="A132" s="63">
        <f>MATCH($E132,'D1 - Master Project Table'!$B$24:$B$7056,0)</f>
        <v>274</v>
      </c>
      <c r="B132" s="63" t="b">
        <f t="shared" si="3"/>
        <v>0</v>
      </c>
      <c r="C132" s="63" t="b">
        <f t="shared" si="4"/>
        <v>0</v>
      </c>
      <c r="D132" s="63" t="str">
        <f t="shared" si="5"/>
        <v>OK</v>
      </c>
      <c r="E132" s="393">
        <v>400059714</v>
      </c>
      <c r="F132" s="392" t="s">
        <v>9477</v>
      </c>
      <c r="G132" s="392" t="s">
        <v>6322</v>
      </c>
      <c r="H132" s="392" t="s">
        <v>8012</v>
      </c>
      <c r="I132" s="392" t="s">
        <v>1758</v>
      </c>
      <c r="J132" s="392" t="s">
        <v>571</v>
      </c>
      <c r="K132" s="392" t="s">
        <v>7403</v>
      </c>
      <c r="L132" s="392" t="s">
        <v>9478</v>
      </c>
      <c r="M132" s="392" t="s">
        <v>7273</v>
      </c>
      <c r="N132" s="392" t="s">
        <v>7273</v>
      </c>
      <c r="O132" s="392" t="s">
        <v>3758</v>
      </c>
      <c r="P132" s="158"/>
      <c r="Q132" s="128"/>
      <c r="R132" s="387">
        <f>VLOOKUP(E132,'[1]NDB Impacted SPRFs 05032013'!$A$2:$A$65536,1,FALSE)</f>
        <v>400059714</v>
      </c>
      <c r="S132" s="128"/>
      <c r="T132" s="128"/>
      <c r="U132" s="128"/>
    </row>
    <row r="133" spans="1:21" s="159" customFormat="1" ht="60" x14ac:dyDescent="0.25">
      <c r="A133" s="63">
        <f>MATCH($E133,'D1 - Master Project Table'!$B$24:$B$7056,0)</f>
        <v>621</v>
      </c>
      <c r="B133" s="63" t="b">
        <f t="shared" si="3"/>
        <v>0</v>
      </c>
      <c r="C133" s="63" t="b">
        <f t="shared" si="4"/>
        <v>1</v>
      </c>
      <c r="D133" s="63" t="str">
        <f t="shared" si="5"/>
        <v>OK</v>
      </c>
      <c r="E133" s="393">
        <v>400013208</v>
      </c>
      <c r="F133" s="392" t="s">
        <v>5145</v>
      </c>
      <c r="G133" s="392" t="s">
        <v>5324</v>
      </c>
      <c r="H133" s="392" t="s">
        <v>7418</v>
      </c>
      <c r="I133" s="392" t="s">
        <v>1756</v>
      </c>
      <c r="J133" s="392" t="s">
        <v>5041</v>
      </c>
      <c r="K133" s="392" t="s">
        <v>5684</v>
      </c>
      <c r="L133" s="392" t="s">
        <v>4236</v>
      </c>
      <c r="M133" s="392" t="s">
        <v>3758</v>
      </c>
      <c r="N133" s="392" t="s">
        <v>7273</v>
      </c>
      <c r="O133" s="392" t="s">
        <v>7273</v>
      </c>
      <c r="P133"/>
      <c r="Q133"/>
      <c r="R133" s="387">
        <f>VLOOKUP(E133,'[1]NDB Impacted SPRFs 05032013'!$A$2:$A$65536,1,FALSE)</f>
        <v>400013208</v>
      </c>
    </row>
    <row r="134" spans="1:21" s="159" customFormat="1" ht="60" x14ac:dyDescent="0.25">
      <c r="A134" s="63">
        <f>MATCH($E134,'D1 - Master Project Table'!$B$24:$B$7056,0)</f>
        <v>1670</v>
      </c>
      <c r="B134" s="63" t="b">
        <f t="shared" ref="B134:B197" si="6">ISERROR(A134)</f>
        <v>0</v>
      </c>
      <c r="C134" s="63" t="b">
        <f t="shared" ref="C134:C197" si="7">OR(H134="Completed",H134="Cancelled")</f>
        <v>1</v>
      </c>
      <c r="D134" s="63" t="str">
        <f t="shared" ref="D134:D197" si="8">IF(AND(B134=TRUE,C134=FALSE),"Add","OK")</f>
        <v>OK</v>
      </c>
      <c r="E134" s="393">
        <v>400043969</v>
      </c>
      <c r="F134" s="392" t="s">
        <v>2195</v>
      </c>
      <c r="G134" s="392" t="s">
        <v>5324</v>
      </c>
      <c r="H134" s="392" t="s">
        <v>7418</v>
      </c>
      <c r="I134" s="392" t="s">
        <v>1762</v>
      </c>
      <c r="J134" s="392" t="s">
        <v>2196</v>
      </c>
      <c r="K134" s="392" t="s">
        <v>2197</v>
      </c>
      <c r="L134" s="392" t="s">
        <v>8871</v>
      </c>
      <c r="M134" s="392" t="s">
        <v>3758</v>
      </c>
      <c r="N134" s="392" t="s">
        <v>7273</v>
      </c>
      <c r="O134" s="392" t="s">
        <v>7273</v>
      </c>
      <c r="P134"/>
      <c r="Q134"/>
      <c r="R134" s="387">
        <f>VLOOKUP(E134,'[1]NDB Impacted SPRFs 05032013'!$A$2:$A$65536,1,FALSE)</f>
        <v>400043969</v>
      </c>
    </row>
    <row r="135" spans="1:21" s="159" customFormat="1" ht="60" x14ac:dyDescent="0.25">
      <c r="A135" s="63">
        <f>MATCH($E135,'D1 - Master Project Table'!$B$24:$B$7056,0)</f>
        <v>712</v>
      </c>
      <c r="B135" s="63" t="b">
        <f t="shared" si="6"/>
        <v>0</v>
      </c>
      <c r="C135" s="63" t="b">
        <f t="shared" si="7"/>
        <v>1</v>
      </c>
      <c r="D135" s="63" t="str">
        <f t="shared" si="8"/>
        <v>OK</v>
      </c>
      <c r="E135" s="393">
        <v>400008020</v>
      </c>
      <c r="F135" s="392" t="s">
        <v>4349</v>
      </c>
      <c r="G135" s="392" t="s">
        <v>3441</v>
      </c>
      <c r="H135" s="392" t="s">
        <v>7418</v>
      </c>
      <c r="I135" s="392" t="s">
        <v>1770</v>
      </c>
      <c r="J135" s="392" t="s">
        <v>5087</v>
      </c>
      <c r="K135" s="392" t="s">
        <v>5541</v>
      </c>
      <c r="L135" s="392" t="s">
        <v>8872</v>
      </c>
      <c r="M135" s="392" t="s">
        <v>3758</v>
      </c>
      <c r="N135" s="392" t="s">
        <v>7273</v>
      </c>
      <c r="O135" s="392" t="s">
        <v>7273</v>
      </c>
      <c r="P135"/>
      <c r="Q135"/>
      <c r="R135" s="387">
        <f>VLOOKUP(E135,'[1]NDB Impacted SPRFs 05032013'!$A$2:$A$65536,1,FALSE)</f>
        <v>400008020</v>
      </c>
    </row>
    <row r="136" spans="1:21" s="159" customFormat="1" ht="60" x14ac:dyDescent="0.25">
      <c r="A136" s="63" t="e">
        <f>MATCH($E136,'D1 - Master Project Table'!$B$24:$B$7056,0)</f>
        <v>#N/A</v>
      </c>
      <c r="B136" s="63" t="b">
        <f t="shared" si="6"/>
        <v>1</v>
      </c>
      <c r="C136" s="63" t="b">
        <f t="shared" si="7"/>
        <v>1</v>
      </c>
      <c r="D136" s="63" t="str">
        <f t="shared" si="8"/>
        <v>OK</v>
      </c>
      <c r="E136" s="393">
        <v>400013226</v>
      </c>
      <c r="F136" s="392" t="s">
        <v>3714</v>
      </c>
      <c r="G136" s="392" t="s">
        <v>5001</v>
      </c>
      <c r="H136" s="392" t="s">
        <v>5314</v>
      </c>
      <c r="I136" s="392" t="s">
        <v>1828</v>
      </c>
      <c r="J136" s="392" t="s">
        <v>8740</v>
      </c>
      <c r="K136" s="392" t="s">
        <v>4861</v>
      </c>
      <c r="L136" s="392" t="s">
        <v>2357</v>
      </c>
      <c r="M136" s="392" t="s">
        <v>7273</v>
      </c>
      <c r="N136" s="392" t="s">
        <v>7273</v>
      </c>
      <c r="O136" s="392" t="s">
        <v>3758</v>
      </c>
      <c r="P136"/>
      <c r="Q136"/>
      <c r="R136" s="387">
        <f>VLOOKUP(E136,'[1]NDB Impacted SPRFs 05032013'!$A$2:$A$65536,1,FALSE)</f>
        <v>400013226</v>
      </c>
      <c r="S136" s="128"/>
      <c r="T136" s="128"/>
      <c r="U136" s="128"/>
    </row>
    <row r="137" spans="1:21" s="159" customFormat="1" ht="60" x14ac:dyDescent="0.25">
      <c r="A137" s="63">
        <f>MATCH($E137,'D1 - Master Project Table'!$B$24:$B$7056,0)</f>
        <v>1313</v>
      </c>
      <c r="B137" s="63" t="b">
        <f t="shared" si="6"/>
        <v>0</v>
      </c>
      <c r="C137" s="63" t="b">
        <f t="shared" si="7"/>
        <v>1</v>
      </c>
      <c r="D137" s="63" t="str">
        <f t="shared" si="8"/>
        <v>OK</v>
      </c>
      <c r="E137" s="393">
        <v>400033793</v>
      </c>
      <c r="F137" s="392" t="s">
        <v>3016</v>
      </c>
      <c r="G137" s="392" t="s">
        <v>5324</v>
      </c>
      <c r="H137" s="392" t="s">
        <v>7418</v>
      </c>
      <c r="I137" s="392" t="s">
        <v>1758</v>
      </c>
      <c r="J137" s="392" t="s">
        <v>6543</v>
      </c>
      <c r="K137" s="392" t="s">
        <v>6444</v>
      </c>
      <c r="L137" s="392" t="s">
        <v>8873</v>
      </c>
      <c r="M137" s="392" t="s">
        <v>3758</v>
      </c>
      <c r="N137" s="392" t="s">
        <v>7273</v>
      </c>
      <c r="O137" s="392" t="s">
        <v>3758</v>
      </c>
      <c r="P137"/>
      <c r="Q137"/>
      <c r="R137" s="387">
        <f>VLOOKUP(E137,'[1]NDB Impacted SPRFs 05032013'!$A$2:$A$65536,1,FALSE)</f>
        <v>400033793</v>
      </c>
      <c r="S137" s="128"/>
      <c r="T137" s="128"/>
      <c r="U137" s="128"/>
    </row>
    <row r="138" spans="1:21" ht="60" x14ac:dyDescent="0.25">
      <c r="A138" s="63">
        <f>MATCH($E138,'D1 - Master Project Table'!$B$24:$B$7056,0)</f>
        <v>2634</v>
      </c>
      <c r="B138" s="63" t="b">
        <f t="shared" si="6"/>
        <v>0</v>
      </c>
      <c r="C138" s="63" t="b">
        <f t="shared" si="7"/>
        <v>1</v>
      </c>
      <c r="D138" s="63" t="str">
        <f t="shared" si="8"/>
        <v>OK</v>
      </c>
      <c r="E138" s="393">
        <v>400014509</v>
      </c>
      <c r="F138" s="392" t="s">
        <v>6550</v>
      </c>
      <c r="G138" s="392" t="s">
        <v>5787</v>
      </c>
      <c r="H138" s="392" t="s">
        <v>5314</v>
      </c>
      <c r="I138" s="392" t="s">
        <v>1771</v>
      </c>
      <c r="J138" s="392" t="s">
        <v>5182</v>
      </c>
      <c r="K138" s="392" t="s">
        <v>6963</v>
      </c>
      <c r="L138" s="392" t="s">
        <v>7147</v>
      </c>
      <c r="M138" s="392" t="s">
        <v>3758</v>
      </c>
      <c r="N138" s="392" t="s">
        <v>7273</v>
      </c>
      <c r="O138" s="392" t="s">
        <v>7273</v>
      </c>
      <c r="P138"/>
      <c r="Q138"/>
      <c r="R138" s="387">
        <f>VLOOKUP(E138,'[1]NDB Impacted SPRFs 05032013'!$A$2:$A$65536,1,FALSE)</f>
        <v>400014509</v>
      </c>
      <c r="U138" s="197" t="s">
        <v>7420</v>
      </c>
    </row>
    <row r="139" spans="1:21" s="159" customFormat="1" ht="60" x14ac:dyDescent="0.25">
      <c r="A139" s="63">
        <f>MATCH($E139,'D1 - Master Project Table'!$B$24:$B$7056,0)</f>
        <v>2165</v>
      </c>
      <c r="B139" s="63" t="b">
        <f t="shared" si="6"/>
        <v>0</v>
      </c>
      <c r="C139" s="63" t="b">
        <f t="shared" si="7"/>
        <v>1</v>
      </c>
      <c r="D139" s="63" t="str">
        <f t="shared" si="8"/>
        <v>OK</v>
      </c>
      <c r="E139" s="393">
        <v>400010635</v>
      </c>
      <c r="F139" s="392" t="s">
        <v>5820</v>
      </c>
      <c r="G139" s="392" t="s">
        <v>3441</v>
      </c>
      <c r="H139" s="392" t="s">
        <v>7418</v>
      </c>
      <c r="I139" s="392" t="s">
        <v>2662</v>
      </c>
      <c r="J139" s="392" t="s">
        <v>6818</v>
      </c>
      <c r="K139" s="392" t="s">
        <v>1506</v>
      </c>
      <c r="L139" s="392" t="s">
        <v>8874</v>
      </c>
      <c r="M139" s="392" t="s">
        <v>3758</v>
      </c>
      <c r="N139" s="392" t="s">
        <v>7273</v>
      </c>
      <c r="O139" s="392" t="s">
        <v>7273</v>
      </c>
      <c r="P139"/>
      <c r="Q139"/>
      <c r="R139" s="387">
        <f>VLOOKUP(E139,'[1]NDB Impacted SPRFs 05032013'!$A$2:$A$65536,1,FALSE)</f>
        <v>400010635</v>
      </c>
    </row>
    <row r="140" spans="1:21" s="159" customFormat="1" ht="60" x14ac:dyDescent="0.25">
      <c r="A140" s="63">
        <f>MATCH($E140,'D1 - Master Project Table'!$B$24:$B$7056,0)</f>
        <v>386</v>
      </c>
      <c r="B140" s="63" t="b">
        <f t="shared" si="6"/>
        <v>0</v>
      </c>
      <c r="C140" s="63" t="b">
        <f t="shared" si="7"/>
        <v>1</v>
      </c>
      <c r="D140" s="63" t="str">
        <f t="shared" si="8"/>
        <v>OK</v>
      </c>
      <c r="E140" s="393">
        <v>400006758</v>
      </c>
      <c r="F140" s="392" t="s">
        <v>4558</v>
      </c>
      <c r="G140" s="392" t="s">
        <v>5787</v>
      </c>
      <c r="H140" s="392" t="s">
        <v>7418</v>
      </c>
      <c r="I140" s="392" t="s">
        <v>1776</v>
      </c>
      <c r="J140" s="392" t="s">
        <v>6161</v>
      </c>
      <c r="K140" s="392" t="s">
        <v>2411</v>
      </c>
      <c r="L140" s="392" t="s">
        <v>3406</v>
      </c>
      <c r="M140" s="392" t="s">
        <v>3758</v>
      </c>
      <c r="N140" s="392" t="s">
        <v>7273</v>
      </c>
      <c r="O140" s="392" t="s">
        <v>7273</v>
      </c>
      <c r="P140"/>
      <c r="Q140"/>
      <c r="R140" s="387">
        <f>VLOOKUP(E140,'[1]NDB Impacted SPRFs 05032013'!$A$2:$A$65536,1,FALSE)</f>
        <v>400006758</v>
      </c>
    </row>
    <row r="141" spans="1:21" ht="60" x14ac:dyDescent="0.25">
      <c r="A141" s="63">
        <f>MATCH($E141,'D1 - Master Project Table'!$B$24:$B$7056,0)</f>
        <v>245</v>
      </c>
      <c r="B141" s="63" t="b">
        <f t="shared" si="6"/>
        <v>0</v>
      </c>
      <c r="C141" s="63" t="b">
        <f t="shared" si="7"/>
        <v>0</v>
      </c>
      <c r="D141" s="63" t="str">
        <f t="shared" si="8"/>
        <v>OK</v>
      </c>
      <c r="E141" s="393">
        <v>400058053</v>
      </c>
      <c r="F141" s="392" t="s">
        <v>8870</v>
      </c>
      <c r="G141" s="392" t="s">
        <v>6322</v>
      </c>
      <c r="H141" s="392" t="s">
        <v>8012</v>
      </c>
      <c r="I141" s="392" t="s">
        <v>1758</v>
      </c>
      <c r="J141" s="392" t="s">
        <v>567</v>
      </c>
      <c r="K141" s="392" t="s">
        <v>568</v>
      </c>
      <c r="L141" s="392" t="s">
        <v>9085</v>
      </c>
      <c r="M141" s="392" t="s">
        <v>7273</v>
      </c>
      <c r="N141" s="392" t="s">
        <v>7273</v>
      </c>
      <c r="O141" s="392" t="s">
        <v>3758</v>
      </c>
      <c r="P141"/>
      <c r="Q141"/>
      <c r="R141" s="387">
        <f>VLOOKUP(E141,'[1]NDB Impacted SPRFs 05032013'!$A$2:$A$65536,1,FALSE)</f>
        <v>400058053</v>
      </c>
      <c r="S141" s="159"/>
      <c r="T141" s="159"/>
      <c r="U141" s="159"/>
    </row>
    <row r="142" spans="1:21" s="159" customFormat="1" ht="60" x14ac:dyDescent="0.25">
      <c r="A142" s="63">
        <f>MATCH($E142,'D1 - Master Project Table'!$B$24:$B$7056,0)</f>
        <v>225</v>
      </c>
      <c r="B142" s="63" t="b">
        <f t="shared" si="6"/>
        <v>0</v>
      </c>
      <c r="C142" s="63" t="b">
        <f t="shared" si="7"/>
        <v>0</v>
      </c>
      <c r="D142" s="63" t="str">
        <f t="shared" si="8"/>
        <v>OK</v>
      </c>
      <c r="E142" s="393">
        <v>400055633</v>
      </c>
      <c r="F142" s="392" t="s">
        <v>9086</v>
      </c>
      <c r="G142" s="392" t="s">
        <v>6322</v>
      </c>
      <c r="H142" s="392" t="s">
        <v>8012</v>
      </c>
      <c r="I142" s="392" t="s">
        <v>1758</v>
      </c>
      <c r="J142" s="392" t="s">
        <v>3048</v>
      </c>
      <c r="K142" s="392" t="s">
        <v>9087</v>
      </c>
      <c r="L142" s="392" t="s">
        <v>9213</v>
      </c>
      <c r="M142" s="392" t="s">
        <v>7273</v>
      </c>
      <c r="N142" s="392" t="s">
        <v>7273</v>
      </c>
      <c r="O142" s="392" t="s">
        <v>7273</v>
      </c>
      <c r="P142"/>
      <c r="Q142"/>
      <c r="R142" s="387">
        <f>VLOOKUP(E142,'[1]NDB Impacted SPRFs 05032013'!$A$2:$A$65536,1,FALSE)</f>
        <v>400055633</v>
      </c>
    </row>
    <row r="143" spans="1:21" ht="60" x14ac:dyDescent="0.25">
      <c r="A143" s="63">
        <f>MATCH($E143,'D1 - Master Project Table'!$B$24:$B$7056,0)</f>
        <v>38</v>
      </c>
      <c r="B143" s="63" t="b">
        <f t="shared" si="6"/>
        <v>0</v>
      </c>
      <c r="C143" s="63" t="b">
        <f t="shared" si="7"/>
        <v>1</v>
      </c>
      <c r="D143" s="63" t="str">
        <f t="shared" si="8"/>
        <v>OK</v>
      </c>
      <c r="E143" s="393">
        <v>400049159</v>
      </c>
      <c r="F143" s="392" t="s">
        <v>2747</v>
      </c>
      <c r="G143" s="392" t="s">
        <v>9210</v>
      </c>
      <c r="H143" s="392" t="s">
        <v>5314</v>
      </c>
      <c r="I143" s="392" t="s">
        <v>2655</v>
      </c>
      <c r="J143" s="392" t="s">
        <v>8773</v>
      </c>
      <c r="K143" s="392" t="s">
        <v>2190</v>
      </c>
      <c r="L143" s="392" t="s">
        <v>603</v>
      </c>
      <c r="M143" s="392" t="s">
        <v>3758</v>
      </c>
      <c r="N143" s="392" t="s">
        <v>7273</v>
      </c>
      <c r="O143" s="392" t="s">
        <v>3758</v>
      </c>
      <c r="P143" s="212"/>
      <c r="Q143"/>
      <c r="R143" s="387">
        <f>VLOOKUP(E143,'[1]NDB Impacted SPRFs 05032013'!$A$2:$A$65536,1,FALSE)</f>
        <v>400049159</v>
      </c>
      <c r="S143" s="159"/>
      <c r="T143" s="159"/>
      <c r="U143" s="159"/>
    </row>
    <row r="144" spans="1:21" s="159" customFormat="1" ht="60" x14ac:dyDescent="0.25">
      <c r="A144" s="63">
        <f>MATCH($E144,'D1 - Master Project Table'!$B$24:$B$7056,0)</f>
        <v>66</v>
      </c>
      <c r="B144" s="63" t="b">
        <f t="shared" si="6"/>
        <v>0</v>
      </c>
      <c r="C144" s="63" t="b">
        <f t="shared" si="7"/>
        <v>0</v>
      </c>
      <c r="D144" s="63" t="str">
        <f t="shared" si="8"/>
        <v>OK</v>
      </c>
      <c r="E144" s="393">
        <v>400052614</v>
      </c>
      <c r="F144" s="392" t="s">
        <v>1701</v>
      </c>
      <c r="G144" s="392" t="s">
        <v>6322</v>
      </c>
      <c r="H144" s="392" t="s">
        <v>4917</v>
      </c>
      <c r="I144" s="392" t="s">
        <v>1758</v>
      </c>
      <c r="J144" s="392" t="s">
        <v>2251</v>
      </c>
      <c r="K144" s="392" t="s">
        <v>3050</v>
      </c>
      <c r="L144" s="392" t="s">
        <v>9479</v>
      </c>
      <c r="M144" s="392" t="s">
        <v>7273</v>
      </c>
      <c r="N144" s="392" t="s">
        <v>7273</v>
      </c>
      <c r="O144" s="392" t="s">
        <v>3758</v>
      </c>
      <c r="P144"/>
      <c r="Q144"/>
      <c r="R144" s="387">
        <f>VLOOKUP(E144,'[1]NDB Impacted SPRFs 05032013'!$A$2:$A$65536,1,FALSE)</f>
        <v>400052614</v>
      </c>
    </row>
    <row r="145" spans="1:21" s="159" customFormat="1" ht="60" x14ac:dyDescent="0.25">
      <c r="A145" s="63">
        <f>MATCH($E145,'D1 - Master Project Table'!$B$24:$B$7056,0)</f>
        <v>825</v>
      </c>
      <c r="B145" s="63" t="b">
        <f t="shared" si="6"/>
        <v>0</v>
      </c>
      <c r="C145" s="63" t="b">
        <f t="shared" si="7"/>
        <v>1</v>
      </c>
      <c r="D145" s="63" t="str">
        <f t="shared" si="8"/>
        <v>OK</v>
      </c>
      <c r="E145" s="393">
        <v>400016644</v>
      </c>
      <c r="F145" s="392" t="s">
        <v>2417</v>
      </c>
      <c r="G145" s="392" t="s">
        <v>5787</v>
      </c>
      <c r="H145" s="392" t="s">
        <v>7418</v>
      </c>
      <c r="I145" s="392" t="s">
        <v>1771</v>
      </c>
      <c r="J145" s="392" t="s">
        <v>6176</v>
      </c>
      <c r="K145" s="392" t="s">
        <v>4671</v>
      </c>
      <c r="L145" s="392" t="s">
        <v>3191</v>
      </c>
      <c r="M145" s="392" t="s">
        <v>3758</v>
      </c>
      <c r="N145" s="392" t="s">
        <v>7273</v>
      </c>
      <c r="O145" s="392" t="s">
        <v>7273</v>
      </c>
      <c r="P145"/>
      <c r="Q145"/>
      <c r="R145" s="387">
        <f>VLOOKUP(E145,'[1]NDB Impacted SPRFs 05032013'!$A$2:$A$65536,1,FALSE)</f>
        <v>400016644</v>
      </c>
    </row>
    <row r="146" spans="1:21" ht="60" x14ac:dyDescent="0.25">
      <c r="A146" s="63">
        <f>MATCH($E146,'D1 - Master Project Table'!$B$24:$B$7056,0)</f>
        <v>3233</v>
      </c>
      <c r="B146" s="63" t="b">
        <f t="shared" si="6"/>
        <v>0</v>
      </c>
      <c r="C146" s="63" t="b">
        <f t="shared" si="7"/>
        <v>1</v>
      </c>
      <c r="D146" s="63" t="str">
        <f t="shared" si="8"/>
        <v>OK</v>
      </c>
      <c r="E146" s="393">
        <v>400052093</v>
      </c>
      <c r="F146" s="392" t="s">
        <v>7701</v>
      </c>
      <c r="G146" s="392" t="s">
        <v>5324</v>
      </c>
      <c r="H146" s="392" t="s">
        <v>7418</v>
      </c>
      <c r="I146" s="392" t="s">
        <v>1787</v>
      </c>
      <c r="J146" s="392" t="s">
        <v>593</v>
      </c>
      <c r="K146" s="392" t="s">
        <v>594</v>
      </c>
      <c r="L146" s="392" t="s">
        <v>7536</v>
      </c>
      <c r="M146" s="392" t="s">
        <v>7273</v>
      </c>
      <c r="N146" s="392" t="s">
        <v>7273</v>
      </c>
      <c r="O146" s="392" t="s">
        <v>7273</v>
      </c>
      <c r="P146"/>
      <c r="Q146"/>
      <c r="R146" s="387">
        <f>VLOOKUP(E146,'[1]NDB Impacted SPRFs 05032013'!$A$2:$A$65536,1,FALSE)</f>
        <v>400052093</v>
      </c>
    </row>
    <row r="147" spans="1:21" s="159" customFormat="1" ht="60" x14ac:dyDescent="0.25">
      <c r="A147" s="63">
        <f>MATCH($E147,'D1 - Master Project Table'!$B$24:$B$7056,0)</f>
        <v>1939</v>
      </c>
      <c r="B147" s="63" t="b">
        <f t="shared" si="6"/>
        <v>0</v>
      </c>
      <c r="C147" s="63" t="b">
        <f t="shared" si="7"/>
        <v>1</v>
      </c>
      <c r="D147" s="63" t="str">
        <f t="shared" si="8"/>
        <v>OK</v>
      </c>
      <c r="E147" s="393">
        <v>400017806</v>
      </c>
      <c r="F147" s="392" t="s">
        <v>5191</v>
      </c>
      <c r="G147" s="392" t="s">
        <v>5001</v>
      </c>
      <c r="H147" s="392" t="s">
        <v>7418</v>
      </c>
      <c r="I147" s="392" t="s">
        <v>2664</v>
      </c>
      <c r="J147" s="392" t="s">
        <v>8771</v>
      </c>
      <c r="K147" s="392" t="s">
        <v>4671</v>
      </c>
      <c r="L147" s="392" t="s">
        <v>8875</v>
      </c>
      <c r="M147" s="392" t="s">
        <v>3758</v>
      </c>
      <c r="N147" s="392" t="s">
        <v>7273</v>
      </c>
      <c r="O147" s="392" t="s">
        <v>7273</v>
      </c>
      <c r="P147"/>
      <c r="Q147"/>
      <c r="R147" s="387">
        <f>VLOOKUP(E147,'[1]NDB Impacted SPRFs 05032013'!$A$2:$A$65536,1,FALSE)</f>
        <v>400017806</v>
      </c>
    </row>
    <row r="148" spans="1:21" s="159" customFormat="1" ht="60" x14ac:dyDescent="0.25">
      <c r="A148" s="63">
        <f>MATCH($E148,'D1 - Master Project Table'!$B$24:$B$7056,0)</f>
        <v>3221</v>
      </c>
      <c r="B148" s="63" t="b">
        <f t="shared" si="6"/>
        <v>0</v>
      </c>
      <c r="C148" s="63" t="b">
        <f t="shared" si="7"/>
        <v>0</v>
      </c>
      <c r="D148" s="63" t="str">
        <f t="shared" si="8"/>
        <v>OK</v>
      </c>
      <c r="E148" s="393">
        <v>400049736</v>
      </c>
      <c r="F148" s="392" t="s">
        <v>897</v>
      </c>
      <c r="G148" s="392" t="s">
        <v>6322</v>
      </c>
      <c r="H148" s="392" t="s">
        <v>4917</v>
      </c>
      <c r="I148" s="392" t="s">
        <v>1758</v>
      </c>
      <c r="J148" s="392" t="s">
        <v>1702</v>
      </c>
      <c r="K148" s="392" t="s">
        <v>1703</v>
      </c>
      <c r="L148" s="392" t="s">
        <v>9480</v>
      </c>
      <c r="M148" s="392" t="s">
        <v>7273</v>
      </c>
      <c r="N148" s="392" t="s">
        <v>7273</v>
      </c>
      <c r="O148" s="392" t="s">
        <v>3758</v>
      </c>
      <c r="P148"/>
      <c r="Q148"/>
      <c r="R148" s="387">
        <f>VLOOKUP(E148,'[1]NDB Impacted SPRFs 05032013'!$A$2:$A$65536,1,FALSE)</f>
        <v>400049736</v>
      </c>
    </row>
    <row r="149" spans="1:21" s="159" customFormat="1" ht="60" x14ac:dyDescent="0.25">
      <c r="A149" s="63">
        <f>MATCH($E149,'D1 - Master Project Table'!$B$24:$B$7056,0)</f>
        <v>3019</v>
      </c>
      <c r="B149" s="63" t="b">
        <f t="shared" si="6"/>
        <v>0</v>
      </c>
      <c r="C149" s="63" t="b">
        <f t="shared" si="7"/>
        <v>1</v>
      </c>
      <c r="D149" s="63" t="str">
        <f t="shared" si="8"/>
        <v>OK</v>
      </c>
      <c r="E149" s="393">
        <v>400040395</v>
      </c>
      <c r="F149" s="392" t="s">
        <v>5612</v>
      </c>
      <c r="G149" s="392" t="s">
        <v>5324</v>
      </c>
      <c r="H149" s="392" t="s">
        <v>5314</v>
      </c>
      <c r="I149" s="392" t="s">
        <v>1762</v>
      </c>
      <c r="J149" s="392" t="s">
        <v>4109</v>
      </c>
      <c r="K149" s="392" t="s">
        <v>5613</v>
      </c>
      <c r="L149" s="392" t="s">
        <v>2598</v>
      </c>
      <c r="M149" s="392" t="s">
        <v>3758</v>
      </c>
      <c r="N149" s="392" t="s">
        <v>7273</v>
      </c>
      <c r="O149" s="392" t="s">
        <v>7273</v>
      </c>
      <c r="P149"/>
      <c r="Q149"/>
      <c r="R149" s="387">
        <f>VLOOKUP(E149,'[1]NDB Impacted SPRFs 05032013'!$A$2:$A$65536,1,FALSE)</f>
        <v>400040395</v>
      </c>
    </row>
    <row r="150" spans="1:21" s="159" customFormat="1" ht="60" x14ac:dyDescent="0.25">
      <c r="A150" s="63">
        <f>MATCH($E150,'D1 - Master Project Table'!$B$24:$B$7056,0)</f>
        <v>1680</v>
      </c>
      <c r="B150" s="63" t="b">
        <f t="shared" si="6"/>
        <v>0</v>
      </c>
      <c r="C150" s="63" t="b">
        <f t="shared" si="7"/>
        <v>1</v>
      </c>
      <c r="D150" s="63" t="str">
        <f t="shared" si="8"/>
        <v>OK</v>
      </c>
      <c r="E150" s="393">
        <v>400047648</v>
      </c>
      <c r="F150" s="392" t="s">
        <v>1538</v>
      </c>
      <c r="G150" s="392" t="s">
        <v>6322</v>
      </c>
      <c r="H150" s="392" t="s">
        <v>7418</v>
      </c>
      <c r="I150" s="392" t="s">
        <v>1758</v>
      </c>
      <c r="J150" s="392" t="s">
        <v>2534</v>
      </c>
      <c r="K150" s="392" t="s">
        <v>3234</v>
      </c>
      <c r="L150" s="392" t="s">
        <v>8880</v>
      </c>
      <c r="M150" s="392" t="s">
        <v>7273</v>
      </c>
      <c r="N150" s="392" t="s">
        <v>7273</v>
      </c>
      <c r="O150" s="392" t="s">
        <v>7273</v>
      </c>
      <c r="P150"/>
      <c r="Q150"/>
      <c r="R150" s="387">
        <f>VLOOKUP(E150,'[1]NDB Impacted SPRFs 05032013'!$A$2:$A$65536,1,FALSE)</f>
        <v>400047648</v>
      </c>
    </row>
    <row r="151" spans="1:21" s="159" customFormat="1" ht="60" x14ac:dyDescent="0.25">
      <c r="A151" s="63">
        <f>MATCH($E151,'D1 - Master Project Table'!$B$24:$B$7056,0)</f>
        <v>2527</v>
      </c>
      <c r="B151" s="63" t="b">
        <f t="shared" si="6"/>
        <v>0</v>
      </c>
      <c r="C151" s="63" t="b">
        <f t="shared" si="7"/>
        <v>1</v>
      </c>
      <c r="D151" s="63" t="str">
        <f t="shared" si="8"/>
        <v>OK</v>
      </c>
      <c r="E151" s="393">
        <v>400008023</v>
      </c>
      <c r="F151" s="392" t="s">
        <v>5187</v>
      </c>
      <c r="G151" s="392" t="s">
        <v>5324</v>
      </c>
      <c r="H151" s="392" t="s">
        <v>7418</v>
      </c>
      <c r="I151" s="392" t="s">
        <v>1770</v>
      </c>
      <c r="J151" s="392" t="s">
        <v>5087</v>
      </c>
      <c r="K151" s="392" t="s">
        <v>5541</v>
      </c>
      <c r="L151" s="392" t="s">
        <v>5390</v>
      </c>
      <c r="M151" s="392" t="s">
        <v>3758</v>
      </c>
      <c r="N151" s="392" t="s">
        <v>7273</v>
      </c>
      <c r="O151" s="392" t="s">
        <v>7273</v>
      </c>
      <c r="P151" s="158"/>
      <c r="Q151" s="128"/>
      <c r="R151" s="387">
        <f>VLOOKUP(E151,'[1]NDB Impacted SPRFs 05032013'!$A$2:$A$65536,1,FALSE)</f>
        <v>400008023</v>
      </c>
      <c r="S151" s="128"/>
      <c r="T151" s="128"/>
      <c r="U151" s="128"/>
    </row>
    <row r="152" spans="1:21" s="159" customFormat="1" ht="60" x14ac:dyDescent="0.25">
      <c r="A152" s="63">
        <f>MATCH($E152,'D1 - Master Project Table'!$B$24:$B$7056,0)</f>
        <v>161</v>
      </c>
      <c r="B152" s="63" t="b">
        <f t="shared" si="6"/>
        <v>0</v>
      </c>
      <c r="C152" s="63" t="b">
        <f t="shared" si="7"/>
        <v>0</v>
      </c>
      <c r="D152" s="63" t="str">
        <f t="shared" si="8"/>
        <v>OK</v>
      </c>
      <c r="E152" s="393">
        <v>400054322</v>
      </c>
      <c r="F152" s="392" t="s">
        <v>3058</v>
      </c>
      <c r="G152" s="392" t="s">
        <v>6322</v>
      </c>
      <c r="H152" s="392" t="s">
        <v>4917</v>
      </c>
      <c r="I152" s="392" t="s">
        <v>1756</v>
      </c>
      <c r="J152" s="392" t="s">
        <v>8882</v>
      </c>
      <c r="K152" s="392" t="s">
        <v>1703</v>
      </c>
      <c r="L152" s="392" t="s">
        <v>9399</v>
      </c>
      <c r="M152" s="392" t="s">
        <v>7273</v>
      </c>
      <c r="N152" s="392" t="s">
        <v>7273</v>
      </c>
      <c r="O152" s="392" t="s">
        <v>7273</v>
      </c>
      <c r="P152"/>
      <c r="Q152"/>
      <c r="R152" s="387">
        <f>VLOOKUP(E152,'[1]NDB Impacted SPRFs 05032013'!$A$2:$A$65536,1,FALSE)</f>
        <v>400054322</v>
      </c>
    </row>
    <row r="153" spans="1:21" s="159" customFormat="1" ht="60" x14ac:dyDescent="0.25">
      <c r="A153" s="63">
        <f>MATCH($E153,'D1 - Master Project Table'!$B$24:$B$7056,0)</f>
        <v>28</v>
      </c>
      <c r="B153" s="63" t="b">
        <f t="shared" si="6"/>
        <v>0</v>
      </c>
      <c r="C153" s="63" t="b">
        <f t="shared" si="7"/>
        <v>0</v>
      </c>
      <c r="D153" s="63" t="str">
        <f t="shared" si="8"/>
        <v>OK</v>
      </c>
      <c r="E153" s="393">
        <v>400041452</v>
      </c>
      <c r="F153" s="392" t="s">
        <v>2481</v>
      </c>
      <c r="G153" s="392" t="s">
        <v>9210</v>
      </c>
      <c r="H153" s="392" t="s">
        <v>4917</v>
      </c>
      <c r="I153" s="392" t="s">
        <v>3540</v>
      </c>
      <c r="J153" s="392" t="s">
        <v>8780</v>
      </c>
      <c r="K153" s="392" t="s">
        <v>7043</v>
      </c>
      <c r="L153" s="392" t="s">
        <v>7687</v>
      </c>
      <c r="M153" s="392" t="s">
        <v>3758</v>
      </c>
      <c r="N153" s="392" t="s">
        <v>7273</v>
      </c>
      <c r="O153" s="392" t="s">
        <v>7273</v>
      </c>
      <c r="P153"/>
      <c r="Q153"/>
      <c r="R153" s="387">
        <f>VLOOKUP(E153,'[1]NDB Impacted SPRFs 05032013'!$A$2:$A$65536,1,FALSE)</f>
        <v>400041452</v>
      </c>
    </row>
    <row r="154" spans="1:21" s="159" customFormat="1" ht="60" x14ac:dyDescent="0.25">
      <c r="A154" s="63">
        <f>MATCH($E154,'D1 - Master Project Table'!$B$24:$B$7056,0)</f>
        <v>521</v>
      </c>
      <c r="B154" s="63" t="b">
        <f t="shared" si="6"/>
        <v>0</v>
      </c>
      <c r="C154" s="63" t="b">
        <f t="shared" si="7"/>
        <v>1</v>
      </c>
      <c r="D154" s="63" t="str">
        <f t="shared" si="8"/>
        <v>OK</v>
      </c>
      <c r="E154" s="393">
        <v>400010721</v>
      </c>
      <c r="F154" s="392" t="s">
        <v>3897</v>
      </c>
      <c r="G154" s="392" t="s">
        <v>5324</v>
      </c>
      <c r="H154" s="392" t="s">
        <v>7418</v>
      </c>
      <c r="I154" s="392" t="s">
        <v>4168</v>
      </c>
      <c r="J154" s="392" t="s">
        <v>6905</v>
      </c>
      <c r="K154" s="392" t="s">
        <v>1506</v>
      </c>
      <c r="L154" s="392" t="s">
        <v>3419</v>
      </c>
      <c r="M154" s="392" t="s">
        <v>3758</v>
      </c>
      <c r="N154" s="392" t="s">
        <v>7273</v>
      </c>
      <c r="O154" s="392" t="s">
        <v>7273</v>
      </c>
      <c r="P154"/>
      <c r="Q154"/>
      <c r="R154" s="387">
        <f>VLOOKUP(E154,'[1]NDB Impacted SPRFs 05032013'!$A$2:$A$65536,1,FALSE)</f>
        <v>400010721</v>
      </c>
    </row>
    <row r="155" spans="1:21" s="159" customFormat="1" ht="60" x14ac:dyDescent="0.25">
      <c r="A155" s="63">
        <f>MATCH($E155,'D1 - Master Project Table'!$B$24:$B$7056,0)</f>
        <v>2141</v>
      </c>
      <c r="B155" s="63" t="b">
        <f t="shared" si="6"/>
        <v>0</v>
      </c>
      <c r="C155" s="63" t="b">
        <f t="shared" si="7"/>
        <v>1</v>
      </c>
      <c r="D155" s="63" t="str">
        <f t="shared" si="8"/>
        <v>OK</v>
      </c>
      <c r="E155" s="393">
        <v>400014925</v>
      </c>
      <c r="F155" s="392" t="s">
        <v>5972</v>
      </c>
      <c r="G155" s="392" t="s">
        <v>5324</v>
      </c>
      <c r="H155" s="392" t="s">
        <v>5314</v>
      </c>
      <c r="I155" s="392" t="s">
        <v>1769</v>
      </c>
      <c r="J155" s="392" t="s">
        <v>7155</v>
      </c>
      <c r="K155" s="392" t="s">
        <v>1506</v>
      </c>
      <c r="L155" s="392" t="s">
        <v>3578</v>
      </c>
      <c r="M155" s="392" t="s">
        <v>3758</v>
      </c>
      <c r="N155" s="392" t="s">
        <v>7273</v>
      </c>
      <c r="O155" s="392" t="s">
        <v>7273</v>
      </c>
      <c r="P155"/>
      <c r="Q155"/>
      <c r="R155" s="387">
        <f>VLOOKUP(E155,'[1]NDB Impacted SPRFs 05032013'!$A$2:$A$65536,1,FALSE)</f>
        <v>400014925</v>
      </c>
    </row>
    <row r="156" spans="1:21" s="159" customFormat="1" ht="60" x14ac:dyDescent="0.25">
      <c r="A156" s="63">
        <f>MATCH($E156,'D1 - Master Project Table'!$B$24:$B$7056,0)</f>
        <v>1761</v>
      </c>
      <c r="B156" s="63" t="b">
        <f t="shared" si="6"/>
        <v>0</v>
      </c>
      <c r="C156" s="63" t="b">
        <f t="shared" si="7"/>
        <v>0</v>
      </c>
      <c r="D156" s="63" t="str">
        <f t="shared" si="8"/>
        <v>OK</v>
      </c>
      <c r="E156" s="393">
        <v>400046441</v>
      </c>
      <c r="F156" s="392" t="s">
        <v>921</v>
      </c>
      <c r="G156" s="392" t="s">
        <v>2042</v>
      </c>
      <c r="H156" s="392" t="s">
        <v>4917</v>
      </c>
      <c r="I156" s="392" t="s">
        <v>4992</v>
      </c>
      <c r="J156" s="392" t="s">
        <v>8876</v>
      </c>
      <c r="K156" s="392" t="s">
        <v>3905</v>
      </c>
      <c r="L156" s="392" t="s">
        <v>8992</v>
      </c>
      <c r="M156" s="392" t="s">
        <v>3758</v>
      </c>
      <c r="N156" s="392" t="s">
        <v>7273</v>
      </c>
      <c r="O156" s="392" t="s">
        <v>7273</v>
      </c>
      <c r="P156"/>
      <c r="Q156"/>
      <c r="R156" s="387">
        <f>VLOOKUP(E156,'[1]NDB Impacted SPRFs 05032013'!$A$2:$A$65536,1,FALSE)</f>
        <v>400046441</v>
      </c>
      <c r="S156" s="128"/>
      <c r="T156" s="128"/>
      <c r="U156" s="128"/>
    </row>
    <row r="157" spans="1:21" s="159" customFormat="1" ht="60" x14ac:dyDescent="0.25">
      <c r="A157" s="63">
        <f>MATCH($E157,'D1 - Master Project Table'!$B$24:$B$7056,0)</f>
        <v>174</v>
      </c>
      <c r="B157" s="63" t="b">
        <f t="shared" si="6"/>
        <v>0</v>
      </c>
      <c r="C157" s="63" t="b">
        <f t="shared" si="7"/>
        <v>0</v>
      </c>
      <c r="D157" s="63" t="str">
        <f t="shared" si="8"/>
        <v>OK</v>
      </c>
      <c r="E157" s="393">
        <v>400058409</v>
      </c>
      <c r="F157" s="392" t="s">
        <v>8977</v>
      </c>
      <c r="G157" s="392" t="s">
        <v>5325</v>
      </c>
      <c r="H157" s="392" t="s">
        <v>3555</v>
      </c>
      <c r="I157" s="392" t="s">
        <v>1758</v>
      </c>
      <c r="J157" s="392" t="s">
        <v>3158</v>
      </c>
      <c r="K157" s="392" t="s">
        <v>2161</v>
      </c>
      <c r="L157" s="392" t="s">
        <v>9424</v>
      </c>
      <c r="M157" s="392" t="s">
        <v>7273</v>
      </c>
      <c r="N157" s="392" t="s">
        <v>7273</v>
      </c>
      <c r="O157" s="392" t="s">
        <v>7273</v>
      </c>
      <c r="P157"/>
      <c r="Q157"/>
      <c r="R157" s="387">
        <f>VLOOKUP(E157,'[1]NDB Impacted SPRFs 05032013'!$A$2:$A$65536,1,FALSE)</f>
        <v>400058409</v>
      </c>
      <c r="S157" s="128"/>
      <c r="T157" s="128"/>
      <c r="U157" s="128"/>
    </row>
    <row r="158" spans="1:21" ht="60" x14ac:dyDescent="0.25">
      <c r="A158" s="63">
        <f>MATCH($E158,'D1 - Master Project Table'!$B$24:$B$7056,0)</f>
        <v>44</v>
      </c>
      <c r="B158" s="63" t="b">
        <f t="shared" si="6"/>
        <v>0</v>
      </c>
      <c r="C158" s="63" t="b">
        <f t="shared" si="7"/>
        <v>0</v>
      </c>
      <c r="D158" s="63" t="str">
        <f t="shared" si="8"/>
        <v>OK</v>
      </c>
      <c r="E158" s="393">
        <v>400052619</v>
      </c>
      <c r="F158" s="392" t="s">
        <v>925</v>
      </c>
      <c r="G158" s="392" t="s">
        <v>6322</v>
      </c>
      <c r="H158" s="392" t="s">
        <v>4917</v>
      </c>
      <c r="I158" s="392" t="s">
        <v>1756</v>
      </c>
      <c r="J158" s="392" t="s">
        <v>135</v>
      </c>
      <c r="K158" s="392" t="s">
        <v>1703</v>
      </c>
      <c r="L158" s="392" t="s">
        <v>1299</v>
      </c>
      <c r="M158" s="392" t="s">
        <v>7273</v>
      </c>
      <c r="N158" s="392" t="s">
        <v>7273</v>
      </c>
      <c r="O158" s="392" t="s">
        <v>3758</v>
      </c>
      <c r="P158"/>
      <c r="Q158"/>
      <c r="R158" s="387">
        <f>VLOOKUP(E158,'[1]NDB Impacted SPRFs 05032013'!$A$2:$A$65536,1,FALSE)</f>
        <v>400052619</v>
      </c>
    </row>
    <row r="159" spans="1:21" s="159" customFormat="1" ht="60" x14ac:dyDescent="0.25">
      <c r="A159" s="63">
        <f>MATCH($E159,'D1 - Master Project Table'!$B$24:$B$7056,0)</f>
        <v>177</v>
      </c>
      <c r="B159" s="63" t="b">
        <f t="shared" si="6"/>
        <v>0</v>
      </c>
      <c r="C159" s="63" t="b">
        <f t="shared" si="7"/>
        <v>0</v>
      </c>
      <c r="D159" s="63" t="str">
        <f t="shared" si="8"/>
        <v>OK</v>
      </c>
      <c r="E159" s="393">
        <v>400057121</v>
      </c>
      <c r="F159" s="392" t="s">
        <v>8877</v>
      </c>
      <c r="G159" s="392" t="s">
        <v>6322</v>
      </c>
      <c r="H159" s="392" t="s">
        <v>4917</v>
      </c>
      <c r="I159" s="392" t="s">
        <v>1756</v>
      </c>
      <c r="J159" s="392" t="s">
        <v>8878</v>
      </c>
      <c r="K159" s="392" t="s">
        <v>8879</v>
      </c>
      <c r="L159" s="392" t="s">
        <v>8974</v>
      </c>
      <c r="M159" s="392" t="s">
        <v>7273</v>
      </c>
      <c r="N159" s="392" t="s">
        <v>7273</v>
      </c>
      <c r="O159" s="392" t="s">
        <v>3758</v>
      </c>
      <c r="P159"/>
      <c r="Q159"/>
      <c r="R159" s="387">
        <f>VLOOKUP(E159,'[1]NDB Impacted SPRFs 05032013'!$A$2:$A$65536,1,FALSE)</f>
        <v>400057121</v>
      </c>
    </row>
    <row r="160" spans="1:21" ht="60" x14ac:dyDescent="0.25">
      <c r="A160" s="63">
        <f>MATCH($E160,'D1 - Master Project Table'!$B$24:$B$7056,0)</f>
        <v>73</v>
      </c>
      <c r="B160" s="63" t="b">
        <f t="shared" si="6"/>
        <v>0</v>
      </c>
      <c r="C160" s="63" t="b">
        <f t="shared" si="7"/>
        <v>0</v>
      </c>
      <c r="D160" s="63" t="str">
        <f t="shared" si="8"/>
        <v>OK</v>
      </c>
      <c r="E160" s="393">
        <v>400050350</v>
      </c>
      <c r="F160" s="392" t="s">
        <v>3500</v>
      </c>
      <c r="G160" s="392" t="s">
        <v>5325</v>
      </c>
      <c r="H160" s="392" t="s">
        <v>7479</v>
      </c>
      <c r="I160" s="392" t="s">
        <v>1759</v>
      </c>
      <c r="J160" s="392" t="s">
        <v>6348</v>
      </c>
      <c r="K160" s="392" t="s">
        <v>1125</v>
      </c>
      <c r="L160" s="392" t="s">
        <v>8881</v>
      </c>
      <c r="M160" s="392" t="s">
        <v>3758</v>
      </c>
      <c r="N160" s="392" t="s">
        <v>7273</v>
      </c>
      <c r="O160" s="392" t="s">
        <v>7273</v>
      </c>
      <c r="P160"/>
      <c r="Q160"/>
      <c r="R160" s="387">
        <f>VLOOKUP(E160,'[1]NDB Impacted SPRFs 05032013'!$A$2:$A$65536,1,FALSE)</f>
        <v>400050350</v>
      </c>
      <c r="S160" s="159"/>
      <c r="T160" s="159"/>
      <c r="U160" s="159"/>
    </row>
    <row r="161" spans="1:21" ht="60" x14ac:dyDescent="0.25">
      <c r="A161" s="63">
        <f>MATCH($E161,'D1 - Master Project Table'!$B$24:$B$7056,0)</f>
        <v>3219</v>
      </c>
      <c r="B161" s="63" t="b">
        <f t="shared" si="6"/>
        <v>0</v>
      </c>
      <c r="C161" s="63" t="b">
        <f t="shared" si="7"/>
        <v>1</v>
      </c>
      <c r="D161" s="63" t="str">
        <f t="shared" si="8"/>
        <v>OK</v>
      </c>
      <c r="E161" s="393">
        <v>400049365</v>
      </c>
      <c r="F161" s="392" t="s">
        <v>2767</v>
      </c>
      <c r="G161" s="392" t="s">
        <v>5324</v>
      </c>
      <c r="H161" s="392" t="s">
        <v>7418</v>
      </c>
      <c r="I161" s="392" t="s">
        <v>1762</v>
      </c>
      <c r="J161" s="392" t="s">
        <v>886</v>
      </c>
      <c r="K161" s="392" t="s">
        <v>2768</v>
      </c>
      <c r="L161" s="392" t="s">
        <v>1300</v>
      </c>
      <c r="M161" s="392" t="s">
        <v>3758</v>
      </c>
      <c r="N161" s="392" t="s">
        <v>7273</v>
      </c>
      <c r="O161" s="392" t="s">
        <v>7273</v>
      </c>
      <c r="P161"/>
      <c r="Q161"/>
      <c r="R161" s="387">
        <f>VLOOKUP(E161,'[1]NDB Impacted SPRFs 05032013'!$A$2:$A$65536,1,FALSE)</f>
        <v>400049365</v>
      </c>
      <c r="S161" s="159"/>
      <c r="T161" s="159"/>
      <c r="U161" s="159"/>
    </row>
    <row r="162" spans="1:21" s="159" customFormat="1" ht="60" x14ac:dyDescent="0.25">
      <c r="A162" s="63">
        <f>MATCH($E162,'D1 - Master Project Table'!$B$24:$B$7056,0)</f>
        <v>1789</v>
      </c>
      <c r="B162" s="63" t="b">
        <f t="shared" si="6"/>
        <v>0</v>
      </c>
      <c r="C162" s="63" t="b">
        <f t="shared" si="7"/>
        <v>0</v>
      </c>
      <c r="D162" s="63" t="str">
        <f t="shared" si="8"/>
        <v>OK</v>
      </c>
      <c r="E162" s="393">
        <v>400055564</v>
      </c>
      <c r="F162" s="392" t="s">
        <v>7801</v>
      </c>
      <c r="G162" s="392" t="s">
        <v>5995</v>
      </c>
      <c r="H162" s="392" t="s">
        <v>4917</v>
      </c>
      <c r="I162" s="392" t="s">
        <v>6423</v>
      </c>
      <c r="J162" s="392" t="s">
        <v>7802</v>
      </c>
      <c r="K162" s="392" t="s">
        <v>578</v>
      </c>
      <c r="L162" s="392" t="s">
        <v>579</v>
      </c>
      <c r="M162" s="392" t="s">
        <v>3758</v>
      </c>
      <c r="N162" s="392" t="s">
        <v>7273</v>
      </c>
      <c r="O162" s="392" t="s">
        <v>3758</v>
      </c>
      <c r="P162"/>
      <c r="Q162"/>
      <c r="R162" s="387">
        <f>VLOOKUP(E162,'[1]NDB Impacted SPRFs 05032013'!$A$2:$A$65536,1,FALSE)</f>
        <v>400055564</v>
      </c>
    </row>
    <row r="163" spans="1:21" ht="60" x14ac:dyDescent="0.25">
      <c r="A163" s="63">
        <f>MATCH($E163,'D1 - Master Project Table'!$B$24:$B$7056,0)</f>
        <v>545</v>
      </c>
      <c r="B163" s="63" t="b">
        <f t="shared" si="6"/>
        <v>0</v>
      </c>
      <c r="C163" s="63" t="b">
        <f t="shared" si="7"/>
        <v>1</v>
      </c>
      <c r="D163" s="63" t="str">
        <f t="shared" si="8"/>
        <v>OK</v>
      </c>
      <c r="E163" s="393">
        <v>400008016</v>
      </c>
      <c r="F163" s="392" t="s">
        <v>6822</v>
      </c>
      <c r="G163" s="392" t="s">
        <v>5324</v>
      </c>
      <c r="H163" s="392" t="s">
        <v>7418</v>
      </c>
      <c r="I163" s="392" t="s">
        <v>1770</v>
      </c>
      <c r="J163" s="392" t="s">
        <v>4161</v>
      </c>
      <c r="K163" s="392" t="s">
        <v>5541</v>
      </c>
      <c r="L163" s="392" t="s">
        <v>7088</v>
      </c>
      <c r="M163" s="392" t="s">
        <v>3758</v>
      </c>
      <c r="N163" s="392" t="s">
        <v>7273</v>
      </c>
      <c r="O163" s="392" t="s">
        <v>7273</v>
      </c>
      <c r="P163"/>
      <c r="Q163"/>
      <c r="R163" s="387">
        <f>VLOOKUP(E163,'[1]NDB Impacted SPRFs 05032013'!$A$2:$A$65536,1,FALSE)</f>
        <v>400008016</v>
      </c>
      <c r="S163" s="159"/>
      <c r="T163" s="159"/>
      <c r="U163" s="159"/>
    </row>
    <row r="164" spans="1:21" s="159" customFormat="1" ht="60" x14ac:dyDescent="0.25">
      <c r="A164" s="63">
        <f>MATCH($E164,'D1 - Master Project Table'!$B$24:$B$7056,0)</f>
        <v>383</v>
      </c>
      <c r="B164" s="63" t="b">
        <f t="shared" si="6"/>
        <v>0</v>
      </c>
      <c r="C164" s="63" t="b">
        <f t="shared" si="7"/>
        <v>1</v>
      </c>
      <c r="D164" s="63" t="str">
        <f t="shared" si="8"/>
        <v>OK</v>
      </c>
      <c r="E164" s="393">
        <v>400006014</v>
      </c>
      <c r="F164" s="392" t="s">
        <v>4229</v>
      </c>
      <c r="G164" s="392" t="s">
        <v>5787</v>
      </c>
      <c r="H164" s="392" t="s">
        <v>7418</v>
      </c>
      <c r="I164" s="392" t="s">
        <v>1771</v>
      </c>
      <c r="J164" s="392" t="s">
        <v>6330</v>
      </c>
      <c r="K164" s="392" t="s">
        <v>4671</v>
      </c>
      <c r="L164" s="392" t="s">
        <v>3190</v>
      </c>
      <c r="M164" s="392" t="s">
        <v>3758</v>
      </c>
      <c r="N164" s="392" t="s">
        <v>7273</v>
      </c>
      <c r="O164" s="392" t="s">
        <v>7273</v>
      </c>
      <c r="P164"/>
      <c r="Q164"/>
      <c r="R164" s="387">
        <f>VLOOKUP(E164,'[1]NDB Impacted SPRFs 05032013'!$A$2:$A$65536,1,FALSE)</f>
        <v>400006014</v>
      </c>
    </row>
    <row r="165" spans="1:21" ht="60" x14ac:dyDescent="0.25">
      <c r="A165" s="63" t="e">
        <f>MATCH($E165,'D1 - Master Project Table'!$B$24:$B$7056,0)</f>
        <v>#N/A</v>
      </c>
      <c r="B165" s="63" t="b">
        <f t="shared" si="6"/>
        <v>1</v>
      </c>
      <c r="C165" s="63" t="b">
        <f t="shared" si="7"/>
        <v>1</v>
      </c>
      <c r="D165" s="63" t="str">
        <f t="shared" si="8"/>
        <v>OK</v>
      </c>
      <c r="E165" s="393">
        <v>400051297</v>
      </c>
      <c r="F165" s="392" t="s">
        <v>9088</v>
      </c>
      <c r="G165" s="392" t="s">
        <v>6322</v>
      </c>
      <c r="H165" s="392" t="s">
        <v>5314</v>
      </c>
      <c r="I165" s="392" t="s">
        <v>1118</v>
      </c>
      <c r="J165" s="392" t="s">
        <v>2251</v>
      </c>
      <c r="K165" s="392" t="s">
        <v>9089</v>
      </c>
      <c r="L165" s="392" t="s">
        <v>9090</v>
      </c>
      <c r="M165" s="392" t="s">
        <v>7273</v>
      </c>
      <c r="N165" s="392" t="s">
        <v>7273</v>
      </c>
      <c r="O165" s="392" t="s">
        <v>3758</v>
      </c>
      <c r="P165"/>
      <c r="Q165"/>
      <c r="R165" s="387">
        <f>VLOOKUP(E165,'[1]NDB Impacted SPRFs 05032013'!$A$2:$A$65536,1,FALSE)</f>
        <v>400051297</v>
      </c>
      <c r="S165" s="159"/>
      <c r="T165" s="159"/>
      <c r="U165" s="159"/>
    </row>
    <row r="166" spans="1:21" s="159" customFormat="1" ht="60" x14ac:dyDescent="0.25">
      <c r="A166" s="63">
        <f>MATCH($E166,'D1 - Master Project Table'!$B$24:$B$7056,0)</f>
        <v>1026</v>
      </c>
      <c r="B166" s="63" t="b">
        <f t="shared" si="6"/>
        <v>0</v>
      </c>
      <c r="C166" s="63" t="b">
        <f t="shared" si="7"/>
        <v>1</v>
      </c>
      <c r="D166" s="63" t="str">
        <f t="shared" si="8"/>
        <v>OK</v>
      </c>
      <c r="E166" s="393">
        <v>400021916</v>
      </c>
      <c r="F166" s="392" t="s">
        <v>1247</v>
      </c>
      <c r="G166" s="392" t="s">
        <v>5001</v>
      </c>
      <c r="H166" s="392" t="s">
        <v>7418</v>
      </c>
      <c r="I166" s="392" t="s">
        <v>2661</v>
      </c>
      <c r="J166" s="392" t="s">
        <v>8770</v>
      </c>
      <c r="K166" s="392" t="s">
        <v>7150</v>
      </c>
      <c r="L166" s="392" t="s">
        <v>722</v>
      </c>
      <c r="M166" s="392" t="s">
        <v>3758</v>
      </c>
      <c r="N166" s="392" t="s">
        <v>7273</v>
      </c>
      <c r="O166" s="392" t="s">
        <v>3758</v>
      </c>
      <c r="P166"/>
      <c r="Q166"/>
      <c r="R166" s="387">
        <f>VLOOKUP(E166,'[1]NDB Impacted SPRFs 05032013'!$A$2:$A$65536,1,FALSE)</f>
        <v>400021916</v>
      </c>
    </row>
    <row r="167" spans="1:21" s="159" customFormat="1" ht="60" x14ac:dyDescent="0.25">
      <c r="A167" s="63">
        <f>MATCH($E167,'D1 - Master Project Table'!$B$24:$B$7056,0)</f>
        <v>257</v>
      </c>
      <c r="B167" s="63" t="b">
        <f t="shared" si="6"/>
        <v>0</v>
      </c>
      <c r="C167" s="63" t="b">
        <f t="shared" si="7"/>
        <v>0</v>
      </c>
      <c r="D167" s="63" t="str">
        <f t="shared" si="8"/>
        <v>OK</v>
      </c>
      <c r="E167" s="393">
        <v>400058609</v>
      </c>
      <c r="F167" s="392" t="s">
        <v>9095</v>
      </c>
      <c r="G167" s="392" t="s">
        <v>6322</v>
      </c>
      <c r="H167" s="392" t="s">
        <v>8012</v>
      </c>
      <c r="I167" s="392" t="s">
        <v>1758</v>
      </c>
      <c r="J167" s="392" t="s">
        <v>3048</v>
      </c>
      <c r="K167" s="392" t="s">
        <v>9087</v>
      </c>
      <c r="L167" s="392" t="s">
        <v>9307</v>
      </c>
      <c r="M167" s="392" t="s">
        <v>7273</v>
      </c>
      <c r="N167" s="392" t="s">
        <v>7273</v>
      </c>
      <c r="O167" s="392" t="s">
        <v>7273</v>
      </c>
      <c r="P167"/>
      <c r="Q167"/>
      <c r="R167" s="387">
        <f>VLOOKUP(E167,'[1]NDB Impacted SPRFs 05032013'!$A$2:$A$65536,1,FALSE)</f>
        <v>400058609</v>
      </c>
    </row>
    <row r="168" spans="1:21" ht="60" x14ac:dyDescent="0.25">
      <c r="A168" s="63">
        <f>MATCH($E168,'D1 - Master Project Table'!$B$24:$B$7056,0)</f>
        <v>3065</v>
      </c>
      <c r="B168" s="63" t="b">
        <f t="shared" si="6"/>
        <v>0</v>
      </c>
      <c r="C168" s="63" t="b">
        <f t="shared" si="7"/>
        <v>1</v>
      </c>
      <c r="D168" s="63" t="str">
        <f t="shared" si="8"/>
        <v>OK</v>
      </c>
      <c r="E168" s="393">
        <v>400044868</v>
      </c>
      <c r="F168" s="392" t="s">
        <v>2533</v>
      </c>
      <c r="G168" s="392" t="s">
        <v>6322</v>
      </c>
      <c r="H168" s="392" t="s">
        <v>5314</v>
      </c>
      <c r="I168" s="392" t="s">
        <v>1118</v>
      </c>
      <c r="J168" s="392" t="s">
        <v>2534</v>
      </c>
      <c r="K168" s="392" t="s">
        <v>6586</v>
      </c>
      <c r="L168" s="392" t="s">
        <v>3593</v>
      </c>
      <c r="M168" s="392" t="s">
        <v>7273</v>
      </c>
      <c r="N168" s="392" t="s">
        <v>7273</v>
      </c>
      <c r="O168" s="392" t="s">
        <v>7273</v>
      </c>
      <c r="P168"/>
      <c r="Q168"/>
      <c r="R168" s="387">
        <f>VLOOKUP(E168,'[1]NDB Impacted SPRFs 05032013'!$A$2:$A$65536,1,FALSE)</f>
        <v>400044868</v>
      </c>
      <c r="S168" s="159"/>
      <c r="T168" s="159"/>
      <c r="U168" s="159"/>
    </row>
    <row r="169" spans="1:21" s="159" customFormat="1" ht="60" x14ac:dyDescent="0.25">
      <c r="A169" s="63" t="e">
        <f>MATCH($E169,'D1 - Master Project Table'!$B$24:$B$7056,0)</f>
        <v>#N/A</v>
      </c>
      <c r="B169" s="63" t="b">
        <f t="shared" si="6"/>
        <v>1</v>
      </c>
      <c r="C169" s="63" t="b">
        <f t="shared" si="7"/>
        <v>1</v>
      </c>
      <c r="D169" s="63" t="str">
        <f t="shared" si="8"/>
        <v>OK</v>
      </c>
      <c r="E169" s="393">
        <v>400050867</v>
      </c>
      <c r="F169" s="392" t="s">
        <v>582</v>
      </c>
      <c r="G169" s="392" t="s">
        <v>5995</v>
      </c>
      <c r="H169" s="392" t="s">
        <v>7418</v>
      </c>
      <c r="I169" s="392" t="s">
        <v>6423</v>
      </c>
      <c r="J169" s="392" t="s">
        <v>583</v>
      </c>
      <c r="K169" s="392" t="s">
        <v>584</v>
      </c>
      <c r="L169" s="392" t="s">
        <v>585</v>
      </c>
      <c r="M169" s="392" t="s">
        <v>7273</v>
      </c>
      <c r="N169" s="392" t="s">
        <v>7273</v>
      </c>
      <c r="O169" s="392" t="s">
        <v>7273</v>
      </c>
      <c r="P169"/>
      <c r="Q169"/>
      <c r="R169" s="387">
        <f>VLOOKUP(E169,'[1]NDB Impacted SPRFs 05032013'!$A$2:$A$65536,1,FALSE)</f>
        <v>400050867</v>
      </c>
      <c r="S169" s="128"/>
      <c r="T169" s="128"/>
      <c r="U169" s="128"/>
    </row>
    <row r="170" spans="1:21" s="159" customFormat="1" ht="60" x14ac:dyDescent="0.25">
      <c r="A170" s="63">
        <f>MATCH($E170,'D1 - Master Project Table'!$B$24:$B$7056,0)</f>
        <v>1793</v>
      </c>
      <c r="B170" s="63" t="b">
        <f t="shared" si="6"/>
        <v>0</v>
      </c>
      <c r="C170" s="63" t="b">
        <f t="shared" si="7"/>
        <v>0</v>
      </c>
      <c r="D170" s="63" t="str">
        <f t="shared" si="8"/>
        <v>OK</v>
      </c>
      <c r="E170" s="393">
        <v>400054266</v>
      </c>
      <c r="F170" s="392" t="s">
        <v>3149</v>
      </c>
      <c r="G170" s="392" t="s">
        <v>5324</v>
      </c>
      <c r="H170" s="392" t="s">
        <v>4917</v>
      </c>
      <c r="I170" s="392" t="s">
        <v>1762</v>
      </c>
      <c r="J170" s="392" t="s">
        <v>7436</v>
      </c>
      <c r="K170" s="392" t="s">
        <v>6371</v>
      </c>
      <c r="L170" s="392" t="s">
        <v>6637</v>
      </c>
      <c r="M170" s="392" t="s">
        <v>3758</v>
      </c>
      <c r="N170" s="392" t="s">
        <v>7273</v>
      </c>
      <c r="O170" s="392" t="s">
        <v>3758</v>
      </c>
      <c r="P170"/>
      <c r="Q170"/>
      <c r="R170" s="387">
        <f>VLOOKUP(E170,'[1]NDB Impacted SPRFs 05032013'!$A$2:$A$65536,1,FALSE)</f>
        <v>400054266</v>
      </c>
    </row>
    <row r="171" spans="1:21" s="159" customFormat="1" ht="60" x14ac:dyDescent="0.25">
      <c r="A171" s="63" t="e">
        <f>MATCH($E171,'D1 - Master Project Table'!$B$24:$B$7056,0)</f>
        <v>#N/A</v>
      </c>
      <c r="B171" s="63" t="b">
        <f t="shared" si="6"/>
        <v>1</v>
      </c>
      <c r="C171" s="63" t="b">
        <f t="shared" si="7"/>
        <v>1</v>
      </c>
      <c r="D171" s="63" t="str">
        <f t="shared" si="8"/>
        <v>OK</v>
      </c>
      <c r="E171" s="393">
        <v>400003836</v>
      </c>
      <c r="F171" s="392" t="s">
        <v>2550</v>
      </c>
      <c r="G171" s="392" t="s">
        <v>5787</v>
      </c>
      <c r="H171" s="392" t="s">
        <v>7418</v>
      </c>
      <c r="I171" s="392" t="s">
        <v>1824</v>
      </c>
      <c r="J171" s="392" t="s">
        <v>5008</v>
      </c>
      <c r="K171" s="392" t="s">
        <v>4671</v>
      </c>
      <c r="L171" s="392" t="s">
        <v>6207</v>
      </c>
      <c r="M171" s="392" t="s">
        <v>3758</v>
      </c>
      <c r="N171" s="392" t="s">
        <v>7273</v>
      </c>
      <c r="O171" s="392" t="s">
        <v>7273</v>
      </c>
      <c r="P171"/>
      <c r="Q171"/>
      <c r="R171" s="387">
        <f>VLOOKUP(E171,'[1]NDB Impacted SPRFs 05032013'!$A$2:$A$65536,1,FALSE)</f>
        <v>400003836</v>
      </c>
    </row>
    <row r="172" spans="1:21" s="159" customFormat="1" ht="60" x14ac:dyDescent="0.25">
      <c r="A172" s="63">
        <f>MATCH($E172,'D1 - Master Project Table'!$B$24:$B$7056,0)</f>
        <v>1508</v>
      </c>
      <c r="B172" s="63" t="b">
        <f t="shared" si="6"/>
        <v>0</v>
      </c>
      <c r="C172" s="63" t="b">
        <f t="shared" si="7"/>
        <v>1</v>
      </c>
      <c r="D172" s="63" t="str">
        <f t="shared" si="8"/>
        <v>OK</v>
      </c>
      <c r="E172" s="393">
        <v>400041805</v>
      </c>
      <c r="F172" s="392" t="s">
        <v>1583</v>
      </c>
      <c r="G172" s="392" t="s">
        <v>5324</v>
      </c>
      <c r="H172" s="392" t="s">
        <v>7418</v>
      </c>
      <c r="I172" s="392" t="s">
        <v>1759</v>
      </c>
      <c r="J172" s="392" t="s">
        <v>7476</v>
      </c>
      <c r="K172" s="392" t="s">
        <v>1584</v>
      </c>
      <c r="L172" s="392" t="s">
        <v>1664</v>
      </c>
      <c r="M172" s="392" t="s">
        <v>3758</v>
      </c>
      <c r="N172" s="392" t="s">
        <v>7273</v>
      </c>
      <c r="O172" s="392" t="s">
        <v>3758</v>
      </c>
      <c r="P172"/>
      <c r="Q172"/>
      <c r="R172" s="387">
        <f>VLOOKUP(E172,'[1]NDB Impacted SPRFs 05032013'!$A$2:$A$65536,1,FALSE)</f>
        <v>400041805</v>
      </c>
    </row>
    <row r="173" spans="1:21" s="159" customFormat="1" ht="60" x14ac:dyDescent="0.25">
      <c r="A173" s="63">
        <f>MATCH($E173,'D1 - Master Project Table'!$B$24:$B$7056,0)</f>
        <v>239</v>
      </c>
      <c r="B173" s="63" t="b">
        <f t="shared" si="6"/>
        <v>0</v>
      </c>
      <c r="C173" s="63" t="b">
        <f t="shared" si="7"/>
        <v>0</v>
      </c>
      <c r="D173" s="63" t="str">
        <f t="shared" si="8"/>
        <v>OK</v>
      </c>
      <c r="E173" s="393">
        <v>400056838</v>
      </c>
      <c r="F173" s="392" t="s">
        <v>7510</v>
      </c>
      <c r="G173" s="392" t="s">
        <v>9210</v>
      </c>
      <c r="H173" s="392" t="s">
        <v>4917</v>
      </c>
      <c r="I173" s="392" t="s">
        <v>7666</v>
      </c>
      <c r="J173" s="392" t="s">
        <v>1957</v>
      </c>
      <c r="K173" s="392" t="s">
        <v>6170</v>
      </c>
      <c r="L173" s="392" t="s">
        <v>8738</v>
      </c>
      <c r="M173" s="392" t="s">
        <v>7273</v>
      </c>
      <c r="N173" s="392" t="s">
        <v>7273</v>
      </c>
      <c r="O173" s="392" t="s">
        <v>7273</v>
      </c>
      <c r="P173"/>
      <c r="Q173"/>
      <c r="R173" s="387">
        <f>VLOOKUP(E173,'[1]NDB Impacted SPRFs 05032013'!$A$2:$A$65536,1,FALSE)</f>
        <v>400056838</v>
      </c>
      <c r="S173" s="128"/>
      <c r="T173" s="128"/>
      <c r="U173" s="128"/>
    </row>
    <row r="174" spans="1:21" s="159" customFormat="1" ht="60" x14ac:dyDescent="0.25">
      <c r="A174" s="63">
        <f>MATCH($E174,'D1 - Master Project Table'!$B$24:$B$7056,0)</f>
        <v>1344</v>
      </c>
      <c r="B174" s="63" t="b">
        <f t="shared" si="6"/>
        <v>0</v>
      </c>
      <c r="C174" s="63" t="b">
        <f t="shared" si="7"/>
        <v>1</v>
      </c>
      <c r="D174" s="63" t="str">
        <f t="shared" si="8"/>
        <v>OK</v>
      </c>
      <c r="E174" s="393">
        <v>400033120</v>
      </c>
      <c r="F174" s="392" t="s">
        <v>3623</v>
      </c>
      <c r="G174" s="392" t="s">
        <v>5324</v>
      </c>
      <c r="H174" s="392" t="s">
        <v>7418</v>
      </c>
      <c r="I174" s="392" t="s">
        <v>1595</v>
      </c>
      <c r="J174" s="392" t="s">
        <v>4796</v>
      </c>
      <c r="K174" s="392" t="s">
        <v>8075</v>
      </c>
      <c r="L174" s="392" t="s">
        <v>7543</v>
      </c>
      <c r="M174" s="392" t="s">
        <v>3758</v>
      </c>
      <c r="N174" s="392" t="s">
        <v>7273</v>
      </c>
      <c r="O174" s="392" t="s">
        <v>3758</v>
      </c>
      <c r="P174"/>
      <c r="Q174"/>
      <c r="R174" s="387">
        <f>VLOOKUP(E174,'[1]NDB Impacted SPRFs 05032013'!$A$2:$A$65536,1,FALSE)</f>
        <v>400033120</v>
      </c>
    </row>
    <row r="175" spans="1:21" s="159" customFormat="1" ht="60" x14ac:dyDescent="0.25">
      <c r="A175" s="63">
        <f>MATCH($E175,'D1 - Master Project Table'!$B$24:$B$7056,0)</f>
        <v>1831</v>
      </c>
      <c r="B175" s="63" t="b">
        <f t="shared" si="6"/>
        <v>0</v>
      </c>
      <c r="C175" s="63" t="b">
        <f t="shared" si="7"/>
        <v>1</v>
      </c>
      <c r="D175" s="63" t="str">
        <f t="shared" si="8"/>
        <v>OK</v>
      </c>
      <c r="E175" s="393">
        <v>400055534</v>
      </c>
      <c r="F175" s="392" t="s">
        <v>7667</v>
      </c>
      <c r="G175" s="392" t="s">
        <v>9210</v>
      </c>
      <c r="H175" s="392" t="s">
        <v>7418</v>
      </c>
      <c r="I175" s="392" t="s">
        <v>7666</v>
      </c>
      <c r="J175" s="392" t="s">
        <v>1957</v>
      </c>
      <c r="K175" s="392" t="s">
        <v>6170</v>
      </c>
      <c r="L175" s="392" t="s">
        <v>7694</v>
      </c>
      <c r="M175" s="392" t="s">
        <v>3758</v>
      </c>
      <c r="N175" s="392" t="s">
        <v>7273</v>
      </c>
      <c r="O175" s="392" t="s">
        <v>7273</v>
      </c>
      <c r="P175"/>
      <c r="Q175"/>
      <c r="R175" s="387">
        <f>VLOOKUP(E175,'[1]NDB Impacted SPRFs 05032013'!$A$2:$A$65536,1,FALSE)</f>
        <v>400055534</v>
      </c>
    </row>
    <row r="176" spans="1:21" s="159" customFormat="1" ht="60" x14ac:dyDescent="0.25">
      <c r="A176" s="63">
        <f>MATCH($E176,'D1 - Master Project Table'!$B$24:$B$7056,0)</f>
        <v>375</v>
      </c>
      <c r="B176" s="63" t="b">
        <f t="shared" si="6"/>
        <v>0</v>
      </c>
      <c r="C176" s="63" t="b">
        <f t="shared" si="7"/>
        <v>1</v>
      </c>
      <c r="D176" s="63" t="str">
        <f t="shared" si="8"/>
        <v>OK</v>
      </c>
      <c r="E176" s="393">
        <v>400001912</v>
      </c>
      <c r="F176" s="392" t="s">
        <v>2070</v>
      </c>
      <c r="G176" s="392" t="s">
        <v>5324</v>
      </c>
      <c r="H176" s="392" t="s">
        <v>7418</v>
      </c>
      <c r="I176" s="392" t="s">
        <v>1768</v>
      </c>
      <c r="J176" s="392" t="s">
        <v>6072</v>
      </c>
      <c r="K176" s="392" t="s">
        <v>7224</v>
      </c>
      <c r="L176" s="392" t="s">
        <v>4024</v>
      </c>
      <c r="M176" s="392" t="s">
        <v>3758</v>
      </c>
      <c r="N176" s="392" t="s">
        <v>7273</v>
      </c>
      <c r="O176" s="392" t="s">
        <v>7273</v>
      </c>
      <c r="P176"/>
      <c r="Q176"/>
      <c r="R176" s="387">
        <f>VLOOKUP(E176,'[1]NDB Impacted SPRFs 05032013'!$A$2:$A$65536,1,FALSE)</f>
        <v>400001912</v>
      </c>
      <c r="S176" s="128"/>
      <c r="T176" s="128"/>
      <c r="U176" s="128"/>
    </row>
    <row r="177" spans="1:21" s="159" customFormat="1" ht="60" x14ac:dyDescent="0.25">
      <c r="A177" s="63">
        <f>MATCH($E177,'D1 - Master Project Table'!$B$24:$B$7056,0)</f>
        <v>326</v>
      </c>
      <c r="B177" s="63" t="b">
        <f t="shared" si="6"/>
        <v>0</v>
      </c>
      <c r="C177" s="63" t="b">
        <f t="shared" si="7"/>
        <v>1</v>
      </c>
      <c r="D177" s="63" t="str">
        <f t="shared" si="8"/>
        <v>OK</v>
      </c>
      <c r="E177" s="393">
        <v>400004494</v>
      </c>
      <c r="F177" s="392" t="s">
        <v>3241</v>
      </c>
      <c r="G177" s="392" t="s">
        <v>5787</v>
      </c>
      <c r="H177" s="392" t="s">
        <v>7418</v>
      </c>
      <c r="I177" s="392" t="s">
        <v>1783</v>
      </c>
      <c r="J177" s="392" t="s">
        <v>7085</v>
      </c>
      <c r="K177" s="392" t="s">
        <v>5677</v>
      </c>
      <c r="L177" s="392" t="s">
        <v>6206</v>
      </c>
      <c r="M177" s="392" t="s">
        <v>3758</v>
      </c>
      <c r="N177" s="392" t="s">
        <v>7273</v>
      </c>
      <c r="O177" s="392" t="s">
        <v>7273</v>
      </c>
      <c r="P177"/>
      <c r="Q177"/>
      <c r="R177" s="387">
        <f>VLOOKUP(E177,'[1]NDB Impacted SPRFs 05032013'!$A$2:$A$65536,1,FALSE)</f>
        <v>400004494</v>
      </c>
    </row>
    <row r="178" spans="1:21" s="159" customFormat="1" ht="60" x14ac:dyDescent="0.25">
      <c r="A178" s="63">
        <f>MATCH($E178,'D1 - Master Project Table'!$B$24:$B$7056,0)</f>
        <v>178</v>
      </c>
      <c r="B178" s="63" t="b">
        <f t="shared" si="6"/>
        <v>0</v>
      </c>
      <c r="C178" s="63" t="b">
        <f t="shared" si="7"/>
        <v>0</v>
      </c>
      <c r="D178" s="63" t="str">
        <f t="shared" si="8"/>
        <v>OK</v>
      </c>
      <c r="E178" s="393">
        <v>400054326</v>
      </c>
      <c r="F178" s="392" t="s">
        <v>3057</v>
      </c>
      <c r="G178" s="392" t="s">
        <v>6322</v>
      </c>
      <c r="H178" s="392" t="s">
        <v>4917</v>
      </c>
      <c r="I178" s="392" t="s">
        <v>1756</v>
      </c>
      <c r="J178" s="392" t="s">
        <v>451</v>
      </c>
      <c r="K178" s="392" t="s">
        <v>1703</v>
      </c>
      <c r="L178" s="392" t="s">
        <v>3051</v>
      </c>
      <c r="M178" s="392" t="s">
        <v>7273</v>
      </c>
      <c r="N178" s="392" t="s">
        <v>7273</v>
      </c>
      <c r="O178" s="392" t="s">
        <v>7273</v>
      </c>
      <c r="P178"/>
      <c r="Q178"/>
      <c r="R178" s="387">
        <f>VLOOKUP(E178,'[1]NDB Impacted SPRFs 05032013'!$A$2:$A$65536,1,FALSE)</f>
        <v>400054326</v>
      </c>
    </row>
    <row r="179" spans="1:21" s="159" customFormat="1" ht="60" x14ac:dyDescent="0.25">
      <c r="A179" s="63">
        <f>MATCH($E179,'D1 - Master Project Table'!$B$24:$B$7056,0)</f>
        <v>1764</v>
      </c>
      <c r="B179" s="63" t="b">
        <f t="shared" si="6"/>
        <v>0</v>
      </c>
      <c r="C179" s="63" t="b">
        <f t="shared" si="7"/>
        <v>1</v>
      </c>
      <c r="D179" s="63" t="str">
        <f t="shared" si="8"/>
        <v>OK</v>
      </c>
      <c r="E179" s="393">
        <v>400048108</v>
      </c>
      <c r="F179" s="392" t="s">
        <v>1539</v>
      </c>
      <c r="G179" s="392" t="s">
        <v>6322</v>
      </c>
      <c r="H179" s="392" t="s">
        <v>7418</v>
      </c>
      <c r="I179" s="392" t="s">
        <v>1758</v>
      </c>
      <c r="J179" s="392" t="s">
        <v>2251</v>
      </c>
      <c r="K179" s="392" t="s">
        <v>1540</v>
      </c>
      <c r="L179" s="392" t="s">
        <v>8993</v>
      </c>
      <c r="M179" s="392" t="s">
        <v>7273</v>
      </c>
      <c r="N179" s="392" t="s">
        <v>7273</v>
      </c>
      <c r="O179" s="392" t="s">
        <v>3758</v>
      </c>
      <c r="P179" s="212"/>
      <c r="Q179"/>
      <c r="R179" s="387">
        <f>VLOOKUP(E179,'[1]NDB Impacted SPRFs 05032013'!$A$2:$A$65536,1,FALSE)</f>
        <v>400048108</v>
      </c>
    </row>
    <row r="180" spans="1:21" s="159" customFormat="1" ht="60" x14ac:dyDescent="0.25">
      <c r="A180" s="63">
        <f>MATCH($E180,'D1 - Master Project Table'!$B$24:$B$7056,0)</f>
        <v>198</v>
      </c>
      <c r="B180" s="147" t="b">
        <f t="shared" si="6"/>
        <v>0</v>
      </c>
      <c r="C180" s="147" t="b">
        <f t="shared" si="7"/>
        <v>1</v>
      </c>
      <c r="D180" s="147" t="str">
        <f t="shared" si="8"/>
        <v>OK</v>
      </c>
      <c r="E180" s="393">
        <v>400040896</v>
      </c>
      <c r="F180" s="392" t="s">
        <v>1578</v>
      </c>
      <c r="G180" s="392" t="s">
        <v>5324</v>
      </c>
      <c r="H180" s="392" t="s">
        <v>5314</v>
      </c>
      <c r="I180" s="392" t="s">
        <v>1759</v>
      </c>
      <c r="J180" s="392" t="s">
        <v>7476</v>
      </c>
      <c r="K180" s="392" t="s">
        <v>1579</v>
      </c>
      <c r="L180" s="392" t="s">
        <v>5910</v>
      </c>
      <c r="M180" s="392" t="s">
        <v>3758</v>
      </c>
      <c r="N180" s="392" t="s">
        <v>7273</v>
      </c>
      <c r="O180" s="392" t="s">
        <v>3758</v>
      </c>
      <c r="P180"/>
      <c r="Q180"/>
      <c r="R180" s="387">
        <f>VLOOKUP(E180,'[1]NDB Impacted SPRFs 05032013'!$A$2:$A$65536,1,FALSE)</f>
        <v>400040896</v>
      </c>
    </row>
    <row r="181" spans="1:21" s="159" customFormat="1" ht="60" x14ac:dyDescent="0.25">
      <c r="A181" s="63">
        <f>MATCH($E181,'D1 - Master Project Table'!$B$24:$B$7056,0)</f>
        <v>272</v>
      </c>
      <c r="B181" s="63" t="b">
        <f t="shared" si="6"/>
        <v>0</v>
      </c>
      <c r="C181" s="63" t="b">
        <f t="shared" si="7"/>
        <v>0</v>
      </c>
      <c r="D181" s="63" t="str">
        <f t="shared" si="8"/>
        <v>OK</v>
      </c>
      <c r="E181" s="393">
        <v>400059537</v>
      </c>
      <c r="F181" s="392" t="s">
        <v>9425</v>
      </c>
      <c r="G181" s="392" t="s">
        <v>5324</v>
      </c>
      <c r="H181" s="392" t="s">
        <v>8012</v>
      </c>
      <c r="I181" s="392" t="s">
        <v>1762</v>
      </c>
      <c r="J181" s="392" t="s">
        <v>4796</v>
      </c>
      <c r="K181" s="392" t="s">
        <v>8075</v>
      </c>
      <c r="L181" s="392" t="s">
        <v>9481</v>
      </c>
      <c r="M181" s="392" t="s">
        <v>3758</v>
      </c>
      <c r="N181" s="392" t="s">
        <v>7273</v>
      </c>
      <c r="O181" s="392" t="s">
        <v>3758</v>
      </c>
      <c r="P181"/>
      <c r="Q181"/>
      <c r="R181" s="387">
        <f>VLOOKUP(E181,'[1]NDB Impacted SPRFs 05032013'!$A$2:$A$65536,1,FALSE)</f>
        <v>400059537</v>
      </c>
    </row>
    <row r="182" spans="1:21" ht="60" x14ac:dyDescent="0.25">
      <c r="A182" s="63">
        <f>MATCH($E182,'D1 - Master Project Table'!$B$24:$B$7056,0)</f>
        <v>1345</v>
      </c>
      <c r="B182" s="63" t="b">
        <f t="shared" si="6"/>
        <v>0</v>
      </c>
      <c r="C182" s="63" t="b">
        <f t="shared" si="7"/>
        <v>1</v>
      </c>
      <c r="D182" s="63" t="str">
        <f t="shared" si="8"/>
        <v>OK</v>
      </c>
      <c r="E182" s="393">
        <v>400033121</v>
      </c>
      <c r="F182" s="392" t="s">
        <v>3624</v>
      </c>
      <c r="G182" s="392" t="s">
        <v>5324</v>
      </c>
      <c r="H182" s="392" t="s">
        <v>7418</v>
      </c>
      <c r="I182" s="392" t="s">
        <v>1595</v>
      </c>
      <c r="J182" s="392" t="s">
        <v>4796</v>
      </c>
      <c r="K182" s="392" t="s">
        <v>8075</v>
      </c>
      <c r="L182" s="392" t="s">
        <v>401</v>
      </c>
      <c r="M182" s="392" t="s">
        <v>3758</v>
      </c>
      <c r="N182" s="392" t="s">
        <v>7273</v>
      </c>
      <c r="O182" s="392" t="s">
        <v>3758</v>
      </c>
      <c r="P182"/>
      <c r="Q182"/>
      <c r="R182" s="387">
        <f>VLOOKUP(E182,'[1]NDB Impacted SPRFs 05032013'!$A$2:$A$65536,1,FALSE)</f>
        <v>400033121</v>
      </c>
    </row>
    <row r="183" spans="1:21" s="159" customFormat="1" ht="60" x14ac:dyDescent="0.25">
      <c r="A183" s="63">
        <f>MATCH($E183,'D1 - Master Project Table'!$B$24:$B$7056,0)</f>
        <v>2214</v>
      </c>
      <c r="B183" s="63" t="b">
        <f t="shared" si="6"/>
        <v>0</v>
      </c>
      <c r="C183" s="63" t="b">
        <f t="shared" si="7"/>
        <v>1</v>
      </c>
      <c r="D183" s="63" t="str">
        <f t="shared" si="8"/>
        <v>OK</v>
      </c>
      <c r="E183" s="393">
        <v>400022471</v>
      </c>
      <c r="F183" s="392" t="s">
        <v>3960</v>
      </c>
      <c r="G183" s="392" t="s">
        <v>5324</v>
      </c>
      <c r="H183" s="392" t="s">
        <v>5314</v>
      </c>
      <c r="I183" s="392" t="s">
        <v>1756</v>
      </c>
      <c r="J183" s="392" t="s">
        <v>5647</v>
      </c>
      <c r="K183" s="392" t="s">
        <v>1506</v>
      </c>
      <c r="L183" s="392" t="s">
        <v>393</v>
      </c>
      <c r="M183" s="392" t="s">
        <v>3758</v>
      </c>
      <c r="N183" s="392" t="s">
        <v>7273</v>
      </c>
      <c r="O183" s="392" t="s">
        <v>7273</v>
      </c>
      <c r="P183"/>
      <c r="Q183"/>
      <c r="R183" s="387">
        <f>VLOOKUP(E183,'[1]NDB Impacted SPRFs 05032013'!$A$2:$A$65536,1,FALSE)</f>
        <v>400022471</v>
      </c>
    </row>
    <row r="184" spans="1:21" s="159" customFormat="1" ht="60" x14ac:dyDescent="0.25">
      <c r="A184" s="63">
        <f>MATCH($E184,'D1 - Master Project Table'!$B$24:$B$7056,0)</f>
        <v>3050</v>
      </c>
      <c r="B184" s="63" t="b">
        <f t="shared" si="6"/>
        <v>0</v>
      </c>
      <c r="C184" s="63" t="b">
        <f t="shared" si="7"/>
        <v>1</v>
      </c>
      <c r="D184" s="63" t="str">
        <f t="shared" si="8"/>
        <v>OK</v>
      </c>
      <c r="E184" s="393">
        <v>400043075</v>
      </c>
      <c r="F184" s="392" t="s">
        <v>1157</v>
      </c>
      <c r="G184" s="392" t="s">
        <v>5324</v>
      </c>
      <c r="H184" s="392" t="s">
        <v>5314</v>
      </c>
      <c r="I184" s="392" t="s">
        <v>1762</v>
      </c>
      <c r="J184" s="392" t="s">
        <v>880</v>
      </c>
      <c r="K184" s="392" t="s">
        <v>8075</v>
      </c>
      <c r="L184" s="392" t="s">
        <v>4899</v>
      </c>
      <c r="M184" s="392" t="s">
        <v>3758</v>
      </c>
      <c r="N184" s="392" t="s">
        <v>7273</v>
      </c>
      <c r="O184" s="392" t="s">
        <v>3758</v>
      </c>
      <c r="P184"/>
      <c r="Q184"/>
      <c r="R184" s="387">
        <f>VLOOKUP(E184,'[1]NDB Impacted SPRFs 05032013'!$A$2:$A$65536,1,FALSE)</f>
        <v>400043075</v>
      </c>
    </row>
    <row r="185" spans="1:21" s="159" customFormat="1" ht="60" x14ac:dyDescent="0.25">
      <c r="A185" s="63">
        <f>MATCH($E185,'D1 - Master Project Table'!$B$24:$B$7056,0)</f>
        <v>1553</v>
      </c>
      <c r="B185" s="63" t="b">
        <f t="shared" si="6"/>
        <v>0</v>
      </c>
      <c r="C185" s="63" t="b">
        <f t="shared" si="7"/>
        <v>0</v>
      </c>
      <c r="D185" s="63" t="str">
        <f t="shared" si="8"/>
        <v>OK</v>
      </c>
      <c r="E185" s="393">
        <v>400040033</v>
      </c>
      <c r="F185" s="392" t="s">
        <v>6992</v>
      </c>
      <c r="G185" s="392" t="s">
        <v>6322</v>
      </c>
      <c r="H185" s="392" t="s">
        <v>4917</v>
      </c>
      <c r="I185" s="392" t="s">
        <v>1756</v>
      </c>
      <c r="J185" s="392" t="s">
        <v>3059</v>
      </c>
      <c r="K185" s="392" t="s">
        <v>6993</v>
      </c>
      <c r="L185" s="392" t="s">
        <v>3060</v>
      </c>
      <c r="M185" s="392" t="s">
        <v>7273</v>
      </c>
      <c r="N185" s="392" t="s">
        <v>7273</v>
      </c>
      <c r="O185" s="392" t="s">
        <v>3758</v>
      </c>
      <c r="P185"/>
      <c r="Q185"/>
      <c r="R185" s="387">
        <f>VLOOKUP(E185,'[1]NDB Impacted SPRFs 05032013'!$A$2:$A$65536,1,FALSE)</f>
        <v>400040033</v>
      </c>
    </row>
    <row r="186" spans="1:21" s="159" customFormat="1" ht="60" x14ac:dyDescent="0.25">
      <c r="A186" s="63" t="e">
        <f>MATCH($E186,'D1 - Master Project Table'!$B$24:$B$7056,0)</f>
        <v>#N/A</v>
      </c>
      <c r="B186" s="63" t="b">
        <f t="shared" si="6"/>
        <v>1</v>
      </c>
      <c r="C186" s="63" t="b">
        <f t="shared" si="7"/>
        <v>1</v>
      </c>
      <c r="D186" s="63" t="str">
        <f t="shared" si="8"/>
        <v>OK</v>
      </c>
      <c r="E186" s="393">
        <v>400012996</v>
      </c>
      <c r="F186" s="392" t="s">
        <v>3748</v>
      </c>
      <c r="G186" s="392" t="s">
        <v>5787</v>
      </c>
      <c r="H186" s="392" t="s">
        <v>7418</v>
      </c>
      <c r="I186" s="392" t="s">
        <v>1771</v>
      </c>
      <c r="J186" s="392" t="s">
        <v>3245</v>
      </c>
      <c r="K186" s="392" t="s">
        <v>6963</v>
      </c>
      <c r="L186" s="392" t="s">
        <v>7080</v>
      </c>
      <c r="M186" s="392" t="s">
        <v>3758</v>
      </c>
      <c r="N186" s="392" t="s">
        <v>7273</v>
      </c>
      <c r="O186" s="392" t="s">
        <v>7273</v>
      </c>
      <c r="P186"/>
      <c r="Q186"/>
      <c r="R186" s="387">
        <f>VLOOKUP(E186,'[1]NDB Impacted SPRFs 05032013'!$A$2:$A$65536,1,FALSE)</f>
        <v>400012996</v>
      </c>
    </row>
    <row r="187" spans="1:21" s="159" customFormat="1" ht="60" x14ac:dyDescent="0.25">
      <c r="A187" s="63">
        <f>MATCH($E187,'D1 - Master Project Table'!$B$24:$B$7056,0)</f>
        <v>1559</v>
      </c>
      <c r="B187" s="63" t="b">
        <f t="shared" si="6"/>
        <v>0</v>
      </c>
      <c r="C187" s="63" t="b">
        <f t="shared" si="7"/>
        <v>1</v>
      </c>
      <c r="D187" s="63" t="str">
        <f t="shared" si="8"/>
        <v>OK</v>
      </c>
      <c r="E187" s="393">
        <v>400042323</v>
      </c>
      <c r="F187" s="392" t="s">
        <v>2262</v>
      </c>
      <c r="G187" s="392" t="s">
        <v>6322</v>
      </c>
      <c r="H187" s="392" t="s">
        <v>7418</v>
      </c>
      <c r="I187" s="392" t="s">
        <v>1756</v>
      </c>
      <c r="J187" s="392" t="s">
        <v>3059</v>
      </c>
      <c r="K187" s="392" t="s">
        <v>4978</v>
      </c>
      <c r="L187" s="392" t="s">
        <v>3187</v>
      </c>
      <c r="M187" s="392" t="s">
        <v>7273</v>
      </c>
      <c r="N187" s="392" t="s">
        <v>7273</v>
      </c>
      <c r="O187" s="392" t="s">
        <v>3758</v>
      </c>
      <c r="P187"/>
      <c r="Q187"/>
      <c r="R187" s="387">
        <f>VLOOKUP(E187,'[1]NDB Impacted SPRFs 05032013'!$A$2:$A$65536,1,FALSE)</f>
        <v>400042323</v>
      </c>
    </row>
    <row r="188" spans="1:21" s="159" customFormat="1" ht="60" x14ac:dyDescent="0.25">
      <c r="A188" s="63">
        <f>MATCH($E188,'D1 - Master Project Table'!$B$24:$B$7056,0)</f>
        <v>1391</v>
      </c>
      <c r="B188" s="63" t="b">
        <f t="shared" si="6"/>
        <v>0</v>
      </c>
      <c r="C188" s="63" t="b">
        <f t="shared" si="7"/>
        <v>1</v>
      </c>
      <c r="D188" s="63" t="str">
        <f t="shared" si="8"/>
        <v>OK</v>
      </c>
      <c r="E188" s="393">
        <v>400033431</v>
      </c>
      <c r="F188" s="392" t="s">
        <v>3404</v>
      </c>
      <c r="G188" s="392" t="s">
        <v>5324</v>
      </c>
      <c r="H188" s="392" t="s">
        <v>7418</v>
      </c>
      <c r="I188" s="392" t="s">
        <v>1759</v>
      </c>
      <c r="J188" s="392" t="s">
        <v>4844</v>
      </c>
      <c r="K188" s="392" t="s">
        <v>3820</v>
      </c>
      <c r="L188" s="392" t="s">
        <v>2619</v>
      </c>
      <c r="M188" s="392" t="s">
        <v>3758</v>
      </c>
      <c r="N188" s="392" t="s">
        <v>7273</v>
      </c>
      <c r="O188" s="392" t="s">
        <v>3758</v>
      </c>
      <c r="P188"/>
      <c r="Q188"/>
      <c r="R188" s="387">
        <f>VLOOKUP(E188,'[1]NDB Impacted SPRFs 05032013'!$A$2:$A$65536,1,FALSE)</f>
        <v>400033431</v>
      </c>
    </row>
    <row r="189" spans="1:21" s="159" customFormat="1" ht="60" x14ac:dyDescent="0.25">
      <c r="A189" s="63">
        <f>MATCH($E189,'D1 - Master Project Table'!$B$24:$B$7056,0)</f>
        <v>1037</v>
      </c>
      <c r="B189" s="63" t="b">
        <f t="shared" si="6"/>
        <v>0</v>
      </c>
      <c r="C189" s="63" t="b">
        <f t="shared" si="7"/>
        <v>1</v>
      </c>
      <c r="D189" s="63" t="str">
        <f t="shared" si="8"/>
        <v>OK</v>
      </c>
      <c r="E189" s="393">
        <v>400027649</v>
      </c>
      <c r="F189" s="392" t="s">
        <v>5736</v>
      </c>
      <c r="G189" s="392" t="s">
        <v>5325</v>
      </c>
      <c r="H189" s="392" t="s">
        <v>7418</v>
      </c>
      <c r="I189" s="392" t="s">
        <v>1800</v>
      </c>
      <c r="J189" s="392" t="s">
        <v>3158</v>
      </c>
      <c r="K189" s="392" t="s">
        <v>5694</v>
      </c>
      <c r="L189" s="392" t="s">
        <v>7927</v>
      </c>
      <c r="M189" s="392" t="s">
        <v>3758</v>
      </c>
      <c r="N189" s="392" t="s">
        <v>7273</v>
      </c>
      <c r="O189" s="392" t="s">
        <v>3758</v>
      </c>
      <c r="P189"/>
      <c r="Q189"/>
      <c r="R189" s="387">
        <f>VLOOKUP(E189,'[1]NDB Impacted SPRFs 05032013'!$A$2:$A$65536,1,FALSE)</f>
        <v>400027649</v>
      </c>
      <c r="S189" s="128"/>
      <c r="T189" s="128"/>
      <c r="U189" s="128"/>
    </row>
    <row r="190" spans="1:21" ht="60" x14ac:dyDescent="0.25">
      <c r="A190" s="63" t="e">
        <f>MATCH($E190,'D1 - Master Project Table'!$B$24:$B$7056,0)</f>
        <v>#N/A</v>
      </c>
      <c r="B190" s="63" t="b">
        <f t="shared" si="6"/>
        <v>1</v>
      </c>
      <c r="C190" s="63" t="b">
        <f t="shared" si="7"/>
        <v>1</v>
      </c>
      <c r="D190" s="63" t="str">
        <f t="shared" si="8"/>
        <v>OK</v>
      </c>
      <c r="E190" s="393">
        <v>400003192</v>
      </c>
      <c r="F190" s="392" t="s">
        <v>3242</v>
      </c>
      <c r="G190" s="392" t="s">
        <v>5324</v>
      </c>
      <c r="H190" s="392" t="s">
        <v>7418</v>
      </c>
      <c r="I190" s="392" t="s">
        <v>1765</v>
      </c>
      <c r="J190" s="392" t="s">
        <v>3264</v>
      </c>
      <c r="K190" s="392" t="s">
        <v>4718</v>
      </c>
      <c r="L190" s="392" t="s">
        <v>6766</v>
      </c>
      <c r="M190" s="392" t="s">
        <v>3758</v>
      </c>
      <c r="N190" s="392" t="s">
        <v>7273</v>
      </c>
      <c r="O190" s="392" t="s">
        <v>7273</v>
      </c>
      <c r="P190"/>
      <c r="Q190"/>
      <c r="R190" s="387">
        <f>VLOOKUP(E190,'[1]NDB Impacted SPRFs 05032013'!$A$2:$A$65536,1,FALSE)</f>
        <v>400003192</v>
      </c>
      <c r="S190" s="159"/>
      <c r="T190" s="159"/>
      <c r="U190" s="159"/>
    </row>
    <row r="191" spans="1:21" ht="60" x14ac:dyDescent="0.25">
      <c r="A191" s="63">
        <f>MATCH($E191,'D1 - Master Project Table'!$B$24:$B$7056,0)</f>
        <v>1713</v>
      </c>
      <c r="B191" s="63" t="b">
        <f t="shared" si="6"/>
        <v>0</v>
      </c>
      <c r="C191" s="63" t="b">
        <f t="shared" si="7"/>
        <v>1</v>
      </c>
      <c r="D191" s="63" t="str">
        <f t="shared" si="8"/>
        <v>OK</v>
      </c>
      <c r="E191" s="393">
        <v>400046667</v>
      </c>
      <c r="F191" s="392" t="s">
        <v>1398</v>
      </c>
      <c r="G191" s="392" t="s">
        <v>6322</v>
      </c>
      <c r="H191" s="392" t="s">
        <v>7418</v>
      </c>
      <c r="I191" s="392" t="s">
        <v>1756</v>
      </c>
      <c r="J191" s="392" t="s">
        <v>2372</v>
      </c>
      <c r="K191" s="392" t="s">
        <v>4978</v>
      </c>
      <c r="L191" s="392" t="s">
        <v>8884</v>
      </c>
      <c r="M191" s="392" t="s">
        <v>7273</v>
      </c>
      <c r="N191" s="392" t="s">
        <v>7273</v>
      </c>
      <c r="O191" s="392" t="s">
        <v>3758</v>
      </c>
      <c r="P191"/>
      <c r="Q191"/>
      <c r="R191" s="387">
        <f>VLOOKUP(E191,'[1]NDB Impacted SPRFs 05032013'!$A$2:$A$65536,1,FALSE)</f>
        <v>400046667</v>
      </c>
      <c r="S191" s="159"/>
      <c r="T191" s="159"/>
      <c r="U191" s="159"/>
    </row>
    <row r="192" spans="1:21" s="159" customFormat="1" ht="60" x14ac:dyDescent="0.25">
      <c r="A192" s="63">
        <f>MATCH($E192,'D1 - Master Project Table'!$B$24:$B$7056,0)</f>
        <v>564</v>
      </c>
      <c r="B192" s="63" t="b">
        <f t="shared" si="6"/>
        <v>0</v>
      </c>
      <c r="C192" s="63" t="b">
        <f t="shared" si="7"/>
        <v>1</v>
      </c>
      <c r="D192" s="63" t="str">
        <f t="shared" si="8"/>
        <v>OK</v>
      </c>
      <c r="E192" s="393">
        <v>400012858</v>
      </c>
      <c r="F192" s="392" t="s">
        <v>5668</v>
      </c>
      <c r="G192" s="392" t="s">
        <v>5324</v>
      </c>
      <c r="H192" s="392" t="s">
        <v>7418</v>
      </c>
      <c r="I192" s="392" t="s">
        <v>1756</v>
      </c>
      <c r="J192" s="392" t="s">
        <v>4161</v>
      </c>
      <c r="K192" s="392" t="s">
        <v>1506</v>
      </c>
      <c r="L192" s="392" t="s">
        <v>3847</v>
      </c>
      <c r="M192" s="392" t="s">
        <v>3758</v>
      </c>
      <c r="N192" s="392" t="s">
        <v>7273</v>
      </c>
      <c r="O192" s="392" t="s">
        <v>7273</v>
      </c>
      <c r="P192"/>
      <c r="Q192"/>
      <c r="R192" s="387">
        <f>VLOOKUP(E192,'[1]NDB Impacted SPRFs 05032013'!$A$2:$A$65536,1,FALSE)</f>
        <v>400012858</v>
      </c>
    </row>
    <row r="193" spans="1:21" s="159" customFormat="1" ht="60" x14ac:dyDescent="0.25">
      <c r="A193" s="63">
        <f>MATCH($E193,'D1 - Master Project Table'!$B$24:$B$7056,0)</f>
        <v>1936</v>
      </c>
      <c r="B193" s="63" t="b">
        <f t="shared" si="6"/>
        <v>0</v>
      </c>
      <c r="C193" s="63" t="b">
        <f t="shared" si="7"/>
        <v>1</v>
      </c>
      <c r="D193" s="63" t="str">
        <f t="shared" si="8"/>
        <v>OK</v>
      </c>
      <c r="E193" s="393">
        <v>400017474</v>
      </c>
      <c r="F193" s="392" t="s">
        <v>4507</v>
      </c>
      <c r="G193" s="392" t="s">
        <v>5324</v>
      </c>
      <c r="H193" s="392" t="s">
        <v>7418</v>
      </c>
      <c r="I193" s="392" t="s">
        <v>1758</v>
      </c>
      <c r="J193" s="392" t="s">
        <v>4508</v>
      </c>
      <c r="K193" s="392" t="s">
        <v>4509</v>
      </c>
      <c r="L193" s="392" t="s">
        <v>8885</v>
      </c>
      <c r="M193" s="392" t="s">
        <v>3758</v>
      </c>
      <c r="N193" s="392" t="s">
        <v>7273</v>
      </c>
      <c r="O193" s="392" t="s">
        <v>7273</v>
      </c>
      <c r="P193"/>
      <c r="Q193"/>
      <c r="R193" s="387">
        <f>VLOOKUP(E193,'[1]NDB Impacted SPRFs 05032013'!$A$2:$A$65536,1,FALSE)</f>
        <v>400017474</v>
      </c>
    </row>
    <row r="194" spans="1:21" s="159" customFormat="1" ht="60" x14ac:dyDescent="0.25">
      <c r="A194" s="63">
        <f>MATCH($E194,'D1 - Master Project Table'!$B$24:$B$7056,0)</f>
        <v>1426</v>
      </c>
      <c r="B194" s="63" t="b">
        <f t="shared" si="6"/>
        <v>0</v>
      </c>
      <c r="C194" s="63" t="b">
        <f t="shared" si="7"/>
        <v>1</v>
      </c>
      <c r="D194" s="63" t="str">
        <f t="shared" si="8"/>
        <v>OK</v>
      </c>
      <c r="E194" s="393">
        <v>400038388</v>
      </c>
      <c r="F194" s="392" t="s">
        <v>5069</v>
      </c>
      <c r="G194" s="392" t="s">
        <v>5325</v>
      </c>
      <c r="H194" s="392" t="s">
        <v>7418</v>
      </c>
      <c r="I194" s="392" t="s">
        <v>1762</v>
      </c>
      <c r="J194" s="392" t="s">
        <v>6011</v>
      </c>
      <c r="K194" s="392" t="s">
        <v>6348</v>
      </c>
      <c r="L194" s="392" t="s">
        <v>7925</v>
      </c>
      <c r="M194" s="392" t="s">
        <v>3758</v>
      </c>
      <c r="N194" s="392" t="s">
        <v>7273</v>
      </c>
      <c r="O194" s="392" t="s">
        <v>7273</v>
      </c>
      <c r="P194"/>
      <c r="Q194"/>
      <c r="R194" s="387">
        <f>VLOOKUP(E194,'[1]NDB Impacted SPRFs 05032013'!$A$2:$A$65536,1,FALSE)</f>
        <v>400038388</v>
      </c>
    </row>
    <row r="195" spans="1:21" s="159" customFormat="1" ht="60" x14ac:dyDescent="0.25">
      <c r="A195" s="63">
        <f>MATCH($E195,'D1 - Master Project Table'!$B$24:$B$7056,0)</f>
        <v>3000</v>
      </c>
      <c r="B195" s="63" t="b">
        <f t="shared" si="6"/>
        <v>0</v>
      </c>
      <c r="C195" s="63" t="b">
        <f t="shared" si="7"/>
        <v>1</v>
      </c>
      <c r="D195" s="63" t="str">
        <f t="shared" si="8"/>
        <v>OK</v>
      </c>
      <c r="E195" s="393">
        <v>400039290</v>
      </c>
      <c r="F195" s="392" t="s">
        <v>7326</v>
      </c>
      <c r="G195" s="392" t="s">
        <v>5325</v>
      </c>
      <c r="H195" s="392" t="s">
        <v>5314</v>
      </c>
      <c r="I195" s="392" t="s">
        <v>6419</v>
      </c>
      <c r="J195" s="392" t="s">
        <v>7566</v>
      </c>
      <c r="K195" s="392" t="s">
        <v>5162</v>
      </c>
      <c r="L195" s="392" t="s">
        <v>9250</v>
      </c>
      <c r="M195" s="392" t="s">
        <v>7273</v>
      </c>
      <c r="N195" s="392" t="s">
        <v>7273</v>
      </c>
      <c r="O195" s="392" t="s">
        <v>7273</v>
      </c>
      <c r="P195"/>
      <c r="Q195"/>
      <c r="R195" s="387">
        <f>VLOOKUP(E195,'[1]NDB Impacted SPRFs 05032013'!$A$2:$A$65536,1,FALSE)</f>
        <v>400039290</v>
      </c>
    </row>
    <row r="196" spans="1:21" s="159" customFormat="1" ht="60" x14ac:dyDescent="0.25">
      <c r="A196" s="63">
        <f>MATCH($E196,'D1 - Master Project Table'!$B$24:$B$7056,0)</f>
        <v>34</v>
      </c>
      <c r="B196" s="63" t="b">
        <f t="shared" si="6"/>
        <v>0</v>
      </c>
      <c r="C196" s="63" t="b">
        <f t="shared" si="7"/>
        <v>0</v>
      </c>
      <c r="D196" s="63" t="str">
        <f t="shared" si="8"/>
        <v>OK</v>
      </c>
      <c r="E196" s="393">
        <v>400047477</v>
      </c>
      <c r="F196" s="392" t="s">
        <v>1330</v>
      </c>
      <c r="G196" s="392" t="s">
        <v>5324</v>
      </c>
      <c r="H196" s="392" t="s">
        <v>4917</v>
      </c>
      <c r="I196" s="392" t="s">
        <v>1762</v>
      </c>
      <c r="J196" s="392" t="s">
        <v>4796</v>
      </c>
      <c r="K196" s="392" t="s">
        <v>8075</v>
      </c>
      <c r="L196" s="392" t="s">
        <v>9214</v>
      </c>
      <c r="M196" s="392" t="s">
        <v>3758</v>
      </c>
      <c r="N196" s="392" t="s">
        <v>7273</v>
      </c>
      <c r="O196" s="392" t="s">
        <v>3758</v>
      </c>
      <c r="P196"/>
      <c r="Q196"/>
      <c r="R196" s="387">
        <f>VLOOKUP(E196,'[1]NDB Impacted SPRFs 05032013'!$A$2:$A$65536,1,FALSE)</f>
        <v>400047477</v>
      </c>
    </row>
    <row r="197" spans="1:21" s="159" customFormat="1" ht="60" x14ac:dyDescent="0.25">
      <c r="A197" s="63">
        <f>MATCH($E197,'D1 - Master Project Table'!$B$24:$B$7056,0)</f>
        <v>1841</v>
      </c>
      <c r="B197" s="63" t="b">
        <f t="shared" si="6"/>
        <v>0</v>
      </c>
      <c r="C197" s="63" t="b">
        <f t="shared" si="7"/>
        <v>1</v>
      </c>
      <c r="D197" s="63" t="str">
        <f t="shared" si="8"/>
        <v>OK</v>
      </c>
      <c r="E197" s="393">
        <v>400057864</v>
      </c>
      <c r="F197" s="392" t="s">
        <v>8236</v>
      </c>
      <c r="G197" s="392" t="s">
        <v>5325</v>
      </c>
      <c r="H197" s="392" t="s">
        <v>7418</v>
      </c>
      <c r="I197" s="392" t="s">
        <v>1758</v>
      </c>
      <c r="J197" s="392" t="s">
        <v>3158</v>
      </c>
      <c r="K197" s="392" t="s">
        <v>8237</v>
      </c>
      <c r="L197" s="392" t="s">
        <v>9308</v>
      </c>
      <c r="M197" s="392" t="s">
        <v>7273</v>
      </c>
      <c r="N197" s="392" t="s">
        <v>7273</v>
      </c>
      <c r="O197" s="392" t="s">
        <v>7273</v>
      </c>
      <c r="P197"/>
      <c r="Q197"/>
      <c r="R197" s="387">
        <f>VLOOKUP(E197,'[1]NDB Impacted SPRFs 05032013'!$A$2:$A$65536,1,FALSE)</f>
        <v>400057864</v>
      </c>
    </row>
    <row r="198" spans="1:21" s="159" customFormat="1" ht="60" x14ac:dyDescent="0.25">
      <c r="A198" s="63">
        <f>MATCH($E198,'D1 - Master Project Table'!$B$24:$B$7056,0)</f>
        <v>3082</v>
      </c>
      <c r="B198" s="63" t="b">
        <f t="shared" ref="B198:B261" si="9">ISERROR(A198)</f>
        <v>0</v>
      </c>
      <c r="C198" s="63" t="b">
        <f t="shared" ref="C198:C261" si="10">OR(H198="Completed",H198="Cancelled")</f>
        <v>1</v>
      </c>
      <c r="D198" s="63" t="str">
        <f t="shared" ref="D198:D261" si="11">IF(AND(B198=TRUE,C198=FALSE),"Add","OK")</f>
        <v>OK</v>
      </c>
      <c r="E198" s="393">
        <v>400047130</v>
      </c>
      <c r="F198" s="392" t="s">
        <v>8124</v>
      </c>
      <c r="G198" s="392" t="s">
        <v>5324</v>
      </c>
      <c r="H198" s="392" t="s">
        <v>5314</v>
      </c>
      <c r="I198" s="392" t="s">
        <v>1595</v>
      </c>
      <c r="J198" s="392" t="s">
        <v>6768</v>
      </c>
      <c r="K198" s="392" t="s">
        <v>6371</v>
      </c>
      <c r="L198" s="392" t="s">
        <v>8886</v>
      </c>
      <c r="M198" s="392" t="s">
        <v>3758</v>
      </c>
      <c r="N198" s="392" t="s">
        <v>7273</v>
      </c>
      <c r="O198" s="392" t="s">
        <v>3758</v>
      </c>
      <c r="P198"/>
      <c r="Q198"/>
      <c r="R198" s="387">
        <f>VLOOKUP(E198,'[1]NDB Impacted SPRFs 05032013'!$A$2:$A$65536,1,FALSE)</f>
        <v>400047130</v>
      </c>
    </row>
    <row r="199" spans="1:21" s="159" customFormat="1" ht="60" x14ac:dyDescent="0.25">
      <c r="A199" s="63">
        <f>MATCH($E199,'D1 - Master Project Table'!$B$24:$B$7056,0)</f>
        <v>609</v>
      </c>
      <c r="B199" s="63" t="b">
        <f t="shared" si="9"/>
        <v>0</v>
      </c>
      <c r="C199" s="63" t="b">
        <f t="shared" si="10"/>
        <v>1</v>
      </c>
      <c r="D199" s="63" t="str">
        <f t="shared" si="11"/>
        <v>OK</v>
      </c>
      <c r="E199" s="393">
        <v>400010930</v>
      </c>
      <c r="F199" s="392" t="s">
        <v>2901</v>
      </c>
      <c r="G199" s="392" t="s">
        <v>5787</v>
      </c>
      <c r="H199" s="392" t="s">
        <v>7418</v>
      </c>
      <c r="I199" s="392" t="s">
        <v>1771</v>
      </c>
      <c r="J199" s="392" t="s">
        <v>3245</v>
      </c>
      <c r="K199" s="392" t="s">
        <v>6963</v>
      </c>
      <c r="L199" s="392" t="s">
        <v>4013</v>
      </c>
      <c r="M199" s="392" t="s">
        <v>3758</v>
      </c>
      <c r="N199" s="392" t="s">
        <v>7273</v>
      </c>
      <c r="O199" s="392" t="s">
        <v>7273</v>
      </c>
      <c r="P199"/>
      <c r="Q199"/>
      <c r="R199" s="387">
        <f>VLOOKUP(E199,'[1]NDB Impacted SPRFs 05032013'!$A$2:$A$65536,1,FALSE)</f>
        <v>400010930</v>
      </c>
      <c r="S199" s="128"/>
      <c r="T199" s="128"/>
      <c r="U199" s="128"/>
    </row>
    <row r="200" spans="1:21" ht="60" x14ac:dyDescent="0.25">
      <c r="A200" s="63">
        <f>MATCH($E200,'D1 - Master Project Table'!$B$24:$B$7056,0)</f>
        <v>1972</v>
      </c>
      <c r="B200" s="63" t="b">
        <f t="shared" si="9"/>
        <v>0</v>
      </c>
      <c r="C200" s="63" t="b">
        <f t="shared" si="10"/>
        <v>1</v>
      </c>
      <c r="D200" s="63" t="str">
        <f t="shared" si="11"/>
        <v>OK</v>
      </c>
      <c r="E200" s="393">
        <v>400025619</v>
      </c>
      <c r="F200" s="392" t="s">
        <v>7749</v>
      </c>
      <c r="G200" s="392" t="s">
        <v>9210</v>
      </c>
      <c r="H200" s="392" t="s">
        <v>7418</v>
      </c>
      <c r="I200" s="392" t="s">
        <v>2663</v>
      </c>
      <c r="J200" s="392" t="s">
        <v>8767</v>
      </c>
      <c r="K200" s="392" t="s">
        <v>4861</v>
      </c>
      <c r="L200" s="392" t="s">
        <v>3999</v>
      </c>
      <c r="M200" s="392" t="s">
        <v>3758</v>
      </c>
      <c r="N200" s="392" t="s">
        <v>7273</v>
      </c>
      <c r="O200" s="392" t="s">
        <v>7273</v>
      </c>
      <c r="P200"/>
      <c r="Q200"/>
      <c r="R200" s="387">
        <f>VLOOKUP(E200,'[1]NDB Impacted SPRFs 05032013'!$A$2:$A$65536,1,FALSE)</f>
        <v>400025619</v>
      </c>
      <c r="S200" s="159"/>
      <c r="T200" s="159"/>
      <c r="U200" s="159"/>
    </row>
    <row r="201" spans="1:21" s="159" customFormat="1" ht="60" x14ac:dyDescent="0.25">
      <c r="A201" s="63">
        <f>MATCH($E201,'D1 - Master Project Table'!$B$24:$B$7056,0)</f>
        <v>2789</v>
      </c>
      <c r="B201" s="63" t="b">
        <f t="shared" si="9"/>
        <v>0</v>
      </c>
      <c r="C201" s="63" t="b">
        <f t="shared" si="10"/>
        <v>1</v>
      </c>
      <c r="D201" s="63" t="str">
        <f t="shared" si="11"/>
        <v>OK</v>
      </c>
      <c r="E201" s="393">
        <v>400022538</v>
      </c>
      <c r="F201" s="392" t="s">
        <v>2443</v>
      </c>
      <c r="G201" s="392" t="s">
        <v>5324</v>
      </c>
      <c r="H201" s="392" t="s">
        <v>5314</v>
      </c>
      <c r="I201" s="392" t="s">
        <v>1756</v>
      </c>
      <c r="J201" s="392" t="s">
        <v>5647</v>
      </c>
      <c r="K201" s="392" t="s">
        <v>1506</v>
      </c>
      <c r="L201" s="392" t="s">
        <v>8887</v>
      </c>
      <c r="M201" s="392" t="s">
        <v>3758</v>
      </c>
      <c r="N201" s="392" t="s">
        <v>7273</v>
      </c>
      <c r="O201" s="392" t="s">
        <v>7273</v>
      </c>
      <c r="P201"/>
      <c r="Q201"/>
      <c r="R201" s="387">
        <f>VLOOKUP(E201,'[1]NDB Impacted SPRFs 05032013'!$A$2:$A$65536,1,FALSE)</f>
        <v>400022538</v>
      </c>
    </row>
    <row r="202" spans="1:21" s="159" customFormat="1" ht="60" x14ac:dyDescent="0.25">
      <c r="A202" s="63">
        <f>MATCH($E202,'D1 - Master Project Table'!$B$24:$B$7056,0)</f>
        <v>1907</v>
      </c>
      <c r="B202" s="63" t="b">
        <f t="shared" si="9"/>
        <v>0</v>
      </c>
      <c r="C202" s="63" t="b">
        <f t="shared" si="10"/>
        <v>1</v>
      </c>
      <c r="D202" s="63" t="str">
        <f t="shared" si="11"/>
        <v>OK</v>
      </c>
      <c r="E202" s="393">
        <v>400008078</v>
      </c>
      <c r="F202" s="392" t="s">
        <v>5705</v>
      </c>
      <c r="G202" s="392" t="s">
        <v>3441</v>
      </c>
      <c r="H202" s="392" t="s">
        <v>7418</v>
      </c>
      <c r="I202" s="392" t="s">
        <v>1770</v>
      </c>
      <c r="J202" s="392" t="s">
        <v>3367</v>
      </c>
      <c r="K202" s="392" t="s">
        <v>5541</v>
      </c>
      <c r="L202" s="392" t="s">
        <v>2438</v>
      </c>
      <c r="M202" s="392" t="s">
        <v>3758</v>
      </c>
      <c r="N202" s="392" t="s">
        <v>7273</v>
      </c>
      <c r="O202" s="392" t="s">
        <v>7273</v>
      </c>
      <c r="P202"/>
      <c r="Q202"/>
      <c r="R202" s="387">
        <f>VLOOKUP(E202,'[1]NDB Impacted SPRFs 05032013'!$A$2:$A$65536,1,FALSE)</f>
        <v>400008078</v>
      </c>
      <c r="S202" s="128"/>
      <c r="T202" s="128"/>
      <c r="U202" s="128"/>
    </row>
    <row r="203" spans="1:21" s="159" customFormat="1" ht="60" x14ac:dyDescent="0.25">
      <c r="A203" s="63">
        <f>MATCH($E203,'D1 - Master Project Table'!$B$24:$B$7056,0)</f>
        <v>986</v>
      </c>
      <c r="B203" s="63" t="b">
        <f t="shared" si="9"/>
        <v>0</v>
      </c>
      <c r="C203" s="63" t="b">
        <f t="shared" si="10"/>
        <v>1</v>
      </c>
      <c r="D203" s="63" t="str">
        <f t="shared" si="11"/>
        <v>OK</v>
      </c>
      <c r="E203" s="393">
        <v>400024127</v>
      </c>
      <c r="F203" s="392" t="s">
        <v>2787</v>
      </c>
      <c r="G203" s="392" t="s">
        <v>5324</v>
      </c>
      <c r="H203" s="392" t="s">
        <v>7418</v>
      </c>
      <c r="I203" s="392" t="s">
        <v>1762</v>
      </c>
      <c r="J203" s="392" t="s">
        <v>4440</v>
      </c>
      <c r="K203" s="392" t="s">
        <v>3283</v>
      </c>
      <c r="L203" s="392" t="s">
        <v>4808</v>
      </c>
      <c r="M203" s="392" t="s">
        <v>3758</v>
      </c>
      <c r="N203" s="392" t="s">
        <v>7273</v>
      </c>
      <c r="O203" s="392" t="s">
        <v>3758</v>
      </c>
      <c r="P203"/>
      <c r="Q203"/>
      <c r="R203" s="387">
        <f>VLOOKUP(E203,'[1]NDB Impacted SPRFs 05032013'!$A$2:$A$65536,1,FALSE)</f>
        <v>400024127</v>
      </c>
    </row>
    <row r="204" spans="1:21" s="159" customFormat="1" ht="60" x14ac:dyDescent="0.25">
      <c r="A204" s="63">
        <f>MATCH($E204,'D1 - Master Project Table'!$B$24:$B$7056,0)</f>
        <v>3274</v>
      </c>
      <c r="B204" s="63" t="b">
        <f t="shared" si="9"/>
        <v>0</v>
      </c>
      <c r="C204" s="63" t="b">
        <f t="shared" si="10"/>
        <v>1</v>
      </c>
      <c r="D204" s="63" t="str">
        <f t="shared" si="11"/>
        <v>OK</v>
      </c>
      <c r="E204" s="393">
        <v>400041331</v>
      </c>
      <c r="F204" s="392" t="s">
        <v>2682</v>
      </c>
      <c r="G204" s="392" t="s">
        <v>5325</v>
      </c>
      <c r="H204" s="392" t="s">
        <v>7418</v>
      </c>
      <c r="I204" s="392" t="s">
        <v>1756</v>
      </c>
      <c r="J204" s="392" t="s">
        <v>6348</v>
      </c>
      <c r="K204" s="392" t="s">
        <v>2683</v>
      </c>
      <c r="L204" s="392" t="s">
        <v>8888</v>
      </c>
      <c r="M204" s="392" t="s">
        <v>7273</v>
      </c>
      <c r="N204" s="392" t="s">
        <v>7273</v>
      </c>
      <c r="O204" s="392" t="s">
        <v>7273</v>
      </c>
      <c r="P204"/>
      <c r="Q204"/>
      <c r="R204" s="387">
        <f>VLOOKUP(E204,'[1]NDB Impacted SPRFs 05032013'!$A$2:$A$65536,1,FALSE)</f>
        <v>400041331</v>
      </c>
    </row>
    <row r="205" spans="1:21" s="159" customFormat="1" ht="60" x14ac:dyDescent="0.25">
      <c r="A205" s="63">
        <f>MATCH($E205,'D1 - Master Project Table'!$B$24:$B$7056,0)</f>
        <v>246</v>
      </c>
      <c r="B205" s="63" t="b">
        <f t="shared" si="9"/>
        <v>0</v>
      </c>
      <c r="C205" s="63" t="b">
        <f t="shared" si="10"/>
        <v>0</v>
      </c>
      <c r="D205" s="63" t="str">
        <f t="shared" si="11"/>
        <v>OK</v>
      </c>
      <c r="E205" s="393">
        <v>400058170</v>
      </c>
      <c r="F205" s="392" t="s">
        <v>9091</v>
      </c>
      <c r="G205" s="392" t="s">
        <v>9210</v>
      </c>
      <c r="H205" s="392" t="s">
        <v>8012</v>
      </c>
      <c r="I205" s="392" t="s">
        <v>2655</v>
      </c>
      <c r="J205" s="392" t="s">
        <v>2189</v>
      </c>
      <c r="K205" s="392" t="s">
        <v>6986</v>
      </c>
      <c r="L205" s="392" t="s">
        <v>9309</v>
      </c>
      <c r="M205" s="392" t="s">
        <v>3758</v>
      </c>
      <c r="N205" s="392" t="s">
        <v>7273</v>
      </c>
      <c r="O205" s="392" t="s">
        <v>7273</v>
      </c>
      <c r="P205"/>
      <c r="Q205"/>
      <c r="R205" s="387">
        <f>VLOOKUP(E205,'[1]NDB Impacted SPRFs 05032013'!$A$2:$A$65536,1,FALSE)</f>
        <v>400058170</v>
      </c>
    </row>
    <row r="206" spans="1:21" s="159" customFormat="1" ht="60" x14ac:dyDescent="0.25">
      <c r="A206" s="63">
        <f>MATCH($E206,'D1 - Master Project Table'!$B$24:$B$7056,0)</f>
        <v>524</v>
      </c>
      <c r="B206" s="63" t="b">
        <f t="shared" si="9"/>
        <v>0</v>
      </c>
      <c r="C206" s="63" t="b">
        <f t="shared" si="10"/>
        <v>1</v>
      </c>
      <c r="D206" s="63" t="str">
        <f t="shared" si="11"/>
        <v>OK</v>
      </c>
      <c r="E206" s="393">
        <v>400011181</v>
      </c>
      <c r="F206" s="392" t="s">
        <v>3937</v>
      </c>
      <c r="G206" s="392" t="s">
        <v>5324</v>
      </c>
      <c r="H206" s="392" t="s">
        <v>7418</v>
      </c>
      <c r="I206" s="392" t="s">
        <v>4168</v>
      </c>
      <c r="J206" s="392" t="s">
        <v>6905</v>
      </c>
      <c r="K206" s="392" t="s">
        <v>1506</v>
      </c>
      <c r="L206" s="392" t="s">
        <v>2542</v>
      </c>
      <c r="M206" s="392" t="s">
        <v>3758</v>
      </c>
      <c r="N206" s="392" t="s">
        <v>7273</v>
      </c>
      <c r="O206" s="392" t="s">
        <v>7273</v>
      </c>
      <c r="P206"/>
      <c r="Q206"/>
      <c r="R206" s="387">
        <f>VLOOKUP(E206,'[1]NDB Impacted SPRFs 05032013'!$A$2:$A$65536,1,FALSE)</f>
        <v>400011181</v>
      </c>
    </row>
    <row r="207" spans="1:21" s="159" customFormat="1" ht="60" x14ac:dyDescent="0.25">
      <c r="A207" s="63" t="e">
        <f>MATCH($E207,'D1 - Master Project Table'!$B$24:$B$7056,0)</f>
        <v>#N/A</v>
      </c>
      <c r="B207" s="63" t="b">
        <f t="shared" si="9"/>
        <v>1</v>
      </c>
      <c r="C207" s="63" t="b">
        <f t="shared" si="10"/>
        <v>1</v>
      </c>
      <c r="D207" s="63" t="str">
        <f t="shared" si="11"/>
        <v>OK</v>
      </c>
      <c r="E207" s="393">
        <v>400002409</v>
      </c>
      <c r="F207" s="392" t="s">
        <v>1647</v>
      </c>
      <c r="G207" s="392" t="s">
        <v>5787</v>
      </c>
      <c r="H207" s="392" t="s">
        <v>7418</v>
      </c>
      <c r="I207" s="392" t="s">
        <v>1771</v>
      </c>
      <c r="J207" s="392" t="s">
        <v>6846</v>
      </c>
      <c r="K207" s="392" t="s">
        <v>3009</v>
      </c>
      <c r="L207" s="392" t="s">
        <v>2696</v>
      </c>
      <c r="M207" s="392" t="s">
        <v>7273</v>
      </c>
      <c r="N207" s="392" t="s">
        <v>7273</v>
      </c>
      <c r="O207" s="392" t="s">
        <v>7273</v>
      </c>
      <c r="P207"/>
      <c r="Q207"/>
      <c r="R207" s="387">
        <f>VLOOKUP(E207,'[1]NDB Impacted SPRFs 05032013'!$A$2:$A$65536,1,FALSE)</f>
        <v>400002409</v>
      </c>
      <c r="S207" s="160"/>
      <c r="T207" s="160"/>
      <c r="U207" s="160"/>
    </row>
    <row r="208" spans="1:21" s="159" customFormat="1" ht="60" x14ac:dyDescent="0.25">
      <c r="A208" s="63">
        <f>MATCH($E208,'D1 - Master Project Table'!$B$24:$B$7056,0)</f>
        <v>2772</v>
      </c>
      <c r="B208" s="63" t="b">
        <f t="shared" si="9"/>
        <v>0</v>
      </c>
      <c r="C208" s="63" t="b">
        <f t="shared" si="10"/>
        <v>1</v>
      </c>
      <c r="D208" s="63" t="str">
        <f t="shared" si="11"/>
        <v>OK</v>
      </c>
      <c r="E208" s="393">
        <v>400021649</v>
      </c>
      <c r="F208" s="392" t="s">
        <v>4220</v>
      </c>
      <c r="G208" s="392" t="s">
        <v>5324</v>
      </c>
      <c r="H208" s="392" t="s">
        <v>5314</v>
      </c>
      <c r="I208" s="392" t="s">
        <v>1756</v>
      </c>
      <c r="J208" s="392" t="s">
        <v>4598</v>
      </c>
      <c r="K208" s="392" t="s">
        <v>1506</v>
      </c>
      <c r="L208" s="392" t="s">
        <v>4870</v>
      </c>
      <c r="M208" s="392" t="s">
        <v>3758</v>
      </c>
      <c r="N208" s="392" t="s">
        <v>7273</v>
      </c>
      <c r="O208" s="392" t="s">
        <v>7273</v>
      </c>
      <c r="P208"/>
      <c r="Q208"/>
      <c r="R208" s="387">
        <f>VLOOKUP(E208,'[1]NDB Impacted SPRFs 05032013'!$A$2:$A$65536,1,FALSE)</f>
        <v>400021649</v>
      </c>
    </row>
    <row r="209" spans="1:21" s="159" customFormat="1" ht="60" x14ac:dyDescent="0.25">
      <c r="A209" s="63" t="e">
        <f>MATCH($E209,'D1 - Master Project Table'!$B$24:$B$7056,0)</f>
        <v>#N/A</v>
      </c>
      <c r="B209" s="63" t="b">
        <f t="shared" si="9"/>
        <v>1</v>
      </c>
      <c r="C209" s="63" t="b">
        <f t="shared" si="10"/>
        <v>1</v>
      </c>
      <c r="D209" s="63" t="str">
        <f t="shared" si="11"/>
        <v>OK</v>
      </c>
      <c r="E209" s="393">
        <v>400007446</v>
      </c>
      <c r="F209" s="392" t="s">
        <v>3278</v>
      </c>
      <c r="G209" s="392" t="s">
        <v>5787</v>
      </c>
      <c r="H209" s="392" t="s">
        <v>7418</v>
      </c>
      <c r="I209" s="392" t="s">
        <v>1771</v>
      </c>
      <c r="J209" s="392" t="s">
        <v>6846</v>
      </c>
      <c r="K209" s="392" t="s">
        <v>4671</v>
      </c>
      <c r="L209" s="392" t="s">
        <v>4319</v>
      </c>
      <c r="M209" s="392" t="s">
        <v>3758</v>
      </c>
      <c r="N209" s="392" t="s">
        <v>7273</v>
      </c>
      <c r="O209" s="392" t="s">
        <v>7273</v>
      </c>
      <c r="P209"/>
      <c r="Q209"/>
      <c r="R209" s="387">
        <f>VLOOKUP(E209,'[1]NDB Impacted SPRFs 05032013'!$A$2:$A$65536,1,FALSE)</f>
        <v>400007446</v>
      </c>
      <c r="S209" s="128"/>
      <c r="T209" s="128"/>
      <c r="U209" s="128"/>
    </row>
    <row r="210" spans="1:21" s="159" customFormat="1" ht="60" x14ac:dyDescent="0.25">
      <c r="A210" s="63">
        <f>MATCH($E210,'D1 - Master Project Table'!$B$24:$B$7056,0)</f>
        <v>315</v>
      </c>
      <c r="B210" s="63" t="b">
        <f t="shared" si="9"/>
        <v>0</v>
      </c>
      <c r="C210" s="63" t="b">
        <f t="shared" si="10"/>
        <v>1</v>
      </c>
      <c r="D210" s="63" t="str">
        <f t="shared" si="11"/>
        <v>OK</v>
      </c>
      <c r="E210" s="393">
        <v>400005810</v>
      </c>
      <c r="F210" s="392" t="s">
        <v>2557</v>
      </c>
      <c r="G210" s="392" t="s">
        <v>5787</v>
      </c>
      <c r="H210" s="392" t="s">
        <v>7418</v>
      </c>
      <c r="I210" s="392" t="s">
        <v>1771</v>
      </c>
      <c r="J210" s="392" t="s">
        <v>6846</v>
      </c>
      <c r="K210" s="392" t="s">
        <v>5656</v>
      </c>
      <c r="L210" s="392" t="s">
        <v>7615</v>
      </c>
      <c r="M210" s="392" t="s">
        <v>3758</v>
      </c>
      <c r="N210" s="392" t="s">
        <v>7273</v>
      </c>
      <c r="O210" s="392" t="s">
        <v>7273</v>
      </c>
      <c r="P210"/>
      <c r="Q210"/>
      <c r="R210" s="387">
        <f>VLOOKUP(E210,'[1]NDB Impacted SPRFs 05032013'!$A$2:$A$65536,1,FALSE)</f>
        <v>400005810</v>
      </c>
    </row>
    <row r="211" spans="1:21" s="159" customFormat="1" ht="60" x14ac:dyDescent="0.25">
      <c r="A211" s="63">
        <f>MATCH($E211,'D1 - Master Project Table'!$B$24:$B$7056,0)</f>
        <v>1104</v>
      </c>
      <c r="B211" s="63" t="b">
        <f t="shared" si="9"/>
        <v>0</v>
      </c>
      <c r="C211" s="63" t="b">
        <f t="shared" si="10"/>
        <v>1</v>
      </c>
      <c r="D211" s="63" t="str">
        <f t="shared" si="11"/>
        <v>OK</v>
      </c>
      <c r="E211" s="393">
        <v>400027647</v>
      </c>
      <c r="F211" s="392" t="s">
        <v>5233</v>
      </c>
      <c r="G211" s="392" t="s">
        <v>5324</v>
      </c>
      <c r="H211" s="392" t="s">
        <v>7418</v>
      </c>
      <c r="I211" s="392" t="s">
        <v>1758</v>
      </c>
      <c r="J211" s="392" t="s">
        <v>6543</v>
      </c>
      <c r="K211" s="392" t="s">
        <v>5234</v>
      </c>
      <c r="L211" s="392" t="s">
        <v>2652</v>
      </c>
      <c r="M211" s="392" t="s">
        <v>3758</v>
      </c>
      <c r="N211" s="392" t="s">
        <v>7273</v>
      </c>
      <c r="O211" s="392" t="s">
        <v>7273</v>
      </c>
      <c r="P211"/>
      <c r="Q211"/>
      <c r="R211" s="387">
        <f>VLOOKUP(E211,'[1]NDB Impacted SPRFs 05032013'!$A$2:$A$65536,1,FALSE)</f>
        <v>400027647</v>
      </c>
    </row>
    <row r="212" spans="1:21" s="159" customFormat="1" ht="60" x14ac:dyDescent="0.25">
      <c r="A212" s="63" t="e">
        <f>MATCH($E212,'D1 - Master Project Table'!$B$24:$B$7056,0)</f>
        <v>#N/A</v>
      </c>
      <c r="B212" s="63" t="b">
        <f t="shared" si="9"/>
        <v>1</v>
      </c>
      <c r="C212" s="63" t="b">
        <f t="shared" si="10"/>
        <v>1</v>
      </c>
      <c r="D212" s="63" t="str">
        <f t="shared" si="11"/>
        <v>OK</v>
      </c>
      <c r="E212" s="393">
        <v>400004400</v>
      </c>
      <c r="F212" s="392" t="s">
        <v>4229</v>
      </c>
      <c r="G212" s="392" t="s">
        <v>5787</v>
      </c>
      <c r="H212" s="392" t="s">
        <v>5314</v>
      </c>
      <c r="I212" s="392" t="s">
        <v>1771</v>
      </c>
      <c r="J212" s="392" t="s">
        <v>7953</v>
      </c>
      <c r="K212" s="392" t="s">
        <v>3658</v>
      </c>
      <c r="L212" s="392" t="s">
        <v>5739</v>
      </c>
      <c r="M212" s="392" t="s">
        <v>3758</v>
      </c>
      <c r="N212" s="392" t="s">
        <v>7273</v>
      </c>
      <c r="O212" s="392" t="s">
        <v>7273</v>
      </c>
      <c r="P212"/>
      <c r="Q212"/>
      <c r="R212" s="387">
        <f>VLOOKUP(E212,'[1]NDB Impacted SPRFs 05032013'!$A$2:$A$65536,1,FALSE)</f>
        <v>400004400</v>
      </c>
      <c r="S212" s="128"/>
      <c r="T212" s="128"/>
      <c r="U212" s="128"/>
    </row>
    <row r="213" spans="1:21" ht="60" x14ac:dyDescent="0.25">
      <c r="A213" s="63">
        <f>MATCH($E213,'D1 - Master Project Table'!$B$24:$B$7056,0)</f>
        <v>1503</v>
      </c>
      <c r="B213" s="63" t="b">
        <f t="shared" si="9"/>
        <v>0</v>
      </c>
      <c r="C213" s="63" t="b">
        <f t="shared" si="10"/>
        <v>1</v>
      </c>
      <c r="D213" s="63" t="str">
        <f t="shared" si="11"/>
        <v>OK</v>
      </c>
      <c r="E213" s="393">
        <v>400040541</v>
      </c>
      <c r="F213" s="392" t="s">
        <v>6026</v>
      </c>
      <c r="G213" s="392" t="s">
        <v>5324</v>
      </c>
      <c r="H213" s="392" t="s">
        <v>7418</v>
      </c>
      <c r="I213" s="392" t="s">
        <v>1759</v>
      </c>
      <c r="J213" s="392" t="s">
        <v>7368</v>
      </c>
      <c r="K213" s="392" t="s">
        <v>7369</v>
      </c>
      <c r="L213" s="392" t="s">
        <v>8889</v>
      </c>
      <c r="M213" s="392" t="s">
        <v>3758</v>
      </c>
      <c r="N213" s="392" t="s">
        <v>7273</v>
      </c>
      <c r="O213" s="392" t="s">
        <v>3758</v>
      </c>
      <c r="P213"/>
      <c r="Q213"/>
      <c r="R213" s="387">
        <f>VLOOKUP(E213,'[1]NDB Impacted SPRFs 05032013'!$A$2:$A$65536,1,FALSE)</f>
        <v>400040541</v>
      </c>
    </row>
    <row r="214" spans="1:21" s="159" customFormat="1" ht="60" x14ac:dyDescent="0.25">
      <c r="A214" s="63">
        <f>MATCH($E214,'D1 - Master Project Table'!$B$24:$B$7056,0)</f>
        <v>1384</v>
      </c>
      <c r="B214" s="63" t="b">
        <f t="shared" si="9"/>
        <v>0</v>
      </c>
      <c r="C214" s="63" t="b">
        <f t="shared" si="10"/>
        <v>1</v>
      </c>
      <c r="D214" s="63" t="str">
        <f t="shared" si="11"/>
        <v>OK</v>
      </c>
      <c r="E214" s="393">
        <v>400029465</v>
      </c>
      <c r="F214" s="392" t="s">
        <v>2799</v>
      </c>
      <c r="G214" s="392" t="s">
        <v>5001</v>
      </c>
      <c r="H214" s="392" t="s">
        <v>7418</v>
      </c>
      <c r="I214" s="392" t="s">
        <v>2655</v>
      </c>
      <c r="J214" s="392" t="s">
        <v>7269</v>
      </c>
      <c r="K214" s="392" t="s">
        <v>5218</v>
      </c>
      <c r="L214" s="392" t="s">
        <v>8203</v>
      </c>
      <c r="M214" s="392" t="s">
        <v>3758</v>
      </c>
      <c r="N214" s="392" t="s">
        <v>7273</v>
      </c>
      <c r="O214" s="392" t="s">
        <v>7273</v>
      </c>
      <c r="P214"/>
      <c r="Q214"/>
      <c r="R214" s="387">
        <f>VLOOKUP(E214,'[1]NDB Impacted SPRFs 05032013'!$A$2:$A$65536,1,FALSE)</f>
        <v>400029465</v>
      </c>
      <c r="S214" s="128"/>
      <c r="T214" s="128"/>
      <c r="U214" s="128"/>
    </row>
    <row r="215" spans="1:21" s="159" customFormat="1" ht="60" x14ac:dyDescent="0.25">
      <c r="A215" s="63">
        <f>MATCH($E215,'D1 - Master Project Table'!$B$24:$B$7056,0)</f>
        <v>275</v>
      </c>
      <c r="B215" s="63" t="b">
        <f t="shared" si="9"/>
        <v>0</v>
      </c>
      <c r="C215" s="63" t="b">
        <f t="shared" si="10"/>
        <v>0</v>
      </c>
      <c r="D215" s="63" t="str">
        <f t="shared" si="11"/>
        <v>OK</v>
      </c>
      <c r="E215" s="393">
        <v>400059802</v>
      </c>
      <c r="F215" s="392" t="s">
        <v>9482</v>
      </c>
      <c r="G215" s="392" t="s">
        <v>5995</v>
      </c>
      <c r="H215" s="392" t="s">
        <v>8012</v>
      </c>
      <c r="I215" s="392" t="s">
        <v>6423</v>
      </c>
      <c r="J215" s="392" t="s">
        <v>9483</v>
      </c>
      <c r="K215" s="392" t="s">
        <v>9484</v>
      </c>
      <c r="L215" s="392" t="s">
        <v>9485</v>
      </c>
      <c r="M215" s="392" t="s">
        <v>3758</v>
      </c>
      <c r="N215" s="392" t="s">
        <v>7273</v>
      </c>
      <c r="O215" s="392" t="s">
        <v>3758</v>
      </c>
      <c r="P215"/>
      <c r="Q215"/>
      <c r="R215" s="387">
        <f>VLOOKUP(E215,'[1]NDB Impacted SPRFs 05032013'!$A$2:$A$65536,1,FALSE)</f>
        <v>400059802</v>
      </c>
    </row>
    <row r="216" spans="1:21" s="159" customFormat="1" ht="60" x14ac:dyDescent="0.25">
      <c r="A216" s="63" t="e">
        <f>MATCH($E216,'D1 - Master Project Table'!$B$24:$B$7056,0)</f>
        <v>#N/A</v>
      </c>
      <c r="B216" s="63" t="b">
        <f t="shared" si="9"/>
        <v>1</v>
      </c>
      <c r="C216" s="63" t="b">
        <f t="shared" si="10"/>
        <v>1</v>
      </c>
      <c r="D216" s="63" t="str">
        <f t="shared" si="11"/>
        <v>OK</v>
      </c>
      <c r="E216" s="393">
        <v>400003692</v>
      </c>
      <c r="F216" s="392" t="s">
        <v>2560</v>
      </c>
      <c r="G216" s="392" t="s">
        <v>5787</v>
      </c>
      <c r="H216" s="392" t="s">
        <v>7418</v>
      </c>
      <c r="I216" s="392" t="s">
        <v>1783</v>
      </c>
      <c r="J216" s="392" t="s">
        <v>7085</v>
      </c>
      <c r="K216" s="392" t="s">
        <v>5677</v>
      </c>
      <c r="L216" s="392" t="s">
        <v>5800</v>
      </c>
      <c r="M216" s="392" t="s">
        <v>3758</v>
      </c>
      <c r="N216" s="392" t="s">
        <v>7273</v>
      </c>
      <c r="O216" s="392" t="s">
        <v>7273</v>
      </c>
      <c r="P216"/>
      <c r="Q216"/>
      <c r="R216" s="387">
        <f>VLOOKUP(E216,'[1]NDB Impacted SPRFs 05032013'!$A$2:$A$65536,1,FALSE)</f>
        <v>400003692</v>
      </c>
    </row>
    <row r="217" spans="1:21" s="159" customFormat="1" ht="60" x14ac:dyDescent="0.25">
      <c r="A217" s="63">
        <f>MATCH($E217,'D1 - Master Project Table'!$B$24:$B$7056,0)</f>
        <v>1736</v>
      </c>
      <c r="B217" s="63" t="b">
        <f t="shared" si="9"/>
        <v>0</v>
      </c>
      <c r="C217" s="63" t="b">
        <f t="shared" si="10"/>
        <v>1</v>
      </c>
      <c r="D217" s="63" t="str">
        <f t="shared" si="11"/>
        <v>OK</v>
      </c>
      <c r="E217" s="393">
        <v>400051695</v>
      </c>
      <c r="F217" s="392" t="s">
        <v>859</v>
      </c>
      <c r="G217" s="392" t="s">
        <v>1147</v>
      </c>
      <c r="H217" s="392" t="s">
        <v>7418</v>
      </c>
      <c r="I217" s="392" t="s">
        <v>1756</v>
      </c>
      <c r="J217" s="392" t="s">
        <v>3704</v>
      </c>
      <c r="K217" s="392" t="s">
        <v>5524</v>
      </c>
      <c r="L217" s="392" t="s">
        <v>3465</v>
      </c>
      <c r="M217" s="392" t="s">
        <v>7273</v>
      </c>
      <c r="N217" s="392" t="s">
        <v>7273</v>
      </c>
      <c r="O217" s="392" t="s">
        <v>3758</v>
      </c>
      <c r="P217"/>
      <c r="Q217"/>
      <c r="R217" s="387">
        <f>VLOOKUP(E217,'[1]NDB Impacted SPRFs 05032013'!$A$2:$A$65536,1,FALSE)</f>
        <v>400051695</v>
      </c>
    </row>
    <row r="218" spans="1:21" s="159" customFormat="1" ht="60" x14ac:dyDescent="0.25">
      <c r="A218" s="63">
        <f>MATCH($E218,'D1 - Master Project Table'!$B$24:$B$7056,0)</f>
        <v>672</v>
      </c>
      <c r="B218" s="63" t="b">
        <f t="shared" si="9"/>
        <v>0</v>
      </c>
      <c r="C218" s="63" t="b">
        <f t="shared" si="10"/>
        <v>1</v>
      </c>
      <c r="D218" s="63" t="str">
        <f t="shared" si="11"/>
        <v>OK</v>
      </c>
      <c r="E218" s="393">
        <v>400011485</v>
      </c>
      <c r="F218" s="392" t="s">
        <v>4518</v>
      </c>
      <c r="G218" s="392" t="s">
        <v>3441</v>
      </c>
      <c r="H218" s="392" t="s">
        <v>7418</v>
      </c>
      <c r="I218" s="392" t="s">
        <v>1769</v>
      </c>
      <c r="J218" s="392" t="s">
        <v>5601</v>
      </c>
      <c r="K218" s="392" t="s">
        <v>5541</v>
      </c>
      <c r="L218" s="392" t="s">
        <v>8890</v>
      </c>
      <c r="M218" s="392" t="s">
        <v>3758</v>
      </c>
      <c r="N218" s="392" t="s">
        <v>7273</v>
      </c>
      <c r="O218" s="392" t="s">
        <v>7273</v>
      </c>
      <c r="P218"/>
      <c r="Q218"/>
      <c r="R218" s="387">
        <f>VLOOKUP(E218,'[1]NDB Impacted SPRFs 05032013'!$A$2:$A$65536,1,FALSE)</f>
        <v>400011485</v>
      </c>
    </row>
    <row r="219" spans="1:21" ht="60" x14ac:dyDescent="0.25">
      <c r="A219" s="63">
        <f>MATCH($E219,'D1 - Master Project Table'!$B$24:$B$7056,0)</f>
        <v>1346</v>
      </c>
      <c r="B219" s="63" t="b">
        <f t="shared" si="9"/>
        <v>0</v>
      </c>
      <c r="C219" s="63" t="b">
        <f t="shared" si="10"/>
        <v>1</v>
      </c>
      <c r="D219" s="63" t="str">
        <f t="shared" si="11"/>
        <v>OK</v>
      </c>
      <c r="E219" s="393">
        <v>400033123</v>
      </c>
      <c r="F219" s="392" t="s">
        <v>3625</v>
      </c>
      <c r="G219" s="392" t="s">
        <v>5324</v>
      </c>
      <c r="H219" s="392" t="s">
        <v>7418</v>
      </c>
      <c r="I219" s="392" t="s">
        <v>1595</v>
      </c>
      <c r="J219" s="392" t="s">
        <v>5979</v>
      </c>
      <c r="K219" s="392" t="s">
        <v>8075</v>
      </c>
      <c r="L219" s="392" t="s">
        <v>7544</v>
      </c>
      <c r="M219" s="392" t="s">
        <v>3758</v>
      </c>
      <c r="N219" s="392" t="s">
        <v>7273</v>
      </c>
      <c r="O219" s="392" t="s">
        <v>3758</v>
      </c>
      <c r="P219"/>
      <c r="Q219"/>
      <c r="R219" s="387">
        <f>VLOOKUP(E219,'[1]NDB Impacted SPRFs 05032013'!$A$2:$A$65536,1,FALSE)</f>
        <v>400033123</v>
      </c>
    </row>
    <row r="220" spans="1:21" s="159" customFormat="1" ht="60" x14ac:dyDescent="0.25">
      <c r="A220" s="63">
        <f>MATCH($E220,'D1 - Master Project Table'!$B$24:$B$7056,0)</f>
        <v>2802</v>
      </c>
      <c r="B220" s="63" t="b">
        <f t="shared" si="9"/>
        <v>0</v>
      </c>
      <c r="C220" s="63" t="b">
        <f t="shared" si="10"/>
        <v>1</v>
      </c>
      <c r="D220" s="63" t="str">
        <f t="shared" si="11"/>
        <v>OK</v>
      </c>
      <c r="E220" s="393">
        <v>400023532</v>
      </c>
      <c r="F220" s="392" t="s">
        <v>2071</v>
      </c>
      <c r="G220" s="392" t="s">
        <v>5324</v>
      </c>
      <c r="H220" s="392" t="s">
        <v>5314</v>
      </c>
      <c r="I220" s="392" t="s">
        <v>1760</v>
      </c>
      <c r="J220" s="392" t="s">
        <v>1957</v>
      </c>
      <c r="K220" s="392" t="s">
        <v>2818</v>
      </c>
      <c r="L220" s="392" t="s">
        <v>3854</v>
      </c>
      <c r="M220" s="392" t="s">
        <v>3758</v>
      </c>
      <c r="N220" s="392" t="s">
        <v>7273</v>
      </c>
      <c r="O220" s="392" t="s">
        <v>7273</v>
      </c>
      <c r="P220"/>
      <c r="Q220"/>
      <c r="R220" s="387">
        <f>VLOOKUP(E220,'[1]NDB Impacted SPRFs 05032013'!$A$2:$A$65536,1,FALSE)</f>
        <v>400023532</v>
      </c>
    </row>
    <row r="221" spans="1:21" s="159" customFormat="1" ht="60" x14ac:dyDescent="0.25">
      <c r="A221" s="63">
        <f>MATCH($E221,'D1 - Master Project Table'!$B$24:$B$7056,0)</f>
        <v>482</v>
      </c>
      <c r="B221" s="63" t="b">
        <f t="shared" si="9"/>
        <v>0</v>
      </c>
      <c r="C221" s="63" t="b">
        <f t="shared" si="10"/>
        <v>1</v>
      </c>
      <c r="D221" s="63" t="str">
        <f t="shared" si="11"/>
        <v>OK</v>
      </c>
      <c r="E221" s="393">
        <v>400009995</v>
      </c>
      <c r="F221" s="392" t="s">
        <v>4896</v>
      </c>
      <c r="G221" s="392" t="s">
        <v>5324</v>
      </c>
      <c r="H221" s="392" t="s">
        <v>7418</v>
      </c>
      <c r="I221" s="392" t="s">
        <v>1758</v>
      </c>
      <c r="J221" s="392" t="s">
        <v>5879</v>
      </c>
      <c r="K221" s="392" t="s">
        <v>5684</v>
      </c>
      <c r="L221" s="392" t="s">
        <v>6784</v>
      </c>
      <c r="M221" s="392" t="s">
        <v>3758</v>
      </c>
      <c r="N221" s="392" t="s">
        <v>7273</v>
      </c>
      <c r="O221" s="392" t="s">
        <v>7273</v>
      </c>
      <c r="P221"/>
      <c r="Q221"/>
      <c r="R221" s="387">
        <f>VLOOKUP(E221,'[1]NDB Impacted SPRFs 05032013'!$A$2:$A$65536,1,FALSE)</f>
        <v>400009995</v>
      </c>
    </row>
    <row r="222" spans="1:21" s="159" customFormat="1" ht="60" x14ac:dyDescent="0.25">
      <c r="A222" s="63">
        <f>MATCH($E222,'D1 - Master Project Table'!$B$24:$B$7056,0)</f>
        <v>3106</v>
      </c>
      <c r="B222" s="63" t="b">
        <f t="shared" si="9"/>
        <v>0</v>
      </c>
      <c r="C222" s="63" t="b">
        <f t="shared" si="10"/>
        <v>1</v>
      </c>
      <c r="D222" s="63" t="str">
        <f t="shared" si="11"/>
        <v>OK</v>
      </c>
      <c r="E222" s="393">
        <v>400051327</v>
      </c>
      <c r="F222" s="392" t="s">
        <v>2145</v>
      </c>
      <c r="G222" s="392" t="s">
        <v>5324</v>
      </c>
      <c r="H222" s="392" t="s">
        <v>5314</v>
      </c>
      <c r="I222" s="392" t="s">
        <v>1759</v>
      </c>
      <c r="J222" s="392" t="s">
        <v>2146</v>
      </c>
      <c r="K222" s="392" t="s">
        <v>2147</v>
      </c>
      <c r="L222" s="392" t="s">
        <v>7189</v>
      </c>
      <c r="M222" s="392" t="s">
        <v>7273</v>
      </c>
      <c r="N222" s="392" t="s">
        <v>7273</v>
      </c>
      <c r="O222" s="392" t="s">
        <v>7273</v>
      </c>
      <c r="P222"/>
      <c r="Q222"/>
      <c r="R222" s="387">
        <f>VLOOKUP(E222,'[1]NDB Impacted SPRFs 05032013'!$A$2:$A$65536,1,FALSE)</f>
        <v>400051327</v>
      </c>
    </row>
    <row r="223" spans="1:21" s="159" customFormat="1" ht="60" x14ac:dyDescent="0.25">
      <c r="A223" s="63">
        <f>MATCH($E223,'D1 - Master Project Table'!$B$24:$B$7056,0)</f>
        <v>2539</v>
      </c>
      <c r="B223" s="63" t="b">
        <f t="shared" si="9"/>
        <v>0</v>
      </c>
      <c r="C223" s="63" t="b">
        <f t="shared" si="10"/>
        <v>1</v>
      </c>
      <c r="D223" s="63" t="str">
        <f t="shared" si="11"/>
        <v>OK</v>
      </c>
      <c r="E223" s="393">
        <v>400008843</v>
      </c>
      <c r="F223" s="392" t="s">
        <v>4890</v>
      </c>
      <c r="G223" s="392" t="s">
        <v>5787</v>
      </c>
      <c r="H223" s="392" t="s">
        <v>5314</v>
      </c>
      <c r="I223" s="392" t="s">
        <v>1771</v>
      </c>
      <c r="J223" s="392" t="s">
        <v>3245</v>
      </c>
      <c r="K223" s="392" t="s">
        <v>6963</v>
      </c>
      <c r="L223" s="392" t="s">
        <v>3982</v>
      </c>
      <c r="M223" s="392" t="s">
        <v>3758</v>
      </c>
      <c r="N223" s="392" t="s">
        <v>7273</v>
      </c>
      <c r="O223" s="392" t="s">
        <v>7273</v>
      </c>
      <c r="P223"/>
      <c r="Q223"/>
      <c r="R223" s="387">
        <f>VLOOKUP(E223,'[1]NDB Impacted SPRFs 05032013'!$A$2:$A$65536,1,FALSE)</f>
        <v>400008843</v>
      </c>
    </row>
    <row r="224" spans="1:21" s="159" customFormat="1" ht="60" x14ac:dyDescent="0.25">
      <c r="A224" s="63">
        <f>MATCH($E224,'D1 - Master Project Table'!$B$24:$B$7056,0)</f>
        <v>1248</v>
      </c>
      <c r="B224" s="63" t="b">
        <f t="shared" si="9"/>
        <v>0</v>
      </c>
      <c r="C224" s="63" t="b">
        <f t="shared" si="10"/>
        <v>1</v>
      </c>
      <c r="D224" s="63" t="str">
        <f t="shared" si="11"/>
        <v>OK</v>
      </c>
      <c r="E224" s="393">
        <v>400029463</v>
      </c>
      <c r="F224" s="392" t="s">
        <v>5514</v>
      </c>
      <c r="G224" s="392" t="s">
        <v>5324</v>
      </c>
      <c r="H224" s="392" t="s">
        <v>7418</v>
      </c>
      <c r="I224" s="392" t="s">
        <v>1756</v>
      </c>
      <c r="J224" s="392" t="s">
        <v>7835</v>
      </c>
      <c r="K224" s="392" t="s">
        <v>1989</v>
      </c>
      <c r="L224" s="392" t="s">
        <v>8188</v>
      </c>
      <c r="M224" s="392" t="s">
        <v>3758</v>
      </c>
      <c r="N224" s="392" t="s">
        <v>7273</v>
      </c>
      <c r="O224" s="392" t="s">
        <v>3758</v>
      </c>
      <c r="P224"/>
      <c r="Q224"/>
      <c r="R224" s="387">
        <f>VLOOKUP(E224,'[1]NDB Impacted SPRFs 05032013'!$A$2:$A$65536,1,FALSE)</f>
        <v>400029463</v>
      </c>
    </row>
    <row r="225" spans="1:21" s="159" customFormat="1" ht="60" x14ac:dyDescent="0.25">
      <c r="A225" s="63">
        <f>MATCH($E225,'D1 - Master Project Table'!$B$24:$B$7056,0)</f>
        <v>611</v>
      </c>
      <c r="B225" s="63" t="b">
        <f t="shared" si="9"/>
        <v>0</v>
      </c>
      <c r="C225" s="63" t="b">
        <f t="shared" si="10"/>
        <v>1</v>
      </c>
      <c r="D225" s="63" t="str">
        <f t="shared" si="11"/>
        <v>OK</v>
      </c>
      <c r="E225" s="393">
        <v>400011786</v>
      </c>
      <c r="F225" s="392" t="s">
        <v>2590</v>
      </c>
      <c r="G225" s="392" t="s">
        <v>3441</v>
      </c>
      <c r="H225" s="392" t="s">
        <v>7418</v>
      </c>
      <c r="I225" s="392" t="s">
        <v>1769</v>
      </c>
      <c r="J225" s="392" t="s">
        <v>3089</v>
      </c>
      <c r="K225" s="392" t="s">
        <v>5541</v>
      </c>
      <c r="L225" s="392" t="s">
        <v>8891</v>
      </c>
      <c r="M225" s="392" t="s">
        <v>3758</v>
      </c>
      <c r="N225" s="392" t="s">
        <v>7273</v>
      </c>
      <c r="O225" s="392" t="s">
        <v>7273</v>
      </c>
      <c r="P225"/>
      <c r="Q225"/>
      <c r="R225" s="387">
        <f>VLOOKUP(E225,'[1]NDB Impacted SPRFs 05032013'!$A$2:$A$65536,1,FALSE)</f>
        <v>400011786</v>
      </c>
    </row>
    <row r="226" spans="1:21" ht="60" x14ac:dyDescent="0.25">
      <c r="A226" s="63">
        <f>MATCH($E226,'D1 - Master Project Table'!$B$24:$B$7056,0)</f>
        <v>88</v>
      </c>
      <c r="B226" s="63" t="b">
        <f t="shared" si="9"/>
        <v>0</v>
      </c>
      <c r="C226" s="63" t="b">
        <f t="shared" si="10"/>
        <v>0</v>
      </c>
      <c r="D226" s="63" t="str">
        <f t="shared" si="11"/>
        <v>OK</v>
      </c>
      <c r="E226" s="393">
        <v>400057364</v>
      </c>
      <c r="F226" s="392" t="s">
        <v>16</v>
      </c>
      <c r="G226" s="392" t="s">
        <v>6322</v>
      </c>
      <c r="H226" s="392" t="s">
        <v>4917</v>
      </c>
      <c r="I226" s="392" t="s">
        <v>9401</v>
      </c>
      <c r="J226" s="392" t="s">
        <v>17</v>
      </c>
      <c r="K226" s="392" t="s">
        <v>7803</v>
      </c>
      <c r="L226" s="392" t="s">
        <v>8883</v>
      </c>
      <c r="M226" s="392" t="s">
        <v>7273</v>
      </c>
      <c r="N226" s="392" t="s">
        <v>7273</v>
      </c>
      <c r="O226" s="392" t="s">
        <v>3758</v>
      </c>
      <c r="P226"/>
      <c r="Q226"/>
      <c r="R226" s="387">
        <f>VLOOKUP(E226,'[1]NDB Impacted SPRFs 05032013'!$A$2:$A$65536,1,FALSE)</f>
        <v>400057364</v>
      </c>
      <c r="S226" s="159"/>
      <c r="T226" s="159"/>
      <c r="U226" s="159"/>
    </row>
    <row r="227" spans="1:21" s="159" customFormat="1" ht="60" x14ac:dyDescent="0.25">
      <c r="A227" s="63">
        <f>MATCH($E227,'D1 - Master Project Table'!$B$24:$B$7056,0)</f>
        <v>1723</v>
      </c>
      <c r="B227" s="63" t="b">
        <f t="shared" si="9"/>
        <v>0</v>
      </c>
      <c r="C227" s="63" t="b">
        <f t="shared" si="10"/>
        <v>1</v>
      </c>
      <c r="D227" s="63" t="str">
        <f t="shared" si="11"/>
        <v>OK</v>
      </c>
      <c r="E227" s="393">
        <v>400047206</v>
      </c>
      <c r="F227" s="392" t="s">
        <v>1005</v>
      </c>
      <c r="G227" s="392" t="s">
        <v>5324</v>
      </c>
      <c r="H227" s="392" t="s">
        <v>7418</v>
      </c>
      <c r="I227" s="392" t="s">
        <v>1762</v>
      </c>
      <c r="J227" s="392" t="s">
        <v>1006</v>
      </c>
      <c r="K227" s="392" t="s">
        <v>1007</v>
      </c>
      <c r="L227" s="392" t="s">
        <v>7539</v>
      </c>
      <c r="M227" s="392" t="s">
        <v>3758</v>
      </c>
      <c r="N227" s="392" t="s">
        <v>7273</v>
      </c>
      <c r="O227" s="392" t="s">
        <v>7273</v>
      </c>
      <c r="P227"/>
      <c r="Q227"/>
      <c r="R227" s="387">
        <f>VLOOKUP(E227,'[1]NDB Impacted SPRFs 05032013'!$A$2:$A$65536,1,FALSE)</f>
        <v>400047206</v>
      </c>
    </row>
    <row r="228" spans="1:21" s="159" customFormat="1" ht="60" x14ac:dyDescent="0.25">
      <c r="A228" s="63">
        <f>MATCH($E228,'D1 - Master Project Table'!$B$24:$B$7056,0)</f>
        <v>1243</v>
      </c>
      <c r="B228" s="63" t="b">
        <f t="shared" si="9"/>
        <v>0</v>
      </c>
      <c r="C228" s="63" t="b">
        <f t="shared" si="10"/>
        <v>1</v>
      </c>
      <c r="D228" s="63" t="str">
        <f t="shared" si="11"/>
        <v>OK</v>
      </c>
      <c r="E228" s="393">
        <v>400024646</v>
      </c>
      <c r="F228" s="392" t="s">
        <v>1885</v>
      </c>
      <c r="G228" s="392" t="s">
        <v>5324</v>
      </c>
      <c r="H228" s="392" t="s">
        <v>7418</v>
      </c>
      <c r="I228" s="392" t="s">
        <v>1762</v>
      </c>
      <c r="J228" s="392" t="s">
        <v>1886</v>
      </c>
      <c r="K228" s="392" t="s">
        <v>4176</v>
      </c>
      <c r="L228" s="392" t="s">
        <v>811</v>
      </c>
      <c r="M228" s="392" t="s">
        <v>3758</v>
      </c>
      <c r="N228" s="392" t="s">
        <v>7273</v>
      </c>
      <c r="O228" s="392" t="s">
        <v>3758</v>
      </c>
      <c r="P228"/>
      <c r="Q228"/>
      <c r="R228" s="387">
        <f>VLOOKUP(E228,'[1]NDB Impacted SPRFs 05032013'!$A$2:$A$65536,1,FALSE)</f>
        <v>400024646</v>
      </c>
      <c r="S228" s="128"/>
      <c r="T228" s="128"/>
      <c r="U228" s="128"/>
    </row>
    <row r="229" spans="1:21" ht="60" x14ac:dyDescent="0.25">
      <c r="A229" s="63" t="e">
        <f>MATCH($E229,'D1 - Master Project Table'!$B$24:$B$7056,0)</f>
        <v>#N/A</v>
      </c>
      <c r="B229" s="63" t="b">
        <f t="shared" si="9"/>
        <v>1</v>
      </c>
      <c r="C229" s="63" t="b">
        <f t="shared" si="10"/>
        <v>1</v>
      </c>
      <c r="D229" s="63" t="str">
        <f t="shared" si="11"/>
        <v>OK</v>
      </c>
      <c r="E229" s="393">
        <v>400003084</v>
      </c>
      <c r="F229" s="392" t="s">
        <v>4553</v>
      </c>
      <c r="G229" s="392" t="s">
        <v>5787</v>
      </c>
      <c r="H229" s="392" t="s">
        <v>7418</v>
      </c>
      <c r="I229" s="392" t="s">
        <v>1824</v>
      </c>
      <c r="J229" s="392" t="s">
        <v>5529</v>
      </c>
      <c r="K229" s="392" t="s">
        <v>4628</v>
      </c>
      <c r="L229" s="392" t="s">
        <v>4037</v>
      </c>
      <c r="M229" s="392" t="s">
        <v>3758</v>
      </c>
      <c r="N229" s="392" t="s">
        <v>7273</v>
      </c>
      <c r="O229" s="392" t="s">
        <v>7273</v>
      </c>
      <c r="P229"/>
      <c r="Q229"/>
      <c r="R229" s="387">
        <f>VLOOKUP(E229,'[1]NDB Impacted SPRFs 05032013'!$A$2:$A$65536,1,FALSE)</f>
        <v>400003084</v>
      </c>
      <c r="S229" s="159"/>
      <c r="T229" s="159"/>
      <c r="U229" s="159"/>
    </row>
    <row r="230" spans="1:21" s="159" customFormat="1" ht="60" x14ac:dyDescent="0.25">
      <c r="A230" s="63">
        <f>MATCH($E230,'D1 - Master Project Table'!$B$24:$B$7056,0)</f>
        <v>982</v>
      </c>
      <c r="B230" s="63" t="b">
        <f t="shared" si="9"/>
        <v>0</v>
      </c>
      <c r="C230" s="63" t="b">
        <f t="shared" si="10"/>
        <v>1</v>
      </c>
      <c r="D230" s="63" t="str">
        <f t="shared" si="11"/>
        <v>OK</v>
      </c>
      <c r="E230" s="393">
        <v>400023653</v>
      </c>
      <c r="F230" s="392" t="s">
        <v>1075</v>
      </c>
      <c r="G230" s="392" t="s">
        <v>5001</v>
      </c>
      <c r="H230" s="392" t="s">
        <v>7418</v>
      </c>
      <c r="I230" s="392" t="s">
        <v>2664</v>
      </c>
      <c r="J230" s="392" t="s">
        <v>8769</v>
      </c>
      <c r="K230" s="392" t="s">
        <v>2022</v>
      </c>
      <c r="L230" s="392" t="s">
        <v>1920</v>
      </c>
      <c r="M230" s="392" t="s">
        <v>3758</v>
      </c>
      <c r="N230" s="392" t="s">
        <v>7273</v>
      </c>
      <c r="O230" s="392" t="s">
        <v>7273</v>
      </c>
      <c r="P230"/>
      <c r="Q230"/>
      <c r="R230" s="387">
        <f>VLOOKUP(E230,'[1]NDB Impacted SPRFs 05032013'!$A$2:$A$65536,1,FALSE)</f>
        <v>400023653</v>
      </c>
    </row>
    <row r="231" spans="1:21" s="159" customFormat="1" ht="60" x14ac:dyDescent="0.25">
      <c r="A231" s="63">
        <f>MATCH($E231,'D1 - Master Project Table'!$B$24:$B$7056,0)</f>
        <v>3086</v>
      </c>
      <c r="B231" s="63" t="b">
        <f t="shared" si="9"/>
        <v>0</v>
      </c>
      <c r="C231" s="63" t="b">
        <f t="shared" si="10"/>
        <v>1</v>
      </c>
      <c r="D231" s="63" t="str">
        <f t="shared" si="11"/>
        <v>OK</v>
      </c>
      <c r="E231" s="393">
        <v>400048069</v>
      </c>
      <c r="F231" s="392" t="s">
        <v>1027</v>
      </c>
      <c r="G231" s="392" t="s">
        <v>5325</v>
      </c>
      <c r="H231" s="392" t="s">
        <v>5314</v>
      </c>
      <c r="I231" s="392" t="s">
        <v>1756</v>
      </c>
      <c r="J231" s="392" t="s">
        <v>3158</v>
      </c>
      <c r="K231" s="392" t="s">
        <v>6348</v>
      </c>
      <c r="L231" s="392" t="s">
        <v>8895</v>
      </c>
      <c r="M231" s="392" t="s">
        <v>7273</v>
      </c>
      <c r="N231" s="392" t="s">
        <v>7273</v>
      </c>
      <c r="O231" s="392" t="s">
        <v>7273</v>
      </c>
      <c r="P231"/>
      <c r="Q231"/>
      <c r="R231" s="387">
        <f>VLOOKUP(E231,'[1]NDB Impacted SPRFs 05032013'!$A$2:$A$65536,1,FALSE)</f>
        <v>400048069</v>
      </c>
      <c r="S231" s="128"/>
      <c r="T231" s="128"/>
      <c r="U231" s="128"/>
    </row>
    <row r="232" spans="1:21" ht="60" x14ac:dyDescent="0.25">
      <c r="A232" s="63">
        <f>MATCH($E232,'D1 - Master Project Table'!$B$24:$B$7056,0)</f>
        <v>3115</v>
      </c>
      <c r="B232" s="63" t="b">
        <f t="shared" si="9"/>
        <v>0</v>
      </c>
      <c r="C232" s="63" t="b">
        <f t="shared" si="10"/>
        <v>1</v>
      </c>
      <c r="D232" s="63" t="str">
        <f t="shared" si="11"/>
        <v>OK</v>
      </c>
      <c r="E232" s="393">
        <v>400052210</v>
      </c>
      <c r="F232" s="392" t="s">
        <v>3466</v>
      </c>
      <c r="G232" s="392" t="s">
        <v>5325</v>
      </c>
      <c r="H232" s="392" t="s">
        <v>5314</v>
      </c>
      <c r="I232" s="392" t="s">
        <v>1756</v>
      </c>
      <c r="J232" s="392" t="s">
        <v>2160</v>
      </c>
      <c r="K232" s="392" t="s">
        <v>2161</v>
      </c>
      <c r="L232" s="392" t="s">
        <v>8894</v>
      </c>
      <c r="M232" s="392" t="s">
        <v>7273</v>
      </c>
      <c r="N232" s="392" t="s">
        <v>7273</v>
      </c>
      <c r="O232" s="392" t="s">
        <v>7273</v>
      </c>
      <c r="P232"/>
      <c r="Q232"/>
      <c r="R232" s="387">
        <f>VLOOKUP(E232,'[1]NDB Impacted SPRFs 05032013'!$A$2:$A$65536,1,FALSE)</f>
        <v>400052210</v>
      </c>
      <c r="S232" s="159"/>
      <c r="T232" s="159"/>
      <c r="U232" s="159"/>
    </row>
    <row r="233" spans="1:21" s="159" customFormat="1" ht="60" x14ac:dyDescent="0.25">
      <c r="A233" s="63">
        <f>MATCH($E233,'D1 - Master Project Table'!$B$24:$B$7056,0)</f>
        <v>1863</v>
      </c>
      <c r="B233" s="63" t="b">
        <f t="shared" si="9"/>
        <v>0</v>
      </c>
      <c r="C233" s="63" t="b">
        <f t="shared" si="10"/>
        <v>1</v>
      </c>
      <c r="D233" s="63" t="str">
        <f t="shared" si="11"/>
        <v>OK</v>
      </c>
      <c r="E233" s="393">
        <v>400001699</v>
      </c>
      <c r="F233" s="392" t="s">
        <v>3490</v>
      </c>
      <c r="G233" s="392" t="s">
        <v>5995</v>
      </c>
      <c r="H233" s="392" t="s">
        <v>7418</v>
      </c>
      <c r="I233" s="392" t="s">
        <v>3529</v>
      </c>
      <c r="J233" s="392" t="s">
        <v>3383</v>
      </c>
      <c r="K233" s="392" t="s">
        <v>4035</v>
      </c>
      <c r="L233" s="392" t="s">
        <v>3442</v>
      </c>
      <c r="M233" s="392" t="s">
        <v>3758</v>
      </c>
      <c r="N233" s="392" t="s">
        <v>7273</v>
      </c>
      <c r="O233" s="392" t="s">
        <v>7273</v>
      </c>
      <c r="P233"/>
      <c r="Q233"/>
      <c r="R233" s="387">
        <f>VLOOKUP(E233,'[1]NDB Impacted SPRFs 05032013'!$A$2:$A$65536,1,FALSE)</f>
        <v>400001699</v>
      </c>
    </row>
    <row r="234" spans="1:21" s="159" customFormat="1" ht="60" x14ac:dyDescent="0.25">
      <c r="A234" s="63">
        <f>MATCH($E234,'D1 - Master Project Table'!$B$24:$B$7056,0)</f>
        <v>1152</v>
      </c>
      <c r="B234" s="63" t="b">
        <f t="shared" si="9"/>
        <v>0</v>
      </c>
      <c r="C234" s="63" t="b">
        <f t="shared" si="10"/>
        <v>1</v>
      </c>
      <c r="D234" s="63" t="str">
        <f t="shared" si="11"/>
        <v>OK</v>
      </c>
      <c r="E234" s="393">
        <v>400029853</v>
      </c>
      <c r="F234" s="392" t="s">
        <v>5698</v>
      </c>
      <c r="G234" s="392" t="s">
        <v>5324</v>
      </c>
      <c r="H234" s="392" t="s">
        <v>7418</v>
      </c>
      <c r="I234" s="392" t="s">
        <v>1757</v>
      </c>
      <c r="J234" s="392" t="s">
        <v>6681</v>
      </c>
      <c r="K234" s="392" t="s">
        <v>7044</v>
      </c>
      <c r="L234" s="392" t="s">
        <v>8187</v>
      </c>
      <c r="M234" s="392" t="s">
        <v>3758</v>
      </c>
      <c r="N234" s="392" t="s">
        <v>7273</v>
      </c>
      <c r="O234" s="392" t="s">
        <v>7273</v>
      </c>
      <c r="P234"/>
      <c r="Q234"/>
      <c r="R234" s="387">
        <f>VLOOKUP(E234,'[1]NDB Impacted SPRFs 05032013'!$A$2:$A$65536,1,FALSE)</f>
        <v>400029853</v>
      </c>
      <c r="S234" s="128"/>
      <c r="T234" s="128"/>
      <c r="U234" s="128"/>
    </row>
    <row r="235" spans="1:21" ht="60" x14ac:dyDescent="0.25">
      <c r="A235" s="63">
        <f>MATCH($E235,'D1 - Master Project Table'!$B$24:$B$7056,0)</f>
        <v>2522</v>
      </c>
      <c r="B235" s="63" t="b">
        <f t="shared" si="9"/>
        <v>0</v>
      </c>
      <c r="C235" s="63" t="b">
        <f t="shared" si="10"/>
        <v>1</v>
      </c>
      <c r="D235" s="63" t="str">
        <f t="shared" si="11"/>
        <v>OK</v>
      </c>
      <c r="E235" s="393">
        <v>400007827</v>
      </c>
      <c r="F235" s="392" t="s">
        <v>4799</v>
      </c>
      <c r="G235" s="392" t="s">
        <v>5787</v>
      </c>
      <c r="H235" s="392" t="s">
        <v>5314</v>
      </c>
      <c r="I235" s="392" t="s">
        <v>1824</v>
      </c>
      <c r="J235" s="392" t="s">
        <v>2091</v>
      </c>
      <c r="K235" s="392" t="s">
        <v>6963</v>
      </c>
      <c r="L235" s="392" t="s">
        <v>4252</v>
      </c>
      <c r="M235" s="392" t="s">
        <v>3758</v>
      </c>
      <c r="N235" s="392" t="s">
        <v>7273</v>
      </c>
      <c r="O235" s="392" t="s">
        <v>7273</v>
      </c>
      <c r="P235" s="212"/>
      <c r="Q235"/>
      <c r="R235" s="387">
        <f>VLOOKUP(E235,'[1]NDB Impacted SPRFs 05032013'!$A$2:$A$65536,1,FALSE)</f>
        <v>400007827</v>
      </c>
      <c r="S235" s="159"/>
      <c r="T235" s="159"/>
      <c r="U235" s="159"/>
    </row>
    <row r="236" spans="1:21" s="159" customFormat="1" ht="60" x14ac:dyDescent="0.25">
      <c r="A236" s="63">
        <f>MATCH($E236,'D1 - Master Project Table'!$B$24:$B$7056,0)</f>
        <v>1560</v>
      </c>
      <c r="B236" s="63" t="b">
        <f t="shared" si="9"/>
        <v>0</v>
      </c>
      <c r="C236" s="63" t="b">
        <f t="shared" si="10"/>
        <v>1</v>
      </c>
      <c r="D236" s="63" t="str">
        <f t="shared" si="11"/>
        <v>OK</v>
      </c>
      <c r="E236" s="393">
        <v>400042525</v>
      </c>
      <c r="F236" s="392" t="s">
        <v>2043</v>
      </c>
      <c r="G236" s="392" t="s">
        <v>6322</v>
      </c>
      <c r="H236" s="392" t="s">
        <v>7418</v>
      </c>
      <c r="I236" s="392" t="s">
        <v>1756</v>
      </c>
      <c r="J236" s="392" t="s">
        <v>3059</v>
      </c>
      <c r="K236" s="392" t="s">
        <v>4978</v>
      </c>
      <c r="L236" s="392" t="s">
        <v>8896</v>
      </c>
      <c r="M236" s="392" t="s">
        <v>7273</v>
      </c>
      <c r="N236" s="392" t="s">
        <v>7273</v>
      </c>
      <c r="O236" s="392" t="s">
        <v>3758</v>
      </c>
      <c r="P236"/>
      <c r="Q236"/>
      <c r="R236" s="387">
        <f>VLOOKUP(E236,'[1]NDB Impacted SPRFs 05032013'!$A$2:$A$65536,1,FALSE)</f>
        <v>400042525</v>
      </c>
      <c r="S236" s="160"/>
      <c r="T236" s="160"/>
      <c r="U236" s="160"/>
    </row>
    <row r="237" spans="1:21" s="159" customFormat="1" ht="60" x14ac:dyDescent="0.25">
      <c r="A237" s="63">
        <f>MATCH($E237,'D1 - Master Project Table'!$B$24:$B$7056,0)</f>
        <v>1998</v>
      </c>
      <c r="B237" s="63" t="b">
        <f t="shared" si="9"/>
        <v>0</v>
      </c>
      <c r="C237" s="63" t="b">
        <f t="shared" si="10"/>
        <v>1</v>
      </c>
      <c r="D237" s="63" t="str">
        <f t="shared" si="11"/>
        <v>OK</v>
      </c>
      <c r="E237" s="393">
        <v>400030888</v>
      </c>
      <c r="F237" s="392" t="s">
        <v>6443</v>
      </c>
      <c r="G237" s="392" t="s">
        <v>5324</v>
      </c>
      <c r="H237" s="392" t="s">
        <v>7418</v>
      </c>
      <c r="I237" s="392" t="s">
        <v>1758</v>
      </c>
      <c r="J237" s="392" t="s">
        <v>6947</v>
      </c>
      <c r="K237" s="392" t="s">
        <v>6444</v>
      </c>
      <c r="L237" s="392" t="s">
        <v>8897</v>
      </c>
      <c r="M237" s="392" t="s">
        <v>3758</v>
      </c>
      <c r="N237" s="392" t="s">
        <v>7273</v>
      </c>
      <c r="O237" s="392" t="s">
        <v>3758</v>
      </c>
      <c r="P237"/>
      <c r="Q237"/>
      <c r="R237" s="387">
        <f>VLOOKUP(E237,'[1]NDB Impacted SPRFs 05032013'!$A$2:$A$65536,1,FALSE)</f>
        <v>400030888</v>
      </c>
    </row>
    <row r="238" spans="1:21" s="159" customFormat="1" ht="60" x14ac:dyDescent="0.25">
      <c r="A238" s="63">
        <f>MATCH($E238,'D1 - Master Project Table'!$B$24:$B$7056,0)</f>
        <v>1909</v>
      </c>
      <c r="B238" s="63" t="b">
        <f t="shared" si="9"/>
        <v>0</v>
      </c>
      <c r="C238" s="63" t="b">
        <f t="shared" si="10"/>
        <v>1</v>
      </c>
      <c r="D238" s="63" t="str">
        <f t="shared" si="11"/>
        <v>OK</v>
      </c>
      <c r="E238" s="393">
        <v>400008169</v>
      </c>
      <c r="F238" s="392" t="s">
        <v>3744</v>
      </c>
      <c r="G238" s="392" t="s">
        <v>3441</v>
      </c>
      <c r="H238" s="392" t="s">
        <v>7418</v>
      </c>
      <c r="I238" s="392" t="s">
        <v>1770</v>
      </c>
      <c r="J238" s="392" t="s">
        <v>5757</v>
      </c>
      <c r="K238" s="392" t="s">
        <v>5541</v>
      </c>
      <c r="L238" s="392" t="s">
        <v>1968</v>
      </c>
      <c r="M238" s="392" t="s">
        <v>3758</v>
      </c>
      <c r="N238" s="392" t="s">
        <v>7273</v>
      </c>
      <c r="O238" s="392" t="s">
        <v>7273</v>
      </c>
      <c r="P238"/>
      <c r="Q238"/>
      <c r="R238" s="387">
        <f>VLOOKUP(E238,'[1]NDB Impacted SPRFs 05032013'!$A$2:$A$65536,1,FALSE)</f>
        <v>400008169</v>
      </c>
    </row>
    <row r="239" spans="1:21" s="159" customFormat="1" ht="60" x14ac:dyDescent="0.25">
      <c r="A239" s="63">
        <f>MATCH($E239,'D1 - Master Project Table'!$B$24:$B$7056,0)</f>
        <v>2880</v>
      </c>
      <c r="B239" s="63" t="b">
        <f t="shared" si="9"/>
        <v>0</v>
      </c>
      <c r="C239" s="63" t="b">
        <f t="shared" si="10"/>
        <v>1</v>
      </c>
      <c r="D239" s="63" t="str">
        <f t="shared" si="11"/>
        <v>OK</v>
      </c>
      <c r="E239" s="393">
        <v>400028715</v>
      </c>
      <c r="F239" s="392" t="s">
        <v>6358</v>
      </c>
      <c r="G239" s="392" t="s">
        <v>5324</v>
      </c>
      <c r="H239" s="392" t="s">
        <v>5314</v>
      </c>
      <c r="I239" s="392" t="s">
        <v>1758</v>
      </c>
      <c r="J239" s="392" t="s">
        <v>6947</v>
      </c>
      <c r="K239" s="392" t="s">
        <v>6359</v>
      </c>
      <c r="L239" s="392" t="s">
        <v>1831</v>
      </c>
      <c r="M239" s="392" t="s">
        <v>3758</v>
      </c>
      <c r="N239" s="392" t="s">
        <v>7273</v>
      </c>
      <c r="O239" s="392" t="s">
        <v>7273</v>
      </c>
      <c r="P239"/>
      <c r="Q239"/>
      <c r="R239" s="387">
        <f>VLOOKUP(E239,'[1]NDB Impacted SPRFs 05032013'!$A$2:$A$65536,1,FALSE)</f>
        <v>400028715</v>
      </c>
      <c r="S239" s="128"/>
      <c r="T239" s="128"/>
      <c r="U239" s="128"/>
    </row>
    <row r="240" spans="1:21" s="159" customFormat="1" ht="60" x14ac:dyDescent="0.25">
      <c r="A240" s="63">
        <f>MATCH($E240,'D1 - Master Project Table'!$B$24:$B$7056,0)</f>
        <v>1226</v>
      </c>
      <c r="B240" s="63" t="b">
        <f t="shared" si="9"/>
        <v>0</v>
      </c>
      <c r="C240" s="63" t="b">
        <f t="shared" si="10"/>
        <v>1</v>
      </c>
      <c r="D240" s="63" t="str">
        <f t="shared" si="11"/>
        <v>OK</v>
      </c>
      <c r="E240" s="393">
        <v>400032323</v>
      </c>
      <c r="F240" s="392" t="s">
        <v>4542</v>
      </c>
      <c r="G240" s="392" t="s">
        <v>5325</v>
      </c>
      <c r="H240" s="392" t="s">
        <v>7418</v>
      </c>
      <c r="I240" s="392" t="s">
        <v>1672</v>
      </c>
      <c r="J240" s="392" t="s">
        <v>6011</v>
      </c>
      <c r="K240" s="392" t="s">
        <v>4485</v>
      </c>
      <c r="L240" s="392" t="s">
        <v>3526</v>
      </c>
      <c r="M240" s="392" t="s">
        <v>7273</v>
      </c>
      <c r="N240" s="392" t="s">
        <v>7273</v>
      </c>
      <c r="O240" s="392" t="s">
        <v>7273</v>
      </c>
      <c r="P240"/>
      <c r="Q240"/>
      <c r="R240" s="387">
        <f>VLOOKUP(E240,'[1]NDB Impacted SPRFs 05032013'!$A$2:$A$65536,1,FALSE)</f>
        <v>400032323</v>
      </c>
      <c r="S240" s="128"/>
      <c r="T240" s="128"/>
      <c r="U240" s="128"/>
    </row>
    <row r="241" spans="1:21" s="159" customFormat="1" ht="60" x14ac:dyDescent="0.25">
      <c r="A241" s="63">
        <f>MATCH($E241,'D1 - Master Project Table'!$B$24:$B$7056,0)</f>
        <v>1982</v>
      </c>
      <c r="B241" s="63" t="b">
        <f t="shared" si="9"/>
        <v>0</v>
      </c>
      <c r="C241" s="63" t="b">
        <f t="shared" si="10"/>
        <v>1</v>
      </c>
      <c r="D241" s="63" t="str">
        <f t="shared" si="11"/>
        <v>OK</v>
      </c>
      <c r="E241" s="393">
        <v>400027391</v>
      </c>
      <c r="F241" s="392" t="s">
        <v>4165</v>
      </c>
      <c r="G241" s="392" t="s">
        <v>5324</v>
      </c>
      <c r="H241" s="392" t="s">
        <v>7418</v>
      </c>
      <c r="I241" s="392" t="s">
        <v>1758</v>
      </c>
      <c r="J241" s="392" t="s">
        <v>7083</v>
      </c>
      <c r="K241" s="392" t="s">
        <v>5572</v>
      </c>
      <c r="L241" s="392" t="s">
        <v>5397</v>
      </c>
      <c r="M241" s="392" t="s">
        <v>3758</v>
      </c>
      <c r="N241" s="392" t="s">
        <v>7273</v>
      </c>
      <c r="O241" s="392" t="s">
        <v>7273</v>
      </c>
      <c r="P241"/>
      <c r="Q241"/>
      <c r="R241" s="387">
        <f>VLOOKUP(E241,'[1]NDB Impacted SPRFs 05032013'!$A$2:$A$65536,1,FALSE)</f>
        <v>400027391</v>
      </c>
    </row>
    <row r="242" spans="1:21" ht="60" x14ac:dyDescent="0.25">
      <c r="A242" s="63">
        <f>MATCH($E242,'D1 - Master Project Table'!$B$24:$B$7056,0)</f>
        <v>715</v>
      </c>
      <c r="B242" s="63" t="b">
        <f t="shared" si="9"/>
        <v>0</v>
      </c>
      <c r="C242" s="63" t="b">
        <f t="shared" si="10"/>
        <v>1</v>
      </c>
      <c r="D242" s="63" t="str">
        <f t="shared" si="11"/>
        <v>OK</v>
      </c>
      <c r="E242" s="393">
        <v>400009828</v>
      </c>
      <c r="F242" s="392" t="s">
        <v>3373</v>
      </c>
      <c r="G242" s="392" t="s">
        <v>5787</v>
      </c>
      <c r="H242" s="392" t="s">
        <v>7418</v>
      </c>
      <c r="I242" s="392" t="s">
        <v>1775</v>
      </c>
      <c r="J242" s="392" t="s">
        <v>3725</v>
      </c>
      <c r="K242" s="392" t="s">
        <v>5300</v>
      </c>
      <c r="L242" s="392" t="s">
        <v>8199</v>
      </c>
      <c r="M242" s="392" t="s">
        <v>3758</v>
      </c>
      <c r="N242" s="392" t="s">
        <v>7273</v>
      </c>
      <c r="O242" s="392" t="s">
        <v>3758</v>
      </c>
      <c r="P242"/>
      <c r="Q242"/>
      <c r="R242" s="387">
        <f>VLOOKUP(E242,'[1]NDB Impacted SPRFs 05032013'!$A$2:$A$65536,1,FALSE)</f>
        <v>400009828</v>
      </c>
      <c r="S242" s="159"/>
      <c r="T242" s="159"/>
      <c r="U242" s="159"/>
    </row>
    <row r="243" spans="1:21" s="159" customFormat="1" ht="60" x14ac:dyDescent="0.25">
      <c r="A243" s="63">
        <f>MATCH($E243,'D1 - Master Project Table'!$B$24:$B$7056,0)</f>
        <v>1555</v>
      </c>
      <c r="B243" s="63" t="b">
        <f t="shared" si="9"/>
        <v>0</v>
      </c>
      <c r="C243" s="63" t="b">
        <f t="shared" si="10"/>
        <v>1</v>
      </c>
      <c r="D243" s="63" t="str">
        <f t="shared" si="11"/>
        <v>OK</v>
      </c>
      <c r="E243" s="393">
        <v>400041255</v>
      </c>
      <c r="F243" s="392" t="s">
        <v>665</v>
      </c>
      <c r="G243" s="392" t="s">
        <v>9210</v>
      </c>
      <c r="H243" s="392" t="s">
        <v>7418</v>
      </c>
      <c r="I243" s="392" t="s">
        <v>3540</v>
      </c>
      <c r="J243" s="392" t="s">
        <v>8779</v>
      </c>
      <c r="K243" s="392" t="s">
        <v>7884</v>
      </c>
      <c r="L243" s="392" t="s">
        <v>8899</v>
      </c>
      <c r="M243" s="392" t="s">
        <v>7273</v>
      </c>
      <c r="N243" s="392" t="s">
        <v>7273</v>
      </c>
      <c r="O243" s="392" t="s">
        <v>7273</v>
      </c>
      <c r="P243"/>
      <c r="Q243"/>
      <c r="R243" s="387">
        <f>VLOOKUP(E243,'[1]NDB Impacted SPRFs 05032013'!$A$2:$A$65536,1,FALSE)</f>
        <v>400041255</v>
      </c>
    </row>
    <row r="244" spans="1:21" ht="60" x14ac:dyDescent="0.25">
      <c r="A244" s="63" t="e">
        <f>MATCH($E244,'D1 - Master Project Table'!$B$24:$B$7056,0)</f>
        <v>#N/A</v>
      </c>
      <c r="B244" s="63" t="b">
        <f t="shared" si="9"/>
        <v>1</v>
      </c>
      <c r="C244" s="63" t="b">
        <f t="shared" si="10"/>
        <v>1</v>
      </c>
      <c r="D244" s="63" t="str">
        <f t="shared" si="11"/>
        <v>OK</v>
      </c>
      <c r="E244" s="393">
        <v>400005716</v>
      </c>
      <c r="F244" s="392" t="s">
        <v>6381</v>
      </c>
      <c r="G244" s="392" t="s">
        <v>5787</v>
      </c>
      <c r="H244" s="392" t="s">
        <v>7418</v>
      </c>
      <c r="I244" s="392" t="s">
        <v>1775</v>
      </c>
      <c r="J244" s="392" t="s">
        <v>7043</v>
      </c>
      <c r="K244" s="392" t="s">
        <v>5300</v>
      </c>
      <c r="L244" s="392" t="s">
        <v>3427</v>
      </c>
      <c r="M244" s="392" t="s">
        <v>3758</v>
      </c>
      <c r="N244" s="392" t="s">
        <v>7273</v>
      </c>
      <c r="O244" s="392" t="s">
        <v>7273</v>
      </c>
      <c r="P244"/>
      <c r="Q244"/>
      <c r="R244" s="387">
        <f>VLOOKUP(E244,'[1]NDB Impacted SPRFs 05032013'!$A$2:$A$65536,1,FALSE)</f>
        <v>400005716</v>
      </c>
      <c r="S244" s="159"/>
      <c r="T244" s="159"/>
      <c r="U244" s="159"/>
    </row>
    <row r="245" spans="1:21" s="159" customFormat="1" ht="60" x14ac:dyDescent="0.25">
      <c r="A245" s="63">
        <f>MATCH($E245,'D1 - Master Project Table'!$B$24:$B$7056,0)</f>
        <v>2514</v>
      </c>
      <c r="B245" s="63" t="b">
        <f t="shared" si="9"/>
        <v>0</v>
      </c>
      <c r="C245" s="63" t="b">
        <f t="shared" si="10"/>
        <v>1</v>
      </c>
      <c r="D245" s="63" t="str">
        <f t="shared" si="11"/>
        <v>OK</v>
      </c>
      <c r="E245" s="393">
        <v>400007579</v>
      </c>
      <c r="F245" s="392" t="s">
        <v>4310</v>
      </c>
      <c r="G245" s="392" t="s">
        <v>7182</v>
      </c>
      <c r="H245" s="392" t="s">
        <v>5314</v>
      </c>
      <c r="I245" s="392" t="s">
        <v>5109</v>
      </c>
      <c r="J245" s="392" t="s">
        <v>6770</v>
      </c>
      <c r="K245" s="392" t="s">
        <v>1506</v>
      </c>
      <c r="L245" s="392" t="s">
        <v>3440</v>
      </c>
      <c r="M245" s="392" t="s">
        <v>3758</v>
      </c>
      <c r="N245" s="392" t="s">
        <v>7273</v>
      </c>
      <c r="O245" s="392" t="s">
        <v>7273</v>
      </c>
      <c r="P245"/>
      <c r="Q245"/>
      <c r="R245" s="387">
        <f>VLOOKUP(E245,'[1]NDB Impacted SPRFs 05032013'!$A$2:$A$65536,1,FALSE)</f>
        <v>400007579</v>
      </c>
    </row>
    <row r="246" spans="1:21" s="159" customFormat="1" ht="60" x14ac:dyDescent="0.25">
      <c r="A246" s="63">
        <f>MATCH($E246,'D1 - Master Project Table'!$B$24:$B$7056,0)</f>
        <v>1999</v>
      </c>
      <c r="B246" s="63" t="b">
        <f t="shared" si="9"/>
        <v>0</v>
      </c>
      <c r="C246" s="63" t="b">
        <f t="shared" si="10"/>
        <v>1</v>
      </c>
      <c r="D246" s="63" t="str">
        <f t="shared" si="11"/>
        <v>OK</v>
      </c>
      <c r="E246" s="393">
        <v>400030959</v>
      </c>
      <c r="F246" s="392" t="s">
        <v>4122</v>
      </c>
      <c r="G246" s="392" t="s">
        <v>6065</v>
      </c>
      <c r="H246" s="392" t="s">
        <v>7418</v>
      </c>
      <c r="I246" s="392" t="s">
        <v>2655</v>
      </c>
      <c r="J246" s="392" t="s">
        <v>6279</v>
      </c>
      <c r="K246" s="392" t="s">
        <v>5980</v>
      </c>
      <c r="L246" s="392" t="s">
        <v>1479</v>
      </c>
      <c r="M246" s="392" t="s">
        <v>3758</v>
      </c>
      <c r="N246" s="392" t="s">
        <v>7273</v>
      </c>
      <c r="O246" s="392" t="s">
        <v>7273</v>
      </c>
      <c r="P246"/>
      <c r="Q246"/>
      <c r="R246" s="387">
        <f>VLOOKUP(E246,'[1]NDB Impacted SPRFs 05032013'!$A$2:$A$65536,1,FALSE)</f>
        <v>400030959</v>
      </c>
    </row>
    <row r="247" spans="1:21" s="159" customFormat="1" ht="60" x14ac:dyDescent="0.25">
      <c r="A247" s="63">
        <f>MATCH($E247,'D1 - Master Project Table'!$B$24:$B$7056,0)</f>
        <v>687</v>
      </c>
      <c r="B247" s="63" t="b">
        <f t="shared" si="9"/>
        <v>0</v>
      </c>
      <c r="C247" s="63" t="b">
        <f t="shared" si="10"/>
        <v>1</v>
      </c>
      <c r="D247" s="63" t="str">
        <f t="shared" si="11"/>
        <v>OK</v>
      </c>
      <c r="E247" s="393">
        <v>400016578</v>
      </c>
      <c r="F247" s="392" t="s">
        <v>7163</v>
      </c>
      <c r="G247" s="392" t="s">
        <v>6065</v>
      </c>
      <c r="H247" s="392" t="s">
        <v>7418</v>
      </c>
      <c r="I247" s="392" t="s">
        <v>2655</v>
      </c>
      <c r="J247" s="392" t="s">
        <v>2556</v>
      </c>
      <c r="K247" s="392" t="s">
        <v>6699</v>
      </c>
      <c r="L247" s="392" t="s">
        <v>2318</v>
      </c>
      <c r="M247" s="392" t="s">
        <v>3758</v>
      </c>
      <c r="N247" s="392" t="s">
        <v>7273</v>
      </c>
      <c r="O247" s="392" t="s">
        <v>7273</v>
      </c>
      <c r="P247"/>
      <c r="Q247"/>
      <c r="R247" s="387">
        <f>VLOOKUP(E247,'[1]NDB Impacted SPRFs 05032013'!$A$2:$A$65536,1,FALSE)</f>
        <v>400016578</v>
      </c>
    </row>
    <row r="248" spans="1:21" s="159" customFormat="1" ht="60" x14ac:dyDescent="0.25">
      <c r="A248" s="63">
        <f>MATCH($E248,'D1 - Master Project Table'!$B$24:$B$7056,0)</f>
        <v>1740</v>
      </c>
      <c r="B248" s="63" t="b">
        <f t="shared" si="9"/>
        <v>0</v>
      </c>
      <c r="C248" s="63" t="b">
        <f t="shared" si="10"/>
        <v>1</v>
      </c>
      <c r="D248" s="63" t="str">
        <f t="shared" si="11"/>
        <v>OK</v>
      </c>
      <c r="E248" s="393">
        <v>400051856</v>
      </c>
      <c r="F248" s="392" t="s">
        <v>3212</v>
      </c>
      <c r="G248" s="392" t="s">
        <v>5324</v>
      </c>
      <c r="H248" s="392" t="s">
        <v>7418</v>
      </c>
      <c r="I248" s="392" t="s">
        <v>1758</v>
      </c>
      <c r="J248" s="392" t="s">
        <v>2024</v>
      </c>
      <c r="K248" s="392" t="s">
        <v>6444</v>
      </c>
      <c r="L248" s="392" t="s">
        <v>7537</v>
      </c>
      <c r="M248" s="392" t="s">
        <v>3758</v>
      </c>
      <c r="N248" s="392" t="s">
        <v>7273</v>
      </c>
      <c r="O248" s="392" t="s">
        <v>7273</v>
      </c>
      <c r="P248"/>
      <c r="Q248"/>
      <c r="R248" s="387">
        <f>VLOOKUP(E248,'[1]NDB Impacted SPRFs 05032013'!$A$2:$A$65536,1,FALSE)</f>
        <v>400051856</v>
      </c>
    </row>
    <row r="249" spans="1:21" s="159" customFormat="1" ht="60" x14ac:dyDescent="0.25">
      <c r="A249" s="63">
        <f>MATCH($E249,'D1 - Master Project Table'!$B$24:$B$7056,0)</f>
        <v>1956</v>
      </c>
      <c r="B249" s="63" t="b">
        <f t="shared" si="9"/>
        <v>0</v>
      </c>
      <c r="C249" s="63" t="b">
        <f t="shared" si="10"/>
        <v>1</v>
      </c>
      <c r="D249" s="63" t="str">
        <f t="shared" si="11"/>
        <v>OK</v>
      </c>
      <c r="E249" s="393">
        <v>400021850</v>
      </c>
      <c r="F249" s="392" t="s">
        <v>6328</v>
      </c>
      <c r="G249" s="392" t="s">
        <v>5324</v>
      </c>
      <c r="H249" s="392" t="s">
        <v>7418</v>
      </c>
      <c r="I249" s="392" t="s">
        <v>1762</v>
      </c>
      <c r="J249" s="392" t="s">
        <v>5112</v>
      </c>
      <c r="K249" s="392" t="s">
        <v>2508</v>
      </c>
      <c r="L249" s="392" t="s">
        <v>3575</v>
      </c>
      <c r="M249" s="392" t="s">
        <v>3758</v>
      </c>
      <c r="N249" s="392" t="s">
        <v>7273</v>
      </c>
      <c r="O249" s="392" t="s">
        <v>7273</v>
      </c>
      <c r="P249"/>
      <c r="Q249"/>
      <c r="R249" s="387">
        <f>VLOOKUP(E249,'[1]NDB Impacted SPRFs 05032013'!$A$2:$A$65536,1,FALSE)</f>
        <v>400021850</v>
      </c>
      <c r="S249" s="128"/>
      <c r="T249" s="128"/>
      <c r="U249" s="128"/>
    </row>
    <row r="250" spans="1:21" ht="60" x14ac:dyDescent="0.25">
      <c r="A250" s="63">
        <f>MATCH($E250,'D1 - Master Project Table'!$B$24:$B$7056,0)</f>
        <v>1314</v>
      </c>
      <c r="B250" s="63" t="b">
        <f t="shared" si="9"/>
        <v>0</v>
      </c>
      <c r="C250" s="63" t="b">
        <f t="shared" si="10"/>
        <v>1</v>
      </c>
      <c r="D250" s="63" t="str">
        <f t="shared" si="11"/>
        <v>OK</v>
      </c>
      <c r="E250" s="393">
        <v>400033827</v>
      </c>
      <c r="F250" s="392" t="s">
        <v>3681</v>
      </c>
      <c r="G250" s="392" t="s">
        <v>5001</v>
      </c>
      <c r="H250" s="392" t="s">
        <v>7418</v>
      </c>
      <c r="I250" s="392" t="s">
        <v>3540</v>
      </c>
      <c r="J250" s="392" t="s">
        <v>8753</v>
      </c>
      <c r="K250" s="392" t="s">
        <v>7043</v>
      </c>
      <c r="L250" s="392" t="s">
        <v>8201</v>
      </c>
      <c r="M250" s="392" t="s">
        <v>3758</v>
      </c>
      <c r="N250" s="392" t="s">
        <v>7273</v>
      </c>
      <c r="O250" s="392" t="s">
        <v>7273</v>
      </c>
      <c r="P250"/>
      <c r="Q250"/>
      <c r="R250" s="387">
        <f>VLOOKUP(E250,'[1]NDB Impacted SPRFs 05032013'!$A$2:$A$65536,1,FALSE)</f>
        <v>400033827</v>
      </c>
    </row>
    <row r="251" spans="1:21" s="159" customFormat="1" ht="60" x14ac:dyDescent="0.25">
      <c r="A251" s="63">
        <f>MATCH($E251,'D1 - Master Project Table'!$B$24:$B$7056,0)</f>
        <v>2305</v>
      </c>
      <c r="B251" s="63" t="b">
        <f t="shared" si="9"/>
        <v>0</v>
      </c>
      <c r="C251" s="63" t="b">
        <f t="shared" si="10"/>
        <v>1</v>
      </c>
      <c r="D251" s="63" t="str">
        <f t="shared" si="11"/>
        <v>OK</v>
      </c>
      <c r="E251" s="393">
        <v>400043458</v>
      </c>
      <c r="F251" s="392" t="s">
        <v>1177</v>
      </c>
      <c r="G251" s="392" t="s">
        <v>5324</v>
      </c>
      <c r="H251" s="392" t="s">
        <v>7418</v>
      </c>
      <c r="I251" s="392" t="s">
        <v>1759</v>
      </c>
      <c r="J251" s="392" t="s">
        <v>7476</v>
      </c>
      <c r="K251" s="392" t="s">
        <v>1579</v>
      </c>
      <c r="L251" s="392" t="s">
        <v>7089</v>
      </c>
      <c r="M251" s="392" t="s">
        <v>3758</v>
      </c>
      <c r="N251" s="392" t="s">
        <v>7273</v>
      </c>
      <c r="O251" s="392" t="s">
        <v>3758</v>
      </c>
      <c r="P251"/>
      <c r="Q251"/>
      <c r="R251" s="387">
        <f>VLOOKUP(E251,'[1]NDB Impacted SPRFs 05032013'!$A$2:$A$65536,1,FALSE)</f>
        <v>400043458</v>
      </c>
    </row>
    <row r="252" spans="1:21" s="159" customFormat="1" ht="60" x14ac:dyDescent="0.25">
      <c r="A252" s="63">
        <f>MATCH($E252,'D1 - Master Project Table'!$B$24:$B$7056,0)</f>
        <v>1038</v>
      </c>
      <c r="B252" s="63" t="b">
        <f t="shared" si="9"/>
        <v>0</v>
      </c>
      <c r="C252" s="63" t="b">
        <f t="shared" si="10"/>
        <v>1</v>
      </c>
      <c r="D252" s="63" t="str">
        <f t="shared" si="11"/>
        <v>OK</v>
      </c>
      <c r="E252" s="393">
        <v>400028253</v>
      </c>
      <c r="F252" s="392" t="s">
        <v>7391</v>
      </c>
      <c r="G252" s="392" t="s">
        <v>6065</v>
      </c>
      <c r="H252" s="392" t="s">
        <v>7418</v>
      </c>
      <c r="I252" s="392" t="s">
        <v>2655</v>
      </c>
      <c r="J252" s="392" t="s">
        <v>7392</v>
      </c>
      <c r="K252" s="392" t="s">
        <v>4671</v>
      </c>
      <c r="L252" s="392" t="s">
        <v>8900</v>
      </c>
      <c r="M252" s="392" t="s">
        <v>7273</v>
      </c>
      <c r="N252" s="392" t="s">
        <v>7273</v>
      </c>
      <c r="O252" s="392" t="s">
        <v>7273</v>
      </c>
      <c r="P252"/>
      <c r="Q252"/>
      <c r="R252" s="387">
        <f>VLOOKUP(E252,'[1]NDB Impacted SPRFs 05032013'!$A$2:$A$65536,1,FALSE)</f>
        <v>400028253</v>
      </c>
      <c r="S252" s="128"/>
      <c r="T252" s="128"/>
      <c r="U252" s="128"/>
    </row>
    <row r="253" spans="1:21" s="159" customFormat="1" ht="60" x14ac:dyDescent="0.25">
      <c r="A253" s="63">
        <f>MATCH($E253,'D1 - Master Project Table'!$B$24:$B$7056,0)</f>
        <v>1351</v>
      </c>
      <c r="B253" s="63" t="b">
        <f t="shared" si="9"/>
        <v>0</v>
      </c>
      <c r="C253" s="63" t="b">
        <f t="shared" si="10"/>
        <v>1</v>
      </c>
      <c r="D253" s="63" t="str">
        <f t="shared" si="11"/>
        <v>OK</v>
      </c>
      <c r="E253" s="393">
        <v>400033128</v>
      </c>
      <c r="F253" s="392" t="s">
        <v>4713</v>
      </c>
      <c r="G253" s="392" t="s">
        <v>5324</v>
      </c>
      <c r="H253" s="392" t="s">
        <v>7418</v>
      </c>
      <c r="I253" s="392" t="s">
        <v>1595</v>
      </c>
      <c r="J253" s="392" t="s">
        <v>4796</v>
      </c>
      <c r="K253" s="392" t="s">
        <v>8075</v>
      </c>
      <c r="L253" s="392" t="s">
        <v>7546</v>
      </c>
      <c r="M253" s="392" t="s">
        <v>3758</v>
      </c>
      <c r="N253" s="392" t="s">
        <v>7273</v>
      </c>
      <c r="O253" s="392" t="s">
        <v>3758</v>
      </c>
      <c r="P253"/>
      <c r="Q253"/>
      <c r="R253" s="387">
        <f>VLOOKUP(E253,'[1]NDB Impacted SPRFs 05032013'!$A$2:$A$65536,1,FALSE)</f>
        <v>400033128</v>
      </c>
    </row>
    <row r="254" spans="1:21" ht="60" x14ac:dyDescent="0.25">
      <c r="A254" s="63">
        <f>MATCH($E254,'D1 - Master Project Table'!$B$24:$B$7056,0)</f>
        <v>2881</v>
      </c>
      <c r="B254" s="63" t="b">
        <f t="shared" si="9"/>
        <v>0</v>
      </c>
      <c r="C254" s="63" t="b">
        <f t="shared" si="10"/>
        <v>1</v>
      </c>
      <c r="D254" s="63" t="str">
        <f t="shared" si="11"/>
        <v>OK</v>
      </c>
      <c r="E254" s="393">
        <v>400028796</v>
      </c>
      <c r="F254" s="392" t="s">
        <v>6737</v>
      </c>
      <c r="G254" s="392" t="s">
        <v>5001</v>
      </c>
      <c r="H254" s="392" t="s">
        <v>7418</v>
      </c>
      <c r="I254" s="392" t="s">
        <v>3540</v>
      </c>
      <c r="J254" s="392" t="s">
        <v>8725</v>
      </c>
      <c r="K254" s="392" t="s">
        <v>2893</v>
      </c>
      <c r="L254" s="392" t="s">
        <v>116</v>
      </c>
      <c r="M254" s="392" t="s">
        <v>7273</v>
      </c>
      <c r="N254" s="392" t="s">
        <v>7273</v>
      </c>
      <c r="O254" s="392" t="s">
        <v>3758</v>
      </c>
      <c r="P254"/>
      <c r="Q254"/>
      <c r="R254" s="387">
        <f>VLOOKUP(E254,'[1]NDB Impacted SPRFs 05032013'!$A$2:$A$65536,1,FALSE)</f>
        <v>400028796</v>
      </c>
      <c r="S254" s="159"/>
      <c r="T254" s="159"/>
      <c r="U254" s="159"/>
    </row>
    <row r="255" spans="1:21" s="159" customFormat="1" ht="60" x14ac:dyDescent="0.25">
      <c r="A255" s="63">
        <f>MATCH($E255,'D1 - Master Project Table'!$B$24:$B$7056,0)</f>
        <v>1777</v>
      </c>
      <c r="B255" s="63" t="b">
        <f t="shared" si="9"/>
        <v>0</v>
      </c>
      <c r="C255" s="63" t="b">
        <f t="shared" si="10"/>
        <v>1</v>
      </c>
      <c r="D255" s="63" t="str">
        <f t="shared" si="11"/>
        <v>OK</v>
      </c>
      <c r="E255" s="393">
        <v>400051694</v>
      </c>
      <c r="F255" s="392" t="s">
        <v>284</v>
      </c>
      <c r="G255" s="392" t="s">
        <v>5324</v>
      </c>
      <c r="H255" s="392" t="s">
        <v>7418</v>
      </c>
      <c r="I255" s="392" t="s">
        <v>1786</v>
      </c>
      <c r="J255" s="392" t="s">
        <v>285</v>
      </c>
      <c r="K255" s="392" t="s">
        <v>4169</v>
      </c>
      <c r="L255" s="392" t="s">
        <v>9251</v>
      </c>
      <c r="M255" s="392" t="s">
        <v>3758</v>
      </c>
      <c r="N255" s="392" t="s">
        <v>7273</v>
      </c>
      <c r="O255" s="392" t="s">
        <v>7273</v>
      </c>
      <c r="P255"/>
      <c r="Q255"/>
      <c r="R255" s="387">
        <f>VLOOKUP(E255,'[1]NDB Impacted SPRFs 05032013'!$A$2:$A$65536,1,FALSE)</f>
        <v>400051694</v>
      </c>
    </row>
    <row r="256" spans="1:21" ht="45" customHeight="1" x14ac:dyDescent="0.25">
      <c r="A256" s="63">
        <f>MATCH($E256,'D1 - Master Project Table'!$B$24:$B$7056,0)</f>
        <v>3117</v>
      </c>
      <c r="B256" s="63" t="b">
        <f t="shared" si="9"/>
        <v>0</v>
      </c>
      <c r="C256" s="63" t="b">
        <f t="shared" si="10"/>
        <v>1</v>
      </c>
      <c r="D256" s="63" t="str">
        <f t="shared" si="11"/>
        <v>OK</v>
      </c>
      <c r="E256" s="393">
        <v>400052290</v>
      </c>
      <c r="F256" s="392" t="s">
        <v>3044</v>
      </c>
      <c r="G256" s="392" t="s">
        <v>6322</v>
      </c>
      <c r="H256" s="392" t="s">
        <v>5314</v>
      </c>
      <c r="I256" s="392" t="s">
        <v>1758</v>
      </c>
      <c r="J256" s="392" t="s">
        <v>6439</v>
      </c>
      <c r="K256" s="392" t="s">
        <v>3045</v>
      </c>
      <c r="L256" s="392" t="s">
        <v>3046</v>
      </c>
      <c r="M256" s="392" t="s">
        <v>7273</v>
      </c>
      <c r="N256" s="392" t="s">
        <v>7273</v>
      </c>
      <c r="O256" s="392" t="s">
        <v>7273</v>
      </c>
      <c r="P256"/>
      <c r="Q256"/>
      <c r="R256" s="387">
        <f>VLOOKUP(E256,'[1]NDB Impacted SPRFs 05032013'!$A$2:$A$65536,1,FALSE)</f>
        <v>400052290</v>
      </c>
    </row>
    <row r="257" spans="1:21" s="159" customFormat="1" ht="60" x14ac:dyDescent="0.25">
      <c r="A257" s="63">
        <f>MATCH($E257,'D1 - Master Project Table'!$B$24:$B$7056,0)</f>
        <v>401</v>
      </c>
      <c r="B257" s="63" t="b">
        <f t="shared" si="9"/>
        <v>0</v>
      </c>
      <c r="C257" s="63" t="b">
        <f t="shared" si="10"/>
        <v>1</v>
      </c>
      <c r="D257" s="63" t="str">
        <f t="shared" si="11"/>
        <v>OK</v>
      </c>
      <c r="E257" s="393">
        <v>400006105</v>
      </c>
      <c r="F257" s="392" t="s">
        <v>7996</v>
      </c>
      <c r="G257" s="392" t="s">
        <v>5787</v>
      </c>
      <c r="H257" s="392" t="s">
        <v>7418</v>
      </c>
      <c r="I257" s="392" t="s">
        <v>1824</v>
      </c>
      <c r="J257" s="392" t="s">
        <v>7786</v>
      </c>
      <c r="K257" s="392" t="s">
        <v>3454</v>
      </c>
      <c r="L257" s="392" t="s">
        <v>3792</v>
      </c>
      <c r="M257" s="392" t="s">
        <v>3758</v>
      </c>
      <c r="N257" s="392" t="s">
        <v>7273</v>
      </c>
      <c r="O257" s="392" t="s">
        <v>7273</v>
      </c>
      <c r="P257" s="212"/>
      <c r="Q257" s="212"/>
      <c r="R257" s="387">
        <f>VLOOKUP(E257,'[1]NDB Impacted SPRFs 05032013'!$A$2:$A$65536,1,FALSE)</f>
        <v>400006105</v>
      </c>
    </row>
    <row r="258" spans="1:21" s="159" customFormat="1" ht="60" x14ac:dyDescent="0.25">
      <c r="A258" s="63">
        <f>MATCH($E258,'D1 - Master Project Table'!$B$24:$B$7056,0)</f>
        <v>894</v>
      </c>
      <c r="B258" s="63" t="b">
        <f t="shared" si="9"/>
        <v>0</v>
      </c>
      <c r="C258" s="63" t="b">
        <f t="shared" si="10"/>
        <v>1</v>
      </c>
      <c r="D258" s="63" t="str">
        <f t="shared" si="11"/>
        <v>OK</v>
      </c>
      <c r="E258" s="393">
        <v>400019600</v>
      </c>
      <c r="F258" s="392" t="s">
        <v>5842</v>
      </c>
      <c r="G258" s="392" t="s">
        <v>5324</v>
      </c>
      <c r="H258" s="392" t="s">
        <v>7418</v>
      </c>
      <c r="I258" s="392" t="s">
        <v>1756</v>
      </c>
      <c r="J258" s="392" t="s">
        <v>5647</v>
      </c>
      <c r="K258" s="392" t="s">
        <v>1506</v>
      </c>
      <c r="L258" s="392" t="s">
        <v>8901</v>
      </c>
      <c r="M258" s="392" t="s">
        <v>3758</v>
      </c>
      <c r="N258" s="392" t="s">
        <v>7273</v>
      </c>
      <c r="O258" s="392" t="s">
        <v>7273</v>
      </c>
      <c r="P258"/>
      <c r="Q258"/>
      <c r="R258" s="387">
        <f>VLOOKUP(E258,'[1]NDB Impacted SPRFs 05032013'!$A$2:$A$65536,1,FALSE)</f>
        <v>400019600</v>
      </c>
    </row>
    <row r="259" spans="1:21" s="159" customFormat="1" ht="60" x14ac:dyDescent="0.25">
      <c r="A259" s="63">
        <f>MATCH($E259,'D1 - Master Project Table'!$B$24:$B$7056,0)</f>
        <v>1176</v>
      </c>
      <c r="B259" s="63" t="b">
        <f t="shared" si="9"/>
        <v>0</v>
      </c>
      <c r="C259" s="63" t="b">
        <f t="shared" si="10"/>
        <v>1</v>
      </c>
      <c r="D259" s="63" t="str">
        <f t="shared" si="11"/>
        <v>OK</v>
      </c>
      <c r="E259" s="393">
        <v>400030150</v>
      </c>
      <c r="F259" s="392" t="s">
        <v>4897</v>
      </c>
      <c r="G259" s="392" t="s">
        <v>7182</v>
      </c>
      <c r="H259" s="392" t="s">
        <v>7418</v>
      </c>
      <c r="I259" s="392" t="s">
        <v>5523</v>
      </c>
      <c r="J259" s="392" t="s">
        <v>8071</v>
      </c>
      <c r="K259" s="392" t="s">
        <v>5524</v>
      </c>
      <c r="L259" s="392" t="s">
        <v>8902</v>
      </c>
      <c r="M259" s="392" t="s">
        <v>7273</v>
      </c>
      <c r="N259" s="392" t="s">
        <v>7273</v>
      </c>
      <c r="O259" s="392" t="s">
        <v>3758</v>
      </c>
      <c r="P259"/>
      <c r="Q259"/>
      <c r="R259" s="387">
        <f>VLOOKUP(E259,'[1]NDB Impacted SPRFs 05032013'!$A$2:$A$65536,1,FALSE)</f>
        <v>400030150</v>
      </c>
    </row>
    <row r="260" spans="1:21" ht="60" x14ac:dyDescent="0.25">
      <c r="A260" s="63">
        <f>MATCH($E260,'D1 - Master Project Table'!$B$24:$B$7056,0)</f>
        <v>3105</v>
      </c>
      <c r="B260" s="63" t="b">
        <f t="shared" si="9"/>
        <v>0</v>
      </c>
      <c r="C260" s="63" t="b">
        <f t="shared" si="10"/>
        <v>1</v>
      </c>
      <c r="D260" s="63" t="str">
        <f t="shared" si="11"/>
        <v>OK</v>
      </c>
      <c r="E260" s="393">
        <v>400051315</v>
      </c>
      <c r="F260" s="392" t="s">
        <v>2165</v>
      </c>
      <c r="G260" s="392" t="s">
        <v>5324</v>
      </c>
      <c r="H260" s="392" t="s">
        <v>5314</v>
      </c>
      <c r="I260" s="392" t="s">
        <v>1759</v>
      </c>
      <c r="J260" s="392" t="s">
        <v>2146</v>
      </c>
      <c r="K260" s="392" t="s">
        <v>2147</v>
      </c>
      <c r="L260" s="392" t="s">
        <v>3018</v>
      </c>
      <c r="M260" s="392" t="s">
        <v>3758</v>
      </c>
      <c r="N260" s="392" t="s">
        <v>7273</v>
      </c>
      <c r="O260" s="392" t="s">
        <v>3758</v>
      </c>
      <c r="P260"/>
      <c r="Q260"/>
      <c r="R260" s="387">
        <f>VLOOKUP(E260,'[1]NDB Impacted SPRFs 05032013'!$A$2:$A$65536,1,FALSE)</f>
        <v>400051315</v>
      </c>
      <c r="S260" s="159"/>
      <c r="T260" s="159"/>
      <c r="U260" s="159"/>
    </row>
    <row r="261" spans="1:21" s="159" customFormat="1" ht="60" x14ac:dyDescent="0.25">
      <c r="A261" s="63">
        <f>MATCH($E261,'D1 - Master Project Table'!$B$24:$B$7056,0)</f>
        <v>919</v>
      </c>
      <c r="B261" s="63" t="b">
        <f t="shared" si="9"/>
        <v>0</v>
      </c>
      <c r="C261" s="63" t="b">
        <f t="shared" si="10"/>
        <v>1</v>
      </c>
      <c r="D261" s="63" t="str">
        <f t="shared" si="11"/>
        <v>OK</v>
      </c>
      <c r="E261" s="393">
        <v>400020317</v>
      </c>
      <c r="F261" s="392" t="s">
        <v>3086</v>
      </c>
      <c r="G261" s="392" t="s">
        <v>5324</v>
      </c>
      <c r="H261" s="392" t="s">
        <v>7418</v>
      </c>
      <c r="I261" s="392" t="s">
        <v>1788</v>
      </c>
      <c r="J261" s="392" t="s">
        <v>7155</v>
      </c>
      <c r="K261" s="392" t="s">
        <v>1506</v>
      </c>
      <c r="L261" s="392" t="s">
        <v>7552</v>
      </c>
      <c r="M261" s="392" t="s">
        <v>3758</v>
      </c>
      <c r="N261" s="392" t="s">
        <v>7273</v>
      </c>
      <c r="O261" s="392" t="s">
        <v>7273</v>
      </c>
      <c r="P261"/>
      <c r="Q261"/>
      <c r="R261" s="387">
        <f>VLOOKUP(E261,'[1]NDB Impacted SPRFs 05032013'!$A$2:$A$65536,1,FALSE)</f>
        <v>400020317</v>
      </c>
      <c r="S261" s="128"/>
      <c r="T261" s="128"/>
      <c r="U261" s="128"/>
    </row>
    <row r="262" spans="1:21" s="160" customFormat="1" ht="60" x14ac:dyDescent="0.25">
      <c r="A262" s="63" t="e">
        <f>MATCH($E262,'D1 - Master Project Table'!$B$24:$B$7056,0)</f>
        <v>#N/A</v>
      </c>
      <c r="B262" s="63" t="b">
        <f t="shared" ref="B262:B325" si="12">ISERROR(A262)</f>
        <v>1</v>
      </c>
      <c r="C262" s="63" t="b">
        <f t="shared" ref="C262:C325" si="13">OR(H262="Completed",H262="Cancelled")</f>
        <v>1</v>
      </c>
      <c r="D262" s="63" t="str">
        <f t="shared" ref="D262:D325" si="14">IF(AND(B262=TRUE,C262=FALSE),"Add","OK")</f>
        <v>OK</v>
      </c>
      <c r="E262" s="393">
        <v>400056494</v>
      </c>
      <c r="F262" s="392" t="s">
        <v>7891</v>
      </c>
      <c r="G262" s="392" t="s">
        <v>5325</v>
      </c>
      <c r="H262" s="392" t="s">
        <v>5314</v>
      </c>
      <c r="I262" s="392" t="s">
        <v>1757</v>
      </c>
      <c r="J262" s="392" t="s">
        <v>7903</v>
      </c>
      <c r="K262" s="392" t="s">
        <v>7014</v>
      </c>
      <c r="L262" s="392" t="s">
        <v>7195</v>
      </c>
      <c r="M262" s="392" t="s">
        <v>7273</v>
      </c>
      <c r="N262" s="392" t="s">
        <v>7273</v>
      </c>
      <c r="O262" s="392" t="s">
        <v>7273</v>
      </c>
      <c r="P262"/>
      <c r="Q262"/>
      <c r="R262" s="387">
        <f>VLOOKUP(E262,'[1]NDB Impacted SPRFs 05032013'!$A$2:$A$65536,1,FALSE)</f>
        <v>400056494</v>
      </c>
      <c r="S262" s="159"/>
      <c r="T262" s="159"/>
      <c r="U262" s="159"/>
    </row>
    <row r="263" spans="1:21" s="159" customFormat="1" ht="60" x14ac:dyDescent="0.25">
      <c r="A263" s="63">
        <f>MATCH($E263,'D1 - Master Project Table'!$B$24:$B$7056,0)</f>
        <v>949</v>
      </c>
      <c r="B263" s="63" t="b">
        <f t="shared" si="12"/>
        <v>0</v>
      </c>
      <c r="C263" s="63" t="b">
        <f t="shared" si="13"/>
        <v>1</v>
      </c>
      <c r="D263" s="63" t="str">
        <f t="shared" si="14"/>
        <v>OK</v>
      </c>
      <c r="E263" s="393">
        <v>400025395</v>
      </c>
      <c r="F263" s="392" t="s">
        <v>7999</v>
      </c>
      <c r="G263" s="392" t="s">
        <v>6065</v>
      </c>
      <c r="H263" s="392" t="s">
        <v>7418</v>
      </c>
      <c r="I263" s="392" t="s">
        <v>2655</v>
      </c>
      <c r="J263" s="392" t="s">
        <v>8000</v>
      </c>
      <c r="K263" s="392" t="s">
        <v>4671</v>
      </c>
      <c r="L263" s="392" t="s">
        <v>8903</v>
      </c>
      <c r="M263" s="392" t="s">
        <v>3758</v>
      </c>
      <c r="N263" s="392" t="s">
        <v>7273</v>
      </c>
      <c r="O263" s="392" t="s">
        <v>7273</v>
      </c>
      <c r="P263"/>
      <c r="Q263"/>
      <c r="R263" s="387">
        <f>VLOOKUP(E263,'[1]NDB Impacted SPRFs 05032013'!$A$2:$A$65536,1,FALSE)</f>
        <v>400025395</v>
      </c>
      <c r="S263" s="128"/>
      <c r="T263" s="128"/>
      <c r="U263" s="128"/>
    </row>
    <row r="264" spans="1:21" ht="60" x14ac:dyDescent="0.25">
      <c r="A264" s="63">
        <f>MATCH($E264,'D1 - Master Project Table'!$B$24:$B$7056,0)</f>
        <v>600</v>
      </c>
      <c r="B264" s="63" t="b">
        <f t="shared" si="12"/>
        <v>0</v>
      </c>
      <c r="C264" s="63" t="b">
        <f t="shared" si="13"/>
        <v>1</v>
      </c>
      <c r="D264" s="63" t="str">
        <f t="shared" si="14"/>
        <v>OK</v>
      </c>
      <c r="E264" s="393">
        <v>400009865</v>
      </c>
      <c r="F264" s="392" t="s">
        <v>2649</v>
      </c>
      <c r="G264" s="392" t="s">
        <v>5324</v>
      </c>
      <c r="H264" s="392" t="s">
        <v>7418</v>
      </c>
      <c r="I264" s="392" t="s">
        <v>1756</v>
      </c>
      <c r="J264" s="392" t="s">
        <v>4367</v>
      </c>
      <c r="K264" s="392" t="s">
        <v>1506</v>
      </c>
      <c r="L264" s="392" t="s">
        <v>6785</v>
      </c>
      <c r="M264" s="392" t="s">
        <v>3758</v>
      </c>
      <c r="N264" s="392" t="s">
        <v>7273</v>
      </c>
      <c r="O264" s="392" t="s">
        <v>7273</v>
      </c>
      <c r="R264" s="387">
        <f>VLOOKUP(E264,'[1]NDB Impacted SPRFs 05032013'!$A$2:$A$65536,1,FALSE)</f>
        <v>400009865</v>
      </c>
    </row>
    <row r="265" spans="1:21" s="159" customFormat="1" ht="60" x14ac:dyDescent="0.25">
      <c r="A265" s="63">
        <f>MATCH($E265,'D1 - Master Project Table'!$B$24:$B$7056,0)</f>
        <v>1613</v>
      </c>
      <c r="B265" s="63" t="b">
        <f t="shared" si="12"/>
        <v>0</v>
      </c>
      <c r="C265" s="63" t="b">
        <f t="shared" si="13"/>
        <v>1</v>
      </c>
      <c r="D265" s="63" t="str">
        <f t="shared" si="14"/>
        <v>OK</v>
      </c>
      <c r="E265" s="393">
        <v>400043329</v>
      </c>
      <c r="F265" s="392" t="s">
        <v>1158</v>
      </c>
      <c r="G265" s="392" t="s">
        <v>5324</v>
      </c>
      <c r="H265" s="392" t="s">
        <v>7418</v>
      </c>
      <c r="I265" s="392" t="s">
        <v>1759</v>
      </c>
      <c r="J265" s="392" t="s">
        <v>1159</v>
      </c>
      <c r="K265" s="392" t="s">
        <v>1160</v>
      </c>
      <c r="L265" s="392" t="s">
        <v>1857</v>
      </c>
      <c r="M265" s="392" t="s">
        <v>3758</v>
      </c>
      <c r="N265" s="392" t="s">
        <v>7273</v>
      </c>
      <c r="O265" s="392" t="s">
        <v>3758</v>
      </c>
      <c r="P265"/>
      <c r="Q265"/>
      <c r="R265" s="387">
        <f>VLOOKUP(E265,'[1]NDB Impacted SPRFs 05032013'!$A$2:$A$65536,1,FALSE)</f>
        <v>400043329</v>
      </c>
      <c r="S265" s="128"/>
      <c r="T265" s="128"/>
      <c r="U265" s="128"/>
    </row>
    <row r="266" spans="1:21" s="159" customFormat="1" ht="60" x14ac:dyDescent="0.25">
      <c r="A266" s="63">
        <f>MATCH($E266,'D1 - Master Project Table'!$B$24:$B$7056,0)</f>
        <v>175</v>
      </c>
      <c r="B266" s="63" t="b">
        <f t="shared" si="12"/>
        <v>0</v>
      </c>
      <c r="C266" s="63" t="b">
        <f t="shared" si="13"/>
        <v>0</v>
      </c>
      <c r="D266" s="63" t="str">
        <f t="shared" si="14"/>
        <v>OK</v>
      </c>
      <c r="E266" s="393">
        <v>400058776</v>
      </c>
      <c r="F266" s="392" t="s">
        <v>9092</v>
      </c>
      <c r="G266" s="392" t="s">
        <v>3530</v>
      </c>
      <c r="H266" s="392" t="s">
        <v>4917</v>
      </c>
      <c r="I266" s="392" t="s">
        <v>3530</v>
      </c>
      <c r="J266" s="392" t="s">
        <v>9093</v>
      </c>
      <c r="K266" s="392" t="s">
        <v>1895</v>
      </c>
      <c r="L266" s="392" t="s">
        <v>9252</v>
      </c>
      <c r="M266" s="392" t="s">
        <v>7273</v>
      </c>
      <c r="N266" s="392" t="s">
        <v>7273</v>
      </c>
      <c r="O266" s="392" t="s">
        <v>7273</v>
      </c>
      <c r="P266"/>
      <c r="Q266"/>
      <c r="R266" s="387">
        <f>VLOOKUP(E266,'[1]NDB Impacted SPRFs 05032013'!$A$2:$A$65536,1,FALSE)</f>
        <v>400058776</v>
      </c>
    </row>
    <row r="267" spans="1:21" s="159" customFormat="1" ht="60" x14ac:dyDescent="0.25">
      <c r="A267" s="63">
        <f>MATCH($E267,'D1 - Master Project Table'!$B$24:$B$7056,0)</f>
        <v>1451</v>
      </c>
      <c r="B267" s="63" t="b">
        <f t="shared" si="12"/>
        <v>0</v>
      </c>
      <c r="C267" s="63" t="b">
        <f t="shared" si="13"/>
        <v>0</v>
      </c>
      <c r="D267" s="63" t="str">
        <f t="shared" si="14"/>
        <v>OK</v>
      </c>
      <c r="E267" s="393">
        <v>400037865</v>
      </c>
      <c r="F267" s="392" t="s">
        <v>1985</v>
      </c>
      <c r="G267" s="392" t="s">
        <v>5324</v>
      </c>
      <c r="H267" s="392" t="s">
        <v>4917</v>
      </c>
      <c r="I267" s="392" t="s">
        <v>1756</v>
      </c>
      <c r="J267" s="392" t="s">
        <v>7835</v>
      </c>
      <c r="K267" s="392" t="s">
        <v>1989</v>
      </c>
      <c r="L267" s="392" t="s">
        <v>763</v>
      </c>
      <c r="M267" s="392" t="s">
        <v>3758</v>
      </c>
      <c r="N267" s="392" t="s">
        <v>7273</v>
      </c>
      <c r="O267" s="392" t="s">
        <v>3758</v>
      </c>
      <c r="P267"/>
      <c r="Q267"/>
      <c r="R267" s="387">
        <f>VLOOKUP(E267,'[1]NDB Impacted SPRFs 05032013'!$A$2:$A$65536,1,FALSE)</f>
        <v>400037865</v>
      </c>
    </row>
    <row r="268" spans="1:21" s="159" customFormat="1" ht="60" x14ac:dyDescent="0.25">
      <c r="A268" s="63">
        <f>MATCH($E268,'D1 - Master Project Table'!$B$24:$B$7056,0)</f>
        <v>1624</v>
      </c>
      <c r="B268" s="63" t="b">
        <f t="shared" si="12"/>
        <v>0</v>
      </c>
      <c r="C268" s="63" t="b">
        <f t="shared" si="13"/>
        <v>1</v>
      </c>
      <c r="D268" s="63" t="str">
        <f t="shared" si="14"/>
        <v>OK</v>
      </c>
      <c r="E268" s="393">
        <v>400045320</v>
      </c>
      <c r="F268" s="392" t="s">
        <v>3584</v>
      </c>
      <c r="G268" s="392" t="s">
        <v>5324</v>
      </c>
      <c r="H268" s="392" t="s">
        <v>7418</v>
      </c>
      <c r="I268" s="392" t="s">
        <v>1758</v>
      </c>
      <c r="J268" s="392" t="s">
        <v>2273</v>
      </c>
      <c r="K268" s="392" t="s">
        <v>2050</v>
      </c>
      <c r="L268" s="392" t="s">
        <v>1810</v>
      </c>
      <c r="M268" s="392" t="s">
        <v>3758</v>
      </c>
      <c r="N268" s="392" t="s">
        <v>7273</v>
      </c>
      <c r="O268" s="392" t="s">
        <v>7273</v>
      </c>
      <c r="P268"/>
      <c r="Q268"/>
      <c r="R268" s="387">
        <f>VLOOKUP(E268,'[1]NDB Impacted SPRFs 05032013'!$A$2:$A$65536,1,FALSE)</f>
        <v>400045320</v>
      </c>
      <c r="S268" s="128"/>
      <c r="T268" s="128"/>
      <c r="U268" s="128"/>
    </row>
    <row r="269" spans="1:21" s="159" customFormat="1" ht="60" x14ac:dyDescent="0.25">
      <c r="A269" s="63">
        <f>MATCH($E269,'D1 - Master Project Table'!$B$24:$B$7056,0)</f>
        <v>2032</v>
      </c>
      <c r="B269" s="63" t="b">
        <f t="shared" si="12"/>
        <v>0</v>
      </c>
      <c r="C269" s="63" t="b">
        <f t="shared" si="13"/>
        <v>1</v>
      </c>
      <c r="D269" s="63" t="str">
        <f t="shared" si="14"/>
        <v>OK</v>
      </c>
      <c r="E269" s="393">
        <v>400045060</v>
      </c>
      <c r="F269" s="392" t="s">
        <v>3611</v>
      </c>
      <c r="G269" s="392" t="s">
        <v>5324</v>
      </c>
      <c r="H269" s="392" t="s">
        <v>7418</v>
      </c>
      <c r="I269" s="392" t="s">
        <v>1758</v>
      </c>
      <c r="J269" s="392" t="s">
        <v>2273</v>
      </c>
      <c r="K269" s="392" t="s">
        <v>3612</v>
      </c>
      <c r="L269" s="392" t="s">
        <v>604</v>
      </c>
      <c r="M269" s="392" t="s">
        <v>7273</v>
      </c>
      <c r="N269" s="392" t="s">
        <v>7273</v>
      </c>
      <c r="O269" s="392" t="s">
        <v>3758</v>
      </c>
      <c r="P269"/>
      <c r="Q269"/>
      <c r="R269" s="387">
        <f>VLOOKUP(E269,'[1]NDB Impacted SPRFs 05032013'!$A$2:$A$65536,1,FALSE)</f>
        <v>400045060</v>
      </c>
    </row>
    <row r="270" spans="1:21" s="159" customFormat="1" ht="60" x14ac:dyDescent="0.25">
      <c r="A270" s="63">
        <f>MATCH($E270,'D1 - Master Project Table'!$B$24:$B$7056,0)</f>
        <v>30</v>
      </c>
      <c r="B270" s="63" t="b">
        <f t="shared" si="12"/>
        <v>0</v>
      </c>
      <c r="C270" s="63" t="b">
        <f t="shared" si="13"/>
        <v>0</v>
      </c>
      <c r="D270" s="63" t="str">
        <f t="shared" si="14"/>
        <v>OK</v>
      </c>
      <c r="E270" s="393">
        <v>400046041</v>
      </c>
      <c r="F270" s="392" t="s">
        <v>844</v>
      </c>
      <c r="G270" s="392" t="s">
        <v>5324</v>
      </c>
      <c r="H270" s="392" t="s">
        <v>7479</v>
      </c>
      <c r="I270" s="392" t="s">
        <v>1763</v>
      </c>
      <c r="J270" s="392" t="s">
        <v>845</v>
      </c>
      <c r="K270" s="392" t="s">
        <v>846</v>
      </c>
      <c r="L270" s="392" t="s">
        <v>8618</v>
      </c>
      <c r="M270" s="392" t="s">
        <v>7273</v>
      </c>
      <c r="N270" s="392" t="s">
        <v>7273</v>
      </c>
      <c r="O270" s="392" t="s">
        <v>3758</v>
      </c>
      <c r="P270"/>
      <c r="Q270"/>
      <c r="R270" s="387">
        <f>VLOOKUP(E270,'[1]NDB Impacted SPRFs 05032013'!$A$2:$A$65536,1,FALSE)</f>
        <v>400046041</v>
      </c>
    </row>
    <row r="271" spans="1:21" s="159" customFormat="1" ht="60" x14ac:dyDescent="0.25">
      <c r="A271" s="63">
        <f>MATCH($E271,'D1 - Master Project Table'!$B$24:$B$7056,0)</f>
        <v>2449</v>
      </c>
      <c r="B271" s="63" t="b">
        <f t="shared" si="12"/>
        <v>0</v>
      </c>
      <c r="C271" s="63" t="b">
        <f t="shared" si="13"/>
        <v>1</v>
      </c>
      <c r="D271" s="63" t="str">
        <f t="shared" si="14"/>
        <v>OK</v>
      </c>
      <c r="E271" s="393">
        <v>400004056</v>
      </c>
      <c r="F271" s="392" t="s">
        <v>4086</v>
      </c>
      <c r="G271" s="392" t="s">
        <v>5787</v>
      </c>
      <c r="H271" s="392" t="s">
        <v>5314</v>
      </c>
      <c r="I271" s="392" t="s">
        <v>1778</v>
      </c>
      <c r="J271" s="392" t="s">
        <v>2646</v>
      </c>
      <c r="K271" s="392" t="s">
        <v>3914</v>
      </c>
      <c r="L271" s="392" t="s">
        <v>5144</v>
      </c>
      <c r="M271" s="392" t="s">
        <v>3758</v>
      </c>
      <c r="N271" s="392" t="s">
        <v>7273</v>
      </c>
      <c r="O271" s="392" t="s">
        <v>7273</v>
      </c>
      <c r="P271"/>
      <c r="Q271"/>
      <c r="R271" s="387">
        <f>VLOOKUP(E271,'[1]NDB Impacted SPRFs 05032013'!$A$2:$A$65536,1,FALSE)</f>
        <v>400004056</v>
      </c>
    </row>
    <row r="272" spans="1:21" s="159" customFormat="1" ht="60" x14ac:dyDescent="0.25">
      <c r="A272" s="63">
        <f>MATCH($E272,'D1 - Master Project Table'!$B$24:$B$7056,0)</f>
        <v>613</v>
      </c>
      <c r="B272" s="63" t="b">
        <f t="shared" si="12"/>
        <v>0</v>
      </c>
      <c r="C272" s="63" t="b">
        <f t="shared" si="13"/>
        <v>1</v>
      </c>
      <c r="D272" s="63" t="str">
        <f t="shared" si="14"/>
        <v>OK</v>
      </c>
      <c r="E272" s="393">
        <v>400012680</v>
      </c>
      <c r="F272" s="392" t="s">
        <v>2823</v>
      </c>
      <c r="G272" s="392" t="s">
        <v>3441</v>
      </c>
      <c r="H272" s="392" t="s">
        <v>7418</v>
      </c>
      <c r="I272" s="392" t="s">
        <v>1769</v>
      </c>
      <c r="J272" s="392" t="s">
        <v>3228</v>
      </c>
      <c r="K272" s="392" t="s">
        <v>1506</v>
      </c>
      <c r="L272" s="392" t="s">
        <v>3985</v>
      </c>
      <c r="M272" s="392" t="s">
        <v>3758</v>
      </c>
      <c r="N272" s="392" t="s">
        <v>7273</v>
      </c>
      <c r="O272" s="392" t="s">
        <v>7273</v>
      </c>
      <c r="P272"/>
      <c r="Q272"/>
      <c r="R272" s="387">
        <f>VLOOKUP(E272,'[1]NDB Impacted SPRFs 05032013'!$A$2:$A$65536,1,FALSE)</f>
        <v>400012680</v>
      </c>
    </row>
    <row r="273" spans="1:21" s="159" customFormat="1" ht="60" x14ac:dyDescent="0.25">
      <c r="A273" s="63">
        <f>MATCH($E273,'D1 - Master Project Table'!$B$24:$B$7056,0)</f>
        <v>2270</v>
      </c>
      <c r="B273" s="63" t="b">
        <f t="shared" si="12"/>
        <v>0</v>
      </c>
      <c r="C273" s="63" t="b">
        <f t="shared" si="13"/>
        <v>1</v>
      </c>
      <c r="D273" s="63" t="str">
        <f t="shared" si="14"/>
        <v>OK</v>
      </c>
      <c r="E273" s="393">
        <v>400033448</v>
      </c>
      <c r="F273" s="392" t="s">
        <v>4401</v>
      </c>
      <c r="G273" s="392" t="s">
        <v>5324</v>
      </c>
      <c r="H273" s="392" t="s">
        <v>7418</v>
      </c>
      <c r="I273" s="392" t="s">
        <v>1756</v>
      </c>
      <c r="J273" s="392" t="s">
        <v>3322</v>
      </c>
      <c r="K273" s="392" t="s">
        <v>1506</v>
      </c>
      <c r="L273" s="392" t="s">
        <v>9253</v>
      </c>
      <c r="M273" s="392" t="s">
        <v>3758</v>
      </c>
      <c r="N273" s="392" t="s">
        <v>7273</v>
      </c>
      <c r="O273" s="392" t="s">
        <v>7273</v>
      </c>
      <c r="P273"/>
      <c r="Q273"/>
      <c r="R273" s="387">
        <f>VLOOKUP(E273,'[1]NDB Impacted SPRFs 05032013'!$A$2:$A$65536,1,FALSE)</f>
        <v>400033448</v>
      </c>
    </row>
    <row r="274" spans="1:21" s="159" customFormat="1" ht="60" x14ac:dyDescent="0.25">
      <c r="A274" s="63">
        <f>MATCH($E274,'D1 - Master Project Table'!$B$24:$B$7056,0)</f>
        <v>15</v>
      </c>
      <c r="B274" s="63" t="b">
        <f t="shared" si="12"/>
        <v>0</v>
      </c>
      <c r="C274" s="63" t="b">
        <f t="shared" si="13"/>
        <v>0</v>
      </c>
      <c r="D274" s="63" t="str">
        <f t="shared" si="14"/>
        <v>OK</v>
      </c>
      <c r="E274" s="393">
        <v>400054724</v>
      </c>
      <c r="F274" s="392" t="s">
        <v>7902</v>
      </c>
      <c r="G274" s="392" t="s">
        <v>9210</v>
      </c>
      <c r="H274" s="392" t="s">
        <v>4917</v>
      </c>
      <c r="I274" s="392" t="s">
        <v>3540</v>
      </c>
      <c r="J274" s="392" t="s">
        <v>7903</v>
      </c>
      <c r="K274" s="392" t="s">
        <v>7014</v>
      </c>
      <c r="L274" s="392" t="s">
        <v>7668</v>
      </c>
      <c r="M274" s="392" t="s">
        <v>7273</v>
      </c>
      <c r="N274" s="392" t="s">
        <v>7273</v>
      </c>
      <c r="O274" s="392" t="s">
        <v>7273</v>
      </c>
      <c r="P274" s="158"/>
      <c r="Q274" s="128"/>
      <c r="R274" s="387">
        <f>VLOOKUP(E274,'[1]NDB Impacted SPRFs 05032013'!$A$2:$A$65536,1,FALSE)</f>
        <v>400054724</v>
      </c>
      <c r="S274" s="128"/>
      <c r="T274" s="128"/>
      <c r="U274" s="128"/>
    </row>
    <row r="275" spans="1:21" ht="60" x14ac:dyDescent="0.25">
      <c r="A275" s="63">
        <f>MATCH($E275,'D1 - Master Project Table'!$B$24:$B$7056,0)</f>
        <v>2618</v>
      </c>
      <c r="B275" s="63" t="b">
        <f t="shared" si="12"/>
        <v>0</v>
      </c>
      <c r="C275" s="63" t="b">
        <f t="shared" si="13"/>
        <v>1</v>
      </c>
      <c r="D275" s="63" t="str">
        <f t="shared" si="14"/>
        <v>OK</v>
      </c>
      <c r="E275" s="393">
        <v>400013438</v>
      </c>
      <c r="F275" s="392" t="s">
        <v>3084</v>
      </c>
      <c r="G275" s="392" t="s">
        <v>5324</v>
      </c>
      <c r="H275" s="392" t="s">
        <v>5314</v>
      </c>
      <c r="I275" s="392" t="s">
        <v>1756</v>
      </c>
      <c r="J275" s="392" t="s">
        <v>5041</v>
      </c>
      <c r="K275" s="392" t="s">
        <v>5684</v>
      </c>
      <c r="L275" s="392" t="s">
        <v>4312</v>
      </c>
      <c r="M275" s="392" t="s">
        <v>3758</v>
      </c>
      <c r="N275" s="392" t="s">
        <v>7273</v>
      </c>
      <c r="O275" s="392" t="s">
        <v>7273</v>
      </c>
      <c r="P275"/>
      <c r="Q275"/>
      <c r="R275" s="387">
        <f>VLOOKUP(E275,'[1]NDB Impacted SPRFs 05032013'!$A$2:$A$65536,1,FALSE)</f>
        <v>400013438</v>
      </c>
      <c r="S275" s="159"/>
      <c r="T275" s="159"/>
      <c r="U275" s="159"/>
    </row>
    <row r="276" spans="1:21" s="159" customFormat="1" ht="60" x14ac:dyDescent="0.25">
      <c r="A276" s="63">
        <f>MATCH($E276,'D1 - Master Project Table'!$B$24:$B$7056,0)</f>
        <v>2175</v>
      </c>
      <c r="B276" s="63" t="b">
        <f t="shared" si="12"/>
        <v>0</v>
      </c>
      <c r="C276" s="63" t="b">
        <f t="shared" si="13"/>
        <v>1</v>
      </c>
      <c r="D276" s="63" t="str">
        <f t="shared" si="14"/>
        <v>OK</v>
      </c>
      <c r="E276" s="393">
        <v>400019683</v>
      </c>
      <c r="F276" s="392" t="s">
        <v>5244</v>
      </c>
      <c r="G276" s="392" t="s">
        <v>5324</v>
      </c>
      <c r="H276" s="392" t="s">
        <v>7418</v>
      </c>
      <c r="I276" s="392" t="s">
        <v>1756</v>
      </c>
      <c r="J276" s="392" t="s">
        <v>2969</v>
      </c>
      <c r="K276" s="392" t="s">
        <v>1506</v>
      </c>
      <c r="L276" s="392" t="s">
        <v>2633</v>
      </c>
      <c r="M276" s="392" t="s">
        <v>7273</v>
      </c>
      <c r="N276" s="392" t="s">
        <v>7273</v>
      </c>
      <c r="O276" s="392" t="s">
        <v>7273</v>
      </c>
      <c r="P276"/>
      <c r="Q276"/>
      <c r="R276" s="387">
        <f>VLOOKUP(E276,'[1]NDB Impacted SPRFs 05032013'!$A$2:$A$65536,1,FALSE)</f>
        <v>400019683</v>
      </c>
    </row>
    <row r="277" spans="1:21" s="159" customFormat="1" ht="60" x14ac:dyDescent="0.25">
      <c r="A277" s="63">
        <f>MATCH($E277,'D1 - Master Project Table'!$B$24:$B$7056,0)</f>
        <v>169</v>
      </c>
      <c r="B277" s="63" t="b">
        <f t="shared" si="12"/>
        <v>0</v>
      </c>
      <c r="C277" s="63" t="b">
        <f t="shared" si="13"/>
        <v>0</v>
      </c>
      <c r="D277" s="63" t="str">
        <f t="shared" si="14"/>
        <v>OK</v>
      </c>
      <c r="E277" s="393">
        <v>400057589</v>
      </c>
      <c r="F277" s="392" t="s">
        <v>8324</v>
      </c>
      <c r="G277" s="392" t="s">
        <v>5324</v>
      </c>
      <c r="H277" s="392" t="s">
        <v>4917</v>
      </c>
      <c r="I277" s="392" t="s">
        <v>1759</v>
      </c>
      <c r="J277" s="392" t="s">
        <v>2037</v>
      </c>
      <c r="K277" s="392" t="s">
        <v>1576</v>
      </c>
      <c r="L277" s="392" t="s">
        <v>9311</v>
      </c>
      <c r="M277" s="392" t="s">
        <v>3758</v>
      </c>
      <c r="N277" s="392" t="s">
        <v>7273</v>
      </c>
      <c r="O277" s="392" t="s">
        <v>7273</v>
      </c>
      <c r="P277"/>
      <c r="Q277"/>
      <c r="R277" s="387">
        <f>VLOOKUP(E277,'[1]NDB Impacted SPRFs 05032013'!$A$2:$A$65536,1,FALSE)</f>
        <v>400057589</v>
      </c>
    </row>
    <row r="278" spans="1:21" s="159" customFormat="1" ht="60" x14ac:dyDescent="0.25">
      <c r="A278" s="63">
        <f>MATCH($E278,'D1 - Master Project Table'!$B$24:$B$7056,0)</f>
        <v>1488</v>
      </c>
      <c r="B278" s="63" t="b">
        <f t="shared" si="12"/>
        <v>0</v>
      </c>
      <c r="C278" s="63" t="b">
        <f t="shared" si="13"/>
        <v>1</v>
      </c>
      <c r="D278" s="63" t="str">
        <f t="shared" si="14"/>
        <v>OK</v>
      </c>
      <c r="E278" s="393">
        <v>400043195</v>
      </c>
      <c r="F278" s="392" t="s">
        <v>1154</v>
      </c>
      <c r="G278" s="392" t="s">
        <v>5995</v>
      </c>
      <c r="H278" s="392" t="s">
        <v>7418</v>
      </c>
      <c r="I278" s="392" t="s">
        <v>6423</v>
      </c>
      <c r="J278" s="392" t="s">
        <v>1155</v>
      </c>
      <c r="K278" s="392" t="s">
        <v>3786</v>
      </c>
      <c r="L278" s="392" t="s">
        <v>1415</v>
      </c>
      <c r="M278" s="392" t="s">
        <v>7273</v>
      </c>
      <c r="N278" s="392" t="s">
        <v>7273</v>
      </c>
      <c r="O278" s="392" t="s">
        <v>7273</v>
      </c>
      <c r="P278" s="158"/>
      <c r="Q278" s="128"/>
      <c r="R278" s="387">
        <f>VLOOKUP(E278,'[1]NDB Impacted SPRFs 05032013'!$A$2:$A$65536,1,FALSE)</f>
        <v>400043195</v>
      </c>
      <c r="S278" s="128"/>
      <c r="T278" s="128"/>
      <c r="U278" s="128"/>
    </row>
    <row r="279" spans="1:21" s="159" customFormat="1" ht="60" x14ac:dyDescent="0.25">
      <c r="A279" s="63">
        <f>MATCH($E279,'D1 - Master Project Table'!$B$24:$B$7056,0)</f>
        <v>1</v>
      </c>
      <c r="B279" s="63" t="b">
        <f t="shared" si="12"/>
        <v>0</v>
      </c>
      <c r="C279" s="63" t="b">
        <f t="shared" si="13"/>
        <v>0</v>
      </c>
      <c r="D279" s="63" t="str">
        <f t="shared" si="14"/>
        <v>OK</v>
      </c>
      <c r="E279" s="393">
        <v>400050155</v>
      </c>
      <c r="F279" s="392" t="s">
        <v>2180</v>
      </c>
      <c r="G279" s="392" t="s">
        <v>5324</v>
      </c>
      <c r="H279" s="392" t="s">
        <v>4917</v>
      </c>
      <c r="I279" s="392" t="s">
        <v>1758</v>
      </c>
      <c r="J279" s="392" t="s">
        <v>2471</v>
      </c>
      <c r="K279" s="392" t="s">
        <v>168</v>
      </c>
      <c r="L279" s="392" t="s">
        <v>9094</v>
      </c>
      <c r="M279" s="392" t="s">
        <v>3758</v>
      </c>
      <c r="N279" s="392" t="s">
        <v>7273</v>
      </c>
      <c r="O279" s="392" t="s">
        <v>7273</v>
      </c>
      <c r="P279"/>
      <c r="Q279"/>
      <c r="R279" s="387">
        <f>VLOOKUP(E279,'[1]NDB Impacted SPRFs 05032013'!$A$2:$A$65536,1,FALSE)</f>
        <v>400050155</v>
      </c>
    </row>
    <row r="280" spans="1:21" s="159" customFormat="1" ht="60" x14ac:dyDescent="0.25">
      <c r="A280" s="63">
        <f>MATCH($E280,'D1 - Master Project Table'!$B$24:$B$7056,0)</f>
        <v>1988</v>
      </c>
      <c r="B280" s="63" t="b">
        <f t="shared" si="12"/>
        <v>0</v>
      </c>
      <c r="C280" s="63" t="b">
        <f t="shared" si="13"/>
        <v>1</v>
      </c>
      <c r="D280" s="63" t="str">
        <f t="shared" si="14"/>
        <v>OK</v>
      </c>
      <c r="E280" s="393">
        <v>400028872</v>
      </c>
      <c r="F280" s="392" t="s">
        <v>2392</v>
      </c>
      <c r="G280" s="392" t="s">
        <v>5324</v>
      </c>
      <c r="H280" s="392" t="s">
        <v>7418</v>
      </c>
      <c r="I280" s="392" t="s">
        <v>1756</v>
      </c>
      <c r="J280" s="392" t="s">
        <v>7078</v>
      </c>
      <c r="K280" s="392" t="s">
        <v>5430</v>
      </c>
      <c r="L280" s="392" t="s">
        <v>7865</v>
      </c>
      <c r="M280" s="392" t="s">
        <v>3758</v>
      </c>
      <c r="N280" s="392" t="s">
        <v>7273</v>
      </c>
      <c r="O280" s="392" t="s">
        <v>3758</v>
      </c>
      <c r="P280"/>
      <c r="Q280"/>
      <c r="R280" s="387">
        <f>VLOOKUP(E280,'[1]NDB Impacted SPRFs 05032013'!$A$2:$A$65536,1,FALSE)</f>
        <v>400028872</v>
      </c>
      <c r="S280" s="128"/>
      <c r="T280" s="128"/>
      <c r="U280" s="128"/>
    </row>
    <row r="281" spans="1:21" s="159" customFormat="1" ht="60" x14ac:dyDescent="0.25">
      <c r="A281" s="63">
        <f>MATCH($E281,'D1 - Master Project Table'!$B$24:$B$7056,0)</f>
        <v>1977</v>
      </c>
      <c r="B281" s="63" t="b">
        <f t="shared" si="12"/>
        <v>0</v>
      </c>
      <c r="C281" s="63" t="b">
        <f t="shared" si="13"/>
        <v>1</v>
      </c>
      <c r="D281" s="63" t="str">
        <f t="shared" si="14"/>
        <v>OK</v>
      </c>
      <c r="E281" s="393">
        <v>400026683</v>
      </c>
      <c r="F281" s="392" t="s">
        <v>7604</v>
      </c>
      <c r="G281" s="392" t="s">
        <v>5001</v>
      </c>
      <c r="H281" s="392" t="s">
        <v>7418</v>
      </c>
      <c r="I281" s="392" t="s">
        <v>2660</v>
      </c>
      <c r="J281" s="392" t="s">
        <v>8763</v>
      </c>
      <c r="K281" s="392" t="s">
        <v>7605</v>
      </c>
      <c r="L281" s="392" t="s">
        <v>1919</v>
      </c>
      <c r="M281" s="392" t="s">
        <v>3758</v>
      </c>
      <c r="N281" s="392" t="s">
        <v>7273</v>
      </c>
      <c r="O281" s="392" t="s">
        <v>7273</v>
      </c>
      <c r="P281"/>
      <c r="Q281"/>
      <c r="R281" s="387">
        <f>VLOOKUP(E281,'[1]NDB Impacted SPRFs 05032013'!$A$2:$A$65536,1,FALSE)</f>
        <v>400026683</v>
      </c>
      <c r="S281" s="128"/>
      <c r="T281" s="128"/>
      <c r="U281" s="128"/>
    </row>
    <row r="282" spans="1:21" ht="60" x14ac:dyDescent="0.25">
      <c r="A282" s="63">
        <f>MATCH($E282,'D1 - Master Project Table'!$B$24:$B$7056,0)</f>
        <v>1465</v>
      </c>
      <c r="B282" s="63" t="b">
        <f t="shared" si="12"/>
        <v>0</v>
      </c>
      <c r="C282" s="63" t="b">
        <f t="shared" si="13"/>
        <v>1</v>
      </c>
      <c r="D282" s="63" t="str">
        <f t="shared" si="14"/>
        <v>OK</v>
      </c>
      <c r="E282" s="393">
        <v>400040917</v>
      </c>
      <c r="F282" s="392" t="s">
        <v>1183</v>
      </c>
      <c r="G282" s="392" t="s">
        <v>5324</v>
      </c>
      <c r="H282" s="392" t="s">
        <v>7418</v>
      </c>
      <c r="I282" s="392" t="s">
        <v>1758</v>
      </c>
      <c r="J282" s="392" t="s">
        <v>6543</v>
      </c>
      <c r="K282" s="392" t="s">
        <v>651</v>
      </c>
      <c r="L282" s="392" t="s">
        <v>7555</v>
      </c>
      <c r="M282" s="392" t="s">
        <v>3758</v>
      </c>
      <c r="N282" s="392" t="s">
        <v>7273</v>
      </c>
      <c r="O282" s="392" t="s">
        <v>7273</v>
      </c>
      <c r="P282"/>
      <c r="Q282"/>
      <c r="R282" s="387">
        <f>VLOOKUP(E282,'[1]NDB Impacted SPRFs 05032013'!$A$2:$A$65536,1,FALSE)</f>
        <v>400040917</v>
      </c>
      <c r="S282" s="159"/>
      <c r="T282" s="159"/>
      <c r="U282" s="159"/>
    </row>
    <row r="283" spans="1:21" s="159" customFormat="1" ht="60" x14ac:dyDescent="0.25">
      <c r="A283" s="63">
        <f>MATCH($E283,'D1 - Master Project Table'!$B$24:$B$7056,0)</f>
        <v>1347</v>
      </c>
      <c r="B283" s="63" t="b">
        <f t="shared" si="12"/>
        <v>0</v>
      </c>
      <c r="C283" s="63" t="b">
        <f t="shared" si="13"/>
        <v>1</v>
      </c>
      <c r="D283" s="63" t="str">
        <f t="shared" si="14"/>
        <v>OK</v>
      </c>
      <c r="E283" s="393">
        <v>400033125</v>
      </c>
      <c r="F283" s="392" t="s">
        <v>3626</v>
      </c>
      <c r="G283" s="392" t="s">
        <v>5324</v>
      </c>
      <c r="H283" s="392" t="s">
        <v>7418</v>
      </c>
      <c r="I283" s="392" t="s">
        <v>1595</v>
      </c>
      <c r="J283" s="392" t="s">
        <v>3936</v>
      </c>
      <c r="K283" s="392" t="s">
        <v>8075</v>
      </c>
      <c r="L283" s="392" t="s">
        <v>7545</v>
      </c>
      <c r="M283" s="392" t="s">
        <v>7273</v>
      </c>
      <c r="N283" s="392" t="s">
        <v>7273</v>
      </c>
      <c r="O283" s="392" t="s">
        <v>3758</v>
      </c>
      <c r="P283"/>
      <c r="Q283"/>
      <c r="R283" s="387">
        <f>VLOOKUP(E283,'[1]NDB Impacted SPRFs 05032013'!$A$2:$A$65536,1,FALSE)</f>
        <v>400033125</v>
      </c>
    </row>
    <row r="284" spans="1:21" s="159" customFormat="1" ht="60" x14ac:dyDescent="0.25">
      <c r="A284" s="63">
        <f>MATCH($E284,'D1 - Master Project Table'!$B$24:$B$7056,0)</f>
        <v>3110</v>
      </c>
      <c r="B284" s="63" t="b">
        <f t="shared" si="12"/>
        <v>0</v>
      </c>
      <c r="C284" s="63" t="b">
        <f t="shared" si="13"/>
        <v>1</v>
      </c>
      <c r="D284" s="63" t="str">
        <f t="shared" si="14"/>
        <v>OK</v>
      </c>
      <c r="E284" s="393">
        <v>400051811</v>
      </c>
      <c r="F284" s="392" t="s">
        <v>2385</v>
      </c>
      <c r="G284" s="392" t="s">
        <v>5324</v>
      </c>
      <c r="H284" s="392" t="s">
        <v>5314</v>
      </c>
      <c r="I284" s="392" t="s">
        <v>862</v>
      </c>
      <c r="J284" s="392" t="s">
        <v>2386</v>
      </c>
      <c r="K284" s="392" t="s">
        <v>2387</v>
      </c>
      <c r="L284" s="392" t="s">
        <v>9486</v>
      </c>
      <c r="M284" s="392" t="s">
        <v>7273</v>
      </c>
      <c r="N284" s="392" t="s">
        <v>7273</v>
      </c>
      <c r="O284" s="392" t="s">
        <v>7273</v>
      </c>
      <c r="P284"/>
      <c r="Q284"/>
      <c r="R284" s="387">
        <f>VLOOKUP(E284,'[1]NDB Impacted SPRFs 05032013'!$A$2:$A$65536,1,FALSE)</f>
        <v>400051811</v>
      </c>
      <c r="S284" s="128"/>
      <c r="T284" s="128"/>
      <c r="U284" s="128"/>
    </row>
    <row r="285" spans="1:21" s="159" customFormat="1" ht="45" customHeight="1" x14ac:dyDescent="0.25">
      <c r="A285" s="63" t="e">
        <f>MATCH($E285,'D1 - Master Project Table'!$B$24:$B$7056,0)</f>
        <v>#N/A</v>
      </c>
      <c r="B285" s="63" t="b">
        <f t="shared" si="12"/>
        <v>1</v>
      </c>
      <c r="C285" s="63" t="b">
        <f t="shared" si="13"/>
        <v>1</v>
      </c>
      <c r="D285" s="63" t="str">
        <f t="shared" si="14"/>
        <v>OK</v>
      </c>
      <c r="E285" s="393">
        <v>400012753</v>
      </c>
      <c r="F285" s="392" t="s">
        <v>6385</v>
      </c>
      <c r="G285" s="392" t="s">
        <v>3441</v>
      </c>
      <c r="H285" s="392" t="s">
        <v>5314</v>
      </c>
      <c r="I285" s="392" t="s">
        <v>4168</v>
      </c>
      <c r="J285" s="392" t="s">
        <v>6905</v>
      </c>
      <c r="K285" s="392" t="s">
        <v>1506</v>
      </c>
      <c r="L285" s="392" t="s">
        <v>2804</v>
      </c>
      <c r="M285" s="392" t="s">
        <v>3758</v>
      </c>
      <c r="N285" s="392" t="s">
        <v>7273</v>
      </c>
      <c r="O285" s="392" t="s">
        <v>7273</v>
      </c>
      <c r="P285"/>
      <c r="Q285"/>
      <c r="R285" s="387">
        <f>VLOOKUP(E285,'[1]NDB Impacted SPRFs 05032013'!$A$2:$A$65536,1,FALSE)</f>
        <v>400012753</v>
      </c>
      <c r="S285" s="128"/>
      <c r="T285" s="128"/>
      <c r="U285" s="128"/>
    </row>
    <row r="286" spans="1:21" s="159" customFormat="1" ht="60" x14ac:dyDescent="0.25">
      <c r="A286" s="63">
        <f>MATCH($E286,'D1 - Master Project Table'!$B$24:$B$7056,0)</f>
        <v>48</v>
      </c>
      <c r="B286" s="63" t="b">
        <f t="shared" si="12"/>
        <v>0</v>
      </c>
      <c r="C286" s="63" t="b">
        <f t="shared" si="13"/>
        <v>0</v>
      </c>
      <c r="D286" s="63" t="str">
        <f t="shared" si="14"/>
        <v>OK</v>
      </c>
      <c r="E286" s="393">
        <v>400053883</v>
      </c>
      <c r="F286" s="392" t="s">
        <v>276</v>
      </c>
      <c r="G286" s="392" t="s">
        <v>5324</v>
      </c>
      <c r="H286" s="392" t="s">
        <v>4917</v>
      </c>
      <c r="I286" s="392" t="s">
        <v>1762</v>
      </c>
      <c r="J286" s="392" t="s">
        <v>4796</v>
      </c>
      <c r="K286" s="392" t="s">
        <v>8075</v>
      </c>
      <c r="L286" s="392" t="s">
        <v>8477</v>
      </c>
      <c r="M286" s="392" t="s">
        <v>3758</v>
      </c>
      <c r="N286" s="392" t="s">
        <v>7273</v>
      </c>
      <c r="O286" s="392" t="s">
        <v>3758</v>
      </c>
      <c r="P286"/>
      <c r="Q286"/>
      <c r="R286" s="387">
        <f>VLOOKUP(E286,'[1]NDB Impacted SPRFs 05032013'!$A$2:$A$65536,1,FALSE)</f>
        <v>400053883</v>
      </c>
      <c r="S286" s="128"/>
      <c r="T286" s="128"/>
      <c r="U286" s="128"/>
    </row>
    <row r="287" spans="1:21" s="159" customFormat="1" ht="60" x14ac:dyDescent="0.25">
      <c r="A287" s="63">
        <f>MATCH($E287,'D1 - Master Project Table'!$B$24:$B$7056,0)</f>
        <v>814</v>
      </c>
      <c r="B287" s="63" t="b">
        <f t="shared" si="12"/>
        <v>0</v>
      </c>
      <c r="C287" s="63" t="b">
        <f t="shared" si="13"/>
        <v>1</v>
      </c>
      <c r="D287" s="63" t="str">
        <f t="shared" si="14"/>
        <v>OK</v>
      </c>
      <c r="E287" s="393">
        <v>400014830</v>
      </c>
      <c r="F287" s="392" t="s">
        <v>7422</v>
      </c>
      <c r="G287" s="392" t="s">
        <v>5324</v>
      </c>
      <c r="H287" s="392" t="s">
        <v>7418</v>
      </c>
      <c r="I287" s="392" t="s">
        <v>1788</v>
      </c>
      <c r="J287" s="392" t="s">
        <v>7155</v>
      </c>
      <c r="K287" s="392" t="s">
        <v>1506</v>
      </c>
      <c r="L287" s="392" t="s">
        <v>1936</v>
      </c>
      <c r="M287" s="392" t="s">
        <v>3758</v>
      </c>
      <c r="N287" s="392" t="s">
        <v>7273</v>
      </c>
      <c r="O287" s="392" t="s">
        <v>7273</v>
      </c>
      <c r="P287"/>
      <c r="Q287"/>
      <c r="R287" s="387">
        <f>VLOOKUP(E287,'[1]NDB Impacted SPRFs 05032013'!$A$2:$A$65536,1,FALSE)</f>
        <v>400014830</v>
      </c>
    </row>
    <row r="288" spans="1:21" s="159" customFormat="1" ht="60" x14ac:dyDescent="0.25">
      <c r="A288" s="63">
        <f>MATCH($E288,'D1 - Master Project Table'!$B$24:$B$7056,0)</f>
        <v>233</v>
      </c>
      <c r="B288" s="63" t="b">
        <f t="shared" si="12"/>
        <v>0</v>
      </c>
      <c r="C288" s="63" t="b">
        <f t="shared" si="13"/>
        <v>0</v>
      </c>
      <c r="D288" s="63" t="str">
        <f t="shared" si="14"/>
        <v>OK</v>
      </c>
      <c r="E288" s="393">
        <v>400056052</v>
      </c>
      <c r="F288" s="392" t="s">
        <v>7690</v>
      </c>
      <c r="G288" s="392" t="s">
        <v>5324</v>
      </c>
      <c r="H288" s="392" t="s">
        <v>3555</v>
      </c>
      <c r="I288" s="392" t="s">
        <v>1757</v>
      </c>
      <c r="J288" s="392" t="s">
        <v>7691</v>
      </c>
      <c r="K288" s="392" t="s">
        <v>7692</v>
      </c>
      <c r="L288" s="392" t="s">
        <v>8898</v>
      </c>
      <c r="M288" s="392" t="s">
        <v>3758</v>
      </c>
      <c r="N288" s="392" t="s">
        <v>7273</v>
      </c>
      <c r="O288" s="392" t="s">
        <v>7273</v>
      </c>
      <c r="P288"/>
      <c r="Q288"/>
      <c r="R288" s="387">
        <f>VLOOKUP(E288,'[1]NDB Impacted SPRFs 05032013'!$A$2:$A$65536,1,FALSE)</f>
        <v>400056052</v>
      </c>
    </row>
    <row r="289" spans="1:21" ht="60" x14ac:dyDescent="0.25">
      <c r="A289" s="63">
        <f>MATCH($E289,'D1 - Master Project Table'!$B$24:$B$7056,0)</f>
        <v>2666</v>
      </c>
      <c r="B289" s="63" t="b">
        <f t="shared" si="12"/>
        <v>0</v>
      </c>
      <c r="C289" s="63" t="b">
        <f t="shared" si="13"/>
        <v>1</v>
      </c>
      <c r="D289" s="63" t="str">
        <f t="shared" si="14"/>
        <v>OK</v>
      </c>
      <c r="E289" s="393">
        <v>400016029</v>
      </c>
      <c r="F289" s="392" t="s">
        <v>5051</v>
      </c>
      <c r="G289" s="392" t="s">
        <v>5324</v>
      </c>
      <c r="H289" s="392" t="s">
        <v>7418</v>
      </c>
      <c r="I289" s="392" t="s">
        <v>1758</v>
      </c>
      <c r="J289" s="392" t="s">
        <v>7880</v>
      </c>
      <c r="K289" s="392" t="s">
        <v>4124</v>
      </c>
      <c r="L289" s="392" t="s">
        <v>7538</v>
      </c>
      <c r="M289" s="392" t="s">
        <v>3758</v>
      </c>
      <c r="N289" s="392" t="s">
        <v>7273</v>
      </c>
      <c r="O289" s="392" t="s">
        <v>7273</v>
      </c>
      <c r="P289"/>
      <c r="Q289"/>
      <c r="R289" s="387">
        <f>VLOOKUP(E289,'[1]NDB Impacted SPRFs 05032013'!$A$2:$A$65536,1,FALSE)</f>
        <v>400016029</v>
      </c>
      <c r="S289" s="159"/>
      <c r="T289" s="159"/>
      <c r="U289" s="159"/>
    </row>
    <row r="290" spans="1:21" s="159" customFormat="1" ht="60" x14ac:dyDescent="0.25">
      <c r="A290" s="63">
        <f>MATCH($E290,'D1 - Master Project Table'!$B$24:$B$7056,0)</f>
        <v>3064</v>
      </c>
      <c r="B290" s="63" t="b">
        <f t="shared" si="12"/>
        <v>0</v>
      </c>
      <c r="C290" s="63" t="b">
        <f t="shared" si="13"/>
        <v>1</v>
      </c>
      <c r="D290" s="63" t="str">
        <f t="shared" si="14"/>
        <v>OK</v>
      </c>
      <c r="E290" s="393">
        <v>400044784</v>
      </c>
      <c r="F290" s="392" t="s">
        <v>1048</v>
      </c>
      <c r="G290" s="392" t="s">
        <v>5324</v>
      </c>
      <c r="H290" s="392" t="s">
        <v>7418</v>
      </c>
      <c r="I290" s="392" t="s">
        <v>1758</v>
      </c>
      <c r="J290" s="392" t="s">
        <v>2273</v>
      </c>
      <c r="K290" s="392" t="s">
        <v>2050</v>
      </c>
      <c r="L290" s="392" t="s">
        <v>7540</v>
      </c>
      <c r="M290" s="392" t="s">
        <v>3758</v>
      </c>
      <c r="N290" s="392" t="s">
        <v>7273</v>
      </c>
      <c r="O290" s="392" t="s">
        <v>7273</v>
      </c>
      <c r="P290"/>
      <c r="Q290"/>
      <c r="R290" s="387">
        <f>VLOOKUP(E290,'[1]NDB Impacted SPRFs 05032013'!$A$2:$A$65536,1,FALSE)</f>
        <v>400044784</v>
      </c>
      <c r="S290" s="128"/>
      <c r="T290" s="128"/>
      <c r="U290" s="128"/>
    </row>
    <row r="291" spans="1:21" s="159" customFormat="1" ht="60" x14ac:dyDescent="0.25">
      <c r="A291" s="63">
        <f>MATCH($E291,'D1 - Master Project Table'!$B$24:$B$7056,0)</f>
        <v>357</v>
      </c>
      <c r="B291" s="63" t="b">
        <f t="shared" si="12"/>
        <v>0</v>
      </c>
      <c r="C291" s="63" t="b">
        <f t="shared" si="13"/>
        <v>1</v>
      </c>
      <c r="D291" s="63" t="str">
        <f t="shared" si="14"/>
        <v>OK</v>
      </c>
      <c r="E291" s="393">
        <v>400003809</v>
      </c>
      <c r="F291" s="392" t="s">
        <v>5590</v>
      </c>
      <c r="G291" s="392" t="s">
        <v>5325</v>
      </c>
      <c r="H291" s="392" t="s">
        <v>7418</v>
      </c>
      <c r="I291" s="392" t="s">
        <v>6008</v>
      </c>
      <c r="J291" s="392" t="s">
        <v>3780</v>
      </c>
      <c r="K291" s="392" t="s">
        <v>3287</v>
      </c>
      <c r="L291" s="392" t="s">
        <v>3858</v>
      </c>
      <c r="M291" s="392" t="s">
        <v>7273</v>
      </c>
      <c r="N291" s="392" t="s">
        <v>7273</v>
      </c>
      <c r="O291" s="392" t="s">
        <v>7273</v>
      </c>
      <c r="P291"/>
      <c r="Q291"/>
      <c r="R291" s="387">
        <f>VLOOKUP(E291,'[1]NDB Impacted SPRFs 05032013'!$A$2:$A$65536,1,FALSE)</f>
        <v>400003809</v>
      </c>
    </row>
    <row r="292" spans="1:21" s="159" customFormat="1" ht="60" x14ac:dyDescent="0.25">
      <c r="A292" s="63">
        <f>MATCH($E292,'D1 - Master Project Table'!$B$24:$B$7056,0)</f>
        <v>2232</v>
      </c>
      <c r="B292" s="63" t="b">
        <f t="shared" si="12"/>
        <v>0</v>
      </c>
      <c r="C292" s="63" t="b">
        <f t="shared" si="13"/>
        <v>1</v>
      </c>
      <c r="D292" s="63" t="str">
        <f t="shared" si="14"/>
        <v>OK</v>
      </c>
      <c r="E292" s="393">
        <v>400025286</v>
      </c>
      <c r="F292" s="392" t="s">
        <v>2167</v>
      </c>
      <c r="G292" s="392" t="s">
        <v>5324</v>
      </c>
      <c r="H292" s="392" t="s">
        <v>5314</v>
      </c>
      <c r="I292" s="392" t="s">
        <v>1762</v>
      </c>
      <c r="J292" s="392" t="s">
        <v>4440</v>
      </c>
      <c r="K292" s="392" t="s">
        <v>3283</v>
      </c>
      <c r="L292" s="392" t="s">
        <v>3194</v>
      </c>
      <c r="M292" s="392" t="s">
        <v>3758</v>
      </c>
      <c r="N292" s="392" t="s">
        <v>7273</v>
      </c>
      <c r="O292" s="392" t="s">
        <v>3758</v>
      </c>
      <c r="P292"/>
      <c r="Q292"/>
      <c r="R292" s="387">
        <f>VLOOKUP(E292,'[1]NDB Impacted SPRFs 05032013'!$A$2:$A$65536,1,FALSE)</f>
        <v>400025286</v>
      </c>
    </row>
    <row r="293" spans="1:21" ht="60" x14ac:dyDescent="0.25">
      <c r="A293" s="63">
        <f>MATCH($E293,'D1 - Master Project Table'!$B$24:$B$7056,0)</f>
        <v>36</v>
      </c>
      <c r="B293" s="63" t="b">
        <f t="shared" si="12"/>
        <v>0</v>
      </c>
      <c r="C293" s="63" t="b">
        <f t="shared" si="13"/>
        <v>0</v>
      </c>
      <c r="D293" s="63" t="str">
        <f t="shared" si="14"/>
        <v>OK</v>
      </c>
      <c r="E293" s="393">
        <v>400048111</v>
      </c>
      <c r="F293" s="392" t="s">
        <v>1686</v>
      </c>
      <c r="G293" s="392" t="s">
        <v>5324</v>
      </c>
      <c r="H293" s="392" t="s">
        <v>4917</v>
      </c>
      <c r="I293" s="392" t="s">
        <v>1762</v>
      </c>
      <c r="J293" s="392" t="s">
        <v>4796</v>
      </c>
      <c r="K293" s="392" t="s">
        <v>8075</v>
      </c>
      <c r="L293" s="392" t="s">
        <v>8468</v>
      </c>
      <c r="M293" s="392" t="s">
        <v>3758</v>
      </c>
      <c r="N293" s="392" t="s">
        <v>7273</v>
      </c>
      <c r="O293" s="392" t="s">
        <v>3758</v>
      </c>
      <c r="P293"/>
      <c r="Q293"/>
      <c r="R293" s="387">
        <f>VLOOKUP(E293,'[1]NDB Impacted SPRFs 05032013'!$A$2:$A$65536,1,FALSE)</f>
        <v>400048111</v>
      </c>
    </row>
    <row r="294" spans="1:21" s="159" customFormat="1" ht="60" x14ac:dyDescent="0.25">
      <c r="A294" s="63">
        <f>MATCH($E294,'D1 - Master Project Table'!$B$24:$B$7056,0)</f>
        <v>3284</v>
      </c>
      <c r="B294" s="63" t="b">
        <f t="shared" si="12"/>
        <v>0</v>
      </c>
      <c r="C294" s="63" t="b">
        <f t="shared" si="13"/>
        <v>0</v>
      </c>
      <c r="D294" s="63" t="str">
        <f t="shared" si="14"/>
        <v>OK</v>
      </c>
      <c r="E294" s="393">
        <v>400042999</v>
      </c>
      <c r="F294" s="392" t="s">
        <v>1172</v>
      </c>
      <c r="G294" s="392" t="s">
        <v>5995</v>
      </c>
      <c r="H294" s="392" t="s">
        <v>4917</v>
      </c>
      <c r="I294" s="392" t="s">
        <v>6423</v>
      </c>
      <c r="J294" s="392" t="s">
        <v>5280</v>
      </c>
      <c r="K294" s="392" t="s">
        <v>4114</v>
      </c>
      <c r="L294" s="392" t="s">
        <v>29</v>
      </c>
      <c r="M294" s="392" t="s">
        <v>7273</v>
      </c>
      <c r="N294" s="392" t="s">
        <v>7273</v>
      </c>
      <c r="O294" s="392" t="s">
        <v>7273</v>
      </c>
      <c r="P294"/>
      <c r="Q294"/>
      <c r="R294" s="387">
        <f>VLOOKUP(E294,'[1]NDB Impacted SPRFs 05032013'!$A$2:$A$65536,1,FALSE)</f>
        <v>400042999</v>
      </c>
    </row>
    <row r="295" spans="1:21" s="159" customFormat="1" ht="60" x14ac:dyDescent="0.25">
      <c r="A295" s="63">
        <f>MATCH($E295,'D1 - Master Project Table'!$B$24:$B$7056,0)</f>
        <v>1139</v>
      </c>
      <c r="B295" s="63" t="b">
        <f t="shared" si="12"/>
        <v>0</v>
      </c>
      <c r="C295" s="63" t="b">
        <f t="shared" si="13"/>
        <v>1</v>
      </c>
      <c r="D295" s="63" t="str">
        <f t="shared" si="14"/>
        <v>OK</v>
      </c>
      <c r="E295" s="393">
        <v>400027910</v>
      </c>
      <c r="F295" s="392" t="s">
        <v>5797</v>
      </c>
      <c r="G295" s="392" t="s">
        <v>5324</v>
      </c>
      <c r="H295" s="392" t="s">
        <v>7418</v>
      </c>
      <c r="I295" s="392" t="s">
        <v>1760</v>
      </c>
      <c r="J295" s="392" t="s">
        <v>3228</v>
      </c>
      <c r="K295" s="392" t="s">
        <v>7932</v>
      </c>
      <c r="L295" s="392" t="s">
        <v>7092</v>
      </c>
      <c r="M295" s="392" t="s">
        <v>3758</v>
      </c>
      <c r="N295" s="392" t="s">
        <v>7273</v>
      </c>
      <c r="O295" s="392" t="s">
        <v>3758</v>
      </c>
      <c r="P295"/>
      <c r="Q295"/>
      <c r="R295" s="387">
        <f>VLOOKUP(E295,'[1]NDB Impacted SPRFs 05032013'!$A$2:$A$65536,1,FALSE)</f>
        <v>400027910</v>
      </c>
    </row>
    <row r="296" spans="1:21" s="159" customFormat="1" ht="60" x14ac:dyDescent="0.25">
      <c r="A296" s="63">
        <f>MATCH($E296,'D1 - Master Project Table'!$B$24:$B$7056,0)</f>
        <v>3143</v>
      </c>
      <c r="B296" s="63" t="b">
        <f t="shared" si="12"/>
        <v>0</v>
      </c>
      <c r="C296" s="63" t="b">
        <f t="shared" si="13"/>
        <v>1</v>
      </c>
      <c r="D296" s="63" t="str">
        <f t="shared" si="14"/>
        <v>OK</v>
      </c>
      <c r="E296" s="393">
        <v>400056929</v>
      </c>
      <c r="F296" s="392" t="s">
        <v>1269</v>
      </c>
      <c r="G296" s="392" t="s">
        <v>6322</v>
      </c>
      <c r="H296" s="392" t="s">
        <v>5314</v>
      </c>
      <c r="I296" s="392" t="s">
        <v>1762</v>
      </c>
      <c r="J296" s="392" t="s">
        <v>1270</v>
      </c>
      <c r="K296" s="392" t="s">
        <v>1271</v>
      </c>
      <c r="L296" s="392" t="s">
        <v>9426</v>
      </c>
      <c r="M296" s="392" t="s">
        <v>7273</v>
      </c>
      <c r="N296" s="392" t="s">
        <v>7273</v>
      </c>
      <c r="O296" s="392" t="s">
        <v>3758</v>
      </c>
      <c r="P296"/>
      <c r="Q296"/>
      <c r="R296" s="387">
        <f>VLOOKUP(E296,'[1]NDB Impacted SPRFs 05032013'!$A$2:$A$65536,1,FALSE)</f>
        <v>400056929</v>
      </c>
      <c r="S296" s="160"/>
      <c r="T296" s="160"/>
      <c r="U296" s="160"/>
    </row>
    <row r="297" spans="1:21" s="159" customFormat="1" ht="60" x14ac:dyDescent="0.25">
      <c r="A297" s="63">
        <f>MATCH($E297,'D1 - Master Project Table'!$B$24:$B$7056,0)</f>
        <v>2750</v>
      </c>
      <c r="B297" s="63" t="b">
        <f t="shared" si="12"/>
        <v>0</v>
      </c>
      <c r="C297" s="63" t="b">
        <f t="shared" si="13"/>
        <v>1</v>
      </c>
      <c r="D297" s="63" t="str">
        <f t="shared" si="14"/>
        <v>OK</v>
      </c>
      <c r="E297" s="393">
        <v>400021154</v>
      </c>
      <c r="F297" s="392" t="s">
        <v>6384</v>
      </c>
      <c r="G297" s="392" t="s">
        <v>5324</v>
      </c>
      <c r="H297" s="392" t="s">
        <v>5314</v>
      </c>
      <c r="I297" s="392" t="s">
        <v>1756</v>
      </c>
      <c r="J297" s="392" t="s">
        <v>6905</v>
      </c>
      <c r="K297" s="392" t="s">
        <v>1506</v>
      </c>
      <c r="L297" s="392" t="s">
        <v>8045</v>
      </c>
      <c r="M297" s="392" t="s">
        <v>7273</v>
      </c>
      <c r="N297" s="392" t="s">
        <v>7273</v>
      </c>
      <c r="O297" s="392" t="s">
        <v>7273</v>
      </c>
      <c r="P297"/>
      <c r="Q297"/>
      <c r="R297" s="387">
        <f>VLOOKUP(E297,'[1]NDB Impacted SPRFs 05032013'!$A$2:$A$65536,1,FALSE)</f>
        <v>400021154</v>
      </c>
    </row>
    <row r="298" spans="1:21" s="159" customFormat="1" ht="60" x14ac:dyDescent="0.25">
      <c r="A298" s="63">
        <f>MATCH($E298,'D1 - Master Project Table'!$B$24:$B$7056,0)</f>
        <v>1726</v>
      </c>
      <c r="B298" s="63" t="b">
        <f t="shared" si="12"/>
        <v>0</v>
      </c>
      <c r="C298" s="63" t="b">
        <f t="shared" si="13"/>
        <v>1</v>
      </c>
      <c r="D298" s="63" t="str">
        <f t="shared" si="14"/>
        <v>OK</v>
      </c>
      <c r="E298" s="393">
        <v>400048088</v>
      </c>
      <c r="F298" s="392" t="s">
        <v>2766</v>
      </c>
      <c r="G298" s="392" t="s">
        <v>5324</v>
      </c>
      <c r="H298" s="392" t="s">
        <v>7418</v>
      </c>
      <c r="I298" s="392" t="s">
        <v>1758</v>
      </c>
      <c r="J298" s="392" t="s">
        <v>2471</v>
      </c>
      <c r="K298" s="392" t="s">
        <v>168</v>
      </c>
      <c r="L298" s="392" t="s">
        <v>7698</v>
      </c>
      <c r="M298" s="392" t="s">
        <v>3758</v>
      </c>
      <c r="N298" s="392" t="s">
        <v>7273</v>
      </c>
      <c r="O298" s="392" t="s">
        <v>3758</v>
      </c>
      <c r="P298"/>
      <c r="Q298"/>
      <c r="R298" s="387">
        <f>VLOOKUP(E298,'[1]NDB Impacted SPRFs 05032013'!$A$2:$A$65536,1,FALSE)</f>
        <v>400048088</v>
      </c>
      <c r="S298" s="128"/>
      <c r="T298" s="128"/>
      <c r="U298" s="128"/>
    </row>
    <row r="299" spans="1:21" s="159" customFormat="1" ht="60" x14ac:dyDescent="0.25">
      <c r="A299" s="63">
        <f>MATCH($E299,'D1 - Master Project Table'!$B$24:$B$7056,0)</f>
        <v>853</v>
      </c>
      <c r="B299" s="63" t="b">
        <f t="shared" si="12"/>
        <v>0</v>
      </c>
      <c r="C299" s="63" t="b">
        <f t="shared" si="13"/>
        <v>1</v>
      </c>
      <c r="D299" s="63" t="str">
        <f t="shared" si="14"/>
        <v>OK</v>
      </c>
      <c r="E299" s="393">
        <v>400019723</v>
      </c>
      <c r="F299" s="392" t="s">
        <v>1231</v>
      </c>
      <c r="G299" s="392" t="s">
        <v>6065</v>
      </c>
      <c r="H299" s="392" t="s">
        <v>7418</v>
      </c>
      <c r="I299" s="392" t="s">
        <v>2655</v>
      </c>
      <c r="J299" s="392" t="s">
        <v>5722</v>
      </c>
      <c r="K299" s="392" t="s">
        <v>6229</v>
      </c>
      <c r="L299" s="392" t="s">
        <v>1386</v>
      </c>
      <c r="M299" s="392" t="s">
        <v>3758</v>
      </c>
      <c r="N299" s="392" t="s">
        <v>7273</v>
      </c>
      <c r="O299" s="392" t="s">
        <v>7273</v>
      </c>
      <c r="P299"/>
      <c r="Q299"/>
      <c r="R299" s="387">
        <f>VLOOKUP(E299,'[1]NDB Impacted SPRFs 05032013'!$A$2:$A$65536,1,FALSE)</f>
        <v>400019723</v>
      </c>
      <c r="S299" s="128"/>
      <c r="T299" s="128"/>
      <c r="U299" s="128"/>
    </row>
    <row r="300" spans="1:21" s="159" customFormat="1" ht="60" x14ac:dyDescent="0.25">
      <c r="A300" s="63">
        <f>MATCH($E300,'D1 - Master Project Table'!$B$24:$B$7056,0)</f>
        <v>2564</v>
      </c>
      <c r="B300" s="63" t="b">
        <f t="shared" si="12"/>
        <v>0</v>
      </c>
      <c r="C300" s="63" t="b">
        <f t="shared" si="13"/>
        <v>1</v>
      </c>
      <c r="D300" s="63" t="str">
        <f t="shared" si="14"/>
        <v>OK</v>
      </c>
      <c r="E300" s="393">
        <v>400009823</v>
      </c>
      <c r="F300" s="392" t="s">
        <v>6192</v>
      </c>
      <c r="G300" s="392" t="s">
        <v>5324</v>
      </c>
      <c r="H300" s="392" t="s">
        <v>5314</v>
      </c>
      <c r="I300" s="392" t="s">
        <v>1768</v>
      </c>
      <c r="J300" s="392" t="s">
        <v>4367</v>
      </c>
      <c r="K300" s="392" t="s">
        <v>1506</v>
      </c>
      <c r="L300" s="392" t="s">
        <v>3418</v>
      </c>
      <c r="M300" s="392" t="s">
        <v>3758</v>
      </c>
      <c r="N300" s="392" t="s">
        <v>7273</v>
      </c>
      <c r="O300" s="392" t="s">
        <v>7273</v>
      </c>
      <c r="P300"/>
      <c r="Q300"/>
      <c r="R300" s="387">
        <f>VLOOKUP(E300,'[1]NDB Impacted SPRFs 05032013'!$A$2:$A$65536,1,FALSE)</f>
        <v>400009823</v>
      </c>
      <c r="S300" s="128"/>
      <c r="T300" s="128"/>
      <c r="U300" s="128"/>
    </row>
    <row r="301" spans="1:21" ht="60" x14ac:dyDescent="0.25">
      <c r="A301" s="63">
        <f>MATCH($E301,'D1 - Master Project Table'!$B$24:$B$7056,0)</f>
        <v>1910</v>
      </c>
      <c r="B301" s="63" t="b">
        <f t="shared" si="12"/>
        <v>0</v>
      </c>
      <c r="C301" s="63" t="b">
        <f t="shared" si="13"/>
        <v>1</v>
      </c>
      <c r="D301" s="63" t="str">
        <f t="shared" si="14"/>
        <v>OK</v>
      </c>
      <c r="E301" s="393">
        <v>400008171</v>
      </c>
      <c r="F301" s="392" t="s">
        <v>7765</v>
      </c>
      <c r="G301" s="392" t="s">
        <v>3441</v>
      </c>
      <c r="H301" s="392" t="s">
        <v>7418</v>
      </c>
      <c r="I301" s="392" t="s">
        <v>1770</v>
      </c>
      <c r="J301" s="392" t="s">
        <v>5757</v>
      </c>
      <c r="K301" s="392" t="s">
        <v>5541</v>
      </c>
      <c r="L301" s="392" t="s">
        <v>5581</v>
      </c>
      <c r="M301" s="392" t="s">
        <v>3758</v>
      </c>
      <c r="N301" s="392" t="s">
        <v>7273</v>
      </c>
      <c r="O301" s="392" t="s">
        <v>7273</v>
      </c>
      <c r="P301"/>
      <c r="Q301"/>
      <c r="R301" s="387">
        <f>VLOOKUP(E301,'[1]NDB Impacted SPRFs 05032013'!$A$2:$A$65536,1,FALSE)</f>
        <v>400008171</v>
      </c>
      <c r="S301" s="159"/>
      <c r="T301" s="159"/>
      <c r="U301" s="159"/>
    </row>
    <row r="302" spans="1:21" ht="60" x14ac:dyDescent="0.25">
      <c r="A302" s="63">
        <f>MATCH($E302,'D1 - Master Project Table'!$B$24:$B$7056,0)</f>
        <v>2665</v>
      </c>
      <c r="B302" s="63" t="b">
        <f t="shared" si="12"/>
        <v>0</v>
      </c>
      <c r="C302" s="63" t="b">
        <f t="shared" si="13"/>
        <v>1</v>
      </c>
      <c r="D302" s="63" t="str">
        <f t="shared" si="14"/>
        <v>OK</v>
      </c>
      <c r="E302" s="393">
        <v>400015827</v>
      </c>
      <c r="F302" s="392" t="s">
        <v>3084</v>
      </c>
      <c r="G302" s="392" t="s">
        <v>5324</v>
      </c>
      <c r="H302" s="392" t="s">
        <v>5314</v>
      </c>
      <c r="I302" s="392" t="s">
        <v>1756</v>
      </c>
      <c r="J302" s="392" t="s">
        <v>5584</v>
      </c>
      <c r="K302" s="392" t="s">
        <v>5684</v>
      </c>
      <c r="L302" s="392" t="s">
        <v>6434</v>
      </c>
      <c r="M302" s="392" t="s">
        <v>3758</v>
      </c>
      <c r="N302" s="392" t="s">
        <v>7273</v>
      </c>
      <c r="O302" s="392" t="s">
        <v>7273</v>
      </c>
      <c r="P302"/>
      <c r="Q302"/>
      <c r="R302" s="387">
        <f>VLOOKUP(E302,'[1]NDB Impacted SPRFs 05032013'!$A$2:$A$65536,1,FALSE)</f>
        <v>400015827</v>
      </c>
      <c r="S302" s="159"/>
      <c r="T302" s="159"/>
      <c r="U302" s="159"/>
    </row>
    <row r="303" spans="1:21" s="159" customFormat="1" ht="60" x14ac:dyDescent="0.25">
      <c r="A303" s="63">
        <f>MATCH($E303,'D1 - Master Project Table'!$B$24:$B$7056,0)</f>
        <v>11</v>
      </c>
      <c r="B303" s="63" t="b">
        <f t="shared" si="12"/>
        <v>0</v>
      </c>
      <c r="C303" s="63" t="b">
        <f t="shared" si="13"/>
        <v>0</v>
      </c>
      <c r="D303" s="63" t="str">
        <f t="shared" si="14"/>
        <v>OK</v>
      </c>
      <c r="E303" s="393">
        <v>400053591</v>
      </c>
      <c r="F303" s="392" t="s">
        <v>1719</v>
      </c>
      <c r="G303" s="392" t="s">
        <v>9210</v>
      </c>
      <c r="H303" s="392" t="s">
        <v>4917</v>
      </c>
      <c r="I303" s="392" t="s">
        <v>2655</v>
      </c>
      <c r="J303" s="392" t="s">
        <v>2189</v>
      </c>
      <c r="K303" s="392" t="s">
        <v>2190</v>
      </c>
      <c r="L303" s="392" t="s">
        <v>8204</v>
      </c>
      <c r="M303" s="392" t="s">
        <v>3758</v>
      </c>
      <c r="N303" s="392" t="s">
        <v>7273</v>
      </c>
      <c r="O303" s="392" t="s">
        <v>3758</v>
      </c>
      <c r="P303"/>
      <c r="Q303"/>
      <c r="R303" s="387">
        <f>VLOOKUP(E303,'[1]NDB Impacted SPRFs 05032013'!$A$2:$A$65536,1,FALSE)</f>
        <v>400053591</v>
      </c>
    </row>
    <row r="304" spans="1:21" s="159" customFormat="1" ht="60" x14ac:dyDescent="0.25">
      <c r="A304" s="63">
        <f>MATCH($E304,'D1 - Master Project Table'!$B$24:$B$7056,0)</f>
        <v>2082</v>
      </c>
      <c r="B304" s="63" t="b">
        <f t="shared" si="12"/>
        <v>0</v>
      </c>
      <c r="C304" s="63" t="b">
        <f t="shared" si="13"/>
        <v>1</v>
      </c>
      <c r="D304" s="63" t="str">
        <f t="shared" si="14"/>
        <v>OK</v>
      </c>
      <c r="E304" s="393">
        <v>400013334</v>
      </c>
      <c r="F304" s="392" t="s">
        <v>7746</v>
      </c>
      <c r="G304" s="392" t="s">
        <v>5324</v>
      </c>
      <c r="H304" s="392" t="s">
        <v>7418</v>
      </c>
      <c r="I304" s="392" t="s">
        <v>1756</v>
      </c>
      <c r="J304" s="392" t="s">
        <v>6880</v>
      </c>
      <c r="K304" s="392" t="s">
        <v>5210</v>
      </c>
      <c r="L304" s="392" t="s">
        <v>2514</v>
      </c>
      <c r="M304" s="392" t="s">
        <v>7273</v>
      </c>
      <c r="N304" s="392" t="s">
        <v>7273</v>
      </c>
      <c r="O304" s="392" t="s">
        <v>7273</v>
      </c>
      <c r="P304"/>
      <c r="Q304"/>
      <c r="R304" s="387">
        <f>VLOOKUP(E304,'[1]NDB Impacted SPRFs 05032013'!$A$2:$A$65536,1,FALSE)</f>
        <v>400013334</v>
      </c>
      <c r="S304" s="128"/>
      <c r="T304" s="128"/>
      <c r="U304" s="128"/>
    </row>
    <row r="305" spans="1:21" ht="60" x14ac:dyDescent="0.25">
      <c r="A305" s="63">
        <f>MATCH($E305,'D1 - Master Project Table'!$B$24:$B$7056,0)</f>
        <v>1949</v>
      </c>
      <c r="B305" s="63" t="b">
        <f t="shared" si="12"/>
        <v>0</v>
      </c>
      <c r="C305" s="63" t="b">
        <f t="shared" si="13"/>
        <v>1</v>
      </c>
      <c r="D305" s="63" t="str">
        <f t="shared" si="14"/>
        <v>OK</v>
      </c>
      <c r="E305" s="393">
        <v>400020440</v>
      </c>
      <c r="F305" s="392" t="s">
        <v>3814</v>
      </c>
      <c r="G305" s="392" t="s">
        <v>5787</v>
      </c>
      <c r="H305" s="392" t="s">
        <v>7418</v>
      </c>
      <c r="I305" s="392" t="s">
        <v>1783</v>
      </c>
      <c r="J305" s="392" t="s">
        <v>5112</v>
      </c>
      <c r="K305" s="392" t="s">
        <v>8075</v>
      </c>
      <c r="L305" s="392" t="s">
        <v>8198</v>
      </c>
      <c r="M305" s="392" t="s">
        <v>3758</v>
      </c>
      <c r="N305" s="392" t="s">
        <v>7273</v>
      </c>
      <c r="O305" s="392" t="s">
        <v>3758</v>
      </c>
      <c r="P305"/>
      <c r="Q305"/>
      <c r="R305" s="387">
        <f>VLOOKUP(E305,'[1]NDB Impacted SPRFs 05032013'!$A$2:$A$65536,1,FALSE)</f>
        <v>400020440</v>
      </c>
      <c r="S305" s="159"/>
      <c r="T305" s="159"/>
      <c r="U305" s="159"/>
    </row>
    <row r="306" spans="1:21" s="159" customFormat="1" ht="60" x14ac:dyDescent="0.25">
      <c r="A306" s="63">
        <f>MATCH($E306,'D1 - Master Project Table'!$B$24:$B$7056,0)</f>
        <v>1297</v>
      </c>
      <c r="B306" s="63" t="b">
        <f t="shared" si="12"/>
        <v>0</v>
      </c>
      <c r="C306" s="63" t="b">
        <f t="shared" si="13"/>
        <v>1</v>
      </c>
      <c r="D306" s="63" t="str">
        <f t="shared" si="14"/>
        <v>OK</v>
      </c>
      <c r="E306" s="393">
        <v>400034904</v>
      </c>
      <c r="F306" s="392" t="s">
        <v>3409</v>
      </c>
      <c r="G306" s="392" t="s">
        <v>5324</v>
      </c>
      <c r="H306" s="392" t="s">
        <v>7418</v>
      </c>
      <c r="I306" s="392" t="s">
        <v>1758</v>
      </c>
      <c r="J306" s="392" t="s">
        <v>6543</v>
      </c>
      <c r="K306" s="392" t="s">
        <v>4180</v>
      </c>
      <c r="L306" s="392" t="s">
        <v>6922</v>
      </c>
      <c r="M306" s="392" t="s">
        <v>7273</v>
      </c>
      <c r="N306" s="392" t="s">
        <v>7273</v>
      </c>
      <c r="O306" s="392" t="s">
        <v>7273</v>
      </c>
      <c r="P306"/>
      <c r="Q306"/>
      <c r="R306" s="387">
        <f>VLOOKUP(E306,'[1]NDB Impacted SPRFs 05032013'!$A$2:$A$65536,1,FALSE)</f>
        <v>400034904</v>
      </c>
    </row>
    <row r="307" spans="1:21" s="159" customFormat="1" ht="60" x14ac:dyDescent="0.25">
      <c r="A307" s="63">
        <f>MATCH($E307,'D1 - Master Project Table'!$B$24:$B$7056,0)</f>
        <v>631</v>
      </c>
      <c r="B307" s="63" t="b">
        <f t="shared" si="12"/>
        <v>0</v>
      </c>
      <c r="C307" s="63" t="b">
        <f t="shared" si="13"/>
        <v>1</v>
      </c>
      <c r="D307" s="63" t="str">
        <f t="shared" si="14"/>
        <v>OK</v>
      </c>
      <c r="E307" s="393">
        <v>400009842</v>
      </c>
      <c r="F307" s="392" t="s">
        <v>7358</v>
      </c>
      <c r="G307" s="392" t="s">
        <v>5787</v>
      </c>
      <c r="H307" s="392" t="s">
        <v>7418</v>
      </c>
      <c r="I307" s="392" t="s">
        <v>1824</v>
      </c>
      <c r="J307" s="392" t="s">
        <v>7981</v>
      </c>
      <c r="K307" s="392" t="s">
        <v>3454</v>
      </c>
      <c r="L307" s="392" t="s">
        <v>4525</v>
      </c>
      <c r="M307" s="392" t="s">
        <v>3758</v>
      </c>
      <c r="N307" s="392" t="s">
        <v>7273</v>
      </c>
      <c r="O307" s="392" t="s">
        <v>7273</v>
      </c>
      <c r="P307"/>
      <c r="Q307"/>
      <c r="R307" s="387">
        <f>VLOOKUP(E307,'[1]NDB Impacted SPRFs 05032013'!$A$2:$A$65536,1,FALSE)</f>
        <v>400009842</v>
      </c>
    </row>
    <row r="308" spans="1:21" s="159" customFormat="1" ht="60" x14ac:dyDescent="0.25">
      <c r="A308" s="63">
        <f>MATCH($E308,'D1 - Master Project Table'!$B$24:$B$7056,0)</f>
        <v>2317</v>
      </c>
      <c r="B308" s="63" t="b">
        <f t="shared" si="12"/>
        <v>0</v>
      </c>
      <c r="C308" s="63" t="b">
        <f t="shared" si="13"/>
        <v>1</v>
      </c>
      <c r="D308" s="63" t="str">
        <f t="shared" si="14"/>
        <v>OK</v>
      </c>
      <c r="E308" s="393">
        <v>400046538</v>
      </c>
      <c r="F308" s="392" t="s">
        <v>700</v>
      </c>
      <c r="G308" s="392" t="s">
        <v>5995</v>
      </c>
      <c r="H308" s="392" t="s">
        <v>5314</v>
      </c>
      <c r="I308" s="392" t="s">
        <v>6423</v>
      </c>
      <c r="J308" s="392" t="s">
        <v>2916</v>
      </c>
      <c r="K308" s="392" t="s">
        <v>2917</v>
      </c>
      <c r="L308" s="392" t="s">
        <v>575</v>
      </c>
      <c r="M308" s="392" t="s">
        <v>3758</v>
      </c>
      <c r="N308" s="392" t="s">
        <v>7273</v>
      </c>
      <c r="O308" s="392" t="s">
        <v>3758</v>
      </c>
      <c r="P308"/>
      <c r="Q308"/>
      <c r="R308" s="387">
        <f>VLOOKUP(E308,'[1]NDB Impacted SPRFs 05032013'!$A$2:$A$65536,1,FALSE)</f>
        <v>400046538</v>
      </c>
    </row>
    <row r="309" spans="1:21" ht="60" x14ac:dyDescent="0.25">
      <c r="A309" s="63">
        <f>MATCH($E309,'D1 - Master Project Table'!$B$24:$B$7056,0)</f>
        <v>1591</v>
      </c>
      <c r="B309" s="63" t="b">
        <f t="shared" si="12"/>
        <v>0</v>
      </c>
      <c r="C309" s="63" t="b">
        <f t="shared" si="13"/>
        <v>0</v>
      </c>
      <c r="D309" s="63" t="str">
        <f t="shared" si="14"/>
        <v>OK</v>
      </c>
      <c r="E309" s="393">
        <v>400038313</v>
      </c>
      <c r="F309" s="392" t="s">
        <v>7883</v>
      </c>
      <c r="G309" s="392" t="s">
        <v>5324</v>
      </c>
      <c r="H309" s="392" t="s">
        <v>4917</v>
      </c>
      <c r="I309" s="392" t="s">
        <v>1756</v>
      </c>
      <c r="J309" s="392" t="s">
        <v>2769</v>
      </c>
      <c r="K309" s="392" t="s">
        <v>7884</v>
      </c>
      <c r="L309" s="392" t="s">
        <v>2674</v>
      </c>
      <c r="M309" s="392" t="s">
        <v>3758</v>
      </c>
      <c r="N309" s="392" t="s">
        <v>7273</v>
      </c>
      <c r="O309" s="392" t="s">
        <v>7273</v>
      </c>
      <c r="P309"/>
      <c r="Q309"/>
      <c r="R309" s="387">
        <f>VLOOKUP(E309,'[1]NDB Impacted SPRFs 05032013'!$A$2:$A$65536,1,FALSE)</f>
        <v>400038313</v>
      </c>
    </row>
    <row r="310" spans="1:21" s="159" customFormat="1" ht="60" x14ac:dyDescent="0.25">
      <c r="A310" s="63">
        <f>MATCH($E310,'D1 - Master Project Table'!$B$24:$B$7056,0)</f>
        <v>1360</v>
      </c>
      <c r="B310" s="63" t="b">
        <f t="shared" si="12"/>
        <v>0</v>
      </c>
      <c r="C310" s="63" t="b">
        <f t="shared" si="13"/>
        <v>1</v>
      </c>
      <c r="D310" s="63" t="str">
        <f t="shared" si="14"/>
        <v>OK</v>
      </c>
      <c r="E310" s="393">
        <v>400034700</v>
      </c>
      <c r="F310" s="392" t="s">
        <v>5951</v>
      </c>
      <c r="G310" s="392" t="s">
        <v>5324</v>
      </c>
      <c r="H310" s="392" t="s">
        <v>7418</v>
      </c>
      <c r="I310" s="392" t="s">
        <v>1758</v>
      </c>
      <c r="J310" s="392" t="s">
        <v>6543</v>
      </c>
      <c r="K310" s="392" t="s">
        <v>6444</v>
      </c>
      <c r="L310" s="392" t="s">
        <v>8909</v>
      </c>
      <c r="M310" s="392" t="s">
        <v>7273</v>
      </c>
      <c r="N310" s="392" t="s">
        <v>7273</v>
      </c>
      <c r="O310" s="392" t="s">
        <v>7273</v>
      </c>
      <c r="P310"/>
      <c r="Q310"/>
      <c r="R310" s="387">
        <f>VLOOKUP(E310,'[1]NDB Impacted SPRFs 05032013'!$A$2:$A$65536,1,FALSE)</f>
        <v>400034700</v>
      </c>
    </row>
    <row r="311" spans="1:21" s="159" customFormat="1" ht="60" x14ac:dyDescent="0.25">
      <c r="A311" s="63">
        <f>MATCH($E311,'D1 - Master Project Table'!$B$24:$B$7056,0)</f>
        <v>1906</v>
      </c>
      <c r="B311" s="63" t="b">
        <f t="shared" si="12"/>
        <v>0</v>
      </c>
      <c r="C311" s="63" t="b">
        <f t="shared" si="13"/>
        <v>1</v>
      </c>
      <c r="D311" s="63" t="str">
        <f t="shared" si="14"/>
        <v>OK</v>
      </c>
      <c r="E311" s="393">
        <v>400008074</v>
      </c>
      <c r="F311" s="392" t="s">
        <v>3561</v>
      </c>
      <c r="G311" s="392" t="s">
        <v>5324</v>
      </c>
      <c r="H311" s="392" t="s">
        <v>7418</v>
      </c>
      <c r="I311" s="392" t="s">
        <v>1769</v>
      </c>
      <c r="J311" s="392" t="s">
        <v>7232</v>
      </c>
      <c r="K311" s="392" t="s">
        <v>5541</v>
      </c>
      <c r="L311" s="392" t="s">
        <v>743</v>
      </c>
      <c r="M311" s="392" t="s">
        <v>3758</v>
      </c>
      <c r="N311" s="392" t="s">
        <v>7273</v>
      </c>
      <c r="O311" s="392" t="s">
        <v>7273</v>
      </c>
      <c r="P311"/>
      <c r="Q311"/>
      <c r="R311" s="387">
        <f>VLOOKUP(E311,'[1]NDB Impacted SPRFs 05032013'!$A$2:$A$65536,1,FALSE)</f>
        <v>400008074</v>
      </c>
    </row>
    <row r="312" spans="1:21" s="159" customFormat="1" ht="60" x14ac:dyDescent="0.25">
      <c r="A312" s="63">
        <f>MATCH($E312,'D1 - Master Project Table'!$B$24:$B$7056,0)</f>
        <v>1382</v>
      </c>
      <c r="B312" s="63" t="b">
        <f t="shared" si="12"/>
        <v>0</v>
      </c>
      <c r="C312" s="63" t="b">
        <f t="shared" si="13"/>
        <v>1</v>
      </c>
      <c r="D312" s="63" t="str">
        <f t="shared" si="14"/>
        <v>OK</v>
      </c>
      <c r="E312" s="393">
        <v>400028333</v>
      </c>
      <c r="F312" s="392" t="s">
        <v>2986</v>
      </c>
      <c r="G312" s="392" t="s">
        <v>5001</v>
      </c>
      <c r="H312" s="392" t="s">
        <v>7418</v>
      </c>
      <c r="I312" s="392" t="s">
        <v>2655</v>
      </c>
      <c r="J312" s="392" t="s">
        <v>7269</v>
      </c>
      <c r="K312" s="392" t="s">
        <v>5218</v>
      </c>
      <c r="L312" s="392" t="s">
        <v>2725</v>
      </c>
      <c r="M312" s="392" t="s">
        <v>3758</v>
      </c>
      <c r="N312" s="392" t="s">
        <v>7273</v>
      </c>
      <c r="O312" s="392" t="s">
        <v>7273</v>
      </c>
      <c r="P312"/>
      <c r="Q312"/>
      <c r="R312" s="387">
        <f>VLOOKUP(E312,'[1]NDB Impacted SPRFs 05032013'!$A$2:$A$65536,1,FALSE)</f>
        <v>400028333</v>
      </c>
      <c r="S312" s="128"/>
      <c r="T312" s="128"/>
      <c r="U312" s="128"/>
    </row>
    <row r="313" spans="1:21" s="159" customFormat="1" ht="60" x14ac:dyDescent="0.25">
      <c r="A313" s="63">
        <f>MATCH($E313,'D1 - Master Project Table'!$B$24:$B$7056,0)</f>
        <v>2700</v>
      </c>
      <c r="B313" s="63" t="b">
        <f t="shared" si="12"/>
        <v>0</v>
      </c>
      <c r="C313" s="63" t="b">
        <f t="shared" si="13"/>
        <v>1</v>
      </c>
      <c r="D313" s="63" t="str">
        <f t="shared" si="14"/>
        <v>OK</v>
      </c>
      <c r="E313" s="393">
        <v>400018543</v>
      </c>
      <c r="F313" s="392" t="s">
        <v>6799</v>
      </c>
      <c r="G313" s="392" t="s">
        <v>5324</v>
      </c>
      <c r="H313" s="392" t="s">
        <v>5314</v>
      </c>
      <c r="I313" s="392" t="s">
        <v>1756</v>
      </c>
      <c r="J313" s="392" t="s">
        <v>2809</v>
      </c>
      <c r="K313" s="392" t="s">
        <v>1506</v>
      </c>
      <c r="L313" s="392" t="s">
        <v>4091</v>
      </c>
      <c r="M313" s="392" t="s">
        <v>3758</v>
      </c>
      <c r="N313" s="392" t="s">
        <v>7273</v>
      </c>
      <c r="O313" s="392" t="s">
        <v>7273</v>
      </c>
      <c r="P313"/>
      <c r="Q313"/>
      <c r="R313" s="387">
        <f>VLOOKUP(E313,'[1]NDB Impacted SPRFs 05032013'!$A$2:$A$65536,1,FALSE)</f>
        <v>400018543</v>
      </c>
    </row>
    <row r="314" spans="1:21" ht="60" x14ac:dyDescent="0.25">
      <c r="A314" s="63">
        <f>MATCH($E314,'D1 - Master Project Table'!$B$24:$B$7056,0)</f>
        <v>1072</v>
      </c>
      <c r="B314" s="63" t="b">
        <f t="shared" si="12"/>
        <v>0</v>
      </c>
      <c r="C314" s="63" t="b">
        <f t="shared" si="13"/>
        <v>1</v>
      </c>
      <c r="D314" s="63" t="str">
        <f t="shared" si="14"/>
        <v>OK</v>
      </c>
      <c r="E314" s="393">
        <v>400026847</v>
      </c>
      <c r="F314" s="392" t="s">
        <v>3878</v>
      </c>
      <c r="G314" s="392" t="s">
        <v>5324</v>
      </c>
      <c r="H314" s="392" t="s">
        <v>7418</v>
      </c>
      <c r="I314" s="392" t="s">
        <v>1762</v>
      </c>
      <c r="J314" s="392" t="s">
        <v>6543</v>
      </c>
      <c r="K314" s="392" t="s">
        <v>3938</v>
      </c>
      <c r="L314" s="392" t="s">
        <v>816</v>
      </c>
      <c r="M314" s="392" t="s">
        <v>3758</v>
      </c>
      <c r="N314" s="392" t="s">
        <v>7273</v>
      </c>
      <c r="O314" s="392" t="s">
        <v>7273</v>
      </c>
      <c r="P314"/>
      <c r="Q314"/>
      <c r="R314" s="387">
        <f>VLOOKUP(E314,'[1]NDB Impacted SPRFs 05032013'!$A$2:$A$65536,1,FALSE)</f>
        <v>400026847</v>
      </c>
      <c r="S314" s="159"/>
      <c r="T314" s="159"/>
      <c r="U314" s="159"/>
    </row>
    <row r="315" spans="1:21" ht="60" x14ac:dyDescent="0.25">
      <c r="A315" s="63">
        <f>MATCH($E315,'D1 - Master Project Table'!$B$24:$B$7056,0)</f>
        <v>1820</v>
      </c>
      <c r="B315" s="63" t="b">
        <f t="shared" si="12"/>
        <v>0</v>
      </c>
      <c r="C315" s="63" t="b">
        <f t="shared" si="13"/>
        <v>1</v>
      </c>
      <c r="D315" s="63" t="str">
        <f t="shared" si="14"/>
        <v>OK</v>
      </c>
      <c r="E315" s="393">
        <v>400055462</v>
      </c>
      <c r="F315" s="392" t="s">
        <v>1302</v>
      </c>
      <c r="G315" s="392" t="s">
        <v>5324</v>
      </c>
      <c r="H315" s="392" t="s">
        <v>7418</v>
      </c>
      <c r="I315" s="392" t="s">
        <v>1786</v>
      </c>
      <c r="J315" s="392" t="s">
        <v>2412</v>
      </c>
      <c r="K315" s="392" t="s">
        <v>3307</v>
      </c>
      <c r="L315" s="392" t="s">
        <v>9215</v>
      </c>
      <c r="M315" s="392" t="s">
        <v>3758</v>
      </c>
      <c r="N315" s="392" t="s">
        <v>7273</v>
      </c>
      <c r="O315" s="392" t="s">
        <v>7273</v>
      </c>
      <c r="P315"/>
      <c r="Q315"/>
      <c r="R315" s="387">
        <f>VLOOKUP(E315,'[1]NDB Impacted SPRFs 05032013'!$A$2:$A$65536,1,FALSE)</f>
        <v>400055462</v>
      </c>
    </row>
    <row r="316" spans="1:21" s="159" customFormat="1" ht="60" x14ac:dyDescent="0.25">
      <c r="A316" s="63">
        <f>MATCH($E316,'D1 - Master Project Table'!$B$24:$B$7056,0)</f>
        <v>2059</v>
      </c>
      <c r="B316" s="63" t="b">
        <f t="shared" si="12"/>
        <v>0</v>
      </c>
      <c r="C316" s="63" t="b">
        <f t="shared" si="13"/>
        <v>1</v>
      </c>
      <c r="D316" s="63" t="str">
        <f t="shared" si="14"/>
        <v>OK</v>
      </c>
      <c r="E316" s="393">
        <v>400012190</v>
      </c>
      <c r="F316" s="392" t="s">
        <v>4958</v>
      </c>
      <c r="G316" s="392" t="s">
        <v>3441</v>
      </c>
      <c r="H316" s="392" t="s">
        <v>7418</v>
      </c>
      <c r="I316" s="392" t="s">
        <v>2662</v>
      </c>
      <c r="J316" s="392" t="s">
        <v>4854</v>
      </c>
      <c r="K316" s="392" t="s">
        <v>5541</v>
      </c>
      <c r="L316" s="392" t="s">
        <v>8910</v>
      </c>
      <c r="M316" s="392" t="s">
        <v>3758</v>
      </c>
      <c r="N316" s="392" t="s">
        <v>7273</v>
      </c>
      <c r="O316" s="392" t="s">
        <v>7273</v>
      </c>
      <c r="P316"/>
      <c r="Q316"/>
      <c r="R316" s="387">
        <f>VLOOKUP(E316,'[1]NDB Impacted SPRFs 05032013'!$A$2:$A$65536,1,FALSE)</f>
        <v>400012190</v>
      </c>
      <c r="S316" s="128"/>
      <c r="T316" s="128"/>
      <c r="U316" s="128"/>
    </row>
    <row r="317" spans="1:21" ht="60" x14ac:dyDescent="0.25">
      <c r="A317" s="63">
        <f>MATCH($E317,'D1 - Master Project Table'!$B$24:$B$7056,0)</f>
        <v>176</v>
      </c>
      <c r="B317" s="63" t="b">
        <f t="shared" si="12"/>
        <v>0</v>
      </c>
      <c r="C317" s="63" t="b">
        <f t="shared" si="13"/>
        <v>0</v>
      </c>
      <c r="D317" s="63" t="str">
        <f t="shared" si="14"/>
        <v>OK</v>
      </c>
      <c r="E317" s="393">
        <v>400058912</v>
      </c>
      <c r="F317" s="392" t="s">
        <v>9108</v>
      </c>
      <c r="G317" s="392" t="s">
        <v>5324</v>
      </c>
      <c r="H317" s="392" t="s">
        <v>8012</v>
      </c>
      <c r="I317" s="392" t="s">
        <v>1758</v>
      </c>
      <c r="J317" s="392" t="s">
        <v>2024</v>
      </c>
      <c r="K317" s="392" t="s">
        <v>1576</v>
      </c>
      <c r="L317" s="392" t="s">
        <v>9427</v>
      </c>
      <c r="M317" s="392" t="s">
        <v>3758</v>
      </c>
      <c r="N317" s="392" t="s">
        <v>7273</v>
      </c>
      <c r="O317" s="392" t="s">
        <v>7273</v>
      </c>
      <c r="P317"/>
      <c r="Q317"/>
      <c r="R317" s="387">
        <f>VLOOKUP(E317,'[1]NDB Impacted SPRFs 05032013'!$A$2:$A$65536,1,FALSE)</f>
        <v>400058912</v>
      </c>
    </row>
    <row r="318" spans="1:21" s="159" customFormat="1" ht="60" x14ac:dyDescent="0.25">
      <c r="A318" s="63">
        <f>MATCH($E318,'D1 - Master Project Table'!$B$24:$B$7056,0)</f>
        <v>1942</v>
      </c>
      <c r="B318" s="63" t="b">
        <f t="shared" si="12"/>
        <v>0</v>
      </c>
      <c r="C318" s="63" t="b">
        <f t="shared" si="13"/>
        <v>1</v>
      </c>
      <c r="D318" s="63" t="str">
        <f t="shared" si="14"/>
        <v>OK</v>
      </c>
      <c r="E318" s="393">
        <v>400018188</v>
      </c>
      <c r="F318" s="392" t="s">
        <v>2001</v>
      </c>
      <c r="G318" s="392" t="s">
        <v>5324</v>
      </c>
      <c r="H318" s="392" t="s">
        <v>7418</v>
      </c>
      <c r="I318" s="392" t="s">
        <v>1756</v>
      </c>
      <c r="J318" s="392" t="s">
        <v>6905</v>
      </c>
      <c r="K318" s="392" t="s">
        <v>1506</v>
      </c>
      <c r="L318" s="392" t="s">
        <v>6955</v>
      </c>
      <c r="M318" s="392" t="s">
        <v>3758</v>
      </c>
      <c r="N318" s="392" t="s">
        <v>7273</v>
      </c>
      <c r="O318" s="392" t="s">
        <v>7273</v>
      </c>
      <c r="P318"/>
      <c r="Q318"/>
      <c r="R318" s="387">
        <f>VLOOKUP(E318,'[1]NDB Impacted SPRFs 05032013'!$A$2:$A$65536,1,FALSE)</f>
        <v>400018188</v>
      </c>
    </row>
    <row r="319" spans="1:21" s="159" customFormat="1" ht="60" x14ac:dyDescent="0.25">
      <c r="A319" s="63">
        <f>MATCH($E319,'D1 - Master Project Table'!$B$24:$B$7056,0)</f>
        <v>1428</v>
      </c>
      <c r="B319" s="63" t="b">
        <f t="shared" si="12"/>
        <v>0</v>
      </c>
      <c r="C319" s="63" t="b">
        <f t="shared" si="13"/>
        <v>1</v>
      </c>
      <c r="D319" s="63" t="str">
        <f t="shared" si="14"/>
        <v>OK</v>
      </c>
      <c r="E319" s="393">
        <v>400038885</v>
      </c>
      <c r="F319" s="392" t="s">
        <v>7886</v>
      </c>
      <c r="G319" s="392" t="s">
        <v>5324</v>
      </c>
      <c r="H319" s="392" t="s">
        <v>7418</v>
      </c>
      <c r="I319" s="392" t="s">
        <v>1595</v>
      </c>
      <c r="J319" s="392" t="s">
        <v>4796</v>
      </c>
      <c r="K319" s="392" t="s">
        <v>6371</v>
      </c>
      <c r="L319" s="392" t="s">
        <v>8181</v>
      </c>
      <c r="M319" s="392" t="s">
        <v>3758</v>
      </c>
      <c r="N319" s="392" t="s">
        <v>7273</v>
      </c>
      <c r="O319" s="392" t="s">
        <v>7273</v>
      </c>
      <c r="P319"/>
      <c r="Q319"/>
      <c r="R319" s="387">
        <f>VLOOKUP(E319,'[1]NDB Impacted SPRFs 05032013'!$A$2:$A$65536,1,FALSE)</f>
        <v>400038885</v>
      </c>
      <c r="S319" s="128"/>
      <c r="T319" s="128"/>
      <c r="U319" s="128"/>
    </row>
    <row r="320" spans="1:21" ht="60" x14ac:dyDescent="0.25">
      <c r="A320" s="63">
        <f>MATCH($E320,'D1 - Master Project Table'!$B$24:$B$7056,0)</f>
        <v>142</v>
      </c>
      <c r="B320" s="63" t="b">
        <f t="shared" si="12"/>
        <v>0</v>
      </c>
      <c r="C320" s="63" t="b">
        <f t="shared" si="13"/>
        <v>0</v>
      </c>
      <c r="D320" s="63" t="str">
        <f t="shared" si="14"/>
        <v>OK</v>
      </c>
      <c r="E320" s="393">
        <v>400055879</v>
      </c>
      <c r="F320" s="392" t="s">
        <v>7432</v>
      </c>
      <c r="G320" s="392" t="s">
        <v>5324</v>
      </c>
      <c r="H320" s="392" t="s">
        <v>4917</v>
      </c>
      <c r="I320" s="392" t="s">
        <v>1763</v>
      </c>
      <c r="J320" s="392" t="s">
        <v>7433</v>
      </c>
      <c r="K320" s="392" t="s">
        <v>8075</v>
      </c>
      <c r="L320" s="392" t="s">
        <v>8911</v>
      </c>
      <c r="M320" s="392" t="s">
        <v>7273</v>
      </c>
      <c r="N320" s="392" t="s">
        <v>7273</v>
      </c>
      <c r="O320" s="392" t="s">
        <v>7273</v>
      </c>
      <c r="P320"/>
      <c r="Q320"/>
      <c r="R320" s="387">
        <f>VLOOKUP(E320,'[1]NDB Impacted SPRFs 05032013'!$A$2:$A$65536,1,FALSE)</f>
        <v>400055879</v>
      </c>
      <c r="S320" s="159"/>
      <c r="T320" s="159"/>
      <c r="U320" s="159"/>
    </row>
    <row r="321" spans="1:21" s="159" customFormat="1" ht="60" x14ac:dyDescent="0.25">
      <c r="A321" s="63">
        <f>MATCH($E321,'D1 - Master Project Table'!$B$24:$B$7056,0)</f>
        <v>1573</v>
      </c>
      <c r="B321" s="63" t="b">
        <f t="shared" si="12"/>
        <v>0</v>
      </c>
      <c r="C321" s="63" t="b">
        <f t="shared" si="13"/>
        <v>1</v>
      </c>
      <c r="D321" s="63" t="str">
        <f t="shared" si="14"/>
        <v>OK</v>
      </c>
      <c r="E321" s="393">
        <v>400045814</v>
      </c>
      <c r="F321" s="392" t="s">
        <v>5387</v>
      </c>
      <c r="G321" s="392" t="s">
        <v>5324</v>
      </c>
      <c r="H321" s="392" t="s">
        <v>7418</v>
      </c>
      <c r="I321" s="392" t="s">
        <v>1595</v>
      </c>
      <c r="J321" s="392" t="s">
        <v>4796</v>
      </c>
      <c r="K321" s="392" t="s">
        <v>2868</v>
      </c>
      <c r="L321" s="392" t="s">
        <v>1399</v>
      </c>
      <c r="M321" s="392" t="s">
        <v>3758</v>
      </c>
      <c r="N321" s="392" t="s">
        <v>7273</v>
      </c>
      <c r="O321" s="392" t="s">
        <v>3758</v>
      </c>
      <c r="P321"/>
      <c r="Q321"/>
      <c r="R321" s="387">
        <f>VLOOKUP(E321,'[1]NDB Impacted SPRFs 05032013'!$A$2:$A$65536,1,FALSE)</f>
        <v>400045814</v>
      </c>
    </row>
    <row r="322" spans="1:21" s="159" customFormat="1" ht="60" x14ac:dyDescent="0.25">
      <c r="A322" s="63" t="e">
        <f>MATCH($E322,'D1 - Master Project Table'!$B$24:$B$7056,0)</f>
        <v>#N/A</v>
      </c>
      <c r="B322" s="63" t="b">
        <f t="shared" si="12"/>
        <v>1</v>
      </c>
      <c r="C322" s="63" t="b">
        <f t="shared" si="13"/>
        <v>1</v>
      </c>
      <c r="D322" s="63" t="str">
        <f t="shared" si="14"/>
        <v>OK</v>
      </c>
      <c r="E322" s="393">
        <v>400000585</v>
      </c>
      <c r="F322" s="392" t="s">
        <v>2166</v>
      </c>
      <c r="G322" s="392" t="s">
        <v>5324</v>
      </c>
      <c r="H322" s="392" t="s">
        <v>7418</v>
      </c>
      <c r="I322" s="392" t="s">
        <v>1765</v>
      </c>
      <c r="J322" s="392" t="s">
        <v>8351</v>
      </c>
      <c r="K322" s="392" t="s">
        <v>2829</v>
      </c>
      <c r="L322" s="392" t="s">
        <v>4555</v>
      </c>
      <c r="M322" s="392" t="s">
        <v>3758</v>
      </c>
      <c r="N322" s="392" t="s">
        <v>7273</v>
      </c>
      <c r="O322" s="392" t="s">
        <v>7273</v>
      </c>
      <c r="P322"/>
      <c r="Q322"/>
      <c r="R322" s="387">
        <f>VLOOKUP(E322,'[1]NDB Impacted SPRFs 05032013'!$A$2:$A$65536,1,FALSE)</f>
        <v>400000585</v>
      </c>
    </row>
    <row r="323" spans="1:21" s="159" customFormat="1" ht="60" x14ac:dyDescent="0.25">
      <c r="A323" s="63">
        <f>MATCH($E323,'D1 - Master Project Table'!$B$24:$B$7056,0)</f>
        <v>835</v>
      </c>
      <c r="B323" s="63" t="b">
        <f t="shared" si="12"/>
        <v>0</v>
      </c>
      <c r="C323" s="63" t="b">
        <f t="shared" si="13"/>
        <v>1</v>
      </c>
      <c r="D323" s="63" t="str">
        <f t="shared" si="14"/>
        <v>OK</v>
      </c>
      <c r="E323" s="393">
        <v>400019199</v>
      </c>
      <c r="F323" s="392" t="s">
        <v>6288</v>
      </c>
      <c r="G323" s="392" t="s">
        <v>5324</v>
      </c>
      <c r="H323" s="392" t="s">
        <v>7418</v>
      </c>
      <c r="I323" s="392" t="s">
        <v>1758</v>
      </c>
      <c r="J323" s="392" t="s">
        <v>4437</v>
      </c>
      <c r="K323" s="392" t="s">
        <v>3277</v>
      </c>
      <c r="L323" s="392" t="s">
        <v>5535</v>
      </c>
      <c r="M323" s="392" t="s">
        <v>7273</v>
      </c>
      <c r="N323" s="392" t="s">
        <v>7273</v>
      </c>
      <c r="O323" s="392" t="s">
        <v>7273</v>
      </c>
      <c r="P323"/>
      <c r="Q323"/>
      <c r="R323" s="387">
        <f>VLOOKUP(E323,'[1]NDB Impacted SPRFs 05032013'!$A$2:$A$65536,1,FALSE)</f>
        <v>400019199</v>
      </c>
    </row>
    <row r="324" spans="1:21" s="159" customFormat="1" ht="60" x14ac:dyDescent="0.25">
      <c r="A324" s="63">
        <f>MATCH($E324,'D1 - Master Project Table'!$B$24:$B$7056,0)</f>
        <v>17</v>
      </c>
      <c r="B324" s="63" t="b">
        <f t="shared" si="12"/>
        <v>0</v>
      </c>
      <c r="C324" s="63" t="b">
        <f t="shared" si="13"/>
        <v>0</v>
      </c>
      <c r="D324" s="63" t="str">
        <f t="shared" si="14"/>
        <v>OK</v>
      </c>
      <c r="E324" s="393">
        <v>400055538</v>
      </c>
      <c r="F324" s="392" t="s">
        <v>600</v>
      </c>
      <c r="G324" s="392" t="s">
        <v>9210</v>
      </c>
      <c r="H324" s="392" t="s">
        <v>4917</v>
      </c>
      <c r="I324" s="392" t="s">
        <v>3540</v>
      </c>
      <c r="J324" s="392" t="s">
        <v>2585</v>
      </c>
      <c r="K324" s="392" t="s">
        <v>6028</v>
      </c>
      <c r="L324" s="392" t="s">
        <v>6140</v>
      </c>
      <c r="M324" s="392" t="s">
        <v>3758</v>
      </c>
      <c r="N324" s="392" t="s">
        <v>7273</v>
      </c>
      <c r="O324" s="392" t="s">
        <v>7273</v>
      </c>
      <c r="P324"/>
      <c r="Q324"/>
      <c r="R324" s="387">
        <f>VLOOKUP(E324,'[1]NDB Impacted SPRFs 05032013'!$A$2:$A$65536,1,FALSE)</f>
        <v>400055538</v>
      </c>
    </row>
    <row r="325" spans="1:21" s="159" customFormat="1" ht="60" x14ac:dyDescent="0.25">
      <c r="A325" s="63">
        <f>MATCH($E325,'D1 - Master Project Table'!$B$24:$B$7056,0)</f>
        <v>3109</v>
      </c>
      <c r="B325" s="63" t="b">
        <f t="shared" si="12"/>
        <v>0</v>
      </c>
      <c r="C325" s="63" t="b">
        <f t="shared" si="13"/>
        <v>1</v>
      </c>
      <c r="D325" s="63" t="str">
        <f t="shared" si="14"/>
        <v>OK</v>
      </c>
      <c r="E325" s="393">
        <v>400051668</v>
      </c>
      <c r="F325" s="392" t="s">
        <v>865</v>
      </c>
      <c r="G325" s="392" t="s">
        <v>6322</v>
      </c>
      <c r="H325" s="392" t="s">
        <v>5314</v>
      </c>
      <c r="I325" s="392" t="s">
        <v>1758</v>
      </c>
      <c r="J325" s="392" t="s">
        <v>8639</v>
      </c>
      <c r="K325" s="392" t="s">
        <v>866</v>
      </c>
      <c r="L325" s="392" t="s">
        <v>749</v>
      </c>
      <c r="M325" s="392" t="s">
        <v>7273</v>
      </c>
      <c r="N325" s="392" t="s">
        <v>7273</v>
      </c>
      <c r="O325" s="392" t="s">
        <v>7273</v>
      </c>
      <c r="P325"/>
      <c r="Q325"/>
      <c r="R325" s="387">
        <f>VLOOKUP(E325,'[1]NDB Impacted SPRFs 05032013'!$A$2:$A$65536,1,FALSE)</f>
        <v>400051668</v>
      </c>
    </row>
    <row r="326" spans="1:21" ht="60" x14ac:dyDescent="0.25">
      <c r="A326" s="63">
        <f>MATCH($E326,'D1 - Master Project Table'!$B$24:$B$7056,0)</f>
        <v>1361</v>
      </c>
      <c r="B326" s="63" t="b">
        <f t="shared" ref="B326:B389" si="15">ISERROR(A326)</f>
        <v>0</v>
      </c>
      <c r="C326" s="63" t="b">
        <f t="shared" ref="C326:C389" si="16">OR(H326="Completed",H326="Cancelled")</f>
        <v>1</v>
      </c>
      <c r="D326" s="63" t="str">
        <f t="shared" ref="D326:D389" si="17">IF(AND(B326=TRUE,C326=FALSE),"Add","OK")</f>
        <v>OK</v>
      </c>
      <c r="E326" s="393">
        <v>400034796</v>
      </c>
      <c r="F326" s="392" t="s">
        <v>6488</v>
      </c>
      <c r="G326" s="392" t="s">
        <v>5325</v>
      </c>
      <c r="H326" s="392" t="s">
        <v>7418</v>
      </c>
      <c r="I326" s="392" t="s">
        <v>6419</v>
      </c>
      <c r="J326" s="392" t="s">
        <v>6584</v>
      </c>
      <c r="K326" s="392" t="s">
        <v>6585</v>
      </c>
      <c r="L326" s="392" t="s">
        <v>5341</v>
      </c>
      <c r="M326" s="392" t="s">
        <v>3758</v>
      </c>
      <c r="N326" s="392" t="s">
        <v>7273</v>
      </c>
      <c r="O326" s="392" t="s">
        <v>7273</v>
      </c>
      <c r="P326"/>
      <c r="Q326"/>
      <c r="R326" s="387">
        <f>VLOOKUP(E326,'[1]NDB Impacted SPRFs 05032013'!$A$2:$A$65536,1,FALSE)</f>
        <v>400034796</v>
      </c>
      <c r="S326" s="159"/>
      <c r="T326" s="159"/>
      <c r="U326" s="159"/>
    </row>
    <row r="327" spans="1:21" ht="60" x14ac:dyDescent="0.25">
      <c r="A327" s="63">
        <f>MATCH($E327,'D1 - Master Project Table'!$B$24:$B$7056,0)</f>
        <v>2349</v>
      </c>
      <c r="B327" s="63" t="b">
        <f t="shared" si="15"/>
        <v>0</v>
      </c>
      <c r="C327" s="63" t="b">
        <f t="shared" si="16"/>
        <v>1</v>
      </c>
      <c r="D327" s="63" t="str">
        <f t="shared" si="17"/>
        <v>OK</v>
      </c>
      <c r="E327" s="393">
        <v>110311056</v>
      </c>
      <c r="F327" s="392" t="s">
        <v>3869</v>
      </c>
      <c r="G327" s="392" t="s">
        <v>5324</v>
      </c>
      <c r="H327" s="392" t="s">
        <v>7418</v>
      </c>
      <c r="I327" s="392" t="s">
        <v>1759</v>
      </c>
      <c r="J327" s="392" t="s">
        <v>7609</v>
      </c>
      <c r="K327" s="392" t="s">
        <v>4169</v>
      </c>
      <c r="L327" s="392" t="s">
        <v>2801</v>
      </c>
      <c r="M327" s="392" t="s">
        <v>3758</v>
      </c>
      <c r="N327" s="392" t="s">
        <v>7273</v>
      </c>
      <c r="O327" s="392" t="s">
        <v>7273</v>
      </c>
      <c r="P327"/>
      <c r="Q327"/>
      <c r="R327" s="387">
        <f>VLOOKUP(E327,'[1]NDB Impacted SPRFs 05032013'!$A$2:$A$65536,1,FALSE)</f>
        <v>110311056</v>
      </c>
    </row>
    <row r="328" spans="1:21" s="159" customFormat="1" ht="60" x14ac:dyDescent="0.25">
      <c r="A328" s="63">
        <f>MATCH($E328,'D1 - Master Project Table'!$B$24:$B$7056,0)</f>
        <v>1251</v>
      </c>
      <c r="B328" s="63" t="b">
        <f t="shared" si="15"/>
        <v>0</v>
      </c>
      <c r="C328" s="63" t="b">
        <f t="shared" si="16"/>
        <v>1</v>
      </c>
      <c r="D328" s="63" t="str">
        <f t="shared" si="17"/>
        <v>OK</v>
      </c>
      <c r="E328" s="393">
        <v>400031409</v>
      </c>
      <c r="F328" s="392" t="s">
        <v>5496</v>
      </c>
      <c r="G328" s="392" t="s">
        <v>5324</v>
      </c>
      <c r="H328" s="392" t="s">
        <v>7418</v>
      </c>
      <c r="I328" s="392" t="s">
        <v>1759</v>
      </c>
      <c r="J328" s="392" t="s">
        <v>5497</v>
      </c>
      <c r="K328" s="392" t="s">
        <v>5498</v>
      </c>
      <c r="L328" s="392" t="s">
        <v>7549</v>
      </c>
      <c r="M328" s="392" t="s">
        <v>3758</v>
      </c>
      <c r="N328" s="392" t="s">
        <v>7273</v>
      </c>
      <c r="O328" s="392" t="s">
        <v>7273</v>
      </c>
      <c r="P328"/>
      <c r="Q328"/>
      <c r="R328" s="387">
        <f>VLOOKUP(E328,'[1]NDB Impacted SPRFs 05032013'!$A$2:$A$65536,1,FALSE)</f>
        <v>400031409</v>
      </c>
    </row>
    <row r="329" spans="1:21" s="159" customFormat="1" ht="60" x14ac:dyDescent="0.25">
      <c r="A329" s="63">
        <f>MATCH($E329,'D1 - Master Project Table'!$B$24:$B$7056,0)</f>
        <v>3210</v>
      </c>
      <c r="B329" s="63" t="b">
        <f t="shared" si="15"/>
        <v>0</v>
      </c>
      <c r="C329" s="63" t="b">
        <f t="shared" si="16"/>
        <v>0</v>
      </c>
      <c r="D329" s="63" t="str">
        <f t="shared" si="17"/>
        <v>OK</v>
      </c>
      <c r="E329" s="393">
        <v>400048200</v>
      </c>
      <c r="F329" s="392" t="s">
        <v>861</v>
      </c>
      <c r="G329" s="392" t="s">
        <v>5324</v>
      </c>
      <c r="H329" s="392" t="s">
        <v>4917</v>
      </c>
      <c r="I329" s="392" t="s">
        <v>862</v>
      </c>
      <c r="J329" s="392" t="s">
        <v>8466</v>
      </c>
      <c r="K329" s="392" t="s">
        <v>863</v>
      </c>
      <c r="L329" s="392" t="s">
        <v>8172</v>
      </c>
      <c r="M329" s="392" t="s">
        <v>7273</v>
      </c>
      <c r="N329" s="392" t="s">
        <v>7273</v>
      </c>
      <c r="O329" s="392" t="s">
        <v>3758</v>
      </c>
      <c r="P329"/>
      <c r="Q329"/>
      <c r="R329" s="387">
        <f>VLOOKUP(E329,'[1]NDB Impacted SPRFs 05032013'!$A$2:$A$65536,1,FALSE)</f>
        <v>400048200</v>
      </c>
    </row>
    <row r="330" spans="1:21" s="159" customFormat="1" ht="60" x14ac:dyDescent="0.25">
      <c r="A330" s="63">
        <f>MATCH($E330,'D1 - Master Project Table'!$B$24:$B$7056,0)</f>
        <v>679</v>
      </c>
      <c r="B330" s="63" t="b">
        <f t="shared" si="15"/>
        <v>0</v>
      </c>
      <c r="C330" s="63" t="b">
        <f t="shared" si="16"/>
        <v>1</v>
      </c>
      <c r="D330" s="63" t="str">
        <f t="shared" si="17"/>
        <v>OK</v>
      </c>
      <c r="E330" s="393">
        <v>400013849</v>
      </c>
      <c r="F330" s="392" t="s">
        <v>4710</v>
      </c>
      <c r="G330" s="392" t="s">
        <v>5324</v>
      </c>
      <c r="H330" s="392" t="s">
        <v>7418</v>
      </c>
      <c r="I330" s="392" t="s">
        <v>1788</v>
      </c>
      <c r="J330" s="392" t="s">
        <v>6905</v>
      </c>
      <c r="K330" s="392" t="s">
        <v>1506</v>
      </c>
      <c r="L330" s="392" t="s">
        <v>110</v>
      </c>
      <c r="M330" s="392" t="s">
        <v>3758</v>
      </c>
      <c r="N330" s="392" t="s">
        <v>7273</v>
      </c>
      <c r="O330" s="392" t="s">
        <v>7273</v>
      </c>
      <c r="P330"/>
      <c r="Q330"/>
      <c r="R330" s="387">
        <f>VLOOKUP(E330,'[1]NDB Impacted SPRFs 05032013'!$A$2:$A$65536,1,FALSE)</f>
        <v>400013849</v>
      </c>
    </row>
    <row r="331" spans="1:21" s="159" customFormat="1" ht="60" x14ac:dyDescent="0.25">
      <c r="A331" s="63">
        <f>MATCH($E331,'D1 - Master Project Table'!$B$24:$B$7056,0)</f>
        <v>2506</v>
      </c>
      <c r="B331" s="63" t="b">
        <f t="shared" si="15"/>
        <v>0</v>
      </c>
      <c r="C331" s="63" t="b">
        <f t="shared" si="16"/>
        <v>1</v>
      </c>
      <c r="D331" s="63" t="str">
        <f t="shared" si="17"/>
        <v>OK</v>
      </c>
      <c r="E331" s="393">
        <v>400007336</v>
      </c>
      <c r="F331" s="392" t="s">
        <v>7860</v>
      </c>
      <c r="G331" s="392" t="s">
        <v>5324</v>
      </c>
      <c r="H331" s="392" t="s">
        <v>7418</v>
      </c>
      <c r="I331" s="392" t="s">
        <v>1768</v>
      </c>
      <c r="J331" s="392" t="s">
        <v>4009</v>
      </c>
      <c r="K331" s="392" t="s">
        <v>2953</v>
      </c>
      <c r="L331" s="392" t="s">
        <v>2503</v>
      </c>
      <c r="M331" s="392" t="s">
        <v>3758</v>
      </c>
      <c r="N331" s="392" t="s">
        <v>7273</v>
      </c>
      <c r="O331" s="392" t="s">
        <v>7273</v>
      </c>
      <c r="P331"/>
      <c r="Q331"/>
      <c r="R331" s="387">
        <f>VLOOKUP(E331,'[1]NDB Impacted SPRFs 05032013'!$A$2:$A$65536,1,FALSE)</f>
        <v>400007336</v>
      </c>
      <c r="S331" s="128"/>
      <c r="T331" s="128"/>
      <c r="U331" s="128"/>
    </row>
    <row r="332" spans="1:21" ht="60" x14ac:dyDescent="0.25">
      <c r="A332" s="63" t="e">
        <f>MATCH($E332,'D1 - Master Project Table'!$B$24:$B$7056,0)</f>
        <v>#N/A</v>
      </c>
      <c r="B332" s="63" t="b">
        <f t="shared" si="15"/>
        <v>1</v>
      </c>
      <c r="C332" s="63" t="b">
        <f t="shared" si="16"/>
        <v>1</v>
      </c>
      <c r="D332" s="63" t="str">
        <f t="shared" si="17"/>
        <v>OK</v>
      </c>
      <c r="E332" s="393">
        <v>400013382</v>
      </c>
      <c r="F332" s="392" t="s">
        <v>7025</v>
      </c>
      <c r="G332" s="392" t="s">
        <v>5324</v>
      </c>
      <c r="H332" s="392" t="s">
        <v>5314</v>
      </c>
      <c r="I332" s="392" t="s">
        <v>1765</v>
      </c>
      <c r="J332" s="392" t="s">
        <v>3000</v>
      </c>
      <c r="K332" s="392" t="s">
        <v>7024</v>
      </c>
      <c r="L332" s="392" t="s">
        <v>2128</v>
      </c>
      <c r="M332" s="392" t="s">
        <v>3758</v>
      </c>
      <c r="N332" s="392" t="s">
        <v>7273</v>
      </c>
      <c r="O332" s="392" t="s">
        <v>7273</v>
      </c>
      <c r="P332"/>
      <c r="Q332"/>
      <c r="R332" s="387">
        <f>VLOOKUP(E332,'[1]NDB Impacted SPRFs 05032013'!$A$2:$A$65536,1,FALSE)</f>
        <v>400013382</v>
      </c>
      <c r="S332" s="159"/>
      <c r="T332" s="159"/>
      <c r="U332" s="159"/>
    </row>
    <row r="333" spans="1:21" s="159" customFormat="1" ht="60" x14ac:dyDescent="0.25">
      <c r="A333" s="63">
        <f>MATCH($E333,'D1 - Master Project Table'!$B$24:$B$7056,0)</f>
        <v>2678</v>
      </c>
      <c r="B333" s="63" t="b">
        <f t="shared" si="15"/>
        <v>0</v>
      </c>
      <c r="C333" s="63" t="b">
        <f t="shared" si="16"/>
        <v>1</v>
      </c>
      <c r="D333" s="63" t="str">
        <f t="shared" si="17"/>
        <v>OK</v>
      </c>
      <c r="E333" s="393">
        <v>400016889</v>
      </c>
      <c r="F333" s="392" t="s">
        <v>6329</v>
      </c>
      <c r="G333" s="392" t="s">
        <v>5787</v>
      </c>
      <c r="H333" s="392" t="s">
        <v>5314</v>
      </c>
      <c r="I333" s="392" t="s">
        <v>1771</v>
      </c>
      <c r="J333" s="392" t="s">
        <v>6367</v>
      </c>
      <c r="K333" s="392" t="s">
        <v>5468</v>
      </c>
      <c r="L333" s="392" t="s">
        <v>3189</v>
      </c>
      <c r="M333" s="392" t="s">
        <v>3758</v>
      </c>
      <c r="N333" s="392" t="s">
        <v>7273</v>
      </c>
      <c r="O333" s="392" t="s">
        <v>7273</v>
      </c>
      <c r="P333"/>
      <c r="Q333"/>
      <c r="R333" s="387">
        <f>VLOOKUP(E333,'[1]NDB Impacted SPRFs 05032013'!$A$2:$A$65536,1,FALSE)</f>
        <v>400016889</v>
      </c>
    </row>
    <row r="334" spans="1:21" s="159" customFormat="1" ht="60" x14ac:dyDescent="0.25">
      <c r="A334" s="63">
        <f>MATCH($E334,'D1 - Master Project Table'!$B$24:$B$7056,0)</f>
        <v>848</v>
      </c>
      <c r="B334" s="63" t="b">
        <f t="shared" si="15"/>
        <v>0</v>
      </c>
      <c r="C334" s="63" t="b">
        <f t="shared" si="16"/>
        <v>1</v>
      </c>
      <c r="D334" s="63" t="str">
        <f t="shared" si="17"/>
        <v>OK</v>
      </c>
      <c r="E334" s="393">
        <v>400014790</v>
      </c>
      <c r="F334" s="392" t="s">
        <v>6338</v>
      </c>
      <c r="G334" s="392" t="s">
        <v>5324</v>
      </c>
      <c r="H334" s="392" t="s">
        <v>7418</v>
      </c>
      <c r="I334" s="392" t="s">
        <v>1788</v>
      </c>
      <c r="J334" s="392" t="s">
        <v>6768</v>
      </c>
      <c r="K334" s="392" t="s">
        <v>6394</v>
      </c>
      <c r="L334" s="392" t="s">
        <v>991</v>
      </c>
      <c r="M334" s="392" t="s">
        <v>3758</v>
      </c>
      <c r="N334" s="392" t="s">
        <v>7273</v>
      </c>
      <c r="O334" s="392" t="s">
        <v>7273</v>
      </c>
      <c r="P334"/>
      <c r="Q334"/>
      <c r="R334" s="387">
        <f>VLOOKUP(E334,'[1]NDB Impacted SPRFs 05032013'!$A$2:$A$65536,1,FALSE)</f>
        <v>400014790</v>
      </c>
    </row>
    <row r="335" spans="1:21" s="159" customFormat="1" ht="60" x14ac:dyDescent="0.25">
      <c r="A335" s="63">
        <f>MATCH($E335,'D1 - Master Project Table'!$B$24:$B$7056,0)</f>
        <v>759</v>
      </c>
      <c r="B335" s="63" t="b">
        <f t="shared" si="15"/>
        <v>0</v>
      </c>
      <c r="C335" s="63" t="b">
        <f t="shared" si="16"/>
        <v>1</v>
      </c>
      <c r="D335" s="63" t="str">
        <f t="shared" si="17"/>
        <v>OK</v>
      </c>
      <c r="E335" s="393">
        <v>400015308</v>
      </c>
      <c r="F335" s="392" t="s">
        <v>6355</v>
      </c>
      <c r="G335" s="392" t="s">
        <v>5324</v>
      </c>
      <c r="H335" s="392" t="s">
        <v>7418</v>
      </c>
      <c r="I335" s="392" t="s">
        <v>1758</v>
      </c>
      <c r="J335" s="392" t="s">
        <v>8010</v>
      </c>
      <c r="K335" s="392" t="s">
        <v>6356</v>
      </c>
      <c r="L335" s="392" t="s">
        <v>397</v>
      </c>
      <c r="M335" s="392" t="s">
        <v>3758</v>
      </c>
      <c r="N335" s="392" t="s">
        <v>7273</v>
      </c>
      <c r="O335" s="392" t="s">
        <v>7273</v>
      </c>
      <c r="P335"/>
      <c r="Q335"/>
      <c r="R335" s="387">
        <f>VLOOKUP(E335,'[1]NDB Impacted SPRFs 05032013'!$A$2:$A$65536,1,FALSE)</f>
        <v>400015308</v>
      </c>
    </row>
    <row r="336" spans="1:21" s="159" customFormat="1" ht="60" x14ac:dyDescent="0.25">
      <c r="A336" s="63">
        <f>MATCH($E336,'D1 - Master Project Table'!$B$24:$B$7056,0)</f>
        <v>1929</v>
      </c>
      <c r="B336" s="63" t="b">
        <f t="shared" si="15"/>
        <v>0</v>
      </c>
      <c r="C336" s="63" t="b">
        <f t="shared" si="16"/>
        <v>1</v>
      </c>
      <c r="D336" s="63" t="str">
        <f t="shared" si="17"/>
        <v>OK</v>
      </c>
      <c r="E336" s="393">
        <v>400014951</v>
      </c>
      <c r="F336" s="392" t="s">
        <v>6539</v>
      </c>
      <c r="G336" s="392" t="s">
        <v>3441</v>
      </c>
      <c r="H336" s="392" t="s">
        <v>7418</v>
      </c>
      <c r="I336" s="392" t="s">
        <v>2662</v>
      </c>
      <c r="J336" s="392" t="s">
        <v>7015</v>
      </c>
      <c r="K336" s="392" t="s">
        <v>7408</v>
      </c>
      <c r="L336" s="392" t="s">
        <v>1215</v>
      </c>
      <c r="M336" s="392" t="s">
        <v>3758</v>
      </c>
      <c r="N336" s="392" t="s">
        <v>7273</v>
      </c>
      <c r="O336" s="392" t="s">
        <v>7273</v>
      </c>
      <c r="P336" s="158"/>
      <c r="Q336" s="128"/>
      <c r="R336" s="387">
        <f>VLOOKUP(E336,'[1]NDB Impacted SPRFs 05032013'!$A$2:$A$65536,1,FALSE)</f>
        <v>400014951</v>
      </c>
      <c r="S336" s="128"/>
      <c r="T336" s="128"/>
      <c r="U336" s="128"/>
    </row>
    <row r="337" spans="1:21" ht="60" x14ac:dyDescent="0.25">
      <c r="A337" s="63">
        <f>MATCH($E337,'D1 - Master Project Table'!$B$24:$B$7056,0)</f>
        <v>1830</v>
      </c>
      <c r="B337" s="63" t="b">
        <f t="shared" si="15"/>
        <v>0</v>
      </c>
      <c r="C337" s="63" t="b">
        <f t="shared" si="16"/>
        <v>0</v>
      </c>
      <c r="D337" s="63" t="str">
        <f t="shared" si="17"/>
        <v>OK</v>
      </c>
      <c r="E337" s="393">
        <v>400055505</v>
      </c>
      <c r="F337" s="392" t="s">
        <v>7695</v>
      </c>
      <c r="G337" s="392" t="s">
        <v>5324</v>
      </c>
      <c r="H337" s="392" t="s">
        <v>4917</v>
      </c>
      <c r="I337" s="392" t="s">
        <v>1759</v>
      </c>
      <c r="J337" s="392" t="s">
        <v>7696</v>
      </c>
      <c r="K337" s="392" t="s">
        <v>1576</v>
      </c>
      <c r="L337" s="392" t="s">
        <v>8560</v>
      </c>
      <c r="M337" s="392" t="s">
        <v>3758</v>
      </c>
      <c r="N337" s="392" t="s">
        <v>7273</v>
      </c>
      <c r="O337" s="392" t="s">
        <v>7273</v>
      </c>
      <c r="P337"/>
      <c r="Q337"/>
      <c r="R337" s="387">
        <f>VLOOKUP(E337,'[1]NDB Impacted SPRFs 05032013'!$A$2:$A$65536,1,FALSE)</f>
        <v>400055505</v>
      </c>
      <c r="S337" s="159"/>
      <c r="T337" s="159"/>
      <c r="U337" s="159"/>
    </row>
    <row r="338" spans="1:21" s="159" customFormat="1" ht="45" customHeight="1" x14ac:dyDescent="0.25">
      <c r="A338" s="63">
        <f>MATCH($E338,'D1 - Master Project Table'!$B$24:$B$7056,0)</f>
        <v>365</v>
      </c>
      <c r="B338" s="63" t="b">
        <f t="shared" si="15"/>
        <v>0</v>
      </c>
      <c r="C338" s="63" t="b">
        <f t="shared" si="16"/>
        <v>1</v>
      </c>
      <c r="D338" s="63" t="str">
        <f t="shared" si="17"/>
        <v>OK</v>
      </c>
      <c r="E338" s="393">
        <v>400007728</v>
      </c>
      <c r="F338" s="392" t="s">
        <v>6702</v>
      </c>
      <c r="G338" s="392" t="s">
        <v>5324</v>
      </c>
      <c r="H338" s="392" t="s">
        <v>7418</v>
      </c>
      <c r="I338" s="392" t="s">
        <v>1768</v>
      </c>
      <c r="J338" s="392" t="s">
        <v>5601</v>
      </c>
      <c r="K338" s="392" t="s">
        <v>7354</v>
      </c>
      <c r="L338" s="392" t="s">
        <v>3738</v>
      </c>
      <c r="M338" s="392" t="s">
        <v>3758</v>
      </c>
      <c r="N338" s="392" t="s">
        <v>7273</v>
      </c>
      <c r="O338" s="392" t="s">
        <v>7273</v>
      </c>
      <c r="P338"/>
      <c r="Q338"/>
      <c r="R338" s="387">
        <f>VLOOKUP(E338,'[1]NDB Impacted SPRFs 05032013'!$A$2:$A$65536,1,FALSE)</f>
        <v>400007728</v>
      </c>
    </row>
    <row r="339" spans="1:21" s="159" customFormat="1" ht="60" x14ac:dyDescent="0.25">
      <c r="A339" s="63">
        <f>MATCH($E339,'D1 - Master Project Table'!$B$24:$B$7056,0)</f>
        <v>143</v>
      </c>
      <c r="B339" s="63" t="b">
        <f t="shared" si="15"/>
        <v>0</v>
      </c>
      <c r="C339" s="63" t="b">
        <f t="shared" si="16"/>
        <v>0</v>
      </c>
      <c r="D339" s="63" t="str">
        <f t="shared" si="17"/>
        <v>OK</v>
      </c>
      <c r="E339" s="393">
        <v>400055895</v>
      </c>
      <c r="F339" s="392" t="s">
        <v>7434</v>
      </c>
      <c r="G339" s="392" t="s">
        <v>5324</v>
      </c>
      <c r="H339" s="392" t="s">
        <v>4917</v>
      </c>
      <c r="I339" s="392" t="s">
        <v>1763</v>
      </c>
      <c r="J339" s="392" t="s">
        <v>7433</v>
      </c>
      <c r="K339" s="392" t="s">
        <v>8075</v>
      </c>
      <c r="L339" s="392" t="s">
        <v>8563</v>
      </c>
      <c r="M339" s="392" t="s">
        <v>7273</v>
      </c>
      <c r="N339" s="392" t="s">
        <v>7273</v>
      </c>
      <c r="O339" s="392" t="s">
        <v>7273</v>
      </c>
      <c r="P339"/>
      <c r="Q339"/>
      <c r="R339" s="387">
        <f>VLOOKUP(E339,'[1]NDB Impacted SPRFs 05032013'!$A$2:$A$65536,1,FALSE)</f>
        <v>400055895</v>
      </c>
    </row>
    <row r="340" spans="1:21" s="159" customFormat="1" ht="60" x14ac:dyDescent="0.25">
      <c r="A340" s="63">
        <f>MATCH($E340,'D1 - Master Project Table'!$B$24:$B$7056,0)</f>
        <v>2860</v>
      </c>
      <c r="B340" s="63" t="b">
        <f t="shared" si="15"/>
        <v>0</v>
      </c>
      <c r="C340" s="63" t="b">
        <f t="shared" si="16"/>
        <v>1</v>
      </c>
      <c r="D340" s="63" t="str">
        <f t="shared" si="17"/>
        <v>OK</v>
      </c>
      <c r="E340" s="393">
        <v>400027519</v>
      </c>
      <c r="F340" s="392" t="s">
        <v>3219</v>
      </c>
      <c r="G340" s="392" t="s">
        <v>5324</v>
      </c>
      <c r="H340" s="392" t="s">
        <v>5314</v>
      </c>
      <c r="I340" s="392" t="s">
        <v>1759</v>
      </c>
      <c r="J340" s="392" t="s">
        <v>3220</v>
      </c>
      <c r="K340" s="392" t="s">
        <v>2017</v>
      </c>
      <c r="L340" s="392" t="s">
        <v>4906</v>
      </c>
      <c r="M340" s="392" t="s">
        <v>3758</v>
      </c>
      <c r="N340" s="392" t="s">
        <v>7273</v>
      </c>
      <c r="O340" s="392" t="s">
        <v>3758</v>
      </c>
      <c r="P340"/>
      <c r="Q340"/>
      <c r="R340" s="387">
        <f>VLOOKUP(E340,'[1]NDB Impacted SPRFs 05032013'!$A$2:$A$65536,1,FALSE)</f>
        <v>400027519</v>
      </c>
    </row>
    <row r="341" spans="1:21" s="159" customFormat="1" ht="60" x14ac:dyDescent="0.25">
      <c r="A341" s="63">
        <f>MATCH($E341,'D1 - Master Project Table'!$B$24:$B$7056,0)</f>
        <v>8</v>
      </c>
      <c r="B341" s="63" t="b">
        <f t="shared" si="15"/>
        <v>0</v>
      </c>
      <c r="C341" s="63" t="b">
        <f t="shared" si="16"/>
        <v>0</v>
      </c>
      <c r="D341" s="63" t="str">
        <f t="shared" si="17"/>
        <v>OK</v>
      </c>
      <c r="E341" s="393">
        <v>400044701</v>
      </c>
      <c r="F341" s="392" t="s">
        <v>707</v>
      </c>
      <c r="G341" s="392" t="s">
        <v>5324</v>
      </c>
      <c r="H341" s="392" t="s">
        <v>4917</v>
      </c>
      <c r="I341" s="392" t="s">
        <v>1763</v>
      </c>
      <c r="J341" s="392" t="s">
        <v>5796</v>
      </c>
      <c r="K341" s="392" t="s">
        <v>5298</v>
      </c>
      <c r="L341" s="392" t="s">
        <v>8912</v>
      </c>
      <c r="M341" s="392" t="s">
        <v>3758</v>
      </c>
      <c r="N341" s="392" t="s">
        <v>7273</v>
      </c>
      <c r="O341" s="392" t="s">
        <v>7273</v>
      </c>
      <c r="P341"/>
      <c r="Q341"/>
      <c r="R341" s="387">
        <f>VLOOKUP(E341,'[1]NDB Impacted SPRFs 05032013'!$A$2:$A$65536,1,FALSE)</f>
        <v>400044701</v>
      </c>
    </row>
    <row r="342" spans="1:21" s="159" customFormat="1" ht="60" x14ac:dyDescent="0.25">
      <c r="A342" s="63">
        <f>MATCH($E342,'D1 - Master Project Table'!$B$24:$B$7056,0)</f>
        <v>1679</v>
      </c>
      <c r="B342" s="63" t="b">
        <f t="shared" si="15"/>
        <v>0</v>
      </c>
      <c r="C342" s="63" t="b">
        <f t="shared" si="16"/>
        <v>1</v>
      </c>
      <c r="D342" s="63" t="str">
        <f t="shared" si="17"/>
        <v>OK</v>
      </c>
      <c r="E342" s="393">
        <v>400047560</v>
      </c>
      <c r="F342" s="392" t="s">
        <v>122</v>
      </c>
      <c r="G342" s="392" t="s">
        <v>9210</v>
      </c>
      <c r="H342" s="392" t="s">
        <v>7418</v>
      </c>
      <c r="I342" s="392" t="s">
        <v>3540</v>
      </c>
      <c r="J342" s="392" t="s">
        <v>8598</v>
      </c>
      <c r="K342" s="392" t="s">
        <v>7884</v>
      </c>
      <c r="L342" s="392" t="s">
        <v>422</v>
      </c>
      <c r="M342" s="392" t="s">
        <v>3758</v>
      </c>
      <c r="N342" s="392" t="s">
        <v>7273</v>
      </c>
      <c r="O342" s="392" t="s">
        <v>7273</v>
      </c>
      <c r="P342"/>
      <c r="Q342"/>
      <c r="R342" s="387">
        <f>VLOOKUP(E342,'[1]NDB Impacted SPRFs 05032013'!$A$2:$A$65536,1,FALSE)</f>
        <v>400047560</v>
      </c>
      <c r="S342" s="128"/>
      <c r="T342" s="128"/>
      <c r="U342" s="128"/>
    </row>
    <row r="343" spans="1:21" s="159" customFormat="1" ht="60" x14ac:dyDescent="0.25">
      <c r="A343" s="63">
        <f>MATCH($E343,'D1 - Master Project Table'!$B$24:$B$7056,0)</f>
        <v>130</v>
      </c>
      <c r="B343" s="63" t="b">
        <f t="shared" si="15"/>
        <v>0</v>
      </c>
      <c r="C343" s="63" t="b">
        <f t="shared" si="16"/>
        <v>0</v>
      </c>
      <c r="D343" s="63" t="str">
        <f t="shared" si="17"/>
        <v>OK</v>
      </c>
      <c r="E343" s="393">
        <v>400056297</v>
      </c>
      <c r="F343" s="392" t="s">
        <v>7435</v>
      </c>
      <c r="G343" s="392" t="s">
        <v>5324</v>
      </c>
      <c r="H343" s="392" t="s">
        <v>4917</v>
      </c>
      <c r="I343" s="392" t="s">
        <v>1762</v>
      </c>
      <c r="J343" s="392" t="s">
        <v>7436</v>
      </c>
      <c r="K343" s="392" t="s">
        <v>6371</v>
      </c>
      <c r="L343" s="392" t="s">
        <v>9072</v>
      </c>
      <c r="M343" s="392" t="s">
        <v>3758</v>
      </c>
      <c r="N343" s="392" t="s">
        <v>7273</v>
      </c>
      <c r="O343" s="392" t="s">
        <v>3758</v>
      </c>
      <c r="P343"/>
      <c r="Q343"/>
      <c r="R343" s="387">
        <f>VLOOKUP(E343,'[1]NDB Impacted SPRFs 05032013'!$A$2:$A$65536,1,FALSE)</f>
        <v>400056297</v>
      </c>
    </row>
    <row r="344" spans="1:21" s="159" customFormat="1" ht="60" x14ac:dyDescent="0.25">
      <c r="A344" s="63">
        <f>MATCH($E344,'D1 - Master Project Table'!$B$24:$B$7056,0)</f>
        <v>1848</v>
      </c>
      <c r="B344" s="63" t="b">
        <f t="shared" si="15"/>
        <v>0</v>
      </c>
      <c r="C344" s="63" t="b">
        <f t="shared" si="16"/>
        <v>1</v>
      </c>
      <c r="D344" s="63" t="str">
        <f t="shared" si="17"/>
        <v>OK</v>
      </c>
      <c r="E344" s="393">
        <v>400006895</v>
      </c>
      <c r="F344" s="392" t="s">
        <v>5200</v>
      </c>
      <c r="G344" s="392" t="s">
        <v>3441</v>
      </c>
      <c r="H344" s="392" t="s">
        <v>7418</v>
      </c>
      <c r="I344" s="392" t="s">
        <v>1769</v>
      </c>
      <c r="J344" s="392" t="s">
        <v>4629</v>
      </c>
      <c r="K344" s="392" t="s">
        <v>1506</v>
      </c>
      <c r="L344" s="392" t="s">
        <v>4757</v>
      </c>
      <c r="M344" s="392" t="s">
        <v>3758</v>
      </c>
      <c r="N344" s="392" t="s">
        <v>7273</v>
      </c>
      <c r="O344" s="392" t="s">
        <v>7273</v>
      </c>
      <c r="P344"/>
      <c r="Q344"/>
      <c r="R344" s="387">
        <f>VLOOKUP(E344,'[1]NDB Impacted SPRFs 05032013'!$A$2:$A$65536,1,FALSE)</f>
        <v>400006895</v>
      </c>
      <c r="S344" s="128"/>
      <c r="T344" s="128"/>
      <c r="U344" s="128"/>
    </row>
    <row r="345" spans="1:21" s="159" customFormat="1" ht="60" x14ac:dyDescent="0.25">
      <c r="A345" s="63">
        <f>MATCH($E345,'D1 - Master Project Table'!$B$24:$B$7056,0)</f>
        <v>1036</v>
      </c>
      <c r="B345" s="63" t="b">
        <f t="shared" si="15"/>
        <v>0</v>
      </c>
      <c r="C345" s="63" t="b">
        <f t="shared" si="16"/>
        <v>1</v>
      </c>
      <c r="D345" s="63" t="str">
        <f t="shared" si="17"/>
        <v>OK</v>
      </c>
      <c r="E345" s="393">
        <v>400027069</v>
      </c>
      <c r="F345" s="392" t="s">
        <v>5863</v>
      </c>
      <c r="G345" s="392" t="s">
        <v>5325</v>
      </c>
      <c r="H345" s="392" t="s">
        <v>7418</v>
      </c>
      <c r="I345" s="392" t="s">
        <v>1799</v>
      </c>
      <c r="J345" s="392" t="s">
        <v>6011</v>
      </c>
      <c r="K345" s="392" t="s">
        <v>2089</v>
      </c>
      <c r="L345" s="392" t="s">
        <v>6073</v>
      </c>
      <c r="M345" s="392" t="s">
        <v>7273</v>
      </c>
      <c r="N345" s="392" t="s">
        <v>7273</v>
      </c>
      <c r="O345" s="392" t="s">
        <v>7273</v>
      </c>
      <c r="P345"/>
      <c r="Q345"/>
      <c r="R345" s="387">
        <f>VLOOKUP(E345,'[1]NDB Impacted SPRFs 05032013'!$A$2:$A$65536,1,FALSE)</f>
        <v>400027069</v>
      </c>
    </row>
    <row r="346" spans="1:21" s="159" customFormat="1" ht="60" x14ac:dyDescent="0.25">
      <c r="A346" s="63">
        <f>MATCH($E346,'D1 - Master Project Table'!$B$24:$B$7056,0)</f>
        <v>1323</v>
      </c>
      <c r="B346" s="63" t="b">
        <f t="shared" si="15"/>
        <v>0</v>
      </c>
      <c r="C346" s="63" t="b">
        <f t="shared" si="16"/>
        <v>1</v>
      </c>
      <c r="D346" s="63" t="str">
        <f t="shared" si="17"/>
        <v>OK</v>
      </c>
      <c r="E346" s="393">
        <v>400038267</v>
      </c>
      <c r="F346" s="392" t="s">
        <v>92</v>
      </c>
      <c r="G346" s="392" t="s">
        <v>5324</v>
      </c>
      <c r="H346" s="392" t="s">
        <v>7418</v>
      </c>
      <c r="I346" s="392" t="s">
        <v>1763</v>
      </c>
      <c r="J346" s="392" t="s">
        <v>6851</v>
      </c>
      <c r="K346" s="392" t="s">
        <v>8075</v>
      </c>
      <c r="L346" s="392" t="s">
        <v>8184</v>
      </c>
      <c r="M346" s="392" t="s">
        <v>3758</v>
      </c>
      <c r="N346" s="392" t="s">
        <v>7273</v>
      </c>
      <c r="O346" s="392" t="s">
        <v>3758</v>
      </c>
      <c r="P346"/>
      <c r="Q346"/>
      <c r="R346" s="387">
        <f>VLOOKUP(E346,'[1]NDB Impacted SPRFs 05032013'!$A$2:$A$65536,1,FALSE)</f>
        <v>400038267</v>
      </c>
      <c r="S346" s="128"/>
      <c r="T346" s="128"/>
      <c r="U346" s="128"/>
    </row>
    <row r="347" spans="1:21" ht="60" x14ac:dyDescent="0.25">
      <c r="A347" s="63">
        <f>MATCH($E347,'D1 - Master Project Table'!$B$24:$B$7056,0)</f>
        <v>1839</v>
      </c>
      <c r="B347" s="63" t="b">
        <f t="shared" si="15"/>
        <v>0</v>
      </c>
      <c r="C347" s="63" t="b">
        <f t="shared" si="16"/>
        <v>1</v>
      </c>
      <c r="D347" s="63" t="str">
        <f t="shared" si="17"/>
        <v>OK</v>
      </c>
      <c r="E347" s="393">
        <v>400057078</v>
      </c>
      <c r="F347" s="392" t="s">
        <v>8038</v>
      </c>
      <c r="G347" s="392" t="s">
        <v>5325</v>
      </c>
      <c r="H347" s="392" t="s">
        <v>7418</v>
      </c>
      <c r="I347" s="392" t="s">
        <v>1757</v>
      </c>
      <c r="J347" s="392" t="s">
        <v>3158</v>
      </c>
      <c r="K347" s="392" t="s">
        <v>2161</v>
      </c>
      <c r="L347" s="392" t="s">
        <v>8913</v>
      </c>
      <c r="M347" s="392" t="s">
        <v>7273</v>
      </c>
      <c r="N347" s="392" t="s">
        <v>7273</v>
      </c>
      <c r="O347" s="392" t="s">
        <v>7273</v>
      </c>
      <c r="P347"/>
      <c r="Q347"/>
      <c r="R347" s="387">
        <f>VLOOKUP(E347,'[1]NDB Impacted SPRFs 05032013'!$A$2:$A$65536,1,FALSE)</f>
        <v>400057078</v>
      </c>
      <c r="S347" s="159"/>
      <c r="T347" s="159"/>
      <c r="U347" s="159"/>
    </row>
    <row r="348" spans="1:21" s="159" customFormat="1" ht="60" x14ac:dyDescent="0.25">
      <c r="A348" s="63">
        <f>MATCH($E348,'D1 - Master Project Table'!$B$24:$B$7056,0)</f>
        <v>1961</v>
      </c>
      <c r="B348" s="63" t="b">
        <f t="shared" si="15"/>
        <v>0</v>
      </c>
      <c r="C348" s="63" t="b">
        <f t="shared" si="16"/>
        <v>1</v>
      </c>
      <c r="D348" s="63" t="str">
        <f t="shared" si="17"/>
        <v>OK</v>
      </c>
      <c r="E348" s="393">
        <v>400022824</v>
      </c>
      <c r="F348" s="392" t="s">
        <v>2112</v>
      </c>
      <c r="G348" s="392" t="s">
        <v>6065</v>
      </c>
      <c r="H348" s="392" t="s">
        <v>7418</v>
      </c>
      <c r="I348" s="392" t="s">
        <v>2655</v>
      </c>
      <c r="J348" s="392" t="s">
        <v>4540</v>
      </c>
      <c r="K348" s="392" t="s">
        <v>5218</v>
      </c>
      <c r="L348" s="392" t="s">
        <v>8914</v>
      </c>
      <c r="M348" s="392" t="s">
        <v>7273</v>
      </c>
      <c r="N348" s="392" t="s">
        <v>7273</v>
      </c>
      <c r="O348" s="392" t="s">
        <v>7273</v>
      </c>
      <c r="P348"/>
      <c r="Q348"/>
      <c r="R348" s="387">
        <f>VLOOKUP(E348,'[1]NDB Impacted SPRFs 05032013'!$A$2:$A$65536,1,FALSE)</f>
        <v>400022824</v>
      </c>
    </row>
    <row r="349" spans="1:21" ht="60" x14ac:dyDescent="0.25">
      <c r="A349" s="63">
        <f>MATCH($E349,'D1 - Master Project Table'!$B$24:$B$7056,0)</f>
        <v>107</v>
      </c>
      <c r="B349" s="63" t="b">
        <f t="shared" si="15"/>
        <v>0</v>
      </c>
      <c r="C349" s="63" t="b">
        <f t="shared" si="16"/>
        <v>0</v>
      </c>
      <c r="D349" s="63" t="str">
        <f t="shared" si="17"/>
        <v>OK</v>
      </c>
      <c r="E349" s="393">
        <v>400044833</v>
      </c>
      <c r="F349" s="392" t="s">
        <v>8219</v>
      </c>
      <c r="G349" s="392" t="s">
        <v>5324</v>
      </c>
      <c r="H349" s="392" t="s">
        <v>4917</v>
      </c>
      <c r="I349" s="392" t="s">
        <v>1758</v>
      </c>
      <c r="J349" s="392" t="s">
        <v>1957</v>
      </c>
      <c r="K349" s="392" t="s">
        <v>6946</v>
      </c>
      <c r="L349" s="392" t="s">
        <v>8622</v>
      </c>
      <c r="M349" s="392" t="s">
        <v>3758</v>
      </c>
      <c r="N349" s="392" t="s">
        <v>7273</v>
      </c>
      <c r="O349" s="392" t="s">
        <v>7273</v>
      </c>
      <c r="P349"/>
      <c r="Q349"/>
      <c r="R349" s="387">
        <f>VLOOKUP(E349,'[1]NDB Impacted SPRFs 05032013'!$A$2:$A$65536,1,FALSE)</f>
        <v>400044833</v>
      </c>
      <c r="S349" s="159"/>
      <c r="T349" s="159"/>
      <c r="U349" s="159"/>
    </row>
    <row r="350" spans="1:21" s="159" customFormat="1" ht="60" x14ac:dyDescent="0.25">
      <c r="A350" s="63">
        <f>MATCH($E350,'D1 - Master Project Table'!$B$24:$B$7056,0)</f>
        <v>2508</v>
      </c>
      <c r="B350" s="63" t="b">
        <f t="shared" si="15"/>
        <v>0</v>
      </c>
      <c r="C350" s="63" t="b">
        <f t="shared" si="16"/>
        <v>1</v>
      </c>
      <c r="D350" s="63" t="str">
        <f t="shared" si="17"/>
        <v>OK</v>
      </c>
      <c r="E350" s="393">
        <v>400007365</v>
      </c>
      <c r="F350" s="392" t="s">
        <v>6327</v>
      </c>
      <c r="G350" s="392" t="s">
        <v>5324</v>
      </c>
      <c r="H350" s="392" t="s">
        <v>7418</v>
      </c>
      <c r="I350" s="392" t="s">
        <v>1768</v>
      </c>
      <c r="J350" s="392" t="s">
        <v>4009</v>
      </c>
      <c r="K350" s="392" t="s">
        <v>2953</v>
      </c>
      <c r="L350" s="392" t="s">
        <v>2405</v>
      </c>
      <c r="M350" s="392" t="s">
        <v>3758</v>
      </c>
      <c r="N350" s="392" t="s">
        <v>7273</v>
      </c>
      <c r="O350" s="392" t="s">
        <v>7273</v>
      </c>
      <c r="P350"/>
      <c r="Q350"/>
      <c r="R350" s="387">
        <f>VLOOKUP(E350,'[1]NDB Impacted SPRFs 05032013'!$A$2:$A$65536,1,FALSE)</f>
        <v>400007365</v>
      </c>
    </row>
    <row r="351" spans="1:21" s="159" customFormat="1" ht="60" x14ac:dyDescent="0.25">
      <c r="A351" s="63">
        <f>MATCH($E351,'D1 - Master Project Table'!$B$24:$B$7056,0)</f>
        <v>1768</v>
      </c>
      <c r="B351" s="63" t="b">
        <f t="shared" si="15"/>
        <v>0</v>
      </c>
      <c r="C351" s="63" t="b">
        <f t="shared" si="16"/>
        <v>1</v>
      </c>
      <c r="D351" s="63" t="str">
        <f t="shared" si="17"/>
        <v>OK</v>
      </c>
      <c r="E351" s="393">
        <v>400049341</v>
      </c>
      <c r="F351" s="392" t="s">
        <v>2773</v>
      </c>
      <c r="G351" s="392" t="s">
        <v>5325</v>
      </c>
      <c r="H351" s="392" t="s">
        <v>7418</v>
      </c>
      <c r="I351" s="392" t="s">
        <v>1762</v>
      </c>
      <c r="J351" s="392" t="s">
        <v>4110</v>
      </c>
      <c r="K351" s="392" t="s">
        <v>8075</v>
      </c>
      <c r="L351" s="392" t="s">
        <v>8163</v>
      </c>
      <c r="M351" s="392" t="s">
        <v>3758</v>
      </c>
      <c r="N351" s="392" t="s">
        <v>7273</v>
      </c>
      <c r="O351" s="392" t="s">
        <v>3758</v>
      </c>
      <c r="P351"/>
      <c r="Q351"/>
      <c r="R351" s="387">
        <f>VLOOKUP(E351,'[1]NDB Impacted SPRFs 05032013'!$A$2:$A$65536,1,FALSE)</f>
        <v>400049341</v>
      </c>
    </row>
    <row r="352" spans="1:21" ht="60" x14ac:dyDescent="0.25">
      <c r="A352" s="63">
        <f>MATCH($E352,'D1 - Master Project Table'!$B$24:$B$7056,0)</f>
        <v>131</v>
      </c>
      <c r="B352" s="63" t="b">
        <f t="shared" si="15"/>
        <v>0</v>
      </c>
      <c r="C352" s="63" t="b">
        <f t="shared" si="16"/>
        <v>0</v>
      </c>
      <c r="D352" s="63" t="str">
        <f t="shared" si="17"/>
        <v>OK</v>
      </c>
      <c r="E352" s="393">
        <v>400056873</v>
      </c>
      <c r="F352" s="392" t="s">
        <v>7438</v>
      </c>
      <c r="G352" s="392" t="s">
        <v>5324</v>
      </c>
      <c r="H352" s="392" t="s">
        <v>4917</v>
      </c>
      <c r="I352" s="392" t="s">
        <v>1762</v>
      </c>
      <c r="J352" s="392" t="s">
        <v>845</v>
      </c>
      <c r="K352" s="392" t="s">
        <v>7439</v>
      </c>
      <c r="L352" s="392" t="s">
        <v>9487</v>
      </c>
      <c r="M352" s="392" t="s">
        <v>7273</v>
      </c>
      <c r="N352" s="392" t="s">
        <v>7273</v>
      </c>
      <c r="O352" s="392" t="s">
        <v>3758</v>
      </c>
      <c r="P352"/>
      <c r="Q352"/>
      <c r="R352" s="387">
        <f>VLOOKUP(E352,'[1]NDB Impacted SPRFs 05032013'!$A$2:$A$65536,1,FALSE)</f>
        <v>400056873</v>
      </c>
    </row>
    <row r="353" spans="1:21" ht="60" x14ac:dyDescent="0.25">
      <c r="A353" s="63">
        <f>MATCH($E353,'D1 - Master Project Table'!$B$24:$B$7056,0)</f>
        <v>204</v>
      </c>
      <c r="B353" s="63" t="b">
        <f t="shared" si="15"/>
        <v>0</v>
      </c>
      <c r="C353" s="63" t="b">
        <f t="shared" si="16"/>
        <v>1</v>
      </c>
      <c r="D353" s="63" t="str">
        <f t="shared" si="17"/>
        <v>OK</v>
      </c>
      <c r="E353" s="393">
        <v>400044152</v>
      </c>
      <c r="F353" s="392" t="s">
        <v>1286</v>
      </c>
      <c r="G353" s="392" t="s">
        <v>7182</v>
      </c>
      <c r="H353" s="392" t="s">
        <v>7418</v>
      </c>
      <c r="I353" s="392" t="s">
        <v>7745</v>
      </c>
      <c r="J353" s="392" t="s">
        <v>1287</v>
      </c>
      <c r="K353" s="392" t="s">
        <v>1288</v>
      </c>
      <c r="L353" s="392" t="s">
        <v>8918</v>
      </c>
      <c r="M353" s="392" t="s">
        <v>3758</v>
      </c>
      <c r="N353" s="392" t="s">
        <v>7273</v>
      </c>
      <c r="O353" s="392" t="s">
        <v>7273</v>
      </c>
      <c r="P353"/>
      <c r="Q353"/>
      <c r="R353" s="387">
        <f>VLOOKUP(E353,'[1]NDB Impacted SPRFs 05032013'!$A$2:$A$65536,1,FALSE)</f>
        <v>400044152</v>
      </c>
      <c r="S353" s="159"/>
      <c r="T353" s="159"/>
      <c r="U353" s="159"/>
    </row>
    <row r="354" spans="1:21" s="159" customFormat="1" ht="60" x14ac:dyDescent="0.25">
      <c r="A354" s="63">
        <f>MATCH($E354,'D1 - Master Project Table'!$B$24:$B$7056,0)</f>
        <v>1908</v>
      </c>
      <c r="B354" s="63" t="b">
        <f t="shared" si="15"/>
        <v>0</v>
      </c>
      <c r="C354" s="63" t="b">
        <f t="shared" si="16"/>
        <v>1</v>
      </c>
      <c r="D354" s="63" t="str">
        <f t="shared" si="17"/>
        <v>OK</v>
      </c>
      <c r="E354" s="393">
        <v>400008163</v>
      </c>
      <c r="F354" s="392" t="s">
        <v>5917</v>
      </c>
      <c r="G354" s="392" t="s">
        <v>3441</v>
      </c>
      <c r="H354" s="392" t="s">
        <v>7418</v>
      </c>
      <c r="I354" s="392" t="s">
        <v>1770</v>
      </c>
      <c r="J354" s="392" t="s">
        <v>3142</v>
      </c>
      <c r="K354" s="392" t="s">
        <v>5541</v>
      </c>
      <c r="L354" s="392" t="s">
        <v>7959</v>
      </c>
      <c r="M354" s="392" t="s">
        <v>3758</v>
      </c>
      <c r="N354" s="392" t="s">
        <v>7273</v>
      </c>
      <c r="O354" s="392" t="s">
        <v>7273</v>
      </c>
      <c r="P354"/>
      <c r="Q354"/>
      <c r="R354" s="387">
        <f>VLOOKUP(E354,'[1]NDB Impacted SPRFs 05032013'!$A$2:$A$65536,1,FALSE)</f>
        <v>400008163</v>
      </c>
    </row>
    <row r="355" spans="1:21" s="159" customFormat="1" ht="60" x14ac:dyDescent="0.25">
      <c r="A355" s="63">
        <f>MATCH($E355,'D1 - Master Project Table'!$B$24:$B$7056,0)</f>
        <v>1478</v>
      </c>
      <c r="B355" s="63" t="b">
        <f t="shared" si="15"/>
        <v>0</v>
      </c>
      <c r="C355" s="63" t="b">
        <f t="shared" si="16"/>
        <v>1</v>
      </c>
      <c r="D355" s="63" t="str">
        <f t="shared" si="17"/>
        <v>OK</v>
      </c>
      <c r="E355" s="393">
        <v>400039471</v>
      </c>
      <c r="F355" s="392" t="s">
        <v>7371</v>
      </c>
      <c r="G355" s="392" t="s">
        <v>5324</v>
      </c>
      <c r="H355" s="392" t="s">
        <v>7418</v>
      </c>
      <c r="I355" s="392" t="s">
        <v>1759</v>
      </c>
      <c r="J355" s="392" t="s">
        <v>7372</v>
      </c>
      <c r="K355" s="392" t="s">
        <v>3933</v>
      </c>
      <c r="L355" s="392" t="s">
        <v>1029</v>
      </c>
      <c r="M355" s="392" t="s">
        <v>3758</v>
      </c>
      <c r="N355" s="392" t="s">
        <v>7273</v>
      </c>
      <c r="O355" s="392" t="s">
        <v>3758</v>
      </c>
      <c r="P355"/>
      <c r="Q355"/>
      <c r="R355" s="387">
        <f>VLOOKUP(E355,'[1]NDB Impacted SPRFs 05032013'!$A$2:$A$65536,1,FALSE)</f>
        <v>400039471</v>
      </c>
    </row>
    <row r="356" spans="1:21" s="159" customFormat="1" ht="60" x14ac:dyDescent="0.25">
      <c r="A356" s="63">
        <f>MATCH($E356,'D1 - Master Project Table'!$B$24:$B$7056,0)</f>
        <v>56</v>
      </c>
      <c r="B356" s="63" t="b">
        <f t="shared" si="15"/>
        <v>0</v>
      </c>
      <c r="C356" s="63" t="b">
        <f t="shared" si="16"/>
        <v>1</v>
      </c>
      <c r="D356" s="63" t="str">
        <f t="shared" si="17"/>
        <v>OK</v>
      </c>
      <c r="E356" s="393">
        <v>400054730</v>
      </c>
      <c r="F356" s="392" t="s">
        <v>33</v>
      </c>
      <c r="G356" s="392" t="s">
        <v>5995</v>
      </c>
      <c r="H356" s="392" t="s">
        <v>7418</v>
      </c>
      <c r="I356" s="392" t="s">
        <v>6423</v>
      </c>
      <c r="J356" s="392" t="s">
        <v>1155</v>
      </c>
      <c r="K356" s="392" t="s">
        <v>580</v>
      </c>
      <c r="L356" s="392" t="s">
        <v>581</v>
      </c>
      <c r="M356" s="392" t="s">
        <v>7273</v>
      </c>
      <c r="N356" s="392" t="s">
        <v>7273</v>
      </c>
      <c r="O356" s="392" t="s">
        <v>7273</v>
      </c>
      <c r="P356"/>
      <c r="Q356"/>
      <c r="R356" s="387">
        <f>VLOOKUP(E356,'[1]NDB Impacted SPRFs 05032013'!$A$2:$A$65536,1,FALSE)</f>
        <v>400054730</v>
      </c>
    </row>
    <row r="357" spans="1:21" s="159" customFormat="1" ht="60" x14ac:dyDescent="0.25">
      <c r="A357" s="63">
        <f>MATCH($E357,'D1 - Master Project Table'!$B$24:$B$7056,0)</f>
        <v>1202</v>
      </c>
      <c r="B357" s="63" t="b">
        <f t="shared" si="15"/>
        <v>0</v>
      </c>
      <c r="C357" s="63" t="b">
        <f t="shared" si="16"/>
        <v>1</v>
      </c>
      <c r="D357" s="63" t="str">
        <f t="shared" si="17"/>
        <v>OK</v>
      </c>
      <c r="E357" s="393">
        <v>400031125</v>
      </c>
      <c r="F357" s="392" t="s">
        <v>4482</v>
      </c>
      <c r="G357" s="392" t="s">
        <v>5324</v>
      </c>
      <c r="H357" s="392" t="s">
        <v>7418</v>
      </c>
      <c r="I357" s="392" t="s">
        <v>1757</v>
      </c>
      <c r="J357" s="392" t="s">
        <v>5583</v>
      </c>
      <c r="K357" s="392" t="s">
        <v>7044</v>
      </c>
      <c r="L357" s="392" t="s">
        <v>7550</v>
      </c>
      <c r="M357" s="392" t="s">
        <v>3758</v>
      </c>
      <c r="N357" s="392" t="s">
        <v>7273</v>
      </c>
      <c r="O357" s="392" t="s">
        <v>7273</v>
      </c>
      <c r="P357"/>
      <c r="Q357"/>
      <c r="R357" s="387">
        <f>VLOOKUP(E357,'[1]NDB Impacted SPRFs 05032013'!$A$2:$A$65536,1,FALSE)</f>
        <v>400031125</v>
      </c>
    </row>
    <row r="358" spans="1:21" ht="60" x14ac:dyDescent="0.25">
      <c r="A358" s="63">
        <f>MATCH($E358,'D1 - Master Project Table'!$B$24:$B$7056,0)</f>
        <v>1365</v>
      </c>
      <c r="B358" s="63" t="b">
        <f t="shared" si="15"/>
        <v>0</v>
      </c>
      <c r="C358" s="63" t="b">
        <f t="shared" si="16"/>
        <v>1</v>
      </c>
      <c r="D358" s="63" t="str">
        <f t="shared" si="17"/>
        <v>OK</v>
      </c>
      <c r="E358" s="393">
        <v>400035939</v>
      </c>
      <c r="F358" s="392" t="s">
        <v>2800</v>
      </c>
      <c r="G358" s="392" t="s">
        <v>5324</v>
      </c>
      <c r="H358" s="392" t="s">
        <v>7418</v>
      </c>
      <c r="I358" s="392" t="s">
        <v>1595</v>
      </c>
      <c r="J358" s="392" t="s">
        <v>1973</v>
      </c>
      <c r="K358" s="392" t="s">
        <v>5575</v>
      </c>
      <c r="L358" s="392" t="s">
        <v>5869</v>
      </c>
      <c r="M358" s="392" t="s">
        <v>3758</v>
      </c>
      <c r="N358" s="392" t="s">
        <v>7273</v>
      </c>
      <c r="O358" s="392" t="s">
        <v>7273</v>
      </c>
      <c r="P358"/>
      <c r="Q358"/>
      <c r="R358" s="387">
        <f>VLOOKUP(E358,'[1]NDB Impacted SPRFs 05032013'!$A$2:$A$65536,1,FALSE)</f>
        <v>400035939</v>
      </c>
      <c r="S358" s="159"/>
      <c r="T358" s="159"/>
      <c r="U358" s="159"/>
    </row>
    <row r="359" spans="1:21" s="159" customFormat="1" ht="60" x14ac:dyDescent="0.25">
      <c r="A359" s="63">
        <f>MATCH($E359,'D1 - Master Project Table'!$B$24:$B$7056,0)</f>
        <v>548</v>
      </c>
      <c r="B359" s="63" t="b">
        <f t="shared" si="15"/>
        <v>0</v>
      </c>
      <c r="C359" s="63" t="b">
        <f t="shared" si="16"/>
        <v>1</v>
      </c>
      <c r="D359" s="63" t="str">
        <f t="shared" si="17"/>
        <v>OK</v>
      </c>
      <c r="E359" s="393">
        <v>400010394</v>
      </c>
      <c r="F359" s="392" t="s">
        <v>4858</v>
      </c>
      <c r="G359" s="392" t="s">
        <v>5787</v>
      </c>
      <c r="H359" s="392" t="s">
        <v>7418</v>
      </c>
      <c r="I359" s="392" t="s">
        <v>1775</v>
      </c>
      <c r="J359" s="392" t="s">
        <v>6906</v>
      </c>
      <c r="K359" s="392" t="s">
        <v>3941</v>
      </c>
      <c r="L359" s="392" t="s">
        <v>2882</v>
      </c>
      <c r="M359" s="392" t="s">
        <v>3758</v>
      </c>
      <c r="N359" s="392" t="s">
        <v>7273</v>
      </c>
      <c r="O359" s="392" t="s">
        <v>7273</v>
      </c>
      <c r="P359"/>
      <c r="Q359"/>
      <c r="R359" s="387">
        <f>VLOOKUP(E359,'[1]NDB Impacted SPRFs 05032013'!$A$2:$A$65536,1,FALSE)</f>
        <v>400010394</v>
      </c>
    </row>
    <row r="360" spans="1:21" s="159" customFormat="1" ht="60" x14ac:dyDescent="0.25">
      <c r="A360" s="63">
        <f>MATCH($E360,'D1 - Master Project Table'!$B$24:$B$7056,0)</f>
        <v>2332</v>
      </c>
      <c r="B360" s="63" t="b">
        <f t="shared" si="15"/>
        <v>0</v>
      </c>
      <c r="C360" s="63" t="b">
        <f t="shared" si="16"/>
        <v>1</v>
      </c>
      <c r="D360" s="63" t="str">
        <f t="shared" si="17"/>
        <v>OK</v>
      </c>
      <c r="E360" s="393">
        <v>400043000</v>
      </c>
      <c r="F360" s="392" t="s">
        <v>1173</v>
      </c>
      <c r="G360" s="392" t="s">
        <v>5995</v>
      </c>
      <c r="H360" s="392" t="s">
        <v>5314</v>
      </c>
      <c r="I360" s="392" t="s">
        <v>6423</v>
      </c>
      <c r="J360" s="392" t="s">
        <v>5280</v>
      </c>
      <c r="K360" s="392" t="s">
        <v>4114</v>
      </c>
      <c r="L360" s="392" t="s">
        <v>573</v>
      </c>
      <c r="M360" s="392" t="s">
        <v>7273</v>
      </c>
      <c r="N360" s="392" t="s">
        <v>7273</v>
      </c>
      <c r="O360" s="392" t="s">
        <v>7273</v>
      </c>
      <c r="P360"/>
      <c r="Q360"/>
      <c r="R360" s="387">
        <f>VLOOKUP(E360,'[1]NDB Impacted SPRFs 05032013'!$A$2:$A$65536,1,FALSE)</f>
        <v>400043000</v>
      </c>
    </row>
    <row r="361" spans="1:21" s="159" customFormat="1" ht="60" x14ac:dyDescent="0.25">
      <c r="A361" s="63">
        <f>MATCH($E361,'D1 - Master Project Table'!$B$24:$B$7056,0)</f>
        <v>1705</v>
      </c>
      <c r="B361" s="63" t="b">
        <f t="shared" si="15"/>
        <v>0</v>
      </c>
      <c r="C361" s="63" t="b">
        <f t="shared" si="16"/>
        <v>1</v>
      </c>
      <c r="D361" s="63" t="str">
        <f t="shared" si="17"/>
        <v>OK</v>
      </c>
      <c r="E361" s="393">
        <v>400051451</v>
      </c>
      <c r="F361" s="392" t="s">
        <v>867</v>
      </c>
      <c r="G361" s="392" t="s">
        <v>6322</v>
      </c>
      <c r="H361" s="392" t="s">
        <v>7418</v>
      </c>
      <c r="I361" s="392" t="s">
        <v>1756</v>
      </c>
      <c r="J361" s="392" t="s">
        <v>868</v>
      </c>
      <c r="K361" s="392" t="s">
        <v>869</v>
      </c>
      <c r="L361" s="392" t="s">
        <v>3061</v>
      </c>
      <c r="M361" s="392" t="s">
        <v>7273</v>
      </c>
      <c r="N361" s="392" t="s">
        <v>7273</v>
      </c>
      <c r="O361" s="392" t="s">
        <v>3758</v>
      </c>
      <c r="P361"/>
      <c r="Q361"/>
      <c r="R361" s="387">
        <f>VLOOKUP(E361,'[1]NDB Impacted SPRFs 05032013'!$A$2:$A$65536,1,FALSE)</f>
        <v>400051451</v>
      </c>
    </row>
    <row r="362" spans="1:21" s="159" customFormat="1" ht="60" x14ac:dyDescent="0.25">
      <c r="A362" s="63" t="e">
        <f>MATCH($E362,'D1 - Master Project Table'!$B$24:$B$7056,0)</f>
        <v>#N/A</v>
      </c>
      <c r="B362" s="63" t="b">
        <f t="shared" si="15"/>
        <v>1</v>
      </c>
      <c r="C362" s="63" t="b">
        <f t="shared" si="16"/>
        <v>1</v>
      </c>
      <c r="D362" s="63" t="str">
        <f t="shared" si="17"/>
        <v>OK</v>
      </c>
      <c r="E362" s="393">
        <v>400000165</v>
      </c>
      <c r="F362" s="392" t="s">
        <v>6131</v>
      </c>
      <c r="G362" s="392" t="s">
        <v>5324</v>
      </c>
      <c r="H362" s="392" t="s">
        <v>7418</v>
      </c>
      <c r="I362" s="392" t="s">
        <v>1765</v>
      </c>
      <c r="J362" s="392" t="s">
        <v>8347</v>
      </c>
      <c r="K362" s="392" t="s">
        <v>5880</v>
      </c>
      <c r="L362" s="392" t="s">
        <v>5804</v>
      </c>
      <c r="M362" s="392" t="s">
        <v>3758</v>
      </c>
      <c r="N362" s="392" t="s">
        <v>7273</v>
      </c>
      <c r="O362" s="392" t="s">
        <v>7273</v>
      </c>
      <c r="P362"/>
      <c r="Q362"/>
      <c r="R362" s="387">
        <f>VLOOKUP(E362,'[1]NDB Impacted SPRFs 05032013'!$A$2:$A$65536,1,FALSE)</f>
        <v>400000165</v>
      </c>
    </row>
    <row r="363" spans="1:21" s="159" customFormat="1" ht="60" x14ac:dyDescent="0.25">
      <c r="A363" s="63">
        <f>MATCH($E363,'D1 - Master Project Table'!$B$24:$B$7056,0)</f>
        <v>2697</v>
      </c>
      <c r="B363" s="63" t="b">
        <f t="shared" si="15"/>
        <v>0</v>
      </c>
      <c r="C363" s="63" t="b">
        <f t="shared" si="16"/>
        <v>1</v>
      </c>
      <c r="D363" s="63" t="str">
        <f t="shared" si="17"/>
        <v>OK</v>
      </c>
      <c r="E363" s="393">
        <v>400018385</v>
      </c>
      <c r="F363" s="392" t="s">
        <v>3948</v>
      </c>
      <c r="G363" s="392" t="s">
        <v>3441</v>
      </c>
      <c r="H363" s="392" t="s">
        <v>5314</v>
      </c>
      <c r="I363" s="392" t="s">
        <v>2662</v>
      </c>
      <c r="J363" s="392" t="s">
        <v>2720</v>
      </c>
      <c r="K363" s="392" t="s">
        <v>1506</v>
      </c>
      <c r="L363" s="392" t="s">
        <v>8919</v>
      </c>
      <c r="M363" s="392" t="s">
        <v>3758</v>
      </c>
      <c r="N363" s="392" t="s">
        <v>7273</v>
      </c>
      <c r="O363" s="392" t="s">
        <v>7273</v>
      </c>
      <c r="P363"/>
      <c r="Q363"/>
      <c r="R363" s="387">
        <f>VLOOKUP(E363,'[1]NDB Impacted SPRFs 05032013'!$A$2:$A$65536,1,FALSE)</f>
        <v>400018385</v>
      </c>
    </row>
    <row r="364" spans="1:21" ht="60" x14ac:dyDescent="0.25">
      <c r="A364" s="63">
        <f>MATCH($E364,'D1 - Master Project Table'!$B$24:$B$7056,0)</f>
        <v>116</v>
      </c>
      <c r="B364" s="63" t="b">
        <f t="shared" si="15"/>
        <v>0</v>
      </c>
      <c r="C364" s="63" t="b">
        <f t="shared" si="16"/>
        <v>0</v>
      </c>
      <c r="D364" s="63" t="str">
        <f t="shared" si="17"/>
        <v>OK</v>
      </c>
      <c r="E364" s="393">
        <v>400052510</v>
      </c>
      <c r="F364" s="392" t="s">
        <v>1734</v>
      </c>
      <c r="G364" s="392" t="s">
        <v>5324</v>
      </c>
      <c r="H364" s="392" t="s">
        <v>4917</v>
      </c>
      <c r="I364" s="392" t="s">
        <v>1762</v>
      </c>
      <c r="J364" s="392" t="s">
        <v>4977</v>
      </c>
      <c r="K364" s="392" t="s">
        <v>2201</v>
      </c>
      <c r="L364" s="392" t="s">
        <v>7534</v>
      </c>
      <c r="M364" s="392" t="s">
        <v>7273</v>
      </c>
      <c r="N364" s="392" t="s">
        <v>7273</v>
      </c>
      <c r="O364" s="392" t="s">
        <v>7273</v>
      </c>
      <c r="P364"/>
      <c r="Q364"/>
      <c r="R364" s="387">
        <f>VLOOKUP(E364,'[1]NDB Impacted SPRFs 05032013'!$A$2:$A$65536,1,FALSE)</f>
        <v>400052510</v>
      </c>
      <c r="S364" s="159"/>
      <c r="T364" s="159"/>
      <c r="U364" s="159"/>
    </row>
    <row r="365" spans="1:21" s="159" customFormat="1" ht="60" x14ac:dyDescent="0.25">
      <c r="A365" s="63">
        <f>MATCH($E365,'D1 - Master Project Table'!$B$24:$B$7056,0)</f>
        <v>2655</v>
      </c>
      <c r="B365" s="63" t="b">
        <f t="shared" si="15"/>
        <v>0</v>
      </c>
      <c r="C365" s="63" t="b">
        <f t="shared" si="16"/>
        <v>1</v>
      </c>
      <c r="D365" s="63" t="str">
        <f t="shared" si="17"/>
        <v>OK</v>
      </c>
      <c r="E365" s="393">
        <v>400015312</v>
      </c>
      <c r="F365" s="392" t="s">
        <v>5532</v>
      </c>
      <c r="G365" s="392" t="s">
        <v>5324</v>
      </c>
      <c r="H365" s="392" t="s">
        <v>5314</v>
      </c>
      <c r="I365" s="392" t="s">
        <v>1762</v>
      </c>
      <c r="J365" s="392" t="s">
        <v>2251</v>
      </c>
      <c r="K365" s="392" t="s">
        <v>8075</v>
      </c>
      <c r="L365" s="392" t="s">
        <v>8040</v>
      </c>
      <c r="M365" s="392" t="s">
        <v>3758</v>
      </c>
      <c r="N365" s="392" t="s">
        <v>7273</v>
      </c>
      <c r="O365" s="392" t="s">
        <v>3758</v>
      </c>
      <c r="P365"/>
      <c r="Q365"/>
      <c r="R365" s="387">
        <f>VLOOKUP(E365,'[1]NDB Impacted SPRFs 05032013'!$A$2:$A$65536,1,FALSE)</f>
        <v>400015312</v>
      </c>
    </row>
    <row r="366" spans="1:21" ht="60" x14ac:dyDescent="0.25">
      <c r="A366" s="63">
        <f>MATCH($E366,'D1 - Master Project Table'!$B$24:$B$7056,0)</f>
        <v>1200</v>
      </c>
      <c r="B366" s="63" t="b">
        <f t="shared" si="15"/>
        <v>0</v>
      </c>
      <c r="C366" s="63" t="b">
        <f t="shared" si="16"/>
        <v>1</v>
      </c>
      <c r="D366" s="63" t="str">
        <f t="shared" si="17"/>
        <v>OK</v>
      </c>
      <c r="E366" s="393">
        <v>400030396</v>
      </c>
      <c r="F366" s="392" t="s">
        <v>7618</v>
      </c>
      <c r="G366" s="392" t="s">
        <v>5324</v>
      </c>
      <c r="H366" s="392" t="s">
        <v>7418</v>
      </c>
      <c r="I366" s="392" t="s">
        <v>1763</v>
      </c>
      <c r="J366" s="392" t="s">
        <v>6840</v>
      </c>
      <c r="K366" s="392" t="s">
        <v>3283</v>
      </c>
      <c r="L366" s="392" t="s">
        <v>8186</v>
      </c>
      <c r="M366" s="392" t="s">
        <v>3758</v>
      </c>
      <c r="N366" s="392" t="s">
        <v>7273</v>
      </c>
      <c r="O366" s="392" t="s">
        <v>7273</v>
      </c>
      <c r="P366"/>
      <c r="Q366"/>
      <c r="R366" s="387">
        <f>VLOOKUP(E366,'[1]NDB Impacted SPRFs 05032013'!$A$2:$A$65536,1,FALSE)</f>
        <v>400030396</v>
      </c>
    </row>
    <row r="367" spans="1:21" s="159" customFormat="1" ht="60" x14ac:dyDescent="0.25">
      <c r="A367" s="63">
        <f>MATCH($E367,'D1 - Master Project Table'!$B$24:$B$7056,0)</f>
        <v>2555</v>
      </c>
      <c r="B367" s="63" t="b">
        <f t="shared" si="15"/>
        <v>0</v>
      </c>
      <c r="C367" s="63" t="b">
        <f t="shared" si="16"/>
        <v>1</v>
      </c>
      <c r="D367" s="63" t="str">
        <f t="shared" si="17"/>
        <v>OK</v>
      </c>
      <c r="E367" s="393">
        <v>400009592</v>
      </c>
      <c r="F367" s="392" t="s">
        <v>4645</v>
      </c>
      <c r="G367" s="392" t="s">
        <v>5324</v>
      </c>
      <c r="H367" s="392" t="s">
        <v>7418</v>
      </c>
      <c r="I367" s="392" t="s">
        <v>1758</v>
      </c>
      <c r="J367" s="392" t="s">
        <v>5129</v>
      </c>
      <c r="K367" s="392" t="s">
        <v>7417</v>
      </c>
      <c r="L367" s="392" t="s">
        <v>1226</v>
      </c>
      <c r="M367" s="392" t="s">
        <v>7273</v>
      </c>
      <c r="N367" s="392" t="s">
        <v>7273</v>
      </c>
      <c r="O367" s="392" t="s">
        <v>7273</v>
      </c>
      <c r="P367"/>
      <c r="Q367"/>
      <c r="R367" s="387">
        <f>VLOOKUP(E367,'[1]NDB Impacted SPRFs 05032013'!$A$2:$A$65536,1,FALSE)</f>
        <v>400009592</v>
      </c>
    </row>
    <row r="368" spans="1:21" s="159" customFormat="1" ht="60" x14ac:dyDescent="0.25">
      <c r="A368" s="63">
        <f>MATCH($E368,'D1 - Master Project Table'!$B$24:$B$7056,0)</f>
        <v>82</v>
      </c>
      <c r="B368" s="63" t="b">
        <f t="shared" si="15"/>
        <v>0</v>
      </c>
      <c r="C368" s="63" t="b">
        <f t="shared" si="16"/>
        <v>0</v>
      </c>
      <c r="D368" s="63" t="str">
        <f t="shared" si="17"/>
        <v>OK</v>
      </c>
      <c r="E368" s="393">
        <v>400055976</v>
      </c>
      <c r="F368" s="392" t="s">
        <v>6520</v>
      </c>
      <c r="G368" s="392" t="s">
        <v>5324</v>
      </c>
      <c r="H368" s="392" t="s">
        <v>7479</v>
      </c>
      <c r="I368" s="392" t="s">
        <v>1758</v>
      </c>
      <c r="J368" s="392" t="s">
        <v>2024</v>
      </c>
      <c r="K368" s="392" t="s">
        <v>1576</v>
      </c>
      <c r="L368" s="392" t="s">
        <v>8924</v>
      </c>
      <c r="M368" s="392" t="s">
        <v>3758</v>
      </c>
      <c r="N368" s="392" t="s">
        <v>7273</v>
      </c>
      <c r="O368" s="392" t="s">
        <v>3758</v>
      </c>
      <c r="P368"/>
      <c r="Q368"/>
      <c r="R368" s="387">
        <f>VLOOKUP(E368,'[1]NDB Impacted SPRFs 05032013'!$A$2:$A$65536,1,FALSE)</f>
        <v>400055976</v>
      </c>
      <c r="S368" s="161"/>
      <c r="T368" s="161"/>
      <c r="U368" s="161"/>
    </row>
    <row r="369" spans="1:21" s="159" customFormat="1" ht="60" x14ac:dyDescent="0.25">
      <c r="A369" s="63">
        <f>MATCH($E369,'D1 - Master Project Table'!$B$24:$B$7056,0)</f>
        <v>247</v>
      </c>
      <c r="B369" s="63" t="b">
        <f t="shared" si="15"/>
        <v>0</v>
      </c>
      <c r="C369" s="63" t="b">
        <f t="shared" si="16"/>
        <v>0</v>
      </c>
      <c r="D369" s="63" t="str">
        <f t="shared" si="17"/>
        <v>OK</v>
      </c>
      <c r="E369" s="393">
        <v>400058173</v>
      </c>
      <c r="F369" s="392" t="s">
        <v>9096</v>
      </c>
      <c r="G369" s="392" t="s">
        <v>9210</v>
      </c>
      <c r="H369" s="392" t="s">
        <v>8012</v>
      </c>
      <c r="I369" s="392" t="s">
        <v>2655</v>
      </c>
      <c r="J369" s="392" t="s">
        <v>2189</v>
      </c>
      <c r="K369" s="392" t="s">
        <v>6986</v>
      </c>
      <c r="L369" s="392" t="s">
        <v>9218</v>
      </c>
      <c r="M369" s="392" t="s">
        <v>3758</v>
      </c>
      <c r="N369" s="392" t="s">
        <v>7273</v>
      </c>
      <c r="O369" s="392" t="s">
        <v>7273</v>
      </c>
      <c r="P369"/>
      <c r="Q369"/>
      <c r="R369" s="387">
        <f>VLOOKUP(E369,'[1]NDB Impacted SPRFs 05032013'!$A$2:$A$65536,1,FALSE)</f>
        <v>400058173</v>
      </c>
    </row>
    <row r="370" spans="1:21" s="159" customFormat="1" ht="60" x14ac:dyDescent="0.25">
      <c r="A370" s="63">
        <f>MATCH($E370,'D1 - Master Project Table'!$B$24:$B$7056,0)</f>
        <v>1729</v>
      </c>
      <c r="B370" s="63" t="b">
        <f t="shared" si="15"/>
        <v>0</v>
      </c>
      <c r="C370" s="63" t="b">
        <f t="shared" si="16"/>
        <v>1</v>
      </c>
      <c r="D370" s="63" t="str">
        <f t="shared" si="17"/>
        <v>OK</v>
      </c>
      <c r="E370" s="393">
        <v>400048660</v>
      </c>
      <c r="F370" s="392" t="s">
        <v>1684</v>
      </c>
      <c r="G370" s="392" t="s">
        <v>5325</v>
      </c>
      <c r="H370" s="392" t="s">
        <v>7418</v>
      </c>
      <c r="I370" s="392" t="s">
        <v>1762</v>
      </c>
      <c r="J370" s="392" t="s">
        <v>4110</v>
      </c>
      <c r="K370" s="392" t="s">
        <v>8075</v>
      </c>
      <c r="L370" s="392" t="s">
        <v>8289</v>
      </c>
      <c r="M370" s="392" t="s">
        <v>3758</v>
      </c>
      <c r="N370" s="392" t="s">
        <v>7273</v>
      </c>
      <c r="O370" s="392" t="s">
        <v>3758</v>
      </c>
      <c r="P370"/>
      <c r="Q370"/>
      <c r="R370" s="387">
        <f>VLOOKUP(E370,'[1]NDB Impacted SPRFs 05032013'!$A$2:$A$65536,1,FALSE)</f>
        <v>400048660</v>
      </c>
    </row>
    <row r="371" spans="1:21" s="159" customFormat="1" ht="60" x14ac:dyDescent="0.25">
      <c r="A371" s="63">
        <f>MATCH($E371,'D1 - Master Project Table'!$B$24:$B$7056,0)</f>
        <v>3073</v>
      </c>
      <c r="B371" s="63" t="b">
        <f t="shared" si="15"/>
        <v>0</v>
      </c>
      <c r="C371" s="63" t="b">
        <f t="shared" si="16"/>
        <v>1</v>
      </c>
      <c r="D371" s="63" t="str">
        <f t="shared" si="17"/>
        <v>OK</v>
      </c>
      <c r="E371" s="393">
        <v>400045957</v>
      </c>
      <c r="F371" s="392" t="s">
        <v>2199</v>
      </c>
      <c r="G371" s="392" t="s">
        <v>5324</v>
      </c>
      <c r="H371" s="392" t="s">
        <v>5314</v>
      </c>
      <c r="I371" s="392" t="s">
        <v>1762</v>
      </c>
      <c r="J371" s="392" t="s">
        <v>880</v>
      </c>
      <c r="K371" s="392" t="s">
        <v>8075</v>
      </c>
      <c r="L371" s="392" t="s">
        <v>8041</v>
      </c>
      <c r="M371" s="392" t="s">
        <v>3758</v>
      </c>
      <c r="N371" s="392" t="s">
        <v>7273</v>
      </c>
      <c r="O371" s="392" t="s">
        <v>3758</v>
      </c>
      <c r="P371"/>
      <c r="Q371"/>
      <c r="R371" s="387">
        <f>VLOOKUP(E371,'[1]NDB Impacted SPRFs 05032013'!$A$2:$A$65536,1,FALSE)</f>
        <v>400045957</v>
      </c>
      <c r="S371" s="128"/>
      <c r="T371" s="128"/>
      <c r="U371" s="128"/>
    </row>
    <row r="372" spans="1:21" s="159" customFormat="1" ht="60" x14ac:dyDescent="0.25">
      <c r="A372" s="63">
        <f>MATCH($E372,'D1 - Master Project Table'!$B$24:$B$7056,0)</f>
        <v>1720</v>
      </c>
      <c r="B372" s="63" t="b">
        <f t="shared" si="15"/>
        <v>0</v>
      </c>
      <c r="C372" s="63" t="b">
        <f t="shared" si="16"/>
        <v>1</v>
      </c>
      <c r="D372" s="63" t="str">
        <f t="shared" si="17"/>
        <v>OK</v>
      </c>
      <c r="E372" s="393">
        <v>400046032</v>
      </c>
      <c r="F372" s="392" t="s">
        <v>2200</v>
      </c>
      <c r="G372" s="392" t="s">
        <v>5324</v>
      </c>
      <c r="H372" s="392" t="s">
        <v>7418</v>
      </c>
      <c r="I372" s="392" t="s">
        <v>1762</v>
      </c>
      <c r="J372" s="392" t="s">
        <v>8071</v>
      </c>
      <c r="K372" s="392" t="s">
        <v>2201</v>
      </c>
      <c r="L372" s="392" t="s">
        <v>1045</v>
      </c>
      <c r="M372" s="392" t="s">
        <v>3758</v>
      </c>
      <c r="N372" s="392" t="s">
        <v>7273</v>
      </c>
      <c r="O372" s="392" t="s">
        <v>7273</v>
      </c>
      <c r="P372"/>
      <c r="Q372"/>
      <c r="R372" s="387">
        <f>VLOOKUP(E372,'[1]NDB Impacted SPRFs 05032013'!$A$2:$A$65536,1,FALSE)</f>
        <v>400046032</v>
      </c>
    </row>
    <row r="373" spans="1:21" ht="60" x14ac:dyDescent="0.25">
      <c r="A373" s="63">
        <f>MATCH($E373,'D1 - Master Project Table'!$B$24:$B$7056,0)</f>
        <v>980</v>
      </c>
      <c r="B373" s="63" t="b">
        <f t="shared" si="15"/>
        <v>0</v>
      </c>
      <c r="C373" s="63" t="b">
        <f t="shared" si="16"/>
        <v>1</v>
      </c>
      <c r="D373" s="63" t="str">
        <f t="shared" si="17"/>
        <v>OK</v>
      </c>
      <c r="E373" s="393">
        <v>400022993</v>
      </c>
      <c r="F373" s="392" t="s">
        <v>5201</v>
      </c>
      <c r="G373" s="392" t="s">
        <v>5324</v>
      </c>
      <c r="H373" s="392" t="s">
        <v>7418</v>
      </c>
      <c r="I373" s="392" t="s">
        <v>1759</v>
      </c>
      <c r="J373" s="392" t="s">
        <v>3493</v>
      </c>
      <c r="K373" s="392" t="s">
        <v>2516</v>
      </c>
      <c r="L373" s="392" t="s">
        <v>5833</v>
      </c>
      <c r="M373" s="392" t="s">
        <v>3758</v>
      </c>
      <c r="N373" s="392" t="s">
        <v>7273</v>
      </c>
      <c r="O373" s="392" t="s">
        <v>3758</v>
      </c>
      <c r="P373"/>
      <c r="Q373"/>
      <c r="R373" s="387">
        <f>VLOOKUP(E373,'[1]NDB Impacted SPRFs 05032013'!$A$2:$A$65536,1,FALSE)</f>
        <v>400022993</v>
      </c>
      <c r="S373" s="159"/>
      <c r="T373" s="159"/>
      <c r="U373" s="159"/>
    </row>
    <row r="374" spans="1:21" ht="60" x14ac:dyDescent="0.25">
      <c r="A374" s="63">
        <f>MATCH($E374,'D1 - Master Project Table'!$B$24:$B$7056,0)</f>
        <v>1425</v>
      </c>
      <c r="B374" s="63" t="b">
        <f t="shared" si="15"/>
        <v>0</v>
      </c>
      <c r="C374" s="63" t="b">
        <f t="shared" si="16"/>
        <v>1</v>
      </c>
      <c r="D374" s="63" t="str">
        <f t="shared" si="17"/>
        <v>OK</v>
      </c>
      <c r="E374" s="393">
        <v>400038122</v>
      </c>
      <c r="F374" s="392" t="s">
        <v>4976</v>
      </c>
      <c r="G374" s="392" t="s">
        <v>6322</v>
      </c>
      <c r="H374" s="392" t="s">
        <v>7418</v>
      </c>
      <c r="I374" s="392" t="s">
        <v>7594</v>
      </c>
      <c r="J374" s="392" t="s">
        <v>4977</v>
      </c>
      <c r="K374" s="392" t="s">
        <v>4978</v>
      </c>
      <c r="L374" s="392" t="s">
        <v>8921</v>
      </c>
      <c r="M374" s="392" t="s">
        <v>7273</v>
      </c>
      <c r="N374" s="392" t="s">
        <v>7273</v>
      </c>
      <c r="O374" s="392" t="s">
        <v>7273</v>
      </c>
      <c r="P374"/>
      <c r="Q374"/>
      <c r="R374" s="387">
        <f>VLOOKUP(E374,'[1]NDB Impacted SPRFs 05032013'!$A$2:$A$65536,1,FALSE)</f>
        <v>400038122</v>
      </c>
      <c r="S374" s="159"/>
      <c r="T374" s="159"/>
      <c r="U374" s="159"/>
    </row>
    <row r="375" spans="1:21" s="159" customFormat="1" ht="60" x14ac:dyDescent="0.25">
      <c r="A375" s="63">
        <f>MATCH($E375,'D1 - Master Project Table'!$B$24:$B$7056,0)</f>
        <v>1015</v>
      </c>
      <c r="B375" s="63" t="b">
        <f t="shared" si="15"/>
        <v>0</v>
      </c>
      <c r="C375" s="63" t="b">
        <f t="shared" si="16"/>
        <v>1</v>
      </c>
      <c r="D375" s="63" t="str">
        <f t="shared" si="17"/>
        <v>OK</v>
      </c>
      <c r="E375" s="393">
        <v>400027439</v>
      </c>
      <c r="F375" s="392" t="s">
        <v>6838</v>
      </c>
      <c r="G375" s="392" t="s">
        <v>5324</v>
      </c>
      <c r="H375" s="392" t="s">
        <v>7418</v>
      </c>
      <c r="I375" s="392" t="s">
        <v>1756</v>
      </c>
      <c r="J375" s="392" t="s">
        <v>8427</v>
      </c>
      <c r="K375" s="392" t="s">
        <v>5429</v>
      </c>
      <c r="L375" s="392" t="s">
        <v>815</v>
      </c>
      <c r="M375" s="392" t="s">
        <v>3758</v>
      </c>
      <c r="N375" s="392" t="s">
        <v>7273</v>
      </c>
      <c r="O375" s="392" t="s">
        <v>7273</v>
      </c>
      <c r="P375"/>
      <c r="Q375"/>
      <c r="R375" s="387">
        <f>VLOOKUP(E375,'[1]NDB Impacted SPRFs 05032013'!$A$2:$A$65536,1,FALSE)</f>
        <v>400027439</v>
      </c>
    </row>
    <row r="376" spans="1:21" ht="60" x14ac:dyDescent="0.25">
      <c r="A376" s="63">
        <f>MATCH($E376,'D1 - Master Project Table'!$B$24:$B$7056,0)</f>
        <v>128</v>
      </c>
      <c r="B376" s="63" t="b">
        <f t="shared" si="15"/>
        <v>0</v>
      </c>
      <c r="C376" s="63" t="b">
        <f t="shared" si="16"/>
        <v>0</v>
      </c>
      <c r="D376" s="63" t="str">
        <f t="shared" si="17"/>
        <v>OK</v>
      </c>
      <c r="E376" s="393">
        <v>400055779</v>
      </c>
      <c r="F376" s="392" t="s">
        <v>1387</v>
      </c>
      <c r="G376" s="392" t="s">
        <v>5324</v>
      </c>
      <c r="H376" s="392" t="s">
        <v>4917</v>
      </c>
      <c r="I376" s="392" t="s">
        <v>1759</v>
      </c>
      <c r="J376" s="392" t="s">
        <v>6584</v>
      </c>
      <c r="K376" s="392" t="s">
        <v>6585</v>
      </c>
      <c r="L376" s="392" t="s">
        <v>9291</v>
      </c>
      <c r="M376" s="392" t="s">
        <v>3758</v>
      </c>
      <c r="N376" s="392" t="s">
        <v>7273</v>
      </c>
      <c r="O376" s="392" t="s">
        <v>7273</v>
      </c>
      <c r="P376"/>
      <c r="Q376"/>
      <c r="R376" s="387">
        <f>VLOOKUP(E376,'[1]NDB Impacted SPRFs 05032013'!$A$2:$A$65536,1,FALSE)</f>
        <v>400055779</v>
      </c>
      <c r="S376" s="159"/>
      <c r="T376" s="159"/>
      <c r="U376" s="159"/>
    </row>
    <row r="377" spans="1:21" s="159" customFormat="1" ht="60" x14ac:dyDescent="0.25">
      <c r="A377" s="63">
        <f>MATCH($E377,'D1 - Master Project Table'!$B$24:$B$7056,0)</f>
        <v>1902</v>
      </c>
      <c r="B377" s="63" t="b">
        <f t="shared" si="15"/>
        <v>0</v>
      </c>
      <c r="C377" s="63" t="b">
        <f t="shared" si="16"/>
        <v>1</v>
      </c>
      <c r="D377" s="63" t="str">
        <f t="shared" si="17"/>
        <v>OK</v>
      </c>
      <c r="E377" s="393">
        <v>400007903</v>
      </c>
      <c r="F377" s="392" t="s">
        <v>5299</v>
      </c>
      <c r="G377" s="392" t="s">
        <v>5324</v>
      </c>
      <c r="H377" s="392" t="s">
        <v>7418</v>
      </c>
      <c r="I377" s="392" t="s">
        <v>1762</v>
      </c>
      <c r="J377" s="392" t="s">
        <v>2251</v>
      </c>
      <c r="K377" s="392" t="s">
        <v>5641</v>
      </c>
      <c r="L377" s="392" t="s">
        <v>7565</v>
      </c>
      <c r="M377" s="392" t="s">
        <v>3758</v>
      </c>
      <c r="N377" s="392" t="s">
        <v>7273</v>
      </c>
      <c r="O377" s="392" t="s">
        <v>7273</v>
      </c>
      <c r="P377"/>
      <c r="Q377"/>
      <c r="R377" s="387">
        <f>VLOOKUP(E377,'[1]NDB Impacted SPRFs 05032013'!$A$2:$A$65536,1,FALSE)</f>
        <v>400007903</v>
      </c>
    </row>
    <row r="378" spans="1:21" s="159" customFormat="1" ht="60" x14ac:dyDescent="0.25">
      <c r="A378" s="63">
        <f>MATCH($E378,'D1 - Master Project Table'!$B$24:$B$7056,0)</f>
        <v>2793</v>
      </c>
      <c r="B378" s="63" t="b">
        <f t="shared" si="15"/>
        <v>0</v>
      </c>
      <c r="C378" s="63" t="b">
        <f t="shared" si="16"/>
        <v>1</v>
      </c>
      <c r="D378" s="63" t="str">
        <f t="shared" si="17"/>
        <v>OK</v>
      </c>
      <c r="E378" s="393">
        <v>400022906</v>
      </c>
      <c r="F378" s="392" t="s">
        <v>5517</v>
      </c>
      <c r="G378" s="392" t="s">
        <v>5001</v>
      </c>
      <c r="H378" s="392" t="s">
        <v>5314</v>
      </c>
      <c r="I378" s="392" t="s">
        <v>2664</v>
      </c>
      <c r="J378" s="392" t="s">
        <v>8740</v>
      </c>
      <c r="K378" s="392" t="s">
        <v>5520</v>
      </c>
      <c r="L378" s="392" t="s">
        <v>731</v>
      </c>
      <c r="M378" s="392" t="s">
        <v>3758</v>
      </c>
      <c r="N378" s="392" t="s">
        <v>7273</v>
      </c>
      <c r="O378" s="392" t="s">
        <v>7273</v>
      </c>
      <c r="P378"/>
      <c r="Q378"/>
      <c r="R378" s="387">
        <f>VLOOKUP(E378,'[1]NDB Impacted SPRFs 05032013'!$A$2:$A$65536,1,FALSE)</f>
        <v>400022906</v>
      </c>
      <c r="S378" s="128"/>
      <c r="T378" s="128"/>
      <c r="U378" s="128"/>
    </row>
    <row r="379" spans="1:21" s="159" customFormat="1" ht="60" x14ac:dyDescent="0.25">
      <c r="A379" s="63">
        <f>MATCH($E379,'D1 - Master Project Table'!$B$24:$B$7056,0)</f>
        <v>1333</v>
      </c>
      <c r="B379" s="63" t="b">
        <f t="shared" si="15"/>
        <v>0</v>
      </c>
      <c r="C379" s="63" t="b">
        <f t="shared" si="16"/>
        <v>1</v>
      </c>
      <c r="D379" s="63" t="str">
        <f t="shared" si="17"/>
        <v>OK</v>
      </c>
      <c r="E379" s="393">
        <v>400029455</v>
      </c>
      <c r="F379" s="392" t="s">
        <v>7316</v>
      </c>
      <c r="G379" s="392" t="s">
        <v>6322</v>
      </c>
      <c r="H379" s="392" t="s">
        <v>7418</v>
      </c>
      <c r="I379" s="392" t="s">
        <v>1758</v>
      </c>
      <c r="J379" s="392" t="s">
        <v>1062</v>
      </c>
      <c r="K379" s="392" t="s">
        <v>4578</v>
      </c>
      <c r="L379" s="392" t="s">
        <v>5901</v>
      </c>
      <c r="M379" s="392" t="s">
        <v>7273</v>
      </c>
      <c r="N379" s="392" t="s">
        <v>7273</v>
      </c>
      <c r="O379" s="392" t="s">
        <v>7273</v>
      </c>
      <c r="P379"/>
      <c r="Q379"/>
      <c r="R379" s="387">
        <f>VLOOKUP(E379,'[1]NDB Impacted SPRFs 05032013'!$A$2:$A$65536,1,FALSE)</f>
        <v>400029455</v>
      </c>
    </row>
    <row r="380" spans="1:21" s="159" customFormat="1" ht="60" x14ac:dyDescent="0.25">
      <c r="A380" s="63">
        <f>MATCH($E380,'D1 - Master Project Table'!$B$24:$B$7056,0)</f>
        <v>1623</v>
      </c>
      <c r="B380" s="63" t="b">
        <f t="shared" si="15"/>
        <v>0</v>
      </c>
      <c r="C380" s="63" t="b">
        <f t="shared" si="16"/>
        <v>1</v>
      </c>
      <c r="D380" s="63" t="str">
        <f t="shared" si="17"/>
        <v>OK</v>
      </c>
      <c r="E380" s="393">
        <v>400044956</v>
      </c>
      <c r="F380" s="392" t="s">
        <v>2744</v>
      </c>
      <c r="G380" s="392" t="s">
        <v>5324</v>
      </c>
      <c r="H380" s="392" t="s">
        <v>7418</v>
      </c>
      <c r="I380" s="392" t="s">
        <v>1763</v>
      </c>
      <c r="J380" s="392" t="s">
        <v>3936</v>
      </c>
      <c r="K380" s="392" t="s">
        <v>2868</v>
      </c>
      <c r="L380" s="392" t="s">
        <v>2035</v>
      </c>
      <c r="M380" s="392" t="s">
        <v>7273</v>
      </c>
      <c r="N380" s="392" t="s">
        <v>7273</v>
      </c>
      <c r="O380" s="392" t="s">
        <v>7273</v>
      </c>
      <c r="P380"/>
      <c r="Q380"/>
      <c r="R380" s="387">
        <f>VLOOKUP(E380,'[1]NDB Impacted SPRFs 05032013'!$A$2:$A$65536,1,FALSE)</f>
        <v>400044956</v>
      </c>
    </row>
    <row r="381" spans="1:21" s="159" customFormat="1" ht="60" x14ac:dyDescent="0.25">
      <c r="A381" s="63">
        <f>MATCH($E381,'D1 - Master Project Table'!$B$24:$B$7056,0)</f>
        <v>1765</v>
      </c>
      <c r="B381" s="63" t="b">
        <f t="shared" si="15"/>
        <v>0</v>
      </c>
      <c r="C381" s="63" t="b">
        <f t="shared" si="16"/>
        <v>0</v>
      </c>
      <c r="D381" s="63" t="str">
        <f t="shared" si="17"/>
        <v>OK</v>
      </c>
      <c r="E381" s="393">
        <v>400048140</v>
      </c>
      <c r="F381" s="392" t="s">
        <v>1685</v>
      </c>
      <c r="G381" s="392" t="s">
        <v>5324</v>
      </c>
      <c r="H381" s="392" t="s">
        <v>4917</v>
      </c>
      <c r="I381" s="392" t="s">
        <v>1762</v>
      </c>
      <c r="J381" s="392" t="s">
        <v>4796</v>
      </c>
      <c r="K381" s="392" t="s">
        <v>8075</v>
      </c>
      <c r="L381" s="392" t="s">
        <v>9254</v>
      </c>
      <c r="M381" s="392" t="s">
        <v>3758</v>
      </c>
      <c r="N381" s="392" t="s">
        <v>7273</v>
      </c>
      <c r="O381" s="392" t="s">
        <v>3758</v>
      </c>
      <c r="P381"/>
      <c r="Q381"/>
      <c r="R381" s="387">
        <f>VLOOKUP(E381,'[1]NDB Impacted SPRFs 05032013'!$A$2:$A$65536,1,FALSE)</f>
        <v>400048140</v>
      </c>
    </row>
    <row r="382" spans="1:21" ht="60" x14ac:dyDescent="0.25">
      <c r="A382" s="63">
        <f>MATCH($E382,'D1 - Master Project Table'!$B$24:$B$7056,0)</f>
        <v>2448</v>
      </c>
      <c r="B382" s="63" t="b">
        <f t="shared" si="15"/>
        <v>0</v>
      </c>
      <c r="C382" s="63" t="b">
        <f t="shared" si="16"/>
        <v>1</v>
      </c>
      <c r="D382" s="63" t="str">
        <f t="shared" si="17"/>
        <v>OK</v>
      </c>
      <c r="E382" s="393">
        <v>400004055</v>
      </c>
      <c r="F382" s="392" t="s">
        <v>5692</v>
      </c>
      <c r="G382" s="392" t="s">
        <v>5787</v>
      </c>
      <c r="H382" s="392" t="s">
        <v>5314</v>
      </c>
      <c r="I382" s="392" t="s">
        <v>1778</v>
      </c>
      <c r="J382" s="392" t="s">
        <v>2646</v>
      </c>
      <c r="K382" s="392" t="s">
        <v>3914</v>
      </c>
      <c r="L382" s="392" t="s">
        <v>3082</v>
      </c>
      <c r="M382" s="392" t="s">
        <v>3758</v>
      </c>
      <c r="N382" s="392" t="s">
        <v>7273</v>
      </c>
      <c r="O382" s="392" t="s">
        <v>7273</v>
      </c>
      <c r="P382"/>
      <c r="Q382"/>
      <c r="R382" s="387">
        <f>VLOOKUP(E382,'[1]NDB Impacted SPRFs 05032013'!$A$2:$A$65536,1,FALSE)</f>
        <v>400004055</v>
      </c>
    </row>
    <row r="383" spans="1:21" s="159" customFormat="1" ht="60" x14ac:dyDescent="0.25">
      <c r="A383" s="63">
        <f>MATCH($E383,'D1 - Master Project Table'!$B$24:$B$7056,0)</f>
        <v>1568</v>
      </c>
      <c r="B383" s="63" t="b">
        <f t="shared" si="15"/>
        <v>0</v>
      </c>
      <c r="C383" s="63" t="b">
        <f t="shared" si="16"/>
        <v>1</v>
      </c>
      <c r="D383" s="63" t="str">
        <f t="shared" si="17"/>
        <v>OK</v>
      </c>
      <c r="E383" s="393">
        <v>400043123</v>
      </c>
      <c r="F383" s="392" t="s">
        <v>5502</v>
      </c>
      <c r="G383" s="392" t="s">
        <v>5324</v>
      </c>
      <c r="H383" s="392" t="s">
        <v>7418</v>
      </c>
      <c r="I383" s="392" t="s">
        <v>1759</v>
      </c>
      <c r="J383" s="392" t="s">
        <v>2045</v>
      </c>
      <c r="K383" s="392" t="s">
        <v>2046</v>
      </c>
      <c r="L383" s="392" t="s">
        <v>7091</v>
      </c>
      <c r="M383" s="392" t="s">
        <v>3758</v>
      </c>
      <c r="N383" s="392" t="s">
        <v>7273</v>
      </c>
      <c r="O383" s="392" t="s">
        <v>7273</v>
      </c>
      <c r="P383"/>
      <c r="Q383"/>
      <c r="R383" s="387">
        <f>VLOOKUP(E383,'[1]NDB Impacted SPRFs 05032013'!$A$2:$A$65536,1,FALSE)</f>
        <v>400043123</v>
      </c>
      <c r="S383" s="128"/>
      <c r="T383" s="128"/>
      <c r="U383" s="128"/>
    </row>
    <row r="384" spans="1:21" s="159" customFormat="1" ht="60" x14ac:dyDescent="0.25">
      <c r="A384" s="63">
        <f>MATCH($E384,'D1 - Master Project Table'!$B$24:$B$7056,0)</f>
        <v>769</v>
      </c>
      <c r="B384" s="63" t="b">
        <f t="shared" si="15"/>
        <v>0</v>
      </c>
      <c r="C384" s="63" t="b">
        <f t="shared" si="16"/>
        <v>1</v>
      </c>
      <c r="D384" s="63" t="str">
        <f t="shared" si="17"/>
        <v>OK</v>
      </c>
      <c r="E384" s="393">
        <v>400014794</v>
      </c>
      <c r="F384" s="392" t="s">
        <v>6143</v>
      </c>
      <c r="G384" s="392" t="s">
        <v>5325</v>
      </c>
      <c r="H384" s="392" t="s">
        <v>7418</v>
      </c>
      <c r="I384" s="392" t="s">
        <v>6008</v>
      </c>
      <c r="J384" s="392" t="s">
        <v>7394</v>
      </c>
      <c r="K384" s="392" t="s">
        <v>6394</v>
      </c>
      <c r="L384" s="392" t="s">
        <v>7922</v>
      </c>
      <c r="M384" s="392" t="s">
        <v>7273</v>
      </c>
      <c r="N384" s="392" t="s">
        <v>7273</v>
      </c>
      <c r="O384" s="392" t="s">
        <v>7273</v>
      </c>
      <c r="P384"/>
      <c r="Q384"/>
      <c r="R384" s="387">
        <f>VLOOKUP(E384,'[1]NDB Impacted SPRFs 05032013'!$A$2:$A$65536,1,FALSE)</f>
        <v>400014794</v>
      </c>
      <c r="S384" s="128"/>
      <c r="T384" s="128"/>
      <c r="U384" s="128"/>
    </row>
    <row r="385" spans="1:21" s="159" customFormat="1" ht="60" x14ac:dyDescent="0.25">
      <c r="A385" s="63">
        <f>MATCH($E385,'D1 - Master Project Table'!$B$24:$B$7056,0)</f>
        <v>2841</v>
      </c>
      <c r="B385" s="63" t="b">
        <f t="shared" si="15"/>
        <v>0</v>
      </c>
      <c r="C385" s="63" t="b">
        <f t="shared" si="16"/>
        <v>1</v>
      </c>
      <c r="D385" s="63" t="str">
        <f t="shared" si="17"/>
        <v>OK</v>
      </c>
      <c r="E385" s="393">
        <v>400026067</v>
      </c>
      <c r="F385" s="392" t="s">
        <v>2014</v>
      </c>
      <c r="G385" s="392" t="s">
        <v>5324</v>
      </c>
      <c r="H385" s="392" t="s">
        <v>5314</v>
      </c>
      <c r="I385" s="392" t="s">
        <v>1760</v>
      </c>
      <c r="J385" s="392" t="s">
        <v>2015</v>
      </c>
      <c r="K385" s="392" t="s">
        <v>1506</v>
      </c>
      <c r="L385" s="392" t="s">
        <v>8190</v>
      </c>
      <c r="M385" s="392" t="s">
        <v>3758</v>
      </c>
      <c r="N385" s="392" t="s">
        <v>7273</v>
      </c>
      <c r="O385" s="392" t="s">
        <v>7273</v>
      </c>
      <c r="P385"/>
      <c r="Q385"/>
      <c r="R385" s="387">
        <f>VLOOKUP(E385,'[1]NDB Impacted SPRFs 05032013'!$A$2:$A$65536,1,FALSE)</f>
        <v>400026067</v>
      </c>
    </row>
    <row r="386" spans="1:21" ht="60" x14ac:dyDescent="0.25">
      <c r="A386" s="63">
        <f>MATCH($E386,'D1 - Master Project Table'!$B$24:$B$7056,0)</f>
        <v>1194</v>
      </c>
      <c r="B386" s="63" t="b">
        <f t="shared" si="15"/>
        <v>0</v>
      </c>
      <c r="C386" s="63" t="b">
        <f t="shared" si="16"/>
        <v>1</v>
      </c>
      <c r="D386" s="63" t="str">
        <f t="shared" si="17"/>
        <v>OK</v>
      </c>
      <c r="E386" s="393">
        <v>400029024</v>
      </c>
      <c r="F386" s="392" t="s">
        <v>4488</v>
      </c>
      <c r="G386" s="392" t="s">
        <v>5001</v>
      </c>
      <c r="H386" s="392" t="s">
        <v>7418</v>
      </c>
      <c r="I386" s="392" t="s">
        <v>2658</v>
      </c>
      <c r="J386" s="392" t="s">
        <v>8761</v>
      </c>
      <c r="K386" s="392" t="s">
        <v>6885</v>
      </c>
      <c r="L386" s="392" t="s">
        <v>8922</v>
      </c>
      <c r="M386" s="392" t="s">
        <v>3758</v>
      </c>
      <c r="N386" s="392" t="s">
        <v>7273</v>
      </c>
      <c r="O386" s="392" t="s">
        <v>7273</v>
      </c>
      <c r="P386"/>
      <c r="Q386"/>
      <c r="R386" s="387">
        <f>VLOOKUP(E386,'[1]NDB Impacted SPRFs 05032013'!$A$2:$A$65536,1,FALSE)</f>
        <v>400029024</v>
      </c>
      <c r="S386" s="159"/>
      <c r="T386" s="159"/>
      <c r="U386" s="159"/>
    </row>
    <row r="387" spans="1:21" ht="60" x14ac:dyDescent="0.25">
      <c r="A387" s="63">
        <f>MATCH($E387,'D1 - Master Project Table'!$B$24:$B$7056,0)</f>
        <v>725</v>
      </c>
      <c r="B387" s="63" t="b">
        <f t="shared" si="15"/>
        <v>0</v>
      </c>
      <c r="C387" s="63" t="b">
        <f t="shared" si="16"/>
        <v>1</v>
      </c>
      <c r="D387" s="63" t="str">
        <f t="shared" si="17"/>
        <v>OK</v>
      </c>
      <c r="E387" s="393">
        <v>400013859</v>
      </c>
      <c r="F387" s="392" t="s">
        <v>6009</v>
      </c>
      <c r="G387" s="392" t="s">
        <v>5324</v>
      </c>
      <c r="H387" s="392" t="s">
        <v>7418</v>
      </c>
      <c r="I387" s="392" t="s">
        <v>1762</v>
      </c>
      <c r="J387" s="392" t="s">
        <v>5078</v>
      </c>
      <c r="K387" s="392" t="s">
        <v>2951</v>
      </c>
      <c r="L387" s="392" t="s">
        <v>8183</v>
      </c>
      <c r="M387" s="392" t="s">
        <v>3758</v>
      </c>
      <c r="N387" s="392" t="s">
        <v>7273</v>
      </c>
      <c r="O387" s="392" t="s">
        <v>7273</v>
      </c>
      <c r="P387"/>
      <c r="Q387"/>
      <c r="R387" s="387">
        <f>VLOOKUP(E387,'[1]NDB Impacted SPRFs 05032013'!$A$2:$A$65536,1,FALSE)</f>
        <v>400013859</v>
      </c>
      <c r="S387" s="159"/>
      <c r="T387" s="159"/>
      <c r="U387" s="159"/>
    </row>
    <row r="388" spans="1:21" s="159" customFormat="1" ht="60" x14ac:dyDescent="0.25">
      <c r="A388" s="63">
        <f>MATCH($E388,'D1 - Master Project Table'!$B$24:$B$7056,0)</f>
        <v>144</v>
      </c>
      <c r="B388" s="63" t="b">
        <f t="shared" si="15"/>
        <v>0</v>
      </c>
      <c r="C388" s="63" t="b">
        <f t="shared" si="16"/>
        <v>0</v>
      </c>
      <c r="D388" s="63" t="str">
        <f t="shared" si="17"/>
        <v>OK</v>
      </c>
      <c r="E388" s="393">
        <v>400055897</v>
      </c>
      <c r="F388" s="392" t="s">
        <v>8564</v>
      </c>
      <c r="G388" s="392" t="s">
        <v>5324</v>
      </c>
      <c r="H388" s="392" t="s">
        <v>4917</v>
      </c>
      <c r="I388" s="392" t="s">
        <v>1763</v>
      </c>
      <c r="J388" s="392" t="s">
        <v>7433</v>
      </c>
      <c r="K388" s="392" t="s">
        <v>8075</v>
      </c>
      <c r="L388" s="392" t="s">
        <v>8565</v>
      </c>
      <c r="M388" s="392" t="s">
        <v>7273</v>
      </c>
      <c r="N388" s="392" t="s">
        <v>7273</v>
      </c>
      <c r="O388" s="392" t="s">
        <v>7273</v>
      </c>
      <c r="P388"/>
      <c r="Q388"/>
      <c r="R388" s="387">
        <f>VLOOKUP(E388,'[1]NDB Impacted SPRFs 05032013'!$A$2:$A$65536,1,FALSE)</f>
        <v>400055897</v>
      </c>
    </row>
    <row r="389" spans="1:21" s="159" customFormat="1" ht="45" customHeight="1" x14ac:dyDescent="0.25">
      <c r="A389" s="63">
        <f>MATCH($E389,'D1 - Master Project Table'!$B$24:$B$7056,0)</f>
        <v>2507</v>
      </c>
      <c r="B389" s="63" t="b">
        <f t="shared" si="15"/>
        <v>0</v>
      </c>
      <c r="C389" s="63" t="b">
        <f t="shared" si="16"/>
        <v>1</v>
      </c>
      <c r="D389" s="63" t="str">
        <f t="shared" si="17"/>
        <v>OK</v>
      </c>
      <c r="E389" s="393">
        <v>400007362</v>
      </c>
      <c r="F389" s="392" t="s">
        <v>4103</v>
      </c>
      <c r="G389" s="392" t="s">
        <v>5324</v>
      </c>
      <c r="H389" s="392" t="s">
        <v>7418</v>
      </c>
      <c r="I389" s="392" t="s">
        <v>1768</v>
      </c>
      <c r="J389" s="392" t="s">
        <v>4009</v>
      </c>
      <c r="K389" s="392" t="s">
        <v>2953</v>
      </c>
      <c r="L389" s="392" t="s">
        <v>4810</v>
      </c>
      <c r="M389" s="392" t="s">
        <v>3758</v>
      </c>
      <c r="N389" s="392" t="s">
        <v>7273</v>
      </c>
      <c r="O389" s="392" t="s">
        <v>7273</v>
      </c>
      <c r="P389"/>
      <c r="Q389"/>
      <c r="R389" s="387">
        <f>VLOOKUP(E389,'[1]NDB Impacted SPRFs 05032013'!$A$2:$A$65536,1,FALSE)</f>
        <v>400007362</v>
      </c>
    </row>
    <row r="390" spans="1:21" ht="60" x14ac:dyDescent="0.25">
      <c r="A390" s="63">
        <f>MATCH($E390,'D1 - Master Project Table'!$B$24:$B$7056,0)</f>
        <v>2262</v>
      </c>
      <c r="B390" s="63" t="b">
        <f t="shared" ref="B390:B453" si="18">ISERROR(A390)</f>
        <v>0</v>
      </c>
      <c r="C390" s="63" t="b">
        <f t="shared" ref="C390:C453" si="19">OR(H390="Completed",H390="Cancelled")</f>
        <v>1</v>
      </c>
      <c r="D390" s="63" t="str">
        <f t="shared" ref="D390:D453" si="20">IF(AND(B390=TRUE,C390=FALSE),"Add","OK")</f>
        <v>OK</v>
      </c>
      <c r="E390" s="393">
        <v>400031219</v>
      </c>
      <c r="F390" s="392" t="s">
        <v>6546</v>
      </c>
      <c r="G390" s="392" t="s">
        <v>5995</v>
      </c>
      <c r="H390" s="392" t="s">
        <v>5314</v>
      </c>
      <c r="I390" s="392" t="s">
        <v>6423</v>
      </c>
      <c r="J390" s="392" t="s">
        <v>4424</v>
      </c>
      <c r="K390" s="392" t="s">
        <v>2078</v>
      </c>
      <c r="L390" s="392" t="s">
        <v>2925</v>
      </c>
      <c r="M390" s="392" t="s">
        <v>7273</v>
      </c>
      <c r="N390" s="392" t="s">
        <v>7273</v>
      </c>
      <c r="O390" s="392" t="s">
        <v>7273</v>
      </c>
      <c r="P390"/>
      <c r="Q390"/>
      <c r="R390" s="387">
        <f>VLOOKUP(E390,'[1]NDB Impacted SPRFs 05032013'!$A$2:$A$65536,1,FALSE)</f>
        <v>400031219</v>
      </c>
      <c r="S390" s="159"/>
      <c r="T390" s="159"/>
      <c r="U390" s="159"/>
    </row>
    <row r="391" spans="1:21" s="159" customFormat="1" ht="60" x14ac:dyDescent="0.25">
      <c r="A391" s="63">
        <f>MATCH($E391,'D1 - Master Project Table'!$B$24:$B$7056,0)</f>
        <v>2273</v>
      </c>
      <c r="B391" s="63" t="b">
        <f t="shared" si="18"/>
        <v>0</v>
      </c>
      <c r="C391" s="63" t="b">
        <f t="shared" si="19"/>
        <v>1</v>
      </c>
      <c r="D391" s="63" t="str">
        <f t="shared" si="20"/>
        <v>OK</v>
      </c>
      <c r="E391" s="393">
        <v>400033126</v>
      </c>
      <c r="F391" s="392" t="s">
        <v>4934</v>
      </c>
      <c r="G391" s="392" t="s">
        <v>5324</v>
      </c>
      <c r="H391" s="392" t="s">
        <v>7418</v>
      </c>
      <c r="I391" s="392" t="s">
        <v>1595</v>
      </c>
      <c r="J391" s="392" t="s">
        <v>4796</v>
      </c>
      <c r="K391" s="392" t="s">
        <v>8075</v>
      </c>
      <c r="L391" s="392" t="s">
        <v>4873</v>
      </c>
      <c r="M391" s="392" t="s">
        <v>7273</v>
      </c>
      <c r="N391" s="392" t="s">
        <v>7273</v>
      </c>
      <c r="O391" s="392" t="s">
        <v>3758</v>
      </c>
      <c r="P391"/>
      <c r="Q391"/>
      <c r="R391" s="387">
        <f>VLOOKUP(E391,'[1]NDB Impacted SPRFs 05032013'!$A$2:$A$65536,1,FALSE)</f>
        <v>400033126</v>
      </c>
      <c r="S391" s="128"/>
      <c r="T391" s="128"/>
      <c r="U391" s="128"/>
    </row>
    <row r="392" spans="1:21" s="159" customFormat="1" ht="60" x14ac:dyDescent="0.25">
      <c r="A392" s="63">
        <f>MATCH($E392,'D1 - Master Project Table'!$B$24:$B$7056,0)</f>
        <v>2509</v>
      </c>
      <c r="B392" s="63" t="b">
        <f t="shared" si="18"/>
        <v>0</v>
      </c>
      <c r="C392" s="63" t="b">
        <f t="shared" si="19"/>
        <v>1</v>
      </c>
      <c r="D392" s="63" t="str">
        <f t="shared" si="20"/>
        <v>OK</v>
      </c>
      <c r="E392" s="393">
        <v>400007366</v>
      </c>
      <c r="F392" s="392" t="s">
        <v>3302</v>
      </c>
      <c r="G392" s="392" t="s">
        <v>5324</v>
      </c>
      <c r="H392" s="392" t="s">
        <v>5314</v>
      </c>
      <c r="I392" s="392" t="s">
        <v>1768</v>
      </c>
      <c r="J392" s="392" t="s">
        <v>4009</v>
      </c>
      <c r="K392" s="392" t="s">
        <v>2953</v>
      </c>
      <c r="L392" s="392" t="s">
        <v>4810</v>
      </c>
      <c r="M392" s="392" t="s">
        <v>3758</v>
      </c>
      <c r="N392" s="392" t="s">
        <v>7273</v>
      </c>
      <c r="O392" s="392" t="s">
        <v>7273</v>
      </c>
      <c r="P392"/>
      <c r="Q392"/>
      <c r="R392" s="387">
        <f>VLOOKUP(E392,'[1]NDB Impacted SPRFs 05032013'!$A$2:$A$65536,1,FALSE)</f>
        <v>400007366</v>
      </c>
    </row>
    <row r="393" spans="1:21" ht="60" x14ac:dyDescent="0.25">
      <c r="A393" s="63">
        <f>MATCH($E393,'D1 - Master Project Table'!$B$24:$B$7056,0)</f>
        <v>2726</v>
      </c>
      <c r="B393" s="63" t="b">
        <f t="shared" si="18"/>
        <v>0</v>
      </c>
      <c r="C393" s="63" t="b">
        <f t="shared" si="19"/>
        <v>1</v>
      </c>
      <c r="D393" s="63" t="str">
        <f t="shared" si="20"/>
        <v>OK</v>
      </c>
      <c r="E393" s="393">
        <v>400019568</v>
      </c>
      <c r="F393" s="392" t="s">
        <v>7862</v>
      </c>
      <c r="G393" s="392" t="s">
        <v>5324</v>
      </c>
      <c r="H393" s="392" t="s">
        <v>7418</v>
      </c>
      <c r="I393" s="392" t="s">
        <v>1769</v>
      </c>
      <c r="J393" s="392" t="s">
        <v>8085</v>
      </c>
      <c r="K393" s="392" t="s">
        <v>1506</v>
      </c>
      <c r="L393" s="392" t="s">
        <v>7553</v>
      </c>
      <c r="M393" s="392" t="s">
        <v>3758</v>
      </c>
      <c r="N393" s="392" t="s">
        <v>7273</v>
      </c>
      <c r="O393" s="392" t="s">
        <v>7273</v>
      </c>
      <c r="P393"/>
      <c r="Q393"/>
      <c r="R393" s="387">
        <f>VLOOKUP(E393,'[1]NDB Impacted SPRFs 05032013'!$A$2:$A$65536,1,FALSE)</f>
        <v>400019568</v>
      </c>
      <c r="S393" s="159"/>
      <c r="T393" s="159"/>
      <c r="U393" s="159"/>
    </row>
    <row r="394" spans="1:21" s="159" customFormat="1" ht="60" x14ac:dyDescent="0.25">
      <c r="A394" s="63">
        <f>MATCH($E394,'D1 - Master Project Table'!$B$24:$B$7056,0)</f>
        <v>1080</v>
      </c>
      <c r="B394" s="63" t="b">
        <f t="shared" si="18"/>
        <v>0</v>
      </c>
      <c r="C394" s="63" t="b">
        <f t="shared" si="19"/>
        <v>1</v>
      </c>
      <c r="D394" s="63" t="str">
        <f t="shared" si="20"/>
        <v>OK</v>
      </c>
      <c r="E394" s="393">
        <v>400027437</v>
      </c>
      <c r="F394" s="392" t="s">
        <v>6802</v>
      </c>
      <c r="G394" s="392" t="s">
        <v>5995</v>
      </c>
      <c r="H394" s="392" t="s">
        <v>7418</v>
      </c>
      <c r="I394" s="392" t="s">
        <v>6423</v>
      </c>
      <c r="J394" s="392" t="s">
        <v>8801</v>
      </c>
      <c r="K394" s="392" t="s">
        <v>4114</v>
      </c>
      <c r="L394" s="392" t="s">
        <v>7824</v>
      </c>
      <c r="M394" s="392" t="s">
        <v>7273</v>
      </c>
      <c r="N394" s="392" t="s">
        <v>7273</v>
      </c>
      <c r="O394" s="392" t="s">
        <v>7273</v>
      </c>
      <c r="P394"/>
      <c r="Q394"/>
      <c r="R394" s="387">
        <f>VLOOKUP(E394,'[1]NDB Impacted SPRFs 05032013'!$A$2:$A$65536,1,FALSE)</f>
        <v>400027437</v>
      </c>
      <c r="S394" s="128"/>
      <c r="T394" s="128"/>
      <c r="U394" s="128"/>
    </row>
    <row r="395" spans="1:21" ht="60" x14ac:dyDescent="0.25">
      <c r="A395" s="63">
        <f>MATCH($E395,'D1 - Master Project Table'!$B$24:$B$7056,0)</f>
        <v>2535</v>
      </c>
      <c r="B395" s="63" t="b">
        <f t="shared" si="18"/>
        <v>0</v>
      </c>
      <c r="C395" s="63" t="b">
        <f t="shared" si="19"/>
        <v>1</v>
      </c>
      <c r="D395" s="63" t="str">
        <f t="shared" si="20"/>
        <v>OK</v>
      </c>
      <c r="E395" s="393">
        <v>400008434</v>
      </c>
      <c r="F395" s="392" t="s">
        <v>2636</v>
      </c>
      <c r="G395" s="392" t="s">
        <v>5787</v>
      </c>
      <c r="H395" s="392" t="s">
        <v>5314</v>
      </c>
      <c r="I395" s="392" t="s">
        <v>1771</v>
      </c>
      <c r="J395" s="392" t="s">
        <v>6846</v>
      </c>
      <c r="K395" s="392" t="s">
        <v>4671</v>
      </c>
      <c r="L395" s="392" t="s">
        <v>4712</v>
      </c>
      <c r="M395" s="392" t="s">
        <v>3758</v>
      </c>
      <c r="N395" s="392" t="s">
        <v>7273</v>
      </c>
      <c r="O395" s="392" t="s">
        <v>7273</v>
      </c>
      <c r="P395"/>
      <c r="Q395"/>
      <c r="R395" s="387">
        <f>VLOOKUP(E395,'[1]NDB Impacted SPRFs 05032013'!$A$2:$A$65536,1,FALSE)</f>
        <v>400008434</v>
      </c>
    </row>
    <row r="396" spans="1:21" s="159" customFormat="1" ht="60" x14ac:dyDescent="0.25">
      <c r="A396" s="63">
        <f>MATCH($E396,'D1 - Master Project Table'!$B$24:$B$7056,0)</f>
        <v>772</v>
      </c>
      <c r="B396" s="63" t="b">
        <f t="shared" si="18"/>
        <v>0</v>
      </c>
      <c r="C396" s="63" t="b">
        <f t="shared" si="19"/>
        <v>1</v>
      </c>
      <c r="D396" s="63" t="str">
        <f t="shared" si="20"/>
        <v>OK</v>
      </c>
      <c r="E396" s="393">
        <v>400016069</v>
      </c>
      <c r="F396" s="392" t="s">
        <v>2811</v>
      </c>
      <c r="G396" s="392" t="s">
        <v>5324</v>
      </c>
      <c r="H396" s="392" t="s">
        <v>7418</v>
      </c>
      <c r="I396" s="392" t="s">
        <v>1759</v>
      </c>
      <c r="J396" s="392" t="s">
        <v>3717</v>
      </c>
      <c r="K396" s="392" t="s">
        <v>7024</v>
      </c>
      <c r="L396" s="392" t="s">
        <v>399</v>
      </c>
      <c r="M396" s="392" t="s">
        <v>3758</v>
      </c>
      <c r="N396" s="392" t="s">
        <v>7273</v>
      </c>
      <c r="O396" s="392" t="s">
        <v>7273</v>
      </c>
      <c r="P396"/>
      <c r="Q396"/>
      <c r="R396" s="387">
        <f>VLOOKUP(E396,'[1]NDB Impacted SPRFs 05032013'!$A$2:$A$65536,1,FALSE)</f>
        <v>400016069</v>
      </c>
      <c r="S396" s="128"/>
      <c r="T396" s="128"/>
      <c r="U396" s="128"/>
    </row>
    <row r="397" spans="1:21" s="159" customFormat="1" ht="60" x14ac:dyDescent="0.25">
      <c r="A397" s="63" t="e">
        <f>MATCH($E397,'D1 - Master Project Table'!$B$24:$B$7056,0)</f>
        <v>#N/A</v>
      </c>
      <c r="B397" s="63" t="b">
        <f t="shared" si="18"/>
        <v>1</v>
      </c>
      <c r="C397" s="63" t="b">
        <f t="shared" si="19"/>
        <v>1</v>
      </c>
      <c r="D397" s="63" t="str">
        <f t="shared" si="20"/>
        <v>OK</v>
      </c>
      <c r="E397" s="393">
        <v>400013749</v>
      </c>
      <c r="F397" s="392" t="s">
        <v>5034</v>
      </c>
      <c r="G397" s="392" t="s">
        <v>5324</v>
      </c>
      <c r="H397" s="392" t="s">
        <v>5314</v>
      </c>
      <c r="I397" s="392" t="s">
        <v>1789</v>
      </c>
      <c r="J397" s="392" t="s">
        <v>6348</v>
      </c>
      <c r="K397" s="392" t="s">
        <v>1506</v>
      </c>
      <c r="L397" s="392" t="s">
        <v>1508</v>
      </c>
      <c r="M397" s="392" t="s">
        <v>7273</v>
      </c>
      <c r="N397" s="392" t="s">
        <v>7273</v>
      </c>
      <c r="O397" s="392" t="s">
        <v>7273</v>
      </c>
      <c r="P397"/>
      <c r="Q397"/>
      <c r="R397" s="387">
        <f>VLOOKUP(E397,'[1]NDB Impacted SPRFs 05032013'!$A$2:$A$65536,1,FALSE)</f>
        <v>400013749</v>
      </c>
      <c r="S397" s="128"/>
      <c r="T397" s="128"/>
      <c r="U397" s="128"/>
    </row>
    <row r="398" spans="1:21" s="159" customFormat="1" ht="60" x14ac:dyDescent="0.25">
      <c r="A398" s="63">
        <f>MATCH($E398,'D1 - Master Project Table'!$B$24:$B$7056,0)</f>
        <v>2914</v>
      </c>
      <c r="B398" s="63" t="b">
        <f t="shared" si="18"/>
        <v>0</v>
      </c>
      <c r="C398" s="63" t="b">
        <f t="shared" si="19"/>
        <v>1</v>
      </c>
      <c r="D398" s="63" t="str">
        <f t="shared" si="20"/>
        <v>OK</v>
      </c>
      <c r="E398" s="393">
        <v>400032295</v>
      </c>
      <c r="F398" s="392" t="s">
        <v>5704</v>
      </c>
      <c r="G398" s="392" t="s">
        <v>5324</v>
      </c>
      <c r="H398" s="392" t="s">
        <v>5314</v>
      </c>
      <c r="I398" s="392" t="s">
        <v>1760</v>
      </c>
      <c r="J398" s="392" t="s">
        <v>1957</v>
      </c>
      <c r="K398" s="392" t="s">
        <v>4617</v>
      </c>
      <c r="L398" s="392" t="s">
        <v>8923</v>
      </c>
      <c r="M398" s="392" t="s">
        <v>3758</v>
      </c>
      <c r="N398" s="392" t="s">
        <v>7273</v>
      </c>
      <c r="O398" s="392" t="s">
        <v>7273</v>
      </c>
      <c r="P398"/>
      <c r="Q398"/>
      <c r="R398" s="387">
        <f>VLOOKUP(E398,'[1]NDB Impacted SPRFs 05032013'!$A$2:$A$65536,1,FALSE)</f>
        <v>400032295</v>
      </c>
      <c r="S398" s="128"/>
      <c r="T398" s="128"/>
      <c r="U398" s="128"/>
    </row>
    <row r="399" spans="1:21" s="159" customFormat="1" ht="45" customHeight="1" x14ac:dyDescent="0.25">
      <c r="A399" s="63">
        <f>MATCH($E399,'D1 - Master Project Table'!$B$24:$B$7056,0)</f>
        <v>1242</v>
      </c>
      <c r="B399" s="63" t="b">
        <f t="shared" si="18"/>
        <v>0</v>
      </c>
      <c r="C399" s="63" t="b">
        <f t="shared" si="19"/>
        <v>1</v>
      </c>
      <c r="D399" s="63" t="str">
        <f t="shared" si="20"/>
        <v>OK</v>
      </c>
      <c r="E399" s="393">
        <v>400024193</v>
      </c>
      <c r="F399" s="392" t="s">
        <v>5028</v>
      </c>
      <c r="G399" s="392" t="s">
        <v>5325</v>
      </c>
      <c r="H399" s="392" t="s">
        <v>7418</v>
      </c>
      <c r="I399" s="392" t="s">
        <v>1804</v>
      </c>
      <c r="J399" s="392" t="s">
        <v>3780</v>
      </c>
      <c r="K399" s="392" t="s">
        <v>3224</v>
      </c>
      <c r="L399" s="392" t="s">
        <v>7920</v>
      </c>
      <c r="M399" s="392" t="s">
        <v>3758</v>
      </c>
      <c r="N399" s="392" t="s">
        <v>7273</v>
      </c>
      <c r="O399" s="392" t="s">
        <v>3758</v>
      </c>
      <c r="P399"/>
      <c r="Q399"/>
      <c r="R399" s="387">
        <f>VLOOKUP(E399,'[1]NDB Impacted SPRFs 05032013'!$A$2:$A$65536,1,FALSE)</f>
        <v>400024193</v>
      </c>
      <c r="S399" s="128"/>
      <c r="T399" s="128"/>
      <c r="U399" s="128"/>
    </row>
    <row r="400" spans="1:21" s="159" customFormat="1" ht="60" x14ac:dyDescent="0.25">
      <c r="A400" s="63">
        <f>MATCH($E400,'D1 - Master Project Table'!$B$24:$B$7056,0)</f>
        <v>2027</v>
      </c>
      <c r="B400" s="63" t="b">
        <f t="shared" si="18"/>
        <v>0</v>
      </c>
      <c r="C400" s="63" t="b">
        <f t="shared" si="19"/>
        <v>1</v>
      </c>
      <c r="D400" s="63" t="str">
        <f t="shared" si="20"/>
        <v>OK</v>
      </c>
      <c r="E400" s="393">
        <v>400040404</v>
      </c>
      <c r="F400" s="392" t="s">
        <v>5653</v>
      </c>
      <c r="G400" s="392" t="s">
        <v>5325</v>
      </c>
      <c r="H400" s="392" t="s">
        <v>7418</v>
      </c>
      <c r="I400" s="392" t="s">
        <v>1800</v>
      </c>
      <c r="J400" s="392" t="s">
        <v>6011</v>
      </c>
      <c r="K400" s="392" t="s">
        <v>5654</v>
      </c>
      <c r="L400" s="392" t="s">
        <v>7924</v>
      </c>
      <c r="M400" s="392" t="s">
        <v>7273</v>
      </c>
      <c r="N400" s="392" t="s">
        <v>7273</v>
      </c>
      <c r="O400" s="392" t="s">
        <v>7273</v>
      </c>
      <c r="P400"/>
      <c r="Q400"/>
      <c r="R400" s="387">
        <f>VLOOKUP(E400,'[1]NDB Impacted SPRFs 05032013'!$A$2:$A$65536,1,FALSE)</f>
        <v>400040404</v>
      </c>
    </row>
    <row r="401" spans="1:21" ht="60" x14ac:dyDescent="0.25">
      <c r="A401" s="63">
        <f>MATCH($E401,'D1 - Master Project Table'!$B$24:$B$7056,0)</f>
        <v>2026</v>
      </c>
      <c r="B401" s="63" t="b">
        <f t="shared" si="18"/>
        <v>0</v>
      </c>
      <c r="C401" s="63" t="b">
        <f t="shared" si="19"/>
        <v>1</v>
      </c>
      <c r="D401" s="63" t="str">
        <f t="shared" si="20"/>
        <v>OK</v>
      </c>
      <c r="E401" s="393">
        <v>400039957</v>
      </c>
      <c r="F401" s="392" t="s">
        <v>1569</v>
      </c>
      <c r="G401" s="392" t="s">
        <v>5324</v>
      </c>
      <c r="H401" s="392" t="s">
        <v>7418</v>
      </c>
      <c r="I401" s="392" t="s">
        <v>1762</v>
      </c>
      <c r="J401" s="392" t="s">
        <v>1570</v>
      </c>
      <c r="K401" s="392" t="s">
        <v>8075</v>
      </c>
      <c r="L401" s="392" t="s">
        <v>5904</v>
      </c>
      <c r="M401" s="392" t="s">
        <v>3758</v>
      </c>
      <c r="N401" s="392" t="s">
        <v>7273</v>
      </c>
      <c r="O401" s="392" t="s">
        <v>3758</v>
      </c>
      <c r="P401"/>
      <c r="Q401"/>
      <c r="R401" s="387">
        <f>VLOOKUP(E401,'[1]NDB Impacted SPRFs 05032013'!$A$2:$A$65536,1,FALSE)</f>
        <v>400039957</v>
      </c>
      <c r="S401" s="159"/>
      <c r="T401" s="159"/>
      <c r="U401" s="159"/>
    </row>
    <row r="402" spans="1:21" s="159" customFormat="1" ht="60" x14ac:dyDescent="0.25">
      <c r="A402" s="63">
        <f>MATCH($E402,'D1 - Master Project Table'!$B$24:$B$7056,0)</f>
        <v>2510</v>
      </c>
      <c r="B402" s="63" t="b">
        <f t="shared" si="18"/>
        <v>0</v>
      </c>
      <c r="C402" s="63" t="b">
        <f t="shared" si="19"/>
        <v>1</v>
      </c>
      <c r="D402" s="63" t="str">
        <f t="shared" si="20"/>
        <v>OK</v>
      </c>
      <c r="E402" s="393">
        <v>400007367</v>
      </c>
      <c r="F402" s="392" t="s">
        <v>4491</v>
      </c>
      <c r="G402" s="392" t="s">
        <v>5324</v>
      </c>
      <c r="H402" s="392" t="s">
        <v>5314</v>
      </c>
      <c r="I402" s="392" t="s">
        <v>1768</v>
      </c>
      <c r="J402" s="392" t="s">
        <v>4009</v>
      </c>
      <c r="K402" s="392" t="s">
        <v>2953</v>
      </c>
      <c r="L402" s="392" t="s">
        <v>5946</v>
      </c>
      <c r="M402" s="392" t="s">
        <v>3758</v>
      </c>
      <c r="N402" s="392" t="s">
        <v>7273</v>
      </c>
      <c r="O402" s="392" t="s">
        <v>7273</v>
      </c>
      <c r="P402"/>
      <c r="Q402"/>
      <c r="R402" s="387">
        <f>VLOOKUP(E402,'[1]NDB Impacted SPRFs 05032013'!$A$2:$A$65536,1,FALSE)</f>
        <v>400007367</v>
      </c>
    </row>
    <row r="403" spans="1:21" s="159" customFormat="1" ht="60" x14ac:dyDescent="0.25">
      <c r="A403" s="63" t="e">
        <f>MATCH($E403,'D1 - Master Project Table'!$B$24:$B$7056,0)</f>
        <v>#N/A</v>
      </c>
      <c r="B403" s="63" t="b">
        <f t="shared" si="18"/>
        <v>1</v>
      </c>
      <c r="C403" s="63" t="b">
        <f t="shared" si="19"/>
        <v>1</v>
      </c>
      <c r="D403" s="63" t="str">
        <f t="shared" si="20"/>
        <v>OK</v>
      </c>
      <c r="E403" s="393">
        <v>400000691</v>
      </c>
      <c r="F403" s="392" t="s">
        <v>5918</v>
      </c>
      <c r="G403" s="392" t="s">
        <v>7182</v>
      </c>
      <c r="H403" s="392" t="s">
        <v>5314</v>
      </c>
      <c r="I403" s="392" t="s">
        <v>7745</v>
      </c>
      <c r="J403" s="392" t="s">
        <v>8842</v>
      </c>
      <c r="K403" s="392" t="s">
        <v>5919</v>
      </c>
      <c r="L403" s="392" t="s">
        <v>3801</v>
      </c>
      <c r="M403" s="392" t="s">
        <v>3758</v>
      </c>
      <c r="N403" s="392" t="s">
        <v>7273</v>
      </c>
      <c r="O403" s="392" t="s">
        <v>7273</v>
      </c>
      <c r="P403"/>
      <c r="Q403"/>
      <c r="R403" s="387">
        <f>VLOOKUP(E403,'[1]NDB Impacted SPRFs 05032013'!$A$2:$A$65536,1,FALSE)</f>
        <v>400000691</v>
      </c>
    </row>
    <row r="404" spans="1:21" s="159" customFormat="1" ht="60" x14ac:dyDescent="0.25">
      <c r="A404" s="63">
        <f>MATCH($E404,'D1 - Master Project Table'!$B$24:$B$7056,0)</f>
        <v>2299</v>
      </c>
      <c r="B404" s="63" t="b">
        <f t="shared" si="18"/>
        <v>0</v>
      </c>
      <c r="C404" s="63" t="b">
        <f t="shared" si="19"/>
        <v>1</v>
      </c>
      <c r="D404" s="63" t="str">
        <f t="shared" si="20"/>
        <v>OK</v>
      </c>
      <c r="E404" s="393">
        <v>400041596</v>
      </c>
      <c r="F404" s="392" t="s">
        <v>1478</v>
      </c>
      <c r="G404" s="392" t="s">
        <v>5325</v>
      </c>
      <c r="H404" s="392" t="s">
        <v>7418</v>
      </c>
      <c r="I404" s="392" t="s">
        <v>1800</v>
      </c>
      <c r="J404" s="392" t="s">
        <v>6584</v>
      </c>
      <c r="K404" s="392" t="s">
        <v>6585</v>
      </c>
      <c r="L404" s="392" t="s">
        <v>618</v>
      </c>
      <c r="M404" s="392" t="s">
        <v>3758</v>
      </c>
      <c r="N404" s="392" t="s">
        <v>7273</v>
      </c>
      <c r="O404" s="392" t="s">
        <v>7273</v>
      </c>
      <c r="P404"/>
      <c r="Q404"/>
      <c r="R404" s="387">
        <f>VLOOKUP(E404,'[1]NDB Impacted SPRFs 05032013'!$A$2:$A$65536,1,FALSE)</f>
        <v>400041596</v>
      </c>
    </row>
    <row r="405" spans="1:21" ht="60" x14ac:dyDescent="0.25">
      <c r="A405" s="63">
        <f>MATCH($E405,'D1 - Master Project Table'!$B$24:$B$7056,0)</f>
        <v>3192</v>
      </c>
      <c r="B405" s="63" t="b">
        <f t="shared" si="18"/>
        <v>0</v>
      </c>
      <c r="C405" s="63" t="b">
        <f t="shared" si="19"/>
        <v>0</v>
      </c>
      <c r="D405" s="63" t="str">
        <f t="shared" si="20"/>
        <v>OK</v>
      </c>
      <c r="E405" s="393">
        <v>400044588</v>
      </c>
      <c r="F405" s="392" t="s">
        <v>1124</v>
      </c>
      <c r="G405" s="392" t="s">
        <v>5324</v>
      </c>
      <c r="H405" s="392" t="s">
        <v>4917</v>
      </c>
      <c r="I405" s="392" t="s">
        <v>1759</v>
      </c>
      <c r="J405" s="392" t="s">
        <v>1433</v>
      </c>
      <c r="K405" s="392" t="s">
        <v>4595</v>
      </c>
      <c r="L405" s="392" t="s">
        <v>7697</v>
      </c>
      <c r="M405" s="392" t="s">
        <v>3758</v>
      </c>
      <c r="N405" s="392" t="s">
        <v>7273</v>
      </c>
      <c r="O405" s="392" t="s">
        <v>7273</v>
      </c>
      <c r="P405"/>
      <c r="Q405"/>
      <c r="R405" s="387">
        <f>VLOOKUP(E405,'[1]NDB Impacted SPRFs 05032013'!$A$2:$A$65536,1,FALSE)</f>
        <v>400044588</v>
      </c>
      <c r="S405" s="159"/>
      <c r="T405" s="159"/>
      <c r="U405" s="159"/>
    </row>
    <row r="406" spans="1:21" ht="60" x14ac:dyDescent="0.25">
      <c r="A406" s="63">
        <f>MATCH($E406,'D1 - Master Project Table'!$B$24:$B$7056,0)</f>
        <v>20</v>
      </c>
      <c r="B406" s="63" t="b">
        <f t="shared" si="18"/>
        <v>0</v>
      </c>
      <c r="C406" s="63" t="b">
        <f t="shared" si="19"/>
        <v>0</v>
      </c>
      <c r="D406" s="63" t="str">
        <f t="shared" si="20"/>
        <v>OK</v>
      </c>
      <c r="E406" s="393">
        <v>400053553</v>
      </c>
      <c r="F406" s="392" t="s">
        <v>690</v>
      </c>
      <c r="G406" s="392" t="s">
        <v>9210</v>
      </c>
      <c r="H406" s="392" t="s">
        <v>4917</v>
      </c>
      <c r="I406" s="392" t="s">
        <v>2655</v>
      </c>
      <c r="J406" s="392" t="s">
        <v>2189</v>
      </c>
      <c r="K406" s="392" t="s">
        <v>2190</v>
      </c>
      <c r="L406" s="392" t="s">
        <v>8976</v>
      </c>
      <c r="M406" s="392" t="s">
        <v>7273</v>
      </c>
      <c r="N406" s="392" t="s">
        <v>7273</v>
      </c>
      <c r="O406" s="392" t="s">
        <v>3758</v>
      </c>
      <c r="P406"/>
      <c r="Q406"/>
      <c r="R406" s="387">
        <f>VLOOKUP(E406,'[1]NDB Impacted SPRFs 05032013'!$A$2:$A$65536,1,FALSE)</f>
        <v>400053553</v>
      </c>
      <c r="S406" s="159"/>
      <c r="T406" s="159"/>
      <c r="U406" s="159"/>
    </row>
    <row r="407" spans="1:21" s="159" customFormat="1" ht="60" x14ac:dyDescent="0.25">
      <c r="A407" s="63">
        <f>MATCH($E407,'D1 - Master Project Table'!$B$24:$B$7056,0)</f>
        <v>40</v>
      </c>
      <c r="B407" s="63" t="b">
        <f t="shared" si="18"/>
        <v>0</v>
      </c>
      <c r="C407" s="63" t="b">
        <f t="shared" si="19"/>
        <v>0</v>
      </c>
      <c r="D407" s="63" t="str">
        <f t="shared" si="20"/>
        <v>OK</v>
      </c>
      <c r="E407" s="393">
        <v>400050715</v>
      </c>
      <c r="F407" s="392" t="s">
        <v>586</v>
      </c>
      <c r="G407" s="392" t="s">
        <v>5995</v>
      </c>
      <c r="H407" s="392" t="s">
        <v>4917</v>
      </c>
      <c r="I407" s="392" t="s">
        <v>3533</v>
      </c>
      <c r="J407" s="392" t="s">
        <v>315</v>
      </c>
      <c r="K407" s="392" t="s">
        <v>1708</v>
      </c>
      <c r="L407" s="392" t="s">
        <v>587</v>
      </c>
      <c r="M407" s="392" t="s">
        <v>3758</v>
      </c>
      <c r="N407" s="392" t="s">
        <v>7273</v>
      </c>
      <c r="O407" s="392" t="s">
        <v>7273</v>
      </c>
      <c r="P407"/>
      <c r="Q407"/>
      <c r="R407" s="387">
        <f>VLOOKUP(E407,'[1]NDB Impacted SPRFs 05032013'!$A$2:$A$65536,1,FALSE)</f>
        <v>400050715</v>
      </c>
    </row>
    <row r="408" spans="1:21" ht="60" x14ac:dyDescent="0.25">
      <c r="A408" s="63">
        <f>MATCH($E408,'D1 - Master Project Table'!$B$24:$B$7056,0)</f>
        <v>1941</v>
      </c>
      <c r="B408" s="63" t="b">
        <f t="shared" si="18"/>
        <v>0</v>
      </c>
      <c r="C408" s="63" t="b">
        <f t="shared" si="19"/>
        <v>1</v>
      </c>
      <c r="D408" s="63" t="str">
        <f t="shared" si="20"/>
        <v>OK</v>
      </c>
      <c r="E408" s="393">
        <v>400018187</v>
      </c>
      <c r="F408" s="392" t="s">
        <v>6722</v>
      </c>
      <c r="G408" s="392" t="s">
        <v>5324</v>
      </c>
      <c r="H408" s="392" t="s">
        <v>7418</v>
      </c>
      <c r="I408" s="392" t="s">
        <v>1756</v>
      </c>
      <c r="J408" s="392" t="s">
        <v>6905</v>
      </c>
      <c r="K408" s="392" t="s">
        <v>1506</v>
      </c>
      <c r="L408" s="392" t="s">
        <v>6954</v>
      </c>
      <c r="M408" s="392" t="s">
        <v>3758</v>
      </c>
      <c r="N408" s="392" t="s">
        <v>7273</v>
      </c>
      <c r="O408" s="392" t="s">
        <v>7273</v>
      </c>
      <c r="P408"/>
      <c r="Q408"/>
      <c r="R408" s="387">
        <f>VLOOKUP(E408,'[1]NDB Impacted SPRFs 05032013'!$A$2:$A$65536,1,FALSE)</f>
        <v>400018187</v>
      </c>
      <c r="S408" s="159"/>
      <c r="T408" s="159"/>
      <c r="U408" s="159"/>
    </row>
    <row r="409" spans="1:21" s="159" customFormat="1" ht="60" x14ac:dyDescent="0.25">
      <c r="A409" s="63">
        <f>MATCH($E409,'D1 - Master Project Table'!$B$24:$B$7056,0)</f>
        <v>614</v>
      </c>
      <c r="B409" s="63" t="b">
        <f t="shared" si="18"/>
        <v>0</v>
      </c>
      <c r="C409" s="63" t="b">
        <f t="shared" si="19"/>
        <v>1</v>
      </c>
      <c r="D409" s="63" t="str">
        <f t="shared" si="20"/>
        <v>OK</v>
      </c>
      <c r="E409" s="393">
        <v>400012830</v>
      </c>
      <c r="F409" s="392" t="s">
        <v>5175</v>
      </c>
      <c r="G409" s="392" t="s">
        <v>5324</v>
      </c>
      <c r="H409" s="392" t="s">
        <v>7418</v>
      </c>
      <c r="I409" s="392" t="s">
        <v>1770</v>
      </c>
      <c r="J409" s="392" t="s">
        <v>8494</v>
      </c>
      <c r="K409" s="392" t="s">
        <v>5541</v>
      </c>
      <c r="L409" s="392" t="s">
        <v>5801</v>
      </c>
      <c r="M409" s="392" t="s">
        <v>3758</v>
      </c>
      <c r="N409" s="392" t="s">
        <v>7273</v>
      </c>
      <c r="O409" s="392" t="s">
        <v>7273</v>
      </c>
      <c r="P409"/>
      <c r="Q409"/>
      <c r="R409" s="387">
        <f>VLOOKUP(E409,'[1]NDB Impacted SPRFs 05032013'!$A$2:$A$65536,1,FALSE)</f>
        <v>400012830</v>
      </c>
    </row>
    <row r="410" spans="1:21" s="159" customFormat="1" ht="60" x14ac:dyDescent="0.25">
      <c r="A410" s="63">
        <f>MATCH($E410,'D1 - Master Project Table'!$B$24:$B$7056,0)</f>
        <v>704</v>
      </c>
      <c r="B410" s="63" t="b">
        <f t="shared" si="18"/>
        <v>0</v>
      </c>
      <c r="C410" s="63" t="b">
        <f t="shared" si="19"/>
        <v>1</v>
      </c>
      <c r="D410" s="63" t="str">
        <f t="shared" si="20"/>
        <v>OK</v>
      </c>
      <c r="E410" s="393">
        <v>400016775</v>
      </c>
      <c r="F410" s="392" t="s">
        <v>7208</v>
      </c>
      <c r="G410" s="392" t="s">
        <v>5787</v>
      </c>
      <c r="H410" s="392" t="s">
        <v>7418</v>
      </c>
      <c r="I410" s="392" t="s">
        <v>1771</v>
      </c>
      <c r="J410" s="392" t="s">
        <v>9402</v>
      </c>
      <c r="K410" s="392" t="s">
        <v>5468</v>
      </c>
      <c r="L410" s="392" t="s">
        <v>2356</v>
      </c>
      <c r="M410" s="392" t="s">
        <v>3758</v>
      </c>
      <c r="N410" s="392" t="s">
        <v>7273</v>
      </c>
      <c r="O410" s="392" t="s">
        <v>7273</v>
      </c>
      <c r="P410"/>
      <c r="Q410"/>
      <c r="R410" s="387">
        <f>VLOOKUP(E410,'[1]NDB Impacted SPRFs 05032013'!$A$2:$A$65536,1,FALSE)</f>
        <v>400016775</v>
      </c>
    </row>
    <row r="411" spans="1:21" s="159" customFormat="1" ht="60" x14ac:dyDescent="0.25">
      <c r="A411" s="63" t="e">
        <f>MATCH($E411,'D1 - Master Project Table'!$B$24:$B$7056,0)</f>
        <v>#N/A</v>
      </c>
      <c r="B411" s="63" t="b">
        <f t="shared" si="18"/>
        <v>1</v>
      </c>
      <c r="C411" s="63" t="b">
        <f t="shared" si="19"/>
        <v>1</v>
      </c>
      <c r="D411" s="63" t="str">
        <f t="shared" si="20"/>
        <v>OK</v>
      </c>
      <c r="E411" s="393">
        <v>400005228</v>
      </c>
      <c r="F411" s="392" t="s">
        <v>3798</v>
      </c>
      <c r="G411" s="392" t="s">
        <v>5324</v>
      </c>
      <c r="H411" s="392" t="s">
        <v>7418</v>
      </c>
      <c r="I411" s="392" t="s">
        <v>1768</v>
      </c>
      <c r="J411" s="392" t="s">
        <v>4009</v>
      </c>
      <c r="K411" s="392" t="s">
        <v>2953</v>
      </c>
      <c r="L411" s="392" t="s">
        <v>5450</v>
      </c>
      <c r="M411" s="392" t="s">
        <v>3758</v>
      </c>
      <c r="N411" s="392" t="s">
        <v>7273</v>
      </c>
      <c r="O411" s="392" t="s">
        <v>7273</v>
      </c>
      <c r="P411" s="54"/>
      <c r="Q411" s="128"/>
      <c r="R411" s="387">
        <f>VLOOKUP(E411,'[1]NDB Impacted SPRFs 05032013'!$A$2:$A$65536,1,FALSE)</f>
        <v>400005228</v>
      </c>
      <c r="S411" s="128"/>
      <c r="T411" s="128"/>
      <c r="U411" s="128"/>
    </row>
    <row r="412" spans="1:21" s="159" customFormat="1" ht="60" x14ac:dyDescent="0.25">
      <c r="A412" s="63">
        <f>MATCH($E412,'D1 - Master Project Table'!$B$24:$B$7056,0)</f>
        <v>2014</v>
      </c>
      <c r="B412" s="63" t="b">
        <f t="shared" si="18"/>
        <v>0</v>
      </c>
      <c r="C412" s="63" t="b">
        <f t="shared" si="19"/>
        <v>1</v>
      </c>
      <c r="D412" s="63" t="str">
        <f t="shared" si="20"/>
        <v>OK</v>
      </c>
      <c r="E412" s="393">
        <v>400033670</v>
      </c>
      <c r="F412" s="392" t="s">
        <v>5927</v>
      </c>
      <c r="G412" s="392" t="s">
        <v>5325</v>
      </c>
      <c r="H412" s="392" t="s">
        <v>7418</v>
      </c>
      <c r="I412" s="392" t="s">
        <v>1671</v>
      </c>
      <c r="J412" s="392" t="s">
        <v>6011</v>
      </c>
      <c r="K412" s="392" t="s">
        <v>1650</v>
      </c>
      <c r="L412" s="392" t="s">
        <v>5340</v>
      </c>
      <c r="M412" s="392" t="s">
        <v>7273</v>
      </c>
      <c r="N412" s="392" t="s">
        <v>7273</v>
      </c>
      <c r="O412" s="392" t="s">
        <v>7273</v>
      </c>
      <c r="P412"/>
      <c r="Q412"/>
      <c r="R412" s="387">
        <f>VLOOKUP(E412,'[1]NDB Impacted SPRFs 05032013'!$A$2:$A$65536,1,FALSE)</f>
        <v>400033670</v>
      </c>
    </row>
    <row r="413" spans="1:21" s="159" customFormat="1" ht="60" x14ac:dyDescent="0.25">
      <c r="A413" s="63">
        <f>MATCH($E413,'D1 - Master Project Table'!$B$24:$B$7056,0)</f>
        <v>1481</v>
      </c>
      <c r="B413" s="63" t="b">
        <f t="shared" si="18"/>
        <v>0</v>
      </c>
      <c r="C413" s="63" t="b">
        <f t="shared" si="19"/>
        <v>1</v>
      </c>
      <c r="D413" s="63" t="str">
        <f t="shared" si="20"/>
        <v>OK</v>
      </c>
      <c r="E413" s="393">
        <v>400041320</v>
      </c>
      <c r="F413" s="392" t="s">
        <v>2483</v>
      </c>
      <c r="G413" s="392" t="s">
        <v>9210</v>
      </c>
      <c r="H413" s="392" t="s">
        <v>7418</v>
      </c>
      <c r="I413" s="392" t="s">
        <v>3540</v>
      </c>
      <c r="J413" s="392" t="s">
        <v>8721</v>
      </c>
      <c r="K413" s="392" t="s">
        <v>5468</v>
      </c>
      <c r="L413" s="392" t="s">
        <v>3591</v>
      </c>
      <c r="M413" s="392" t="s">
        <v>3758</v>
      </c>
      <c r="N413" s="392" t="s">
        <v>7273</v>
      </c>
      <c r="O413" s="392" t="s">
        <v>7273</v>
      </c>
      <c r="P413"/>
      <c r="Q413"/>
      <c r="R413" s="387">
        <f>VLOOKUP(E413,'[1]NDB Impacted SPRFs 05032013'!$A$2:$A$65536,1,FALSE)</f>
        <v>400041320</v>
      </c>
    </row>
    <row r="414" spans="1:21" s="159" customFormat="1" ht="60" x14ac:dyDescent="0.25">
      <c r="A414" s="63">
        <f>MATCH($E414,'D1 - Master Project Table'!$B$24:$B$7056,0)</f>
        <v>540</v>
      </c>
      <c r="B414" s="63" t="b">
        <f t="shared" si="18"/>
        <v>0</v>
      </c>
      <c r="C414" s="63" t="b">
        <f t="shared" si="19"/>
        <v>1</v>
      </c>
      <c r="D414" s="63" t="str">
        <f t="shared" si="20"/>
        <v>OK</v>
      </c>
      <c r="E414" s="393">
        <v>400004023</v>
      </c>
      <c r="F414" s="392" t="s">
        <v>2952</v>
      </c>
      <c r="G414" s="392" t="s">
        <v>5324</v>
      </c>
      <c r="H414" s="392" t="s">
        <v>7418</v>
      </c>
      <c r="I414" s="392" t="s">
        <v>1759</v>
      </c>
      <c r="J414" s="392" t="s">
        <v>4708</v>
      </c>
      <c r="K414" s="392" t="s">
        <v>4006</v>
      </c>
      <c r="L414" s="392" t="s">
        <v>139</v>
      </c>
      <c r="M414" s="392" t="s">
        <v>3758</v>
      </c>
      <c r="N414" s="392" t="s">
        <v>7273</v>
      </c>
      <c r="O414" s="392" t="s">
        <v>7273</v>
      </c>
      <c r="P414"/>
      <c r="Q414"/>
      <c r="R414" s="387">
        <f>VLOOKUP(E414,'[1]NDB Impacted SPRFs 05032013'!$A$2:$A$65536,1,FALSE)</f>
        <v>400004023</v>
      </c>
    </row>
    <row r="415" spans="1:21" s="159" customFormat="1" ht="60" x14ac:dyDescent="0.25">
      <c r="A415" s="63">
        <f>MATCH($E415,'D1 - Master Project Table'!$B$24:$B$7056,0)</f>
        <v>26</v>
      </c>
      <c r="B415" s="63" t="b">
        <f t="shared" si="18"/>
        <v>0</v>
      </c>
      <c r="C415" s="63" t="b">
        <f t="shared" si="19"/>
        <v>0</v>
      </c>
      <c r="D415" s="63" t="str">
        <f t="shared" si="20"/>
        <v>OK</v>
      </c>
      <c r="E415" s="393">
        <v>400041201</v>
      </c>
      <c r="F415" s="392" t="s">
        <v>1580</v>
      </c>
      <c r="G415" s="392" t="s">
        <v>5324</v>
      </c>
      <c r="H415" s="392" t="s">
        <v>4917</v>
      </c>
      <c r="I415" s="392" t="s">
        <v>1762</v>
      </c>
      <c r="J415" s="392" t="s">
        <v>4990</v>
      </c>
      <c r="K415" s="392" t="s">
        <v>8075</v>
      </c>
      <c r="L415" s="392" t="s">
        <v>689</v>
      </c>
      <c r="M415" s="392" t="s">
        <v>3758</v>
      </c>
      <c r="N415" s="392" t="s">
        <v>7273</v>
      </c>
      <c r="O415" s="392" t="s">
        <v>7273</v>
      </c>
      <c r="P415"/>
      <c r="Q415"/>
      <c r="R415" s="387">
        <f>VLOOKUP(E415,'[1]NDB Impacted SPRFs 05032013'!$A$2:$A$65536,1,FALSE)</f>
        <v>400041201</v>
      </c>
    </row>
    <row r="416" spans="1:21" s="159" customFormat="1" ht="60" x14ac:dyDescent="0.25">
      <c r="A416" s="63">
        <f>MATCH($E416,'D1 - Master Project Table'!$B$24:$B$7056,0)</f>
        <v>49</v>
      </c>
      <c r="B416" s="63" t="b">
        <f t="shared" si="18"/>
        <v>0</v>
      </c>
      <c r="C416" s="63" t="b">
        <f t="shared" si="19"/>
        <v>0</v>
      </c>
      <c r="D416" s="63" t="str">
        <f t="shared" si="20"/>
        <v>OK</v>
      </c>
      <c r="E416" s="393">
        <v>400054009</v>
      </c>
      <c r="F416" s="392" t="s">
        <v>9260</v>
      </c>
      <c r="G416" s="392" t="s">
        <v>5324</v>
      </c>
      <c r="H416" s="392" t="s">
        <v>8012</v>
      </c>
      <c r="I416" s="392" t="s">
        <v>1762</v>
      </c>
      <c r="J416" s="392" t="s">
        <v>6851</v>
      </c>
      <c r="K416" s="392" t="s">
        <v>9261</v>
      </c>
      <c r="L416" s="392" t="s">
        <v>9428</v>
      </c>
      <c r="M416" s="392" t="s">
        <v>3758</v>
      </c>
      <c r="N416" s="392" t="s">
        <v>7273</v>
      </c>
      <c r="O416" s="392" t="s">
        <v>7273</v>
      </c>
      <c r="P416"/>
      <c r="Q416"/>
      <c r="R416" s="387">
        <f>VLOOKUP(E416,'[1]NDB Impacted SPRFs 05032013'!$A$2:$A$65536,1,FALSE)</f>
        <v>400054009</v>
      </c>
      <c r="S416" s="128"/>
      <c r="T416" s="128"/>
      <c r="U416" s="128"/>
    </row>
    <row r="417" spans="1:21" ht="60" x14ac:dyDescent="0.25">
      <c r="A417" s="63">
        <f>MATCH($E417,'D1 - Master Project Table'!$B$24:$B$7056,0)</f>
        <v>936</v>
      </c>
      <c r="B417" s="63" t="b">
        <f t="shared" si="18"/>
        <v>0</v>
      </c>
      <c r="C417" s="63" t="b">
        <f t="shared" si="19"/>
        <v>1</v>
      </c>
      <c r="D417" s="63" t="str">
        <f t="shared" si="20"/>
        <v>OK</v>
      </c>
      <c r="E417" s="393">
        <v>400017134</v>
      </c>
      <c r="F417" s="392" t="s">
        <v>6778</v>
      </c>
      <c r="G417" s="392" t="s">
        <v>5324</v>
      </c>
      <c r="H417" s="392" t="s">
        <v>7418</v>
      </c>
      <c r="I417" s="392" t="s">
        <v>1770</v>
      </c>
      <c r="J417" s="392" t="s">
        <v>5168</v>
      </c>
      <c r="K417" s="392" t="s">
        <v>3492</v>
      </c>
      <c r="L417" s="392" t="s">
        <v>373</v>
      </c>
      <c r="M417" s="392" t="s">
        <v>3758</v>
      </c>
      <c r="N417" s="392" t="s">
        <v>7273</v>
      </c>
      <c r="O417" s="392" t="s">
        <v>3758</v>
      </c>
      <c r="P417"/>
      <c r="Q417"/>
      <c r="R417" s="387">
        <f>VLOOKUP(E417,'[1]NDB Impacted SPRFs 05032013'!$A$2:$A$65536,1,FALSE)</f>
        <v>400017134</v>
      </c>
      <c r="S417" s="159"/>
      <c r="T417" s="159"/>
      <c r="U417" s="159"/>
    </row>
    <row r="418" spans="1:21" s="159" customFormat="1" ht="60" x14ac:dyDescent="0.25">
      <c r="A418" s="63">
        <f>MATCH($E418,'D1 - Master Project Table'!$B$24:$B$7056,0)</f>
        <v>1554</v>
      </c>
      <c r="B418" s="63" t="b">
        <f t="shared" si="18"/>
        <v>0</v>
      </c>
      <c r="C418" s="63" t="b">
        <f t="shared" si="19"/>
        <v>1</v>
      </c>
      <c r="D418" s="63" t="str">
        <f t="shared" si="20"/>
        <v>OK</v>
      </c>
      <c r="E418" s="393">
        <v>400040139</v>
      </c>
      <c r="F418" s="392" t="s">
        <v>2214</v>
      </c>
      <c r="G418" s="392" t="s">
        <v>9210</v>
      </c>
      <c r="H418" s="392" t="s">
        <v>7418</v>
      </c>
      <c r="I418" s="392" t="s">
        <v>3540</v>
      </c>
      <c r="J418" s="392" t="s">
        <v>8782</v>
      </c>
      <c r="K418" s="392" t="s">
        <v>3689</v>
      </c>
      <c r="L418" s="392" t="s">
        <v>8925</v>
      </c>
      <c r="M418" s="392" t="s">
        <v>7273</v>
      </c>
      <c r="N418" s="392" t="s">
        <v>7273</v>
      </c>
      <c r="O418" s="392" t="s">
        <v>7273</v>
      </c>
      <c r="P418"/>
      <c r="Q418"/>
      <c r="R418" s="387">
        <f>VLOOKUP(E418,'[1]NDB Impacted SPRFs 05032013'!$A$2:$A$65536,1,FALSE)</f>
        <v>400040139</v>
      </c>
    </row>
    <row r="419" spans="1:21" ht="60" x14ac:dyDescent="0.25">
      <c r="A419" s="63">
        <f>MATCH($E419,'D1 - Master Project Table'!$B$24:$B$7056,0)</f>
        <v>1546</v>
      </c>
      <c r="B419" s="63" t="b">
        <f t="shared" si="18"/>
        <v>0</v>
      </c>
      <c r="C419" s="63" t="b">
        <f t="shared" si="19"/>
        <v>1</v>
      </c>
      <c r="D419" s="63" t="str">
        <f t="shared" si="20"/>
        <v>OK</v>
      </c>
      <c r="E419" s="393">
        <v>400038608</v>
      </c>
      <c r="F419" s="392" t="s">
        <v>619</v>
      </c>
      <c r="G419" s="392" t="s">
        <v>5324</v>
      </c>
      <c r="H419" s="392" t="s">
        <v>7418</v>
      </c>
      <c r="I419" s="392" t="s">
        <v>1759</v>
      </c>
      <c r="J419" s="392" t="s">
        <v>1433</v>
      </c>
      <c r="K419" s="392" t="s">
        <v>4595</v>
      </c>
      <c r="L419" s="392" t="s">
        <v>1706</v>
      </c>
      <c r="M419" s="392" t="s">
        <v>3758</v>
      </c>
      <c r="N419" s="392" t="s">
        <v>7273</v>
      </c>
      <c r="O419" s="392" t="s">
        <v>7273</v>
      </c>
      <c r="P419"/>
      <c r="Q419"/>
      <c r="R419" s="387">
        <f>VLOOKUP(E419,'[1]NDB Impacted SPRFs 05032013'!$A$2:$A$65536,1,FALSE)</f>
        <v>400038608</v>
      </c>
      <c r="S419" s="159"/>
      <c r="T419" s="159"/>
      <c r="U419" s="159"/>
    </row>
    <row r="420" spans="1:21" s="159" customFormat="1" ht="60" x14ac:dyDescent="0.25">
      <c r="A420" s="63">
        <f>MATCH($E420,'D1 - Master Project Table'!$B$24:$B$7056,0)</f>
        <v>2318</v>
      </c>
      <c r="B420" s="63" t="b">
        <f t="shared" si="18"/>
        <v>0</v>
      </c>
      <c r="C420" s="63" t="b">
        <f t="shared" si="19"/>
        <v>1</v>
      </c>
      <c r="D420" s="63" t="str">
        <f t="shared" si="20"/>
        <v>OK</v>
      </c>
      <c r="E420" s="393">
        <v>400043230</v>
      </c>
      <c r="F420" s="392" t="s">
        <v>1171</v>
      </c>
      <c r="G420" s="392" t="s">
        <v>5995</v>
      </c>
      <c r="H420" s="392" t="s">
        <v>5314</v>
      </c>
      <c r="I420" s="392" t="s">
        <v>3533</v>
      </c>
      <c r="J420" s="392" t="s">
        <v>2471</v>
      </c>
      <c r="K420" s="392" t="s">
        <v>3261</v>
      </c>
      <c r="L420" s="392" t="s">
        <v>22</v>
      </c>
      <c r="M420" s="392" t="s">
        <v>3758</v>
      </c>
      <c r="N420" s="392" t="s">
        <v>7273</v>
      </c>
      <c r="O420" s="392" t="s">
        <v>3758</v>
      </c>
      <c r="P420"/>
      <c r="Q420"/>
      <c r="R420" s="387">
        <f>VLOOKUP(E420,'[1]NDB Impacted SPRFs 05032013'!$A$2:$A$65536,1,FALSE)</f>
        <v>400043230</v>
      </c>
    </row>
    <row r="421" spans="1:21" s="159" customFormat="1" ht="60" x14ac:dyDescent="0.25">
      <c r="A421" s="63">
        <f>MATCH($E421,'D1 - Master Project Table'!$B$24:$B$7056,0)</f>
        <v>2551</v>
      </c>
      <c r="B421" s="63" t="b">
        <f t="shared" si="18"/>
        <v>0</v>
      </c>
      <c r="C421" s="63" t="b">
        <f t="shared" si="19"/>
        <v>1</v>
      </c>
      <c r="D421" s="63" t="str">
        <f t="shared" si="20"/>
        <v>OK</v>
      </c>
      <c r="E421" s="393">
        <v>400009428</v>
      </c>
      <c r="F421" s="392" t="s">
        <v>7488</v>
      </c>
      <c r="G421" s="392" t="s">
        <v>5787</v>
      </c>
      <c r="H421" s="392" t="s">
        <v>7418</v>
      </c>
      <c r="I421" s="392" t="s">
        <v>1775</v>
      </c>
      <c r="J421" s="392" t="s">
        <v>4494</v>
      </c>
      <c r="K421" s="392" t="s">
        <v>5300</v>
      </c>
      <c r="L421" s="392" t="s">
        <v>4389</v>
      </c>
      <c r="M421" s="392" t="s">
        <v>3758</v>
      </c>
      <c r="N421" s="392" t="s">
        <v>7273</v>
      </c>
      <c r="O421" s="392" t="s">
        <v>7273</v>
      </c>
      <c r="P421"/>
      <c r="Q421"/>
      <c r="R421" s="387">
        <f>VLOOKUP(E421,'[1]NDB Impacted SPRFs 05032013'!$A$2:$A$65536,1,FALSE)</f>
        <v>400009428</v>
      </c>
    </row>
    <row r="422" spans="1:21" s="159" customFormat="1" ht="60" x14ac:dyDescent="0.25">
      <c r="A422" s="63">
        <f>MATCH($E422,'D1 - Master Project Table'!$B$24:$B$7056,0)</f>
        <v>983</v>
      </c>
      <c r="B422" s="63" t="b">
        <f t="shared" si="18"/>
        <v>0</v>
      </c>
      <c r="C422" s="63" t="b">
        <f t="shared" si="19"/>
        <v>1</v>
      </c>
      <c r="D422" s="63" t="str">
        <f t="shared" si="20"/>
        <v>OK</v>
      </c>
      <c r="E422" s="393">
        <v>400023659</v>
      </c>
      <c r="F422" s="392" t="s">
        <v>1611</v>
      </c>
      <c r="G422" s="392" t="s">
        <v>5324</v>
      </c>
      <c r="H422" s="392" t="s">
        <v>7418</v>
      </c>
      <c r="I422" s="392" t="s">
        <v>1759</v>
      </c>
      <c r="J422" s="392" t="s">
        <v>8425</v>
      </c>
      <c r="K422" s="392" t="s">
        <v>4006</v>
      </c>
      <c r="L422" s="392" t="s">
        <v>4807</v>
      </c>
      <c r="M422" s="392" t="s">
        <v>7273</v>
      </c>
      <c r="N422" s="392" t="s">
        <v>7273</v>
      </c>
      <c r="O422" s="392" t="s">
        <v>3758</v>
      </c>
      <c r="P422"/>
      <c r="Q422"/>
      <c r="R422" s="387">
        <f>VLOOKUP(E422,'[1]NDB Impacted SPRFs 05032013'!$A$2:$A$65536,1,FALSE)</f>
        <v>400023659</v>
      </c>
    </row>
    <row r="423" spans="1:21" s="159" customFormat="1" ht="60" x14ac:dyDescent="0.25">
      <c r="A423" s="63">
        <f>MATCH($E423,'D1 - Master Project Table'!$B$24:$B$7056,0)</f>
        <v>1694</v>
      </c>
      <c r="B423" s="63" t="b">
        <f t="shared" si="18"/>
        <v>0</v>
      </c>
      <c r="C423" s="63" t="b">
        <f t="shared" si="19"/>
        <v>0</v>
      </c>
      <c r="D423" s="63" t="str">
        <f t="shared" si="20"/>
        <v>OK</v>
      </c>
      <c r="E423" s="393">
        <v>400046410</v>
      </c>
      <c r="F423" s="392" t="s">
        <v>7254</v>
      </c>
      <c r="G423" s="392" t="s">
        <v>9210</v>
      </c>
      <c r="H423" s="392" t="s">
        <v>4917</v>
      </c>
      <c r="I423" s="392" t="s">
        <v>3540</v>
      </c>
      <c r="J423" s="392" t="s">
        <v>8501</v>
      </c>
      <c r="K423" s="392" t="s">
        <v>7884</v>
      </c>
      <c r="L423" s="392" t="s">
        <v>7686</v>
      </c>
      <c r="M423" s="392" t="s">
        <v>3758</v>
      </c>
      <c r="N423" s="392" t="s">
        <v>7273</v>
      </c>
      <c r="O423" s="392" t="s">
        <v>7273</v>
      </c>
      <c r="P423"/>
      <c r="Q423"/>
      <c r="R423" s="387">
        <f>VLOOKUP(E423,'[1]NDB Impacted SPRFs 05032013'!$A$2:$A$65536,1,FALSE)</f>
        <v>400046410</v>
      </c>
    </row>
    <row r="424" spans="1:21" s="159" customFormat="1" ht="60" x14ac:dyDescent="0.25">
      <c r="A424" s="63">
        <f>MATCH($E424,'D1 - Master Project Table'!$B$24:$B$7056,0)</f>
        <v>1298</v>
      </c>
      <c r="B424" s="147" t="b">
        <f t="shared" si="18"/>
        <v>0</v>
      </c>
      <c r="C424" s="147" t="b">
        <f t="shared" si="19"/>
        <v>1</v>
      </c>
      <c r="D424" s="147" t="str">
        <f t="shared" si="20"/>
        <v>OK</v>
      </c>
      <c r="E424" s="393">
        <v>400035075</v>
      </c>
      <c r="F424" s="392" t="s">
        <v>3408</v>
      </c>
      <c r="G424" s="392" t="s">
        <v>5324</v>
      </c>
      <c r="H424" s="392" t="s">
        <v>7418</v>
      </c>
      <c r="I424" s="392" t="s">
        <v>1763</v>
      </c>
      <c r="J424" s="392" t="s">
        <v>6851</v>
      </c>
      <c r="K424" s="392" t="s">
        <v>8075</v>
      </c>
      <c r="L424" s="392" t="s">
        <v>7541</v>
      </c>
      <c r="M424" s="392" t="s">
        <v>3758</v>
      </c>
      <c r="N424" s="392" t="s">
        <v>7273</v>
      </c>
      <c r="O424" s="392" t="s">
        <v>3758</v>
      </c>
      <c r="P424"/>
      <c r="Q424"/>
      <c r="R424" s="387">
        <f>VLOOKUP(E424,'[1]NDB Impacted SPRFs 05032013'!$A$2:$A$65536,1,FALSE)</f>
        <v>400035075</v>
      </c>
      <c r="S424" s="128"/>
      <c r="T424" s="128"/>
      <c r="U424" s="128"/>
    </row>
    <row r="425" spans="1:21" s="159" customFormat="1" ht="60" x14ac:dyDescent="0.25">
      <c r="A425" s="63">
        <f>MATCH($E425,'D1 - Master Project Table'!$B$24:$B$7056,0)</f>
        <v>90</v>
      </c>
      <c r="B425" s="63" t="b">
        <f t="shared" si="18"/>
        <v>0</v>
      </c>
      <c r="C425" s="63" t="b">
        <f t="shared" si="19"/>
        <v>0</v>
      </c>
      <c r="D425" s="63" t="str">
        <f t="shared" si="20"/>
        <v>OK</v>
      </c>
      <c r="E425" s="393">
        <v>400057490</v>
      </c>
      <c r="F425" s="392" t="s">
        <v>9219</v>
      </c>
      <c r="G425" s="392" t="s">
        <v>5324</v>
      </c>
      <c r="H425" s="392" t="s">
        <v>8012</v>
      </c>
      <c r="I425" s="392" t="s">
        <v>1758</v>
      </c>
      <c r="J425" s="392" t="s">
        <v>9220</v>
      </c>
      <c r="K425" s="392" t="s">
        <v>9221</v>
      </c>
      <c r="L425" s="392" t="s">
        <v>9259</v>
      </c>
      <c r="M425" s="392" t="s">
        <v>3758</v>
      </c>
      <c r="N425" s="392" t="s">
        <v>7273</v>
      </c>
      <c r="O425" s="392" t="s">
        <v>7273</v>
      </c>
      <c r="P425"/>
      <c r="Q425"/>
      <c r="R425" s="387">
        <f>VLOOKUP(E425,'[1]NDB Impacted SPRFs 05032013'!$A$2:$A$65536,1,FALSE)</f>
        <v>400057490</v>
      </c>
    </row>
    <row r="426" spans="1:21" s="159" customFormat="1" ht="60" x14ac:dyDescent="0.25">
      <c r="A426" s="63">
        <f>MATCH($E426,'D1 - Master Project Table'!$B$24:$B$7056,0)</f>
        <v>220</v>
      </c>
      <c r="B426" s="63" t="b">
        <f t="shared" si="18"/>
        <v>0</v>
      </c>
      <c r="C426" s="63" t="b">
        <f t="shared" si="19"/>
        <v>0</v>
      </c>
      <c r="D426" s="63" t="str">
        <f t="shared" si="20"/>
        <v>OK</v>
      </c>
      <c r="E426" s="393">
        <v>400054251</v>
      </c>
      <c r="F426" s="392" t="s">
        <v>9255</v>
      </c>
      <c r="G426" s="392" t="s">
        <v>6322</v>
      </c>
      <c r="H426" s="392" t="s">
        <v>3555</v>
      </c>
      <c r="I426" s="392" t="s">
        <v>1762</v>
      </c>
      <c r="J426" s="392" t="s">
        <v>9256</v>
      </c>
      <c r="K426" s="392" t="s">
        <v>1441</v>
      </c>
      <c r="L426" s="392" t="s">
        <v>9403</v>
      </c>
      <c r="M426" s="392" t="s">
        <v>7273</v>
      </c>
      <c r="N426" s="392" t="s">
        <v>7273</v>
      </c>
      <c r="O426" s="392" t="s">
        <v>3758</v>
      </c>
      <c r="P426"/>
      <c r="Q426"/>
      <c r="R426" s="387">
        <f>VLOOKUP(E426,'[1]NDB Impacted SPRFs 05032013'!$A$2:$A$65536,1,FALSE)</f>
        <v>400054251</v>
      </c>
    </row>
    <row r="427" spans="1:21" s="159" customFormat="1" ht="60" x14ac:dyDescent="0.25">
      <c r="A427" s="63">
        <f>MATCH($E427,'D1 - Master Project Table'!$B$24:$B$7056,0)</f>
        <v>2312</v>
      </c>
      <c r="B427" s="63" t="b">
        <f t="shared" si="18"/>
        <v>0</v>
      </c>
      <c r="C427" s="63" t="b">
        <f t="shared" si="19"/>
        <v>1</v>
      </c>
      <c r="D427" s="63" t="str">
        <f t="shared" si="20"/>
        <v>OK</v>
      </c>
      <c r="E427" s="393">
        <v>400044969</v>
      </c>
      <c r="F427" s="392" t="s">
        <v>640</v>
      </c>
      <c r="G427" s="392" t="s">
        <v>5324</v>
      </c>
      <c r="H427" s="392" t="s">
        <v>5314</v>
      </c>
      <c r="I427" s="392" t="s">
        <v>1791</v>
      </c>
      <c r="J427" s="392" t="s">
        <v>1957</v>
      </c>
      <c r="K427" s="392" t="s">
        <v>4617</v>
      </c>
      <c r="L427" s="392" t="s">
        <v>8927</v>
      </c>
      <c r="M427" s="392" t="s">
        <v>3758</v>
      </c>
      <c r="N427" s="392" t="s">
        <v>7273</v>
      </c>
      <c r="O427" s="392" t="s">
        <v>7273</v>
      </c>
      <c r="P427"/>
      <c r="Q427"/>
      <c r="R427" s="387">
        <f>VLOOKUP(E427,'[1]NDB Impacted SPRFs 05032013'!$A$2:$A$65536,1,FALSE)</f>
        <v>400044969</v>
      </c>
    </row>
    <row r="428" spans="1:21" s="159" customFormat="1" ht="60" x14ac:dyDescent="0.25">
      <c r="A428" s="63">
        <f>MATCH($E428,'D1 - Master Project Table'!$B$24:$B$7056,0)</f>
        <v>1424</v>
      </c>
      <c r="B428" s="63" t="b">
        <f t="shared" si="18"/>
        <v>0</v>
      </c>
      <c r="C428" s="63" t="b">
        <f t="shared" si="19"/>
        <v>1</v>
      </c>
      <c r="D428" s="63" t="str">
        <f t="shared" si="20"/>
        <v>OK</v>
      </c>
      <c r="E428" s="393">
        <v>400037479</v>
      </c>
      <c r="F428" s="392" t="s">
        <v>6054</v>
      </c>
      <c r="G428" s="392" t="s">
        <v>5325</v>
      </c>
      <c r="H428" s="392" t="s">
        <v>7418</v>
      </c>
      <c r="I428" s="392" t="s">
        <v>6419</v>
      </c>
      <c r="J428" s="392" t="s">
        <v>6584</v>
      </c>
      <c r="K428" s="392" t="s">
        <v>6585</v>
      </c>
      <c r="L428" s="392" t="s">
        <v>2217</v>
      </c>
      <c r="M428" s="392" t="s">
        <v>3758</v>
      </c>
      <c r="N428" s="392" t="s">
        <v>7273</v>
      </c>
      <c r="O428" s="392" t="s">
        <v>7273</v>
      </c>
      <c r="P428"/>
      <c r="Q428"/>
      <c r="R428" s="387">
        <f>VLOOKUP(E428,'[1]NDB Impacted SPRFs 05032013'!$A$2:$A$65536,1,FALSE)</f>
        <v>400037479</v>
      </c>
    </row>
    <row r="429" spans="1:21" ht="60" x14ac:dyDescent="0.25">
      <c r="A429" s="63">
        <f>MATCH($E429,'D1 - Master Project Table'!$B$24:$B$7056,0)</f>
        <v>14</v>
      </c>
      <c r="B429" s="63" t="b">
        <f t="shared" si="18"/>
        <v>0</v>
      </c>
      <c r="C429" s="63" t="b">
        <f t="shared" si="19"/>
        <v>0</v>
      </c>
      <c r="D429" s="63" t="str">
        <f t="shared" si="20"/>
        <v>OK</v>
      </c>
      <c r="E429" s="393">
        <v>400053961</v>
      </c>
      <c r="F429" s="392" t="s">
        <v>6639</v>
      </c>
      <c r="G429" s="392" t="s">
        <v>5324</v>
      </c>
      <c r="H429" s="392" t="s">
        <v>4917</v>
      </c>
      <c r="I429" s="392" t="s">
        <v>1763</v>
      </c>
      <c r="J429" s="392" t="s">
        <v>8475</v>
      </c>
      <c r="K429" s="392" t="s">
        <v>508</v>
      </c>
      <c r="L429" s="392" t="s">
        <v>9488</v>
      </c>
      <c r="M429" s="392" t="s">
        <v>7273</v>
      </c>
      <c r="N429" s="392" t="s">
        <v>7273</v>
      </c>
      <c r="O429" s="392" t="s">
        <v>7273</v>
      </c>
      <c r="P429"/>
      <c r="Q429"/>
      <c r="R429" s="387">
        <f>VLOOKUP(E429,'[1]NDB Impacted SPRFs 05032013'!$A$2:$A$65536,1,FALSE)</f>
        <v>400053961</v>
      </c>
      <c r="S429" s="159"/>
      <c r="T429" s="159"/>
      <c r="U429" s="159"/>
    </row>
    <row r="430" spans="1:21" ht="60" x14ac:dyDescent="0.25">
      <c r="A430" s="63">
        <f>MATCH($E430,'D1 - Master Project Table'!$B$24:$B$7056,0)</f>
        <v>1659</v>
      </c>
      <c r="B430" s="63" t="b">
        <f t="shared" si="18"/>
        <v>0</v>
      </c>
      <c r="C430" s="63" t="b">
        <f t="shared" si="19"/>
        <v>1</v>
      </c>
      <c r="D430" s="63" t="str">
        <f t="shared" si="20"/>
        <v>OK</v>
      </c>
      <c r="E430" s="393">
        <v>400050144</v>
      </c>
      <c r="F430" s="392" t="s">
        <v>1293</v>
      </c>
      <c r="G430" s="392" t="s">
        <v>6322</v>
      </c>
      <c r="H430" s="392" t="s">
        <v>7418</v>
      </c>
      <c r="I430" s="392" t="s">
        <v>1758</v>
      </c>
      <c r="J430" s="392" t="s">
        <v>2534</v>
      </c>
      <c r="K430" s="392" t="s">
        <v>1440</v>
      </c>
      <c r="L430" s="392" t="s">
        <v>1294</v>
      </c>
      <c r="M430" s="392" t="s">
        <v>7273</v>
      </c>
      <c r="N430" s="392" t="s">
        <v>7273</v>
      </c>
      <c r="O430" s="392" t="s">
        <v>7273</v>
      </c>
      <c r="P430"/>
      <c r="Q430"/>
      <c r="R430" s="387">
        <f>VLOOKUP(E430,'[1]NDB Impacted SPRFs 05032013'!$A$2:$A$65536,1,FALSE)</f>
        <v>400050144</v>
      </c>
      <c r="S430" s="159"/>
      <c r="T430" s="159"/>
      <c r="U430" s="159"/>
    </row>
    <row r="431" spans="1:21" ht="60" x14ac:dyDescent="0.25">
      <c r="A431" s="63">
        <f>MATCH($E431,'D1 - Master Project Table'!$B$24:$B$7056,0)</f>
        <v>1208</v>
      </c>
      <c r="B431" s="63" t="b">
        <f t="shared" si="18"/>
        <v>0</v>
      </c>
      <c r="C431" s="63" t="b">
        <f t="shared" si="19"/>
        <v>1</v>
      </c>
      <c r="D431" s="63" t="str">
        <f t="shared" si="20"/>
        <v>OK</v>
      </c>
      <c r="E431" s="393">
        <v>400026313</v>
      </c>
      <c r="F431" s="392" t="s">
        <v>3157</v>
      </c>
      <c r="G431" s="392" t="s">
        <v>6322</v>
      </c>
      <c r="H431" s="392" t="s">
        <v>7418</v>
      </c>
      <c r="I431" s="392" t="s">
        <v>1812</v>
      </c>
      <c r="J431" s="392" t="s">
        <v>3158</v>
      </c>
      <c r="K431" s="392" t="s">
        <v>3234</v>
      </c>
      <c r="L431" s="392" t="s">
        <v>8928</v>
      </c>
      <c r="M431" s="392" t="s">
        <v>3758</v>
      </c>
      <c r="N431" s="392" t="s">
        <v>7273</v>
      </c>
      <c r="O431" s="392" t="s">
        <v>3758</v>
      </c>
      <c r="P431"/>
      <c r="Q431"/>
      <c r="R431" s="387">
        <f>VLOOKUP(E431,'[1]NDB Impacted SPRFs 05032013'!$A$2:$A$65536,1,FALSE)</f>
        <v>400026313</v>
      </c>
      <c r="S431" s="159"/>
      <c r="T431" s="159"/>
      <c r="U431" s="159"/>
    </row>
    <row r="432" spans="1:21" s="159" customFormat="1" ht="60" x14ac:dyDescent="0.25">
      <c r="A432" s="63">
        <f>MATCH($E432,'D1 - Master Project Table'!$B$24:$B$7056,0)</f>
        <v>2234</v>
      </c>
      <c r="B432" s="63" t="b">
        <f t="shared" si="18"/>
        <v>0</v>
      </c>
      <c r="C432" s="63" t="b">
        <f t="shared" si="19"/>
        <v>1</v>
      </c>
      <c r="D432" s="63" t="str">
        <f t="shared" si="20"/>
        <v>OK</v>
      </c>
      <c r="E432" s="393">
        <v>400023212</v>
      </c>
      <c r="F432" s="392" t="s">
        <v>5084</v>
      </c>
      <c r="G432" s="392" t="s">
        <v>5325</v>
      </c>
      <c r="H432" s="392" t="s">
        <v>5314</v>
      </c>
      <c r="I432" s="392" t="s">
        <v>6419</v>
      </c>
      <c r="J432" s="392" t="s">
        <v>6584</v>
      </c>
      <c r="K432" s="392" t="s">
        <v>7732</v>
      </c>
      <c r="L432" s="392" t="s">
        <v>5367</v>
      </c>
      <c r="M432" s="392" t="s">
        <v>3758</v>
      </c>
      <c r="N432" s="392" t="s">
        <v>7273</v>
      </c>
      <c r="O432" s="392" t="s">
        <v>7273</v>
      </c>
      <c r="P432"/>
      <c r="Q432"/>
      <c r="R432" s="387">
        <f>VLOOKUP(E432,'[1]NDB Impacted SPRFs 05032013'!$A$2:$A$65536,1,FALSE)</f>
        <v>400023212</v>
      </c>
      <c r="S432" s="128"/>
      <c r="T432" s="128"/>
      <c r="U432" s="128"/>
    </row>
    <row r="433" spans="1:21" s="159" customFormat="1" ht="60" x14ac:dyDescent="0.25">
      <c r="A433" s="63">
        <f>MATCH($E433,'D1 - Master Project Table'!$B$24:$B$7056,0)</f>
        <v>3266</v>
      </c>
      <c r="B433" s="63" t="b">
        <f t="shared" si="18"/>
        <v>0</v>
      </c>
      <c r="C433" s="63" t="b">
        <f t="shared" si="19"/>
        <v>1</v>
      </c>
      <c r="D433" s="63" t="str">
        <f t="shared" si="20"/>
        <v>OK</v>
      </c>
      <c r="E433" s="393">
        <v>400040681</v>
      </c>
      <c r="F433" s="392" t="s">
        <v>5651</v>
      </c>
      <c r="G433" s="392" t="s">
        <v>5995</v>
      </c>
      <c r="H433" s="392" t="s">
        <v>7418</v>
      </c>
      <c r="I433" s="392" t="s">
        <v>6423</v>
      </c>
      <c r="J433" s="392" t="s">
        <v>5652</v>
      </c>
      <c r="K433" s="392" t="s">
        <v>4114</v>
      </c>
      <c r="L433" s="392" t="s">
        <v>574</v>
      </c>
      <c r="M433" s="392" t="s">
        <v>7273</v>
      </c>
      <c r="N433" s="392" t="s">
        <v>7273</v>
      </c>
      <c r="O433" s="392" t="s">
        <v>7273</v>
      </c>
      <c r="P433"/>
      <c r="Q433"/>
      <c r="R433" s="387">
        <f>VLOOKUP(E433,'[1]NDB Impacted SPRFs 05032013'!$A$2:$A$65536,1,FALSE)</f>
        <v>400040681</v>
      </c>
    </row>
    <row r="434" spans="1:21" s="159" customFormat="1" ht="60" x14ac:dyDescent="0.25">
      <c r="A434" s="63">
        <f>MATCH($E434,'D1 - Master Project Table'!$B$24:$B$7056,0)</f>
        <v>430</v>
      </c>
      <c r="B434" s="63" t="b">
        <f t="shared" si="18"/>
        <v>0</v>
      </c>
      <c r="C434" s="63" t="b">
        <f t="shared" si="19"/>
        <v>1</v>
      </c>
      <c r="D434" s="63" t="str">
        <f t="shared" si="20"/>
        <v>OK</v>
      </c>
      <c r="E434" s="393">
        <v>400007560</v>
      </c>
      <c r="F434" s="392" t="s">
        <v>5435</v>
      </c>
      <c r="G434" s="392" t="s">
        <v>5995</v>
      </c>
      <c r="H434" s="392" t="s">
        <v>7418</v>
      </c>
      <c r="I434" s="392" t="s">
        <v>4527</v>
      </c>
      <c r="J434" s="392" t="s">
        <v>4115</v>
      </c>
      <c r="K434" s="392" t="s">
        <v>8092</v>
      </c>
      <c r="L434" s="392" t="s">
        <v>6311</v>
      </c>
      <c r="M434" s="392" t="s">
        <v>7273</v>
      </c>
      <c r="N434" s="392" t="s">
        <v>7273</v>
      </c>
      <c r="O434" s="392" t="s">
        <v>7273</v>
      </c>
      <c r="P434"/>
      <c r="Q434"/>
      <c r="R434" s="387">
        <f>VLOOKUP(E434,'[1]NDB Impacted SPRFs 05032013'!$A$2:$A$65536,1,FALSE)</f>
        <v>400007560</v>
      </c>
    </row>
    <row r="435" spans="1:21" s="160" customFormat="1" ht="60" x14ac:dyDescent="0.25">
      <c r="A435" s="63">
        <f>MATCH($E435,'D1 - Master Project Table'!$B$24:$B$7056,0)</f>
        <v>51</v>
      </c>
      <c r="B435" s="63" t="b">
        <f t="shared" si="18"/>
        <v>0</v>
      </c>
      <c r="C435" s="63" t="b">
        <f t="shared" si="19"/>
        <v>0</v>
      </c>
      <c r="D435" s="63" t="str">
        <f t="shared" si="20"/>
        <v>OK</v>
      </c>
      <c r="E435" s="393">
        <v>400054151</v>
      </c>
      <c r="F435" s="392" t="s">
        <v>882</v>
      </c>
      <c r="G435" s="392" t="s">
        <v>5324</v>
      </c>
      <c r="H435" s="392" t="s">
        <v>4917</v>
      </c>
      <c r="I435" s="392" t="s">
        <v>1759</v>
      </c>
      <c r="J435" s="392" t="s">
        <v>1433</v>
      </c>
      <c r="K435" s="392" t="s">
        <v>4595</v>
      </c>
      <c r="L435" s="392" t="s">
        <v>883</v>
      </c>
      <c r="M435" s="392" t="s">
        <v>3758</v>
      </c>
      <c r="N435" s="392" t="s">
        <v>7273</v>
      </c>
      <c r="O435" s="392" t="s">
        <v>7273</v>
      </c>
      <c r="P435"/>
      <c r="Q435"/>
      <c r="R435" s="387">
        <f>VLOOKUP(E435,'[1]NDB Impacted SPRFs 05032013'!$A$2:$A$65536,1,FALSE)</f>
        <v>400054151</v>
      </c>
      <c r="S435" s="128"/>
      <c r="T435" s="128"/>
      <c r="U435" s="128"/>
    </row>
    <row r="436" spans="1:21" s="160" customFormat="1" ht="60" x14ac:dyDescent="0.25">
      <c r="A436" s="63">
        <f>MATCH($E436,'D1 - Master Project Table'!$B$24:$B$7056,0)</f>
        <v>1282</v>
      </c>
      <c r="B436" s="63" t="b">
        <f t="shared" si="18"/>
        <v>0</v>
      </c>
      <c r="C436" s="63" t="b">
        <f t="shared" si="19"/>
        <v>1</v>
      </c>
      <c r="D436" s="63" t="str">
        <f t="shared" si="20"/>
        <v>OK</v>
      </c>
      <c r="E436" s="393">
        <v>400029858</v>
      </c>
      <c r="F436" s="392" t="s">
        <v>6854</v>
      </c>
      <c r="G436" s="392" t="s">
        <v>5001</v>
      </c>
      <c r="H436" s="392" t="s">
        <v>7418</v>
      </c>
      <c r="I436" s="392" t="s">
        <v>1829</v>
      </c>
      <c r="J436" s="392" t="s">
        <v>8757</v>
      </c>
      <c r="K436" s="392" t="s">
        <v>2062</v>
      </c>
      <c r="L436" s="392" t="s">
        <v>719</v>
      </c>
      <c r="M436" s="392" t="s">
        <v>3758</v>
      </c>
      <c r="N436" s="392" t="s">
        <v>7273</v>
      </c>
      <c r="O436" s="392" t="s">
        <v>7273</v>
      </c>
      <c r="P436"/>
      <c r="Q436"/>
      <c r="R436" s="387">
        <f>VLOOKUP(E436,'[1]NDB Impacted SPRFs 05032013'!$A$2:$A$65536,1,FALSE)</f>
        <v>400029858</v>
      </c>
      <c r="S436" s="128"/>
      <c r="T436" s="128"/>
      <c r="U436" s="128"/>
    </row>
    <row r="437" spans="1:21" s="159" customFormat="1" ht="60" x14ac:dyDescent="0.25">
      <c r="A437" s="63">
        <f>MATCH($E437,'D1 - Master Project Table'!$B$24:$B$7056,0)</f>
        <v>1952</v>
      </c>
      <c r="B437" s="63" t="b">
        <f t="shared" si="18"/>
        <v>0</v>
      </c>
      <c r="C437" s="63" t="b">
        <f t="shared" si="19"/>
        <v>1</v>
      </c>
      <c r="D437" s="63" t="str">
        <f t="shared" si="20"/>
        <v>OK</v>
      </c>
      <c r="E437" s="393">
        <v>400020987</v>
      </c>
      <c r="F437" s="392" t="s">
        <v>4936</v>
      </c>
      <c r="G437" s="392" t="s">
        <v>5324</v>
      </c>
      <c r="H437" s="392" t="s">
        <v>7418</v>
      </c>
      <c r="I437" s="392" t="s">
        <v>1758</v>
      </c>
      <c r="J437" s="392" t="s">
        <v>1516</v>
      </c>
      <c r="K437" s="392" t="s">
        <v>2523</v>
      </c>
      <c r="L437" s="392" t="s">
        <v>8182</v>
      </c>
      <c r="M437" s="392" t="s">
        <v>3758</v>
      </c>
      <c r="N437" s="392" t="s">
        <v>7273</v>
      </c>
      <c r="O437" s="392" t="s">
        <v>7273</v>
      </c>
      <c r="P437"/>
      <c r="Q437"/>
      <c r="R437" s="387">
        <f>VLOOKUP(E437,'[1]NDB Impacted SPRFs 05032013'!$A$2:$A$65536,1,FALSE)</f>
        <v>400020987</v>
      </c>
    </row>
    <row r="438" spans="1:21" s="159" customFormat="1" ht="60" x14ac:dyDescent="0.25">
      <c r="A438" s="63">
        <f>MATCH($E438,'D1 - Master Project Table'!$B$24:$B$7056,0)</f>
        <v>1396</v>
      </c>
      <c r="B438" s="63" t="b">
        <f t="shared" si="18"/>
        <v>0</v>
      </c>
      <c r="C438" s="63" t="b">
        <f t="shared" si="19"/>
        <v>1</v>
      </c>
      <c r="D438" s="63" t="str">
        <f t="shared" si="20"/>
        <v>OK</v>
      </c>
      <c r="E438" s="393">
        <v>400037131</v>
      </c>
      <c r="F438" s="392" t="s">
        <v>3687</v>
      </c>
      <c r="G438" s="392" t="s">
        <v>5995</v>
      </c>
      <c r="H438" s="392" t="s">
        <v>7418</v>
      </c>
      <c r="I438" s="392" t="s">
        <v>6423</v>
      </c>
      <c r="J438" s="392" t="s">
        <v>5768</v>
      </c>
      <c r="K438" s="392" t="s">
        <v>2078</v>
      </c>
      <c r="L438" s="392" t="s">
        <v>28</v>
      </c>
      <c r="M438" s="392" t="s">
        <v>3758</v>
      </c>
      <c r="N438" s="392" t="s">
        <v>7273</v>
      </c>
      <c r="O438" s="392" t="s">
        <v>7273</v>
      </c>
      <c r="P438"/>
      <c r="Q438"/>
      <c r="R438" s="387">
        <f>VLOOKUP(E438,'[1]NDB Impacted SPRFs 05032013'!$A$2:$A$65536,1,FALSE)</f>
        <v>400037131</v>
      </c>
    </row>
    <row r="439" spans="1:21" s="159" customFormat="1" ht="60" x14ac:dyDescent="0.25">
      <c r="A439" s="63">
        <f>MATCH($E439,'D1 - Master Project Table'!$B$24:$B$7056,0)</f>
        <v>2003</v>
      </c>
      <c r="B439" s="63" t="b">
        <f t="shared" si="18"/>
        <v>0</v>
      </c>
      <c r="C439" s="63" t="b">
        <f t="shared" si="19"/>
        <v>1</v>
      </c>
      <c r="D439" s="63" t="str">
        <f t="shared" si="20"/>
        <v>OK</v>
      </c>
      <c r="E439" s="393">
        <v>400032354</v>
      </c>
      <c r="F439" s="392" t="s">
        <v>3911</v>
      </c>
      <c r="G439" s="392" t="s">
        <v>5325</v>
      </c>
      <c r="H439" s="392" t="s">
        <v>7418</v>
      </c>
      <c r="I439" s="392" t="s">
        <v>1671</v>
      </c>
      <c r="J439" s="392" t="s">
        <v>6011</v>
      </c>
      <c r="K439" s="392" t="s">
        <v>1650</v>
      </c>
      <c r="L439" s="392" t="s">
        <v>7926</v>
      </c>
      <c r="M439" s="392" t="s">
        <v>7273</v>
      </c>
      <c r="N439" s="392" t="s">
        <v>7273</v>
      </c>
      <c r="O439" s="392" t="s">
        <v>3758</v>
      </c>
      <c r="P439"/>
      <c r="Q439"/>
      <c r="R439" s="387">
        <f>VLOOKUP(E439,'[1]NDB Impacted SPRFs 05032013'!$A$2:$A$65536,1,FALSE)</f>
        <v>400032354</v>
      </c>
      <c r="S439" s="128"/>
      <c r="T439" s="128"/>
      <c r="U439" s="128"/>
    </row>
    <row r="440" spans="1:21" s="159" customFormat="1" ht="60" x14ac:dyDescent="0.25">
      <c r="A440" s="63">
        <f>MATCH($E440,'D1 - Master Project Table'!$B$24:$B$7056,0)</f>
        <v>1915</v>
      </c>
      <c r="B440" s="63" t="b">
        <f t="shared" si="18"/>
        <v>0</v>
      </c>
      <c r="C440" s="63" t="b">
        <f t="shared" si="19"/>
        <v>1</v>
      </c>
      <c r="D440" s="63" t="str">
        <f t="shared" si="20"/>
        <v>OK</v>
      </c>
      <c r="E440" s="393">
        <v>400009492</v>
      </c>
      <c r="F440" s="392" t="s">
        <v>4795</v>
      </c>
      <c r="G440" s="392" t="s">
        <v>5995</v>
      </c>
      <c r="H440" s="392" t="s">
        <v>7418</v>
      </c>
      <c r="I440" s="392" t="s">
        <v>24</v>
      </c>
      <c r="J440" s="392" t="s">
        <v>4608</v>
      </c>
      <c r="K440" s="392" t="s">
        <v>5563</v>
      </c>
      <c r="L440" s="392" t="s">
        <v>734</v>
      </c>
      <c r="M440" s="392" t="s">
        <v>7273</v>
      </c>
      <c r="N440" s="392" t="s">
        <v>7273</v>
      </c>
      <c r="O440" s="392" t="s">
        <v>7273</v>
      </c>
      <c r="P440"/>
      <c r="Q440"/>
      <c r="R440" s="387">
        <f>VLOOKUP(E440,'[1]NDB Impacted SPRFs 05032013'!$A$2:$A$65536,1,FALSE)</f>
        <v>400009492</v>
      </c>
    </row>
    <row r="441" spans="1:21" s="159" customFormat="1" ht="60" x14ac:dyDescent="0.25">
      <c r="A441" s="63">
        <f>MATCH($E441,'D1 - Master Project Table'!$B$24:$B$7056,0)</f>
        <v>2928</v>
      </c>
      <c r="B441" s="63" t="b">
        <f t="shared" si="18"/>
        <v>0</v>
      </c>
      <c r="C441" s="63" t="b">
        <f t="shared" si="19"/>
        <v>1</v>
      </c>
      <c r="D441" s="63" t="str">
        <f t="shared" si="20"/>
        <v>OK</v>
      </c>
      <c r="E441" s="393">
        <v>400033052</v>
      </c>
      <c r="F441" s="392" t="s">
        <v>650</v>
      </c>
      <c r="G441" s="392" t="s">
        <v>5324</v>
      </c>
      <c r="H441" s="392" t="s">
        <v>5314</v>
      </c>
      <c r="I441" s="392" t="s">
        <v>1758</v>
      </c>
      <c r="J441" s="392" t="s">
        <v>6543</v>
      </c>
      <c r="K441" s="392" t="s">
        <v>651</v>
      </c>
      <c r="L441" s="392" t="s">
        <v>652</v>
      </c>
      <c r="M441" s="392" t="s">
        <v>3758</v>
      </c>
      <c r="N441" s="392" t="s">
        <v>7273</v>
      </c>
      <c r="O441" s="392" t="s">
        <v>3758</v>
      </c>
      <c r="P441"/>
      <c r="Q441"/>
      <c r="R441" s="387">
        <f>VLOOKUP(E441,'[1]NDB Impacted SPRFs 05032013'!$A$2:$A$65536,1,FALSE)</f>
        <v>400033052</v>
      </c>
      <c r="S441" s="128"/>
      <c r="T441" s="128"/>
      <c r="U441" s="128"/>
    </row>
    <row r="442" spans="1:21" ht="60" x14ac:dyDescent="0.25">
      <c r="A442" s="63">
        <f>MATCH($E442,'D1 - Master Project Table'!$B$24:$B$7056,0)</f>
        <v>1877</v>
      </c>
      <c r="B442" s="63" t="b">
        <f t="shared" si="18"/>
        <v>0</v>
      </c>
      <c r="C442" s="63" t="b">
        <f t="shared" si="19"/>
        <v>1</v>
      </c>
      <c r="D442" s="63" t="str">
        <f t="shared" si="20"/>
        <v>OK</v>
      </c>
      <c r="E442" s="393">
        <v>400003226</v>
      </c>
      <c r="F442" s="392" t="s">
        <v>7776</v>
      </c>
      <c r="G442" s="392" t="s">
        <v>5324</v>
      </c>
      <c r="H442" s="392" t="s">
        <v>7418</v>
      </c>
      <c r="I442" s="392" t="s">
        <v>1768</v>
      </c>
      <c r="J442" s="392" t="s">
        <v>8454</v>
      </c>
      <c r="K442" s="392" t="s">
        <v>8013</v>
      </c>
      <c r="L442" s="392" t="s">
        <v>6765</v>
      </c>
      <c r="M442" s="392" t="s">
        <v>3758</v>
      </c>
      <c r="N442" s="392" t="s">
        <v>7273</v>
      </c>
      <c r="O442" s="392" t="s">
        <v>7273</v>
      </c>
      <c r="P442"/>
      <c r="Q442"/>
      <c r="R442" s="387">
        <f>VLOOKUP(E442,'[1]NDB Impacted SPRFs 05032013'!$A$2:$A$65536,1,FALSE)</f>
        <v>400003226</v>
      </c>
      <c r="S442" s="159"/>
      <c r="T442" s="159"/>
      <c r="U442" s="159"/>
    </row>
    <row r="443" spans="1:21" s="159" customFormat="1" ht="60" x14ac:dyDescent="0.25">
      <c r="A443" s="63">
        <f>MATCH($E443,'D1 - Master Project Table'!$B$24:$B$7056,0)</f>
        <v>1614</v>
      </c>
      <c r="B443" s="63" t="b">
        <f t="shared" si="18"/>
        <v>0</v>
      </c>
      <c r="C443" s="63" t="b">
        <f t="shared" si="19"/>
        <v>1</v>
      </c>
      <c r="D443" s="63" t="str">
        <f t="shared" si="20"/>
        <v>OK</v>
      </c>
      <c r="E443" s="393">
        <v>400043359</v>
      </c>
      <c r="F443" s="392" t="s">
        <v>1176</v>
      </c>
      <c r="G443" s="392" t="s">
        <v>5324</v>
      </c>
      <c r="H443" s="392" t="s">
        <v>7418</v>
      </c>
      <c r="I443" s="392" t="s">
        <v>1759</v>
      </c>
      <c r="J443" s="392" t="s">
        <v>4703</v>
      </c>
      <c r="K443" s="392" t="s">
        <v>1094</v>
      </c>
      <c r="L443" s="392" t="s">
        <v>7090</v>
      </c>
      <c r="M443" s="392" t="s">
        <v>3758</v>
      </c>
      <c r="N443" s="392" t="s">
        <v>7273</v>
      </c>
      <c r="O443" s="392" t="s">
        <v>3758</v>
      </c>
      <c r="P443"/>
      <c r="Q443"/>
      <c r="R443" s="387">
        <f>VLOOKUP(E443,'[1]NDB Impacted SPRFs 05032013'!$A$2:$A$65536,1,FALSE)</f>
        <v>400043359</v>
      </c>
    </row>
    <row r="444" spans="1:21" s="159" customFormat="1" ht="60" x14ac:dyDescent="0.25">
      <c r="A444" s="63">
        <f>MATCH($E444,'D1 - Master Project Table'!$B$24:$B$7056,0)</f>
        <v>1499</v>
      </c>
      <c r="B444" s="63" t="b">
        <f t="shared" si="18"/>
        <v>0</v>
      </c>
      <c r="C444" s="63" t="b">
        <f t="shared" si="19"/>
        <v>1</v>
      </c>
      <c r="D444" s="63" t="str">
        <f t="shared" si="20"/>
        <v>OK</v>
      </c>
      <c r="E444" s="393">
        <v>400038607</v>
      </c>
      <c r="F444" s="392" t="s">
        <v>7324</v>
      </c>
      <c r="G444" s="392" t="s">
        <v>5325</v>
      </c>
      <c r="H444" s="392" t="s">
        <v>7418</v>
      </c>
      <c r="I444" s="392" t="s">
        <v>6419</v>
      </c>
      <c r="J444" s="392" t="s">
        <v>1433</v>
      </c>
      <c r="K444" s="392" t="s">
        <v>4595</v>
      </c>
      <c r="L444" s="392" t="s">
        <v>2526</v>
      </c>
      <c r="M444" s="392" t="s">
        <v>3758</v>
      </c>
      <c r="N444" s="392" t="s">
        <v>7273</v>
      </c>
      <c r="O444" s="392" t="s">
        <v>7273</v>
      </c>
      <c r="P444"/>
      <c r="Q444"/>
      <c r="R444" s="387">
        <f>VLOOKUP(E444,'[1]NDB Impacted SPRFs 05032013'!$A$2:$A$65536,1,FALSE)</f>
        <v>400038607</v>
      </c>
    </row>
    <row r="445" spans="1:21" s="159" customFormat="1" ht="60" x14ac:dyDescent="0.25">
      <c r="A445" s="63">
        <f>MATCH($E445,'D1 - Master Project Table'!$B$24:$B$7056,0)</f>
        <v>3034</v>
      </c>
      <c r="B445" s="63" t="b">
        <f t="shared" si="18"/>
        <v>0</v>
      </c>
      <c r="C445" s="63" t="b">
        <f t="shared" si="19"/>
        <v>1</v>
      </c>
      <c r="D445" s="63" t="str">
        <f t="shared" si="20"/>
        <v>OK</v>
      </c>
      <c r="E445" s="393">
        <v>400041626</v>
      </c>
      <c r="F445" s="392" t="s">
        <v>2487</v>
      </c>
      <c r="G445" s="392" t="s">
        <v>5001</v>
      </c>
      <c r="H445" s="392" t="s">
        <v>7418</v>
      </c>
      <c r="I445" s="392" t="s">
        <v>3540</v>
      </c>
      <c r="J445" s="392" t="s">
        <v>8743</v>
      </c>
      <c r="K445" s="392" t="s">
        <v>2485</v>
      </c>
      <c r="L445" s="392" t="s">
        <v>2654</v>
      </c>
      <c r="M445" s="392" t="s">
        <v>7273</v>
      </c>
      <c r="N445" s="392" t="s">
        <v>7273</v>
      </c>
      <c r="O445" s="392" t="s">
        <v>3758</v>
      </c>
      <c r="P445"/>
      <c r="Q445"/>
      <c r="R445" s="387">
        <f>VLOOKUP(E445,'[1]NDB Impacted SPRFs 05032013'!$A$2:$A$65536,1,FALSE)</f>
        <v>400041626</v>
      </c>
    </row>
    <row r="446" spans="1:21" ht="60" x14ac:dyDescent="0.25">
      <c r="A446" s="63" t="e">
        <f>MATCH($E446,'D1 - Master Project Table'!$B$24:$B$7056,0)</f>
        <v>#N/A</v>
      </c>
      <c r="B446" s="63" t="b">
        <f t="shared" si="18"/>
        <v>1</v>
      </c>
      <c r="C446" s="63" t="b">
        <f t="shared" si="19"/>
        <v>1</v>
      </c>
      <c r="D446" s="63" t="str">
        <f t="shared" si="20"/>
        <v>OK</v>
      </c>
      <c r="E446" s="393">
        <v>400002277</v>
      </c>
      <c r="F446" s="392" t="s">
        <v>6612</v>
      </c>
      <c r="G446" s="392" t="s">
        <v>5787</v>
      </c>
      <c r="H446" s="392" t="s">
        <v>7418</v>
      </c>
      <c r="I446" s="392" t="s">
        <v>1783</v>
      </c>
      <c r="J446" s="392" t="s">
        <v>5558</v>
      </c>
      <c r="K446" s="392" t="s">
        <v>4016</v>
      </c>
      <c r="L446" s="392" t="s">
        <v>3405</v>
      </c>
      <c r="M446" s="392" t="s">
        <v>3758</v>
      </c>
      <c r="N446" s="392" t="s">
        <v>7273</v>
      </c>
      <c r="O446" s="392" t="s">
        <v>7273</v>
      </c>
      <c r="P446"/>
      <c r="Q446"/>
      <c r="R446" s="387">
        <f>VLOOKUP(E446,'[1]NDB Impacted SPRFs 05032013'!$A$2:$A$65536,1,FALSE)</f>
        <v>400002277</v>
      </c>
      <c r="S446" s="159"/>
      <c r="T446" s="159"/>
      <c r="U446" s="159"/>
    </row>
    <row r="447" spans="1:21" s="159" customFormat="1" ht="60" x14ac:dyDescent="0.25">
      <c r="A447" s="63" t="e">
        <f>MATCH($E447,'D1 - Master Project Table'!$B$24:$B$7056,0)</f>
        <v>#N/A</v>
      </c>
      <c r="B447" s="63" t="b">
        <f t="shared" si="18"/>
        <v>1</v>
      </c>
      <c r="C447" s="63" t="b">
        <f t="shared" si="19"/>
        <v>1</v>
      </c>
      <c r="D447" s="63" t="str">
        <f t="shared" si="20"/>
        <v>OK</v>
      </c>
      <c r="E447" s="393">
        <v>400000123</v>
      </c>
      <c r="F447" s="392" t="s">
        <v>7298</v>
      </c>
      <c r="G447" s="392" t="s">
        <v>5324</v>
      </c>
      <c r="H447" s="392" t="s">
        <v>7418</v>
      </c>
      <c r="I447" s="392" t="s">
        <v>1806</v>
      </c>
      <c r="J447" s="392" t="s">
        <v>8349</v>
      </c>
      <c r="K447" s="392" t="s">
        <v>2829</v>
      </c>
      <c r="L447" s="392" t="s">
        <v>5712</v>
      </c>
      <c r="M447" s="392" t="s">
        <v>3758</v>
      </c>
      <c r="N447" s="392" t="s">
        <v>7273</v>
      </c>
      <c r="O447" s="392" t="s">
        <v>7273</v>
      </c>
      <c r="P447"/>
      <c r="Q447"/>
      <c r="R447" s="387">
        <f>VLOOKUP(E447,'[1]NDB Impacted SPRFs 05032013'!$A$2:$A$65536,1,FALSE)</f>
        <v>400000123</v>
      </c>
    </row>
    <row r="448" spans="1:21" s="159" customFormat="1" ht="60" x14ac:dyDescent="0.25">
      <c r="A448" s="63">
        <f>MATCH($E448,'D1 - Master Project Table'!$B$24:$B$7056,0)</f>
        <v>658</v>
      </c>
      <c r="B448" s="63" t="b">
        <f t="shared" si="18"/>
        <v>0</v>
      </c>
      <c r="C448" s="63" t="b">
        <f t="shared" si="19"/>
        <v>1</v>
      </c>
      <c r="D448" s="63" t="str">
        <f t="shared" si="20"/>
        <v>OK</v>
      </c>
      <c r="E448" s="393">
        <v>400010268</v>
      </c>
      <c r="F448" s="392" t="s">
        <v>6496</v>
      </c>
      <c r="G448" s="392" t="s">
        <v>5324</v>
      </c>
      <c r="H448" s="392" t="s">
        <v>7418</v>
      </c>
      <c r="I448" s="392" t="s">
        <v>1788</v>
      </c>
      <c r="J448" s="392" t="s">
        <v>4234</v>
      </c>
      <c r="K448" s="392" t="s">
        <v>1506</v>
      </c>
      <c r="L448" s="392" t="s">
        <v>711</v>
      </c>
      <c r="M448" s="392" t="s">
        <v>3758</v>
      </c>
      <c r="N448" s="392" t="s">
        <v>7273</v>
      </c>
      <c r="O448" s="392" t="s">
        <v>7273</v>
      </c>
      <c r="P448"/>
      <c r="Q448"/>
      <c r="R448" s="387">
        <f>VLOOKUP(E448,'[1]NDB Impacted SPRFs 05032013'!$A$2:$A$65536,1,FALSE)</f>
        <v>400010268</v>
      </c>
    </row>
    <row r="449" spans="1:21" ht="60" x14ac:dyDescent="0.25">
      <c r="A449" s="63">
        <f>MATCH($E449,'D1 - Master Project Table'!$B$24:$B$7056,0)</f>
        <v>959</v>
      </c>
      <c r="B449" s="63" t="b">
        <f t="shared" si="18"/>
        <v>0</v>
      </c>
      <c r="C449" s="63" t="b">
        <f t="shared" si="19"/>
        <v>1</v>
      </c>
      <c r="D449" s="63" t="str">
        <f t="shared" si="20"/>
        <v>OK</v>
      </c>
      <c r="E449" s="393">
        <v>400020355</v>
      </c>
      <c r="F449" s="392" t="s">
        <v>3566</v>
      </c>
      <c r="G449" s="392" t="s">
        <v>5324</v>
      </c>
      <c r="H449" s="392" t="s">
        <v>7418</v>
      </c>
      <c r="I449" s="392" t="s">
        <v>1758</v>
      </c>
      <c r="J449" s="392" t="s">
        <v>5037</v>
      </c>
      <c r="K449" s="392" t="s">
        <v>8096</v>
      </c>
      <c r="L449" s="392" t="s">
        <v>7551</v>
      </c>
      <c r="M449" s="392" t="s">
        <v>3758</v>
      </c>
      <c r="N449" s="392" t="s">
        <v>7273</v>
      </c>
      <c r="O449" s="392" t="s">
        <v>7273</v>
      </c>
      <c r="P449" s="212"/>
      <c r="Q449"/>
      <c r="R449" s="387">
        <f>VLOOKUP(E449,'[1]NDB Impacted SPRFs 05032013'!$A$2:$A$65536,1,FALSE)</f>
        <v>400020355</v>
      </c>
      <c r="S449" s="159"/>
      <c r="T449" s="159"/>
      <c r="U449" s="159"/>
    </row>
    <row r="450" spans="1:21" s="159" customFormat="1" ht="60" x14ac:dyDescent="0.25">
      <c r="A450" s="63">
        <f>MATCH($E450,'D1 - Master Project Table'!$B$24:$B$7056,0)</f>
        <v>2470</v>
      </c>
      <c r="B450" s="63" t="b">
        <f t="shared" si="18"/>
        <v>0</v>
      </c>
      <c r="C450" s="63" t="b">
        <f t="shared" si="19"/>
        <v>1</v>
      </c>
      <c r="D450" s="63" t="str">
        <f t="shared" si="20"/>
        <v>OK</v>
      </c>
      <c r="E450" s="393">
        <v>400004891</v>
      </c>
      <c r="F450" s="392" t="s">
        <v>6604</v>
      </c>
      <c r="G450" s="392" t="s">
        <v>5787</v>
      </c>
      <c r="H450" s="392" t="s">
        <v>5314</v>
      </c>
      <c r="I450" s="392" t="s">
        <v>1780</v>
      </c>
      <c r="J450" s="392" t="s">
        <v>3353</v>
      </c>
      <c r="K450" s="392" t="s">
        <v>3353</v>
      </c>
      <c r="L450" s="392" t="s">
        <v>6205</v>
      </c>
      <c r="M450" s="392" t="s">
        <v>3758</v>
      </c>
      <c r="N450" s="392" t="s">
        <v>7273</v>
      </c>
      <c r="O450" s="392" t="s">
        <v>7273</v>
      </c>
      <c r="P450"/>
      <c r="Q450"/>
      <c r="R450" s="387">
        <f>VLOOKUP(E450,'[1]NDB Impacted SPRFs 05032013'!$A$2:$A$65536,1,FALSE)</f>
        <v>400004891</v>
      </c>
    </row>
    <row r="451" spans="1:21" s="159" customFormat="1" ht="60" x14ac:dyDescent="0.25">
      <c r="A451" s="63">
        <f>MATCH($E451,'D1 - Master Project Table'!$B$24:$B$7056,0)</f>
        <v>2334</v>
      </c>
      <c r="B451" s="63" t="b">
        <f t="shared" si="18"/>
        <v>0</v>
      </c>
      <c r="C451" s="63" t="b">
        <f t="shared" si="19"/>
        <v>1</v>
      </c>
      <c r="D451" s="63" t="str">
        <f t="shared" si="20"/>
        <v>OK</v>
      </c>
      <c r="E451" s="393">
        <v>400048214</v>
      </c>
      <c r="F451" s="392" t="s">
        <v>241</v>
      </c>
      <c r="G451" s="392" t="s">
        <v>5325</v>
      </c>
      <c r="H451" s="392" t="s">
        <v>5314</v>
      </c>
      <c r="I451" s="392" t="s">
        <v>1763</v>
      </c>
      <c r="J451" s="392" t="s">
        <v>8915</v>
      </c>
      <c r="K451" s="392" t="s">
        <v>6945</v>
      </c>
      <c r="L451" s="392" t="s">
        <v>8916</v>
      </c>
      <c r="M451" s="392" t="s">
        <v>7273</v>
      </c>
      <c r="N451" s="392" t="s">
        <v>7273</v>
      </c>
      <c r="O451" s="392" t="s">
        <v>7273</v>
      </c>
      <c r="P451"/>
      <c r="Q451"/>
      <c r="R451" s="387">
        <f>VLOOKUP(E451,'[1]NDB Impacted SPRFs 05032013'!$A$2:$A$65536,1,FALSE)</f>
        <v>400048214</v>
      </c>
      <c r="S451" s="128"/>
      <c r="T451" s="128"/>
      <c r="U451" s="128"/>
    </row>
    <row r="452" spans="1:21" s="159" customFormat="1" ht="60" x14ac:dyDescent="0.25">
      <c r="A452" s="63">
        <f>MATCH($E452,'D1 - Master Project Table'!$B$24:$B$7056,0)</f>
        <v>1991</v>
      </c>
      <c r="B452" s="63" t="b">
        <f t="shared" si="18"/>
        <v>0</v>
      </c>
      <c r="C452" s="63" t="b">
        <f t="shared" si="19"/>
        <v>1</v>
      </c>
      <c r="D452" s="63" t="str">
        <f t="shared" si="20"/>
        <v>OK</v>
      </c>
      <c r="E452" s="393">
        <v>400029090</v>
      </c>
      <c r="F452" s="392" t="s">
        <v>7077</v>
      </c>
      <c r="G452" s="392" t="s">
        <v>5324</v>
      </c>
      <c r="H452" s="392" t="s">
        <v>7418</v>
      </c>
      <c r="I452" s="392" t="s">
        <v>1763</v>
      </c>
      <c r="J452" s="392" t="s">
        <v>6851</v>
      </c>
      <c r="K452" s="392" t="s">
        <v>8075</v>
      </c>
      <c r="L452" s="392" t="s">
        <v>8189</v>
      </c>
      <c r="M452" s="392" t="s">
        <v>3758</v>
      </c>
      <c r="N452" s="392" t="s">
        <v>7273</v>
      </c>
      <c r="O452" s="392" t="s">
        <v>3758</v>
      </c>
      <c r="P452"/>
      <c r="Q452"/>
      <c r="R452" s="387">
        <f>VLOOKUP(E452,'[1]NDB Impacted SPRFs 05032013'!$A$2:$A$65536,1,FALSE)</f>
        <v>400029090</v>
      </c>
      <c r="S452" s="128"/>
      <c r="T452" s="128"/>
      <c r="U452" s="128"/>
    </row>
    <row r="453" spans="1:21" ht="60" x14ac:dyDescent="0.25">
      <c r="A453" s="63">
        <f>MATCH($E453,'D1 - Master Project Table'!$B$24:$B$7056,0)</f>
        <v>1337</v>
      </c>
      <c r="B453" s="63" t="b">
        <f t="shared" si="18"/>
        <v>0</v>
      </c>
      <c r="C453" s="63" t="b">
        <f t="shared" si="19"/>
        <v>1</v>
      </c>
      <c r="D453" s="63" t="str">
        <f t="shared" si="20"/>
        <v>OK</v>
      </c>
      <c r="E453" s="393">
        <v>400031493</v>
      </c>
      <c r="F453" s="392" t="s">
        <v>6853</v>
      </c>
      <c r="G453" s="392" t="s">
        <v>5001</v>
      </c>
      <c r="H453" s="392" t="s">
        <v>7418</v>
      </c>
      <c r="I453" s="392" t="s">
        <v>3540</v>
      </c>
      <c r="J453" s="392" t="s">
        <v>4110</v>
      </c>
      <c r="K453" s="392" t="s">
        <v>3283</v>
      </c>
      <c r="L453" s="392" t="s">
        <v>210</v>
      </c>
      <c r="M453" s="392" t="s">
        <v>3758</v>
      </c>
      <c r="N453" s="392" t="s">
        <v>7273</v>
      </c>
      <c r="O453" s="392" t="s">
        <v>3758</v>
      </c>
      <c r="P453"/>
      <c r="Q453"/>
      <c r="R453" s="387">
        <f>VLOOKUP(E453,'[1]NDB Impacted SPRFs 05032013'!$A$2:$A$65536,1,FALSE)</f>
        <v>400031493</v>
      </c>
      <c r="S453" s="159"/>
      <c r="T453" s="159"/>
      <c r="U453" s="159"/>
    </row>
    <row r="454" spans="1:21" ht="60" x14ac:dyDescent="0.25">
      <c r="A454" s="63">
        <f>MATCH($E454,'D1 - Master Project Table'!$B$24:$B$7056,0)</f>
        <v>45</v>
      </c>
      <c r="B454" s="63" t="b">
        <f t="shared" ref="B454:B517" si="21">ISERROR(A454)</f>
        <v>0</v>
      </c>
      <c r="C454" s="63" t="b">
        <f t="shared" ref="C454:C517" si="22">OR(H454="Completed",H454="Cancelled")</f>
        <v>0</v>
      </c>
      <c r="D454" s="63" t="str">
        <f t="shared" ref="D454:D517" si="23">IF(AND(B454=TRUE,C454=FALSE),"Add","OK")</f>
        <v>OK</v>
      </c>
      <c r="E454" s="393">
        <v>400052635</v>
      </c>
      <c r="F454" s="392" t="s">
        <v>7532</v>
      </c>
      <c r="G454" s="392" t="s">
        <v>5324</v>
      </c>
      <c r="H454" s="392" t="s">
        <v>4917</v>
      </c>
      <c r="I454" s="392" t="s">
        <v>1762</v>
      </c>
      <c r="J454" s="392" t="s">
        <v>7533</v>
      </c>
      <c r="K454" s="392" t="s">
        <v>4336</v>
      </c>
      <c r="L454" s="392" t="s">
        <v>9407</v>
      </c>
      <c r="M454" s="392" t="s">
        <v>3758</v>
      </c>
      <c r="N454" s="392" t="s">
        <v>7273</v>
      </c>
      <c r="O454" s="392" t="s">
        <v>3758</v>
      </c>
      <c r="P454"/>
      <c r="Q454"/>
      <c r="R454" s="387">
        <f>VLOOKUP(E454,'[1]NDB Impacted SPRFs 05032013'!$A$2:$A$65536,1,FALSE)</f>
        <v>400052635</v>
      </c>
      <c r="S454" s="159"/>
      <c r="T454" s="159"/>
      <c r="U454" s="159"/>
    </row>
    <row r="455" spans="1:21" ht="60" x14ac:dyDescent="0.25">
      <c r="A455" s="63">
        <f>MATCH($E455,'D1 - Master Project Table'!$B$24:$B$7056,0)</f>
        <v>1965</v>
      </c>
      <c r="B455" s="63" t="b">
        <f t="shared" si="21"/>
        <v>0</v>
      </c>
      <c r="C455" s="63" t="b">
        <f t="shared" si="22"/>
        <v>1</v>
      </c>
      <c r="D455" s="63" t="str">
        <f t="shared" si="23"/>
        <v>OK</v>
      </c>
      <c r="E455" s="393">
        <v>400024145</v>
      </c>
      <c r="F455" s="392" t="s">
        <v>4506</v>
      </c>
      <c r="G455" s="392" t="s">
        <v>6322</v>
      </c>
      <c r="H455" s="392" t="s">
        <v>7418</v>
      </c>
      <c r="I455" s="392" t="s">
        <v>7594</v>
      </c>
      <c r="J455" s="392" t="s">
        <v>6798</v>
      </c>
      <c r="K455" s="392" t="s">
        <v>6586</v>
      </c>
      <c r="L455" s="392" t="s">
        <v>1473</v>
      </c>
      <c r="M455" s="392" t="s">
        <v>7273</v>
      </c>
      <c r="N455" s="392" t="s">
        <v>7273</v>
      </c>
      <c r="O455" s="392" t="s">
        <v>7273</v>
      </c>
      <c r="P455"/>
      <c r="Q455"/>
      <c r="R455" s="387">
        <f>VLOOKUP(E455,'[1]NDB Impacted SPRFs 05032013'!$A$2:$A$65536,1,FALSE)</f>
        <v>400024145</v>
      </c>
      <c r="S455" s="159"/>
      <c r="T455" s="159"/>
      <c r="U455" s="159"/>
    </row>
    <row r="456" spans="1:21" s="159" customFormat="1" ht="60" x14ac:dyDescent="0.25">
      <c r="A456" s="63">
        <f>MATCH($E456,'D1 - Master Project Table'!$B$24:$B$7056,0)</f>
        <v>1179</v>
      </c>
      <c r="B456" s="63" t="b">
        <f t="shared" si="21"/>
        <v>0</v>
      </c>
      <c r="C456" s="63" t="b">
        <f t="shared" si="22"/>
        <v>1</v>
      </c>
      <c r="D456" s="63" t="str">
        <f t="shared" si="23"/>
        <v>OK</v>
      </c>
      <c r="E456" s="393">
        <v>400030214</v>
      </c>
      <c r="F456" s="392" t="s">
        <v>6596</v>
      </c>
      <c r="G456" s="392" t="s">
        <v>6322</v>
      </c>
      <c r="H456" s="392" t="s">
        <v>7418</v>
      </c>
      <c r="I456" s="392" t="s">
        <v>1118</v>
      </c>
      <c r="J456" s="392" t="s">
        <v>8634</v>
      </c>
      <c r="K456" s="392" t="s">
        <v>4578</v>
      </c>
      <c r="L456" s="392" t="s">
        <v>4837</v>
      </c>
      <c r="M456" s="392" t="s">
        <v>7273</v>
      </c>
      <c r="N456" s="392" t="s">
        <v>7273</v>
      </c>
      <c r="O456" s="392" t="s">
        <v>3758</v>
      </c>
      <c r="P456"/>
      <c r="Q456"/>
      <c r="R456" s="387">
        <f>VLOOKUP(E456,'[1]NDB Impacted SPRFs 05032013'!$A$2:$A$65536,1,FALSE)</f>
        <v>400030214</v>
      </c>
    </row>
    <row r="457" spans="1:21" ht="45" customHeight="1" x14ac:dyDescent="0.25">
      <c r="A457" s="63">
        <f>MATCH($E457,'D1 - Master Project Table'!$B$24:$B$7056,0)</f>
        <v>1461</v>
      </c>
      <c r="B457" s="63" t="b">
        <f t="shared" si="21"/>
        <v>0</v>
      </c>
      <c r="C457" s="63" t="b">
        <f t="shared" si="22"/>
        <v>1</v>
      </c>
      <c r="D457" s="63" t="str">
        <f t="shared" si="23"/>
        <v>OK</v>
      </c>
      <c r="E457" s="393">
        <v>400040017</v>
      </c>
      <c r="F457" s="392" t="s">
        <v>5502</v>
      </c>
      <c r="G457" s="392" t="s">
        <v>5324</v>
      </c>
      <c r="H457" s="392" t="s">
        <v>7418</v>
      </c>
      <c r="I457" s="392" t="s">
        <v>1759</v>
      </c>
      <c r="J457" s="392" t="s">
        <v>4708</v>
      </c>
      <c r="K457" s="392" t="s">
        <v>7111</v>
      </c>
      <c r="L457" s="392" t="s">
        <v>7556</v>
      </c>
      <c r="M457" s="392" t="s">
        <v>3758</v>
      </c>
      <c r="N457" s="392" t="s">
        <v>7273</v>
      </c>
      <c r="O457" s="392" t="s">
        <v>3758</v>
      </c>
      <c r="P457"/>
      <c r="Q457"/>
      <c r="R457" s="387">
        <f>VLOOKUP(E457,'[1]NDB Impacted SPRFs 05032013'!$A$2:$A$65536,1,FALSE)</f>
        <v>400040017</v>
      </c>
      <c r="S457" s="159"/>
      <c r="T457" s="159"/>
      <c r="U457" s="159"/>
    </row>
    <row r="458" spans="1:21" s="159" customFormat="1" ht="60" x14ac:dyDescent="0.25">
      <c r="A458" s="63">
        <f>MATCH($E458,'D1 - Master Project Table'!$B$24:$B$7056,0)</f>
        <v>2156</v>
      </c>
      <c r="B458" s="63" t="b">
        <f t="shared" si="21"/>
        <v>0</v>
      </c>
      <c r="C458" s="63" t="b">
        <f t="shared" si="22"/>
        <v>1</v>
      </c>
      <c r="D458" s="63" t="str">
        <f t="shared" si="23"/>
        <v>OK</v>
      </c>
      <c r="E458" s="393">
        <v>400020328</v>
      </c>
      <c r="F458" s="392" t="s">
        <v>5048</v>
      </c>
      <c r="G458" s="392" t="s">
        <v>5324</v>
      </c>
      <c r="H458" s="392" t="s">
        <v>5314</v>
      </c>
      <c r="I458" s="392" t="s">
        <v>1762</v>
      </c>
      <c r="J458" s="392" t="s">
        <v>5049</v>
      </c>
      <c r="K458" s="392" t="s">
        <v>8075</v>
      </c>
      <c r="L458" s="392" t="s">
        <v>8042</v>
      </c>
      <c r="M458" s="392" t="s">
        <v>3758</v>
      </c>
      <c r="N458" s="392" t="s">
        <v>7273</v>
      </c>
      <c r="O458" s="392" t="s">
        <v>3758</v>
      </c>
      <c r="P458"/>
      <c r="Q458"/>
      <c r="R458" s="387">
        <f>VLOOKUP(E458,'[1]NDB Impacted SPRFs 05032013'!$A$2:$A$65536,1,FALSE)</f>
        <v>400020328</v>
      </c>
    </row>
    <row r="459" spans="1:21" s="159" customFormat="1" ht="60" x14ac:dyDescent="0.25">
      <c r="A459" s="63">
        <f>MATCH($E459,'D1 - Master Project Table'!$B$24:$B$7056,0)</f>
        <v>1621</v>
      </c>
      <c r="B459" s="63" t="b">
        <f t="shared" si="21"/>
        <v>0</v>
      </c>
      <c r="C459" s="63" t="b">
        <f t="shared" si="22"/>
        <v>1</v>
      </c>
      <c r="D459" s="63" t="str">
        <f t="shared" si="23"/>
        <v>OK</v>
      </c>
      <c r="E459" s="393">
        <v>400044584</v>
      </c>
      <c r="F459" s="392" t="s">
        <v>2746</v>
      </c>
      <c r="G459" s="392" t="s">
        <v>5995</v>
      </c>
      <c r="H459" s="392" t="s">
        <v>7418</v>
      </c>
      <c r="I459" s="392" t="s">
        <v>3533</v>
      </c>
      <c r="J459" s="392" t="s">
        <v>1433</v>
      </c>
      <c r="K459" s="392" t="s">
        <v>4595</v>
      </c>
      <c r="L459" s="392" t="s">
        <v>576</v>
      </c>
      <c r="M459" s="392" t="s">
        <v>3758</v>
      </c>
      <c r="N459" s="392" t="s">
        <v>7273</v>
      </c>
      <c r="O459" s="392" t="s">
        <v>7273</v>
      </c>
      <c r="P459"/>
      <c r="Q459"/>
      <c r="R459" s="387">
        <f>VLOOKUP(E459,'[1]NDB Impacted SPRFs 05032013'!$A$2:$A$65536,1,FALSE)</f>
        <v>400044584</v>
      </c>
    </row>
    <row r="460" spans="1:21" s="159" customFormat="1" ht="60" x14ac:dyDescent="0.25">
      <c r="A460" s="63">
        <f>MATCH($E460,'D1 - Master Project Table'!$B$24:$B$7056,0)</f>
        <v>3292</v>
      </c>
      <c r="B460" s="63" t="b">
        <f t="shared" si="21"/>
        <v>0</v>
      </c>
      <c r="C460" s="63" t="b">
        <f t="shared" si="22"/>
        <v>1</v>
      </c>
      <c r="D460" s="63" t="str">
        <f t="shared" si="23"/>
        <v>OK</v>
      </c>
      <c r="E460" s="393">
        <v>400047982</v>
      </c>
      <c r="F460" s="392" t="s">
        <v>1872</v>
      </c>
      <c r="G460" s="392" t="s">
        <v>5995</v>
      </c>
      <c r="H460" s="392" t="s">
        <v>7418</v>
      </c>
      <c r="I460" s="392" t="s">
        <v>3533</v>
      </c>
      <c r="J460" s="392" t="s">
        <v>1707</v>
      </c>
      <c r="K460" s="392" t="s">
        <v>1708</v>
      </c>
      <c r="L460" s="392" t="s">
        <v>9258</v>
      </c>
      <c r="M460" s="392" t="s">
        <v>3758</v>
      </c>
      <c r="N460" s="392" t="s">
        <v>7273</v>
      </c>
      <c r="O460" s="392" t="s">
        <v>7273</v>
      </c>
      <c r="P460" s="212"/>
      <c r="Q460" s="212"/>
      <c r="R460" s="387">
        <f>VLOOKUP(E460,'[1]NDB Impacted SPRFs 05032013'!$A$2:$A$65536,1,FALSE)</f>
        <v>400047982</v>
      </c>
      <c r="S460" s="128"/>
      <c r="T460" s="128"/>
      <c r="U460" s="128"/>
    </row>
    <row r="461" spans="1:21" s="159" customFormat="1" ht="60" x14ac:dyDescent="0.25">
      <c r="A461" s="63">
        <f>MATCH($E461,'D1 - Master Project Table'!$B$24:$B$7056,0)</f>
        <v>2231</v>
      </c>
      <c r="B461" s="63" t="b">
        <f t="shared" si="21"/>
        <v>0</v>
      </c>
      <c r="C461" s="63" t="b">
        <f t="shared" si="22"/>
        <v>1</v>
      </c>
      <c r="D461" s="63" t="str">
        <f t="shared" si="23"/>
        <v>OK</v>
      </c>
      <c r="E461" s="393">
        <v>400024847</v>
      </c>
      <c r="F461" s="392" t="s">
        <v>5992</v>
      </c>
      <c r="G461" s="392" t="s">
        <v>5325</v>
      </c>
      <c r="H461" s="392" t="s">
        <v>5314</v>
      </c>
      <c r="I461" s="392" t="s">
        <v>6008</v>
      </c>
      <c r="J461" s="392" t="s">
        <v>3632</v>
      </c>
      <c r="K461" s="392" t="s">
        <v>3283</v>
      </c>
      <c r="L461" s="392" t="s">
        <v>8164</v>
      </c>
      <c r="M461" s="392" t="s">
        <v>3758</v>
      </c>
      <c r="N461" s="392" t="s">
        <v>7273</v>
      </c>
      <c r="O461" s="392" t="s">
        <v>3758</v>
      </c>
      <c r="P461"/>
      <c r="Q461"/>
      <c r="R461" s="387">
        <f>VLOOKUP(E461,'[1]NDB Impacted SPRFs 05032013'!$A$2:$A$65536,1,FALSE)</f>
        <v>400024847</v>
      </c>
    </row>
    <row r="462" spans="1:21" s="159" customFormat="1" ht="60" x14ac:dyDescent="0.25">
      <c r="A462" s="63">
        <f>MATCH($E462,'D1 - Master Project Table'!$B$24:$B$7056,0)</f>
        <v>2999</v>
      </c>
      <c r="B462" s="63" t="b">
        <f t="shared" si="21"/>
        <v>0</v>
      </c>
      <c r="C462" s="63" t="b">
        <f t="shared" si="22"/>
        <v>1</v>
      </c>
      <c r="D462" s="63" t="str">
        <f t="shared" si="23"/>
        <v>OK</v>
      </c>
      <c r="E462" s="393">
        <v>400039147</v>
      </c>
      <c r="F462" s="392" t="s">
        <v>7450</v>
      </c>
      <c r="G462" s="392" t="s">
        <v>5324</v>
      </c>
      <c r="H462" s="392" t="s">
        <v>5314</v>
      </c>
      <c r="I462" s="392" t="s">
        <v>1763</v>
      </c>
      <c r="J462" s="392" t="s">
        <v>6851</v>
      </c>
      <c r="K462" s="392" t="s">
        <v>8075</v>
      </c>
      <c r="L462" s="392" t="s">
        <v>8043</v>
      </c>
      <c r="M462" s="392" t="s">
        <v>3758</v>
      </c>
      <c r="N462" s="392" t="s">
        <v>7273</v>
      </c>
      <c r="O462" s="392" t="s">
        <v>3758</v>
      </c>
      <c r="P462"/>
      <c r="Q462"/>
      <c r="R462" s="387">
        <f>VLOOKUP(E462,'[1]NDB Impacted SPRFs 05032013'!$A$2:$A$65536,1,FALSE)</f>
        <v>400039147</v>
      </c>
      <c r="S462" s="128"/>
      <c r="T462" s="128"/>
      <c r="U462" s="128"/>
    </row>
    <row r="463" spans="1:21" s="159" customFormat="1" ht="60" x14ac:dyDescent="0.25">
      <c r="A463" s="63">
        <f>MATCH($E463,'D1 - Master Project Table'!$B$24:$B$7056,0)</f>
        <v>714</v>
      </c>
      <c r="B463" s="63" t="b">
        <f t="shared" si="21"/>
        <v>0</v>
      </c>
      <c r="C463" s="63" t="b">
        <f t="shared" si="22"/>
        <v>1</v>
      </c>
      <c r="D463" s="63" t="str">
        <f t="shared" si="23"/>
        <v>OK</v>
      </c>
      <c r="E463" s="393">
        <v>400012998</v>
      </c>
      <c r="F463" s="392" t="s">
        <v>2796</v>
      </c>
      <c r="G463" s="392" t="s">
        <v>5324</v>
      </c>
      <c r="H463" s="392" t="s">
        <v>7418</v>
      </c>
      <c r="I463" s="392" t="s">
        <v>1756</v>
      </c>
      <c r="J463" s="392" t="s">
        <v>8377</v>
      </c>
      <c r="K463" s="392" t="s">
        <v>4925</v>
      </c>
      <c r="L463" s="392" t="s">
        <v>3185</v>
      </c>
      <c r="M463" s="392" t="s">
        <v>3758</v>
      </c>
      <c r="N463" s="392" t="s">
        <v>7273</v>
      </c>
      <c r="O463" s="392" t="s">
        <v>7273</v>
      </c>
      <c r="P463"/>
      <c r="Q463"/>
      <c r="R463" s="387">
        <f>VLOOKUP(E463,'[1]NDB Impacted SPRFs 05032013'!$A$2:$A$65536,1,FALSE)</f>
        <v>400012998</v>
      </c>
    </row>
    <row r="464" spans="1:21" s="159" customFormat="1" ht="60" x14ac:dyDescent="0.25">
      <c r="A464" s="63">
        <f>MATCH($E464,'D1 - Master Project Table'!$B$24:$B$7056,0)</f>
        <v>3051</v>
      </c>
      <c r="B464" s="63" t="b">
        <f t="shared" si="21"/>
        <v>0</v>
      </c>
      <c r="C464" s="63" t="b">
        <f t="shared" si="22"/>
        <v>1</v>
      </c>
      <c r="D464" s="63" t="str">
        <f t="shared" si="23"/>
        <v>OK</v>
      </c>
      <c r="E464" s="393">
        <v>400043228</v>
      </c>
      <c r="F464" s="392" t="s">
        <v>1848</v>
      </c>
      <c r="G464" s="392" t="s">
        <v>5324</v>
      </c>
      <c r="H464" s="392" t="s">
        <v>7418</v>
      </c>
      <c r="I464" s="392" t="s">
        <v>1758</v>
      </c>
      <c r="J464" s="392" t="s">
        <v>1178</v>
      </c>
      <c r="K464" s="392" t="s">
        <v>1179</v>
      </c>
      <c r="L464" s="392" t="s">
        <v>528</v>
      </c>
      <c r="M464" s="392" t="s">
        <v>3758</v>
      </c>
      <c r="N464" s="392" t="s">
        <v>7273</v>
      </c>
      <c r="O464" s="392" t="s">
        <v>7273</v>
      </c>
      <c r="P464"/>
      <c r="Q464"/>
      <c r="R464" s="387">
        <f>VLOOKUP(E464,'[1]NDB Impacted SPRFs 05032013'!$A$2:$A$65536,1,FALSE)</f>
        <v>400043228</v>
      </c>
    </row>
    <row r="465" spans="1:21" ht="60" x14ac:dyDescent="0.25">
      <c r="A465" s="63">
        <f>MATCH($E465,'D1 - Master Project Table'!$B$24:$B$7056,0)</f>
        <v>432</v>
      </c>
      <c r="B465" s="63" t="b">
        <f t="shared" si="21"/>
        <v>0</v>
      </c>
      <c r="C465" s="63" t="b">
        <f t="shared" si="22"/>
        <v>1</v>
      </c>
      <c r="D465" s="63" t="str">
        <f t="shared" si="23"/>
        <v>OK</v>
      </c>
      <c r="E465" s="393">
        <v>400007908</v>
      </c>
      <c r="F465" s="392" t="s">
        <v>7270</v>
      </c>
      <c r="G465" s="392" t="s">
        <v>5324</v>
      </c>
      <c r="H465" s="392" t="s">
        <v>7418</v>
      </c>
      <c r="I465" s="392" t="s">
        <v>1762</v>
      </c>
      <c r="J465" s="392" t="s">
        <v>2251</v>
      </c>
      <c r="K465" s="392" t="s">
        <v>5641</v>
      </c>
      <c r="L465" s="392" t="s">
        <v>5822</v>
      </c>
      <c r="M465" s="392" t="s">
        <v>3758</v>
      </c>
      <c r="N465" s="392" t="s">
        <v>7273</v>
      </c>
      <c r="O465" s="392" t="s">
        <v>7273</v>
      </c>
      <c r="P465"/>
      <c r="Q465"/>
      <c r="R465" s="387">
        <f>VLOOKUP(E465,'[1]NDB Impacted SPRFs 05032013'!$A$2:$A$65536,1,FALSE)</f>
        <v>400007908</v>
      </c>
      <c r="S465" s="159"/>
      <c r="T465" s="159"/>
      <c r="U465" s="159"/>
    </row>
    <row r="466" spans="1:21" s="159" customFormat="1" ht="60" x14ac:dyDescent="0.25">
      <c r="A466" s="63">
        <f>MATCH($E466,'D1 - Master Project Table'!$B$24:$B$7056,0)</f>
        <v>1938</v>
      </c>
      <c r="B466" s="63" t="b">
        <f t="shared" si="21"/>
        <v>0</v>
      </c>
      <c r="C466" s="63" t="b">
        <f t="shared" si="22"/>
        <v>1</v>
      </c>
      <c r="D466" s="63" t="str">
        <f t="shared" si="23"/>
        <v>OK</v>
      </c>
      <c r="E466" s="393">
        <v>400017672</v>
      </c>
      <c r="F466" s="392" t="s">
        <v>3883</v>
      </c>
      <c r="G466" s="392" t="s">
        <v>5324</v>
      </c>
      <c r="H466" s="392" t="s">
        <v>7418</v>
      </c>
      <c r="I466" s="392" t="s">
        <v>1770</v>
      </c>
      <c r="J466" s="392" t="s">
        <v>5796</v>
      </c>
      <c r="K466" s="392" t="s">
        <v>4113</v>
      </c>
      <c r="L466" s="392" t="s">
        <v>7561</v>
      </c>
      <c r="M466" s="392" t="s">
        <v>3758</v>
      </c>
      <c r="N466" s="392" t="s">
        <v>7273</v>
      </c>
      <c r="O466" s="392" t="s">
        <v>7273</v>
      </c>
      <c r="P466"/>
      <c r="Q466"/>
      <c r="R466" s="387">
        <f>VLOOKUP(E466,'[1]NDB Impacted SPRFs 05032013'!$A$2:$A$65536,1,FALSE)</f>
        <v>400017672</v>
      </c>
    </row>
    <row r="467" spans="1:21" ht="60" x14ac:dyDescent="0.25">
      <c r="A467" s="63">
        <f>MATCH($E467,'D1 - Master Project Table'!$B$24:$B$7056,0)</f>
        <v>2265</v>
      </c>
      <c r="B467" s="63" t="b">
        <f t="shared" si="21"/>
        <v>0</v>
      </c>
      <c r="C467" s="63" t="b">
        <f t="shared" si="22"/>
        <v>1</v>
      </c>
      <c r="D467" s="63" t="str">
        <f t="shared" si="23"/>
        <v>OK</v>
      </c>
      <c r="E467" s="393">
        <v>400032655</v>
      </c>
      <c r="F467" s="392" t="s">
        <v>7941</v>
      </c>
      <c r="G467" s="392" t="s">
        <v>5325</v>
      </c>
      <c r="H467" s="392" t="s">
        <v>7418</v>
      </c>
      <c r="I467" s="392" t="s">
        <v>6419</v>
      </c>
      <c r="J467" s="392" t="s">
        <v>2505</v>
      </c>
      <c r="K467" s="392" t="s">
        <v>2456</v>
      </c>
      <c r="L467" s="392" t="s">
        <v>5341</v>
      </c>
      <c r="M467" s="392" t="s">
        <v>3758</v>
      </c>
      <c r="N467" s="392" t="s">
        <v>7273</v>
      </c>
      <c r="O467" s="392" t="s">
        <v>7273</v>
      </c>
      <c r="P467"/>
      <c r="Q467"/>
      <c r="R467" s="387">
        <f>VLOOKUP(E467,'[1]NDB Impacted SPRFs 05032013'!$A$2:$A$65536,1,FALSE)</f>
        <v>400032655</v>
      </c>
      <c r="S467" s="159"/>
      <c r="T467" s="159"/>
      <c r="U467" s="159"/>
    </row>
    <row r="468" spans="1:21" ht="60" x14ac:dyDescent="0.25">
      <c r="A468" s="63">
        <f>MATCH($E468,'D1 - Master Project Table'!$B$24:$B$7056,0)</f>
        <v>1572</v>
      </c>
      <c r="B468" s="63" t="b">
        <f t="shared" si="21"/>
        <v>0</v>
      </c>
      <c r="C468" s="63" t="b">
        <f t="shared" si="22"/>
        <v>1</v>
      </c>
      <c r="D468" s="63" t="str">
        <f t="shared" si="23"/>
        <v>OK</v>
      </c>
      <c r="E468" s="393">
        <v>400045359</v>
      </c>
      <c r="F468" s="392" t="s">
        <v>4453</v>
      </c>
      <c r="G468" s="392" t="s">
        <v>5325</v>
      </c>
      <c r="H468" s="392" t="s">
        <v>7418</v>
      </c>
      <c r="I468" s="392" t="s">
        <v>1762</v>
      </c>
      <c r="J468" s="392" t="s">
        <v>8257</v>
      </c>
      <c r="K468" s="392" t="s">
        <v>6885</v>
      </c>
      <c r="L468" s="392" t="s">
        <v>3038</v>
      </c>
      <c r="M468" s="392" t="s">
        <v>7273</v>
      </c>
      <c r="N468" s="392" t="s">
        <v>7273</v>
      </c>
      <c r="O468" s="392" t="s">
        <v>3758</v>
      </c>
      <c r="P468"/>
      <c r="Q468"/>
      <c r="R468" s="387">
        <f>VLOOKUP(E468,'[1]NDB Impacted SPRFs 05032013'!$A$2:$A$65536,1,FALSE)</f>
        <v>400045359</v>
      </c>
    </row>
    <row r="469" spans="1:21" s="159" customFormat="1" ht="45" x14ac:dyDescent="0.25">
      <c r="A469" s="63">
        <f>MATCH($E469,'D1 - Master Project Table'!$B$24:$B$7056,0)</f>
        <v>1466</v>
      </c>
      <c r="B469" s="63" t="b">
        <f t="shared" si="21"/>
        <v>0</v>
      </c>
      <c r="C469" s="63" t="b">
        <f t="shared" si="22"/>
        <v>1</v>
      </c>
      <c r="D469" s="63" t="str">
        <f t="shared" si="23"/>
        <v>OK</v>
      </c>
      <c r="E469" s="393">
        <v>400041197</v>
      </c>
      <c r="F469" s="392" t="s">
        <v>820</v>
      </c>
      <c r="G469" s="392" t="s">
        <v>5324</v>
      </c>
      <c r="H469" s="392" t="s">
        <v>5314</v>
      </c>
      <c r="I469" s="392" t="s">
        <v>1759</v>
      </c>
      <c r="J469" s="392" t="s">
        <v>8444</v>
      </c>
      <c r="K469" s="392" t="s">
        <v>821</v>
      </c>
      <c r="L469" s="392" t="s">
        <v>1745</v>
      </c>
      <c r="M469" s="392" t="s">
        <v>3758</v>
      </c>
      <c r="N469" s="392" t="s">
        <v>7273</v>
      </c>
      <c r="O469" s="392" t="s">
        <v>3758</v>
      </c>
      <c r="P469"/>
      <c r="Q469"/>
      <c r="R469" s="387">
        <f>VLOOKUP(E469,'[1]NDB Impacted SPRFs 05032013'!$A$2:$A$65536,1,FALSE)</f>
        <v>400041197</v>
      </c>
    </row>
    <row r="470" spans="1:21" ht="45" x14ac:dyDescent="0.25">
      <c r="A470" s="63">
        <f>MATCH($E470,'D1 - Master Project Table'!$B$24:$B$7056,0)</f>
        <v>2827</v>
      </c>
      <c r="B470" s="63" t="b">
        <f t="shared" si="21"/>
        <v>0</v>
      </c>
      <c r="C470" s="63" t="b">
        <f t="shared" si="22"/>
        <v>1</v>
      </c>
      <c r="D470" s="63" t="str">
        <f t="shared" si="23"/>
        <v>OK</v>
      </c>
      <c r="E470" s="393">
        <v>400025170</v>
      </c>
      <c r="F470" s="392" t="s">
        <v>6275</v>
      </c>
      <c r="G470" s="392" t="s">
        <v>5325</v>
      </c>
      <c r="H470" s="392" t="s">
        <v>5314</v>
      </c>
      <c r="I470" s="392" t="s">
        <v>6419</v>
      </c>
      <c r="J470" s="392" t="s">
        <v>6584</v>
      </c>
      <c r="K470" s="392" t="s">
        <v>6585</v>
      </c>
      <c r="L470" s="392" t="s">
        <v>3391</v>
      </c>
      <c r="M470" s="392" t="s">
        <v>7273</v>
      </c>
      <c r="N470" s="392" t="s">
        <v>7273</v>
      </c>
      <c r="O470" s="392" t="s">
        <v>7273</v>
      </c>
      <c r="P470"/>
      <c r="Q470"/>
      <c r="R470" s="387">
        <f>VLOOKUP(E470,'[1]NDB Impacted SPRFs 05032013'!$A$2:$A$65536,1,FALSE)</f>
        <v>400025170</v>
      </c>
      <c r="S470" s="159"/>
      <c r="T470" s="159"/>
      <c r="U470" s="159"/>
    </row>
    <row r="471" spans="1:21" s="159" customFormat="1" ht="45" x14ac:dyDescent="0.25">
      <c r="A471" s="63">
        <f>MATCH($E471,'D1 - Master Project Table'!$B$24:$B$7056,0)</f>
        <v>998</v>
      </c>
      <c r="B471" s="63" t="b">
        <f t="shared" si="21"/>
        <v>0</v>
      </c>
      <c r="C471" s="63" t="b">
        <f t="shared" si="22"/>
        <v>1</v>
      </c>
      <c r="D471" s="63" t="str">
        <f t="shared" si="23"/>
        <v>OK</v>
      </c>
      <c r="E471" s="393">
        <v>400026542</v>
      </c>
      <c r="F471" s="392" t="s">
        <v>3399</v>
      </c>
      <c r="G471" s="392" t="s">
        <v>5325</v>
      </c>
      <c r="H471" s="392" t="s">
        <v>7418</v>
      </c>
      <c r="I471" s="392" t="s">
        <v>6419</v>
      </c>
      <c r="J471" s="392" t="s">
        <v>6584</v>
      </c>
      <c r="K471" s="392" t="s">
        <v>6402</v>
      </c>
      <c r="L471" s="392" t="s">
        <v>7578</v>
      </c>
      <c r="M471" s="392" t="s">
        <v>7273</v>
      </c>
      <c r="N471" s="392" t="s">
        <v>7273</v>
      </c>
      <c r="O471" s="392" t="s">
        <v>7273</v>
      </c>
      <c r="P471"/>
      <c r="Q471"/>
      <c r="R471" s="387">
        <f>VLOOKUP(E471,'[1]NDB Impacted SPRFs 05032013'!$A$2:$A$65536,1,FALSE)</f>
        <v>400026542</v>
      </c>
      <c r="S471" s="128"/>
      <c r="T471" s="128"/>
      <c r="U471" s="128"/>
    </row>
    <row r="472" spans="1:21" s="159" customFormat="1" ht="45" x14ac:dyDescent="0.25">
      <c r="A472" s="63">
        <f>MATCH($E472,'D1 - Master Project Table'!$B$24:$B$7056,0)</f>
        <v>2912</v>
      </c>
      <c r="B472" s="63" t="b">
        <f t="shared" si="21"/>
        <v>0</v>
      </c>
      <c r="C472" s="63" t="b">
        <f t="shared" si="22"/>
        <v>1</v>
      </c>
      <c r="D472" s="63" t="str">
        <f t="shared" si="23"/>
        <v>OK</v>
      </c>
      <c r="E472" s="393">
        <v>400032168</v>
      </c>
      <c r="F472" s="392" t="s">
        <v>4283</v>
      </c>
      <c r="G472" s="392" t="s">
        <v>5324</v>
      </c>
      <c r="H472" s="392" t="s">
        <v>5314</v>
      </c>
      <c r="I472" s="392" t="s">
        <v>1759</v>
      </c>
      <c r="J472" s="392" t="s">
        <v>3493</v>
      </c>
      <c r="K472" s="392" t="s">
        <v>7062</v>
      </c>
      <c r="L472" s="392" t="s">
        <v>3680</v>
      </c>
      <c r="M472" s="392" t="s">
        <v>3758</v>
      </c>
      <c r="N472" s="392" t="s">
        <v>7273</v>
      </c>
      <c r="O472" s="392" t="s">
        <v>7273</v>
      </c>
      <c r="P472"/>
      <c r="Q472"/>
      <c r="R472" s="387">
        <f>VLOOKUP(E472,'[1]NDB Impacted SPRFs 05032013'!$A$2:$A$65536,1,FALSE)</f>
        <v>400032168</v>
      </c>
    </row>
    <row r="473" spans="1:21" s="159" customFormat="1" ht="45" x14ac:dyDescent="0.25">
      <c r="A473" s="63">
        <f>MATCH($E473,'D1 - Master Project Table'!$B$24:$B$7056,0)</f>
        <v>1307</v>
      </c>
      <c r="B473" s="63" t="b">
        <f t="shared" si="21"/>
        <v>0</v>
      </c>
      <c r="C473" s="63" t="b">
        <f t="shared" si="22"/>
        <v>1</v>
      </c>
      <c r="D473" s="63" t="str">
        <f t="shared" si="23"/>
        <v>OK</v>
      </c>
      <c r="E473" s="393">
        <v>400035751</v>
      </c>
      <c r="F473" s="392" t="s">
        <v>3935</v>
      </c>
      <c r="G473" s="392" t="s">
        <v>5324</v>
      </c>
      <c r="H473" s="392" t="s">
        <v>7418</v>
      </c>
      <c r="I473" s="392" t="s">
        <v>1760</v>
      </c>
      <c r="J473" s="392" t="s">
        <v>1957</v>
      </c>
      <c r="K473" s="392" t="s">
        <v>6170</v>
      </c>
      <c r="L473" s="392" t="s">
        <v>4352</v>
      </c>
      <c r="M473" s="392" t="s">
        <v>7273</v>
      </c>
      <c r="N473" s="392" t="s">
        <v>7273</v>
      </c>
      <c r="O473" s="392" t="s">
        <v>7273</v>
      </c>
      <c r="P473"/>
      <c r="Q473"/>
      <c r="R473" s="387">
        <f>VLOOKUP(E473,'[1]NDB Impacted SPRFs 05032013'!$A$2:$A$65536,1,FALSE)</f>
        <v>400035751</v>
      </c>
      <c r="S473" s="128"/>
      <c r="T473" s="128"/>
      <c r="U473" s="128"/>
    </row>
    <row r="474" spans="1:21" s="159" customFormat="1" ht="45" x14ac:dyDescent="0.25">
      <c r="A474" s="63">
        <f>MATCH($E474,'D1 - Master Project Table'!$B$24:$B$7056,0)</f>
        <v>2944</v>
      </c>
      <c r="B474" s="63" t="b">
        <f t="shared" si="21"/>
        <v>0</v>
      </c>
      <c r="C474" s="63" t="b">
        <f t="shared" si="22"/>
        <v>1</v>
      </c>
      <c r="D474" s="63" t="str">
        <f t="shared" si="23"/>
        <v>OK</v>
      </c>
      <c r="E474" s="393">
        <v>400034135</v>
      </c>
      <c r="F474" s="392" t="s">
        <v>654</v>
      </c>
      <c r="G474" s="392" t="s">
        <v>5324</v>
      </c>
      <c r="H474" s="392" t="s">
        <v>5314</v>
      </c>
      <c r="I474" s="392" t="s">
        <v>1758</v>
      </c>
      <c r="J474" s="392" t="s">
        <v>6543</v>
      </c>
      <c r="K474" s="392" t="s">
        <v>5751</v>
      </c>
      <c r="L474" s="392" t="s">
        <v>5906</v>
      </c>
      <c r="M474" s="392" t="s">
        <v>7273</v>
      </c>
      <c r="N474" s="392" t="s">
        <v>7273</v>
      </c>
      <c r="O474" s="392" t="s">
        <v>3758</v>
      </c>
      <c r="P474"/>
      <c r="Q474"/>
      <c r="R474" s="387">
        <f>VLOOKUP(E474,'[1]NDB Impacted SPRFs 05032013'!$A$2:$A$65536,1,FALSE)</f>
        <v>400034135</v>
      </c>
    </row>
    <row r="475" spans="1:21" s="159" customFormat="1" ht="45" x14ac:dyDescent="0.25">
      <c r="A475" s="63">
        <f>MATCH($E475,'D1 - Master Project Table'!$B$24:$B$7056,0)</f>
        <v>899</v>
      </c>
      <c r="B475" s="63" t="b">
        <f t="shared" si="21"/>
        <v>0</v>
      </c>
      <c r="C475" s="63" t="b">
        <f t="shared" si="22"/>
        <v>1</v>
      </c>
      <c r="D475" s="63" t="str">
        <f t="shared" si="23"/>
        <v>OK</v>
      </c>
      <c r="E475" s="393">
        <v>400020118</v>
      </c>
      <c r="F475" s="392" t="s">
        <v>5847</v>
      </c>
      <c r="G475" s="392" t="s">
        <v>5324</v>
      </c>
      <c r="H475" s="392" t="s">
        <v>7418</v>
      </c>
      <c r="I475" s="392" t="s">
        <v>1788</v>
      </c>
      <c r="J475" s="392" t="s">
        <v>8378</v>
      </c>
      <c r="K475" s="392" t="s">
        <v>1506</v>
      </c>
      <c r="L475" s="392" t="s">
        <v>2629</v>
      </c>
      <c r="M475" s="392" t="s">
        <v>7273</v>
      </c>
      <c r="N475" s="392" t="s">
        <v>7273</v>
      </c>
      <c r="O475" s="392" t="s">
        <v>7273</v>
      </c>
      <c r="P475"/>
      <c r="Q475"/>
      <c r="R475" s="387">
        <f>VLOOKUP(E475,'[1]NDB Impacted SPRFs 05032013'!$A$2:$A$65536,1,FALSE)</f>
        <v>400020118</v>
      </c>
    </row>
    <row r="476" spans="1:21" s="159" customFormat="1" ht="45" x14ac:dyDescent="0.25">
      <c r="A476" s="63">
        <f>MATCH($E476,'D1 - Master Project Table'!$B$24:$B$7056,0)</f>
        <v>961</v>
      </c>
      <c r="B476" s="63" t="b">
        <f t="shared" si="21"/>
        <v>0</v>
      </c>
      <c r="C476" s="63" t="b">
        <f t="shared" si="22"/>
        <v>1</v>
      </c>
      <c r="D476" s="63" t="str">
        <f t="shared" si="23"/>
        <v>OK</v>
      </c>
      <c r="E476" s="393">
        <v>400023051</v>
      </c>
      <c r="F476" s="392" t="s">
        <v>3083</v>
      </c>
      <c r="G476" s="392" t="s">
        <v>5324</v>
      </c>
      <c r="H476" s="392" t="s">
        <v>7418</v>
      </c>
      <c r="I476" s="392" t="s">
        <v>1788</v>
      </c>
      <c r="J476" s="392" t="s">
        <v>8437</v>
      </c>
      <c r="K476" s="392" t="s">
        <v>1506</v>
      </c>
      <c r="L476" s="392" t="s">
        <v>2629</v>
      </c>
      <c r="M476" s="392" t="s">
        <v>7273</v>
      </c>
      <c r="N476" s="392" t="s">
        <v>7273</v>
      </c>
      <c r="O476" s="392" t="s">
        <v>7273</v>
      </c>
      <c r="P476"/>
      <c r="Q476"/>
      <c r="R476" s="387">
        <f>VLOOKUP(E476,'[1]NDB Impacted SPRFs 05032013'!$A$2:$A$65536,1,FALSE)</f>
        <v>400023051</v>
      </c>
    </row>
    <row r="477" spans="1:21" ht="45" x14ac:dyDescent="0.25">
      <c r="A477" s="63">
        <f>MATCH($E477,'D1 - Master Project Table'!$B$24:$B$7056,0)</f>
        <v>962</v>
      </c>
      <c r="B477" s="63" t="b">
        <f t="shared" si="21"/>
        <v>0</v>
      </c>
      <c r="C477" s="63" t="b">
        <f t="shared" si="22"/>
        <v>1</v>
      </c>
      <c r="D477" s="63" t="str">
        <f t="shared" si="23"/>
        <v>OK</v>
      </c>
      <c r="E477" s="393">
        <v>400023056</v>
      </c>
      <c r="F477" s="392" t="s">
        <v>4089</v>
      </c>
      <c r="G477" s="392" t="s">
        <v>5324</v>
      </c>
      <c r="H477" s="392" t="s">
        <v>7418</v>
      </c>
      <c r="I477" s="392" t="s">
        <v>1788</v>
      </c>
      <c r="J477" s="392" t="s">
        <v>8437</v>
      </c>
      <c r="K477" s="392" t="s">
        <v>1506</v>
      </c>
      <c r="L477" s="392" t="s">
        <v>2629</v>
      </c>
      <c r="M477" s="392" t="s">
        <v>7273</v>
      </c>
      <c r="N477" s="392" t="s">
        <v>7273</v>
      </c>
      <c r="O477" s="392" t="s">
        <v>7273</v>
      </c>
      <c r="P477"/>
      <c r="Q477"/>
      <c r="R477" s="387">
        <f>VLOOKUP(E477,'[1]NDB Impacted SPRFs 05032013'!$A$2:$A$65536,1,FALSE)</f>
        <v>400023056</v>
      </c>
    </row>
    <row r="478" spans="1:21" ht="45" x14ac:dyDescent="0.25">
      <c r="A478" s="63">
        <f>MATCH($E478,'D1 - Master Project Table'!$B$24:$B$7056,0)</f>
        <v>2833</v>
      </c>
      <c r="B478" s="63" t="b">
        <f t="shared" si="21"/>
        <v>0</v>
      </c>
      <c r="C478" s="63" t="b">
        <f t="shared" si="22"/>
        <v>1</v>
      </c>
      <c r="D478" s="63" t="str">
        <f t="shared" si="23"/>
        <v>OK</v>
      </c>
      <c r="E478" s="393">
        <v>400025412</v>
      </c>
      <c r="F478" s="392" t="s">
        <v>3742</v>
      </c>
      <c r="G478" s="392" t="s">
        <v>5324</v>
      </c>
      <c r="H478" s="392" t="s">
        <v>5314</v>
      </c>
      <c r="I478" s="392" t="s">
        <v>1756</v>
      </c>
      <c r="J478" s="392" t="s">
        <v>8315</v>
      </c>
      <c r="K478" s="392" t="s">
        <v>7197</v>
      </c>
      <c r="L478" s="392" t="s">
        <v>4256</v>
      </c>
      <c r="M478" s="392" t="s">
        <v>7273</v>
      </c>
      <c r="N478" s="392" t="s">
        <v>7273</v>
      </c>
      <c r="O478" s="392" t="s">
        <v>3758</v>
      </c>
      <c r="P478"/>
      <c r="Q478"/>
      <c r="R478" s="387">
        <f>VLOOKUP(E478,'[1]NDB Impacted SPRFs 05032013'!$A$2:$A$65536,1,FALSE)</f>
        <v>400025412</v>
      </c>
      <c r="S478" s="159"/>
      <c r="T478" s="159"/>
      <c r="U478" s="159"/>
    </row>
    <row r="479" spans="1:21" s="159" customFormat="1" ht="30" x14ac:dyDescent="0.25">
      <c r="A479" s="63">
        <f>MATCH($E479,'D1 - Master Project Table'!$B$24:$B$7056,0)</f>
        <v>1446</v>
      </c>
      <c r="B479" s="63" t="b">
        <f t="shared" si="21"/>
        <v>0</v>
      </c>
      <c r="C479" s="63" t="b">
        <f t="shared" si="22"/>
        <v>1</v>
      </c>
      <c r="D479" s="63" t="str">
        <f t="shared" si="23"/>
        <v>OK</v>
      </c>
      <c r="E479" s="393">
        <v>400034464</v>
      </c>
      <c r="F479" s="392" t="s">
        <v>5425</v>
      </c>
      <c r="G479" s="392" t="s">
        <v>6322</v>
      </c>
      <c r="H479" s="392" t="s">
        <v>7418</v>
      </c>
      <c r="I479" s="392" t="s">
        <v>1812</v>
      </c>
      <c r="J479" s="392" t="s">
        <v>1062</v>
      </c>
      <c r="K479" s="392" t="s">
        <v>5426</v>
      </c>
      <c r="L479" s="392" t="s">
        <v>1937</v>
      </c>
      <c r="M479" s="392" t="s">
        <v>7273</v>
      </c>
      <c r="N479" s="392" t="s">
        <v>7273</v>
      </c>
      <c r="O479" s="392" t="s">
        <v>7273</v>
      </c>
      <c r="P479"/>
      <c r="Q479"/>
      <c r="R479" s="387">
        <f>VLOOKUP(E479,'[1]NDB Impacted SPRFs 05032013'!$A$2:$A$65536,1,FALSE)</f>
        <v>400034464</v>
      </c>
    </row>
    <row r="480" spans="1:21" s="159" customFormat="1" ht="45" x14ac:dyDescent="0.25">
      <c r="A480" s="63" t="e">
        <f>MATCH($E480,'D1 - Master Project Table'!$B$24:$B$7056,0)</f>
        <v>#N/A</v>
      </c>
      <c r="B480" s="63" t="b">
        <f t="shared" si="21"/>
        <v>1</v>
      </c>
      <c r="C480" s="63" t="b">
        <f t="shared" si="22"/>
        <v>1</v>
      </c>
      <c r="D480" s="63" t="str">
        <f t="shared" si="23"/>
        <v>OK</v>
      </c>
      <c r="E480" s="393">
        <v>400002436</v>
      </c>
      <c r="F480" s="392" t="s">
        <v>7395</v>
      </c>
      <c r="G480" s="392" t="s">
        <v>5324</v>
      </c>
      <c r="H480" s="392" t="s">
        <v>7418</v>
      </c>
      <c r="I480" s="392" t="s">
        <v>1765</v>
      </c>
      <c r="J480" s="392" t="s">
        <v>8359</v>
      </c>
      <c r="K480" s="392" t="s">
        <v>5641</v>
      </c>
      <c r="L480" s="392" t="s">
        <v>4023</v>
      </c>
      <c r="M480" s="392" t="s">
        <v>7273</v>
      </c>
      <c r="N480" s="392" t="s">
        <v>7273</v>
      </c>
      <c r="O480" s="392" t="s">
        <v>7273</v>
      </c>
      <c r="P480"/>
      <c r="Q480"/>
      <c r="R480" s="387">
        <f>VLOOKUP(E480,'[1]NDB Impacted SPRFs 05032013'!$A$2:$A$65536,1,FALSE)</f>
        <v>400002436</v>
      </c>
      <c r="S480" s="128"/>
      <c r="T480" s="128"/>
      <c r="U480" s="128"/>
    </row>
    <row r="481" spans="1:21" s="159" customFormat="1" ht="30" x14ac:dyDescent="0.25">
      <c r="A481" s="63">
        <f>MATCH($E481,'D1 - Master Project Table'!$B$24:$B$7056,0)</f>
        <v>297</v>
      </c>
      <c r="B481" s="63" t="b">
        <f t="shared" si="21"/>
        <v>0</v>
      </c>
      <c r="C481" s="63" t="b">
        <f t="shared" si="22"/>
        <v>1</v>
      </c>
      <c r="D481" s="63" t="str">
        <f t="shared" si="23"/>
        <v>OK</v>
      </c>
      <c r="E481" s="393">
        <v>400003710</v>
      </c>
      <c r="F481" s="392" t="s">
        <v>2057</v>
      </c>
      <c r="G481" s="392" t="s">
        <v>5787</v>
      </c>
      <c r="H481" s="392" t="s">
        <v>7418</v>
      </c>
      <c r="I481" s="392" t="s">
        <v>1772</v>
      </c>
      <c r="J481" s="392" t="s">
        <v>7029</v>
      </c>
      <c r="K481" s="392" t="s">
        <v>2551</v>
      </c>
      <c r="L481" s="392" t="s">
        <v>2511</v>
      </c>
      <c r="M481" s="392" t="s">
        <v>3758</v>
      </c>
      <c r="N481" s="392" t="s">
        <v>7273</v>
      </c>
      <c r="O481" s="392" t="s">
        <v>7273</v>
      </c>
      <c r="P481"/>
      <c r="Q481"/>
      <c r="R481" s="387">
        <f>VLOOKUP(E481,'[1]NDB Impacted SPRFs 05032013'!$A$2:$A$65536,1,FALSE)</f>
        <v>400003710</v>
      </c>
    </row>
    <row r="482" spans="1:21" s="159" customFormat="1" ht="45" x14ac:dyDescent="0.25">
      <c r="A482" s="63" t="e">
        <f>MATCH($E482,'D1 - Master Project Table'!$B$24:$B$7056,0)</f>
        <v>#N/A</v>
      </c>
      <c r="B482" s="63" t="b">
        <f t="shared" si="21"/>
        <v>1</v>
      </c>
      <c r="C482" s="63" t="b">
        <f t="shared" si="22"/>
        <v>1</v>
      </c>
      <c r="D482" s="63" t="str">
        <f t="shared" si="23"/>
        <v>OK</v>
      </c>
      <c r="E482" s="393">
        <v>400015277</v>
      </c>
      <c r="F482" s="392" t="s">
        <v>4136</v>
      </c>
      <c r="G482" s="392" t="s">
        <v>3441</v>
      </c>
      <c r="H482" s="392" t="s">
        <v>5314</v>
      </c>
      <c r="I482" s="392" t="s">
        <v>1769</v>
      </c>
      <c r="J482" s="392" t="s">
        <v>4990</v>
      </c>
      <c r="K482" s="392" t="s">
        <v>2447</v>
      </c>
      <c r="L482" s="392" t="s">
        <v>6251</v>
      </c>
      <c r="M482" s="392" t="s">
        <v>7273</v>
      </c>
      <c r="N482" s="392" t="s">
        <v>7273</v>
      </c>
      <c r="O482" s="392" t="s">
        <v>3758</v>
      </c>
      <c r="P482"/>
      <c r="Q482"/>
      <c r="R482" s="387">
        <f>VLOOKUP(E482,'[1]NDB Impacted SPRFs 05032013'!$A$2:$A$65536,1,FALSE)</f>
        <v>400015277</v>
      </c>
    </row>
    <row r="483" spans="1:21" s="159" customFormat="1" ht="30" x14ac:dyDescent="0.25">
      <c r="A483" s="63">
        <f>MATCH($E483,'D1 - Master Project Table'!$B$24:$B$7056,0)</f>
        <v>2696</v>
      </c>
      <c r="B483" s="63" t="b">
        <f t="shared" si="21"/>
        <v>0</v>
      </c>
      <c r="C483" s="63" t="b">
        <f t="shared" si="22"/>
        <v>1</v>
      </c>
      <c r="D483" s="63" t="str">
        <f t="shared" si="23"/>
        <v>OK</v>
      </c>
      <c r="E483" s="393">
        <v>400018317</v>
      </c>
      <c r="F483" s="392" t="s">
        <v>7956</v>
      </c>
      <c r="G483" s="392" t="s">
        <v>5995</v>
      </c>
      <c r="H483" s="392" t="s">
        <v>5314</v>
      </c>
      <c r="I483" s="392" t="s">
        <v>1787</v>
      </c>
      <c r="J483" s="392" t="s">
        <v>5768</v>
      </c>
      <c r="K483" s="392" t="s">
        <v>4114</v>
      </c>
      <c r="L483" s="392" t="s">
        <v>2921</v>
      </c>
      <c r="M483" s="392" t="s">
        <v>3758</v>
      </c>
      <c r="N483" s="392" t="s">
        <v>7273</v>
      </c>
      <c r="O483" s="392" t="s">
        <v>7273</v>
      </c>
      <c r="P483"/>
      <c r="Q483"/>
      <c r="R483" s="387">
        <f>VLOOKUP(E483,'[1]NDB Impacted SPRFs 05032013'!$A$2:$A$65536,1,FALSE)</f>
        <v>400018317</v>
      </c>
      <c r="S483" s="128"/>
      <c r="T483" s="128"/>
      <c r="U483" s="128"/>
    </row>
    <row r="484" spans="1:21" s="159" customFormat="1" ht="60" customHeight="1" x14ac:dyDescent="0.25">
      <c r="A484" s="63">
        <f>MATCH($E484,'D1 - Master Project Table'!$B$24:$B$7056,0)</f>
        <v>2855</v>
      </c>
      <c r="B484" s="63" t="b">
        <f t="shared" si="21"/>
        <v>0</v>
      </c>
      <c r="C484" s="63" t="b">
        <f t="shared" si="22"/>
        <v>1</v>
      </c>
      <c r="D484" s="63" t="str">
        <f t="shared" si="23"/>
        <v>OK</v>
      </c>
      <c r="E484" s="393">
        <v>400027325</v>
      </c>
      <c r="F484" s="392" t="s">
        <v>6535</v>
      </c>
      <c r="G484" s="392" t="s">
        <v>6322</v>
      </c>
      <c r="H484" s="392" t="s">
        <v>5314</v>
      </c>
      <c r="I484" s="392" t="s">
        <v>7594</v>
      </c>
      <c r="J484" s="392" t="s">
        <v>1062</v>
      </c>
      <c r="K484" s="392" t="s">
        <v>7164</v>
      </c>
      <c r="L484" s="392" t="s">
        <v>1639</v>
      </c>
      <c r="M484" s="392" t="s">
        <v>7273</v>
      </c>
      <c r="N484" s="392" t="s">
        <v>7273</v>
      </c>
      <c r="O484" s="392" t="s">
        <v>7273</v>
      </c>
      <c r="P484"/>
      <c r="Q484"/>
      <c r="R484" s="387">
        <f>VLOOKUP(E484,'[1]NDB Impacted SPRFs 05032013'!$A$2:$A$65536,1,FALSE)</f>
        <v>400027325</v>
      </c>
    </row>
    <row r="485" spans="1:21" s="159" customFormat="1" ht="45" x14ac:dyDescent="0.25">
      <c r="A485" s="63">
        <f>MATCH($E485,'D1 - Master Project Table'!$B$24:$B$7056,0)</f>
        <v>2864</v>
      </c>
      <c r="B485" s="63" t="b">
        <f t="shared" si="21"/>
        <v>0</v>
      </c>
      <c r="C485" s="63" t="b">
        <f t="shared" si="22"/>
        <v>1</v>
      </c>
      <c r="D485" s="63" t="str">
        <f t="shared" si="23"/>
        <v>OK</v>
      </c>
      <c r="E485" s="393">
        <v>400027775</v>
      </c>
      <c r="F485" s="392" t="s">
        <v>5578</v>
      </c>
      <c r="G485" s="392" t="s">
        <v>5324</v>
      </c>
      <c r="H485" s="392" t="s">
        <v>5314</v>
      </c>
      <c r="I485" s="392" t="s">
        <v>1759</v>
      </c>
      <c r="J485" s="392" t="s">
        <v>3679</v>
      </c>
      <c r="K485" s="392" t="s">
        <v>4006</v>
      </c>
      <c r="L485" s="392" t="s">
        <v>5682</v>
      </c>
      <c r="M485" s="392" t="s">
        <v>7273</v>
      </c>
      <c r="N485" s="392" t="s">
        <v>7273</v>
      </c>
      <c r="O485" s="392" t="s">
        <v>7273</v>
      </c>
      <c r="P485"/>
      <c r="Q485"/>
      <c r="R485" s="387">
        <f>VLOOKUP(E485,'[1]NDB Impacted SPRFs 05032013'!$A$2:$A$65536,1,FALSE)</f>
        <v>400027775</v>
      </c>
    </row>
    <row r="486" spans="1:21" s="159" customFormat="1" ht="45" customHeight="1" x14ac:dyDescent="0.25">
      <c r="A486" s="63">
        <f>MATCH($E486,'D1 - Master Project Table'!$B$24:$B$7056,0)</f>
        <v>2244</v>
      </c>
      <c r="B486" s="63" t="b">
        <f t="shared" si="21"/>
        <v>0</v>
      </c>
      <c r="C486" s="63" t="b">
        <f t="shared" si="22"/>
        <v>1</v>
      </c>
      <c r="D486" s="63" t="str">
        <f t="shared" si="23"/>
        <v>OK</v>
      </c>
      <c r="E486" s="393">
        <v>400030128</v>
      </c>
      <c r="F486" s="392" t="s">
        <v>6490</v>
      </c>
      <c r="G486" s="392" t="s">
        <v>5324</v>
      </c>
      <c r="H486" s="392" t="s">
        <v>7418</v>
      </c>
      <c r="I486" s="392" t="s">
        <v>1763</v>
      </c>
      <c r="J486" s="392" t="s">
        <v>8422</v>
      </c>
      <c r="K486" s="392" t="s">
        <v>3283</v>
      </c>
      <c r="L486" s="392" t="s">
        <v>2118</v>
      </c>
      <c r="M486" s="392" t="s">
        <v>7273</v>
      </c>
      <c r="N486" s="392" t="s">
        <v>7273</v>
      </c>
      <c r="O486" s="392" t="s">
        <v>7273</v>
      </c>
      <c r="P486"/>
      <c r="Q486"/>
      <c r="R486" s="387">
        <f>VLOOKUP(E486,'[1]NDB Impacted SPRFs 05032013'!$A$2:$A$65536,1,FALSE)</f>
        <v>400030128</v>
      </c>
    </row>
    <row r="487" spans="1:21" s="159" customFormat="1" ht="30" x14ac:dyDescent="0.25">
      <c r="A487" s="63">
        <f>MATCH($E487,'D1 - Master Project Table'!$B$24:$B$7056,0)</f>
        <v>2253</v>
      </c>
      <c r="B487" s="63" t="b">
        <f t="shared" si="21"/>
        <v>0</v>
      </c>
      <c r="C487" s="63" t="b">
        <f t="shared" si="22"/>
        <v>1</v>
      </c>
      <c r="D487" s="63" t="str">
        <f t="shared" si="23"/>
        <v>OK</v>
      </c>
      <c r="E487" s="393">
        <v>400031951</v>
      </c>
      <c r="F487" s="392" t="s">
        <v>6214</v>
      </c>
      <c r="G487" s="392" t="s">
        <v>5001</v>
      </c>
      <c r="H487" s="392" t="s">
        <v>5314</v>
      </c>
      <c r="I487" s="392" t="s">
        <v>3540</v>
      </c>
      <c r="J487" s="392" t="s">
        <v>3220</v>
      </c>
      <c r="K487" s="392" t="s">
        <v>6885</v>
      </c>
      <c r="L487" s="392" t="s">
        <v>7868</v>
      </c>
      <c r="M487" s="392" t="s">
        <v>7273</v>
      </c>
      <c r="N487" s="392" t="s">
        <v>7273</v>
      </c>
      <c r="O487" s="392" t="s">
        <v>7273</v>
      </c>
      <c r="P487"/>
      <c r="Q487"/>
      <c r="R487" s="387">
        <f>VLOOKUP(E487,'[1]NDB Impacted SPRFs 05032013'!$A$2:$A$65536,1,FALSE)</f>
        <v>400031951</v>
      </c>
      <c r="S487" s="128"/>
      <c r="T487" s="128"/>
      <c r="U487" s="128"/>
    </row>
    <row r="488" spans="1:21" s="159" customFormat="1" ht="30" x14ac:dyDescent="0.25">
      <c r="A488" s="63">
        <f>MATCH($E488,'D1 - Master Project Table'!$B$24:$B$7056,0)</f>
        <v>2992</v>
      </c>
      <c r="B488" s="63" t="b">
        <f t="shared" si="21"/>
        <v>0</v>
      </c>
      <c r="C488" s="63" t="b">
        <f t="shared" si="22"/>
        <v>1</v>
      </c>
      <c r="D488" s="63" t="str">
        <f t="shared" si="23"/>
        <v>OK</v>
      </c>
      <c r="E488" s="393">
        <v>400038322</v>
      </c>
      <c r="F488" s="392" t="s">
        <v>7374</v>
      </c>
      <c r="G488" s="392" t="s">
        <v>6322</v>
      </c>
      <c r="H488" s="392" t="s">
        <v>5314</v>
      </c>
      <c r="I488" s="392" t="s">
        <v>7594</v>
      </c>
      <c r="J488" s="392" t="s">
        <v>8635</v>
      </c>
      <c r="K488" s="392" t="s">
        <v>1437</v>
      </c>
      <c r="L488" s="392" t="s">
        <v>7375</v>
      </c>
      <c r="M488" s="392" t="s">
        <v>7273</v>
      </c>
      <c r="N488" s="392" t="s">
        <v>7273</v>
      </c>
      <c r="O488" s="392" t="s">
        <v>7273</v>
      </c>
      <c r="P488"/>
      <c r="Q488"/>
      <c r="R488" s="387">
        <f>VLOOKUP(E488,'[1]NDB Impacted SPRFs 05032013'!$A$2:$A$65536,1,FALSE)</f>
        <v>400038322</v>
      </c>
    </row>
    <row r="489" spans="1:21" ht="45" x14ac:dyDescent="0.25">
      <c r="A489" s="63" t="e">
        <f>MATCH($E489,'D1 - Master Project Table'!$B$24:$B$7056,0)</f>
        <v>#N/A</v>
      </c>
      <c r="B489" s="63" t="b">
        <f t="shared" si="21"/>
        <v>1</v>
      </c>
      <c r="C489" s="63" t="b">
        <f t="shared" si="22"/>
        <v>1</v>
      </c>
      <c r="D489" s="63" t="str">
        <f t="shared" si="23"/>
        <v>OK</v>
      </c>
      <c r="E489" s="393">
        <v>400038703</v>
      </c>
      <c r="F489" s="392" t="s">
        <v>7881</v>
      </c>
      <c r="G489" s="392" t="s">
        <v>5324</v>
      </c>
      <c r="H489" s="392" t="s">
        <v>5314</v>
      </c>
      <c r="I489" s="392" t="s">
        <v>1756</v>
      </c>
      <c r="J489" s="392" t="s">
        <v>8316</v>
      </c>
      <c r="K489" s="392" t="s">
        <v>4691</v>
      </c>
      <c r="L489" s="392" t="s">
        <v>5908</v>
      </c>
      <c r="M489" s="392" t="s">
        <v>7273</v>
      </c>
      <c r="N489" s="392" t="s">
        <v>7273</v>
      </c>
      <c r="O489" s="392" t="s">
        <v>7273</v>
      </c>
      <c r="P489"/>
      <c r="Q489"/>
      <c r="R489" s="387">
        <f>VLOOKUP(E489,'[1]NDB Impacted SPRFs 05032013'!$A$2:$A$65536,1,FALSE)</f>
        <v>400038703</v>
      </c>
      <c r="S489" s="159"/>
      <c r="T489" s="159"/>
      <c r="U489" s="159"/>
    </row>
    <row r="490" spans="1:21" s="159" customFormat="1" ht="30" x14ac:dyDescent="0.25">
      <c r="A490" s="63">
        <f>MATCH($E490,'D1 - Master Project Table'!$B$24:$B$7056,0)</f>
        <v>3041</v>
      </c>
      <c r="B490" s="63" t="b">
        <f t="shared" si="21"/>
        <v>0</v>
      </c>
      <c r="C490" s="63" t="b">
        <f t="shared" si="22"/>
        <v>1</v>
      </c>
      <c r="D490" s="63" t="str">
        <f t="shared" si="23"/>
        <v>OK</v>
      </c>
      <c r="E490" s="393">
        <v>400042532</v>
      </c>
      <c r="F490" s="392" t="s">
        <v>6453</v>
      </c>
      <c r="G490" s="392" t="s">
        <v>6322</v>
      </c>
      <c r="H490" s="392" t="s">
        <v>5314</v>
      </c>
      <c r="I490" s="392" t="s">
        <v>7594</v>
      </c>
      <c r="J490" s="392" t="s">
        <v>4688</v>
      </c>
      <c r="K490" s="392" t="s">
        <v>7164</v>
      </c>
      <c r="L490" s="392" t="s">
        <v>1947</v>
      </c>
      <c r="M490" s="392" t="s">
        <v>7273</v>
      </c>
      <c r="N490" s="392" t="s">
        <v>7273</v>
      </c>
      <c r="O490" s="392" t="s">
        <v>7273</v>
      </c>
      <c r="P490"/>
      <c r="Q490"/>
      <c r="R490" s="387">
        <f>VLOOKUP(E490,'[1]NDB Impacted SPRFs 05032013'!$A$2:$A$65536,1,FALSE)</f>
        <v>400042532</v>
      </c>
    </row>
    <row r="491" spans="1:21" s="159" customFormat="1" ht="30" x14ac:dyDescent="0.25">
      <c r="A491" s="63">
        <f>MATCH($E491,'D1 - Master Project Table'!$B$24:$B$7056,0)</f>
        <v>3061</v>
      </c>
      <c r="B491" s="63" t="b">
        <f t="shared" si="21"/>
        <v>0</v>
      </c>
      <c r="C491" s="63" t="b">
        <f t="shared" si="22"/>
        <v>1</v>
      </c>
      <c r="D491" s="63" t="str">
        <f t="shared" si="23"/>
        <v>OK</v>
      </c>
      <c r="E491" s="393">
        <v>400044769</v>
      </c>
      <c r="F491" s="392" t="s">
        <v>1850</v>
      </c>
      <c r="G491" s="392" t="s">
        <v>5995</v>
      </c>
      <c r="H491" s="392" t="s">
        <v>7418</v>
      </c>
      <c r="I491" s="392" t="s">
        <v>6423</v>
      </c>
      <c r="J491" s="392" t="s">
        <v>1709</v>
      </c>
      <c r="K491" s="392" t="s">
        <v>1897</v>
      </c>
      <c r="L491" s="392" t="s">
        <v>559</v>
      </c>
      <c r="M491" s="392" t="s">
        <v>7273</v>
      </c>
      <c r="N491" s="392" t="s">
        <v>7273</v>
      </c>
      <c r="O491" s="392" t="s">
        <v>7273</v>
      </c>
      <c r="P491"/>
      <c r="Q491"/>
      <c r="R491" s="387">
        <f>VLOOKUP(E491,'[1]NDB Impacted SPRFs 05032013'!$A$2:$A$65536,1,FALSE)</f>
        <v>400044769</v>
      </c>
    </row>
    <row r="492" spans="1:21" ht="30" x14ac:dyDescent="0.25">
      <c r="A492" s="63">
        <f>MATCH($E492,'D1 - Master Project Table'!$B$24:$B$7056,0)</f>
        <v>2324</v>
      </c>
      <c r="B492" s="63" t="b">
        <f t="shared" si="21"/>
        <v>0</v>
      </c>
      <c r="C492" s="63" t="b">
        <f t="shared" si="22"/>
        <v>1</v>
      </c>
      <c r="D492" s="63" t="str">
        <f t="shared" si="23"/>
        <v>OK</v>
      </c>
      <c r="E492" s="393">
        <v>400049966</v>
      </c>
      <c r="F492" s="392" t="s">
        <v>2187</v>
      </c>
      <c r="G492" s="392" t="s">
        <v>5001</v>
      </c>
      <c r="H492" s="392" t="s">
        <v>5314</v>
      </c>
      <c r="I492" s="392" t="s">
        <v>3540</v>
      </c>
      <c r="J492" s="392" t="s">
        <v>4110</v>
      </c>
      <c r="K492" s="392" t="s">
        <v>2188</v>
      </c>
      <c r="L492" s="392" t="s">
        <v>2771</v>
      </c>
      <c r="M492" s="392" t="s">
        <v>7273</v>
      </c>
      <c r="N492" s="392" t="s">
        <v>7273</v>
      </c>
      <c r="O492" s="392" t="s">
        <v>7273</v>
      </c>
      <c r="P492"/>
      <c r="Q492"/>
      <c r="R492" s="387">
        <f>VLOOKUP(E492,'[1]NDB Impacted SPRFs 05032013'!$A$2:$A$65536,1,FALSE)</f>
        <v>400049966</v>
      </c>
      <c r="S492" s="159"/>
      <c r="T492" s="159"/>
      <c r="U492" s="159"/>
    </row>
    <row r="493" spans="1:21" s="159" customFormat="1" ht="30" x14ac:dyDescent="0.25">
      <c r="A493" s="63">
        <f>MATCH($E493,'D1 - Master Project Table'!$B$24:$B$7056,0)</f>
        <v>3180</v>
      </c>
      <c r="B493" s="63" t="b">
        <f t="shared" si="21"/>
        <v>0</v>
      </c>
      <c r="C493" s="63" t="b">
        <f t="shared" si="22"/>
        <v>0</v>
      </c>
      <c r="D493" s="63" t="str">
        <f t="shared" si="23"/>
        <v>OK</v>
      </c>
      <c r="E493" s="393">
        <v>400054163</v>
      </c>
      <c r="F493" s="392" t="s">
        <v>913</v>
      </c>
      <c r="G493" s="392" t="s">
        <v>9210</v>
      </c>
      <c r="H493" s="392" t="s">
        <v>4917</v>
      </c>
      <c r="I493" s="392" t="s">
        <v>3540</v>
      </c>
      <c r="J493" s="392" t="s">
        <v>8737</v>
      </c>
      <c r="K493" s="392" t="s">
        <v>914</v>
      </c>
      <c r="L493" s="392" t="s">
        <v>189</v>
      </c>
      <c r="M493" s="392" t="s">
        <v>7273</v>
      </c>
      <c r="N493" s="392" t="s">
        <v>7273</v>
      </c>
      <c r="O493" s="392" t="s">
        <v>3758</v>
      </c>
      <c r="P493"/>
      <c r="Q493"/>
      <c r="R493" s="387">
        <f>VLOOKUP(E493,'[1]NDB Impacted SPRFs 05032013'!$A$2:$A$65536,1,FALSE)</f>
        <v>400054163</v>
      </c>
    </row>
    <row r="494" spans="1:21" s="159" customFormat="1" ht="45" x14ac:dyDescent="0.25">
      <c r="A494" s="63">
        <f>MATCH($E494,'D1 - Master Project Table'!$B$24:$B$7056,0)</f>
        <v>2363</v>
      </c>
      <c r="B494" s="63" t="b">
        <f t="shared" si="21"/>
        <v>0</v>
      </c>
      <c r="C494" s="63" t="b">
        <f t="shared" si="22"/>
        <v>1</v>
      </c>
      <c r="D494" s="63" t="str">
        <f t="shared" si="23"/>
        <v>OK</v>
      </c>
      <c r="E494" s="393">
        <v>400000520</v>
      </c>
      <c r="F494" s="392" t="s">
        <v>3332</v>
      </c>
      <c r="G494" s="392" t="s">
        <v>5325</v>
      </c>
      <c r="H494" s="392" t="s">
        <v>5314</v>
      </c>
      <c r="I494" s="392" t="s">
        <v>1793</v>
      </c>
      <c r="J494" s="392" t="s">
        <v>8253</v>
      </c>
      <c r="K494" s="392" t="s">
        <v>2780</v>
      </c>
      <c r="L494" s="392" t="s">
        <v>7741</v>
      </c>
      <c r="M494" s="392" t="s">
        <v>7273</v>
      </c>
      <c r="N494" s="392" t="s">
        <v>7273</v>
      </c>
      <c r="O494" s="392" t="s">
        <v>7273</v>
      </c>
      <c r="P494"/>
      <c r="Q494"/>
      <c r="R494" s="387">
        <f>VLOOKUP(E494,'[1]NDB Impacted SPRFs 05032013'!$A$2:$A$65536,1,FALSE)</f>
        <v>400000520</v>
      </c>
    </row>
    <row r="495" spans="1:21" ht="45" x14ac:dyDescent="0.25">
      <c r="A495" s="63">
        <f>MATCH($E495,'D1 - Master Project Table'!$B$24:$B$7056,0)</f>
        <v>1880</v>
      </c>
      <c r="B495" s="63" t="b">
        <f t="shared" si="21"/>
        <v>0</v>
      </c>
      <c r="C495" s="63" t="b">
        <f t="shared" si="22"/>
        <v>1</v>
      </c>
      <c r="D495" s="63" t="str">
        <f t="shared" si="23"/>
        <v>OK</v>
      </c>
      <c r="E495" s="393">
        <v>400003631</v>
      </c>
      <c r="F495" s="392" t="s">
        <v>3013</v>
      </c>
      <c r="G495" s="392" t="s">
        <v>5324</v>
      </c>
      <c r="H495" s="392" t="s">
        <v>7418</v>
      </c>
      <c r="I495" s="392" t="s">
        <v>1765</v>
      </c>
      <c r="J495" s="392" t="s">
        <v>8272</v>
      </c>
      <c r="K495" s="392" t="s">
        <v>5988</v>
      </c>
      <c r="L495" s="392" t="s">
        <v>3799</v>
      </c>
      <c r="M495" s="392" t="s">
        <v>3758</v>
      </c>
      <c r="N495" s="392" t="s">
        <v>7273</v>
      </c>
      <c r="O495" s="392" t="s">
        <v>7273</v>
      </c>
      <c r="P495"/>
      <c r="Q495"/>
      <c r="R495" s="387">
        <f>VLOOKUP(E495,'[1]NDB Impacted SPRFs 05032013'!$A$2:$A$65536,1,FALSE)</f>
        <v>400003631</v>
      </c>
      <c r="S495" s="159"/>
      <c r="T495" s="159"/>
      <c r="U495" s="159"/>
    </row>
    <row r="496" spans="1:21" s="159" customFormat="1" ht="30" x14ac:dyDescent="0.25">
      <c r="A496" s="63">
        <f>MATCH($E496,'D1 - Master Project Table'!$B$24:$B$7056,0)</f>
        <v>2503</v>
      </c>
      <c r="B496" s="63" t="b">
        <f t="shared" si="21"/>
        <v>0</v>
      </c>
      <c r="C496" s="63" t="b">
        <f t="shared" si="22"/>
        <v>1</v>
      </c>
      <c r="D496" s="63" t="str">
        <f t="shared" si="23"/>
        <v>OK</v>
      </c>
      <c r="E496" s="393">
        <v>400007100</v>
      </c>
      <c r="F496" s="392" t="s">
        <v>2902</v>
      </c>
      <c r="G496" s="392" t="s">
        <v>5787</v>
      </c>
      <c r="H496" s="392" t="s">
        <v>5314</v>
      </c>
      <c r="I496" s="392" t="s">
        <v>1775</v>
      </c>
      <c r="J496" s="392" t="s">
        <v>8525</v>
      </c>
      <c r="K496" s="392" t="s">
        <v>7952</v>
      </c>
      <c r="L496" s="392" t="s">
        <v>2333</v>
      </c>
      <c r="M496" s="392" t="s">
        <v>7273</v>
      </c>
      <c r="N496" s="392" t="s">
        <v>7273</v>
      </c>
      <c r="O496" s="392" t="s">
        <v>7273</v>
      </c>
      <c r="P496"/>
      <c r="Q496"/>
      <c r="R496" s="387">
        <f>VLOOKUP(E496,'[1]NDB Impacted SPRFs 05032013'!$A$2:$A$65536,1,FALSE)</f>
        <v>400007100</v>
      </c>
    </row>
    <row r="497" spans="1:21" s="159" customFormat="1" ht="45" x14ac:dyDescent="0.25">
      <c r="A497" s="63">
        <f>MATCH($E497,'D1 - Master Project Table'!$B$24:$B$7056,0)</f>
        <v>500</v>
      </c>
      <c r="B497" s="63" t="b">
        <f t="shared" si="21"/>
        <v>0</v>
      </c>
      <c r="C497" s="63" t="b">
        <f t="shared" si="22"/>
        <v>1</v>
      </c>
      <c r="D497" s="63" t="str">
        <f t="shared" si="23"/>
        <v>OK</v>
      </c>
      <c r="E497" s="393">
        <v>400012114</v>
      </c>
      <c r="F497" s="392" t="s">
        <v>6265</v>
      </c>
      <c r="G497" s="392" t="s">
        <v>5324</v>
      </c>
      <c r="H497" s="392" t="s">
        <v>7418</v>
      </c>
      <c r="I497" s="392" t="s">
        <v>1756</v>
      </c>
      <c r="J497" s="392" t="s">
        <v>8394</v>
      </c>
      <c r="K497" s="392" t="s">
        <v>5004</v>
      </c>
      <c r="L497" s="392" t="s">
        <v>4273</v>
      </c>
      <c r="M497" s="392" t="s">
        <v>3758</v>
      </c>
      <c r="N497" s="392" t="s">
        <v>7273</v>
      </c>
      <c r="O497" s="392" t="s">
        <v>3758</v>
      </c>
      <c r="P497"/>
      <c r="Q497"/>
      <c r="R497" s="387">
        <f>VLOOKUP(E497,'[1]NDB Impacted SPRFs 05032013'!$A$2:$A$65536,1,FALSE)</f>
        <v>400012114</v>
      </c>
      <c r="S497" s="128"/>
      <c r="T497" s="128"/>
      <c r="U497" s="128"/>
    </row>
    <row r="498" spans="1:21" ht="30" x14ac:dyDescent="0.25">
      <c r="A498" s="63">
        <f>MATCH($E498,'D1 - Master Project Table'!$B$24:$B$7056,0)</f>
        <v>2730</v>
      </c>
      <c r="B498" s="63" t="b">
        <f t="shared" si="21"/>
        <v>0</v>
      </c>
      <c r="C498" s="63" t="b">
        <f t="shared" si="22"/>
        <v>1</v>
      </c>
      <c r="D498" s="63" t="str">
        <f t="shared" si="23"/>
        <v>OK</v>
      </c>
      <c r="E498" s="393">
        <v>400019742</v>
      </c>
      <c r="F498" s="392" t="s">
        <v>6643</v>
      </c>
      <c r="G498" s="392" t="s">
        <v>2041</v>
      </c>
      <c r="H498" s="392" t="s">
        <v>5314</v>
      </c>
      <c r="I498" s="392" t="s">
        <v>3629</v>
      </c>
      <c r="J498" s="392" t="s">
        <v>8788</v>
      </c>
      <c r="K498" s="392" t="s">
        <v>7020</v>
      </c>
      <c r="L498" s="392" t="s">
        <v>2521</v>
      </c>
      <c r="M498" s="392" t="s">
        <v>3758</v>
      </c>
      <c r="N498" s="392" t="s">
        <v>7273</v>
      </c>
      <c r="O498" s="392" t="s">
        <v>7273</v>
      </c>
      <c r="P498"/>
      <c r="Q498"/>
      <c r="R498" s="387">
        <f>VLOOKUP(E498,'[1]NDB Impacted SPRFs 05032013'!$A$2:$A$65536,1,FALSE)</f>
        <v>400019742</v>
      </c>
      <c r="S498" s="159"/>
      <c r="T498" s="159"/>
      <c r="U498" s="159"/>
    </row>
    <row r="499" spans="1:21" s="159" customFormat="1" ht="45" x14ac:dyDescent="0.25">
      <c r="A499" s="63">
        <f>MATCH($E499,'D1 - Master Project Table'!$B$24:$B$7056,0)</f>
        <v>1960</v>
      </c>
      <c r="B499" s="63" t="b">
        <f t="shared" si="21"/>
        <v>0</v>
      </c>
      <c r="C499" s="63" t="b">
        <f t="shared" si="22"/>
        <v>1</v>
      </c>
      <c r="D499" s="63" t="str">
        <f t="shared" si="23"/>
        <v>OK</v>
      </c>
      <c r="E499" s="393">
        <v>400022801</v>
      </c>
      <c r="F499" s="392" t="s">
        <v>4209</v>
      </c>
      <c r="G499" s="392" t="s">
        <v>5325</v>
      </c>
      <c r="H499" s="392" t="s">
        <v>7418</v>
      </c>
      <c r="I499" s="392" t="s">
        <v>6008</v>
      </c>
      <c r="J499" s="392" t="s">
        <v>8267</v>
      </c>
      <c r="K499" s="392" t="s">
        <v>7419</v>
      </c>
      <c r="L499" s="392" t="s">
        <v>5814</v>
      </c>
      <c r="M499" s="392" t="s">
        <v>3758</v>
      </c>
      <c r="N499" s="392" t="s">
        <v>7273</v>
      </c>
      <c r="O499" s="392" t="s">
        <v>7273</v>
      </c>
      <c r="P499" s="158"/>
      <c r="Q499" s="128"/>
      <c r="R499" s="387">
        <f>VLOOKUP(E499,'[1]NDB Impacted SPRFs 05032013'!$A$2:$A$65536,1,FALSE)</f>
        <v>400022801</v>
      </c>
      <c r="S499" s="128"/>
      <c r="T499" s="128"/>
      <c r="U499" s="128"/>
    </row>
    <row r="500" spans="1:21" s="159" customFormat="1" ht="30" x14ac:dyDescent="0.25">
      <c r="A500" s="63">
        <f>MATCH($E500,'D1 - Master Project Table'!$B$24:$B$7056,0)</f>
        <v>1062</v>
      </c>
      <c r="B500" s="63" t="b">
        <f t="shared" si="21"/>
        <v>0</v>
      </c>
      <c r="C500" s="63" t="b">
        <f t="shared" si="22"/>
        <v>1</v>
      </c>
      <c r="D500" s="63" t="str">
        <f t="shared" si="23"/>
        <v>OK</v>
      </c>
      <c r="E500" s="393">
        <v>400027393</v>
      </c>
      <c r="F500" s="392" t="s">
        <v>6599</v>
      </c>
      <c r="G500" s="392" t="s">
        <v>6322</v>
      </c>
      <c r="H500" s="392" t="s">
        <v>7418</v>
      </c>
      <c r="I500" s="392" t="s">
        <v>7594</v>
      </c>
      <c r="J500" s="392" t="s">
        <v>1062</v>
      </c>
      <c r="K500" s="392" t="s">
        <v>6600</v>
      </c>
      <c r="L500" s="392" t="s">
        <v>6254</v>
      </c>
      <c r="M500" s="392" t="s">
        <v>7273</v>
      </c>
      <c r="N500" s="392" t="s">
        <v>7273</v>
      </c>
      <c r="O500" s="392" t="s">
        <v>7273</v>
      </c>
      <c r="P500"/>
      <c r="Q500"/>
      <c r="R500" s="387">
        <f>VLOOKUP(E500,'[1]NDB Impacted SPRFs 05032013'!$A$2:$A$65536,1,FALSE)</f>
        <v>400027393</v>
      </c>
    </row>
    <row r="501" spans="1:21" s="159" customFormat="1" ht="45" x14ac:dyDescent="0.25">
      <c r="A501" s="63">
        <f>MATCH($E501,'D1 - Master Project Table'!$B$24:$B$7056,0)</f>
        <v>1584</v>
      </c>
      <c r="B501" s="63" t="b">
        <f t="shared" si="21"/>
        <v>0</v>
      </c>
      <c r="C501" s="63" t="b">
        <f t="shared" si="22"/>
        <v>1</v>
      </c>
      <c r="D501" s="63" t="str">
        <f t="shared" si="23"/>
        <v>OK</v>
      </c>
      <c r="E501" s="393">
        <v>400044863</v>
      </c>
      <c r="F501" s="392" t="s">
        <v>1876</v>
      </c>
      <c r="G501" s="392" t="s">
        <v>5001</v>
      </c>
      <c r="H501" s="392" t="s">
        <v>7418</v>
      </c>
      <c r="I501" s="392" t="s">
        <v>3540</v>
      </c>
      <c r="J501" s="392" t="s">
        <v>4440</v>
      </c>
      <c r="K501" s="392" t="s">
        <v>2485</v>
      </c>
      <c r="L501" s="392" t="s">
        <v>2726</v>
      </c>
      <c r="M501" s="392" t="s">
        <v>7273</v>
      </c>
      <c r="N501" s="392" t="s">
        <v>7273</v>
      </c>
      <c r="O501" s="392" t="s">
        <v>7273</v>
      </c>
      <c r="P501"/>
      <c r="Q501"/>
      <c r="R501" s="387">
        <f>VLOOKUP(E501,'[1]NDB Impacted SPRFs 05032013'!$A$2:$A$65536,1,FALSE)</f>
        <v>400044863</v>
      </c>
    </row>
    <row r="502" spans="1:21" s="159" customFormat="1" ht="30" x14ac:dyDescent="0.25">
      <c r="A502" s="63">
        <f>MATCH($E502,'D1 - Master Project Table'!$B$24:$B$7056,0)</f>
        <v>134</v>
      </c>
      <c r="B502" s="63" t="b">
        <f t="shared" si="21"/>
        <v>0</v>
      </c>
      <c r="C502" s="63" t="b">
        <f t="shared" si="22"/>
        <v>0</v>
      </c>
      <c r="D502" s="63" t="str">
        <f t="shared" si="23"/>
        <v>OK</v>
      </c>
      <c r="E502" s="393">
        <v>400057929</v>
      </c>
      <c r="F502" s="392" t="s">
        <v>75</v>
      </c>
      <c r="G502" s="392" t="s">
        <v>6322</v>
      </c>
      <c r="H502" s="392" t="s">
        <v>4917</v>
      </c>
      <c r="I502" s="392" t="s">
        <v>1756</v>
      </c>
      <c r="J502" s="392" t="s">
        <v>3151</v>
      </c>
      <c r="K502" s="392" t="s">
        <v>187</v>
      </c>
      <c r="L502" s="392" t="s">
        <v>8940</v>
      </c>
      <c r="M502" s="392" t="s">
        <v>7273</v>
      </c>
      <c r="N502" s="392" t="s">
        <v>7273</v>
      </c>
      <c r="O502" s="392" t="s">
        <v>7273</v>
      </c>
      <c r="P502"/>
      <c r="Q502"/>
      <c r="R502" s="387">
        <f>VLOOKUP(E502,'[1]NDB Impacted SPRFs 05032013'!$A$2:$A$65536,1,FALSE)</f>
        <v>400057929</v>
      </c>
    </row>
    <row r="503" spans="1:21" s="159" customFormat="1" ht="45" x14ac:dyDescent="0.25">
      <c r="A503" s="63">
        <f>MATCH($E503,'D1 - Master Project Table'!$B$24:$B$7056,0)</f>
        <v>528</v>
      </c>
      <c r="B503" s="63" t="b">
        <f t="shared" si="21"/>
        <v>0</v>
      </c>
      <c r="C503" s="63" t="b">
        <f t="shared" si="22"/>
        <v>1</v>
      </c>
      <c r="D503" s="63" t="str">
        <f t="shared" si="23"/>
        <v>OK</v>
      </c>
      <c r="E503" s="393">
        <v>400011659</v>
      </c>
      <c r="F503" s="392" t="s">
        <v>6606</v>
      </c>
      <c r="G503" s="392" t="s">
        <v>5324</v>
      </c>
      <c r="H503" s="392" t="s">
        <v>7418</v>
      </c>
      <c r="I503" s="392" t="s">
        <v>1759</v>
      </c>
      <c r="J503" s="392" t="s">
        <v>3717</v>
      </c>
      <c r="K503" s="392" t="s">
        <v>3718</v>
      </c>
      <c r="L503" s="392" t="s">
        <v>6125</v>
      </c>
      <c r="M503" s="392" t="s">
        <v>7273</v>
      </c>
      <c r="N503" s="392" t="s">
        <v>7273</v>
      </c>
      <c r="O503" s="392" t="s">
        <v>7273</v>
      </c>
      <c r="P503"/>
      <c r="Q503"/>
      <c r="R503" s="387">
        <f>VLOOKUP(E503,'[1]NDB Impacted SPRFs 05032013'!$A$2:$A$65536,1,FALSE)</f>
        <v>400011659</v>
      </c>
      <c r="S503" s="128"/>
      <c r="T503" s="128"/>
      <c r="U503" s="128"/>
    </row>
    <row r="504" spans="1:21" s="159" customFormat="1" ht="45" x14ac:dyDescent="0.25">
      <c r="A504" s="63">
        <f>MATCH($E504,'D1 - Master Project Table'!$B$24:$B$7056,0)</f>
        <v>2674</v>
      </c>
      <c r="B504" s="63" t="b">
        <f t="shared" si="21"/>
        <v>0</v>
      </c>
      <c r="C504" s="63" t="b">
        <f t="shared" si="22"/>
        <v>1</v>
      </c>
      <c r="D504" s="63" t="str">
        <f t="shared" si="23"/>
        <v>OK</v>
      </c>
      <c r="E504" s="393">
        <v>400016651</v>
      </c>
      <c r="F504" s="392" t="s">
        <v>4439</v>
      </c>
      <c r="G504" s="392" t="s">
        <v>5324</v>
      </c>
      <c r="H504" s="392" t="s">
        <v>5314</v>
      </c>
      <c r="I504" s="392" t="s">
        <v>1769</v>
      </c>
      <c r="J504" s="392" t="s">
        <v>4990</v>
      </c>
      <c r="K504" s="392" t="s">
        <v>4320</v>
      </c>
      <c r="L504" s="392" t="s">
        <v>5058</v>
      </c>
      <c r="M504" s="392" t="s">
        <v>3758</v>
      </c>
      <c r="N504" s="392" t="s">
        <v>7273</v>
      </c>
      <c r="O504" s="392" t="s">
        <v>3758</v>
      </c>
      <c r="P504"/>
      <c r="Q504"/>
      <c r="R504" s="387">
        <f>VLOOKUP(E504,'[1]NDB Impacted SPRFs 05032013'!$A$2:$A$65536,1,FALSE)</f>
        <v>400016651</v>
      </c>
    </row>
    <row r="505" spans="1:21" s="159" customFormat="1" ht="45" x14ac:dyDescent="0.25">
      <c r="A505" s="63">
        <f>MATCH($E505,'D1 - Master Project Table'!$B$24:$B$7056,0)</f>
        <v>1073</v>
      </c>
      <c r="B505" s="63" t="b">
        <f t="shared" si="21"/>
        <v>0</v>
      </c>
      <c r="C505" s="63" t="b">
        <f t="shared" si="22"/>
        <v>1</v>
      </c>
      <c r="D505" s="63" t="str">
        <f t="shared" si="23"/>
        <v>OK</v>
      </c>
      <c r="E505" s="393">
        <v>400027467</v>
      </c>
      <c r="F505" s="392" t="s">
        <v>3783</v>
      </c>
      <c r="G505" s="392" t="s">
        <v>5324</v>
      </c>
      <c r="H505" s="392" t="s">
        <v>7418</v>
      </c>
      <c r="I505" s="392" t="s">
        <v>1757</v>
      </c>
      <c r="J505" s="392" t="s">
        <v>8316</v>
      </c>
      <c r="K505" s="392" t="s">
        <v>3784</v>
      </c>
      <c r="L505" s="392" t="s">
        <v>1241</v>
      </c>
      <c r="M505" s="392" t="s">
        <v>7273</v>
      </c>
      <c r="N505" s="392" t="s">
        <v>7273</v>
      </c>
      <c r="O505" s="392" t="s">
        <v>7273</v>
      </c>
      <c r="P505" s="158"/>
      <c r="Q505" s="128"/>
      <c r="R505" s="387">
        <f>VLOOKUP(E505,'[1]NDB Impacted SPRFs 05032013'!$A$2:$A$65536,1,FALSE)</f>
        <v>400027467</v>
      </c>
    </row>
    <row r="506" spans="1:21" s="159" customFormat="1" ht="45" x14ac:dyDescent="0.25">
      <c r="A506" s="63">
        <f>MATCH($E506,'D1 - Master Project Table'!$B$24:$B$7056,0)</f>
        <v>1732</v>
      </c>
      <c r="B506" s="63" t="b">
        <f t="shared" si="21"/>
        <v>0</v>
      </c>
      <c r="C506" s="63" t="b">
        <f t="shared" si="22"/>
        <v>1</v>
      </c>
      <c r="D506" s="63" t="str">
        <f t="shared" si="23"/>
        <v>OK</v>
      </c>
      <c r="E506" s="393">
        <v>400050157</v>
      </c>
      <c r="F506" s="392" t="s">
        <v>516</v>
      </c>
      <c r="G506" s="392" t="s">
        <v>5324</v>
      </c>
      <c r="H506" s="392" t="s">
        <v>7418</v>
      </c>
      <c r="I506" s="392" t="s">
        <v>1759</v>
      </c>
      <c r="J506" s="392" t="s">
        <v>517</v>
      </c>
      <c r="K506" s="392" t="s">
        <v>518</v>
      </c>
      <c r="L506" s="392" t="s">
        <v>5115</v>
      </c>
      <c r="M506" s="392" t="s">
        <v>7273</v>
      </c>
      <c r="N506" s="392" t="s">
        <v>7273</v>
      </c>
      <c r="O506" s="392" t="s">
        <v>7273</v>
      </c>
      <c r="P506"/>
      <c r="Q506"/>
      <c r="R506" s="387">
        <f>VLOOKUP(E506,'[1]NDB Impacted SPRFs 05032013'!$A$2:$A$65536,1,FALSE)</f>
        <v>400050157</v>
      </c>
    </row>
    <row r="507" spans="1:21" s="159" customFormat="1" ht="45" x14ac:dyDescent="0.25">
      <c r="A507" s="63">
        <f>MATCH($E507,'D1 - Master Project Table'!$B$24:$B$7056,0)</f>
        <v>2781</v>
      </c>
      <c r="B507" s="63" t="b">
        <f t="shared" si="21"/>
        <v>0</v>
      </c>
      <c r="C507" s="63" t="b">
        <f t="shared" si="22"/>
        <v>1</v>
      </c>
      <c r="D507" s="63" t="str">
        <f t="shared" si="23"/>
        <v>OK</v>
      </c>
      <c r="E507" s="393">
        <v>400021975</v>
      </c>
      <c r="F507" s="392" t="s">
        <v>4855</v>
      </c>
      <c r="G507" s="392" t="s">
        <v>5324</v>
      </c>
      <c r="H507" s="392" t="s">
        <v>5314</v>
      </c>
      <c r="I507" s="392" t="s">
        <v>1763</v>
      </c>
      <c r="J507" s="392" t="s">
        <v>8393</v>
      </c>
      <c r="K507" s="392" t="s">
        <v>7772</v>
      </c>
      <c r="L507" s="392" t="s">
        <v>4253</v>
      </c>
      <c r="M507" s="392" t="s">
        <v>3758</v>
      </c>
      <c r="N507" s="392" t="s">
        <v>7273</v>
      </c>
      <c r="O507" s="392" t="s">
        <v>3758</v>
      </c>
      <c r="P507"/>
      <c r="Q507"/>
      <c r="R507" s="387">
        <f>VLOOKUP(E507,'[1]NDB Impacted SPRFs 05032013'!$A$2:$A$65536,1,FALSE)</f>
        <v>400021975</v>
      </c>
    </row>
    <row r="508" spans="1:21" s="159" customFormat="1" ht="45" x14ac:dyDescent="0.25">
      <c r="A508" s="63">
        <f>MATCH($E508,'D1 - Master Project Table'!$B$24:$B$7056,0)</f>
        <v>2199</v>
      </c>
      <c r="B508" s="63" t="b">
        <f t="shared" si="21"/>
        <v>0</v>
      </c>
      <c r="C508" s="63" t="b">
        <f t="shared" si="22"/>
        <v>1</v>
      </c>
      <c r="D508" s="63" t="str">
        <f t="shared" si="23"/>
        <v>OK</v>
      </c>
      <c r="E508" s="393">
        <v>400024510</v>
      </c>
      <c r="F508" s="392" t="s">
        <v>2436</v>
      </c>
      <c r="G508" s="392" t="s">
        <v>5324</v>
      </c>
      <c r="H508" s="392" t="s">
        <v>5314</v>
      </c>
      <c r="I508" s="392" t="s">
        <v>1756</v>
      </c>
      <c r="J508" s="392" t="s">
        <v>3679</v>
      </c>
      <c r="K508" s="392" t="s">
        <v>7197</v>
      </c>
      <c r="L508" s="392" t="s">
        <v>7939</v>
      </c>
      <c r="M508" s="392" t="s">
        <v>7273</v>
      </c>
      <c r="N508" s="392" t="s">
        <v>7273</v>
      </c>
      <c r="O508" s="392" t="s">
        <v>7273</v>
      </c>
      <c r="P508"/>
      <c r="Q508"/>
      <c r="R508" s="387">
        <f>VLOOKUP(E508,'[1]NDB Impacted SPRFs 05032013'!$A$2:$A$65536,1,FALSE)</f>
        <v>400024510</v>
      </c>
    </row>
    <row r="509" spans="1:21" s="159" customFormat="1" ht="45" x14ac:dyDescent="0.25">
      <c r="A509" s="63">
        <f>MATCH($E509,'D1 - Master Project Table'!$B$24:$B$7056,0)</f>
        <v>2883</v>
      </c>
      <c r="B509" s="63" t="b">
        <f t="shared" si="21"/>
        <v>0</v>
      </c>
      <c r="C509" s="63" t="b">
        <f t="shared" si="22"/>
        <v>1</v>
      </c>
      <c r="D509" s="63" t="str">
        <f t="shared" si="23"/>
        <v>OK</v>
      </c>
      <c r="E509" s="393">
        <v>400028921</v>
      </c>
      <c r="F509" s="392" t="s">
        <v>4012</v>
      </c>
      <c r="G509" s="392" t="s">
        <v>5324</v>
      </c>
      <c r="H509" s="392" t="s">
        <v>5314</v>
      </c>
      <c r="I509" s="392" t="s">
        <v>1763</v>
      </c>
      <c r="J509" s="392" t="s">
        <v>3679</v>
      </c>
      <c r="K509" s="392" t="s">
        <v>7498</v>
      </c>
      <c r="L509" s="392" t="s">
        <v>3363</v>
      </c>
      <c r="M509" s="392" t="s">
        <v>7273</v>
      </c>
      <c r="N509" s="392" t="s">
        <v>7273</v>
      </c>
      <c r="O509" s="392" t="s">
        <v>7273</v>
      </c>
      <c r="P509"/>
      <c r="Q509"/>
      <c r="R509" s="387">
        <f>VLOOKUP(E509,'[1]NDB Impacted SPRFs 05032013'!$A$2:$A$65536,1,FALSE)</f>
        <v>400028921</v>
      </c>
    </row>
    <row r="510" spans="1:21" s="159" customFormat="1" ht="45" customHeight="1" x14ac:dyDescent="0.25">
      <c r="A510" s="63" t="e">
        <f>MATCH($E510,'D1 - Master Project Table'!$B$24:$B$7056,0)</f>
        <v>#N/A</v>
      </c>
      <c r="B510" s="63" t="b">
        <f t="shared" si="21"/>
        <v>1</v>
      </c>
      <c r="C510" s="63" t="b">
        <f t="shared" si="22"/>
        <v>1</v>
      </c>
      <c r="D510" s="63" t="str">
        <f t="shared" si="23"/>
        <v>OK</v>
      </c>
      <c r="E510" s="393">
        <v>400037993</v>
      </c>
      <c r="F510" s="392" t="s">
        <v>4975</v>
      </c>
      <c r="G510" s="392" t="s">
        <v>6322</v>
      </c>
      <c r="H510" s="392" t="s">
        <v>5314</v>
      </c>
      <c r="I510" s="392" t="s">
        <v>1118</v>
      </c>
      <c r="J510" s="392" t="s">
        <v>3679</v>
      </c>
      <c r="K510" s="392" t="s">
        <v>4578</v>
      </c>
      <c r="L510" s="392" t="s">
        <v>3182</v>
      </c>
      <c r="M510" s="392" t="s">
        <v>7273</v>
      </c>
      <c r="N510" s="392" t="s">
        <v>7273</v>
      </c>
      <c r="O510" s="392" t="s">
        <v>3758</v>
      </c>
      <c r="P510"/>
      <c r="Q510"/>
      <c r="R510" s="387">
        <f>VLOOKUP(E510,'[1]NDB Impacted SPRFs 05032013'!$A$2:$A$65536,1,FALSE)</f>
        <v>400037993</v>
      </c>
    </row>
    <row r="511" spans="1:21" s="159" customFormat="1" ht="45" x14ac:dyDescent="0.25">
      <c r="A511" s="63">
        <f>MATCH($E511,'D1 - Master Project Table'!$B$24:$B$7056,0)</f>
        <v>1550</v>
      </c>
      <c r="B511" s="63" t="b">
        <f t="shared" si="21"/>
        <v>0</v>
      </c>
      <c r="C511" s="63" t="b">
        <f t="shared" si="22"/>
        <v>1</v>
      </c>
      <c r="D511" s="63" t="str">
        <f t="shared" si="23"/>
        <v>OK</v>
      </c>
      <c r="E511" s="393">
        <v>400039292</v>
      </c>
      <c r="F511" s="392" t="s">
        <v>387</v>
      </c>
      <c r="G511" s="392" t="s">
        <v>5324</v>
      </c>
      <c r="H511" s="392" t="s">
        <v>7418</v>
      </c>
      <c r="I511" s="392" t="s">
        <v>1757</v>
      </c>
      <c r="J511" s="392" t="s">
        <v>8617</v>
      </c>
      <c r="K511" s="392" t="s">
        <v>388</v>
      </c>
      <c r="L511" s="392" t="s">
        <v>1204</v>
      </c>
      <c r="M511" s="392" t="s">
        <v>7273</v>
      </c>
      <c r="N511" s="392" t="s">
        <v>7273</v>
      </c>
      <c r="O511" s="392" t="s">
        <v>7273</v>
      </c>
      <c r="P511"/>
      <c r="Q511"/>
      <c r="R511" s="387">
        <f>VLOOKUP(E511,'[1]NDB Impacted SPRFs 05032013'!$A$2:$A$65536,1,FALSE)</f>
        <v>400039292</v>
      </c>
    </row>
    <row r="512" spans="1:21" ht="45" x14ac:dyDescent="0.25">
      <c r="A512" s="63">
        <f>MATCH($E512,'D1 - Master Project Table'!$B$24:$B$7056,0)</f>
        <v>3118</v>
      </c>
      <c r="B512" s="63" t="b">
        <f t="shared" si="21"/>
        <v>0</v>
      </c>
      <c r="C512" s="63" t="b">
        <f t="shared" si="22"/>
        <v>1</v>
      </c>
      <c r="D512" s="63" t="str">
        <f t="shared" si="23"/>
        <v>OK</v>
      </c>
      <c r="E512" s="393">
        <v>400052540</v>
      </c>
      <c r="F512" s="392" t="s">
        <v>1741</v>
      </c>
      <c r="G512" s="392" t="s">
        <v>5324</v>
      </c>
      <c r="H512" s="392" t="s">
        <v>7418</v>
      </c>
      <c r="I512" s="392" t="s">
        <v>1762</v>
      </c>
      <c r="J512" s="392" t="s">
        <v>8483</v>
      </c>
      <c r="K512" s="392" t="s">
        <v>6371</v>
      </c>
      <c r="L512" s="392" t="s">
        <v>910</v>
      </c>
      <c r="M512" s="392" t="s">
        <v>3758</v>
      </c>
      <c r="N512" s="392" t="s">
        <v>7273</v>
      </c>
      <c r="O512" s="392" t="s">
        <v>7273</v>
      </c>
      <c r="P512"/>
      <c r="Q512"/>
      <c r="R512" s="387">
        <f>VLOOKUP(E512,'[1]NDB Impacted SPRFs 05032013'!$A$2:$A$65536,1,FALSE)</f>
        <v>400052540</v>
      </c>
      <c r="S512" s="159"/>
      <c r="T512" s="159"/>
      <c r="U512" s="159"/>
    </row>
    <row r="513" spans="1:21" s="159" customFormat="1" ht="30" x14ac:dyDescent="0.25">
      <c r="A513" s="63">
        <f>MATCH($E513,'D1 - Master Project Table'!$B$24:$B$7056,0)</f>
        <v>1183</v>
      </c>
      <c r="B513" s="63" t="b">
        <f t="shared" si="21"/>
        <v>0</v>
      </c>
      <c r="C513" s="63" t="b">
        <f t="shared" si="22"/>
        <v>1</v>
      </c>
      <c r="D513" s="63" t="str">
        <f t="shared" si="23"/>
        <v>OK</v>
      </c>
      <c r="E513" s="393">
        <v>400031944</v>
      </c>
      <c r="F513" s="392" t="s">
        <v>4797</v>
      </c>
      <c r="G513" s="392" t="s">
        <v>5001</v>
      </c>
      <c r="H513" s="392" t="s">
        <v>7418</v>
      </c>
      <c r="I513" s="392" t="s">
        <v>3540</v>
      </c>
      <c r="J513" s="392" t="s">
        <v>8758</v>
      </c>
      <c r="K513" s="392" t="s">
        <v>5468</v>
      </c>
      <c r="L513" s="392" t="s">
        <v>99</v>
      </c>
      <c r="M513" s="392" t="s">
        <v>7273</v>
      </c>
      <c r="N513" s="392" t="s">
        <v>7273</v>
      </c>
      <c r="O513" s="392" t="s">
        <v>7273</v>
      </c>
      <c r="P513"/>
      <c r="Q513"/>
      <c r="R513" s="387">
        <f>VLOOKUP(E513,'[1]NDB Impacted SPRFs 05032013'!$A$2:$A$65536,1,FALSE)</f>
        <v>400031944</v>
      </c>
      <c r="S513" s="128"/>
      <c r="T513" s="128"/>
      <c r="U513" s="128"/>
    </row>
    <row r="514" spans="1:21" s="159" customFormat="1" ht="30" x14ac:dyDescent="0.25">
      <c r="A514" s="63">
        <f>MATCH($E514,'D1 - Master Project Table'!$B$24:$B$7056,0)</f>
        <v>1376</v>
      </c>
      <c r="B514" s="63" t="b">
        <f t="shared" si="21"/>
        <v>0</v>
      </c>
      <c r="C514" s="63" t="b">
        <f t="shared" si="22"/>
        <v>1</v>
      </c>
      <c r="D514" s="63" t="str">
        <f t="shared" si="23"/>
        <v>OK</v>
      </c>
      <c r="E514" s="393">
        <v>400032685</v>
      </c>
      <c r="F514" s="392" t="s">
        <v>1229</v>
      </c>
      <c r="G514" s="392" t="s">
        <v>6322</v>
      </c>
      <c r="H514" s="392" t="s">
        <v>7418</v>
      </c>
      <c r="I514" s="392" t="s">
        <v>7594</v>
      </c>
      <c r="J514" s="392" t="s">
        <v>7233</v>
      </c>
      <c r="K514" s="392" t="s">
        <v>3716</v>
      </c>
      <c r="L514" s="392" t="s">
        <v>2368</v>
      </c>
      <c r="M514" s="392" t="s">
        <v>7273</v>
      </c>
      <c r="N514" s="392" t="s">
        <v>7273</v>
      </c>
      <c r="O514" s="392" t="s">
        <v>7273</v>
      </c>
      <c r="P514"/>
      <c r="Q514"/>
      <c r="R514" s="387">
        <f>VLOOKUP(E514,'[1]NDB Impacted SPRFs 05032013'!$A$2:$A$65536,1,FALSE)</f>
        <v>400032685</v>
      </c>
    </row>
    <row r="515" spans="1:21" s="159" customFormat="1" ht="45" x14ac:dyDescent="0.25">
      <c r="A515" s="63">
        <f>MATCH($E515,'D1 - Master Project Table'!$B$24:$B$7056,0)</f>
        <v>2976</v>
      </c>
      <c r="B515" s="63" t="b">
        <f t="shared" si="21"/>
        <v>0</v>
      </c>
      <c r="C515" s="63" t="b">
        <f t="shared" si="22"/>
        <v>1</v>
      </c>
      <c r="D515" s="63" t="str">
        <f t="shared" si="23"/>
        <v>OK</v>
      </c>
      <c r="E515" s="393">
        <v>400037001</v>
      </c>
      <c r="F515" s="392" t="s">
        <v>4226</v>
      </c>
      <c r="G515" s="392" t="s">
        <v>6322</v>
      </c>
      <c r="H515" s="392" t="s">
        <v>5314</v>
      </c>
      <c r="I515" s="392" t="s">
        <v>7594</v>
      </c>
      <c r="J515" s="392" t="s">
        <v>4688</v>
      </c>
      <c r="K515" s="392" t="s">
        <v>7164</v>
      </c>
      <c r="L515" s="392" t="s">
        <v>6936</v>
      </c>
      <c r="M515" s="392" t="s">
        <v>7273</v>
      </c>
      <c r="N515" s="392" t="s">
        <v>7273</v>
      </c>
      <c r="O515" s="392" t="s">
        <v>7273</v>
      </c>
      <c r="P515"/>
      <c r="Q515"/>
      <c r="R515" s="387">
        <f>VLOOKUP(E515,'[1]NDB Impacted SPRFs 05032013'!$A$2:$A$65536,1,FALSE)</f>
        <v>400037001</v>
      </c>
      <c r="S515" s="128"/>
      <c r="T515" s="128"/>
      <c r="U515" s="128"/>
    </row>
    <row r="516" spans="1:21" s="159" customFormat="1" ht="45" customHeight="1" x14ac:dyDescent="0.25">
      <c r="A516" s="63">
        <f>MATCH($E516,'D1 - Master Project Table'!$B$24:$B$7056,0)</f>
        <v>103</v>
      </c>
      <c r="B516" s="63" t="b">
        <f t="shared" si="21"/>
        <v>0</v>
      </c>
      <c r="C516" s="63" t="b">
        <f t="shared" si="22"/>
        <v>0</v>
      </c>
      <c r="D516" s="63" t="str">
        <f t="shared" si="23"/>
        <v>OK</v>
      </c>
      <c r="E516" s="393">
        <v>400041457</v>
      </c>
      <c r="F516" s="392" t="s">
        <v>2482</v>
      </c>
      <c r="G516" s="392" t="s">
        <v>9210</v>
      </c>
      <c r="H516" s="392" t="s">
        <v>4917</v>
      </c>
      <c r="I516" s="392" t="s">
        <v>3540</v>
      </c>
      <c r="J516" s="392" t="s">
        <v>8780</v>
      </c>
      <c r="K516" s="392" t="s">
        <v>7043</v>
      </c>
      <c r="L516" s="392" t="s">
        <v>9234</v>
      </c>
      <c r="M516" s="392" t="s">
        <v>7273</v>
      </c>
      <c r="N516" s="392" t="s">
        <v>7273</v>
      </c>
      <c r="O516" s="392" t="s">
        <v>7273</v>
      </c>
      <c r="P516" s="61"/>
      <c r="Q516" s="61"/>
      <c r="R516" s="387">
        <f>VLOOKUP(E516,'[1]NDB Impacted SPRFs 05032013'!$A$2:$A$65536,1,FALSE)</f>
        <v>400041457</v>
      </c>
      <c r="S516" s="128"/>
      <c r="T516" s="128"/>
      <c r="U516" s="128"/>
    </row>
    <row r="517" spans="1:21" s="159" customFormat="1" ht="45" x14ac:dyDescent="0.25">
      <c r="A517" s="63">
        <f>MATCH($E517,'D1 - Master Project Table'!$B$24:$B$7056,0)</f>
        <v>1779</v>
      </c>
      <c r="B517" s="63" t="b">
        <f t="shared" si="21"/>
        <v>0</v>
      </c>
      <c r="C517" s="63" t="b">
        <f t="shared" si="22"/>
        <v>1</v>
      </c>
      <c r="D517" s="63" t="str">
        <f t="shared" si="23"/>
        <v>OK</v>
      </c>
      <c r="E517" s="393">
        <v>400052851</v>
      </c>
      <c r="F517" s="392" t="s">
        <v>1733</v>
      </c>
      <c r="G517" s="392" t="s">
        <v>5324</v>
      </c>
      <c r="H517" s="392" t="s">
        <v>7418</v>
      </c>
      <c r="I517" s="392" t="s">
        <v>1759</v>
      </c>
      <c r="J517" s="392" t="s">
        <v>517</v>
      </c>
      <c r="K517" s="392" t="s">
        <v>518</v>
      </c>
      <c r="L517" s="392" t="s">
        <v>6959</v>
      </c>
      <c r="M517" s="392" t="s">
        <v>7273</v>
      </c>
      <c r="N517" s="392" t="s">
        <v>7273</v>
      </c>
      <c r="O517" s="392" t="s">
        <v>7273</v>
      </c>
      <c r="P517"/>
      <c r="Q517"/>
      <c r="R517" s="387">
        <f>VLOOKUP(E517,'[1]NDB Impacted SPRFs 05032013'!$A$2:$A$65536,1,FALSE)</f>
        <v>400052851</v>
      </c>
      <c r="S517" s="128"/>
      <c r="T517" s="128"/>
      <c r="U517" s="128"/>
    </row>
    <row r="518" spans="1:21" s="159" customFormat="1" ht="30" x14ac:dyDescent="0.25">
      <c r="A518" s="63">
        <f>MATCH($E518,'D1 - Master Project Table'!$B$24:$B$7056,0)</f>
        <v>2407</v>
      </c>
      <c r="B518" s="63" t="b">
        <f t="shared" ref="B518:B581" si="24">ISERROR(A518)</f>
        <v>0</v>
      </c>
      <c r="C518" s="63" t="b">
        <f t="shared" ref="C518:C581" si="25">OR(H518="Completed",H518="Cancelled")</f>
        <v>1</v>
      </c>
      <c r="D518" s="63" t="str">
        <f t="shared" ref="D518:D581" si="26">IF(AND(B518=TRUE,C518=FALSE),"Add","OK")</f>
        <v>OK</v>
      </c>
      <c r="E518" s="393">
        <v>400002704</v>
      </c>
      <c r="F518" s="392" t="s">
        <v>3218</v>
      </c>
      <c r="G518" s="392" t="s">
        <v>5787</v>
      </c>
      <c r="H518" s="392" t="s">
        <v>5314</v>
      </c>
      <c r="I518" s="392" t="s">
        <v>1827</v>
      </c>
      <c r="J518" s="392" t="s">
        <v>8703</v>
      </c>
      <c r="K518" s="392" t="s">
        <v>6613</v>
      </c>
      <c r="L518" s="392" t="s">
        <v>4321</v>
      </c>
      <c r="M518" s="392" t="s">
        <v>7273</v>
      </c>
      <c r="N518" s="392" t="s">
        <v>7273</v>
      </c>
      <c r="O518" s="392" t="s">
        <v>7273</v>
      </c>
      <c r="P518"/>
      <c r="Q518"/>
      <c r="R518" s="387">
        <f>VLOOKUP(E518,'[1]NDB Impacted SPRFs 05032013'!$A$2:$A$65536,1,FALSE)</f>
        <v>400002704</v>
      </c>
    </row>
    <row r="519" spans="1:21" s="159" customFormat="1" ht="45" x14ac:dyDescent="0.25">
      <c r="A519" s="63">
        <f>MATCH($E519,'D1 - Master Project Table'!$B$24:$B$7056,0)</f>
        <v>2543</v>
      </c>
      <c r="B519" s="63" t="b">
        <f t="shared" si="24"/>
        <v>0</v>
      </c>
      <c r="C519" s="63" t="b">
        <f t="shared" si="25"/>
        <v>1</v>
      </c>
      <c r="D519" s="63" t="str">
        <f t="shared" si="26"/>
        <v>OK</v>
      </c>
      <c r="E519" s="393">
        <v>400009191</v>
      </c>
      <c r="F519" s="392" t="s">
        <v>4614</v>
      </c>
      <c r="G519" s="392" t="s">
        <v>5324</v>
      </c>
      <c r="H519" s="392" t="s">
        <v>5314</v>
      </c>
      <c r="I519" s="392" t="s">
        <v>1765</v>
      </c>
      <c r="J519" s="392" t="s">
        <v>8557</v>
      </c>
      <c r="K519" s="392" t="s">
        <v>2862</v>
      </c>
      <c r="L519" s="392" t="s">
        <v>4493</v>
      </c>
      <c r="M519" s="392" t="s">
        <v>7273</v>
      </c>
      <c r="N519" s="392" t="s">
        <v>7273</v>
      </c>
      <c r="O519" s="392" t="s">
        <v>7273</v>
      </c>
      <c r="P519"/>
      <c r="Q519"/>
      <c r="R519" s="387">
        <f>VLOOKUP(E519,'[1]NDB Impacted SPRFs 05032013'!$A$2:$A$65536,1,FALSE)</f>
        <v>400009191</v>
      </c>
      <c r="S519" s="128"/>
      <c r="T519" s="128"/>
      <c r="U519" s="128"/>
    </row>
    <row r="520" spans="1:21" ht="45" x14ac:dyDescent="0.25">
      <c r="A520" s="63">
        <f>MATCH($E520,'D1 - Master Project Table'!$B$24:$B$7056,0)</f>
        <v>2652</v>
      </c>
      <c r="B520" s="63" t="b">
        <f t="shared" si="24"/>
        <v>0</v>
      </c>
      <c r="C520" s="63" t="b">
        <f t="shared" si="25"/>
        <v>1</v>
      </c>
      <c r="D520" s="63" t="str">
        <f t="shared" si="26"/>
        <v>OK</v>
      </c>
      <c r="E520" s="393">
        <v>400015272</v>
      </c>
      <c r="F520" s="392" t="s">
        <v>6940</v>
      </c>
      <c r="G520" s="392" t="s">
        <v>3441</v>
      </c>
      <c r="H520" s="392" t="s">
        <v>5314</v>
      </c>
      <c r="I520" s="392" t="s">
        <v>1769</v>
      </c>
      <c r="J520" s="392" t="s">
        <v>4990</v>
      </c>
      <c r="K520" s="392" t="s">
        <v>2447</v>
      </c>
      <c r="L520" s="392" t="s">
        <v>5336</v>
      </c>
      <c r="M520" s="392" t="s">
        <v>3758</v>
      </c>
      <c r="N520" s="392" t="s">
        <v>7273</v>
      </c>
      <c r="O520" s="392" t="s">
        <v>3758</v>
      </c>
      <c r="P520"/>
      <c r="Q520"/>
      <c r="R520" s="387">
        <f>VLOOKUP(E520,'[1]NDB Impacted SPRFs 05032013'!$A$2:$A$65536,1,FALSE)</f>
        <v>400015272</v>
      </c>
    </row>
    <row r="521" spans="1:21" s="159" customFormat="1" ht="45" x14ac:dyDescent="0.25">
      <c r="A521" s="63">
        <f>MATCH($E521,'D1 - Master Project Table'!$B$24:$B$7056,0)</f>
        <v>2803</v>
      </c>
      <c r="B521" s="63" t="b">
        <f t="shared" si="24"/>
        <v>0</v>
      </c>
      <c r="C521" s="63" t="b">
        <f t="shared" si="25"/>
        <v>1</v>
      </c>
      <c r="D521" s="63" t="str">
        <f t="shared" si="26"/>
        <v>OK</v>
      </c>
      <c r="E521" s="393">
        <v>400023552</v>
      </c>
      <c r="F521" s="392" t="s">
        <v>3895</v>
      </c>
      <c r="G521" s="392" t="s">
        <v>5324</v>
      </c>
      <c r="H521" s="392" t="s">
        <v>5314</v>
      </c>
      <c r="I521" s="392" t="s">
        <v>1763</v>
      </c>
      <c r="J521" s="392" t="s">
        <v>8299</v>
      </c>
      <c r="K521" s="392" t="s">
        <v>6771</v>
      </c>
      <c r="L521" s="392" t="s">
        <v>3663</v>
      </c>
      <c r="M521" s="392" t="s">
        <v>7273</v>
      </c>
      <c r="N521" s="392" t="s">
        <v>7273</v>
      </c>
      <c r="O521" s="392" t="s">
        <v>7273</v>
      </c>
      <c r="P521"/>
      <c r="Q521"/>
      <c r="R521" s="387">
        <f>VLOOKUP(E521,'[1]NDB Impacted SPRFs 05032013'!$A$2:$A$65536,1,FALSE)</f>
        <v>400023552</v>
      </c>
    </row>
    <row r="522" spans="1:21" s="159" customFormat="1" ht="45" x14ac:dyDescent="0.25">
      <c r="A522" s="63">
        <f>MATCH($E522,'D1 - Master Project Table'!$B$24:$B$7056,0)</f>
        <v>2906</v>
      </c>
      <c r="B522" s="63" t="b">
        <f t="shared" si="24"/>
        <v>0</v>
      </c>
      <c r="C522" s="63" t="b">
        <f t="shared" si="25"/>
        <v>1</v>
      </c>
      <c r="D522" s="63" t="str">
        <f t="shared" si="26"/>
        <v>OK</v>
      </c>
      <c r="E522" s="393">
        <v>400031164</v>
      </c>
      <c r="F522" s="392" t="s">
        <v>4244</v>
      </c>
      <c r="G522" s="392" t="s">
        <v>5324</v>
      </c>
      <c r="H522" s="392" t="s">
        <v>5314</v>
      </c>
      <c r="I522" s="392" t="s">
        <v>1759</v>
      </c>
      <c r="J522" s="392" t="s">
        <v>8297</v>
      </c>
      <c r="K522" s="392" t="s">
        <v>3933</v>
      </c>
      <c r="L522" s="392" t="s">
        <v>4245</v>
      </c>
      <c r="M522" s="392" t="s">
        <v>7273</v>
      </c>
      <c r="N522" s="392" t="s">
        <v>7273</v>
      </c>
      <c r="O522" s="392" t="s">
        <v>7273</v>
      </c>
      <c r="P522"/>
      <c r="Q522"/>
      <c r="R522" s="387">
        <f>VLOOKUP(E522,'[1]NDB Impacted SPRFs 05032013'!$A$2:$A$65536,1,FALSE)</f>
        <v>400031164</v>
      </c>
    </row>
    <row r="523" spans="1:21" s="159" customFormat="1" ht="45" x14ac:dyDescent="0.25">
      <c r="A523" s="63">
        <f>MATCH($E523,'D1 - Master Project Table'!$B$24:$B$7056,0)</f>
        <v>2923</v>
      </c>
      <c r="B523" s="63" t="b">
        <f t="shared" si="24"/>
        <v>0</v>
      </c>
      <c r="C523" s="63" t="b">
        <f t="shared" si="25"/>
        <v>1</v>
      </c>
      <c r="D523" s="63" t="str">
        <f t="shared" si="26"/>
        <v>OK</v>
      </c>
      <c r="E523" s="393">
        <v>400032533</v>
      </c>
      <c r="F523" s="392" t="s">
        <v>6551</v>
      </c>
      <c r="G523" s="392" t="s">
        <v>5324</v>
      </c>
      <c r="H523" s="392" t="s">
        <v>5314</v>
      </c>
      <c r="I523" s="392" t="s">
        <v>1759</v>
      </c>
      <c r="J523" s="392" t="s">
        <v>4634</v>
      </c>
      <c r="K523" s="392" t="s">
        <v>4006</v>
      </c>
      <c r="L523" s="392" t="s">
        <v>6088</v>
      </c>
      <c r="M523" s="392" t="s">
        <v>7273</v>
      </c>
      <c r="N523" s="392" t="s">
        <v>7273</v>
      </c>
      <c r="O523" s="392" t="s">
        <v>3758</v>
      </c>
      <c r="P523"/>
      <c r="Q523"/>
      <c r="R523" s="387">
        <f>VLOOKUP(E523,'[1]NDB Impacted SPRFs 05032013'!$A$2:$A$65536,1,FALSE)</f>
        <v>400032533</v>
      </c>
    </row>
    <row r="524" spans="1:21" s="159" customFormat="1" ht="30" x14ac:dyDescent="0.25">
      <c r="A524" s="63" t="e">
        <f>MATCH($E524,'D1 - Master Project Table'!$B$24:$B$7056,0)</f>
        <v>#N/A</v>
      </c>
      <c r="B524" s="63" t="b">
        <f t="shared" si="24"/>
        <v>1</v>
      </c>
      <c r="C524" s="63" t="b">
        <f t="shared" si="25"/>
        <v>1</v>
      </c>
      <c r="D524" s="63" t="str">
        <f t="shared" si="26"/>
        <v>OK</v>
      </c>
      <c r="E524" s="393">
        <v>400036059</v>
      </c>
      <c r="F524" s="392" t="s">
        <v>5255</v>
      </c>
      <c r="G524" s="392" t="s">
        <v>6322</v>
      </c>
      <c r="H524" s="392" t="s">
        <v>5314</v>
      </c>
      <c r="I524" s="392" t="s">
        <v>7594</v>
      </c>
      <c r="J524" s="392" t="s">
        <v>1062</v>
      </c>
      <c r="K524" s="392" t="s">
        <v>7102</v>
      </c>
      <c r="L524" s="392" t="s">
        <v>728</v>
      </c>
      <c r="M524" s="392" t="s">
        <v>7273</v>
      </c>
      <c r="N524" s="392" t="s">
        <v>7273</v>
      </c>
      <c r="O524" s="392" t="s">
        <v>7273</v>
      </c>
      <c r="P524"/>
      <c r="Q524"/>
      <c r="R524" s="387">
        <f>VLOOKUP(E524,'[1]NDB Impacted SPRFs 05032013'!$A$2:$A$65536,1,FALSE)</f>
        <v>400036059</v>
      </c>
      <c r="S524" s="128"/>
      <c r="T524" s="128"/>
      <c r="U524" s="128"/>
    </row>
    <row r="525" spans="1:21" s="159" customFormat="1" ht="45" x14ac:dyDescent="0.25">
      <c r="A525" s="63">
        <f>MATCH($E525,'D1 - Master Project Table'!$B$24:$B$7056,0)</f>
        <v>2963</v>
      </c>
      <c r="B525" s="63" t="b">
        <f t="shared" si="24"/>
        <v>0</v>
      </c>
      <c r="C525" s="63" t="b">
        <f t="shared" si="25"/>
        <v>1</v>
      </c>
      <c r="D525" s="63" t="str">
        <f t="shared" si="26"/>
        <v>OK</v>
      </c>
      <c r="E525" s="393">
        <v>400036362</v>
      </c>
      <c r="F525" s="392" t="s">
        <v>6729</v>
      </c>
      <c r="G525" s="392" t="s">
        <v>5324</v>
      </c>
      <c r="H525" s="392" t="s">
        <v>5314</v>
      </c>
      <c r="I525" s="392" t="s">
        <v>1759</v>
      </c>
      <c r="J525" s="392" t="s">
        <v>8319</v>
      </c>
      <c r="K525" s="392" t="s">
        <v>1421</v>
      </c>
      <c r="L525" s="392" t="s">
        <v>6088</v>
      </c>
      <c r="M525" s="392" t="s">
        <v>7273</v>
      </c>
      <c r="N525" s="392" t="s">
        <v>7273</v>
      </c>
      <c r="O525" s="392" t="s">
        <v>3758</v>
      </c>
      <c r="P525"/>
      <c r="Q525"/>
      <c r="R525" s="387">
        <f>VLOOKUP(E525,'[1]NDB Impacted SPRFs 05032013'!$A$2:$A$65536,1,FALSE)</f>
        <v>400036362</v>
      </c>
    </row>
    <row r="526" spans="1:21" s="159" customFormat="1" ht="30" x14ac:dyDescent="0.25">
      <c r="A526" s="63">
        <f>MATCH($E526,'D1 - Master Project Table'!$B$24:$B$7056,0)</f>
        <v>2660</v>
      </c>
      <c r="B526" s="63" t="b">
        <f t="shared" si="24"/>
        <v>0</v>
      </c>
      <c r="C526" s="63" t="b">
        <f t="shared" si="25"/>
        <v>1</v>
      </c>
      <c r="D526" s="63" t="str">
        <f t="shared" si="26"/>
        <v>OK</v>
      </c>
      <c r="E526" s="393">
        <v>400015538</v>
      </c>
      <c r="F526" s="392" t="s">
        <v>5691</v>
      </c>
      <c r="G526" s="392" t="s">
        <v>5995</v>
      </c>
      <c r="H526" s="392" t="s">
        <v>5314</v>
      </c>
      <c r="I526" s="392" t="s">
        <v>3531</v>
      </c>
      <c r="J526" s="392" t="s">
        <v>8799</v>
      </c>
      <c r="K526" s="392" t="s">
        <v>5940</v>
      </c>
      <c r="L526" s="392" t="s">
        <v>5753</v>
      </c>
      <c r="M526" s="392" t="s">
        <v>3758</v>
      </c>
      <c r="N526" s="392" t="s">
        <v>7273</v>
      </c>
      <c r="O526" s="392" t="s">
        <v>7273</v>
      </c>
      <c r="P526"/>
      <c r="Q526"/>
      <c r="R526" s="387">
        <f>VLOOKUP(E526,'[1]NDB Impacted SPRFs 05032013'!$A$2:$A$65536,1,FALSE)</f>
        <v>400015538</v>
      </c>
      <c r="S526" s="128"/>
      <c r="T526" s="128"/>
      <c r="U526" s="128"/>
    </row>
    <row r="527" spans="1:21" s="159" customFormat="1" ht="30" x14ac:dyDescent="0.25">
      <c r="A527" s="63">
        <f>MATCH($E527,'D1 - Master Project Table'!$B$24:$B$7056,0)</f>
        <v>2478</v>
      </c>
      <c r="B527" s="63" t="b">
        <f t="shared" si="24"/>
        <v>0</v>
      </c>
      <c r="C527" s="63" t="b">
        <f t="shared" si="25"/>
        <v>1</v>
      </c>
      <c r="D527" s="63" t="str">
        <f t="shared" si="26"/>
        <v>OK</v>
      </c>
      <c r="E527" s="393">
        <v>400005358</v>
      </c>
      <c r="F527" s="392" t="s">
        <v>3775</v>
      </c>
      <c r="G527" s="392" t="s">
        <v>5787</v>
      </c>
      <c r="H527" s="392" t="s">
        <v>5314</v>
      </c>
      <c r="I527" s="392" t="s">
        <v>6869</v>
      </c>
      <c r="J527" s="392" t="s">
        <v>8662</v>
      </c>
      <c r="K527" s="392" t="s">
        <v>1419</v>
      </c>
      <c r="L527" s="392" t="s">
        <v>7045</v>
      </c>
      <c r="M527" s="392" t="s">
        <v>3758</v>
      </c>
      <c r="N527" s="392" t="s">
        <v>7273</v>
      </c>
      <c r="O527" s="392" t="s">
        <v>7273</v>
      </c>
      <c r="P527"/>
      <c r="Q527"/>
      <c r="R527" s="387">
        <f>VLOOKUP(E527,'[1]NDB Impacted SPRFs 05032013'!$A$2:$A$65536,1,FALSE)</f>
        <v>400005358</v>
      </c>
    </row>
    <row r="528" spans="1:21" s="159" customFormat="1" ht="45" x14ac:dyDescent="0.25">
      <c r="A528" s="63">
        <f>MATCH($E528,'D1 - Master Project Table'!$B$24:$B$7056,0)</f>
        <v>1175</v>
      </c>
      <c r="B528" s="63" t="b">
        <f t="shared" si="24"/>
        <v>0</v>
      </c>
      <c r="C528" s="63" t="b">
        <f t="shared" si="25"/>
        <v>1</v>
      </c>
      <c r="D528" s="63" t="str">
        <f t="shared" si="26"/>
        <v>OK</v>
      </c>
      <c r="E528" s="393">
        <v>400029253</v>
      </c>
      <c r="F528" s="392" t="s">
        <v>1659</v>
      </c>
      <c r="G528" s="392" t="s">
        <v>5324</v>
      </c>
      <c r="H528" s="392" t="s">
        <v>7418</v>
      </c>
      <c r="I528" s="392" t="s">
        <v>1763</v>
      </c>
      <c r="J528" s="392" t="s">
        <v>8578</v>
      </c>
      <c r="K528" s="392" t="s">
        <v>6530</v>
      </c>
      <c r="L528" s="392" t="s">
        <v>4065</v>
      </c>
      <c r="M528" s="392" t="s">
        <v>7273</v>
      </c>
      <c r="N528" s="392" t="s">
        <v>7273</v>
      </c>
      <c r="O528" s="392" t="s">
        <v>7273</v>
      </c>
      <c r="P528"/>
      <c r="Q528"/>
      <c r="R528" s="387">
        <f>VLOOKUP(E528,'[1]NDB Impacted SPRFs 05032013'!$A$2:$A$65536,1,FALSE)</f>
        <v>400029253</v>
      </c>
    </row>
    <row r="529" spans="1:21" s="159" customFormat="1" ht="45" x14ac:dyDescent="0.25">
      <c r="A529" s="63">
        <f>MATCH($E529,'D1 - Master Project Table'!$B$24:$B$7056,0)</f>
        <v>1178</v>
      </c>
      <c r="B529" s="63" t="b">
        <f t="shared" si="24"/>
        <v>0</v>
      </c>
      <c r="C529" s="63" t="b">
        <f t="shared" si="25"/>
        <v>1</v>
      </c>
      <c r="D529" s="63" t="str">
        <f t="shared" si="26"/>
        <v>OK</v>
      </c>
      <c r="E529" s="393">
        <v>400030208</v>
      </c>
      <c r="F529" s="392" t="s">
        <v>7610</v>
      </c>
      <c r="G529" s="392" t="s">
        <v>5324</v>
      </c>
      <c r="H529" s="392" t="s">
        <v>7418</v>
      </c>
      <c r="I529" s="392" t="s">
        <v>1763</v>
      </c>
      <c r="J529" s="392" t="s">
        <v>8432</v>
      </c>
      <c r="K529" s="392" t="s">
        <v>3283</v>
      </c>
      <c r="L529" s="392" t="s">
        <v>4065</v>
      </c>
      <c r="M529" s="392" t="s">
        <v>7273</v>
      </c>
      <c r="N529" s="392" t="s">
        <v>7273</v>
      </c>
      <c r="O529" s="392" t="s">
        <v>7273</v>
      </c>
      <c r="P529"/>
      <c r="Q529"/>
      <c r="R529" s="387">
        <f>VLOOKUP(E529,'[1]NDB Impacted SPRFs 05032013'!$A$2:$A$65536,1,FALSE)</f>
        <v>400030208</v>
      </c>
    </row>
    <row r="530" spans="1:21" s="159" customFormat="1" ht="45" x14ac:dyDescent="0.25">
      <c r="A530" s="63">
        <f>MATCH($E530,'D1 - Master Project Table'!$B$24:$B$7056,0)</f>
        <v>3014</v>
      </c>
      <c r="B530" s="63" t="b">
        <f t="shared" si="24"/>
        <v>0</v>
      </c>
      <c r="C530" s="63" t="b">
        <f t="shared" si="25"/>
        <v>1</v>
      </c>
      <c r="D530" s="63" t="str">
        <f t="shared" si="26"/>
        <v>OK</v>
      </c>
      <c r="E530" s="393">
        <v>400039951</v>
      </c>
      <c r="F530" s="392" t="s">
        <v>1571</v>
      </c>
      <c r="G530" s="392" t="s">
        <v>5324</v>
      </c>
      <c r="H530" s="392" t="s">
        <v>5314</v>
      </c>
      <c r="I530" s="392" t="s">
        <v>1758</v>
      </c>
      <c r="J530" s="392" t="s">
        <v>6087</v>
      </c>
      <c r="K530" s="392" t="s">
        <v>2953</v>
      </c>
      <c r="L530" s="392" t="s">
        <v>4275</v>
      </c>
      <c r="M530" s="392" t="s">
        <v>7273</v>
      </c>
      <c r="N530" s="392" t="s">
        <v>7273</v>
      </c>
      <c r="O530" s="392" t="s">
        <v>7273</v>
      </c>
      <c r="P530"/>
      <c r="Q530"/>
      <c r="R530" s="387">
        <f>VLOOKUP(E530,'[1]NDB Impacted SPRFs 05032013'!$A$2:$A$65536,1,FALSE)</f>
        <v>400039951</v>
      </c>
      <c r="S530" s="128"/>
      <c r="T530" s="128"/>
      <c r="U530" s="128"/>
    </row>
    <row r="531" spans="1:21" s="159" customFormat="1" ht="45" x14ac:dyDescent="0.25">
      <c r="A531" s="63">
        <f>MATCH($E531,'D1 - Master Project Table'!$B$24:$B$7056,0)</f>
        <v>2</v>
      </c>
      <c r="B531" s="63" t="b">
        <f t="shared" si="24"/>
        <v>0</v>
      </c>
      <c r="C531" s="63" t="b">
        <f t="shared" si="25"/>
        <v>0</v>
      </c>
      <c r="D531" s="63" t="str">
        <f t="shared" si="26"/>
        <v>OK</v>
      </c>
      <c r="E531" s="393">
        <v>400051213</v>
      </c>
      <c r="F531" s="392" t="s">
        <v>2151</v>
      </c>
      <c r="G531" s="392" t="s">
        <v>5324</v>
      </c>
      <c r="H531" s="392" t="s">
        <v>4917</v>
      </c>
      <c r="I531" s="392" t="s">
        <v>1758</v>
      </c>
      <c r="J531" s="392" t="s">
        <v>8332</v>
      </c>
      <c r="K531" s="392" t="s">
        <v>2152</v>
      </c>
      <c r="L531" s="392" t="s">
        <v>1740</v>
      </c>
      <c r="M531" s="392" t="s">
        <v>7273</v>
      </c>
      <c r="N531" s="392" t="s">
        <v>7273</v>
      </c>
      <c r="O531" s="392" t="s">
        <v>3758</v>
      </c>
      <c r="P531"/>
      <c r="Q531"/>
      <c r="R531" s="387">
        <f>VLOOKUP(E531,'[1]NDB Impacted SPRFs 05032013'!$A$2:$A$65536,1,FALSE)</f>
        <v>400051213</v>
      </c>
    </row>
    <row r="532" spans="1:21" s="159" customFormat="1" ht="45" x14ac:dyDescent="0.25">
      <c r="A532" s="63" t="e">
        <f>MATCH($E532,'D1 - Master Project Table'!$B$24:$B$7056,0)</f>
        <v>#N/A</v>
      </c>
      <c r="B532" s="63" t="b">
        <f t="shared" si="24"/>
        <v>1</v>
      </c>
      <c r="C532" s="63" t="b">
        <f t="shared" si="25"/>
        <v>1</v>
      </c>
      <c r="D532" s="63" t="str">
        <f t="shared" si="26"/>
        <v>OK</v>
      </c>
      <c r="E532" s="393">
        <v>400002895</v>
      </c>
      <c r="F532" s="392" t="s">
        <v>7409</v>
      </c>
      <c r="G532" s="392" t="s">
        <v>5324</v>
      </c>
      <c r="H532" s="392" t="s">
        <v>7418</v>
      </c>
      <c r="I532" s="392" t="s">
        <v>1768</v>
      </c>
      <c r="J532" s="392" t="s">
        <v>5580</v>
      </c>
      <c r="K532" s="392" t="s">
        <v>2953</v>
      </c>
      <c r="L532" s="392" t="s">
        <v>5816</v>
      </c>
      <c r="M532" s="392" t="s">
        <v>7273</v>
      </c>
      <c r="N532" s="392" t="s">
        <v>7273</v>
      </c>
      <c r="O532" s="392" t="s">
        <v>7273</v>
      </c>
      <c r="P532"/>
      <c r="Q532"/>
      <c r="R532" s="387">
        <f>VLOOKUP(E532,'[1]NDB Impacted SPRFs 05032013'!$A$2:$A$65536,1,FALSE)</f>
        <v>400002895</v>
      </c>
    </row>
    <row r="533" spans="1:21" s="159" customFormat="1" ht="45" x14ac:dyDescent="0.25">
      <c r="A533" s="63">
        <f>MATCH($E533,'D1 - Master Project Table'!$B$24:$B$7056,0)</f>
        <v>2646</v>
      </c>
      <c r="B533" s="63" t="b">
        <f t="shared" si="24"/>
        <v>0</v>
      </c>
      <c r="C533" s="63" t="b">
        <f t="shared" si="25"/>
        <v>1</v>
      </c>
      <c r="D533" s="63" t="str">
        <f t="shared" si="26"/>
        <v>OK</v>
      </c>
      <c r="E533" s="393">
        <v>400015086</v>
      </c>
      <c r="F533" s="392" t="s">
        <v>5208</v>
      </c>
      <c r="G533" s="392" t="s">
        <v>5324</v>
      </c>
      <c r="H533" s="392" t="s">
        <v>5314</v>
      </c>
      <c r="I533" s="392" t="s">
        <v>1759</v>
      </c>
      <c r="J533" s="392" t="s">
        <v>5473</v>
      </c>
      <c r="K533" s="392" t="s">
        <v>7024</v>
      </c>
      <c r="L533" s="392" t="s">
        <v>6720</v>
      </c>
      <c r="M533" s="392" t="s">
        <v>3758</v>
      </c>
      <c r="N533" s="392" t="s">
        <v>7273</v>
      </c>
      <c r="O533" s="392" t="s">
        <v>7273</v>
      </c>
      <c r="P533"/>
      <c r="Q533"/>
      <c r="R533" s="387">
        <f>VLOOKUP(E533,'[1]NDB Impacted SPRFs 05032013'!$A$2:$A$65536,1,FALSE)</f>
        <v>400015086</v>
      </c>
    </row>
    <row r="534" spans="1:21" s="159" customFormat="1" ht="45" x14ac:dyDescent="0.25">
      <c r="A534" s="63">
        <f>MATCH($E534,'D1 - Master Project Table'!$B$24:$B$7056,0)</f>
        <v>2878</v>
      </c>
      <c r="B534" s="63" t="b">
        <f t="shared" si="24"/>
        <v>0</v>
      </c>
      <c r="C534" s="63" t="b">
        <f t="shared" si="25"/>
        <v>1</v>
      </c>
      <c r="D534" s="63" t="str">
        <f t="shared" si="26"/>
        <v>OK</v>
      </c>
      <c r="E534" s="393">
        <v>400028640</v>
      </c>
      <c r="F534" s="392" t="s">
        <v>4612</v>
      </c>
      <c r="G534" s="392" t="s">
        <v>5324</v>
      </c>
      <c r="H534" s="392" t="s">
        <v>5314</v>
      </c>
      <c r="I534" s="392" t="s">
        <v>1759</v>
      </c>
      <c r="J534" s="392" t="s">
        <v>6840</v>
      </c>
      <c r="K534" s="392" t="s">
        <v>6005</v>
      </c>
      <c r="L534" s="392" t="s">
        <v>5778</v>
      </c>
      <c r="M534" s="392" t="s">
        <v>7273</v>
      </c>
      <c r="N534" s="392" t="s">
        <v>7273</v>
      </c>
      <c r="O534" s="392" t="s">
        <v>3758</v>
      </c>
      <c r="P534"/>
      <c r="Q534"/>
      <c r="R534" s="387">
        <f>VLOOKUP(E534,'[1]NDB Impacted SPRFs 05032013'!$A$2:$A$65536,1,FALSE)</f>
        <v>400028640</v>
      </c>
    </row>
    <row r="535" spans="1:21" s="159" customFormat="1" ht="45" x14ac:dyDescent="0.25">
      <c r="A535" s="63">
        <f>MATCH($E535,'D1 - Master Project Table'!$B$24:$B$7056,0)</f>
        <v>1702</v>
      </c>
      <c r="B535" s="63" t="b">
        <f t="shared" si="24"/>
        <v>0</v>
      </c>
      <c r="C535" s="63" t="b">
        <f t="shared" si="25"/>
        <v>1</v>
      </c>
      <c r="D535" s="63" t="str">
        <f t="shared" si="26"/>
        <v>OK</v>
      </c>
      <c r="E535" s="393">
        <v>400049237</v>
      </c>
      <c r="F535" s="392" t="s">
        <v>1009</v>
      </c>
      <c r="G535" s="392" t="s">
        <v>5324</v>
      </c>
      <c r="H535" s="392" t="s">
        <v>7418</v>
      </c>
      <c r="I535" s="392" t="s">
        <v>1757</v>
      </c>
      <c r="J535" s="392" t="s">
        <v>1586</v>
      </c>
      <c r="K535" s="392" t="s">
        <v>4462</v>
      </c>
      <c r="L535" s="392" t="s">
        <v>521</v>
      </c>
      <c r="M535" s="392" t="s">
        <v>7273</v>
      </c>
      <c r="N535" s="392" t="s">
        <v>7273</v>
      </c>
      <c r="O535" s="392" t="s">
        <v>7273</v>
      </c>
      <c r="P535"/>
      <c r="Q535"/>
      <c r="R535" s="387">
        <f>VLOOKUP(E535,'[1]NDB Impacted SPRFs 05032013'!$A$2:$A$65536,1,FALSE)</f>
        <v>400049237</v>
      </c>
    </row>
    <row r="536" spans="1:21" ht="30" x14ac:dyDescent="0.25">
      <c r="A536" s="63">
        <f>MATCH($E536,'D1 - Master Project Table'!$B$24:$B$7056,0)</f>
        <v>217</v>
      </c>
      <c r="B536" s="63" t="b">
        <f t="shared" si="24"/>
        <v>0</v>
      </c>
      <c r="C536" s="63" t="b">
        <f t="shared" si="25"/>
        <v>0</v>
      </c>
      <c r="D536" s="63" t="str">
        <f t="shared" si="26"/>
        <v>OK</v>
      </c>
      <c r="E536" s="393">
        <v>400053878</v>
      </c>
      <c r="F536" s="392" t="s">
        <v>278</v>
      </c>
      <c r="G536" s="392" t="s">
        <v>6322</v>
      </c>
      <c r="H536" s="392" t="s">
        <v>4917</v>
      </c>
      <c r="I536" s="392" t="s">
        <v>1762</v>
      </c>
      <c r="J536" s="392" t="s">
        <v>8487</v>
      </c>
      <c r="K536" s="392" t="s">
        <v>120</v>
      </c>
      <c r="L536" s="392" t="s">
        <v>944</v>
      </c>
      <c r="M536" s="392" t="s">
        <v>7273</v>
      </c>
      <c r="N536" s="392" t="s">
        <v>7273</v>
      </c>
      <c r="O536" s="392" t="s">
        <v>3758</v>
      </c>
      <c r="P536"/>
      <c r="Q536"/>
      <c r="R536" s="387">
        <f>VLOOKUP(E536,'[1]NDB Impacted SPRFs 05032013'!$A$2:$A$65536,1,FALSE)</f>
        <v>400053878</v>
      </c>
      <c r="S536" s="159"/>
      <c r="T536" s="159"/>
      <c r="U536" s="159"/>
    </row>
    <row r="537" spans="1:21" ht="30" x14ac:dyDescent="0.25">
      <c r="A537" s="63" t="e">
        <f>MATCH($E537,'D1 - Master Project Table'!$B$24:$B$7056,0)</f>
        <v>#N/A</v>
      </c>
      <c r="B537" s="63" t="b">
        <f t="shared" si="24"/>
        <v>1</v>
      </c>
      <c r="C537" s="63" t="b">
        <f t="shared" si="25"/>
        <v>1</v>
      </c>
      <c r="D537" s="63" t="str">
        <f t="shared" si="26"/>
        <v>OK</v>
      </c>
      <c r="E537" s="393">
        <v>400000605</v>
      </c>
      <c r="F537" s="392" t="s">
        <v>7781</v>
      </c>
      <c r="G537" s="392" t="s">
        <v>5787</v>
      </c>
      <c r="H537" s="392" t="s">
        <v>5314</v>
      </c>
      <c r="I537" s="392" t="s">
        <v>1814</v>
      </c>
      <c r="J537" s="392" t="s">
        <v>5807</v>
      </c>
      <c r="K537" s="392" t="s">
        <v>6100</v>
      </c>
      <c r="L537" s="392" t="s">
        <v>5350</v>
      </c>
      <c r="M537" s="392" t="s">
        <v>7273</v>
      </c>
      <c r="N537" s="392" t="s">
        <v>7273</v>
      </c>
      <c r="O537" s="392" t="s">
        <v>7273</v>
      </c>
      <c r="P537"/>
      <c r="Q537"/>
      <c r="R537" s="387">
        <f>VLOOKUP(E537,'[1]NDB Impacted SPRFs 05032013'!$A$2:$A$65536,1,FALSE)</f>
        <v>400000605</v>
      </c>
    </row>
    <row r="538" spans="1:21" s="159" customFormat="1" ht="45" x14ac:dyDescent="0.25">
      <c r="A538" s="63">
        <f>MATCH($E538,'D1 - Master Project Table'!$B$24:$B$7056,0)</f>
        <v>994</v>
      </c>
      <c r="B538" s="63" t="b">
        <f t="shared" si="24"/>
        <v>0</v>
      </c>
      <c r="C538" s="63" t="b">
        <f t="shared" si="25"/>
        <v>1</v>
      </c>
      <c r="D538" s="63" t="str">
        <f t="shared" si="26"/>
        <v>OK</v>
      </c>
      <c r="E538" s="393">
        <v>400025698</v>
      </c>
      <c r="F538" s="392" t="s">
        <v>4580</v>
      </c>
      <c r="G538" s="392" t="s">
        <v>5325</v>
      </c>
      <c r="H538" s="392" t="s">
        <v>7418</v>
      </c>
      <c r="I538" s="392" t="s">
        <v>6008</v>
      </c>
      <c r="J538" s="392" t="s">
        <v>8261</v>
      </c>
      <c r="K538" s="392" t="s">
        <v>3655</v>
      </c>
      <c r="L538" s="392" t="s">
        <v>5666</v>
      </c>
      <c r="M538" s="392" t="s">
        <v>7273</v>
      </c>
      <c r="N538" s="392" t="s">
        <v>7273</v>
      </c>
      <c r="O538" s="392" t="s">
        <v>7273</v>
      </c>
      <c r="P538"/>
      <c r="Q538"/>
      <c r="R538" s="387">
        <f>VLOOKUP(E538,'[1]NDB Impacted SPRFs 05032013'!$A$2:$A$65536,1,FALSE)</f>
        <v>400025698</v>
      </c>
    </row>
    <row r="539" spans="1:21" s="159" customFormat="1" ht="45" x14ac:dyDescent="0.25">
      <c r="A539" s="63">
        <f>MATCH($E539,'D1 - Master Project Table'!$B$24:$B$7056,0)</f>
        <v>1784</v>
      </c>
      <c r="B539" s="63" t="b">
        <f t="shared" si="24"/>
        <v>0</v>
      </c>
      <c r="C539" s="63" t="b">
        <f t="shared" si="25"/>
        <v>1</v>
      </c>
      <c r="D539" s="63" t="str">
        <f t="shared" si="26"/>
        <v>OK</v>
      </c>
      <c r="E539" s="393">
        <v>400054333</v>
      </c>
      <c r="F539" s="392" t="s">
        <v>1837</v>
      </c>
      <c r="G539" s="392" t="s">
        <v>5324</v>
      </c>
      <c r="H539" s="392" t="s">
        <v>7418</v>
      </c>
      <c r="I539" s="392" t="s">
        <v>1762</v>
      </c>
      <c r="J539" s="392" t="s">
        <v>8471</v>
      </c>
      <c r="K539" s="392" t="s">
        <v>4462</v>
      </c>
      <c r="L539" s="392" t="s">
        <v>884</v>
      </c>
      <c r="M539" s="392" t="s">
        <v>7273</v>
      </c>
      <c r="N539" s="392" t="s">
        <v>7273</v>
      </c>
      <c r="O539" s="392" t="s">
        <v>7273</v>
      </c>
      <c r="P539"/>
      <c r="Q539"/>
      <c r="R539" s="387">
        <f>VLOOKUP(E539,'[1]NDB Impacted SPRFs 05032013'!$A$2:$A$65536,1,FALSE)</f>
        <v>400054333</v>
      </c>
    </row>
    <row r="540" spans="1:21" s="159" customFormat="1" ht="30" x14ac:dyDescent="0.25">
      <c r="A540" s="63">
        <f>MATCH($E540,'D1 - Master Project Table'!$B$24:$B$7056,0)</f>
        <v>136</v>
      </c>
      <c r="B540" s="63" t="b">
        <f t="shared" si="24"/>
        <v>0</v>
      </c>
      <c r="C540" s="63" t="b">
        <f t="shared" si="25"/>
        <v>0</v>
      </c>
      <c r="D540" s="63" t="str">
        <f t="shared" si="26"/>
        <v>OK</v>
      </c>
      <c r="E540" s="393">
        <v>400058175</v>
      </c>
      <c r="F540" s="392" t="s">
        <v>8953</v>
      </c>
      <c r="G540" s="392" t="s">
        <v>5995</v>
      </c>
      <c r="H540" s="392" t="s">
        <v>4917</v>
      </c>
      <c r="I540" s="392" t="s">
        <v>6423</v>
      </c>
      <c r="J540" s="392" t="s">
        <v>8802</v>
      </c>
      <c r="K540" s="392" t="s">
        <v>8954</v>
      </c>
      <c r="L540" s="392" t="s">
        <v>2375</v>
      </c>
      <c r="M540" s="392" t="s">
        <v>3758</v>
      </c>
      <c r="N540" s="392" t="s">
        <v>7273</v>
      </c>
      <c r="O540" s="392" t="s">
        <v>7273</v>
      </c>
      <c r="P540"/>
      <c r="Q540"/>
      <c r="R540" s="387">
        <f>VLOOKUP(E540,'[1]NDB Impacted SPRFs 05032013'!$A$2:$A$65536,1,FALSE)</f>
        <v>400058175</v>
      </c>
      <c r="S540" s="128"/>
      <c r="T540" s="128"/>
      <c r="U540" s="128"/>
    </row>
    <row r="541" spans="1:21" ht="45" x14ac:dyDescent="0.25">
      <c r="A541" s="63" t="e">
        <f>MATCH($E541,'D1 - Master Project Table'!$B$24:$B$7056,0)</f>
        <v>#N/A</v>
      </c>
      <c r="B541" s="63" t="b">
        <f t="shared" si="24"/>
        <v>1</v>
      </c>
      <c r="C541" s="63" t="b">
        <f t="shared" si="25"/>
        <v>1</v>
      </c>
      <c r="D541" s="63" t="str">
        <f t="shared" si="26"/>
        <v>OK</v>
      </c>
      <c r="E541" s="393">
        <v>400022519</v>
      </c>
      <c r="F541" s="392" t="s">
        <v>2139</v>
      </c>
      <c r="G541" s="392" t="s">
        <v>5324</v>
      </c>
      <c r="H541" s="392" t="s">
        <v>5314</v>
      </c>
      <c r="I541" s="392" t="s">
        <v>1761</v>
      </c>
      <c r="J541" s="392" t="s">
        <v>4990</v>
      </c>
      <c r="K541" s="392" t="s">
        <v>2020</v>
      </c>
      <c r="L541" s="392" t="s">
        <v>2140</v>
      </c>
      <c r="M541" s="392" t="s">
        <v>7273</v>
      </c>
      <c r="N541" s="392" t="s">
        <v>7273</v>
      </c>
      <c r="O541" s="392" t="s">
        <v>7273</v>
      </c>
      <c r="P541"/>
      <c r="Q541"/>
      <c r="R541" s="387">
        <f>VLOOKUP(E541,'[1]NDB Impacted SPRFs 05032013'!$A$2:$A$65536,1,FALSE)</f>
        <v>400022519</v>
      </c>
    </row>
    <row r="542" spans="1:21" s="159" customFormat="1" ht="30" x14ac:dyDescent="0.25">
      <c r="A542" s="63">
        <f>MATCH($E542,'D1 - Master Project Table'!$B$24:$B$7056,0)</f>
        <v>2979</v>
      </c>
      <c r="B542" s="63" t="b">
        <f t="shared" si="24"/>
        <v>0</v>
      </c>
      <c r="C542" s="63" t="b">
        <f t="shared" si="25"/>
        <v>1</v>
      </c>
      <c r="D542" s="63" t="str">
        <f t="shared" si="26"/>
        <v>OK</v>
      </c>
      <c r="E542" s="393">
        <v>400037290</v>
      </c>
      <c r="F542" s="392" t="s">
        <v>4974</v>
      </c>
      <c r="G542" s="392" t="s">
        <v>6322</v>
      </c>
      <c r="H542" s="392" t="s">
        <v>5314</v>
      </c>
      <c r="I542" s="392" t="s">
        <v>1812</v>
      </c>
      <c r="J542" s="392" t="s">
        <v>1062</v>
      </c>
      <c r="K542" s="392" t="s">
        <v>7164</v>
      </c>
      <c r="L542" s="392" t="s">
        <v>729</v>
      </c>
      <c r="M542" s="392" t="s">
        <v>7273</v>
      </c>
      <c r="N542" s="392" t="s">
        <v>7273</v>
      </c>
      <c r="O542" s="392" t="s">
        <v>7273</v>
      </c>
      <c r="P542"/>
      <c r="Q542"/>
      <c r="R542" s="387">
        <f>VLOOKUP(E542,'[1]NDB Impacted SPRFs 05032013'!$A$2:$A$65536,1,FALSE)</f>
        <v>400037290</v>
      </c>
    </row>
    <row r="543" spans="1:21" ht="30" x14ac:dyDescent="0.25">
      <c r="A543" s="63" t="e">
        <f>MATCH($E543,'D1 - Master Project Table'!$B$24:$B$7056,0)</f>
        <v>#N/A</v>
      </c>
      <c r="B543" s="63" t="b">
        <f t="shared" si="24"/>
        <v>1</v>
      </c>
      <c r="C543" s="63" t="b">
        <f t="shared" si="25"/>
        <v>1</v>
      </c>
      <c r="D543" s="63" t="str">
        <f t="shared" si="26"/>
        <v>OK</v>
      </c>
      <c r="E543" s="393">
        <v>400038325</v>
      </c>
      <c r="F543" s="392" t="s">
        <v>1439</v>
      </c>
      <c r="G543" s="392" t="s">
        <v>6322</v>
      </c>
      <c r="H543" s="392" t="s">
        <v>5314</v>
      </c>
      <c r="I543" s="392" t="s">
        <v>1812</v>
      </c>
      <c r="J543" s="392" t="s">
        <v>4688</v>
      </c>
      <c r="K543" s="392" t="s">
        <v>1441</v>
      </c>
      <c r="L543" s="392" t="s">
        <v>729</v>
      </c>
      <c r="M543" s="392" t="s">
        <v>7273</v>
      </c>
      <c r="N543" s="392" t="s">
        <v>7273</v>
      </c>
      <c r="O543" s="392" t="s">
        <v>7273</v>
      </c>
      <c r="P543"/>
      <c r="Q543"/>
      <c r="R543" s="387">
        <f>VLOOKUP(E543,'[1]NDB Impacted SPRFs 05032013'!$A$2:$A$65536,1,FALSE)</f>
        <v>400038325</v>
      </c>
      <c r="S543" s="159"/>
      <c r="T543" s="159"/>
      <c r="U543" s="159"/>
    </row>
    <row r="544" spans="1:21" s="159" customFormat="1" ht="45" x14ac:dyDescent="0.25">
      <c r="A544" s="63">
        <f>MATCH($E544,'D1 - Master Project Table'!$B$24:$B$7056,0)</f>
        <v>935</v>
      </c>
      <c r="B544" s="63" t="b">
        <f t="shared" si="24"/>
        <v>0</v>
      </c>
      <c r="C544" s="63" t="b">
        <f t="shared" si="25"/>
        <v>1</v>
      </c>
      <c r="D544" s="63" t="str">
        <f t="shared" si="26"/>
        <v>OK</v>
      </c>
      <c r="E544" s="393">
        <v>400014987</v>
      </c>
      <c r="F544" s="392" t="s">
        <v>5216</v>
      </c>
      <c r="G544" s="392" t="s">
        <v>5324</v>
      </c>
      <c r="H544" s="392" t="s">
        <v>7418</v>
      </c>
      <c r="I544" s="392" t="s">
        <v>1788</v>
      </c>
      <c r="J544" s="392" t="s">
        <v>8590</v>
      </c>
      <c r="K544" s="392" t="s">
        <v>5880</v>
      </c>
      <c r="L544" s="392" t="s">
        <v>4499</v>
      </c>
      <c r="M544" s="392" t="s">
        <v>7273</v>
      </c>
      <c r="N544" s="392" t="s">
        <v>7273</v>
      </c>
      <c r="O544" s="392" t="s">
        <v>7273</v>
      </c>
      <c r="P544"/>
      <c r="Q544"/>
      <c r="R544" s="387">
        <f>VLOOKUP(E544,'[1]NDB Impacted SPRFs 05032013'!$A$2:$A$65536,1,FALSE)</f>
        <v>400014987</v>
      </c>
    </row>
    <row r="545" spans="1:21" s="159" customFormat="1" ht="45" x14ac:dyDescent="0.25">
      <c r="A545" s="63">
        <f>MATCH($E545,'D1 - Master Project Table'!$B$24:$B$7056,0)</f>
        <v>816</v>
      </c>
      <c r="B545" s="63" t="b">
        <f t="shared" si="24"/>
        <v>0</v>
      </c>
      <c r="C545" s="63" t="b">
        <f t="shared" si="25"/>
        <v>1</v>
      </c>
      <c r="D545" s="63" t="str">
        <f t="shared" si="26"/>
        <v>OK</v>
      </c>
      <c r="E545" s="393">
        <v>400015084</v>
      </c>
      <c r="F545" s="392" t="s">
        <v>4556</v>
      </c>
      <c r="G545" s="392" t="s">
        <v>5324</v>
      </c>
      <c r="H545" s="392" t="s">
        <v>7418</v>
      </c>
      <c r="I545" s="392" t="s">
        <v>1758</v>
      </c>
      <c r="J545" s="392" t="s">
        <v>5865</v>
      </c>
      <c r="K545" s="392" t="s">
        <v>5245</v>
      </c>
      <c r="L545" s="392" t="s">
        <v>995</v>
      </c>
      <c r="M545" s="392" t="s">
        <v>7273</v>
      </c>
      <c r="N545" s="392" t="s">
        <v>7273</v>
      </c>
      <c r="O545" s="392" t="s">
        <v>7273</v>
      </c>
      <c r="P545"/>
      <c r="Q545"/>
      <c r="R545" s="387">
        <f>VLOOKUP(E545,'[1]NDB Impacted SPRFs 05032013'!$A$2:$A$65536,1,FALSE)</f>
        <v>400015084</v>
      </c>
    </row>
    <row r="546" spans="1:21" s="159" customFormat="1" ht="30" x14ac:dyDescent="0.25">
      <c r="A546" s="63">
        <f>MATCH($E546,'D1 - Master Project Table'!$B$24:$B$7056,0)</f>
        <v>791</v>
      </c>
      <c r="B546" s="63" t="b">
        <f t="shared" si="24"/>
        <v>0</v>
      </c>
      <c r="C546" s="63" t="b">
        <f t="shared" si="25"/>
        <v>1</v>
      </c>
      <c r="D546" s="63" t="str">
        <f t="shared" si="26"/>
        <v>OK</v>
      </c>
      <c r="E546" s="393">
        <v>400015470</v>
      </c>
      <c r="F546" s="392" t="s">
        <v>5511</v>
      </c>
      <c r="G546" s="392" t="s">
        <v>3441</v>
      </c>
      <c r="H546" s="392" t="s">
        <v>7418</v>
      </c>
      <c r="I546" s="392" t="s">
        <v>1769</v>
      </c>
      <c r="J546" s="392" t="s">
        <v>5168</v>
      </c>
      <c r="K546" s="392" t="s">
        <v>7122</v>
      </c>
      <c r="L546" s="392" t="s">
        <v>1214</v>
      </c>
      <c r="M546" s="392" t="s">
        <v>7273</v>
      </c>
      <c r="N546" s="392" t="s">
        <v>7273</v>
      </c>
      <c r="O546" s="392" t="s">
        <v>7273</v>
      </c>
      <c r="P546"/>
      <c r="Q546"/>
      <c r="R546" s="387">
        <f>VLOOKUP(E546,'[1]NDB Impacted SPRFs 05032013'!$A$2:$A$65536,1,FALSE)</f>
        <v>400015470</v>
      </c>
      <c r="S546" s="128"/>
      <c r="T546" s="128"/>
      <c r="U546" s="128"/>
    </row>
    <row r="547" spans="1:21" ht="45" x14ac:dyDescent="0.25">
      <c r="A547" s="63">
        <f>MATCH($E547,'D1 - Master Project Table'!$B$24:$B$7056,0)</f>
        <v>1963</v>
      </c>
      <c r="B547" s="63" t="b">
        <f t="shared" si="24"/>
        <v>0</v>
      </c>
      <c r="C547" s="63" t="b">
        <f t="shared" si="25"/>
        <v>1</v>
      </c>
      <c r="D547" s="63" t="str">
        <f t="shared" si="26"/>
        <v>OK</v>
      </c>
      <c r="E547" s="393">
        <v>400023011</v>
      </c>
      <c r="F547" s="392" t="s">
        <v>7982</v>
      </c>
      <c r="G547" s="392" t="s">
        <v>5324</v>
      </c>
      <c r="H547" s="392" t="s">
        <v>7418</v>
      </c>
      <c r="I547" s="392" t="s">
        <v>1758</v>
      </c>
      <c r="J547" s="392" t="s">
        <v>8435</v>
      </c>
      <c r="K547" s="392" t="s">
        <v>5865</v>
      </c>
      <c r="L547" s="392" t="s">
        <v>7425</v>
      </c>
      <c r="M547" s="392" t="s">
        <v>7273</v>
      </c>
      <c r="N547" s="392" t="s">
        <v>7273</v>
      </c>
      <c r="O547" s="392" t="s">
        <v>7273</v>
      </c>
      <c r="P547"/>
      <c r="Q547"/>
      <c r="R547" s="387">
        <f>VLOOKUP(E547,'[1]NDB Impacted SPRFs 05032013'!$A$2:$A$65536,1,FALSE)</f>
        <v>400023011</v>
      </c>
    </row>
    <row r="548" spans="1:21" s="159" customFormat="1" ht="45" customHeight="1" x14ac:dyDescent="0.25">
      <c r="A548" s="63">
        <f>MATCH($E548,'D1 - Master Project Table'!$B$24:$B$7056,0)</f>
        <v>2807</v>
      </c>
      <c r="B548" s="63" t="b">
        <f t="shared" si="24"/>
        <v>0</v>
      </c>
      <c r="C548" s="63" t="b">
        <f t="shared" si="25"/>
        <v>1</v>
      </c>
      <c r="D548" s="63" t="str">
        <f t="shared" si="26"/>
        <v>OK</v>
      </c>
      <c r="E548" s="393">
        <v>400023791</v>
      </c>
      <c r="F548" s="392" t="s">
        <v>5104</v>
      </c>
      <c r="G548" s="392" t="s">
        <v>5324</v>
      </c>
      <c r="H548" s="392" t="s">
        <v>5314</v>
      </c>
      <c r="I548" s="392" t="s">
        <v>1763</v>
      </c>
      <c r="J548" s="392" t="s">
        <v>8300</v>
      </c>
      <c r="K548" s="392" t="s">
        <v>3695</v>
      </c>
      <c r="L548" s="392" t="s">
        <v>3855</v>
      </c>
      <c r="M548" s="392" t="s">
        <v>3758</v>
      </c>
      <c r="N548" s="392" t="s">
        <v>7273</v>
      </c>
      <c r="O548" s="392" t="s">
        <v>7273</v>
      </c>
      <c r="P548" s="212"/>
      <c r="Q548"/>
      <c r="R548" s="387">
        <f>VLOOKUP(E548,'[1]NDB Impacted SPRFs 05032013'!$A$2:$A$65536,1,FALSE)</f>
        <v>400023791</v>
      </c>
    </row>
    <row r="549" spans="1:21" s="159" customFormat="1" ht="45" x14ac:dyDescent="0.25">
      <c r="A549" s="63">
        <f>MATCH($E549,'D1 - Master Project Table'!$B$24:$B$7056,0)</f>
        <v>2241</v>
      </c>
      <c r="B549" s="63" t="b">
        <f t="shared" si="24"/>
        <v>0</v>
      </c>
      <c r="C549" s="63" t="b">
        <f t="shared" si="25"/>
        <v>1</v>
      </c>
      <c r="D549" s="63" t="str">
        <f t="shared" si="26"/>
        <v>OK</v>
      </c>
      <c r="E549" s="393">
        <v>400027758</v>
      </c>
      <c r="F549" s="392" t="s">
        <v>2085</v>
      </c>
      <c r="G549" s="392" t="s">
        <v>5324</v>
      </c>
      <c r="H549" s="392" t="s">
        <v>5314</v>
      </c>
      <c r="I549" s="392" t="s">
        <v>1759</v>
      </c>
      <c r="J549" s="392" t="s">
        <v>3679</v>
      </c>
      <c r="K549" s="392" t="s">
        <v>4006</v>
      </c>
      <c r="L549" s="392" t="s">
        <v>5031</v>
      </c>
      <c r="M549" s="392" t="s">
        <v>7273</v>
      </c>
      <c r="N549" s="392" t="s">
        <v>7273</v>
      </c>
      <c r="O549" s="392" t="s">
        <v>7273</v>
      </c>
      <c r="P549"/>
      <c r="Q549"/>
      <c r="R549" s="387">
        <f>VLOOKUP(E549,'[1]NDB Impacted SPRFs 05032013'!$A$2:$A$65536,1,FALSE)</f>
        <v>400027758</v>
      </c>
    </row>
    <row r="550" spans="1:21" s="159" customFormat="1" ht="45" x14ac:dyDescent="0.25">
      <c r="A550" s="63">
        <f>MATCH($E550,'D1 - Master Project Table'!$B$24:$B$7056,0)</f>
        <v>1050</v>
      </c>
      <c r="B550" s="63" t="b">
        <f t="shared" si="24"/>
        <v>0</v>
      </c>
      <c r="C550" s="63" t="b">
        <f t="shared" si="25"/>
        <v>1</v>
      </c>
      <c r="D550" s="63" t="str">
        <f t="shared" si="26"/>
        <v>OK</v>
      </c>
      <c r="E550" s="393">
        <v>400029108</v>
      </c>
      <c r="F550" s="392" t="s">
        <v>4589</v>
      </c>
      <c r="G550" s="392" t="s">
        <v>5324</v>
      </c>
      <c r="H550" s="392" t="s">
        <v>7418</v>
      </c>
      <c r="I550" s="392" t="s">
        <v>1760</v>
      </c>
      <c r="J550" s="392" t="s">
        <v>8421</v>
      </c>
      <c r="K550" s="392" t="s">
        <v>3387</v>
      </c>
      <c r="L550" s="392" t="s">
        <v>4499</v>
      </c>
      <c r="M550" s="392" t="s">
        <v>7273</v>
      </c>
      <c r="N550" s="392" t="s">
        <v>7273</v>
      </c>
      <c r="O550" s="392" t="s">
        <v>7273</v>
      </c>
      <c r="P550"/>
      <c r="Q550"/>
      <c r="R550" s="387">
        <f>VLOOKUP(E550,'[1]NDB Impacted SPRFs 05032013'!$A$2:$A$65536,1,FALSE)</f>
        <v>400029108</v>
      </c>
      <c r="S550" s="128"/>
      <c r="T550" s="128"/>
      <c r="U550" s="128"/>
    </row>
    <row r="551" spans="1:21" s="159" customFormat="1" ht="45" x14ac:dyDescent="0.25">
      <c r="A551" s="63">
        <f>MATCH($E551,'D1 - Master Project Table'!$B$24:$B$7056,0)</f>
        <v>915</v>
      </c>
      <c r="B551" s="63" t="b">
        <f t="shared" si="24"/>
        <v>0</v>
      </c>
      <c r="C551" s="63" t="b">
        <f t="shared" si="25"/>
        <v>1</v>
      </c>
      <c r="D551" s="63" t="str">
        <f t="shared" si="26"/>
        <v>OK</v>
      </c>
      <c r="E551" s="393">
        <v>400016367</v>
      </c>
      <c r="F551" s="392" t="s">
        <v>4913</v>
      </c>
      <c r="G551" s="392" t="s">
        <v>5324</v>
      </c>
      <c r="H551" s="392" t="s">
        <v>7418</v>
      </c>
      <c r="I551" s="392" t="s">
        <v>1763</v>
      </c>
      <c r="J551" s="392" t="s">
        <v>8572</v>
      </c>
      <c r="K551" s="392" t="s">
        <v>4932</v>
      </c>
      <c r="L551" s="392" t="s">
        <v>5394</v>
      </c>
      <c r="M551" s="392" t="s">
        <v>7273</v>
      </c>
      <c r="N551" s="392" t="s">
        <v>7273</v>
      </c>
      <c r="O551" s="392" t="s">
        <v>7273</v>
      </c>
      <c r="P551"/>
      <c r="Q551"/>
      <c r="R551" s="387">
        <f>VLOOKUP(E551,'[1]NDB Impacted SPRFs 05032013'!$A$2:$A$65536,1,FALSE)</f>
        <v>400016367</v>
      </c>
      <c r="S551" s="128"/>
      <c r="T551" s="128"/>
      <c r="U551" s="128"/>
    </row>
    <row r="552" spans="1:21" s="159" customFormat="1" ht="45" x14ac:dyDescent="0.25">
      <c r="A552" s="63">
        <f>MATCH($E552,'D1 - Master Project Table'!$B$24:$B$7056,0)</f>
        <v>2712</v>
      </c>
      <c r="B552" s="63" t="b">
        <f t="shared" si="24"/>
        <v>0</v>
      </c>
      <c r="C552" s="63" t="b">
        <f t="shared" si="25"/>
        <v>1</v>
      </c>
      <c r="D552" s="63" t="str">
        <f t="shared" si="26"/>
        <v>OK</v>
      </c>
      <c r="E552" s="393">
        <v>400018972</v>
      </c>
      <c r="F552" s="392" t="s">
        <v>4308</v>
      </c>
      <c r="G552" s="392" t="s">
        <v>5324</v>
      </c>
      <c r="H552" s="392" t="s">
        <v>7418</v>
      </c>
      <c r="I552" s="392" t="s">
        <v>1758</v>
      </c>
      <c r="J552" s="392" t="s">
        <v>8603</v>
      </c>
      <c r="K552" s="392" t="s">
        <v>5572</v>
      </c>
      <c r="L552" s="392" t="s">
        <v>7796</v>
      </c>
      <c r="M552" s="392" t="s">
        <v>3758</v>
      </c>
      <c r="N552" s="392" t="s">
        <v>7273</v>
      </c>
      <c r="O552" s="392" t="s">
        <v>7273</v>
      </c>
      <c r="P552"/>
      <c r="Q552"/>
      <c r="R552" s="387">
        <f>VLOOKUP(E552,'[1]NDB Impacted SPRFs 05032013'!$A$2:$A$65536,1,FALSE)</f>
        <v>400018972</v>
      </c>
      <c r="S552" s="128"/>
      <c r="T552" s="128"/>
      <c r="U552" s="128"/>
    </row>
    <row r="553" spans="1:21" s="159" customFormat="1" ht="45" x14ac:dyDescent="0.25">
      <c r="A553" s="63">
        <f>MATCH($E553,'D1 - Master Project Table'!$B$24:$B$7056,0)</f>
        <v>2715</v>
      </c>
      <c r="B553" s="63" t="b">
        <f t="shared" si="24"/>
        <v>0</v>
      </c>
      <c r="C553" s="63" t="b">
        <f t="shared" si="25"/>
        <v>1</v>
      </c>
      <c r="D553" s="63" t="str">
        <f t="shared" si="26"/>
        <v>OK</v>
      </c>
      <c r="E553" s="393">
        <v>400019059</v>
      </c>
      <c r="F553" s="392" t="s">
        <v>6261</v>
      </c>
      <c r="G553" s="392" t="s">
        <v>5324</v>
      </c>
      <c r="H553" s="392" t="s">
        <v>7418</v>
      </c>
      <c r="I553" s="392" t="s">
        <v>1758</v>
      </c>
      <c r="J553" s="392" t="s">
        <v>8603</v>
      </c>
      <c r="K553" s="392" t="s">
        <v>5572</v>
      </c>
      <c r="L553" s="392" t="s">
        <v>7796</v>
      </c>
      <c r="M553" s="392" t="s">
        <v>3758</v>
      </c>
      <c r="N553" s="392" t="s">
        <v>7273</v>
      </c>
      <c r="O553" s="392" t="s">
        <v>7273</v>
      </c>
      <c r="P553"/>
      <c r="Q553"/>
      <c r="R553" s="387">
        <f>VLOOKUP(E553,'[1]NDB Impacted SPRFs 05032013'!$A$2:$A$65536,1,FALSE)</f>
        <v>400019059</v>
      </c>
    </row>
    <row r="554" spans="1:21" ht="45" x14ac:dyDescent="0.25">
      <c r="A554" s="63">
        <f>MATCH($E554,'D1 - Master Project Table'!$B$24:$B$7056,0)</f>
        <v>2716</v>
      </c>
      <c r="B554" s="63" t="b">
        <f t="shared" si="24"/>
        <v>0</v>
      </c>
      <c r="C554" s="63" t="b">
        <f t="shared" si="25"/>
        <v>1</v>
      </c>
      <c r="D554" s="63" t="str">
        <f t="shared" si="26"/>
        <v>OK</v>
      </c>
      <c r="E554" s="393">
        <v>400019060</v>
      </c>
      <c r="F554" s="392" t="s">
        <v>5582</v>
      </c>
      <c r="G554" s="392" t="s">
        <v>5324</v>
      </c>
      <c r="H554" s="392" t="s">
        <v>7418</v>
      </c>
      <c r="I554" s="392" t="s">
        <v>1758</v>
      </c>
      <c r="J554" s="392" t="s">
        <v>8603</v>
      </c>
      <c r="K554" s="392" t="s">
        <v>5572</v>
      </c>
      <c r="L554" s="392" t="s">
        <v>7796</v>
      </c>
      <c r="M554" s="392" t="s">
        <v>3758</v>
      </c>
      <c r="N554" s="392" t="s">
        <v>7273</v>
      </c>
      <c r="O554" s="392" t="s">
        <v>7273</v>
      </c>
      <c r="P554"/>
      <c r="Q554"/>
      <c r="R554" s="387">
        <f>VLOOKUP(E554,'[1]NDB Impacted SPRFs 05032013'!$A$2:$A$65536,1,FALSE)</f>
        <v>400019060</v>
      </c>
    </row>
    <row r="555" spans="1:21" s="159" customFormat="1" ht="60" x14ac:dyDescent="0.25">
      <c r="A555" s="63">
        <f>MATCH($E555,'D1 - Master Project Table'!$B$24:$B$7056,0)</f>
        <v>2850</v>
      </c>
      <c r="B555" s="63" t="b">
        <f t="shared" si="24"/>
        <v>0</v>
      </c>
      <c r="C555" s="63" t="b">
        <f t="shared" si="25"/>
        <v>1</v>
      </c>
      <c r="D555" s="63" t="str">
        <f t="shared" si="26"/>
        <v>OK</v>
      </c>
      <c r="E555" s="393">
        <v>400026637</v>
      </c>
      <c r="F555" s="392" t="s">
        <v>5987</v>
      </c>
      <c r="G555" s="392" t="s">
        <v>5325</v>
      </c>
      <c r="H555" s="392" t="s">
        <v>5314</v>
      </c>
      <c r="I555" s="392" t="s">
        <v>6419</v>
      </c>
      <c r="J555" s="392" t="s">
        <v>5718</v>
      </c>
      <c r="K555" s="392" t="s">
        <v>6585</v>
      </c>
      <c r="L555" s="392" t="s">
        <v>7919</v>
      </c>
      <c r="M555" s="392" t="s">
        <v>3758</v>
      </c>
      <c r="N555" s="392" t="s">
        <v>7273</v>
      </c>
      <c r="O555" s="392" t="s">
        <v>7273</v>
      </c>
      <c r="P555"/>
      <c r="Q555"/>
      <c r="R555" s="387">
        <f>VLOOKUP(E555,'[1]NDB Impacted SPRFs 05032013'!$A$2:$A$65536,1,FALSE)</f>
        <v>400026637</v>
      </c>
    </row>
    <row r="556" spans="1:21" s="159" customFormat="1" ht="60" x14ac:dyDescent="0.25">
      <c r="A556" s="63">
        <f>MATCH($E556,'D1 - Master Project Table'!$B$24:$B$7056,0)</f>
        <v>1593</v>
      </c>
      <c r="B556" s="63" t="b">
        <f t="shared" si="24"/>
        <v>0</v>
      </c>
      <c r="C556" s="63" t="b">
        <f t="shared" si="25"/>
        <v>1</v>
      </c>
      <c r="D556" s="63" t="str">
        <f t="shared" si="26"/>
        <v>OK</v>
      </c>
      <c r="E556" s="393">
        <v>400039439</v>
      </c>
      <c r="F556" s="392" t="s">
        <v>1561</v>
      </c>
      <c r="G556" s="392" t="s">
        <v>5324</v>
      </c>
      <c r="H556" s="392" t="s">
        <v>7418</v>
      </c>
      <c r="I556" s="392" t="s">
        <v>1759</v>
      </c>
      <c r="J556" s="392" t="s">
        <v>1562</v>
      </c>
      <c r="K556" s="392" t="s">
        <v>1094</v>
      </c>
      <c r="L556" s="392" t="s">
        <v>117</v>
      </c>
      <c r="M556" s="392" t="s">
        <v>3758</v>
      </c>
      <c r="N556" s="392" t="s">
        <v>7273</v>
      </c>
      <c r="O556" s="392" t="s">
        <v>3758</v>
      </c>
      <c r="P556"/>
      <c r="Q556"/>
      <c r="R556" s="387">
        <f>VLOOKUP(E556,'[1]NDB Impacted SPRFs 05032013'!$A$2:$A$65536,1,FALSE)</f>
        <v>400039439</v>
      </c>
      <c r="S556" s="128"/>
      <c r="T556" s="128"/>
      <c r="U556" s="128"/>
    </row>
    <row r="557" spans="1:21" s="159" customFormat="1" ht="60" x14ac:dyDescent="0.25">
      <c r="A557" s="63">
        <f>MATCH($E557,'D1 - Master Project Table'!$B$24:$B$7056,0)</f>
        <v>200</v>
      </c>
      <c r="B557" s="63" t="b">
        <f t="shared" si="24"/>
        <v>0</v>
      </c>
      <c r="C557" s="63" t="b">
        <f t="shared" si="25"/>
        <v>0</v>
      </c>
      <c r="D557" s="63" t="str">
        <f t="shared" si="26"/>
        <v>OK</v>
      </c>
      <c r="E557" s="393">
        <v>400041436</v>
      </c>
      <c r="F557" s="392" t="s">
        <v>2480</v>
      </c>
      <c r="G557" s="392" t="s">
        <v>9210</v>
      </c>
      <c r="H557" s="392" t="s">
        <v>4917</v>
      </c>
      <c r="I557" s="392" t="s">
        <v>3540</v>
      </c>
      <c r="J557" s="392" t="s">
        <v>8780</v>
      </c>
      <c r="K557" s="392" t="s">
        <v>7043</v>
      </c>
      <c r="L557" s="392" t="s">
        <v>9292</v>
      </c>
      <c r="M557" s="392" t="s">
        <v>3758</v>
      </c>
      <c r="N557" s="392" t="s">
        <v>7273</v>
      </c>
      <c r="O557" s="392" t="s">
        <v>7273</v>
      </c>
      <c r="P557"/>
      <c r="Q557"/>
      <c r="R557" s="387">
        <f>VLOOKUP(E557,'[1]NDB Impacted SPRFs 05032013'!$A$2:$A$65536,1,FALSE)</f>
        <v>400041436</v>
      </c>
    </row>
    <row r="558" spans="1:21" s="159" customFormat="1" ht="60" x14ac:dyDescent="0.25">
      <c r="A558" s="63">
        <f>MATCH($E558,'D1 - Master Project Table'!$B$24:$B$7056,0)</f>
        <v>31</v>
      </c>
      <c r="B558" s="63" t="b">
        <f t="shared" si="24"/>
        <v>0</v>
      </c>
      <c r="C558" s="63" t="b">
        <f t="shared" si="25"/>
        <v>0</v>
      </c>
      <c r="D558" s="63" t="str">
        <f t="shared" si="26"/>
        <v>OK</v>
      </c>
      <c r="E558" s="393">
        <v>400046131</v>
      </c>
      <c r="F558" s="392" t="s">
        <v>1401</v>
      </c>
      <c r="G558" s="392" t="s">
        <v>5325</v>
      </c>
      <c r="H558" s="392" t="s">
        <v>4917</v>
      </c>
      <c r="I558" s="392" t="s">
        <v>1759</v>
      </c>
      <c r="J558" s="392" t="s">
        <v>5062</v>
      </c>
      <c r="K558" s="392" t="s">
        <v>1402</v>
      </c>
      <c r="L558" s="392" t="s">
        <v>8930</v>
      </c>
      <c r="M558" s="392" t="s">
        <v>3758</v>
      </c>
      <c r="N558" s="392" t="s">
        <v>7273</v>
      </c>
      <c r="O558" s="392" t="s">
        <v>7273</v>
      </c>
      <c r="P558"/>
      <c r="Q558"/>
      <c r="R558" s="387">
        <f>VLOOKUP(E558,'[1]NDB Impacted SPRFs 05032013'!$A$2:$A$65536,1,FALSE)</f>
        <v>400046131</v>
      </c>
    </row>
    <row r="559" spans="1:21" s="159" customFormat="1" ht="60" x14ac:dyDescent="0.25">
      <c r="A559" s="63">
        <f>MATCH($E559,'D1 - Master Project Table'!$B$24:$B$7056,0)</f>
        <v>218</v>
      </c>
      <c r="B559" s="63" t="b">
        <f t="shared" si="24"/>
        <v>0</v>
      </c>
      <c r="C559" s="63" t="b">
        <f t="shared" si="25"/>
        <v>0</v>
      </c>
      <c r="D559" s="63" t="str">
        <f t="shared" si="26"/>
        <v>OK</v>
      </c>
      <c r="E559" s="393">
        <v>400053933</v>
      </c>
      <c r="F559" s="392" t="s">
        <v>9224</v>
      </c>
      <c r="G559" s="392" t="s">
        <v>5324</v>
      </c>
      <c r="H559" s="392" t="s">
        <v>8012</v>
      </c>
      <c r="I559" s="392" t="s">
        <v>1762</v>
      </c>
      <c r="J559" s="392" t="s">
        <v>4977</v>
      </c>
      <c r="K559" s="392" t="s">
        <v>761</v>
      </c>
      <c r="L559" s="392" t="s">
        <v>9429</v>
      </c>
      <c r="M559" s="392" t="s">
        <v>3758</v>
      </c>
      <c r="N559" s="392" t="s">
        <v>7273</v>
      </c>
      <c r="O559" s="392" t="s">
        <v>7273</v>
      </c>
      <c r="P559"/>
      <c r="Q559"/>
      <c r="R559" s="387">
        <f>VLOOKUP(E559,'[1]NDB Impacted SPRFs 05032013'!$A$2:$A$65536,1,FALSE)</f>
        <v>400053933</v>
      </c>
    </row>
    <row r="560" spans="1:21" s="159" customFormat="1" ht="60" x14ac:dyDescent="0.25">
      <c r="A560" s="63">
        <f>MATCH($E560,'D1 - Master Project Table'!$B$24:$B$7056,0)</f>
        <v>2284</v>
      </c>
      <c r="B560" s="63" t="b">
        <f t="shared" si="24"/>
        <v>0</v>
      </c>
      <c r="C560" s="63" t="b">
        <f t="shared" si="25"/>
        <v>1</v>
      </c>
      <c r="D560" s="63" t="str">
        <f t="shared" si="26"/>
        <v>OK</v>
      </c>
      <c r="E560" s="393">
        <v>400039510</v>
      </c>
      <c r="F560" s="392" t="s">
        <v>5070</v>
      </c>
      <c r="G560" s="392" t="s">
        <v>5325</v>
      </c>
      <c r="H560" s="392" t="s">
        <v>5314</v>
      </c>
      <c r="I560" s="392" t="s">
        <v>6419</v>
      </c>
      <c r="J560" s="392" t="s">
        <v>6584</v>
      </c>
      <c r="K560" s="392" t="s">
        <v>6402</v>
      </c>
      <c r="L560" s="392" t="s">
        <v>2593</v>
      </c>
      <c r="M560" s="392" t="s">
        <v>3758</v>
      </c>
      <c r="N560" s="392" t="s">
        <v>7273</v>
      </c>
      <c r="O560" s="392" t="s">
        <v>7273</v>
      </c>
      <c r="P560"/>
      <c r="Q560"/>
      <c r="R560" s="387">
        <f>VLOOKUP(E560,'[1]NDB Impacted SPRFs 05032013'!$A$2:$A$65536,1,FALSE)</f>
        <v>400039510</v>
      </c>
      <c r="S560" s="128"/>
      <c r="T560" s="128"/>
      <c r="U560" s="128"/>
    </row>
    <row r="561" spans="1:21" s="159" customFormat="1" ht="60" x14ac:dyDescent="0.25">
      <c r="A561" s="63">
        <f>MATCH($E561,'D1 - Master Project Table'!$B$24:$B$7056,0)</f>
        <v>2942</v>
      </c>
      <c r="B561" s="63" t="b">
        <f t="shared" si="24"/>
        <v>0</v>
      </c>
      <c r="C561" s="63" t="b">
        <f t="shared" si="25"/>
        <v>1</v>
      </c>
      <c r="D561" s="63" t="str">
        <f t="shared" si="26"/>
        <v>OK</v>
      </c>
      <c r="E561" s="393">
        <v>400033967</v>
      </c>
      <c r="F561" s="392" t="s">
        <v>4596</v>
      </c>
      <c r="G561" s="392" t="s">
        <v>5325</v>
      </c>
      <c r="H561" s="392" t="s">
        <v>5314</v>
      </c>
      <c r="I561" s="392" t="s">
        <v>1799</v>
      </c>
      <c r="J561" s="392" t="s">
        <v>6011</v>
      </c>
      <c r="K561" s="392" t="s">
        <v>6240</v>
      </c>
      <c r="L561" s="392" t="s">
        <v>8929</v>
      </c>
      <c r="M561" s="392" t="s">
        <v>7273</v>
      </c>
      <c r="N561" s="392" t="s">
        <v>7273</v>
      </c>
      <c r="O561" s="392" t="s">
        <v>7273</v>
      </c>
      <c r="P561"/>
      <c r="Q561"/>
      <c r="R561" s="387">
        <f>VLOOKUP(E561,'[1]NDB Impacted SPRFs 05032013'!$A$2:$A$65536,1,FALSE)</f>
        <v>400033967</v>
      </c>
    </row>
    <row r="562" spans="1:21" s="159" customFormat="1" ht="60" x14ac:dyDescent="0.25">
      <c r="A562" s="63">
        <f>MATCH($E562,'D1 - Master Project Table'!$B$24:$B$7056,0)</f>
        <v>1566</v>
      </c>
      <c r="B562" s="63" t="b">
        <f t="shared" si="24"/>
        <v>0</v>
      </c>
      <c r="C562" s="63" t="b">
        <f t="shared" si="25"/>
        <v>1</v>
      </c>
      <c r="D562" s="63" t="str">
        <f t="shared" si="26"/>
        <v>OK</v>
      </c>
      <c r="E562" s="393">
        <v>400042820</v>
      </c>
      <c r="F562" s="392" t="s">
        <v>5281</v>
      </c>
      <c r="G562" s="392" t="s">
        <v>5324</v>
      </c>
      <c r="H562" s="392" t="s">
        <v>7418</v>
      </c>
      <c r="I562" s="392" t="s">
        <v>1759</v>
      </c>
      <c r="J562" s="392" t="s">
        <v>6584</v>
      </c>
      <c r="K562" s="392" t="s">
        <v>6585</v>
      </c>
      <c r="L562" s="392" t="s">
        <v>1870</v>
      </c>
      <c r="M562" s="392" t="s">
        <v>7273</v>
      </c>
      <c r="N562" s="392" t="s">
        <v>7273</v>
      </c>
      <c r="O562" s="392" t="s">
        <v>7273</v>
      </c>
      <c r="P562"/>
      <c r="Q562"/>
      <c r="R562" s="387">
        <f>VLOOKUP(E562,'[1]NDB Impacted SPRFs 05032013'!$A$2:$A$65536,1,FALSE)</f>
        <v>400042820</v>
      </c>
    </row>
    <row r="563" spans="1:21" s="159" customFormat="1" ht="60" x14ac:dyDescent="0.25">
      <c r="A563" s="63">
        <f>MATCH($E563,'D1 - Master Project Table'!$B$24:$B$7056,0)</f>
        <v>1854</v>
      </c>
      <c r="B563" s="63" t="b">
        <f t="shared" si="24"/>
        <v>0</v>
      </c>
      <c r="C563" s="63" t="b">
        <f t="shared" si="25"/>
        <v>1</v>
      </c>
      <c r="D563" s="63" t="str">
        <f t="shared" si="26"/>
        <v>OK</v>
      </c>
      <c r="E563" s="393">
        <v>301211340</v>
      </c>
      <c r="F563" s="392" t="s">
        <v>6614</v>
      </c>
      <c r="G563" s="392" t="s">
        <v>5324</v>
      </c>
      <c r="H563" s="392" t="s">
        <v>7418</v>
      </c>
      <c r="I563" s="392" t="s">
        <v>1765</v>
      </c>
      <c r="J563" s="392" t="s">
        <v>8345</v>
      </c>
      <c r="K563" s="392" t="s">
        <v>4169</v>
      </c>
      <c r="L563" s="392" t="s">
        <v>3443</v>
      </c>
      <c r="M563" s="392" t="s">
        <v>3758</v>
      </c>
      <c r="N563" s="392" t="s">
        <v>7273</v>
      </c>
      <c r="O563" s="392" t="s">
        <v>7273</v>
      </c>
      <c r="P563"/>
      <c r="Q563"/>
      <c r="R563" s="387">
        <f>VLOOKUP(E563,'[1]NDB Impacted SPRFs 05032013'!$A$2:$A$65536,1,FALSE)</f>
        <v>301211340</v>
      </c>
    </row>
    <row r="564" spans="1:21" ht="60" x14ac:dyDescent="0.25">
      <c r="A564" s="63">
        <f>MATCH($E564,'D1 - Master Project Table'!$B$24:$B$7056,0)</f>
        <v>1562</v>
      </c>
      <c r="B564" s="63" t="b">
        <f t="shared" si="24"/>
        <v>0</v>
      </c>
      <c r="C564" s="63" t="b">
        <f t="shared" si="25"/>
        <v>1</v>
      </c>
      <c r="D564" s="63" t="str">
        <f t="shared" si="26"/>
        <v>OK</v>
      </c>
      <c r="E564" s="393">
        <v>400042795</v>
      </c>
      <c r="F564" s="392" t="s">
        <v>5261</v>
      </c>
      <c r="G564" s="392" t="s">
        <v>5001</v>
      </c>
      <c r="H564" s="392" t="s">
        <v>7418</v>
      </c>
      <c r="I564" s="392" t="s">
        <v>3540</v>
      </c>
      <c r="J564" s="392" t="s">
        <v>8743</v>
      </c>
      <c r="K564" s="392" t="s">
        <v>2485</v>
      </c>
      <c r="L564" s="392" t="s">
        <v>8777</v>
      </c>
      <c r="M564" s="392" t="s">
        <v>7273</v>
      </c>
      <c r="N564" s="392" t="s">
        <v>7273</v>
      </c>
      <c r="O564" s="392" t="s">
        <v>3758</v>
      </c>
      <c r="P564"/>
      <c r="Q564"/>
      <c r="R564" s="387">
        <f>VLOOKUP(E564,'[1]NDB Impacted SPRFs 05032013'!$A$2:$A$65536,1,FALSE)</f>
        <v>400042795</v>
      </c>
      <c r="S564" s="159"/>
      <c r="T564" s="159"/>
      <c r="U564" s="159"/>
    </row>
    <row r="565" spans="1:21" ht="60" x14ac:dyDescent="0.25">
      <c r="A565" s="63">
        <f>MATCH($E565,'D1 - Master Project Table'!$B$24:$B$7056,0)</f>
        <v>660</v>
      </c>
      <c r="B565" s="63" t="b">
        <f t="shared" si="24"/>
        <v>0</v>
      </c>
      <c r="C565" s="63" t="b">
        <f t="shared" si="25"/>
        <v>1</v>
      </c>
      <c r="D565" s="63" t="str">
        <f t="shared" si="26"/>
        <v>OK</v>
      </c>
      <c r="E565" s="393">
        <v>400010525</v>
      </c>
      <c r="F565" s="392" t="s">
        <v>2429</v>
      </c>
      <c r="G565" s="392" t="s">
        <v>5324</v>
      </c>
      <c r="H565" s="392" t="s">
        <v>7418</v>
      </c>
      <c r="I565" s="392" t="s">
        <v>1762</v>
      </c>
      <c r="J565" s="392" t="s">
        <v>2251</v>
      </c>
      <c r="K565" s="392" t="s">
        <v>5641</v>
      </c>
      <c r="L565" s="392" t="s">
        <v>5941</v>
      </c>
      <c r="M565" s="392" t="s">
        <v>3758</v>
      </c>
      <c r="N565" s="392" t="s">
        <v>7273</v>
      </c>
      <c r="O565" s="392" t="s">
        <v>7273</v>
      </c>
      <c r="P565"/>
      <c r="Q565"/>
      <c r="R565" s="387">
        <f>VLOOKUP(E565,'[1]NDB Impacted SPRFs 05032013'!$A$2:$A$65536,1,FALSE)</f>
        <v>400010525</v>
      </c>
      <c r="S565" s="159"/>
      <c r="T565" s="159"/>
      <c r="U565" s="159"/>
    </row>
    <row r="566" spans="1:21" s="159" customFormat="1" ht="60" x14ac:dyDescent="0.25">
      <c r="A566" s="63">
        <f>MATCH($E566,'D1 - Master Project Table'!$B$24:$B$7056,0)</f>
        <v>1399</v>
      </c>
      <c r="B566" s="63" t="b">
        <f t="shared" si="24"/>
        <v>0</v>
      </c>
      <c r="C566" s="63" t="b">
        <f t="shared" si="25"/>
        <v>1</v>
      </c>
      <c r="D566" s="63" t="str">
        <f t="shared" si="26"/>
        <v>OK</v>
      </c>
      <c r="E566" s="393">
        <v>400038390</v>
      </c>
      <c r="F566" s="392" t="s">
        <v>1432</v>
      </c>
      <c r="G566" s="392" t="s">
        <v>5325</v>
      </c>
      <c r="H566" s="392" t="s">
        <v>7418</v>
      </c>
      <c r="I566" s="392" t="s">
        <v>6419</v>
      </c>
      <c r="J566" s="392" t="s">
        <v>1433</v>
      </c>
      <c r="K566" s="392" t="s">
        <v>4595</v>
      </c>
      <c r="L566" s="392" t="s">
        <v>544</v>
      </c>
      <c r="M566" s="392" t="s">
        <v>3758</v>
      </c>
      <c r="N566" s="392" t="s">
        <v>7273</v>
      </c>
      <c r="O566" s="392" t="s">
        <v>7273</v>
      </c>
      <c r="P566"/>
      <c r="Q566"/>
      <c r="R566" s="387">
        <f>VLOOKUP(E566,'[1]NDB Impacted SPRFs 05032013'!$A$2:$A$65536,1,FALSE)</f>
        <v>400038390</v>
      </c>
      <c r="S566" s="128"/>
      <c r="T566" s="128"/>
      <c r="U566" s="128"/>
    </row>
    <row r="567" spans="1:21" s="159" customFormat="1" ht="60" x14ac:dyDescent="0.25">
      <c r="A567" s="63">
        <f>MATCH($E567,'D1 - Master Project Table'!$B$24:$B$7056,0)</f>
        <v>3134</v>
      </c>
      <c r="B567" s="63" t="b">
        <f t="shared" si="24"/>
        <v>0</v>
      </c>
      <c r="C567" s="63" t="b">
        <f t="shared" si="25"/>
        <v>1</v>
      </c>
      <c r="D567" s="63" t="str">
        <f t="shared" si="26"/>
        <v>OK</v>
      </c>
      <c r="E567" s="393">
        <v>400054432</v>
      </c>
      <c r="F567" s="392" t="s">
        <v>948</v>
      </c>
      <c r="G567" s="392" t="s">
        <v>6322</v>
      </c>
      <c r="H567" s="392" t="s">
        <v>5314</v>
      </c>
      <c r="I567" s="392" t="s">
        <v>1756</v>
      </c>
      <c r="J567" s="392" t="s">
        <v>868</v>
      </c>
      <c r="K567" s="392" t="s">
        <v>4978</v>
      </c>
      <c r="L567" s="392" t="s">
        <v>1841</v>
      </c>
      <c r="M567" s="392" t="s">
        <v>7273</v>
      </c>
      <c r="N567" s="392" t="s">
        <v>7273</v>
      </c>
      <c r="O567" s="392" t="s">
        <v>7273</v>
      </c>
      <c r="P567"/>
      <c r="Q567"/>
      <c r="R567" s="387">
        <f>VLOOKUP(E567,'[1]NDB Impacted SPRFs 05032013'!$A$2:$A$65536,1,FALSE)</f>
        <v>400054432</v>
      </c>
    </row>
    <row r="568" spans="1:21" s="159" customFormat="1" ht="60" x14ac:dyDescent="0.25">
      <c r="A568" s="63">
        <f>MATCH($E568,'D1 - Master Project Table'!$B$24:$B$7056,0)</f>
        <v>2475</v>
      </c>
      <c r="B568" s="63" t="b">
        <f t="shared" si="24"/>
        <v>0</v>
      </c>
      <c r="C568" s="63" t="b">
        <f t="shared" si="25"/>
        <v>1</v>
      </c>
      <c r="D568" s="63" t="str">
        <f t="shared" si="26"/>
        <v>OK</v>
      </c>
      <c r="E568" s="393">
        <v>400005241</v>
      </c>
      <c r="F568" s="392" t="s">
        <v>7357</v>
      </c>
      <c r="G568" s="392" t="s">
        <v>5787</v>
      </c>
      <c r="H568" s="392" t="s">
        <v>5314</v>
      </c>
      <c r="I568" s="392" t="s">
        <v>1771</v>
      </c>
      <c r="J568" s="392" t="s">
        <v>3321</v>
      </c>
      <c r="K568" s="392" t="s">
        <v>6486</v>
      </c>
      <c r="L568" s="392" t="s">
        <v>6406</v>
      </c>
      <c r="M568" s="392" t="s">
        <v>7273</v>
      </c>
      <c r="N568" s="392" t="s">
        <v>7273</v>
      </c>
      <c r="O568" s="392" t="s">
        <v>7273</v>
      </c>
      <c r="P568"/>
      <c r="Q568"/>
      <c r="R568" s="387">
        <f>VLOOKUP(E568,'[1]NDB Impacted SPRFs 05032013'!$A$2:$A$65536,1,FALSE)</f>
        <v>400005241</v>
      </c>
    </row>
    <row r="569" spans="1:21" s="159" customFormat="1" ht="60" x14ac:dyDescent="0.25">
      <c r="A569" s="63">
        <f>MATCH($E569,'D1 - Master Project Table'!$B$24:$B$7056,0)</f>
        <v>2288</v>
      </c>
      <c r="B569" s="63" t="b">
        <f t="shared" si="24"/>
        <v>0</v>
      </c>
      <c r="C569" s="63" t="b">
        <f t="shared" si="25"/>
        <v>1</v>
      </c>
      <c r="D569" s="63" t="str">
        <f t="shared" si="26"/>
        <v>OK</v>
      </c>
      <c r="E569" s="393">
        <v>400039444</v>
      </c>
      <c r="F569" s="392" t="s">
        <v>7366</v>
      </c>
      <c r="G569" s="392" t="s">
        <v>5324</v>
      </c>
      <c r="H569" s="392" t="s">
        <v>7418</v>
      </c>
      <c r="I569" s="392" t="s">
        <v>1762</v>
      </c>
      <c r="J569" s="392" t="s">
        <v>6851</v>
      </c>
      <c r="K569" s="392" t="s">
        <v>8075</v>
      </c>
      <c r="L569" s="392" t="s">
        <v>8180</v>
      </c>
      <c r="M569" s="392" t="s">
        <v>3758</v>
      </c>
      <c r="N569" s="392" t="s">
        <v>7273</v>
      </c>
      <c r="O569" s="392" t="s">
        <v>7273</v>
      </c>
      <c r="P569"/>
      <c r="Q569"/>
      <c r="R569" s="387">
        <f>VLOOKUP(E569,'[1]NDB Impacted SPRFs 05032013'!$A$2:$A$65536,1,FALSE)</f>
        <v>400039444</v>
      </c>
    </row>
    <row r="570" spans="1:21" s="159" customFormat="1" ht="60" x14ac:dyDescent="0.25">
      <c r="A570" s="63">
        <f>MATCH($E570,'D1 - Master Project Table'!$B$24:$B$7056,0)</f>
        <v>1030</v>
      </c>
      <c r="B570" s="63" t="b">
        <f t="shared" si="24"/>
        <v>0</v>
      </c>
      <c r="C570" s="63" t="b">
        <f t="shared" si="25"/>
        <v>1</v>
      </c>
      <c r="D570" s="63" t="str">
        <f t="shared" si="26"/>
        <v>OK</v>
      </c>
      <c r="E570" s="393">
        <v>400025129</v>
      </c>
      <c r="F570" s="392" t="s">
        <v>3893</v>
      </c>
      <c r="G570" s="392" t="s">
        <v>5995</v>
      </c>
      <c r="H570" s="392" t="s">
        <v>7418</v>
      </c>
      <c r="I570" s="392" t="s">
        <v>6423</v>
      </c>
      <c r="J570" s="392" t="s">
        <v>4539</v>
      </c>
      <c r="K570" s="392" t="s">
        <v>4114</v>
      </c>
      <c r="L570" s="392" t="s">
        <v>26</v>
      </c>
      <c r="M570" s="392" t="s">
        <v>3758</v>
      </c>
      <c r="N570" s="392" t="s">
        <v>7273</v>
      </c>
      <c r="O570" s="392" t="s">
        <v>7273</v>
      </c>
      <c r="P570" s="158"/>
      <c r="Q570" s="128"/>
      <c r="R570" s="387">
        <f>VLOOKUP(E570,'[1]NDB Impacted SPRFs 05032013'!$A$2:$A$65536,1,FALSE)</f>
        <v>400025129</v>
      </c>
      <c r="S570" s="128"/>
      <c r="T570" s="128"/>
      <c r="U570" s="128"/>
    </row>
    <row r="571" spans="1:21" s="159" customFormat="1" ht="60" x14ac:dyDescent="0.25">
      <c r="A571" s="63">
        <f>MATCH($E571,'D1 - Master Project Table'!$B$24:$B$7056,0)</f>
        <v>556</v>
      </c>
      <c r="B571" s="63" t="b">
        <f t="shared" si="24"/>
        <v>0</v>
      </c>
      <c r="C571" s="63" t="b">
        <f t="shared" si="25"/>
        <v>1</v>
      </c>
      <c r="D571" s="63" t="str">
        <f t="shared" si="26"/>
        <v>OK</v>
      </c>
      <c r="E571" s="393">
        <v>400011261</v>
      </c>
      <c r="F571" s="392" t="s">
        <v>7349</v>
      </c>
      <c r="G571" s="392" t="s">
        <v>5324</v>
      </c>
      <c r="H571" s="392" t="s">
        <v>7418</v>
      </c>
      <c r="I571" s="392" t="s">
        <v>1759</v>
      </c>
      <c r="J571" s="392" t="s">
        <v>8542</v>
      </c>
      <c r="K571" s="392" t="s">
        <v>1976</v>
      </c>
      <c r="L571" s="392" t="s">
        <v>2565</v>
      </c>
      <c r="M571" s="392" t="s">
        <v>3758</v>
      </c>
      <c r="N571" s="392" t="s">
        <v>7273</v>
      </c>
      <c r="O571" s="392" t="s">
        <v>7273</v>
      </c>
      <c r="P571"/>
      <c r="Q571"/>
      <c r="R571" s="387">
        <f>VLOOKUP(E571,'[1]NDB Impacted SPRFs 05032013'!$A$2:$A$65536,1,FALSE)</f>
        <v>400011261</v>
      </c>
      <c r="S571" s="128"/>
      <c r="T571" s="128"/>
      <c r="U571" s="128"/>
    </row>
    <row r="572" spans="1:21" s="159" customFormat="1" ht="60" x14ac:dyDescent="0.25">
      <c r="A572" s="63">
        <f>MATCH($E572,'D1 - Master Project Table'!$B$24:$B$7056,0)</f>
        <v>1611</v>
      </c>
      <c r="B572" s="63" t="b">
        <f t="shared" si="24"/>
        <v>0</v>
      </c>
      <c r="C572" s="63" t="b">
        <f t="shared" si="25"/>
        <v>1</v>
      </c>
      <c r="D572" s="63" t="str">
        <f t="shared" si="26"/>
        <v>OK</v>
      </c>
      <c r="E572" s="393">
        <v>400042808</v>
      </c>
      <c r="F572" s="392" t="s">
        <v>5254</v>
      </c>
      <c r="G572" s="392" t="s">
        <v>6322</v>
      </c>
      <c r="H572" s="392" t="s">
        <v>7418</v>
      </c>
      <c r="I572" s="392" t="s">
        <v>1756</v>
      </c>
      <c r="J572" s="392" t="s">
        <v>4688</v>
      </c>
      <c r="K572" s="392" t="s">
        <v>7164</v>
      </c>
      <c r="L572" s="392" t="s">
        <v>2373</v>
      </c>
      <c r="M572" s="392" t="s">
        <v>7273</v>
      </c>
      <c r="N572" s="392" t="s">
        <v>7273</v>
      </c>
      <c r="O572" s="392" t="s">
        <v>7273</v>
      </c>
      <c r="P572"/>
      <c r="Q572"/>
      <c r="R572" s="387">
        <f>VLOOKUP(E572,'[1]NDB Impacted SPRFs 05032013'!$A$2:$A$65536,1,FALSE)</f>
        <v>400042808</v>
      </c>
      <c r="S572" s="128"/>
      <c r="T572" s="128"/>
      <c r="U572" s="128"/>
    </row>
    <row r="573" spans="1:21" s="159" customFormat="1" ht="60" x14ac:dyDescent="0.25">
      <c r="A573" s="63">
        <f>MATCH($E573,'D1 - Master Project Table'!$B$24:$B$7056,0)</f>
        <v>1615</v>
      </c>
      <c r="B573" s="63" t="b">
        <f t="shared" si="24"/>
        <v>0</v>
      </c>
      <c r="C573" s="63" t="b">
        <f t="shared" si="25"/>
        <v>1</v>
      </c>
      <c r="D573" s="63" t="str">
        <f t="shared" si="26"/>
        <v>OK</v>
      </c>
      <c r="E573" s="393">
        <v>400044267</v>
      </c>
      <c r="F573" s="392" t="s">
        <v>1311</v>
      </c>
      <c r="G573" s="392" t="s">
        <v>5324</v>
      </c>
      <c r="H573" s="392" t="s">
        <v>7418</v>
      </c>
      <c r="I573" s="392" t="s">
        <v>1759</v>
      </c>
      <c r="J573" s="392" t="s">
        <v>4844</v>
      </c>
      <c r="K573" s="392" t="s">
        <v>2264</v>
      </c>
      <c r="L573" s="392" t="s">
        <v>7058</v>
      </c>
      <c r="M573" s="392" t="s">
        <v>7273</v>
      </c>
      <c r="N573" s="392" t="s">
        <v>7273</v>
      </c>
      <c r="O573" s="392" t="s">
        <v>7273</v>
      </c>
      <c r="P573" s="198" t="s">
        <v>6416</v>
      </c>
      <c r="Q573" s="128"/>
      <c r="R573" s="387">
        <f>VLOOKUP(E573,'[1]NDB Impacted SPRFs 05032013'!$A$2:$A$65536,1,FALSE)</f>
        <v>400044267</v>
      </c>
      <c r="S573" s="128"/>
      <c r="T573" s="128"/>
      <c r="U573" s="128"/>
    </row>
    <row r="574" spans="1:21" ht="60" x14ac:dyDescent="0.25">
      <c r="A574" s="63">
        <f>MATCH($E574,'D1 - Master Project Table'!$B$24:$B$7056,0)</f>
        <v>869</v>
      </c>
      <c r="B574" s="63" t="b">
        <f t="shared" si="24"/>
        <v>0</v>
      </c>
      <c r="C574" s="63" t="b">
        <f t="shared" si="25"/>
        <v>1</v>
      </c>
      <c r="D574" s="63" t="str">
        <f t="shared" si="26"/>
        <v>OK</v>
      </c>
      <c r="E574" s="393">
        <v>400017623</v>
      </c>
      <c r="F574" s="392" t="s">
        <v>3305</v>
      </c>
      <c r="G574" s="392" t="s">
        <v>5324</v>
      </c>
      <c r="H574" s="392" t="s">
        <v>7418</v>
      </c>
      <c r="I574" s="392" t="s">
        <v>1770</v>
      </c>
      <c r="J574" s="392" t="s">
        <v>8437</v>
      </c>
      <c r="K574" s="392" t="s">
        <v>1506</v>
      </c>
      <c r="L574" s="392" t="s">
        <v>371</v>
      </c>
      <c r="M574" s="392" t="s">
        <v>3758</v>
      </c>
      <c r="N574" s="392" t="s">
        <v>7273</v>
      </c>
      <c r="O574" s="392" t="s">
        <v>7273</v>
      </c>
      <c r="P574" s="212"/>
      <c r="Q574"/>
      <c r="R574" s="387">
        <f>VLOOKUP(E574,'[1]NDB Impacted SPRFs 05032013'!$A$2:$A$65536,1,FALSE)</f>
        <v>400017623</v>
      </c>
      <c r="S574" s="159"/>
      <c r="T574" s="159"/>
      <c r="U574" s="159"/>
    </row>
    <row r="575" spans="1:21" s="159" customFormat="1" ht="60" x14ac:dyDescent="0.25">
      <c r="A575" s="63">
        <f>MATCH($E575,'D1 - Master Project Table'!$B$24:$B$7056,0)</f>
        <v>558</v>
      </c>
      <c r="B575" s="63" t="b">
        <f t="shared" si="24"/>
        <v>0</v>
      </c>
      <c r="C575" s="63" t="b">
        <f t="shared" si="25"/>
        <v>1</v>
      </c>
      <c r="D575" s="63" t="str">
        <f t="shared" si="26"/>
        <v>OK</v>
      </c>
      <c r="E575" s="393">
        <v>400011332</v>
      </c>
      <c r="F575" s="392" t="s">
        <v>4802</v>
      </c>
      <c r="G575" s="392" t="s">
        <v>5324</v>
      </c>
      <c r="H575" s="392" t="s">
        <v>7418</v>
      </c>
      <c r="I575" s="392" t="s">
        <v>1756</v>
      </c>
      <c r="J575" s="392" t="s">
        <v>8272</v>
      </c>
      <c r="K575" s="392" t="s">
        <v>8075</v>
      </c>
      <c r="L575" s="392" t="s">
        <v>6121</v>
      </c>
      <c r="M575" s="392" t="s">
        <v>7273</v>
      </c>
      <c r="N575" s="392" t="s">
        <v>7273</v>
      </c>
      <c r="O575" s="392" t="s">
        <v>7273</v>
      </c>
      <c r="P575"/>
      <c r="Q575"/>
      <c r="R575" s="387">
        <f>VLOOKUP(E575,'[1]NDB Impacted SPRFs 05032013'!$A$2:$A$65536,1,FALSE)</f>
        <v>400011332</v>
      </c>
      <c r="S575" s="128"/>
      <c r="T575" s="128"/>
      <c r="U575" s="128"/>
    </row>
    <row r="576" spans="1:21" s="161" customFormat="1" ht="60" x14ac:dyDescent="0.25">
      <c r="A576" s="63">
        <f>MATCH($E576,'D1 - Master Project Table'!$B$24:$B$7056,0)</f>
        <v>1542</v>
      </c>
      <c r="B576" s="63" t="b">
        <f t="shared" si="24"/>
        <v>0</v>
      </c>
      <c r="C576" s="63" t="b">
        <f t="shared" si="25"/>
        <v>1</v>
      </c>
      <c r="D576" s="63" t="str">
        <f t="shared" si="26"/>
        <v>OK</v>
      </c>
      <c r="E576" s="393">
        <v>400037515</v>
      </c>
      <c r="F576" s="392" t="s">
        <v>3877</v>
      </c>
      <c r="G576" s="392" t="s">
        <v>5995</v>
      </c>
      <c r="H576" s="392" t="s">
        <v>7418</v>
      </c>
      <c r="I576" s="392" t="s">
        <v>6423</v>
      </c>
      <c r="J576" s="392" t="s">
        <v>6376</v>
      </c>
      <c r="K576" s="392" t="s">
        <v>4114</v>
      </c>
      <c r="L576" s="392" t="s">
        <v>27</v>
      </c>
      <c r="M576" s="392" t="s">
        <v>7273</v>
      </c>
      <c r="N576" s="392" t="s">
        <v>7273</v>
      </c>
      <c r="O576" s="392" t="s">
        <v>7273</v>
      </c>
      <c r="P576"/>
      <c r="Q576"/>
      <c r="R576" s="387">
        <f>VLOOKUP(E576,'[1]NDB Impacted SPRFs 05032013'!$A$2:$A$65536,1,FALSE)</f>
        <v>400037515</v>
      </c>
      <c r="S576" s="159"/>
      <c r="T576" s="159"/>
      <c r="U576" s="159"/>
    </row>
    <row r="577" spans="1:21" s="159" customFormat="1" ht="45" customHeight="1" x14ac:dyDescent="0.25">
      <c r="A577" s="63">
        <f>MATCH($E577,'D1 - Master Project Table'!$B$24:$B$7056,0)</f>
        <v>286</v>
      </c>
      <c r="B577" s="63" t="b">
        <f t="shared" si="24"/>
        <v>0</v>
      </c>
      <c r="C577" s="63" t="b">
        <f t="shared" si="25"/>
        <v>1</v>
      </c>
      <c r="D577" s="63" t="str">
        <f t="shared" si="26"/>
        <v>OK</v>
      </c>
      <c r="E577" s="393">
        <v>400005348</v>
      </c>
      <c r="F577" s="392" t="s">
        <v>2558</v>
      </c>
      <c r="G577" s="392" t="s">
        <v>5324</v>
      </c>
      <c r="H577" s="392" t="s">
        <v>7418</v>
      </c>
      <c r="I577" s="392" t="s">
        <v>1765</v>
      </c>
      <c r="J577" s="392" t="s">
        <v>8417</v>
      </c>
      <c r="K577" s="392" t="s">
        <v>7401</v>
      </c>
      <c r="L577" s="392" t="s">
        <v>2067</v>
      </c>
      <c r="M577" s="392" t="s">
        <v>7273</v>
      </c>
      <c r="N577" s="392" t="s">
        <v>7273</v>
      </c>
      <c r="O577" s="392" t="s">
        <v>7273</v>
      </c>
      <c r="P577"/>
      <c r="Q577"/>
      <c r="R577" s="387">
        <f>VLOOKUP(E577,'[1]NDB Impacted SPRFs 05032013'!$A$2:$A$65536,1,FALSE)</f>
        <v>400005348</v>
      </c>
      <c r="S577" s="128"/>
      <c r="T577" s="128"/>
      <c r="U577" s="128"/>
    </row>
    <row r="578" spans="1:21" ht="60" x14ac:dyDescent="0.25">
      <c r="A578" s="63" t="e">
        <f>MATCH($E578,'D1 - Master Project Table'!$B$24:$B$7056,0)</f>
        <v>#N/A</v>
      </c>
      <c r="B578" s="63" t="b">
        <f t="shared" si="24"/>
        <v>1</v>
      </c>
      <c r="C578" s="63" t="b">
        <f t="shared" si="25"/>
        <v>1</v>
      </c>
      <c r="D578" s="63" t="str">
        <f t="shared" si="26"/>
        <v>OK</v>
      </c>
      <c r="E578" s="393">
        <v>400001116</v>
      </c>
      <c r="F578" s="392" t="s">
        <v>5933</v>
      </c>
      <c r="G578" s="392" t="s">
        <v>5324</v>
      </c>
      <c r="H578" s="392" t="s">
        <v>7418</v>
      </c>
      <c r="I578" s="392" t="s">
        <v>1765</v>
      </c>
      <c r="J578" s="392" t="s">
        <v>8533</v>
      </c>
      <c r="K578" s="392" t="s">
        <v>2829</v>
      </c>
      <c r="L578" s="392" t="s">
        <v>1621</v>
      </c>
      <c r="M578" s="392" t="s">
        <v>3758</v>
      </c>
      <c r="N578" s="392" t="s">
        <v>7273</v>
      </c>
      <c r="O578" s="392" t="s">
        <v>7273</v>
      </c>
      <c r="P578"/>
      <c r="Q578"/>
      <c r="R578" s="387">
        <f>VLOOKUP(E578,'[1]NDB Impacted SPRFs 05032013'!$A$2:$A$65536,1,FALSE)</f>
        <v>400001116</v>
      </c>
      <c r="S578" s="159"/>
      <c r="T578" s="159"/>
      <c r="U578" s="159"/>
    </row>
    <row r="579" spans="1:21" s="159" customFormat="1" ht="60" x14ac:dyDescent="0.25">
      <c r="A579" s="63">
        <f>MATCH($E579,'D1 - Master Project Table'!$B$24:$B$7056,0)</f>
        <v>753</v>
      </c>
      <c r="B579" s="63" t="b">
        <f t="shared" si="24"/>
        <v>0</v>
      </c>
      <c r="C579" s="63" t="b">
        <f t="shared" si="25"/>
        <v>1</v>
      </c>
      <c r="D579" s="63" t="str">
        <f t="shared" si="26"/>
        <v>OK</v>
      </c>
      <c r="E579" s="393">
        <v>400017901</v>
      </c>
      <c r="F579" s="392" t="s">
        <v>6198</v>
      </c>
      <c r="G579" s="392" t="s">
        <v>6065</v>
      </c>
      <c r="H579" s="392" t="s">
        <v>7418</v>
      </c>
      <c r="I579" s="392" t="s">
        <v>2655</v>
      </c>
      <c r="J579" s="392" t="s">
        <v>5657</v>
      </c>
      <c r="K579" s="392" t="s">
        <v>4671</v>
      </c>
      <c r="L579" s="392" t="s">
        <v>3952</v>
      </c>
      <c r="M579" s="392" t="s">
        <v>3758</v>
      </c>
      <c r="N579" s="392" t="s">
        <v>7273</v>
      </c>
      <c r="O579" s="392" t="s">
        <v>3758</v>
      </c>
      <c r="P579"/>
      <c r="Q579"/>
      <c r="R579" s="387">
        <f>VLOOKUP(E579,'[1]NDB Impacted SPRFs 05032013'!$A$2:$A$65536,1,FALSE)</f>
        <v>400017901</v>
      </c>
    </row>
    <row r="580" spans="1:21" ht="60" x14ac:dyDescent="0.25">
      <c r="A580" s="63">
        <f>MATCH($E580,'D1 - Master Project Table'!$B$24:$B$7056,0)</f>
        <v>765</v>
      </c>
      <c r="B580" s="63" t="b">
        <f t="shared" si="24"/>
        <v>0</v>
      </c>
      <c r="C580" s="63" t="b">
        <f t="shared" si="25"/>
        <v>1</v>
      </c>
      <c r="D580" s="63" t="str">
        <f t="shared" si="26"/>
        <v>OK</v>
      </c>
      <c r="E580" s="393">
        <v>400013002</v>
      </c>
      <c r="F580" s="392" t="s">
        <v>2394</v>
      </c>
      <c r="G580" s="392" t="s">
        <v>5324</v>
      </c>
      <c r="H580" s="392" t="s">
        <v>7418</v>
      </c>
      <c r="I580" s="392" t="s">
        <v>1788</v>
      </c>
      <c r="J580" s="392" t="s">
        <v>452</v>
      </c>
      <c r="K580" s="392" t="s">
        <v>5541</v>
      </c>
      <c r="L580" s="392" t="s">
        <v>2019</v>
      </c>
      <c r="M580" s="392" t="s">
        <v>3758</v>
      </c>
      <c r="N580" s="392" t="s">
        <v>7273</v>
      </c>
      <c r="O580" s="392" t="s">
        <v>7273</v>
      </c>
      <c r="P580"/>
      <c r="Q580"/>
      <c r="R580" s="387">
        <f>VLOOKUP(E580,'[1]NDB Impacted SPRFs 05032013'!$A$2:$A$65536,1,FALSE)</f>
        <v>400013002</v>
      </c>
      <c r="S580" s="159"/>
      <c r="T580" s="159"/>
      <c r="U580" s="159"/>
    </row>
    <row r="581" spans="1:21" s="159" customFormat="1" ht="60" x14ac:dyDescent="0.25">
      <c r="A581" s="63">
        <f>MATCH($E581,'D1 - Master Project Table'!$B$24:$B$7056,0)</f>
        <v>1057</v>
      </c>
      <c r="B581" s="63" t="b">
        <f t="shared" si="24"/>
        <v>0</v>
      </c>
      <c r="C581" s="63" t="b">
        <f t="shared" si="25"/>
        <v>1</v>
      </c>
      <c r="D581" s="63" t="str">
        <f t="shared" si="26"/>
        <v>OK</v>
      </c>
      <c r="E581" s="393">
        <v>400024666</v>
      </c>
      <c r="F581" s="392" t="s">
        <v>5356</v>
      </c>
      <c r="G581" s="392" t="s">
        <v>5324</v>
      </c>
      <c r="H581" s="392" t="s">
        <v>7418</v>
      </c>
      <c r="I581" s="392" t="s">
        <v>1763</v>
      </c>
      <c r="J581" s="392" t="s">
        <v>5168</v>
      </c>
      <c r="K581" s="392" t="s">
        <v>2017</v>
      </c>
      <c r="L581" s="392" t="s">
        <v>4443</v>
      </c>
      <c r="M581" s="392" t="s">
        <v>3758</v>
      </c>
      <c r="N581" s="392" t="s">
        <v>7273</v>
      </c>
      <c r="O581" s="392" t="s">
        <v>3758</v>
      </c>
      <c r="P581" s="158"/>
      <c r="Q581" s="128"/>
      <c r="R581" s="387">
        <f>VLOOKUP(E581,'[1]NDB Impacted SPRFs 05032013'!$A$2:$A$65536,1,FALSE)</f>
        <v>400024666</v>
      </c>
      <c r="S581" s="128"/>
      <c r="T581" s="128"/>
      <c r="U581" s="128"/>
    </row>
    <row r="582" spans="1:21" s="159" customFormat="1" ht="60" x14ac:dyDescent="0.25">
      <c r="A582" s="63">
        <f>MATCH($E582,'D1 - Master Project Table'!$B$24:$B$7056,0)</f>
        <v>588</v>
      </c>
      <c r="B582" s="63" t="b">
        <f t="shared" ref="B582:B645" si="27">ISERROR(A582)</f>
        <v>0</v>
      </c>
      <c r="C582" s="63" t="b">
        <f t="shared" ref="C582:C645" si="28">OR(H582="Completed",H582="Cancelled")</f>
        <v>1</v>
      </c>
      <c r="D582" s="63" t="str">
        <f t="shared" ref="D582:D645" si="29">IF(AND(B582=TRUE,C582=FALSE),"Add","OK")</f>
        <v>OK</v>
      </c>
      <c r="E582" s="393">
        <v>400012465</v>
      </c>
      <c r="F582" s="392" t="s">
        <v>3631</v>
      </c>
      <c r="G582" s="392" t="s">
        <v>3441</v>
      </c>
      <c r="H582" s="392" t="s">
        <v>7418</v>
      </c>
      <c r="I582" s="392" t="s">
        <v>1770</v>
      </c>
      <c r="J582" s="392" t="s">
        <v>8848</v>
      </c>
      <c r="K582" s="392" t="s">
        <v>1506</v>
      </c>
      <c r="L582" s="392" t="s">
        <v>1882</v>
      </c>
      <c r="M582" s="392" t="s">
        <v>3758</v>
      </c>
      <c r="N582" s="392" t="s">
        <v>7273</v>
      </c>
      <c r="O582" s="392" t="s">
        <v>7273</v>
      </c>
      <c r="P582"/>
      <c r="Q582"/>
      <c r="R582" s="387">
        <f>VLOOKUP(E582,'[1]NDB Impacted SPRFs 05032013'!$A$2:$A$65536,1,FALSE)</f>
        <v>400012465</v>
      </c>
    </row>
    <row r="583" spans="1:21" ht="60" x14ac:dyDescent="0.25">
      <c r="A583" s="63">
        <f>MATCH($E583,'D1 - Master Project Table'!$B$24:$B$7056,0)</f>
        <v>737</v>
      </c>
      <c r="B583" s="63" t="b">
        <f t="shared" si="27"/>
        <v>0</v>
      </c>
      <c r="C583" s="63" t="b">
        <f t="shared" si="28"/>
        <v>1</v>
      </c>
      <c r="D583" s="63" t="str">
        <f t="shared" si="29"/>
        <v>OK</v>
      </c>
      <c r="E583" s="393">
        <v>400012116</v>
      </c>
      <c r="F583" s="392" t="s">
        <v>4639</v>
      </c>
      <c r="G583" s="392" t="s">
        <v>5324</v>
      </c>
      <c r="H583" s="392" t="s">
        <v>7418</v>
      </c>
      <c r="I583" s="392" t="s">
        <v>1756</v>
      </c>
      <c r="J583" s="392" t="s">
        <v>8394</v>
      </c>
      <c r="K583" s="392" t="s">
        <v>5988</v>
      </c>
      <c r="L583" s="392" t="s">
        <v>5250</v>
      </c>
      <c r="M583" s="392" t="s">
        <v>3758</v>
      </c>
      <c r="N583" s="392" t="s">
        <v>7273</v>
      </c>
      <c r="O583" s="392" t="s">
        <v>3758</v>
      </c>
      <c r="P583"/>
      <c r="Q583"/>
      <c r="R583" s="387">
        <f>VLOOKUP(E583,'[1]NDB Impacted SPRFs 05032013'!$A$2:$A$65536,1,FALSE)</f>
        <v>400012116</v>
      </c>
      <c r="S583" s="159"/>
      <c r="T583" s="159"/>
      <c r="U583" s="159"/>
    </row>
    <row r="584" spans="1:21" s="159" customFormat="1" ht="60" x14ac:dyDescent="0.25">
      <c r="A584" s="63">
        <f>MATCH($E584,'D1 - Master Project Table'!$B$24:$B$7056,0)</f>
        <v>1700</v>
      </c>
      <c r="B584" s="63" t="b">
        <f t="shared" si="27"/>
        <v>0</v>
      </c>
      <c r="C584" s="63" t="b">
        <f t="shared" si="28"/>
        <v>1</v>
      </c>
      <c r="D584" s="63" t="str">
        <f t="shared" si="29"/>
        <v>OK</v>
      </c>
      <c r="E584" s="393">
        <v>400048263</v>
      </c>
      <c r="F584" s="392" t="s">
        <v>249</v>
      </c>
      <c r="G584" s="392" t="s">
        <v>5001</v>
      </c>
      <c r="H584" s="392" t="s">
        <v>7418</v>
      </c>
      <c r="I584" s="392" t="s">
        <v>3540</v>
      </c>
      <c r="J584" s="392" t="s">
        <v>8357</v>
      </c>
      <c r="K584" s="392" t="s">
        <v>8075</v>
      </c>
      <c r="L584" s="392" t="s">
        <v>3457</v>
      </c>
      <c r="M584" s="392" t="s">
        <v>3758</v>
      </c>
      <c r="N584" s="392" t="s">
        <v>7273</v>
      </c>
      <c r="O584" s="392" t="s">
        <v>7273</v>
      </c>
      <c r="P584"/>
      <c r="Q584"/>
      <c r="R584" s="387">
        <f>VLOOKUP(E584,'[1]NDB Impacted SPRFs 05032013'!$A$2:$A$65536,1,FALSE)</f>
        <v>400048263</v>
      </c>
      <c r="S584" s="128"/>
      <c r="T584" s="128"/>
      <c r="U584" s="128"/>
    </row>
    <row r="585" spans="1:21" s="160" customFormat="1" ht="60" x14ac:dyDescent="0.25">
      <c r="A585" s="63">
        <f>MATCH($E585,'D1 - Master Project Table'!$B$24:$B$7056,0)</f>
        <v>1453</v>
      </c>
      <c r="B585" s="63" t="b">
        <f t="shared" si="27"/>
        <v>0</v>
      </c>
      <c r="C585" s="63" t="b">
        <f t="shared" si="28"/>
        <v>1</v>
      </c>
      <c r="D585" s="63" t="str">
        <f t="shared" si="29"/>
        <v>OK</v>
      </c>
      <c r="E585" s="393">
        <v>400038391</v>
      </c>
      <c r="F585" s="392" t="s">
        <v>1434</v>
      </c>
      <c r="G585" s="392" t="s">
        <v>5325</v>
      </c>
      <c r="H585" s="392" t="s">
        <v>7418</v>
      </c>
      <c r="I585" s="392" t="s">
        <v>6419</v>
      </c>
      <c r="J585" s="392" t="s">
        <v>1433</v>
      </c>
      <c r="K585" s="392" t="s">
        <v>4595</v>
      </c>
      <c r="L585" s="392" t="s">
        <v>545</v>
      </c>
      <c r="M585" s="392" t="s">
        <v>3758</v>
      </c>
      <c r="N585" s="392" t="s">
        <v>7273</v>
      </c>
      <c r="O585" s="392" t="s">
        <v>7273</v>
      </c>
      <c r="P585"/>
      <c r="Q585"/>
      <c r="R585" s="387">
        <f>VLOOKUP(E585,'[1]NDB Impacted SPRFs 05032013'!$A$2:$A$65536,1,FALSE)</f>
        <v>400038391</v>
      </c>
      <c r="S585" s="159"/>
      <c r="T585" s="159"/>
      <c r="U585" s="159"/>
    </row>
    <row r="586" spans="1:21" s="159" customFormat="1" ht="60" x14ac:dyDescent="0.25">
      <c r="A586" s="63">
        <f>MATCH($E586,'D1 - Master Project Table'!$B$24:$B$7056,0)</f>
        <v>3046</v>
      </c>
      <c r="B586" s="63" t="b">
        <f t="shared" si="27"/>
        <v>0</v>
      </c>
      <c r="C586" s="63" t="b">
        <f t="shared" si="28"/>
        <v>1</v>
      </c>
      <c r="D586" s="63" t="str">
        <f t="shared" si="29"/>
        <v>OK</v>
      </c>
      <c r="E586" s="393">
        <v>400042997</v>
      </c>
      <c r="F586" s="392" t="s">
        <v>5279</v>
      </c>
      <c r="G586" s="392" t="s">
        <v>5995</v>
      </c>
      <c r="H586" s="392" t="s">
        <v>5314</v>
      </c>
      <c r="I586" s="392" t="s">
        <v>6423</v>
      </c>
      <c r="J586" s="392" t="s">
        <v>5280</v>
      </c>
      <c r="K586" s="392" t="s">
        <v>4114</v>
      </c>
      <c r="L586" s="392" t="s">
        <v>21</v>
      </c>
      <c r="M586" s="392" t="s">
        <v>7273</v>
      </c>
      <c r="N586" s="392" t="s">
        <v>7273</v>
      </c>
      <c r="O586" s="392" t="s">
        <v>7273</v>
      </c>
      <c r="P586"/>
      <c r="Q586"/>
      <c r="R586" s="387">
        <f>VLOOKUP(E586,'[1]NDB Impacted SPRFs 05032013'!$A$2:$A$65536,1,FALSE)</f>
        <v>400042997</v>
      </c>
      <c r="S586" s="128"/>
      <c r="T586" s="128"/>
      <c r="U586" s="128"/>
    </row>
    <row r="587" spans="1:21" s="159" customFormat="1" ht="60" x14ac:dyDescent="0.25">
      <c r="A587" s="63">
        <f>MATCH($E587,'D1 - Master Project Table'!$B$24:$B$7056,0)</f>
        <v>1812</v>
      </c>
      <c r="B587" s="63" t="b">
        <f t="shared" si="27"/>
        <v>0</v>
      </c>
      <c r="C587" s="63" t="b">
        <f t="shared" si="28"/>
        <v>1</v>
      </c>
      <c r="D587" s="63" t="str">
        <f t="shared" si="29"/>
        <v>OK</v>
      </c>
      <c r="E587" s="393">
        <v>400051373</v>
      </c>
      <c r="F587" s="392" t="s">
        <v>3976</v>
      </c>
      <c r="G587" s="392" t="s">
        <v>5324</v>
      </c>
      <c r="H587" s="392" t="s">
        <v>7418</v>
      </c>
      <c r="I587" s="392" t="s">
        <v>1759</v>
      </c>
      <c r="J587" s="392" t="s">
        <v>6584</v>
      </c>
      <c r="K587" s="392" t="s">
        <v>6585</v>
      </c>
      <c r="L587" s="392" t="s">
        <v>11</v>
      </c>
      <c r="M587" s="392" t="s">
        <v>7273</v>
      </c>
      <c r="N587" s="392" t="s">
        <v>7273</v>
      </c>
      <c r="O587" s="392" t="s">
        <v>7273</v>
      </c>
      <c r="P587"/>
      <c r="Q587"/>
      <c r="R587" s="387">
        <f>VLOOKUP(E587,'[1]NDB Impacted SPRFs 05032013'!$A$2:$A$65536,1,FALSE)</f>
        <v>400051373</v>
      </c>
    </row>
    <row r="588" spans="1:21" s="159" customFormat="1" ht="60" x14ac:dyDescent="0.25">
      <c r="A588" s="63" t="e">
        <f>MATCH($E588,'D1 - Master Project Table'!$B$24:$B$7056,0)</f>
        <v>#N/A</v>
      </c>
      <c r="B588" s="63" t="b">
        <f t="shared" si="27"/>
        <v>1</v>
      </c>
      <c r="C588" s="63" t="b">
        <f t="shared" si="28"/>
        <v>1</v>
      </c>
      <c r="D588" s="63" t="str">
        <f t="shared" si="29"/>
        <v>OK</v>
      </c>
      <c r="E588" s="393">
        <v>400002779</v>
      </c>
      <c r="F588" s="392" t="s">
        <v>7940</v>
      </c>
      <c r="G588" s="392" t="s">
        <v>5325</v>
      </c>
      <c r="H588" s="392" t="s">
        <v>7418</v>
      </c>
      <c r="I588" s="392" t="s">
        <v>1793</v>
      </c>
      <c r="J588" s="392" t="s">
        <v>3780</v>
      </c>
      <c r="K588" s="392" t="s">
        <v>2837</v>
      </c>
      <c r="L588" s="392" t="s">
        <v>3859</v>
      </c>
      <c r="M588" s="392" t="s">
        <v>7273</v>
      </c>
      <c r="N588" s="392" t="s">
        <v>7273</v>
      </c>
      <c r="O588" s="392" t="s">
        <v>7273</v>
      </c>
      <c r="P588"/>
      <c r="Q588"/>
      <c r="R588" s="387">
        <f>VLOOKUP(E588,'[1]NDB Impacted SPRFs 05032013'!$A$2:$A$65536,1,FALSE)</f>
        <v>400002779</v>
      </c>
    </row>
    <row r="589" spans="1:21" s="159" customFormat="1" ht="60" x14ac:dyDescent="0.25">
      <c r="A589" s="63">
        <f>MATCH($E589,'D1 - Master Project Table'!$B$24:$B$7056,0)</f>
        <v>452</v>
      </c>
      <c r="B589" s="63" t="b">
        <f t="shared" si="27"/>
        <v>0</v>
      </c>
      <c r="C589" s="63" t="b">
        <f t="shared" si="28"/>
        <v>1</v>
      </c>
      <c r="D589" s="63" t="str">
        <f t="shared" si="29"/>
        <v>OK</v>
      </c>
      <c r="E589" s="393">
        <v>400006999</v>
      </c>
      <c r="F589" s="392" t="s">
        <v>6448</v>
      </c>
      <c r="G589" s="392" t="s">
        <v>7182</v>
      </c>
      <c r="H589" s="392" t="s">
        <v>7418</v>
      </c>
      <c r="I589" s="392" t="s">
        <v>8931</v>
      </c>
      <c r="J589" s="392" t="s">
        <v>6102</v>
      </c>
      <c r="K589" s="392" t="s">
        <v>2795</v>
      </c>
      <c r="L589" s="392" t="s">
        <v>2129</v>
      </c>
      <c r="M589" s="392" t="s">
        <v>3758</v>
      </c>
      <c r="N589" s="392" t="s">
        <v>7273</v>
      </c>
      <c r="O589" s="392" t="s">
        <v>7273</v>
      </c>
      <c r="P589"/>
      <c r="Q589"/>
      <c r="R589" s="387">
        <f>VLOOKUP(E589,'[1]NDB Impacted SPRFs 05032013'!$A$2:$A$65536,1,FALSE)</f>
        <v>400006999</v>
      </c>
      <c r="S589" s="128"/>
      <c r="T589" s="128"/>
      <c r="U589" s="128"/>
    </row>
    <row r="590" spans="1:21" s="159" customFormat="1" ht="45" customHeight="1" x14ac:dyDescent="0.25">
      <c r="A590" s="63">
        <f>MATCH($E590,'D1 - Master Project Table'!$B$24:$B$7056,0)</f>
        <v>2236</v>
      </c>
      <c r="B590" s="63" t="b">
        <f t="shared" si="27"/>
        <v>0</v>
      </c>
      <c r="C590" s="63" t="b">
        <f t="shared" si="28"/>
        <v>1</v>
      </c>
      <c r="D590" s="63" t="str">
        <f t="shared" si="29"/>
        <v>OK</v>
      </c>
      <c r="E590" s="393">
        <v>400026178</v>
      </c>
      <c r="F590" s="392" t="s">
        <v>6867</v>
      </c>
      <c r="G590" s="392" t="s">
        <v>5995</v>
      </c>
      <c r="H590" s="392" t="s">
        <v>5314</v>
      </c>
      <c r="I590" s="392" t="s">
        <v>6423</v>
      </c>
      <c r="J590" s="392" t="s">
        <v>5571</v>
      </c>
      <c r="K590" s="392" t="s">
        <v>4114</v>
      </c>
      <c r="L590" s="392" t="s">
        <v>25</v>
      </c>
      <c r="M590" s="392" t="s">
        <v>3758</v>
      </c>
      <c r="N590" s="392" t="s">
        <v>7273</v>
      </c>
      <c r="O590" s="392" t="s">
        <v>7273</v>
      </c>
      <c r="P590"/>
      <c r="Q590"/>
      <c r="R590" s="387">
        <f>VLOOKUP(E590,'[1]NDB Impacted SPRFs 05032013'!$A$2:$A$65536,1,FALSE)</f>
        <v>400026178</v>
      </c>
    </row>
    <row r="591" spans="1:21" s="159" customFormat="1" ht="45" customHeight="1" x14ac:dyDescent="0.25">
      <c r="A591" s="63">
        <f>MATCH($E591,'D1 - Master Project Table'!$B$24:$B$7056,0)</f>
        <v>1218</v>
      </c>
      <c r="B591" s="63" t="b">
        <f t="shared" si="27"/>
        <v>0</v>
      </c>
      <c r="C591" s="63" t="b">
        <f t="shared" si="28"/>
        <v>1</v>
      </c>
      <c r="D591" s="63" t="str">
        <f t="shared" si="29"/>
        <v>OK</v>
      </c>
      <c r="E591" s="393">
        <v>400030433</v>
      </c>
      <c r="F591" s="392" t="s">
        <v>7619</v>
      </c>
      <c r="G591" s="392" t="s">
        <v>5324</v>
      </c>
      <c r="H591" s="392" t="s">
        <v>7418</v>
      </c>
      <c r="I591" s="392" t="s">
        <v>1763</v>
      </c>
      <c r="J591" s="392" t="s">
        <v>6851</v>
      </c>
      <c r="K591" s="392" t="s">
        <v>8075</v>
      </c>
      <c r="L591" s="392" t="s">
        <v>8185</v>
      </c>
      <c r="M591" s="392" t="s">
        <v>3758</v>
      </c>
      <c r="N591" s="392" t="s">
        <v>7273</v>
      </c>
      <c r="O591" s="392" t="s">
        <v>7273</v>
      </c>
      <c r="P591"/>
      <c r="Q591"/>
      <c r="R591" s="387">
        <f>VLOOKUP(E591,'[1]NDB Impacted SPRFs 05032013'!$A$2:$A$65536,1,FALSE)</f>
        <v>400030433</v>
      </c>
    </row>
    <row r="592" spans="1:21" ht="60" x14ac:dyDescent="0.25">
      <c r="A592" s="63">
        <f>MATCH($E592,'D1 - Master Project Table'!$B$24:$B$7056,0)</f>
        <v>1220</v>
      </c>
      <c r="B592" s="63" t="b">
        <f t="shared" si="27"/>
        <v>0</v>
      </c>
      <c r="C592" s="63" t="b">
        <f t="shared" si="28"/>
        <v>1</v>
      </c>
      <c r="D592" s="63" t="str">
        <f t="shared" si="29"/>
        <v>OK</v>
      </c>
      <c r="E592" s="393">
        <v>400030560</v>
      </c>
      <c r="F592" s="392" t="s">
        <v>6024</v>
      </c>
      <c r="G592" s="392" t="s">
        <v>5325</v>
      </c>
      <c r="H592" s="392" t="s">
        <v>7418</v>
      </c>
      <c r="I592" s="392" t="s">
        <v>6419</v>
      </c>
      <c r="J592" s="392" t="s">
        <v>2505</v>
      </c>
      <c r="K592" s="392" t="s">
        <v>6585</v>
      </c>
      <c r="L592" s="392" t="s">
        <v>5318</v>
      </c>
      <c r="M592" s="392" t="s">
        <v>3758</v>
      </c>
      <c r="N592" s="392" t="s">
        <v>7273</v>
      </c>
      <c r="O592" s="392" t="s">
        <v>7273</v>
      </c>
      <c r="P592"/>
      <c r="Q592"/>
      <c r="R592" s="387">
        <f>VLOOKUP(E592,'[1]NDB Impacted SPRFs 05032013'!$A$2:$A$65536,1,FALSE)</f>
        <v>400030560</v>
      </c>
      <c r="S592" s="159"/>
      <c r="T592" s="159"/>
      <c r="U592" s="159"/>
    </row>
    <row r="593" spans="1:21" s="159" customFormat="1" ht="60" x14ac:dyDescent="0.25">
      <c r="A593" s="63">
        <f>MATCH($E593,'D1 - Master Project Table'!$B$24:$B$7056,0)</f>
        <v>770</v>
      </c>
      <c r="B593" s="63" t="b">
        <f t="shared" si="27"/>
        <v>0</v>
      </c>
      <c r="C593" s="63" t="b">
        <f t="shared" si="28"/>
        <v>1</v>
      </c>
      <c r="D593" s="63" t="str">
        <f t="shared" si="29"/>
        <v>OK</v>
      </c>
      <c r="E593" s="393">
        <v>400015075</v>
      </c>
      <c r="F593" s="392" t="s">
        <v>7109</v>
      </c>
      <c r="G593" s="392" t="s">
        <v>5324</v>
      </c>
      <c r="H593" s="392" t="s">
        <v>7418</v>
      </c>
      <c r="I593" s="392" t="s">
        <v>1788</v>
      </c>
      <c r="J593" s="392" t="s">
        <v>7874</v>
      </c>
      <c r="K593" s="392" t="s">
        <v>1506</v>
      </c>
      <c r="L593" s="392" t="s">
        <v>997</v>
      </c>
      <c r="M593" s="392" t="s">
        <v>3758</v>
      </c>
      <c r="N593" s="392" t="s">
        <v>7273</v>
      </c>
      <c r="O593" s="392" t="s">
        <v>7273</v>
      </c>
      <c r="P593"/>
      <c r="Q593"/>
      <c r="R593" s="387">
        <f>VLOOKUP(E593,'[1]NDB Impacted SPRFs 05032013'!$A$2:$A$65536,1,FALSE)</f>
        <v>400015075</v>
      </c>
      <c r="S593" s="128"/>
      <c r="T593" s="128"/>
      <c r="U593" s="128"/>
    </row>
    <row r="594" spans="1:21" ht="60" x14ac:dyDescent="0.25">
      <c r="A594" s="63">
        <f>MATCH($E594,'D1 - Master Project Table'!$B$24:$B$7056,0)</f>
        <v>1011</v>
      </c>
      <c r="B594" s="63" t="b">
        <f t="shared" si="27"/>
        <v>0</v>
      </c>
      <c r="C594" s="63" t="b">
        <f t="shared" si="28"/>
        <v>1</v>
      </c>
      <c r="D594" s="63" t="str">
        <f t="shared" si="29"/>
        <v>OK</v>
      </c>
      <c r="E594" s="393">
        <v>400023707</v>
      </c>
      <c r="F594" s="392" t="s">
        <v>1450</v>
      </c>
      <c r="G594" s="392" t="s">
        <v>5324</v>
      </c>
      <c r="H594" s="392" t="s">
        <v>7418</v>
      </c>
      <c r="I594" s="392" t="s">
        <v>1758</v>
      </c>
      <c r="J594" s="392" t="s">
        <v>5037</v>
      </c>
      <c r="K594" s="392" t="s">
        <v>5921</v>
      </c>
      <c r="L594" s="392" t="s">
        <v>7093</v>
      </c>
      <c r="M594" s="392" t="s">
        <v>3758</v>
      </c>
      <c r="N594" s="392" t="s">
        <v>7273</v>
      </c>
      <c r="O594" s="392" t="s">
        <v>7273</v>
      </c>
      <c r="P594"/>
      <c r="Q594"/>
      <c r="R594" s="387">
        <f>VLOOKUP(E594,'[1]NDB Impacted SPRFs 05032013'!$A$2:$A$65536,1,FALSE)</f>
        <v>400023707</v>
      </c>
      <c r="S594" s="159"/>
      <c r="T594" s="159"/>
      <c r="U594" s="159"/>
    </row>
    <row r="595" spans="1:21" s="159" customFormat="1" ht="60" x14ac:dyDescent="0.25">
      <c r="A595" s="63">
        <f>MATCH($E595,'D1 - Master Project Table'!$B$24:$B$7056,0)</f>
        <v>3128</v>
      </c>
      <c r="B595" s="63" t="b">
        <f t="shared" si="27"/>
        <v>0</v>
      </c>
      <c r="C595" s="63" t="b">
        <f t="shared" si="28"/>
        <v>1</v>
      </c>
      <c r="D595" s="63" t="str">
        <f t="shared" si="29"/>
        <v>OK</v>
      </c>
      <c r="E595" s="393">
        <v>400053186</v>
      </c>
      <c r="F595" s="392" t="s">
        <v>67</v>
      </c>
      <c r="G595" s="392" t="s">
        <v>5001</v>
      </c>
      <c r="H595" s="392" t="s">
        <v>5314</v>
      </c>
      <c r="I595" s="392" t="s">
        <v>3540</v>
      </c>
      <c r="J595" s="392" t="s">
        <v>4997</v>
      </c>
      <c r="K595" s="392" t="s">
        <v>2768</v>
      </c>
      <c r="L595" s="392" t="s">
        <v>1718</v>
      </c>
      <c r="M595" s="392" t="s">
        <v>3758</v>
      </c>
      <c r="N595" s="392" t="s">
        <v>7273</v>
      </c>
      <c r="O595" s="392" t="s">
        <v>7273</v>
      </c>
      <c r="P595"/>
      <c r="Q595"/>
      <c r="R595" s="387">
        <f>VLOOKUP(E595,'[1]NDB Impacted SPRFs 05032013'!$A$2:$A$65536,1,FALSE)</f>
        <v>400053186</v>
      </c>
    </row>
    <row r="596" spans="1:21" s="159" customFormat="1" ht="60" x14ac:dyDescent="0.25">
      <c r="A596" s="63">
        <f>MATCH($E596,'D1 - Master Project Table'!$B$24:$B$7056,0)</f>
        <v>2348</v>
      </c>
      <c r="B596" s="63" t="b">
        <f t="shared" si="27"/>
        <v>0</v>
      </c>
      <c r="C596" s="63" t="b">
        <f t="shared" si="28"/>
        <v>1</v>
      </c>
      <c r="D596" s="63" t="str">
        <f t="shared" si="29"/>
        <v>OK</v>
      </c>
      <c r="E596" s="393">
        <v>400058611</v>
      </c>
      <c r="F596" s="392" t="s">
        <v>8998</v>
      </c>
      <c r="G596" s="392" t="s">
        <v>5324</v>
      </c>
      <c r="H596" s="392" t="s">
        <v>5314</v>
      </c>
      <c r="I596" s="392" t="s">
        <v>1786</v>
      </c>
      <c r="J596" s="392" t="s">
        <v>9073</v>
      </c>
      <c r="K596" s="392" t="s">
        <v>3307</v>
      </c>
      <c r="L596" s="392" t="s">
        <v>9223</v>
      </c>
      <c r="M596" s="392" t="s">
        <v>3758</v>
      </c>
      <c r="N596" s="392" t="s">
        <v>7273</v>
      </c>
      <c r="O596" s="392" t="s">
        <v>7273</v>
      </c>
      <c r="P596"/>
      <c r="Q596"/>
      <c r="R596" s="387">
        <f>VLOOKUP(E596,'[1]NDB Impacted SPRFs 05032013'!$A$2:$A$65536,1,FALSE)</f>
        <v>400058611</v>
      </c>
    </row>
    <row r="597" spans="1:21" s="159" customFormat="1" ht="60" x14ac:dyDescent="0.25">
      <c r="A597" s="63">
        <f>MATCH($E597,'D1 - Master Project Table'!$B$24:$B$7056,0)</f>
        <v>68</v>
      </c>
      <c r="B597" s="63" t="b">
        <f t="shared" si="27"/>
        <v>0</v>
      </c>
      <c r="C597" s="63" t="b">
        <f t="shared" si="28"/>
        <v>0</v>
      </c>
      <c r="D597" s="63" t="str">
        <f t="shared" si="29"/>
        <v>OK</v>
      </c>
      <c r="E597" s="393">
        <v>400039538</v>
      </c>
      <c r="F597" s="392" t="s">
        <v>1665</v>
      </c>
      <c r="G597" s="392" t="s">
        <v>5324</v>
      </c>
      <c r="H597" s="392" t="s">
        <v>4917</v>
      </c>
      <c r="I597" s="392" t="s">
        <v>1762</v>
      </c>
      <c r="J597" s="392" t="s">
        <v>8616</v>
      </c>
      <c r="K597" s="392" t="s">
        <v>5500</v>
      </c>
      <c r="L597" s="392" t="s">
        <v>9222</v>
      </c>
      <c r="M597" s="392" t="s">
        <v>3758</v>
      </c>
      <c r="N597" s="392" t="s">
        <v>7273</v>
      </c>
      <c r="O597" s="392" t="s">
        <v>7273</v>
      </c>
      <c r="P597"/>
      <c r="Q597"/>
      <c r="R597" s="387">
        <f>VLOOKUP(E597,'[1]NDB Impacted SPRFs 05032013'!$A$2:$A$65536,1,FALSE)</f>
        <v>400039538</v>
      </c>
    </row>
    <row r="598" spans="1:21" s="159" customFormat="1" ht="60" x14ac:dyDescent="0.25">
      <c r="A598" s="63">
        <f>MATCH($E598,'D1 - Master Project Table'!$B$24:$B$7056,0)</f>
        <v>1059</v>
      </c>
      <c r="B598" s="63" t="b">
        <f t="shared" si="27"/>
        <v>0</v>
      </c>
      <c r="C598" s="63" t="b">
        <f t="shared" si="28"/>
        <v>1</v>
      </c>
      <c r="D598" s="63" t="str">
        <f t="shared" si="29"/>
        <v>OK</v>
      </c>
      <c r="E598" s="393">
        <v>400025238</v>
      </c>
      <c r="F598" s="392" t="s">
        <v>3556</v>
      </c>
      <c r="G598" s="392" t="s">
        <v>5324</v>
      </c>
      <c r="H598" s="392" t="s">
        <v>7418</v>
      </c>
      <c r="I598" s="392" t="s">
        <v>1760</v>
      </c>
      <c r="J598" s="392" t="s">
        <v>7874</v>
      </c>
      <c r="K598" s="392" t="s">
        <v>3557</v>
      </c>
      <c r="L598" s="392" t="s">
        <v>7087</v>
      </c>
      <c r="M598" s="392" t="s">
        <v>3758</v>
      </c>
      <c r="N598" s="392" t="s">
        <v>7273</v>
      </c>
      <c r="O598" s="392" t="s">
        <v>7273</v>
      </c>
      <c r="P598"/>
      <c r="Q598"/>
      <c r="R598" s="387">
        <f>VLOOKUP(E598,'[1]NDB Impacted SPRFs 05032013'!$A$2:$A$65536,1,FALSE)</f>
        <v>400025238</v>
      </c>
      <c r="S598" s="128"/>
      <c r="T598" s="128"/>
      <c r="U598" s="128"/>
    </row>
    <row r="599" spans="1:21" s="159" customFormat="1" ht="60" x14ac:dyDescent="0.25">
      <c r="A599" s="63">
        <f>MATCH($E599,'D1 - Master Project Table'!$B$24:$B$7056,0)</f>
        <v>1332</v>
      </c>
      <c r="B599" s="63" t="b">
        <f t="shared" si="27"/>
        <v>0</v>
      </c>
      <c r="C599" s="63" t="b">
        <f t="shared" si="28"/>
        <v>1</v>
      </c>
      <c r="D599" s="63" t="str">
        <f t="shared" si="29"/>
        <v>OK</v>
      </c>
      <c r="E599" s="393">
        <v>400028345</v>
      </c>
      <c r="F599" s="392" t="s">
        <v>7051</v>
      </c>
      <c r="G599" s="392" t="s">
        <v>5001</v>
      </c>
      <c r="H599" s="392" t="s">
        <v>7418</v>
      </c>
      <c r="I599" s="392" t="s">
        <v>2655</v>
      </c>
      <c r="J599" s="392" t="s">
        <v>7269</v>
      </c>
      <c r="K599" s="392" t="s">
        <v>5218</v>
      </c>
      <c r="L599" s="392" t="s">
        <v>1692</v>
      </c>
      <c r="M599" s="392" t="s">
        <v>7273</v>
      </c>
      <c r="N599" s="392" t="s">
        <v>7273</v>
      </c>
      <c r="O599" s="392" t="s">
        <v>7273</v>
      </c>
      <c r="P599"/>
      <c r="Q599"/>
      <c r="R599" s="387">
        <f>VLOOKUP(E599,'[1]NDB Impacted SPRFs 05032013'!$A$2:$A$65536,1,FALSE)</f>
        <v>400028345</v>
      </c>
    </row>
    <row r="600" spans="1:21" s="159" customFormat="1" ht="60" x14ac:dyDescent="0.25">
      <c r="A600" s="63">
        <f>MATCH($E600,'D1 - Master Project Table'!$B$24:$B$7056,0)</f>
        <v>1222</v>
      </c>
      <c r="B600" s="63" t="b">
        <f t="shared" si="27"/>
        <v>0</v>
      </c>
      <c r="C600" s="63" t="b">
        <f t="shared" si="28"/>
        <v>1</v>
      </c>
      <c r="D600" s="63" t="str">
        <f t="shared" si="29"/>
        <v>OK</v>
      </c>
      <c r="E600" s="393">
        <v>400031505</v>
      </c>
      <c r="F600" s="392" t="s">
        <v>4143</v>
      </c>
      <c r="G600" s="392" t="s">
        <v>5325</v>
      </c>
      <c r="H600" s="392" t="s">
        <v>7418</v>
      </c>
      <c r="I600" s="392" t="s">
        <v>6419</v>
      </c>
      <c r="J600" s="392" t="s">
        <v>6584</v>
      </c>
      <c r="K600" s="392" t="s">
        <v>6585</v>
      </c>
      <c r="L600" s="392" t="s">
        <v>5318</v>
      </c>
      <c r="M600" s="392" t="s">
        <v>3758</v>
      </c>
      <c r="N600" s="392" t="s">
        <v>7273</v>
      </c>
      <c r="O600" s="392" t="s">
        <v>7273</v>
      </c>
      <c r="P600"/>
      <c r="Q600"/>
      <c r="R600" s="387">
        <f>VLOOKUP(E600,'[1]NDB Impacted SPRFs 05032013'!$A$2:$A$65536,1,FALSE)</f>
        <v>400031505</v>
      </c>
    </row>
    <row r="601" spans="1:21" ht="60" x14ac:dyDescent="0.25">
      <c r="A601" s="63" t="e">
        <f>MATCH($E601,'D1 - Master Project Table'!$B$24:$B$7056,0)</f>
        <v>#N/A</v>
      </c>
      <c r="B601" s="63" t="b">
        <f t="shared" si="27"/>
        <v>1</v>
      </c>
      <c r="C601" s="63" t="b">
        <f t="shared" si="28"/>
        <v>1</v>
      </c>
      <c r="D601" s="63" t="str">
        <f t="shared" si="29"/>
        <v>OK</v>
      </c>
      <c r="E601" s="393">
        <v>400015044</v>
      </c>
      <c r="F601" s="392" t="s">
        <v>4470</v>
      </c>
      <c r="G601" s="392" t="s">
        <v>5787</v>
      </c>
      <c r="H601" s="392" t="s">
        <v>5314</v>
      </c>
      <c r="I601" s="392" t="s">
        <v>1824</v>
      </c>
      <c r="J601" s="392" t="s">
        <v>7633</v>
      </c>
      <c r="K601" s="392" t="s">
        <v>4124</v>
      </c>
      <c r="L601" s="392" t="s">
        <v>6575</v>
      </c>
      <c r="M601" s="392" t="s">
        <v>3758</v>
      </c>
      <c r="N601" s="392" t="s">
        <v>7273</v>
      </c>
      <c r="O601" s="392" t="s">
        <v>7273</v>
      </c>
      <c r="P601"/>
      <c r="Q601"/>
      <c r="R601" s="387">
        <f>VLOOKUP(E601,'[1]NDB Impacted SPRFs 05032013'!$A$2:$A$65536,1,FALSE)</f>
        <v>400015044</v>
      </c>
      <c r="S601" s="159"/>
      <c r="T601" s="159"/>
      <c r="U601" s="159"/>
    </row>
    <row r="602" spans="1:21" s="159" customFormat="1" ht="60" x14ac:dyDescent="0.25">
      <c r="A602" s="63">
        <f>MATCH($E602,'D1 - Master Project Table'!$B$24:$B$7056,0)</f>
        <v>2899</v>
      </c>
      <c r="B602" s="63" t="b">
        <f t="shared" si="27"/>
        <v>0</v>
      </c>
      <c r="C602" s="63" t="b">
        <f t="shared" si="28"/>
        <v>1</v>
      </c>
      <c r="D602" s="63" t="str">
        <f t="shared" si="29"/>
        <v>OK</v>
      </c>
      <c r="E602" s="393">
        <v>400030467</v>
      </c>
      <c r="F602" s="392" t="s">
        <v>3252</v>
      </c>
      <c r="G602" s="392" t="s">
        <v>2041</v>
      </c>
      <c r="H602" s="392" t="s">
        <v>5314</v>
      </c>
      <c r="I602" s="392" t="s">
        <v>3629</v>
      </c>
      <c r="J602" s="392" t="s">
        <v>8438</v>
      </c>
      <c r="K602" s="392" t="s">
        <v>1976</v>
      </c>
      <c r="L602" s="392" t="s">
        <v>1218</v>
      </c>
      <c r="M602" s="392" t="s">
        <v>3758</v>
      </c>
      <c r="N602" s="392" t="s">
        <v>7273</v>
      </c>
      <c r="O602" s="392" t="s">
        <v>3758</v>
      </c>
      <c r="P602"/>
      <c r="Q602"/>
      <c r="R602" s="387">
        <f>VLOOKUP(E602,'[1]NDB Impacted SPRFs 05032013'!$A$2:$A$65536,1,FALSE)</f>
        <v>400030467</v>
      </c>
    </row>
    <row r="603" spans="1:21" s="159" customFormat="1" ht="45" customHeight="1" x14ac:dyDescent="0.25">
      <c r="A603" s="63">
        <f>MATCH($E603,'D1 - Master Project Table'!$B$24:$B$7056,0)</f>
        <v>125</v>
      </c>
      <c r="B603" s="63" t="b">
        <f t="shared" si="27"/>
        <v>0</v>
      </c>
      <c r="C603" s="63" t="b">
        <f t="shared" si="28"/>
        <v>0</v>
      </c>
      <c r="D603" s="63" t="str">
        <f t="shared" si="29"/>
        <v>OK</v>
      </c>
      <c r="E603" s="393">
        <v>400055634</v>
      </c>
      <c r="F603" s="392" t="s">
        <v>8165</v>
      </c>
      <c r="G603" s="392" t="s">
        <v>5324</v>
      </c>
      <c r="H603" s="392" t="s">
        <v>4917</v>
      </c>
      <c r="I603" s="392" t="s">
        <v>1759</v>
      </c>
      <c r="J603" s="392" t="s">
        <v>1433</v>
      </c>
      <c r="K603" s="392" t="s">
        <v>4595</v>
      </c>
      <c r="L603" s="392" t="s">
        <v>8932</v>
      </c>
      <c r="M603" s="392" t="s">
        <v>3758</v>
      </c>
      <c r="N603" s="392" t="s">
        <v>7273</v>
      </c>
      <c r="O603" s="392" t="s">
        <v>7273</v>
      </c>
      <c r="P603"/>
      <c r="Q603"/>
      <c r="R603" s="387">
        <f>VLOOKUP(E603,'[1]NDB Impacted SPRFs 05032013'!$A$2:$A$65536,1,FALSE)</f>
        <v>400055634</v>
      </c>
    </row>
    <row r="604" spans="1:21" s="159" customFormat="1" ht="60" x14ac:dyDescent="0.25">
      <c r="A604" s="63">
        <f>MATCH($E604,'D1 - Master Project Table'!$B$24:$B$7056,0)</f>
        <v>831</v>
      </c>
      <c r="B604" s="63" t="b">
        <f t="shared" si="27"/>
        <v>0</v>
      </c>
      <c r="C604" s="63" t="b">
        <f t="shared" si="28"/>
        <v>1</v>
      </c>
      <c r="D604" s="63" t="str">
        <f t="shared" si="29"/>
        <v>OK</v>
      </c>
      <c r="E604" s="393">
        <v>400018045</v>
      </c>
      <c r="F604" s="392" t="s">
        <v>6378</v>
      </c>
      <c r="G604" s="392" t="s">
        <v>5324</v>
      </c>
      <c r="H604" s="392" t="s">
        <v>7418</v>
      </c>
      <c r="I604" s="392" t="s">
        <v>1758</v>
      </c>
      <c r="J604" s="392" t="s">
        <v>5882</v>
      </c>
      <c r="K604" s="392" t="s">
        <v>1506</v>
      </c>
      <c r="L604" s="392" t="s">
        <v>7554</v>
      </c>
      <c r="M604" s="392" t="s">
        <v>3758</v>
      </c>
      <c r="N604" s="392" t="s">
        <v>7273</v>
      </c>
      <c r="O604" s="392" t="s">
        <v>7273</v>
      </c>
      <c r="P604"/>
      <c r="Q604"/>
      <c r="R604" s="387">
        <f>VLOOKUP(E604,'[1]NDB Impacted SPRFs 05032013'!$A$2:$A$65536,1,FALSE)</f>
        <v>400018045</v>
      </c>
    </row>
    <row r="605" spans="1:21" s="159" customFormat="1" ht="60" x14ac:dyDescent="0.25">
      <c r="A605" s="63">
        <f>MATCH($E605,'D1 - Master Project Table'!$B$24:$B$7056,0)</f>
        <v>3163</v>
      </c>
      <c r="B605" s="63" t="b">
        <f t="shared" si="27"/>
        <v>0</v>
      </c>
      <c r="C605" s="63" t="b">
        <f t="shared" si="28"/>
        <v>1</v>
      </c>
      <c r="D605" s="63" t="str">
        <f t="shared" si="29"/>
        <v>OK</v>
      </c>
      <c r="E605" s="393">
        <v>400044491</v>
      </c>
      <c r="F605" s="392" t="s">
        <v>2597</v>
      </c>
      <c r="G605" s="392" t="s">
        <v>5324</v>
      </c>
      <c r="H605" s="392" t="s">
        <v>7418</v>
      </c>
      <c r="I605" s="392" t="s">
        <v>1595</v>
      </c>
      <c r="J605" s="392" t="s">
        <v>8506</v>
      </c>
      <c r="K605" s="392" t="s">
        <v>6371</v>
      </c>
      <c r="L605" s="392" t="s">
        <v>3594</v>
      </c>
      <c r="M605" s="392" t="s">
        <v>7273</v>
      </c>
      <c r="N605" s="392" t="s">
        <v>7273</v>
      </c>
      <c r="O605" s="392" t="s">
        <v>7273</v>
      </c>
      <c r="P605"/>
      <c r="Q605"/>
      <c r="R605" s="387">
        <f>VLOOKUP(E605,'[1]NDB Impacted SPRFs 05032013'!$A$2:$A$65536,1,FALSE)</f>
        <v>400044491</v>
      </c>
    </row>
    <row r="606" spans="1:21" s="159" customFormat="1" ht="60" x14ac:dyDescent="0.25">
      <c r="A606" s="63">
        <f>MATCH($E606,'D1 - Master Project Table'!$B$24:$B$7056,0)</f>
        <v>2239</v>
      </c>
      <c r="B606" s="63" t="b">
        <f t="shared" si="27"/>
        <v>0</v>
      </c>
      <c r="C606" s="63" t="b">
        <f t="shared" si="28"/>
        <v>1</v>
      </c>
      <c r="D606" s="63" t="str">
        <f t="shared" si="29"/>
        <v>OK</v>
      </c>
      <c r="E606" s="393">
        <v>400023981</v>
      </c>
      <c r="F606" s="392" t="s">
        <v>8150</v>
      </c>
      <c r="G606" s="392" t="s">
        <v>5324</v>
      </c>
      <c r="H606" s="392" t="s">
        <v>5314</v>
      </c>
      <c r="I606" s="392" t="s">
        <v>1756</v>
      </c>
      <c r="J606" s="392" t="s">
        <v>8301</v>
      </c>
      <c r="K606" s="392" t="s">
        <v>1506</v>
      </c>
      <c r="L606" s="392" t="s">
        <v>5760</v>
      </c>
      <c r="M606" s="392" t="s">
        <v>3758</v>
      </c>
      <c r="N606" s="392" t="s">
        <v>7273</v>
      </c>
      <c r="O606" s="392" t="s">
        <v>7273</v>
      </c>
      <c r="P606"/>
      <c r="Q606"/>
      <c r="R606" s="387">
        <f>VLOOKUP(E606,'[1]NDB Impacted SPRFs 05032013'!$A$2:$A$65536,1,FALSE)</f>
        <v>400023981</v>
      </c>
      <c r="S606" s="128"/>
      <c r="T606" s="128"/>
      <c r="U606" s="128"/>
    </row>
    <row r="607" spans="1:21" s="159" customFormat="1" ht="60" x14ac:dyDescent="0.25">
      <c r="A607" s="63">
        <f>MATCH($E607,'D1 - Master Project Table'!$B$24:$B$7056,0)</f>
        <v>2856</v>
      </c>
      <c r="B607" s="63" t="b">
        <f t="shared" si="27"/>
        <v>0</v>
      </c>
      <c r="C607" s="63" t="b">
        <f t="shared" si="28"/>
        <v>1</v>
      </c>
      <c r="D607" s="63" t="str">
        <f t="shared" si="29"/>
        <v>OK</v>
      </c>
      <c r="E607" s="393">
        <v>400027333</v>
      </c>
      <c r="F607" s="392" t="s">
        <v>4415</v>
      </c>
      <c r="G607" s="392" t="s">
        <v>7182</v>
      </c>
      <c r="H607" s="392" t="s">
        <v>5314</v>
      </c>
      <c r="I607" s="392" t="s">
        <v>7745</v>
      </c>
      <c r="J607" s="392" t="s">
        <v>8408</v>
      </c>
      <c r="K607" s="392" t="s">
        <v>5975</v>
      </c>
      <c r="L607" s="392" t="s">
        <v>3022</v>
      </c>
      <c r="M607" s="392" t="s">
        <v>3758</v>
      </c>
      <c r="N607" s="392" t="s">
        <v>7273</v>
      </c>
      <c r="O607" s="392" t="s">
        <v>7273</v>
      </c>
      <c r="P607"/>
      <c r="Q607"/>
      <c r="R607" s="387">
        <f>VLOOKUP(E607,'[1]NDB Impacted SPRFs 05032013'!$A$2:$A$65536,1,FALSE)</f>
        <v>400027333</v>
      </c>
    </row>
    <row r="608" spans="1:21" s="159" customFormat="1" ht="45" customHeight="1" x14ac:dyDescent="0.25">
      <c r="A608" s="63">
        <f>MATCH($E608,'D1 - Master Project Table'!$B$24:$B$7056,0)</f>
        <v>2961</v>
      </c>
      <c r="B608" s="63" t="b">
        <f t="shared" si="27"/>
        <v>0</v>
      </c>
      <c r="C608" s="63" t="b">
        <f t="shared" si="28"/>
        <v>1</v>
      </c>
      <c r="D608" s="63" t="str">
        <f t="shared" si="29"/>
        <v>OK</v>
      </c>
      <c r="E608" s="393">
        <v>400036210</v>
      </c>
      <c r="F608" s="392" t="s">
        <v>7747</v>
      </c>
      <c r="G608" s="392" t="s">
        <v>5995</v>
      </c>
      <c r="H608" s="392" t="s">
        <v>5314</v>
      </c>
      <c r="I608" s="392" t="s">
        <v>6423</v>
      </c>
      <c r="J608" s="392" t="s">
        <v>7748</v>
      </c>
      <c r="K608" s="392" t="s">
        <v>1493</v>
      </c>
      <c r="L608" s="392" t="s">
        <v>3879</v>
      </c>
      <c r="M608" s="392" t="s">
        <v>3758</v>
      </c>
      <c r="N608" s="392" t="s">
        <v>7273</v>
      </c>
      <c r="O608" s="392" t="s">
        <v>7273</v>
      </c>
      <c r="P608"/>
      <c r="Q608"/>
      <c r="R608" s="387">
        <f>VLOOKUP(E608,'[1]NDB Impacted SPRFs 05032013'!$A$2:$A$65536,1,FALSE)</f>
        <v>400036210</v>
      </c>
      <c r="S608" s="128"/>
      <c r="T608" s="128"/>
      <c r="U608" s="128"/>
    </row>
    <row r="609" spans="1:21" ht="60" customHeight="1" x14ac:dyDescent="0.25">
      <c r="A609" s="63">
        <f>MATCH($E609,'D1 - Master Project Table'!$B$24:$B$7056,0)</f>
        <v>1838</v>
      </c>
      <c r="B609" s="63" t="b">
        <f t="shared" si="27"/>
        <v>0</v>
      </c>
      <c r="C609" s="63" t="b">
        <f t="shared" si="28"/>
        <v>1</v>
      </c>
      <c r="D609" s="63" t="str">
        <f t="shared" si="29"/>
        <v>OK</v>
      </c>
      <c r="E609" s="393">
        <v>400056615</v>
      </c>
      <c r="F609" s="392" t="s">
        <v>7895</v>
      </c>
      <c r="G609" s="392" t="s">
        <v>5325</v>
      </c>
      <c r="H609" s="392" t="s">
        <v>7418</v>
      </c>
      <c r="I609" s="392" t="s">
        <v>1759</v>
      </c>
      <c r="J609" s="392" t="s">
        <v>8264</v>
      </c>
      <c r="K609" s="392" t="s">
        <v>7896</v>
      </c>
      <c r="L609" s="392" t="s">
        <v>8933</v>
      </c>
      <c r="M609" s="392" t="s">
        <v>7273</v>
      </c>
      <c r="N609" s="392" t="s">
        <v>7273</v>
      </c>
      <c r="O609" s="392" t="s">
        <v>7273</v>
      </c>
      <c r="P609"/>
      <c r="Q609"/>
      <c r="R609" s="387">
        <f>VLOOKUP(E609,'[1]NDB Impacted SPRFs 05032013'!$A$2:$A$65536,1,FALSE)</f>
        <v>400056615</v>
      </c>
    </row>
    <row r="610" spans="1:21" s="159" customFormat="1" ht="60" customHeight="1" x14ac:dyDescent="0.25">
      <c r="A610" s="63">
        <f>MATCH($E610,'D1 - Master Project Table'!$B$24:$B$7056,0)</f>
        <v>137</v>
      </c>
      <c r="B610" s="63" t="b">
        <f t="shared" si="27"/>
        <v>0</v>
      </c>
      <c r="C610" s="63" t="b">
        <f t="shared" si="28"/>
        <v>0</v>
      </c>
      <c r="D610" s="63" t="str">
        <f t="shared" si="29"/>
        <v>OK</v>
      </c>
      <c r="E610" s="393">
        <v>400058463</v>
      </c>
      <c r="F610" s="392" t="s">
        <v>8997</v>
      </c>
      <c r="G610" s="392" t="s">
        <v>5001</v>
      </c>
      <c r="H610" s="392" t="s">
        <v>4917</v>
      </c>
      <c r="I610" s="392" t="s">
        <v>2661</v>
      </c>
      <c r="J610" s="392" t="s">
        <v>5722</v>
      </c>
      <c r="K610" s="392" t="s">
        <v>7751</v>
      </c>
      <c r="L610" s="392" t="s">
        <v>9489</v>
      </c>
      <c r="M610" s="392" t="s">
        <v>3758</v>
      </c>
      <c r="N610" s="392" t="s">
        <v>7273</v>
      </c>
      <c r="O610" s="392" t="s">
        <v>3758</v>
      </c>
      <c r="P610"/>
      <c r="Q610"/>
      <c r="R610" s="387">
        <f>VLOOKUP(E610,'[1]NDB Impacted SPRFs 05032013'!$A$2:$A$65536,1,FALSE)</f>
        <v>400058463</v>
      </c>
    </row>
    <row r="611" spans="1:21" s="159" customFormat="1" ht="60" x14ac:dyDescent="0.25">
      <c r="A611" s="63">
        <f>MATCH($E611,'D1 - Master Project Table'!$B$24:$B$7056,0)</f>
        <v>2859</v>
      </c>
      <c r="B611" s="63" t="b">
        <f t="shared" si="27"/>
        <v>0</v>
      </c>
      <c r="C611" s="63" t="b">
        <f t="shared" si="28"/>
        <v>1</v>
      </c>
      <c r="D611" s="63" t="str">
        <f t="shared" si="29"/>
        <v>OK</v>
      </c>
      <c r="E611" s="393">
        <v>400027470</v>
      </c>
      <c r="F611" s="392" t="s">
        <v>5085</v>
      </c>
      <c r="G611" s="392" t="s">
        <v>5324</v>
      </c>
      <c r="H611" s="392" t="s">
        <v>5314</v>
      </c>
      <c r="I611" s="392" t="s">
        <v>1759</v>
      </c>
      <c r="J611" s="392" t="s">
        <v>5772</v>
      </c>
      <c r="K611" s="392" t="s">
        <v>5086</v>
      </c>
      <c r="L611" s="392" t="s">
        <v>5831</v>
      </c>
      <c r="M611" s="392" t="s">
        <v>3758</v>
      </c>
      <c r="N611" s="392" t="s">
        <v>7273</v>
      </c>
      <c r="O611" s="392" t="s">
        <v>3758</v>
      </c>
      <c r="P611"/>
      <c r="Q611"/>
      <c r="R611" s="387">
        <f>VLOOKUP(E611,'[1]NDB Impacted SPRFs 05032013'!$A$2:$A$65536,1,FALSE)</f>
        <v>400027470</v>
      </c>
      <c r="S611" s="128"/>
      <c r="T611" s="128"/>
      <c r="U611" s="128"/>
    </row>
    <row r="612" spans="1:21" s="159" customFormat="1" ht="60" x14ac:dyDescent="0.25">
      <c r="A612" s="63">
        <f>MATCH($E612,'D1 - Master Project Table'!$B$24:$B$7056,0)</f>
        <v>3132</v>
      </c>
      <c r="B612" s="63" t="b">
        <f t="shared" si="27"/>
        <v>0</v>
      </c>
      <c r="C612" s="63" t="b">
        <f t="shared" si="28"/>
        <v>1</v>
      </c>
      <c r="D612" s="63" t="str">
        <f t="shared" si="29"/>
        <v>OK</v>
      </c>
      <c r="E612" s="393">
        <v>400054155</v>
      </c>
      <c r="F612" s="392" t="s">
        <v>352</v>
      </c>
      <c r="G612" s="392" t="s">
        <v>6322</v>
      </c>
      <c r="H612" s="392" t="s">
        <v>5314</v>
      </c>
      <c r="I612" s="392" t="s">
        <v>1756</v>
      </c>
      <c r="J612" s="392" t="s">
        <v>1397</v>
      </c>
      <c r="K612" s="392" t="s">
        <v>4978</v>
      </c>
      <c r="L612" s="392" t="s">
        <v>353</v>
      </c>
      <c r="M612" s="392" t="s">
        <v>7273</v>
      </c>
      <c r="N612" s="392" t="s">
        <v>7273</v>
      </c>
      <c r="O612" s="392" t="s">
        <v>3758</v>
      </c>
      <c r="P612"/>
      <c r="Q612"/>
      <c r="R612" s="387">
        <f>VLOOKUP(E612,'[1]NDB Impacted SPRFs 05032013'!$A$2:$A$65536,1,FALSE)</f>
        <v>400054155</v>
      </c>
    </row>
    <row r="613" spans="1:21" s="159" customFormat="1" ht="60" x14ac:dyDescent="0.25">
      <c r="A613" s="63">
        <f>MATCH($E613,'D1 - Master Project Table'!$B$24:$B$7056,0)</f>
        <v>2851</v>
      </c>
      <c r="B613" s="63" t="b">
        <f t="shared" si="27"/>
        <v>0</v>
      </c>
      <c r="C613" s="63" t="b">
        <f t="shared" si="28"/>
        <v>1</v>
      </c>
      <c r="D613" s="63" t="str">
        <f t="shared" si="29"/>
        <v>OK</v>
      </c>
      <c r="E613" s="393">
        <v>400026735</v>
      </c>
      <c r="F613" s="392" t="s">
        <v>6979</v>
      </c>
      <c r="G613" s="392" t="s">
        <v>5324</v>
      </c>
      <c r="H613" s="392" t="s">
        <v>5314</v>
      </c>
      <c r="I613" s="392" t="s">
        <v>1758</v>
      </c>
      <c r="J613" s="392" t="s">
        <v>3907</v>
      </c>
      <c r="K613" s="392" t="s">
        <v>2900</v>
      </c>
      <c r="L613" s="392" t="s">
        <v>8047</v>
      </c>
      <c r="M613" s="392" t="s">
        <v>3758</v>
      </c>
      <c r="N613" s="392" t="s">
        <v>7273</v>
      </c>
      <c r="O613" s="392" t="s">
        <v>7273</v>
      </c>
      <c r="P613"/>
      <c r="Q613"/>
      <c r="R613" s="387">
        <f>VLOOKUP(E613,'[1]NDB Impacted SPRFs 05032013'!$A$2:$A$65536,1,FALSE)</f>
        <v>400026735</v>
      </c>
    </row>
    <row r="614" spans="1:21" ht="60" x14ac:dyDescent="0.25">
      <c r="A614" s="63">
        <f>MATCH($E614,'D1 - Master Project Table'!$B$24:$B$7056,0)</f>
        <v>1672</v>
      </c>
      <c r="B614" s="63" t="b">
        <f t="shared" si="27"/>
        <v>0</v>
      </c>
      <c r="C614" s="63" t="b">
        <f t="shared" si="28"/>
        <v>1</v>
      </c>
      <c r="D614" s="63" t="str">
        <f t="shared" si="29"/>
        <v>OK</v>
      </c>
      <c r="E614" s="393">
        <v>400044585</v>
      </c>
      <c r="F614" s="392" t="s">
        <v>2745</v>
      </c>
      <c r="G614" s="392" t="s">
        <v>5995</v>
      </c>
      <c r="H614" s="392" t="s">
        <v>7418</v>
      </c>
      <c r="I614" s="392" t="s">
        <v>3533</v>
      </c>
      <c r="J614" s="392" t="s">
        <v>1433</v>
      </c>
      <c r="K614" s="392" t="s">
        <v>4595</v>
      </c>
      <c r="L614" s="392" t="s">
        <v>9262</v>
      </c>
      <c r="M614" s="392" t="s">
        <v>3758</v>
      </c>
      <c r="N614" s="392" t="s">
        <v>7273</v>
      </c>
      <c r="O614" s="392" t="s">
        <v>7273</v>
      </c>
      <c r="P614"/>
      <c r="Q614"/>
      <c r="R614" s="387">
        <f>VLOOKUP(E614,'[1]NDB Impacted SPRFs 05032013'!$A$2:$A$65536,1,FALSE)</f>
        <v>400044585</v>
      </c>
      <c r="S614" s="159"/>
      <c r="T614" s="159"/>
      <c r="U614" s="159"/>
    </row>
    <row r="615" spans="1:21" s="159" customFormat="1" ht="60" x14ac:dyDescent="0.25">
      <c r="A615" s="63">
        <f>MATCH($E615,'D1 - Master Project Table'!$B$24:$B$7056,0)</f>
        <v>1688</v>
      </c>
      <c r="B615" s="63" t="b">
        <f t="shared" si="27"/>
        <v>0</v>
      </c>
      <c r="C615" s="63" t="b">
        <f t="shared" si="28"/>
        <v>1</v>
      </c>
      <c r="D615" s="63" t="str">
        <f t="shared" si="29"/>
        <v>OK</v>
      </c>
      <c r="E615" s="393">
        <v>400050946</v>
      </c>
      <c r="F615" s="392" t="s">
        <v>1283</v>
      </c>
      <c r="G615" s="392" t="s">
        <v>9210</v>
      </c>
      <c r="H615" s="392" t="s">
        <v>7418</v>
      </c>
      <c r="I615" s="392" t="s">
        <v>3540</v>
      </c>
      <c r="J615" s="392" t="s">
        <v>6985</v>
      </c>
      <c r="K615" s="392" t="s">
        <v>4455</v>
      </c>
      <c r="L615" s="392" t="s">
        <v>3970</v>
      </c>
      <c r="M615" s="392" t="s">
        <v>7273</v>
      </c>
      <c r="N615" s="392" t="s">
        <v>7273</v>
      </c>
      <c r="O615" s="392" t="s">
        <v>7273</v>
      </c>
      <c r="P615"/>
      <c r="Q615"/>
      <c r="R615" s="387">
        <f>VLOOKUP(E615,'[1]NDB Impacted SPRFs 05032013'!$A$2:$A$65536,1,FALSE)</f>
        <v>400050946</v>
      </c>
    </row>
    <row r="616" spans="1:21" s="159" customFormat="1" ht="60" x14ac:dyDescent="0.25">
      <c r="A616" s="63">
        <f>MATCH($E616,'D1 - Master Project Table'!$B$24:$B$7056,0)</f>
        <v>616</v>
      </c>
      <c r="B616" s="63" t="b">
        <f t="shared" si="27"/>
        <v>0</v>
      </c>
      <c r="C616" s="63" t="b">
        <f t="shared" si="28"/>
        <v>1</v>
      </c>
      <c r="D616" s="63" t="str">
        <f t="shared" si="29"/>
        <v>OK</v>
      </c>
      <c r="E616" s="393">
        <v>400012909</v>
      </c>
      <c r="F616" s="392" t="s">
        <v>5618</v>
      </c>
      <c r="G616" s="392" t="s">
        <v>3441</v>
      </c>
      <c r="H616" s="392" t="s">
        <v>7418</v>
      </c>
      <c r="I616" s="392" t="s">
        <v>1770</v>
      </c>
      <c r="J616" s="392" t="s">
        <v>8847</v>
      </c>
      <c r="K616" s="392" t="s">
        <v>1506</v>
      </c>
      <c r="L616" s="392" t="s">
        <v>3236</v>
      </c>
      <c r="M616" s="392" t="s">
        <v>3758</v>
      </c>
      <c r="N616" s="392" t="s">
        <v>7273</v>
      </c>
      <c r="O616" s="392" t="s">
        <v>7273</v>
      </c>
      <c r="P616"/>
      <c r="Q616"/>
      <c r="R616" s="387">
        <f>VLOOKUP(E616,'[1]NDB Impacted SPRFs 05032013'!$A$2:$A$65536,1,FALSE)</f>
        <v>400012909</v>
      </c>
    </row>
    <row r="617" spans="1:21" ht="60" customHeight="1" x14ac:dyDescent="0.25">
      <c r="A617" s="63">
        <f>MATCH($E617,'D1 - Master Project Table'!$B$24:$B$7056,0)</f>
        <v>860</v>
      </c>
      <c r="B617" s="63" t="b">
        <f t="shared" si="27"/>
        <v>0</v>
      </c>
      <c r="C617" s="63" t="b">
        <f t="shared" si="28"/>
        <v>1</v>
      </c>
      <c r="D617" s="63" t="str">
        <f t="shared" si="29"/>
        <v>OK</v>
      </c>
      <c r="E617" s="393">
        <v>400013461</v>
      </c>
      <c r="F617" s="392" t="s">
        <v>7398</v>
      </c>
      <c r="G617" s="392" t="s">
        <v>5324</v>
      </c>
      <c r="H617" s="392" t="s">
        <v>7418</v>
      </c>
      <c r="I617" s="392" t="s">
        <v>1756</v>
      </c>
      <c r="J617" s="392" t="s">
        <v>4367</v>
      </c>
      <c r="K617" s="392" t="s">
        <v>1506</v>
      </c>
      <c r="L617" s="392" t="s">
        <v>3293</v>
      </c>
      <c r="M617" s="392" t="s">
        <v>7273</v>
      </c>
      <c r="N617" s="392" t="s">
        <v>7273</v>
      </c>
      <c r="O617" s="392" t="s">
        <v>7273</v>
      </c>
      <c r="P617"/>
      <c r="Q617"/>
      <c r="R617" s="387">
        <f>VLOOKUP(E617,'[1]NDB Impacted SPRFs 05032013'!$A$2:$A$65536,1,FALSE)</f>
        <v>400013461</v>
      </c>
      <c r="S617" s="159"/>
      <c r="T617" s="159"/>
      <c r="U617" s="159"/>
    </row>
    <row r="618" spans="1:21" s="159" customFormat="1" ht="60" x14ac:dyDescent="0.25">
      <c r="A618" s="63">
        <f>MATCH($E618,'D1 - Master Project Table'!$B$24:$B$7056,0)</f>
        <v>2935</v>
      </c>
      <c r="B618" s="63" t="b">
        <f t="shared" si="27"/>
        <v>0</v>
      </c>
      <c r="C618" s="63" t="b">
        <f t="shared" si="28"/>
        <v>1</v>
      </c>
      <c r="D618" s="63" t="str">
        <f t="shared" si="29"/>
        <v>OK</v>
      </c>
      <c r="E618" s="393">
        <v>400033725</v>
      </c>
      <c r="F618" s="392" t="s">
        <v>6129</v>
      </c>
      <c r="G618" s="392" t="s">
        <v>5325</v>
      </c>
      <c r="H618" s="392" t="s">
        <v>5314</v>
      </c>
      <c r="I618" s="392" t="s">
        <v>6419</v>
      </c>
      <c r="J618" s="392" t="s">
        <v>2505</v>
      </c>
      <c r="K618" s="392" t="s">
        <v>6585</v>
      </c>
      <c r="L618" s="392" t="s">
        <v>5337</v>
      </c>
      <c r="M618" s="392" t="s">
        <v>3758</v>
      </c>
      <c r="N618" s="392" t="s">
        <v>7273</v>
      </c>
      <c r="O618" s="392" t="s">
        <v>7273</v>
      </c>
      <c r="P618"/>
      <c r="Q618"/>
      <c r="R618" s="387">
        <f>VLOOKUP(E618,'[1]NDB Impacted SPRFs 05032013'!$A$2:$A$65536,1,FALSE)</f>
        <v>400033725</v>
      </c>
    </row>
    <row r="619" spans="1:21" ht="60" x14ac:dyDescent="0.25">
      <c r="A619" s="63">
        <f>MATCH($E619,'D1 - Master Project Table'!$B$24:$B$7056,0)</f>
        <v>1926</v>
      </c>
      <c r="B619" s="63" t="b">
        <f t="shared" si="27"/>
        <v>0</v>
      </c>
      <c r="C619" s="63" t="b">
        <f t="shared" si="28"/>
        <v>1</v>
      </c>
      <c r="D619" s="63" t="str">
        <f t="shared" si="29"/>
        <v>OK</v>
      </c>
      <c r="E619" s="393">
        <v>400013811</v>
      </c>
      <c r="F619" s="392" t="s">
        <v>5220</v>
      </c>
      <c r="G619" s="392" t="s">
        <v>5324</v>
      </c>
      <c r="H619" s="392" t="s">
        <v>7418</v>
      </c>
      <c r="I619" s="392" t="s">
        <v>1758</v>
      </c>
      <c r="J619" s="392" t="s">
        <v>5221</v>
      </c>
      <c r="K619" s="392" t="s">
        <v>7737</v>
      </c>
      <c r="L619" s="392" t="s">
        <v>5406</v>
      </c>
      <c r="M619" s="392" t="s">
        <v>3758</v>
      </c>
      <c r="N619" s="392" t="s">
        <v>7273</v>
      </c>
      <c r="O619" s="392" t="s">
        <v>7273</v>
      </c>
      <c r="P619"/>
      <c r="Q619"/>
      <c r="R619" s="387">
        <f>VLOOKUP(E619,'[1]NDB Impacted SPRFs 05032013'!$A$2:$A$65536,1,FALSE)</f>
        <v>400013811</v>
      </c>
      <c r="S619" s="159"/>
      <c r="T619" s="159"/>
      <c r="U619" s="159"/>
    </row>
    <row r="620" spans="1:21" s="159" customFormat="1" ht="60" x14ac:dyDescent="0.25">
      <c r="A620" s="63">
        <f>MATCH($E620,'D1 - Master Project Table'!$B$24:$B$7056,0)</f>
        <v>1271</v>
      </c>
      <c r="B620" s="63" t="b">
        <f t="shared" si="27"/>
        <v>0</v>
      </c>
      <c r="C620" s="63" t="b">
        <f t="shared" si="28"/>
        <v>1</v>
      </c>
      <c r="D620" s="63" t="str">
        <f t="shared" si="29"/>
        <v>OK</v>
      </c>
      <c r="E620" s="393">
        <v>400031981</v>
      </c>
      <c r="F620" s="392" t="s">
        <v>6375</v>
      </c>
      <c r="G620" s="392" t="s">
        <v>5324</v>
      </c>
      <c r="H620" s="392" t="s">
        <v>7418</v>
      </c>
      <c r="I620" s="392" t="s">
        <v>1762</v>
      </c>
      <c r="J620" s="392" t="s">
        <v>6376</v>
      </c>
      <c r="K620" s="392" t="s">
        <v>2435</v>
      </c>
      <c r="L620" s="392" t="s">
        <v>7548</v>
      </c>
      <c r="M620" s="392" t="s">
        <v>3758</v>
      </c>
      <c r="N620" s="392" t="s">
        <v>7273</v>
      </c>
      <c r="O620" s="392" t="s">
        <v>7273</v>
      </c>
      <c r="P620"/>
      <c r="Q620"/>
      <c r="R620" s="387">
        <f>VLOOKUP(E620,'[1]NDB Impacted SPRFs 05032013'!$A$2:$A$65536,1,FALSE)</f>
        <v>400031981</v>
      </c>
    </row>
    <row r="621" spans="1:21" ht="60" x14ac:dyDescent="0.25">
      <c r="A621" s="63" t="e">
        <f>MATCH($E621,'D1 - Master Project Table'!$B$24:$B$7056,0)</f>
        <v>#N/A</v>
      </c>
      <c r="B621" s="63" t="b">
        <f t="shared" si="27"/>
        <v>1</v>
      </c>
      <c r="C621" s="63" t="b">
        <f t="shared" si="28"/>
        <v>1</v>
      </c>
      <c r="D621" s="63" t="str">
        <f t="shared" si="29"/>
        <v>OK</v>
      </c>
      <c r="E621" s="393">
        <v>400006646</v>
      </c>
      <c r="F621" s="392" t="s">
        <v>7622</v>
      </c>
      <c r="G621" s="392" t="s">
        <v>5995</v>
      </c>
      <c r="H621" s="392" t="s">
        <v>7418</v>
      </c>
      <c r="I621" s="392" t="s">
        <v>3529</v>
      </c>
      <c r="J621" s="392" t="s">
        <v>4115</v>
      </c>
      <c r="K621" s="392" t="s">
        <v>8092</v>
      </c>
      <c r="L621" s="392" t="s">
        <v>3796</v>
      </c>
      <c r="M621" s="392" t="s">
        <v>3758</v>
      </c>
      <c r="N621" s="392" t="s">
        <v>7273</v>
      </c>
      <c r="O621" s="392" t="s">
        <v>7273</v>
      </c>
      <c r="P621"/>
      <c r="Q621"/>
      <c r="R621" s="387">
        <f>VLOOKUP(E621,'[1]NDB Impacted SPRFs 05032013'!$A$2:$A$65536,1,FALSE)</f>
        <v>400006646</v>
      </c>
      <c r="S621" s="159"/>
      <c r="T621" s="159"/>
      <c r="U621" s="159"/>
    </row>
    <row r="622" spans="1:21" s="159" customFormat="1" ht="60" x14ac:dyDescent="0.25">
      <c r="A622" s="63">
        <f>MATCH($E622,'D1 - Master Project Table'!$B$24:$B$7056,0)</f>
        <v>2986</v>
      </c>
      <c r="B622" s="63" t="b">
        <f t="shared" si="27"/>
        <v>0</v>
      </c>
      <c r="C622" s="63" t="b">
        <f t="shared" si="28"/>
        <v>1</v>
      </c>
      <c r="D622" s="63" t="str">
        <f t="shared" si="29"/>
        <v>OK</v>
      </c>
      <c r="E622" s="393">
        <v>400037933</v>
      </c>
      <c r="F622" s="392" t="s">
        <v>5650</v>
      </c>
      <c r="G622" s="392" t="s">
        <v>5001</v>
      </c>
      <c r="H622" s="392" t="s">
        <v>5314</v>
      </c>
      <c r="I622" s="392" t="s">
        <v>3540</v>
      </c>
      <c r="J622" s="392" t="s">
        <v>8325</v>
      </c>
      <c r="K622" s="392" t="s">
        <v>7043</v>
      </c>
      <c r="L622" s="392" t="s">
        <v>111</v>
      </c>
      <c r="M622" s="392" t="s">
        <v>7273</v>
      </c>
      <c r="N622" s="392" t="s">
        <v>7273</v>
      </c>
      <c r="O622" s="392" t="s">
        <v>7273</v>
      </c>
      <c r="P622"/>
      <c r="Q622"/>
      <c r="R622" s="387">
        <f>VLOOKUP(E622,'[1]NDB Impacted SPRFs 05032013'!$A$2:$A$65536,1,FALSE)</f>
        <v>400037933</v>
      </c>
    </row>
    <row r="623" spans="1:21" s="159" customFormat="1" ht="60" x14ac:dyDescent="0.25">
      <c r="A623" s="63">
        <f>MATCH($E623,'D1 - Master Project Table'!$B$24:$B$7056,0)</f>
        <v>3108</v>
      </c>
      <c r="B623" s="63" t="b">
        <f t="shared" si="27"/>
        <v>0</v>
      </c>
      <c r="C623" s="63" t="b">
        <f t="shared" si="28"/>
        <v>1</v>
      </c>
      <c r="D623" s="63" t="str">
        <f t="shared" si="29"/>
        <v>OK</v>
      </c>
      <c r="E623" s="393">
        <v>400051460</v>
      </c>
      <c r="F623" s="392" t="s">
        <v>3200</v>
      </c>
      <c r="G623" s="392" t="s">
        <v>5001</v>
      </c>
      <c r="H623" s="392" t="s">
        <v>5314</v>
      </c>
      <c r="I623" s="392" t="s">
        <v>2655</v>
      </c>
      <c r="J623" s="392" t="s">
        <v>8749</v>
      </c>
      <c r="K623" s="392" t="s">
        <v>5468</v>
      </c>
      <c r="L623" s="392" t="s">
        <v>8750</v>
      </c>
      <c r="M623" s="392" t="s">
        <v>7273</v>
      </c>
      <c r="N623" s="392" t="s">
        <v>7273</v>
      </c>
      <c r="O623" s="392" t="s">
        <v>7273</v>
      </c>
      <c r="P623"/>
      <c r="Q623"/>
      <c r="R623" s="387">
        <f>VLOOKUP(E623,'[1]NDB Impacted SPRFs 05032013'!$A$2:$A$65536,1,FALSE)</f>
        <v>400051460</v>
      </c>
    </row>
    <row r="624" spans="1:21" s="159" customFormat="1" ht="60" x14ac:dyDescent="0.25">
      <c r="A624" s="63">
        <f>MATCH($E624,'D1 - Master Project Table'!$B$24:$B$7056,0)</f>
        <v>2619</v>
      </c>
      <c r="B624" s="63" t="b">
        <f t="shared" si="27"/>
        <v>0</v>
      </c>
      <c r="C624" s="63" t="b">
        <f t="shared" si="28"/>
        <v>1</v>
      </c>
      <c r="D624" s="63" t="str">
        <f t="shared" si="29"/>
        <v>OK</v>
      </c>
      <c r="E624" s="393">
        <v>400013477</v>
      </c>
      <c r="F624" s="392" t="s">
        <v>6210</v>
      </c>
      <c r="G624" s="392" t="s">
        <v>5324</v>
      </c>
      <c r="H624" s="392" t="s">
        <v>5314</v>
      </c>
      <c r="I624" s="392" t="s">
        <v>1758</v>
      </c>
      <c r="J624" s="392" t="s">
        <v>4009</v>
      </c>
      <c r="K624" s="392" t="s">
        <v>2953</v>
      </c>
      <c r="L624" s="392" t="s">
        <v>4368</v>
      </c>
      <c r="M624" s="392" t="s">
        <v>3758</v>
      </c>
      <c r="N624" s="392" t="s">
        <v>7273</v>
      </c>
      <c r="O624" s="392" t="s">
        <v>7273</v>
      </c>
      <c r="P624"/>
      <c r="Q624"/>
      <c r="R624" s="387">
        <f>VLOOKUP(E624,'[1]NDB Impacted SPRFs 05032013'!$A$2:$A$65536,1,FALSE)</f>
        <v>400013477</v>
      </c>
    </row>
    <row r="625" spans="1:21" s="159" customFormat="1" ht="60" x14ac:dyDescent="0.25">
      <c r="A625" s="63">
        <f>MATCH($E625,'D1 - Master Project Table'!$B$24:$B$7056,0)</f>
        <v>3224</v>
      </c>
      <c r="B625" s="63" t="b">
        <f t="shared" si="27"/>
        <v>0</v>
      </c>
      <c r="C625" s="63" t="b">
        <f t="shared" si="28"/>
        <v>1</v>
      </c>
      <c r="D625" s="63" t="str">
        <f t="shared" si="29"/>
        <v>OK</v>
      </c>
      <c r="E625" s="393">
        <v>400050298</v>
      </c>
      <c r="F625" s="392" t="s">
        <v>3967</v>
      </c>
      <c r="G625" s="392" t="s">
        <v>6322</v>
      </c>
      <c r="H625" s="392" t="s">
        <v>7418</v>
      </c>
      <c r="I625" s="392" t="s">
        <v>1762</v>
      </c>
      <c r="J625" s="392" t="s">
        <v>3968</v>
      </c>
      <c r="K625" s="392" t="s">
        <v>3969</v>
      </c>
      <c r="L625" s="392" t="s">
        <v>2156</v>
      </c>
      <c r="M625" s="392" t="s">
        <v>7273</v>
      </c>
      <c r="N625" s="392" t="s">
        <v>7273</v>
      </c>
      <c r="O625" s="392" t="s">
        <v>7273</v>
      </c>
      <c r="P625" s="158"/>
      <c r="Q625" s="128"/>
      <c r="R625" s="387">
        <f>VLOOKUP(E625,'[1]NDB Impacted SPRFs 05032013'!$A$2:$A$65536,1,FALSE)</f>
        <v>400050298</v>
      </c>
      <c r="S625" s="128"/>
      <c r="T625" s="128"/>
      <c r="U625" s="128"/>
    </row>
    <row r="626" spans="1:21" s="159" customFormat="1" ht="60" x14ac:dyDescent="0.25">
      <c r="A626" s="63">
        <f>MATCH($E626,'D1 - Master Project Table'!$B$24:$B$7056,0)</f>
        <v>165</v>
      </c>
      <c r="B626" s="63" t="b">
        <f t="shared" si="27"/>
        <v>0</v>
      </c>
      <c r="C626" s="63" t="b">
        <f t="shared" si="28"/>
        <v>0</v>
      </c>
      <c r="D626" s="63" t="str">
        <f t="shared" si="29"/>
        <v>OK</v>
      </c>
      <c r="E626" s="393">
        <v>400057123</v>
      </c>
      <c r="F626" s="392" t="s">
        <v>7444</v>
      </c>
      <c r="G626" s="392" t="s">
        <v>5324</v>
      </c>
      <c r="H626" s="392" t="s">
        <v>4917</v>
      </c>
      <c r="I626" s="392" t="s">
        <v>1763</v>
      </c>
      <c r="J626" s="392" t="s">
        <v>7445</v>
      </c>
      <c r="K626" s="392" t="s">
        <v>7446</v>
      </c>
      <c r="L626" s="392" t="s">
        <v>9430</v>
      </c>
      <c r="M626" s="392" t="s">
        <v>3758</v>
      </c>
      <c r="N626" s="392" t="s">
        <v>7273</v>
      </c>
      <c r="O626" s="392" t="s">
        <v>7273</v>
      </c>
      <c r="P626"/>
      <c r="Q626"/>
      <c r="R626" s="387">
        <f>VLOOKUP(E626,'[1]NDB Impacted SPRFs 05032013'!$A$2:$A$65536,1,FALSE)</f>
        <v>400057123</v>
      </c>
      <c r="S626" s="128"/>
      <c r="T626" s="128"/>
      <c r="U626" s="128"/>
    </row>
    <row r="627" spans="1:21" s="159" customFormat="1" ht="60" x14ac:dyDescent="0.25">
      <c r="A627" s="63">
        <f>MATCH($E627,'D1 - Master Project Table'!$B$24:$B$7056,0)</f>
        <v>912</v>
      </c>
      <c r="B627" s="63" t="b">
        <f t="shared" si="27"/>
        <v>0</v>
      </c>
      <c r="C627" s="63" t="b">
        <f t="shared" si="28"/>
        <v>1</v>
      </c>
      <c r="D627" s="63" t="str">
        <f t="shared" si="29"/>
        <v>OK</v>
      </c>
      <c r="E627" s="393">
        <v>400015927</v>
      </c>
      <c r="F627" s="392" t="s">
        <v>3891</v>
      </c>
      <c r="G627" s="392" t="s">
        <v>5324</v>
      </c>
      <c r="H627" s="392" t="s">
        <v>7418</v>
      </c>
      <c r="I627" s="392" t="s">
        <v>1770</v>
      </c>
      <c r="J627" s="392" t="s">
        <v>6357</v>
      </c>
      <c r="K627" s="392" t="s">
        <v>3807</v>
      </c>
      <c r="L627" s="392" t="s">
        <v>4731</v>
      </c>
      <c r="M627" s="392" t="s">
        <v>7273</v>
      </c>
      <c r="N627" s="392" t="s">
        <v>7273</v>
      </c>
      <c r="O627" s="392" t="s">
        <v>7273</v>
      </c>
      <c r="P627"/>
      <c r="Q627"/>
      <c r="R627" s="387">
        <f>VLOOKUP(E627,'[1]NDB Impacted SPRFs 05032013'!$A$2:$A$65536,1,FALSE)</f>
        <v>400015927</v>
      </c>
    </row>
    <row r="628" spans="1:21" s="159" customFormat="1" ht="60" x14ac:dyDescent="0.25">
      <c r="A628" s="63">
        <f>MATCH($E628,'D1 - Master Project Table'!$B$24:$B$7056,0)</f>
        <v>2816</v>
      </c>
      <c r="B628" s="63" t="b">
        <f t="shared" si="27"/>
        <v>0</v>
      </c>
      <c r="C628" s="63" t="b">
        <f t="shared" si="28"/>
        <v>1</v>
      </c>
      <c r="D628" s="63" t="str">
        <f t="shared" si="29"/>
        <v>OK</v>
      </c>
      <c r="E628" s="393">
        <v>400024118</v>
      </c>
      <c r="F628" s="392" t="s">
        <v>4728</v>
      </c>
      <c r="G628" s="392" t="s">
        <v>6322</v>
      </c>
      <c r="H628" s="392" t="s">
        <v>5314</v>
      </c>
      <c r="I628" s="392" t="s">
        <v>7594</v>
      </c>
      <c r="J628" s="392" t="s">
        <v>4133</v>
      </c>
      <c r="K628" s="392" t="s">
        <v>6586</v>
      </c>
      <c r="L628" s="392" t="s">
        <v>1473</v>
      </c>
      <c r="M628" s="392" t="s">
        <v>7273</v>
      </c>
      <c r="N628" s="392" t="s">
        <v>7273</v>
      </c>
      <c r="O628" s="392" t="s">
        <v>7273</v>
      </c>
      <c r="P628"/>
      <c r="Q628"/>
      <c r="R628" s="387">
        <f>VLOOKUP(E628,'[1]NDB Impacted SPRFs 05032013'!$A$2:$A$65536,1,FALSE)</f>
        <v>400024118</v>
      </c>
    </row>
    <row r="629" spans="1:21" s="159" customFormat="1" ht="60" x14ac:dyDescent="0.25">
      <c r="A629" s="63">
        <f>MATCH($E629,'D1 - Master Project Table'!$B$24:$B$7056,0)</f>
        <v>1682</v>
      </c>
      <c r="B629" s="63" t="b">
        <f t="shared" si="27"/>
        <v>0</v>
      </c>
      <c r="C629" s="63" t="b">
        <f t="shared" si="28"/>
        <v>1</v>
      </c>
      <c r="D629" s="63" t="str">
        <f t="shared" si="29"/>
        <v>OK</v>
      </c>
      <c r="E629" s="393">
        <v>400048667</v>
      </c>
      <c r="F629" s="392" t="s">
        <v>2762</v>
      </c>
      <c r="G629" s="392" t="s">
        <v>5001</v>
      </c>
      <c r="H629" s="392" t="s">
        <v>7418</v>
      </c>
      <c r="I629" s="392" t="s">
        <v>3540</v>
      </c>
      <c r="J629" s="392" t="s">
        <v>8721</v>
      </c>
      <c r="K629" s="392" t="s">
        <v>5468</v>
      </c>
      <c r="L629" s="392" t="s">
        <v>7054</v>
      </c>
      <c r="M629" s="392" t="s">
        <v>7273</v>
      </c>
      <c r="N629" s="392" t="s">
        <v>7273</v>
      </c>
      <c r="O629" s="392" t="s">
        <v>7273</v>
      </c>
      <c r="P629"/>
      <c r="Q629"/>
      <c r="R629" s="387">
        <f>VLOOKUP(E629,'[1]NDB Impacted SPRFs 05032013'!$A$2:$A$65536,1,FALSE)</f>
        <v>400048667</v>
      </c>
    </row>
    <row r="630" spans="1:21" ht="60" x14ac:dyDescent="0.25">
      <c r="A630" s="63" t="e">
        <f>MATCH($E630,'D1 - Master Project Table'!$B$24:$B$7056,0)</f>
        <v>#N/A</v>
      </c>
      <c r="B630" s="63" t="b">
        <f t="shared" si="27"/>
        <v>1</v>
      </c>
      <c r="C630" s="63" t="b">
        <f t="shared" si="28"/>
        <v>1</v>
      </c>
      <c r="D630" s="63" t="str">
        <f t="shared" si="29"/>
        <v>OK</v>
      </c>
      <c r="E630" s="393">
        <v>400023415</v>
      </c>
      <c r="F630" s="392" t="s">
        <v>7767</v>
      </c>
      <c r="G630" s="392" t="s">
        <v>5324</v>
      </c>
      <c r="H630" s="392" t="s">
        <v>5314</v>
      </c>
      <c r="I630" s="392" t="s">
        <v>1758</v>
      </c>
      <c r="J630" s="392" t="s">
        <v>2077</v>
      </c>
      <c r="K630" s="392" t="s">
        <v>2561</v>
      </c>
      <c r="L630" s="392" t="s">
        <v>138</v>
      </c>
      <c r="M630" s="392" t="s">
        <v>3758</v>
      </c>
      <c r="N630" s="392" t="s">
        <v>7273</v>
      </c>
      <c r="O630" s="392" t="s">
        <v>7273</v>
      </c>
      <c r="P630"/>
      <c r="Q630"/>
      <c r="R630" s="387">
        <f>VLOOKUP(E630,'[1]NDB Impacted SPRFs 05032013'!$A$2:$A$65536,1,FALSE)</f>
        <v>400023415</v>
      </c>
    </row>
    <row r="631" spans="1:21" s="159" customFormat="1" ht="60" x14ac:dyDescent="0.25">
      <c r="A631" s="63">
        <f>MATCH($E631,'D1 - Master Project Table'!$B$24:$B$7056,0)</f>
        <v>2297</v>
      </c>
      <c r="B631" s="63" t="b">
        <f t="shared" si="27"/>
        <v>0</v>
      </c>
      <c r="C631" s="63" t="b">
        <f t="shared" si="28"/>
        <v>1</v>
      </c>
      <c r="D631" s="63" t="str">
        <f t="shared" si="29"/>
        <v>OK</v>
      </c>
      <c r="E631" s="393">
        <v>400039370</v>
      </c>
      <c r="F631" s="392" t="s">
        <v>5327</v>
      </c>
      <c r="G631" s="392" t="s">
        <v>5325</v>
      </c>
      <c r="H631" s="392" t="s">
        <v>7418</v>
      </c>
      <c r="I631" s="392" t="s">
        <v>6419</v>
      </c>
      <c r="J631" s="392" t="s">
        <v>5718</v>
      </c>
      <c r="K631" s="392" t="s">
        <v>5162</v>
      </c>
      <c r="L631" s="392" t="s">
        <v>5967</v>
      </c>
      <c r="M631" s="392" t="s">
        <v>7273</v>
      </c>
      <c r="N631" s="392" t="s">
        <v>7273</v>
      </c>
      <c r="O631" s="392" t="s">
        <v>7273</v>
      </c>
      <c r="P631"/>
      <c r="Q631"/>
      <c r="R631" s="387">
        <f>VLOOKUP(E631,'[1]NDB Impacted SPRFs 05032013'!$A$2:$A$65536,1,FALSE)</f>
        <v>400039370</v>
      </c>
    </row>
    <row r="632" spans="1:21" s="159" customFormat="1" ht="60" x14ac:dyDescent="0.25">
      <c r="A632" s="63">
        <f>MATCH($E632,'D1 - Master Project Table'!$B$24:$B$7056,0)</f>
        <v>2422</v>
      </c>
      <c r="B632" s="63" t="b">
        <f t="shared" si="27"/>
        <v>0</v>
      </c>
      <c r="C632" s="63" t="b">
        <f t="shared" si="28"/>
        <v>1</v>
      </c>
      <c r="D632" s="63" t="str">
        <f t="shared" si="29"/>
        <v>OK</v>
      </c>
      <c r="E632" s="393">
        <v>400003080</v>
      </c>
      <c r="F632" s="392" t="s">
        <v>4552</v>
      </c>
      <c r="G632" s="392" t="s">
        <v>5325</v>
      </c>
      <c r="H632" s="392" t="s">
        <v>5314</v>
      </c>
      <c r="I632" s="392" t="s">
        <v>1793</v>
      </c>
      <c r="J632" s="392" t="s">
        <v>6965</v>
      </c>
      <c r="K632" s="392" t="s">
        <v>3287</v>
      </c>
      <c r="L632" s="392" t="s">
        <v>5417</v>
      </c>
      <c r="M632" s="392" t="s">
        <v>7273</v>
      </c>
      <c r="N632" s="392" t="s">
        <v>7273</v>
      </c>
      <c r="O632" s="392" t="s">
        <v>7273</v>
      </c>
      <c r="P632" s="212"/>
      <c r="Q632"/>
      <c r="R632" s="387">
        <f>VLOOKUP(E632,'[1]NDB Impacted SPRFs 05032013'!$A$2:$A$65536,1,FALSE)</f>
        <v>400003080</v>
      </c>
    </row>
    <row r="633" spans="1:21" ht="60" x14ac:dyDescent="0.25">
      <c r="A633" s="63">
        <f>MATCH($E633,'D1 - Master Project Table'!$B$24:$B$7056,0)</f>
        <v>2252</v>
      </c>
      <c r="B633" s="63" t="b">
        <f t="shared" si="27"/>
        <v>0</v>
      </c>
      <c r="C633" s="63" t="b">
        <f t="shared" si="28"/>
        <v>1</v>
      </c>
      <c r="D633" s="63" t="str">
        <f t="shared" si="29"/>
        <v>OK</v>
      </c>
      <c r="E633" s="393">
        <v>400031780</v>
      </c>
      <c r="F633" s="392" t="s">
        <v>3751</v>
      </c>
      <c r="G633" s="392" t="s">
        <v>5001</v>
      </c>
      <c r="H633" s="392" t="s">
        <v>5314</v>
      </c>
      <c r="I633" s="392" t="s">
        <v>3540</v>
      </c>
      <c r="J633" s="392" t="s">
        <v>8756</v>
      </c>
      <c r="K633" s="392" t="s">
        <v>6194</v>
      </c>
      <c r="L633" s="392" t="s">
        <v>98</v>
      </c>
      <c r="M633" s="392" t="s">
        <v>7273</v>
      </c>
      <c r="N633" s="392" t="s">
        <v>7273</v>
      </c>
      <c r="O633" s="392" t="s">
        <v>3758</v>
      </c>
      <c r="P633"/>
      <c r="Q633"/>
      <c r="R633" s="387">
        <f>VLOOKUP(E633,'[1]NDB Impacted SPRFs 05032013'!$A$2:$A$65536,1,FALSE)</f>
        <v>400031780</v>
      </c>
      <c r="S633" s="159"/>
      <c r="T633" s="159"/>
      <c r="U633" s="159"/>
    </row>
    <row r="634" spans="1:21" ht="60" x14ac:dyDescent="0.25">
      <c r="A634" s="63">
        <f>MATCH($E634,'D1 - Master Project Table'!$B$24:$B$7056,0)</f>
        <v>5</v>
      </c>
      <c r="B634" s="63" t="b">
        <f t="shared" si="27"/>
        <v>0</v>
      </c>
      <c r="C634" s="63" t="b">
        <f t="shared" si="28"/>
        <v>0</v>
      </c>
      <c r="D634" s="63" t="str">
        <f t="shared" si="29"/>
        <v>OK</v>
      </c>
      <c r="E634" s="393">
        <v>400054062</v>
      </c>
      <c r="F634" s="392" t="s">
        <v>1383</v>
      </c>
      <c r="G634" s="392" t="s">
        <v>5995</v>
      </c>
      <c r="H634" s="392" t="s">
        <v>4917</v>
      </c>
      <c r="I634" s="392" t="s">
        <v>3533</v>
      </c>
      <c r="J634" s="392" t="s">
        <v>8832</v>
      </c>
      <c r="K634" s="392" t="s">
        <v>1708</v>
      </c>
      <c r="L634" s="392" t="s">
        <v>8157</v>
      </c>
      <c r="M634" s="392" t="s">
        <v>3758</v>
      </c>
      <c r="N634" s="392" t="s">
        <v>7273</v>
      </c>
      <c r="O634" s="392" t="s">
        <v>7273</v>
      </c>
      <c r="P634"/>
      <c r="Q634" t="s">
        <v>7420</v>
      </c>
      <c r="R634" s="387">
        <f>VLOOKUP(E634,'[1]NDB Impacted SPRFs 05032013'!$A$2:$A$65536,1,FALSE)</f>
        <v>400054062</v>
      </c>
    </row>
    <row r="635" spans="1:21" s="159" customFormat="1" ht="60" x14ac:dyDescent="0.25">
      <c r="A635" s="63">
        <f>MATCH($E635,'D1 - Master Project Table'!$B$24:$B$7056,0)</f>
        <v>1978</v>
      </c>
      <c r="B635" s="63" t="b">
        <f t="shared" si="27"/>
        <v>0</v>
      </c>
      <c r="C635" s="63" t="b">
        <f t="shared" si="28"/>
        <v>1</v>
      </c>
      <c r="D635" s="63" t="str">
        <f t="shared" si="29"/>
        <v>OK</v>
      </c>
      <c r="E635" s="393">
        <v>400026898</v>
      </c>
      <c r="F635" s="392" t="s">
        <v>3091</v>
      </c>
      <c r="G635" s="392" t="s">
        <v>5325</v>
      </c>
      <c r="H635" s="392" t="s">
        <v>7418</v>
      </c>
      <c r="I635" s="392" t="s">
        <v>1803</v>
      </c>
      <c r="J635" s="392" t="s">
        <v>6011</v>
      </c>
      <c r="K635" s="392" t="s">
        <v>2545</v>
      </c>
      <c r="L635" s="392" t="s">
        <v>8935</v>
      </c>
      <c r="M635" s="392" t="s">
        <v>7273</v>
      </c>
      <c r="N635" s="392" t="s">
        <v>7273</v>
      </c>
      <c r="O635" s="392" t="s">
        <v>7273</v>
      </c>
      <c r="P635"/>
      <c r="Q635"/>
      <c r="R635" s="387">
        <f>VLOOKUP(E635,'[1]NDB Impacted SPRFs 05032013'!$A$2:$A$65536,1,FALSE)</f>
        <v>400026898</v>
      </c>
    </row>
    <row r="636" spans="1:21" s="159" customFormat="1" ht="60" x14ac:dyDescent="0.25">
      <c r="A636" s="63">
        <f>MATCH($E636,'D1 - Master Project Table'!$B$24:$B$7056,0)</f>
        <v>4</v>
      </c>
      <c r="B636" s="63" t="b">
        <f t="shared" si="27"/>
        <v>0</v>
      </c>
      <c r="C636" s="63" t="b">
        <f t="shared" si="28"/>
        <v>0</v>
      </c>
      <c r="D636" s="63" t="str">
        <f t="shared" si="29"/>
        <v>OK</v>
      </c>
      <c r="E636" s="393">
        <v>400053723</v>
      </c>
      <c r="F636" s="392" t="s">
        <v>875</v>
      </c>
      <c r="G636" s="392" t="s">
        <v>1147</v>
      </c>
      <c r="H636" s="392" t="s">
        <v>4917</v>
      </c>
      <c r="I636" s="392" t="s">
        <v>1756</v>
      </c>
      <c r="J636" s="392" t="s">
        <v>3704</v>
      </c>
      <c r="K636" s="392" t="s">
        <v>5524</v>
      </c>
      <c r="L636" s="392" t="s">
        <v>602</v>
      </c>
      <c r="M636" s="392" t="s">
        <v>7273</v>
      </c>
      <c r="N636" s="392" t="s">
        <v>7273</v>
      </c>
      <c r="O636" s="392" t="s">
        <v>3758</v>
      </c>
      <c r="P636"/>
      <c r="Q636"/>
      <c r="R636" s="387">
        <f>VLOOKUP(E636,'[1]NDB Impacted SPRFs 05032013'!$A$2:$A$65536,1,FALSE)</f>
        <v>400053723</v>
      </c>
    </row>
    <row r="637" spans="1:21" ht="60" x14ac:dyDescent="0.25">
      <c r="A637" s="63">
        <f>MATCH($E637,'D1 - Master Project Table'!$B$24:$B$7056,0)</f>
        <v>3002</v>
      </c>
      <c r="B637" s="63" t="b">
        <f t="shared" si="27"/>
        <v>0</v>
      </c>
      <c r="C637" s="63" t="b">
        <f t="shared" si="28"/>
        <v>1</v>
      </c>
      <c r="D637" s="63" t="str">
        <f t="shared" si="29"/>
        <v>OK</v>
      </c>
      <c r="E637" s="393">
        <v>400039328</v>
      </c>
      <c r="F637" s="392" t="s">
        <v>5482</v>
      </c>
      <c r="G637" s="392" t="s">
        <v>5324</v>
      </c>
      <c r="H637" s="392" t="s">
        <v>5314</v>
      </c>
      <c r="I637" s="392" t="s">
        <v>1759</v>
      </c>
      <c r="J637" s="392" t="s">
        <v>7368</v>
      </c>
      <c r="K637" s="392" t="s">
        <v>7369</v>
      </c>
      <c r="L637" s="392" t="s">
        <v>8044</v>
      </c>
      <c r="M637" s="392" t="s">
        <v>3758</v>
      </c>
      <c r="N637" s="392" t="s">
        <v>7273</v>
      </c>
      <c r="O637" s="392" t="s">
        <v>7273</v>
      </c>
      <c r="P637"/>
      <c r="Q637"/>
      <c r="R637" s="387">
        <f>VLOOKUP(E637,'[1]NDB Impacted SPRFs 05032013'!$A$2:$A$65536,1,FALSE)</f>
        <v>400039328</v>
      </c>
    </row>
    <row r="638" spans="1:21" s="159" customFormat="1" ht="60" x14ac:dyDescent="0.25">
      <c r="A638" s="63">
        <f>MATCH($E638,'D1 - Master Project Table'!$B$24:$B$7056,0)</f>
        <v>1951</v>
      </c>
      <c r="B638" s="63" t="b">
        <f t="shared" si="27"/>
        <v>0</v>
      </c>
      <c r="C638" s="63" t="b">
        <f t="shared" si="28"/>
        <v>1</v>
      </c>
      <c r="D638" s="63" t="str">
        <f t="shared" si="29"/>
        <v>OK</v>
      </c>
      <c r="E638" s="393">
        <v>400020974</v>
      </c>
      <c r="F638" s="392" t="s">
        <v>6848</v>
      </c>
      <c r="G638" s="392" t="s">
        <v>7182</v>
      </c>
      <c r="H638" s="392" t="s">
        <v>7418</v>
      </c>
      <c r="I638" s="392" t="s">
        <v>2606</v>
      </c>
      <c r="J638" s="392" t="s">
        <v>8408</v>
      </c>
      <c r="K638" s="392" t="s">
        <v>6849</v>
      </c>
      <c r="L638" s="392" t="s">
        <v>5709</v>
      </c>
      <c r="M638" s="392" t="s">
        <v>3758</v>
      </c>
      <c r="N638" s="392" t="s">
        <v>7273</v>
      </c>
      <c r="O638" s="392" t="s">
        <v>7273</v>
      </c>
      <c r="P638"/>
      <c r="Q638"/>
      <c r="R638" s="387">
        <f>VLOOKUP(E638,'[1]NDB Impacted SPRFs 05032013'!$A$2:$A$65536,1,FALSE)</f>
        <v>400020974</v>
      </c>
    </row>
    <row r="639" spans="1:21" s="159" customFormat="1" ht="60" x14ac:dyDescent="0.25">
      <c r="A639" s="63">
        <f>MATCH($E639,'D1 - Master Project Table'!$B$24:$B$7056,0)</f>
        <v>2553</v>
      </c>
      <c r="B639" s="63" t="b">
        <f t="shared" si="27"/>
        <v>0</v>
      </c>
      <c r="C639" s="63" t="b">
        <f t="shared" si="28"/>
        <v>1</v>
      </c>
      <c r="D639" s="63" t="str">
        <f t="shared" si="29"/>
        <v>OK</v>
      </c>
      <c r="E639" s="393">
        <v>400009475</v>
      </c>
      <c r="F639" s="392" t="s">
        <v>7335</v>
      </c>
      <c r="G639" s="392" t="s">
        <v>5324</v>
      </c>
      <c r="H639" s="392" t="s">
        <v>5314</v>
      </c>
      <c r="I639" s="392" t="s">
        <v>1789</v>
      </c>
      <c r="J639" s="392" t="s">
        <v>6348</v>
      </c>
      <c r="K639" s="392" t="s">
        <v>1506</v>
      </c>
      <c r="L639" s="392" t="s">
        <v>5965</v>
      </c>
      <c r="M639" s="392" t="s">
        <v>3758</v>
      </c>
      <c r="N639" s="392" t="s">
        <v>7273</v>
      </c>
      <c r="O639" s="392" t="s">
        <v>7273</v>
      </c>
      <c r="P639"/>
      <c r="Q639"/>
      <c r="R639" s="387">
        <f>VLOOKUP(E639,'[1]NDB Impacted SPRFs 05032013'!$A$2:$A$65536,1,FALSE)</f>
        <v>400009475</v>
      </c>
      <c r="S639" s="128"/>
      <c r="T639" s="128"/>
      <c r="U639" s="128"/>
    </row>
    <row r="640" spans="1:21" s="159" customFormat="1" ht="60" x14ac:dyDescent="0.25">
      <c r="A640" s="63">
        <f>MATCH($E640,'D1 - Master Project Table'!$B$24:$B$7056,0)</f>
        <v>2753</v>
      </c>
      <c r="B640" s="63" t="b">
        <f t="shared" si="27"/>
        <v>0</v>
      </c>
      <c r="C640" s="63" t="b">
        <f t="shared" si="28"/>
        <v>1</v>
      </c>
      <c r="D640" s="63" t="str">
        <f t="shared" si="29"/>
        <v>OK</v>
      </c>
      <c r="E640" s="393">
        <v>400021195</v>
      </c>
      <c r="F640" s="392" t="s">
        <v>1248</v>
      </c>
      <c r="G640" s="392" t="s">
        <v>5324</v>
      </c>
      <c r="H640" s="392" t="s">
        <v>5314</v>
      </c>
      <c r="I640" s="392" t="s">
        <v>1756</v>
      </c>
      <c r="J640" s="392" t="s">
        <v>1618</v>
      </c>
      <c r="K640" s="392" t="s">
        <v>1506</v>
      </c>
      <c r="L640" s="392" t="s">
        <v>4838</v>
      </c>
      <c r="M640" s="392" t="s">
        <v>3758</v>
      </c>
      <c r="N640" s="392" t="s">
        <v>7273</v>
      </c>
      <c r="O640" s="392" t="s">
        <v>7273</v>
      </c>
      <c r="P640"/>
      <c r="Q640"/>
      <c r="R640" s="387">
        <f>VLOOKUP(E640,'[1]NDB Impacted SPRFs 05032013'!$A$2:$A$65536,1,FALSE)</f>
        <v>400021195</v>
      </c>
      <c r="S640" s="128"/>
      <c r="T640" s="128"/>
      <c r="U640" s="128"/>
    </row>
    <row r="641" spans="1:21" s="159" customFormat="1" ht="60" x14ac:dyDescent="0.25">
      <c r="A641" s="63">
        <f>MATCH($E641,'D1 - Master Project Table'!$B$24:$B$7056,0)</f>
        <v>2796</v>
      </c>
      <c r="B641" s="63" t="b">
        <f t="shared" si="27"/>
        <v>0</v>
      </c>
      <c r="C641" s="63" t="b">
        <f t="shared" si="28"/>
        <v>1</v>
      </c>
      <c r="D641" s="63" t="str">
        <f t="shared" si="29"/>
        <v>OK</v>
      </c>
      <c r="E641" s="393">
        <v>400023067</v>
      </c>
      <c r="F641" s="392" t="s">
        <v>3139</v>
      </c>
      <c r="G641" s="392" t="s">
        <v>5001</v>
      </c>
      <c r="H641" s="392" t="s">
        <v>5314</v>
      </c>
      <c r="I641" s="392" t="s">
        <v>1829</v>
      </c>
      <c r="J641" s="392" t="s">
        <v>8741</v>
      </c>
      <c r="K641" s="392" t="s">
        <v>5520</v>
      </c>
      <c r="L641" s="392" t="s">
        <v>6524</v>
      </c>
      <c r="M641" s="392" t="s">
        <v>7273</v>
      </c>
      <c r="N641" s="392" t="s">
        <v>7273</v>
      </c>
      <c r="O641" s="392" t="s">
        <v>7273</v>
      </c>
      <c r="P641"/>
      <c r="Q641"/>
      <c r="R641" s="387">
        <f>VLOOKUP(E641,'[1]NDB Impacted SPRFs 05032013'!$A$2:$A$65536,1,FALSE)</f>
        <v>400023067</v>
      </c>
    </row>
    <row r="642" spans="1:21" s="159" customFormat="1" ht="60" x14ac:dyDescent="0.25">
      <c r="A642" s="63">
        <f>MATCH($E642,'D1 - Master Project Table'!$B$24:$B$7056,0)</f>
        <v>1896</v>
      </c>
      <c r="B642" s="63" t="b">
        <f t="shared" si="27"/>
        <v>0</v>
      </c>
      <c r="C642" s="63" t="b">
        <f t="shared" si="28"/>
        <v>1</v>
      </c>
      <c r="D642" s="63" t="str">
        <f t="shared" si="29"/>
        <v>OK</v>
      </c>
      <c r="E642" s="393">
        <v>400006083</v>
      </c>
      <c r="F642" s="392" t="s">
        <v>1960</v>
      </c>
      <c r="G642" s="392" t="s">
        <v>5787</v>
      </c>
      <c r="H642" s="392" t="s">
        <v>7418</v>
      </c>
      <c r="I642" s="392" t="s">
        <v>6869</v>
      </c>
      <c r="J642" s="392" t="s">
        <v>8662</v>
      </c>
      <c r="K642" s="392" t="s">
        <v>1419</v>
      </c>
      <c r="L642" s="392" t="s">
        <v>3237</v>
      </c>
      <c r="M642" s="392" t="s">
        <v>3758</v>
      </c>
      <c r="N642" s="392" t="s">
        <v>7273</v>
      </c>
      <c r="O642" s="392" t="s">
        <v>7273</v>
      </c>
      <c r="P642" s="212"/>
      <c r="Q642"/>
      <c r="R642" s="387">
        <f>VLOOKUP(E642,'[1]NDB Impacted SPRFs 05032013'!$A$2:$A$65536,1,FALSE)</f>
        <v>400006083</v>
      </c>
    </row>
    <row r="643" spans="1:21" ht="60" x14ac:dyDescent="0.25">
      <c r="A643" s="63">
        <f>MATCH($E643,'D1 - Master Project Table'!$B$24:$B$7056,0)</f>
        <v>643</v>
      </c>
      <c r="B643" s="63" t="b">
        <f t="shared" si="27"/>
        <v>0</v>
      </c>
      <c r="C643" s="63" t="b">
        <f t="shared" si="28"/>
        <v>1</v>
      </c>
      <c r="D643" s="63" t="str">
        <f t="shared" si="29"/>
        <v>OK</v>
      </c>
      <c r="E643" s="393">
        <v>400012672</v>
      </c>
      <c r="F643" s="392" t="s">
        <v>3394</v>
      </c>
      <c r="G643" s="392" t="s">
        <v>5324</v>
      </c>
      <c r="H643" s="392" t="s">
        <v>7418</v>
      </c>
      <c r="I643" s="392" t="s">
        <v>1759</v>
      </c>
      <c r="J643" s="392" t="s">
        <v>8300</v>
      </c>
      <c r="K643" s="392" t="s">
        <v>4727</v>
      </c>
      <c r="L643" s="392" t="s">
        <v>2540</v>
      </c>
      <c r="M643" s="392" t="s">
        <v>3758</v>
      </c>
      <c r="N643" s="392" t="s">
        <v>7273</v>
      </c>
      <c r="O643" s="392" t="s">
        <v>3758</v>
      </c>
      <c r="P643"/>
      <c r="Q643"/>
      <c r="R643" s="387">
        <f>VLOOKUP(E643,'[1]NDB Impacted SPRFs 05032013'!$A$2:$A$65536,1,FALSE)</f>
        <v>400012672</v>
      </c>
      <c r="S643" s="159"/>
      <c r="T643" s="159"/>
      <c r="U643" s="159"/>
    </row>
    <row r="644" spans="1:21" s="159" customFormat="1" ht="60" x14ac:dyDescent="0.25">
      <c r="A644" s="63">
        <f>MATCH($E644,'D1 - Master Project Table'!$B$24:$B$7056,0)</f>
        <v>879</v>
      </c>
      <c r="B644" s="63" t="b">
        <f t="shared" si="27"/>
        <v>0</v>
      </c>
      <c r="C644" s="63" t="b">
        <f t="shared" si="28"/>
        <v>1</v>
      </c>
      <c r="D644" s="63" t="str">
        <f t="shared" si="29"/>
        <v>OK</v>
      </c>
      <c r="E644" s="393">
        <v>400019846</v>
      </c>
      <c r="F644" s="392" t="s">
        <v>4179</v>
      </c>
      <c r="G644" s="392" t="s">
        <v>5324</v>
      </c>
      <c r="H644" s="392" t="s">
        <v>7418</v>
      </c>
      <c r="I644" s="392" t="s">
        <v>1759</v>
      </c>
      <c r="J644" s="392" t="s">
        <v>1071</v>
      </c>
      <c r="K644" s="392" t="s">
        <v>5457</v>
      </c>
      <c r="L644" s="392" t="s">
        <v>2390</v>
      </c>
      <c r="M644" s="392" t="s">
        <v>3758</v>
      </c>
      <c r="N644" s="392" t="s">
        <v>7273</v>
      </c>
      <c r="O644" s="392" t="s">
        <v>7273</v>
      </c>
      <c r="P644"/>
      <c r="Q644"/>
      <c r="R644" s="387">
        <f>VLOOKUP(E644,'[1]NDB Impacted SPRFs 05032013'!$A$2:$A$65536,1,FALSE)</f>
        <v>400019846</v>
      </c>
    </row>
    <row r="645" spans="1:21" s="159" customFormat="1" ht="60" x14ac:dyDescent="0.25">
      <c r="A645" s="63">
        <f>MATCH($E645,'D1 - Master Project Table'!$B$24:$B$7056,0)</f>
        <v>2185</v>
      </c>
      <c r="B645" s="63" t="b">
        <f t="shared" si="27"/>
        <v>0</v>
      </c>
      <c r="C645" s="63" t="b">
        <f t="shared" si="28"/>
        <v>1</v>
      </c>
      <c r="D645" s="63" t="str">
        <f t="shared" si="29"/>
        <v>OK</v>
      </c>
      <c r="E645" s="393">
        <v>400024662</v>
      </c>
      <c r="F645" s="392" t="s">
        <v>6719</v>
      </c>
      <c r="G645" s="392" t="s">
        <v>5324</v>
      </c>
      <c r="H645" s="392" t="s">
        <v>5314</v>
      </c>
      <c r="I645" s="392" t="s">
        <v>1788</v>
      </c>
      <c r="J645" s="392" t="s">
        <v>6603</v>
      </c>
      <c r="K645" s="392" t="s">
        <v>1506</v>
      </c>
      <c r="L645" s="392" t="s">
        <v>5408</v>
      </c>
      <c r="M645" s="392" t="s">
        <v>3758</v>
      </c>
      <c r="N645" s="392" t="s">
        <v>7273</v>
      </c>
      <c r="O645" s="392" t="s">
        <v>7273</v>
      </c>
      <c r="P645"/>
      <c r="Q645"/>
      <c r="R645" s="387">
        <f>VLOOKUP(E645,'[1]NDB Impacted SPRFs 05032013'!$A$2:$A$65536,1,FALSE)</f>
        <v>400024662</v>
      </c>
    </row>
    <row r="646" spans="1:21" s="159" customFormat="1" ht="60" x14ac:dyDescent="0.25">
      <c r="A646" s="63">
        <f>MATCH($E646,'D1 - Master Project Table'!$B$24:$B$7056,0)</f>
        <v>2402</v>
      </c>
      <c r="B646" s="63" t="b">
        <f t="shared" ref="B646:B709" si="30">ISERROR(A646)</f>
        <v>0</v>
      </c>
      <c r="C646" s="63" t="b">
        <f t="shared" ref="C646:C709" si="31">OR(H646="Completed",H646="Cancelled")</f>
        <v>1</v>
      </c>
      <c r="D646" s="63" t="str">
        <f t="shared" ref="D646:D709" si="32">IF(AND(B646=TRUE,C646=FALSE),"Add","OK")</f>
        <v>OK</v>
      </c>
      <c r="E646" s="393">
        <v>400002493</v>
      </c>
      <c r="F646" s="392" t="s">
        <v>2970</v>
      </c>
      <c r="G646" s="392" t="s">
        <v>5324</v>
      </c>
      <c r="H646" s="392" t="s">
        <v>5314</v>
      </c>
      <c r="I646" s="392" t="s">
        <v>1765</v>
      </c>
      <c r="J646" s="392" t="s">
        <v>8630</v>
      </c>
      <c r="K646" s="392" t="s">
        <v>2829</v>
      </c>
      <c r="L646" s="392" t="s">
        <v>4328</v>
      </c>
      <c r="M646" s="392" t="s">
        <v>3758</v>
      </c>
      <c r="N646" s="392" t="s">
        <v>7273</v>
      </c>
      <c r="O646" s="392" t="s">
        <v>7273</v>
      </c>
      <c r="P646" s="212"/>
      <c r="Q646" s="212"/>
      <c r="R646" s="387">
        <f>VLOOKUP(E646,'[1]NDB Impacted SPRFs 05032013'!$A$2:$A$65536,1,FALSE)</f>
        <v>400002493</v>
      </c>
    </row>
    <row r="647" spans="1:21" ht="60" x14ac:dyDescent="0.25">
      <c r="A647" s="63">
        <f>MATCH($E647,'D1 - Master Project Table'!$B$24:$B$7056,0)</f>
        <v>2888</v>
      </c>
      <c r="B647" s="63" t="b">
        <f t="shared" si="30"/>
        <v>0</v>
      </c>
      <c r="C647" s="63" t="b">
        <f t="shared" si="31"/>
        <v>1</v>
      </c>
      <c r="D647" s="63" t="str">
        <f t="shared" si="32"/>
        <v>OK</v>
      </c>
      <c r="E647" s="393">
        <v>400029492</v>
      </c>
      <c r="F647" s="392" t="s">
        <v>2816</v>
      </c>
      <c r="G647" s="392" t="s">
        <v>5995</v>
      </c>
      <c r="H647" s="392" t="s">
        <v>7418</v>
      </c>
      <c r="I647" s="392" t="s">
        <v>6423</v>
      </c>
      <c r="J647" s="392" t="s">
        <v>8801</v>
      </c>
      <c r="K647" s="392" t="s">
        <v>4114</v>
      </c>
      <c r="L647" s="392" t="s">
        <v>7822</v>
      </c>
      <c r="M647" s="392" t="s">
        <v>7273</v>
      </c>
      <c r="N647" s="392" t="s">
        <v>7273</v>
      </c>
      <c r="O647" s="392" t="s">
        <v>7273</v>
      </c>
      <c r="R647" s="387">
        <f>VLOOKUP(E647,'[1]NDB Impacted SPRFs 05032013'!$A$2:$A$65536,1,FALSE)</f>
        <v>400029492</v>
      </c>
    </row>
    <row r="648" spans="1:21" s="159" customFormat="1" ht="60" x14ac:dyDescent="0.25">
      <c r="A648" s="63">
        <f>MATCH($E648,'D1 - Master Project Table'!$B$24:$B$7056,0)</f>
        <v>3275</v>
      </c>
      <c r="B648" s="63" t="b">
        <f t="shared" si="30"/>
        <v>0</v>
      </c>
      <c r="C648" s="63" t="b">
        <f t="shared" si="31"/>
        <v>1</v>
      </c>
      <c r="D648" s="63" t="str">
        <f t="shared" si="32"/>
        <v>OK</v>
      </c>
      <c r="E648" s="393">
        <v>400041907</v>
      </c>
      <c r="F648" s="392" t="s">
        <v>375</v>
      </c>
      <c r="G648" s="392" t="s">
        <v>5995</v>
      </c>
      <c r="H648" s="392" t="s">
        <v>7418</v>
      </c>
      <c r="I648" s="392" t="s">
        <v>2604</v>
      </c>
      <c r="J648" s="392" t="s">
        <v>3616</v>
      </c>
      <c r="K648" s="392" t="s">
        <v>5572</v>
      </c>
      <c r="L648" s="392" t="s">
        <v>4452</v>
      </c>
      <c r="M648" s="392" t="s">
        <v>7273</v>
      </c>
      <c r="N648" s="392" t="s">
        <v>7273</v>
      </c>
      <c r="O648" s="392" t="s">
        <v>7273</v>
      </c>
      <c r="P648"/>
      <c r="Q648"/>
      <c r="R648" s="387">
        <f>VLOOKUP(E648,'[1]NDB Impacted SPRFs 05032013'!$A$2:$A$65536,1,FALSE)</f>
        <v>400041907</v>
      </c>
    </row>
    <row r="649" spans="1:21" ht="60" x14ac:dyDescent="0.25">
      <c r="A649" s="63">
        <f>MATCH($E649,'D1 - Master Project Table'!$B$24:$B$7056,0)</f>
        <v>2544</v>
      </c>
      <c r="B649" s="63" t="b">
        <f t="shared" si="30"/>
        <v>0</v>
      </c>
      <c r="C649" s="63" t="b">
        <f t="shared" si="31"/>
        <v>1</v>
      </c>
      <c r="D649" s="63" t="str">
        <f t="shared" si="32"/>
        <v>OK</v>
      </c>
      <c r="E649" s="393">
        <v>400009235</v>
      </c>
      <c r="F649" s="392" t="s">
        <v>1649</v>
      </c>
      <c r="G649" s="392" t="s">
        <v>5787</v>
      </c>
      <c r="H649" s="392" t="s">
        <v>5314</v>
      </c>
      <c r="I649" s="392" t="s">
        <v>1826</v>
      </c>
      <c r="J649" s="392" t="s">
        <v>8695</v>
      </c>
      <c r="K649" s="392" t="s">
        <v>7957</v>
      </c>
      <c r="L649" s="392" t="s">
        <v>7777</v>
      </c>
      <c r="M649" s="392" t="s">
        <v>3758</v>
      </c>
      <c r="N649" s="392" t="s">
        <v>7273</v>
      </c>
      <c r="O649" s="392" t="s">
        <v>7273</v>
      </c>
      <c r="P649"/>
      <c r="Q649"/>
      <c r="R649" s="387">
        <f>VLOOKUP(E649,'[1]NDB Impacted SPRFs 05032013'!$A$2:$A$65536,1,FALSE)</f>
        <v>400009235</v>
      </c>
      <c r="S649" s="159"/>
      <c r="T649" s="159"/>
      <c r="U649" s="159"/>
    </row>
    <row r="650" spans="1:21" s="159" customFormat="1" ht="60" x14ac:dyDescent="0.25">
      <c r="A650" s="63">
        <f>MATCH($E650,'D1 - Master Project Table'!$B$24:$B$7056,0)</f>
        <v>3279</v>
      </c>
      <c r="B650" s="63" t="b">
        <f t="shared" si="30"/>
        <v>0</v>
      </c>
      <c r="C650" s="63" t="b">
        <f t="shared" si="31"/>
        <v>1</v>
      </c>
      <c r="D650" s="63" t="str">
        <f t="shared" si="32"/>
        <v>OK</v>
      </c>
      <c r="E650" s="393">
        <v>400045569</v>
      </c>
      <c r="F650" s="392" t="s">
        <v>1031</v>
      </c>
      <c r="G650" s="392" t="s">
        <v>5325</v>
      </c>
      <c r="H650" s="392" t="s">
        <v>5314</v>
      </c>
      <c r="I650" s="392" t="s">
        <v>6414</v>
      </c>
      <c r="J650" s="392" t="s">
        <v>3493</v>
      </c>
      <c r="K650" s="392" t="s">
        <v>1032</v>
      </c>
      <c r="L650" s="392" t="s">
        <v>532</v>
      </c>
      <c r="M650" s="392" t="s">
        <v>7273</v>
      </c>
      <c r="N650" s="392" t="s">
        <v>7273</v>
      </c>
      <c r="O650" s="392" t="s">
        <v>7273</v>
      </c>
      <c r="P650"/>
      <c r="Q650"/>
      <c r="R650" s="387">
        <f>VLOOKUP(E650,'[1]NDB Impacted SPRFs 05032013'!$A$2:$A$65536,1,FALSE)</f>
        <v>400045569</v>
      </c>
    </row>
    <row r="651" spans="1:21" s="159" customFormat="1" ht="60" x14ac:dyDescent="0.25">
      <c r="A651" s="63">
        <f>MATCH($E651,'D1 - Master Project Table'!$B$24:$B$7056,0)</f>
        <v>1912</v>
      </c>
      <c r="B651" s="63" t="b">
        <f t="shared" si="30"/>
        <v>0</v>
      </c>
      <c r="C651" s="63" t="b">
        <f t="shared" si="31"/>
        <v>1</v>
      </c>
      <c r="D651" s="63" t="str">
        <f t="shared" si="32"/>
        <v>OK</v>
      </c>
      <c r="E651" s="393">
        <v>400008585</v>
      </c>
      <c r="F651" s="392" t="s">
        <v>2894</v>
      </c>
      <c r="G651" s="392" t="s">
        <v>5787</v>
      </c>
      <c r="H651" s="392" t="s">
        <v>7418</v>
      </c>
      <c r="I651" s="392" t="s">
        <v>1775</v>
      </c>
      <c r="J651" s="392" t="s">
        <v>6973</v>
      </c>
      <c r="K651" s="392" t="s">
        <v>3941</v>
      </c>
      <c r="L651" s="392" t="s">
        <v>3338</v>
      </c>
      <c r="M651" s="392" t="s">
        <v>3758</v>
      </c>
      <c r="N651" s="392" t="s">
        <v>7273</v>
      </c>
      <c r="O651" s="392" t="s">
        <v>7273</v>
      </c>
      <c r="P651"/>
      <c r="Q651"/>
      <c r="R651" s="387">
        <f>VLOOKUP(E651,'[1]NDB Impacted SPRFs 05032013'!$A$2:$A$65536,1,FALSE)</f>
        <v>400008585</v>
      </c>
    </row>
    <row r="652" spans="1:21" s="159" customFormat="1" ht="60" x14ac:dyDescent="0.25">
      <c r="A652" s="63">
        <f>MATCH($E652,'D1 - Master Project Table'!$B$24:$B$7056,0)</f>
        <v>3004</v>
      </c>
      <c r="B652" s="63" t="b">
        <f t="shared" si="30"/>
        <v>0</v>
      </c>
      <c r="C652" s="63" t="b">
        <f t="shared" si="31"/>
        <v>1</v>
      </c>
      <c r="D652" s="63" t="str">
        <f t="shared" si="32"/>
        <v>OK</v>
      </c>
      <c r="E652" s="393">
        <v>400039428</v>
      </c>
      <c r="F652" s="392" t="s">
        <v>6931</v>
      </c>
      <c r="G652" s="392" t="s">
        <v>5325</v>
      </c>
      <c r="H652" s="392" t="s">
        <v>5314</v>
      </c>
      <c r="I652" s="392" t="s">
        <v>1804</v>
      </c>
      <c r="J652" s="392" t="s">
        <v>6011</v>
      </c>
      <c r="K652" s="392" t="s">
        <v>3224</v>
      </c>
      <c r="L652" s="392" t="s">
        <v>3525</v>
      </c>
      <c r="M652" s="392" t="s">
        <v>3758</v>
      </c>
      <c r="N652" s="392" t="s">
        <v>7273</v>
      </c>
      <c r="O652" s="392" t="s">
        <v>3758</v>
      </c>
      <c r="P652"/>
      <c r="Q652"/>
      <c r="R652" s="387">
        <f>VLOOKUP(E652,'[1]NDB Impacted SPRFs 05032013'!$A$2:$A$65536,1,FALSE)</f>
        <v>400039428</v>
      </c>
      <c r="S652" s="128"/>
      <c r="T652" s="128"/>
      <c r="U652" s="128"/>
    </row>
    <row r="653" spans="1:21" ht="60" x14ac:dyDescent="0.25">
      <c r="A653" s="63">
        <f>MATCH($E653,'D1 - Master Project Table'!$B$24:$B$7056,0)</f>
        <v>783</v>
      </c>
      <c r="B653" s="63" t="b">
        <f t="shared" si="30"/>
        <v>0</v>
      </c>
      <c r="C653" s="63" t="b">
        <f t="shared" si="31"/>
        <v>1</v>
      </c>
      <c r="D653" s="63" t="str">
        <f t="shared" si="32"/>
        <v>OK</v>
      </c>
      <c r="E653" s="393">
        <v>400013198</v>
      </c>
      <c r="F653" s="392" t="s">
        <v>6022</v>
      </c>
      <c r="G653" s="392" t="s">
        <v>3441</v>
      </c>
      <c r="H653" s="392" t="s">
        <v>7418</v>
      </c>
      <c r="I653" s="392" t="s">
        <v>1769</v>
      </c>
      <c r="J653" s="392" t="s">
        <v>8844</v>
      </c>
      <c r="K653" s="392" t="s">
        <v>5541</v>
      </c>
      <c r="L653" s="392" t="s">
        <v>4646</v>
      </c>
      <c r="M653" s="392" t="s">
        <v>3758</v>
      </c>
      <c r="N653" s="392" t="s">
        <v>7273</v>
      </c>
      <c r="O653" s="392" t="s">
        <v>7273</v>
      </c>
      <c r="P653"/>
      <c r="Q653"/>
      <c r="R653" s="387">
        <f>VLOOKUP(E653,'[1]NDB Impacted SPRFs 05032013'!$A$2:$A$65536,1,FALSE)</f>
        <v>400013198</v>
      </c>
      <c r="S653" s="159"/>
      <c r="T653" s="159"/>
      <c r="U653" s="159"/>
    </row>
    <row r="654" spans="1:21" s="159" customFormat="1" ht="45" customHeight="1" x14ac:dyDescent="0.25">
      <c r="A654" s="63">
        <f>MATCH($E654,'D1 - Master Project Table'!$B$24:$B$7056,0)</f>
        <v>1596</v>
      </c>
      <c r="B654" s="63" t="b">
        <f t="shared" si="30"/>
        <v>0</v>
      </c>
      <c r="C654" s="63" t="b">
        <f t="shared" si="31"/>
        <v>0</v>
      </c>
      <c r="D654" s="63" t="str">
        <f t="shared" si="32"/>
        <v>OK</v>
      </c>
      <c r="E654" s="393">
        <v>400045746</v>
      </c>
      <c r="F654" s="392" t="s">
        <v>3609</v>
      </c>
      <c r="G654" s="392" t="s">
        <v>5324</v>
      </c>
      <c r="H654" s="392" t="s">
        <v>4917</v>
      </c>
      <c r="I654" s="392" t="s">
        <v>1758</v>
      </c>
      <c r="J654" s="392" t="s">
        <v>4822</v>
      </c>
      <c r="K654" s="392" t="s">
        <v>6170</v>
      </c>
      <c r="L654" s="392" t="s">
        <v>6112</v>
      </c>
      <c r="M654" s="392" t="s">
        <v>7273</v>
      </c>
      <c r="N654" s="392" t="s">
        <v>7273</v>
      </c>
      <c r="O654" s="392" t="s">
        <v>3758</v>
      </c>
      <c r="P654"/>
      <c r="Q654"/>
      <c r="R654" s="387">
        <f>VLOOKUP(E654,'[1]NDB Impacted SPRFs 05032013'!$A$2:$A$65536,1,FALSE)</f>
        <v>400045746</v>
      </c>
      <c r="S654" s="128"/>
      <c r="T654" s="128"/>
      <c r="U654" s="128"/>
    </row>
    <row r="655" spans="1:21" s="159" customFormat="1" ht="60" x14ac:dyDescent="0.25">
      <c r="A655" s="63" t="e">
        <f>MATCH($E655,'D1 - Master Project Table'!$B$24:$B$7056,0)</f>
        <v>#N/A</v>
      </c>
      <c r="B655" s="63" t="b">
        <f t="shared" si="30"/>
        <v>1</v>
      </c>
      <c r="C655" s="63" t="b">
        <f t="shared" si="31"/>
        <v>1</v>
      </c>
      <c r="D655" s="63" t="str">
        <f t="shared" si="32"/>
        <v>OK</v>
      </c>
      <c r="E655" s="393">
        <v>400017262</v>
      </c>
      <c r="F655" s="392" t="s">
        <v>5738</v>
      </c>
      <c r="G655" s="392" t="s">
        <v>3441</v>
      </c>
      <c r="H655" s="392" t="s">
        <v>5314</v>
      </c>
      <c r="I655" s="392" t="s">
        <v>2662</v>
      </c>
      <c r="J655" s="392" t="s">
        <v>6905</v>
      </c>
      <c r="K655" s="392" t="s">
        <v>1506</v>
      </c>
      <c r="L655" s="392" t="s">
        <v>4898</v>
      </c>
      <c r="M655" s="392" t="s">
        <v>3758</v>
      </c>
      <c r="N655" s="392" t="s">
        <v>7273</v>
      </c>
      <c r="O655" s="392" t="s">
        <v>7273</v>
      </c>
      <c r="P655"/>
      <c r="Q655"/>
      <c r="R655" s="387">
        <f>VLOOKUP(E655,'[1]NDB Impacted SPRFs 05032013'!$A$2:$A$65536,1,FALSE)</f>
        <v>400017262</v>
      </c>
    </row>
    <row r="656" spans="1:21" s="159" customFormat="1" ht="60" x14ac:dyDescent="0.25">
      <c r="A656" s="63">
        <f>MATCH($E656,'D1 - Master Project Table'!$B$24:$B$7056,0)</f>
        <v>1364</v>
      </c>
      <c r="B656" s="63" t="b">
        <f t="shared" si="30"/>
        <v>0</v>
      </c>
      <c r="C656" s="63" t="b">
        <f t="shared" si="31"/>
        <v>1</v>
      </c>
      <c r="D656" s="63" t="str">
        <f t="shared" si="32"/>
        <v>OK</v>
      </c>
      <c r="E656" s="393">
        <v>400035820</v>
      </c>
      <c r="F656" s="392" t="s">
        <v>7315</v>
      </c>
      <c r="G656" s="392" t="s">
        <v>6322</v>
      </c>
      <c r="H656" s="392" t="s">
        <v>7418</v>
      </c>
      <c r="I656" s="392" t="s">
        <v>7594</v>
      </c>
      <c r="J656" s="392" t="s">
        <v>1062</v>
      </c>
      <c r="K656" s="392" t="s">
        <v>3716</v>
      </c>
      <c r="L656" s="392" t="s">
        <v>8195</v>
      </c>
      <c r="M656" s="392" t="s">
        <v>7273</v>
      </c>
      <c r="N656" s="392" t="s">
        <v>7273</v>
      </c>
      <c r="O656" s="392" t="s">
        <v>7273</v>
      </c>
      <c r="P656"/>
      <c r="Q656"/>
      <c r="R656" s="387">
        <f>VLOOKUP(E656,'[1]NDB Impacted SPRFs 05032013'!$A$2:$A$65536,1,FALSE)</f>
        <v>400035820</v>
      </c>
    </row>
    <row r="657" spans="1:21" s="159" customFormat="1" ht="60" x14ac:dyDescent="0.25">
      <c r="A657" s="63" t="e">
        <f>MATCH($E657,'D1 - Master Project Table'!$B$24:$B$7056,0)</f>
        <v>#N/A</v>
      </c>
      <c r="B657" s="63" t="b">
        <f t="shared" si="30"/>
        <v>1</v>
      </c>
      <c r="C657" s="63" t="b">
        <f t="shared" si="31"/>
        <v>1</v>
      </c>
      <c r="D657" s="63" t="str">
        <f t="shared" si="32"/>
        <v>OK</v>
      </c>
      <c r="E657" s="393">
        <v>400029283</v>
      </c>
      <c r="F657" s="392" t="s">
        <v>2518</v>
      </c>
      <c r="G657" s="392" t="s">
        <v>5324</v>
      </c>
      <c r="H657" s="392" t="s">
        <v>7418</v>
      </c>
      <c r="I657" s="392" t="s">
        <v>1763</v>
      </c>
      <c r="J657" s="392" t="s">
        <v>8577</v>
      </c>
      <c r="K657" s="392" t="s">
        <v>2953</v>
      </c>
      <c r="L657" s="392" t="s">
        <v>4809</v>
      </c>
      <c r="M657" s="392" t="s">
        <v>3758</v>
      </c>
      <c r="N657" s="392" t="s">
        <v>7273</v>
      </c>
      <c r="O657" s="392" t="s">
        <v>7273</v>
      </c>
      <c r="P657"/>
      <c r="Q657"/>
      <c r="R657" s="387">
        <f>VLOOKUP(E657,'[1]NDB Impacted SPRFs 05032013'!$A$2:$A$65536,1,FALSE)</f>
        <v>400029283</v>
      </c>
    </row>
    <row r="658" spans="1:21" s="159" customFormat="1" ht="60" x14ac:dyDescent="0.25">
      <c r="A658" s="63">
        <f>MATCH($E658,'D1 - Master Project Table'!$B$24:$B$7056,0)</f>
        <v>2932</v>
      </c>
      <c r="B658" s="63" t="b">
        <f t="shared" si="30"/>
        <v>0</v>
      </c>
      <c r="C658" s="63" t="b">
        <f t="shared" si="31"/>
        <v>1</v>
      </c>
      <c r="D658" s="63" t="str">
        <f t="shared" si="32"/>
        <v>OK</v>
      </c>
      <c r="E658" s="393">
        <v>400033446</v>
      </c>
      <c r="F658" s="392" t="s">
        <v>4775</v>
      </c>
      <c r="G658" s="392" t="s">
        <v>1147</v>
      </c>
      <c r="H658" s="392" t="s">
        <v>5314</v>
      </c>
      <c r="I658" s="392" t="s">
        <v>5523</v>
      </c>
      <c r="J658" s="392" t="s">
        <v>2642</v>
      </c>
      <c r="K658" s="392" t="s">
        <v>6700</v>
      </c>
      <c r="L658" s="392" t="s">
        <v>5604</v>
      </c>
      <c r="M658" s="392" t="s">
        <v>7273</v>
      </c>
      <c r="N658" s="392" t="s">
        <v>7273</v>
      </c>
      <c r="O658" s="392" t="s">
        <v>7273</v>
      </c>
      <c r="P658"/>
      <c r="Q658"/>
      <c r="R658" s="387">
        <f>VLOOKUP(E658,'[1]NDB Impacted SPRFs 05032013'!$A$2:$A$65536,1,FALSE)</f>
        <v>400033446</v>
      </c>
    </row>
    <row r="659" spans="1:21" s="159" customFormat="1" ht="60" x14ac:dyDescent="0.25">
      <c r="A659" s="63">
        <f>MATCH($E659,'D1 - Master Project Table'!$B$24:$B$7056,0)</f>
        <v>2042</v>
      </c>
      <c r="B659" s="63" t="b">
        <f t="shared" si="30"/>
        <v>0</v>
      </c>
      <c r="C659" s="63" t="b">
        <f t="shared" si="31"/>
        <v>0</v>
      </c>
      <c r="D659" s="63" t="str">
        <f t="shared" si="32"/>
        <v>OK</v>
      </c>
      <c r="E659" s="393">
        <v>400055024</v>
      </c>
      <c r="F659" s="392" t="s">
        <v>7705</v>
      </c>
      <c r="G659" s="392" t="s">
        <v>6322</v>
      </c>
      <c r="H659" s="392" t="s">
        <v>4917</v>
      </c>
      <c r="I659" s="392" t="s">
        <v>1758</v>
      </c>
      <c r="J659" s="392" t="s">
        <v>2534</v>
      </c>
      <c r="K659" s="392" t="s">
        <v>1440</v>
      </c>
      <c r="L659" s="392" t="s">
        <v>8197</v>
      </c>
      <c r="M659" s="392" t="s">
        <v>7273</v>
      </c>
      <c r="N659" s="392" t="s">
        <v>7273</v>
      </c>
      <c r="O659" s="392" t="s">
        <v>7273</v>
      </c>
      <c r="P659"/>
      <c r="Q659"/>
      <c r="R659" s="387">
        <f>VLOOKUP(E659,'[1]NDB Impacted SPRFs 05032013'!$A$2:$A$65536,1,FALSE)</f>
        <v>400055024</v>
      </c>
    </row>
    <row r="660" spans="1:21" s="159" customFormat="1" ht="60" x14ac:dyDescent="0.25">
      <c r="A660" s="63" t="e">
        <f>MATCH($E660,'D1 - Master Project Table'!$B$24:$B$7056,0)</f>
        <v>#N/A</v>
      </c>
      <c r="B660" s="63" t="b">
        <f t="shared" si="30"/>
        <v>1</v>
      </c>
      <c r="C660" s="63" t="b">
        <f t="shared" si="31"/>
        <v>1</v>
      </c>
      <c r="D660" s="63" t="str">
        <f t="shared" si="32"/>
        <v>OK</v>
      </c>
      <c r="E660" s="393">
        <v>400000765</v>
      </c>
      <c r="F660" s="392" t="s">
        <v>4147</v>
      </c>
      <c r="G660" s="392" t="s">
        <v>5787</v>
      </c>
      <c r="H660" s="392" t="s">
        <v>7418</v>
      </c>
      <c r="I660" s="392" t="s">
        <v>6869</v>
      </c>
      <c r="J660" s="392" t="s">
        <v>8710</v>
      </c>
      <c r="K660" s="392" t="s">
        <v>5015</v>
      </c>
      <c r="L660" s="392" t="s">
        <v>5813</v>
      </c>
      <c r="M660" s="392" t="s">
        <v>3758</v>
      </c>
      <c r="N660" s="392" t="s">
        <v>7273</v>
      </c>
      <c r="O660" s="392" t="s">
        <v>7273</v>
      </c>
      <c r="P660"/>
      <c r="Q660"/>
      <c r="R660" s="387">
        <f>VLOOKUP(E660,'[1]NDB Impacted SPRFs 05032013'!$A$2:$A$65536,1,FALSE)</f>
        <v>400000765</v>
      </c>
    </row>
    <row r="661" spans="1:21" s="159" customFormat="1" ht="60" x14ac:dyDescent="0.25">
      <c r="A661" s="63">
        <f>MATCH($E661,'D1 - Master Project Table'!$B$24:$B$7056,0)</f>
        <v>2580</v>
      </c>
      <c r="B661" s="63" t="b">
        <f t="shared" si="30"/>
        <v>0</v>
      </c>
      <c r="C661" s="63" t="b">
        <f t="shared" si="31"/>
        <v>1</v>
      </c>
      <c r="D661" s="63" t="str">
        <f t="shared" si="32"/>
        <v>OK</v>
      </c>
      <c r="E661" s="393">
        <v>400010953</v>
      </c>
      <c r="F661" s="392" t="s">
        <v>7463</v>
      </c>
      <c r="G661" s="392" t="s">
        <v>5324</v>
      </c>
      <c r="H661" s="392" t="s">
        <v>7418</v>
      </c>
      <c r="I661" s="392" t="s">
        <v>1763</v>
      </c>
      <c r="J661" s="392" t="s">
        <v>3417</v>
      </c>
      <c r="K661" s="392" t="s">
        <v>2953</v>
      </c>
      <c r="L661" s="392" t="s">
        <v>6537</v>
      </c>
      <c r="M661" s="392" t="s">
        <v>3758</v>
      </c>
      <c r="N661" s="392" t="s">
        <v>7273</v>
      </c>
      <c r="O661" s="392" t="s">
        <v>7273</v>
      </c>
      <c r="P661"/>
      <c r="Q661"/>
      <c r="R661" s="387">
        <f>VLOOKUP(E661,'[1]NDB Impacted SPRFs 05032013'!$A$2:$A$65536,1,FALSE)</f>
        <v>400010953</v>
      </c>
    </row>
    <row r="662" spans="1:21" ht="60" x14ac:dyDescent="0.25">
      <c r="A662" s="63">
        <f>MATCH($E662,'D1 - Master Project Table'!$B$24:$B$7056,0)</f>
        <v>2849</v>
      </c>
      <c r="B662" s="63" t="b">
        <f t="shared" si="30"/>
        <v>0</v>
      </c>
      <c r="C662" s="63" t="b">
        <f t="shared" si="31"/>
        <v>1</v>
      </c>
      <c r="D662" s="63" t="str">
        <f t="shared" si="32"/>
        <v>OK</v>
      </c>
      <c r="E662" s="393">
        <v>400026635</v>
      </c>
      <c r="F662" s="392" t="s">
        <v>8129</v>
      </c>
      <c r="G662" s="392" t="s">
        <v>5325</v>
      </c>
      <c r="H662" s="392" t="s">
        <v>5314</v>
      </c>
      <c r="I662" s="392" t="s">
        <v>6419</v>
      </c>
      <c r="J662" s="392" t="s">
        <v>5718</v>
      </c>
      <c r="K662" s="392" t="s">
        <v>6585</v>
      </c>
      <c r="L662" s="392" t="s">
        <v>7894</v>
      </c>
      <c r="M662" s="392" t="s">
        <v>7273</v>
      </c>
      <c r="N662" s="392" t="s">
        <v>7273</v>
      </c>
      <c r="O662" s="392" t="s">
        <v>7273</v>
      </c>
      <c r="P662" s="212"/>
      <c r="Q662"/>
      <c r="R662" s="387">
        <f>VLOOKUP(E662,'[1]NDB Impacted SPRFs 05032013'!$A$2:$A$65536,1,FALSE)</f>
        <v>400026635</v>
      </c>
      <c r="S662" s="159"/>
      <c r="T662" s="159"/>
      <c r="U662" s="159"/>
    </row>
    <row r="663" spans="1:21" ht="45" customHeight="1" x14ac:dyDescent="0.25">
      <c r="A663" s="63">
        <f>MATCH($E663,'D1 - Master Project Table'!$B$24:$B$7056,0)</f>
        <v>1698</v>
      </c>
      <c r="B663" s="63" t="b">
        <f t="shared" si="30"/>
        <v>0</v>
      </c>
      <c r="C663" s="63" t="b">
        <f t="shared" si="31"/>
        <v>1</v>
      </c>
      <c r="D663" s="63" t="str">
        <f t="shared" si="32"/>
        <v>OK</v>
      </c>
      <c r="E663" s="393">
        <v>400047776</v>
      </c>
      <c r="F663" s="392" t="s">
        <v>245</v>
      </c>
      <c r="G663" s="392" t="s">
        <v>5001</v>
      </c>
      <c r="H663" s="392" t="s">
        <v>7418</v>
      </c>
      <c r="I663" s="392" t="s">
        <v>3540</v>
      </c>
      <c r="J663" s="392" t="s">
        <v>4110</v>
      </c>
      <c r="K663" s="392" t="s">
        <v>3192</v>
      </c>
      <c r="L663" s="392" t="s">
        <v>3459</v>
      </c>
      <c r="M663" s="392" t="s">
        <v>7273</v>
      </c>
      <c r="N663" s="392" t="s">
        <v>7273</v>
      </c>
      <c r="O663" s="392" t="s">
        <v>3758</v>
      </c>
      <c r="P663"/>
      <c r="Q663"/>
      <c r="R663" s="387">
        <f>VLOOKUP(E663,'[1]NDB Impacted SPRFs 05032013'!$A$2:$A$65536,1,FALSE)</f>
        <v>400047776</v>
      </c>
      <c r="S663" s="159"/>
      <c r="T663" s="159"/>
      <c r="U663" s="159"/>
    </row>
    <row r="664" spans="1:21" s="159" customFormat="1" ht="60" x14ac:dyDescent="0.25">
      <c r="A664" s="63" t="e">
        <f>MATCH($E664,'D1 - Master Project Table'!$B$24:$B$7056,0)</f>
        <v>#N/A</v>
      </c>
      <c r="B664" s="63" t="b">
        <f t="shared" si="30"/>
        <v>1</v>
      </c>
      <c r="C664" s="63" t="b">
        <f t="shared" si="31"/>
        <v>1</v>
      </c>
      <c r="D664" s="63" t="str">
        <f t="shared" si="32"/>
        <v>OK</v>
      </c>
      <c r="E664" s="393">
        <v>400015412</v>
      </c>
      <c r="F664" s="392" t="s">
        <v>6252</v>
      </c>
      <c r="G664" s="392" t="s">
        <v>5324</v>
      </c>
      <c r="H664" s="392" t="s">
        <v>5314</v>
      </c>
      <c r="I664" s="392" t="s">
        <v>1759</v>
      </c>
      <c r="J664" s="392" t="s">
        <v>2425</v>
      </c>
      <c r="K664" s="392" t="s">
        <v>6253</v>
      </c>
      <c r="L664" s="392" t="s">
        <v>3661</v>
      </c>
      <c r="M664" s="392" t="s">
        <v>3758</v>
      </c>
      <c r="N664" s="392" t="s">
        <v>7273</v>
      </c>
      <c r="O664" s="392" t="s">
        <v>7273</v>
      </c>
      <c r="P664"/>
      <c r="Q664"/>
      <c r="R664" s="387">
        <f>VLOOKUP(E664,'[1]NDB Impacted SPRFs 05032013'!$A$2:$A$65536,1,FALSE)</f>
        <v>400015412</v>
      </c>
    </row>
    <row r="665" spans="1:21" s="159" customFormat="1" ht="60" x14ac:dyDescent="0.25">
      <c r="A665" s="63">
        <f>MATCH($E665,'D1 - Master Project Table'!$B$24:$B$7056,0)</f>
        <v>3186</v>
      </c>
      <c r="B665" s="63" t="b">
        <f t="shared" si="30"/>
        <v>0</v>
      </c>
      <c r="C665" s="63" t="b">
        <f t="shared" si="31"/>
        <v>1</v>
      </c>
      <c r="D665" s="63" t="str">
        <f t="shared" si="32"/>
        <v>OK</v>
      </c>
      <c r="E665" s="393">
        <v>400042418</v>
      </c>
      <c r="F665" s="392" t="s">
        <v>2245</v>
      </c>
      <c r="G665" s="392" t="s">
        <v>5995</v>
      </c>
      <c r="H665" s="392" t="s">
        <v>7418</v>
      </c>
      <c r="I665" s="392" t="s">
        <v>6423</v>
      </c>
      <c r="J665" s="392" t="s">
        <v>1894</v>
      </c>
      <c r="K665" s="392" t="s">
        <v>1895</v>
      </c>
      <c r="L665" s="392" t="s">
        <v>7146</v>
      </c>
      <c r="M665" s="392" t="s">
        <v>3758</v>
      </c>
      <c r="N665" s="392" t="s">
        <v>7273</v>
      </c>
      <c r="O665" s="392" t="s">
        <v>7273</v>
      </c>
      <c r="P665"/>
      <c r="Q665"/>
      <c r="R665" s="387">
        <f>VLOOKUP(E665,'[1]NDB Impacted SPRFs 05032013'!$A$2:$A$65536,1,FALSE)</f>
        <v>400042418</v>
      </c>
      <c r="S665" s="128"/>
      <c r="T665" s="128"/>
      <c r="U665" s="128"/>
    </row>
    <row r="666" spans="1:21" ht="60" x14ac:dyDescent="0.25">
      <c r="A666" s="63">
        <f>MATCH($E666,'D1 - Master Project Table'!$B$24:$B$7056,0)</f>
        <v>2916</v>
      </c>
      <c r="B666" s="63" t="b">
        <f t="shared" si="30"/>
        <v>0</v>
      </c>
      <c r="C666" s="63" t="b">
        <f t="shared" si="31"/>
        <v>1</v>
      </c>
      <c r="D666" s="63" t="str">
        <f t="shared" si="32"/>
        <v>OK</v>
      </c>
      <c r="E666" s="393">
        <v>400032359</v>
      </c>
      <c r="F666" s="392" t="s">
        <v>3272</v>
      </c>
      <c r="G666" s="392" t="s">
        <v>5324</v>
      </c>
      <c r="H666" s="392" t="s">
        <v>7418</v>
      </c>
      <c r="I666" s="392" t="s">
        <v>1759</v>
      </c>
      <c r="J666" s="392" t="s">
        <v>4344</v>
      </c>
      <c r="K666" s="392" t="s">
        <v>3774</v>
      </c>
      <c r="L666" s="392" t="s">
        <v>7547</v>
      </c>
      <c r="M666" s="392" t="s">
        <v>3758</v>
      </c>
      <c r="N666" s="392" t="s">
        <v>7273</v>
      </c>
      <c r="O666" s="392" t="s">
        <v>7273</v>
      </c>
      <c r="P666"/>
      <c r="Q666"/>
      <c r="R666" s="387">
        <f>VLOOKUP(E666,'[1]NDB Impacted SPRFs 05032013'!$A$2:$A$65536,1,FALSE)</f>
        <v>400032359</v>
      </c>
    </row>
    <row r="667" spans="1:21" s="159" customFormat="1" ht="60" x14ac:dyDescent="0.25">
      <c r="A667" s="63">
        <f>MATCH($E667,'D1 - Master Project Table'!$B$24:$B$7056,0)</f>
        <v>2965</v>
      </c>
      <c r="B667" s="63" t="b">
        <f t="shared" si="30"/>
        <v>0</v>
      </c>
      <c r="C667" s="63" t="b">
        <f t="shared" si="31"/>
        <v>1</v>
      </c>
      <c r="D667" s="63" t="str">
        <f t="shared" si="32"/>
        <v>OK</v>
      </c>
      <c r="E667" s="393">
        <v>400036406</v>
      </c>
      <c r="F667" s="392" t="s">
        <v>6458</v>
      </c>
      <c r="G667" s="392" t="s">
        <v>5324</v>
      </c>
      <c r="H667" s="392" t="s">
        <v>5314</v>
      </c>
      <c r="I667" s="392" t="s">
        <v>1595</v>
      </c>
      <c r="J667" s="392" t="s">
        <v>1973</v>
      </c>
      <c r="K667" s="392" t="s">
        <v>6459</v>
      </c>
      <c r="L667" s="392" t="s">
        <v>5868</v>
      </c>
      <c r="M667" s="392" t="s">
        <v>7273</v>
      </c>
      <c r="N667" s="392" t="s">
        <v>7273</v>
      </c>
      <c r="O667" s="392" t="s">
        <v>3758</v>
      </c>
      <c r="P667"/>
      <c r="Q667"/>
      <c r="R667" s="387">
        <f>VLOOKUP(E667,'[1]NDB Impacted SPRFs 05032013'!$A$2:$A$65536,1,FALSE)</f>
        <v>400036406</v>
      </c>
    </row>
    <row r="668" spans="1:21" ht="60" x14ac:dyDescent="0.25">
      <c r="A668" s="63">
        <f>MATCH($E668,'D1 - Master Project Table'!$B$24:$B$7056,0)</f>
        <v>1219</v>
      </c>
      <c r="B668" s="63" t="b">
        <f t="shared" si="30"/>
        <v>0</v>
      </c>
      <c r="C668" s="63" t="b">
        <f t="shared" si="31"/>
        <v>1</v>
      </c>
      <c r="D668" s="63" t="str">
        <f t="shared" si="32"/>
        <v>OK</v>
      </c>
      <c r="E668" s="393">
        <v>400030515</v>
      </c>
      <c r="F668" s="392" t="s">
        <v>4077</v>
      </c>
      <c r="G668" s="392" t="s">
        <v>5324</v>
      </c>
      <c r="H668" s="392" t="s">
        <v>7418</v>
      </c>
      <c r="I668" s="392" t="s">
        <v>1756</v>
      </c>
      <c r="J668" s="392" t="s">
        <v>8489</v>
      </c>
      <c r="K668" s="392" t="s">
        <v>4078</v>
      </c>
      <c r="L668" s="392" t="s">
        <v>7866</v>
      </c>
      <c r="M668" s="392" t="s">
        <v>7273</v>
      </c>
      <c r="N668" s="392" t="s">
        <v>7273</v>
      </c>
      <c r="O668" s="392" t="s">
        <v>7273</v>
      </c>
      <c r="P668"/>
      <c r="Q668"/>
      <c r="R668" s="387">
        <f>VLOOKUP(E668,'[1]NDB Impacted SPRFs 05032013'!$A$2:$A$65536,1,FALSE)</f>
        <v>400030515</v>
      </c>
      <c r="S668" s="159"/>
      <c r="T668" s="159"/>
      <c r="U668" s="159"/>
    </row>
    <row r="669" spans="1:21" ht="60" x14ac:dyDescent="0.25">
      <c r="A669" s="63">
        <f>MATCH($E669,'D1 - Master Project Table'!$B$24:$B$7056,0)</f>
        <v>3147</v>
      </c>
      <c r="B669" s="63" t="b">
        <f t="shared" si="30"/>
        <v>0</v>
      </c>
      <c r="C669" s="63" t="b">
        <f t="shared" si="31"/>
        <v>1</v>
      </c>
      <c r="D669" s="63" t="str">
        <f t="shared" si="32"/>
        <v>OK</v>
      </c>
      <c r="E669" s="393">
        <v>400057300</v>
      </c>
      <c r="F669" s="392" t="s">
        <v>7181</v>
      </c>
      <c r="G669" s="392" t="s">
        <v>5324</v>
      </c>
      <c r="H669" s="392" t="s">
        <v>5314</v>
      </c>
      <c r="I669" s="392" t="s">
        <v>1759</v>
      </c>
      <c r="J669" s="392" t="s">
        <v>8305</v>
      </c>
      <c r="K669" s="392" t="s">
        <v>5162</v>
      </c>
      <c r="L669" s="392" t="s">
        <v>8371</v>
      </c>
      <c r="M669" s="392" t="s">
        <v>7273</v>
      </c>
      <c r="N669" s="392" t="s">
        <v>7273</v>
      </c>
      <c r="O669" s="392" t="s">
        <v>7273</v>
      </c>
      <c r="P669"/>
      <c r="Q669"/>
      <c r="R669" s="387">
        <f>VLOOKUP(E669,'[1]NDB Impacted SPRFs 05032013'!$A$2:$A$65536,1,FALSE)</f>
        <v>400057300</v>
      </c>
      <c r="S669" s="159"/>
      <c r="T669" s="159"/>
      <c r="U669" s="159"/>
    </row>
    <row r="670" spans="1:21" s="159" customFormat="1" ht="60" x14ac:dyDescent="0.25">
      <c r="A670" s="63">
        <f>MATCH($E670,'D1 - Master Project Table'!$B$24:$B$7056,0)</f>
        <v>2004</v>
      </c>
      <c r="B670" s="63" t="b">
        <f t="shared" si="30"/>
        <v>0</v>
      </c>
      <c r="C670" s="63" t="b">
        <f t="shared" si="31"/>
        <v>1</v>
      </c>
      <c r="D670" s="63" t="str">
        <f t="shared" si="32"/>
        <v>OK</v>
      </c>
      <c r="E670" s="393">
        <v>400032370</v>
      </c>
      <c r="F670" s="392" t="s">
        <v>2439</v>
      </c>
      <c r="G670" s="392" t="s">
        <v>5325</v>
      </c>
      <c r="H670" s="392" t="s">
        <v>7418</v>
      </c>
      <c r="I670" s="392" t="s">
        <v>1803</v>
      </c>
      <c r="J670" s="392" t="s">
        <v>3646</v>
      </c>
      <c r="K670" s="392" t="s">
        <v>3647</v>
      </c>
      <c r="L670" s="392" t="s">
        <v>4286</v>
      </c>
      <c r="M670" s="392" t="s">
        <v>7273</v>
      </c>
      <c r="N670" s="392" t="s">
        <v>7273</v>
      </c>
      <c r="O670" s="392" t="s">
        <v>7273</v>
      </c>
      <c r="P670"/>
      <c r="Q670"/>
      <c r="R670" s="387">
        <f>VLOOKUP(E670,'[1]NDB Impacted SPRFs 05032013'!$A$2:$A$65536,1,FALSE)</f>
        <v>400032370</v>
      </c>
    </row>
    <row r="671" spans="1:21" ht="60" x14ac:dyDescent="0.25">
      <c r="A671" s="63">
        <f>MATCH($E671,'D1 - Master Project Table'!$B$24:$B$7056,0)</f>
        <v>2951</v>
      </c>
      <c r="B671" s="63" t="b">
        <f t="shared" si="30"/>
        <v>0</v>
      </c>
      <c r="C671" s="63" t="b">
        <f t="shared" si="31"/>
        <v>1</v>
      </c>
      <c r="D671" s="63" t="str">
        <f t="shared" si="32"/>
        <v>OK</v>
      </c>
      <c r="E671" s="393">
        <v>400035185</v>
      </c>
      <c r="F671" s="392" t="s">
        <v>3339</v>
      </c>
      <c r="G671" s="392" t="s">
        <v>5001</v>
      </c>
      <c r="H671" s="392" t="s">
        <v>5314</v>
      </c>
      <c r="I671" s="392" t="s">
        <v>2656</v>
      </c>
      <c r="J671" s="392" t="s">
        <v>8784</v>
      </c>
      <c r="K671" s="392" t="s">
        <v>3340</v>
      </c>
      <c r="L671" s="392" t="s">
        <v>6118</v>
      </c>
      <c r="M671" s="392" t="s">
        <v>7273</v>
      </c>
      <c r="N671" s="392" t="s">
        <v>7273</v>
      </c>
      <c r="O671" s="392" t="s">
        <v>7273</v>
      </c>
      <c r="P671"/>
      <c r="Q671"/>
      <c r="R671" s="387">
        <f>VLOOKUP(E671,'[1]NDB Impacted SPRFs 05032013'!$A$2:$A$65536,1,FALSE)</f>
        <v>400035185</v>
      </c>
      <c r="S671" s="159"/>
      <c r="T671" s="159"/>
      <c r="U671" s="159"/>
    </row>
    <row r="672" spans="1:21" s="159" customFormat="1" ht="60" x14ac:dyDescent="0.25">
      <c r="A672" s="63">
        <f>MATCH($E672,'D1 - Master Project Table'!$B$24:$B$7056,0)</f>
        <v>1567</v>
      </c>
      <c r="B672" s="63" t="b">
        <f t="shared" si="30"/>
        <v>0</v>
      </c>
      <c r="C672" s="63" t="b">
        <f t="shared" si="31"/>
        <v>1</v>
      </c>
      <c r="D672" s="63" t="str">
        <f t="shared" si="32"/>
        <v>OK</v>
      </c>
      <c r="E672" s="393">
        <v>400043017</v>
      </c>
      <c r="F672" s="392" t="s">
        <v>529</v>
      </c>
      <c r="G672" s="392" t="s">
        <v>5324</v>
      </c>
      <c r="H672" s="392" t="s">
        <v>7418</v>
      </c>
      <c r="I672" s="392" t="s">
        <v>1759</v>
      </c>
      <c r="J672" s="392" t="s">
        <v>8443</v>
      </c>
      <c r="K672" s="392" t="s">
        <v>7111</v>
      </c>
      <c r="L672" s="392" t="s">
        <v>805</v>
      </c>
      <c r="M672" s="392" t="s">
        <v>3758</v>
      </c>
      <c r="N672" s="392" t="s">
        <v>7273</v>
      </c>
      <c r="O672" s="392" t="s">
        <v>7273</v>
      </c>
      <c r="P672"/>
      <c r="Q672"/>
      <c r="R672" s="387">
        <f>VLOOKUP(E672,'[1]NDB Impacted SPRFs 05032013'!$A$2:$A$65536,1,FALSE)</f>
        <v>400043017</v>
      </c>
    </row>
    <row r="673" spans="1:21" s="159" customFormat="1" ht="60" x14ac:dyDescent="0.25">
      <c r="A673" s="63">
        <f>MATCH($E673,'D1 - Master Project Table'!$B$24:$B$7056,0)</f>
        <v>1342</v>
      </c>
      <c r="B673" s="63" t="b">
        <f t="shared" si="30"/>
        <v>0</v>
      </c>
      <c r="C673" s="63" t="b">
        <f t="shared" si="31"/>
        <v>1</v>
      </c>
      <c r="D673" s="63" t="str">
        <f t="shared" si="32"/>
        <v>OK</v>
      </c>
      <c r="E673" s="393">
        <v>400032787</v>
      </c>
      <c r="F673" s="392" t="s">
        <v>3691</v>
      </c>
      <c r="G673" s="392" t="s">
        <v>5324</v>
      </c>
      <c r="H673" s="392" t="s">
        <v>7418</v>
      </c>
      <c r="I673" s="392" t="s">
        <v>1791</v>
      </c>
      <c r="J673" s="392" t="s">
        <v>8421</v>
      </c>
      <c r="K673" s="392" t="s">
        <v>3089</v>
      </c>
      <c r="L673" s="392" t="s">
        <v>2082</v>
      </c>
      <c r="M673" s="392" t="s">
        <v>3758</v>
      </c>
      <c r="N673" s="392" t="s">
        <v>7273</v>
      </c>
      <c r="O673" s="392" t="s">
        <v>7273</v>
      </c>
      <c r="P673"/>
      <c r="Q673"/>
      <c r="R673" s="387">
        <f>VLOOKUP(E673,'[1]NDB Impacted SPRFs 05032013'!$A$2:$A$65536,1,FALSE)</f>
        <v>400032787</v>
      </c>
    </row>
    <row r="674" spans="1:21" s="159" customFormat="1" ht="60" x14ac:dyDescent="0.25">
      <c r="A674" s="63">
        <f>MATCH($E674,'D1 - Master Project Table'!$B$24:$B$7056,0)</f>
        <v>1719</v>
      </c>
      <c r="B674" s="63" t="b">
        <f t="shared" si="30"/>
        <v>0</v>
      </c>
      <c r="C674" s="63" t="b">
        <f t="shared" si="31"/>
        <v>1</v>
      </c>
      <c r="D674" s="63" t="str">
        <f t="shared" si="32"/>
        <v>OK</v>
      </c>
      <c r="E674" s="393">
        <v>400045917</v>
      </c>
      <c r="F674" s="392" t="s">
        <v>1093</v>
      </c>
      <c r="G674" s="392" t="s">
        <v>5324</v>
      </c>
      <c r="H674" s="392" t="s">
        <v>7418</v>
      </c>
      <c r="I674" s="392" t="s">
        <v>1762</v>
      </c>
      <c r="J674" s="392" t="s">
        <v>2198</v>
      </c>
      <c r="K674" s="392" t="s">
        <v>8075</v>
      </c>
      <c r="L674" s="392" t="s">
        <v>3966</v>
      </c>
      <c r="M674" s="392" t="s">
        <v>3758</v>
      </c>
      <c r="N674" s="392" t="s">
        <v>7273</v>
      </c>
      <c r="O674" s="392" t="s">
        <v>7273</v>
      </c>
      <c r="P674"/>
      <c r="Q674"/>
      <c r="R674" s="387">
        <f>VLOOKUP(E674,'[1]NDB Impacted SPRFs 05032013'!$A$2:$A$65536,1,FALSE)</f>
        <v>400045917</v>
      </c>
    </row>
    <row r="675" spans="1:21" s="159" customFormat="1" ht="60" x14ac:dyDescent="0.25">
      <c r="A675" s="63">
        <f>MATCH($E675,'D1 - Master Project Table'!$B$24:$B$7056,0)</f>
        <v>2002</v>
      </c>
      <c r="B675" s="63" t="b">
        <f t="shared" si="30"/>
        <v>0</v>
      </c>
      <c r="C675" s="63" t="b">
        <f t="shared" si="31"/>
        <v>1</v>
      </c>
      <c r="D675" s="63" t="str">
        <f t="shared" si="32"/>
        <v>OK</v>
      </c>
      <c r="E675" s="393">
        <v>400032208</v>
      </c>
      <c r="F675" s="392" t="s">
        <v>4324</v>
      </c>
      <c r="G675" s="392" t="s">
        <v>5325</v>
      </c>
      <c r="H675" s="392" t="s">
        <v>7418</v>
      </c>
      <c r="I675" s="392" t="s">
        <v>6419</v>
      </c>
      <c r="J675" s="392" t="s">
        <v>8283</v>
      </c>
      <c r="K675" s="392" t="s">
        <v>4325</v>
      </c>
      <c r="L675" s="392" t="s">
        <v>1926</v>
      </c>
      <c r="M675" s="392" t="s">
        <v>7273</v>
      </c>
      <c r="N675" s="392" t="s">
        <v>7273</v>
      </c>
      <c r="O675" s="392" t="s">
        <v>7273</v>
      </c>
      <c r="P675"/>
      <c r="Q675"/>
      <c r="R675" s="387">
        <f>VLOOKUP(E675,'[1]NDB Impacted SPRFs 05032013'!$A$2:$A$65536,1,FALSE)</f>
        <v>400032208</v>
      </c>
    </row>
    <row r="676" spans="1:21" s="159" customFormat="1" ht="45" customHeight="1" x14ac:dyDescent="0.25">
      <c r="A676" s="63">
        <f>MATCH($E676,'D1 - Master Project Table'!$B$24:$B$7056,0)</f>
        <v>1760</v>
      </c>
      <c r="B676" s="63" t="b">
        <f t="shared" si="30"/>
        <v>0</v>
      </c>
      <c r="C676" s="63" t="b">
        <f t="shared" si="31"/>
        <v>1</v>
      </c>
      <c r="D676" s="63" t="str">
        <f t="shared" si="32"/>
        <v>OK</v>
      </c>
      <c r="E676" s="393">
        <v>400046416</v>
      </c>
      <c r="F676" s="392" t="s">
        <v>1404</v>
      </c>
      <c r="G676" s="392" t="s">
        <v>5324</v>
      </c>
      <c r="H676" s="392" t="s">
        <v>7418</v>
      </c>
      <c r="I676" s="392" t="s">
        <v>1759</v>
      </c>
      <c r="J676" s="392" t="s">
        <v>6584</v>
      </c>
      <c r="K676" s="392" t="s">
        <v>6585</v>
      </c>
      <c r="L676" s="392" t="s">
        <v>6110</v>
      </c>
      <c r="M676" s="392" t="s">
        <v>7273</v>
      </c>
      <c r="N676" s="392" t="s">
        <v>7273</v>
      </c>
      <c r="O676" s="392" t="s">
        <v>7273</v>
      </c>
      <c r="P676"/>
      <c r="Q676"/>
      <c r="R676" s="387">
        <f>VLOOKUP(E676,'[1]NDB Impacted SPRFs 05032013'!$A$2:$A$65536,1,FALSE)</f>
        <v>400046416</v>
      </c>
    </row>
    <row r="677" spans="1:21" s="159" customFormat="1" ht="60" x14ac:dyDescent="0.25">
      <c r="A677" s="63">
        <f>MATCH($E677,'D1 - Master Project Table'!$B$24:$B$7056,0)</f>
        <v>3060</v>
      </c>
      <c r="B677" s="63" t="b">
        <f t="shared" si="30"/>
        <v>0</v>
      </c>
      <c r="C677" s="63" t="b">
        <f t="shared" si="31"/>
        <v>1</v>
      </c>
      <c r="D677" s="63" t="str">
        <f t="shared" si="32"/>
        <v>OK</v>
      </c>
      <c r="E677" s="393">
        <v>400044587</v>
      </c>
      <c r="F677" s="392" t="s">
        <v>1872</v>
      </c>
      <c r="G677" s="392" t="s">
        <v>5325</v>
      </c>
      <c r="H677" s="392" t="s">
        <v>5314</v>
      </c>
      <c r="I677" s="392" t="s">
        <v>6419</v>
      </c>
      <c r="J677" s="392" t="s">
        <v>1433</v>
      </c>
      <c r="K677" s="392" t="s">
        <v>4595</v>
      </c>
      <c r="L677" s="392" t="s">
        <v>7892</v>
      </c>
      <c r="M677" s="392" t="s">
        <v>3758</v>
      </c>
      <c r="N677" s="392" t="s">
        <v>7273</v>
      </c>
      <c r="O677" s="392" t="s">
        <v>7273</v>
      </c>
      <c r="P677"/>
      <c r="Q677"/>
      <c r="R677" s="387">
        <f>VLOOKUP(E677,'[1]NDB Impacted SPRFs 05032013'!$A$2:$A$65536,1,FALSE)</f>
        <v>400044587</v>
      </c>
    </row>
    <row r="678" spans="1:21" s="159" customFormat="1" ht="60" x14ac:dyDescent="0.25">
      <c r="A678" s="63" t="e">
        <f>MATCH($E678,'D1 - Master Project Table'!$B$24:$B$7056,0)</f>
        <v>#N/A</v>
      </c>
      <c r="B678" s="63" t="b">
        <f t="shared" si="30"/>
        <v>1</v>
      </c>
      <c r="C678" s="63" t="b">
        <f t="shared" si="31"/>
        <v>1</v>
      </c>
      <c r="D678" s="63" t="str">
        <f t="shared" si="32"/>
        <v>OK</v>
      </c>
      <c r="E678" s="393">
        <v>400000803</v>
      </c>
      <c r="F678" s="392" t="s">
        <v>6735</v>
      </c>
      <c r="G678" s="392" t="s">
        <v>3441</v>
      </c>
      <c r="H678" s="392" t="s">
        <v>7418</v>
      </c>
      <c r="I678" s="392" t="s">
        <v>1770</v>
      </c>
      <c r="J678" s="392" t="s">
        <v>8851</v>
      </c>
      <c r="K678" s="392" t="s">
        <v>5640</v>
      </c>
      <c r="L678" s="392" t="s">
        <v>5428</v>
      </c>
      <c r="M678" s="392" t="s">
        <v>3758</v>
      </c>
      <c r="N678" s="392" t="s">
        <v>7273</v>
      </c>
      <c r="O678" s="392" t="s">
        <v>7273</v>
      </c>
      <c r="P678"/>
      <c r="Q678"/>
      <c r="R678" s="387">
        <f>VLOOKUP(E678,'[1]NDB Impacted SPRFs 05032013'!$A$2:$A$65536,1,FALSE)</f>
        <v>400000803</v>
      </c>
      <c r="S678" s="128"/>
      <c r="T678" s="128"/>
      <c r="U678" s="128"/>
    </row>
    <row r="679" spans="1:21" s="159" customFormat="1" ht="60" x14ac:dyDescent="0.25">
      <c r="A679" s="63">
        <f>MATCH($E679,'D1 - Master Project Table'!$B$24:$B$7056,0)</f>
        <v>2531</v>
      </c>
      <c r="B679" s="63" t="b">
        <f t="shared" si="30"/>
        <v>0</v>
      </c>
      <c r="C679" s="63" t="b">
        <f t="shared" si="31"/>
        <v>1</v>
      </c>
      <c r="D679" s="63" t="str">
        <f t="shared" si="32"/>
        <v>OK</v>
      </c>
      <c r="E679" s="393">
        <v>400008105</v>
      </c>
      <c r="F679" s="392" t="s">
        <v>4137</v>
      </c>
      <c r="G679" s="392" t="s">
        <v>3441</v>
      </c>
      <c r="H679" s="392" t="s">
        <v>7418</v>
      </c>
      <c r="I679" s="392" t="s">
        <v>1770</v>
      </c>
      <c r="J679" s="392" t="s">
        <v>8342</v>
      </c>
      <c r="K679" s="392" t="s">
        <v>5541</v>
      </c>
      <c r="L679" s="392" t="s">
        <v>5410</v>
      </c>
      <c r="M679" s="392" t="s">
        <v>3758</v>
      </c>
      <c r="N679" s="392" t="s">
        <v>7273</v>
      </c>
      <c r="O679" s="392" t="s">
        <v>7273</v>
      </c>
      <c r="P679"/>
      <c r="Q679"/>
      <c r="R679" s="387">
        <f>VLOOKUP(E679,'[1]NDB Impacted SPRFs 05032013'!$A$2:$A$65536,1,FALSE)</f>
        <v>400008105</v>
      </c>
      <c r="S679" s="128"/>
      <c r="T679" s="128"/>
      <c r="U679" s="128"/>
    </row>
    <row r="680" spans="1:21" s="159" customFormat="1" ht="60" x14ac:dyDescent="0.25">
      <c r="A680" s="63">
        <f>MATCH($E680,'D1 - Master Project Table'!$B$24:$B$7056,0)</f>
        <v>1852</v>
      </c>
      <c r="B680" s="63" t="b">
        <f t="shared" si="30"/>
        <v>0</v>
      </c>
      <c r="C680" s="63" t="b">
        <f t="shared" si="31"/>
        <v>1</v>
      </c>
      <c r="D680" s="63" t="str">
        <f t="shared" si="32"/>
        <v>OK</v>
      </c>
      <c r="E680" s="393">
        <v>400009205</v>
      </c>
      <c r="F680" s="392" t="s">
        <v>4988</v>
      </c>
      <c r="G680" s="392" t="s">
        <v>7182</v>
      </c>
      <c r="H680" s="392" t="s">
        <v>7418</v>
      </c>
      <c r="I680" s="392" t="s">
        <v>8936</v>
      </c>
      <c r="J680" s="392" t="s">
        <v>4997</v>
      </c>
      <c r="K680" s="392" t="s">
        <v>2523</v>
      </c>
      <c r="L680" s="392" t="s">
        <v>3439</v>
      </c>
      <c r="M680" s="392" t="s">
        <v>7273</v>
      </c>
      <c r="N680" s="392" t="s">
        <v>7273</v>
      </c>
      <c r="O680" s="392" t="s">
        <v>7273</v>
      </c>
      <c r="P680"/>
      <c r="Q680"/>
      <c r="R680" s="387">
        <f>VLOOKUP(E680,'[1]NDB Impacted SPRFs 05032013'!$A$2:$A$65536,1,FALSE)</f>
        <v>400009205</v>
      </c>
    </row>
    <row r="681" spans="1:21" s="159" customFormat="1" ht="60" x14ac:dyDescent="0.25">
      <c r="A681" s="63">
        <f>MATCH($E681,'D1 - Master Project Table'!$B$24:$B$7056,0)</f>
        <v>3207</v>
      </c>
      <c r="B681" s="63" t="b">
        <f t="shared" si="30"/>
        <v>0</v>
      </c>
      <c r="C681" s="63" t="b">
        <f t="shared" si="31"/>
        <v>0</v>
      </c>
      <c r="D681" s="63" t="str">
        <f t="shared" si="32"/>
        <v>OK</v>
      </c>
      <c r="E681" s="393">
        <v>400047841</v>
      </c>
      <c r="F681" s="392" t="s">
        <v>188</v>
      </c>
      <c r="G681" s="392" t="s">
        <v>6322</v>
      </c>
      <c r="H681" s="392" t="s">
        <v>4917</v>
      </c>
      <c r="I681" s="392" t="s">
        <v>1756</v>
      </c>
      <c r="J681" s="392" t="s">
        <v>8640</v>
      </c>
      <c r="K681" s="392" t="s">
        <v>4978</v>
      </c>
      <c r="L681" s="392" t="s">
        <v>9263</v>
      </c>
      <c r="M681" s="392" t="s">
        <v>7273</v>
      </c>
      <c r="N681" s="392" t="s">
        <v>7273</v>
      </c>
      <c r="O681" s="392" t="s">
        <v>7273</v>
      </c>
      <c r="P681"/>
      <c r="Q681"/>
      <c r="R681" s="387">
        <f>VLOOKUP(E681,'[1]NDB Impacted SPRFs 05032013'!$A$2:$A$65536,1,FALSE)</f>
        <v>400047841</v>
      </c>
    </row>
    <row r="682" spans="1:21" ht="60" x14ac:dyDescent="0.25">
      <c r="A682" s="63">
        <f>MATCH($E682,'D1 - Master Project Table'!$B$24:$B$7056,0)</f>
        <v>1655</v>
      </c>
      <c r="B682" s="63" t="b">
        <f t="shared" si="30"/>
        <v>0</v>
      </c>
      <c r="C682" s="63" t="b">
        <f t="shared" si="31"/>
        <v>1</v>
      </c>
      <c r="D682" s="63" t="str">
        <f t="shared" si="32"/>
        <v>OK</v>
      </c>
      <c r="E682" s="393">
        <v>400048009</v>
      </c>
      <c r="F682" s="392" t="s">
        <v>246</v>
      </c>
      <c r="G682" s="392" t="s">
        <v>9210</v>
      </c>
      <c r="H682" s="392" t="s">
        <v>7418</v>
      </c>
      <c r="I682" s="392" t="s">
        <v>2655</v>
      </c>
      <c r="J682" s="392" t="s">
        <v>2189</v>
      </c>
      <c r="K682" s="392" t="s">
        <v>2190</v>
      </c>
      <c r="L682" s="392" t="s">
        <v>7055</v>
      </c>
      <c r="M682" s="392" t="s">
        <v>3758</v>
      </c>
      <c r="N682" s="392" t="s">
        <v>7273</v>
      </c>
      <c r="O682" s="392" t="s">
        <v>7273</v>
      </c>
      <c r="P682"/>
      <c r="Q682"/>
      <c r="R682" s="387">
        <f>VLOOKUP(E682,'[1]NDB Impacted SPRFs 05032013'!$A$2:$A$65536,1,FALSE)</f>
        <v>400048009</v>
      </c>
    </row>
    <row r="683" spans="1:21" s="159" customFormat="1" ht="60" x14ac:dyDescent="0.25">
      <c r="A683" s="63">
        <f>MATCH($E683,'D1 - Master Project Table'!$B$24:$B$7056,0)</f>
        <v>2264</v>
      </c>
      <c r="B683" s="63" t="b">
        <f t="shared" si="30"/>
        <v>0</v>
      </c>
      <c r="C683" s="63" t="b">
        <f t="shared" si="31"/>
        <v>1</v>
      </c>
      <c r="D683" s="63" t="str">
        <f t="shared" si="32"/>
        <v>OK</v>
      </c>
      <c r="E683" s="393">
        <v>400032523</v>
      </c>
      <c r="F683" s="392" t="s">
        <v>4787</v>
      </c>
      <c r="G683" s="392" t="s">
        <v>5001</v>
      </c>
      <c r="H683" s="392" t="s">
        <v>7418</v>
      </c>
      <c r="I683" s="392" t="s">
        <v>3540</v>
      </c>
      <c r="J683" s="392" t="s">
        <v>8754</v>
      </c>
      <c r="K683" s="392" t="s">
        <v>2174</v>
      </c>
      <c r="L683" s="392" t="s">
        <v>803</v>
      </c>
      <c r="M683" s="392" t="s">
        <v>7273</v>
      </c>
      <c r="N683" s="392" t="s">
        <v>7273</v>
      </c>
      <c r="O683" s="392" t="s">
        <v>3758</v>
      </c>
      <c r="P683"/>
      <c r="Q683"/>
      <c r="R683" s="387">
        <f>VLOOKUP(E683,'[1]NDB Impacted SPRFs 05032013'!$A$2:$A$65536,1,FALSE)</f>
        <v>400032523</v>
      </c>
    </row>
    <row r="684" spans="1:21" s="159" customFormat="1" ht="60" x14ac:dyDescent="0.25">
      <c r="A684" s="63">
        <f>MATCH($E684,'D1 - Master Project Table'!$B$24:$B$7056,0)</f>
        <v>2365</v>
      </c>
      <c r="B684" s="63" t="b">
        <f t="shared" si="30"/>
        <v>0</v>
      </c>
      <c r="C684" s="63" t="b">
        <f t="shared" si="31"/>
        <v>1</v>
      </c>
      <c r="D684" s="63" t="str">
        <f t="shared" si="32"/>
        <v>OK</v>
      </c>
      <c r="E684" s="393">
        <v>400000579</v>
      </c>
      <c r="F684" s="392" t="s">
        <v>6859</v>
      </c>
      <c r="G684" s="392" t="s">
        <v>5324</v>
      </c>
      <c r="H684" s="392" t="s">
        <v>5314</v>
      </c>
      <c r="I684" s="392" t="s">
        <v>1765</v>
      </c>
      <c r="J684" s="392" t="s">
        <v>3843</v>
      </c>
      <c r="K684" s="392" t="s">
        <v>3292</v>
      </c>
      <c r="L684" s="392" t="s">
        <v>1425</v>
      </c>
      <c r="M684" s="392" t="s">
        <v>3758</v>
      </c>
      <c r="N684" s="392" t="s">
        <v>7273</v>
      </c>
      <c r="O684" s="392" t="s">
        <v>7273</v>
      </c>
      <c r="P684"/>
      <c r="Q684"/>
      <c r="R684" s="387">
        <f>VLOOKUP(E684,'[1]NDB Impacted SPRFs 05032013'!$A$2:$A$65536,1,FALSE)</f>
        <v>400000579</v>
      </c>
    </row>
    <row r="685" spans="1:21" ht="60" x14ac:dyDescent="0.25">
      <c r="A685" s="63">
        <f>MATCH($E685,'D1 - Master Project Table'!$B$24:$B$7056,0)</f>
        <v>35</v>
      </c>
      <c r="B685" s="63" t="b">
        <f t="shared" si="30"/>
        <v>0</v>
      </c>
      <c r="C685" s="63" t="b">
        <f t="shared" si="31"/>
        <v>0</v>
      </c>
      <c r="D685" s="63" t="str">
        <f t="shared" si="32"/>
        <v>OK</v>
      </c>
      <c r="E685" s="393">
        <v>400047969</v>
      </c>
      <c r="F685" s="392" t="s">
        <v>1697</v>
      </c>
      <c r="G685" s="392" t="s">
        <v>5324</v>
      </c>
      <c r="H685" s="392" t="s">
        <v>4917</v>
      </c>
      <c r="I685" s="392" t="s">
        <v>1762</v>
      </c>
      <c r="J685" s="392" t="s">
        <v>1886</v>
      </c>
      <c r="K685" s="392" t="s">
        <v>8075</v>
      </c>
      <c r="L685" s="392" t="s">
        <v>8937</v>
      </c>
      <c r="M685" s="392" t="s">
        <v>7273</v>
      </c>
      <c r="N685" s="392" t="s">
        <v>7273</v>
      </c>
      <c r="O685" s="392" t="s">
        <v>3758</v>
      </c>
      <c r="P685"/>
      <c r="Q685"/>
      <c r="R685" s="387">
        <f>VLOOKUP(E685,'[1]NDB Impacted SPRFs 05032013'!$A$2:$A$65536,1,FALSE)</f>
        <v>400047969</v>
      </c>
      <c r="S685" s="159"/>
      <c r="T685" s="159"/>
      <c r="U685" s="159"/>
    </row>
    <row r="686" spans="1:21" s="159" customFormat="1" ht="60" x14ac:dyDescent="0.25">
      <c r="A686" s="63">
        <f>MATCH($E686,'D1 - Master Project Table'!$B$24:$B$7056,0)</f>
        <v>597</v>
      </c>
      <c r="B686" s="63" t="b">
        <f t="shared" si="30"/>
        <v>0</v>
      </c>
      <c r="C686" s="63" t="b">
        <f t="shared" si="31"/>
        <v>1</v>
      </c>
      <c r="D686" s="63" t="str">
        <f t="shared" si="32"/>
        <v>OK</v>
      </c>
      <c r="E686" s="393">
        <v>400008000</v>
      </c>
      <c r="F686" s="392" t="s">
        <v>6540</v>
      </c>
      <c r="G686" s="392" t="s">
        <v>3441</v>
      </c>
      <c r="H686" s="392" t="s">
        <v>7418</v>
      </c>
      <c r="I686" s="392" t="s">
        <v>1770</v>
      </c>
      <c r="J686" s="392" t="s">
        <v>8852</v>
      </c>
      <c r="K686" s="392" t="s">
        <v>5541</v>
      </c>
      <c r="L686" s="392" t="s">
        <v>3497</v>
      </c>
      <c r="M686" s="392" t="s">
        <v>3758</v>
      </c>
      <c r="N686" s="392" t="s">
        <v>7273</v>
      </c>
      <c r="O686" s="392" t="s">
        <v>7273</v>
      </c>
      <c r="P686"/>
      <c r="Q686"/>
      <c r="R686" s="387">
        <f>VLOOKUP(E686,'[1]NDB Impacted SPRFs 05032013'!$A$2:$A$65536,1,FALSE)</f>
        <v>400008000</v>
      </c>
    </row>
    <row r="687" spans="1:21" s="159" customFormat="1" ht="60" x14ac:dyDescent="0.25">
      <c r="A687" s="63">
        <f>MATCH($E687,'D1 - Master Project Table'!$B$24:$B$7056,0)</f>
        <v>909</v>
      </c>
      <c r="B687" s="63" t="b">
        <f t="shared" si="30"/>
        <v>0</v>
      </c>
      <c r="C687" s="63" t="b">
        <f t="shared" si="31"/>
        <v>1</v>
      </c>
      <c r="D687" s="63" t="str">
        <f t="shared" si="32"/>
        <v>OK</v>
      </c>
      <c r="E687" s="393">
        <v>400021299</v>
      </c>
      <c r="F687" s="392" t="s">
        <v>5121</v>
      </c>
      <c r="G687" s="392" t="s">
        <v>5324</v>
      </c>
      <c r="H687" s="392" t="s">
        <v>7418</v>
      </c>
      <c r="I687" s="392" t="s">
        <v>1758</v>
      </c>
      <c r="J687" s="392" t="s">
        <v>6259</v>
      </c>
      <c r="K687" s="392" t="s">
        <v>3562</v>
      </c>
      <c r="L687" s="392" t="s">
        <v>8046</v>
      </c>
      <c r="M687" s="392" t="s">
        <v>7273</v>
      </c>
      <c r="N687" s="392" t="s">
        <v>7273</v>
      </c>
      <c r="O687" s="392" t="s">
        <v>7273</v>
      </c>
      <c r="P687"/>
      <c r="Q687"/>
      <c r="R687" s="387">
        <f>VLOOKUP(E687,'[1]NDB Impacted SPRFs 05032013'!$A$2:$A$65536,1,FALSE)</f>
        <v>400021299</v>
      </c>
      <c r="S687" s="128"/>
      <c r="T687" s="128"/>
      <c r="U687" s="128"/>
    </row>
    <row r="688" spans="1:21" s="159" customFormat="1" ht="60" x14ac:dyDescent="0.25">
      <c r="A688" s="63">
        <f>MATCH($E688,'D1 - Master Project Table'!$B$24:$B$7056,0)</f>
        <v>2266</v>
      </c>
      <c r="B688" s="63" t="b">
        <f t="shared" si="30"/>
        <v>0</v>
      </c>
      <c r="C688" s="63" t="b">
        <f t="shared" si="31"/>
        <v>1</v>
      </c>
      <c r="D688" s="63" t="str">
        <f t="shared" si="32"/>
        <v>OK</v>
      </c>
      <c r="E688" s="393">
        <v>400032830</v>
      </c>
      <c r="F688" s="392" t="s">
        <v>5064</v>
      </c>
      <c r="G688" s="392" t="s">
        <v>5325</v>
      </c>
      <c r="H688" s="392" t="s">
        <v>7418</v>
      </c>
      <c r="I688" s="392" t="s">
        <v>6419</v>
      </c>
      <c r="J688" s="392" t="s">
        <v>6011</v>
      </c>
      <c r="K688" s="392" t="s">
        <v>5065</v>
      </c>
      <c r="L688" s="392" t="s">
        <v>9264</v>
      </c>
      <c r="M688" s="392" t="s">
        <v>3758</v>
      </c>
      <c r="N688" s="392" t="s">
        <v>7273</v>
      </c>
      <c r="O688" s="392" t="s">
        <v>7273</v>
      </c>
      <c r="P688"/>
      <c r="Q688"/>
      <c r="R688" s="387">
        <f>VLOOKUP(E688,'[1]NDB Impacted SPRFs 05032013'!$A$2:$A$65536,1,FALSE)</f>
        <v>400032830</v>
      </c>
    </row>
    <row r="689" spans="1:21" s="159" customFormat="1" ht="60" x14ac:dyDescent="0.25">
      <c r="A689" s="63">
        <f>MATCH($E689,'D1 - Master Project Table'!$B$24:$B$7056,0)</f>
        <v>1518</v>
      </c>
      <c r="B689" s="63" t="b">
        <f t="shared" si="30"/>
        <v>0</v>
      </c>
      <c r="C689" s="63" t="b">
        <f t="shared" si="31"/>
        <v>1</v>
      </c>
      <c r="D689" s="63" t="str">
        <f t="shared" si="32"/>
        <v>OK</v>
      </c>
      <c r="E689" s="393">
        <v>400037224</v>
      </c>
      <c r="F689" s="392" t="s">
        <v>1201</v>
      </c>
      <c r="G689" s="392" t="s">
        <v>9210</v>
      </c>
      <c r="H689" s="392" t="s">
        <v>7418</v>
      </c>
      <c r="I689" s="392" t="s">
        <v>3540</v>
      </c>
      <c r="J689" s="392" t="s">
        <v>8775</v>
      </c>
      <c r="K689" s="392" t="s">
        <v>3689</v>
      </c>
      <c r="L689" s="392" t="s">
        <v>2532</v>
      </c>
      <c r="M689" s="392" t="s">
        <v>3758</v>
      </c>
      <c r="N689" s="392" t="s">
        <v>7273</v>
      </c>
      <c r="O689" s="392" t="s">
        <v>7273</v>
      </c>
      <c r="P689"/>
      <c r="Q689"/>
      <c r="R689" s="387">
        <f>VLOOKUP(E689,'[1]NDB Impacted SPRFs 05032013'!$A$2:$A$65536,1,FALSE)</f>
        <v>400037224</v>
      </c>
      <c r="S689" s="128"/>
      <c r="T689" s="128"/>
      <c r="U689" s="128"/>
    </row>
    <row r="690" spans="1:21" ht="60" x14ac:dyDescent="0.25">
      <c r="A690" s="63">
        <f>MATCH($E690,'D1 - Master Project Table'!$B$24:$B$7056,0)</f>
        <v>171</v>
      </c>
      <c r="B690" s="63" t="b">
        <f t="shared" si="30"/>
        <v>0</v>
      </c>
      <c r="C690" s="63" t="b">
        <f t="shared" si="31"/>
        <v>0</v>
      </c>
      <c r="D690" s="63" t="str">
        <f t="shared" si="32"/>
        <v>OK</v>
      </c>
      <c r="E690" s="393">
        <v>400057661</v>
      </c>
      <c r="F690" s="392" t="s">
        <v>7664</v>
      </c>
      <c r="G690" s="392" t="s">
        <v>5324</v>
      </c>
      <c r="H690" s="392" t="s">
        <v>4917</v>
      </c>
      <c r="I690" s="392" t="s">
        <v>1759</v>
      </c>
      <c r="J690" s="392" t="s">
        <v>7252</v>
      </c>
      <c r="K690" s="392" t="s">
        <v>7665</v>
      </c>
      <c r="L690" s="392" t="s">
        <v>9490</v>
      </c>
      <c r="M690" s="392" t="s">
        <v>7273</v>
      </c>
      <c r="N690" s="392" t="s">
        <v>7273</v>
      </c>
      <c r="O690" s="392" t="s">
        <v>7273</v>
      </c>
      <c r="P690"/>
      <c r="Q690"/>
      <c r="R690" s="387">
        <f>VLOOKUP(E690,'[1]NDB Impacted SPRFs 05032013'!$A$2:$A$65536,1,FALSE)</f>
        <v>400057661</v>
      </c>
    </row>
    <row r="691" spans="1:21" s="159" customFormat="1" ht="60" x14ac:dyDescent="0.25">
      <c r="A691" s="63">
        <f>MATCH($E691,'D1 - Master Project Table'!$B$24:$B$7056,0)</f>
        <v>947</v>
      </c>
      <c r="B691" s="63" t="b">
        <f t="shared" si="30"/>
        <v>0</v>
      </c>
      <c r="C691" s="63" t="b">
        <f t="shared" si="31"/>
        <v>1</v>
      </c>
      <c r="D691" s="63" t="str">
        <f t="shared" si="32"/>
        <v>OK</v>
      </c>
      <c r="E691" s="393">
        <v>400023210</v>
      </c>
      <c r="F691" s="392" t="s">
        <v>7731</v>
      </c>
      <c r="G691" s="392" t="s">
        <v>5325</v>
      </c>
      <c r="H691" s="392" t="s">
        <v>5314</v>
      </c>
      <c r="I691" s="392" t="s">
        <v>6419</v>
      </c>
      <c r="J691" s="392" t="s">
        <v>5112</v>
      </c>
      <c r="K691" s="392" t="s">
        <v>7732</v>
      </c>
      <c r="L691" s="392" t="s">
        <v>7582</v>
      </c>
      <c r="M691" s="392" t="s">
        <v>7273</v>
      </c>
      <c r="N691" s="392" t="s">
        <v>7273</v>
      </c>
      <c r="O691" s="392" t="s">
        <v>7273</v>
      </c>
      <c r="P691"/>
      <c r="Q691"/>
      <c r="R691" s="387">
        <f>VLOOKUP(E691,'[1]NDB Impacted SPRFs 05032013'!$A$2:$A$65536,1,FALSE)</f>
        <v>400023210</v>
      </c>
    </row>
    <row r="692" spans="1:21" s="159" customFormat="1" ht="60" x14ac:dyDescent="0.25">
      <c r="A692" s="63">
        <f>MATCH($E692,'D1 - Master Project Table'!$B$24:$B$7056,0)</f>
        <v>334</v>
      </c>
      <c r="B692" s="63" t="b">
        <f t="shared" si="30"/>
        <v>0</v>
      </c>
      <c r="C692" s="63" t="b">
        <f t="shared" si="31"/>
        <v>1</v>
      </c>
      <c r="D692" s="63" t="str">
        <f t="shared" si="32"/>
        <v>OK</v>
      </c>
      <c r="E692" s="393">
        <v>400007568</v>
      </c>
      <c r="F692" s="392" t="s">
        <v>6294</v>
      </c>
      <c r="G692" s="392" t="s">
        <v>5995</v>
      </c>
      <c r="H692" s="392" t="s">
        <v>7418</v>
      </c>
      <c r="I692" s="392" t="s">
        <v>3529</v>
      </c>
      <c r="J692" s="392" t="s">
        <v>4115</v>
      </c>
      <c r="K692" s="392" t="s">
        <v>8092</v>
      </c>
      <c r="L692" s="392" t="s">
        <v>2786</v>
      </c>
      <c r="M692" s="392" t="s">
        <v>3758</v>
      </c>
      <c r="N692" s="392" t="s">
        <v>7273</v>
      </c>
      <c r="O692" s="392" t="s">
        <v>7273</v>
      </c>
      <c r="P692"/>
      <c r="Q692"/>
      <c r="R692" s="387">
        <f>VLOOKUP(E692,'[1]NDB Impacted SPRFs 05032013'!$A$2:$A$65536,1,FALSE)</f>
        <v>400007568</v>
      </c>
    </row>
    <row r="693" spans="1:21" ht="60" x14ac:dyDescent="0.25">
      <c r="A693" s="63">
        <f>MATCH($E693,'D1 - Master Project Table'!$B$24:$B$7056,0)</f>
        <v>785</v>
      </c>
      <c r="B693" s="63" t="b">
        <f t="shared" si="30"/>
        <v>0</v>
      </c>
      <c r="C693" s="63" t="b">
        <f t="shared" si="31"/>
        <v>1</v>
      </c>
      <c r="D693" s="63" t="str">
        <f t="shared" si="32"/>
        <v>OK</v>
      </c>
      <c r="E693" s="393">
        <v>400012883</v>
      </c>
      <c r="F693" s="392" t="s">
        <v>5157</v>
      </c>
      <c r="G693" s="392" t="s">
        <v>5324</v>
      </c>
      <c r="H693" s="392" t="s">
        <v>7418</v>
      </c>
      <c r="I693" s="392" t="s">
        <v>1756</v>
      </c>
      <c r="J693" s="392" t="s">
        <v>8598</v>
      </c>
      <c r="K693" s="392" t="s">
        <v>8049</v>
      </c>
      <c r="L693" s="392" t="s">
        <v>8938</v>
      </c>
      <c r="M693" s="392" t="s">
        <v>7273</v>
      </c>
      <c r="N693" s="392" t="s">
        <v>7273</v>
      </c>
      <c r="O693" s="392" t="s">
        <v>7273</v>
      </c>
      <c r="P693"/>
      <c r="Q693"/>
      <c r="R693" s="387">
        <f>VLOOKUP(E693,'[1]NDB Impacted SPRFs 05032013'!$A$2:$A$65536,1,FALSE)</f>
        <v>400012883</v>
      </c>
      <c r="S693" s="159"/>
      <c r="T693" s="159"/>
      <c r="U693" s="159"/>
    </row>
    <row r="694" spans="1:21" s="159" customFormat="1" ht="60" x14ac:dyDescent="0.25">
      <c r="A694" s="63">
        <f>MATCH($E694,'D1 - Master Project Table'!$B$24:$B$7056,0)</f>
        <v>742</v>
      </c>
      <c r="B694" s="63" t="b">
        <f t="shared" si="30"/>
        <v>0</v>
      </c>
      <c r="C694" s="63" t="b">
        <f t="shared" si="31"/>
        <v>1</v>
      </c>
      <c r="D694" s="63" t="str">
        <f t="shared" si="32"/>
        <v>OK</v>
      </c>
      <c r="E694" s="393">
        <v>400013434</v>
      </c>
      <c r="F694" s="392" t="s">
        <v>6169</v>
      </c>
      <c r="G694" s="392" t="s">
        <v>5324</v>
      </c>
      <c r="H694" s="392" t="s">
        <v>7418</v>
      </c>
      <c r="I694" s="392" t="s">
        <v>1756</v>
      </c>
      <c r="J694" s="392" t="s">
        <v>451</v>
      </c>
      <c r="K694" s="392" t="s">
        <v>6878</v>
      </c>
      <c r="L694" s="392" t="s">
        <v>2539</v>
      </c>
      <c r="M694" s="392" t="s">
        <v>7273</v>
      </c>
      <c r="N694" s="392" t="s">
        <v>7273</v>
      </c>
      <c r="O694" s="392" t="s">
        <v>7273</v>
      </c>
      <c r="P694" s="158"/>
      <c r="Q694" s="128"/>
      <c r="R694" s="387">
        <f>VLOOKUP(E694,'[1]NDB Impacted SPRFs 05032013'!$A$2:$A$65536,1,FALSE)</f>
        <v>400013434</v>
      </c>
      <c r="S694" s="128"/>
      <c r="T694" s="128"/>
      <c r="U694" s="128"/>
    </row>
    <row r="695" spans="1:21" s="159" customFormat="1" ht="60" x14ac:dyDescent="0.25">
      <c r="A695" s="63">
        <f>MATCH($E695,'D1 - Master Project Table'!$B$24:$B$7056,0)</f>
        <v>1089</v>
      </c>
      <c r="B695" s="63" t="b">
        <f t="shared" si="30"/>
        <v>0</v>
      </c>
      <c r="C695" s="63" t="b">
        <f t="shared" si="31"/>
        <v>1</v>
      </c>
      <c r="D695" s="63" t="str">
        <f t="shared" si="32"/>
        <v>OK</v>
      </c>
      <c r="E695" s="393">
        <v>400029061</v>
      </c>
      <c r="F695" s="392" t="s">
        <v>3386</v>
      </c>
      <c r="G695" s="392" t="s">
        <v>5324</v>
      </c>
      <c r="H695" s="392" t="s">
        <v>7418</v>
      </c>
      <c r="I695" s="392" t="s">
        <v>1760</v>
      </c>
      <c r="J695" s="392" t="s">
        <v>8421</v>
      </c>
      <c r="K695" s="392" t="s">
        <v>3387</v>
      </c>
      <c r="L695" s="392" t="s">
        <v>3665</v>
      </c>
      <c r="M695" s="392" t="s">
        <v>3758</v>
      </c>
      <c r="N695" s="392" t="s">
        <v>7273</v>
      </c>
      <c r="O695" s="392" t="s">
        <v>7273</v>
      </c>
      <c r="P695"/>
      <c r="Q695"/>
      <c r="R695" s="387">
        <f>VLOOKUP(E695,'[1]NDB Impacted SPRFs 05032013'!$A$2:$A$65536,1,FALSE)</f>
        <v>400029061</v>
      </c>
    </row>
    <row r="696" spans="1:21" ht="60" x14ac:dyDescent="0.25">
      <c r="A696" s="63">
        <f>MATCH($E696,'D1 - Master Project Table'!$B$24:$B$7056,0)</f>
        <v>2934</v>
      </c>
      <c r="B696" s="63" t="b">
        <f t="shared" si="30"/>
        <v>0</v>
      </c>
      <c r="C696" s="63" t="b">
        <f t="shared" si="31"/>
        <v>1</v>
      </c>
      <c r="D696" s="63" t="str">
        <f t="shared" si="32"/>
        <v>OK</v>
      </c>
      <c r="E696" s="393">
        <v>400033715</v>
      </c>
      <c r="F696" s="392" t="s">
        <v>1858</v>
      </c>
      <c r="G696" s="392" t="s">
        <v>5324</v>
      </c>
      <c r="H696" s="392" t="s">
        <v>5314</v>
      </c>
      <c r="I696" s="392" t="s">
        <v>1759</v>
      </c>
      <c r="J696" s="392" t="s">
        <v>8320</v>
      </c>
      <c r="K696" s="392" t="s">
        <v>6005</v>
      </c>
      <c r="L696" s="392" t="s">
        <v>7521</v>
      </c>
      <c r="M696" s="392" t="s">
        <v>3758</v>
      </c>
      <c r="N696" s="392" t="s">
        <v>7273</v>
      </c>
      <c r="O696" s="392" t="s">
        <v>3758</v>
      </c>
      <c r="P696"/>
      <c r="Q696"/>
      <c r="R696" s="387">
        <f>VLOOKUP(E696,'[1]NDB Impacted SPRFs 05032013'!$A$2:$A$65536,1,FALSE)</f>
        <v>400033715</v>
      </c>
      <c r="S696" s="159"/>
      <c r="T696" s="159"/>
      <c r="U696" s="159"/>
    </row>
    <row r="697" spans="1:21" s="159" customFormat="1" ht="60" x14ac:dyDescent="0.25">
      <c r="A697" s="63" t="e">
        <f>MATCH($E697,'D1 - Master Project Table'!$B$24:$B$7056,0)</f>
        <v>#N/A</v>
      </c>
      <c r="B697" s="63" t="b">
        <f t="shared" si="30"/>
        <v>1</v>
      </c>
      <c r="C697" s="63" t="b">
        <f t="shared" si="31"/>
        <v>1</v>
      </c>
      <c r="D697" s="63" t="str">
        <f t="shared" si="32"/>
        <v>OK</v>
      </c>
      <c r="E697" s="393">
        <v>400000607</v>
      </c>
      <c r="F697" s="392" t="s">
        <v>5005</v>
      </c>
      <c r="G697" s="392" t="s">
        <v>5995</v>
      </c>
      <c r="H697" s="392" t="s">
        <v>7418</v>
      </c>
      <c r="I697" s="392" t="s">
        <v>3529</v>
      </c>
      <c r="J697" s="392" t="s">
        <v>3383</v>
      </c>
      <c r="K697" s="392" t="s">
        <v>3743</v>
      </c>
      <c r="L697" s="392" t="s">
        <v>6675</v>
      </c>
      <c r="M697" s="392" t="s">
        <v>3758</v>
      </c>
      <c r="N697" s="392" t="s">
        <v>7273</v>
      </c>
      <c r="O697" s="392" t="s">
        <v>7273</v>
      </c>
      <c r="P697"/>
      <c r="Q697"/>
      <c r="R697" s="387">
        <f>VLOOKUP(E697,'[1]NDB Impacted SPRFs 05032013'!$A$2:$A$65536,1,FALSE)</f>
        <v>400000607</v>
      </c>
    </row>
    <row r="698" spans="1:21" s="159" customFormat="1" ht="60" x14ac:dyDescent="0.25">
      <c r="A698" s="63">
        <f>MATCH($E698,'D1 - Master Project Table'!$B$24:$B$7056,0)</f>
        <v>989</v>
      </c>
      <c r="B698" s="63" t="b">
        <f t="shared" si="30"/>
        <v>0</v>
      </c>
      <c r="C698" s="63" t="b">
        <f t="shared" si="31"/>
        <v>1</v>
      </c>
      <c r="D698" s="63" t="str">
        <f t="shared" si="32"/>
        <v>OK</v>
      </c>
      <c r="E698" s="393">
        <v>400024374</v>
      </c>
      <c r="F698" s="392" t="s">
        <v>6452</v>
      </c>
      <c r="G698" s="392" t="s">
        <v>5324</v>
      </c>
      <c r="H698" s="392" t="s">
        <v>7418</v>
      </c>
      <c r="I698" s="392" t="s">
        <v>1763</v>
      </c>
      <c r="J698" s="392" t="s">
        <v>8430</v>
      </c>
      <c r="K698" s="392" t="s">
        <v>5622</v>
      </c>
      <c r="L698" s="392" t="s">
        <v>4444</v>
      </c>
      <c r="M698" s="392" t="s">
        <v>3758</v>
      </c>
      <c r="N698" s="392" t="s">
        <v>7273</v>
      </c>
      <c r="O698" s="392" t="s">
        <v>7273</v>
      </c>
      <c r="P698"/>
      <c r="Q698"/>
      <c r="R698" s="387">
        <f>VLOOKUP(E698,'[1]NDB Impacted SPRFs 05032013'!$A$2:$A$65536,1,FALSE)</f>
        <v>400024374</v>
      </c>
      <c r="S698" s="128"/>
      <c r="T698" s="128"/>
      <c r="U698" s="128"/>
    </row>
    <row r="699" spans="1:21" s="159" customFormat="1" ht="60" x14ac:dyDescent="0.25">
      <c r="A699" s="63">
        <f>MATCH($E699,'D1 - Master Project Table'!$B$24:$B$7056,0)</f>
        <v>156</v>
      </c>
      <c r="B699" s="63" t="b">
        <f t="shared" si="30"/>
        <v>0</v>
      </c>
      <c r="C699" s="63" t="b">
        <f t="shared" si="31"/>
        <v>0</v>
      </c>
      <c r="D699" s="63" t="str">
        <f t="shared" si="32"/>
        <v>OK</v>
      </c>
      <c r="E699" s="393">
        <v>400052214</v>
      </c>
      <c r="F699" s="392" t="s">
        <v>8995</v>
      </c>
      <c r="G699" s="392" t="s">
        <v>5324</v>
      </c>
      <c r="H699" s="392" t="s">
        <v>4917</v>
      </c>
      <c r="I699" s="392" t="s">
        <v>1759</v>
      </c>
      <c r="J699" s="392" t="s">
        <v>4854</v>
      </c>
      <c r="K699" s="392" t="s">
        <v>5162</v>
      </c>
      <c r="L699" s="392" t="s">
        <v>9310</v>
      </c>
      <c r="M699" s="392" t="s">
        <v>7273</v>
      </c>
      <c r="N699" s="392" t="s">
        <v>7273</v>
      </c>
      <c r="O699" s="392" t="s">
        <v>7273</v>
      </c>
      <c r="P699"/>
      <c r="Q699"/>
      <c r="R699" s="387">
        <f>VLOOKUP(E699,'[1]NDB Impacted SPRFs 05032013'!$A$2:$A$65536,1,FALSE)</f>
        <v>400052214</v>
      </c>
      <c r="S699" s="128"/>
      <c r="T699" s="128"/>
      <c r="U699" s="128"/>
    </row>
    <row r="700" spans="1:21" s="159" customFormat="1" ht="60" x14ac:dyDescent="0.25">
      <c r="A700" s="63">
        <f>MATCH($E700,'D1 - Master Project Table'!$B$24:$B$7056,0)</f>
        <v>53</v>
      </c>
      <c r="B700" s="63" t="b">
        <f t="shared" si="30"/>
        <v>0</v>
      </c>
      <c r="C700" s="63" t="b">
        <f t="shared" si="31"/>
        <v>0</v>
      </c>
      <c r="D700" s="63" t="str">
        <f t="shared" si="32"/>
        <v>OK</v>
      </c>
      <c r="E700" s="393">
        <v>400054585</v>
      </c>
      <c r="F700" s="392" t="s">
        <v>3039</v>
      </c>
      <c r="G700" s="392" t="s">
        <v>5324</v>
      </c>
      <c r="H700" s="392" t="s">
        <v>4917</v>
      </c>
      <c r="I700" s="392" t="s">
        <v>1759</v>
      </c>
      <c r="J700" s="392" t="s">
        <v>6584</v>
      </c>
      <c r="K700" s="392" t="s">
        <v>6585</v>
      </c>
      <c r="L700" s="392" t="s">
        <v>7699</v>
      </c>
      <c r="M700" s="392" t="s">
        <v>7273</v>
      </c>
      <c r="N700" s="392" t="s">
        <v>7273</v>
      </c>
      <c r="O700" s="392" t="s">
        <v>7273</v>
      </c>
      <c r="P700"/>
      <c r="Q700"/>
      <c r="R700" s="387">
        <f>VLOOKUP(E700,'[1]NDB Impacted SPRFs 05032013'!$A$2:$A$65536,1,FALSE)</f>
        <v>400054585</v>
      </c>
    </row>
    <row r="701" spans="1:21" s="159" customFormat="1" ht="60" x14ac:dyDescent="0.25">
      <c r="A701" s="63">
        <f>MATCH($E701,'D1 - Master Project Table'!$B$24:$B$7056,0)</f>
        <v>2658</v>
      </c>
      <c r="B701" s="63" t="b">
        <f t="shared" si="30"/>
        <v>0</v>
      </c>
      <c r="C701" s="63" t="b">
        <f t="shared" si="31"/>
        <v>1</v>
      </c>
      <c r="D701" s="63" t="str">
        <f t="shared" si="32"/>
        <v>OK</v>
      </c>
      <c r="E701" s="393">
        <v>400015474</v>
      </c>
      <c r="F701" s="392" t="s">
        <v>6304</v>
      </c>
      <c r="G701" s="392" t="s">
        <v>5324</v>
      </c>
      <c r="H701" s="392" t="s">
        <v>7418</v>
      </c>
      <c r="I701" s="392" t="s">
        <v>1770</v>
      </c>
      <c r="J701" s="392" t="s">
        <v>7394</v>
      </c>
      <c r="K701" s="392" t="s">
        <v>6394</v>
      </c>
      <c r="L701" s="392" t="s">
        <v>3641</v>
      </c>
      <c r="M701" s="392" t="s">
        <v>7273</v>
      </c>
      <c r="N701" s="392" t="s">
        <v>7273</v>
      </c>
      <c r="O701" s="392" t="s">
        <v>7273</v>
      </c>
      <c r="P701"/>
      <c r="Q701"/>
      <c r="R701" s="387">
        <f>VLOOKUP(E701,'[1]NDB Impacted SPRFs 05032013'!$A$2:$A$65536,1,FALSE)</f>
        <v>400015474</v>
      </c>
    </row>
    <row r="702" spans="1:21" s="159" customFormat="1" ht="60" x14ac:dyDescent="0.25">
      <c r="A702" s="63">
        <f>MATCH($E702,'D1 - Master Project Table'!$B$24:$B$7056,0)</f>
        <v>3272</v>
      </c>
      <c r="B702" s="63" t="b">
        <f t="shared" si="30"/>
        <v>0</v>
      </c>
      <c r="C702" s="63" t="b">
        <f t="shared" si="31"/>
        <v>1</v>
      </c>
      <c r="D702" s="63" t="str">
        <f t="shared" si="32"/>
        <v>OK</v>
      </c>
      <c r="E702" s="393">
        <v>400040632</v>
      </c>
      <c r="F702" s="392" t="s">
        <v>1575</v>
      </c>
      <c r="G702" s="392" t="s">
        <v>5324</v>
      </c>
      <c r="H702" s="392" t="s">
        <v>7418</v>
      </c>
      <c r="I702" s="392" t="s">
        <v>1758</v>
      </c>
      <c r="J702" s="392" t="s">
        <v>2273</v>
      </c>
      <c r="K702" s="392" t="s">
        <v>1576</v>
      </c>
      <c r="L702" s="392" t="s">
        <v>3573</v>
      </c>
      <c r="M702" s="392" t="s">
        <v>3758</v>
      </c>
      <c r="N702" s="392" t="s">
        <v>7273</v>
      </c>
      <c r="O702" s="392" t="s">
        <v>7273</v>
      </c>
      <c r="P702"/>
      <c r="Q702"/>
      <c r="R702" s="387">
        <f>VLOOKUP(E702,'[1]NDB Impacted SPRFs 05032013'!$A$2:$A$65536,1,FALSE)</f>
        <v>400040632</v>
      </c>
    </row>
    <row r="703" spans="1:21" s="159" customFormat="1" ht="60" x14ac:dyDescent="0.25">
      <c r="A703" s="63">
        <f>MATCH($E703,'D1 - Master Project Table'!$B$24:$B$7056,0)</f>
        <v>1484</v>
      </c>
      <c r="B703" s="63" t="b">
        <f t="shared" si="30"/>
        <v>0</v>
      </c>
      <c r="C703" s="63" t="b">
        <f t="shared" si="31"/>
        <v>1</v>
      </c>
      <c r="D703" s="63" t="str">
        <f t="shared" si="32"/>
        <v>OK</v>
      </c>
      <c r="E703" s="393">
        <v>400042108</v>
      </c>
      <c r="F703" s="392" t="s">
        <v>1896</v>
      </c>
      <c r="G703" s="392" t="s">
        <v>5995</v>
      </c>
      <c r="H703" s="392" t="s">
        <v>7418</v>
      </c>
      <c r="I703" s="392" t="s">
        <v>6423</v>
      </c>
      <c r="J703" s="392" t="s">
        <v>2040</v>
      </c>
      <c r="K703" s="392" t="s">
        <v>1897</v>
      </c>
      <c r="L703" s="392" t="s">
        <v>2529</v>
      </c>
      <c r="M703" s="392" t="s">
        <v>3758</v>
      </c>
      <c r="N703" s="392" t="s">
        <v>7273</v>
      </c>
      <c r="O703" s="392" t="s">
        <v>7273</v>
      </c>
      <c r="P703"/>
      <c r="Q703"/>
      <c r="R703" s="387">
        <f>VLOOKUP(E703,'[1]NDB Impacted SPRFs 05032013'!$A$2:$A$65536,1,FALSE)</f>
        <v>400042108</v>
      </c>
    </row>
    <row r="704" spans="1:21" s="159" customFormat="1" ht="60" x14ac:dyDescent="0.25">
      <c r="A704" s="63">
        <f>MATCH($E704,'D1 - Master Project Table'!$B$24:$B$7056,0)</f>
        <v>1007</v>
      </c>
      <c r="B704" s="63" t="b">
        <f t="shared" si="30"/>
        <v>0</v>
      </c>
      <c r="C704" s="63" t="b">
        <f t="shared" si="31"/>
        <v>1</v>
      </c>
      <c r="D704" s="63" t="str">
        <f t="shared" si="32"/>
        <v>OK</v>
      </c>
      <c r="E704" s="393">
        <v>400018770</v>
      </c>
      <c r="F704" s="392" t="s">
        <v>4969</v>
      </c>
      <c r="G704" s="392" t="s">
        <v>5325</v>
      </c>
      <c r="H704" s="392" t="s">
        <v>7418</v>
      </c>
      <c r="I704" s="392" t="s">
        <v>1797</v>
      </c>
      <c r="J704" s="392" t="s">
        <v>3936</v>
      </c>
      <c r="K704" s="392" t="s">
        <v>4027</v>
      </c>
      <c r="L704" s="392" t="s">
        <v>5369</v>
      </c>
      <c r="M704" s="392" t="s">
        <v>7273</v>
      </c>
      <c r="N704" s="392" t="s">
        <v>7273</v>
      </c>
      <c r="O704" s="392" t="s">
        <v>7273</v>
      </c>
      <c r="P704"/>
      <c r="Q704"/>
      <c r="R704" s="387">
        <f>VLOOKUP(E704,'[1]NDB Impacted SPRFs 05032013'!$A$2:$A$65536,1,FALSE)</f>
        <v>400018770</v>
      </c>
    </row>
    <row r="705" spans="1:21" s="159" customFormat="1" ht="60" x14ac:dyDescent="0.25">
      <c r="A705" s="63">
        <f>MATCH($E705,'D1 - Master Project Table'!$B$24:$B$7056,0)</f>
        <v>1154</v>
      </c>
      <c r="B705" s="63" t="b">
        <f t="shared" si="30"/>
        <v>0</v>
      </c>
      <c r="C705" s="63" t="b">
        <f t="shared" si="31"/>
        <v>1</v>
      </c>
      <c r="D705" s="63" t="str">
        <f t="shared" si="32"/>
        <v>OK</v>
      </c>
      <c r="E705" s="393">
        <v>400029935</v>
      </c>
      <c r="F705" s="392" t="s">
        <v>3709</v>
      </c>
      <c r="G705" s="392" t="s">
        <v>5324</v>
      </c>
      <c r="H705" s="392" t="s">
        <v>7418</v>
      </c>
      <c r="I705" s="392" t="s">
        <v>1756</v>
      </c>
      <c r="J705" s="392" t="s">
        <v>7078</v>
      </c>
      <c r="K705" s="392" t="s">
        <v>7609</v>
      </c>
      <c r="L705" s="392" t="s">
        <v>6827</v>
      </c>
      <c r="M705" s="392" t="s">
        <v>7273</v>
      </c>
      <c r="N705" s="392" t="s">
        <v>7273</v>
      </c>
      <c r="O705" s="392" t="s">
        <v>7273</v>
      </c>
      <c r="P705"/>
      <c r="Q705"/>
      <c r="R705" s="387">
        <f>VLOOKUP(E705,'[1]NDB Impacted SPRFs 05032013'!$A$2:$A$65536,1,FALSE)</f>
        <v>400029935</v>
      </c>
      <c r="S705" s="128"/>
      <c r="T705" s="128"/>
      <c r="U705" s="128"/>
    </row>
    <row r="706" spans="1:21" s="159" customFormat="1" ht="60" x14ac:dyDescent="0.25">
      <c r="A706" s="63">
        <f>MATCH($E706,'D1 - Master Project Table'!$B$24:$B$7056,0)</f>
        <v>1339</v>
      </c>
      <c r="B706" s="63" t="b">
        <f t="shared" si="30"/>
        <v>0</v>
      </c>
      <c r="C706" s="63" t="b">
        <f t="shared" si="31"/>
        <v>1</v>
      </c>
      <c r="D706" s="63" t="str">
        <f t="shared" si="32"/>
        <v>OK</v>
      </c>
      <c r="E706" s="393">
        <v>400031541</v>
      </c>
      <c r="F706" s="392" t="s">
        <v>6738</v>
      </c>
      <c r="G706" s="392" t="s">
        <v>5001</v>
      </c>
      <c r="H706" s="392" t="s">
        <v>7418</v>
      </c>
      <c r="I706" s="392" t="s">
        <v>1829</v>
      </c>
      <c r="J706" s="392" t="s">
        <v>8757</v>
      </c>
      <c r="K706" s="392" t="s">
        <v>2062</v>
      </c>
      <c r="L706" s="392" t="s">
        <v>8202</v>
      </c>
      <c r="M706" s="392" t="s">
        <v>3758</v>
      </c>
      <c r="N706" s="392" t="s">
        <v>7273</v>
      </c>
      <c r="O706" s="392" t="s">
        <v>7273</v>
      </c>
      <c r="P706"/>
      <c r="Q706"/>
      <c r="R706" s="387">
        <f>VLOOKUP(E706,'[1]NDB Impacted SPRFs 05032013'!$A$2:$A$65536,1,FALSE)</f>
        <v>400031541</v>
      </c>
    </row>
    <row r="707" spans="1:21" s="159" customFormat="1" ht="60" x14ac:dyDescent="0.25">
      <c r="A707" s="63">
        <f>MATCH($E707,'D1 - Master Project Table'!$B$24:$B$7056,0)</f>
        <v>826</v>
      </c>
      <c r="B707" s="63" t="b">
        <f t="shared" si="30"/>
        <v>0</v>
      </c>
      <c r="C707" s="63" t="b">
        <f t="shared" si="31"/>
        <v>1</v>
      </c>
      <c r="D707" s="63" t="str">
        <f t="shared" si="32"/>
        <v>OK</v>
      </c>
      <c r="E707" s="393">
        <v>400017060</v>
      </c>
      <c r="F707" s="392" t="s">
        <v>4412</v>
      </c>
      <c r="G707" s="392" t="s">
        <v>5324</v>
      </c>
      <c r="H707" s="392" t="s">
        <v>7418</v>
      </c>
      <c r="I707" s="392" t="s">
        <v>1759</v>
      </c>
      <c r="J707" s="392" t="s">
        <v>8357</v>
      </c>
      <c r="K707" s="392" t="s">
        <v>5184</v>
      </c>
      <c r="L707" s="392" t="s">
        <v>2685</v>
      </c>
      <c r="M707" s="392" t="s">
        <v>3758</v>
      </c>
      <c r="N707" s="392" t="s">
        <v>7273</v>
      </c>
      <c r="O707" s="392" t="s">
        <v>3758</v>
      </c>
      <c r="P707"/>
      <c r="Q707"/>
      <c r="R707" s="387">
        <f>VLOOKUP(E707,'[1]NDB Impacted SPRFs 05032013'!$A$2:$A$65536,1,FALSE)</f>
        <v>400017060</v>
      </c>
    </row>
    <row r="708" spans="1:21" s="159" customFormat="1" ht="60" x14ac:dyDescent="0.25">
      <c r="A708" s="63">
        <f>MATCH($E708,'D1 - Master Project Table'!$B$24:$B$7056,0)</f>
        <v>1304</v>
      </c>
      <c r="B708" s="63" t="b">
        <f t="shared" si="30"/>
        <v>0</v>
      </c>
      <c r="C708" s="63" t="b">
        <f t="shared" si="31"/>
        <v>1</v>
      </c>
      <c r="D708" s="63" t="str">
        <f t="shared" si="32"/>
        <v>OK</v>
      </c>
      <c r="E708" s="393">
        <v>400038665</v>
      </c>
      <c r="F708" s="392" t="s">
        <v>7311</v>
      </c>
      <c r="G708" s="392" t="s">
        <v>5001</v>
      </c>
      <c r="H708" s="392" t="s">
        <v>7418</v>
      </c>
      <c r="I708" s="392" t="s">
        <v>3540</v>
      </c>
      <c r="J708" s="392" t="s">
        <v>8357</v>
      </c>
      <c r="K708" s="392" t="s">
        <v>8075</v>
      </c>
      <c r="L708" s="392" t="s">
        <v>4000</v>
      </c>
      <c r="M708" s="392" t="s">
        <v>3758</v>
      </c>
      <c r="N708" s="392" t="s">
        <v>7273</v>
      </c>
      <c r="O708" s="392" t="s">
        <v>3758</v>
      </c>
      <c r="P708"/>
      <c r="Q708"/>
      <c r="R708" s="387">
        <f>VLOOKUP(E708,'[1]NDB Impacted SPRFs 05032013'!$A$2:$A$65536,1,FALSE)</f>
        <v>400038665</v>
      </c>
    </row>
    <row r="709" spans="1:21" ht="60" x14ac:dyDescent="0.25">
      <c r="A709" s="63">
        <f>MATCH($E709,'D1 - Master Project Table'!$B$24:$B$7056,0)</f>
        <v>3066</v>
      </c>
      <c r="B709" s="63" t="b">
        <f t="shared" si="30"/>
        <v>0</v>
      </c>
      <c r="C709" s="63" t="b">
        <f t="shared" si="31"/>
        <v>1</v>
      </c>
      <c r="D709" s="63" t="str">
        <f t="shared" si="32"/>
        <v>OK</v>
      </c>
      <c r="E709" s="393">
        <v>400044879</v>
      </c>
      <c r="F709" s="392" t="s">
        <v>2530</v>
      </c>
      <c r="G709" s="392" t="s">
        <v>5001</v>
      </c>
      <c r="H709" s="392" t="s">
        <v>5314</v>
      </c>
      <c r="I709" s="392" t="s">
        <v>3540</v>
      </c>
      <c r="J709" s="392" t="s">
        <v>4440</v>
      </c>
      <c r="K709" s="392" t="s">
        <v>8075</v>
      </c>
      <c r="L709" s="392" t="s">
        <v>5384</v>
      </c>
      <c r="M709" s="392" t="s">
        <v>3758</v>
      </c>
      <c r="N709" s="392" t="s">
        <v>7273</v>
      </c>
      <c r="O709" s="392" t="s">
        <v>3758</v>
      </c>
      <c r="P709"/>
      <c r="Q709"/>
      <c r="R709" s="387">
        <f>VLOOKUP(E709,'[1]NDB Impacted SPRFs 05032013'!$A$2:$A$65536,1,FALSE)</f>
        <v>400044879</v>
      </c>
      <c r="S709" s="159"/>
      <c r="T709" s="159"/>
      <c r="U709" s="159"/>
    </row>
    <row r="710" spans="1:21" s="159" customFormat="1" ht="60" x14ac:dyDescent="0.25">
      <c r="A710" s="63">
        <f>MATCH($E710,'D1 - Master Project Table'!$B$24:$B$7056,0)</f>
        <v>2035</v>
      </c>
      <c r="B710" s="63" t="b">
        <f t="shared" ref="B710:B773" si="33">ISERROR(A710)</f>
        <v>0</v>
      </c>
      <c r="C710" s="63" t="b">
        <f t="shared" ref="C710:C773" si="34">OR(H710="Completed",H710="Cancelled")</f>
        <v>1</v>
      </c>
      <c r="D710" s="63" t="str">
        <f t="shared" ref="D710:D773" si="35">IF(AND(B710=TRUE,C710=FALSE),"Add","OK")</f>
        <v>OK</v>
      </c>
      <c r="E710" s="393">
        <v>400048530</v>
      </c>
      <c r="F710" s="392" t="s">
        <v>1543</v>
      </c>
      <c r="G710" s="392" t="s">
        <v>6322</v>
      </c>
      <c r="H710" s="392" t="s">
        <v>7418</v>
      </c>
      <c r="I710" s="392" t="s">
        <v>1758</v>
      </c>
      <c r="J710" s="392" t="s">
        <v>8650</v>
      </c>
      <c r="K710" s="392" t="s">
        <v>1544</v>
      </c>
      <c r="L710" s="392" t="s">
        <v>1011</v>
      </c>
      <c r="M710" s="392" t="s">
        <v>7273</v>
      </c>
      <c r="N710" s="392" t="s">
        <v>7273</v>
      </c>
      <c r="O710" s="392" t="s">
        <v>7273</v>
      </c>
      <c r="P710" s="212"/>
      <c r="Q710" s="212"/>
      <c r="R710" s="387">
        <f>VLOOKUP(E710,'[1]NDB Impacted SPRFs 05032013'!$A$2:$A$65536,1,FALSE)</f>
        <v>400048530</v>
      </c>
    </row>
    <row r="711" spans="1:21" s="159" customFormat="1" ht="60" x14ac:dyDescent="0.25">
      <c r="A711" s="63">
        <f>MATCH($E711,'D1 - Master Project Table'!$B$24:$B$7056,0)</f>
        <v>3133</v>
      </c>
      <c r="B711" s="63" t="b">
        <f t="shared" si="33"/>
        <v>0</v>
      </c>
      <c r="C711" s="63" t="b">
        <f t="shared" si="34"/>
        <v>1</v>
      </c>
      <c r="D711" s="63" t="str">
        <f t="shared" si="35"/>
        <v>OK</v>
      </c>
      <c r="E711" s="393">
        <v>400054386</v>
      </c>
      <c r="F711" s="392" t="s">
        <v>1381</v>
      </c>
      <c r="G711" s="392" t="s">
        <v>5325</v>
      </c>
      <c r="H711" s="392" t="s">
        <v>5314</v>
      </c>
      <c r="I711" s="392" t="s">
        <v>1763</v>
      </c>
      <c r="J711" s="392" t="s">
        <v>1382</v>
      </c>
      <c r="K711" s="392" t="s">
        <v>2508</v>
      </c>
      <c r="L711" s="392" t="s">
        <v>7918</v>
      </c>
      <c r="M711" s="392" t="s">
        <v>3758</v>
      </c>
      <c r="N711" s="392" t="s">
        <v>7273</v>
      </c>
      <c r="O711" s="392" t="s">
        <v>7273</v>
      </c>
      <c r="P711" s="212"/>
      <c r="Q711"/>
      <c r="R711" s="387">
        <f>VLOOKUP(E711,'[1]NDB Impacted SPRFs 05032013'!$A$2:$A$65536,1,FALSE)</f>
        <v>400054386</v>
      </c>
    </row>
    <row r="712" spans="1:21" s="159" customFormat="1" ht="60" x14ac:dyDescent="0.25">
      <c r="A712" s="63" t="e">
        <f>MATCH($E712,'D1 - Master Project Table'!$B$24:$B$7056,0)</f>
        <v>#N/A</v>
      </c>
      <c r="B712" s="63" t="b">
        <f t="shared" si="33"/>
        <v>1</v>
      </c>
      <c r="C712" s="63" t="b">
        <f t="shared" si="34"/>
        <v>1</v>
      </c>
      <c r="D712" s="63" t="str">
        <f t="shared" si="35"/>
        <v>OK</v>
      </c>
      <c r="E712" s="393">
        <v>400001094</v>
      </c>
      <c r="F712" s="392" t="s">
        <v>4063</v>
      </c>
      <c r="G712" s="392" t="s">
        <v>5324</v>
      </c>
      <c r="H712" s="392" t="s">
        <v>7418</v>
      </c>
      <c r="I712" s="392" t="s">
        <v>1766</v>
      </c>
      <c r="J712" s="392" t="s">
        <v>4006</v>
      </c>
      <c r="K712" s="392" t="s">
        <v>4006</v>
      </c>
      <c r="L712" s="392" t="s">
        <v>1596</v>
      </c>
      <c r="M712" s="392" t="s">
        <v>3758</v>
      </c>
      <c r="N712" s="392" t="s">
        <v>7273</v>
      </c>
      <c r="O712" s="392" t="s">
        <v>7273</v>
      </c>
      <c r="P712"/>
      <c r="Q712"/>
      <c r="R712" s="387">
        <f>VLOOKUP(E712,'[1]NDB Impacted SPRFs 05032013'!$A$2:$A$65536,1,FALSE)</f>
        <v>400001094</v>
      </c>
    </row>
    <row r="713" spans="1:21" s="159" customFormat="1" ht="60" x14ac:dyDescent="0.25">
      <c r="A713" s="63">
        <f>MATCH($E713,'D1 - Master Project Table'!$B$24:$B$7056,0)</f>
        <v>3116</v>
      </c>
      <c r="B713" s="63" t="b">
        <f t="shared" si="33"/>
        <v>0</v>
      </c>
      <c r="C713" s="63" t="b">
        <f t="shared" si="34"/>
        <v>1</v>
      </c>
      <c r="D713" s="63" t="str">
        <f t="shared" si="35"/>
        <v>OK</v>
      </c>
      <c r="E713" s="393">
        <v>400052277</v>
      </c>
      <c r="F713" s="392" t="s">
        <v>759</v>
      </c>
      <c r="G713" s="392" t="s">
        <v>9210</v>
      </c>
      <c r="H713" s="392" t="s">
        <v>5314</v>
      </c>
      <c r="I713" s="392" t="s">
        <v>3540</v>
      </c>
      <c r="J713" s="392" t="s">
        <v>8598</v>
      </c>
      <c r="K713" s="392" t="s">
        <v>7884</v>
      </c>
      <c r="L713" s="392" t="s">
        <v>2374</v>
      </c>
      <c r="M713" s="392" t="s">
        <v>7273</v>
      </c>
      <c r="N713" s="392" t="s">
        <v>7273</v>
      </c>
      <c r="O713" s="392" t="s">
        <v>7273</v>
      </c>
      <c r="P713"/>
      <c r="Q713"/>
      <c r="R713" s="387">
        <f>VLOOKUP(E713,'[1]NDB Impacted SPRFs 05032013'!$A$2:$A$65536,1,FALSE)</f>
        <v>400052277</v>
      </c>
    </row>
    <row r="714" spans="1:21" s="159" customFormat="1" ht="60" x14ac:dyDescent="0.25">
      <c r="A714" s="63">
        <f>MATCH($E714,'D1 - Master Project Table'!$B$24:$B$7056,0)</f>
        <v>1805</v>
      </c>
      <c r="B714" s="63" t="b">
        <f t="shared" si="33"/>
        <v>0</v>
      </c>
      <c r="C714" s="63" t="b">
        <f t="shared" si="34"/>
        <v>0</v>
      </c>
      <c r="D714" s="63" t="str">
        <f t="shared" si="35"/>
        <v>OK</v>
      </c>
      <c r="E714" s="393">
        <v>400046134</v>
      </c>
      <c r="F714" s="392" t="s">
        <v>530</v>
      </c>
      <c r="G714" s="392" t="s">
        <v>5325</v>
      </c>
      <c r="H714" s="392" t="s">
        <v>4917</v>
      </c>
      <c r="I714" s="392" t="s">
        <v>1759</v>
      </c>
      <c r="J714" s="392" t="s">
        <v>5062</v>
      </c>
      <c r="K714" s="392" t="s">
        <v>531</v>
      </c>
      <c r="L714" s="392" t="s">
        <v>8978</v>
      </c>
      <c r="M714" s="392" t="s">
        <v>7273</v>
      </c>
      <c r="N714" s="392" t="s">
        <v>7273</v>
      </c>
      <c r="O714" s="392" t="s">
        <v>3758</v>
      </c>
      <c r="P714"/>
      <c r="Q714"/>
      <c r="R714" s="387">
        <f>VLOOKUP(E714,'[1]NDB Impacted SPRFs 05032013'!$A$2:$A$65536,1,FALSE)</f>
        <v>400046134</v>
      </c>
      <c r="S714" s="128"/>
      <c r="T714" s="128"/>
      <c r="U714" s="128"/>
    </row>
    <row r="715" spans="1:21" ht="60" x14ac:dyDescent="0.25">
      <c r="A715" s="63">
        <f>MATCH($E715,'D1 - Master Project Table'!$B$24:$B$7056,0)</f>
        <v>514</v>
      </c>
      <c r="B715" s="63" t="b">
        <f t="shared" si="33"/>
        <v>0</v>
      </c>
      <c r="C715" s="63" t="b">
        <f t="shared" si="34"/>
        <v>1</v>
      </c>
      <c r="D715" s="63" t="str">
        <f t="shared" si="35"/>
        <v>OK</v>
      </c>
      <c r="E715" s="393">
        <v>400008719</v>
      </c>
      <c r="F715" s="392" t="s">
        <v>7937</v>
      </c>
      <c r="G715" s="392" t="s">
        <v>5324</v>
      </c>
      <c r="H715" s="392" t="s">
        <v>7418</v>
      </c>
      <c r="I715" s="392" t="s">
        <v>1756</v>
      </c>
      <c r="J715" s="392" t="s">
        <v>5473</v>
      </c>
      <c r="K715" s="392" t="s">
        <v>6531</v>
      </c>
      <c r="L715" s="392" t="s">
        <v>3900</v>
      </c>
      <c r="M715" s="392" t="s">
        <v>3758</v>
      </c>
      <c r="N715" s="392" t="s">
        <v>7273</v>
      </c>
      <c r="O715" s="392" t="s">
        <v>7273</v>
      </c>
      <c r="P715"/>
      <c r="Q715"/>
      <c r="R715" s="387">
        <f>VLOOKUP(E715,'[1]NDB Impacted SPRFs 05032013'!$A$2:$A$65536,1,FALSE)</f>
        <v>400008719</v>
      </c>
      <c r="S715" s="159"/>
      <c r="T715" s="159"/>
      <c r="U715" s="159"/>
    </row>
    <row r="716" spans="1:21" s="159" customFormat="1" ht="60" x14ac:dyDescent="0.25">
      <c r="A716" s="63">
        <f>MATCH($E716,'D1 - Master Project Table'!$B$24:$B$7056,0)</f>
        <v>2518</v>
      </c>
      <c r="B716" s="63" t="b">
        <f t="shared" si="33"/>
        <v>0</v>
      </c>
      <c r="C716" s="63" t="b">
        <f t="shared" si="34"/>
        <v>1</v>
      </c>
      <c r="D716" s="63" t="str">
        <f t="shared" si="35"/>
        <v>OK</v>
      </c>
      <c r="E716" s="393">
        <v>400007651</v>
      </c>
      <c r="F716" s="392" t="s">
        <v>6698</v>
      </c>
      <c r="G716" s="392" t="s">
        <v>5787</v>
      </c>
      <c r="H716" s="392" t="s">
        <v>5314</v>
      </c>
      <c r="I716" s="392" t="s">
        <v>1771</v>
      </c>
      <c r="J716" s="392" t="s">
        <v>1449</v>
      </c>
      <c r="K716" s="392" t="s">
        <v>4280</v>
      </c>
      <c r="L716" s="392" t="s">
        <v>3979</v>
      </c>
      <c r="M716" s="392" t="s">
        <v>3758</v>
      </c>
      <c r="N716" s="392" t="s">
        <v>7273</v>
      </c>
      <c r="O716" s="392" t="s">
        <v>7273</v>
      </c>
      <c r="P716" s="212"/>
      <c r="Q716" s="212"/>
      <c r="R716" s="387">
        <f>VLOOKUP(E716,'[1]NDB Impacted SPRFs 05032013'!$A$2:$A$65536,1,FALSE)</f>
        <v>400007651</v>
      </c>
      <c r="S716" s="128"/>
      <c r="T716" s="128"/>
      <c r="U716" s="128"/>
    </row>
    <row r="717" spans="1:21" ht="60" x14ac:dyDescent="0.25">
      <c r="A717" s="63">
        <f>MATCH($E717,'D1 - Master Project Table'!$B$24:$B$7056,0)</f>
        <v>1900</v>
      </c>
      <c r="B717" s="63" t="b">
        <f t="shared" si="33"/>
        <v>0</v>
      </c>
      <c r="C717" s="63" t="b">
        <f t="shared" si="34"/>
        <v>1</v>
      </c>
      <c r="D717" s="63" t="str">
        <f t="shared" si="35"/>
        <v>OK</v>
      </c>
      <c r="E717" s="393">
        <v>400007656</v>
      </c>
      <c r="F717" s="392" t="s">
        <v>6152</v>
      </c>
      <c r="G717" s="392" t="s">
        <v>5787</v>
      </c>
      <c r="H717" s="392" t="s">
        <v>7418</v>
      </c>
      <c r="I717" s="392" t="s">
        <v>1775</v>
      </c>
      <c r="J717" s="392" t="s">
        <v>7043</v>
      </c>
      <c r="K717" s="392" t="s">
        <v>5300</v>
      </c>
      <c r="L717" s="392" t="s">
        <v>3980</v>
      </c>
      <c r="M717" s="392" t="s">
        <v>7273</v>
      </c>
      <c r="N717" s="392" t="s">
        <v>7273</v>
      </c>
      <c r="O717" s="392" t="s">
        <v>7273</v>
      </c>
      <c r="P717"/>
      <c r="Q717"/>
      <c r="R717" s="387">
        <f>VLOOKUP(E717,'[1]NDB Impacted SPRFs 05032013'!$A$2:$A$65536,1,FALSE)</f>
        <v>400007656</v>
      </c>
    </row>
    <row r="718" spans="1:21" s="159" customFormat="1" ht="60" x14ac:dyDescent="0.25">
      <c r="A718" s="63">
        <f>MATCH($E718,'D1 - Master Project Table'!$B$24:$B$7056,0)</f>
        <v>2126</v>
      </c>
      <c r="B718" s="63" t="b">
        <f t="shared" si="33"/>
        <v>0</v>
      </c>
      <c r="C718" s="63" t="b">
        <f t="shared" si="34"/>
        <v>1</v>
      </c>
      <c r="D718" s="63" t="str">
        <f t="shared" si="35"/>
        <v>OK</v>
      </c>
      <c r="E718" s="393">
        <v>400014569</v>
      </c>
      <c r="F718" s="392" t="s">
        <v>4793</v>
      </c>
      <c r="G718" s="392" t="s">
        <v>5324</v>
      </c>
      <c r="H718" s="392" t="s">
        <v>5314</v>
      </c>
      <c r="I718" s="392" t="s">
        <v>1762</v>
      </c>
      <c r="J718" s="392" t="s">
        <v>8380</v>
      </c>
      <c r="K718" s="392" t="s">
        <v>8075</v>
      </c>
      <c r="L718" s="392" t="s">
        <v>6748</v>
      </c>
      <c r="M718" s="392" t="s">
        <v>3758</v>
      </c>
      <c r="N718" s="392" t="s">
        <v>7273</v>
      </c>
      <c r="O718" s="392" t="s">
        <v>3758</v>
      </c>
      <c r="P718"/>
      <c r="Q718"/>
      <c r="R718" s="387">
        <f>VLOOKUP(E718,'[1]NDB Impacted SPRFs 05032013'!$A$2:$A$65536,1,FALSE)</f>
        <v>400014569</v>
      </c>
    </row>
    <row r="719" spans="1:21" s="159" customFormat="1" ht="60" x14ac:dyDescent="0.25">
      <c r="A719" s="63">
        <f>MATCH($E719,'D1 - Master Project Table'!$B$24:$B$7056,0)</f>
        <v>2460</v>
      </c>
      <c r="B719" s="63" t="b">
        <f t="shared" si="33"/>
        <v>0</v>
      </c>
      <c r="C719" s="63" t="b">
        <f t="shared" si="34"/>
        <v>1</v>
      </c>
      <c r="D719" s="63" t="str">
        <f t="shared" si="35"/>
        <v>OK</v>
      </c>
      <c r="E719" s="393">
        <v>400004401</v>
      </c>
      <c r="F719" s="392" t="s">
        <v>8011</v>
      </c>
      <c r="G719" s="392" t="s">
        <v>5787</v>
      </c>
      <c r="H719" s="392" t="s">
        <v>5314</v>
      </c>
      <c r="I719" s="392" t="s">
        <v>1771</v>
      </c>
      <c r="J719" s="392" t="s">
        <v>8462</v>
      </c>
      <c r="K719" s="392" t="s">
        <v>5675</v>
      </c>
      <c r="L719" s="392" t="s">
        <v>2589</v>
      </c>
      <c r="M719" s="392" t="s">
        <v>7273</v>
      </c>
      <c r="N719" s="392" t="s">
        <v>7273</v>
      </c>
      <c r="O719" s="392" t="s">
        <v>7273</v>
      </c>
      <c r="P719"/>
      <c r="Q719"/>
      <c r="R719" s="387">
        <f>VLOOKUP(E719,'[1]NDB Impacted SPRFs 05032013'!$A$2:$A$65536,1,FALSE)</f>
        <v>400004401</v>
      </c>
    </row>
    <row r="720" spans="1:21" ht="60" x14ac:dyDescent="0.25">
      <c r="A720" s="63">
        <f>MATCH($E720,'D1 - Master Project Table'!$B$24:$B$7056,0)</f>
        <v>1273</v>
      </c>
      <c r="B720" s="63" t="b">
        <f t="shared" si="33"/>
        <v>0</v>
      </c>
      <c r="C720" s="63" t="b">
        <f t="shared" si="34"/>
        <v>1</v>
      </c>
      <c r="D720" s="63" t="str">
        <f t="shared" si="35"/>
        <v>OK</v>
      </c>
      <c r="E720" s="393">
        <v>400033156</v>
      </c>
      <c r="F720" s="392" t="s">
        <v>1494</v>
      </c>
      <c r="G720" s="392" t="s">
        <v>5001</v>
      </c>
      <c r="H720" s="392" t="s">
        <v>7418</v>
      </c>
      <c r="I720" s="392" t="s">
        <v>3540</v>
      </c>
      <c r="J720" s="392" t="s">
        <v>9402</v>
      </c>
      <c r="K720" s="392" t="s">
        <v>7751</v>
      </c>
      <c r="L720" s="392" t="s">
        <v>8200</v>
      </c>
      <c r="M720" s="392" t="s">
        <v>3758</v>
      </c>
      <c r="N720" s="392" t="s">
        <v>7273</v>
      </c>
      <c r="O720" s="392" t="s">
        <v>7273</v>
      </c>
      <c r="P720"/>
      <c r="Q720"/>
      <c r="R720" s="387">
        <f>VLOOKUP(E720,'[1]NDB Impacted SPRFs 05032013'!$A$2:$A$65536,1,FALSE)</f>
        <v>400033156</v>
      </c>
    </row>
    <row r="721" spans="1:21" s="159" customFormat="1" ht="60" x14ac:dyDescent="0.25">
      <c r="A721" s="63">
        <f>MATCH($E721,'D1 - Master Project Table'!$B$24:$B$7056,0)</f>
        <v>230</v>
      </c>
      <c r="B721" s="63" t="b">
        <f t="shared" si="33"/>
        <v>0</v>
      </c>
      <c r="C721" s="63" t="b">
        <f t="shared" si="34"/>
        <v>0</v>
      </c>
      <c r="D721" s="63" t="str">
        <f t="shared" si="35"/>
        <v>OK</v>
      </c>
      <c r="E721" s="393">
        <v>400055989</v>
      </c>
      <c r="F721" s="392" t="s">
        <v>8367</v>
      </c>
      <c r="G721" s="392" t="s">
        <v>5324</v>
      </c>
      <c r="H721" s="392" t="s">
        <v>8012</v>
      </c>
      <c r="I721" s="392" t="s">
        <v>1758</v>
      </c>
      <c r="J721" s="392" t="s">
        <v>8368</v>
      </c>
      <c r="K721" s="392" t="s">
        <v>8369</v>
      </c>
      <c r="L721" s="392" t="s">
        <v>9317</v>
      </c>
      <c r="M721" s="392" t="s">
        <v>7273</v>
      </c>
      <c r="N721" s="392" t="s">
        <v>7273</v>
      </c>
      <c r="O721" s="392" t="s">
        <v>3758</v>
      </c>
      <c r="P721"/>
      <c r="Q721"/>
      <c r="R721" s="387">
        <f>VLOOKUP(E721,'[1]NDB Impacted SPRFs 05032013'!$A$2:$A$65536,1,FALSE)</f>
        <v>400055989</v>
      </c>
      <c r="S721" s="128"/>
      <c r="T721" s="128"/>
      <c r="U721" s="128"/>
    </row>
    <row r="722" spans="1:21" ht="60" x14ac:dyDescent="0.25">
      <c r="A722" s="63">
        <f>MATCH($E722,'D1 - Master Project Table'!$B$24:$B$7056,0)</f>
        <v>2938</v>
      </c>
      <c r="B722" s="63" t="b">
        <f t="shared" si="33"/>
        <v>0</v>
      </c>
      <c r="C722" s="63" t="b">
        <f t="shared" si="34"/>
        <v>1</v>
      </c>
      <c r="D722" s="63" t="str">
        <f t="shared" si="35"/>
        <v>OK</v>
      </c>
      <c r="E722" s="393">
        <v>400033861</v>
      </c>
      <c r="F722" s="392" t="s">
        <v>3169</v>
      </c>
      <c r="G722" s="392" t="s">
        <v>5001</v>
      </c>
      <c r="H722" s="392" t="s">
        <v>5314</v>
      </c>
      <c r="I722" s="392" t="s">
        <v>2655</v>
      </c>
      <c r="J722" s="392" t="s">
        <v>7269</v>
      </c>
      <c r="K722" s="392" t="s">
        <v>4730</v>
      </c>
      <c r="L722" s="392" t="s">
        <v>714</v>
      </c>
      <c r="M722" s="392" t="s">
        <v>3758</v>
      </c>
      <c r="N722" s="392" t="s">
        <v>7273</v>
      </c>
      <c r="O722" s="392" t="s">
        <v>7273</v>
      </c>
      <c r="P722"/>
      <c r="Q722"/>
      <c r="R722" s="387">
        <f>VLOOKUP(E722,'[1]NDB Impacted SPRFs 05032013'!$A$2:$A$65536,1,FALSE)</f>
        <v>400033861</v>
      </c>
      <c r="S722" s="159"/>
      <c r="T722" s="159"/>
      <c r="U722" s="159"/>
    </row>
    <row r="723" spans="1:21" s="159" customFormat="1" ht="60" x14ac:dyDescent="0.25">
      <c r="A723" s="63">
        <f>MATCH($E723,'D1 - Master Project Table'!$B$24:$B$7056,0)</f>
        <v>268</v>
      </c>
      <c r="B723" s="63" t="b">
        <f t="shared" si="33"/>
        <v>0</v>
      </c>
      <c r="C723" s="63" t="b">
        <f t="shared" si="34"/>
        <v>0</v>
      </c>
      <c r="D723" s="63" t="str">
        <f t="shared" si="35"/>
        <v>OK</v>
      </c>
      <c r="E723" s="393">
        <v>400059246</v>
      </c>
      <c r="F723" s="392" t="s">
        <v>9313</v>
      </c>
      <c r="G723" s="392" t="s">
        <v>1147</v>
      </c>
      <c r="H723" s="392" t="s">
        <v>3555</v>
      </c>
      <c r="I723" s="392" t="s">
        <v>1786</v>
      </c>
      <c r="J723" s="392" t="s">
        <v>3000</v>
      </c>
      <c r="K723" s="392" t="s">
        <v>5524</v>
      </c>
      <c r="L723" s="392" t="s">
        <v>9409</v>
      </c>
      <c r="M723" s="392" t="s">
        <v>7273</v>
      </c>
      <c r="N723" s="392" t="s">
        <v>7273</v>
      </c>
      <c r="O723" s="392" t="s">
        <v>7273</v>
      </c>
      <c r="P723"/>
      <c r="Q723"/>
      <c r="R723" s="387">
        <f>VLOOKUP(E723,'[1]NDB Impacted SPRFs 05032013'!$A$2:$A$65536,1,FALSE)</f>
        <v>400059246</v>
      </c>
      <c r="S723" s="128"/>
      <c r="T723" s="128"/>
      <c r="U723" s="128"/>
    </row>
    <row r="724" spans="1:21" s="159" customFormat="1" ht="60" x14ac:dyDescent="0.25">
      <c r="A724" s="63">
        <f>MATCH($E724,'D1 - Master Project Table'!$B$24:$B$7056,0)</f>
        <v>2791</v>
      </c>
      <c r="B724" s="63" t="b">
        <f t="shared" si="33"/>
        <v>0</v>
      </c>
      <c r="C724" s="63" t="b">
        <f t="shared" si="34"/>
        <v>1</v>
      </c>
      <c r="D724" s="63" t="str">
        <f t="shared" si="35"/>
        <v>OK</v>
      </c>
      <c r="E724" s="393">
        <v>400022837</v>
      </c>
      <c r="F724" s="392" t="s">
        <v>5000</v>
      </c>
      <c r="G724" s="392" t="s">
        <v>5324</v>
      </c>
      <c r="H724" s="392" t="s">
        <v>5314</v>
      </c>
      <c r="I724" s="392" t="s">
        <v>1759</v>
      </c>
      <c r="J724" s="392" t="s">
        <v>8438</v>
      </c>
      <c r="K724" s="392" t="s">
        <v>7024</v>
      </c>
      <c r="L724" s="392" t="s">
        <v>5834</v>
      </c>
      <c r="M724" s="392" t="s">
        <v>3758</v>
      </c>
      <c r="N724" s="392" t="s">
        <v>7273</v>
      </c>
      <c r="O724" s="392" t="s">
        <v>7273</v>
      </c>
      <c r="P724"/>
      <c r="Q724"/>
      <c r="R724" s="387">
        <f>VLOOKUP(E724,'[1]NDB Impacted SPRFs 05032013'!$A$2:$A$65536,1,FALSE)</f>
        <v>400022837</v>
      </c>
    </row>
    <row r="725" spans="1:21" s="159" customFormat="1" ht="60" x14ac:dyDescent="0.25">
      <c r="A725" s="63">
        <f>MATCH($E725,'D1 - Master Project Table'!$B$24:$B$7056,0)</f>
        <v>138</v>
      </c>
      <c r="B725" s="63" t="b">
        <f t="shared" si="33"/>
        <v>0</v>
      </c>
      <c r="C725" s="63" t="b">
        <f t="shared" si="34"/>
        <v>0</v>
      </c>
      <c r="D725" s="63" t="str">
        <f t="shared" si="35"/>
        <v>OK</v>
      </c>
      <c r="E725" s="393">
        <v>400058484</v>
      </c>
      <c r="F725" s="392" t="s">
        <v>9315</v>
      </c>
      <c r="G725" s="392" t="s">
        <v>5324</v>
      </c>
      <c r="H725" s="392" t="s">
        <v>8012</v>
      </c>
      <c r="I725" s="392" t="s">
        <v>1759</v>
      </c>
      <c r="J725" s="392" t="s">
        <v>9316</v>
      </c>
      <c r="K725" s="392" t="s">
        <v>8075</v>
      </c>
      <c r="L725" s="392" t="s">
        <v>9431</v>
      </c>
      <c r="M725" s="392" t="s">
        <v>3758</v>
      </c>
      <c r="N725" s="392" t="s">
        <v>7273</v>
      </c>
      <c r="O725" s="392" t="s">
        <v>7273</v>
      </c>
      <c r="P725"/>
      <c r="Q725"/>
      <c r="R725" s="387">
        <f>VLOOKUP(E725,'[1]NDB Impacted SPRFs 05032013'!$A$2:$A$65536,1,FALSE)</f>
        <v>400058484</v>
      </c>
    </row>
    <row r="726" spans="1:21" s="159" customFormat="1" ht="60" x14ac:dyDescent="0.25">
      <c r="A726" s="63">
        <f>MATCH($E726,'D1 - Master Project Table'!$B$24:$B$7056,0)</f>
        <v>2890</v>
      </c>
      <c r="B726" s="63" t="b">
        <f t="shared" si="33"/>
        <v>0</v>
      </c>
      <c r="C726" s="63" t="b">
        <f t="shared" si="34"/>
        <v>1</v>
      </c>
      <c r="D726" s="63" t="str">
        <f t="shared" si="35"/>
        <v>OK</v>
      </c>
      <c r="E726" s="393">
        <v>400029724</v>
      </c>
      <c r="F726" s="392" t="s">
        <v>5055</v>
      </c>
      <c r="G726" s="392" t="s">
        <v>5324</v>
      </c>
      <c r="H726" s="392" t="s">
        <v>5314</v>
      </c>
      <c r="I726" s="392" t="s">
        <v>1758</v>
      </c>
      <c r="J726" s="392" t="s">
        <v>8277</v>
      </c>
      <c r="K726" s="392" t="s">
        <v>7877</v>
      </c>
      <c r="L726" s="392" t="s">
        <v>2351</v>
      </c>
      <c r="M726" s="392" t="s">
        <v>7273</v>
      </c>
      <c r="N726" s="392" t="s">
        <v>7273</v>
      </c>
      <c r="O726" s="392" t="s">
        <v>7273</v>
      </c>
      <c r="P726"/>
      <c r="Q726"/>
      <c r="R726" s="387">
        <f>VLOOKUP(E726,'[1]NDB Impacted SPRFs 05032013'!$A$2:$A$65536,1,FALSE)</f>
        <v>400029724</v>
      </c>
    </row>
    <row r="727" spans="1:21" s="159" customFormat="1" ht="60" x14ac:dyDescent="0.25">
      <c r="A727" s="63">
        <f>MATCH($E727,'D1 - Master Project Table'!$B$24:$B$7056,0)</f>
        <v>1525</v>
      </c>
      <c r="B727" s="63" t="b">
        <f t="shared" si="33"/>
        <v>0</v>
      </c>
      <c r="C727" s="63" t="b">
        <f t="shared" si="34"/>
        <v>1</v>
      </c>
      <c r="D727" s="63" t="str">
        <f t="shared" si="35"/>
        <v>OK</v>
      </c>
      <c r="E727" s="393">
        <v>400042320</v>
      </c>
      <c r="F727" s="392" t="s">
        <v>2044</v>
      </c>
      <c r="G727" s="392" t="s">
        <v>5324</v>
      </c>
      <c r="H727" s="392" t="s">
        <v>7418</v>
      </c>
      <c r="I727" s="392" t="s">
        <v>1762</v>
      </c>
      <c r="J727" s="392" t="s">
        <v>6584</v>
      </c>
      <c r="K727" s="392" t="s">
        <v>6585</v>
      </c>
      <c r="L727" s="392" t="s">
        <v>1673</v>
      </c>
      <c r="M727" s="392" t="s">
        <v>3758</v>
      </c>
      <c r="N727" s="392" t="s">
        <v>7273</v>
      </c>
      <c r="O727" s="392" t="s">
        <v>7273</v>
      </c>
      <c r="P727"/>
      <c r="Q727"/>
      <c r="R727" s="387">
        <f>VLOOKUP(E727,'[1]NDB Impacted SPRFs 05032013'!$A$2:$A$65536,1,FALSE)</f>
        <v>400042320</v>
      </c>
    </row>
    <row r="728" spans="1:21" s="159" customFormat="1" ht="60" x14ac:dyDescent="0.25">
      <c r="A728" s="63">
        <f>MATCH($E728,'D1 - Master Project Table'!$B$24:$B$7056,0)</f>
        <v>3185</v>
      </c>
      <c r="B728" s="63" t="b">
        <f t="shared" si="33"/>
        <v>0</v>
      </c>
      <c r="C728" s="63" t="b">
        <f t="shared" si="34"/>
        <v>1</v>
      </c>
      <c r="D728" s="63" t="str">
        <f t="shared" si="35"/>
        <v>OK</v>
      </c>
      <c r="E728" s="393">
        <v>400042398</v>
      </c>
      <c r="F728" s="392" t="s">
        <v>2246</v>
      </c>
      <c r="G728" s="392" t="s">
        <v>5995</v>
      </c>
      <c r="H728" s="392" t="s">
        <v>7418</v>
      </c>
      <c r="I728" s="392" t="s">
        <v>6423</v>
      </c>
      <c r="J728" s="392" t="s">
        <v>1894</v>
      </c>
      <c r="K728" s="392" t="s">
        <v>1895</v>
      </c>
      <c r="L728" s="392" t="s">
        <v>7250</v>
      </c>
      <c r="M728" s="392" t="s">
        <v>3758</v>
      </c>
      <c r="N728" s="392" t="s">
        <v>7273</v>
      </c>
      <c r="O728" s="392" t="s">
        <v>7273</v>
      </c>
      <c r="P728"/>
      <c r="Q728"/>
      <c r="R728" s="387">
        <f>VLOOKUP(E728,'[1]NDB Impacted SPRFs 05032013'!$A$2:$A$65536,1,FALSE)</f>
        <v>400042398</v>
      </c>
    </row>
    <row r="729" spans="1:21" s="159" customFormat="1" ht="60" x14ac:dyDescent="0.25">
      <c r="A729" s="63">
        <f>MATCH($E729,'D1 - Master Project Table'!$B$24:$B$7056,0)</f>
        <v>2885</v>
      </c>
      <c r="B729" s="63" t="b">
        <f t="shared" si="33"/>
        <v>0</v>
      </c>
      <c r="C729" s="63" t="b">
        <f t="shared" si="34"/>
        <v>1</v>
      </c>
      <c r="D729" s="63" t="str">
        <f t="shared" si="35"/>
        <v>OK</v>
      </c>
      <c r="E729" s="393">
        <v>400029436</v>
      </c>
      <c r="F729" s="392" t="s">
        <v>7228</v>
      </c>
      <c r="G729" s="392" t="s">
        <v>5324</v>
      </c>
      <c r="H729" s="392" t="s">
        <v>5314</v>
      </c>
      <c r="I729" s="392" t="s">
        <v>1763</v>
      </c>
      <c r="J729" s="392" t="s">
        <v>6851</v>
      </c>
      <c r="K729" s="392" t="s">
        <v>8075</v>
      </c>
      <c r="L729" s="392" t="s">
        <v>6753</v>
      </c>
      <c r="M729" s="392" t="s">
        <v>3758</v>
      </c>
      <c r="N729" s="392" t="s">
        <v>7273</v>
      </c>
      <c r="O729" s="392" t="s">
        <v>7273</v>
      </c>
      <c r="P729"/>
      <c r="Q729"/>
      <c r="R729" s="387">
        <f>VLOOKUP(E729,'[1]NDB Impacted SPRFs 05032013'!$A$2:$A$65536,1,FALSE)</f>
        <v>400029436</v>
      </c>
    </row>
    <row r="730" spans="1:21" s="159" customFormat="1" ht="60" x14ac:dyDescent="0.25">
      <c r="A730" s="63">
        <f>MATCH($E730,'D1 - Master Project Table'!$B$24:$B$7056,0)</f>
        <v>667</v>
      </c>
      <c r="B730" s="63" t="b">
        <f t="shared" si="33"/>
        <v>0</v>
      </c>
      <c r="C730" s="63" t="b">
        <f t="shared" si="34"/>
        <v>1</v>
      </c>
      <c r="D730" s="63" t="str">
        <f t="shared" si="35"/>
        <v>OK</v>
      </c>
      <c r="E730" s="393">
        <v>400010852</v>
      </c>
      <c r="F730" s="392" t="s">
        <v>2337</v>
      </c>
      <c r="G730" s="392" t="s">
        <v>5324</v>
      </c>
      <c r="H730" s="392" t="s">
        <v>7418</v>
      </c>
      <c r="I730" s="392" t="s">
        <v>1762</v>
      </c>
      <c r="J730" s="392" t="s">
        <v>2251</v>
      </c>
      <c r="K730" s="392" t="s">
        <v>5159</v>
      </c>
      <c r="L730" s="392" t="s">
        <v>7524</v>
      </c>
      <c r="M730" s="392" t="s">
        <v>3758</v>
      </c>
      <c r="N730" s="392" t="s">
        <v>7273</v>
      </c>
      <c r="O730" s="392" t="s">
        <v>7273</v>
      </c>
      <c r="P730"/>
      <c r="Q730"/>
      <c r="R730" s="387">
        <f>VLOOKUP(E730,'[1]NDB Impacted SPRFs 05032013'!$A$2:$A$65536,1,FALSE)</f>
        <v>400010852</v>
      </c>
    </row>
    <row r="731" spans="1:21" s="159" customFormat="1" ht="60" x14ac:dyDescent="0.25">
      <c r="A731" s="63">
        <f>MATCH($E731,'D1 - Master Project Table'!$B$24:$B$7056,0)</f>
        <v>24</v>
      </c>
      <c r="B731" s="63" t="b">
        <f t="shared" si="33"/>
        <v>0</v>
      </c>
      <c r="C731" s="63" t="b">
        <f t="shared" si="34"/>
        <v>0</v>
      </c>
      <c r="D731" s="63" t="str">
        <f t="shared" si="35"/>
        <v>OK</v>
      </c>
      <c r="E731" s="393">
        <v>400033825</v>
      </c>
      <c r="F731" s="392" t="s">
        <v>1483</v>
      </c>
      <c r="G731" s="392" t="s">
        <v>9210</v>
      </c>
      <c r="H731" s="392" t="s">
        <v>4917</v>
      </c>
      <c r="I731" s="392" t="s">
        <v>3540</v>
      </c>
      <c r="J731" s="392" t="s">
        <v>8753</v>
      </c>
      <c r="K731" s="392" t="s">
        <v>7043</v>
      </c>
      <c r="L731" s="392" t="s">
        <v>376</v>
      </c>
      <c r="M731" s="392" t="s">
        <v>7273</v>
      </c>
      <c r="N731" s="392" t="s">
        <v>7273</v>
      </c>
      <c r="O731" s="392" t="s">
        <v>7273</v>
      </c>
      <c r="P731" s="158"/>
      <c r="Q731" s="128"/>
      <c r="R731" s="387">
        <f>VLOOKUP(E731,'[1]NDB Impacted SPRFs 05032013'!$A$2:$A$65536,1,FALSE)</f>
        <v>400033825</v>
      </c>
      <c r="S731" s="128"/>
      <c r="T731" s="128"/>
      <c r="U731" s="128"/>
    </row>
    <row r="732" spans="1:21" ht="60" x14ac:dyDescent="0.25">
      <c r="A732" s="63">
        <f>MATCH($E732,'D1 - Master Project Table'!$B$24:$B$7056,0)</f>
        <v>1509</v>
      </c>
      <c r="B732" s="63" t="b">
        <f t="shared" si="33"/>
        <v>0</v>
      </c>
      <c r="C732" s="63" t="b">
        <f t="shared" si="34"/>
        <v>1</v>
      </c>
      <c r="D732" s="63" t="str">
        <f t="shared" si="35"/>
        <v>OK</v>
      </c>
      <c r="E732" s="393">
        <v>400042193</v>
      </c>
      <c r="F732" s="392" t="s">
        <v>5343</v>
      </c>
      <c r="G732" s="392" t="s">
        <v>5324</v>
      </c>
      <c r="H732" s="392" t="s">
        <v>7418</v>
      </c>
      <c r="I732" s="392" t="s">
        <v>1763</v>
      </c>
      <c r="J732" s="392" t="s">
        <v>6851</v>
      </c>
      <c r="K732" s="392" t="s">
        <v>8075</v>
      </c>
      <c r="L732" s="392" t="s">
        <v>2622</v>
      </c>
      <c r="M732" s="392" t="s">
        <v>3758</v>
      </c>
      <c r="N732" s="392" t="s">
        <v>7273</v>
      </c>
      <c r="O732" s="392" t="s">
        <v>7273</v>
      </c>
      <c r="P732"/>
      <c r="Q732"/>
      <c r="R732" s="387">
        <f>VLOOKUP(E732,'[1]NDB Impacted SPRFs 05032013'!$A$2:$A$65536,1,FALSE)</f>
        <v>400042193</v>
      </c>
      <c r="S732" s="159"/>
      <c r="T732" s="159"/>
      <c r="U732" s="159"/>
    </row>
    <row r="733" spans="1:21" ht="60" x14ac:dyDescent="0.25">
      <c r="A733" s="63">
        <f>MATCH($E733,'D1 - Master Project Table'!$B$24:$B$7056,0)</f>
        <v>71</v>
      </c>
      <c r="B733" s="63" t="b">
        <f t="shared" si="33"/>
        <v>0</v>
      </c>
      <c r="C733" s="63" t="b">
        <f t="shared" si="34"/>
        <v>0</v>
      </c>
      <c r="D733" s="63" t="str">
        <f t="shared" si="35"/>
        <v>OK</v>
      </c>
      <c r="E733" s="393">
        <v>400050282</v>
      </c>
      <c r="F733" s="392" t="s">
        <v>524</v>
      </c>
      <c r="G733" s="392" t="s">
        <v>6322</v>
      </c>
      <c r="H733" s="392" t="s">
        <v>4917</v>
      </c>
      <c r="I733" s="392" t="s">
        <v>1756</v>
      </c>
      <c r="J733" s="392" t="s">
        <v>3151</v>
      </c>
      <c r="K733" s="392" t="s">
        <v>3152</v>
      </c>
      <c r="L733" s="392" t="s">
        <v>7704</v>
      </c>
      <c r="M733" s="392" t="s">
        <v>7273</v>
      </c>
      <c r="N733" s="392" t="s">
        <v>7273</v>
      </c>
      <c r="O733" s="392" t="s">
        <v>7273</v>
      </c>
      <c r="P733"/>
      <c r="Q733"/>
      <c r="R733" s="387">
        <f>VLOOKUP(E733,'[1]NDB Impacted SPRFs 05032013'!$A$2:$A$65536,1,FALSE)</f>
        <v>400050282</v>
      </c>
      <c r="S733" s="159"/>
      <c r="T733" s="159"/>
      <c r="U733" s="159"/>
    </row>
    <row r="734" spans="1:21" s="159" customFormat="1" ht="60" x14ac:dyDescent="0.25">
      <c r="A734" s="63">
        <f>MATCH($E734,'D1 - Master Project Table'!$B$24:$B$7056,0)</f>
        <v>193</v>
      </c>
      <c r="B734" s="63" t="b">
        <f t="shared" si="33"/>
        <v>0</v>
      </c>
      <c r="C734" s="63" t="b">
        <f t="shared" si="34"/>
        <v>1</v>
      </c>
      <c r="D734" s="63" t="str">
        <f t="shared" si="35"/>
        <v>OK</v>
      </c>
      <c r="E734" s="393">
        <v>400038307</v>
      </c>
      <c r="F734" s="392" t="s">
        <v>6937</v>
      </c>
      <c r="G734" s="392" t="s">
        <v>5325</v>
      </c>
      <c r="H734" s="392" t="s">
        <v>7418</v>
      </c>
      <c r="I734" s="392" t="s">
        <v>6419</v>
      </c>
      <c r="J734" s="392" t="s">
        <v>1433</v>
      </c>
      <c r="K734" s="392" t="s">
        <v>4595</v>
      </c>
      <c r="L734" s="392" t="s">
        <v>2537</v>
      </c>
      <c r="M734" s="392" t="s">
        <v>7273</v>
      </c>
      <c r="N734" s="392" t="s">
        <v>7273</v>
      </c>
      <c r="O734" s="392" t="s">
        <v>7273</v>
      </c>
      <c r="P734"/>
      <c r="Q734"/>
      <c r="R734" s="387">
        <f>VLOOKUP(E734,'[1]NDB Impacted SPRFs 05032013'!$A$2:$A$65536,1,FALSE)</f>
        <v>400038307</v>
      </c>
    </row>
    <row r="735" spans="1:21" s="159" customFormat="1" ht="60" x14ac:dyDescent="0.25">
      <c r="A735" s="63">
        <f>MATCH($E735,'D1 - Master Project Table'!$B$24:$B$7056,0)</f>
        <v>875</v>
      </c>
      <c r="B735" s="63" t="b">
        <f t="shared" si="33"/>
        <v>0</v>
      </c>
      <c r="C735" s="63" t="b">
        <f t="shared" si="34"/>
        <v>1</v>
      </c>
      <c r="D735" s="63" t="str">
        <f t="shared" si="35"/>
        <v>OK</v>
      </c>
      <c r="E735" s="393">
        <v>400018368</v>
      </c>
      <c r="F735" s="392" t="s">
        <v>1935</v>
      </c>
      <c r="G735" s="392" t="s">
        <v>5324</v>
      </c>
      <c r="H735" s="392" t="s">
        <v>7418</v>
      </c>
      <c r="I735" s="392" t="s">
        <v>1788</v>
      </c>
      <c r="J735" s="392" t="s">
        <v>8609</v>
      </c>
      <c r="K735" s="392" t="s">
        <v>3807</v>
      </c>
      <c r="L735" s="392" t="s">
        <v>1849</v>
      </c>
      <c r="M735" s="392" t="s">
        <v>3758</v>
      </c>
      <c r="N735" s="392" t="s">
        <v>7273</v>
      </c>
      <c r="O735" s="392" t="s">
        <v>7273</v>
      </c>
      <c r="P735"/>
      <c r="Q735"/>
      <c r="R735" s="387">
        <f>VLOOKUP(E735,'[1]NDB Impacted SPRFs 05032013'!$A$2:$A$65536,1,FALSE)</f>
        <v>400018368</v>
      </c>
    </row>
    <row r="736" spans="1:21" s="159" customFormat="1" ht="60" x14ac:dyDescent="0.25">
      <c r="A736" s="63">
        <f>MATCH($E736,'D1 - Master Project Table'!$B$24:$B$7056,0)</f>
        <v>1067</v>
      </c>
      <c r="B736" s="63" t="b">
        <f t="shared" si="33"/>
        <v>0</v>
      </c>
      <c r="C736" s="63" t="b">
        <f t="shared" si="34"/>
        <v>1</v>
      </c>
      <c r="D736" s="63" t="str">
        <f t="shared" si="35"/>
        <v>OK</v>
      </c>
      <c r="E736" s="393">
        <v>400029032</v>
      </c>
      <c r="F736" s="392" t="s">
        <v>5522</v>
      </c>
      <c r="G736" s="392" t="s">
        <v>7182</v>
      </c>
      <c r="H736" s="392" t="s">
        <v>7418</v>
      </c>
      <c r="I736" s="392" t="s">
        <v>5523</v>
      </c>
      <c r="J736" s="392" t="s">
        <v>3158</v>
      </c>
      <c r="K736" s="392" t="s">
        <v>5524</v>
      </c>
      <c r="L736" s="392" t="s">
        <v>1217</v>
      </c>
      <c r="M736" s="392" t="s">
        <v>7273</v>
      </c>
      <c r="N736" s="392" t="s">
        <v>7273</v>
      </c>
      <c r="O736" s="392" t="s">
        <v>3758</v>
      </c>
      <c r="P736"/>
      <c r="Q736"/>
      <c r="R736" s="387">
        <f>VLOOKUP(E736,'[1]NDB Impacted SPRFs 05032013'!$A$2:$A$65536,1,FALSE)</f>
        <v>400029032</v>
      </c>
    </row>
    <row r="737" spans="1:21" ht="60" x14ac:dyDescent="0.25">
      <c r="A737" s="63">
        <f>MATCH($E737,'D1 - Master Project Table'!$B$24:$B$7056,0)</f>
        <v>1312</v>
      </c>
      <c r="B737" s="63" t="b">
        <f t="shared" si="33"/>
        <v>0</v>
      </c>
      <c r="C737" s="63" t="b">
        <f t="shared" si="34"/>
        <v>1</v>
      </c>
      <c r="D737" s="63" t="str">
        <f t="shared" si="35"/>
        <v>OK</v>
      </c>
      <c r="E737" s="393">
        <v>400033657</v>
      </c>
      <c r="F737" s="392" t="s">
        <v>4638</v>
      </c>
      <c r="G737" s="392" t="s">
        <v>5324</v>
      </c>
      <c r="H737" s="392" t="s">
        <v>7418</v>
      </c>
      <c r="I737" s="392" t="s">
        <v>1759</v>
      </c>
      <c r="J737" s="392" t="s">
        <v>8300</v>
      </c>
      <c r="K737" s="392" t="s">
        <v>3283</v>
      </c>
      <c r="L737" s="392" t="s">
        <v>807</v>
      </c>
      <c r="M737" s="392" t="s">
        <v>7273</v>
      </c>
      <c r="N737" s="392" t="s">
        <v>7273</v>
      </c>
      <c r="O737" s="392" t="s">
        <v>3758</v>
      </c>
      <c r="P737"/>
      <c r="Q737"/>
      <c r="R737" s="387">
        <f>VLOOKUP(E737,'[1]NDB Impacted SPRFs 05032013'!$A$2:$A$65536,1,FALSE)</f>
        <v>400033657</v>
      </c>
    </row>
    <row r="738" spans="1:21" s="159" customFormat="1" ht="60" x14ac:dyDescent="0.25">
      <c r="A738" s="63">
        <f>MATCH($E738,'D1 - Master Project Table'!$B$24:$B$7056,0)</f>
        <v>1121</v>
      </c>
      <c r="B738" s="63" t="b">
        <f t="shared" si="33"/>
        <v>0</v>
      </c>
      <c r="C738" s="63" t="b">
        <f t="shared" si="34"/>
        <v>1</v>
      </c>
      <c r="D738" s="63" t="str">
        <f t="shared" si="35"/>
        <v>OK</v>
      </c>
      <c r="E738" s="393">
        <v>400029506</v>
      </c>
      <c r="F738" s="392" t="s">
        <v>5547</v>
      </c>
      <c r="G738" s="392" t="s">
        <v>5325</v>
      </c>
      <c r="H738" s="392" t="s">
        <v>7418</v>
      </c>
      <c r="I738" s="392" t="s">
        <v>1797</v>
      </c>
      <c r="J738" s="392" t="s">
        <v>3646</v>
      </c>
      <c r="K738" s="392" t="s">
        <v>3647</v>
      </c>
      <c r="L738" s="392" t="s">
        <v>4811</v>
      </c>
      <c r="M738" s="392" t="s">
        <v>3758</v>
      </c>
      <c r="N738" s="392" t="s">
        <v>7273</v>
      </c>
      <c r="O738" s="392" t="s">
        <v>7273</v>
      </c>
      <c r="P738"/>
      <c r="Q738"/>
      <c r="R738" s="387">
        <f>VLOOKUP(E738,'[1]NDB Impacted SPRFs 05032013'!$A$2:$A$65536,1,FALSE)</f>
        <v>400029506</v>
      </c>
    </row>
    <row r="739" spans="1:21" s="159" customFormat="1" ht="60" x14ac:dyDescent="0.25">
      <c r="A739" s="63">
        <f>MATCH($E739,'D1 - Master Project Table'!$B$24:$B$7056,0)</f>
        <v>2512</v>
      </c>
      <c r="B739" s="63" t="b">
        <f t="shared" si="33"/>
        <v>0</v>
      </c>
      <c r="C739" s="63" t="b">
        <f t="shared" si="34"/>
        <v>1</v>
      </c>
      <c r="D739" s="63" t="str">
        <f t="shared" si="35"/>
        <v>OK</v>
      </c>
      <c r="E739" s="393">
        <v>400007553</v>
      </c>
      <c r="F739" s="392" t="s">
        <v>4092</v>
      </c>
      <c r="G739" s="392" t="s">
        <v>5995</v>
      </c>
      <c r="H739" s="392" t="s">
        <v>7418</v>
      </c>
      <c r="I739" s="392" t="s">
        <v>4527</v>
      </c>
      <c r="J739" s="392" t="s">
        <v>4115</v>
      </c>
      <c r="K739" s="392" t="s">
        <v>8092</v>
      </c>
      <c r="L739" s="392" t="s">
        <v>3159</v>
      </c>
      <c r="M739" s="392" t="s">
        <v>7273</v>
      </c>
      <c r="N739" s="392" t="s">
        <v>7273</v>
      </c>
      <c r="O739" s="392" t="s">
        <v>7273</v>
      </c>
      <c r="P739"/>
      <c r="Q739"/>
      <c r="R739" s="387">
        <f>VLOOKUP(E739,'[1]NDB Impacted SPRFs 05032013'!$A$2:$A$65536,1,FALSE)</f>
        <v>400007553</v>
      </c>
    </row>
    <row r="740" spans="1:21" s="159" customFormat="1" ht="60" x14ac:dyDescent="0.25">
      <c r="A740" s="63">
        <f>MATCH($E740,'D1 - Master Project Table'!$B$24:$B$7056,0)</f>
        <v>953</v>
      </c>
      <c r="B740" s="63" t="b">
        <f t="shared" si="33"/>
        <v>0</v>
      </c>
      <c r="C740" s="63" t="b">
        <f t="shared" si="34"/>
        <v>1</v>
      </c>
      <c r="D740" s="63" t="str">
        <f t="shared" si="35"/>
        <v>OK</v>
      </c>
      <c r="E740" s="393">
        <v>400019681</v>
      </c>
      <c r="F740" s="392" t="s">
        <v>1070</v>
      </c>
      <c r="G740" s="392" t="s">
        <v>5324</v>
      </c>
      <c r="H740" s="392" t="s">
        <v>7418</v>
      </c>
      <c r="I740" s="392" t="s">
        <v>1756</v>
      </c>
      <c r="J740" s="392" t="s">
        <v>4634</v>
      </c>
      <c r="K740" s="392" t="s">
        <v>1506</v>
      </c>
      <c r="L740" s="392" t="s">
        <v>2632</v>
      </c>
      <c r="M740" s="392" t="s">
        <v>7273</v>
      </c>
      <c r="N740" s="392" t="s">
        <v>7273</v>
      </c>
      <c r="O740" s="392" t="s">
        <v>7273</v>
      </c>
      <c r="P740"/>
      <c r="Q740"/>
      <c r="R740" s="387">
        <f>VLOOKUP(E740,'[1]NDB Impacted SPRFs 05032013'!$A$2:$A$65536,1,FALSE)</f>
        <v>400019681</v>
      </c>
    </row>
    <row r="741" spans="1:21" ht="60" x14ac:dyDescent="0.25">
      <c r="A741" s="63">
        <f>MATCH($E741,'D1 - Master Project Table'!$B$24:$B$7056,0)</f>
        <v>3047</v>
      </c>
      <c r="B741" s="63" t="b">
        <f t="shared" si="33"/>
        <v>0</v>
      </c>
      <c r="C741" s="63" t="b">
        <f t="shared" si="34"/>
        <v>1</v>
      </c>
      <c r="D741" s="63" t="str">
        <f t="shared" si="35"/>
        <v>OK</v>
      </c>
      <c r="E741" s="393">
        <v>400043056</v>
      </c>
      <c r="F741" s="392" t="s">
        <v>6412</v>
      </c>
      <c r="G741" s="392" t="s">
        <v>5325</v>
      </c>
      <c r="H741" s="392" t="s">
        <v>5314</v>
      </c>
      <c r="I741" s="392" t="s">
        <v>6414</v>
      </c>
      <c r="J741" s="392" t="s">
        <v>1562</v>
      </c>
      <c r="K741" s="392" t="s">
        <v>2475</v>
      </c>
      <c r="L741" s="392" t="s">
        <v>7570</v>
      </c>
      <c r="M741" s="392" t="s">
        <v>7273</v>
      </c>
      <c r="N741" s="392" t="s">
        <v>7273</v>
      </c>
      <c r="O741" s="392" t="s">
        <v>7273</v>
      </c>
      <c r="P741"/>
      <c r="Q741"/>
      <c r="R741" s="387">
        <f>VLOOKUP(E741,'[1]NDB Impacted SPRFs 05032013'!$A$2:$A$65536,1,FALSE)</f>
        <v>400043056</v>
      </c>
      <c r="S741" s="159"/>
      <c r="T741" s="159"/>
      <c r="U741" s="159"/>
    </row>
    <row r="742" spans="1:21" s="159" customFormat="1" ht="60" x14ac:dyDescent="0.25">
      <c r="A742" s="63">
        <f>MATCH($E742,'D1 - Master Project Table'!$B$24:$B$7056,0)</f>
        <v>1677</v>
      </c>
      <c r="B742" s="63" t="b">
        <f t="shared" si="33"/>
        <v>0</v>
      </c>
      <c r="C742" s="63" t="b">
        <f t="shared" si="34"/>
        <v>1</v>
      </c>
      <c r="D742" s="63" t="str">
        <f t="shared" si="35"/>
        <v>OK</v>
      </c>
      <c r="E742" s="393">
        <v>400046957</v>
      </c>
      <c r="F742" s="392" t="s">
        <v>1705</v>
      </c>
      <c r="G742" s="392" t="s">
        <v>5324</v>
      </c>
      <c r="H742" s="392" t="s">
        <v>7418</v>
      </c>
      <c r="I742" s="392" t="s">
        <v>1759</v>
      </c>
      <c r="J742" s="392" t="s">
        <v>7566</v>
      </c>
      <c r="K742" s="392" t="s">
        <v>5162</v>
      </c>
      <c r="L742" s="392" t="s">
        <v>6109</v>
      </c>
      <c r="M742" s="392" t="s">
        <v>7273</v>
      </c>
      <c r="N742" s="392" t="s">
        <v>7273</v>
      </c>
      <c r="O742" s="392" t="s">
        <v>7273</v>
      </c>
      <c r="P742" s="212"/>
      <c r="Q742"/>
      <c r="R742" s="387">
        <f>VLOOKUP(E742,'[1]NDB Impacted SPRFs 05032013'!$A$2:$A$65536,1,FALSE)</f>
        <v>400046957</v>
      </c>
    </row>
    <row r="743" spans="1:21" s="159" customFormat="1" ht="60" customHeight="1" x14ac:dyDescent="0.25">
      <c r="A743" s="63">
        <f>MATCH($E743,'D1 - Master Project Table'!$B$24:$B$7056,0)</f>
        <v>589</v>
      </c>
      <c r="B743" s="63" t="b">
        <f t="shared" si="33"/>
        <v>0</v>
      </c>
      <c r="C743" s="63" t="b">
        <f t="shared" si="34"/>
        <v>1</v>
      </c>
      <c r="D743" s="63" t="str">
        <f t="shared" si="35"/>
        <v>OK</v>
      </c>
      <c r="E743" s="393">
        <v>400012633</v>
      </c>
      <c r="F743" s="392" t="s">
        <v>5962</v>
      </c>
      <c r="G743" s="392" t="s">
        <v>5324</v>
      </c>
      <c r="H743" s="392" t="s">
        <v>7418</v>
      </c>
      <c r="I743" s="392" t="s">
        <v>1759</v>
      </c>
      <c r="J743" s="392" t="s">
        <v>8539</v>
      </c>
      <c r="K743" s="392" t="s">
        <v>7062</v>
      </c>
      <c r="L743" s="392" t="s">
        <v>6752</v>
      </c>
      <c r="M743" s="392" t="s">
        <v>3758</v>
      </c>
      <c r="N743" s="392" t="s">
        <v>7273</v>
      </c>
      <c r="O743" s="392" t="s">
        <v>7273</v>
      </c>
      <c r="P743"/>
      <c r="Q743"/>
      <c r="R743" s="387">
        <f>VLOOKUP(E743,'[1]NDB Impacted SPRFs 05032013'!$A$2:$A$65536,1,FALSE)</f>
        <v>400012633</v>
      </c>
      <c r="S743" s="128"/>
      <c r="T743" s="128"/>
      <c r="U743" s="128"/>
    </row>
    <row r="744" spans="1:21" s="159" customFormat="1" ht="60" x14ac:dyDescent="0.25">
      <c r="A744" s="63">
        <f>MATCH($E744,'D1 - Master Project Table'!$B$24:$B$7056,0)</f>
        <v>123</v>
      </c>
      <c r="B744" s="63" t="b">
        <f t="shared" si="33"/>
        <v>0</v>
      </c>
      <c r="C744" s="63" t="b">
        <f t="shared" si="34"/>
        <v>0</v>
      </c>
      <c r="D744" s="63" t="str">
        <f t="shared" si="35"/>
        <v>OK</v>
      </c>
      <c r="E744" s="393">
        <v>400054916</v>
      </c>
      <c r="F744" s="392" t="s">
        <v>7808</v>
      </c>
      <c r="G744" s="392" t="s">
        <v>5995</v>
      </c>
      <c r="H744" s="392" t="s">
        <v>4917</v>
      </c>
      <c r="I744" s="392" t="s">
        <v>3533</v>
      </c>
      <c r="J744" s="392" t="s">
        <v>315</v>
      </c>
      <c r="K744" s="392" t="s">
        <v>1708</v>
      </c>
      <c r="L744" s="392" t="s">
        <v>8996</v>
      </c>
      <c r="M744" s="392" t="s">
        <v>3758</v>
      </c>
      <c r="N744" s="392" t="s">
        <v>7273</v>
      </c>
      <c r="O744" s="392" t="s">
        <v>7273</v>
      </c>
      <c r="P744"/>
      <c r="Q744"/>
      <c r="R744" s="387">
        <f>VLOOKUP(E744,'[1]NDB Impacted SPRFs 05032013'!$A$2:$A$65536,1,FALSE)</f>
        <v>400054916</v>
      </c>
    </row>
    <row r="745" spans="1:21" s="159" customFormat="1" ht="60" x14ac:dyDescent="0.25">
      <c r="A745" s="63">
        <f>MATCH($E745,'D1 - Master Project Table'!$B$24:$B$7056,0)</f>
        <v>3288</v>
      </c>
      <c r="B745" s="63" t="b">
        <f t="shared" si="33"/>
        <v>0</v>
      </c>
      <c r="C745" s="63" t="b">
        <f t="shared" si="34"/>
        <v>1</v>
      </c>
      <c r="D745" s="63" t="str">
        <f t="shared" si="35"/>
        <v>OK</v>
      </c>
      <c r="E745" s="393">
        <v>400046277</v>
      </c>
      <c r="F745" s="392" t="s">
        <v>1117</v>
      </c>
      <c r="G745" s="392" t="s">
        <v>5324</v>
      </c>
      <c r="H745" s="392" t="s">
        <v>7418</v>
      </c>
      <c r="I745" s="392" t="s">
        <v>1759</v>
      </c>
      <c r="J745" s="392" t="s">
        <v>4844</v>
      </c>
      <c r="K745" s="392" t="s">
        <v>5486</v>
      </c>
      <c r="L745" s="392" t="s">
        <v>6111</v>
      </c>
      <c r="M745" s="392" t="s">
        <v>3758</v>
      </c>
      <c r="N745" s="392" t="s">
        <v>7273</v>
      </c>
      <c r="O745" s="392" t="s">
        <v>7273</v>
      </c>
      <c r="P745"/>
      <c r="Q745"/>
      <c r="R745" s="387">
        <f>VLOOKUP(E745,'[1]NDB Impacted SPRFs 05032013'!$A$2:$A$65536,1,FALSE)</f>
        <v>400046277</v>
      </c>
      <c r="S745" s="128"/>
      <c r="T745" s="128"/>
      <c r="U745" s="128"/>
    </row>
    <row r="746" spans="1:21" s="159" customFormat="1" ht="60" x14ac:dyDescent="0.25">
      <c r="A746" s="63">
        <f>MATCH($E746,'D1 - Master Project Table'!$B$24:$B$7056,0)</f>
        <v>248</v>
      </c>
      <c r="B746" s="63" t="b">
        <f t="shared" si="33"/>
        <v>0</v>
      </c>
      <c r="C746" s="63" t="b">
        <f t="shared" si="34"/>
        <v>0</v>
      </c>
      <c r="D746" s="63" t="str">
        <f t="shared" si="35"/>
        <v>OK</v>
      </c>
      <c r="E746" s="393">
        <v>400058190</v>
      </c>
      <c r="F746" s="392" t="s">
        <v>8944</v>
      </c>
      <c r="G746" s="392" t="s">
        <v>9210</v>
      </c>
      <c r="H746" s="392" t="s">
        <v>4917</v>
      </c>
      <c r="I746" s="392" t="s">
        <v>3540</v>
      </c>
      <c r="J746" s="392" t="s">
        <v>8945</v>
      </c>
      <c r="K746" s="392" t="s">
        <v>6028</v>
      </c>
      <c r="L746" s="392" t="s">
        <v>9491</v>
      </c>
      <c r="M746" s="392" t="s">
        <v>3758</v>
      </c>
      <c r="N746" s="392" t="s">
        <v>7273</v>
      </c>
      <c r="O746" s="392" t="s">
        <v>7273</v>
      </c>
      <c r="P746"/>
      <c r="Q746"/>
      <c r="R746" s="387">
        <f>VLOOKUP(E746,'[1]NDB Impacted SPRFs 05032013'!$A$2:$A$65536,1,FALSE)</f>
        <v>400058190</v>
      </c>
    </row>
    <row r="747" spans="1:21" s="159" customFormat="1" ht="60" x14ac:dyDescent="0.25">
      <c r="A747" s="63">
        <f>MATCH($E747,'D1 - Master Project Table'!$B$24:$B$7056,0)</f>
        <v>1612</v>
      </c>
      <c r="B747" s="63" t="b">
        <f t="shared" si="33"/>
        <v>0</v>
      </c>
      <c r="C747" s="63" t="b">
        <f t="shared" si="34"/>
        <v>1</v>
      </c>
      <c r="D747" s="63" t="str">
        <f t="shared" si="35"/>
        <v>OK</v>
      </c>
      <c r="E747" s="393">
        <v>400042994</v>
      </c>
      <c r="F747" s="392" t="s">
        <v>1714</v>
      </c>
      <c r="G747" s="392" t="s">
        <v>5324</v>
      </c>
      <c r="H747" s="392" t="s">
        <v>7418</v>
      </c>
      <c r="I747" s="392" t="s">
        <v>1759</v>
      </c>
      <c r="J747" s="392" t="s">
        <v>8507</v>
      </c>
      <c r="K747" s="392" t="s">
        <v>1715</v>
      </c>
      <c r="L747" s="392" t="s">
        <v>1272</v>
      </c>
      <c r="M747" s="392" t="s">
        <v>3758</v>
      </c>
      <c r="N747" s="392" t="s">
        <v>7273</v>
      </c>
      <c r="O747" s="392" t="s">
        <v>3758</v>
      </c>
      <c r="P747"/>
      <c r="Q747"/>
      <c r="R747" s="387">
        <f>VLOOKUP(E747,'[1]NDB Impacted SPRFs 05032013'!$A$2:$A$65536,1,FALSE)</f>
        <v>400042994</v>
      </c>
    </row>
    <row r="748" spans="1:21" s="159" customFormat="1" ht="60" x14ac:dyDescent="0.25">
      <c r="A748" s="63">
        <f>MATCH($E748,'D1 - Master Project Table'!$B$24:$B$7056,0)</f>
        <v>3080</v>
      </c>
      <c r="B748" s="63" t="b">
        <f t="shared" si="33"/>
        <v>0</v>
      </c>
      <c r="C748" s="63" t="b">
        <f t="shared" si="34"/>
        <v>1</v>
      </c>
      <c r="D748" s="63" t="str">
        <f t="shared" si="35"/>
        <v>OK</v>
      </c>
      <c r="E748" s="393">
        <v>400046600</v>
      </c>
      <c r="F748" s="392" t="s">
        <v>3977</v>
      </c>
      <c r="G748" s="392" t="s">
        <v>5324</v>
      </c>
      <c r="H748" s="392" t="s">
        <v>5314</v>
      </c>
      <c r="I748" s="392" t="s">
        <v>1786</v>
      </c>
      <c r="J748" s="392" t="s">
        <v>8486</v>
      </c>
      <c r="K748" s="392" t="s">
        <v>4169</v>
      </c>
      <c r="L748" s="392" t="s">
        <v>3978</v>
      </c>
      <c r="M748" s="392" t="s">
        <v>3758</v>
      </c>
      <c r="N748" s="392" t="s">
        <v>7273</v>
      </c>
      <c r="O748" s="392" t="s">
        <v>3758</v>
      </c>
      <c r="P748"/>
      <c r="Q748"/>
      <c r="R748" s="387">
        <f>VLOOKUP(E748,'[1]NDB Impacted SPRFs 05032013'!$A$2:$A$65536,1,FALSE)</f>
        <v>400046600</v>
      </c>
    </row>
    <row r="749" spans="1:21" s="159" customFormat="1" ht="60" x14ac:dyDescent="0.25">
      <c r="A749" s="63">
        <f>MATCH($E749,'D1 - Master Project Table'!$B$24:$B$7056,0)</f>
        <v>2291</v>
      </c>
      <c r="B749" s="63" t="b">
        <f t="shared" si="33"/>
        <v>0</v>
      </c>
      <c r="C749" s="63" t="b">
        <f t="shared" si="34"/>
        <v>1</v>
      </c>
      <c r="D749" s="63" t="str">
        <f t="shared" si="35"/>
        <v>OK</v>
      </c>
      <c r="E749" s="393">
        <v>400028342</v>
      </c>
      <c r="F749" s="392" t="s">
        <v>2564</v>
      </c>
      <c r="G749" s="392" t="s">
        <v>5001</v>
      </c>
      <c r="H749" s="392" t="s">
        <v>5314</v>
      </c>
      <c r="I749" s="392" t="s">
        <v>2655</v>
      </c>
      <c r="J749" s="392" t="s">
        <v>7269</v>
      </c>
      <c r="K749" s="392" t="s">
        <v>5218</v>
      </c>
      <c r="L749" s="392" t="s">
        <v>132</v>
      </c>
      <c r="M749" s="392" t="s">
        <v>3758</v>
      </c>
      <c r="N749" s="392" t="s">
        <v>7273</v>
      </c>
      <c r="O749" s="392" t="s">
        <v>7273</v>
      </c>
      <c r="P749"/>
      <c r="Q749"/>
      <c r="R749" s="387">
        <f>VLOOKUP(E749,'[1]NDB Impacted SPRFs 05032013'!$A$2:$A$65536,1,FALSE)</f>
        <v>400028342</v>
      </c>
      <c r="S749" s="128"/>
      <c r="T749" s="128"/>
      <c r="U749" s="128"/>
    </row>
    <row r="750" spans="1:21" s="159" customFormat="1" ht="60" x14ac:dyDescent="0.25">
      <c r="A750" s="63">
        <f>MATCH($E750,'D1 - Master Project Table'!$B$24:$B$7056,0)</f>
        <v>805</v>
      </c>
      <c r="B750" s="63" t="b">
        <f t="shared" si="33"/>
        <v>0</v>
      </c>
      <c r="C750" s="63" t="b">
        <f t="shared" si="34"/>
        <v>1</v>
      </c>
      <c r="D750" s="63" t="str">
        <f t="shared" si="35"/>
        <v>OK</v>
      </c>
      <c r="E750" s="393">
        <v>400017992</v>
      </c>
      <c r="F750" s="392" t="s">
        <v>4111</v>
      </c>
      <c r="G750" s="392" t="s">
        <v>5324</v>
      </c>
      <c r="H750" s="392" t="s">
        <v>7418</v>
      </c>
      <c r="I750" s="392" t="s">
        <v>1770</v>
      </c>
      <c r="J750" s="392" t="s">
        <v>8378</v>
      </c>
      <c r="K750" s="392" t="s">
        <v>1506</v>
      </c>
      <c r="L750" s="392" t="s">
        <v>988</v>
      </c>
      <c r="M750" s="392" t="s">
        <v>3758</v>
      </c>
      <c r="N750" s="392" t="s">
        <v>7273</v>
      </c>
      <c r="O750" s="392" t="s">
        <v>7273</v>
      </c>
      <c r="P750"/>
      <c r="Q750"/>
      <c r="R750" s="387">
        <f>VLOOKUP(E750,'[1]NDB Impacted SPRFs 05032013'!$A$2:$A$65536,1,FALSE)</f>
        <v>400017992</v>
      </c>
    </row>
    <row r="751" spans="1:21" s="159" customFormat="1" ht="60" x14ac:dyDescent="0.25">
      <c r="A751" s="63" t="e">
        <f>MATCH($E751,'D1 - Master Project Table'!$B$24:$B$7056,0)</f>
        <v>#N/A</v>
      </c>
      <c r="B751" s="63" t="b">
        <f t="shared" si="33"/>
        <v>1</v>
      </c>
      <c r="C751" s="63" t="b">
        <f t="shared" si="34"/>
        <v>1</v>
      </c>
      <c r="D751" s="63" t="str">
        <f t="shared" si="35"/>
        <v>OK</v>
      </c>
      <c r="E751" s="393">
        <v>400008109</v>
      </c>
      <c r="F751" s="392" t="s">
        <v>5038</v>
      </c>
      <c r="G751" s="392" t="s">
        <v>5787</v>
      </c>
      <c r="H751" s="392" t="s">
        <v>7418</v>
      </c>
      <c r="I751" s="392" t="s">
        <v>1775</v>
      </c>
      <c r="J751" s="392" t="s">
        <v>8666</v>
      </c>
      <c r="K751" s="392" t="s">
        <v>4242</v>
      </c>
      <c r="L751" s="392" t="s">
        <v>1591</v>
      </c>
      <c r="M751" s="392" t="s">
        <v>3758</v>
      </c>
      <c r="N751" s="392" t="s">
        <v>7273</v>
      </c>
      <c r="O751" s="392" t="s">
        <v>7273</v>
      </c>
      <c r="P751"/>
      <c r="Q751"/>
      <c r="R751" s="387">
        <f>VLOOKUP(E751,'[1]NDB Impacted SPRFs 05032013'!$A$2:$A$65536,1,FALSE)</f>
        <v>400008109</v>
      </c>
    </row>
    <row r="752" spans="1:21" ht="60" x14ac:dyDescent="0.25">
      <c r="A752" s="63">
        <f>MATCH($E752,'D1 - Master Project Table'!$B$24:$B$7056,0)</f>
        <v>1919</v>
      </c>
      <c r="B752" s="63" t="b">
        <f t="shared" si="33"/>
        <v>0</v>
      </c>
      <c r="C752" s="63" t="b">
        <f t="shared" si="34"/>
        <v>1</v>
      </c>
      <c r="D752" s="63" t="str">
        <f t="shared" si="35"/>
        <v>OK</v>
      </c>
      <c r="E752" s="393">
        <v>400010593</v>
      </c>
      <c r="F752" s="392" t="s">
        <v>7141</v>
      </c>
      <c r="G752" s="392" t="s">
        <v>3441</v>
      </c>
      <c r="H752" s="392" t="s">
        <v>7418</v>
      </c>
      <c r="I752" s="392" t="s">
        <v>2662</v>
      </c>
      <c r="J752" s="392" t="s">
        <v>8840</v>
      </c>
      <c r="K752" s="392" t="s">
        <v>5433</v>
      </c>
      <c r="L752" s="392" t="s">
        <v>7103</v>
      </c>
      <c r="M752" s="392" t="s">
        <v>3758</v>
      </c>
      <c r="N752" s="392" t="s">
        <v>7273</v>
      </c>
      <c r="O752" s="392" t="s">
        <v>7273</v>
      </c>
      <c r="P752"/>
      <c r="Q752"/>
      <c r="R752" s="387">
        <f>VLOOKUP(E752,'[1]NDB Impacted SPRFs 05032013'!$A$2:$A$65536,1,FALSE)</f>
        <v>400010593</v>
      </c>
      <c r="S752" s="159"/>
      <c r="T752" s="159"/>
      <c r="U752" s="159"/>
    </row>
    <row r="753" spans="1:21" s="159" customFormat="1" ht="60" x14ac:dyDescent="0.25">
      <c r="A753" s="63">
        <f>MATCH($E753,'D1 - Master Project Table'!$B$24:$B$7056,0)</f>
        <v>2786</v>
      </c>
      <c r="B753" s="63" t="b">
        <f t="shared" si="33"/>
        <v>0</v>
      </c>
      <c r="C753" s="63" t="b">
        <f t="shared" si="34"/>
        <v>1</v>
      </c>
      <c r="D753" s="63" t="str">
        <f t="shared" si="35"/>
        <v>OK</v>
      </c>
      <c r="E753" s="393">
        <v>400022191</v>
      </c>
      <c r="F753" s="392" t="s">
        <v>8118</v>
      </c>
      <c r="G753" s="392" t="s">
        <v>5324</v>
      </c>
      <c r="H753" s="392" t="s">
        <v>5314</v>
      </c>
      <c r="I753" s="392" t="s">
        <v>1756</v>
      </c>
      <c r="J753" s="392" t="s">
        <v>8395</v>
      </c>
      <c r="K753" s="392" t="s">
        <v>8075</v>
      </c>
      <c r="L753" s="392" t="s">
        <v>705</v>
      </c>
      <c r="M753" s="392" t="s">
        <v>7273</v>
      </c>
      <c r="N753" s="392" t="s">
        <v>7273</v>
      </c>
      <c r="O753" s="392" t="s">
        <v>7273</v>
      </c>
      <c r="P753"/>
      <c r="Q753"/>
      <c r="R753" s="387">
        <f>VLOOKUP(E753,'[1]NDB Impacted SPRFs 05032013'!$A$2:$A$65536,1,FALSE)</f>
        <v>400022191</v>
      </c>
    </row>
    <row r="754" spans="1:21" s="159" customFormat="1" ht="60" x14ac:dyDescent="0.25">
      <c r="A754" s="63">
        <f>MATCH($E754,'D1 - Master Project Table'!$B$24:$B$7056,0)</f>
        <v>1212</v>
      </c>
      <c r="B754" s="63" t="b">
        <f t="shared" si="33"/>
        <v>0</v>
      </c>
      <c r="C754" s="63" t="b">
        <f t="shared" si="34"/>
        <v>1</v>
      </c>
      <c r="D754" s="63" t="str">
        <f t="shared" si="35"/>
        <v>OK</v>
      </c>
      <c r="E754" s="393">
        <v>400027193</v>
      </c>
      <c r="F754" s="392" t="s">
        <v>2967</v>
      </c>
      <c r="G754" s="392" t="s">
        <v>5325</v>
      </c>
      <c r="H754" s="392" t="s">
        <v>7418</v>
      </c>
      <c r="I754" s="392" t="s">
        <v>6419</v>
      </c>
      <c r="J754" s="392" t="s">
        <v>6020</v>
      </c>
      <c r="K754" s="392" t="s">
        <v>6960</v>
      </c>
      <c r="L754" s="392" t="s">
        <v>5338</v>
      </c>
      <c r="M754" s="392" t="s">
        <v>3758</v>
      </c>
      <c r="N754" s="392" t="s">
        <v>7273</v>
      </c>
      <c r="O754" s="392" t="s">
        <v>7273</v>
      </c>
      <c r="P754"/>
      <c r="Q754"/>
      <c r="R754" s="387">
        <f>VLOOKUP(E754,'[1]NDB Impacted SPRFs 05032013'!$A$2:$A$65536,1,FALSE)</f>
        <v>400027193</v>
      </c>
    </row>
    <row r="755" spans="1:21" ht="60" x14ac:dyDescent="0.25">
      <c r="A755" s="63">
        <f>MATCH($E755,'D1 - Master Project Table'!$B$24:$B$7056,0)</f>
        <v>2255</v>
      </c>
      <c r="B755" s="63" t="b">
        <f t="shared" si="33"/>
        <v>0</v>
      </c>
      <c r="C755" s="63" t="b">
        <f t="shared" si="34"/>
        <v>1</v>
      </c>
      <c r="D755" s="63" t="str">
        <f t="shared" si="35"/>
        <v>OK</v>
      </c>
      <c r="E755" s="393">
        <v>400030522</v>
      </c>
      <c r="F755" s="392" t="s">
        <v>6449</v>
      </c>
      <c r="G755" s="392" t="s">
        <v>5001</v>
      </c>
      <c r="H755" s="392" t="s">
        <v>5314</v>
      </c>
      <c r="I755" s="392" t="s">
        <v>3540</v>
      </c>
      <c r="J755" s="392" t="s">
        <v>8600</v>
      </c>
      <c r="K755" s="392" t="s">
        <v>3695</v>
      </c>
      <c r="L755" s="392" t="s">
        <v>5773</v>
      </c>
      <c r="M755" s="392" t="s">
        <v>7273</v>
      </c>
      <c r="N755" s="392" t="s">
        <v>7273</v>
      </c>
      <c r="O755" s="392" t="s">
        <v>7273</v>
      </c>
      <c r="P755"/>
      <c r="Q755"/>
      <c r="R755" s="387">
        <f>VLOOKUP(E755,'[1]NDB Impacted SPRFs 05032013'!$A$2:$A$65536,1,FALSE)</f>
        <v>400030522</v>
      </c>
      <c r="S755" s="159"/>
      <c r="T755" s="159"/>
      <c r="U755" s="159"/>
    </row>
    <row r="756" spans="1:21" s="159" customFormat="1" ht="60" x14ac:dyDescent="0.25">
      <c r="A756" s="63">
        <f>MATCH($E756,'D1 - Master Project Table'!$B$24:$B$7056,0)</f>
        <v>57</v>
      </c>
      <c r="B756" s="63" t="b">
        <f t="shared" si="33"/>
        <v>0</v>
      </c>
      <c r="C756" s="63" t="b">
        <f t="shared" si="34"/>
        <v>0</v>
      </c>
      <c r="D756" s="63" t="str">
        <f t="shared" si="35"/>
        <v>OK</v>
      </c>
      <c r="E756" s="393">
        <v>400054912</v>
      </c>
      <c r="F756" s="392" t="s">
        <v>6141</v>
      </c>
      <c r="G756" s="392" t="s">
        <v>5995</v>
      </c>
      <c r="H756" s="392" t="s">
        <v>4917</v>
      </c>
      <c r="I756" s="392" t="s">
        <v>3533</v>
      </c>
      <c r="J756" s="392" t="s">
        <v>315</v>
      </c>
      <c r="K756" s="392" t="s">
        <v>1708</v>
      </c>
      <c r="L756" s="392" t="s">
        <v>9074</v>
      </c>
      <c r="M756" s="392" t="s">
        <v>3758</v>
      </c>
      <c r="N756" s="392" t="s">
        <v>7273</v>
      </c>
      <c r="O756" s="392" t="s">
        <v>7273</v>
      </c>
      <c r="P756"/>
      <c r="Q756"/>
      <c r="R756" s="387">
        <f>VLOOKUP(E756,'[1]NDB Impacted SPRFs 05032013'!$A$2:$A$65536,1,FALSE)</f>
        <v>400054912</v>
      </c>
      <c r="S756" s="128"/>
      <c r="T756" s="128"/>
      <c r="U756" s="128"/>
    </row>
    <row r="757" spans="1:21" s="159" customFormat="1" ht="60" x14ac:dyDescent="0.25">
      <c r="A757" s="63" t="e">
        <f>MATCH($E757,'D1 - Master Project Table'!$B$24:$B$7056,0)</f>
        <v>#N/A</v>
      </c>
      <c r="B757" s="63" t="b">
        <f t="shared" si="33"/>
        <v>1</v>
      </c>
      <c r="C757" s="63" t="b">
        <f t="shared" si="34"/>
        <v>1</v>
      </c>
      <c r="D757" s="63" t="str">
        <f t="shared" si="35"/>
        <v>OK</v>
      </c>
      <c r="E757" s="393">
        <v>303251014</v>
      </c>
      <c r="F757" s="392" t="s">
        <v>1663</v>
      </c>
      <c r="G757" s="392" t="s">
        <v>5787</v>
      </c>
      <c r="H757" s="392" t="s">
        <v>7418</v>
      </c>
      <c r="I757" s="392" t="s">
        <v>1814</v>
      </c>
      <c r="J757" s="392" t="s">
        <v>6100</v>
      </c>
      <c r="K757" s="392" t="s">
        <v>5223</v>
      </c>
      <c r="L757" s="392" t="s">
        <v>4887</v>
      </c>
      <c r="M757" s="392" t="s">
        <v>3758</v>
      </c>
      <c r="N757" s="392" t="s">
        <v>7273</v>
      </c>
      <c r="O757" s="392" t="s">
        <v>7273</v>
      </c>
      <c r="P757"/>
      <c r="Q757"/>
      <c r="R757" s="387">
        <f>VLOOKUP(E757,'[1]NDB Impacted SPRFs 05032013'!$A$2:$A$65536,1,FALSE)</f>
        <v>303251014</v>
      </c>
    </row>
    <row r="758" spans="1:21" s="159" customFormat="1" ht="60" x14ac:dyDescent="0.25">
      <c r="A758" s="63">
        <f>MATCH($E758,'D1 - Master Project Table'!$B$24:$B$7056,0)</f>
        <v>2515</v>
      </c>
      <c r="B758" s="63" t="b">
        <f t="shared" si="33"/>
        <v>0</v>
      </c>
      <c r="C758" s="63" t="b">
        <f t="shared" si="34"/>
        <v>1</v>
      </c>
      <c r="D758" s="63" t="str">
        <f t="shared" si="35"/>
        <v>OK</v>
      </c>
      <c r="E758" s="393">
        <v>400007597</v>
      </c>
      <c r="F758" s="392" t="s">
        <v>6198</v>
      </c>
      <c r="G758" s="392" t="s">
        <v>5787</v>
      </c>
      <c r="H758" s="392" t="s">
        <v>5314</v>
      </c>
      <c r="I758" s="392" t="s">
        <v>1824</v>
      </c>
      <c r="J758" s="392" t="s">
        <v>8706</v>
      </c>
      <c r="K758" s="392" t="s">
        <v>3144</v>
      </c>
      <c r="L758" s="392" t="s">
        <v>5247</v>
      </c>
      <c r="M758" s="392" t="s">
        <v>7273</v>
      </c>
      <c r="N758" s="392" t="s">
        <v>7273</v>
      </c>
      <c r="O758" s="392" t="s">
        <v>7273</v>
      </c>
      <c r="P758"/>
      <c r="Q758"/>
      <c r="R758" s="387">
        <f>VLOOKUP(E758,'[1]NDB Impacted SPRFs 05032013'!$A$2:$A$65536,1,FALSE)</f>
        <v>400007597</v>
      </c>
    </row>
    <row r="759" spans="1:21" ht="60" x14ac:dyDescent="0.25">
      <c r="A759" s="63">
        <f>MATCH($E759,'D1 - Master Project Table'!$B$24:$B$7056,0)</f>
        <v>1199</v>
      </c>
      <c r="B759" s="63" t="b">
        <f t="shared" si="33"/>
        <v>0</v>
      </c>
      <c r="C759" s="63" t="b">
        <f t="shared" si="34"/>
        <v>1</v>
      </c>
      <c r="D759" s="63" t="str">
        <f t="shared" si="35"/>
        <v>OK</v>
      </c>
      <c r="E759" s="393">
        <v>400030051</v>
      </c>
      <c r="F759" s="392" t="s">
        <v>3176</v>
      </c>
      <c r="G759" s="392" t="s">
        <v>5324</v>
      </c>
      <c r="H759" s="392" t="s">
        <v>7418</v>
      </c>
      <c r="I759" s="392" t="s">
        <v>1760</v>
      </c>
      <c r="J759" s="392" t="s">
        <v>8421</v>
      </c>
      <c r="K759" s="392" t="s">
        <v>3177</v>
      </c>
      <c r="L759" s="392" t="s">
        <v>4783</v>
      </c>
      <c r="M759" s="392" t="s">
        <v>3758</v>
      </c>
      <c r="N759" s="392" t="s">
        <v>7273</v>
      </c>
      <c r="O759" s="392" t="s">
        <v>7273</v>
      </c>
      <c r="P759"/>
      <c r="Q759"/>
      <c r="R759" s="387">
        <f>VLOOKUP(E759,'[1]NDB Impacted SPRFs 05032013'!$A$2:$A$65536,1,FALSE)</f>
        <v>400030051</v>
      </c>
    </row>
    <row r="760" spans="1:21" s="159" customFormat="1" ht="60" x14ac:dyDescent="0.25">
      <c r="A760" s="63">
        <f>MATCH($E760,'D1 - Master Project Table'!$B$24:$B$7056,0)</f>
        <v>260</v>
      </c>
      <c r="B760" s="63" t="b">
        <f t="shared" si="33"/>
        <v>0</v>
      </c>
      <c r="C760" s="63" t="b">
        <f t="shared" si="34"/>
        <v>0</v>
      </c>
      <c r="D760" s="63" t="str">
        <f t="shared" si="35"/>
        <v>OK</v>
      </c>
      <c r="E760" s="393">
        <v>400058742</v>
      </c>
      <c r="F760" s="392" t="s">
        <v>9097</v>
      </c>
      <c r="G760" s="392" t="s">
        <v>5995</v>
      </c>
      <c r="H760" s="392" t="s">
        <v>8012</v>
      </c>
      <c r="I760" s="392" t="s">
        <v>3533</v>
      </c>
      <c r="J760" s="392" t="s">
        <v>9098</v>
      </c>
      <c r="K760" s="392" t="s">
        <v>1708</v>
      </c>
      <c r="L760" s="392" t="s">
        <v>9295</v>
      </c>
      <c r="M760" s="392" t="s">
        <v>3758</v>
      </c>
      <c r="N760" s="392" t="s">
        <v>7273</v>
      </c>
      <c r="O760" s="392" t="s">
        <v>7273</v>
      </c>
      <c r="P760"/>
      <c r="Q760"/>
      <c r="R760" s="387">
        <f>VLOOKUP(E760,'[1]NDB Impacted SPRFs 05032013'!$A$2:$A$65536,1,FALSE)</f>
        <v>400058742</v>
      </c>
    </row>
    <row r="761" spans="1:21" s="159" customFormat="1" ht="60" x14ac:dyDescent="0.25">
      <c r="A761" s="63">
        <f>MATCH($E761,'D1 - Master Project Table'!$B$24:$B$7056,0)</f>
        <v>9</v>
      </c>
      <c r="B761" s="63" t="b">
        <f t="shared" si="33"/>
        <v>0</v>
      </c>
      <c r="C761" s="63" t="b">
        <f t="shared" si="34"/>
        <v>0</v>
      </c>
      <c r="D761" s="63" t="str">
        <f t="shared" si="35"/>
        <v>OK</v>
      </c>
      <c r="E761" s="393">
        <v>400050630</v>
      </c>
      <c r="F761" s="392" t="s">
        <v>2028</v>
      </c>
      <c r="G761" s="392" t="s">
        <v>9210</v>
      </c>
      <c r="H761" s="392" t="s">
        <v>4917</v>
      </c>
      <c r="I761" s="392" t="s">
        <v>3540</v>
      </c>
      <c r="J761" s="392" t="s">
        <v>8445</v>
      </c>
      <c r="K761" s="392" t="s">
        <v>248</v>
      </c>
      <c r="L761" s="392" t="s">
        <v>141</v>
      </c>
      <c r="M761" s="392" t="s">
        <v>7273</v>
      </c>
      <c r="N761" s="392" t="s">
        <v>7273</v>
      </c>
      <c r="O761" s="392" t="s">
        <v>7273</v>
      </c>
      <c r="P761"/>
      <c r="Q761"/>
      <c r="R761" s="387">
        <f>VLOOKUP(E761,'[1]NDB Impacted SPRFs 05032013'!$A$2:$A$65536,1,FALSE)</f>
        <v>400050630</v>
      </c>
    </row>
    <row r="762" spans="1:21" s="159" customFormat="1" ht="60" x14ac:dyDescent="0.25">
      <c r="A762" s="63">
        <f>MATCH($E762,'D1 - Master Project Table'!$B$24:$B$7056,0)</f>
        <v>1134</v>
      </c>
      <c r="B762" s="63" t="b">
        <f t="shared" si="33"/>
        <v>0</v>
      </c>
      <c r="C762" s="63" t="b">
        <f t="shared" si="34"/>
        <v>1</v>
      </c>
      <c r="D762" s="63" t="str">
        <f t="shared" si="35"/>
        <v>OK</v>
      </c>
      <c r="E762" s="393">
        <v>400026479</v>
      </c>
      <c r="F762" s="392" t="s">
        <v>3864</v>
      </c>
      <c r="G762" s="392" t="s">
        <v>5324</v>
      </c>
      <c r="H762" s="392" t="s">
        <v>7418</v>
      </c>
      <c r="I762" s="392" t="s">
        <v>1756</v>
      </c>
      <c r="J762" s="392" t="s">
        <v>4634</v>
      </c>
      <c r="K762" s="392" t="s">
        <v>1506</v>
      </c>
      <c r="L762" s="392" t="s">
        <v>713</v>
      </c>
      <c r="M762" s="392" t="s">
        <v>7273</v>
      </c>
      <c r="N762" s="392" t="s">
        <v>7273</v>
      </c>
      <c r="O762" s="392" t="s">
        <v>7273</v>
      </c>
      <c r="P762"/>
      <c r="Q762"/>
      <c r="R762" s="387">
        <f>VLOOKUP(E762,'[1]NDB Impacted SPRFs 05032013'!$A$2:$A$65536,1,FALSE)</f>
        <v>400026479</v>
      </c>
    </row>
    <row r="763" spans="1:21" ht="60" x14ac:dyDescent="0.25">
      <c r="A763" s="63">
        <f>MATCH($E763,'D1 - Master Project Table'!$B$24:$B$7056,0)</f>
        <v>1914</v>
      </c>
      <c r="B763" s="63" t="b">
        <f t="shared" si="33"/>
        <v>0</v>
      </c>
      <c r="C763" s="63" t="b">
        <f t="shared" si="34"/>
        <v>1</v>
      </c>
      <c r="D763" s="63" t="str">
        <f t="shared" si="35"/>
        <v>OK</v>
      </c>
      <c r="E763" s="393">
        <v>400009192</v>
      </c>
      <c r="F763" s="392" t="s">
        <v>7933</v>
      </c>
      <c r="G763" s="392" t="s">
        <v>5001</v>
      </c>
      <c r="H763" s="392" t="s">
        <v>7418</v>
      </c>
      <c r="I763" s="392" t="s">
        <v>1828</v>
      </c>
      <c r="J763" s="392" t="s">
        <v>8772</v>
      </c>
      <c r="K763" s="392" t="s">
        <v>5520</v>
      </c>
      <c r="L763" s="392" t="s">
        <v>8152</v>
      </c>
      <c r="M763" s="392" t="s">
        <v>7273</v>
      </c>
      <c r="N763" s="392" t="s">
        <v>7273</v>
      </c>
      <c r="O763" s="392" t="s">
        <v>7273</v>
      </c>
      <c r="P763"/>
      <c r="Q763"/>
      <c r="R763" s="387">
        <f>VLOOKUP(E763,'[1]NDB Impacted SPRFs 05032013'!$A$2:$A$65536,1,FALSE)</f>
        <v>400009192</v>
      </c>
      <c r="S763" s="159"/>
      <c r="T763" s="159"/>
      <c r="U763" s="159"/>
    </row>
    <row r="764" spans="1:21" s="159" customFormat="1" ht="60" x14ac:dyDescent="0.25">
      <c r="A764" s="63">
        <f>MATCH($E764,'D1 - Master Project Table'!$B$24:$B$7056,0)</f>
        <v>3077</v>
      </c>
      <c r="B764" s="63" t="b">
        <f t="shared" si="33"/>
        <v>0</v>
      </c>
      <c r="C764" s="63" t="b">
        <f t="shared" si="34"/>
        <v>1</v>
      </c>
      <c r="D764" s="63" t="str">
        <f t="shared" si="35"/>
        <v>OK</v>
      </c>
      <c r="E764" s="393">
        <v>400046415</v>
      </c>
      <c r="F764" s="392" t="s">
        <v>1403</v>
      </c>
      <c r="G764" s="392" t="s">
        <v>5325</v>
      </c>
      <c r="H764" s="392" t="s">
        <v>5314</v>
      </c>
      <c r="I764" s="392" t="s">
        <v>6419</v>
      </c>
      <c r="J764" s="392" t="s">
        <v>6584</v>
      </c>
      <c r="K764" s="392" t="s">
        <v>6585</v>
      </c>
      <c r="L764" s="392" t="s">
        <v>7576</v>
      </c>
      <c r="M764" s="392" t="s">
        <v>7273</v>
      </c>
      <c r="N764" s="392" t="s">
        <v>7273</v>
      </c>
      <c r="O764" s="392" t="s">
        <v>7273</v>
      </c>
      <c r="P764"/>
      <c r="Q764"/>
      <c r="R764" s="387">
        <f>VLOOKUP(E764,'[1]NDB Impacted SPRFs 05032013'!$A$2:$A$65536,1,FALSE)</f>
        <v>400046415</v>
      </c>
    </row>
    <row r="765" spans="1:21" s="159" customFormat="1" ht="60" x14ac:dyDescent="0.25">
      <c r="A765" s="63" t="e">
        <f>MATCH($E765,'D1 - Master Project Table'!$B$24:$B$7056,0)</f>
        <v>#N/A</v>
      </c>
      <c r="B765" s="63" t="b">
        <f t="shared" si="33"/>
        <v>1</v>
      </c>
      <c r="C765" s="63" t="b">
        <f t="shared" si="34"/>
        <v>1</v>
      </c>
      <c r="D765" s="63" t="str">
        <f t="shared" si="35"/>
        <v>OK</v>
      </c>
      <c r="E765" s="393">
        <v>400000504</v>
      </c>
      <c r="F765" s="392" t="s">
        <v>4149</v>
      </c>
      <c r="G765" s="392" t="s">
        <v>5787</v>
      </c>
      <c r="H765" s="392" t="s">
        <v>7418</v>
      </c>
      <c r="I765" s="392" t="s">
        <v>1772</v>
      </c>
      <c r="J765" s="392" t="s">
        <v>8712</v>
      </c>
      <c r="K765" s="392" t="s">
        <v>2458</v>
      </c>
      <c r="L765" s="392" t="s">
        <v>4420</v>
      </c>
      <c r="M765" s="392" t="s">
        <v>3758</v>
      </c>
      <c r="N765" s="392" t="s">
        <v>7273</v>
      </c>
      <c r="O765" s="392" t="s">
        <v>7273</v>
      </c>
      <c r="P765"/>
      <c r="Q765"/>
      <c r="R765" s="387">
        <f>VLOOKUP(E765,'[1]NDB Impacted SPRFs 05032013'!$A$2:$A$65536,1,FALSE)</f>
        <v>400000504</v>
      </c>
      <c r="S765" s="128"/>
      <c r="T765" s="128"/>
      <c r="U765" s="128"/>
    </row>
    <row r="766" spans="1:21" s="159" customFormat="1" ht="60" x14ac:dyDescent="0.25">
      <c r="A766" s="63">
        <f>MATCH($E766,'D1 - Master Project Table'!$B$24:$B$7056,0)</f>
        <v>1120</v>
      </c>
      <c r="B766" s="63" t="b">
        <f t="shared" si="33"/>
        <v>0</v>
      </c>
      <c r="C766" s="63" t="b">
        <f t="shared" si="34"/>
        <v>1</v>
      </c>
      <c r="D766" s="63" t="str">
        <f t="shared" si="35"/>
        <v>OK</v>
      </c>
      <c r="E766" s="393">
        <v>400028298</v>
      </c>
      <c r="F766" s="392" t="s">
        <v>4160</v>
      </c>
      <c r="G766" s="392" t="s">
        <v>5324</v>
      </c>
      <c r="H766" s="392" t="s">
        <v>7418</v>
      </c>
      <c r="I766" s="392" t="s">
        <v>1763</v>
      </c>
      <c r="J766" s="392" t="s">
        <v>6004</v>
      </c>
      <c r="K766" s="392" t="s">
        <v>3283</v>
      </c>
      <c r="L766" s="392" t="s">
        <v>2274</v>
      </c>
      <c r="M766" s="392" t="s">
        <v>3758</v>
      </c>
      <c r="N766" s="392" t="s">
        <v>7273</v>
      </c>
      <c r="O766" s="392" t="s">
        <v>3758</v>
      </c>
      <c r="P766"/>
      <c r="Q766"/>
      <c r="R766" s="387">
        <f>VLOOKUP(E766,'[1]NDB Impacted SPRFs 05032013'!$A$2:$A$65536,1,FALSE)</f>
        <v>400028298</v>
      </c>
    </row>
    <row r="767" spans="1:21" ht="60" x14ac:dyDescent="0.25">
      <c r="A767" s="63">
        <f>MATCH($E767,'D1 - Master Project Table'!$B$24:$B$7056,0)</f>
        <v>2973</v>
      </c>
      <c r="B767" s="63" t="b">
        <f t="shared" si="33"/>
        <v>0</v>
      </c>
      <c r="C767" s="63" t="b">
        <f t="shared" si="34"/>
        <v>1</v>
      </c>
      <c r="D767" s="63" t="str">
        <f t="shared" si="35"/>
        <v>OK</v>
      </c>
      <c r="E767" s="393">
        <v>400036845</v>
      </c>
      <c r="F767" s="392" t="s">
        <v>6453</v>
      </c>
      <c r="G767" s="392" t="s">
        <v>5324</v>
      </c>
      <c r="H767" s="392" t="s">
        <v>5314</v>
      </c>
      <c r="I767" s="392" t="s">
        <v>1759</v>
      </c>
      <c r="J767" s="392" t="s">
        <v>8320</v>
      </c>
      <c r="K767" s="392" t="s">
        <v>6454</v>
      </c>
      <c r="L767" s="392" t="s">
        <v>3193</v>
      </c>
      <c r="M767" s="392" t="s">
        <v>3758</v>
      </c>
      <c r="N767" s="392" t="s">
        <v>7273</v>
      </c>
      <c r="O767" s="392" t="s">
        <v>7273</v>
      </c>
      <c r="P767"/>
      <c r="Q767"/>
      <c r="R767" s="387">
        <f>VLOOKUP(E767,'[1]NDB Impacted SPRFs 05032013'!$A$2:$A$65536,1,FALSE)</f>
        <v>400036845</v>
      </c>
      <c r="S767" s="159"/>
      <c r="T767" s="159"/>
      <c r="U767" s="159"/>
    </row>
    <row r="768" spans="1:21" s="159" customFormat="1" ht="60" x14ac:dyDescent="0.25">
      <c r="A768" s="63">
        <f>MATCH($E768,'D1 - Master Project Table'!$B$24:$B$7056,0)</f>
        <v>943</v>
      </c>
      <c r="B768" s="63" t="b">
        <f t="shared" si="33"/>
        <v>0</v>
      </c>
      <c r="C768" s="63" t="b">
        <f t="shared" si="34"/>
        <v>1</v>
      </c>
      <c r="D768" s="63" t="str">
        <f t="shared" si="35"/>
        <v>OK</v>
      </c>
      <c r="E768" s="393">
        <v>400020629</v>
      </c>
      <c r="F768" s="392" t="s">
        <v>4894</v>
      </c>
      <c r="G768" s="392" t="s">
        <v>5324</v>
      </c>
      <c r="H768" s="392" t="s">
        <v>7418</v>
      </c>
      <c r="I768" s="392" t="s">
        <v>1756</v>
      </c>
      <c r="J768" s="392" t="s">
        <v>1618</v>
      </c>
      <c r="K768" s="392" t="s">
        <v>1989</v>
      </c>
      <c r="L768" s="392" t="s">
        <v>4908</v>
      </c>
      <c r="M768" s="392" t="s">
        <v>3758</v>
      </c>
      <c r="N768" s="392" t="s">
        <v>7273</v>
      </c>
      <c r="O768" s="392" t="s">
        <v>7273</v>
      </c>
      <c r="P768"/>
      <c r="Q768"/>
      <c r="R768" s="387">
        <f>VLOOKUP(E768,'[1]NDB Impacted SPRFs 05032013'!$A$2:$A$65536,1,FALSE)</f>
        <v>400020629</v>
      </c>
    </row>
    <row r="769" spans="1:21" s="159" customFormat="1" ht="60" x14ac:dyDescent="0.25">
      <c r="A769" s="63">
        <f>MATCH($E769,'D1 - Master Project Table'!$B$24:$B$7056,0)</f>
        <v>799</v>
      </c>
      <c r="B769" s="204" t="b">
        <f t="shared" si="33"/>
        <v>0</v>
      </c>
      <c r="C769" s="204" t="b">
        <f t="shared" si="34"/>
        <v>1</v>
      </c>
      <c r="D769" s="147" t="str">
        <f t="shared" si="35"/>
        <v>OK</v>
      </c>
      <c r="E769" s="393">
        <v>400020097</v>
      </c>
      <c r="F769" s="392" t="s">
        <v>5749</v>
      </c>
      <c r="G769" s="392" t="s">
        <v>5324</v>
      </c>
      <c r="H769" s="392" t="s">
        <v>7418</v>
      </c>
      <c r="I769" s="392" t="s">
        <v>1770</v>
      </c>
      <c r="J769" s="392" t="s">
        <v>8437</v>
      </c>
      <c r="K769" s="392" t="s">
        <v>1506</v>
      </c>
      <c r="L769" s="392" t="s">
        <v>2628</v>
      </c>
      <c r="M769" s="392" t="s">
        <v>3758</v>
      </c>
      <c r="N769" s="392" t="s">
        <v>7273</v>
      </c>
      <c r="O769" s="392" t="s">
        <v>7273</v>
      </c>
      <c r="P769"/>
      <c r="Q769"/>
      <c r="R769" s="387">
        <f>VLOOKUP(E769,'[1]NDB Impacted SPRFs 05032013'!$A$2:$A$65536,1,FALSE)</f>
        <v>400020097</v>
      </c>
    </row>
    <row r="770" spans="1:21" s="159" customFormat="1" ht="60" x14ac:dyDescent="0.25">
      <c r="A770" s="63">
        <f>MATCH($E770,'D1 - Master Project Table'!$B$24:$B$7056,0)</f>
        <v>328</v>
      </c>
      <c r="B770" s="63" t="b">
        <f t="shared" si="33"/>
        <v>0</v>
      </c>
      <c r="C770" s="63" t="b">
        <f t="shared" si="34"/>
        <v>1</v>
      </c>
      <c r="D770" s="63" t="str">
        <f t="shared" si="35"/>
        <v>OK</v>
      </c>
      <c r="E770" s="393">
        <v>400005987</v>
      </c>
      <c r="F770" s="392" t="s">
        <v>3337</v>
      </c>
      <c r="G770" s="392" t="s">
        <v>5787</v>
      </c>
      <c r="H770" s="392" t="s">
        <v>7418</v>
      </c>
      <c r="I770" s="392" t="s">
        <v>1782</v>
      </c>
      <c r="J770" s="392" t="s">
        <v>8716</v>
      </c>
      <c r="K770" s="392" t="s">
        <v>3353</v>
      </c>
      <c r="L770" s="392" t="s">
        <v>3426</v>
      </c>
      <c r="M770" s="392" t="s">
        <v>7273</v>
      </c>
      <c r="N770" s="392" t="s">
        <v>7273</v>
      </c>
      <c r="O770" s="392" t="s">
        <v>7273</v>
      </c>
      <c r="P770"/>
      <c r="Q770"/>
      <c r="R770" s="387">
        <f>VLOOKUP(E770,'[1]NDB Impacted SPRFs 05032013'!$A$2:$A$65536,1,FALSE)</f>
        <v>400005987</v>
      </c>
      <c r="S770" s="128"/>
      <c r="T770" s="128"/>
      <c r="U770" s="128"/>
    </row>
    <row r="771" spans="1:21" ht="60" x14ac:dyDescent="0.25">
      <c r="A771" s="63">
        <f>MATCH($E771,'D1 - Master Project Table'!$B$24:$B$7056,0)</f>
        <v>639</v>
      </c>
      <c r="B771" s="63" t="b">
        <f t="shared" si="33"/>
        <v>0</v>
      </c>
      <c r="C771" s="63" t="b">
        <f t="shared" si="34"/>
        <v>1</v>
      </c>
      <c r="D771" s="63" t="str">
        <f t="shared" si="35"/>
        <v>OK</v>
      </c>
      <c r="E771" s="393">
        <v>400010547</v>
      </c>
      <c r="F771" s="392" t="s">
        <v>6179</v>
      </c>
      <c r="G771" s="392" t="s">
        <v>5324</v>
      </c>
      <c r="H771" s="392" t="s">
        <v>7418</v>
      </c>
      <c r="I771" s="392" t="s">
        <v>1762</v>
      </c>
      <c r="J771" s="392" t="s">
        <v>2251</v>
      </c>
      <c r="K771" s="392" t="s">
        <v>5641</v>
      </c>
      <c r="L771" s="392" t="s">
        <v>6636</v>
      </c>
      <c r="M771" s="392" t="s">
        <v>3758</v>
      </c>
      <c r="N771" s="392" t="s">
        <v>7273</v>
      </c>
      <c r="O771" s="392" t="s">
        <v>7273</v>
      </c>
      <c r="P771"/>
      <c r="Q771"/>
      <c r="R771" s="387">
        <f>VLOOKUP(E771,'[1]NDB Impacted SPRFs 05032013'!$A$2:$A$65536,1,FALSE)</f>
        <v>400010547</v>
      </c>
    </row>
    <row r="772" spans="1:21" s="159" customFormat="1" ht="60" x14ac:dyDescent="0.25">
      <c r="A772" s="63">
        <f>MATCH($E772,'D1 - Master Project Table'!$B$24:$B$7056,0)</f>
        <v>2246</v>
      </c>
      <c r="B772" s="63" t="b">
        <f t="shared" si="33"/>
        <v>0</v>
      </c>
      <c r="C772" s="63" t="b">
        <f t="shared" si="34"/>
        <v>1</v>
      </c>
      <c r="D772" s="63" t="str">
        <f t="shared" si="35"/>
        <v>OK</v>
      </c>
      <c r="E772" s="393">
        <v>400027363</v>
      </c>
      <c r="F772" s="392" t="s">
        <v>7638</v>
      </c>
      <c r="G772" s="392" t="s">
        <v>5325</v>
      </c>
      <c r="H772" s="392" t="s">
        <v>5314</v>
      </c>
      <c r="I772" s="392" t="s">
        <v>6419</v>
      </c>
      <c r="J772" s="392" t="s">
        <v>6584</v>
      </c>
      <c r="K772" s="392" t="s">
        <v>6585</v>
      </c>
      <c r="L772" s="392" t="s">
        <v>3589</v>
      </c>
      <c r="M772" s="392" t="s">
        <v>3758</v>
      </c>
      <c r="N772" s="392" t="s">
        <v>7273</v>
      </c>
      <c r="O772" s="392" t="s">
        <v>7273</v>
      </c>
      <c r="P772"/>
      <c r="Q772"/>
      <c r="R772" s="387">
        <f>VLOOKUP(E772,'[1]NDB Impacted SPRFs 05032013'!$A$2:$A$65536,1,FALSE)</f>
        <v>400027363</v>
      </c>
      <c r="S772" s="128"/>
      <c r="T772" s="128"/>
      <c r="U772" s="128"/>
    </row>
    <row r="773" spans="1:21" s="159" customFormat="1" ht="60" x14ac:dyDescent="0.25">
      <c r="A773" s="63">
        <f>MATCH($E773,'D1 - Master Project Table'!$B$24:$B$7056,0)</f>
        <v>114</v>
      </c>
      <c r="B773" s="63" t="b">
        <f t="shared" si="33"/>
        <v>0</v>
      </c>
      <c r="C773" s="63" t="b">
        <f t="shared" si="34"/>
        <v>0</v>
      </c>
      <c r="D773" s="63" t="str">
        <f t="shared" si="35"/>
        <v>OK</v>
      </c>
      <c r="E773" s="393">
        <v>400050588</v>
      </c>
      <c r="F773" s="392" t="s">
        <v>2031</v>
      </c>
      <c r="G773" s="392" t="s">
        <v>5995</v>
      </c>
      <c r="H773" s="392" t="s">
        <v>4917</v>
      </c>
      <c r="I773" s="392" t="s">
        <v>6423</v>
      </c>
      <c r="J773" s="392" t="s">
        <v>8833</v>
      </c>
      <c r="K773" s="392" t="s">
        <v>1897</v>
      </c>
      <c r="L773" s="392" t="s">
        <v>9432</v>
      </c>
      <c r="M773" s="392" t="s">
        <v>3758</v>
      </c>
      <c r="N773" s="392" t="s">
        <v>7273</v>
      </c>
      <c r="O773" s="392" t="s">
        <v>7273</v>
      </c>
      <c r="P773" s="158"/>
      <c r="Q773" s="128"/>
      <c r="R773" s="387">
        <f>VLOOKUP(E773,'[1]NDB Impacted SPRFs 05032013'!$A$2:$A$65536,1,FALSE)</f>
        <v>400050588</v>
      </c>
      <c r="S773" s="128"/>
      <c r="T773" s="128"/>
      <c r="U773" s="128"/>
    </row>
    <row r="774" spans="1:21" s="159" customFormat="1" ht="60" x14ac:dyDescent="0.25">
      <c r="A774" s="63">
        <f>MATCH($E774,'D1 - Master Project Table'!$B$24:$B$7056,0)</f>
        <v>1122</v>
      </c>
      <c r="B774" s="63" t="b">
        <f t="shared" ref="B774:B837" si="36">ISERROR(A774)</f>
        <v>0</v>
      </c>
      <c r="C774" s="63" t="b">
        <f t="shared" ref="C774:C837" si="37">OR(H774="Completed",H774="Cancelled")</f>
        <v>1</v>
      </c>
      <c r="D774" s="63" t="str">
        <f t="shared" ref="D774:D837" si="38">IF(AND(B774=TRUE,C774=FALSE),"Add","OK")</f>
        <v>OK</v>
      </c>
      <c r="E774" s="393">
        <v>400029570</v>
      </c>
      <c r="F774" s="392" t="s">
        <v>6074</v>
      </c>
      <c r="G774" s="392" t="s">
        <v>5001</v>
      </c>
      <c r="H774" s="392" t="s">
        <v>7418</v>
      </c>
      <c r="I774" s="392" t="s">
        <v>3540</v>
      </c>
      <c r="J774" s="392" t="s">
        <v>6840</v>
      </c>
      <c r="K774" s="392" t="s">
        <v>2174</v>
      </c>
      <c r="L774" s="392" t="s">
        <v>718</v>
      </c>
      <c r="M774" s="392" t="s">
        <v>3758</v>
      </c>
      <c r="N774" s="392" t="s">
        <v>7273</v>
      </c>
      <c r="O774" s="392" t="s">
        <v>3758</v>
      </c>
      <c r="P774"/>
      <c r="Q774"/>
      <c r="R774" s="387">
        <f>VLOOKUP(E774,'[1]NDB Impacted SPRFs 05032013'!$A$2:$A$65536,1,FALSE)</f>
        <v>400029570</v>
      </c>
    </row>
    <row r="775" spans="1:21" s="159" customFormat="1" ht="60" x14ac:dyDescent="0.25">
      <c r="A775" s="63">
        <f>MATCH($E775,'D1 - Master Project Table'!$B$24:$B$7056,0)</f>
        <v>2964</v>
      </c>
      <c r="B775" s="63" t="b">
        <f t="shared" si="36"/>
        <v>0</v>
      </c>
      <c r="C775" s="63" t="b">
        <f t="shared" si="37"/>
        <v>1</v>
      </c>
      <c r="D775" s="63" t="str">
        <f t="shared" si="38"/>
        <v>OK</v>
      </c>
      <c r="E775" s="393">
        <v>400036404</v>
      </c>
      <c r="F775" s="392" t="s">
        <v>6456</v>
      </c>
      <c r="G775" s="392" t="s">
        <v>5324</v>
      </c>
      <c r="H775" s="392" t="s">
        <v>5314</v>
      </c>
      <c r="I775" s="392" t="s">
        <v>1595</v>
      </c>
      <c r="J775" s="392" t="s">
        <v>1973</v>
      </c>
      <c r="K775" s="392" t="s">
        <v>6457</v>
      </c>
      <c r="L775" s="392" t="s">
        <v>5867</v>
      </c>
      <c r="M775" s="392" t="s">
        <v>7273</v>
      </c>
      <c r="N775" s="392" t="s">
        <v>7273</v>
      </c>
      <c r="O775" s="392" t="s">
        <v>7273</v>
      </c>
      <c r="P775"/>
      <c r="Q775"/>
      <c r="R775" s="387">
        <f>VLOOKUP(E775,'[1]NDB Impacted SPRFs 05032013'!$A$2:$A$65536,1,FALSE)</f>
        <v>400036404</v>
      </c>
    </row>
    <row r="776" spans="1:21" s="159" customFormat="1" ht="60" x14ac:dyDescent="0.25">
      <c r="A776" s="63">
        <f>MATCH($E776,'D1 - Master Project Table'!$B$24:$B$7056,0)</f>
        <v>435</v>
      </c>
      <c r="B776" s="63" t="b">
        <f t="shared" si="36"/>
        <v>0</v>
      </c>
      <c r="C776" s="63" t="b">
        <f t="shared" si="37"/>
        <v>1</v>
      </c>
      <c r="D776" s="63" t="str">
        <f t="shared" si="38"/>
        <v>OK</v>
      </c>
      <c r="E776" s="393">
        <v>400007971</v>
      </c>
      <c r="F776" s="392" t="s">
        <v>5432</v>
      </c>
      <c r="G776" s="392" t="s">
        <v>5787</v>
      </c>
      <c r="H776" s="392" t="s">
        <v>7418</v>
      </c>
      <c r="I776" s="392" t="s">
        <v>1824</v>
      </c>
      <c r="J776" s="392" t="s">
        <v>2556</v>
      </c>
      <c r="K776" s="392" t="s">
        <v>6272</v>
      </c>
      <c r="L776" s="392" t="s">
        <v>6697</v>
      </c>
      <c r="M776" s="392" t="s">
        <v>3758</v>
      </c>
      <c r="N776" s="392" t="s">
        <v>7273</v>
      </c>
      <c r="O776" s="392" t="s">
        <v>7273</v>
      </c>
      <c r="P776"/>
      <c r="Q776"/>
      <c r="R776" s="387">
        <f>VLOOKUP(E776,'[1]NDB Impacted SPRFs 05032013'!$A$2:$A$65536,1,FALSE)</f>
        <v>400007971</v>
      </c>
    </row>
    <row r="777" spans="1:21" s="159" customFormat="1" ht="60" x14ac:dyDescent="0.25">
      <c r="A777" s="63">
        <f>MATCH($E777,'D1 - Master Project Table'!$B$24:$B$7056,0)</f>
        <v>1198</v>
      </c>
      <c r="B777" s="63" t="b">
        <f t="shared" si="36"/>
        <v>0</v>
      </c>
      <c r="C777" s="63" t="b">
        <f t="shared" si="37"/>
        <v>1</v>
      </c>
      <c r="D777" s="63" t="str">
        <f t="shared" si="38"/>
        <v>OK</v>
      </c>
      <c r="E777" s="393">
        <v>400029885</v>
      </c>
      <c r="F777" s="392" t="s">
        <v>7330</v>
      </c>
      <c r="G777" s="392" t="s">
        <v>5001</v>
      </c>
      <c r="H777" s="392" t="s">
        <v>7418</v>
      </c>
      <c r="I777" s="392" t="s">
        <v>2655</v>
      </c>
      <c r="J777" s="392" t="s">
        <v>8756</v>
      </c>
      <c r="K777" s="392" t="s">
        <v>6715</v>
      </c>
      <c r="L777" s="392" t="s">
        <v>112</v>
      </c>
      <c r="M777" s="392" t="s">
        <v>3758</v>
      </c>
      <c r="N777" s="392" t="s">
        <v>7273</v>
      </c>
      <c r="O777" s="392" t="s">
        <v>7273</v>
      </c>
      <c r="P777"/>
      <c r="Q777"/>
      <c r="R777" s="387">
        <f>VLOOKUP(E777,'[1]NDB Impacted SPRFs 05032013'!$A$2:$A$65536,1,FALSE)</f>
        <v>400029885</v>
      </c>
    </row>
    <row r="778" spans="1:21" s="159" customFormat="1" ht="60" x14ac:dyDescent="0.25">
      <c r="A778" s="63">
        <f>MATCH($E778,'D1 - Master Project Table'!$B$24:$B$7056,0)</f>
        <v>1544</v>
      </c>
      <c r="B778" s="63" t="b">
        <f t="shared" si="36"/>
        <v>0</v>
      </c>
      <c r="C778" s="63" t="b">
        <f t="shared" si="37"/>
        <v>1</v>
      </c>
      <c r="D778" s="63" t="str">
        <f t="shared" si="38"/>
        <v>OK</v>
      </c>
      <c r="E778" s="393">
        <v>400037964</v>
      </c>
      <c r="F778" s="392" t="s">
        <v>5388</v>
      </c>
      <c r="G778" s="392" t="s">
        <v>5324</v>
      </c>
      <c r="H778" s="392" t="s">
        <v>7418</v>
      </c>
      <c r="I778" s="392" t="s">
        <v>1759</v>
      </c>
      <c r="J778" s="392" t="s">
        <v>2045</v>
      </c>
      <c r="K778" s="392" t="s">
        <v>5389</v>
      </c>
      <c r="L778" s="392" t="s">
        <v>1704</v>
      </c>
      <c r="M778" s="392" t="s">
        <v>3758</v>
      </c>
      <c r="N778" s="392" t="s">
        <v>7273</v>
      </c>
      <c r="O778" s="392" t="s">
        <v>7273</v>
      </c>
      <c r="P778"/>
      <c r="Q778"/>
      <c r="R778" s="387">
        <f>VLOOKUP(E778,'[1]NDB Impacted SPRFs 05032013'!$A$2:$A$65536,1,FALSE)</f>
        <v>400037964</v>
      </c>
      <c r="S778" s="128"/>
      <c r="T778" s="128"/>
      <c r="U778" s="128"/>
    </row>
    <row r="779" spans="1:21" s="159" customFormat="1" ht="60" x14ac:dyDescent="0.25">
      <c r="A779" s="63">
        <f>MATCH($E779,'D1 - Master Project Table'!$B$24:$B$7056,0)</f>
        <v>2599</v>
      </c>
      <c r="B779" s="63" t="b">
        <f t="shared" si="36"/>
        <v>0</v>
      </c>
      <c r="C779" s="63" t="b">
        <f t="shared" si="37"/>
        <v>1</v>
      </c>
      <c r="D779" s="63" t="str">
        <f t="shared" si="38"/>
        <v>OK</v>
      </c>
      <c r="E779" s="393">
        <v>400012422</v>
      </c>
      <c r="F779" s="392" t="s">
        <v>4738</v>
      </c>
      <c r="G779" s="392" t="s">
        <v>5324</v>
      </c>
      <c r="H779" s="392" t="s">
        <v>5314</v>
      </c>
      <c r="I779" s="392" t="s">
        <v>1756</v>
      </c>
      <c r="J779" s="392" t="s">
        <v>4161</v>
      </c>
      <c r="K779" s="392" t="s">
        <v>1506</v>
      </c>
      <c r="L779" s="392" t="s">
        <v>4259</v>
      </c>
      <c r="M779" s="392" t="s">
        <v>3758</v>
      </c>
      <c r="N779" s="392" t="s">
        <v>7273</v>
      </c>
      <c r="O779" s="392" t="s">
        <v>7273</v>
      </c>
      <c r="P779"/>
      <c r="Q779"/>
      <c r="R779" s="387">
        <f>VLOOKUP(E779,'[1]NDB Impacted SPRFs 05032013'!$A$2:$A$65536,1,FALSE)</f>
        <v>400012422</v>
      </c>
    </row>
    <row r="780" spans="1:21" s="159" customFormat="1" ht="60" x14ac:dyDescent="0.25">
      <c r="A780" s="63">
        <f>MATCH($E780,'D1 - Master Project Table'!$B$24:$B$7056,0)</f>
        <v>2770</v>
      </c>
      <c r="B780" s="63" t="b">
        <f t="shared" si="36"/>
        <v>0</v>
      </c>
      <c r="C780" s="63" t="b">
        <f t="shared" si="37"/>
        <v>1</v>
      </c>
      <c r="D780" s="63" t="str">
        <f t="shared" si="38"/>
        <v>OK</v>
      </c>
      <c r="E780" s="393">
        <v>400021640</v>
      </c>
      <c r="F780" s="392" t="s">
        <v>3559</v>
      </c>
      <c r="G780" s="392" t="s">
        <v>5324</v>
      </c>
      <c r="H780" s="392" t="s">
        <v>5314</v>
      </c>
      <c r="I780" s="392" t="s">
        <v>1756</v>
      </c>
      <c r="J780" s="392" t="s">
        <v>5473</v>
      </c>
      <c r="K780" s="392" t="s">
        <v>1506</v>
      </c>
      <c r="L780" s="392" t="s">
        <v>4871</v>
      </c>
      <c r="M780" s="392" t="s">
        <v>3758</v>
      </c>
      <c r="N780" s="392" t="s">
        <v>7273</v>
      </c>
      <c r="O780" s="392" t="s">
        <v>7273</v>
      </c>
      <c r="P780"/>
      <c r="Q780"/>
      <c r="R780" s="387">
        <f>VLOOKUP(E780,'[1]NDB Impacted SPRFs 05032013'!$A$2:$A$65536,1,FALSE)</f>
        <v>400021640</v>
      </c>
      <c r="S780" s="128"/>
      <c r="T780" s="128"/>
      <c r="U780" s="128"/>
    </row>
    <row r="781" spans="1:21" s="159" customFormat="1" ht="60" x14ac:dyDescent="0.25">
      <c r="A781" s="63">
        <f>MATCH($E781,'D1 - Master Project Table'!$B$24:$B$7056,0)</f>
        <v>929</v>
      </c>
      <c r="B781" s="63" t="b">
        <f t="shared" si="36"/>
        <v>0</v>
      </c>
      <c r="C781" s="63" t="b">
        <f t="shared" si="37"/>
        <v>1</v>
      </c>
      <c r="D781" s="63" t="str">
        <f t="shared" si="38"/>
        <v>OK</v>
      </c>
      <c r="E781" s="393">
        <v>400023797</v>
      </c>
      <c r="F781" s="392" t="s">
        <v>6153</v>
      </c>
      <c r="G781" s="392" t="s">
        <v>6065</v>
      </c>
      <c r="H781" s="392" t="s">
        <v>7418</v>
      </c>
      <c r="I781" s="392" t="s">
        <v>2655</v>
      </c>
      <c r="J781" s="392" t="s">
        <v>8785</v>
      </c>
      <c r="K781" s="392" t="s">
        <v>5980</v>
      </c>
      <c r="L781" s="392" t="s">
        <v>1459</v>
      </c>
      <c r="M781" s="392" t="s">
        <v>3758</v>
      </c>
      <c r="N781" s="392" t="s">
        <v>7273</v>
      </c>
      <c r="O781" s="392" t="s">
        <v>7273</v>
      </c>
      <c r="P781"/>
      <c r="Q781"/>
      <c r="R781" s="387">
        <f>VLOOKUP(E781,'[1]NDB Impacted SPRFs 05032013'!$A$2:$A$65536,1,FALSE)</f>
        <v>400023797</v>
      </c>
    </row>
    <row r="782" spans="1:21" s="159" customFormat="1" ht="60" x14ac:dyDescent="0.25">
      <c r="A782" s="63">
        <f>MATCH($E782,'D1 - Master Project Table'!$B$24:$B$7056,0)</f>
        <v>2249</v>
      </c>
      <c r="B782" s="63" t="b">
        <f t="shared" si="36"/>
        <v>0</v>
      </c>
      <c r="C782" s="63" t="b">
        <f t="shared" si="37"/>
        <v>1</v>
      </c>
      <c r="D782" s="63" t="str">
        <f t="shared" si="38"/>
        <v>OK</v>
      </c>
      <c r="E782" s="393">
        <v>400028290</v>
      </c>
      <c r="F782" s="392" t="s">
        <v>3026</v>
      </c>
      <c r="G782" s="392" t="s">
        <v>5001</v>
      </c>
      <c r="H782" s="392" t="s">
        <v>7418</v>
      </c>
      <c r="I782" s="392" t="s">
        <v>3540</v>
      </c>
      <c r="J782" s="392" t="s">
        <v>8357</v>
      </c>
      <c r="K782" s="392" t="s">
        <v>6885</v>
      </c>
      <c r="L782" s="392" t="s">
        <v>730</v>
      </c>
      <c r="M782" s="392" t="s">
        <v>3758</v>
      </c>
      <c r="N782" s="392" t="s">
        <v>7273</v>
      </c>
      <c r="O782" s="392" t="s">
        <v>3758</v>
      </c>
      <c r="P782"/>
      <c r="Q782"/>
      <c r="R782" s="387">
        <f>VLOOKUP(E782,'[1]NDB Impacted SPRFs 05032013'!$A$2:$A$65536,1,FALSE)</f>
        <v>400028290</v>
      </c>
    </row>
    <row r="783" spans="1:21" s="159" customFormat="1" ht="60" x14ac:dyDescent="0.25">
      <c r="A783" s="63">
        <f>MATCH($E783,'D1 - Master Project Table'!$B$24:$B$7056,0)</f>
        <v>3176</v>
      </c>
      <c r="B783" s="63" t="b">
        <f t="shared" si="36"/>
        <v>0</v>
      </c>
      <c r="C783" s="63" t="b">
        <f t="shared" si="37"/>
        <v>0</v>
      </c>
      <c r="D783" s="63" t="str">
        <f t="shared" si="38"/>
        <v>OK</v>
      </c>
      <c r="E783" s="393">
        <v>400050430</v>
      </c>
      <c r="F783" s="392" t="s">
        <v>2026</v>
      </c>
      <c r="G783" s="392" t="s">
        <v>9210</v>
      </c>
      <c r="H783" s="392" t="s">
        <v>4917</v>
      </c>
      <c r="I783" s="392" t="s">
        <v>2655</v>
      </c>
      <c r="J783" s="392" t="s">
        <v>2189</v>
      </c>
      <c r="K783" s="392" t="s">
        <v>6986</v>
      </c>
      <c r="L783" s="392" t="s">
        <v>333</v>
      </c>
      <c r="M783" s="392" t="s">
        <v>7273</v>
      </c>
      <c r="N783" s="392" t="s">
        <v>7273</v>
      </c>
      <c r="O783" s="392" t="s">
        <v>7273</v>
      </c>
      <c r="P783"/>
      <c r="Q783"/>
      <c r="R783" s="387">
        <f>VLOOKUP(E783,'[1]NDB Impacted SPRFs 05032013'!$A$2:$A$65536,1,FALSE)</f>
        <v>400050430</v>
      </c>
    </row>
    <row r="784" spans="1:21" ht="60" x14ac:dyDescent="0.25">
      <c r="A784" s="63">
        <f>MATCH($E784,'D1 - Master Project Table'!$B$24:$B$7056,0)</f>
        <v>583</v>
      </c>
      <c r="B784" s="63" t="b">
        <f t="shared" si="36"/>
        <v>0</v>
      </c>
      <c r="C784" s="63" t="b">
        <f t="shared" si="37"/>
        <v>1</v>
      </c>
      <c r="D784" s="63" t="str">
        <f t="shared" si="38"/>
        <v>OK</v>
      </c>
      <c r="E784" s="393">
        <v>400010966</v>
      </c>
      <c r="F784" s="392" t="s">
        <v>4214</v>
      </c>
      <c r="G784" s="392" t="s">
        <v>3441</v>
      </c>
      <c r="H784" s="392" t="s">
        <v>7418</v>
      </c>
      <c r="I784" s="392" t="s">
        <v>1770</v>
      </c>
      <c r="J784" s="392" t="s">
        <v>8726</v>
      </c>
      <c r="K784" s="392" t="s">
        <v>6394</v>
      </c>
      <c r="L784" s="392" t="s">
        <v>3402</v>
      </c>
      <c r="M784" s="392" t="s">
        <v>7273</v>
      </c>
      <c r="N784" s="392" t="s">
        <v>7273</v>
      </c>
      <c r="O784" s="392" t="s">
        <v>7273</v>
      </c>
      <c r="P784"/>
      <c r="Q784"/>
      <c r="R784" s="387">
        <f>VLOOKUP(E784,'[1]NDB Impacted SPRFs 05032013'!$A$2:$A$65536,1,FALSE)</f>
        <v>400010966</v>
      </c>
      <c r="S784" s="159"/>
      <c r="T784" s="159"/>
      <c r="U784" s="159"/>
    </row>
    <row r="785" spans="1:21" ht="60" x14ac:dyDescent="0.25">
      <c r="A785" s="63">
        <f>MATCH($E785,'D1 - Master Project Table'!$B$24:$B$7056,0)</f>
        <v>724</v>
      </c>
      <c r="B785" s="63" t="b">
        <f t="shared" si="36"/>
        <v>0</v>
      </c>
      <c r="C785" s="63" t="b">
        <f t="shared" si="37"/>
        <v>1</v>
      </c>
      <c r="D785" s="63" t="str">
        <f t="shared" si="38"/>
        <v>OK</v>
      </c>
      <c r="E785" s="393">
        <v>400013478</v>
      </c>
      <c r="F785" s="392" t="s">
        <v>3496</v>
      </c>
      <c r="G785" s="392" t="s">
        <v>5324</v>
      </c>
      <c r="H785" s="392" t="s">
        <v>7418</v>
      </c>
      <c r="I785" s="392" t="s">
        <v>1759</v>
      </c>
      <c r="J785" s="392" t="s">
        <v>8357</v>
      </c>
      <c r="K785" s="392" t="s">
        <v>5184</v>
      </c>
      <c r="L785" s="392" t="s">
        <v>6751</v>
      </c>
      <c r="M785" s="392" t="s">
        <v>3758</v>
      </c>
      <c r="N785" s="392" t="s">
        <v>7273</v>
      </c>
      <c r="O785" s="392" t="s">
        <v>7273</v>
      </c>
      <c r="P785"/>
      <c r="Q785"/>
      <c r="R785" s="387">
        <f>VLOOKUP(E785,'[1]NDB Impacted SPRFs 05032013'!$A$2:$A$65536,1,FALSE)</f>
        <v>400013478</v>
      </c>
      <c r="S785" s="159"/>
      <c r="T785" s="159"/>
      <c r="U785" s="159"/>
    </row>
    <row r="786" spans="1:21" s="159" customFormat="1" ht="60" x14ac:dyDescent="0.25">
      <c r="A786" s="63">
        <f>MATCH($E786,'D1 - Master Project Table'!$B$24:$B$7056,0)</f>
        <v>900</v>
      </c>
      <c r="B786" s="63" t="b">
        <f t="shared" si="36"/>
        <v>0</v>
      </c>
      <c r="C786" s="63" t="b">
        <f t="shared" si="37"/>
        <v>1</v>
      </c>
      <c r="D786" s="63" t="str">
        <f t="shared" si="38"/>
        <v>OK</v>
      </c>
      <c r="E786" s="393">
        <v>400020418</v>
      </c>
      <c r="F786" s="392" t="s">
        <v>2065</v>
      </c>
      <c r="G786" s="392" t="s">
        <v>5324</v>
      </c>
      <c r="H786" s="392" t="s">
        <v>7418</v>
      </c>
      <c r="I786" s="392" t="s">
        <v>1788</v>
      </c>
      <c r="J786" s="392" t="s">
        <v>2720</v>
      </c>
      <c r="K786" s="392" t="s">
        <v>2066</v>
      </c>
      <c r="L786" s="392" t="s">
        <v>889</v>
      </c>
      <c r="M786" s="392" t="s">
        <v>7273</v>
      </c>
      <c r="N786" s="392" t="s">
        <v>7273</v>
      </c>
      <c r="O786" s="392" t="s">
        <v>7273</v>
      </c>
      <c r="P786"/>
      <c r="Q786"/>
      <c r="R786" s="387">
        <f>VLOOKUP(E786,'[1]NDB Impacted SPRFs 05032013'!$A$2:$A$65536,1,FALSE)</f>
        <v>400020418</v>
      </c>
    </row>
    <row r="787" spans="1:21" s="159" customFormat="1" ht="60" x14ac:dyDescent="0.25">
      <c r="A787" s="63">
        <f>MATCH($E787,'D1 - Master Project Table'!$B$24:$B$7056,0)</f>
        <v>1975</v>
      </c>
      <c r="B787" s="63" t="b">
        <f t="shared" si="36"/>
        <v>0</v>
      </c>
      <c r="C787" s="63" t="b">
        <f t="shared" si="37"/>
        <v>1</v>
      </c>
      <c r="D787" s="63" t="str">
        <f t="shared" si="38"/>
        <v>OK</v>
      </c>
      <c r="E787" s="393">
        <v>400026380</v>
      </c>
      <c r="F787" s="392" t="s">
        <v>4171</v>
      </c>
      <c r="G787" s="392" t="s">
        <v>5324</v>
      </c>
      <c r="H787" s="392" t="s">
        <v>7418</v>
      </c>
      <c r="I787" s="392" t="s">
        <v>1760</v>
      </c>
      <c r="J787" s="392" t="s">
        <v>5112</v>
      </c>
      <c r="K787" s="392" t="s">
        <v>7932</v>
      </c>
      <c r="L787" s="392" t="s">
        <v>7528</v>
      </c>
      <c r="M787" s="392" t="s">
        <v>3758</v>
      </c>
      <c r="N787" s="392" t="s">
        <v>7273</v>
      </c>
      <c r="O787" s="392" t="s">
        <v>7273</v>
      </c>
      <c r="P787"/>
      <c r="Q787"/>
      <c r="R787" s="387">
        <f>VLOOKUP(E787,'[1]NDB Impacted SPRFs 05032013'!$A$2:$A$65536,1,FALSE)</f>
        <v>400026380</v>
      </c>
    </row>
    <row r="788" spans="1:21" s="159" customFormat="1" ht="60" x14ac:dyDescent="0.25">
      <c r="A788" s="63">
        <f>MATCH($E788,'D1 - Master Project Table'!$B$24:$B$7056,0)</f>
        <v>2977</v>
      </c>
      <c r="B788" s="63" t="b">
        <f t="shared" si="36"/>
        <v>0</v>
      </c>
      <c r="C788" s="63" t="b">
        <f t="shared" si="37"/>
        <v>1</v>
      </c>
      <c r="D788" s="63" t="str">
        <f t="shared" si="38"/>
        <v>OK</v>
      </c>
      <c r="E788" s="393">
        <v>400037203</v>
      </c>
      <c r="F788" s="392" t="s">
        <v>4830</v>
      </c>
      <c r="G788" s="392" t="s">
        <v>5324</v>
      </c>
      <c r="H788" s="392" t="s">
        <v>5314</v>
      </c>
      <c r="I788" s="392" t="s">
        <v>1761</v>
      </c>
      <c r="J788" s="392" t="s">
        <v>4822</v>
      </c>
      <c r="K788" s="392" t="s">
        <v>4642</v>
      </c>
      <c r="L788" s="392" t="s">
        <v>6957</v>
      </c>
      <c r="M788" s="392" t="s">
        <v>3758</v>
      </c>
      <c r="N788" s="392" t="s">
        <v>7273</v>
      </c>
      <c r="O788" s="392" t="s">
        <v>7273</v>
      </c>
      <c r="P788"/>
      <c r="Q788"/>
      <c r="R788" s="387">
        <f>VLOOKUP(E788,'[1]NDB Impacted SPRFs 05032013'!$A$2:$A$65536,1,FALSE)</f>
        <v>400037203</v>
      </c>
    </row>
    <row r="789" spans="1:21" ht="60" x14ac:dyDescent="0.25">
      <c r="A789" s="63">
        <f>MATCH($E789,'D1 - Master Project Table'!$B$24:$B$7056,0)</f>
        <v>680</v>
      </c>
      <c r="B789" s="63" t="b">
        <f t="shared" si="36"/>
        <v>0</v>
      </c>
      <c r="C789" s="63" t="b">
        <f t="shared" si="37"/>
        <v>1</v>
      </c>
      <c r="D789" s="63" t="str">
        <f t="shared" si="38"/>
        <v>OK</v>
      </c>
      <c r="E789" s="393">
        <v>400014166</v>
      </c>
      <c r="F789" s="392" t="s">
        <v>6352</v>
      </c>
      <c r="G789" s="392" t="s">
        <v>3441</v>
      </c>
      <c r="H789" s="392" t="s">
        <v>7418</v>
      </c>
      <c r="I789" s="392" t="s">
        <v>2662</v>
      </c>
      <c r="J789" s="392" t="s">
        <v>8846</v>
      </c>
      <c r="K789" s="392" t="s">
        <v>3807</v>
      </c>
      <c r="L789" s="392" t="s">
        <v>7826</v>
      </c>
      <c r="M789" s="392" t="s">
        <v>3758</v>
      </c>
      <c r="N789" s="392" t="s">
        <v>7273</v>
      </c>
      <c r="O789" s="392" t="s">
        <v>7273</v>
      </c>
      <c r="P789"/>
      <c r="Q789"/>
      <c r="R789" s="387">
        <f>VLOOKUP(E789,'[1]NDB Impacted SPRFs 05032013'!$A$2:$A$65536,1,FALSE)</f>
        <v>400014166</v>
      </c>
      <c r="S789" s="159"/>
      <c r="T789" s="159"/>
      <c r="U789" s="159"/>
    </row>
    <row r="790" spans="1:21" s="159" customFormat="1" ht="60" x14ac:dyDescent="0.25">
      <c r="A790" s="63">
        <f>MATCH($E790,'D1 - Master Project Table'!$B$24:$B$7056,0)</f>
        <v>2635</v>
      </c>
      <c r="B790" s="63" t="b">
        <f t="shared" si="36"/>
        <v>0</v>
      </c>
      <c r="C790" s="63" t="b">
        <f t="shared" si="37"/>
        <v>1</v>
      </c>
      <c r="D790" s="63" t="str">
        <f t="shared" si="38"/>
        <v>OK</v>
      </c>
      <c r="E790" s="393">
        <v>400014549</v>
      </c>
      <c r="F790" s="392" t="s">
        <v>2790</v>
      </c>
      <c r="G790" s="392" t="s">
        <v>5324</v>
      </c>
      <c r="H790" s="392" t="s">
        <v>5314</v>
      </c>
      <c r="I790" s="392" t="s">
        <v>1756</v>
      </c>
      <c r="J790" s="392" t="s">
        <v>8591</v>
      </c>
      <c r="K790" s="392" t="s">
        <v>4176</v>
      </c>
      <c r="L790" s="392" t="s">
        <v>7094</v>
      </c>
      <c r="M790" s="392" t="s">
        <v>7273</v>
      </c>
      <c r="N790" s="392" t="s">
        <v>7273</v>
      </c>
      <c r="O790" s="392" t="s">
        <v>7273</v>
      </c>
      <c r="P790"/>
      <c r="Q790"/>
      <c r="R790" s="387">
        <f>VLOOKUP(E790,'[1]NDB Impacted SPRFs 05032013'!$A$2:$A$65536,1,FALSE)</f>
        <v>400014549</v>
      </c>
      <c r="S790" s="128"/>
      <c r="T790" s="128"/>
      <c r="U790" s="128"/>
    </row>
    <row r="791" spans="1:21" s="159" customFormat="1" ht="60" x14ac:dyDescent="0.25">
      <c r="A791" s="63">
        <f>MATCH($E791,'D1 - Master Project Table'!$B$24:$B$7056,0)</f>
        <v>269</v>
      </c>
      <c r="B791" s="63" t="b">
        <f t="shared" si="36"/>
        <v>0</v>
      </c>
      <c r="C791" s="63" t="b">
        <f t="shared" si="37"/>
        <v>0</v>
      </c>
      <c r="D791" s="63" t="str">
        <f t="shared" si="38"/>
        <v>OK</v>
      </c>
      <c r="E791" s="393">
        <v>400059248</v>
      </c>
      <c r="F791" s="392" t="s">
        <v>9314</v>
      </c>
      <c r="G791" s="392" t="s">
        <v>1147</v>
      </c>
      <c r="H791" s="392" t="s">
        <v>3555</v>
      </c>
      <c r="I791" s="392" t="s">
        <v>1786</v>
      </c>
      <c r="J791" s="392" t="s">
        <v>3000</v>
      </c>
      <c r="K791" s="392" t="s">
        <v>5524</v>
      </c>
      <c r="L791" s="392" t="s">
        <v>9492</v>
      </c>
      <c r="M791" s="392" t="s">
        <v>7273</v>
      </c>
      <c r="N791" s="392" t="s">
        <v>7273</v>
      </c>
      <c r="O791" s="392" t="s">
        <v>7273</v>
      </c>
      <c r="P791"/>
      <c r="Q791"/>
      <c r="R791" s="387">
        <f>VLOOKUP(E791,'[1]NDB Impacted SPRFs 05032013'!$A$2:$A$65536,1,FALSE)</f>
        <v>400059248</v>
      </c>
    </row>
    <row r="792" spans="1:21" s="159" customFormat="1" ht="60" x14ac:dyDescent="0.25">
      <c r="A792" s="63">
        <f>MATCH($E792,'D1 - Master Project Table'!$B$24:$B$7056,0)</f>
        <v>2235</v>
      </c>
      <c r="B792" s="63" t="b">
        <f t="shared" si="36"/>
        <v>0</v>
      </c>
      <c r="C792" s="63" t="b">
        <f t="shared" si="37"/>
        <v>1</v>
      </c>
      <c r="D792" s="63" t="str">
        <f t="shared" si="38"/>
        <v>OK</v>
      </c>
      <c r="E792" s="393">
        <v>400025896</v>
      </c>
      <c r="F792" s="392" t="s">
        <v>8109</v>
      </c>
      <c r="G792" s="392" t="s">
        <v>5324</v>
      </c>
      <c r="H792" s="392" t="s">
        <v>5314</v>
      </c>
      <c r="I792" s="392" t="s">
        <v>1758</v>
      </c>
      <c r="J792" s="392" t="s">
        <v>3904</v>
      </c>
      <c r="K792" s="392" t="s">
        <v>7459</v>
      </c>
      <c r="L792" s="392" t="s">
        <v>810</v>
      </c>
      <c r="M792" s="392" t="s">
        <v>3758</v>
      </c>
      <c r="N792" s="392" t="s">
        <v>7273</v>
      </c>
      <c r="O792" s="392" t="s">
        <v>7273</v>
      </c>
      <c r="P792"/>
      <c r="Q792"/>
      <c r="R792" s="387">
        <f>VLOOKUP(E792,'[1]NDB Impacted SPRFs 05032013'!$A$2:$A$65536,1,FALSE)</f>
        <v>400025896</v>
      </c>
    </row>
    <row r="793" spans="1:21" ht="60" x14ac:dyDescent="0.25">
      <c r="A793" s="63">
        <f>MATCH($E793,'D1 - Master Project Table'!$B$24:$B$7056,0)</f>
        <v>2434</v>
      </c>
      <c r="B793" s="63" t="b">
        <f t="shared" si="36"/>
        <v>0</v>
      </c>
      <c r="C793" s="63" t="b">
        <f t="shared" si="37"/>
        <v>1</v>
      </c>
      <c r="D793" s="63" t="str">
        <f t="shared" si="38"/>
        <v>OK</v>
      </c>
      <c r="E793" s="393">
        <v>400003545</v>
      </c>
      <c r="F793" s="392" t="s">
        <v>2849</v>
      </c>
      <c r="G793" s="392" t="s">
        <v>5324</v>
      </c>
      <c r="H793" s="392" t="s">
        <v>5314</v>
      </c>
      <c r="I793" s="392" t="s">
        <v>1759</v>
      </c>
      <c r="J793" s="392" t="s">
        <v>6851</v>
      </c>
      <c r="K793" s="392" t="s">
        <v>6348</v>
      </c>
      <c r="L793" s="392" t="s">
        <v>823</v>
      </c>
      <c r="M793" s="392" t="s">
        <v>3758</v>
      </c>
      <c r="N793" s="392" t="s">
        <v>7273</v>
      </c>
      <c r="O793" s="392" t="s">
        <v>3758</v>
      </c>
      <c r="P793"/>
      <c r="Q793"/>
      <c r="R793" s="387">
        <f>VLOOKUP(E793,'[1]NDB Impacted SPRFs 05032013'!$A$2:$A$65536,1,FALSE)</f>
        <v>400003545</v>
      </c>
      <c r="S793" s="159"/>
      <c r="T793" s="159"/>
      <c r="U793" s="159"/>
    </row>
    <row r="794" spans="1:21" s="159" customFormat="1" ht="60" x14ac:dyDescent="0.25">
      <c r="A794" s="63">
        <f>MATCH($E794,'D1 - Master Project Table'!$B$24:$B$7056,0)</f>
        <v>3149</v>
      </c>
      <c r="B794" s="63" t="b">
        <f t="shared" si="36"/>
        <v>0</v>
      </c>
      <c r="C794" s="63" t="b">
        <f t="shared" si="37"/>
        <v>1</v>
      </c>
      <c r="D794" s="63" t="str">
        <f t="shared" si="38"/>
        <v>OK</v>
      </c>
      <c r="E794" s="393">
        <v>400057942</v>
      </c>
      <c r="F794" s="392" t="s">
        <v>8327</v>
      </c>
      <c r="G794" s="392" t="s">
        <v>5324</v>
      </c>
      <c r="H794" s="392" t="s">
        <v>5314</v>
      </c>
      <c r="I794" s="392" t="s">
        <v>1759</v>
      </c>
      <c r="J794" s="392" t="s">
        <v>6584</v>
      </c>
      <c r="K794" s="392" t="s">
        <v>8328</v>
      </c>
      <c r="L794" s="392" t="s">
        <v>8329</v>
      </c>
      <c r="M794" s="392" t="s">
        <v>3758</v>
      </c>
      <c r="N794" s="392" t="s">
        <v>7273</v>
      </c>
      <c r="O794" s="392" t="s">
        <v>7273</v>
      </c>
      <c r="P794"/>
      <c r="Q794"/>
      <c r="R794" s="387">
        <f>VLOOKUP(E794,'[1]NDB Impacted SPRFs 05032013'!$A$2:$A$65536,1,FALSE)</f>
        <v>400057942</v>
      </c>
      <c r="S794" s="128"/>
      <c r="T794" s="128"/>
      <c r="U794" s="128"/>
    </row>
    <row r="795" spans="1:21" ht="60" x14ac:dyDescent="0.25">
      <c r="A795" s="63">
        <f>MATCH($E795,'D1 - Master Project Table'!$B$24:$B$7056,0)</f>
        <v>2947</v>
      </c>
      <c r="B795" s="63" t="b">
        <f t="shared" si="36"/>
        <v>0</v>
      </c>
      <c r="C795" s="63" t="b">
        <f t="shared" si="37"/>
        <v>1</v>
      </c>
      <c r="D795" s="63" t="str">
        <f t="shared" si="38"/>
        <v>OK</v>
      </c>
      <c r="E795" s="393">
        <v>400034838</v>
      </c>
      <c r="F795" s="392" t="s">
        <v>6053</v>
      </c>
      <c r="G795" s="392" t="s">
        <v>5324</v>
      </c>
      <c r="H795" s="392" t="s">
        <v>7418</v>
      </c>
      <c r="I795" s="392" t="s">
        <v>1759</v>
      </c>
      <c r="J795" s="392" t="s">
        <v>7566</v>
      </c>
      <c r="K795" s="392" t="s">
        <v>5162</v>
      </c>
      <c r="L795" s="392" t="s">
        <v>148</v>
      </c>
      <c r="M795" s="392" t="s">
        <v>7273</v>
      </c>
      <c r="N795" s="392" t="s">
        <v>7273</v>
      </c>
      <c r="O795" s="392" t="s">
        <v>7273</v>
      </c>
      <c r="R795" s="387">
        <f>VLOOKUP(E795,'[1]NDB Impacted SPRFs 05032013'!$A$2:$A$65536,1,FALSE)</f>
        <v>400034838</v>
      </c>
    </row>
    <row r="796" spans="1:21" s="159" customFormat="1" ht="60" x14ac:dyDescent="0.25">
      <c r="A796" s="63">
        <f>MATCH($E796,'D1 - Master Project Table'!$B$24:$B$7056,0)</f>
        <v>3281</v>
      </c>
      <c r="B796" s="63" t="b">
        <f t="shared" si="36"/>
        <v>0</v>
      </c>
      <c r="C796" s="63" t="b">
        <f t="shared" si="37"/>
        <v>1</v>
      </c>
      <c r="D796" s="63" t="str">
        <f t="shared" si="38"/>
        <v>OK</v>
      </c>
      <c r="E796" s="393">
        <v>400045571</v>
      </c>
      <c r="F796" s="392" t="s">
        <v>1034</v>
      </c>
      <c r="G796" s="392" t="s">
        <v>5325</v>
      </c>
      <c r="H796" s="392" t="s">
        <v>5314</v>
      </c>
      <c r="I796" s="392" t="s">
        <v>6414</v>
      </c>
      <c r="J796" s="392" t="s">
        <v>3493</v>
      </c>
      <c r="K796" s="392" t="s">
        <v>1032</v>
      </c>
      <c r="L796" s="392" t="s">
        <v>7608</v>
      </c>
      <c r="M796" s="392" t="s">
        <v>7273</v>
      </c>
      <c r="N796" s="392" t="s">
        <v>7273</v>
      </c>
      <c r="O796" s="392" t="s">
        <v>7273</v>
      </c>
      <c r="P796"/>
      <c r="Q796"/>
      <c r="R796" s="387">
        <f>VLOOKUP(E796,'[1]NDB Impacted SPRFs 05032013'!$A$2:$A$65536,1,FALSE)</f>
        <v>400045571</v>
      </c>
      <c r="S796" s="128"/>
      <c r="T796" s="128"/>
      <c r="U796" s="128"/>
    </row>
    <row r="797" spans="1:21" s="159" customFormat="1" ht="60" x14ac:dyDescent="0.25">
      <c r="A797" s="63">
        <f>MATCH($E797,'D1 - Master Project Table'!$B$24:$B$7056,0)</f>
        <v>3098</v>
      </c>
      <c r="B797" s="63" t="b">
        <f t="shared" si="36"/>
        <v>0</v>
      </c>
      <c r="C797" s="63" t="b">
        <f t="shared" si="37"/>
        <v>1</v>
      </c>
      <c r="D797" s="63" t="str">
        <f t="shared" si="38"/>
        <v>OK</v>
      </c>
      <c r="E797" s="393">
        <v>400050192</v>
      </c>
      <c r="F797" s="392" t="s">
        <v>2294</v>
      </c>
      <c r="G797" s="392" t="s">
        <v>5325</v>
      </c>
      <c r="H797" s="392" t="s">
        <v>5314</v>
      </c>
      <c r="I797" s="392" t="s">
        <v>1762</v>
      </c>
      <c r="J797" s="392" t="s">
        <v>4110</v>
      </c>
      <c r="K797" s="392" t="s">
        <v>2188</v>
      </c>
      <c r="L797" s="392" t="s">
        <v>3037</v>
      </c>
      <c r="M797" s="392" t="s">
        <v>7273</v>
      </c>
      <c r="N797" s="392" t="s">
        <v>7273</v>
      </c>
      <c r="O797" s="392" t="s">
        <v>3758</v>
      </c>
      <c r="P797"/>
      <c r="Q797"/>
      <c r="R797" s="387">
        <f>VLOOKUP(E797,'[1]NDB Impacted SPRFs 05032013'!$A$2:$A$65536,1,FALSE)</f>
        <v>400050192</v>
      </c>
    </row>
    <row r="798" spans="1:21" s="159" customFormat="1" ht="60" x14ac:dyDescent="0.25">
      <c r="A798" s="63">
        <f>MATCH($E798,'D1 - Master Project Table'!$B$24:$B$7056,0)</f>
        <v>2374</v>
      </c>
      <c r="B798" s="63" t="b">
        <f t="shared" si="36"/>
        <v>0</v>
      </c>
      <c r="C798" s="63" t="b">
        <f t="shared" si="37"/>
        <v>1</v>
      </c>
      <c r="D798" s="63" t="str">
        <f t="shared" si="38"/>
        <v>OK</v>
      </c>
      <c r="E798" s="393">
        <v>400000923</v>
      </c>
      <c r="F798" s="392" t="s">
        <v>6797</v>
      </c>
      <c r="G798" s="392" t="s">
        <v>5787</v>
      </c>
      <c r="H798" s="392" t="s">
        <v>5314</v>
      </c>
      <c r="I798" s="392" t="s">
        <v>1778</v>
      </c>
      <c r="J798" s="392" t="s">
        <v>3914</v>
      </c>
      <c r="K798" s="392" t="s">
        <v>3914</v>
      </c>
      <c r="L798" s="392" t="s">
        <v>2339</v>
      </c>
      <c r="M798" s="392" t="s">
        <v>3758</v>
      </c>
      <c r="N798" s="392" t="s">
        <v>7273</v>
      </c>
      <c r="O798" s="392" t="s">
        <v>7273</v>
      </c>
      <c r="P798"/>
      <c r="Q798"/>
      <c r="R798" s="387">
        <f>VLOOKUP(E798,'[1]NDB Impacted SPRFs 05032013'!$A$2:$A$65536,1,FALSE)</f>
        <v>400000923</v>
      </c>
      <c r="S798" s="128"/>
      <c r="T798" s="128"/>
      <c r="U798" s="128"/>
    </row>
    <row r="799" spans="1:21" s="159" customFormat="1" ht="45" customHeight="1" x14ac:dyDescent="0.25">
      <c r="A799" s="63">
        <f>MATCH($E799,'D1 - Master Project Table'!$B$24:$B$7056,0)</f>
        <v>2693</v>
      </c>
      <c r="B799" s="63" t="b">
        <f t="shared" si="36"/>
        <v>0</v>
      </c>
      <c r="C799" s="63" t="b">
        <f t="shared" si="37"/>
        <v>1</v>
      </c>
      <c r="D799" s="63" t="str">
        <f t="shared" si="38"/>
        <v>OK</v>
      </c>
      <c r="E799" s="393">
        <v>400018011</v>
      </c>
      <c r="F799" s="392" t="s">
        <v>4159</v>
      </c>
      <c r="G799" s="392" t="s">
        <v>5324</v>
      </c>
      <c r="H799" s="392" t="s">
        <v>5314</v>
      </c>
      <c r="I799" s="392" t="s">
        <v>1792</v>
      </c>
      <c r="J799" s="392" t="s">
        <v>8405</v>
      </c>
      <c r="K799" s="392" t="s">
        <v>8075</v>
      </c>
      <c r="L799" s="392" t="s">
        <v>4522</v>
      </c>
      <c r="M799" s="392" t="s">
        <v>3758</v>
      </c>
      <c r="N799" s="392" t="s">
        <v>7273</v>
      </c>
      <c r="O799" s="392" t="s">
        <v>7273</v>
      </c>
      <c r="P799"/>
      <c r="Q799"/>
      <c r="R799" s="387">
        <f>VLOOKUP(E799,'[1]NDB Impacted SPRFs 05032013'!$A$2:$A$65536,1,FALSE)</f>
        <v>400018011</v>
      </c>
    </row>
    <row r="800" spans="1:21" s="159" customFormat="1" ht="60" x14ac:dyDescent="0.25">
      <c r="A800" s="63">
        <f>MATCH($E800,'D1 - Master Project Table'!$B$24:$B$7056,0)</f>
        <v>1643</v>
      </c>
      <c r="B800" s="63" t="b">
        <f t="shared" si="36"/>
        <v>0</v>
      </c>
      <c r="C800" s="63" t="b">
        <f t="shared" si="37"/>
        <v>1</v>
      </c>
      <c r="D800" s="63" t="str">
        <f t="shared" si="38"/>
        <v>OK</v>
      </c>
      <c r="E800" s="393">
        <v>400042400</v>
      </c>
      <c r="F800" s="392" t="s">
        <v>4299</v>
      </c>
      <c r="G800" s="392" t="s">
        <v>6322</v>
      </c>
      <c r="H800" s="392" t="s">
        <v>7418</v>
      </c>
      <c r="I800" s="392" t="s">
        <v>1762</v>
      </c>
      <c r="J800" s="392" t="s">
        <v>8654</v>
      </c>
      <c r="K800" s="392" t="s">
        <v>6600</v>
      </c>
      <c r="L800" s="392" t="s">
        <v>4449</v>
      </c>
      <c r="M800" s="392" t="s">
        <v>7273</v>
      </c>
      <c r="N800" s="392" t="s">
        <v>7273</v>
      </c>
      <c r="O800" s="392" t="s">
        <v>7273</v>
      </c>
      <c r="P800"/>
      <c r="Q800"/>
      <c r="R800" s="387">
        <f>VLOOKUP(E800,'[1]NDB Impacted SPRFs 05032013'!$A$2:$A$65536,1,FALSE)</f>
        <v>400042400</v>
      </c>
      <c r="S800" s="128"/>
      <c r="T800" s="128"/>
      <c r="U800" s="128"/>
    </row>
    <row r="801" spans="1:21" s="159" customFormat="1" ht="60" x14ac:dyDescent="0.25">
      <c r="A801" s="63">
        <f>MATCH($E801,'D1 - Master Project Table'!$B$24:$B$7056,0)</f>
        <v>3190</v>
      </c>
      <c r="B801" s="63" t="b">
        <f t="shared" si="36"/>
        <v>0</v>
      </c>
      <c r="C801" s="63" t="b">
        <f t="shared" si="37"/>
        <v>1</v>
      </c>
      <c r="D801" s="63" t="str">
        <f t="shared" si="38"/>
        <v>OK</v>
      </c>
      <c r="E801" s="393">
        <v>400044424</v>
      </c>
      <c r="F801" s="392" t="s">
        <v>310</v>
      </c>
      <c r="G801" s="392" t="s">
        <v>9210</v>
      </c>
      <c r="H801" s="392" t="s">
        <v>7418</v>
      </c>
      <c r="I801" s="392" t="s">
        <v>3540</v>
      </c>
      <c r="J801" s="392" t="s">
        <v>8598</v>
      </c>
      <c r="K801" s="392" t="s">
        <v>7884</v>
      </c>
      <c r="L801" s="392" t="s">
        <v>311</v>
      </c>
      <c r="M801" s="392" t="s">
        <v>7273</v>
      </c>
      <c r="N801" s="392" t="s">
        <v>7273</v>
      </c>
      <c r="O801" s="392" t="s">
        <v>7273</v>
      </c>
      <c r="P801"/>
      <c r="Q801"/>
      <c r="R801" s="387">
        <f>VLOOKUP(E801,'[1]NDB Impacted SPRFs 05032013'!$A$2:$A$65536,1,FALSE)</f>
        <v>400044424</v>
      </c>
      <c r="S801" s="128"/>
      <c r="T801" s="128"/>
      <c r="U801" s="128"/>
    </row>
    <row r="802" spans="1:21" s="159" customFormat="1" ht="60" x14ac:dyDescent="0.25">
      <c r="A802" s="63">
        <f>MATCH($E802,'D1 - Master Project Table'!$B$24:$B$7056,0)</f>
        <v>1147</v>
      </c>
      <c r="B802" s="63" t="b">
        <f t="shared" si="36"/>
        <v>0</v>
      </c>
      <c r="C802" s="63" t="b">
        <f t="shared" si="37"/>
        <v>1</v>
      </c>
      <c r="D802" s="63" t="str">
        <f t="shared" si="38"/>
        <v>OK</v>
      </c>
      <c r="E802" s="393">
        <v>400029386</v>
      </c>
      <c r="F802" s="392" t="s">
        <v>2173</v>
      </c>
      <c r="G802" s="392" t="s">
        <v>5001</v>
      </c>
      <c r="H802" s="392" t="s">
        <v>7418</v>
      </c>
      <c r="I802" s="392" t="s">
        <v>3540</v>
      </c>
      <c r="J802" s="392" t="s">
        <v>6840</v>
      </c>
      <c r="K802" s="392" t="s">
        <v>2174</v>
      </c>
      <c r="L802" s="392" t="s">
        <v>114</v>
      </c>
      <c r="M802" s="392" t="s">
        <v>3758</v>
      </c>
      <c r="N802" s="392" t="s">
        <v>7273</v>
      </c>
      <c r="O802" s="392" t="s">
        <v>3758</v>
      </c>
      <c r="P802"/>
      <c r="Q802"/>
      <c r="R802" s="387">
        <f>VLOOKUP(E802,'[1]NDB Impacted SPRFs 05032013'!$A$2:$A$65536,1,FALSE)</f>
        <v>400029386</v>
      </c>
      <c r="S802" s="128"/>
      <c r="T802" s="128"/>
      <c r="U802" s="128"/>
    </row>
    <row r="803" spans="1:21" s="159" customFormat="1" ht="45" customHeight="1" x14ac:dyDescent="0.25">
      <c r="A803" s="63">
        <f>MATCH($E803,'D1 - Master Project Table'!$B$24:$B$7056,0)</f>
        <v>1268</v>
      </c>
      <c r="B803" s="63" t="b">
        <f t="shared" si="36"/>
        <v>0</v>
      </c>
      <c r="C803" s="63" t="b">
        <f t="shared" si="37"/>
        <v>1</v>
      </c>
      <c r="D803" s="63" t="str">
        <f t="shared" si="38"/>
        <v>OK</v>
      </c>
      <c r="E803" s="393">
        <v>400031064</v>
      </c>
      <c r="F803" s="392" t="s">
        <v>6779</v>
      </c>
      <c r="G803" s="392" t="s">
        <v>5324</v>
      </c>
      <c r="H803" s="392" t="s">
        <v>7418</v>
      </c>
      <c r="I803" s="392" t="s">
        <v>1756</v>
      </c>
      <c r="J803" s="392" t="s">
        <v>4634</v>
      </c>
      <c r="K803" s="392" t="s">
        <v>1506</v>
      </c>
      <c r="L803" s="392" t="s">
        <v>4781</v>
      </c>
      <c r="M803" s="392" t="s">
        <v>7273</v>
      </c>
      <c r="N803" s="392" t="s">
        <v>7273</v>
      </c>
      <c r="O803" s="392" t="s">
        <v>7273</v>
      </c>
      <c r="P803"/>
      <c r="Q803"/>
      <c r="R803" s="387">
        <f>VLOOKUP(E803,'[1]NDB Impacted SPRFs 05032013'!$A$2:$A$65536,1,FALSE)</f>
        <v>400031064</v>
      </c>
    </row>
    <row r="804" spans="1:21" s="159" customFormat="1" ht="60" x14ac:dyDescent="0.25">
      <c r="A804" s="63">
        <f>MATCH($E804,'D1 - Master Project Table'!$B$24:$B$7056,0)</f>
        <v>1377</v>
      </c>
      <c r="B804" s="63" t="b">
        <f t="shared" si="36"/>
        <v>0</v>
      </c>
      <c r="C804" s="63" t="b">
        <f t="shared" si="37"/>
        <v>1</v>
      </c>
      <c r="D804" s="63" t="str">
        <f t="shared" si="38"/>
        <v>OK</v>
      </c>
      <c r="E804" s="393">
        <v>400033875</v>
      </c>
      <c r="F804" s="392" t="s">
        <v>5728</v>
      </c>
      <c r="G804" s="392" t="s">
        <v>6322</v>
      </c>
      <c r="H804" s="392" t="s">
        <v>7418</v>
      </c>
      <c r="I804" s="392" t="s">
        <v>7594</v>
      </c>
      <c r="J804" s="392" t="s">
        <v>1062</v>
      </c>
      <c r="K804" s="392" t="s">
        <v>7164</v>
      </c>
      <c r="L804" s="392" t="s">
        <v>3995</v>
      </c>
      <c r="M804" s="392" t="s">
        <v>7273</v>
      </c>
      <c r="N804" s="392" t="s">
        <v>7273</v>
      </c>
      <c r="O804" s="392" t="s">
        <v>7273</v>
      </c>
      <c r="P804"/>
      <c r="Q804"/>
      <c r="R804" s="387">
        <f>VLOOKUP(E804,'[1]NDB Impacted SPRFs 05032013'!$A$2:$A$65536,1,FALSE)</f>
        <v>400033875</v>
      </c>
      <c r="S804" s="128"/>
      <c r="T804" s="128"/>
      <c r="U804" s="128"/>
    </row>
    <row r="805" spans="1:21" s="159" customFormat="1" ht="60" x14ac:dyDescent="0.25">
      <c r="A805" s="63">
        <f>MATCH($E805,'D1 - Master Project Table'!$B$24:$B$7056,0)</f>
        <v>1510</v>
      </c>
      <c r="B805" s="63" t="b">
        <f t="shared" si="36"/>
        <v>0</v>
      </c>
      <c r="C805" s="63" t="b">
        <f t="shared" si="37"/>
        <v>1</v>
      </c>
      <c r="D805" s="63" t="str">
        <f t="shared" si="38"/>
        <v>OK</v>
      </c>
      <c r="E805" s="393">
        <v>400042576</v>
      </c>
      <c r="F805" s="392" t="s">
        <v>1180</v>
      </c>
      <c r="G805" s="392" t="s">
        <v>5324</v>
      </c>
      <c r="H805" s="392" t="s">
        <v>7418</v>
      </c>
      <c r="I805" s="392" t="s">
        <v>1787</v>
      </c>
      <c r="J805" s="392" t="s">
        <v>8321</v>
      </c>
      <c r="K805" s="392" t="s">
        <v>1181</v>
      </c>
      <c r="L805" s="392" t="s">
        <v>1046</v>
      </c>
      <c r="M805" s="392" t="s">
        <v>7273</v>
      </c>
      <c r="N805" s="392" t="s">
        <v>7273</v>
      </c>
      <c r="O805" s="392" t="s">
        <v>7273</v>
      </c>
      <c r="P805"/>
      <c r="Q805"/>
      <c r="R805" s="387">
        <f>VLOOKUP(E805,'[1]NDB Impacted SPRFs 05032013'!$A$2:$A$65536,1,FALSE)</f>
        <v>400042576</v>
      </c>
    </row>
    <row r="806" spans="1:21" s="159" customFormat="1" ht="60" x14ac:dyDescent="0.25">
      <c r="A806" s="63">
        <f>MATCH($E806,'D1 - Master Project Table'!$B$24:$B$7056,0)</f>
        <v>1035</v>
      </c>
      <c r="B806" s="63" t="b">
        <f t="shared" si="36"/>
        <v>0</v>
      </c>
      <c r="C806" s="63" t="b">
        <f t="shared" si="37"/>
        <v>1</v>
      </c>
      <c r="D806" s="63" t="str">
        <f t="shared" si="38"/>
        <v>OK</v>
      </c>
      <c r="E806" s="393">
        <v>400026797</v>
      </c>
      <c r="F806" s="392" t="s">
        <v>3570</v>
      </c>
      <c r="G806" s="392" t="s">
        <v>5325</v>
      </c>
      <c r="H806" s="392" t="s">
        <v>7418</v>
      </c>
      <c r="I806" s="392" t="s">
        <v>6419</v>
      </c>
      <c r="J806" s="392" t="s">
        <v>1973</v>
      </c>
      <c r="K806" s="392" t="s">
        <v>6585</v>
      </c>
      <c r="L806" s="392" t="s">
        <v>5339</v>
      </c>
      <c r="M806" s="392" t="s">
        <v>3758</v>
      </c>
      <c r="N806" s="392" t="s">
        <v>7273</v>
      </c>
      <c r="O806" s="392" t="s">
        <v>7273</v>
      </c>
      <c r="P806"/>
      <c r="Q806"/>
      <c r="R806" s="387">
        <f>VLOOKUP(E806,'[1]NDB Impacted SPRFs 05032013'!$A$2:$A$65536,1,FALSE)</f>
        <v>400026797</v>
      </c>
      <c r="S806" s="128"/>
      <c r="T806" s="128"/>
      <c r="U806" s="128"/>
    </row>
    <row r="807" spans="1:21" s="159" customFormat="1" ht="60" x14ac:dyDescent="0.25">
      <c r="A807" s="63">
        <f>MATCH($E807,'D1 - Master Project Table'!$B$24:$B$7056,0)</f>
        <v>3112</v>
      </c>
      <c r="B807" s="63" t="b">
        <f t="shared" si="36"/>
        <v>0</v>
      </c>
      <c r="C807" s="63" t="b">
        <f t="shared" si="37"/>
        <v>1</v>
      </c>
      <c r="D807" s="63" t="str">
        <f t="shared" si="38"/>
        <v>OK</v>
      </c>
      <c r="E807" s="393">
        <v>400052035</v>
      </c>
      <c r="F807" s="392" t="s">
        <v>750</v>
      </c>
      <c r="G807" s="392" t="s">
        <v>6322</v>
      </c>
      <c r="H807" s="392" t="s">
        <v>5314</v>
      </c>
      <c r="I807" s="392" t="s">
        <v>1762</v>
      </c>
      <c r="J807" s="392" t="s">
        <v>8640</v>
      </c>
      <c r="K807" s="392" t="s">
        <v>4978</v>
      </c>
      <c r="L807" s="392" t="s">
        <v>185</v>
      </c>
      <c r="M807" s="392" t="s">
        <v>7273</v>
      </c>
      <c r="N807" s="392" t="s">
        <v>7273</v>
      </c>
      <c r="O807" s="392" t="s">
        <v>7273</v>
      </c>
      <c r="P807"/>
      <c r="Q807"/>
      <c r="R807" s="387">
        <f>VLOOKUP(E807,'[1]NDB Impacted SPRFs 05032013'!$A$2:$A$65536,1,FALSE)</f>
        <v>400052035</v>
      </c>
    </row>
    <row r="808" spans="1:21" s="159" customFormat="1" ht="60" x14ac:dyDescent="0.25">
      <c r="A808" s="63">
        <f>MATCH($E808,'D1 - Master Project Table'!$B$24:$B$7056,0)</f>
        <v>280</v>
      </c>
      <c r="B808" s="63" t="b">
        <f t="shared" si="36"/>
        <v>0</v>
      </c>
      <c r="C808" s="63" t="b">
        <f t="shared" si="37"/>
        <v>1</v>
      </c>
      <c r="D808" s="63" t="str">
        <f t="shared" si="38"/>
        <v>OK</v>
      </c>
      <c r="E808" s="393">
        <v>400000759</v>
      </c>
      <c r="F808" s="392" t="s">
        <v>4563</v>
      </c>
      <c r="G808" s="392" t="s">
        <v>5324</v>
      </c>
      <c r="H808" s="392" t="s">
        <v>7418</v>
      </c>
      <c r="I808" s="392" t="s">
        <v>1768</v>
      </c>
      <c r="J808" s="392" t="s">
        <v>5296</v>
      </c>
      <c r="K808" s="392" t="s">
        <v>7401</v>
      </c>
      <c r="L808" s="392" t="s">
        <v>3779</v>
      </c>
      <c r="M808" s="392" t="s">
        <v>3758</v>
      </c>
      <c r="N808" s="392" t="s">
        <v>7273</v>
      </c>
      <c r="O808" s="392" t="s">
        <v>7273</v>
      </c>
      <c r="P808"/>
      <c r="Q808"/>
      <c r="R808" s="387">
        <f>VLOOKUP(E808,'[1]NDB Impacted SPRFs 05032013'!$A$2:$A$65536,1,FALSE)</f>
        <v>400000759</v>
      </c>
    </row>
    <row r="809" spans="1:21" s="159" customFormat="1" ht="60" x14ac:dyDescent="0.25">
      <c r="A809" s="63">
        <f>MATCH($E809,'D1 - Master Project Table'!$B$24:$B$7056,0)</f>
        <v>2801</v>
      </c>
      <c r="B809" s="63" t="b">
        <f t="shared" si="36"/>
        <v>0</v>
      </c>
      <c r="C809" s="63" t="b">
        <f t="shared" si="37"/>
        <v>1</v>
      </c>
      <c r="D809" s="63" t="str">
        <f t="shared" si="38"/>
        <v>OK</v>
      </c>
      <c r="E809" s="393">
        <v>400023425</v>
      </c>
      <c r="F809" s="392" t="s">
        <v>4948</v>
      </c>
      <c r="G809" s="392" t="s">
        <v>5324</v>
      </c>
      <c r="H809" s="392" t="s">
        <v>5314</v>
      </c>
      <c r="I809" s="392" t="s">
        <v>1761</v>
      </c>
      <c r="J809" s="392" t="s">
        <v>6357</v>
      </c>
      <c r="K809" s="392" t="s">
        <v>4598</v>
      </c>
      <c r="L809" s="392" t="s">
        <v>7511</v>
      </c>
      <c r="M809" s="392" t="s">
        <v>7273</v>
      </c>
      <c r="N809" s="392" t="s">
        <v>7273</v>
      </c>
      <c r="O809" s="392" t="s">
        <v>7273</v>
      </c>
      <c r="P809"/>
      <c r="Q809"/>
      <c r="R809" s="387">
        <f>VLOOKUP(E809,'[1]NDB Impacted SPRFs 05032013'!$A$2:$A$65536,1,FALSE)</f>
        <v>400023425</v>
      </c>
    </row>
    <row r="810" spans="1:21" s="159" customFormat="1" ht="60" x14ac:dyDescent="0.25">
      <c r="A810" s="63">
        <f>MATCH($E810,'D1 - Master Project Table'!$B$24:$B$7056,0)</f>
        <v>2053</v>
      </c>
      <c r="B810" s="63" t="b">
        <f t="shared" si="36"/>
        <v>0</v>
      </c>
      <c r="C810" s="63" t="b">
        <f t="shared" si="37"/>
        <v>1</v>
      </c>
      <c r="D810" s="63" t="str">
        <f t="shared" si="38"/>
        <v>OK</v>
      </c>
      <c r="E810" s="393">
        <v>400011389</v>
      </c>
      <c r="F810" s="392" t="s">
        <v>4104</v>
      </c>
      <c r="G810" s="392" t="s">
        <v>5787</v>
      </c>
      <c r="H810" s="392" t="s">
        <v>5314</v>
      </c>
      <c r="I810" s="392" t="s">
        <v>1771</v>
      </c>
      <c r="J810" s="392" t="s">
        <v>8697</v>
      </c>
      <c r="K810" s="392" t="s">
        <v>6963</v>
      </c>
      <c r="L810" s="392" t="s">
        <v>2552</v>
      </c>
      <c r="M810" s="392" t="s">
        <v>3758</v>
      </c>
      <c r="N810" s="392" t="s">
        <v>7273</v>
      </c>
      <c r="O810" s="392" t="s">
        <v>7273</v>
      </c>
      <c r="P810"/>
      <c r="Q810"/>
      <c r="R810" s="387">
        <f>VLOOKUP(E810,'[1]NDB Impacted SPRFs 05032013'!$A$2:$A$65536,1,FALSE)</f>
        <v>400011389</v>
      </c>
    </row>
    <row r="811" spans="1:21" s="159" customFormat="1" ht="60" x14ac:dyDescent="0.25">
      <c r="A811" s="63">
        <f>MATCH($E811,'D1 - Master Project Table'!$B$24:$B$7056,0)</f>
        <v>2229</v>
      </c>
      <c r="B811" s="63" t="b">
        <f t="shared" si="36"/>
        <v>0</v>
      </c>
      <c r="C811" s="63" t="b">
        <f t="shared" si="37"/>
        <v>1</v>
      </c>
      <c r="D811" s="63" t="str">
        <f t="shared" si="38"/>
        <v>OK</v>
      </c>
      <c r="E811" s="393">
        <v>400023629</v>
      </c>
      <c r="F811" s="392" t="s">
        <v>6354</v>
      </c>
      <c r="G811" s="392" t="s">
        <v>5324</v>
      </c>
      <c r="H811" s="392" t="s">
        <v>5314</v>
      </c>
      <c r="I811" s="392" t="s">
        <v>1759</v>
      </c>
      <c r="J811" s="392" t="s">
        <v>8432</v>
      </c>
      <c r="K811" s="392" t="s">
        <v>7046</v>
      </c>
      <c r="L811" s="392" t="s">
        <v>391</v>
      </c>
      <c r="M811" s="392" t="s">
        <v>3758</v>
      </c>
      <c r="N811" s="392" t="s">
        <v>7273</v>
      </c>
      <c r="O811" s="392" t="s">
        <v>7273</v>
      </c>
      <c r="P811"/>
      <c r="Q811"/>
      <c r="R811" s="387">
        <f>VLOOKUP(E811,'[1]NDB Impacted SPRFs 05032013'!$A$2:$A$65536,1,FALSE)</f>
        <v>400023629</v>
      </c>
      <c r="S811" s="128"/>
      <c r="T811" s="128"/>
      <c r="U811" s="128"/>
    </row>
    <row r="812" spans="1:21" s="159" customFormat="1" ht="60" x14ac:dyDescent="0.25">
      <c r="A812" s="63">
        <f>MATCH($E812,'D1 - Master Project Table'!$B$24:$B$7056,0)</f>
        <v>126</v>
      </c>
      <c r="B812" s="63" t="b">
        <f t="shared" si="36"/>
        <v>0</v>
      </c>
      <c r="C812" s="63" t="b">
        <f t="shared" si="37"/>
        <v>0</v>
      </c>
      <c r="D812" s="63" t="str">
        <f t="shared" si="38"/>
        <v>OK</v>
      </c>
      <c r="E812" s="393">
        <v>400055699</v>
      </c>
      <c r="F812" s="392" t="s">
        <v>5689</v>
      </c>
      <c r="G812" s="392" t="s">
        <v>5324</v>
      </c>
      <c r="H812" s="392" t="s">
        <v>4917</v>
      </c>
      <c r="I812" s="392" t="s">
        <v>1759</v>
      </c>
      <c r="J812" s="392" t="s">
        <v>4844</v>
      </c>
      <c r="K812" s="392" t="s">
        <v>2264</v>
      </c>
      <c r="L812" s="392" t="s">
        <v>9433</v>
      </c>
      <c r="M812" s="392" t="s">
        <v>3758</v>
      </c>
      <c r="N812" s="392" t="s">
        <v>7273</v>
      </c>
      <c r="O812" s="392" t="s">
        <v>7273</v>
      </c>
      <c r="P812"/>
      <c r="Q812"/>
      <c r="R812" s="387">
        <f>VLOOKUP(E812,'[1]NDB Impacted SPRFs 05032013'!$A$2:$A$65536,1,FALSE)</f>
        <v>400055699</v>
      </c>
    </row>
    <row r="813" spans="1:21" s="159" customFormat="1" ht="60" x14ac:dyDescent="0.25">
      <c r="A813" s="63">
        <f>MATCH($E813,'D1 - Master Project Table'!$B$24:$B$7056,0)</f>
        <v>1173</v>
      </c>
      <c r="B813" s="63" t="b">
        <f t="shared" si="36"/>
        <v>0</v>
      </c>
      <c r="C813" s="63" t="b">
        <f t="shared" si="37"/>
        <v>1</v>
      </c>
      <c r="D813" s="63" t="str">
        <f t="shared" si="38"/>
        <v>OK</v>
      </c>
      <c r="E813" s="393">
        <v>400028440</v>
      </c>
      <c r="F813" s="392" t="s">
        <v>3247</v>
      </c>
      <c r="G813" s="392" t="s">
        <v>5001</v>
      </c>
      <c r="H813" s="392" t="s">
        <v>7418</v>
      </c>
      <c r="I813" s="392" t="s">
        <v>2655</v>
      </c>
      <c r="J813" s="392" t="s">
        <v>7269</v>
      </c>
      <c r="K813" s="392" t="s">
        <v>5218</v>
      </c>
      <c r="L813" s="392" t="s">
        <v>721</v>
      </c>
      <c r="M813" s="392" t="s">
        <v>7273</v>
      </c>
      <c r="N813" s="392" t="s">
        <v>7273</v>
      </c>
      <c r="O813" s="392" t="s">
        <v>7273</v>
      </c>
      <c r="P813"/>
      <c r="Q813"/>
      <c r="R813" s="387">
        <f>VLOOKUP(E813,'[1]NDB Impacted SPRFs 05032013'!$A$2:$A$65536,1,FALSE)</f>
        <v>400028440</v>
      </c>
    </row>
    <row r="814" spans="1:21" s="159" customFormat="1" ht="60" x14ac:dyDescent="0.25">
      <c r="A814" s="63">
        <f>MATCH($E814,'D1 - Master Project Table'!$B$24:$B$7056,0)</f>
        <v>1158</v>
      </c>
      <c r="B814" s="63" t="b">
        <f t="shared" si="36"/>
        <v>0</v>
      </c>
      <c r="C814" s="63" t="b">
        <f t="shared" si="37"/>
        <v>1</v>
      </c>
      <c r="D814" s="63" t="str">
        <f t="shared" si="38"/>
        <v>OK</v>
      </c>
      <c r="E814" s="393">
        <v>400030846</v>
      </c>
      <c r="F814" s="392" t="s">
        <v>4476</v>
      </c>
      <c r="G814" s="392" t="s">
        <v>5001</v>
      </c>
      <c r="H814" s="392" t="s">
        <v>7418</v>
      </c>
      <c r="I814" s="392" t="s">
        <v>3540</v>
      </c>
      <c r="J814" s="392" t="s">
        <v>8475</v>
      </c>
      <c r="K814" s="392" t="s">
        <v>2174</v>
      </c>
      <c r="L814" s="392" t="s">
        <v>2267</v>
      </c>
      <c r="M814" s="392" t="s">
        <v>3758</v>
      </c>
      <c r="N814" s="392" t="s">
        <v>7273</v>
      </c>
      <c r="O814" s="392" t="s">
        <v>3758</v>
      </c>
      <c r="P814"/>
      <c r="Q814"/>
      <c r="R814" s="387">
        <f>VLOOKUP(E814,'[1]NDB Impacted SPRFs 05032013'!$A$2:$A$65536,1,FALSE)</f>
        <v>400030846</v>
      </c>
      <c r="S814" s="128"/>
      <c r="T814" s="128"/>
      <c r="U814" s="128"/>
    </row>
    <row r="815" spans="1:21" s="159" customFormat="1" ht="60" x14ac:dyDescent="0.25">
      <c r="A815" s="63">
        <f>MATCH($E815,'D1 - Master Project Table'!$B$24:$B$7056,0)</f>
        <v>1536</v>
      </c>
      <c r="B815" s="63" t="b">
        <f t="shared" si="36"/>
        <v>0</v>
      </c>
      <c r="C815" s="63" t="b">
        <f t="shared" si="37"/>
        <v>1</v>
      </c>
      <c r="D815" s="63" t="str">
        <f t="shared" si="38"/>
        <v>OK</v>
      </c>
      <c r="E815" s="393">
        <v>400033809</v>
      </c>
      <c r="F815" s="392" t="s">
        <v>6701</v>
      </c>
      <c r="G815" s="392" t="s">
        <v>5001</v>
      </c>
      <c r="H815" s="392" t="s">
        <v>7418</v>
      </c>
      <c r="I815" s="392" t="s">
        <v>3540</v>
      </c>
      <c r="J815" s="392" t="s">
        <v>6840</v>
      </c>
      <c r="K815" s="392" t="s">
        <v>2174</v>
      </c>
      <c r="L815" s="392" t="s">
        <v>97</v>
      </c>
      <c r="M815" s="392" t="s">
        <v>3758</v>
      </c>
      <c r="N815" s="392" t="s">
        <v>7273</v>
      </c>
      <c r="O815" s="392" t="s">
        <v>7273</v>
      </c>
      <c r="P815" s="212"/>
      <c r="Q815"/>
      <c r="R815" s="387">
        <f>VLOOKUP(E815,'[1]NDB Impacted SPRFs 05032013'!$A$2:$A$65536,1,FALSE)</f>
        <v>400033809</v>
      </c>
    </row>
    <row r="816" spans="1:21" s="159" customFormat="1" ht="45" customHeight="1" x14ac:dyDescent="0.25">
      <c r="A816" s="63">
        <f>MATCH($E816,'D1 - Master Project Table'!$B$24:$B$7056,0)</f>
        <v>3033</v>
      </c>
      <c r="B816" s="63" t="b">
        <f t="shared" si="36"/>
        <v>0</v>
      </c>
      <c r="C816" s="63" t="b">
        <f t="shared" si="37"/>
        <v>1</v>
      </c>
      <c r="D816" s="63" t="str">
        <f t="shared" si="38"/>
        <v>OK</v>
      </c>
      <c r="E816" s="393">
        <v>400041622</v>
      </c>
      <c r="F816" s="392" t="s">
        <v>2486</v>
      </c>
      <c r="G816" s="392" t="s">
        <v>5001</v>
      </c>
      <c r="H816" s="392" t="s">
        <v>7418</v>
      </c>
      <c r="I816" s="392" t="s">
        <v>3540</v>
      </c>
      <c r="J816" s="392" t="s">
        <v>8743</v>
      </c>
      <c r="K816" s="392" t="s">
        <v>2485</v>
      </c>
      <c r="L816" s="392" t="s">
        <v>1675</v>
      </c>
      <c r="M816" s="392" t="s">
        <v>7273</v>
      </c>
      <c r="N816" s="392" t="s">
        <v>7273</v>
      </c>
      <c r="O816" s="392" t="s">
        <v>7273</v>
      </c>
      <c r="P816"/>
      <c r="Q816"/>
      <c r="R816" s="387">
        <f>VLOOKUP(E816,'[1]NDB Impacted SPRFs 05032013'!$A$2:$A$65536,1,FALSE)</f>
        <v>400041622</v>
      </c>
    </row>
    <row r="817" spans="1:21" s="159" customFormat="1" ht="60" x14ac:dyDescent="0.25">
      <c r="A817" s="63" t="e">
        <f>MATCH($E817,'D1 - Master Project Table'!$B$24:$B$7056,0)</f>
        <v>#N/A</v>
      </c>
      <c r="B817" s="63" t="b">
        <f t="shared" si="36"/>
        <v>1</v>
      </c>
      <c r="C817" s="63" t="b">
        <f t="shared" si="37"/>
        <v>1</v>
      </c>
      <c r="D817" s="63" t="str">
        <f t="shared" si="38"/>
        <v>OK</v>
      </c>
      <c r="E817" s="393">
        <v>400013384</v>
      </c>
      <c r="F817" s="392" t="s">
        <v>5033</v>
      </c>
      <c r="G817" s="392" t="s">
        <v>5324</v>
      </c>
      <c r="H817" s="392" t="s">
        <v>5314</v>
      </c>
      <c r="I817" s="392" t="s">
        <v>1790</v>
      </c>
      <c r="J817" s="392" t="s">
        <v>3000</v>
      </c>
      <c r="K817" s="392" t="s">
        <v>7024</v>
      </c>
      <c r="L817" s="392" t="s">
        <v>3712</v>
      </c>
      <c r="M817" s="392" t="s">
        <v>3758</v>
      </c>
      <c r="N817" s="392" t="s">
        <v>7273</v>
      </c>
      <c r="O817" s="392" t="s">
        <v>7273</v>
      </c>
      <c r="P817" s="158"/>
      <c r="Q817" s="128"/>
      <c r="R817" s="387">
        <f>VLOOKUP(E817,'[1]NDB Impacted SPRFs 05032013'!$A$2:$A$65536,1,FALSE)</f>
        <v>400013384</v>
      </c>
      <c r="S817" s="128"/>
      <c r="T817" s="128"/>
      <c r="U817" s="128"/>
    </row>
    <row r="818" spans="1:21" s="159" customFormat="1" ht="60" x14ac:dyDescent="0.25">
      <c r="A818" s="63">
        <f>MATCH($E818,'D1 - Master Project Table'!$B$24:$B$7056,0)</f>
        <v>1133</v>
      </c>
      <c r="B818" s="63" t="b">
        <f t="shared" si="36"/>
        <v>0</v>
      </c>
      <c r="C818" s="63" t="b">
        <f t="shared" si="37"/>
        <v>1</v>
      </c>
      <c r="D818" s="63" t="str">
        <f t="shared" si="38"/>
        <v>OK</v>
      </c>
      <c r="E818" s="393">
        <v>400024677</v>
      </c>
      <c r="F818" s="392" t="s">
        <v>1628</v>
      </c>
      <c r="G818" s="392" t="s">
        <v>5324</v>
      </c>
      <c r="H818" s="392" t="s">
        <v>7418</v>
      </c>
      <c r="I818" s="392" t="s">
        <v>1763</v>
      </c>
      <c r="J818" s="392" t="s">
        <v>8497</v>
      </c>
      <c r="K818" s="392" t="s">
        <v>4336</v>
      </c>
      <c r="L818" s="392" t="s">
        <v>5407</v>
      </c>
      <c r="M818" s="392" t="s">
        <v>3758</v>
      </c>
      <c r="N818" s="392" t="s">
        <v>7273</v>
      </c>
      <c r="O818" s="392" t="s">
        <v>3758</v>
      </c>
      <c r="P818"/>
      <c r="Q818"/>
      <c r="R818" s="387">
        <f>VLOOKUP(E818,'[1]NDB Impacted SPRFs 05032013'!$A$2:$A$65536,1,FALSE)</f>
        <v>400024677</v>
      </c>
    </row>
    <row r="819" spans="1:21" s="159" customFormat="1" ht="60" x14ac:dyDescent="0.25">
      <c r="A819" s="63">
        <f>MATCH($E819,'D1 - Master Project Table'!$B$24:$B$7056,0)</f>
        <v>1448</v>
      </c>
      <c r="B819" s="63" t="b">
        <f t="shared" si="36"/>
        <v>0</v>
      </c>
      <c r="C819" s="63" t="b">
        <f t="shared" si="37"/>
        <v>1</v>
      </c>
      <c r="D819" s="63" t="str">
        <f t="shared" si="38"/>
        <v>OK</v>
      </c>
      <c r="E819" s="393">
        <v>400036131</v>
      </c>
      <c r="F819" s="392" t="s">
        <v>4292</v>
      </c>
      <c r="G819" s="392" t="s">
        <v>5324</v>
      </c>
      <c r="H819" s="392" t="s">
        <v>7418</v>
      </c>
      <c r="I819" s="392" t="s">
        <v>1763</v>
      </c>
      <c r="J819" s="392" t="s">
        <v>5979</v>
      </c>
      <c r="K819" s="392" t="s">
        <v>2868</v>
      </c>
      <c r="L819" s="392" t="s">
        <v>6745</v>
      </c>
      <c r="M819" s="392" t="s">
        <v>3758</v>
      </c>
      <c r="N819" s="392" t="s">
        <v>7273</v>
      </c>
      <c r="O819" s="392" t="s">
        <v>7273</v>
      </c>
      <c r="P819" s="212"/>
      <c r="Q819"/>
      <c r="R819" s="387">
        <f>VLOOKUP(E819,'[1]NDB Impacted SPRFs 05032013'!$A$2:$A$65536,1,FALSE)</f>
        <v>400036131</v>
      </c>
    </row>
    <row r="820" spans="1:21" s="159" customFormat="1" ht="60" x14ac:dyDescent="0.25">
      <c r="A820" s="63">
        <f>MATCH($E820,'D1 - Master Project Table'!$B$24:$B$7056,0)</f>
        <v>3124</v>
      </c>
      <c r="B820" s="63" t="b">
        <f t="shared" si="36"/>
        <v>0</v>
      </c>
      <c r="C820" s="63" t="b">
        <f t="shared" si="37"/>
        <v>1</v>
      </c>
      <c r="D820" s="63" t="str">
        <f t="shared" si="38"/>
        <v>OK</v>
      </c>
      <c r="E820" s="393">
        <v>400052833</v>
      </c>
      <c r="F820" s="392" t="s">
        <v>1737</v>
      </c>
      <c r="G820" s="392" t="s">
        <v>5324</v>
      </c>
      <c r="H820" s="392" t="s">
        <v>5314</v>
      </c>
      <c r="I820" s="392" t="s">
        <v>1757</v>
      </c>
      <c r="J820" s="392" t="s">
        <v>1738</v>
      </c>
      <c r="K820" s="392" t="s">
        <v>5754</v>
      </c>
      <c r="L820" s="392" t="s">
        <v>286</v>
      </c>
      <c r="M820" s="392" t="s">
        <v>7273</v>
      </c>
      <c r="N820" s="392" t="s">
        <v>7273</v>
      </c>
      <c r="O820" s="392" t="s">
        <v>3758</v>
      </c>
      <c r="P820"/>
      <c r="Q820"/>
      <c r="R820" s="387">
        <f>VLOOKUP(E820,'[1]NDB Impacted SPRFs 05032013'!$A$2:$A$65536,1,FALSE)</f>
        <v>400052833</v>
      </c>
    </row>
    <row r="821" spans="1:21" s="159" customFormat="1" ht="60" x14ac:dyDescent="0.25">
      <c r="A821" s="63">
        <f>MATCH($E821,'D1 - Master Project Table'!$B$24:$B$7056,0)</f>
        <v>1763</v>
      </c>
      <c r="B821" s="63" t="b">
        <f t="shared" si="36"/>
        <v>0</v>
      </c>
      <c r="C821" s="63" t="b">
        <f t="shared" si="37"/>
        <v>0</v>
      </c>
      <c r="D821" s="63" t="str">
        <f t="shared" si="38"/>
        <v>OK</v>
      </c>
      <c r="E821" s="393">
        <v>400047534</v>
      </c>
      <c r="F821" s="392" t="s">
        <v>3041</v>
      </c>
      <c r="G821" s="392" t="s">
        <v>5324</v>
      </c>
      <c r="H821" s="392" t="s">
        <v>4917</v>
      </c>
      <c r="I821" s="392" t="s">
        <v>1759</v>
      </c>
      <c r="J821" s="392" t="s">
        <v>8444</v>
      </c>
      <c r="K821" s="392" t="s">
        <v>3042</v>
      </c>
      <c r="L821" s="392" t="s">
        <v>885</v>
      </c>
      <c r="M821" s="392" t="s">
        <v>3758</v>
      </c>
      <c r="N821" s="392" t="s">
        <v>7273</v>
      </c>
      <c r="O821" s="392" t="s">
        <v>7273</v>
      </c>
      <c r="P821"/>
      <c r="Q821"/>
      <c r="R821" s="387">
        <f>VLOOKUP(E821,'[1]NDB Impacted SPRFs 05032013'!$A$2:$A$65536,1,FALSE)</f>
        <v>400047534</v>
      </c>
    </row>
    <row r="822" spans="1:21" ht="60" x14ac:dyDescent="0.25">
      <c r="A822" s="63">
        <f>MATCH($E822,'D1 - Master Project Table'!$B$24:$B$7056,0)</f>
        <v>3095</v>
      </c>
      <c r="B822" s="63" t="b">
        <f t="shared" si="36"/>
        <v>0</v>
      </c>
      <c r="C822" s="63" t="b">
        <f t="shared" si="37"/>
        <v>1</v>
      </c>
      <c r="D822" s="63" t="str">
        <f t="shared" si="38"/>
        <v>OK</v>
      </c>
      <c r="E822" s="393">
        <v>400049346</v>
      </c>
      <c r="F822" s="392" t="s">
        <v>1691</v>
      </c>
      <c r="G822" s="392" t="s">
        <v>5001</v>
      </c>
      <c r="H822" s="392" t="s">
        <v>5314</v>
      </c>
      <c r="I822" s="392" t="s">
        <v>3540</v>
      </c>
      <c r="J822" s="392" t="s">
        <v>4110</v>
      </c>
      <c r="K822" s="392" t="s">
        <v>8075</v>
      </c>
      <c r="L822" s="392" t="s">
        <v>8774</v>
      </c>
      <c r="M822" s="392" t="s">
        <v>7273</v>
      </c>
      <c r="N822" s="392" t="s">
        <v>7273</v>
      </c>
      <c r="O822" s="392" t="s">
        <v>7273</v>
      </c>
      <c r="P822"/>
      <c r="Q822"/>
      <c r="R822" s="387">
        <f>VLOOKUP(E822,'[1]NDB Impacted SPRFs 05032013'!$A$2:$A$65536,1,FALSE)</f>
        <v>400049346</v>
      </c>
      <c r="S822" s="159"/>
      <c r="T822" s="159"/>
      <c r="U822" s="159"/>
    </row>
    <row r="823" spans="1:21" s="159" customFormat="1" ht="60" x14ac:dyDescent="0.25">
      <c r="A823" s="63">
        <f>MATCH($E823,'D1 - Master Project Table'!$B$24:$B$7056,0)</f>
        <v>3036</v>
      </c>
      <c r="B823" s="63" t="b">
        <f t="shared" si="36"/>
        <v>0</v>
      </c>
      <c r="C823" s="63" t="b">
        <f t="shared" si="37"/>
        <v>1</v>
      </c>
      <c r="D823" s="63" t="str">
        <f t="shared" si="38"/>
        <v>OK</v>
      </c>
      <c r="E823" s="393">
        <v>400041921</v>
      </c>
      <c r="F823" s="392" t="s">
        <v>7261</v>
      </c>
      <c r="G823" s="392" t="s">
        <v>6322</v>
      </c>
      <c r="H823" s="392" t="s">
        <v>7418</v>
      </c>
      <c r="I823" s="392" t="s">
        <v>1762</v>
      </c>
      <c r="J823" s="392" t="s">
        <v>8655</v>
      </c>
      <c r="K823" s="392" t="s">
        <v>7164</v>
      </c>
      <c r="L823" s="392" t="s">
        <v>3188</v>
      </c>
      <c r="M823" s="392" t="s">
        <v>3758</v>
      </c>
      <c r="N823" s="392" t="s">
        <v>7273</v>
      </c>
      <c r="O823" s="392" t="s">
        <v>3758</v>
      </c>
      <c r="P823"/>
      <c r="Q823"/>
      <c r="R823" s="387">
        <f>VLOOKUP(E823,'[1]NDB Impacted SPRFs 05032013'!$A$2:$A$65536,1,FALSE)</f>
        <v>400041921</v>
      </c>
    </row>
    <row r="824" spans="1:21" s="159" customFormat="1" ht="60" x14ac:dyDescent="0.25">
      <c r="A824" s="63">
        <f>MATCH($E824,'D1 - Master Project Table'!$B$24:$B$7056,0)</f>
        <v>307</v>
      </c>
      <c r="B824" s="63" t="b">
        <f t="shared" si="36"/>
        <v>0</v>
      </c>
      <c r="C824" s="63" t="b">
        <f t="shared" si="37"/>
        <v>1</v>
      </c>
      <c r="D824" s="63" t="str">
        <f t="shared" si="38"/>
        <v>OK</v>
      </c>
      <c r="E824" s="393">
        <v>400001473</v>
      </c>
      <c r="F824" s="392" t="s">
        <v>5734</v>
      </c>
      <c r="G824" s="392" t="s">
        <v>5787</v>
      </c>
      <c r="H824" s="392" t="s">
        <v>7418</v>
      </c>
      <c r="I824" s="392" t="s">
        <v>1772</v>
      </c>
      <c r="J824" s="392" t="s">
        <v>8658</v>
      </c>
      <c r="K824" s="392" t="s">
        <v>3766</v>
      </c>
      <c r="L824" s="392" t="s">
        <v>1068</v>
      </c>
      <c r="M824" s="392" t="s">
        <v>3758</v>
      </c>
      <c r="N824" s="392" t="s">
        <v>7273</v>
      </c>
      <c r="O824" s="392" t="s">
        <v>7273</v>
      </c>
      <c r="P824"/>
      <c r="Q824"/>
      <c r="R824" s="387">
        <f>VLOOKUP(E824,'[1]NDB Impacted SPRFs 05032013'!$A$2:$A$65536,1,FALSE)</f>
        <v>400001473</v>
      </c>
      <c r="S824" s="128"/>
      <c r="T824" s="128"/>
      <c r="U824" s="128"/>
    </row>
    <row r="825" spans="1:21" s="159" customFormat="1" ht="60" x14ac:dyDescent="0.25">
      <c r="A825" s="63">
        <f>MATCH($E825,'D1 - Master Project Table'!$B$24:$B$7056,0)</f>
        <v>618</v>
      </c>
      <c r="B825" s="63" t="b">
        <f t="shared" si="36"/>
        <v>0</v>
      </c>
      <c r="C825" s="63" t="b">
        <f t="shared" si="37"/>
        <v>1</v>
      </c>
      <c r="D825" s="63" t="str">
        <f t="shared" si="38"/>
        <v>OK</v>
      </c>
      <c r="E825" s="393">
        <v>400012978</v>
      </c>
      <c r="F825" s="392" t="s">
        <v>7276</v>
      </c>
      <c r="G825" s="392" t="s">
        <v>5324</v>
      </c>
      <c r="H825" s="392" t="s">
        <v>7418</v>
      </c>
      <c r="I825" s="392" t="s">
        <v>1756</v>
      </c>
      <c r="J825" s="392" t="s">
        <v>8386</v>
      </c>
      <c r="K825" s="392" t="s">
        <v>8075</v>
      </c>
      <c r="L825" s="392" t="s">
        <v>7867</v>
      </c>
      <c r="M825" s="392" t="s">
        <v>7273</v>
      </c>
      <c r="N825" s="392" t="s">
        <v>7273</v>
      </c>
      <c r="O825" s="392" t="s">
        <v>7273</v>
      </c>
      <c r="P825"/>
      <c r="Q825"/>
      <c r="R825" s="387">
        <f>VLOOKUP(E825,'[1]NDB Impacted SPRFs 05032013'!$A$2:$A$65536,1,FALSE)</f>
        <v>400012978</v>
      </c>
    </row>
    <row r="826" spans="1:21" s="159" customFormat="1" ht="60" x14ac:dyDescent="0.25">
      <c r="A826" s="63">
        <f>MATCH($E826,'D1 - Master Project Table'!$B$24:$B$7056,0)</f>
        <v>743</v>
      </c>
      <c r="B826" s="63" t="b">
        <f t="shared" si="36"/>
        <v>0</v>
      </c>
      <c r="C826" s="63" t="b">
        <f t="shared" si="37"/>
        <v>1</v>
      </c>
      <c r="D826" s="63" t="str">
        <f t="shared" si="38"/>
        <v>OK</v>
      </c>
      <c r="E826" s="393">
        <v>400013435</v>
      </c>
      <c r="F826" s="392" t="s">
        <v>4585</v>
      </c>
      <c r="G826" s="392" t="s">
        <v>5324</v>
      </c>
      <c r="H826" s="392" t="s">
        <v>7418</v>
      </c>
      <c r="I826" s="392" t="s">
        <v>1756</v>
      </c>
      <c r="J826" s="392" t="s">
        <v>451</v>
      </c>
      <c r="K826" s="392" t="s">
        <v>6878</v>
      </c>
      <c r="L826" s="392" t="s">
        <v>2081</v>
      </c>
      <c r="M826" s="392" t="s">
        <v>7273</v>
      </c>
      <c r="N826" s="392" t="s">
        <v>7273</v>
      </c>
      <c r="O826" s="392" t="s">
        <v>7273</v>
      </c>
      <c r="P826"/>
      <c r="Q826"/>
      <c r="R826" s="387">
        <f>VLOOKUP(E826,'[1]NDB Impacted SPRFs 05032013'!$A$2:$A$65536,1,FALSE)</f>
        <v>400013435</v>
      </c>
    </row>
    <row r="827" spans="1:21" s="159" customFormat="1" ht="60" x14ac:dyDescent="0.25">
      <c r="A827" s="63">
        <f>MATCH($E827,'D1 - Master Project Table'!$B$24:$B$7056,0)</f>
        <v>2170</v>
      </c>
      <c r="B827" s="63" t="b">
        <f t="shared" si="36"/>
        <v>0</v>
      </c>
      <c r="C827" s="63" t="b">
        <f t="shared" si="37"/>
        <v>1</v>
      </c>
      <c r="D827" s="63" t="str">
        <f t="shared" si="38"/>
        <v>OK</v>
      </c>
      <c r="E827" s="393">
        <v>400018421</v>
      </c>
      <c r="F827" s="392" t="s">
        <v>5419</v>
      </c>
      <c r="G827" s="392" t="s">
        <v>5324</v>
      </c>
      <c r="H827" s="392" t="s">
        <v>7418</v>
      </c>
      <c r="I827" s="392" t="s">
        <v>1759</v>
      </c>
      <c r="J827" s="392" t="s">
        <v>8357</v>
      </c>
      <c r="K827" s="392" t="s">
        <v>5184</v>
      </c>
      <c r="L827" s="392" t="s">
        <v>6762</v>
      </c>
      <c r="M827" s="392" t="s">
        <v>3758</v>
      </c>
      <c r="N827" s="392" t="s">
        <v>7273</v>
      </c>
      <c r="O827" s="392" t="s">
        <v>3758</v>
      </c>
      <c r="P827" s="158"/>
      <c r="Q827" s="128"/>
      <c r="R827" s="387">
        <f>VLOOKUP(E827,'[1]NDB Impacted SPRFs 05032013'!$A$2:$A$65536,1,FALSE)</f>
        <v>400018421</v>
      </c>
      <c r="S827" s="128"/>
      <c r="T827" s="128"/>
      <c r="U827" s="128"/>
    </row>
    <row r="828" spans="1:21" s="159" customFormat="1" ht="60" x14ac:dyDescent="0.25">
      <c r="A828" s="63">
        <f>MATCH($E828,'D1 - Master Project Table'!$B$24:$B$7056,0)</f>
        <v>3247</v>
      </c>
      <c r="B828" s="63" t="b">
        <f t="shared" si="36"/>
        <v>0</v>
      </c>
      <c r="C828" s="63" t="b">
        <f t="shared" si="37"/>
        <v>1</v>
      </c>
      <c r="D828" s="63" t="str">
        <f t="shared" si="38"/>
        <v>OK</v>
      </c>
      <c r="E828" s="393">
        <v>400056151</v>
      </c>
      <c r="F828" s="392" t="s">
        <v>7004</v>
      </c>
      <c r="G828" s="392" t="s">
        <v>5324</v>
      </c>
      <c r="H828" s="392" t="s">
        <v>7418</v>
      </c>
      <c r="I828" s="392" t="s">
        <v>1757</v>
      </c>
      <c r="J828" s="392" t="s">
        <v>8366</v>
      </c>
      <c r="K828" s="392" t="s">
        <v>5436</v>
      </c>
      <c r="L828" s="392" t="s">
        <v>9075</v>
      </c>
      <c r="M828" s="392" t="s">
        <v>7273</v>
      </c>
      <c r="N828" s="392" t="s">
        <v>7273</v>
      </c>
      <c r="O828" s="392" t="s">
        <v>7273</v>
      </c>
      <c r="P828"/>
      <c r="Q828"/>
      <c r="R828" s="387">
        <f>VLOOKUP(E828,'[1]NDB Impacted SPRFs 05032013'!$A$2:$A$65536,1,FALSE)</f>
        <v>400056151</v>
      </c>
    </row>
    <row r="829" spans="1:21" ht="60" x14ac:dyDescent="0.25">
      <c r="A829" s="63" t="e">
        <f>MATCH($E829,'D1 - Master Project Table'!$B$24:$B$7056,0)</f>
        <v>#N/A</v>
      </c>
      <c r="B829" s="63" t="b">
        <f t="shared" si="36"/>
        <v>1</v>
      </c>
      <c r="C829" s="63" t="b">
        <f t="shared" si="37"/>
        <v>1</v>
      </c>
      <c r="D829" s="63" t="str">
        <f t="shared" si="38"/>
        <v>OK</v>
      </c>
      <c r="E829" s="393">
        <v>207191244</v>
      </c>
      <c r="F829" s="392" t="s">
        <v>3295</v>
      </c>
      <c r="G829" s="392" t="s">
        <v>5324</v>
      </c>
      <c r="H829" s="392" t="s">
        <v>7418</v>
      </c>
      <c r="I829" s="392" t="s">
        <v>1765</v>
      </c>
      <c r="J829" s="392" t="s">
        <v>6348</v>
      </c>
      <c r="K829" s="392" t="s">
        <v>5572</v>
      </c>
      <c r="L829" s="392" t="s">
        <v>4287</v>
      </c>
      <c r="M829" s="392" t="s">
        <v>3758</v>
      </c>
      <c r="N829" s="392" t="s">
        <v>7273</v>
      </c>
      <c r="O829" s="392" t="s">
        <v>7273</v>
      </c>
      <c r="P829"/>
      <c r="Q829"/>
      <c r="R829" s="387">
        <f>VLOOKUP(E829,'[1]NDB Impacted SPRFs 05032013'!$A$2:$A$65536,1,FALSE)</f>
        <v>207191244</v>
      </c>
      <c r="S829" s="159"/>
      <c r="T829" s="159"/>
      <c r="U829" s="159"/>
    </row>
    <row r="830" spans="1:21" s="159" customFormat="1" ht="60" x14ac:dyDescent="0.25">
      <c r="A830" s="63">
        <f>MATCH($E830,'D1 - Master Project Table'!$B$24:$B$7056,0)</f>
        <v>2243</v>
      </c>
      <c r="B830" s="63" t="b">
        <f t="shared" si="36"/>
        <v>0</v>
      </c>
      <c r="C830" s="63" t="b">
        <f t="shared" si="37"/>
        <v>1</v>
      </c>
      <c r="D830" s="63" t="str">
        <f t="shared" si="38"/>
        <v>OK</v>
      </c>
      <c r="E830" s="393">
        <v>400024166</v>
      </c>
      <c r="F830" s="392" t="s">
        <v>4375</v>
      </c>
      <c r="G830" s="392" t="s">
        <v>5324</v>
      </c>
      <c r="H830" s="392" t="s">
        <v>5314</v>
      </c>
      <c r="I830" s="392" t="s">
        <v>1756</v>
      </c>
      <c r="J830" s="392" t="s">
        <v>4462</v>
      </c>
      <c r="K830" s="392" t="s">
        <v>4462</v>
      </c>
      <c r="L830" s="392" t="s">
        <v>3857</v>
      </c>
      <c r="M830" s="392" t="s">
        <v>3758</v>
      </c>
      <c r="N830" s="392" t="s">
        <v>7273</v>
      </c>
      <c r="O830" s="392" t="s">
        <v>7273</v>
      </c>
      <c r="P830"/>
      <c r="Q830"/>
      <c r="R830" s="387">
        <f>VLOOKUP(E830,'[1]NDB Impacted SPRFs 05032013'!$A$2:$A$65536,1,FALSE)</f>
        <v>400024166</v>
      </c>
    </row>
    <row r="831" spans="1:21" s="159" customFormat="1" ht="60" x14ac:dyDescent="0.25">
      <c r="A831" s="63">
        <f>MATCH($E831,'D1 - Master Project Table'!$B$24:$B$7056,0)</f>
        <v>1798</v>
      </c>
      <c r="B831" s="63" t="b">
        <f t="shared" si="36"/>
        <v>0</v>
      </c>
      <c r="C831" s="63" t="b">
        <f t="shared" si="37"/>
        <v>1</v>
      </c>
      <c r="D831" s="63" t="str">
        <f t="shared" si="38"/>
        <v>OK</v>
      </c>
      <c r="E831" s="393">
        <v>400053442</v>
      </c>
      <c r="F831" s="392" t="s">
        <v>3150</v>
      </c>
      <c r="G831" s="392" t="s">
        <v>5324</v>
      </c>
      <c r="H831" s="392" t="s">
        <v>7418</v>
      </c>
      <c r="I831" s="392" t="s">
        <v>1758</v>
      </c>
      <c r="J831" s="392" t="s">
        <v>8332</v>
      </c>
      <c r="K831" s="392" t="s">
        <v>150</v>
      </c>
      <c r="L831" s="392" t="s">
        <v>8479</v>
      </c>
      <c r="M831" s="392" t="s">
        <v>7273</v>
      </c>
      <c r="N831" s="392" t="s">
        <v>7273</v>
      </c>
      <c r="O831" s="392" t="s">
        <v>3758</v>
      </c>
      <c r="P831"/>
      <c r="Q831"/>
      <c r="R831" s="387">
        <f>VLOOKUP(E831,'[1]NDB Impacted SPRFs 05032013'!$A$2:$A$65536,1,FALSE)</f>
        <v>400053442</v>
      </c>
    </row>
    <row r="832" spans="1:21" ht="60" x14ac:dyDescent="0.25">
      <c r="A832" s="63">
        <f>MATCH($E832,'D1 - Master Project Table'!$B$24:$B$7056,0)</f>
        <v>891</v>
      </c>
      <c r="B832" s="63" t="b">
        <f t="shared" si="36"/>
        <v>0</v>
      </c>
      <c r="C832" s="63" t="b">
        <f t="shared" si="37"/>
        <v>1</v>
      </c>
      <c r="D832" s="63" t="str">
        <f t="shared" si="38"/>
        <v>OK</v>
      </c>
      <c r="E832" s="393">
        <v>400015073</v>
      </c>
      <c r="F832" s="392" t="s">
        <v>7871</v>
      </c>
      <c r="G832" s="392" t="s">
        <v>5324</v>
      </c>
      <c r="H832" s="392" t="s">
        <v>7418</v>
      </c>
      <c r="I832" s="392" t="s">
        <v>1759</v>
      </c>
      <c r="J832" s="392" t="s">
        <v>8357</v>
      </c>
      <c r="K832" s="392" t="s">
        <v>5184</v>
      </c>
      <c r="L832" s="392" t="s">
        <v>996</v>
      </c>
      <c r="M832" s="392" t="s">
        <v>3758</v>
      </c>
      <c r="N832" s="392" t="s">
        <v>7273</v>
      </c>
      <c r="O832" s="392" t="s">
        <v>7273</v>
      </c>
      <c r="P832"/>
      <c r="Q832"/>
      <c r="R832" s="387">
        <f>VLOOKUP(E832,'[1]NDB Impacted SPRFs 05032013'!$A$2:$A$65536,1,FALSE)</f>
        <v>400015073</v>
      </c>
    </row>
    <row r="833" spans="1:21" s="159" customFormat="1" ht="60" x14ac:dyDescent="0.25">
      <c r="A833" s="63">
        <f>MATCH($E833,'D1 - Master Project Table'!$B$24:$B$7056,0)</f>
        <v>607</v>
      </c>
      <c r="B833" s="63" t="b">
        <f t="shared" si="36"/>
        <v>0</v>
      </c>
      <c r="C833" s="63" t="b">
        <f t="shared" si="37"/>
        <v>1</v>
      </c>
      <c r="D833" s="63" t="str">
        <f t="shared" si="38"/>
        <v>OK</v>
      </c>
      <c r="E833" s="393">
        <v>400010731</v>
      </c>
      <c r="F833" s="392" t="s">
        <v>5683</v>
      </c>
      <c r="G833" s="392" t="s">
        <v>5324</v>
      </c>
      <c r="H833" s="392" t="s">
        <v>7418</v>
      </c>
      <c r="I833" s="392" t="s">
        <v>1764</v>
      </c>
      <c r="J833" s="392" t="s">
        <v>8300</v>
      </c>
      <c r="K833" s="392" t="s">
        <v>5938</v>
      </c>
      <c r="L833" s="392" t="s">
        <v>4874</v>
      </c>
      <c r="M833" s="392" t="s">
        <v>7273</v>
      </c>
      <c r="N833" s="392" t="s">
        <v>7273</v>
      </c>
      <c r="O833" s="392" t="s">
        <v>7273</v>
      </c>
      <c r="P833"/>
      <c r="Q833"/>
      <c r="R833" s="387">
        <f>VLOOKUP(E833,'[1]NDB Impacted SPRFs 05032013'!$A$2:$A$65536,1,FALSE)</f>
        <v>400010731</v>
      </c>
    </row>
    <row r="834" spans="1:21" ht="60" customHeight="1" x14ac:dyDescent="0.25">
      <c r="A834" s="63">
        <f>MATCH($E834,'D1 - Master Project Table'!$B$24:$B$7056,0)</f>
        <v>2081</v>
      </c>
      <c r="B834" s="63" t="b">
        <f t="shared" si="36"/>
        <v>0</v>
      </c>
      <c r="C834" s="63" t="b">
        <f t="shared" si="37"/>
        <v>1</v>
      </c>
      <c r="D834" s="63" t="str">
        <f t="shared" si="38"/>
        <v>OK</v>
      </c>
      <c r="E834" s="393">
        <v>400013288</v>
      </c>
      <c r="F834" s="392" t="s">
        <v>2641</v>
      </c>
      <c r="G834" s="392" t="s">
        <v>5325</v>
      </c>
      <c r="H834" s="392" t="s">
        <v>5314</v>
      </c>
      <c r="I834" s="392" t="s">
        <v>6008</v>
      </c>
      <c r="J834" s="392" t="s">
        <v>8271</v>
      </c>
      <c r="K834" s="392" t="s">
        <v>3818</v>
      </c>
      <c r="L834" s="392" t="s">
        <v>5412</v>
      </c>
      <c r="M834" s="392" t="s">
        <v>7273</v>
      </c>
      <c r="N834" s="392" t="s">
        <v>7273</v>
      </c>
      <c r="O834" s="392" t="s">
        <v>7273</v>
      </c>
      <c r="R834" s="387">
        <f>VLOOKUP(E834,'[1]NDB Impacted SPRFs 05032013'!$A$2:$A$65536,1,FALSE)</f>
        <v>400013288</v>
      </c>
      <c r="S834" s="159"/>
      <c r="T834" s="159"/>
      <c r="U834" s="159"/>
    </row>
    <row r="835" spans="1:21" s="159" customFormat="1" ht="60" x14ac:dyDescent="0.25">
      <c r="A835" s="63">
        <f>MATCH($E835,'D1 - Master Project Table'!$B$24:$B$7056,0)</f>
        <v>1081</v>
      </c>
      <c r="B835" s="63" t="b">
        <f t="shared" si="36"/>
        <v>0</v>
      </c>
      <c r="C835" s="63" t="b">
        <f t="shared" si="37"/>
        <v>1</v>
      </c>
      <c r="D835" s="63" t="str">
        <f t="shared" si="38"/>
        <v>OK</v>
      </c>
      <c r="E835" s="393">
        <v>400027492</v>
      </c>
      <c r="F835" s="392" t="s">
        <v>3785</v>
      </c>
      <c r="G835" s="392" t="s">
        <v>5995</v>
      </c>
      <c r="H835" s="392" t="s">
        <v>7418</v>
      </c>
      <c r="I835" s="392" t="s">
        <v>6423</v>
      </c>
      <c r="J835" s="392" t="s">
        <v>4424</v>
      </c>
      <c r="K835" s="392" t="s">
        <v>3786</v>
      </c>
      <c r="L835" s="392" t="s">
        <v>7823</v>
      </c>
      <c r="M835" s="392" t="s">
        <v>7273</v>
      </c>
      <c r="N835" s="392" t="s">
        <v>7273</v>
      </c>
      <c r="O835" s="392" t="s">
        <v>7273</v>
      </c>
      <c r="P835"/>
      <c r="Q835"/>
      <c r="R835" s="387">
        <f>VLOOKUP(E835,'[1]NDB Impacted SPRFs 05032013'!$A$2:$A$65536,1,FALSE)</f>
        <v>400027492</v>
      </c>
    </row>
    <row r="836" spans="1:21" s="159" customFormat="1" ht="60" x14ac:dyDescent="0.25">
      <c r="A836" s="63">
        <f>MATCH($E836,'D1 - Master Project Table'!$B$24:$B$7056,0)</f>
        <v>1254</v>
      </c>
      <c r="B836" s="63" t="b">
        <f t="shared" si="36"/>
        <v>0</v>
      </c>
      <c r="C836" s="63" t="b">
        <f t="shared" si="37"/>
        <v>1</v>
      </c>
      <c r="D836" s="63" t="str">
        <f t="shared" si="38"/>
        <v>OK</v>
      </c>
      <c r="E836" s="393">
        <v>400032537</v>
      </c>
      <c r="F836" s="392" t="s">
        <v>6944</v>
      </c>
      <c r="G836" s="392" t="s">
        <v>5325</v>
      </c>
      <c r="H836" s="392" t="s">
        <v>7418</v>
      </c>
      <c r="I836" s="392" t="s">
        <v>1804</v>
      </c>
      <c r="J836" s="392" t="s">
        <v>3158</v>
      </c>
      <c r="K836" s="392" t="s">
        <v>6945</v>
      </c>
      <c r="L836" s="392" t="s">
        <v>8285</v>
      </c>
      <c r="M836" s="392" t="s">
        <v>7273</v>
      </c>
      <c r="N836" s="392" t="s">
        <v>7273</v>
      </c>
      <c r="O836" s="392" t="s">
        <v>7273</v>
      </c>
      <c r="P836"/>
      <c r="Q836"/>
      <c r="R836" s="387">
        <f>VLOOKUP(E836,'[1]NDB Impacted SPRFs 05032013'!$A$2:$A$65536,1,FALSE)</f>
        <v>400032537</v>
      </c>
    </row>
    <row r="837" spans="1:21" s="159" customFormat="1" ht="60" x14ac:dyDescent="0.25">
      <c r="A837" s="63">
        <f>MATCH($E837,'D1 - Master Project Table'!$B$24:$B$7056,0)</f>
        <v>1185</v>
      </c>
      <c r="B837" s="63" t="b">
        <f t="shared" si="36"/>
        <v>0</v>
      </c>
      <c r="C837" s="63" t="b">
        <f t="shared" si="37"/>
        <v>1</v>
      </c>
      <c r="D837" s="63" t="str">
        <f t="shared" si="38"/>
        <v>OK</v>
      </c>
      <c r="E837" s="393">
        <v>400032675</v>
      </c>
      <c r="F837" s="392" t="s">
        <v>7475</v>
      </c>
      <c r="G837" s="392" t="s">
        <v>5001</v>
      </c>
      <c r="H837" s="392" t="s">
        <v>7418</v>
      </c>
      <c r="I837" s="392" t="s">
        <v>3540</v>
      </c>
      <c r="J837" s="392" t="s">
        <v>7476</v>
      </c>
      <c r="K837" s="392" t="s">
        <v>2578</v>
      </c>
      <c r="L837" s="392" t="s">
        <v>6808</v>
      </c>
      <c r="M837" s="392" t="s">
        <v>3758</v>
      </c>
      <c r="N837" s="392" t="s">
        <v>7273</v>
      </c>
      <c r="O837" s="392" t="s">
        <v>3758</v>
      </c>
      <c r="P837"/>
      <c r="Q837"/>
      <c r="R837" s="387">
        <f>VLOOKUP(E837,'[1]NDB Impacted SPRFs 05032013'!$A$2:$A$65536,1,FALSE)</f>
        <v>400032675</v>
      </c>
    </row>
    <row r="838" spans="1:21" s="159" customFormat="1" ht="60" x14ac:dyDescent="0.25">
      <c r="A838" s="63">
        <f>MATCH($E838,'D1 - Master Project Table'!$B$24:$B$7056,0)</f>
        <v>1639</v>
      </c>
      <c r="B838" s="63" t="b">
        <f t="shared" ref="B838:B901" si="39">ISERROR(A838)</f>
        <v>0</v>
      </c>
      <c r="C838" s="63" t="b">
        <f t="shared" ref="C838:C901" si="40">OR(H838="Completed",H838="Cancelled")</f>
        <v>1</v>
      </c>
      <c r="D838" s="63" t="str">
        <f t="shared" ref="D838:D901" si="41">IF(AND(B838=TRUE,C838=FALSE),"Add","OK")</f>
        <v>OK</v>
      </c>
      <c r="E838" s="393">
        <v>400046092</v>
      </c>
      <c r="F838" s="392" t="s">
        <v>2759</v>
      </c>
      <c r="G838" s="392" t="s">
        <v>5325</v>
      </c>
      <c r="H838" s="392" t="s">
        <v>7418</v>
      </c>
      <c r="I838" s="392" t="s">
        <v>1756</v>
      </c>
      <c r="J838" s="392" t="s">
        <v>6348</v>
      </c>
      <c r="K838" s="392" t="s">
        <v>3224</v>
      </c>
      <c r="L838" s="392" t="s">
        <v>9266</v>
      </c>
      <c r="M838" s="392" t="s">
        <v>7273</v>
      </c>
      <c r="N838" s="392" t="s">
        <v>7273</v>
      </c>
      <c r="O838" s="392" t="s">
        <v>7273</v>
      </c>
      <c r="P838"/>
      <c r="Q838"/>
      <c r="R838" s="387">
        <f>VLOOKUP(E838,'[1]NDB Impacted SPRFs 05032013'!$A$2:$A$65536,1,FALSE)</f>
        <v>400046092</v>
      </c>
    </row>
    <row r="839" spans="1:21" ht="60" x14ac:dyDescent="0.25">
      <c r="A839" s="63">
        <f>MATCH($E839,'D1 - Master Project Table'!$B$24:$B$7056,0)</f>
        <v>3100</v>
      </c>
      <c r="B839" s="63" t="b">
        <f t="shared" si="39"/>
        <v>0</v>
      </c>
      <c r="C839" s="63" t="b">
        <f t="shared" si="40"/>
        <v>1</v>
      </c>
      <c r="D839" s="63" t="str">
        <f t="shared" si="41"/>
        <v>OK</v>
      </c>
      <c r="E839" s="393">
        <v>400050542</v>
      </c>
      <c r="F839" s="392" t="s">
        <v>1126</v>
      </c>
      <c r="G839" s="392" t="s">
        <v>5324</v>
      </c>
      <c r="H839" s="392" t="s">
        <v>5314</v>
      </c>
      <c r="I839" s="392" t="s">
        <v>1759</v>
      </c>
      <c r="J839" s="392" t="s">
        <v>8305</v>
      </c>
      <c r="K839" s="392" t="s">
        <v>5162</v>
      </c>
      <c r="L839" s="392" t="s">
        <v>6958</v>
      </c>
      <c r="M839" s="392" t="s">
        <v>7273</v>
      </c>
      <c r="N839" s="392" t="s">
        <v>7273</v>
      </c>
      <c r="O839" s="392" t="s">
        <v>7273</v>
      </c>
      <c r="P839"/>
      <c r="Q839"/>
      <c r="R839" s="387">
        <f>VLOOKUP(E839,'[1]NDB Impacted SPRFs 05032013'!$A$2:$A$65536,1,FALSE)</f>
        <v>400050542</v>
      </c>
    </row>
    <row r="840" spans="1:21" s="159" customFormat="1" ht="60" x14ac:dyDescent="0.25">
      <c r="A840" s="63">
        <f>MATCH($E840,'D1 - Master Project Table'!$B$24:$B$7056,0)</f>
        <v>145</v>
      </c>
      <c r="B840" s="63" t="b">
        <f t="shared" si="39"/>
        <v>0</v>
      </c>
      <c r="C840" s="63" t="b">
        <f t="shared" si="40"/>
        <v>0</v>
      </c>
      <c r="D840" s="63" t="str">
        <f t="shared" si="41"/>
        <v>OK</v>
      </c>
      <c r="E840" s="393">
        <v>400057349</v>
      </c>
      <c r="F840" s="392" t="s">
        <v>7810</v>
      </c>
      <c r="G840" s="392" t="s">
        <v>5995</v>
      </c>
      <c r="H840" s="392" t="s">
        <v>4917</v>
      </c>
      <c r="I840" s="392" t="s">
        <v>6423</v>
      </c>
      <c r="J840" s="392" t="s">
        <v>8805</v>
      </c>
      <c r="K840" s="392" t="s">
        <v>7811</v>
      </c>
      <c r="L840" s="392" t="s">
        <v>9493</v>
      </c>
      <c r="M840" s="392" t="s">
        <v>7273</v>
      </c>
      <c r="N840" s="392" t="s">
        <v>7273</v>
      </c>
      <c r="O840" s="392" t="s">
        <v>7273</v>
      </c>
      <c r="P840"/>
      <c r="Q840"/>
      <c r="R840" s="387">
        <f>VLOOKUP(E840,'[1]NDB Impacted SPRFs 05032013'!$A$2:$A$65536,1,FALSE)</f>
        <v>400057349</v>
      </c>
    </row>
    <row r="841" spans="1:21" s="159" customFormat="1" ht="60" x14ac:dyDescent="0.25">
      <c r="A841" s="63">
        <f>MATCH($E841,'D1 - Master Project Table'!$B$24:$B$7056,0)</f>
        <v>668</v>
      </c>
      <c r="B841" s="63" t="b">
        <f t="shared" si="39"/>
        <v>0</v>
      </c>
      <c r="C841" s="63" t="b">
        <f t="shared" si="40"/>
        <v>1</v>
      </c>
      <c r="D841" s="63" t="str">
        <f t="shared" si="41"/>
        <v>OK</v>
      </c>
      <c r="E841" s="393">
        <v>400010918</v>
      </c>
      <c r="F841" s="392" t="s">
        <v>5456</v>
      </c>
      <c r="G841" s="392" t="s">
        <v>5324</v>
      </c>
      <c r="H841" s="392" t="s">
        <v>7418</v>
      </c>
      <c r="I841" s="392" t="s">
        <v>1762</v>
      </c>
      <c r="J841" s="392" t="s">
        <v>2251</v>
      </c>
      <c r="K841" s="392" t="s">
        <v>5159</v>
      </c>
      <c r="L841" s="392" t="s">
        <v>3346</v>
      </c>
      <c r="M841" s="392" t="s">
        <v>7273</v>
      </c>
      <c r="N841" s="392" t="s">
        <v>7273</v>
      </c>
      <c r="O841" s="392" t="s">
        <v>7273</v>
      </c>
      <c r="P841"/>
      <c r="Q841"/>
      <c r="R841" s="387">
        <f>VLOOKUP(E841,'[1]NDB Impacted SPRFs 05032013'!$A$2:$A$65536,1,FALSE)</f>
        <v>400010918</v>
      </c>
    </row>
    <row r="842" spans="1:21" s="159" customFormat="1" ht="60" x14ac:dyDescent="0.25">
      <c r="A842" s="63">
        <f>MATCH($E842,'D1 - Master Project Table'!$B$24:$B$7056,0)</f>
        <v>1162</v>
      </c>
      <c r="B842" s="63" t="b">
        <f t="shared" si="39"/>
        <v>0</v>
      </c>
      <c r="C842" s="63" t="b">
        <f t="shared" si="40"/>
        <v>1</v>
      </c>
      <c r="D842" s="63" t="str">
        <f t="shared" si="41"/>
        <v>OK</v>
      </c>
      <c r="E842" s="393">
        <v>400031062</v>
      </c>
      <c r="F842" s="392" t="s">
        <v>2010</v>
      </c>
      <c r="G842" s="392" t="s">
        <v>5001</v>
      </c>
      <c r="H842" s="392" t="s">
        <v>7418</v>
      </c>
      <c r="I842" s="392" t="s">
        <v>3540</v>
      </c>
      <c r="J842" s="392" t="s">
        <v>8638</v>
      </c>
      <c r="K842" s="392" t="s">
        <v>2174</v>
      </c>
      <c r="L842" s="392" t="s">
        <v>102</v>
      </c>
      <c r="M842" s="392" t="s">
        <v>7273</v>
      </c>
      <c r="N842" s="392" t="s">
        <v>7273</v>
      </c>
      <c r="O842" s="392" t="s">
        <v>3758</v>
      </c>
      <c r="P842"/>
      <c r="Q842"/>
      <c r="R842" s="387">
        <f>VLOOKUP(E842,'[1]NDB Impacted SPRFs 05032013'!$A$2:$A$65536,1,FALSE)</f>
        <v>400031062</v>
      </c>
    </row>
    <row r="843" spans="1:21" s="159" customFormat="1" ht="60" x14ac:dyDescent="0.25">
      <c r="A843" s="63">
        <f>MATCH($E843,'D1 - Master Project Table'!$B$24:$B$7056,0)</f>
        <v>1506</v>
      </c>
      <c r="B843" s="63" t="b">
        <f t="shared" si="39"/>
        <v>0</v>
      </c>
      <c r="C843" s="63" t="b">
        <f t="shared" si="40"/>
        <v>1</v>
      </c>
      <c r="D843" s="63" t="str">
        <f t="shared" si="41"/>
        <v>OK</v>
      </c>
      <c r="E843" s="393">
        <v>400041480</v>
      </c>
      <c r="F843" s="392" t="s">
        <v>3588</v>
      </c>
      <c r="G843" s="392" t="s">
        <v>5324</v>
      </c>
      <c r="H843" s="392" t="s">
        <v>7418</v>
      </c>
      <c r="I843" s="392" t="s">
        <v>1791</v>
      </c>
      <c r="J843" s="392" t="s">
        <v>8292</v>
      </c>
      <c r="K843" s="392" t="s">
        <v>1987</v>
      </c>
      <c r="L843" s="392" t="s">
        <v>2776</v>
      </c>
      <c r="M843" s="392" t="s">
        <v>3758</v>
      </c>
      <c r="N843" s="392" t="s">
        <v>7273</v>
      </c>
      <c r="O843" s="392" t="s">
        <v>7273</v>
      </c>
      <c r="P843"/>
      <c r="Q843"/>
      <c r="R843" s="387">
        <f>VLOOKUP(E843,'[1]NDB Impacted SPRFs 05032013'!$A$2:$A$65536,1,FALSE)</f>
        <v>400041480</v>
      </c>
      <c r="S843" s="128"/>
      <c r="T843" s="128"/>
      <c r="U843" s="128"/>
    </row>
    <row r="844" spans="1:21" s="159" customFormat="1" ht="60" x14ac:dyDescent="0.25">
      <c r="A844" s="63">
        <f>MATCH($E844,'D1 - Master Project Table'!$B$24:$B$7056,0)</f>
        <v>1707</v>
      </c>
      <c r="B844" s="63" t="b">
        <f t="shared" si="39"/>
        <v>0</v>
      </c>
      <c r="C844" s="63" t="b">
        <f t="shared" si="40"/>
        <v>1</v>
      </c>
      <c r="D844" s="63" t="str">
        <f t="shared" si="41"/>
        <v>OK</v>
      </c>
      <c r="E844" s="393">
        <v>400051687</v>
      </c>
      <c r="F844" s="392" t="s">
        <v>864</v>
      </c>
      <c r="G844" s="392" t="s">
        <v>5324</v>
      </c>
      <c r="H844" s="392" t="s">
        <v>7418</v>
      </c>
      <c r="I844" s="392" t="s">
        <v>1786</v>
      </c>
      <c r="J844" s="392" t="s">
        <v>8486</v>
      </c>
      <c r="K844" s="392" t="s">
        <v>4169</v>
      </c>
      <c r="L844" s="392" t="s">
        <v>3515</v>
      </c>
      <c r="M844" s="392" t="s">
        <v>3758</v>
      </c>
      <c r="N844" s="392" t="s">
        <v>7273</v>
      </c>
      <c r="O844" s="392" t="s">
        <v>3758</v>
      </c>
      <c r="P844"/>
      <c r="Q844"/>
      <c r="R844" s="387">
        <f>VLOOKUP(E844,'[1]NDB Impacted SPRFs 05032013'!$A$2:$A$65536,1,FALSE)</f>
        <v>400051687</v>
      </c>
      <c r="S844" s="128"/>
      <c r="T844" s="128"/>
      <c r="U844" s="128"/>
    </row>
    <row r="845" spans="1:21" s="159" customFormat="1" ht="60" x14ac:dyDescent="0.25">
      <c r="A845" s="63">
        <f>MATCH($E845,'D1 - Master Project Table'!$B$24:$B$7056,0)</f>
        <v>478</v>
      </c>
      <c r="B845" s="63" t="b">
        <f t="shared" si="39"/>
        <v>0</v>
      </c>
      <c r="C845" s="63" t="b">
        <f t="shared" si="40"/>
        <v>1</v>
      </c>
      <c r="D845" s="63" t="str">
        <f t="shared" si="41"/>
        <v>OK</v>
      </c>
      <c r="E845" s="393">
        <v>400009772</v>
      </c>
      <c r="F845" s="392" t="s">
        <v>3803</v>
      </c>
      <c r="G845" s="392" t="s">
        <v>5324</v>
      </c>
      <c r="H845" s="392" t="s">
        <v>7418</v>
      </c>
      <c r="I845" s="392" t="s">
        <v>1759</v>
      </c>
      <c r="J845" s="392" t="s">
        <v>8554</v>
      </c>
      <c r="K845" s="392" t="s">
        <v>7062</v>
      </c>
      <c r="L845" s="392" t="s">
        <v>4263</v>
      </c>
      <c r="M845" s="392" t="s">
        <v>3758</v>
      </c>
      <c r="N845" s="392" t="s">
        <v>7273</v>
      </c>
      <c r="O845" s="392" t="s">
        <v>7273</v>
      </c>
      <c r="P845"/>
      <c r="Q845"/>
      <c r="R845" s="387">
        <f>VLOOKUP(E845,'[1]NDB Impacted SPRFs 05032013'!$A$2:$A$65536,1,FALSE)</f>
        <v>400009772</v>
      </c>
    </row>
    <row r="846" spans="1:21" s="159" customFormat="1" ht="60" x14ac:dyDescent="0.25">
      <c r="A846" s="63">
        <f>MATCH($E846,'D1 - Master Project Table'!$B$24:$B$7056,0)</f>
        <v>937</v>
      </c>
      <c r="B846" s="63" t="b">
        <f t="shared" si="39"/>
        <v>0</v>
      </c>
      <c r="C846" s="63" t="b">
        <f t="shared" si="40"/>
        <v>1</v>
      </c>
      <c r="D846" s="63" t="str">
        <f t="shared" si="41"/>
        <v>OK</v>
      </c>
      <c r="E846" s="393">
        <v>400019582</v>
      </c>
      <c r="F846" s="392" t="s">
        <v>5548</v>
      </c>
      <c r="G846" s="392" t="s">
        <v>5324</v>
      </c>
      <c r="H846" s="392" t="s">
        <v>5314</v>
      </c>
      <c r="I846" s="392" t="s">
        <v>1759</v>
      </c>
      <c r="J846" s="392" t="s">
        <v>8379</v>
      </c>
      <c r="K846" s="392" t="s">
        <v>7062</v>
      </c>
      <c r="L846" s="392" t="s">
        <v>5466</v>
      </c>
      <c r="M846" s="392" t="s">
        <v>3758</v>
      </c>
      <c r="N846" s="392" t="s">
        <v>7273</v>
      </c>
      <c r="O846" s="392" t="s">
        <v>7273</v>
      </c>
      <c r="P846"/>
      <c r="Q846"/>
      <c r="R846" s="387">
        <f>VLOOKUP(E846,'[1]NDB Impacted SPRFs 05032013'!$A$2:$A$65536,1,FALSE)</f>
        <v>400019582</v>
      </c>
    </row>
    <row r="847" spans="1:21" s="159" customFormat="1" ht="60" x14ac:dyDescent="0.25">
      <c r="A847" s="63">
        <f>MATCH($E847,'D1 - Master Project Table'!$B$24:$B$7056,0)</f>
        <v>1269</v>
      </c>
      <c r="B847" s="63" t="b">
        <f t="shared" si="39"/>
        <v>0</v>
      </c>
      <c r="C847" s="63" t="b">
        <f t="shared" si="40"/>
        <v>1</v>
      </c>
      <c r="D847" s="63" t="str">
        <f t="shared" si="41"/>
        <v>OK</v>
      </c>
      <c r="E847" s="393">
        <v>400031437</v>
      </c>
      <c r="F847" s="392" t="s">
        <v>7750</v>
      </c>
      <c r="G847" s="392" t="s">
        <v>5001</v>
      </c>
      <c r="H847" s="392" t="s">
        <v>7418</v>
      </c>
      <c r="I847" s="392" t="s">
        <v>3540</v>
      </c>
      <c r="J847" s="392" t="s">
        <v>8380</v>
      </c>
      <c r="K847" s="392" t="s">
        <v>6885</v>
      </c>
      <c r="L847" s="392" t="s">
        <v>1414</v>
      </c>
      <c r="M847" s="392" t="s">
        <v>3758</v>
      </c>
      <c r="N847" s="392" t="s">
        <v>7273</v>
      </c>
      <c r="O847" s="392" t="s">
        <v>7273</v>
      </c>
      <c r="P847"/>
      <c r="Q847"/>
      <c r="R847" s="387">
        <f>VLOOKUP(E847,'[1]NDB Impacted SPRFs 05032013'!$A$2:$A$65536,1,FALSE)</f>
        <v>400031437</v>
      </c>
    </row>
    <row r="848" spans="1:21" s="159" customFormat="1" ht="60" x14ac:dyDescent="0.25">
      <c r="A848" s="63">
        <f>MATCH($E848,'D1 - Master Project Table'!$B$24:$B$7056,0)</f>
        <v>2008</v>
      </c>
      <c r="B848" s="63" t="b">
        <f t="shared" si="39"/>
        <v>0</v>
      </c>
      <c r="C848" s="63" t="b">
        <f t="shared" si="40"/>
        <v>1</v>
      </c>
      <c r="D848" s="63" t="str">
        <f t="shared" si="41"/>
        <v>OK</v>
      </c>
      <c r="E848" s="393">
        <v>400032874</v>
      </c>
      <c r="F848" s="392" t="s">
        <v>4207</v>
      </c>
      <c r="G848" s="392" t="s">
        <v>5324</v>
      </c>
      <c r="H848" s="392" t="s">
        <v>7418</v>
      </c>
      <c r="I848" s="392" t="s">
        <v>1759</v>
      </c>
      <c r="J848" s="392" t="s">
        <v>8485</v>
      </c>
      <c r="K848" s="392" t="s">
        <v>4644</v>
      </c>
      <c r="L848" s="392" t="s">
        <v>8941</v>
      </c>
      <c r="M848" s="392" t="s">
        <v>3758</v>
      </c>
      <c r="N848" s="392" t="s">
        <v>7273</v>
      </c>
      <c r="O848" s="392" t="s">
        <v>3758</v>
      </c>
      <c r="P848"/>
      <c r="Q848"/>
      <c r="R848" s="387">
        <f>VLOOKUP(E848,'[1]NDB Impacted SPRFs 05032013'!$A$2:$A$65536,1,FALSE)</f>
        <v>400032874</v>
      </c>
    </row>
    <row r="849" spans="1:21" s="159" customFormat="1" ht="60" x14ac:dyDescent="0.25">
      <c r="A849" s="63">
        <f>MATCH($E849,'D1 - Master Project Table'!$B$24:$B$7056,0)</f>
        <v>3049</v>
      </c>
      <c r="B849" s="63" t="b">
        <f t="shared" si="39"/>
        <v>0</v>
      </c>
      <c r="C849" s="63" t="b">
        <f t="shared" si="40"/>
        <v>1</v>
      </c>
      <c r="D849" s="63" t="str">
        <f t="shared" si="41"/>
        <v>OK</v>
      </c>
      <c r="E849" s="393">
        <v>400043058</v>
      </c>
      <c r="F849" s="392" t="s">
        <v>6417</v>
      </c>
      <c r="G849" s="392" t="s">
        <v>5325</v>
      </c>
      <c r="H849" s="392" t="s">
        <v>5314</v>
      </c>
      <c r="I849" s="392" t="s">
        <v>6414</v>
      </c>
      <c r="J849" s="392" t="s">
        <v>1562</v>
      </c>
      <c r="K849" s="392" t="s">
        <v>2475</v>
      </c>
      <c r="L849" s="392" t="s">
        <v>7572</v>
      </c>
      <c r="M849" s="392" t="s">
        <v>7273</v>
      </c>
      <c r="N849" s="392" t="s">
        <v>7273</v>
      </c>
      <c r="O849" s="392" t="s">
        <v>7273</v>
      </c>
      <c r="P849"/>
      <c r="Q849"/>
      <c r="R849" s="387">
        <f>VLOOKUP(E849,'[1]NDB Impacted SPRFs 05032013'!$A$2:$A$65536,1,FALSE)</f>
        <v>400043058</v>
      </c>
    </row>
    <row r="850" spans="1:21" s="159" customFormat="1" ht="45" customHeight="1" x14ac:dyDescent="0.25">
      <c r="A850" s="63">
        <f>MATCH($E850,'D1 - Master Project Table'!$B$24:$B$7056,0)</f>
        <v>1403</v>
      </c>
      <c r="B850" s="63" t="b">
        <f t="shared" si="39"/>
        <v>0</v>
      </c>
      <c r="C850" s="63" t="b">
        <f t="shared" si="40"/>
        <v>1</v>
      </c>
      <c r="D850" s="63" t="str">
        <f t="shared" si="41"/>
        <v>OK</v>
      </c>
      <c r="E850" s="393">
        <v>400039962</v>
      </c>
      <c r="F850" s="392" t="s">
        <v>6988</v>
      </c>
      <c r="G850" s="392" t="s">
        <v>5001</v>
      </c>
      <c r="H850" s="392" t="s">
        <v>7418</v>
      </c>
      <c r="I850" s="392" t="s">
        <v>3540</v>
      </c>
      <c r="J850" s="392" t="s">
        <v>8721</v>
      </c>
      <c r="K850" s="392" t="s">
        <v>5468</v>
      </c>
      <c r="L850" s="392" t="s">
        <v>4001</v>
      </c>
      <c r="M850" s="392" t="s">
        <v>3758</v>
      </c>
      <c r="N850" s="392" t="s">
        <v>7273</v>
      </c>
      <c r="O850" s="392" t="s">
        <v>3758</v>
      </c>
      <c r="P850"/>
      <c r="Q850"/>
      <c r="R850" s="387">
        <f>VLOOKUP(E850,'[1]NDB Impacted SPRFs 05032013'!$A$2:$A$65536,1,FALSE)</f>
        <v>400039962</v>
      </c>
    </row>
    <row r="851" spans="1:21" s="159" customFormat="1" ht="60" x14ac:dyDescent="0.25">
      <c r="A851" s="63">
        <f>MATCH($E851,'D1 - Master Project Table'!$B$24:$B$7056,0)</f>
        <v>2978</v>
      </c>
      <c r="B851" s="63" t="b">
        <f t="shared" si="39"/>
        <v>0</v>
      </c>
      <c r="C851" s="63" t="b">
        <f t="shared" si="40"/>
        <v>1</v>
      </c>
      <c r="D851" s="63" t="str">
        <f t="shared" si="41"/>
        <v>OK</v>
      </c>
      <c r="E851" s="393">
        <v>400037260</v>
      </c>
      <c r="F851" s="392" t="s">
        <v>1435</v>
      </c>
      <c r="G851" s="392" t="s">
        <v>5995</v>
      </c>
      <c r="H851" s="392" t="s">
        <v>5314</v>
      </c>
      <c r="I851" s="392" t="s">
        <v>6423</v>
      </c>
      <c r="J851" s="392" t="s">
        <v>5768</v>
      </c>
      <c r="K851" s="392" t="s">
        <v>2078</v>
      </c>
      <c r="L851" s="392" t="s">
        <v>7820</v>
      </c>
      <c r="M851" s="392" t="s">
        <v>3758</v>
      </c>
      <c r="N851" s="392" t="s">
        <v>7273</v>
      </c>
      <c r="O851" s="392" t="s">
        <v>7273</v>
      </c>
      <c r="P851"/>
      <c r="Q851"/>
      <c r="R851" s="387">
        <f>VLOOKUP(E851,'[1]NDB Impacted SPRFs 05032013'!$A$2:$A$65536,1,FALSE)</f>
        <v>400037260</v>
      </c>
      <c r="S851" s="128"/>
      <c r="T851" s="128"/>
      <c r="U851" s="128"/>
    </row>
    <row r="852" spans="1:21" s="159" customFormat="1" ht="60" x14ac:dyDescent="0.25">
      <c r="A852" s="63">
        <f>MATCH($E852,'D1 - Master Project Table'!$B$24:$B$7056,0)</f>
        <v>2018</v>
      </c>
      <c r="B852" s="63" t="b">
        <f t="shared" si="39"/>
        <v>0</v>
      </c>
      <c r="C852" s="63" t="b">
        <f t="shared" si="40"/>
        <v>1</v>
      </c>
      <c r="D852" s="63" t="str">
        <f t="shared" si="41"/>
        <v>OK</v>
      </c>
      <c r="E852" s="393">
        <v>400035391</v>
      </c>
      <c r="F852" s="392" t="s">
        <v>6597</v>
      </c>
      <c r="G852" s="392" t="s">
        <v>5325</v>
      </c>
      <c r="H852" s="392" t="s">
        <v>7418</v>
      </c>
      <c r="I852" s="392" t="s">
        <v>1799</v>
      </c>
      <c r="J852" s="392" t="s">
        <v>6011</v>
      </c>
      <c r="K852" s="392" t="s">
        <v>6598</v>
      </c>
      <c r="L852" s="392" t="s">
        <v>3166</v>
      </c>
      <c r="M852" s="392" t="s">
        <v>7273</v>
      </c>
      <c r="N852" s="392" t="s">
        <v>7273</v>
      </c>
      <c r="O852" s="392" t="s">
        <v>7273</v>
      </c>
      <c r="P852"/>
      <c r="Q852"/>
      <c r="R852" s="387">
        <f>VLOOKUP(E852,'[1]NDB Impacted SPRFs 05032013'!$A$2:$A$65536,1,FALSE)</f>
        <v>400035391</v>
      </c>
    </row>
    <row r="853" spans="1:21" s="159" customFormat="1" ht="60" x14ac:dyDescent="0.25">
      <c r="A853" s="63">
        <f>MATCH($E853,'D1 - Master Project Table'!$B$24:$B$7056,0)</f>
        <v>2980</v>
      </c>
      <c r="B853" s="63" t="b">
        <f t="shared" si="39"/>
        <v>0</v>
      </c>
      <c r="C853" s="63" t="b">
        <f t="shared" si="40"/>
        <v>1</v>
      </c>
      <c r="D853" s="63" t="str">
        <f t="shared" si="41"/>
        <v>OK</v>
      </c>
      <c r="E853" s="393">
        <v>400037626</v>
      </c>
      <c r="F853" s="392" t="s">
        <v>2083</v>
      </c>
      <c r="G853" s="392" t="s">
        <v>5324</v>
      </c>
      <c r="H853" s="392" t="s">
        <v>5314</v>
      </c>
      <c r="I853" s="392" t="s">
        <v>1759</v>
      </c>
      <c r="J853" s="392" t="s">
        <v>3493</v>
      </c>
      <c r="K853" s="392" t="s">
        <v>6454</v>
      </c>
      <c r="L853" s="392" t="s">
        <v>4903</v>
      </c>
      <c r="M853" s="392" t="s">
        <v>3758</v>
      </c>
      <c r="N853" s="392" t="s">
        <v>7273</v>
      </c>
      <c r="O853" s="392" t="s">
        <v>7273</v>
      </c>
      <c r="P853"/>
      <c r="Q853"/>
      <c r="R853" s="387">
        <f>VLOOKUP(E853,'[1]NDB Impacted SPRFs 05032013'!$A$2:$A$65536,1,FALSE)</f>
        <v>400037626</v>
      </c>
      <c r="S853" s="128"/>
      <c r="T853" s="128"/>
      <c r="U853" s="128"/>
    </row>
    <row r="854" spans="1:21" s="159" customFormat="1" ht="45" customHeight="1" x14ac:dyDescent="0.25">
      <c r="A854" s="63">
        <f>MATCH($E854,'D1 - Master Project Table'!$B$24:$B$7056,0)</f>
        <v>1477</v>
      </c>
      <c r="B854" s="63" t="b">
        <f t="shared" si="39"/>
        <v>0</v>
      </c>
      <c r="C854" s="63" t="b">
        <f t="shared" si="40"/>
        <v>1</v>
      </c>
      <c r="D854" s="63" t="str">
        <f t="shared" si="41"/>
        <v>OK</v>
      </c>
      <c r="E854" s="393">
        <v>400037885</v>
      </c>
      <c r="F854" s="392" t="s">
        <v>1986</v>
      </c>
      <c r="G854" s="392" t="s">
        <v>5324</v>
      </c>
      <c r="H854" s="392" t="s">
        <v>7418</v>
      </c>
      <c r="I854" s="392" t="s">
        <v>1791</v>
      </c>
      <c r="J854" s="392" t="s">
        <v>8292</v>
      </c>
      <c r="K854" s="392" t="s">
        <v>1987</v>
      </c>
      <c r="L854" s="392" t="s">
        <v>2535</v>
      </c>
      <c r="M854" s="392" t="s">
        <v>7273</v>
      </c>
      <c r="N854" s="392" t="s">
        <v>7273</v>
      </c>
      <c r="O854" s="392" t="s">
        <v>7273</v>
      </c>
      <c r="P854"/>
      <c r="Q854"/>
      <c r="R854" s="387">
        <f>VLOOKUP(E854,'[1]NDB Impacted SPRFs 05032013'!$A$2:$A$65536,1,FALSE)</f>
        <v>400037885</v>
      </c>
    </row>
    <row r="855" spans="1:21" s="159" customFormat="1" ht="60" x14ac:dyDescent="0.25">
      <c r="A855" s="63">
        <f>MATCH($E855,'D1 - Master Project Table'!$B$24:$B$7056,0)</f>
        <v>1810</v>
      </c>
      <c r="B855" s="63" t="b">
        <f t="shared" si="39"/>
        <v>0</v>
      </c>
      <c r="C855" s="63" t="b">
        <f t="shared" si="40"/>
        <v>1</v>
      </c>
      <c r="D855" s="63" t="str">
        <f t="shared" si="41"/>
        <v>OK</v>
      </c>
      <c r="E855" s="393">
        <v>400051193</v>
      </c>
      <c r="F855" s="392" t="s">
        <v>3111</v>
      </c>
      <c r="G855" s="392" t="s">
        <v>5324</v>
      </c>
      <c r="H855" s="392" t="s">
        <v>7418</v>
      </c>
      <c r="I855" s="392" t="s">
        <v>1762</v>
      </c>
      <c r="J855" s="392" t="s">
        <v>8484</v>
      </c>
      <c r="K855" s="392" t="s">
        <v>542</v>
      </c>
      <c r="L855" s="392" t="s">
        <v>9225</v>
      </c>
      <c r="M855" s="392" t="s">
        <v>3758</v>
      </c>
      <c r="N855" s="392" t="s">
        <v>7273</v>
      </c>
      <c r="O855" s="392" t="s">
        <v>7273</v>
      </c>
      <c r="P855"/>
      <c r="Q855"/>
      <c r="R855" s="387">
        <f>VLOOKUP(E855,'[1]NDB Impacted SPRFs 05032013'!$A$2:$A$65536,1,FALSE)</f>
        <v>400051193</v>
      </c>
    </row>
    <row r="856" spans="1:21" s="159" customFormat="1" ht="60" customHeight="1" x14ac:dyDescent="0.25">
      <c r="A856" s="63">
        <f>MATCH($E856,'D1 - Master Project Table'!$B$24:$B$7056,0)</f>
        <v>1861</v>
      </c>
      <c r="B856" s="63" t="b">
        <f t="shared" si="39"/>
        <v>0</v>
      </c>
      <c r="C856" s="63" t="b">
        <f t="shared" si="40"/>
        <v>1</v>
      </c>
      <c r="D856" s="63" t="str">
        <f t="shared" si="41"/>
        <v>OK</v>
      </c>
      <c r="E856" s="393">
        <v>400000786</v>
      </c>
      <c r="F856" s="392" t="s">
        <v>5994</v>
      </c>
      <c r="G856" s="392" t="s">
        <v>5787</v>
      </c>
      <c r="H856" s="392" t="s">
        <v>7418</v>
      </c>
      <c r="I856" s="392" t="s">
        <v>6869</v>
      </c>
      <c r="J856" s="392" t="s">
        <v>8659</v>
      </c>
      <c r="K856" s="392" t="s">
        <v>3886</v>
      </c>
      <c r="L856" s="392" t="s">
        <v>4025</v>
      </c>
      <c r="M856" s="392" t="s">
        <v>3758</v>
      </c>
      <c r="N856" s="392" t="s">
        <v>7273</v>
      </c>
      <c r="O856" s="392" t="s">
        <v>7273</v>
      </c>
      <c r="P856"/>
      <c r="Q856"/>
      <c r="R856" s="387">
        <f>VLOOKUP(E856,'[1]NDB Impacted SPRFs 05032013'!$A$2:$A$65536,1,FALSE)</f>
        <v>400000786</v>
      </c>
    </row>
    <row r="857" spans="1:21" s="159" customFormat="1" ht="60" x14ac:dyDescent="0.25">
      <c r="A857" s="63">
        <f>MATCH($E857,'D1 - Master Project Table'!$B$24:$B$7056,0)</f>
        <v>288</v>
      </c>
      <c r="B857" s="63" t="b">
        <f t="shared" si="39"/>
        <v>0</v>
      </c>
      <c r="C857" s="63" t="b">
        <f t="shared" si="40"/>
        <v>1</v>
      </c>
      <c r="D857" s="63" t="str">
        <f t="shared" si="41"/>
        <v>OK</v>
      </c>
      <c r="E857" s="393">
        <v>400002210</v>
      </c>
      <c r="F857" s="392" t="s">
        <v>6792</v>
      </c>
      <c r="G857" s="392" t="s">
        <v>5787</v>
      </c>
      <c r="H857" s="392" t="s">
        <v>7418</v>
      </c>
      <c r="I857" s="392" t="s">
        <v>6869</v>
      </c>
      <c r="J857" s="392" t="s">
        <v>8662</v>
      </c>
      <c r="K857" s="392" t="s">
        <v>1975</v>
      </c>
      <c r="L857" s="392" t="s">
        <v>2072</v>
      </c>
      <c r="M857" s="392" t="s">
        <v>3758</v>
      </c>
      <c r="N857" s="392" t="s">
        <v>7273</v>
      </c>
      <c r="O857" s="392" t="s">
        <v>7273</v>
      </c>
      <c r="P857"/>
      <c r="Q857"/>
      <c r="R857" s="387">
        <f>VLOOKUP(E857,'[1]NDB Impacted SPRFs 05032013'!$A$2:$A$65536,1,FALSE)</f>
        <v>400002210</v>
      </c>
    </row>
    <row r="858" spans="1:21" s="159" customFormat="1" ht="60" x14ac:dyDescent="0.25">
      <c r="A858" s="63">
        <f>MATCH($E858,'D1 - Master Project Table'!$B$24:$B$7056,0)</f>
        <v>450</v>
      </c>
      <c r="B858" s="63" t="b">
        <f t="shared" si="39"/>
        <v>0</v>
      </c>
      <c r="C858" s="63" t="b">
        <f t="shared" si="40"/>
        <v>1</v>
      </c>
      <c r="D858" s="63" t="str">
        <f t="shared" si="41"/>
        <v>OK</v>
      </c>
      <c r="E858" s="393">
        <v>400010708</v>
      </c>
      <c r="F858" s="392" t="s">
        <v>4301</v>
      </c>
      <c r="G858" s="392" t="s">
        <v>3441</v>
      </c>
      <c r="H858" s="392" t="s">
        <v>7418</v>
      </c>
      <c r="I858" s="392" t="s">
        <v>1769</v>
      </c>
      <c r="J858" s="392" t="s">
        <v>4822</v>
      </c>
      <c r="K858" s="392" t="s">
        <v>7493</v>
      </c>
      <c r="L858" s="392" t="s">
        <v>2468</v>
      </c>
      <c r="M858" s="392" t="s">
        <v>3758</v>
      </c>
      <c r="N858" s="392" t="s">
        <v>7273</v>
      </c>
      <c r="O858" s="392" t="s">
        <v>7273</v>
      </c>
      <c r="P858"/>
      <c r="Q858"/>
      <c r="R858" s="387">
        <f>VLOOKUP(E858,'[1]NDB Impacted SPRFs 05032013'!$A$2:$A$65536,1,FALSE)</f>
        <v>400010708</v>
      </c>
      <c r="S858" s="128"/>
      <c r="T858" s="128"/>
      <c r="U858" s="128"/>
    </row>
    <row r="859" spans="1:21" s="159" customFormat="1" ht="60" x14ac:dyDescent="0.25">
      <c r="A859" s="63">
        <f>MATCH($E859,'D1 - Master Project Table'!$B$24:$B$7056,0)</f>
        <v>3070</v>
      </c>
      <c r="B859" s="63" t="b">
        <f t="shared" si="39"/>
        <v>0</v>
      </c>
      <c r="C859" s="63" t="b">
        <f t="shared" si="40"/>
        <v>1</v>
      </c>
      <c r="D859" s="63" t="str">
        <f t="shared" si="41"/>
        <v>OK</v>
      </c>
      <c r="E859" s="393">
        <v>400045748</v>
      </c>
      <c r="F859" s="392" t="s">
        <v>5373</v>
      </c>
      <c r="G859" s="392" t="s">
        <v>5325</v>
      </c>
      <c r="H859" s="392" t="s">
        <v>5314</v>
      </c>
      <c r="I859" s="392" t="s">
        <v>6419</v>
      </c>
      <c r="J859" s="392" t="s">
        <v>6584</v>
      </c>
      <c r="K859" s="392" t="s">
        <v>6402</v>
      </c>
      <c r="L859" s="392" t="s">
        <v>7574</v>
      </c>
      <c r="M859" s="392" t="s">
        <v>7273</v>
      </c>
      <c r="N859" s="392" t="s">
        <v>7273</v>
      </c>
      <c r="O859" s="392" t="s">
        <v>7273</v>
      </c>
      <c r="P859"/>
      <c r="Q859"/>
      <c r="R859" s="387">
        <f>VLOOKUP(E859,'[1]NDB Impacted SPRFs 05032013'!$A$2:$A$65536,1,FALSE)</f>
        <v>400045748</v>
      </c>
    </row>
    <row r="860" spans="1:21" s="159" customFormat="1" ht="60" x14ac:dyDescent="0.25">
      <c r="A860" s="63">
        <f>MATCH($E860,'D1 - Master Project Table'!$B$24:$B$7056,0)</f>
        <v>37</v>
      </c>
      <c r="B860" s="63" t="b">
        <f t="shared" si="39"/>
        <v>0</v>
      </c>
      <c r="C860" s="63" t="b">
        <f t="shared" si="40"/>
        <v>0</v>
      </c>
      <c r="D860" s="63" t="str">
        <f t="shared" si="41"/>
        <v>OK</v>
      </c>
      <c r="E860" s="393">
        <v>400048226</v>
      </c>
      <c r="F860" s="392" t="s">
        <v>1698</v>
      </c>
      <c r="G860" s="392" t="s">
        <v>5324</v>
      </c>
      <c r="H860" s="392" t="s">
        <v>4917</v>
      </c>
      <c r="I860" s="392" t="s">
        <v>1762</v>
      </c>
      <c r="J860" s="392" t="s">
        <v>1145</v>
      </c>
      <c r="K860" s="392" t="s">
        <v>7784</v>
      </c>
      <c r="L860" s="392" t="s">
        <v>8171</v>
      </c>
      <c r="M860" s="392" t="s">
        <v>3758</v>
      </c>
      <c r="N860" s="392" t="s">
        <v>7273</v>
      </c>
      <c r="O860" s="392" t="s">
        <v>7273</v>
      </c>
      <c r="P860"/>
      <c r="Q860"/>
      <c r="R860" s="387">
        <f>VLOOKUP(E860,'[1]NDB Impacted SPRFs 05032013'!$A$2:$A$65536,1,FALSE)</f>
        <v>400048226</v>
      </c>
    </row>
    <row r="861" spans="1:21" s="159" customFormat="1" ht="60" x14ac:dyDescent="0.25">
      <c r="A861" s="63" t="e">
        <f>MATCH($E861,'D1 - Master Project Table'!$B$24:$B$7056,0)</f>
        <v>#N/A</v>
      </c>
      <c r="B861" s="63" t="b">
        <f t="shared" si="39"/>
        <v>1</v>
      </c>
      <c r="C861" s="63" t="b">
        <f t="shared" si="40"/>
        <v>1</v>
      </c>
      <c r="D861" s="63" t="str">
        <f t="shared" si="41"/>
        <v>OK</v>
      </c>
      <c r="E861" s="393">
        <v>304021447</v>
      </c>
      <c r="F861" s="392" t="s">
        <v>4102</v>
      </c>
      <c r="G861" s="392" t="s">
        <v>5787</v>
      </c>
      <c r="H861" s="392" t="s">
        <v>5314</v>
      </c>
      <c r="I861" s="392" t="s">
        <v>6896</v>
      </c>
      <c r="J861" s="392" t="s">
        <v>6976</v>
      </c>
      <c r="K861" s="392" t="s">
        <v>3649</v>
      </c>
      <c r="L861" s="392" t="s">
        <v>3140</v>
      </c>
      <c r="M861" s="392" t="s">
        <v>7273</v>
      </c>
      <c r="N861" s="392" t="s">
        <v>7273</v>
      </c>
      <c r="O861" s="392" t="s">
        <v>7273</v>
      </c>
      <c r="P861"/>
      <c r="Q861"/>
      <c r="R861" s="387">
        <f>VLOOKUP(E861,'[1]NDB Impacted SPRFs 05032013'!$A$2:$A$65536,1,FALSE)</f>
        <v>304021447</v>
      </c>
    </row>
    <row r="862" spans="1:21" s="159" customFormat="1" ht="60" x14ac:dyDescent="0.25">
      <c r="A862" s="63">
        <f>MATCH($E862,'D1 - Master Project Table'!$B$24:$B$7056,0)</f>
        <v>2336</v>
      </c>
      <c r="B862" s="63" t="b">
        <f t="shared" si="39"/>
        <v>0</v>
      </c>
      <c r="C862" s="63" t="b">
        <f t="shared" si="40"/>
        <v>1</v>
      </c>
      <c r="D862" s="63" t="str">
        <f t="shared" si="41"/>
        <v>OK</v>
      </c>
      <c r="E862" s="393">
        <v>400048702</v>
      </c>
      <c r="F862" s="392" t="s">
        <v>2030</v>
      </c>
      <c r="G862" s="392" t="s">
        <v>5995</v>
      </c>
      <c r="H862" s="392" t="s">
        <v>7418</v>
      </c>
      <c r="I862" s="392" t="s">
        <v>3533</v>
      </c>
      <c r="J862" s="392" t="s">
        <v>8803</v>
      </c>
      <c r="K862" s="392" t="s">
        <v>1037</v>
      </c>
      <c r="L862" s="392" t="s">
        <v>8158</v>
      </c>
      <c r="M862" s="392" t="s">
        <v>7273</v>
      </c>
      <c r="N862" s="392" t="s">
        <v>7273</v>
      </c>
      <c r="O862" s="392" t="s">
        <v>7273</v>
      </c>
      <c r="P862"/>
      <c r="Q862"/>
      <c r="R862" s="387">
        <f>VLOOKUP(E862,'[1]NDB Impacted SPRFs 05032013'!$A$2:$A$65536,1,FALSE)</f>
        <v>400048702</v>
      </c>
    </row>
    <row r="863" spans="1:21" s="159" customFormat="1" ht="60" x14ac:dyDescent="0.25">
      <c r="A863" s="63">
        <f>MATCH($E863,'D1 - Master Project Table'!$B$24:$B$7056,0)</f>
        <v>3300</v>
      </c>
      <c r="B863" s="63" t="b">
        <f t="shared" si="39"/>
        <v>0</v>
      </c>
      <c r="C863" s="63" t="b">
        <f t="shared" si="40"/>
        <v>1</v>
      </c>
      <c r="D863" s="63" t="str">
        <f t="shared" si="41"/>
        <v>OK</v>
      </c>
      <c r="E863" s="393">
        <v>400050483</v>
      </c>
      <c r="F863" s="392" t="s">
        <v>1291</v>
      </c>
      <c r="G863" s="392" t="s">
        <v>6322</v>
      </c>
      <c r="H863" s="392" t="s">
        <v>7418</v>
      </c>
      <c r="I863" s="392" t="s">
        <v>1456</v>
      </c>
      <c r="J863" s="392" t="s">
        <v>8636</v>
      </c>
      <c r="K863" s="392" t="s">
        <v>1292</v>
      </c>
      <c r="L863" s="392" t="s">
        <v>7053</v>
      </c>
      <c r="M863" s="392" t="s">
        <v>7273</v>
      </c>
      <c r="N863" s="392" t="s">
        <v>7273</v>
      </c>
      <c r="O863" s="392" t="s">
        <v>7273</v>
      </c>
      <c r="P863"/>
      <c r="Q863"/>
      <c r="R863" s="387">
        <f>VLOOKUP(E863,'[1]NDB Impacted SPRFs 05032013'!$A$2:$A$65536,1,FALSE)</f>
        <v>400050483</v>
      </c>
    </row>
    <row r="864" spans="1:21" s="159" customFormat="1" ht="60" x14ac:dyDescent="0.25">
      <c r="A864" s="63">
        <f>MATCH($E864,'D1 - Master Project Table'!$B$24:$B$7056,0)</f>
        <v>43</v>
      </c>
      <c r="B864" s="63" t="b">
        <f t="shared" si="39"/>
        <v>0</v>
      </c>
      <c r="C864" s="63" t="b">
        <f t="shared" si="40"/>
        <v>0</v>
      </c>
      <c r="D864" s="63" t="str">
        <f t="shared" si="41"/>
        <v>OK</v>
      </c>
      <c r="E864" s="393">
        <v>400052518</v>
      </c>
      <c r="F864" s="392" t="s">
        <v>607</v>
      </c>
      <c r="G864" s="392" t="s">
        <v>5995</v>
      </c>
      <c r="H864" s="392" t="s">
        <v>4917</v>
      </c>
      <c r="I864" s="392" t="s">
        <v>3533</v>
      </c>
      <c r="J864" s="392" t="s">
        <v>9267</v>
      </c>
      <c r="K864" s="392" t="s">
        <v>608</v>
      </c>
      <c r="L864" s="392" t="s">
        <v>7166</v>
      </c>
      <c r="M864" s="392" t="s">
        <v>7273</v>
      </c>
      <c r="N864" s="392" t="s">
        <v>7273</v>
      </c>
      <c r="O864" s="392" t="s">
        <v>7273</v>
      </c>
      <c r="P864"/>
      <c r="Q864"/>
      <c r="R864" s="387">
        <f>VLOOKUP(E864,'[1]NDB Impacted SPRFs 05032013'!$A$2:$A$65536,1,FALSE)</f>
        <v>400052518</v>
      </c>
    </row>
    <row r="865" spans="1:21" s="159" customFormat="1" ht="60" x14ac:dyDescent="0.25">
      <c r="A865" s="63">
        <f>MATCH($E865,'D1 - Master Project Table'!$B$24:$B$7056,0)</f>
        <v>2556</v>
      </c>
      <c r="B865" s="63" t="b">
        <f t="shared" si="39"/>
        <v>0</v>
      </c>
      <c r="C865" s="63" t="b">
        <f t="shared" si="40"/>
        <v>1</v>
      </c>
      <c r="D865" s="63" t="str">
        <f t="shared" si="41"/>
        <v>OK</v>
      </c>
      <c r="E865" s="393">
        <v>400009636</v>
      </c>
      <c r="F865" s="392" t="s">
        <v>5632</v>
      </c>
      <c r="G865" s="392" t="s">
        <v>5787</v>
      </c>
      <c r="H865" s="392" t="s">
        <v>5314</v>
      </c>
      <c r="I865" s="392" t="s">
        <v>1775</v>
      </c>
      <c r="J865" s="392" t="s">
        <v>8727</v>
      </c>
      <c r="K865" s="392" t="s">
        <v>3941</v>
      </c>
      <c r="L865" s="392" t="s">
        <v>6070</v>
      </c>
      <c r="M865" s="392" t="s">
        <v>7273</v>
      </c>
      <c r="N865" s="392" t="s">
        <v>7273</v>
      </c>
      <c r="O865" s="392" t="s">
        <v>7273</v>
      </c>
      <c r="P865"/>
      <c r="Q865"/>
      <c r="R865" s="387">
        <f>VLOOKUP(E865,'[1]NDB Impacted SPRFs 05032013'!$A$2:$A$65536,1,FALSE)</f>
        <v>400009636</v>
      </c>
    </row>
    <row r="866" spans="1:21" s="159" customFormat="1" ht="60" x14ac:dyDescent="0.25">
      <c r="A866" s="63">
        <f>MATCH($E866,'D1 - Master Project Table'!$B$24:$B$7056,0)</f>
        <v>2086</v>
      </c>
      <c r="B866" s="63" t="b">
        <f t="shared" si="39"/>
        <v>0</v>
      </c>
      <c r="C866" s="63" t="b">
        <f t="shared" si="40"/>
        <v>1</v>
      </c>
      <c r="D866" s="63" t="str">
        <f t="shared" si="41"/>
        <v>OK</v>
      </c>
      <c r="E866" s="393">
        <v>400014167</v>
      </c>
      <c r="F866" s="392" t="s">
        <v>1617</v>
      </c>
      <c r="G866" s="392" t="s">
        <v>5324</v>
      </c>
      <c r="H866" s="392" t="s">
        <v>5314</v>
      </c>
      <c r="I866" s="392" t="s">
        <v>1759</v>
      </c>
      <c r="J866" s="392" t="s">
        <v>1904</v>
      </c>
      <c r="K866" s="392" t="s">
        <v>7024</v>
      </c>
      <c r="L866" s="392" t="s">
        <v>1884</v>
      </c>
      <c r="M866" s="392" t="s">
        <v>3758</v>
      </c>
      <c r="N866" s="392" t="s">
        <v>7273</v>
      </c>
      <c r="O866" s="392" t="s">
        <v>3758</v>
      </c>
      <c r="P866"/>
      <c r="Q866"/>
      <c r="R866" s="387">
        <f>VLOOKUP(E866,'[1]NDB Impacted SPRFs 05032013'!$A$2:$A$65536,1,FALSE)</f>
        <v>400014167</v>
      </c>
      <c r="S866" s="128"/>
      <c r="T866" s="128"/>
      <c r="U866" s="128"/>
    </row>
    <row r="867" spans="1:21" s="159" customFormat="1" ht="60" x14ac:dyDescent="0.25">
      <c r="A867" s="63">
        <f>MATCH($E867,'D1 - Master Project Table'!$B$24:$B$7056,0)</f>
        <v>2706</v>
      </c>
      <c r="B867" s="63" t="b">
        <f t="shared" si="39"/>
        <v>0</v>
      </c>
      <c r="C867" s="63" t="b">
        <f t="shared" si="40"/>
        <v>1</v>
      </c>
      <c r="D867" s="63" t="str">
        <f t="shared" si="41"/>
        <v>OK</v>
      </c>
      <c r="E867" s="393">
        <v>400018800</v>
      </c>
      <c r="F867" s="392" t="s">
        <v>6401</v>
      </c>
      <c r="G867" s="392" t="s">
        <v>5325</v>
      </c>
      <c r="H867" s="392" t="s">
        <v>5314</v>
      </c>
      <c r="I867" s="392" t="s">
        <v>6008</v>
      </c>
      <c r="J867" s="392" t="s">
        <v>8270</v>
      </c>
      <c r="K867" s="392" t="s">
        <v>6402</v>
      </c>
      <c r="L867" s="392" t="s">
        <v>1925</v>
      </c>
      <c r="M867" s="392" t="s">
        <v>3758</v>
      </c>
      <c r="N867" s="392" t="s">
        <v>7273</v>
      </c>
      <c r="O867" s="392" t="s">
        <v>7273</v>
      </c>
      <c r="P867"/>
      <c r="Q867"/>
      <c r="R867" s="387">
        <f>VLOOKUP(E867,'[1]NDB Impacted SPRFs 05032013'!$A$2:$A$65536,1,FALSE)</f>
        <v>400018800</v>
      </c>
      <c r="S867" s="128"/>
      <c r="T867" s="128"/>
      <c r="U867" s="128"/>
    </row>
    <row r="868" spans="1:21" s="159" customFormat="1" ht="60" x14ac:dyDescent="0.25">
      <c r="A868" s="63">
        <f>MATCH($E868,'D1 - Master Project Table'!$B$24:$B$7056,0)</f>
        <v>2219</v>
      </c>
      <c r="B868" s="63" t="b">
        <f t="shared" si="39"/>
        <v>0</v>
      </c>
      <c r="C868" s="63" t="b">
        <f t="shared" si="40"/>
        <v>1</v>
      </c>
      <c r="D868" s="63" t="str">
        <f t="shared" si="41"/>
        <v>OK</v>
      </c>
      <c r="E868" s="393">
        <v>400024883</v>
      </c>
      <c r="F868" s="392" t="s">
        <v>8050</v>
      </c>
      <c r="G868" s="392" t="s">
        <v>5324</v>
      </c>
      <c r="H868" s="392" t="s">
        <v>5314</v>
      </c>
      <c r="I868" s="392" t="s">
        <v>1788</v>
      </c>
      <c r="J868" s="392" t="s">
        <v>7155</v>
      </c>
      <c r="K868" s="392" t="s">
        <v>1506</v>
      </c>
      <c r="L868" s="392" t="s">
        <v>7512</v>
      </c>
      <c r="M868" s="392" t="s">
        <v>3758</v>
      </c>
      <c r="N868" s="392" t="s">
        <v>7273</v>
      </c>
      <c r="O868" s="392" t="s">
        <v>7273</v>
      </c>
      <c r="P868"/>
      <c r="Q868"/>
      <c r="R868" s="387">
        <f>VLOOKUP(E868,'[1]NDB Impacted SPRFs 05032013'!$A$2:$A$65536,1,FALSE)</f>
        <v>400024883</v>
      </c>
    </row>
    <row r="869" spans="1:21" s="159" customFormat="1" ht="60" x14ac:dyDescent="0.25">
      <c r="A869" s="63">
        <f>MATCH($E869,'D1 - Master Project Table'!$B$24:$B$7056,0)</f>
        <v>1106</v>
      </c>
      <c r="B869" s="63" t="b">
        <f t="shared" si="39"/>
        <v>0</v>
      </c>
      <c r="C869" s="63" t="b">
        <f t="shared" si="40"/>
        <v>1</v>
      </c>
      <c r="D869" s="63" t="str">
        <f t="shared" si="41"/>
        <v>OK</v>
      </c>
      <c r="E869" s="393">
        <v>400029107</v>
      </c>
      <c r="F869" s="392" t="s">
        <v>7861</v>
      </c>
      <c r="G869" s="392" t="s">
        <v>5325</v>
      </c>
      <c r="H869" s="392" t="s">
        <v>7418</v>
      </c>
      <c r="I869" s="392" t="s">
        <v>6419</v>
      </c>
      <c r="J869" s="392" t="s">
        <v>6584</v>
      </c>
      <c r="K869" s="392" t="s">
        <v>6585</v>
      </c>
      <c r="L869" s="392" t="s">
        <v>7612</v>
      </c>
      <c r="M869" s="392" t="s">
        <v>3758</v>
      </c>
      <c r="N869" s="392" t="s">
        <v>7273</v>
      </c>
      <c r="O869" s="392" t="s">
        <v>7273</v>
      </c>
      <c r="P869"/>
      <c r="Q869"/>
      <c r="R869" s="387">
        <f>VLOOKUP(E869,'[1]NDB Impacted SPRFs 05032013'!$A$2:$A$65536,1,FALSE)</f>
        <v>400029107</v>
      </c>
    </row>
    <row r="870" spans="1:21" s="159" customFormat="1" ht="60" x14ac:dyDescent="0.25">
      <c r="A870" s="63">
        <f>MATCH($E870,'D1 - Master Project Table'!$B$24:$B$7056,0)</f>
        <v>1320</v>
      </c>
      <c r="B870" s="63" t="b">
        <f t="shared" si="39"/>
        <v>0</v>
      </c>
      <c r="C870" s="63" t="b">
        <f t="shared" si="40"/>
        <v>1</v>
      </c>
      <c r="D870" s="63" t="str">
        <f t="shared" si="41"/>
        <v>OK</v>
      </c>
      <c r="E870" s="393">
        <v>400036906</v>
      </c>
      <c r="F870" s="392" t="s">
        <v>5925</v>
      </c>
      <c r="G870" s="392" t="s">
        <v>5325</v>
      </c>
      <c r="H870" s="392" t="s">
        <v>7418</v>
      </c>
      <c r="I870" s="392" t="s">
        <v>1799</v>
      </c>
      <c r="J870" s="392" t="s">
        <v>3646</v>
      </c>
      <c r="K870" s="392" t="s">
        <v>5926</v>
      </c>
      <c r="L870" s="392" t="s">
        <v>8942</v>
      </c>
      <c r="M870" s="392" t="s">
        <v>7273</v>
      </c>
      <c r="N870" s="392" t="s">
        <v>7273</v>
      </c>
      <c r="O870" s="392" t="s">
        <v>7273</v>
      </c>
      <c r="P870"/>
      <c r="Q870"/>
      <c r="R870" s="387">
        <f>VLOOKUP(E870,'[1]NDB Impacted SPRFs 05032013'!$A$2:$A$65536,1,FALSE)</f>
        <v>400036906</v>
      </c>
    </row>
    <row r="871" spans="1:21" s="159" customFormat="1" ht="60" x14ac:dyDescent="0.25">
      <c r="A871" s="63" t="e">
        <f>MATCH($E871,'D1 - Master Project Table'!$B$24:$B$7056,0)</f>
        <v>#N/A</v>
      </c>
      <c r="B871" s="63" t="b">
        <f t="shared" si="39"/>
        <v>1</v>
      </c>
      <c r="C871" s="63" t="b">
        <f t="shared" si="40"/>
        <v>1</v>
      </c>
      <c r="D871" s="63" t="str">
        <f t="shared" si="41"/>
        <v>OK</v>
      </c>
      <c r="E871" s="393">
        <v>210181413</v>
      </c>
      <c r="F871" s="392" t="s">
        <v>2340</v>
      </c>
      <c r="G871" s="392" t="s">
        <v>5787</v>
      </c>
      <c r="H871" s="392" t="s">
        <v>7418</v>
      </c>
      <c r="I871" s="392" t="s">
        <v>6896</v>
      </c>
      <c r="J871" s="392" t="s">
        <v>8672</v>
      </c>
      <c r="K871" s="392" t="s">
        <v>3886</v>
      </c>
      <c r="L871" s="392" t="s">
        <v>3444</v>
      </c>
      <c r="M871" s="392" t="s">
        <v>3758</v>
      </c>
      <c r="N871" s="392" t="s">
        <v>7273</v>
      </c>
      <c r="O871" s="392" t="s">
        <v>7273</v>
      </c>
      <c r="P871"/>
      <c r="Q871"/>
      <c r="R871" s="387">
        <f>VLOOKUP(E871,'[1]NDB Impacted SPRFs 05032013'!$A$2:$A$65536,1,FALSE)</f>
        <v>210181413</v>
      </c>
    </row>
    <row r="872" spans="1:21" s="159" customFormat="1" ht="60" x14ac:dyDescent="0.25">
      <c r="A872" s="63">
        <f>MATCH($E872,'D1 - Master Project Table'!$B$24:$B$7056,0)</f>
        <v>437</v>
      </c>
      <c r="B872" s="63" t="b">
        <f t="shared" si="39"/>
        <v>0</v>
      </c>
      <c r="C872" s="63" t="b">
        <f t="shared" si="40"/>
        <v>1</v>
      </c>
      <c r="D872" s="63" t="str">
        <f t="shared" si="41"/>
        <v>OK</v>
      </c>
      <c r="E872" s="393">
        <v>400008265</v>
      </c>
      <c r="F872" s="392" t="s">
        <v>5765</v>
      </c>
      <c r="G872" s="392" t="s">
        <v>3441</v>
      </c>
      <c r="H872" s="392" t="s">
        <v>7418</v>
      </c>
      <c r="I872" s="392" t="s">
        <v>1770</v>
      </c>
      <c r="J872" s="392" t="s">
        <v>8298</v>
      </c>
      <c r="K872" s="392" t="s">
        <v>6220</v>
      </c>
      <c r="L872" s="392" t="s">
        <v>6001</v>
      </c>
      <c r="M872" s="392" t="s">
        <v>3758</v>
      </c>
      <c r="N872" s="392" t="s">
        <v>7273</v>
      </c>
      <c r="O872" s="392" t="s">
        <v>7273</v>
      </c>
      <c r="P872"/>
      <c r="Q872"/>
      <c r="R872" s="387">
        <f>VLOOKUP(E872,'[1]NDB Impacted SPRFs 05032013'!$A$2:$A$65536,1,FALSE)</f>
        <v>400008265</v>
      </c>
    </row>
    <row r="873" spans="1:21" s="159" customFormat="1" ht="60" x14ac:dyDescent="0.25">
      <c r="A873" s="63">
        <f>MATCH($E873,'D1 - Master Project Table'!$B$24:$B$7056,0)</f>
        <v>1255</v>
      </c>
      <c r="B873" s="63" t="b">
        <f t="shared" si="39"/>
        <v>0</v>
      </c>
      <c r="C873" s="63" t="b">
        <f t="shared" si="40"/>
        <v>1</v>
      </c>
      <c r="D873" s="63" t="str">
        <f t="shared" si="41"/>
        <v>OK</v>
      </c>
      <c r="E873" s="393">
        <v>400032790</v>
      </c>
      <c r="F873" s="392" t="s">
        <v>5306</v>
      </c>
      <c r="G873" s="392" t="s">
        <v>5325</v>
      </c>
      <c r="H873" s="392" t="s">
        <v>7418</v>
      </c>
      <c r="I873" s="392" t="s">
        <v>1763</v>
      </c>
      <c r="J873" s="392" t="s">
        <v>5062</v>
      </c>
      <c r="K873" s="392" t="s">
        <v>5063</v>
      </c>
      <c r="L873" s="392" t="s">
        <v>1409</v>
      </c>
      <c r="M873" s="392" t="s">
        <v>7273</v>
      </c>
      <c r="N873" s="392" t="s">
        <v>7273</v>
      </c>
      <c r="O873" s="392" t="s">
        <v>7273</v>
      </c>
      <c r="P873"/>
      <c r="Q873"/>
      <c r="R873" s="387">
        <f>VLOOKUP(E873,'[1]NDB Impacted SPRFs 05032013'!$A$2:$A$65536,1,FALSE)</f>
        <v>400032790</v>
      </c>
    </row>
    <row r="874" spans="1:21" s="159" customFormat="1" ht="60" x14ac:dyDescent="0.25">
      <c r="A874" s="63">
        <f>MATCH($E874,'D1 - Master Project Table'!$B$24:$B$7056,0)</f>
        <v>1673</v>
      </c>
      <c r="B874" s="63" t="b">
        <f t="shared" si="39"/>
        <v>0</v>
      </c>
      <c r="C874" s="63" t="b">
        <f t="shared" si="40"/>
        <v>1</v>
      </c>
      <c r="D874" s="63" t="str">
        <f t="shared" si="41"/>
        <v>OK</v>
      </c>
      <c r="E874" s="393">
        <v>400044674</v>
      </c>
      <c r="F874" s="392" t="s">
        <v>2727</v>
      </c>
      <c r="G874" s="392" t="s">
        <v>5324</v>
      </c>
      <c r="H874" s="392" t="s">
        <v>7418</v>
      </c>
      <c r="I874" s="392" t="s">
        <v>1758</v>
      </c>
      <c r="J874" s="392" t="s">
        <v>2273</v>
      </c>
      <c r="K874" s="392" t="s">
        <v>1576</v>
      </c>
      <c r="L874" s="392" t="s">
        <v>1716</v>
      </c>
      <c r="M874" s="392" t="s">
        <v>7273</v>
      </c>
      <c r="N874" s="392" t="s">
        <v>7273</v>
      </c>
      <c r="O874" s="392" t="s">
        <v>7273</v>
      </c>
      <c r="P874"/>
      <c r="Q874"/>
      <c r="R874" s="387">
        <f>VLOOKUP(E874,'[1]NDB Impacted SPRFs 05032013'!$A$2:$A$65536,1,FALSE)</f>
        <v>400044674</v>
      </c>
    </row>
    <row r="875" spans="1:21" s="159" customFormat="1" ht="60" x14ac:dyDescent="0.25">
      <c r="A875" s="63">
        <f>MATCH($E875,'D1 - Master Project Table'!$B$24:$B$7056,0)</f>
        <v>240</v>
      </c>
      <c r="B875" s="63" t="b">
        <f t="shared" si="39"/>
        <v>0</v>
      </c>
      <c r="C875" s="63" t="b">
        <f t="shared" si="40"/>
        <v>0</v>
      </c>
      <c r="D875" s="63" t="str">
        <f t="shared" si="41"/>
        <v>OK</v>
      </c>
      <c r="E875" s="393">
        <v>400057607</v>
      </c>
      <c r="F875" s="392" t="s">
        <v>526</v>
      </c>
      <c r="G875" s="392" t="s">
        <v>5324</v>
      </c>
      <c r="H875" s="392" t="s">
        <v>7479</v>
      </c>
      <c r="I875" s="392" t="s">
        <v>1762</v>
      </c>
      <c r="J875" s="392" t="s">
        <v>8412</v>
      </c>
      <c r="K875" s="392" t="s">
        <v>8980</v>
      </c>
      <c r="L875" s="392" t="s">
        <v>9268</v>
      </c>
      <c r="M875" s="392" t="s">
        <v>3758</v>
      </c>
      <c r="N875" s="392" t="s">
        <v>7273</v>
      </c>
      <c r="O875" s="392" t="s">
        <v>7273</v>
      </c>
      <c r="P875"/>
      <c r="Q875"/>
      <c r="R875" s="387">
        <f>VLOOKUP(E875,'[1]NDB Impacted SPRFs 05032013'!$A$2:$A$65536,1,FALSE)</f>
        <v>400057607</v>
      </c>
    </row>
    <row r="876" spans="1:21" s="159" customFormat="1" ht="60" x14ac:dyDescent="0.25">
      <c r="A876" s="63">
        <f>MATCH($E876,'D1 - Master Project Table'!$B$24:$B$7056,0)</f>
        <v>1429</v>
      </c>
      <c r="B876" s="63" t="b">
        <f t="shared" si="39"/>
        <v>0</v>
      </c>
      <c r="C876" s="63" t="b">
        <f t="shared" si="40"/>
        <v>1</v>
      </c>
      <c r="D876" s="63" t="str">
        <f t="shared" si="41"/>
        <v>OK</v>
      </c>
      <c r="E876" s="393">
        <v>400039661</v>
      </c>
      <c r="F876" s="392" t="s">
        <v>6114</v>
      </c>
      <c r="G876" s="392" t="s">
        <v>5325</v>
      </c>
      <c r="H876" s="392" t="s">
        <v>7418</v>
      </c>
      <c r="I876" s="392" t="s">
        <v>6414</v>
      </c>
      <c r="J876" s="392" t="s">
        <v>3493</v>
      </c>
      <c r="K876" s="392" t="s">
        <v>6115</v>
      </c>
      <c r="L876" s="392" t="s">
        <v>5966</v>
      </c>
      <c r="M876" s="392" t="s">
        <v>7273</v>
      </c>
      <c r="N876" s="392" t="s">
        <v>7273</v>
      </c>
      <c r="O876" s="392" t="s">
        <v>7273</v>
      </c>
      <c r="P876" s="212"/>
      <c r="Q876"/>
      <c r="R876" s="387">
        <f>VLOOKUP(E876,'[1]NDB Impacted SPRFs 05032013'!$A$2:$A$65536,1,FALSE)</f>
        <v>400039661</v>
      </c>
    </row>
    <row r="877" spans="1:21" s="159" customFormat="1" ht="60" x14ac:dyDescent="0.25">
      <c r="A877" s="63">
        <f>MATCH($E877,'D1 - Master Project Table'!$B$24:$B$7056,0)</f>
        <v>1604</v>
      </c>
      <c r="B877" s="63" t="b">
        <f t="shared" si="39"/>
        <v>0</v>
      </c>
      <c r="C877" s="63" t="b">
        <f t="shared" si="40"/>
        <v>1</v>
      </c>
      <c r="D877" s="63" t="str">
        <f t="shared" si="41"/>
        <v>OK</v>
      </c>
      <c r="E877" s="393">
        <v>400041269</v>
      </c>
      <c r="F877" s="392" t="s">
        <v>2596</v>
      </c>
      <c r="G877" s="392" t="s">
        <v>6322</v>
      </c>
      <c r="H877" s="392" t="s">
        <v>7418</v>
      </c>
      <c r="I877" s="392" t="s">
        <v>1762</v>
      </c>
      <c r="J877" s="392" t="s">
        <v>4688</v>
      </c>
      <c r="K877" s="392" t="s">
        <v>7102</v>
      </c>
      <c r="L877" s="392" t="s">
        <v>152</v>
      </c>
      <c r="M877" s="392" t="s">
        <v>7273</v>
      </c>
      <c r="N877" s="392" t="s">
        <v>7273</v>
      </c>
      <c r="O877" s="392" t="s">
        <v>7273</v>
      </c>
      <c r="P877"/>
      <c r="Q877"/>
      <c r="R877" s="387">
        <f>VLOOKUP(E877,'[1]NDB Impacted SPRFs 05032013'!$A$2:$A$65536,1,FALSE)</f>
        <v>400041269</v>
      </c>
    </row>
    <row r="878" spans="1:21" s="159" customFormat="1" ht="60" x14ac:dyDescent="0.25">
      <c r="A878" s="63">
        <f>MATCH($E878,'D1 - Master Project Table'!$B$24:$B$7056,0)</f>
        <v>159</v>
      </c>
      <c r="B878" s="63" t="b">
        <f t="shared" si="39"/>
        <v>0</v>
      </c>
      <c r="C878" s="63" t="b">
        <f t="shared" si="40"/>
        <v>0</v>
      </c>
      <c r="D878" s="63" t="str">
        <f t="shared" si="41"/>
        <v>OK</v>
      </c>
      <c r="E878" s="393">
        <v>400053636</v>
      </c>
      <c r="F878" s="392" t="s">
        <v>9434</v>
      </c>
      <c r="G878" s="392" t="s">
        <v>3530</v>
      </c>
      <c r="H878" s="392" t="s">
        <v>4917</v>
      </c>
      <c r="I878" s="392" t="s">
        <v>3530</v>
      </c>
      <c r="J878" s="392" t="s">
        <v>9435</v>
      </c>
      <c r="K878" s="392" t="s">
        <v>9436</v>
      </c>
      <c r="L878" s="392" t="s">
        <v>9494</v>
      </c>
      <c r="M878" s="392" t="s">
        <v>7273</v>
      </c>
      <c r="N878" s="392" t="s">
        <v>7273</v>
      </c>
      <c r="O878" s="392" t="s">
        <v>7273</v>
      </c>
      <c r="P878"/>
      <c r="Q878"/>
      <c r="R878" s="387">
        <f>VLOOKUP(E878,'[1]NDB Impacted SPRFs 05032013'!$A$2:$A$65536,1,FALSE)</f>
        <v>400053636</v>
      </c>
    </row>
    <row r="879" spans="1:21" s="159" customFormat="1" ht="60" x14ac:dyDescent="0.25">
      <c r="A879" s="63" t="e">
        <f>MATCH($E879,'D1 - Master Project Table'!$B$24:$B$7056,0)</f>
        <v>#N/A</v>
      </c>
      <c r="B879" s="63" t="b">
        <f t="shared" si="39"/>
        <v>1</v>
      </c>
      <c r="C879" s="63" t="b">
        <f t="shared" si="40"/>
        <v>1</v>
      </c>
      <c r="D879" s="63" t="str">
        <f t="shared" si="41"/>
        <v>OK</v>
      </c>
      <c r="E879" s="393">
        <v>400002873</v>
      </c>
      <c r="F879" s="392" t="s">
        <v>7654</v>
      </c>
      <c r="G879" s="392" t="s">
        <v>5787</v>
      </c>
      <c r="H879" s="392" t="s">
        <v>7418</v>
      </c>
      <c r="I879" s="392" t="s">
        <v>1779</v>
      </c>
      <c r="J879" s="392" t="s">
        <v>8677</v>
      </c>
      <c r="K879" s="392" t="s">
        <v>5790</v>
      </c>
      <c r="L879" s="392" t="s">
        <v>7423</v>
      </c>
      <c r="M879" s="392" t="s">
        <v>3758</v>
      </c>
      <c r="N879" s="392" t="s">
        <v>7273</v>
      </c>
      <c r="O879" s="392" t="s">
        <v>7273</v>
      </c>
      <c r="P879"/>
      <c r="Q879"/>
      <c r="R879" s="387">
        <f>VLOOKUP(E879,'[1]NDB Impacted SPRFs 05032013'!$A$2:$A$65536,1,FALSE)</f>
        <v>400002873</v>
      </c>
    </row>
    <row r="880" spans="1:21" s="159" customFormat="1" ht="60" x14ac:dyDescent="0.25">
      <c r="A880" s="63">
        <f>MATCH($E880,'D1 - Master Project Table'!$B$24:$B$7056,0)</f>
        <v>1468</v>
      </c>
      <c r="B880" s="63" t="b">
        <f t="shared" si="39"/>
        <v>0</v>
      </c>
      <c r="C880" s="63" t="b">
        <f t="shared" si="40"/>
        <v>1</v>
      </c>
      <c r="D880" s="63" t="str">
        <f t="shared" si="41"/>
        <v>OK</v>
      </c>
      <c r="E880" s="393">
        <v>400037882</v>
      </c>
      <c r="F880" s="392" t="s">
        <v>7313</v>
      </c>
      <c r="G880" s="392" t="s">
        <v>6322</v>
      </c>
      <c r="H880" s="392" t="s">
        <v>7418</v>
      </c>
      <c r="I880" s="392" t="s">
        <v>7594</v>
      </c>
      <c r="J880" s="392" t="s">
        <v>4688</v>
      </c>
      <c r="K880" s="392" t="s">
        <v>7164</v>
      </c>
      <c r="L880" s="392" t="s">
        <v>2215</v>
      </c>
      <c r="M880" s="392" t="s">
        <v>7273</v>
      </c>
      <c r="N880" s="392" t="s">
        <v>7273</v>
      </c>
      <c r="O880" s="392" t="s">
        <v>7273</v>
      </c>
      <c r="P880" s="158"/>
      <c r="Q880" s="128"/>
      <c r="R880" s="387">
        <f>VLOOKUP(E880,'[1]NDB Impacted SPRFs 05032013'!$A$2:$A$65536,1,FALSE)</f>
        <v>400037882</v>
      </c>
      <c r="S880" s="128"/>
      <c r="T880" s="128"/>
      <c r="U880" s="128"/>
    </row>
    <row r="881" spans="1:21" s="159" customFormat="1" ht="60" x14ac:dyDescent="0.25">
      <c r="A881" s="63">
        <f>MATCH($E881,'D1 - Master Project Table'!$B$24:$B$7056,0)</f>
        <v>368</v>
      </c>
      <c r="B881" s="63" t="b">
        <f t="shared" si="39"/>
        <v>0</v>
      </c>
      <c r="C881" s="63" t="b">
        <f t="shared" si="40"/>
        <v>1</v>
      </c>
      <c r="D881" s="63" t="str">
        <f t="shared" si="41"/>
        <v>OK</v>
      </c>
      <c r="E881" s="393">
        <v>400009320</v>
      </c>
      <c r="F881" s="392" t="s">
        <v>4941</v>
      </c>
      <c r="G881" s="392" t="s">
        <v>3441</v>
      </c>
      <c r="H881" s="392" t="s">
        <v>7418</v>
      </c>
      <c r="I881" s="392" t="s">
        <v>2662</v>
      </c>
      <c r="J881" s="392" t="s">
        <v>2937</v>
      </c>
      <c r="K881" s="392" t="s">
        <v>5541</v>
      </c>
      <c r="L881" s="392" t="s">
        <v>6293</v>
      </c>
      <c r="M881" s="392" t="s">
        <v>7273</v>
      </c>
      <c r="N881" s="392" t="s">
        <v>7273</v>
      </c>
      <c r="O881" s="392" t="s">
        <v>7273</v>
      </c>
      <c r="P881"/>
      <c r="Q881"/>
      <c r="R881" s="387">
        <f>VLOOKUP(E881,'[1]NDB Impacted SPRFs 05032013'!$A$2:$A$65536,1,FALSE)</f>
        <v>400009320</v>
      </c>
    </row>
    <row r="882" spans="1:21" s="159" customFormat="1" ht="60" x14ac:dyDescent="0.25">
      <c r="A882" s="63">
        <f>MATCH($E882,'D1 - Master Project Table'!$B$24:$B$7056,0)</f>
        <v>606</v>
      </c>
      <c r="B882" s="63" t="b">
        <f t="shared" si="39"/>
        <v>0</v>
      </c>
      <c r="C882" s="63" t="b">
        <f t="shared" si="40"/>
        <v>1</v>
      </c>
      <c r="D882" s="63" t="str">
        <f t="shared" si="41"/>
        <v>OK</v>
      </c>
      <c r="E882" s="393">
        <v>400010711</v>
      </c>
      <c r="F882" s="392" t="s">
        <v>4438</v>
      </c>
      <c r="G882" s="392" t="s">
        <v>5324</v>
      </c>
      <c r="H882" s="392" t="s">
        <v>7418</v>
      </c>
      <c r="I882" s="392" t="s">
        <v>1762</v>
      </c>
      <c r="J882" s="392" t="s">
        <v>2251</v>
      </c>
      <c r="K882" s="392" t="s">
        <v>5641</v>
      </c>
      <c r="L882" s="392" t="s">
        <v>7523</v>
      </c>
      <c r="M882" s="392" t="s">
        <v>3758</v>
      </c>
      <c r="N882" s="392" t="s">
        <v>7273</v>
      </c>
      <c r="O882" s="392" t="s">
        <v>7273</v>
      </c>
      <c r="P882"/>
      <c r="Q882"/>
      <c r="R882" s="387">
        <f>VLOOKUP(E882,'[1]NDB Impacted SPRFs 05032013'!$A$2:$A$65536,1,FALSE)</f>
        <v>400010711</v>
      </c>
    </row>
    <row r="883" spans="1:21" s="159" customFormat="1" ht="60" x14ac:dyDescent="0.25">
      <c r="A883" s="63">
        <f>MATCH($E883,'D1 - Master Project Table'!$B$24:$B$7056,0)</f>
        <v>2681</v>
      </c>
      <c r="B883" s="63" t="b">
        <f t="shared" si="39"/>
        <v>0</v>
      </c>
      <c r="C883" s="63" t="b">
        <f t="shared" si="40"/>
        <v>1</v>
      </c>
      <c r="D883" s="63" t="str">
        <f t="shared" si="41"/>
        <v>OK</v>
      </c>
      <c r="E883" s="393">
        <v>400017207</v>
      </c>
      <c r="F883" s="392" t="s">
        <v>3720</v>
      </c>
      <c r="G883" s="392" t="s">
        <v>5324</v>
      </c>
      <c r="H883" s="392" t="s">
        <v>5314</v>
      </c>
      <c r="I883" s="392" t="s">
        <v>1756</v>
      </c>
      <c r="J883" s="392" t="s">
        <v>8377</v>
      </c>
      <c r="K883" s="392" t="s">
        <v>2508</v>
      </c>
      <c r="L883" s="392" t="s">
        <v>4833</v>
      </c>
      <c r="M883" s="392" t="s">
        <v>7273</v>
      </c>
      <c r="N883" s="392" t="s">
        <v>7273</v>
      </c>
      <c r="O883" s="392" t="s">
        <v>7273</v>
      </c>
      <c r="P883"/>
      <c r="Q883"/>
      <c r="R883" s="387">
        <f>VLOOKUP(E883,'[1]NDB Impacted SPRFs 05032013'!$A$2:$A$65536,1,FALSE)</f>
        <v>400017207</v>
      </c>
    </row>
    <row r="884" spans="1:21" s="159" customFormat="1" ht="60" x14ac:dyDescent="0.25">
      <c r="A884" s="63">
        <f>MATCH($E884,'D1 - Master Project Table'!$B$24:$B$7056,0)</f>
        <v>2155</v>
      </c>
      <c r="B884" s="63" t="b">
        <f t="shared" si="39"/>
        <v>0</v>
      </c>
      <c r="C884" s="63" t="b">
        <f t="shared" si="40"/>
        <v>1</v>
      </c>
      <c r="D884" s="63" t="str">
        <f t="shared" si="41"/>
        <v>OK</v>
      </c>
      <c r="E884" s="393">
        <v>400019724</v>
      </c>
      <c r="F884" s="392" t="s">
        <v>3992</v>
      </c>
      <c r="G884" s="392" t="s">
        <v>5787</v>
      </c>
      <c r="H884" s="392" t="s">
        <v>5314</v>
      </c>
      <c r="I884" s="392" t="s">
        <v>1771</v>
      </c>
      <c r="J884" s="392" t="s">
        <v>5722</v>
      </c>
      <c r="K884" s="392" t="s">
        <v>6229</v>
      </c>
      <c r="L884" s="392" t="s">
        <v>6475</v>
      </c>
      <c r="M884" s="392" t="s">
        <v>7273</v>
      </c>
      <c r="N884" s="392" t="s">
        <v>7273</v>
      </c>
      <c r="O884" s="392" t="s">
        <v>7273</v>
      </c>
      <c r="P884"/>
      <c r="Q884"/>
      <c r="R884" s="387">
        <f>VLOOKUP(E884,'[1]NDB Impacted SPRFs 05032013'!$A$2:$A$65536,1,FALSE)</f>
        <v>400019724</v>
      </c>
      <c r="S884" s="128"/>
      <c r="T884" s="128"/>
      <c r="U884" s="128"/>
    </row>
    <row r="885" spans="1:21" s="159" customFormat="1" ht="60" x14ac:dyDescent="0.25">
      <c r="A885" s="63">
        <f>MATCH($E885,'D1 - Master Project Table'!$B$24:$B$7056,0)</f>
        <v>3280</v>
      </c>
      <c r="B885" s="63" t="b">
        <f t="shared" si="39"/>
        <v>0</v>
      </c>
      <c r="C885" s="63" t="b">
        <f t="shared" si="40"/>
        <v>1</v>
      </c>
      <c r="D885" s="63" t="str">
        <f t="shared" si="41"/>
        <v>OK</v>
      </c>
      <c r="E885" s="393">
        <v>400045570</v>
      </c>
      <c r="F885" s="392" t="s">
        <v>1033</v>
      </c>
      <c r="G885" s="392" t="s">
        <v>5325</v>
      </c>
      <c r="H885" s="392" t="s">
        <v>5314</v>
      </c>
      <c r="I885" s="392" t="s">
        <v>6414</v>
      </c>
      <c r="J885" s="392" t="s">
        <v>3493</v>
      </c>
      <c r="K885" s="392" t="s">
        <v>1032</v>
      </c>
      <c r="L885" s="392" t="s">
        <v>7607</v>
      </c>
      <c r="M885" s="392" t="s">
        <v>7273</v>
      </c>
      <c r="N885" s="392" t="s">
        <v>7273</v>
      </c>
      <c r="O885" s="392" t="s">
        <v>3758</v>
      </c>
      <c r="P885"/>
      <c r="Q885"/>
      <c r="R885" s="387">
        <f>VLOOKUP(E885,'[1]NDB Impacted SPRFs 05032013'!$A$2:$A$65536,1,FALSE)</f>
        <v>400045570</v>
      </c>
    </row>
    <row r="886" spans="1:21" s="159" customFormat="1" ht="60" x14ac:dyDescent="0.25">
      <c r="A886" s="63">
        <f>MATCH($E886,'D1 - Master Project Table'!$B$24:$B$7056,0)</f>
        <v>106</v>
      </c>
      <c r="B886" s="63" t="b">
        <f t="shared" si="39"/>
        <v>0</v>
      </c>
      <c r="C886" s="63" t="b">
        <f t="shared" si="40"/>
        <v>0</v>
      </c>
      <c r="D886" s="63" t="str">
        <f t="shared" si="41"/>
        <v>OK</v>
      </c>
      <c r="E886" s="393">
        <v>400043077</v>
      </c>
      <c r="F886" s="392" t="s">
        <v>9226</v>
      </c>
      <c r="G886" s="392" t="s">
        <v>5324</v>
      </c>
      <c r="H886" s="392" t="s">
        <v>4917</v>
      </c>
      <c r="I886" s="392" t="s">
        <v>1762</v>
      </c>
      <c r="J886" s="392" t="s">
        <v>4110</v>
      </c>
      <c r="K886" s="392" t="s">
        <v>8075</v>
      </c>
      <c r="L886" s="392" t="s">
        <v>9227</v>
      </c>
      <c r="M886" s="392" t="s">
        <v>7273</v>
      </c>
      <c r="N886" s="392" t="s">
        <v>7273</v>
      </c>
      <c r="O886" s="392" t="s">
        <v>3758</v>
      </c>
      <c r="P886"/>
      <c r="Q886"/>
      <c r="R886" s="387">
        <f>VLOOKUP(E886,'[1]NDB Impacted SPRFs 05032013'!$A$2:$A$65536,1,FALSE)</f>
        <v>400043077</v>
      </c>
    </row>
    <row r="887" spans="1:21" s="159" customFormat="1" ht="60" x14ac:dyDescent="0.25">
      <c r="A887" s="63">
        <f>MATCH($E887,'D1 - Master Project Table'!$B$24:$B$7056,0)</f>
        <v>259</v>
      </c>
      <c r="B887" s="63" t="b">
        <f t="shared" si="39"/>
        <v>0</v>
      </c>
      <c r="C887" s="63" t="b">
        <f t="shared" si="40"/>
        <v>0</v>
      </c>
      <c r="D887" s="63" t="str">
        <f t="shared" si="41"/>
        <v>OK</v>
      </c>
      <c r="E887" s="393">
        <v>400058720</v>
      </c>
      <c r="F887" s="392" t="s">
        <v>9229</v>
      </c>
      <c r="G887" s="392" t="s">
        <v>5001</v>
      </c>
      <c r="H887" s="392" t="s">
        <v>8012</v>
      </c>
      <c r="I887" s="392" t="s">
        <v>3540</v>
      </c>
      <c r="J887" s="392" t="s">
        <v>7433</v>
      </c>
      <c r="K887" s="392" t="s">
        <v>8075</v>
      </c>
      <c r="L887" s="392" t="s">
        <v>9269</v>
      </c>
      <c r="M887" s="392" t="s">
        <v>7273</v>
      </c>
      <c r="N887" s="392" t="s">
        <v>7273</v>
      </c>
      <c r="O887" s="392" t="s">
        <v>7273</v>
      </c>
      <c r="P887" s="212"/>
      <c r="Q887"/>
      <c r="R887" s="387">
        <f>VLOOKUP(E887,'[1]NDB Impacted SPRFs 05032013'!$A$2:$A$65536,1,FALSE)</f>
        <v>400058720</v>
      </c>
    </row>
    <row r="888" spans="1:21" s="159" customFormat="1" ht="60" x14ac:dyDescent="0.25">
      <c r="A888" s="63">
        <f>MATCH($E888,'D1 - Master Project Table'!$B$24:$B$7056,0)</f>
        <v>1416</v>
      </c>
      <c r="B888" s="63" t="b">
        <f t="shared" si="39"/>
        <v>0</v>
      </c>
      <c r="C888" s="63" t="b">
        <f t="shared" si="40"/>
        <v>1</v>
      </c>
      <c r="D888" s="63" t="str">
        <f t="shared" si="41"/>
        <v>OK</v>
      </c>
      <c r="E888" s="393">
        <v>400032447</v>
      </c>
      <c r="F888" s="392" t="s">
        <v>6915</v>
      </c>
      <c r="G888" s="392" t="s">
        <v>5325</v>
      </c>
      <c r="H888" s="392" t="s">
        <v>7418</v>
      </c>
      <c r="I888" s="392" t="s">
        <v>6419</v>
      </c>
      <c r="J888" s="392" t="s">
        <v>7566</v>
      </c>
      <c r="K888" s="392" t="s">
        <v>5162</v>
      </c>
      <c r="L888" s="392" t="s">
        <v>617</v>
      </c>
      <c r="M888" s="392" t="s">
        <v>7273</v>
      </c>
      <c r="N888" s="392" t="s">
        <v>7273</v>
      </c>
      <c r="O888" s="392" t="s">
        <v>7273</v>
      </c>
      <c r="P888"/>
      <c r="Q888"/>
      <c r="R888" s="387">
        <f>VLOOKUP(E888,'[1]NDB Impacted SPRFs 05032013'!$A$2:$A$65536,1,FALSE)</f>
        <v>400032447</v>
      </c>
    </row>
    <row r="889" spans="1:21" s="159" customFormat="1" ht="60" x14ac:dyDescent="0.25">
      <c r="A889" s="63">
        <f>MATCH($E889,'D1 - Master Project Table'!$B$24:$B$7056,0)</f>
        <v>1317</v>
      </c>
      <c r="B889" s="63" t="b">
        <f t="shared" si="39"/>
        <v>0</v>
      </c>
      <c r="C889" s="63" t="b">
        <f t="shared" si="40"/>
        <v>1</v>
      </c>
      <c r="D889" s="63" t="str">
        <f t="shared" si="41"/>
        <v>OK</v>
      </c>
      <c r="E889" s="393">
        <v>400034893</v>
      </c>
      <c r="F889" s="392" t="s">
        <v>6154</v>
      </c>
      <c r="G889" s="392" t="s">
        <v>5001</v>
      </c>
      <c r="H889" s="392" t="s">
        <v>7418</v>
      </c>
      <c r="I889" s="392" t="s">
        <v>3540</v>
      </c>
      <c r="J889" s="392" t="s">
        <v>8722</v>
      </c>
      <c r="K889" s="392" t="s">
        <v>3689</v>
      </c>
      <c r="L889" s="392" t="s">
        <v>95</v>
      </c>
      <c r="M889" s="392" t="s">
        <v>3758</v>
      </c>
      <c r="N889" s="392" t="s">
        <v>7273</v>
      </c>
      <c r="O889" s="392" t="s">
        <v>7273</v>
      </c>
      <c r="P889"/>
      <c r="Q889"/>
      <c r="R889" s="387">
        <f>VLOOKUP(E889,'[1]NDB Impacted SPRFs 05032013'!$A$2:$A$65536,1,FALSE)</f>
        <v>400034893</v>
      </c>
      <c r="S889" s="128"/>
      <c r="T889" s="128"/>
      <c r="U889" s="128"/>
    </row>
    <row r="890" spans="1:21" s="159" customFormat="1" ht="60" x14ac:dyDescent="0.25">
      <c r="A890" s="63">
        <f>MATCH($E890,'D1 - Master Project Table'!$B$24:$B$7056,0)</f>
        <v>110</v>
      </c>
      <c r="B890" s="63" t="b">
        <f t="shared" si="39"/>
        <v>0</v>
      </c>
      <c r="C890" s="63" t="b">
        <f t="shared" si="40"/>
        <v>0</v>
      </c>
      <c r="D890" s="63" t="str">
        <f t="shared" si="41"/>
        <v>OK</v>
      </c>
      <c r="E890" s="393">
        <v>400048340</v>
      </c>
      <c r="F890" s="392" t="s">
        <v>247</v>
      </c>
      <c r="G890" s="392" t="s">
        <v>9210</v>
      </c>
      <c r="H890" s="392" t="s">
        <v>4917</v>
      </c>
      <c r="I890" s="392" t="s">
        <v>3540</v>
      </c>
      <c r="J890" s="392" t="s">
        <v>4110</v>
      </c>
      <c r="K890" s="392" t="s">
        <v>248</v>
      </c>
      <c r="L890" s="392" t="s">
        <v>9076</v>
      </c>
      <c r="M890" s="392" t="s">
        <v>7273</v>
      </c>
      <c r="N890" s="392" t="s">
        <v>7273</v>
      </c>
      <c r="O890" s="392" t="s">
        <v>7273</v>
      </c>
      <c r="P890"/>
      <c r="Q890"/>
      <c r="R890" s="387">
        <f>VLOOKUP(E890,'[1]NDB Impacted SPRFs 05032013'!$A$2:$A$65536,1,FALSE)</f>
        <v>400048340</v>
      </c>
    </row>
    <row r="891" spans="1:21" s="159" customFormat="1" ht="60" x14ac:dyDescent="0.25">
      <c r="A891" s="63" t="e">
        <f>MATCH($E891,'D1 - Master Project Table'!$B$24:$B$7056,0)</f>
        <v>#N/A</v>
      </c>
      <c r="B891" s="63" t="b">
        <f t="shared" si="39"/>
        <v>1</v>
      </c>
      <c r="C891" s="63" t="b">
        <f t="shared" si="40"/>
        <v>1</v>
      </c>
      <c r="D891" s="63" t="str">
        <f t="shared" si="41"/>
        <v>OK</v>
      </c>
      <c r="E891" s="393">
        <v>400000169</v>
      </c>
      <c r="F891" s="392" t="s">
        <v>3389</v>
      </c>
      <c r="G891" s="392" t="s">
        <v>5324</v>
      </c>
      <c r="H891" s="392" t="s">
        <v>7418</v>
      </c>
      <c r="I891" s="392" t="s">
        <v>1768</v>
      </c>
      <c r="J891" s="392" t="s">
        <v>8272</v>
      </c>
      <c r="K891" s="392" t="s">
        <v>7224</v>
      </c>
      <c r="L891" s="392" t="s">
        <v>4266</v>
      </c>
      <c r="M891" s="392" t="s">
        <v>3758</v>
      </c>
      <c r="N891" s="392" t="s">
        <v>7273</v>
      </c>
      <c r="O891" s="392" t="s">
        <v>7273</v>
      </c>
      <c r="P891"/>
      <c r="Q891"/>
      <c r="R891" s="387">
        <f>VLOOKUP(E891,'[1]NDB Impacted SPRFs 05032013'!$A$2:$A$65536,1,FALSE)</f>
        <v>400000169</v>
      </c>
    </row>
    <row r="892" spans="1:21" s="159" customFormat="1" ht="60" x14ac:dyDescent="0.25">
      <c r="A892" s="63">
        <f>MATCH($E892,'D1 - Master Project Table'!$B$24:$B$7056,0)</f>
        <v>1359</v>
      </c>
      <c r="B892" s="63" t="b">
        <f t="shared" si="39"/>
        <v>0</v>
      </c>
      <c r="C892" s="63" t="b">
        <f t="shared" si="40"/>
        <v>1</v>
      </c>
      <c r="D892" s="63" t="str">
        <f t="shared" si="41"/>
        <v>OK</v>
      </c>
      <c r="E892" s="393">
        <v>400034596</v>
      </c>
      <c r="F892" s="392" t="s">
        <v>4341</v>
      </c>
      <c r="G892" s="392" t="s">
        <v>5325</v>
      </c>
      <c r="H892" s="392" t="s">
        <v>7418</v>
      </c>
      <c r="I892" s="392" t="s">
        <v>6419</v>
      </c>
      <c r="J892" s="392" t="s">
        <v>1433</v>
      </c>
      <c r="K892" s="392" t="s">
        <v>4595</v>
      </c>
      <c r="L892" s="392" t="s">
        <v>7584</v>
      </c>
      <c r="M892" s="392" t="s">
        <v>3758</v>
      </c>
      <c r="N892" s="392" t="s">
        <v>7273</v>
      </c>
      <c r="O892" s="392" t="s">
        <v>7273</v>
      </c>
      <c r="P892"/>
      <c r="Q892"/>
      <c r="R892" s="387">
        <f>VLOOKUP(E892,'[1]NDB Impacted SPRFs 05032013'!$A$2:$A$65536,1,FALSE)</f>
        <v>400034596</v>
      </c>
    </row>
    <row r="893" spans="1:21" s="159" customFormat="1" ht="60" x14ac:dyDescent="0.25">
      <c r="A893" s="63">
        <f>MATCH($E893,'D1 - Master Project Table'!$B$24:$B$7056,0)</f>
        <v>3164</v>
      </c>
      <c r="B893" s="63" t="b">
        <f t="shared" si="39"/>
        <v>0</v>
      </c>
      <c r="C893" s="63" t="b">
        <f t="shared" si="40"/>
        <v>1</v>
      </c>
      <c r="D893" s="63" t="str">
        <f t="shared" si="41"/>
        <v>OK</v>
      </c>
      <c r="E893" s="393">
        <v>400037512</v>
      </c>
      <c r="F893" s="392" t="s">
        <v>3605</v>
      </c>
      <c r="G893" s="392" t="s">
        <v>5995</v>
      </c>
      <c r="H893" s="392" t="s">
        <v>7418</v>
      </c>
      <c r="I893" s="392" t="s">
        <v>6423</v>
      </c>
      <c r="J893" s="392" t="s">
        <v>8824</v>
      </c>
      <c r="K893" s="392" t="s">
        <v>4114</v>
      </c>
      <c r="L893" s="392" t="s">
        <v>5383</v>
      </c>
      <c r="M893" s="392" t="s">
        <v>3758</v>
      </c>
      <c r="N893" s="392" t="s">
        <v>7273</v>
      </c>
      <c r="O893" s="392" t="s">
        <v>7273</v>
      </c>
      <c r="P893"/>
      <c r="Q893"/>
      <c r="R893" s="387">
        <f>VLOOKUP(E893,'[1]NDB Impacted SPRFs 05032013'!$A$2:$A$65536,1,FALSE)</f>
        <v>400037512</v>
      </c>
    </row>
    <row r="894" spans="1:21" s="159" customFormat="1" ht="60" x14ac:dyDescent="0.25">
      <c r="A894" s="63">
        <f>MATCH($E894,'D1 - Master Project Table'!$B$24:$B$7056,0)</f>
        <v>1060</v>
      </c>
      <c r="B894" s="63" t="b">
        <f t="shared" si="39"/>
        <v>0</v>
      </c>
      <c r="C894" s="63" t="b">
        <f t="shared" si="40"/>
        <v>1</v>
      </c>
      <c r="D894" s="63" t="str">
        <f t="shared" si="41"/>
        <v>OK</v>
      </c>
      <c r="E894" s="393">
        <v>400026555</v>
      </c>
      <c r="F894" s="392" t="s">
        <v>7597</v>
      </c>
      <c r="G894" s="392" t="s">
        <v>5325</v>
      </c>
      <c r="H894" s="392" t="s">
        <v>7418</v>
      </c>
      <c r="I894" s="392" t="s">
        <v>6419</v>
      </c>
      <c r="J894" s="392" t="s">
        <v>1973</v>
      </c>
      <c r="K894" s="392" t="s">
        <v>5622</v>
      </c>
      <c r="L894" s="392" t="s">
        <v>5366</v>
      </c>
      <c r="M894" s="392" t="s">
        <v>3758</v>
      </c>
      <c r="N894" s="392" t="s">
        <v>7273</v>
      </c>
      <c r="O894" s="392" t="s">
        <v>7273</v>
      </c>
      <c r="P894"/>
      <c r="Q894"/>
      <c r="R894" s="387">
        <f>VLOOKUP(E894,'[1]NDB Impacted SPRFs 05032013'!$A$2:$A$65536,1,FALSE)</f>
        <v>400026555</v>
      </c>
    </row>
    <row r="895" spans="1:21" s="159" customFormat="1" ht="60" x14ac:dyDescent="0.25">
      <c r="A895" s="63">
        <f>MATCH($E895,'D1 - Master Project Table'!$B$24:$B$7056,0)</f>
        <v>1123</v>
      </c>
      <c r="B895" s="63" t="b">
        <f t="shared" si="39"/>
        <v>0</v>
      </c>
      <c r="C895" s="63" t="b">
        <f t="shared" si="40"/>
        <v>1</v>
      </c>
      <c r="D895" s="63" t="str">
        <f t="shared" si="41"/>
        <v>OK</v>
      </c>
      <c r="E895" s="393">
        <v>400029616</v>
      </c>
      <c r="F895" s="392" t="s">
        <v>2437</v>
      </c>
      <c r="G895" s="392" t="s">
        <v>5324</v>
      </c>
      <c r="H895" s="392" t="s">
        <v>7418</v>
      </c>
      <c r="I895" s="392" t="s">
        <v>1759</v>
      </c>
      <c r="J895" s="392" t="s">
        <v>8576</v>
      </c>
      <c r="K895" s="392" t="s">
        <v>5086</v>
      </c>
      <c r="L895" s="392" t="s">
        <v>6108</v>
      </c>
      <c r="M895" s="392" t="s">
        <v>3758</v>
      </c>
      <c r="N895" s="392" t="s">
        <v>7273</v>
      </c>
      <c r="O895" s="392" t="s">
        <v>3758</v>
      </c>
      <c r="P895"/>
      <c r="Q895"/>
      <c r="R895" s="387">
        <f>VLOOKUP(E895,'[1]NDB Impacted SPRFs 05032013'!$A$2:$A$65536,1,FALSE)</f>
        <v>400029616</v>
      </c>
    </row>
    <row r="896" spans="1:21" s="159" customFormat="1" ht="60" x14ac:dyDescent="0.25">
      <c r="A896" s="63">
        <f>MATCH($E896,'D1 - Master Project Table'!$B$24:$B$7056,0)</f>
        <v>2756</v>
      </c>
      <c r="B896" s="63" t="b">
        <f t="shared" si="39"/>
        <v>0</v>
      </c>
      <c r="C896" s="63" t="b">
        <f t="shared" si="40"/>
        <v>1</v>
      </c>
      <c r="D896" s="63" t="str">
        <f t="shared" si="41"/>
        <v>OK</v>
      </c>
      <c r="E896" s="393">
        <v>400021257</v>
      </c>
      <c r="F896" s="392" t="s">
        <v>1418</v>
      </c>
      <c r="G896" s="392" t="s">
        <v>5324</v>
      </c>
      <c r="H896" s="392" t="s">
        <v>5314</v>
      </c>
      <c r="I896" s="392" t="s">
        <v>1763</v>
      </c>
      <c r="J896" s="392" t="s">
        <v>5168</v>
      </c>
      <c r="K896" s="392" t="s">
        <v>2819</v>
      </c>
      <c r="L896" s="392" t="s">
        <v>4840</v>
      </c>
      <c r="M896" s="392" t="s">
        <v>3758</v>
      </c>
      <c r="N896" s="392" t="s">
        <v>7273</v>
      </c>
      <c r="O896" s="392" t="s">
        <v>7273</v>
      </c>
      <c r="P896"/>
      <c r="Q896"/>
      <c r="R896" s="387">
        <f>VLOOKUP(E896,'[1]NDB Impacted SPRFs 05032013'!$A$2:$A$65536,1,FALSE)</f>
        <v>400021257</v>
      </c>
      <c r="S896" s="128"/>
      <c r="T896" s="128"/>
      <c r="U896" s="128"/>
    </row>
    <row r="897" spans="1:21" s="159" customFormat="1" ht="60" x14ac:dyDescent="0.25">
      <c r="A897" s="63">
        <f>MATCH($E897,'D1 - Master Project Table'!$B$24:$B$7056,0)</f>
        <v>3055</v>
      </c>
      <c r="B897" s="63" t="b">
        <f t="shared" si="39"/>
        <v>0</v>
      </c>
      <c r="C897" s="63" t="b">
        <f t="shared" si="40"/>
        <v>1</v>
      </c>
      <c r="D897" s="63" t="str">
        <f t="shared" si="41"/>
        <v>OK</v>
      </c>
      <c r="E897" s="393">
        <v>400043528</v>
      </c>
      <c r="F897" s="392" t="s">
        <v>2047</v>
      </c>
      <c r="G897" s="392" t="s">
        <v>5324</v>
      </c>
      <c r="H897" s="392" t="s">
        <v>5314</v>
      </c>
      <c r="I897" s="392" t="s">
        <v>1759</v>
      </c>
      <c r="J897" s="392" t="s">
        <v>8306</v>
      </c>
      <c r="K897" s="392" t="s">
        <v>7111</v>
      </c>
      <c r="L897" s="392" t="s">
        <v>7059</v>
      </c>
      <c r="M897" s="392" t="s">
        <v>3758</v>
      </c>
      <c r="N897" s="392" t="s">
        <v>7273</v>
      </c>
      <c r="O897" s="392" t="s">
        <v>7273</v>
      </c>
      <c r="P897"/>
      <c r="Q897"/>
      <c r="R897" s="387">
        <f>VLOOKUP(E897,'[1]NDB Impacted SPRFs 05032013'!$A$2:$A$65536,1,FALSE)</f>
        <v>400043528</v>
      </c>
      <c r="S897" s="128"/>
      <c r="T897" s="128"/>
      <c r="U897" s="128"/>
    </row>
    <row r="898" spans="1:21" s="159" customFormat="1" ht="60" x14ac:dyDescent="0.25">
      <c r="A898" s="63">
        <f>MATCH($E898,'D1 - Master Project Table'!$B$24:$B$7056,0)</f>
        <v>1733</v>
      </c>
      <c r="B898" s="63" t="b">
        <f t="shared" si="39"/>
        <v>0</v>
      </c>
      <c r="C898" s="63" t="b">
        <f t="shared" si="40"/>
        <v>1</v>
      </c>
      <c r="D898" s="63" t="str">
        <f t="shared" si="41"/>
        <v>OK</v>
      </c>
      <c r="E898" s="393">
        <v>400050564</v>
      </c>
      <c r="F898" s="392" t="s">
        <v>2023</v>
      </c>
      <c r="G898" s="392" t="s">
        <v>5324</v>
      </c>
      <c r="H898" s="392" t="s">
        <v>7418</v>
      </c>
      <c r="I898" s="392" t="s">
        <v>1758</v>
      </c>
      <c r="J898" s="392" t="s">
        <v>2024</v>
      </c>
      <c r="K898" s="392" t="s">
        <v>1576</v>
      </c>
      <c r="L898" s="392" t="s">
        <v>683</v>
      </c>
      <c r="M898" s="392" t="s">
        <v>3758</v>
      </c>
      <c r="N898" s="392" t="s">
        <v>7273</v>
      </c>
      <c r="O898" s="392" t="s">
        <v>7273</v>
      </c>
      <c r="P898"/>
      <c r="Q898"/>
      <c r="R898" s="387">
        <f>VLOOKUP(E898,'[1]NDB Impacted SPRFs 05032013'!$A$2:$A$65536,1,FALSE)</f>
        <v>400050564</v>
      </c>
    </row>
    <row r="899" spans="1:21" s="159" customFormat="1" ht="60" x14ac:dyDescent="0.25">
      <c r="A899" s="63">
        <f>MATCH($E899,'D1 - Master Project Table'!$B$24:$B$7056,0)</f>
        <v>656</v>
      </c>
      <c r="B899" s="63" t="b">
        <f t="shared" si="39"/>
        <v>0</v>
      </c>
      <c r="C899" s="63" t="b">
        <f t="shared" si="40"/>
        <v>1</v>
      </c>
      <c r="D899" s="63" t="str">
        <f t="shared" si="41"/>
        <v>OK</v>
      </c>
      <c r="E899" s="393">
        <v>400009978</v>
      </c>
      <c r="F899" s="392" t="s">
        <v>7770</v>
      </c>
      <c r="G899" s="392" t="s">
        <v>5324</v>
      </c>
      <c r="H899" s="392" t="s">
        <v>7418</v>
      </c>
      <c r="I899" s="392" t="s">
        <v>1764</v>
      </c>
      <c r="J899" s="392" t="s">
        <v>5168</v>
      </c>
      <c r="K899" s="392" t="s">
        <v>5641</v>
      </c>
      <c r="L899" s="392" t="s">
        <v>2389</v>
      </c>
      <c r="M899" s="392" t="s">
        <v>3758</v>
      </c>
      <c r="N899" s="392" t="s">
        <v>7273</v>
      </c>
      <c r="O899" s="392" t="s">
        <v>3758</v>
      </c>
      <c r="P899"/>
      <c r="Q899"/>
      <c r="R899" s="387">
        <f>VLOOKUP(E899,'[1]NDB Impacted SPRFs 05032013'!$A$2:$A$65536,1,FALSE)</f>
        <v>400009978</v>
      </c>
      <c r="S899" s="128"/>
      <c r="T899" s="128"/>
      <c r="U899" s="128"/>
    </row>
    <row r="900" spans="1:21" s="159" customFormat="1" ht="60" x14ac:dyDescent="0.25">
      <c r="A900" s="63">
        <f>MATCH($E900,'D1 - Master Project Table'!$B$24:$B$7056,0)</f>
        <v>60</v>
      </c>
      <c r="B900" s="63" t="b">
        <f t="shared" si="39"/>
        <v>0</v>
      </c>
      <c r="C900" s="63" t="b">
        <f t="shared" si="40"/>
        <v>0</v>
      </c>
      <c r="D900" s="63" t="str">
        <f t="shared" si="41"/>
        <v>OK</v>
      </c>
      <c r="E900" s="393">
        <v>400055941</v>
      </c>
      <c r="F900" s="392" t="s">
        <v>8166</v>
      </c>
      <c r="G900" s="392" t="s">
        <v>5324</v>
      </c>
      <c r="H900" s="392" t="s">
        <v>7479</v>
      </c>
      <c r="I900" s="392" t="s">
        <v>1758</v>
      </c>
      <c r="J900" s="392" t="s">
        <v>8561</v>
      </c>
      <c r="K900" s="392" t="s">
        <v>8167</v>
      </c>
      <c r="L900" s="392" t="s">
        <v>7661</v>
      </c>
      <c r="M900" s="392" t="s">
        <v>3758</v>
      </c>
      <c r="N900" s="392" t="s">
        <v>7273</v>
      </c>
      <c r="O900" s="392" t="s">
        <v>7273</v>
      </c>
      <c r="P900"/>
      <c r="Q900"/>
      <c r="R900" s="387">
        <f>VLOOKUP(E900,'[1]NDB Impacted SPRFs 05032013'!$A$2:$A$65536,1,FALSE)</f>
        <v>400055941</v>
      </c>
    </row>
    <row r="901" spans="1:21" s="159" customFormat="1" ht="60" x14ac:dyDescent="0.25">
      <c r="A901" s="63">
        <f>MATCH($E901,'D1 - Master Project Table'!$B$24:$B$7056,0)</f>
        <v>2609</v>
      </c>
      <c r="B901" s="63" t="b">
        <f t="shared" si="39"/>
        <v>0</v>
      </c>
      <c r="C901" s="63" t="b">
        <f t="shared" si="40"/>
        <v>1</v>
      </c>
      <c r="D901" s="63" t="str">
        <f t="shared" si="41"/>
        <v>OK</v>
      </c>
      <c r="E901" s="393">
        <v>400012999</v>
      </c>
      <c r="F901" s="392" t="s">
        <v>4924</v>
      </c>
      <c r="G901" s="392" t="s">
        <v>5325</v>
      </c>
      <c r="H901" s="392" t="s">
        <v>5314</v>
      </c>
      <c r="I901" s="392" t="s">
        <v>6008</v>
      </c>
      <c r="J901" s="392" t="s">
        <v>8272</v>
      </c>
      <c r="K901" s="392" t="s">
        <v>4925</v>
      </c>
      <c r="L901" s="392" t="s">
        <v>6113</v>
      </c>
      <c r="M901" s="392" t="s">
        <v>7273</v>
      </c>
      <c r="N901" s="392" t="s">
        <v>7273</v>
      </c>
      <c r="O901" s="392" t="s">
        <v>7273</v>
      </c>
      <c r="P901"/>
      <c r="Q901"/>
      <c r="R901" s="387">
        <f>VLOOKUP(E901,'[1]NDB Impacted SPRFs 05032013'!$A$2:$A$65536,1,FALSE)</f>
        <v>400012999</v>
      </c>
    </row>
    <row r="902" spans="1:21" s="159" customFormat="1" ht="60" x14ac:dyDescent="0.25">
      <c r="A902" s="63">
        <f>MATCH($E902,'D1 - Master Project Table'!$B$24:$B$7056,0)</f>
        <v>3299</v>
      </c>
      <c r="B902" s="63" t="b">
        <f t="shared" ref="B902:B965" si="42">ISERROR(A902)</f>
        <v>0</v>
      </c>
      <c r="C902" s="63" t="b">
        <f t="shared" ref="C902:C965" si="43">OR(H902="Completed",H902="Cancelled")</f>
        <v>1</v>
      </c>
      <c r="D902" s="63" t="str">
        <f t="shared" ref="D902:D965" si="44">IF(AND(B902=TRUE,C902=FALSE),"Add","OK")</f>
        <v>OK</v>
      </c>
      <c r="E902" s="393">
        <v>400050088</v>
      </c>
      <c r="F902" s="392" t="s">
        <v>3109</v>
      </c>
      <c r="G902" s="392" t="s">
        <v>5324</v>
      </c>
      <c r="H902" s="392" t="s">
        <v>7418</v>
      </c>
      <c r="I902" s="392" t="s">
        <v>1758</v>
      </c>
      <c r="J902" s="392" t="s">
        <v>1178</v>
      </c>
      <c r="K902" s="392" t="s">
        <v>3110</v>
      </c>
      <c r="L902" s="392" t="s">
        <v>3213</v>
      </c>
      <c r="M902" s="392" t="s">
        <v>3758</v>
      </c>
      <c r="N902" s="392" t="s">
        <v>7273</v>
      </c>
      <c r="O902" s="392" t="s">
        <v>7273</v>
      </c>
      <c r="P902" s="212"/>
      <c r="Q902" s="212"/>
      <c r="R902" s="387">
        <f>VLOOKUP(E902,'[1]NDB Impacted SPRFs 05032013'!$A$2:$A$65536,1,FALSE)</f>
        <v>400050088</v>
      </c>
    </row>
    <row r="903" spans="1:21" s="159" customFormat="1" ht="60" x14ac:dyDescent="0.25">
      <c r="A903" s="63">
        <f>MATCH($E903,'D1 - Master Project Table'!$B$24:$B$7056,0)</f>
        <v>102</v>
      </c>
      <c r="B903" s="63" t="b">
        <f t="shared" si="42"/>
        <v>0</v>
      </c>
      <c r="C903" s="63" t="b">
        <f t="shared" si="43"/>
        <v>0</v>
      </c>
      <c r="D903" s="63" t="str">
        <f t="shared" si="44"/>
        <v>OK</v>
      </c>
      <c r="E903" s="393">
        <v>400041448</v>
      </c>
      <c r="F903" s="392" t="s">
        <v>1014</v>
      </c>
      <c r="G903" s="392" t="s">
        <v>9210</v>
      </c>
      <c r="H903" s="392" t="s">
        <v>4917</v>
      </c>
      <c r="I903" s="392" t="s">
        <v>3540</v>
      </c>
      <c r="J903" s="392" t="s">
        <v>8780</v>
      </c>
      <c r="K903" s="392" t="s">
        <v>7043</v>
      </c>
      <c r="L903" s="392" t="s">
        <v>2609</v>
      </c>
      <c r="M903" s="392" t="s">
        <v>3758</v>
      </c>
      <c r="N903" s="392" t="s">
        <v>7273</v>
      </c>
      <c r="O903" s="392" t="s">
        <v>7273</v>
      </c>
      <c r="P903"/>
      <c r="Q903"/>
      <c r="R903" s="387">
        <f>VLOOKUP(E903,'[1]NDB Impacted SPRFs 05032013'!$A$2:$A$65536,1,FALSE)</f>
        <v>400041448</v>
      </c>
      <c r="S903" s="128"/>
      <c r="T903" s="128"/>
      <c r="U903" s="128"/>
    </row>
    <row r="904" spans="1:21" s="159" customFormat="1" ht="45" x14ac:dyDescent="0.25">
      <c r="A904" s="63">
        <f>MATCH($E904,'D1 - Master Project Table'!$B$24:$B$7056,0)</f>
        <v>1821</v>
      </c>
      <c r="B904" s="63" t="b">
        <f t="shared" si="42"/>
        <v>0</v>
      </c>
      <c r="C904" s="63" t="b">
        <f t="shared" si="43"/>
        <v>0</v>
      </c>
      <c r="D904" s="63" t="str">
        <f t="shared" si="44"/>
        <v>OK</v>
      </c>
      <c r="E904" s="393">
        <v>400056470</v>
      </c>
      <c r="F904" s="392" t="s">
        <v>7703</v>
      </c>
      <c r="G904" s="392" t="s">
        <v>6322</v>
      </c>
      <c r="H904" s="392" t="s">
        <v>4917</v>
      </c>
      <c r="I904" s="392" t="s">
        <v>9401</v>
      </c>
      <c r="J904" s="392" t="s">
        <v>17</v>
      </c>
      <c r="K904" s="392" t="s">
        <v>7803</v>
      </c>
      <c r="L904" s="392" t="s">
        <v>76</v>
      </c>
      <c r="M904" s="392" t="s">
        <v>7273</v>
      </c>
      <c r="N904" s="392" t="s">
        <v>7273</v>
      </c>
      <c r="O904" s="392" t="s">
        <v>7273</v>
      </c>
      <c r="P904"/>
      <c r="Q904"/>
      <c r="R904" s="387">
        <f>VLOOKUP(E904,'[1]NDB Impacted SPRFs 05032013'!$A$2:$A$65536,1,FALSE)</f>
        <v>400056470</v>
      </c>
    </row>
    <row r="905" spans="1:21" s="159" customFormat="1" ht="60" x14ac:dyDescent="0.25">
      <c r="A905" s="63">
        <f>MATCH($E905,'D1 - Master Project Table'!$B$24:$B$7056,0)</f>
        <v>1857</v>
      </c>
      <c r="B905" s="63" t="b">
        <f t="shared" si="42"/>
        <v>0</v>
      </c>
      <c r="C905" s="63" t="b">
        <f t="shared" si="43"/>
        <v>1</v>
      </c>
      <c r="D905" s="63" t="str">
        <f t="shared" si="44"/>
        <v>OK</v>
      </c>
      <c r="E905" s="393">
        <v>400000463</v>
      </c>
      <c r="F905" s="392" t="s">
        <v>6148</v>
      </c>
      <c r="G905" s="392" t="s">
        <v>5787</v>
      </c>
      <c r="H905" s="392" t="s">
        <v>7418</v>
      </c>
      <c r="I905" s="392" t="s">
        <v>1772</v>
      </c>
      <c r="J905" s="392" t="s">
        <v>8683</v>
      </c>
      <c r="K905" s="392" t="s">
        <v>4124</v>
      </c>
      <c r="L905" s="392" t="s">
        <v>6365</v>
      </c>
      <c r="M905" s="392" t="s">
        <v>3758</v>
      </c>
      <c r="N905" s="392" t="s">
        <v>7273</v>
      </c>
      <c r="O905" s="392" t="s">
        <v>7273</v>
      </c>
      <c r="P905"/>
      <c r="Q905"/>
      <c r="R905" s="387">
        <f>VLOOKUP(E905,'[1]NDB Impacted SPRFs 05032013'!$A$2:$A$65536,1,FALSE)</f>
        <v>400000463</v>
      </c>
      <c r="S905" s="128"/>
      <c r="T905" s="128"/>
      <c r="U905" s="128"/>
    </row>
    <row r="906" spans="1:21" s="159" customFormat="1" ht="45" x14ac:dyDescent="0.25">
      <c r="A906" s="63">
        <f>MATCH($E906,'D1 - Master Project Table'!$B$24:$B$7056,0)</f>
        <v>507</v>
      </c>
      <c r="B906" s="63" t="b">
        <f t="shared" si="42"/>
        <v>0</v>
      </c>
      <c r="C906" s="63" t="b">
        <f t="shared" si="43"/>
        <v>1</v>
      </c>
      <c r="D906" s="63" t="str">
        <f t="shared" si="44"/>
        <v>OK</v>
      </c>
      <c r="E906" s="393">
        <v>400005917</v>
      </c>
      <c r="F906" s="392" t="s">
        <v>4129</v>
      </c>
      <c r="G906" s="392" t="s">
        <v>3441</v>
      </c>
      <c r="H906" s="392" t="s">
        <v>7418</v>
      </c>
      <c r="I906" s="392" t="s">
        <v>2662</v>
      </c>
      <c r="J906" s="392" t="s">
        <v>8846</v>
      </c>
      <c r="K906" s="392" t="s">
        <v>3353</v>
      </c>
      <c r="L906" s="392" t="s">
        <v>1055</v>
      </c>
      <c r="M906" s="392" t="s">
        <v>3758</v>
      </c>
      <c r="N906" s="392" t="s">
        <v>7273</v>
      </c>
      <c r="O906" s="392" t="s">
        <v>7273</v>
      </c>
      <c r="P906"/>
      <c r="Q906"/>
      <c r="R906" s="387">
        <f>VLOOKUP(E906,'[1]NDB Impacted SPRFs 05032013'!$A$2:$A$65536,1,FALSE)</f>
        <v>400005917</v>
      </c>
      <c r="S906" s="128"/>
      <c r="T906" s="128"/>
      <c r="U906" s="128"/>
    </row>
    <row r="907" spans="1:21" s="159" customFormat="1" ht="45" x14ac:dyDescent="0.25">
      <c r="A907" s="63">
        <f>MATCH($E907,'D1 - Master Project Table'!$B$24:$B$7056,0)</f>
        <v>1372</v>
      </c>
      <c r="B907" s="63" t="b">
        <f t="shared" si="42"/>
        <v>0</v>
      </c>
      <c r="C907" s="63" t="b">
        <f t="shared" si="43"/>
        <v>1</v>
      </c>
      <c r="D907" s="63" t="str">
        <f t="shared" si="44"/>
        <v>OK</v>
      </c>
      <c r="E907" s="393">
        <v>400037764</v>
      </c>
      <c r="F907" s="392" t="s">
        <v>1426</v>
      </c>
      <c r="G907" s="392" t="s">
        <v>5324</v>
      </c>
      <c r="H907" s="392" t="s">
        <v>7418</v>
      </c>
      <c r="I907" s="392" t="s">
        <v>1786</v>
      </c>
      <c r="J907" s="392" t="s">
        <v>3449</v>
      </c>
      <c r="K907" s="392" t="s">
        <v>3450</v>
      </c>
      <c r="L907" s="392" t="s">
        <v>1552</v>
      </c>
      <c r="M907" s="392" t="s">
        <v>7273</v>
      </c>
      <c r="N907" s="392" t="s">
        <v>7273</v>
      </c>
      <c r="O907" s="392" t="s">
        <v>3758</v>
      </c>
      <c r="P907"/>
      <c r="Q907"/>
      <c r="R907" s="387">
        <f>VLOOKUP(E907,'[1]NDB Impacted SPRFs 05032013'!$A$2:$A$65536,1,FALSE)</f>
        <v>400037764</v>
      </c>
    </row>
    <row r="908" spans="1:21" s="159" customFormat="1" ht="45" x14ac:dyDescent="0.25">
      <c r="A908" s="63">
        <f>MATCH($E908,'D1 - Master Project Table'!$B$24:$B$7056,0)</f>
        <v>2494</v>
      </c>
      <c r="B908" s="63" t="b">
        <f t="shared" si="42"/>
        <v>0</v>
      </c>
      <c r="C908" s="63" t="b">
        <f t="shared" si="43"/>
        <v>1</v>
      </c>
      <c r="D908" s="63" t="str">
        <f t="shared" si="44"/>
        <v>OK</v>
      </c>
      <c r="E908" s="393">
        <v>400006407</v>
      </c>
      <c r="F908" s="392" t="s">
        <v>4919</v>
      </c>
      <c r="G908" s="392" t="s">
        <v>5787</v>
      </c>
      <c r="H908" s="392" t="s">
        <v>7418</v>
      </c>
      <c r="I908" s="392" t="s">
        <v>6869</v>
      </c>
      <c r="J908" s="392" t="s">
        <v>5078</v>
      </c>
      <c r="K908" s="392" t="s">
        <v>3323</v>
      </c>
      <c r="L908" s="392" t="s">
        <v>3640</v>
      </c>
      <c r="M908" s="392" t="s">
        <v>3758</v>
      </c>
      <c r="N908" s="392" t="s">
        <v>7273</v>
      </c>
      <c r="O908" s="392" t="s">
        <v>7273</v>
      </c>
      <c r="P908"/>
      <c r="Q908"/>
      <c r="R908" s="387">
        <f>VLOOKUP(E908,'[1]NDB Impacted SPRFs 05032013'!$A$2:$A$65536,1,FALSE)</f>
        <v>400006407</v>
      </c>
    </row>
    <row r="909" spans="1:21" s="159" customFormat="1" ht="60" x14ac:dyDescent="0.25">
      <c r="A909" s="63">
        <f>MATCH($E909,'D1 - Master Project Table'!$B$24:$B$7056,0)</f>
        <v>902</v>
      </c>
      <c r="B909" s="63" t="b">
        <f t="shared" si="42"/>
        <v>0</v>
      </c>
      <c r="C909" s="63" t="b">
        <f t="shared" si="43"/>
        <v>1</v>
      </c>
      <c r="D909" s="63" t="str">
        <f t="shared" si="44"/>
        <v>OK</v>
      </c>
      <c r="E909" s="393">
        <v>400021487</v>
      </c>
      <c r="F909" s="392" t="s">
        <v>5156</v>
      </c>
      <c r="G909" s="392" t="s">
        <v>5324</v>
      </c>
      <c r="H909" s="392" t="s">
        <v>7418</v>
      </c>
      <c r="I909" s="392" t="s">
        <v>1756</v>
      </c>
      <c r="J909" s="392" t="s">
        <v>5647</v>
      </c>
      <c r="K909" s="392" t="s">
        <v>1506</v>
      </c>
      <c r="L909" s="392" t="s">
        <v>2624</v>
      </c>
      <c r="M909" s="392" t="s">
        <v>7273</v>
      </c>
      <c r="N909" s="392" t="s">
        <v>7273</v>
      </c>
      <c r="O909" s="392" t="s">
        <v>7273</v>
      </c>
      <c r="P909"/>
      <c r="Q909"/>
      <c r="R909" s="387">
        <f>VLOOKUP(E909,'[1]NDB Impacted SPRFs 05032013'!$A$2:$A$65536,1,FALSE)</f>
        <v>400021487</v>
      </c>
      <c r="S909" s="128"/>
      <c r="T909" s="128"/>
      <c r="U909" s="128"/>
    </row>
    <row r="910" spans="1:21" s="159" customFormat="1" ht="60" x14ac:dyDescent="0.25">
      <c r="A910" s="63">
        <f>MATCH($E910,'D1 - Master Project Table'!$B$24:$B$7056,0)</f>
        <v>1943</v>
      </c>
      <c r="B910" s="63" t="b">
        <f t="shared" si="42"/>
        <v>0</v>
      </c>
      <c r="C910" s="63" t="b">
        <f t="shared" si="43"/>
        <v>1</v>
      </c>
      <c r="D910" s="63" t="str">
        <f t="shared" si="44"/>
        <v>OK</v>
      </c>
      <c r="E910" s="393">
        <v>400018662</v>
      </c>
      <c r="F910" s="392" t="s">
        <v>3335</v>
      </c>
      <c r="G910" s="392" t="s">
        <v>5324</v>
      </c>
      <c r="H910" s="392" t="s">
        <v>7418</v>
      </c>
      <c r="I910" s="392" t="s">
        <v>1763</v>
      </c>
      <c r="J910" s="392" t="s">
        <v>8430</v>
      </c>
      <c r="K910" s="392" t="s">
        <v>5622</v>
      </c>
      <c r="L910" s="392" t="s">
        <v>6761</v>
      </c>
      <c r="M910" s="392" t="s">
        <v>3758</v>
      </c>
      <c r="N910" s="392" t="s">
        <v>7273</v>
      </c>
      <c r="O910" s="392" t="s">
        <v>7273</v>
      </c>
      <c r="P910"/>
      <c r="Q910"/>
      <c r="R910" s="387">
        <f>VLOOKUP(E910,'[1]NDB Impacted SPRFs 05032013'!$A$2:$A$65536,1,FALSE)</f>
        <v>400018662</v>
      </c>
    </row>
    <row r="911" spans="1:21" s="159" customFormat="1" ht="60" x14ac:dyDescent="0.25">
      <c r="A911" s="63">
        <f>MATCH($E911,'D1 - Master Project Table'!$B$24:$B$7056,0)</f>
        <v>1063</v>
      </c>
      <c r="B911" s="63" t="b">
        <f t="shared" si="42"/>
        <v>0</v>
      </c>
      <c r="C911" s="63" t="b">
        <f t="shared" si="43"/>
        <v>1</v>
      </c>
      <c r="D911" s="63" t="str">
        <f t="shared" si="44"/>
        <v>OK</v>
      </c>
      <c r="E911" s="393">
        <v>400027402</v>
      </c>
      <c r="F911" s="392" t="s">
        <v>7049</v>
      </c>
      <c r="G911" s="392" t="s">
        <v>5324</v>
      </c>
      <c r="H911" s="392" t="s">
        <v>7418</v>
      </c>
      <c r="I911" s="392" t="s">
        <v>1756</v>
      </c>
      <c r="J911" s="392" t="s">
        <v>7874</v>
      </c>
      <c r="K911" s="392" t="s">
        <v>1506</v>
      </c>
      <c r="L911" s="392" t="s">
        <v>6742</v>
      </c>
      <c r="M911" s="392" t="s">
        <v>3758</v>
      </c>
      <c r="N911" s="392" t="s">
        <v>7273</v>
      </c>
      <c r="O911" s="392" t="s">
        <v>7273</v>
      </c>
      <c r="P911"/>
      <c r="Q911"/>
      <c r="R911" s="387">
        <f>VLOOKUP(E911,'[1]NDB Impacted SPRFs 05032013'!$A$2:$A$65536,1,FALSE)</f>
        <v>400027402</v>
      </c>
    </row>
    <row r="912" spans="1:21" s="159" customFormat="1" ht="60" x14ac:dyDescent="0.25">
      <c r="A912" s="63">
        <f>MATCH($E912,'D1 - Master Project Table'!$B$24:$B$7056,0)</f>
        <v>2275</v>
      </c>
      <c r="B912" s="63" t="b">
        <f t="shared" si="42"/>
        <v>0</v>
      </c>
      <c r="C912" s="63" t="b">
        <f t="shared" si="43"/>
        <v>1</v>
      </c>
      <c r="D912" s="63" t="str">
        <f t="shared" si="44"/>
        <v>OK</v>
      </c>
      <c r="E912" s="393">
        <v>400037965</v>
      </c>
      <c r="F912" s="392" t="s">
        <v>6055</v>
      </c>
      <c r="G912" s="392" t="s">
        <v>5325</v>
      </c>
      <c r="H912" s="392" t="s">
        <v>5314</v>
      </c>
      <c r="I912" s="392" t="s">
        <v>6419</v>
      </c>
      <c r="J912" s="392" t="s">
        <v>6584</v>
      </c>
      <c r="K912" s="392" t="s">
        <v>6402</v>
      </c>
      <c r="L912" s="392" t="s">
        <v>5968</v>
      </c>
      <c r="M912" s="392" t="s">
        <v>7273</v>
      </c>
      <c r="N912" s="392" t="s">
        <v>7273</v>
      </c>
      <c r="O912" s="392" t="s">
        <v>7273</v>
      </c>
      <c r="P912"/>
      <c r="Q912"/>
      <c r="R912" s="387">
        <f>VLOOKUP(E912,'[1]NDB Impacted SPRFs 05032013'!$A$2:$A$65536,1,FALSE)</f>
        <v>400037965</v>
      </c>
    </row>
    <row r="913" spans="1:21" s="159" customFormat="1" ht="60" x14ac:dyDescent="0.25">
      <c r="A913" s="63">
        <f>MATCH($E913,'D1 - Master Project Table'!$B$24:$B$7056,0)</f>
        <v>2130</v>
      </c>
      <c r="B913" s="63" t="b">
        <f t="shared" si="42"/>
        <v>0</v>
      </c>
      <c r="C913" s="63" t="b">
        <f t="shared" si="43"/>
        <v>1</v>
      </c>
      <c r="D913" s="63" t="str">
        <f t="shared" si="44"/>
        <v>OK</v>
      </c>
      <c r="E913" s="393">
        <v>400011478</v>
      </c>
      <c r="F913" s="392" t="s">
        <v>8080</v>
      </c>
      <c r="G913" s="392" t="s">
        <v>5324</v>
      </c>
      <c r="H913" s="392" t="s">
        <v>7418</v>
      </c>
      <c r="I913" s="392" t="s">
        <v>1759</v>
      </c>
      <c r="J913" s="392" t="s">
        <v>8542</v>
      </c>
      <c r="K913" s="392" t="s">
        <v>2566</v>
      </c>
      <c r="L913" s="392" t="s">
        <v>4467</v>
      </c>
      <c r="M913" s="392" t="s">
        <v>3758</v>
      </c>
      <c r="N913" s="392" t="s">
        <v>7273</v>
      </c>
      <c r="O913" s="392" t="s">
        <v>7273</v>
      </c>
      <c r="P913"/>
      <c r="Q913"/>
      <c r="R913" s="387">
        <f>VLOOKUP(E913,'[1]NDB Impacted SPRFs 05032013'!$A$2:$A$65536,1,FALSE)</f>
        <v>400011478</v>
      </c>
    </row>
    <row r="914" spans="1:21" s="159" customFormat="1" ht="60" x14ac:dyDescent="0.25">
      <c r="A914" s="63">
        <f>MATCH($E914,'D1 - Master Project Table'!$B$24:$B$7056,0)</f>
        <v>2215</v>
      </c>
      <c r="B914" s="63" t="b">
        <f t="shared" si="42"/>
        <v>0</v>
      </c>
      <c r="C914" s="63" t="b">
        <f t="shared" si="43"/>
        <v>1</v>
      </c>
      <c r="D914" s="63" t="str">
        <f t="shared" si="44"/>
        <v>OK</v>
      </c>
      <c r="E914" s="393">
        <v>400022903</v>
      </c>
      <c r="F914" s="392" t="s">
        <v>1250</v>
      </c>
      <c r="G914" s="392" t="s">
        <v>5995</v>
      </c>
      <c r="H914" s="392" t="s">
        <v>5314</v>
      </c>
      <c r="I914" s="392" t="s">
        <v>6423</v>
      </c>
      <c r="J914" s="392" t="s">
        <v>4424</v>
      </c>
      <c r="K914" s="392" t="s">
        <v>4114</v>
      </c>
      <c r="L914" s="392" t="s">
        <v>7821</v>
      </c>
      <c r="M914" s="392" t="s">
        <v>7273</v>
      </c>
      <c r="N914" s="392" t="s">
        <v>7273</v>
      </c>
      <c r="O914" s="392" t="s">
        <v>7273</v>
      </c>
      <c r="P914"/>
      <c r="Q914"/>
      <c r="R914" s="387">
        <f>VLOOKUP(E914,'[1]NDB Impacted SPRFs 05032013'!$A$2:$A$65536,1,FALSE)</f>
        <v>400022903</v>
      </c>
    </row>
    <row r="915" spans="1:21" s="159" customFormat="1" ht="60" x14ac:dyDescent="0.25">
      <c r="A915" s="63">
        <f>MATCH($E915,'D1 - Master Project Table'!$B$24:$B$7056,0)</f>
        <v>3216</v>
      </c>
      <c r="B915" s="63" t="b">
        <f t="shared" si="42"/>
        <v>0</v>
      </c>
      <c r="C915" s="63" t="b">
        <f t="shared" si="43"/>
        <v>1</v>
      </c>
      <c r="D915" s="63" t="str">
        <f t="shared" si="44"/>
        <v>OK</v>
      </c>
      <c r="E915" s="393">
        <v>400048665</v>
      </c>
      <c r="F915" s="392" t="s">
        <v>775</v>
      </c>
      <c r="G915" s="392" t="s">
        <v>5995</v>
      </c>
      <c r="H915" s="392" t="s">
        <v>7418</v>
      </c>
      <c r="I915" s="392" t="s">
        <v>6423</v>
      </c>
      <c r="J915" s="392" t="s">
        <v>8830</v>
      </c>
      <c r="K915" s="392" t="s">
        <v>4114</v>
      </c>
      <c r="L915" s="392" t="s">
        <v>4446</v>
      </c>
      <c r="M915" s="392" t="s">
        <v>7273</v>
      </c>
      <c r="N915" s="392" t="s">
        <v>7273</v>
      </c>
      <c r="O915" s="392" t="s">
        <v>7273</v>
      </c>
      <c r="P915"/>
      <c r="Q915"/>
      <c r="R915" s="387">
        <f>VLOOKUP(E915,'[1]NDB Impacted SPRFs 05032013'!$A$2:$A$65536,1,FALSE)</f>
        <v>400048665</v>
      </c>
    </row>
    <row r="916" spans="1:21" s="159" customFormat="1" ht="60" x14ac:dyDescent="0.25">
      <c r="A916" s="63">
        <f>MATCH($E916,'D1 - Master Project Table'!$B$24:$B$7056,0)</f>
        <v>302</v>
      </c>
      <c r="B916" s="63" t="b">
        <f t="shared" si="42"/>
        <v>0</v>
      </c>
      <c r="C916" s="63" t="b">
        <f t="shared" si="43"/>
        <v>1</v>
      </c>
      <c r="D916" s="63" t="str">
        <f t="shared" si="44"/>
        <v>OK</v>
      </c>
      <c r="E916" s="393">
        <v>400001982</v>
      </c>
      <c r="F916" s="392" t="s">
        <v>3909</v>
      </c>
      <c r="G916" s="392" t="s">
        <v>5787</v>
      </c>
      <c r="H916" s="392" t="s">
        <v>7418</v>
      </c>
      <c r="I916" s="392" t="s">
        <v>1824</v>
      </c>
      <c r="J916" s="392" t="s">
        <v>8661</v>
      </c>
      <c r="K916" s="392" t="s">
        <v>3009</v>
      </c>
      <c r="L916" s="392" t="s">
        <v>3001</v>
      </c>
      <c r="M916" s="392" t="s">
        <v>3758</v>
      </c>
      <c r="N916" s="392" t="s">
        <v>7273</v>
      </c>
      <c r="O916" s="392" t="s">
        <v>7273</v>
      </c>
      <c r="P916"/>
      <c r="Q916"/>
      <c r="R916" s="387">
        <f>VLOOKUP(E916,'[1]NDB Impacted SPRFs 05032013'!$A$2:$A$65536,1,FALSE)</f>
        <v>400001982</v>
      </c>
    </row>
    <row r="917" spans="1:21" s="159" customFormat="1" ht="60" x14ac:dyDescent="0.25">
      <c r="A917" s="63">
        <f>MATCH($E917,'D1 - Master Project Table'!$B$24:$B$7056,0)</f>
        <v>2957</v>
      </c>
      <c r="B917" s="63" t="b">
        <f t="shared" si="42"/>
        <v>0</v>
      </c>
      <c r="C917" s="63" t="b">
        <f t="shared" si="43"/>
        <v>1</v>
      </c>
      <c r="D917" s="63" t="str">
        <f t="shared" si="44"/>
        <v>OK</v>
      </c>
      <c r="E917" s="393">
        <v>400035935</v>
      </c>
      <c r="F917" s="392" t="s">
        <v>7047</v>
      </c>
      <c r="G917" s="392" t="s">
        <v>5324</v>
      </c>
      <c r="H917" s="392" t="s">
        <v>5314</v>
      </c>
      <c r="I917" s="392" t="s">
        <v>1595</v>
      </c>
      <c r="J917" s="392" t="s">
        <v>1973</v>
      </c>
      <c r="K917" s="392" t="s">
        <v>5575</v>
      </c>
      <c r="L917" s="392" t="s">
        <v>4249</v>
      </c>
      <c r="M917" s="392" t="s">
        <v>7273</v>
      </c>
      <c r="N917" s="392" t="s">
        <v>7273</v>
      </c>
      <c r="O917" s="392" t="s">
        <v>7273</v>
      </c>
      <c r="P917"/>
      <c r="Q917"/>
      <c r="R917" s="387">
        <f>VLOOKUP(E917,'[1]NDB Impacted SPRFs 05032013'!$A$2:$A$65536,1,FALSE)</f>
        <v>400035935</v>
      </c>
      <c r="S917" s="128"/>
      <c r="T917" s="128"/>
      <c r="U917" s="128"/>
    </row>
    <row r="918" spans="1:21" s="159" customFormat="1" ht="60" x14ac:dyDescent="0.25">
      <c r="A918" s="63">
        <f>MATCH($E918,'D1 - Master Project Table'!$B$24:$B$7056,0)</f>
        <v>1415</v>
      </c>
      <c r="B918" s="63" t="b">
        <f t="shared" si="42"/>
        <v>0</v>
      </c>
      <c r="C918" s="63" t="b">
        <f t="shared" si="43"/>
        <v>1</v>
      </c>
      <c r="D918" s="63" t="str">
        <f t="shared" si="44"/>
        <v>OK</v>
      </c>
      <c r="E918" s="393">
        <v>400039254</v>
      </c>
      <c r="F918" s="392" t="s">
        <v>1184</v>
      </c>
      <c r="G918" s="392" t="s">
        <v>6322</v>
      </c>
      <c r="H918" s="392" t="s">
        <v>7418</v>
      </c>
      <c r="I918" s="392" t="s">
        <v>7594</v>
      </c>
      <c r="J918" s="392" t="s">
        <v>1185</v>
      </c>
      <c r="K918" s="392" t="s">
        <v>7164</v>
      </c>
      <c r="L918" s="392" t="s">
        <v>244</v>
      </c>
      <c r="M918" s="392" t="s">
        <v>7273</v>
      </c>
      <c r="N918" s="392" t="s">
        <v>7273</v>
      </c>
      <c r="O918" s="392" t="s">
        <v>7273</v>
      </c>
      <c r="P918"/>
      <c r="Q918"/>
      <c r="R918" s="387">
        <f>VLOOKUP(E918,'[1]NDB Impacted SPRFs 05032013'!$A$2:$A$65536,1,FALSE)</f>
        <v>400039254</v>
      </c>
      <c r="S918" s="128"/>
      <c r="T918" s="128"/>
      <c r="U918" s="128"/>
    </row>
    <row r="919" spans="1:21" s="159" customFormat="1" ht="60" x14ac:dyDescent="0.25">
      <c r="A919" s="63">
        <f>MATCH($E919,'D1 - Master Project Table'!$B$24:$B$7056,0)</f>
        <v>1648</v>
      </c>
      <c r="B919" s="63" t="b">
        <f t="shared" si="42"/>
        <v>0</v>
      </c>
      <c r="C919" s="63" t="b">
        <f t="shared" si="43"/>
        <v>1</v>
      </c>
      <c r="D919" s="63" t="str">
        <f t="shared" si="44"/>
        <v>OK</v>
      </c>
      <c r="E919" s="393">
        <v>400048789</v>
      </c>
      <c r="F919" s="392" t="s">
        <v>1670</v>
      </c>
      <c r="G919" s="392" t="s">
        <v>9210</v>
      </c>
      <c r="H919" s="392" t="s">
        <v>7418</v>
      </c>
      <c r="I919" s="392" t="s">
        <v>2655</v>
      </c>
      <c r="J919" s="392" t="s">
        <v>2189</v>
      </c>
      <c r="K919" s="392" t="s">
        <v>6986</v>
      </c>
      <c r="L919" s="392" t="s">
        <v>552</v>
      </c>
      <c r="M919" s="392" t="s">
        <v>3758</v>
      </c>
      <c r="N919" s="392" t="s">
        <v>7273</v>
      </c>
      <c r="O919" s="392" t="s">
        <v>3758</v>
      </c>
      <c r="P919"/>
      <c r="Q919"/>
      <c r="R919" s="387">
        <f>VLOOKUP(E919,'[1]NDB Impacted SPRFs 05032013'!$A$2:$A$65536,1,FALSE)</f>
        <v>400048789</v>
      </c>
    </row>
    <row r="920" spans="1:21" s="159" customFormat="1" ht="45" customHeight="1" x14ac:dyDescent="0.25">
      <c r="A920" s="63">
        <f>MATCH($E920,'D1 - Master Project Table'!$B$24:$B$7056,0)</f>
        <v>2771</v>
      </c>
      <c r="B920" s="63" t="b">
        <f t="shared" si="42"/>
        <v>0</v>
      </c>
      <c r="C920" s="63" t="b">
        <f t="shared" si="43"/>
        <v>1</v>
      </c>
      <c r="D920" s="63" t="str">
        <f t="shared" si="44"/>
        <v>OK</v>
      </c>
      <c r="E920" s="393">
        <v>400021648</v>
      </c>
      <c r="F920" s="392" t="s">
        <v>4030</v>
      </c>
      <c r="G920" s="392" t="s">
        <v>5324</v>
      </c>
      <c r="H920" s="392" t="s">
        <v>5314</v>
      </c>
      <c r="I920" s="392" t="s">
        <v>1756</v>
      </c>
      <c r="J920" s="392" t="s">
        <v>4598</v>
      </c>
      <c r="K920" s="392" t="s">
        <v>1506</v>
      </c>
      <c r="L920" s="392" t="s">
        <v>4869</v>
      </c>
      <c r="M920" s="392" t="s">
        <v>3758</v>
      </c>
      <c r="N920" s="392" t="s">
        <v>7273</v>
      </c>
      <c r="O920" s="392" t="s">
        <v>7273</v>
      </c>
      <c r="P920"/>
      <c r="Q920"/>
      <c r="R920" s="387">
        <f>VLOOKUP(E920,'[1]NDB Impacted SPRFs 05032013'!$A$2:$A$65536,1,FALSE)</f>
        <v>400021648</v>
      </c>
      <c r="S920" s="128"/>
      <c r="T920" s="128"/>
      <c r="U920" s="128"/>
    </row>
    <row r="921" spans="1:21" s="159" customFormat="1" ht="60" x14ac:dyDescent="0.25">
      <c r="A921" s="63">
        <f>MATCH($E921,'D1 - Master Project Table'!$B$24:$B$7056,0)</f>
        <v>2779</v>
      </c>
      <c r="B921" s="63" t="b">
        <f t="shared" si="42"/>
        <v>0</v>
      </c>
      <c r="C921" s="63" t="b">
        <f t="shared" si="43"/>
        <v>1</v>
      </c>
      <c r="D921" s="63" t="str">
        <f t="shared" si="44"/>
        <v>OK</v>
      </c>
      <c r="E921" s="393">
        <v>400021939</v>
      </c>
      <c r="F921" s="392" t="s">
        <v>2336</v>
      </c>
      <c r="G921" s="392" t="s">
        <v>5324</v>
      </c>
      <c r="H921" s="392" t="s">
        <v>5314</v>
      </c>
      <c r="I921" s="392" t="s">
        <v>1758</v>
      </c>
      <c r="J921" s="392" t="s">
        <v>8390</v>
      </c>
      <c r="K921" s="392" t="s">
        <v>7784</v>
      </c>
      <c r="L921" s="392" t="s">
        <v>7518</v>
      </c>
      <c r="M921" s="392" t="s">
        <v>3758</v>
      </c>
      <c r="N921" s="392" t="s">
        <v>7273</v>
      </c>
      <c r="O921" s="392" t="s">
        <v>7273</v>
      </c>
      <c r="P921"/>
      <c r="Q921"/>
      <c r="R921" s="387">
        <f>VLOOKUP(E921,'[1]NDB Impacted SPRFs 05032013'!$A$2:$A$65536,1,FALSE)</f>
        <v>400021939</v>
      </c>
    </row>
    <row r="922" spans="1:21" s="159" customFormat="1" ht="60" x14ac:dyDescent="0.25">
      <c r="A922" s="63">
        <f>MATCH($E922,'D1 - Master Project Table'!$B$24:$B$7056,0)</f>
        <v>185</v>
      </c>
      <c r="B922" s="63" t="b">
        <f t="shared" si="42"/>
        <v>0</v>
      </c>
      <c r="C922" s="63" t="b">
        <f t="shared" si="43"/>
        <v>0</v>
      </c>
      <c r="D922" s="63" t="str">
        <f t="shared" si="44"/>
        <v>OK</v>
      </c>
      <c r="E922" s="393">
        <v>400057085</v>
      </c>
      <c r="F922" s="392" t="s">
        <v>7443</v>
      </c>
      <c r="G922" s="392" t="s">
        <v>5324</v>
      </c>
      <c r="H922" s="392" t="s">
        <v>4917</v>
      </c>
      <c r="I922" s="392" t="s">
        <v>1763</v>
      </c>
      <c r="J922" s="392" t="s">
        <v>6584</v>
      </c>
      <c r="K922" s="392" t="s">
        <v>5162</v>
      </c>
      <c r="L922" s="392" t="s">
        <v>9228</v>
      </c>
      <c r="M922" s="392" t="s">
        <v>3758</v>
      </c>
      <c r="N922" s="392" t="s">
        <v>7273</v>
      </c>
      <c r="O922" s="392" t="s">
        <v>7273</v>
      </c>
      <c r="P922"/>
      <c r="Q922"/>
      <c r="R922" s="387">
        <f>VLOOKUP(E922,'[1]NDB Impacted SPRFs 05032013'!$A$2:$A$65536,1,FALSE)</f>
        <v>400057085</v>
      </c>
      <c r="S922" s="128"/>
      <c r="T922" s="128"/>
      <c r="U922" s="128"/>
    </row>
    <row r="923" spans="1:21" s="159" customFormat="1" ht="60" x14ac:dyDescent="0.25">
      <c r="A923" s="63">
        <f>MATCH($E923,'D1 - Master Project Table'!$B$24:$B$7056,0)</f>
        <v>1464</v>
      </c>
      <c r="B923" s="63" t="b">
        <f t="shared" si="42"/>
        <v>0</v>
      </c>
      <c r="C923" s="63" t="b">
        <f t="shared" si="43"/>
        <v>1</v>
      </c>
      <c r="D923" s="63" t="str">
        <f t="shared" si="44"/>
        <v>OK</v>
      </c>
      <c r="E923" s="393">
        <v>400040488</v>
      </c>
      <c r="F923" s="392" t="s">
        <v>5287</v>
      </c>
      <c r="G923" s="392" t="s">
        <v>5324</v>
      </c>
      <c r="H923" s="392" t="s">
        <v>7418</v>
      </c>
      <c r="I923" s="392" t="s">
        <v>1758</v>
      </c>
      <c r="J923" s="392" t="s">
        <v>2273</v>
      </c>
      <c r="K923" s="392" t="s">
        <v>5288</v>
      </c>
      <c r="L923" s="392" t="s">
        <v>3592</v>
      </c>
      <c r="M923" s="392" t="s">
        <v>7273</v>
      </c>
      <c r="N923" s="392" t="s">
        <v>7273</v>
      </c>
      <c r="O923" s="392" t="s">
        <v>3758</v>
      </c>
      <c r="P923"/>
      <c r="Q923"/>
      <c r="R923" s="387">
        <f>VLOOKUP(E923,'[1]NDB Impacted SPRFs 05032013'!$A$2:$A$65536,1,FALSE)</f>
        <v>400040488</v>
      </c>
    </row>
    <row r="924" spans="1:21" s="159" customFormat="1" ht="60" x14ac:dyDescent="0.25">
      <c r="A924" s="63">
        <f>MATCH($E924,'D1 - Master Project Table'!$B$24:$B$7056,0)</f>
        <v>3029</v>
      </c>
      <c r="B924" s="63" t="b">
        <f t="shared" si="42"/>
        <v>0</v>
      </c>
      <c r="C924" s="63" t="b">
        <f t="shared" si="43"/>
        <v>1</v>
      </c>
      <c r="D924" s="63" t="str">
        <f t="shared" si="44"/>
        <v>OK</v>
      </c>
      <c r="E924" s="393">
        <v>400041109</v>
      </c>
      <c r="F924" s="392" t="s">
        <v>1535</v>
      </c>
      <c r="G924" s="392" t="s">
        <v>6322</v>
      </c>
      <c r="H924" s="392" t="s">
        <v>5314</v>
      </c>
      <c r="I924" s="392" t="s">
        <v>1762</v>
      </c>
      <c r="J924" s="392" t="s">
        <v>4688</v>
      </c>
      <c r="K924" s="392" t="s">
        <v>7403</v>
      </c>
      <c r="L924" s="392" t="s">
        <v>2324</v>
      </c>
      <c r="M924" s="392" t="s">
        <v>7273</v>
      </c>
      <c r="N924" s="392" t="s">
        <v>7273</v>
      </c>
      <c r="O924" s="392" t="s">
        <v>7273</v>
      </c>
      <c r="P924"/>
      <c r="Q924"/>
      <c r="R924" s="387">
        <f>VLOOKUP(E924,'[1]NDB Impacted SPRFs 05032013'!$A$2:$A$65536,1,FALSE)</f>
        <v>400041109</v>
      </c>
    </row>
    <row r="925" spans="1:21" s="159" customFormat="1" ht="60" x14ac:dyDescent="0.25">
      <c r="A925" s="63">
        <f>MATCH($E925,'D1 - Master Project Table'!$B$24:$B$7056,0)</f>
        <v>3220</v>
      </c>
      <c r="B925" s="63" t="b">
        <f t="shared" si="42"/>
        <v>0</v>
      </c>
      <c r="C925" s="63" t="b">
        <f t="shared" si="43"/>
        <v>1</v>
      </c>
      <c r="D925" s="63" t="str">
        <f t="shared" si="44"/>
        <v>OK</v>
      </c>
      <c r="E925" s="393">
        <v>400049612</v>
      </c>
      <c r="F925" s="392" t="s">
        <v>420</v>
      </c>
      <c r="G925" s="392" t="s">
        <v>5324</v>
      </c>
      <c r="H925" s="392" t="s">
        <v>7418</v>
      </c>
      <c r="I925" s="392" t="s">
        <v>862</v>
      </c>
      <c r="J925" s="392" t="s">
        <v>1586</v>
      </c>
      <c r="K925" s="392" t="s">
        <v>421</v>
      </c>
      <c r="L925" s="392" t="s">
        <v>2155</v>
      </c>
      <c r="M925" s="392" t="s">
        <v>7273</v>
      </c>
      <c r="N925" s="392" t="s">
        <v>7273</v>
      </c>
      <c r="O925" s="392" t="s">
        <v>7273</v>
      </c>
      <c r="P925"/>
      <c r="Q925"/>
      <c r="R925" s="387">
        <f>VLOOKUP(E925,'[1]NDB Impacted SPRFs 05032013'!$A$2:$A$65536,1,FALSE)</f>
        <v>400049612</v>
      </c>
      <c r="S925" s="128"/>
      <c r="T925" s="128"/>
      <c r="U925" s="128"/>
    </row>
    <row r="926" spans="1:21" s="159" customFormat="1" ht="60" x14ac:dyDescent="0.25">
      <c r="A926" s="63">
        <f>MATCH($E926,'D1 - Master Project Table'!$B$24:$B$7056,0)</f>
        <v>3150</v>
      </c>
      <c r="B926" s="63" t="b">
        <f t="shared" si="42"/>
        <v>0</v>
      </c>
      <c r="C926" s="63" t="b">
        <f t="shared" si="43"/>
        <v>0</v>
      </c>
      <c r="D926" s="63" t="str">
        <f t="shared" si="44"/>
        <v>OK</v>
      </c>
      <c r="E926" s="393">
        <v>400058226</v>
      </c>
      <c r="F926" s="392" t="s">
        <v>9099</v>
      </c>
      <c r="G926" s="392" t="s">
        <v>5324</v>
      </c>
      <c r="H926" s="392" t="s">
        <v>7479</v>
      </c>
      <c r="I926" s="392" t="s">
        <v>1762</v>
      </c>
      <c r="J926" s="392" t="s">
        <v>8484</v>
      </c>
      <c r="K926" s="392" t="s">
        <v>9100</v>
      </c>
      <c r="L926" s="392" t="s">
        <v>9101</v>
      </c>
      <c r="M926" s="392" t="s">
        <v>3758</v>
      </c>
      <c r="N926" s="392" t="s">
        <v>7273</v>
      </c>
      <c r="O926" s="392" t="s">
        <v>7273</v>
      </c>
      <c r="P926"/>
      <c r="Q926"/>
      <c r="R926" s="387">
        <f>VLOOKUP(E926,'[1]NDB Impacted SPRFs 05032013'!$A$2:$A$65536,1,FALSE)</f>
        <v>400058226</v>
      </c>
    </row>
    <row r="927" spans="1:21" s="159" customFormat="1" ht="60" x14ac:dyDescent="0.25">
      <c r="A927" s="63">
        <f>MATCH($E927,'D1 - Master Project Table'!$B$24:$B$7056,0)</f>
        <v>2640</v>
      </c>
      <c r="B927" s="63" t="b">
        <f t="shared" si="42"/>
        <v>0</v>
      </c>
      <c r="C927" s="63" t="b">
        <f t="shared" si="43"/>
        <v>1</v>
      </c>
      <c r="D927" s="63" t="str">
        <f t="shared" si="44"/>
        <v>OK</v>
      </c>
      <c r="E927" s="393">
        <v>400014829</v>
      </c>
      <c r="F927" s="392" t="s">
        <v>6333</v>
      </c>
      <c r="G927" s="392" t="s">
        <v>3441</v>
      </c>
      <c r="H927" s="392" t="s">
        <v>5314</v>
      </c>
      <c r="I927" s="392" t="s">
        <v>2662</v>
      </c>
      <c r="J927" s="392" t="s">
        <v>452</v>
      </c>
      <c r="K927" s="392" t="s">
        <v>1506</v>
      </c>
      <c r="L927" s="392" t="s">
        <v>4590</v>
      </c>
      <c r="M927" s="392" t="s">
        <v>3758</v>
      </c>
      <c r="N927" s="392" t="s">
        <v>7273</v>
      </c>
      <c r="O927" s="392" t="s">
        <v>7273</v>
      </c>
      <c r="P927"/>
      <c r="Q927"/>
      <c r="R927" s="387">
        <f>VLOOKUP(E927,'[1]NDB Impacted SPRFs 05032013'!$A$2:$A$65536,1,FALSE)</f>
        <v>400014829</v>
      </c>
    </row>
    <row r="928" spans="1:21" s="159" customFormat="1" ht="60" x14ac:dyDescent="0.25">
      <c r="A928" s="63">
        <f>MATCH($E928,'D1 - Master Project Table'!$B$24:$B$7056,0)</f>
        <v>1177</v>
      </c>
      <c r="B928" s="63" t="b">
        <f t="shared" si="42"/>
        <v>0</v>
      </c>
      <c r="C928" s="63" t="b">
        <f t="shared" si="43"/>
        <v>1</v>
      </c>
      <c r="D928" s="63" t="str">
        <f t="shared" si="44"/>
        <v>OK</v>
      </c>
      <c r="E928" s="393">
        <v>400030189</v>
      </c>
      <c r="F928" s="392" t="s">
        <v>7620</v>
      </c>
      <c r="G928" s="392" t="s">
        <v>5324</v>
      </c>
      <c r="H928" s="392" t="s">
        <v>7418</v>
      </c>
      <c r="I928" s="392" t="s">
        <v>1756</v>
      </c>
      <c r="J928" s="392" t="s">
        <v>8489</v>
      </c>
      <c r="K928" s="392" t="s">
        <v>7024</v>
      </c>
      <c r="L928" s="392" t="s">
        <v>7864</v>
      </c>
      <c r="M928" s="392" t="s">
        <v>7273</v>
      </c>
      <c r="N928" s="392" t="s">
        <v>7273</v>
      </c>
      <c r="O928" s="392" t="s">
        <v>7273</v>
      </c>
      <c r="P928"/>
      <c r="Q928"/>
      <c r="R928" s="387">
        <f>VLOOKUP(E928,'[1]NDB Impacted SPRFs 05032013'!$A$2:$A$65536,1,FALSE)</f>
        <v>400030189</v>
      </c>
    </row>
    <row r="929" spans="1:21" s="159" customFormat="1" ht="60" x14ac:dyDescent="0.25">
      <c r="A929" s="63">
        <f>MATCH($E929,'D1 - Master Project Table'!$B$24:$B$7056,0)</f>
        <v>1375</v>
      </c>
      <c r="B929" s="63" t="b">
        <f t="shared" si="42"/>
        <v>0</v>
      </c>
      <c r="C929" s="63" t="b">
        <f t="shared" si="43"/>
        <v>1</v>
      </c>
      <c r="D929" s="63" t="str">
        <f t="shared" si="44"/>
        <v>OK</v>
      </c>
      <c r="E929" s="393">
        <v>400039160</v>
      </c>
      <c r="F929" s="392" t="s">
        <v>6930</v>
      </c>
      <c r="G929" s="392" t="s">
        <v>5325</v>
      </c>
      <c r="H929" s="392" t="s">
        <v>7418</v>
      </c>
      <c r="I929" s="392" t="s">
        <v>1799</v>
      </c>
      <c r="J929" s="392" t="s">
        <v>3646</v>
      </c>
      <c r="K929" s="392" t="s">
        <v>7321</v>
      </c>
      <c r="L929" s="392" t="s">
        <v>2051</v>
      </c>
      <c r="M929" s="392" t="s">
        <v>7273</v>
      </c>
      <c r="N929" s="392" t="s">
        <v>7273</v>
      </c>
      <c r="O929" s="392" t="s">
        <v>7273</v>
      </c>
      <c r="P929"/>
      <c r="Q929"/>
      <c r="R929" s="387">
        <f>VLOOKUP(E929,'[1]NDB Impacted SPRFs 05032013'!$A$2:$A$65536,1,FALSE)</f>
        <v>400039160</v>
      </c>
      <c r="S929" s="128"/>
      <c r="T929" s="128"/>
      <c r="U929" s="128"/>
    </row>
    <row r="930" spans="1:21" s="159" customFormat="1" ht="60" x14ac:dyDescent="0.25">
      <c r="A930" s="63">
        <f>MATCH($E930,'D1 - Master Project Table'!$B$24:$B$7056,0)</f>
        <v>2036</v>
      </c>
      <c r="B930" s="63" t="b">
        <f t="shared" si="42"/>
        <v>0</v>
      </c>
      <c r="C930" s="63" t="b">
        <f t="shared" si="43"/>
        <v>1</v>
      </c>
      <c r="D930" s="63" t="str">
        <f t="shared" si="44"/>
        <v>OK</v>
      </c>
      <c r="E930" s="393">
        <v>400048971</v>
      </c>
      <c r="F930" s="392" t="s">
        <v>3032</v>
      </c>
      <c r="G930" s="392" t="s">
        <v>5325</v>
      </c>
      <c r="H930" s="392" t="s">
        <v>5314</v>
      </c>
      <c r="I930" s="392" t="s">
        <v>1756</v>
      </c>
      <c r="J930" s="392" t="s">
        <v>3158</v>
      </c>
      <c r="K930" s="392" t="s">
        <v>3224</v>
      </c>
      <c r="L930" s="392" t="s">
        <v>2141</v>
      </c>
      <c r="M930" s="392" t="s">
        <v>7273</v>
      </c>
      <c r="N930" s="392" t="s">
        <v>7273</v>
      </c>
      <c r="O930" s="392" t="s">
        <v>7273</v>
      </c>
      <c r="P930"/>
      <c r="Q930"/>
      <c r="R930" s="387">
        <f>VLOOKUP(E930,'[1]NDB Impacted SPRFs 05032013'!$A$2:$A$65536,1,FALSE)</f>
        <v>400048971</v>
      </c>
    </row>
    <row r="931" spans="1:21" s="159" customFormat="1" ht="60" x14ac:dyDescent="0.25">
      <c r="A931" s="63">
        <f>MATCH($E931,'D1 - Master Project Table'!$B$24:$B$7056,0)</f>
        <v>183</v>
      </c>
      <c r="B931" s="63" t="b">
        <f t="shared" si="42"/>
        <v>0</v>
      </c>
      <c r="C931" s="63" t="b">
        <f t="shared" si="43"/>
        <v>0</v>
      </c>
      <c r="D931" s="63" t="str">
        <f t="shared" si="44"/>
        <v>OK</v>
      </c>
      <c r="E931" s="393">
        <v>400058857</v>
      </c>
      <c r="F931" s="392" t="s">
        <v>9103</v>
      </c>
      <c r="G931" s="392" t="s">
        <v>9210</v>
      </c>
      <c r="H931" s="392" t="s">
        <v>4917</v>
      </c>
      <c r="I931" s="392" t="s">
        <v>3540</v>
      </c>
      <c r="J931" s="392" t="s">
        <v>8745</v>
      </c>
      <c r="K931" s="392" t="s">
        <v>4462</v>
      </c>
      <c r="L931" s="392" t="s">
        <v>9102</v>
      </c>
      <c r="M931" s="392" t="s">
        <v>7273</v>
      </c>
      <c r="N931" s="392" t="s">
        <v>7273</v>
      </c>
      <c r="O931" s="392" t="s">
        <v>7273</v>
      </c>
      <c r="P931"/>
      <c r="Q931"/>
      <c r="R931" s="387">
        <f>VLOOKUP(E931,'[1]NDB Impacted SPRFs 05032013'!$A$2:$A$65536,1,FALSE)</f>
        <v>400058857</v>
      </c>
      <c r="S931" s="128"/>
      <c r="T931" s="128"/>
      <c r="U931" s="128"/>
    </row>
    <row r="932" spans="1:21" s="159" customFormat="1" ht="60" x14ac:dyDescent="0.25">
      <c r="A932" s="63" t="e">
        <f>MATCH($E932,'D1 - Master Project Table'!$B$24:$B$7056,0)</f>
        <v>#N/A</v>
      </c>
      <c r="B932" s="63" t="b">
        <f t="shared" si="42"/>
        <v>1</v>
      </c>
      <c r="C932" s="63" t="b">
        <f t="shared" si="43"/>
        <v>1</v>
      </c>
      <c r="D932" s="63" t="str">
        <f t="shared" si="44"/>
        <v>OK</v>
      </c>
      <c r="E932" s="393">
        <v>210281301</v>
      </c>
      <c r="F932" s="392" t="s">
        <v>3299</v>
      </c>
      <c r="G932" s="392" t="s">
        <v>5324</v>
      </c>
      <c r="H932" s="392" t="s">
        <v>7418</v>
      </c>
      <c r="I932" s="392" t="s">
        <v>1765</v>
      </c>
      <c r="J932" s="392" t="s">
        <v>8339</v>
      </c>
      <c r="K932" s="392" t="s">
        <v>5641</v>
      </c>
      <c r="L932" s="392" t="s">
        <v>4181</v>
      </c>
      <c r="M932" s="392" t="s">
        <v>7273</v>
      </c>
      <c r="N932" s="392" t="s">
        <v>7273</v>
      </c>
      <c r="O932" s="392" t="s">
        <v>7273</v>
      </c>
      <c r="P932"/>
      <c r="Q932"/>
      <c r="R932" s="387">
        <f>VLOOKUP(E932,'[1]NDB Impacted SPRFs 05032013'!$A$2:$A$65536,1,FALSE)</f>
        <v>210281301</v>
      </c>
    </row>
    <row r="933" spans="1:21" s="159" customFormat="1" ht="60" x14ac:dyDescent="0.25">
      <c r="A933" s="63">
        <f>MATCH($E933,'D1 - Master Project Table'!$B$24:$B$7056,0)</f>
        <v>2990</v>
      </c>
      <c r="B933" s="63" t="b">
        <f t="shared" si="42"/>
        <v>0</v>
      </c>
      <c r="C933" s="63" t="b">
        <f t="shared" si="43"/>
        <v>1</v>
      </c>
      <c r="D933" s="63" t="str">
        <f t="shared" si="44"/>
        <v>OK</v>
      </c>
      <c r="E933" s="393">
        <v>400038282</v>
      </c>
      <c r="F933" s="392" t="s">
        <v>1427</v>
      </c>
      <c r="G933" s="392" t="s">
        <v>5324</v>
      </c>
      <c r="H933" s="392" t="s">
        <v>5314</v>
      </c>
      <c r="I933" s="392" t="s">
        <v>1762</v>
      </c>
      <c r="J933" s="392" t="s">
        <v>8498</v>
      </c>
      <c r="K933" s="392" t="s">
        <v>3962</v>
      </c>
      <c r="L933" s="392" t="s">
        <v>4902</v>
      </c>
      <c r="M933" s="392" t="s">
        <v>3758</v>
      </c>
      <c r="N933" s="392" t="s">
        <v>7273</v>
      </c>
      <c r="O933" s="392" t="s">
        <v>3758</v>
      </c>
      <c r="P933"/>
      <c r="Q933"/>
      <c r="R933" s="387">
        <f>VLOOKUP(E933,'[1]NDB Impacted SPRFs 05032013'!$A$2:$A$65536,1,FALSE)</f>
        <v>400038282</v>
      </c>
    </row>
    <row r="934" spans="1:21" s="159" customFormat="1" ht="60" x14ac:dyDescent="0.25">
      <c r="A934" s="63">
        <f>MATCH($E934,'D1 - Master Project Table'!$B$24:$B$7056,0)</f>
        <v>2954</v>
      </c>
      <c r="B934" s="63" t="b">
        <f t="shared" si="42"/>
        <v>0</v>
      </c>
      <c r="C934" s="63" t="b">
        <f t="shared" si="43"/>
        <v>1</v>
      </c>
      <c r="D934" s="63" t="str">
        <f t="shared" si="44"/>
        <v>OK</v>
      </c>
      <c r="E934" s="393">
        <v>400035330</v>
      </c>
      <c r="F934" s="392" t="s">
        <v>6863</v>
      </c>
      <c r="G934" s="392" t="s">
        <v>5324</v>
      </c>
      <c r="H934" s="392" t="s">
        <v>5314</v>
      </c>
      <c r="I934" s="392" t="s">
        <v>1761</v>
      </c>
      <c r="J934" s="392" t="s">
        <v>4822</v>
      </c>
      <c r="K934" s="392" t="s">
        <v>6864</v>
      </c>
      <c r="L934" s="392" t="s">
        <v>4780</v>
      </c>
      <c r="M934" s="392" t="s">
        <v>3758</v>
      </c>
      <c r="N934" s="392" t="s">
        <v>7273</v>
      </c>
      <c r="O934" s="392" t="s">
        <v>7273</v>
      </c>
      <c r="P934"/>
      <c r="Q934" s="128"/>
      <c r="R934" s="387">
        <f>VLOOKUP(E934,'[1]NDB Impacted SPRFs 05032013'!$A$2:$A$65536,1,FALSE)</f>
        <v>400035330</v>
      </c>
    </row>
    <row r="935" spans="1:21" s="159" customFormat="1" ht="60" x14ac:dyDescent="0.25">
      <c r="A935" s="63">
        <f>MATCH($E935,'D1 - Master Project Table'!$B$24:$B$7056,0)</f>
        <v>2985</v>
      </c>
      <c r="B935" s="63" t="b">
        <f t="shared" si="42"/>
        <v>0</v>
      </c>
      <c r="C935" s="63" t="b">
        <f t="shared" si="43"/>
        <v>1</v>
      </c>
      <c r="D935" s="63" t="str">
        <f t="shared" si="44"/>
        <v>OK</v>
      </c>
      <c r="E935" s="393">
        <v>400037917</v>
      </c>
      <c r="F935" s="392" t="s">
        <v>7361</v>
      </c>
      <c r="G935" s="392" t="s">
        <v>5001</v>
      </c>
      <c r="H935" s="392" t="s">
        <v>5314</v>
      </c>
      <c r="I935" s="392" t="s">
        <v>3540</v>
      </c>
      <c r="J935" s="392" t="s">
        <v>8743</v>
      </c>
      <c r="K935" s="392" t="s">
        <v>4691</v>
      </c>
      <c r="L935" s="392" t="s">
        <v>8943</v>
      </c>
      <c r="M935" s="392" t="s">
        <v>7273</v>
      </c>
      <c r="N935" s="392" t="s">
        <v>7273</v>
      </c>
      <c r="O935" s="392" t="s">
        <v>7273</v>
      </c>
      <c r="P935"/>
      <c r="Q935"/>
      <c r="R935" s="387">
        <f>VLOOKUP(E935,'[1]NDB Impacted SPRFs 05032013'!$A$2:$A$65536,1,FALSE)</f>
        <v>400037917</v>
      </c>
    </row>
    <row r="936" spans="1:21" s="159" customFormat="1" ht="60" x14ac:dyDescent="0.25">
      <c r="A936" s="63">
        <f>MATCH($E936,'D1 - Master Project Table'!$B$24:$B$7056,0)</f>
        <v>3048</v>
      </c>
      <c r="B936" s="63" t="b">
        <f t="shared" si="42"/>
        <v>0</v>
      </c>
      <c r="C936" s="63" t="b">
        <f t="shared" si="43"/>
        <v>1</v>
      </c>
      <c r="D936" s="63" t="str">
        <f t="shared" si="44"/>
        <v>OK</v>
      </c>
      <c r="E936" s="393">
        <v>400043057</v>
      </c>
      <c r="F936" s="392" t="s">
        <v>6415</v>
      </c>
      <c r="G936" s="392" t="s">
        <v>5325</v>
      </c>
      <c r="H936" s="392" t="s">
        <v>5314</v>
      </c>
      <c r="I936" s="392" t="s">
        <v>6414</v>
      </c>
      <c r="J936" s="392" t="s">
        <v>1562</v>
      </c>
      <c r="K936" s="392" t="s">
        <v>2475</v>
      </c>
      <c r="L936" s="392" t="s">
        <v>7571</v>
      </c>
      <c r="M936" s="392" t="s">
        <v>7273</v>
      </c>
      <c r="N936" s="392" t="s">
        <v>7273</v>
      </c>
      <c r="O936" s="392" t="s">
        <v>3758</v>
      </c>
      <c r="P936" s="212"/>
      <c r="Q936"/>
      <c r="R936" s="387">
        <f>VLOOKUP(E936,'[1]NDB Impacted SPRFs 05032013'!$A$2:$A$65536,1,FALSE)</f>
        <v>400043057</v>
      </c>
    </row>
    <row r="937" spans="1:21" s="159" customFormat="1" ht="60" x14ac:dyDescent="0.25">
      <c r="A937" s="63">
        <f>MATCH($E937,'D1 - Master Project Table'!$B$24:$B$7056,0)</f>
        <v>2846</v>
      </c>
      <c r="B937" s="63" t="b">
        <f t="shared" si="42"/>
        <v>0</v>
      </c>
      <c r="C937" s="63" t="b">
        <f t="shared" si="43"/>
        <v>1</v>
      </c>
      <c r="D937" s="63" t="str">
        <f t="shared" si="44"/>
        <v>OK</v>
      </c>
      <c r="E937" s="393">
        <v>400026540</v>
      </c>
      <c r="F937" s="392" t="s">
        <v>4715</v>
      </c>
      <c r="G937" s="392" t="s">
        <v>5325</v>
      </c>
      <c r="H937" s="392" t="s">
        <v>5314</v>
      </c>
      <c r="I937" s="392" t="s">
        <v>6419</v>
      </c>
      <c r="J937" s="392" t="s">
        <v>6584</v>
      </c>
      <c r="K937" s="392" t="s">
        <v>6402</v>
      </c>
      <c r="L937" s="392" t="s">
        <v>7893</v>
      </c>
      <c r="M937" s="392" t="s">
        <v>7273</v>
      </c>
      <c r="N937" s="392" t="s">
        <v>7273</v>
      </c>
      <c r="O937" s="392" t="s">
        <v>7273</v>
      </c>
      <c r="P937"/>
      <c r="Q937"/>
      <c r="R937" s="387">
        <f>VLOOKUP(E937,'[1]NDB Impacted SPRFs 05032013'!$A$2:$A$65536,1,FALSE)</f>
        <v>400026540</v>
      </c>
    </row>
    <row r="938" spans="1:21" s="159" customFormat="1" ht="60" x14ac:dyDescent="0.25">
      <c r="A938" s="63">
        <f>MATCH($E938,'D1 - Master Project Table'!$B$24:$B$7056,0)</f>
        <v>135</v>
      </c>
      <c r="B938" s="63" t="b">
        <f t="shared" si="42"/>
        <v>0</v>
      </c>
      <c r="C938" s="63" t="b">
        <f t="shared" si="43"/>
        <v>0</v>
      </c>
      <c r="D938" s="63" t="str">
        <f t="shared" si="44"/>
        <v>OK</v>
      </c>
      <c r="E938" s="393">
        <v>400058052</v>
      </c>
      <c r="F938" s="392" t="s">
        <v>8331</v>
      </c>
      <c r="G938" s="392" t="s">
        <v>5324</v>
      </c>
      <c r="H938" s="392" t="s">
        <v>4917</v>
      </c>
      <c r="I938" s="392" t="s">
        <v>1758</v>
      </c>
      <c r="J938" s="392" t="s">
        <v>8332</v>
      </c>
      <c r="K938" s="392" t="s">
        <v>150</v>
      </c>
      <c r="L938" s="392" t="s">
        <v>9104</v>
      </c>
      <c r="M938" s="392" t="s">
        <v>7273</v>
      </c>
      <c r="N938" s="392" t="s">
        <v>7273</v>
      </c>
      <c r="O938" s="392" t="s">
        <v>3758</v>
      </c>
      <c r="P938"/>
      <c r="Q938"/>
      <c r="R938" s="387">
        <f>VLOOKUP(E938,'[1]NDB Impacted SPRFs 05032013'!$A$2:$A$65536,1,FALSE)</f>
        <v>400058052</v>
      </c>
    </row>
    <row r="939" spans="1:21" s="159" customFormat="1" ht="45" x14ac:dyDescent="0.25">
      <c r="A939" s="63">
        <f>MATCH($E939,'D1 - Master Project Table'!$B$24:$B$7056,0)</f>
        <v>2238</v>
      </c>
      <c r="B939" s="63" t="b">
        <f t="shared" si="42"/>
        <v>0</v>
      </c>
      <c r="C939" s="63" t="b">
        <f t="shared" si="43"/>
        <v>1</v>
      </c>
      <c r="D939" s="63" t="str">
        <f t="shared" si="44"/>
        <v>OK</v>
      </c>
      <c r="E939" s="393">
        <v>400021517</v>
      </c>
      <c r="F939" s="392" t="s">
        <v>6173</v>
      </c>
      <c r="G939" s="392" t="s">
        <v>5324</v>
      </c>
      <c r="H939" s="392" t="s">
        <v>5314</v>
      </c>
      <c r="I939" s="392" t="s">
        <v>1788</v>
      </c>
      <c r="J939" s="392" t="s">
        <v>8583</v>
      </c>
      <c r="K939" s="392" t="s">
        <v>1506</v>
      </c>
      <c r="L939" s="392" t="s">
        <v>744</v>
      </c>
      <c r="M939" s="392" t="s">
        <v>7273</v>
      </c>
      <c r="N939" s="392" t="s">
        <v>7273</v>
      </c>
      <c r="O939" s="392" t="s">
        <v>7273</v>
      </c>
      <c r="P939"/>
      <c r="Q939"/>
      <c r="R939" s="387">
        <f>VLOOKUP(E939,'[1]NDB Impacted SPRFs 05032013'!$A$2:$A$65536,1,FALSE)</f>
        <v>400021517</v>
      </c>
      <c r="S939" s="128"/>
      <c r="T939" s="128"/>
      <c r="U939" s="128"/>
    </row>
    <row r="940" spans="1:21" s="159" customFormat="1" ht="60" x14ac:dyDescent="0.25">
      <c r="A940" s="63">
        <f>MATCH($E940,'D1 - Master Project Table'!$B$24:$B$7056,0)</f>
        <v>2838</v>
      </c>
      <c r="B940" s="63" t="b">
        <f t="shared" si="42"/>
        <v>0</v>
      </c>
      <c r="C940" s="63" t="b">
        <f t="shared" si="43"/>
        <v>1</v>
      </c>
      <c r="D940" s="63" t="str">
        <f t="shared" si="44"/>
        <v>OK</v>
      </c>
      <c r="E940" s="393">
        <v>400025820</v>
      </c>
      <c r="F940" s="392" t="s">
        <v>2785</v>
      </c>
      <c r="G940" s="392" t="s">
        <v>5324</v>
      </c>
      <c r="H940" s="392" t="s">
        <v>5314</v>
      </c>
      <c r="I940" s="392" t="s">
        <v>1757</v>
      </c>
      <c r="J940" s="392" t="s">
        <v>5078</v>
      </c>
      <c r="K940" s="392" t="s">
        <v>6312</v>
      </c>
      <c r="L940" s="392" t="s">
        <v>7530</v>
      </c>
      <c r="M940" s="392" t="s">
        <v>3758</v>
      </c>
      <c r="N940" s="392" t="s">
        <v>7273</v>
      </c>
      <c r="O940" s="392" t="s">
        <v>7273</v>
      </c>
      <c r="P940"/>
      <c r="Q940"/>
      <c r="R940" s="387">
        <f>VLOOKUP(E940,'[1]NDB Impacted SPRFs 05032013'!$A$2:$A$65536,1,FALSE)</f>
        <v>400025820</v>
      </c>
    </row>
    <row r="941" spans="1:21" s="159" customFormat="1" ht="60" x14ac:dyDescent="0.25">
      <c r="A941" s="63">
        <f>MATCH($E941,'D1 - Master Project Table'!$B$24:$B$7056,0)</f>
        <v>1626</v>
      </c>
      <c r="B941" s="63" t="b">
        <f t="shared" si="42"/>
        <v>0</v>
      </c>
      <c r="C941" s="63" t="b">
        <f t="shared" si="43"/>
        <v>1</v>
      </c>
      <c r="D941" s="63" t="str">
        <f t="shared" si="44"/>
        <v>OK</v>
      </c>
      <c r="E941" s="393">
        <v>400045434</v>
      </c>
      <c r="F941" s="392" t="s">
        <v>1030</v>
      </c>
      <c r="G941" s="392" t="s">
        <v>5324</v>
      </c>
      <c r="H941" s="392" t="s">
        <v>7418</v>
      </c>
      <c r="I941" s="392" t="s">
        <v>1759</v>
      </c>
      <c r="J941" s="392" t="s">
        <v>6584</v>
      </c>
      <c r="K941" s="392" t="s">
        <v>6402</v>
      </c>
      <c r="L941" s="392" t="s">
        <v>7780</v>
      </c>
      <c r="M941" s="392" t="s">
        <v>7273</v>
      </c>
      <c r="N941" s="392" t="s">
        <v>7273</v>
      </c>
      <c r="O941" s="392" t="s">
        <v>7273</v>
      </c>
      <c r="P941"/>
      <c r="Q941"/>
      <c r="R941" s="387">
        <f>VLOOKUP(E941,'[1]NDB Impacted SPRFs 05032013'!$A$2:$A$65536,1,FALSE)</f>
        <v>400045434</v>
      </c>
    </row>
    <row r="942" spans="1:21" s="159" customFormat="1" ht="60" x14ac:dyDescent="0.25">
      <c r="A942" s="63">
        <f>MATCH($E942,'D1 - Master Project Table'!$B$24:$B$7056,0)</f>
        <v>141</v>
      </c>
      <c r="B942" s="63" t="b">
        <f t="shared" si="42"/>
        <v>0</v>
      </c>
      <c r="C942" s="63" t="b">
        <f t="shared" si="43"/>
        <v>0</v>
      </c>
      <c r="D942" s="63" t="str">
        <f t="shared" si="44"/>
        <v>OK</v>
      </c>
      <c r="E942" s="393">
        <v>400055737</v>
      </c>
      <c r="F942" s="392" t="s">
        <v>1390</v>
      </c>
      <c r="G942" s="392" t="s">
        <v>5324</v>
      </c>
      <c r="H942" s="392" t="s">
        <v>4917</v>
      </c>
      <c r="I942" s="392" t="s">
        <v>862</v>
      </c>
      <c r="J942" s="392" t="s">
        <v>8566</v>
      </c>
      <c r="K942" s="392" t="s">
        <v>1391</v>
      </c>
      <c r="L942" s="392" t="s">
        <v>597</v>
      </c>
      <c r="M942" s="392" t="s">
        <v>7273</v>
      </c>
      <c r="N942" s="392" t="s">
        <v>7273</v>
      </c>
      <c r="O942" s="392" t="s">
        <v>7273</v>
      </c>
      <c r="P942"/>
      <c r="Q942"/>
      <c r="R942" s="387">
        <f>VLOOKUP(E942,'[1]NDB Impacted SPRFs 05032013'!$A$2:$A$65536,1,FALSE)</f>
        <v>400055737</v>
      </c>
    </row>
    <row r="943" spans="1:21" s="159" customFormat="1" ht="60" x14ac:dyDescent="0.25">
      <c r="A943" s="63">
        <f>MATCH($E943,'D1 - Master Project Table'!$B$24:$B$7056,0)</f>
        <v>2595</v>
      </c>
      <c r="B943" s="63" t="b">
        <f t="shared" si="42"/>
        <v>0</v>
      </c>
      <c r="C943" s="63" t="b">
        <f t="shared" si="43"/>
        <v>1</v>
      </c>
      <c r="D943" s="63" t="str">
        <f t="shared" si="44"/>
        <v>OK</v>
      </c>
      <c r="E943" s="393">
        <v>400011947</v>
      </c>
      <c r="F943" s="392" t="s">
        <v>5862</v>
      </c>
      <c r="G943" s="392" t="s">
        <v>3441</v>
      </c>
      <c r="H943" s="392" t="s">
        <v>5314</v>
      </c>
      <c r="I943" s="392" t="s">
        <v>1769</v>
      </c>
      <c r="J943" s="392" t="s">
        <v>8843</v>
      </c>
      <c r="K943" s="392" t="s">
        <v>1506</v>
      </c>
      <c r="L943" s="392" t="s">
        <v>6689</v>
      </c>
      <c r="M943" s="392" t="s">
        <v>3758</v>
      </c>
      <c r="N943" s="392" t="s">
        <v>7273</v>
      </c>
      <c r="O943" s="392" t="s">
        <v>7273</v>
      </c>
      <c r="P943"/>
      <c r="Q943"/>
      <c r="R943" s="387">
        <f>VLOOKUP(E943,'[1]NDB Impacted SPRFs 05032013'!$A$2:$A$65536,1,FALSE)</f>
        <v>400011947</v>
      </c>
      <c r="S943" s="128"/>
      <c r="T943" s="128"/>
      <c r="U943" s="128"/>
    </row>
    <row r="944" spans="1:21" s="159" customFormat="1" ht="60" x14ac:dyDescent="0.25">
      <c r="A944" s="63">
        <f>MATCH($E944,'D1 - Master Project Table'!$B$24:$B$7056,0)</f>
        <v>682</v>
      </c>
      <c r="B944" s="63" t="b">
        <f t="shared" si="42"/>
        <v>0</v>
      </c>
      <c r="C944" s="63" t="b">
        <f t="shared" si="43"/>
        <v>1</v>
      </c>
      <c r="D944" s="63" t="str">
        <f t="shared" si="44"/>
        <v>OK</v>
      </c>
      <c r="E944" s="393">
        <v>400014888</v>
      </c>
      <c r="F944" s="392" t="s">
        <v>2888</v>
      </c>
      <c r="G944" s="392" t="s">
        <v>5324</v>
      </c>
      <c r="H944" s="392" t="s">
        <v>7418</v>
      </c>
      <c r="I944" s="392" t="s">
        <v>1762</v>
      </c>
      <c r="J944" s="392" t="s">
        <v>2251</v>
      </c>
      <c r="K944" s="392" t="s">
        <v>8075</v>
      </c>
      <c r="L944" s="392" t="s">
        <v>4588</v>
      </c>
      <c r="M944" s="392" t="s">
        <v>3758</v>
      </c>
      <c r="N944" s="392" t="s">
        <v>7273</v>
      </c>
      <c r="O944" s="392" t="s">
        <v>7273</v>
      </c>
      <c r="P944"/>
      <c r="Q944"/>
      <c r="R944" s="387">
        <f>VLOOKUP(E944,'[1]NDB Impacted SPRFs 05032013'!$A$2:$A$65536,1,FALSE)</f>
        <v>400014888</v>
      </c>
    </row>
    <row r="945" spans="1:21" s="159" customFormat="1" ht="60" x14ac:dyDescent="0.25">
      <c r="A945" s="63">
        <f>MATCH($E945,'D1 - Master Project Table'!$B$24:$B$7056,0)</f>
        <v>3202</v>
      </c>
      <c r="B945" s="63" t="b">
        <f t="shared" si="42"/>
        <v>0</v>
      </c>
      <c r="C945" s="63" t="b">
        <f t="shared" si="43"/>
        <v>0</v>
      </c>
      <c r="D945" s="63" t="str">
        <f t="shared" si="44"/>
        <v>OK</v>
      </c>
      <c r="E945" s="393">
        <v>400046951</v>
      </c>
      <c r="F945" s="392" t="s">
        <v>1326</v>
      </c>
      <c r="G945" s="392" t="s">
        <v>5995</v>
      </c>
      <c r="H945" s="392" t="s">
        <v>4917</v>
      </c>
      <c r="I945" s="392" t="s">
        <v>6423</v>
      </c>
      <c r="J945" s="392" t="s">
        <v>8827</v>
      </c>
      <c r="K945" s="392" t="s">
        <v>1897</v>
      </c>
      <c r="L945" s="392" t="s">
        <v>316</v>
      </c>
      <c r="M945" s="392" t="s">
        <v>7273</v>
      </c>
      <c r="N945" s="392" t="s">
        <v>7273</v>
      </c>
      <c r="O945" s="392" t="s">
        <v>7273</v>
      </c>
      <c r="P945"/>
      <c r="Q945"/>
      <c r="R945" s="387">
        <f>VLOOKUP(E945,'[1]NDB Impacted SPRFs 05032013'!$A$2:$A$65536,1,FALSE)</f>
        <v>400046951</v>
      </c>
      <c r="S945" s="128"/>
      <c r="T945" s="128"/>
      <c r="U945" s="128"/>
    </row>
    <row r="946" spans="1:21" s="159" customFormat="1" ht="60" x14ac:dyDescent="0.25">
      <c r="A946" s="63">
        <f>MATCH($E946,'D1 - Master Project Table'!$B$24:$B$7056,0)</f>
        <v>1336</v>
      </c>
      <c r="B946" s="63" t="b">
        <f t="shared" si="42"/>
        <v>0</v>
      </c>
      <c r="C946" s="63" t="b">
        <f t="shared" si="43"/>
        <v>1</v>
      </c>
      <c r="D946" s="63" t="str">
        <f t="shared" si="44"/>
        <v>OK</v>
      </c>
      <c r="E946" s="393">
        <v>400031482</v>
      </c>
      <c r="F946" s="392" t="s">
        <v>5029</v>
      </c>
      <c r="G946" s="392" t="s">
        <v>5324</v>
      </c>
      <c r="H946" s="392" t="s">
        <v>7418</v>
      </c>
      <c r="I946" s="392" t="s">
        <v>1757</v>
      </c>
      <c r="J946" s="392" t="s">
        <v>4703</v>
      </c>
      <c r="K946" s="392" t="s">
        <v>3933</v>
      </c>
      <c r="L946" s="392" t="s">
        <v>8192</v>
      </c>
      <c r="M946" s="392" t="s">
        <v>3758</v>
      </c>
      <c r="N946" s="392" t="s">
        <v>7273</v>
      </c>
      <c r="O946" s="392" t="s">
        <v>7273</v>
      </c>
      <c r="P946"/>
      <c r="Q946"/>
      <c r="R946" s="387">
        <f>VLOOKUP(E946,'[1]NDB Impacted SPRFs 05032013'!$A$2:$A$65536,1,FALSE)</f>
        <v>400031482</v>
      </c>
    </row>
    <row r="947" spans="1:21" s="159" customFormat="1" ht="45" x14ac:dyDescent="0.25">
      <c r="A947" s="63">
        <f>MATCH($E947,'D1 - Master Project Table'!$B$24:$B$7056,0)</f>
        <v>1668</v>
      </c>
      <c r="B947" s="63" t="b">
        <f t="shared" si="42"/>
        <v>0</v>
      </c>
      <c r="C947" s="63" t="b">
        <f t="shared" si="43"/>
        <v>0</v>
      </c>
      <c r="D947" s="63" t="str">
        <f t="shared" si="44"/>
        <v>OK</v>
      </c>
      <c r="E947" s="393">
        <v>400042688</v>
      </c>
      <c r="F947" s="392" t="s">
        <v>5289</v>
      </c>
      <c r="G947" s="392" t="s">
        <v>5324</v>
      </c>
      <c r="H947" s="392" t="s">
        <v>4917</v>
      </c>
      <c r="I947" s="392" t="s">
        <v>1763</v>
      </c>
      <c r="J947" s="392" t="s">
        <v>5796</v>
      </c>
      <c r="K947" s="392" t="s">
        <v>5298</v>
      </c>
      <c r="L947" s="392" t="s">
        <v>951</v>
      </c>
      <c r="M947" s="392" t="s">
        <v>7273</v>
      </c>
      <c r="N947" s="392" t="s">
        <v>7273</v>
      </c>
      <c r="O947" s="392" t="s">
        <v>7273</v>
      </c>
      <c r="P947"/>
      <c r="Q947"/>
      <c r="R947" s="387">
        <f>VLOOKUP(E947,'[1]NDB Impacted SPRFs 05032013'!$A$2:$A$65536,1,FALSE)</f>
        <v>400042688</v>
      </c>
    </row>
    <row r="948" spans="1:21" s="159" customFormat="1" ht="60" x14ac:dyDescent="0.25">
      <c r="A948" s="63">
        <f>MATCH($E948,'D1 - Master Project Table'!$B$24:$B$7056,0)</f>
        <v>2321</v>
      </c>
      <c r="B948" s="63" t="b">
        <f t="shared" si="42"/>
        <v>0</v>
      </c>
      <c r="C948" s="63" t="b">
        <f t="shared" si="43"/>
        <v>1</v>
      </c>
      <c r="D948" s="63" t="str">
        <f t="shared" si="44"/>
        <v>OK</v>
      </c>
      <c r="E948" s="393">
        <v>400045745</v>
      </c>
      <c r="F948" s="392" t="s">
        <v>3610</v>
      </c>
      <c r="G948" s="392" t="s">
        <v>5324</v>
      </c>
      <c r="H948" s="392" t="s">
        <v>5314</v>
      </c>
      <c r="I948" s="392" t="s">
        <v>1786</v>
      </c>
      <c r="J948" s="392" t="s">
        <v>4822</v>
      </c>
      <c r="K948" s="392" t="s">
        <v>6170</v>
      </c>
      <c r="L948" s="392" t="s">
        <v>242</v>
      </c>
      <c r="M948" s="392" t="s">
        <v>3758</v>
      </c>
      <c r="N948" s="392" t="s">
        <v>7273</v>
      </c>
      <c r="O948" s="392" t="s">
        <v>7273</v>
      </c>
      <c r="P948"/>
      <c r="Q948"/>
      <c r="R948" s="387">
        <f>VLOOKUP(E948,'[1]NDB Impacted SPRFs 05032013'!$A$2:$A$65536,1,FALSE)</f>
        <v>400045745</v>
      </c>
    </row>
    <row r="949" spans="1:21" s="159" customFormat="1" ht="60" x14ac:dyDescent="0.25">
      <c r="A949" s="63">
        <f>MATCH($E949,'D1 - Master Project Table'!$B$24:$B$7056,0)</f>
        <v>55</v>
      </c>
      <c r="B949" s="63" t="b">
        <f t="shared" si="42"/>
        <v>0</v>
      </c>
      <c r="C949" s="63" t="b">
        <f t="shared" si="43"/>
        <v>0</v>
      </c>
      <c r="D949" s="63" t="str">
        <f t="shared" si="44"/>
        <v>OK</v>
      </c>
      <c r="E949" s="393">
        <v>400054681</v>
      </c>
      <c r="F949" s="392" t="s">
        <v>3056</v>
      </c>
      <c r="G949" s="392" t="s">
        <v>6322</v>
      </c>
      <c r="H949" s="392" t="s">
        <v>4917</v>
      </c>
      <c r="I949" s="392" t="s">
        <v>1456</v>
      </c>
      <c r="J949" s="392" t="s">
        <v>8636</v>
      </c>
      <c r="K949" s="392" t="s">
        <v>1292</v>
      </c>
      <c r="L949" s="392" t="s">
        <v>7052</v>
      </c>
      <c r="M949" s="392" t="s">
        <v>7273</v>
      </c>
      <c r="N949" s="392" t="s">
        <v>7273</v>
      </c>
      <c r="O949" s="392" t="s">
        <v>7273</v>
      </c>
      <c r="P949"/>
      <c r="Q949"/>
      <c r="R949" s="387">
        <f>VLOOKUP(E949,'[1]NDB Impacted SPRFs 05032013'!$A$2:$A$65536,1,FALSE)</f>
        <v>400054681</v>
      </c>
    </row>
    <row r="950" spans="1:21" s="159" customFormat="1" ht="60" x14ac:dyDescent="0.25">
      <c r="A950" s="63">
        <f>MATCH($E950,'D1 - Master Project Table'!$B$24:$B$7056,0)</f>
        <v>1819</v>
      </c>
      <c r="B950" s="63" t="b">
        <f t="shared" si="42"/>
        <v>0</v>
      </c>
      <c r="C950" s="63" t="b">
        <f t="shared" si="43"/>
        <v>0</v>
      </c>
      <c r="D950" s="63" t="str">
        <f t="shared" si="44"/>
        <v>OK</v>
      </c>
      <c r="E950" s="393">
        <v>400055347</v>
      </c>
      <c r="F950" s="392" t="s">
        <v>460</v>
      </c>
      <c r="G950" s="392" t="s">
        <v>9210</v>
      </c>
      <c r="H950" s="392" t="s">
        <v>4917</v>
      </c>
      <c r="I950" s="392" t="s">
        <v>3540</v>
      </c>
      <c r="J950" s="392" t="s">
        <v>3518</v>
      </c>
      <c r="K950" s="392" t="s">
        <v>8075</v>
      </c>
      <c r="L950" s="392" t="s">
        <v>314</v>
      </c>
      <c r="M950" s="392" t="s">
        <v>7273</v>
      </c>
      <c r="N950" s="392" t="s">
        <v>7273</v>
      </c>
      <c r="O950" s="392" t="s">
        <v>7273</v>
      </c>
      <c r="P950"/>
      <c r="Q950"/>
      <c r="R950" s="387">
        <f>VLOOKUP(E950,'[1]NDB Impacted SPRFs 05032013'!$A$2:$A$65536,1,FALSE)</f>
        <v>400055347</v>
      </c>
    </row>
    <row r="951" spans="1:21" s="159" customFormat="1" ht="60" x14ac:dyDescent="0.25">
      <c r="A951" s="63">
        <f>MATCH($E951,'D1 - Master Project Table'!$B$24:$B$7056,0)</f>
        <v>2213</v>
      </c>
      <c r="B951" s="63" t="b">
        <f t="shared" si="42"/>
        <v>0</v>
      </c>
      <c r="C951" s="63" t="b">
        <f t="shared" si="43"/>
        <v>1</v>
      </c>
      <c r="D951" s="63" t="str">
        <f t="shared" si="44"/>
        <v>OK</v>
      </c>
      <c r="E951" s="393">
        <v>400022071</v>
      </c>
      <c r="F951" s="392" t="s">
        <v>4772</v>
      </c>
      <c r="G951" s="392" t="s">
        <v>5325</v>
      </c>
      <c r="H951" s="392" t="s">
        <v>5314</v>
      </c>
      <c r="I951" s="392" t="s">
        <v>1795</v>
      </c>
      <c r="J951" s="392" t="s">
        <v>6584</v>
      </c>
      <c r="K951" s="392" t="s">
        <v>6402</v>
      </c>
      <c r="L951" s="392" t="s">
        <v>1923</v>
      </c>
      <c r="M951" s="392" t="s">
        <v>7273</v>
      </c>
      <c r="N951" s="392" t="s">
        <v>7273</v>
      </c>
      <c r="O951" s="392" t="s">
        <v>7273</v>
      </c>
      <c r="P951"/>
      <c r="Q951"/>
      <c r="R951" s="387">
        <f>VLOOKUP(E951,'[1]NDB Impacted SPRFs 05032013'!$A$2:$A$65536,1,FALSE)</f>
        <v>400022071</v>
      </c>
    </row>
    <row r="952" spans="1:21" s="159" customFormat="1" ht="60" x14ac:dyDescent="0.25">
      <c r="A952" s="63">
        <f>MATCH($E952,'D1 - Master Project Table'!$B$24:$B$7056,0)</f>
        <v>574</v>
      </c>
      <c r="B952" s="63" t="b">
        <f t="shared" si="42"/>
        <v>0</v>
      </c>
      <c r="C952" s="63" t="b">
        <f t="shared" si="43"/>
        <v>1</v>
      </c>
      <c r="D952" s="63" t="str">
        <f t="shared" si="44"/>
        <v>OK</v>
      </c>
      <c r="E952" s="393">
        <v>400008004</v>
      </c>
      <c r="F952" s="392" t="s">
        <v>6147</v>
      </c>
      <c r="G952" s="392" t="s">
        <v>3441</v>
      </c>
      <c r="H952" s="392" t="s">
        <v>7418</v>
      </c>
      <c r="I952" s="392" t="s">
        <v>1769</v>
      </c>
      <c r="J952" s="392" t="s">
        <v>8852</v>
      </c>
      <c r="K952" s="392" t="s">
        <v>5541</v>
      </c>
      <c r="L952" s="392" t="s">
        <v>3915</v>
      </c>
      <c r="M952" s="392" t="s">
        <v>7273</v>
      </c>
      <c r="N952" s="392" t="s">
        <v>7273</v>
      </c>
      <c r="O952" s="392" t="s">
        <v>7273</v>
      </c>
      <c r="P952"/>
      <c r="Q952"/>
      <c r="R952" s="387">
        <f>VLOOKUP(E952,'[1]NDB Impacted SPRFs 05032013'!$A$2:$A$65536,1,FALSE)</f>
        <v>400008004</v>
      </c>
    </row>
    <row r="953" spans="1:21" s="159" customFormat="1" ht="60" x14ac:dyDescent="0.25">
      <c r="A953" s="63">
        <f>MATCH($E953,'D1 - Master Project Table'!$B$24:$B$7056,0)</f>
        <v>1285</v>
      </c>
      <c r="B953" s="63" t="b">
        <f t="shared" si="42"/>
        <v>0</v>
      </c>
      <c r="C953" s="63" t="b">
        <f t="shared" si="43"/>
        <v>1</v>
      </c>
      <c r="D953" s="63" t="str">
        <f t="shared" si="44"/>
        <v>OK</v>
      </c>
      <c r="E953" s="393">
        <v>400030480</v>
      </c>
      <c r="F953" s="392" t="s">
        <v>2444</v>
      </c>
      <c r="G953" s="392" t="s">
        <v>5325</v>
      </c>
      <c r="H953" s="392" t="s">
        <v>7418</v>
      </c>
      <c r="I953" s="392" t="s">
        <v>6419</v>
      </c>
      <c r="J953" s="392" t="s">
        <v>1433</v>
      </c>
      <c r="K953" s="392" t="s">
        <v>6961</v>
      </c>
      <c r="L953" s="392" t="s">
        <v>8208</v>
      </c>
      <c r="M953" s="392" t="s">
        <v>3758</v>
      </c>
      <c r="N953" s="392" t="s">
        <v>7273</v>
      </c>
      <c r="O953" s="392" t="s">
        <v>7273</v>
      </c>
      <c r="P953"/>
      <c r="Q953"/>
      <c r="R953" s="387">
        <f>VLOOKUP(E953,'[1]NDB Impacted SPRFs 05032013'!$A$2:$A$65536,1,FALSE)</f>
        <v>400030480</v>
      </c>
    </row>
    <row r="954" spans="1:21" s="159" customFormat="1" ht="60" x14ac:dyDescent="0.25">
      <c r="A954" s="63">
        <f>MATCH($E954,'D1 - Master Project Table'!$B$24:$B$7056,0)</f>
        <v>2006</v>
      </c>
      <c r="B954" s="63" t="b">
        <f t="shared" si="42"/>
        <v>0</v>
      </c>
      <c r="C954" s="63" t="b">
        <f t="shared" si="43"/>
        <v>1</v>
      </c>
      <c r="D954" s="63" t="str">
        <f t="shared" si="44"/>
        <v>OK</v>
      </c>
      <c r="E954" s="393">
        <v>400032539</v>
      </c>
      <c r="F954" s="392" t="s">
        <v>2413</v>
      </c>
      <c r="G954" s="392" t="s">
        <v>5324</v>
      </c>
      <c r="H954" s="392" t="s">
        <v>7418</v>
      </c>
      <c r="I954" s="392" t="s">
        <v>1756</v>
      </c>
      <c r="J954" s="392" t="s">
        <v>8489</v>
      </c>
      <c r="K954" s="392" t="s">
        <v>7024</v>
      </c>
      <c r="L954" s="392" t="s">
        <v>3186</v>
      </c>
      <c r="M954" s="392" t="s">
        <v>7273</v>
      </c>
      <c r="N954" s="392" t="s">
        <v>7273</v>
      </c>
      <c r="O954" s="392" t="s">
        <v>7273</v>
      </c>
      <c r="P954"/>
      <c r="Q954"/>
      <c r="R954" s="387">
        <f>VLOOKUP(E954,'[1]NDB Impacted SPRFs 05032013'!$A$2:$A$65536,1,FALSE)</f>
        <v>400032539</v>
      </c>
    </row>
    <row r="955" spans="1:21" s="159" customFormat="1" ht="60" x14ac:dyDescent="0.25">
      <c r="A955" s="63">
        <f>MATCH($E955,'D1 - Master Project Table'!$B$24:$B$7056,0)</f>
        <v>3138</v>
      </c>
      <c r="B955" s="63" t="b">
        <f t="shared" si="42"/>
        <v>0</v>
      </c>
      <c r="C955" s="63" t="b">
        <f t="shared" si="43"/>
        <v>1</v>
      </c>
      <c r="D955" s="63" t="str">
        <f t="shared" si="44"/>
        <v>OK</v>
      </c>
      <c r="E955" s="393">
        <v>400055269</v>
      </c>
      <c r="F955" s="392" t="s">
        <v>14</v>
      </c>
      <c r="G955" s="392" t="s">
        <v>6322</v>
      </c>
      <c r="H955" s="392" t="s">
        <v>5314</v>
      </c>
      <c r="I955" s="392" t="s">
        <v>1758</v>
      </c>
      <c r="J955" s="392" t="s">
        <v>8635</v>
      </c>
      <c r="K955" s="392" t="s">
        <v>15</v>
      </c>
      <c r="L955" s="392" t="s">
        <v>74</v>
      </c>
      <c r="M955" s="392" t="s">
        <v>7273</v>
      </c>
      <c r="N955" s="392" t="s">
        <v>7273</v>
      </c>
      <c r="O955" s="392" t="s">
        <v>7273</v>
      </c>
      <c r="P955"/>
      <c r="Q955"/>
      <c r="R955" s="387">
        <f>VLOOKUP(E955,'[1]NDB Impacted SPRFs 05032013'!$A$2:$A$65536,1,FALSE)</f>
        <v>400055269</v>
      </c>
    </row>
    <row r="956" spans="1:21" s="159" customFormat="1" ht="60" x14ac:dyDescent="0.25">
      <c r="A956" s="63">
        <f>MATCH($E956,'D1 - Master Project Table'!$B$24:$B$7056,0)</f>
        <v>173</v>
      </c>
      <c r="B956" s="63" t="b">
        <f t="shared" si="42"/>
        <v>0</v>
      </c>
      <c r="C956" s="63" t="b">
        <f t="shared" si="43"/>
        <v>0</v>
      </c>
      <c r="D956" s="63" t="str">
        <f t="shared" si="44"/>
        <v>OK</v>
      </c>
      <c r="E956" s="393">
        <v>400057918</v>
      </c>
      <c r="F956" s="392" t="s">
        <v>7177</v>
      </c>
      <c r="G956" s="392" t="s">
        <v>5325</v>
      </c>
      <c r="H956" s="392" t="s">
        <v>7479</v>
      </c>
      <c r="I956" s="392" t="s">
        <v>7178</v>
      </c>
      <c r="J956" s="392" t="s">
        <v>8262</v>
      </c>
      <c r="K956" s="392" t="s">
        <v>69</v>
      </c>
      <c r="L956" s="392" t="s">
        <v>9265</v>
      </c>
      <c r="M956" s="392" t="s">
        <v>7273</v>
      </c>
      <c r="N956" s="392" t="s">
        <v>7273</v>
      </c>
      <c r="O956" s="392" t="s">
        <v>7273</v>
      </c>
      <c r="P956"/>
      <c r="Q956"/>
      <c r="R956" s="387">
        <f>VLOOKUP(E956,'[1]NDB Impacted SPRFs 05032013'!$A$2:$A$65536,1,FALSE)</f>
        <v>400057918</v>
      </c>
    </row>
    <row r="957" spans="1:21" s="159" customFormat="1" ht="60" x14ac:dyDescent="0.25">
      <c r="A957" s="63">
        <f>MATCH($E957,'D1 - Master Project Table'!$B$24:$B$7056,0)</f>
        <v>483</v>
      </c>
      <c r="B957" s="63" t="b">
        <f t="shared" si="42"/>
        <v>0</v>
      </c>
      <c r="C957" s="63" t="b">
        <f t="shared" si="43"/>
        <v>1</v>
      </c>
      <c r="D957" s="63" t="str">
        <f t="shared" si="44"/>
        <v>OK</v>
      </c>
      <c r="E957" s="393">
        <v>400010173</v>
      </c>
      <c r="F957" s="392" t="s">
        <v>7632</v>
      </c>
      <c r="G957" s="392" t="s">
        <v>5324</v>
      </c>
      <c r="H957" s="392" t="s">
        <v>7418</v>
      </c>
      <c r="I957" s="392" t="s">
        <v>1764</v>
      </c>
      <c r="J957" s="392" t="s">
        <v>4344</v>
      </c>
      <c r="K957" s="392" t="s">
        <v>5641</v>
      </c>
      <c r="L957" s="392" t="s">
        <v>3635</v>
      </c>
      <c r="M957" s="392" t="s">
        <v>3758</v>
      </c>
      <c r="N957" s="392" t="s">
        <v>7273</v>
      </c>
      <c r="O957" s="392" t="s">
        <v>3758</v>
      </c>
      <c r="P957"/>
      <c r="Q957"/>
      <c r="R957" s="387">
        <f>VLOOKUP(E957,'[1]NDB Impacted SPRFs 05032013'!$A$2:$A$65536,1,FALSE)</f>
        <v>400010173</v>
      </c>
    </row>
    <row r="958" spans="1:21" s="159" customFormat="1" ht="60" x14ac:dyDescent="0.25">
      <c r="A958" s="63">
        <f>MATCH($E958,'D1 - Master Project Table'!$B$24:$B$7056,0)</f>
        <v>1933</v>
      </c>
      <c r="B958" s="63" t="b">
        <f t="shared" si="42"/>
        <v>0</v>
      </c>
      <c r="C958" s="63" t="b">
        <f t="shared" si="43"/>
        <v>1</v>
      </c>
      <c r="D958" s="63" t="str">
        <f t="shared" si="44"/>
        <v>OK</v>
      </c>
      <c r="E958" s="393">
        <v>400016834</v>
      </c>
      <c r="F958" s="392" t="s">
        <v>2575</v>
      </c>
      <c r="G958" s="392" t="s">
        <v>5787</v>
      </c>
      <c r="H958" s="392" t="s">
        <v>7418</v>
      </c>
      <c r="I958" s="392" t="s">
        <v>1771</v>
      </c>
      <c r="J958" s="392" t="s">
        <v>8733</v>
      </c>
      <c r="K958" s="392" t="s">
        <v>2893</v>
      </c>
      <c r="L958" s="392" t="s">
        <v>2355</v>
      </c>
      <c r="M958" s="392" t="s">
        <v>3758</v>
      </c>
      <c r="N958" s="392" t="s">
        <v>7273</v>
      </c>
      <c r="O958" s="392" t="s">
        <v>7273</v>
      </c>
      <c r="P958"/>
      <c r="Q958"/>
      <c r="R958" s="387">
        <f>VLOOKUP(E958,'[1]NDB Impacted SPRFs 05032013'!$A$2:$A$65536,1,FALSE)</f>
        <v>400016834</v>
      </c>
    </row>
    <row r="959" spans="1:21" s="159" customFormat="1" ht="45" x14ac:dyDescent="0.25">
      <c r="A959" s="63">
        <f>MATCH($E959,'D1 - Master Project Table'!$B$24:$B$7056,0)</f>
        <v>2795</v>
      </c>
      <c r="B959" s="63" t="b">
        <f t="shared" si="42"/>
        <v>0</v>
      </c>
      <c r="C959" s="63" t="b">
        <f t="shared" si="43"/>
        <v>1</v>
      </c>
      <c r="D959" s="63" t="str">
        <f t="shared" si="44"/>
        <v>OK</v>
      </c>
      <c r="E959" s="393">
        <v>400023030</v>
      </c>
      <c r="F959" s="392" t="s">
        <v>3894</v>
      </c>
      <c r="G959" s="392" t="s">
        <v>5324</v>
      </c>
      <c r="H959" s="392" t="s">
        <v>5314</v>
      </c>
      <c r="I959" s="392" t="s">
        <v>1758</v>
      </c>
      <c r="J959" s="392" t="s">
        <v>8436</v>
      </c>
      <c r="K959" s="392" t="s">
        <v>7629</v>
      </c>
      <c r="L959" s="392" t="s">
        <v>392</v>
      </c>
      <c r="M959" s="392" t="s">
        <v>7273</v>
      </c>
      <c r="N959" s="392" t="s">
        <v>7273</v>
      </c>
      <c r="O959" s="392" t="s">
        <v>7273</v>
      </c>
      <c r="P959"/>
      <c r="Q959"/>
      <c r="R959" s="387">
        <f>VLOOKUP(E959,'[1]NDB Impacted SPRFs 05032013'!$A$2:$A$65536,1,FALSE)</f>
        <v>400023030</v>
      </c>
    </row>
    <row r="960" spans="1:21" s="159" customFormat="1" ht="60" x14ac:dyDescent="0.25">
      <c r="A960" s="63">
        <f>MATCH($E960,'D1 - Master Project Table'!$B$24:$B$7056,0)</f>
        <v>1156</v>
      </c>
      <c r="B960" s="63" t="b">
        <f t="shared" si="42"/>
        <v>0</v>
      </c>
      <c r="C960" s="63" t="b">
        <f t="shared" si="43"/>
        <v>1</v>
      </c>
      <c r="D960" s="63" t="str">
        <f t="shared" si="44"/>
        <v>OK</v>
      </c>
      <c r="E960" s="393">
        <v>400030262</v>
      </c>
      <c r="F960" s="392" t="s">
        <v>5315</v>
      </c>
      <c r="G960" s="392" t="s">
        <v>5001</v>
      </c>
      <c r="H960" s="392" t="s">
        <v>7418</v>
      </c>
      <c r="I960" s="392" t="s">
        <v>3540</v>
      </c>
      <c r="J960" s="392" t="s">
        <v>3220</v>
      </c>
      <c r="K960" s="392" t="s">
        <v>2174</v>
      </c>
      <c r="L960" s="392" t="s">
        <v>103</v>
      </c>
      <c r="M960" s="392" t="s">
        <v>3758</v>
      </c>
      <c r="N960" s="392" t="s">
        <v>7273</v>
      </c>
      <c r="O960" s="392" t="s">
        <v>7273</v>
      </c>
      <c r="P960"/>
      <c r="Q960"/>
      <c r="R960" s="387">
        <f>VLOOKUP(E960,'[1]NDB Impacted SPRFs 05032013'!$A$2:$A$65536,1,FALSE)</f>
        <v>400030262</v>
      </c>
    </row>
    <row r="961" spans="1:21" s="159" customFormat="1" ht="60" x14ac:dyDescent="0.25">
      <c r="A961" s="63">
        <f>MATCH($E961,'D1 - Master Project Table'!$B$24:$B$7056,0)</f>
        <v>1431</v>
      </c>
      <c r="B961" s="63" t="b">
        <f t="shared" si="42"/>
        <v>0</v>
      </c>
      <c r="C961" s="63" t="b">
        <f t="shared" si="43"/>
        <v>1</v>
      </c>
      <c r="D961" s="63" t="str">
        <f t="shared" si="44"/>
        <v>OK</v>
      </c>
      <c r="E961" s="393">
        <v>400041323</v>
      </c>
      <c r="F961" s="392" t="s">
        <v>2484</v>
      </c>
      <c r="G961" s="392" t="s">
        <v>5001</v>
      </c>
      <c r="H961" s="392" t="s">
        <v>7418</v>
      </c>
      <c r="I961" s="392" t="s">
        <v>3540</v>
      </c>
      <c r="J961" s="392" t="s">
        <v>8781</v>
      </c>
      <c r="K961" s="392" t="s">
        <v>2485</v>
      </c>
      <c r="L961" s="392" t="s">
        <v>3527</v>
      </c>
      <c r="M961" s="392" t="s">
        <v>3758</v>
      </c>
      <c r="N961" s="392" t="s">
        <v>7273</v>
      </c>
      <c r="O961" s="392" t="s">
        <v>3758</v>
      </c>
      <c r="P961" s="158"/>
      <c r="Q961" s="128"/>
      <c r="R961" s="387">
        <f>VLOOKUP(E961,'[1]NDB Impacted SPRFs 05032013'!$A$2:$A$65536,1,FALSE)</f>
        <v>400041323</v>
      </c>
      <c r="S961" s="128"/>
      <c r="T961" s="128"/>
      <c r="U961" s="128"/>
    </row>
    <row r="962" spans="1:21" s="159" customFormat="1" ht="60" x14ac:dyDescent="0.25">
      <c r="A962" s="63">
        <f>MATCH($E962,'D1 - Master Project Table'!$B$24:$B$7056,0)</f>
        <v>1795</v>
      </c>
      <c r="B962" s="63" t="b">
        <f t="shared" si="42"/>
        <v>0</v>
      </c>
      <c r="C962" s="63" t="b">
        <f t="shared" si="43"/>
        <v>1</v>
      </c>
      <c r="D962" s="63" t="str">
        <f t="shared" si="44"/>
        <v>OK</v>
      </c>
      <c r="E962" s="393">
        <v>400056165</v>
      </c>
      <c r="F962" s="392" t="s">
        <v>5606</v>
      </c>
      <c r="G962" s="392" t="s">
        <v>5324</v>
      </c>
      <c r="H962" s="392" t="s">
        <v>7418</v>
      </c>
      <c r="I962" s="392" t="s">
        <v>862</v>
      </c>
      <c r="J962" s="392" t="s">
        <v>1904</v>
      </c>
      <c r="K962" s="392" t="s">
        <v>5607</v>
      </c>
      <c r="L962" s="392" t="s">
        <v>8154</v>
      </c>
      <c r="M962" s="392" t="s">
        <v>7273</v>
      </c>
      <c r="N962" s="392" t="s">
        <v>7273</v>
      </c>
      <c r="O962" s="392" t="s">
        <v>7273</v>
      </c>
      <c r="P962"/>
      <c r="Q962"/>
      <c r="R962" s="387">
        <f>VLOOKUP(E962,'[1]NDB Impacted SPRFs 05032013'!$A$2:$A$65536,1,FALSE)</f>
        <v>400056165</v>
      </c>
      <c r="S962" s="128"/>
      <c r="T962" s="128"/>
      <c r="U962" s="128"/>
    </row>
    <row r="963" spans="1:21" s="159" customFormat="1" ht="60" x14ac:dyDescent="0.25">
      <c r="A963" s="63">
        <f>MATCH($E963,'D1 - Master Project Table'!$B$24:$B$7056,0)</f>
        <v>1265</v>
      </c>
      <c r="B963" s="63" t="b">
        <f t="shared" si="42"/>
        <v>0</v>
      </c>
      <c r="C963" s="63" t="b">
        <f t="shared" si="43"/>
        <v>1</v>
      </c>
      <c r="D963" s="63" t="str">
        <f t="shared" si="44"/>
        <v>OK</v>
      </c>
      <c r="E963" s="393">
        <v>400030448</v>
      </c>
      <c r="F963" s="392" t="s">
        <v>2891</v>
      </c>
      <c r="G963" s="392" t="s">
        <v>5001</v>
      </c>
      <c r="H963" s="392" t="s">
        <v>7418</v>
      </c>
      <c r="I963" s="392" t="s">
        <v>3540</v>
      </c>
      <c r="J963" s="392" t="s">
        <v>3220</v>
      </c>
      <c r="K963" s="392" t="s">
        <v>6885</v>
      </c>
      <c r="L963" s="392" t="s">
        <v>717</v>
      </c>
      <c r="M963" s="392" t="s">
        <v>7273</v>
      </c>
      <c r="N963" s="392" t="s">
        <v>7273</v>
      </c>
      <c r="O963" s="392" t="s">
        <v>7273</v>
      </c>
      <c r="P963"/>
      <c r="Q963"/>
      <c r="R963" s="387">
        <f>VLOOKUP(E963,'[1]NDB Impacted SPRFs 05032013'!$A$2:$A$65536,1,FALSE)</f>
        <v>400030448</v>
      </c>
    </row>
    <row r="964" spans="1:21" s="159" customFormat="1" ht="45" x14ac:dyDescent="0.25">
      <c r="A964" s="63">
        <f>MATCH($E964,'D1 - Master Project Table'!$B$24:$B$7056,0)</f>
        <v>2902</v>
      </c>
      <c r="B964" s="63" t="b">
        <f t="shared" si="42"/>
        <v>0</v>
      </c>
      <c r="C964" s="63" t="b">
        <f t="shared" si="43"/>
        <v>1</v>
      </c>
      <c r="D964" s="63" t="str">
        <f t="shared" si="44"/>
        <v>OK</v>
      </c>
      <c r="E964" s="393">
        <v>400030633</v>
      </c>
      <c r="F964" s="392" t="s">
        <v>3702</v>
      </c>
      <c r="G964" s="392" t="s">
        <v>5324</v>
      </c>
      <c r="H964" s="392" t="s">
        <v>5314</v>
      </c>
      <c r="I964" s="392" t="s">
        <v>1758</v>
      </c>
      <c r="J964" s="392" t="s">
        <v>8310</v>
      </c>
      <c r="K964" s="392" t="s">
        <v>4087</v>
      </c>
      <c r="L964" s="392" t="s">
        <v>7515</v>
      </c>
      <c r="M964" s="392" t="s">
        <v>3758</v>
      </c>
      <c r="N964" s="392" t="s">
        <v>7273</v>
      </c>
      <c r="O964" s="392" t="s">
        <v>7273</v>
      </c>
      <c r="P964"/>
      <c r="Q964"/>
      <c r="R964" s="387">
        <f>VLOOKUP(E964,'[1]NDB Impacted SPRFs 05032013'!$A$2:$A$65536,1,FALSE)</f>
        <v>400030633</v>
      </c>
    </row>
    <row r="965" spans="1:21" s="159" customFormat="1" ht="45" x14ac:dyDescent="0.25">
      <c r="A965" s="63">
        <f>MATCH($E965,'D1 - Master Project Table'!$B$24:$B$7056,0)</f>
        <v>2310</v>
      </c>
      <c r="B965" s="63" t="b">
        <f t="shared" si="42"/>
        <v>0</v>
      </c>
      <c r="C965" s="63" t="b">
        <f t="shared" si="43"/>
        <v>1</v>
      </c>
      <c r="D965" s="63" t="str">
        <f t="shared" si="44"/>
        <v>OK</v>
      </c>
      <c r="E965" s="393">
        <v>400045941</v>
      </c>
      <c r="F965" s="392" t="s">
        <v>1049</v>
      </c>
      <c r="G965" s="392" t="s">
        <v>5325</v>
      </c>
      <c r="H965" s="392" t="s">
        <v>5314</v>
      </c>
      <c r="I965" s="392" t="s">
        <v>1762</v>
      </c>
      <c r="J965" s="392" t="s">
        <v>6011</v>
      </c>
      <c r="K965" s="392" t="s">
        <v>1050</v>
      </c>
      <c r="L965" s="392" t="s">
        <v>1717</v>
      </c>
      <c r="M965" s="392" t="s">
        <v>7273</v>
      </c>
      <c r="N965" s="392" t="s">
        <v>7273</v>
      </c>
      <c r="O965" s="392" t="s">
        <v>7273</v>
      </c>
      <c r="P965"/>
      <c r="Q965"/>
      <c r="R965" s="387">
        <f>VLOOKUP(E965,'[1]NDB Impacted SPRFs 05032013'!$A$2:$A$65536,1,FALSE)</f>
        <v>400045941</v>
      </c>
    </row>
    <row r="966" spans="1:21" s="159" customFormat="1" ht="60" x14ac:dyDescent="0.25">
      <c r="A966" s="63">
        <f>MATCH($E966,'D1 - Master Project Table'!$B$24:$B$7056,0)</f>
        <v>1447</v>
      </c>
      <c r="B966" s="63" t="b">
        <f t="shared" ref="B966:B1029" si="45">ISERROR(A966)</f>
        <v>0</v>
      </c>
      <c r="C966" s="63" t="b">
        <f t="shared" ref="C966:C1029" si="46">OR(H966="Completed",H966="Cancelled")</f>
        <v>1</v>
      </c>
      <c r="D966" s="63" t="str">
        <f t="shared" ref="D966:D1029" si="47">IF(AND(B966=TRUE,C966=FALSE),"Add","OK")</f>
        <v>OK</v>
      </c>
      <c r="E966" s="393">
        <v>400034915</v>
      </c>
      <c r="F966" s="392" t="s">
        <v>2563</v>
      </c>
      <c r="G966" s="392" t="s">
        <v>5995</v>
      </c>
      <c r="H966" s="392" t="s">
        <v>7418</v>
      </c>
      <c r="I966" s="392" t="s">
        <v>6423</v>
      </c>
      <c r="J966" s="392" t="s">
        <v>5768</v>
      </c>
      <c r="K966" s="392" t="s">
        <v>5218</v>
      </c>
      <c r="L966" s="392" t="s">
        <v>703</v>
      </c>
      <c r="M966" s="392" t="s">
        <v>3758</v>
      </c>
      <c r="N966" s="392" t="s">
        <v>7273</v>
      </c>
      <c r="O966" s="392" t="s">
        <v>7273</v>
      </c>
      <c r="P966"/>
      <c r="Q966"/>
      <c r="R966" s="387">
        <f>VLOOKUP(E966,'[1]NDB Impacted SPRFs 05032013'!$A$2:$A$65536,1,FALSE)</f>
        <v>400034915</v>
      </c>
    </row>
    <row r="967" spans="1:21" s="159" customFormat="1" ht="45" x14ac:dyDescent="0.25">
      <c r="A967" s="63" t="e">
        <f>MATCH($E967,'D1 - Master Project Table'!$B$24:$B$7056,0)</f>
        <v>#N/A</v>
      </c>
      <c r="B967" s="63" t="b">
        <f t="shared" si="45"/>
        <v>1</v>
      </c>
      <c r="C967" s="63" t="b">
        <f t="shared" si="46"/>
        <v>1</v>
      </c>
      <c r="D967" s="63" t="str">
        <f t="shared" si="47"/>
        <v>OK</v>
      </c>
      <c r="E967" s="393">
        <v>400000032</v>
      </c>
      <c r="F967" s="392" t="s">
        <v>5791</v>
      </c>
      <c r="G967" s="392" t="s">
        <v>5787</v>
      </c>
      <c r="H967" s="392" t="s">
        <v>7418</v>
      </c>
      <c r="I967" s="392" t="s">
        <v>1815</v>
      </c>
      <c r="J967" s="392" t="s">
        <v>8677</v>
      </c>
      <c r="K967" s="392" t="s">
        <v>6941</v>
      </c>
      <c r="L967" s="392" t="s">
        <v>2515</v>
      </c>
      <c r="M967" s="392" t="s">
        <v>3758</v>
      </c>
      <c r="N967" s="392" t="s">
        <v>7273</v>
      </c>
      <c r="O967" s="392" t="s">
        <v>7273</v>
      </c>
      <c r="P967"/>
      <c r="Q967"/>
      <c r="R967" s="387">
        <f>VLOOKUP(E967,'[1]NDB Impacted SPRFs 05032013'!$A$2:$A$65536,1,FALSE)</f>
        <v>400000032</v>
      </c>
      <c r="S967" s="128"/>
      <c r="T967" s="128"/>
      <c r="U967" s="128"/>
    </row>
    <row r="968" spans="1:21" s="159" customFormat="1" ht="60" x14ac:dyDescent="0.25">
      <c r="A968" s="63">
        <f>MATCH($E968,'D1 - Master Project Table'!$B$24:$B$7056,0)</f>
        <v>446</v>
      </c>
      <c r="B968" s="63" t="b">
        <f t="shared" si="45"/>
        <v>0</v>
      </c>
      <c r="C968" s="63" t="b">
        <f t="shared" si="46"/>
        <v>1</v>
      </c>
      <c r="D968" s="63" t="str">
        <f t="shared" si="47"/>
        <v>OK</v>
      </c>
      <c r="E968" s="393">
        <v>400009947</v>
      </c>
      <c r="F968" s="392" t="s">
        <v>7759</v>
      </c>
      <c r="G968" s="392" t="s">
        <v>3441</v>
      </c>
      <c r="H968" s="392" t="s">
        <v>7418</v>
      </c>
      <c r="I968" s="392" t="s">
        <v>1770</v>
      </c>
      <c r="J968" s="392" t="s">
        <v>8300</v>
      </c>
      <c r="K968" s="392" t="s">
        <v>5541</v>
      </c>
      <c r="L968" s="392" t="s">
        <v>5209</v>
      </c>
      <c r="M968" s="392" t="s">
        <v>7273</v>
      </c>
      <c r="N968" s="392" t="s">
        <v>7273</v>
      </c>
      <c r="O968" s="392" t="s">
        <v>3758</v>
      </c>
      <c r="P968"/>
      <c r="Q968"/>
      <c r="R968" s="387">
        <f>VLOOKUP(E968,'[1]NDB Impacted SPRFs 05032013'!$A$2:$A$65536,1,FALSE)</f>
        <v>400009947</v>
      </c>
    </row>
    <row r="969" spans="1:21" s="159" customFormat="1" ht="45" x14ac:dyDescent="0.25">
      <c r="A969" s="63">
        <f>MATCH($E969,'D1 - Master Project Table'!$B$24:$B$7056,0)</f>
        <v>2177</v>
      </c>
      <c r="B969" s="63" t="b">
        <f t="shared" si="45"/>
        <v>0</v>
      </c>
      <c r="C969" s="63" t="b">
        <f t="shared" si="46"/>
        <v>1</v>
      </c>
      <c r="D969" s="63" t="str">
        <f t="shared" si="47"/>
        <v>OK</v>
      </c>
      <c r="E969" s="393">
        <v>400019776</v>
      </c>
      <c r="F969" s="392" t="s">
        <v>7393</v>
      </c>
      <c r="G969" s="392" t="s">
        <v>5324</v>
      </c>
      <c r="H969" s="392" t="s">
        <v>5314</v>
      </c>
      <c r="I969" s="392" t="s">
        <v>1759</v>
      </c>
      <c r="J969" s="392" t="s">
        <v>8357</v>
      </c>
      <c r="K969" s="392" t="s">
        <v>5184</v>
      </c>
      <c r="L969" s="392" t="s">
        <v>6759</v>
      </c>
      <c r="M969" s="392" t="s">
        <v>3758</v>
      </c>
      <c r="N969" s="392" t="s">
        <v>7273</v>
      </c>
      <c r="O969" s="392" t="s">
        <v>3758</v>
      </c>
      <c r="P969"/>
      <c r="Q969"/>
      <c r="R969" s="387">
        <f>VLOOKUP(E969,'[1]NDB Impacted SPRFs 05032013'!$A$2:$A$65536,1,FALSE)</f>
        <v>400019776</v>
      </c>
      <c r="S969" s="128"/>
      <c r="T969" s="128"/>
      <c r="U969" s="128"/>
    </row>
    <row r="970" spans="1:21" s="159" customFormat="1" ht="45" x14ac:dyDescent="0.25">
      <c r="A970" s="63">
        <f>MATCH($E970,'D1 - Master Project Table'!$B$24:$B$7056,0)</f>
        <v>2875</v>
      </c>
      <c r="B970" s="63" t="b">
        <f t="shared" si="45"/>
        <v>0</v>
      </c>
      <c r="C970" s="63" t="b">
        <f t="shared" si="46"/>
        <v>1</v>
      </c>
      <c r="D970" s="63" t="str">
        <f t="shared" si="47"/>
        <v>OK</v>
      </c>
      <c r="E970" s="393">
        <v>400028474</v>
      </c>
      <c r="F970" s="392" t="s">
        <v>3802</v>
      </c>
      <c r="G970" s="392" t="s">
        <v>5325</v>
      </c>
      <c r="H970" s="392" t="s">
        <v>5314</v>
      </c>
      <c r="I970" s="392" t="s">
        <v>6419</v>
      </c>
      <c r="J970" s="392" t="s">
        <v>6020</v>
      </c>
      <c r="K970" s="392" t="s">
        <v>6961</v>
      </c>
      <c r="L970" s="392" t="s">
        <v>7568</v>
      </c>
      <c r="M970" s="392" t="s">
        <v>3758</v>
      </c>
      <c r="N970" s="392" t="s">
        <v>7273</v>
      </c>
      <c r="O970" s="392" t="s">
        <v>7273</v>
      </c>
      <c r="P970" s="198" t="s">
        <v>6413</v>
      </c>
      <c r="Q970" s="128"/>
      <c r="R970" s="387">
        <f>VLOOKUP(E970,'[1]NDB Impacted SPRFs 05032013'!$A$2:$A$65536,1,FALSE)</f>
        <v>400028474</v>
      </c>
      <c r="S970" s="128"/>
      <c r="T970" s="128"/>
      <c r="U970" s="128"/>
    </row>
    <row r="971" spans="1:21" s="159" customFormat="1" ht="60" x14ac:dyDescent="0.25">
      <c r="A971" s="63">
        <f>MATCH($E971,'D1 - Master Project Table'!$B$24:$B$7056,0)</f>
        <v>54</v>
      </c>
      <c r="B971" s="63" t="b">
        <f t="shared" si="45"/>
        <v>0</v>
      </c>
      <c r="C971" s="63" t="b">
        <f t="shared" si="46"/>
        <v>0</v>
      </c>
      <c r="D971" s="63" t="str">
        <f t="shared" si="47"/>
        <v>OK</v>
      </c>
      <c r="E971" s="393">
        <v>400054674</v>
      </c>
      <c r="F971" s="392" t="s">
        <v>3055</v>
      </c>
      <c r="G971" s="392" t="s">
        <v>6322</v>
      </c>
      <c r="H971" s="392" t="s">
        <v>4917</v>
      </c>
      <c r="I971" s="392" t="s">
        <v>1456</v>
      </c>
      <c r="J971" s="392" t="s">
        <v>8636</v>
      </c>
      <c r="K971" s="392" t="s">
        <v>1292</v>
      </c>
      <c r="L971" s="392" t="s">
        <v>7977</v>
      </c>
      <c r="M971" s="392" t="s">
        <v>7273</v>
      </c>
      <c r="N971" s="392" t="s">
        <v>7273</v>
      </c>
      <c r="O971" s="392" t="s">
        <v>7273</v>
      </c>
      <c r="P971"/>
      <c r="Q971"/>
      <c r="R971" s="387">
        <f>VLOOKUP(E971,'[1]NDB Impacted SPRFs 05032013'!$A$2:$A$65536,1,FALSE)</f>
        <v>400054674</v>
      </c>
    </row>
    <row r="972" spans="1:21" s="159" customFormat="1" ht="60" x14ac:dyDescent="0.25">
      <c r="A972" s="63">
        <f>MATCH($E972,'D1 - Master Project Table'!$B$24:$B$7056,0)</f>
        <v>92</v>
      </c>
      <c r="B972" s="63" t="b">
        <f t="shared" si="45"/>
        <v>0</v>
      </c>
      <c r="C972" s="63" t="b">
        <f t="shared" si="46"/>
        <v>0</v>
      </c>
      <c r="D972" s="63" t="str">
        <f t="shared" si="47"/>
        <v>OK</v>
      </c>
      <c r="E972" s="393">
        <v>400058909</v>
      </c>
      <c r="F972" s="392" t="s">
        <v>9105</v>
      </c>
      <c r="G972" s="392" t="s">
        <v>5324</v>
      </c>
      <c r="H972" s="392" t="s">
        <v>8012</v>
      </c>
      <c r="I972" s="392" t="s">
        <v>1763</v>
      </c>
      <c r="J972" s="392" t="s">
        <v>9230</v>
      </c>
      <c r="K972" s="392" t="s">
        <v>7060</v>
      </c>
      <c r="L972" s="392" t="s">
        <v>9318</v>
      </c>
      <c r="M972" s="392" t="s">
        <v>7273</v>
      </c>
      <c r="N972" s="392" t="s">
        <v>7273</v>
      </c>
      <c r="O972" s="392" t="s">
        <v>7273</v>
      </c>
      <c r="P972"/>
      <c r="Q972"/>
      <c r="R972" s="387">
        <f>VLOOKUP(E972,'[1]NDB Impacted SPRFs 05032013'!$A$2:$A$65536,1,FALSE)</f>
        <v>400058909</v>
      </c>
      <c r="S972" s="128"/>
      <c r="T972" s="128"/>
      <c r="U972" s="128"/>
    </row>
    <row r="973" spans="1:21" s="159" customFormat="1" ht="45" x14ac:dyDescent="0.25">
      <c r="A973" s="63">
        <f>MATCH($E973,'D1 - Master Project Table'!$B$24:$B$7056,0)</f>
        <v>2476</v>
      </c>
      <c r="B973" s="63" t="b">
        <f t="shared" si="45"/>
        <v>0</v>
      </c>
      <c r="C973" s="63" t="b">
        <f t="shared" si="46"/>
        <v>1</v>
      </c>
      <c r="D973" s="63" t="str">
        <f t="shared" si="47"/>
        <v>OK</v>
      </c>
      <c r="E973" s="393">
        <v>400005333</v>
      </c>
      <c r="F973" s="392" t="s">
        <v>6497</v>
      </c>
      <c r="G973" s="392" t="s">
        <v>5324</v>
      </c>
      <c r="H973" s="392" t="s">
        <v>5314</v>
      </c>
      <c r="I973" s="392" t="s">
        <v>1765</v>
      </c>
      <c r="J973" s="392" t="s">
        <v>8625</v>
      </c>
      <c r="K973" s="392" t="s">
        <v>4169</v>
      </c>
      <c r="L973" s="392" t="s">
        <v>6617</v>
      </c>
      <c r="M973" s="392" t="s">
        <v>3758</v>
      </c>
      <c r="N973" s="392" t="s">
        <v>7273</v>
      </c>
      <c r="O973" s="392" t="s">
        <v>7273</v>
      </c>
      <c r="P973"/>
      <c r="Q973"/>
      <c r="R973" s="387">
        <f>VLOOKUP(E973,'[1]NDB Impacted SPRFs 05032013'!$A$2:$A$65536,1,FALSE)</f>
        <v>400005333</v>
      </c>
      <c r="S973" s="128"/>
      <c r="T973" s="128"/>
      <c r="U973" s="128"/>
    </row>
    <row r="974" spans="1:21" s="159" customFormat="1" ht="45" x14ac:dyDescent="0.25">
      <c r="A974" s="63">
        <f>MATCH($E974,'D1 - Master Project Table'!$B$24:$B$7056,0)</f>
        <v>861</v>
      </c>
      <c r="B974" s="63" t="b">
        <f t="shared" si="45"/>
        <v>0</v>
      </c>
      <c r="C974" s="63" t="b">
        <f t="shared" si="46"/>
        <v>1</v>
      </c>
      <c r="D974" s="63" t="str">
        <f t="shared" si="47"/>
        <v>OK</v>
      </c>
      <c r="E974" s="393">
        <v>400014494</v>
      </c>
      <c r="F974" s="392" t="s">
        <v>3889</v>
      </c>
      <c r="G974" s="392" t="s">
        <v>5324</v>
      </c>
      <c r="H974" s="392" t="s">
        <v>7418</v>
      </c>
      <c r="I974" s="392" t="s">
        <v>1762</v>
      </c>
      <c r="J974" s="392" t="s">
        <v>8592</v>
      </c>
      <c r="K974" s="392" t="s">
        <v>3222</v>
      </c>
      <c r="L974" s="392" t="s">
        <v>992</v>
      </c>
      <c r="M974" s="392" t="s">
        <v>7273</v>
      </c>
      <c r="N974" s="392" t="s">
        <v>7273</v>
      </c>
      <c r="O974" s="392" t="s">
        <v>7273</v>
      </c>
      <c r="P974"/>
      <c r="Q974"/>
      <c r="R974" s="387">
        <f>VLOOKUP(E974,'[1]NDB Impacted SPRFs 05032013'!$A$2:$A$65536,1,FALSE)</f>
        <v>400014494</v>
      </c>
    </row>
    <row r="975" spans="1:21" s="159" customFormat="1" ht="45" x14ac:dyDescent="0.25">
      <c r="A975" s="63">
        <f>MATCH($E975,'D1 - Master Project Table'!$B$24:$B$7056,0)</f>
        <v>993</v>
      </c>
      <c r="B975" s="63" t="b">
        <f t="shared" si="45"/>
        <v>0</v>
      </c>
      <c r="C975" s="63" t="b">
        <f t="shared" si="46"/>
        <v>1</v>
      </c>
      <c r="D975" s="63" t="str">
        <f t="shared" si="47"/>
        <v>OK</v>
      </c>
      <c r="E975" s="393">
        <v>400025523</v>
      </c>
      <c r="F975" s="392" t="s">
        <v>5706</v>
      </c>
      <c r="G975" s="392" t="s">
        <v>5324</v>
      </c>
      <c r="H975" s="392" t="s">
        <v>7418</v>
      </c>
      <c r="I975" s="392" t="s">
        <v>1760</v>
      </c>
      <c r="J975" s="392" t="s">
        <v>7155</v>
      </c>
      <c r="K975" s="392" t="s">
        <v>1506</v>
      </c>
      <c r="L975" s="392" t="s">
        <v>8104</v>
      </c>
      <c r="M975" s="392" t="s">
        <v>3758</v>
      </c>
      <c r="N975" s="392" t="s">
        <v>7273</v>
      </c>
      <c r="O975" s="392" t="s">
        <v>7273</v>
      </c>
      <c r="P975"/>
      <c r="Q975"/>
      <c r="R975" s="387">
        <f>VLOOKUP(E975,'[1]NDB Impacted SPRFs 05032013'!$A$2:$A$65536,1,FALSE)</f>
        <v>400025523</v>
      </c>
      <c r="S975" s="128"/>
      <c r="T975" s="128"/>
      <c r="U975" s="128"/>
    </row>
    <row r="976" spans="1:21" s="159" customFormat="1" ht="45" x14ac:dyDescent="0.25">
      <c r="A976" s="63">
        <f>MATCH($E976,'D1 - Master Project Table'!$B$24:$B$7056,0)</f>
        <v>1731</v>
      </c>
      <c r="B976" s="63" t="b">
        <f t="shared" si="45"/>
        <v>0</v>
      </c>
      <c r="C976" s="63" t="b">
        <f t="shared" si="46"/>
        <v>1</v>
      </c>
      <c r="D976" s="63" t="str">
        <f t="shared" si="47"/>
        <v>OK</v>
      </c>
      <c r="E976" s="393">
        <v>400049953</v>
      </c>
      <c r="F976" s="392" t="s">
        <v>1115</v>
      </c>
      <c r="G976" s="392" t="s">
        <v>5324</v>
      </c>
      <c r="H976" s="392" t="s">
        <v>7418</v>
      </c>
      <c r="I976" s="392" t="s">
        <v>1758</v>
      </c>
      <c r="J976" s="392" t="s">
        <v>8368</v>
      </c>
      <c r="K976" s="392" t="s">
        <v>1116</v>
      </c>
      <c r="L976" s="392" t="s">
        <v>972</v>
      </c>
      <c r="M976" s="392" t="s">
        <v>7273</v>
      </c>
      <c r="N976" s="392" t="s">
        <v>7273</v>
      </c>
      <c r="O976" s="392" t="s">
        <v>7273</v>
      </c>
      <c r="P976"/>
      <c r="Q976"/>
      <c r="R976" s="387">
        <f>VLOOKUP(E976,'[1]NDB Impacted SPRFs 05032013'!$A$2:$A$65536,1,FALSE)</f>
        <v>400049953</v>
      </c>
      <c r="S976" s="128"/>
      <c r="T976" s="128"/>
      <c r="U976" s="128"/>
    </row>
    <row r="977" spans="1:21" s="159" customFormat="1" ht="45" x14ac:dyDescent="0.25">
      <c r="A977" s="63">
        <f>MATCH($E977,'D1 - Master Project Table'!$B$24:$B$7056,0)</f>
        <v>718</v>
      </c>
      <c r="B977" s="63" t="b">
        <f t="shared" si="45"/>
        <v>0</v>
      </c>
      <c r="C977" s="63" t="b">
        <f t="shared" si="46"/>
        <v>1</v>
      </c>
      <c r="D977" s="63" t="str">
        <f t="shared" si="47"/>
        <v>OK</v>
      </c>
      <c r="E977" s="393">
        <v>400011666</v>
      </c>
      <c r="F977" s="392" t="s">
        <v>6473</v>
      </c>
      <c r="G977" s="392" t="s">
        <v>5324</v>
      </c>
      <c r="H977" s="392" t="s">
        <v>7418</v>
      </c>
      <c r="I977" s="392" t="s">
        <v>1770</v>
      </c>
      <c r="J977" s="392" t="s">
        <v>8388</v>
      </c>
      <c r="K977" s="392" t="s">
        <v>5541</v>
      </c>
      <c r="L977" s="392" t="s">
        <v>2541</v>
      </c>
      <c r="M977" s="392" t="s">
        <v>7273</v>
      </c>
      <c r="N977" s="392" t="s">
        <v>7273</v>
      </c>
      <c r="O977" s="392" t="s">
        <v>7273</v>
      </c>
      <c r="P977"/>
      <c r="Q977"/>
      <c r="R977" s="387">
        <f>VLOOKUP(E977,'[1]NDB Impacted SPRFs 05032013'!$A$2:$A$65536,1,FALSE)</f>
        <v>400011666</v>
      </c>
    </row>
    <row r="978" spans="1:21" s="159" customFormat="1" ht="45" x14ac:dyDescent="0.25">
      <c r="A978" s="63">
        <f>MATCH($E978,'D1 - Master Project Table'!$B$24:$B$7056,0)</f>
        <v>3062</v>
      </c>
      <c r="B978" s="63" t="b">
        <f t="shared" si="45"/>
        <v>0</v>
      </c>
      <c r="C978" s="63" t="b">
        <f t="shared" si="46"/>
        <v>1</v>
      </c>
      <c r="D978" s="63" t="str">
        <f t="shared" si="47"/>
        <v>OK</v>
      </c>
      <c r="E978" s="393">
        <v>400044772</v>
      </c>
      <c r="F978" s="392" t="s">
        <v>1855</v>
      </c>
      <c r="G978" s="392" t="s">
        <v>6322</v>
      </c>
      <c r="H978" s="392" t="s">
        <v>5314</v>
      </c>
      <c r="I978" s="392" t="s">
        <v>1118</v>
      </c>
      <c r="J978" s="392" t="s">
        <v>1856</v>
      </c>
      <c r="K978" s="392" t="s">
        <v>5819</v>
      </c>
      <c r="L978" s="392" t="s">
        <v>1395</v>
      </c>
      <c r="M978" s="392" t="s">
        <v>7273</v>
      </c>
      <c r="N978" s="392" t="s">
        <v>7273</v>
      </c>
      <c r="O978" s="392" t="s">
        <v>7273</v>
      </c>
      <c r="P978"/>
      <c r="Q978"/>
      <c r="R978" s="387">
        <f>VLOOKUP(E978,'[1]NDB Impacted SPRFs 05032013'!$A$2:$A$65536,1,FALSE)</f>
        <v>400044772</v>
      </c>
    </row>
    <row r="979" spans="1:21" s="159" customFormat="1" ht="45" x14ac:dyDescent="0.25">
      <c r="A979" s="63">
        <f>MATCH($E979,'D1 - Master Project Table'!$B$24:$B$7056,0)</f>
        <v>1171</v>
      </c>
      <c r="B979" s="63" t="b">
        <f t="shared" si="45"/>
        <v>0</v>
      </c>
      <c r="C979" s="63" t="b">
        <f t="shared" si="46"/>
        <v>1</v>
      </c>
      <c r="D979" s="63" t="str">
        <f t="shared" si="47"/>
        <v>OK</v>
      </c>
      <c r="E979" s="393">
        <v>400026320</v>
      </c>
      <c r="F979" s="392" t="s">
        <v>2422</v>
      </c>
      <c r="G979" s="392" t="s">
        <v>5324</v>
      </c>
      <c r="H979" s="392" t="s">
        <v>7418</v>
      </c>
      <c r="I979" s="392" t="s">
        <v>1763</v>
      </c>
      <c r="J979" s="392" t="s">
        <v>2859</v>
      </c>
      <c r="K979" s="392" t="s">
        <v>6079</v>
      </c>
      <c r="L979" s="392" t="s">
        <v>7529</v>
      </c>
      <c r="M979" s="392" t="s">
        <v>3758</v>
      </c>
      <c r="N979" s="392" t="s">
        <v>7273</v>
      </c>
      <c r="O979" s="392" t="s">
        <v>3758</v>
      </c>
      <c r="P979"/>
      <c r="Q979"/>
      <c r="R979" s="387">
        <f>VLOOKUP(E979,'[1]NDB Impacted SPRFs 05032013'!$A$2:$A$65536,1,FALSE)</f>
        <v>400026320</v>
      </c>
    </row>
    <row r="980" spans="1:21" s="159" customFormat="1" ht="60" x14ac:dyDescent="0.25">
      <c r="A980" s="63">
        <f>MATCH($E980,'D1 - Master Project Table'!$B$24:$B$7056,0)</f>
        <v>3264</v>
      </c>
      <c r="B980" s="63" t="b">
        <f t="shared" si="45"/>
        <v>0</v>
      </c>
      <c r="C980" s="63" t="b">
        <f t="shared" si="46"/>
        <v>1</v>
      </c>
      <c r="D980" s="63" t="str">
        <f t="shared" si="47"/>
        <v>OK</v>
      </c>
      <c r="E980" s="393">
        <v>400044960</v>
      </c>
      <c r="F980" s="392" t="s">
        <v>1036</v>
      </c>
      <c r="G980" s="392" t="s">
        <v>5995</v>
      </c>
      <c r="H980" s="392" t="s">
        <v>7418</v>
      </c>
      <c r="I980" s="392" t="s">
        <v>3533</v>
      </c>
      <c r="J980" s="392" t="s">
        <v>8803</v>
      </c>
      <c r="K980" s="392" t="s">
        <v>1037</v>
      </c>
      <c r="L980" s="392" t="s">
        <v>7165</v>
      </c>
      <c r="M980" s="392" t="s">
        <v>3758</v>
      </c>
      <c r="N980" s="392" t="s">
        <v>7273</v>
      </c>
      <c r="O980" s="392" t="s">
        <v>3758</v>
      </c>
      <c r="P980"/>
      <c r="Q980"/>
      <c r="R980" s="387">
        <f>VLOOKUP(E980,'[1]NDB Impacted SPRFs 05032013'!$A$2:$A$65536,1,FALSE)</f>
        <v>400044960</v>
      </c>
    </row>
    <row r="981" spans="1:21" s="159" customFormat="1" ht="60" x14ac:dyDescent="0.25">
      <c r="A981" s="63">
        <f>MATCH($E981,'D1 - Master Project Table'!$B$24:$B$7056,0)</f>
        <v>1397</v>
      </c>
      <c r="B981" s="63" t="b">
        <f t="shared" si="45"/>
        <v>0</v>
      </c>
      <c r="C981" s="63" t="b">
        <f t="shared" si="46"/>
        <v>1</v>
      </c>
      <c r="D981" s="63" t="str">
        <f t="shared" si="47"/>
        <v>OK</v>
      </c>
      <c r="E981" s="393">
        <v>400037192</v>
      </c>
      <c r="F981" s="392" t="s">
        <v>4395</v>
      </c>
      <c r="G981" s="392" t="s">
        <v>5324</v>
      </c>
      <c r="H981" s="392" t="s">
        <v>7418</v>
      </c>
      <c r="I981" s="392" t="s">
        <v>1811</v>
      </c>
      <c r="J981" s="392" t="s">
        <v>8382</v>
      </c>
      <c r="K981" s="392" t="s">
        <v>3353</v>
      </c>
      <c r="L981" s="392" t="s">
        <v>4904</v>
      </c>
      <c r="M981" s="392" t="s">
        <v>3758</v>
      </c>
      <c r="N981" s="392" t="s">
        <v>7273</v>
      </c>
      <c r="O981" s="392" t="s">
        <v>7273</v>
      </c>
      <c r="P981"/>
      <c r="Q981"/>
      <c r="R981" s="387">
        <f>VLOOKUP(E981,'[1]NDB Impacted SPRFs 05032013'!$A$2:$A$65536,1,FALSE)</f>
        <v>400037192</v>
      </c>
    </row>
    <row r="982" spans="1:21" s="159" customFormat="1" ht="45" x14ac:dyDescent="0.25">
      <c r="A982" s="63">
        <f>MATCH($E982,'D1 - Master Project Table'!$B$24:$B$7056,0)</f>
        <v>1241</v>
      </c>
      <c r="B982" s="63" t="b">
        <f t="shared" si="45"/>
        <v>0</v>
      </c>
      <c r="C982" s="63" t="b">
        <f t="shared" si="46"/>
        <v>1</v>
      </c>
      <c r="D982" s="63" t="str">
        <f t="shared" si="47"/>
        <v>OK</v>
      </c>
      <c r="E982" s="393">
        <v>400015752</v>
      </c>
      <c r="F982" s="392" t="s">
        <v>8063</v>
      </c>
      <c r="G982" s="392" t="s">
        <v>5324</v>
      </c>
      <c r="H982" s="392" t="s">
        <v>7418</v>
      </c>
      <c r="I982" s="392" t="s">
        <v>1763</v>
      </c>
      <c r="J982" s="392" t="s">
        <v>8300</v>
      </c>
      <c r="K982" s="392" t="s">
        <v>7401</v>
      </c>
      <c r="L982" s="392" t="s">
        <v>5971</v>
      </c>
      <c r="M982" s="392" t="s">
        <v>7273</v>
      </c>
      <c r="N982" s="392" t="s">
        <v>7273</v>
      </c>
      <c r="O982" s="392" t="s">
        <v>7273</v>
      </c>
      <c r="P982"/>
      <c r="Q982"/>
      <c r="R982" s="387">
        <f>VLOOKUP(E982,'[1]NDB Impacted SPRFs 05032013'!$A$2:$A$65536,1,FALSE)</f>
        <v>400015752</v>
      </c>
      <c r="S982" s="128"/>
      <c r="T982" s="128"/>
      <c r="U982" s="128"/>
    </row>
    <row r="983" spans="1:21" s="159" customFormat="1" ht="45" x14ac:dyDescent="0.25">
      <c r="A983" s="63">
        <f>MATCH($E983,'D1 - Master Project Table'!$B$24:$B$7056,0)</f>
        <v>1066</v>
      </c>
      <c r="B983" s="63" t="b">
        <f t="shared" si="45"/>
        <v>0</v>
      </c>
      <c r="C983" s="63" t="b">
        <f t="shared" si="46"/>
        <v>1</v>
      </c>
      <c r="D983" s="63" t="str">
        <f t="shared" si="47"/>
        <v>OK</v>
      </c>
      <c r="E983" s="393">
        <v>400028550</v>
      </c>
      <c r="F983" s="392" t="s">
        <v>6135</v>
      </c>
      <c r="G983" s="392" t="s">
        <v>5324</v>
      </c>
      <c r="H983" s="392" t="s">
        <v>7418</v>
      </c>
      <c r="I983" s="392" t="s">
        <v>1756</v>
      </c>
      <c r="J983" s="392" t="s">
        <v>8377</v>
      </c>
      <c r="K983" s="392" t="s">
        <v>7024</v>
      </c>
      <c r="L983" s="392" t="s">
        <v>2650</v>
      </c>
      <c r="M983" s="392" t="s">
        <v>7273</v>
      </c>
      <c r="N983" s="392" t="s">
        <v>7273</v>
      </c>
      <c r="O983" s="392" t="s">
        <v>7273</v>
      </c>
      <c r="P983"/>
      <c r="Q983"/>
      <c r="R983" s="387">
        <f>VLOOKUP(E983,'[1]NDB Impacted SPRFs 05032013'!$A$2:$A$65536,1,FALSE)</f>
        <v>400028550</v>
      </c>
    </row>
    <row r="984" spans="1:21" s="159" customFormat="1" ht="45" x14ac:dyDescent="0.25">
      <c r="A984" s="63">
        <f>MATCH($E984,'D1 - Master Project Table'!$B$24:$B$7056,0)</f>
        <v>1817</v>
      </c>
      <c r="B984" s="63" t="b">
        <f t="shared" si="45"/>
        <v>0</v>
      </c>
      <c r="C984" s="63" t="b">
        <f t="shared" si="46"/>
        <v>0</v>
      </c>
      <c r="D984" s="63" t="str">
        <f t="shared" si="47"/>
        <v>OK</v>
      </c>
      <c r="E984" s="393">
        <v>400054445</v>
      </c>
      <c r="F984" s="392" t="s">
        <v>1838</v>
      </c>
      <c r="G984" s="392" t="s">
        <v>5324</v>
      </c>
      <c r="H984" s="392" t="s">
        <v>4917</v>
      </c>
      <c r="I984" s="392" t="s">
        <v>1759</v>
      </c>
      <c r="J984" s="392" t="s">
        <v>4844</v>
      </c>
      <c r="K984" s="392" t="s">
        <v>2264</v>
      </c>
      <c r="L984" s="392" t="s">
        <v>8946</v>
      </c>
      <c r="M984" s="392" t="s">
        <v>3758</v>
      </c>
      <c r="N984" s="392" t="s">
        <v>7273</v>
      </c>
      <c r="O984" s="392" t="s">
        <v>3758</v>
      </c>
      <c r="P984"/>
      <c r="Q984"/>
      <c r="R984" s="387">
        <f>VLOOKUP(E984,'[1]NDB Impacted SPRFs 05032013'!$A$2:$A$65536,1,FALSE)</f>
        <v>400054445</v>
      </c>
    </row>
    <row r="985" spans="1:21" s="159" customFormat="1" ht="60" x14ac:dyDescent="0.25">
      <c r="A985" s="63">
        <f>MATCH($E985,'D1 - Master Project Table'!$B$24:$B$7056,0)</f>
        <v>2610</v>
      </c>
      <c r="B985" s="63" t="b">
        <f t="shared" si="45"/>
        <v>0</v>
      </c>
      <c r="C985" s="63" t="b">
        <f t="shared" si="46"/>
        <v>1</v>
      </c>
      <c r="D985" s="63" t="str">
        <f t="shared" si="47"/>
        <v>OK</v>
      </c>
      <c r="E985" s="393">
        <v>400013040</v>
      </c>
      <c r="F985" s="392" t="s">
        <v>5229</v>
      </c>
      <c r="G985" s="392" t="s">
        <v>3441</v>
      </c>
      <c r="H985" s="392" t="s">
        <v>7418</v>
      </c>
      <c r="I985" s="392" t="s">
        <v>1769</v>
      </c>
      <c r="J985" s="392" t="s">
        <v>4997</v>
      </c>
      <c r="K985" s="392" t="s">
        <v>5554</v>
      </c>
      <c r="L985" s="392" t="s">
        <v>5823</v>
      </c>
      <c r="M985" s="392" t="s">
        <v>7273</v>
      </c>
      <c r="N985" s="392" t="s">
        <v>7273</v>
      </c>
      <c r="O985" s="392" t="s">
        <v>7273</v>
      </c>
      <c r="P985"/>
      <c r="Q985"/>
      <c r="R985" s="387">
        <f>VLOOKUP(E985,'[1]NDB Impacted SPRFs 05032013'!$A$2:$A$65536,1,FALSE)</f>
        <v>400013040</v>
      </c>
      <c r="S985" s="128"/>
      <c r="T985" s="128"/>
      <c r="U985" s="128"/>
    </row>
    <row r="986" spans="1:21" s="159" customFormat="1" ht="45" x14ac:dyDescent="0.25">
      <c r="A986" s="63">
        <f>MATCH($E986,'D1 - Master Project Table'!$B$24:$B$7056,0)</f>
        <v>472</v>
      </c>
      <c r="B986" s="63" t="b">
        <f t="shared" si="45"/>
        <v>0</v>
      </c>
      <c r="C986" s="63" t="b">
        <f t="shared" si="46"/>
        <v>1</v>
      </c>
      <c r="D986" s="63" t="str">
        <f t="shared" si="47"/>
        <v>OK</v>
      </c>
      <c r="E986" s="393">
        <v>400008046</v>
      </c>
      <c r="F986" s="392" t="s">
        <v>4633</v>
      </c>
      <c r="G986" s="392" t="s">
        <v>5787</v>
      </c>
      <c r="H986" s="392" t="s">
        <v>7418</v>
      </c>
      <c r="I986" s="392" t="s">
        <v>1775</v>
      </c>
      <c r="J986" s="392" t="s">
        <v>4997</v>
      </c>
      <c r="K986" s="392" t="s">
        <v>2523</v>
      </c>
      <c r="L986" s="392" t="s">
        <v>4251</v>
      </c>
      <c r="M986" s="392" t="s">
        <v>7273</v>
      </c>
      <c r="N986" s="392" t="s">
        <v>7273</v>
      </c>
      <c r="O986" s="392" t="s">
        <v>7273</v>
      </c>
      <c r="P986"/>
      <c r="Q986"/>
      <c r="R986" s="387">
        <f>VLOOKUP(E986,'[1]NDB Impacted SPRFs 05032013'!$A$2:$A$65536,1,FALSE)</f>
        <v>400008046</v>
      </c>
    </row>
    <row r="987" spans="1:21" s="159" customFormat="1" ht="45" x14ac:dyDescent="0.25">
      <c r="A987" s="63">
        <f>MATCH($E987,'D1 - Master Project Table'!$B$24:$B$7056,0)</f>
        <v>1947</v>
      </c>
      <c r="B987" s="63" t="b">
        <f t="shared" si="45"/>
        <v>0</v>
      </c>
      <c r="C987" s="63" t="b">
        <f t="shared" si="46"/>
        <v>1</v>
      </c>
      <c r="D987" s="63" t="str">
        <f t="shared" si="47"/>
        <v>OK</v>
      </c>
      <c r="E987" s="393">
        <v>400020183</v>
      </c>
      <c r="F987" s="392" t="s">
        <v>2647</v>
      </c>
      <c r="G987" s="392" t="s">
        <v>5325</v>
      </c>
      <c r="H987" s="392" t="s">
        <v>7418</v>
      </c>
      <c r="I987" s="392" t="s">
        <v>1795</v>
      </c>
      <c r="J987" s="392" t="s">
        <v>5112</v>
      </c>
      <c r="K987" s="392" t="s">
        <v>6402</v>
      </c>
      <c r="L987" s="392" t="s">
        <v>7583</v>
      </c>
      <c r="M987" s="392" t="s">
        <v>7273</v>
      </c>
      <c r="N987" s="392" t="s">
        <v>7273</v>
      </c>
      <c r="O987" s="392" t="s">
        <v>7273</v>
      </c>
      <c r="P987"/>
      <c r="Q987"/>
      <c r="R987" s="387">
        <f>VLOOKUP(E987,'[1]NDB Impacted SPRFs 05032013'!$A$2:$A$65536,1,FALSE)</f>
        <v>400020183</v>
      </c>
      <c r="S987" s="128"/>
      <c r="T987" s="128"/>
      <c r="U987" s="128"/>
    </row>
    <row r="988" spans="1:21" s="159" customFormat="1" ht="45" x14ac:dyDescent="0.25">
      <c r="A988" s="63">
        <f>MATCH($E988,'D1 - Master Project Table'!$B$24:$B$7056,0)</f>
        <v>2831</v>
      </c>
      <c r="B988" s="63" t="b">
        <f t="shared" si="45"/>
        <v>0</v>
      </c>
      <c r="C988" s="63" t="b">
        <f t="shared" si="46"/>
        <v>1</v>
      </c>
      <c r="D988" s="63" t="str">
        <f t="shared" si="47"/>
        <v>OK</v>
      </c>
      <c r="E988" s="393">
        <v>400025401</v>
      </c>
      <c r="F988" s="392" t="s">
        <v>7407</v>
      </c>
      <c r="G988" s="392" t="s">
        <v>5324</v>
      </c>
      <c r="H988" s="392" t="s">
        <v>5314</v>
      </c>
      <c r="I988" s="392" t="s">
        <v>1763</v>
      </c>
      <c r="J988" s="392" t="s">
        <v>4474</v>
      </c>
      <c r="K988" s="392" t="s">
        <v>4176</v>
      </c>
      <c r="L988" s="392" t="s">
        <v>3195</v>
      </c>
      <c r="M988" s="392" t="s">
        <v>3758</v>
      </c>
      <c r="N988" s="392" t="s">
        <v>7273</v>
      </c>
      <c r="O988" s="392" t="s">
        <v>7273</v>
      </c>
      <c r="P988"/>
      <c r="Q988"/>
      <c r="R988" s="387">
        <f>VLOOKUP(E988,'[1]NDB Impacted SPRFs 05032013'!$A$2:$A$65536,1,FALSE)</f>
        <v>400025401</v>
      </c>
      <c r="S988" s="128"/>
      <c r="T988" s="128"/>
      <c r="U988" s="128"/>
    </row>
    <row r="989" spans="1:21" s="159" customFormat="1" ht="45" x14ac:dyDescent="0.25">
      <c r="A989" s="63" t="e">
        <f>MATCH($E989,'D1 - Master Project Table'!$B$24:$B$7056,0)</f>
        <v>#N/A</v>
      </c>
      <c r="B989" s="63" t="b">
        <f t="shared" si="45"/>
        <v>1</v>
      </c>
      <c r="C989" s="63" t="b">
        <f t="shared" si="46"/>
        <v>1</v>
      </c>
      <c r="D989" s="63" t="str">
        <f t="shared" si="47"/>
        <v>OK</v>
      </c>
      <c r="E989" s="393">
        <v>400026544</v>
      </c>
      <c r="F989" s="392" t="s">
        <v>5304</v>
      </c>
      <c r="G989" s="392" t="s">
        <v>5325</v>
      </c>
      <c r="H989" s="392" t="s">
        <v>5314</v>
      </c>
      <c r="I989" s="392" t="s">
        <v>1795</v>
      </c>
      <c r="J989" s="392" t="s">
        <v>5718</v>
      </c>
      <c r="K989" s="392" t="s">
        <v>6585</v>
      </c>
      <c r="L989" s="392" t="s">
        <v>7579</v>
      </c>
      <c r="M989" s="392" t="s">
        <v>7273</v>
      </c>
      <c r="N989" s="392" t="s">
        <v>7273</v>
      </c>
      <c r="O989" s="392" t="s">
        <v>7273</v>
      </c>
      <c r="P989"/>
      <c r="Q989"/>
      <c r="R989" s="387">
        <f>VLOOKUP(E989,'[1]NDB Impacted SPRFs 05032013'!$A$2:$A$65536,1,FALSE)</f>
        <v>400026544</v>
      </c>
    </row>
    <row r="990" spans="1:21" s="159" customFormat="1" ht="60" x14ac:dyDescent="0.25">
      <c r="A990" s="63">
        <f>MATCH($E990,'D1 - Master Project Table'!$B$24:$B$7056,0)</f>
        <v>1315</v>
      </c>
      <c r="B990" s="63" t="b">
        <f t="shared" si="45"/>
        <v>0</v>
      </c>
      <c r="C990" s="63" t="b">
        <f t="shared" si="46"/>
        <v>1</v>
      </c>
      <c r="D990" s="63" t="str">
        <f t="shared" si="47"/>
        <v>OK</v>
      </c>
      <c r="E990" s="393">
        <v>400034142</v>
      </c>
      <c r="F990" s="392" t="s">
        <v>4311</v>
      </c>
      <c r="G990" s="392" t="s">
        <v>5324</v>
      </c>
      <c r="H990" s="392" t="s">
        <v>7418</v>
      </c>
      <c r="I990" s="392" t="s">
        <v>1758</v>
      </c>
      <c r="J990" s="392" t="s">
        <v>6543</v>
      </c>
      <c r="K990" s="392" t="s">
        <v>5751</v>
      </c>
      <c r="L990" s="392" t="s">
        <v>809</v>
      </c>
      <c r="M990" s="392" t="s">
        <v>7273</v>
      </c>
      <c r="N990" s="392" t="s">
        <v>7273</v>
      </c>
      <c r="O990" s="392" t="s">
        <v>3758</v>
      </c>
      <c r="P990"/>
      <c r="Q990"/>
      <c r="R990" s="387">
        <f>VLOOKUP(E990,'[1]NDB Impacted SPRFs 05032013'!$A$2:$A$65536,1,FALSE)</f>
        <v>400034142</v>
      </c>
    </row>
    <row r="991" spans="1:21" s="159" customFormat="1" ht="45" x14ac:dyDescent="0.25">
      <c r="A991" s="63">
        <f>MATCH($E991,'D1 - Master Project Table'!$B$24:$B$7056,0)</f>
        <v>1684</v>
      </c>
      <c r="B991" s="63" t="b">
        <f t="shared" si="45"/>
        <v>0</v>
      </c>
      <c r="C991" s="63" t="b">
        <f t="shared" si="46"/>
        <v>1</v>
      </c>
      <c r="D991" s="63" t="str">
        <f t="shared" si="47"/>
        <v>OK</v>
      </c>
      <c r="E991" s="393">
        <v>400048848</v>
      </c>
      <c r="F991" s="392" t="s">
        <v>158</v>
      </c>
      <c r="G991" s="392" t="s">
        <v>5001</v>
      </c>
      <c r="H991" s="392" t="s">
        <v>5314</v>
      </c>
      <c r="I991" s="392" t="s">
        <v>3540</v>
      </c>
      <c r="J991" s="392" t="s">
        <v>8445</v>
      </c>
      <c r="K991" s="392" t="s">
        <v>248</v>
      </c>
      <c r="L991" s="392" t="s">
        <v>751</v>
      </c>
      <c r="M991" s="392" t="s">
        <v>7273</v>
      </c>
      <c r="N991" s="392" t="s">
        <v>7273</v>
      </c>
      <c r="O991" s="392" t="s">
        <v>7273</v>
      </c>
      <c r="P991"/>
      <c r="Q991"/>
      <c r="R991" s="387">
        <f>VLOOKUP(E991,'[1]NDB Impacted SPRFs 05032013'!$A$2:$A$65536,1,FALSE)</f>
        <v>400048848</v>
      </c>
      <c r="S991" s="128"/>
      <c r="T991" s="128"/>
      <c r="U991" s="128"/>
    </row>
    <row r="992" spans="1:21" s="159" customFormat="1" ht="45" x14ac:dyDescent="0.25">
      <c r="A992" s="63">
        <f>MATCH($E992,'D1 - Master Project Table'!$B$24:$B$7056,0)</f>
        <v>2147</v>
      </c>
      <c r="B992" s="63" t="b">
        <f t="shared" si="45"/>
        <v>0</v>
      </c>
      <c r="C992" s="63" t="b">
        <f t="shared" si="46"/>
        <v>1</v>
      </c>
      <c r="D992" s="63" t="str">
        <f t="shared" si="47"/>
        <v>OK</v>
      </c>
      <c r="E992" s="393">
        <v>400009875</v>
      </c>
      <c r="F992" s="392" t="s">
        <v>3678</v>
      </c>
      <c r="G992" s="392" t="s">
        <v>5324</v>
      </c>
      <c r="H992" s="392" t="s">
        <v>5314</v>
      </c>
      <c r="I992" s="392" t="s">
        <v>1770</v>
      </c>
      <c r="J992" s="392" t="s">
        <v>3322</v>
      </c>
      <c r="K992" s="392" t="s">
        <v>2447</v>
      </c>
      <c r="L992" s="392" t="s">
        <v>741</v>
      </c>
      <c r="M992" s="392" t="s">
        <v>3758</v>
      </c>
      <c r="N992" s="392" t="s">
        <v>7273</v>
      </c>
      <c r="O992" s="392" t="s">
        <v>7273</v>
      </c>
      <c r="P992"/>
      <c r="Q992"/>
      <c r="R992" s="387">
        <f>VLOOKUP(E992,'[1]NDB Impacted SPRFs 05032013'!$A$2:$A$65536,1,FALSE)</f>
        <v>400009875</v>
      </c>
    </row>
    <row r="993" spans="1:21" s="159" customFormat="1" ht="45" x14ac:dyDescent="0.25">
      <c r="A993" s="63">
        <f>MATCH($E993,'D1 - Master Project Table'!$B$24:$B$7056,0)</f>
        <v>2267</v>
      </c>
      <c r="B993" s="63" t="b">
        <f t="shared" si="45"/>
        <v>0</v>
      </c>
      <c r="C993" s="63" t="b">
        <f t="shared" si="46"/>
        <v>1</v>
      </c>
      <c r="D993" s="63" t="str">
        <f t="shared" si="47"/>
        <v>OK</v>
      </c>
      <c r="E993" s="393">
        <v>400033008</v>
      </c>
      <c r="F993" s="392" t="s">
        <v>7128</v>
      </c>
      <c r="G993" s="392" t="s">
        <v>5324</v>
      </c>
      <c r="H993" s="392" t="s">
        <v>5314</v>
      </c>
      <c r="I993" s="392" t="s">
        <v>1761</v>
      </c>
      <c r="J993" s="392" t="s">
        <v>4990</v>
      </c>
      <c r="K993" s="392" t="s">
        <v>7116</v>
      </c>
      <c r="L993" s="392" t="s">
        <v>5874</v>
      </c>
      <c r="M993" s="392" t="s">
        <v>7273</v>
      </c>
      <c r="N993" s="392" t="s">
        <v>7273</v>
      </c>
      <c r="O993" s="392" t="s">
        <v>7273</v>
      </c>
      <c r="P993"/>
      <c r="Q993"/>
      <c r="R993" s="387">
        <f>VLOOKUP(E993,'[1]NDB Impacted SPRFs 05032013'!$A$2:$A$65536,1,FALSE)</f>
        <v>400033008</v>
      </c>
    </row>
    <row r="994" spans="1:21" s="159" customFormat="1" ht="45" x14ac:dyDescent="0.25">
      <c r="A994" s="63">
        <f>MATCH($E994,'D1 - Master Project Table'!$B$24:$B$7056,0)</f>
        <v>2931</v>
      </c>
      <c r="B994" s="63" t="b">
        <f t="shared" si="45"/>
        <v>0</v>
      </c>
      <c r="C994" s="63" t="b">
        <f t="shared" si="46"/>
        <v>1</v>
      </c>
      <c r="D994" s="63" t="str">
        <f t="shared" si="47"/>
        <v>OK</v>
      </c>
      <c r="E994" s="393">
        <v>400033436</v>
      </c>
      <c r="F994" s="392" t="s">
        <v>3821</v>
      </c>
      <c r="G994" s="392" t="s">
        <v>5995</v>
      </c>
      <c r="H994" s="392" t="s">
        <v>5314</v>
      </c>
      <c r="I994" s="392" t="s">
        <v>6423</v>
      </c>
      <c r="J994" s="392" t="s">
        <v>8817</v>
      </c>
      <c r="K994" s="392" t="s">
        <v>4114</v>
      </c>
      <c r="L994" s="392" t="s">
        <v>2923</v>
      </c>
      <c r="M994" s="392" t="s">
        <v>3758</v>
      </c>
      <c r="N994" s="392" t="s">
        <v>7273</v>
      </c>
      <c r="O994" s="392" t="s">
        <v>7273</v>
      </c>
      <c r="P994"/>
      <c r="Q994"/>
      <c r="R994" s="387">
        <f>VLOOKUP(E994,'[1]NDB Impacted SPRFs 05032013'!$A$2:$A$65536,1,FALSE)</f>
        <v>400033436</v>
      </c>
    </row>
    <row r="995" spans="1:21" s="159" customFormat="1" ht="45" x14ac:dyDescent="0.25">
      <c r="A995" s="63">
        <f>MATCH($E995,'D1 - Master Project Table'!$B$24:$B$7056,0)</f>
        <v>2663</v>
      </c>
      <c r="B995" s="63" t="b">
        <f t="shared" si="45"/>
        <v>0</v>
      </c>
      <c r="C995" s="63" t="b">
        <f t="shared" si="46"/>
        <v>1</v>
      </c>
      <c r="D995" s="63" t="str">
        <f t="shared" si="47"/>
        <v>OK</v>
      </c>
      <c r="E995" s="393">
        <v>400015648</v>
      </c>
      <c r="F995" s="392" t="s">
        <v>2695</v>
      </c>
      <c r="G995" s="392" t="s">
        <v>5324</v>
      </c>
      <c r="H995" s="392" t="s">
        <v>5314</v>
      </c>
      <c r="I995" s="392" t="s">
        <v>1763</v>
      </c>
      <c r="J995" s="392" t="s">
        <v>8573</v>
      </c>
      <c r="K995" s="392" t="s">
        <v>4176</v>
      </c>
      <c r="L995" s="392" t="s">
        <v>4609</v>
      </c>
      <c r="M995" s="392" t="s">
        <v>7273</v>
      </c>
      <c r="N995" s="392" t="s">
        <v>7273</v>
      </c>
      <c r="O995" s="392" t="s">
        <v>7273</v>
      </c>
      <c r="P995"/>
      <c r="Q995"/>
      <c r="R995" s="387">
        <f>VLOOKUP(E995,'[1]NDB Impacted SPRFs 05032013'!$A$2:$A$65536,1,FALSE)</f>
        <v>400015648</v>
      </c>
    </row>
    <row r="996" spans="1:21" s="159" customFormat="1" ht="45" x14ac:dyDescent="0.25">
      <c r="A996" s="63">
        <f>MATCH($E996,'D1 - Master Project Table'!$B$24:$B$7056,0)</f>
        <v>2269</v>
      </c>
      <c r="B996" s="63" t="b">
        <f t="shared" si="45"/>
        <v>0</v>
      </c>
      <c r="C996" s="63" t="b">
        <f t="shared" si="46"/>
        <v>1</v>
      </c>
      <c r="D996" s="63" t="str">
        <f t="shared" si="47"/>
        <v>OK</v>
      </c>
      <c r="E996" s="393">
        <v>400033842</v>
      </c>
      <c r="F996" s="392" t="s">
        <v>6871</v>
      </c>
      <c r="G996" s="392" t="s">
        <v>5001</v>
      </c>
      <c r="H996" s="392" t="s">
        <v>5314</v>
      </c>
      <c r="I996" s="392" t="s">
        <v>3540</v>
      </c>
      <c r="J996" s="392" t="s">
        <v>6840</v>
      </c>
      <c r="K996" s="392" t="s">
        <v>2174</v>
      </c>
      <c r="L996" s="392" t="s">
        <v>3949</v>
      </c>
      <c r="M996" s="392" t="s">
        <v>7273</v>
      </c>
      <c r="N996" s="392" t="s">
        <v>7273</v>
      </c>
      <c r="O996" s="392" t="s">
        <v>3758</v>
      </c>
      <c r="P996"/>
      <c r="Q996"/>
      <c r="R996" s="387">
        <f>VLOOKUP(E996,'[1]NDB Impacted SPRFs 05032013'!$A$2:$A$65536,1,FALSE)</f>
        <v>400033842</v>
      </c>
    </row>
    <row r="997" spans="1:21" s="159" customFormat="1" ht="60" x14ac:dyDescent="0.25">
      <c r="A997" s="63">
        <f>MATCH($E997,'D1 - Master Project Table'!$B$24:$B$7056,0)</f>
        <v>3107</v>
      </c>
      <c r="B997" s="63" t="b">
        <f t="shared" si="45"/>
        <v>0</v>
      </c>
      <c r="C997" s="63" t="b">
        <f t="shared" si="46"/>
        <v>1</v>
      </c>
      <c r="D997" s="63" t="str">
        <f t="shared" si="47"/>
        <v>OK</v>
      </c>
      <c r="E997" s="393">
        <v>400051334</v>
      </c>
      <c r="F997" s="392" t="s">
        <v>2321</v>
      </c>
      <c r="G997" s="392" t="s">
        <v>5001</v>
      </c>
      <c r="H997" s="392" t="s">
        <v>5314</v>
      </c>
      <c r="I997" s="392" t="s">
        <v>3540</v>
      </c>
      <c r="J997" s="392" t="s">
        <v>8445</v>
      </c>
      <c r="K997" s="392" t="s">
        <v>248</v>
      </c>
      <c r="L997" s="392" t="s">
        <v>1354</v>
      </c>
      <c r="M997" s="392" t="s">
        <v>7273</v>
      </c>
      <c r="N997" s="392" t="s">
        <v>7273</v>
      </c>
      <c r="O997" s="392" t="s">
        <v>7273</v>
      </c>
      <c r="P997"/>
      <c r="Q997"/>
      <c r="R997" s="387">
        <f>VLOOKUP(E997,'[1]NDB Impacted SPRFs 05032013'!$A$2:$A$65536,1,FALSE)</f>
        <v>400051334</v>
      </c>
    </row>
    <row r="998" spans="1:21" s="159" customFormat="1" ht="45" x14ac:dyDescent="0.25">
      <c r="A998" s="63">
        <f>MATCH($E998,'D1 - Master Project Table'!$B$24:$B$7056,0)</f>
        <v>1654</v>
      </c>
      <c r="B998" s="63" t="b">
        <f t="shared" si="45"/>
        <v>0</v>
      </c>
      <c r="C998" s="63" t="b">
        <f t="shared" si="46"/>
        <v>0</v>
      </c>
      <c r="D998" s="63" t="str">
        <f t="shared" si="47"/>
        <v>OK</v>
      </c>
      <c r="E998" s="393">
        <v>400055731</v>
      </c>
      <c r="F998" s="392" t="s">
        <v>329</v>
      </c>
      <c r="G998" s="392" t="s">
        <v>5324</v>
      </c>
      <c r="H998" s="392" t="s">
        <v>4917</v>
      </c>
      <c r="I998" s="392" t="s">
        <v>1763</v>
      </c>
      <c r="J998" s="392" t="s">
        <v>1570</v>
      </c>
      <c r="K998" s="392" t="s">
        <v>7043</v>
      </c>
      <c r="L998" s="392" t="s">
        <v>7693</v>
      </c>
      <c r="M998" s="392" t="s">
        <v>7273</v>
      </c>
      <c r="N998" s="392" t="s">
        <v>7273</v>
      </c>
      <c r="O998" s="392" t="s">
        <v>7273</v>
      </c>
      <c r="P998"/>
      <c r="Q998"/>
      <c r="R998" s="387">
        <f>VLOOKUP(E998,'[1]NDB Impacted SPRFs 05032013'!$A$2:$A$65536,1,FALSE)</f>
        <v>400055731</v>
      </c>
    </row>
    <row r="999" spans="1:21" s="159" customFormat="1" ht="45" x14ac:dyDescent="0.25">
      <c r="A999" s="63">
        <f>MATCH($E999,'D1 - Master Project Table'!$B$24:$B$7056,0)</f>
        <v>1834</v>
      </c>
      <c r="B999" s="63" t="b">
        <f t="shared" si="45"/>
        <v>0</v>
      </c>
      <c r="C999" s="63" t="b">
        <f t="shared" si="46"/>
        <v>1</v>
      </c>
      <c r="D999" s="63" t="str">
        <f t="shared" si="47"/>
        <v>OK</v>
      </c>
      <c r="E999" s="393">
        <v>400055735</v>
      </c>
      <c r="F999" s="392" t="s">
        <v>330</v>
      </c>
      <c r="G999" s="392" t="s">
        <v>5324</v>
      </c>
      <c r="H999" s="392" t="s">
        <v>7418</v>
      </c>
      <c r="I999" s="392" t="s">
        <v>1763</v>
      </c>
      <c r="J999" s="392" t="s">
        <v>1570</v>
      </c>
      <c r="K999" s="392" t="s">
        <v>7043</v>
      </c>
      <c r="L999" s="392" t="s">
        <v>7693</v>
      </c>
      <c r="M999" s="392" t="s">
        <v>7273</v>
      </c>
      <c r="N999" s="392" t="s">
        <v>7273</v>
      </c>
      <c r="O999" s="392" t="s">
        <v>7273</v>
      </c>
      <c r="P999"/>
      <c r="Q999"/>
      <c r="R999" s="387">
        <f>VLOOKUP(E999,'[1]NDB Impacted SPRFs 05032013'!$A$2:$A$65536,1,FALSE)</f>
        <v>400055735</v>
      </c>
    </row>
    <row r="1000" spans="1:21" s="159" customFormat="1" ht="45" x14ac:dyDescent="0.25">
      <c r="A1000" s="63">
        <f>MATCH($E1000,'D1 - Master Project Table'!$B$24:$B$7056,0)</f>
        <v>1836</v>
      </c>
      <c r="B1000" s="63" t="b">
        <f t="shared" si="45"/>
        <v>0</v>
      </c>
      <c r="C1000" s="63" t="b">
        <f t="shared" si="46"/>
        <v>1</v>
      </c>
      <c r="D1000" s="63" t="str">
        <f t="shared" si="47"/>
        <v>OK</v>
      </c>
      <c r="E1000" s="393">
        <v>400055736</v>
      </c>
      <c r="F1000" s="392" t="s">
        <v>331</v>
      </c>
      <c r="G1000" s="392" t="s">
        <v>5324</v>
      </c>
      <c r="H1000" s="392" t="s">
        <v>7418</v>
      </c>
      <c r="I1000" s="392" t="s">
        <v>1763</v>
      </c>
      <c r="J1000" s="392" t="s">
        <v>1570</v>
      </c>
      <c r="K1000" s="392" t="s">
        <v>7043</v>
      </c>
      <c r="L1000" s="392" t="s">
        <v>7693</v>
      </c>
      <c r="M1000" s="392" t="s">
        <v>7273</v>
      </c>
      <c r="N1000" s="392" t="s">
        <v>7273</v>
      </c>
      <c r="O1000" s="392" t="s">
        <v>7273</v>
      </c>
      <c r="P1000"/>
      <c r="Q1000"/>
      <c r="R1000" s="387">
        <f>VLOOKUP(E1000,'[1]NDB Impacted SPRFs 05032013'!$A$2:$A$65536,1,FALSE)</f>
        <v>400055736</v>
      </c>
    </row>
    <row r="1001" spans="1:21" s="159" customFormat="1" ht="45" x14ac:dyDescent="0.25">
      <c r="A1001" s="63">
        <f>MATCH($E1001,'D1 - Master Project Table'!$B$24:$B$7056,0)</f>
        <v>2117</v>
      </c>
      <c r="B1001" s="63" t="b">
        <f t="shared" si="45"/>
        <v>0</v>
      </c>
      <c r="C1001" s="63" t="b">
        <f t="shared" si="46"/>
        <v>1</v>
      </c>
      <c r="D1001" s="63" t="str">
        <f t="shared" si="47"/>
        <v>OK</v>
      </c>
      <c r="E1001" s="393">
        <v>400002032</v>
      </c>
      <c r="F1001" s="392" t="s">
        <v>1505</v>
      </c>
      <c r="G1001" s="392" t="s">
        <v>5324</v>
      </c>
      <c r="H1001" s="392" t="s">
        <v>5314</v>
      </c>
      <c r="I1001" s="392" t="s">
        <v>1759</v>
      </c>
      <c r="J1001" s="392" t="s">
        <v>8530</v>
      </c>
      <c r="K1001" s="392" t="s">
        <v>6155</v>
      </c>
      <c r="L1001" s="392" t="s">
        <v>4205</v>
      </c>
      <c r="M1001" s="392" t="s">
        <v>3758</v>
      </c>
      <c r="N1001" s="392" t="s">
        <v>7273</v>
      </c>
      <c r="O1001" s="392" t="s">
        <v>7273</v>
      </c>
      <c r="P1001"/>
      <c r="Q1001"/>
      <c r="R1001" s="387">
        <f>VLOOKUP(E1001,'[1]NDB Impacted SPRFs 05032013'!$A$2:$A$65536,1,FALSE)</f>
        <v>400002032</v>
      </c>
      <c r="S1001" s="128"/>
      <c r="T1001" s="128"/>
      <c r="U1001" s="128"/>
    </row>
    <row r="1002" spans="1:21" s="159" customFormat="1" ht="60" x14ac:dyDescent="0.25">
      <c r="A1002" s="63">
        <f>MATCH($E1002,'D1 - Master Project Table'!$B$24:$B$7056,0)</f>
        <v>3026</v>
      </c>
      <c r="B1002" s="63" t="b">
        <f t="shared" si="45"/>
        <v>0</v>
      </c>
      <c r="C1002" s="63" t="b">
        <f t="shared" si="46"/>
        <v>1</v>
      </c>
      <c r="D1002" s="63" t="str">
        <f t="shared" si="47"/>
        <v>OK</v>
      </c>
      <c r="E1002" s="393">
        <v>400041022</v>
      </c>
      <c r="F1002" s="392" t="s">
        <v>2491</v>
      </c>
      <c r="G1002" s="392" t="s">
        <v>5324</v>
      </c>
      <c r="H1002" s="392" t="s">
        <v>5314</v>
      </c>
      <c r="I1002" s="392" t="s">
        <v>1757</v>
      </c>
      <c r="J1002" s="392" t="s">
        <v>8409</v>
      </c>
      <c r="K1002" s="392" t="s">
        <v>2492</v>
      </c>
      <c r="L1002" s="392" t="s">
        <v>7522</v>
      </c>
      <c r="M1002" s="392" t="s">
        <v>3758</v>
      </c>
      <c r="N1002" s="392" t="s">
        <v>7273</v>
      </c>
      <c r="O1002" s="392" t="s">
        <v>7273</v>
      </c>
      <c r="P1002"/>
      <c r="Q1002"/>
      <c r="R1002" s="387">
        <f>VLOOKUP(E1002,'[1]NDB Impacted SPRFs 05032013'!$A$2:$A$65536,1,FALSE)</f>
        <v>400041022</v>
      </c>
    </row>
    <row r="1003" spans="1:21" s="159" customFormat="1" ht="45" x14ac:dyDescent="0.25">
      <c r="A1003" s="63">
        <f>MATCH($E1003,'D1 - Master Project Table'!$B$24:$B$7056,0)</f>
        <v>2909</v>
      </c>
      <c r="B1003" s="63" t="b">
        <f t="shared" si="45"/>
        <v>0</v>
      </c>
      <c r="C1003" s="63" t="b">
        <f t="shared" si="46"/>
        <v>1</v>
      </c>
      <c r="D1003" s="63" t="str">
        <f t="shared" si="47"/>
        <v>OK</v>
      </c>
      <c r="E1003" s="393">
        <v>400031770</v>
      </c>
      <c r="F1003" s="392" t="s">
        <v>7210</v>
      </c>
      <c r="G1003" s="392" t="s">
        <v>5001</v>
      </c>
      <c r="H1003" s="392" t="s">
        <v>5314</v>
      </c>
      <c r="I1003" s="392" t="s">
        <v>3540</v>
      </c>
      <c r="J1003" s="392" t="s">
        <v>8756</v>
      </c>
      <c r="K1003" s="392" t="s">
        <v>2578</v>
      </c>
      <c r="L1003" s="392" t="s">
        <v>2488</v>
      </c>
      <c r="M1003" s="392" t="s">
        <v>7273</v>
      </c>
      <c r="N1003" s="392" t="s">
        <v>7273</v>
      </c>
      <c r="O1003" s="392" t="s">
        <v>7273</v>
      </c>
      <c r="P1003"/>
      <c r="Q1003"/>
      <c r="R1003" s="387">
        <f>VLOOKUP(E1003,'[1]NDB Impacted SPRFs 05032013'!$A$2:$A$65536,1,FALSE)</f>
        <v>400031770</v>
      </c>
    </row>
    <row r="1004" spans="1:21" s="159" customFormat="1" ht="45" x14ac:dyDescent="0.25">
      <c r="A1004" s="63" t="e">
        <f>MATCH($E1004,'D1 - Master Project Table'!$B$24:$B$7056,0)</f>
        <v>#N/A</v>
      </c>
      <c r="B1004" s="63" t="b">
        <f t="shared" si="45"/>
        <v>1</v>
      </c>
      <c r="C1004" s="63" t="b">
        <f t="shared" si="46"/>
        <v>1</v>
      </c>
      <c r="D1004" s="63" t="str">
        <f t="shared" si="47"/>
        <v>OK</v>
      </c>
      <c r="E1004" s="393">
        <v>400033799</v>
      </c>
      <c r="F1004" s="392" t="s">
        <v>3734</v>
      </c>
      <c r="G1004" s="392" t="s">
        <v>5325</v>
      </c>
      <c r="H1004" s="392" t="s">
        <v>5314</v>
      </c>
      <c r="I1004" s="392" t="s">
        <v>1797</v>
      </c>
      <c r="J1004" s="392" t="s">
        <v>3158</v>
      </c>
      <c r="K1004" s="392" t="s">
        <v>3224</v>
      </c>
      <c r="L1004" s="392" t="s">
        <v>2653</v>
      </c>
      <c r="M1004" s="392" t="s">
        <v>3758</v>
      </c>
      <c r="N1004" s="392" t="s">
        <v>7273</v>
      </c>
      <c r="O1004" s="392" t="s">
        <v>7273</v>
      </c>
      <c r="P1004"/>
      <c r="Q1004"/>
      <c r="R1004" s="387">
        <f>VLOOKUP(E1004,'[1]NDB Impacted SPRFs 05032013'!$A$2:$A$65536,1,FALSE)</f>
        <v>400033799</v>
      </c>
    </row>
    <row r="1005" spans="1:21" s="159" customFormat="1" ht="45" x14ac:dyDescent="0.25">
      <c r="A1005" s="63">
        <f>MATCH($E1005,'D1 - Master Project Table'!$B$24:$B$7056,0)</f>
        <v>2958</v>
      </c>
      <c r="B1005" s="63" t="b">
        <f t="shared" si="45"/>
        <v>0</v>
      </c>
      <c r="C1005" s="63" t="b">
        <f t="shared" si="46"/>
        <v>1</v>
      </c>
      <c r="D1005" s="63" t="str">
        <f t="shared" si="47"/>
        <v>OK</v>
      </c>
      <c r="E1005" s="393">
        <v>400035973</v>
      </c>
      <c r="F1005" s="392" t="s">
        <v>5818</v>
      </c>
      <c r="G1005" s="392" t="s">
        <v>6322</v>
      </c>
      <c r="H1005" s="392" t="s">
        <v>5314</v>
      </c>
      <c r="I1005" s="392" t="s">
        <v>1812</v>
      </c>
      <c r="J1005" s="392" t="s">
        <v>8634</v>
      </c>
      <c r="K1005" s="392" t="s">
        <v>5819</v>
      </c>
      <c r="L1005" s="392" t="s">
        <v>727</v>
      </c>
      <c r="M1005" s="392" t="s">
        <v>7273</v>
      </c>
      <c r="N1005" s="392" t="s">
        <v>7273</v>
      </c>
      <c r="O1005" s="392" t="s">
        <v>7273</v>
      </c>
      <c r="P1005"/>
      <c r="Q1005"/>
      <c r="R1005" s="387">
        <f>VLOOKUP(E1005,'[1]NDB Impacted SPRFs 05032013'!$A$2:$A$65536,1,FALSE)</f>
        <v>400035973</v>
      </c>
    </row>
    <row r="1006" spans="1:21" s="159" customFormat="1" ht="45" x14ac:dyDescent="0.25">
      <c r="A1006" s="63">
        <f>MATCH($E1006,'D1 - Master Project Table'!$B$24:$B$7056,0)</f>
        <v>2959</v>
      </c>
      <c r="B1006" s="63" t="b">
        <f t="shared" si="45"/>
        <v>0</v>
      </c>
      <c r="C1006" s="63" t="b">
        <f t="shared" si="46"/>
        <v>1</v>
      </c>
      <c r="D1006" s="63" t="str">
        <f t="shared" si="47"/>
        <v>OK</v>
      </c>
      <c r="E1006" s="393">
        <v>400036098</v>
      </c>
      <c r="F1006" s="392" t="s">
        <v>4826</v>
      </c>
      <c r="G1006" s="392" t="s">
        <v>5324</v>
      </c>
      <c r="H1006" s="392" t="s">
        <v>5314</v>
      </c>
      <c r="I1006" s="392" t="s">
        <v>1758</v>
      </c>
      <c r="J1006" s="392" t="s">
        <v>8318</v>
      </c>
      <c r="K1006" s="392" t="s">
        <v>4827</v>
      </c>
      <c r="L1006" s="392" t="s">
        <v>7514</v>
      </c>
      <c r="M1006" s="392" t="s">
        <v>3758</v>
      </c>
      <c r="N1006" s="392" t="s">
        <v>7273</v>
      </c>
      <c r="O1006" s="392" t="s">
        <v>7273</v>
      </c>
      <c r="P1006"/>
      <c r="Q1006"/>
      <c r="R1006" s="387">
        <f>VLOOKUP(E1006,'[1]NDB Impacted SPRFs 05032013'!$A$2:$A$65536,1,FALSE)</f>
        <v>400036098</v>
      </c>
    </row>
    <row r="1007" spans="1:21" s="159" customFormat="1" ht="45" x14ac:dyDescent="0.25">
      <c r="A1007" s="63">
        <f>MATCH($E1007,'D1 - Master Project Table'!$B$24:$B$7056,0)</f>
        <v>732</v>
      </c>
      <c r="B1007" s="63" t="b">
        <f t="shared" si="45"/>
        <v>0</v>
      </c>
      <c r="C1007" s="63" t="b">
        <f t="shared" si="46"/>
        <v>1</v>
      </c>
      <c r="D1007" s="63" t="str">
        <f t="shared" si="47"/>
        <v>OK</v>
      </c>
      <c r="E1007" s="393">
        <v>400016661</v>
      </c>
      <c r="F1007" s="392" t="s">
        <v>3388</v>
      </c>
      <c r="G1007" s="392" t="s">
        <v>5324</v>
      </c>
      <c r="H1007" s="392" t="s">
        <v>7418</v>
      </c>
      <c r="I1007" s="392" t="s">
        <v>1756</v>
      </c>
      <c r="J1007" s="392" t="s">
        <v>6975</v>
      </c>
      <c r="K1007" s="392" t="s">
        <v>8075</v>
      </c>
      <c r="L1007" s="392" t="s">
        <v>381</v>
      </c>
      <c r="M1007" s="392" t="s">
        <v>3758</v>
      </c>
      <c r="N1007" s="392" t="s">
        <v>7273</v>
      </c>
      <c r="O1007" s="392" t="s">
        <v>7273</v>
      </c>
      <c r="P1007"/>
      <c r="Q1007"/>
      <c r="R1007" s="387">
        <f>VLOOKUP(E1007,'[1]NDB Impacted SPRFs 05032013'!$A$2:$A$65536,1,FALSE)</f>
        <v>400016661</v>
      </c>
      <c r="S1007" s="128"/>
      <c r="T1007" s="128"/>
      <c r="U1007" s="128"/>
    </row>
    <row r="1008" spans="1:21" s="159" customFormat="1" ht="45" x14ac:dyDescent="0.25">
      <c r="A1008" s="63">
        <f>MATCH($E1008,'D1 - Master Project Table'!$B$24:$B$7056,0)</f>
        <v>1462</v>
      </c>
      <c r="B1008" s="63" t="b">
        <f t="shared" si="45"/>
        <v>0</v>
      </c>
      <c r="C1008" s="63" t="b">
        <f t="shared" si="46"/>
        <v>1</v>
      </c>
      <c r="D1008" s="63" t="str">
        <f t="shared" si="47"/>
        <v>OK</v>
      </c>
      <c r="E1008" s="393">
        <v>400040376</v>
      </c>
      <c r="F1008" s="392" t="s">
        <v>2469</v>
      </c>
      <c r="G1008" s="392" t="s">
        <v>6322</v>
      </c>
      <c r="H1008" s="392" t="s">
        <v>7418</v>
      </c>
      <c r="I1008" s="392" t="s">
        <v>1762</v>
      </c>
      <c r="J1008" s="392" t="s">
        <v>4977</v>
      </c>
      <c r="K1008" s="392" t="s">
        <v>4978</v>
      </c>
      <c r="L1008" s="392" t="s">
        <v>2770</v>
      </c>
      <c r="M1008" s="392" t="s">
        <v>7273</v>
      </c>
      <c r="N1008" s="392" t="s">
        <v>7273</v>
      </c>
      <c r="O1008" s="392" t="s">
        <v>3758</v>
      </c>
      <c r="P1008"/>
      <c r="Q1008"/>
      <c r="R1008" s="387">
        <f>VLOOKUP(E1008,'[1]NDB Impacted SPRFs 05032013'!$A$2:$A$65536,1,FALSE)</f>
        <v>400040376</v>
      </c>
    </row>
    <row r="1009" spans="1:21" s="159" customFormat="1" ht="45" customHeight="1" x14ac:dyDescent="0.25">
      <c r="A1009" s="63">
        <f>MATCH($E1009,'D1 - Master Project Table'!$B$24:$B$7056,0)</f>
        <v>250</v>
      </c>
      <c r="B1009" s="63" t="b">
        <f t="shared" si="45"/>
        <v>0</v>
      </c>
      <c r="C1009" s="63" t="b">
        <f t="shared" si="46"/>
        <v>0</v>
      </c>
      <c r="D1009" s="63" t="str">
        <f t="shared" si="47"/>
        <v>OK</v>
      </c>
      <c r="E1009" s="393">
        <v>400058269</v>
      </c>
      <c r="F1009" s="392" t="s">
        <v>9293</v>
      </c>
      <c r="G1009" s="392" t="s">
        <v>5324</v>
      </c>
      <c r="H1009" s="392" t="s">
        <v>6462</v>
      </c>
      <c r="I1009" s="392" t="s">
        <v>1759</v>
      </c>
      <c r="J1009" s="392" t="s">
        <v>9294</v>
      </c>
      <c r="K1009" s="392" t="s">
        <v>7111</v>
      </c>
      <c r="L1009" s="392" t="s">
        <v>9495</v>
      </c>
      <c r="M1009" s="392" t="s">
        <v>3758</v>
      </c>
      <c r="N1009" s="392" t="s">
        <v>7273</v>
      </c>
      <c r="O1009" s="392" t="s">
        <v>3758</v>
      </c>
      <c r="P1009"/>
      <c r="Q1009"/>
      <c r="R1009" s="387">
        <f>VLOOKUP(E1009,'[1]NDB Impacted SPRFs 05032013'!$A$2:$A$65536,1,FALSE)</f>
        <v>400058269</v>
      </c>
      <c r="S1009" s="128"/>
      <c r="T1009" s="128"/>
      <c r="U1009" s="128"/>
    </row>
    <row r="1010" spans="1:21" s="160" customFormat="1" ht="45" x14ac:dyDescent="0.25">
      <c r="A1010" s="63">
        <f>MATCH($E1010,'D1 - Master Project Table'!$B$24:$B$7056,0)</f>
        <v>572</v>
      </c>
      <c r="B1010" s="63" t="b">
        <f t="shared" si="45"/>
        <v>0</v>
      </c>
      <c r="C1010" s="63" t="b">
        <f t="shared" si="46"/>
        <v>1</v>
      </c>
      <c r="D1010" s="63" t="str">
        <f t="shared" si="47"/>
        <v>OK</v>
      </c>
      <c r="E1010" s="393">
        <v>400007602</v>
      </c>
      <c r="F1010" s="392" t="s">
        <v>3269</v>
      </c>
      <c r="G1010" s="392" t="s">
        <v>3441</v>
      </c>
      <c r="H1010" s="392" t="s">
        <v>7418</v>
      </c>
      <c r="I1010" s="392" t="s">
        <v>1769</v>
      </c>
      <c r="J1010" s="392" t="s">
        <v>4629</v>
      </c>
      <c r="K1010" s="392" t="s">
        <v>1506</v>
      </c>
      <c r="L1010" s="392" t="s">
        <v>3415</v>
      </c>
      <c r="M1010" s="392" t="s">
        <v>3758</v>
      </c>
      <c r="N1010" s="392" t="s">
        <v>7273</v>
      </c>
      <c r="O1010" s="392" t="s">
        <v>7273</v>
      </c>
      <c r="P1010"/>
      <c r="Q1010"/>
      <c r="R1010" s="387">
        <f>VLOOKUP(E1010,'[1]NDB Impacted SPRFs 05032013'!$A$2:$A$65536,1,FALSE)</f>
        <v>400007602</v>
      </c>
      <c r="S1010" s="159"/>
      <c r="T1010" s="159"/>
      <c r="U1010" s="159"/>
    </row>
    <row r="1011" spans="1:21" s="159" customFormat="1" ht="45" x14ac:dyDescent="0.25">
      <c r="A1011" s="63">
        <f>MATCH($E1011,'D1 - Master Project Table'!$B$24:$B$7056,0)</f>
        <v>2811</v>
      </c>
      <c r="B1011" s="63" t="b">
        <f t="shared" si="45"/>
        <v>0</v>
      </c>
      <c r="C1011" s="63" t="b">
        <f t="shared" si="46"/>
        <v>1</v>
      </c>
      <c r="D1011" s="63" t="str">
        <f t="shared" si="47"/>
        <v>OK</v>
      </c>
      <c r="E1011" s="393">
        <v>400023877</v>
      </c>
      <c r="F1011" s="392" t="s">
        <v>3165</v>
      </c>
      <c r="G1011" s="392" t="s">
        <v>5324</v>
      </c>
      <c r="H1011" s="392" t="s">
        <v>5314</v>
      </c>
      <c r="I1011" s="392" t="s">
        <v>1788</v>
      </c>
      <c r="J1011" s="392" t="s">
        <v>8301</v>
      </c>
      <c r="K1011" s="392" t="s">
        <v>1506</v>
      </c>
      <c r="L1011" s="392" t="s">
        <v>1237</v>
      </c>
      <c r="M1011" s="392" t="s">
        <v>3758</v>
      </c>
      <c r="N1011" s="392" t="s">
        <v>7273</v>
      </c>
      <c r="O1011" s="392" t="s">
        <v>7273</v>
      </c>
      <c r="P1011"/>
      <c r="Q1011"/>
      <c r="R1011" s="387">
        <f>VLOOKUP(E1011,'[1]NDB Impacted SPRFs 05032013'!$A$2:$A$65536,1,FALSE)</f>
        <v>400023877</v>
      </c>
      <c r="S1011" s="160"/>
      <c r="T1011" s="160"/>
      <c r="U1011" s="160"/>
    </row>
    <row r="1012" spans="1:21" s="159" customFormat="1" ht="45" x14ac:dyDescent="0.25">
      <c r="A1012" s="63">
        <f>MATCH($E1012,'D1 - Master Project Table'!$B$24:$B$7056,0)</f>
        <v>1597</v>
      </c>
      <c r="B1012" s="63" t="b">
        <f t="shared" si="45"/>
        <v>0</v>
      </c>
      <c r="C1012" s="63" t="b">
        <f t="shared" si="46"/>
        <v>1</v>
      </c>
      <c r="D1012" s="63" t="str">
        <f t="shared" si="47"/>
        <v>OK</v>
      </c>
      <c r="E1012" s="393">
        <v>400048113</v>
      </c>
      <c r="F1012" s="392" t="s">
        <v>302</v>
      </c>
      <c r="G1012" s="392" t="s">
        <v>5325</v>
      </c>
      <c r="H1012" s="392" t="s">
        <v>7418</v>
      </c>
      <c r="I1012" s="392" t="s">
        <v>1759</v>
      </c>
      <c r="J1012" s="392" t="s">
        <v>5062</v>
      </c>
      <c r="K1012" s="392" t="s">
        <v>1402</v>
      </c>
      <c r="L1012" s="392" t="s">
        <v>8290</v>
      </c>
      <c r="M1012" s="392" t="s">
        <v>7273</v>
      </c>
      <c r="N1012" s="392" t="s">
        <v>7273</v>
      </c>
      <c r="O1012" s="392" t="s">
        <v>3758</v>
      </c>
      <c r="P1012"/>
      <c r="Q1012"/>
      <c r="R1012" s="387">
        <f>VLOOKUP(E1012,'[1]NDB Impacted SPRFs 05032013'!$A$2:$A$65536,1,FALSE)</f>
        <v>400048113</v>
      </c>
      <c r="S1012" s="128"/>
      <c r="T1012" s="128"/>
      <c r="U1012" s="128"/>
    </row>
    <row r="1013" spans="1:21" s="159" customFormat="1" ht="45" x14ac:dyDescent="0.25">
      <c r="A1013" s="63">
        <f>MATCH($E1013,'D1 - Master Project Table'!$B$24:$B$7056,0)</f>
        <v>1052</v>
      </c>
      <c r="B1013" s="63" t="b">
        <f t="shared" si="45"/>
        <v>0</v>
      </c>
      <c r="C1013" s="63" t="b">
        <f t="shared" si="46"/>
        <v>1</v>
      </c>
      <c r="D1013" s="63" t="str">
        <f t="shared" si="47"/>
        <v>OK</v>
      </c>
      <c r="E1013" s="393">
        <v>400015128</v>
      </c>
      <c r="F1013" s="392" t="s">
        <v>5309</v>
      </c>
      <c r="G1013" s="392" t="s">
        <v>5324</v>
      </c>
      <c r="H1013" s="392" t="s">
        <v>7418</v>
      </c>
      <c r="I1013" s="392" t="s">
        <v>1763</v>
      </c>
      <c r="J1013" s="392" t="s">
        <v>8261</v>
      </c>
      <c r="K1013" s="392" t="s">
        <v>5756</v>
      </c>
      <c r="L1013" s="392" t="s">
        <v>5395</v>
      </c>
      <c r="M1013" s="392" t="s">
        <v>7273</v>
      </c>
      <c r="N1013" s="392" t="s">
        <v>7273</v>
      </c>
      <c r="O1013" s="392" t="s">
        <v>7273</v>
      </c>
      <c r="P1013"/>
      <c r="Q1013"/>
      <c r="R1013" s="387">
        <f>VLOOKUP(E1013,'[1]NDB Impacted SPRFs 05032013'!$A$2:$A$65536,1,FALSE)</f>
        <v>400015128</v>
      </c>
      <c r="S1013" s="128"/>
      <c r="T1013" s="128"/>
      <c r="U1013" s="128"/>
    </row>
    <row r="1014" spans="1:21" s="159" customFormat="1" ht="45" x14ac:dyDescent="0.25">
      <c r="A1014" s="63">
        <f>MATCH($E1014,'D1 - Master Project Table'!$B$24:$B$7056,0)</f>
        <v>236</v>
      </c>
      <c r="B1014" s="63" t="b">
        <f t="shared" si="45"/>
        <v>0</v>
      </c>
      <c r="C1014" s="63" t="b">
        <f t="shared" si="46"/>
        <v>0</v>
      </c>
      <c r="D1014" s="63" t="str">
        <f t="shared" si="47"/>
        <v>OK</v>
      </c>
      <c r="E1014" s="393">
        <v>400056462</v>
      </c>
      <c r="F1014" s="392" t="s">
        <v>9410</v>
      </c>
      <c r="G1014" s="392" t="s">
        <v>5995</v>
      </c>
      <c r="H1014" s="392" t="s">
        <v>4917</v>
      </c>
      <c r="I1014" s="392" t="s">
        <v>3533</v>
      </c>
      <c r="J1014" s="392" t="s">
        <v>9267</v>
      </c>
      <c r="K1014" s="392" t="s">
        <v>608</v>
      </c>
      <c r="L1014" s="392" t="s">
        <v>9411</v>
      </c>
      <c r="M1014" s="392" t="s">
        <v>7273</v>
      </c>
      <c r="N1014" s="392" t="s">
        <v>7273</v>
      </c>
      <c r="O1014" s="392" t="s">
        <v>7273</v>
      </c>
      <c r="P1014"/>
      <c r="Q1014"/>
      <c r="R1014" s="387">
        <f>VLOOKUP(E1014,'[1]NDB Impacted SPRFs 05032013'!$A$2:$A$65536,1,FALSE)</f>
        <v>400056462</v>
      </c>
    </row>
    <row r="1015" spans="1:21" s="159" customFormat="1" ht="45" x14ac:dyDescent="0.25">
      <c r="A1015" s="63">
        <f>MATCH($E1015,'D1 - Master Project Table'!$B$24:$B$7056,0)</f>
        <v>584</v>
      </c>
      <c r="B1015" s="63" t="b">
        <f t="shared" si="45"/>
        <v>0</v>
      </c>
      <c r="C1015" s="63" t="b">
        <f t="shared" si="46"/>
        <v>1</v>
      </c>
      <c r="D1015" s="63" t="str">
        <f t="shared" si="47"/>
        <v>OK</v>
      </c>
      <c r="E1015" s="393">
        <v>400010967</v>
      </c>
      <c r="F1015" s="392" t="s">
        <v>2427</v>
      </c>
      <c r="G1015" s="392" t="s">
        <v>3441</v>
      </c>
      <c r="H1015" s="392" t="s">
        <v>7418</v>
      </c>
      <c r="I1015" s="392" t="s">
        <v>1770</v>
      </c>
      <c r="J1015" s="392" t="s">
        <v>8726</v>
      </c>
      <c r="K1015" s="392" t="s">
        <v>6394</v>
      </c>
      <c r="L1015" s="392" t="s">
        <v>792</v>
      </c>
      <c r="M1015" s="392" t="s">
        <v>3758</v>
      </c>
      <c r="N1015" s="392" t="s">
        <v>7273</v>
      </c>
      <c r="O1015" s="392" t="s">
        <v>7273</v>
      </c>
      <c r="P1015"/>
      <c r="Q1015"/>
      <c r="R1015" s="387">
        <f>VLOOKUP(E1015,'[1]NDB Impacted SPRFs 05032013'!$A$2:$A$65536,1,FALSE)</f>
        <v>400010967</v>
      </c>
    </row>
    <row r="1016" spans="1:21" s="159" customFormat="1" ht="45" x14ac:dyDescent="0.25">
      <c r="A1016" s="63">
        <f>MATCH($E1016,'D1 - Master Project Table'!$B$24:$B$7056,0)</f>
        <v>2832</v>
      </c>
      <c r="B1016" s="63" t="b">
        <f t="shared" si="45"/>
        <v>0</v>
      </c>
      <c r="C1016" s="63" t="b">
        <f t="shared" si="46"/>
        <v>1</v>
      </c>
      <c r="D1016" s="63" t="str">
        <f t="shared" si="47"/>
        <v>OK</v>
      </c>
      <c r="E1016" s="393">
        <v>400025411</v>
      </c>
      <c r="F1016" s="392" t="s">
        <v>3741</v>
      </c>
      <c r="G1016" s="392" t="s">
        <v>5324</v>
      </c>
      <c r="H1016" s="392" t="s">
        <v>5314</v>
      </c>
      <c r="I1016" s="392" t="s">
        <v>1756</v>
      </c>
      <c r="J1016" s="392" t="s">
        <v>8315</v>
      </c>
      <c r="K1016" s="392" t="s">
        <v>7197</v>
      </c>
      <c r="L1016" s="392" t="s">
        <v>4267</v>
      </c>
      <c r="M1016" s="392" t="s">
        <v>7273</v>
      </c>
      <c r="N1016" s="392" t="s">
        <v>7273</v>
      </c>
      <c r="O1016" s="392" t="s">
        <v>3758</v>
      </c>
      <c r="P1016"/>
      <c r="Q1016"/>
      <c r="R1016" s="387">
        <f>VLOOKUP(E1016,'[1]NDB Impacted SPRFs 05032013'!$A$2:$A$65536,1,FALSE)</f>
        <v>400025411</v>
      </c>
      <c r="S1016" s="128"/>
      <c r="T1016" s="128"/>
      <c r="U1016" s="128"/>
    </row>
    <row r="1017" spans="1:21" s="159" customFormat="1" ht="45" x14ac:dyDescent="0.25">
      <c r="A1017" s="63">
        <f>MATCH($E1017,'D1 - Master Project Table'!$B$24:$B$7056,0)</f>
        <v>149</v>
      </c>
      <c r="B1017" s="63" t="b">
        <f t="shared" si="45"/>
        <v>0</v>
      </c>
      <c r="C1017" s="63" t="b">
        <f t="shared" si="46"/>
        <v>0</v>
      </c>
      <c r="D1017" s="63" t="str">
        <f t="shared" si="47"/>
        <v>OK</v>
      </c>
      <c r="E1017" s="393">
        <v>400058144</v>
      </c>
      <c r="F1017" s="392" t="s">
        <v>8949</v>
      </c>
      <c r="G1017" s="392" t="s">
        <v>5324</v>
      </c>
      <c r="H1017" s="392" t="s">
        <v>4917</v>
      </c>
      <c r="I1017" s="392" t="s">
        <v>1758</v>
      </c>
      <c r="J1017" s="392" t="s">
        <v>2471</v>
      </c>
      <c r="K1017" s="392" t="s">
        <v>168</v>
      </c>
      <c r="L1017" s="392" t="s">
        <v>9437</v>
      </c>
      <c r="M1017" s="392" t="s">
        <v>3758</v>
      </c>
      <c r="N1017" s="392" t="s">
        <v>7273</v>
      </c>
      <c r="O1017" s="392" t="s">
        <v>7273</v>
      </c>
      <c r="P1017"/>
      <c r="Q1017"/>
      <c r="R1017" s="387">
        <f>VLOOKUP(E1017,'[1]NDB Impacted SPRFs 05032013'!$A$2:$A$65536,1,FALSE)</f>
        <v>400058144</v>
      </c>
    </row>
    <row r="1018" spans="1:21" s="159" customFormat="1" ht="45" x14ac:dyDescent="0.25">
      <c r="A1018" s="63">
        <f>MATCH($E1018,'D1 - Master Project Table'!$B$24:$B$7056,0)</f>
        <v>93</v>
      </c>
      <c r="B1018" s="63" t="b">
        <f t="shared" si="45"/>
        <v>0</v>
      </c>
      <c r="C1018" s="63" t="b">
        <f t="shared" si="46"/>
        <v>0</v>
      </c>
      <c r="D1018" s="63" t="str">
        <f t="shared" si="47"/>
        <v>OK</v>
      </c>
      <c r="E1018" s="393">
        <v>400058913</v>
      </c>
      <c r="F1018" s="392" t="s">
        <v>9232</v>
      </c>
      <c r="G1018" s="392" t="s">
        <v>5324</v>
      </c>
      <c r="H1018" s="392" t="s">
        <v>8012</v>
      </c>
      <c r="I1018" s="392" t="s">
        <v>1763</v>
      </c>
      <c r="J1018" s="392" t="s">
        <v>9230</v>
      </c>
      <c r="K1018" s="392" t="s">
        <v>7060</v>
      </c>
      <c r="L1018" s="392" t="s">
        <v>9438</v>
      </c>
      <c r="M1018" s="392" t="s">
        <v>7273</v>
      </c>
      <c r="N1018" s="392" t="s">
        <v>7273</v>
      </c>
      <c r="O1018" s="392" t="s">
        <v>7273</v>
      </c>
      <c r="P1018"/>
      <c r="Q1018"/>
      <c r="R1018" s="387">
        <f>VLOOKUP(E1018,'[1]NDB Impacted SPRFs 05032013'!$A$2:$A$65536,1,FALSE)</f>
        <v>400058913</v>
      </c>
    </row>
    <row r="1019" spans="1:21" s="159" customFormat="1" ht="45" x14ac:dyDescent="0.25">
      <c r="A1019" s="63">
        <f>MATCH($E1019,'D1 - Master Project Table'!$B$24:$B$7056,0)</f>
        <v>575</v>
      </c>
      <c r="B1019" s="63" t="b">
        <f t="shared" si="45"/>
        <v>0</v>
      </c>
      <c r="C1019" s="63" t="b">
        <f t="shared" si="46"/>
        <v>1</v>
      </c>
      <c r="D1019" s="63" t="str">
        <f t="shared" si="47"/>
        <v>OK</v>
      </c>
      <c r="E1019" s="393">
        <v>400008006</v>
      </c>
      <c r="F1019" s="392" t="s">
        <v>5237</v>
      </c>
      <c r="G1019" s="392" t="s">
        <v>3441</v>
      </c>
      <c r="H1019" s="392" t="s">
        <v>7418</v>
      </c>
      <c r="I1019" s="392" t="s">
        <v>1769</v>
      </c>
      <c r="J1019" s="392" t="s">
        <v>6818</v>
      </c>
      <c r="K1019" s="392" t="s">
        <v>5541</v>
      </c>
      <c r="L1019" s="392" t="s">
        <v>5928</v>
      </c>
      <c r="M1019" s="392" t="s">
        <v>3758</v>
      </c>
      <c r="N1019" s="392" t="s">
        <v>7273</v>
      </c>
      <c r="O1019" s="392" t="s">
        <v>7273</v>
      </c>
      <c r="P1019"/>
      <c r="Q1019"/>
      <c r="R1019" s="387">
        <f>VLOOKUP(E1019,'[1]NDB Impacted SPRFs 05032013'!$A$2:$A$65536,1,FALSE)</f>
        <v>400008006</v>
      </c>
    </row>
    <row r="1020" spans="1:21" s="159" customFormat="1" ht="45" customHeight="1" x14ac:dyDescent="0.25">
      <c r="A1020" s="63" t="e">
        <f>MATCH($E1020,'D1 - Master Project Table'!$B$24:$B$7056,0)</f>
        <v>#N/A</v>
      </c>
      <c r="B1020" s="63" t="b">
        <f t="shared" si="45"/>
        <v>1</v>
      </c>
      <c r="C1020" s="63" t="b">
        <f t="shared" si="46"/>
        <v>1</v>
      </c>
      <c r="D1020" s="63" t="str">
        <f t="shared" si="47"/>
        <v>OK</v>
      </c>
      <c r="E1020" s="393">
        <v>302211011</v>
      </c>
      <c r="F1020" s="392" t="s">
        <v>4662</v>
      </c>
      <c r="G1020" s="392" t="s">
        <v>5325</v>
      </c>
      <c r="H1020" s="392" t="s">
        <v>5314</v>
      </c>
      <c r="I1020" s="392" t="s">
        <v>1793</v>
      </c>
      <c r="J1020" s="392" t="s">
        <v>6965</v>
      </c>
      <c r="K1020" s="392" t="s">
        <v>4232</v>
      </c>
      <c r="L1020" s="392" t="s">
        <v>6239</v>
      </c>
      <c r="M1020" s="392" t="s">
        <v>7273</v>
      </c>
      <c r="N1020" s="392" t="s">
        <v>7273</v>
      </c>
      <c r="O1020" s="392" t="s">
        <v>7273</v>
      </c>
      <c r="P1020"/>
      <c r="Q1020"/>
      <c r="R1020" s="387">
        <f>VLOOKUP(E1020,'[1]NDB Impacted SPRFs 05032013'!$A$2:$A$65536,1,FALSE)</f>
        <v>302211011</v>
      </c>
    </row>
    <row r="1021" spans="1:21" s="159" customFormat="1" ht="45" x14ac:dyDescent="0.25">
      <c r="A1021" s="63">
        <f>MATCH($E1021,'D1 - Master Project Table'!$B$24:$B$7056,0)</f>
        <v>2908</v>
      </c>
      <c r="B1021" s="63" t="b">
        <f t="shared" si="45"/>
        <v>0</v>
      </c>
      <c r="C1021" s="63" t="b">
        <f t="shared" si="46"/>
        <v>1</v>
      </c>
      <c r="D1021" s="63" t="str">
        <f t="shared" si="47"/>
        <v>OK</v>
      </c>
      <c r="E1021" s="393">
        <v>400031433</v>
      </c>
      <c r="F1021" s="392" t="s">
        <v>4785</v>
      </c>
      <c r="G1021" s="392" t="s">
        <v>5325</v>
      </c>
      <c r="H1021" s="392" t="s">
        <v>5314</v>
      </c>
      <c r="I1021" s="392" t="s">
        <v>1797</v>
      </c>
      <c r="J1021" s="392" t="s">
        <v>6011</v>
      </c>
      <c r="K1021" s="392" t="s">
        <v>4485</v>
      </c>
      <c r="L1021" s="392" t="s">
        <v>1746</v>
      </c>
      <c r="M1021" s="392" t="s">
        <v>7273</v>
      </c>
      <c r="N1021" s="392" t="s">
        <v>7273</v>
      </c>
      <c r="O1021" s="392" t="s">
        <v>7273</v>
      </c>
      <c r="P1021"/>
      <c r="Q1021"/>
      <c r="R1021" s="387">
        <f>VLOOKUP(E1021,'[1]NDB Impacted SPRFs 05032013'!$A$2:$A$65536,1,FALSE)</f>
        <v>400031433</v>
      </c>
    </row>
    <row r="1022" spans="1:21" s="159" customFormat="1" ht="45" x14ac:dyDescent="0.25">
      <c r="A1022" s="63">
        <f>MATCH($E1022,'D1 - Master Project Table'!$B$24:$B$7056,0)</f>
        <v>1221</v>
      </c>
      <c r="B1022" s="63" t="b">
        <f t="shared" si="45"/>
        <v>0</v>
      </c>
      <c r="C1022" s="63" t="b">
        <f t="shared" si="46"/>
        <v>1</v>
      </c>
      <c r="D1022" s="63" t="str">
        <f t="shared" si="47"/>
        <v>OK</v>
      </c>
      <c r="E1022" s="393">
        <v>400031479</v>
      </c>
      <c r="F1022" s="392" t="s">
        <v>5516</v>
      </c>
      <c r="G1022" s="392" t="s">
        <v>5324</v>
      </c>
      <c r="H1022" s="392" t="s">
        <v>7418</v>
      </c>
      <c r="I1022" s="392" t="s">
        <v>1757</v>
      </c>
      <c r="J1022" s="392" t="s">
        <v>4703</v>
      </c>
      <c r="K1022" s="392" t="s">
        <v>3933</v>
      </c>
      <c r="L1022" s="392" t="s">
        <v>7563</v>
      </c>
      <c r="M1022" s="392" t="s">
        <v>3758</v>
      </c>
      <c r="N1022" s="392" t="s">
        <v>7273</v>
      </c>
      <c r="O1022" s="392" t="s">
        <v>7273</v>
      </c>
      <c r="P1022"/>
      <c r="Q1022"/>
      <c r="R1022" s="387">
        <f>VLOOKUP(E1022,'[1]NDB Impacted SPRFs 05032013'!$A$2:$A$65536,1,FALSE)</f>
        <v>400031479</v>
      </c>
    </row>
    <row r="1023" spans="1:21" s="159" customFormat="1" ht="45" x14ac:dyDescent="0.25">
      <c r="A1023" s="63">
        <f>MATCH($E1023,'D1 - Master Project Table'!$B$24:$B$7056,0)</f>
        <v>1252</v>
      </c>
      <c r="B1023" s="63" t="b">
        <f t="shared" si="45"/>
        <v>0</v>
      </c>
      <c r="C1023" s="63" t="b">
        <f t="shared" si="46"/>
        <v>1</v>
      </c>
      <c r="D1023" s="63" t="str">
        <f t="shared" si="47"/>
        <v>OK</v>
      </c>
      <c r="E1023" s="393">
        <v>400031480</v>
      </c>
      <c r="F1023" s="392" t="s">
        <v>7382</v>
      </c>
      <c r="G1023" s="392" t="s">
        <v>5324</v>
      </c>
      <c r="H1023" s="392" t="s">
        <v>7418</v>
      </c>
      <c r="I1023" s="392" t="s">
        <v>1757</v>
      </c>
      <c r="J1023" s="392" t="s">
        <v>4703</v>
      </c>
      <c r="K1023" s="392" t="s">
        <v>3933</v>
      </c>
      <c r="L1023" s="392" t="s">
        <v>7563</v>
      </c>
      <c r="M1023" s="392" t="s">
        <v>3758</v>
      </c>
      <c r="N1023" s="392" t="s">
        <v>7273</v>
      </c>
      <c r="O1023" s="392" t="s">
        <v>7273</v>
      </c>
      <c r="P1023"/>
      <c r="Q1023"/>
      <c r="R1023" s="387">
        <f>VLOOKUP(E1023,'[1]NDB Impacted SPRFs 05032013'!$A$2:$A$65536,1,FALSE)</f>
        <v>400031480</v>
      </c>
    </row>
    <row r="1024" spans="1:21" s="159" customFormat="1" ht="45" x14ac:dyDescent="0.25">
      <c r="A1024" s="63">
        <f>MATCH($E1024,'D1 - Master Project Table'!$B$24:$B$7056,0)</f>
        <v>1734</v>
      </c>
      <c r="B1024" s="63" t="b">
        <f t="shared" si="45"/>
        <v>0</v>
      </c>
      <c r="C1024" s="63" t="b">
        <f t="shared" si="46"/>
        <v>1</v>
      </c>
      <c r="D1024" s="63" t="str">
        <f t="shared" si="47"/>
        <v>OK</v>
      </c>
      <c r="E1024" s="393">
        <v>400050954</v>
      </c>
      <c r="F1024" s="392" t="s">
        <v>1367</v>
      </c>
      <c r="G1024" s="392" t="s">
        <v>5001</v>
      </c>
      <c r="H1024" s="392" t="s">
        <v>7418</v>
      </c>
      <c r="I1024" s="392" t="s">
        <v>3540</v>
      </c>
      <c r="J1024" s="392" t="s">
        <v>4110</v>
      </c>
      <c r="K1024" s="392" t="s">
        <v>8075</v>
      </c>
      <c r="L1024" s="392" t="s">
        <v>3461</v>
      </c>
      <c r="M1024" s="392" t="s">
        <v>7273</v>
      </c>
      <c r="N1024" s="392" t="s">
        <v>7273</v>
      </c>
      <c r="O1024" s="392" t="s">
        <v>3758</v>
      </c>
      <c r="P1024"/>
      <c r="Q1024"/>
      <c r="R1024" s="387">
        <f>VLOOKUP(E1024,'[1]NDB Impacted SPRFs 05032013'!$A$2:$A$65536,1,FALSE)</f>
        <v>400050954</v>
      </c>
    </row>
    <row r="1025" spans="1:21" s="159" customFormat="1" ht="60" x14ac:dyDescent="0.25">
      <c r="A1025" s="63">
        <f>MATCH($E1025,'D1 - Master Project Table'!$B$24:$B$7056,0)</f>
        <v>1855</v>
      </c>
      <c r="B1025" s="63" t="b">
        <f t="shared" si="45"/>
        <v>0</v>
      </c>
      <c r="C1025" s="63" t="b">
        <f t="shared" si="46"/>
        <v>1</v>
      </c>
      <c r="D1025" s="63" t="str">
        <f t="shared" si="47"/>
        <v>OK</v>
      </c>
      <c r="E1025" s="393">
        <v>400000364</v>
      </c>
      <c r="F1025" s="392" t="s">
        <v>4673</v>
      </c>
      <c r="G1025" s="392" t="s">
        <v>5324</v>
      </c>
      <c r="H1025" s="392" t="s">
        <v>7418</v>
      </c>
      <c r="I1025" s="392" t="s">
        <v>1768</v>
      </c>
      <c r="J1025" s="392" t="s">
        <v>5296</v>
      </c>
      <c r="K1025" s="392" t="s">
        <v>8075</v>
      </c>
      <c r="L1025" s="392" t="s">
        <v>7115</v>
      </c>
      <c r="M1025" s="392" t="s">
        <v>3758</v>
      </c>
      <c r="N1025" s="392" t="s">
        <v>7273</v>
      </c>
      <c r="O1025" s="392" t="s">
        <v>7273</v>
      </c>
      <c r="P1025" s="158"/>
      <c r="Q1025" s="128"/>
      <c r="R1025" s="387">
        <f>VLOOKUP(E1025,'[1]NDB Impacted SPRFs 05032013'!$A$2:$A$65536,1,FALSE)</f>
        <v>400000364</v>
      </c>
      <c r="S1025" s="128"/>
      <c r="T1025" s="128"/>
      <c r="U1025" s="128"/>
    </row>
    <row r="1026" spans="1:21" s="159" customFormat="1" ht="45" x14ac:dyDescent="0.25">
      <c r="A1026" s="63">
        <f>MATCH($E1026,'D1 - Master Project Table'!$B$24:$B$7056,0)</f>
        <v>815</v>
      </c>
      <c r="B1026" s="63" t="b">
        <f t="shared" si="45"/>
        <v>0</v>
      </c>
      <c r="C1026" s="63" t="b">
        <f t="shared" si="46"/>
        <v>1</v>
      </c>
      <c r="D1026" s="63" t="str">
        <f t="shared" si="47"/>
        <v>OK</v>
      </c>
      <c r="E1026" s="393">
        <v>400014975</v>
      </c>
      <c r="F1026" s="392" t="s">
        <v>7798</v>
      </c>
      <c r="G1026" s="392" t="s">
        <v>5324</v>
      </c>
      <c r="H1026" s="392" t="s">
        <v>7418</v>
      </c>
      <c r="I1026" s="392" t="s">
        <v>1788</v>
      </c>
      <c r="J1026" s="392" t="s">
        <v>8382</v>
      </c>
      <c r="K1026" s="392" t="s">
        <v>5880</v>
      </c>
      <c r="L1026" s="392" t="s">
        <v>6747</v>
      </c>
      <c r="M1026" s="392" t="s">
        <v>3758</v>
      </c>
      <c r="N1026" s="392" t="s">
        <v>7273</v>
      </c>
      <c r="O1026" s="392" t="s">
        <v>7273</v>
      </c>
      <c r="P1026"/>
      <c r="Q1026"/>
      <c r="R1026" s="387">
        <f>VLOOKUP(E1026,'[1]NDB Impacted SPRFs 05032013'!$A$2:$A$65536,1,FALSE)</f>
        <v>400014975</v>
      </c>
    </row>
    <row r="1027" spans="1:21" s="159" customFormat="1" ht="45" x14ac:dyDescent="0.25">
      <c r="A1027" s="63">
        <f>MATCH($E1027,'D1 - Master Project Table'!$B$24:$B$7056,0)</f>
        <v>2278</v>
      </c>
      <c r="B1027" s="63" t="b">
        <f t="shared" si="45"/>
        <v>0</v>
      </c>
      <c r="C1027" s="63" t="b">
        <f t="shared" si="46"/>
        <v>1</v>
      </c>
      <c r="D1027" s="63" t="str">
        <f t="shared" si="47"/>
        <v>OK</v>
      </c>
      <c r="E1027" s="393">
        <v>400036248</v>
      </c>
      <c r="F1027" s="392" t="s">
        <v>2798</v>
      </c>
      <c r="G1027" s="392" t="s">
        <v>5001</v>
      </c>
      <c r="H1027" s="392" t="s">
        <v>5314</v>
      </c>
      <c r="I1027" s="392" t="s">
        <v>3540</v>
      </c>
      <c r="J1027" s="392" t="s">
        <v>8721</v>
      </c>
      <c r="K1027" s="392" t="s">
        <v>5468</v>
      </c>
      <c r="L1027" s="392" t="s">
        <v>894</v>
      </c>
      <c r="M1027" s="392" t="s">
        <v>3758</v>
      </c>
      <c r="N1027" s="392" t="s">
        <v>7273</v>
      </c>
      <c r="O1027" s="392" t="s">
        <v>3758</v>
      </c>
      <c r="P1027"/>
      <c r="Q1027"/>
      <c r="R1027" s="387">
        <f>VLOOKUP(E1027,'[1]NDB Impacted SPRFs 05032013'!$A$2:$A$65536,1,FALSE)</f>
        <v>400036248</v>
      </c>
      <c r="S1027" s="128"/>
      <c r="T1027" s="128"/>
      <c r="U1027" s="128"/>
    </row>
    <row r="1028" spans="1:21" s="159" customFormat="1" ht="45" x14ac:dyDescent="0.25">
      <c r="A1028" s="63">
        <f>MATCH($E1028,'D1 - Master Project Table'!$B$24:$B$7056,0)</f>
        <v>3208</v>
      </c>
      <c r="B1028" s="63" t="b">
        <f t="shared" si="45"/>
        <v>0</v>
      </c>
      <c r="C1028" s="63" t="b">
        <f t="shared" si="46"/>
        <v>0</v>
      </c>
      <c r="D1028" s="63" t="str">
        <f t="shared" si="47"/>
        <v>OK</v>
      </c>
      <c r="E1028" s="393">
        <v>400047855</v>
      </c>
      <c r="F1028" s="392" t="s">
        <v>1546</v>
      </c>
      <c r="G1028" s="392" t="s">
        <v>5324</v>
      </c>
      <c r="H1028" s="392" t="s">
        <v>4917</v>
      </c>
      <c r="I1028" s="392" t="s">
        <v>1762</v>
      </c>
      <c r="J1028" s="392" t="s">
        <v>1904</v>
      </c>
      <c r="K1028" s="392" t="s">
        <v>1547</v>
      </c>
      <c r="L1028" s="392" t="s">
        <v>7179</v>
      </c>
      <c r="M1028" s="392" t="s">
        <v>7273</v>
      </c>
      <c r="N1028" s="392" t="s">
        <v>7273</v>
      </c>
      <c r="O1028" s="392" t="s">
        <v>7273</v>
      </c>
      <c r="P1028"/>
      <c r="Q1028"/>
      <c r="R1028" s="387">
        <f>VLOOKUP(E1028,'[1]NDB Impacted SPRFs 05032013'!$A$2:$A$65536,1,FALSE)</f>
        <v>400047855</v>
      </c>
      <c r="S1028" s="128"/>
      <c r="T1028" s="128"/>
      <c r="U1028" s="128"/>
    </row>
    <row r="1029" spans="1:21" ht="45" x14ac:dyDescent="0.25">
      <c r="A1029" s="63">
        <f>MATCH($E1029,'D1 - Master Project Table'!$B$24:$B$7056,0)</f>
        <v>3294</v>
      </c>
      <c r="B1029" s="63" t="b">
        <f t="shared" si="45"/>
        <v>0</v>
      </c>
      <c r="C1029" s="63" t="b">
        <f t="shared" si="46"/>
        <v>1</v>
      </c>
      <c r="D1029" s="63" t="str">
        <f t="shared" si="47"/>
        <v>OK</v>
      </c>
      <c r="E1029" s="393">
        <v>400050092</v>
      </c>
      <c r="F1029" s="392" t="s">
        <v>2183</v>
      </c>
      <c r="G1029" s="392" t="s">
        <v>5324</v>
      </c>
      <c r="H1029" s="392" t="s">
        <v>7418</v>
      </c>
      <c r="I1029" s="392" t="s">
        <v>1762</v>
      </c>
      <c r="J1029" s="392" t="s">
        <v>4854</v>
      </c>
      <c r="K1029" s="392" t="s">
        <v>5162</v>
      </c>
      <c r="L1029" s="392" t="s">
        <v>5116</v>
      </c>
      <c r="M1029" s="392" t="s">
        <v>3758</v>
      </c>
      <c r="N1029" s="392" t="s">
        <v>7273</v>
      </c>
      <c r="O1029" s="392" t="s">
        <v>7273</v>
      </c>
      <c r="P1029"/>
      <c r="Q1029"/>
      <c r="R1029" s="387">
        <f>VLOOKUP(E1029,'[1]NDB Impacted SPRFs 05032013'!$A$2:$A$65536,1,FALSE)</f>
        <v>400050092</v>
      </c>
      <c r="S1029" s="159"/>
      <c r="T1029" s="159"/>
      <c r="U1029" s="159"/>
    </row>
    <row r="1030" spans="1:21" s="159" customFormat="1" ht="45" customHeight="1" x14ac:dyDescent="0.25">
      <c r="A1030" s="63">
        <f>MATCH($E1030,'D1 - Master Project Table'!$B$24:$B$7056,0)</f>
        <v>1505</v>
      </c>
      <c r="B1030" s="63" t="b">
        <f t="shared" ref="B1030:B1093" si="48">ISERROR(A1030)</f>
        <v>0</v>
      </c>
      <c r="C1030" s="63" t="b">
        <f t="shared" ref="C1030:C1093" si="49">OR(H1030="Completed",H1030="Cancelled")</f>
        <v>1</v>
      </c>
      <c r="D1030" s="63" t="str">
        <f t="shared" ref="D1030:D1093" si="50">IF(AND(B1030=TRUE,C1030=FALSE),"Add","OK")</f>
        <v>OK</v>
      </c>
      <c r="E1030" s="393">
        <v>400041257</v>
      </c>
      <c r="F1030" s="392" t="s">
        <v>2472</v>
      </c>
      <c r="G1030" s="392" t="s">
        <v>5995</v>
      </c>
      <c r="H1030" s="392" t="s">
        <v>7418</v>
      </c>
      <c r="I1030" s="392" t="s">
        <v>3533</v>
      </c>
      <c r="J1030" s="392" t="s">
        <v>2471</v>
      </c>
      <c r="K1030" s="392" t="s">
        <v>2473</v>
      </c>
      <c r="L1030" s="392" t="s">
        <v>2721</v>
      </c>
      <c r="M1030" s="392" t="s">
        <v>3758</v>
      </c>
      <c r="N1030" s="392" t="s">
        <v>7273</v>
      </c>
      <c r="O1030" s="392" t="s">
        <v>3758</v>
      </c>
      <c r="P1030"/>
      <c r="Q1030"/>
      <c r="R1030" s="387">
        <f>VLOOKUP(E1030,'[1]NDB Impacted SPRFs 05032013'!$A$2:$A$65536,1,FALSE)</f>
        <v>400041257</v>
      </c>
      <c r="S1030" s="128"/>
      <c r="T1030" s="128"/>
      <c r="U1030" s="128"/>
    </row>
    <row r="1031" spans="1:21" s="159" customFormat="1" ht="45" x14ac:dyDescent="0.25">
      <c r="A1031" s="63">
        <f>MATCH($E1031,'D1 - Master Project Table'!$B$24:$B$7056,0)</f>
        <v>1813</v>
      </c>
      <c r="B1031" s="63" t="b">
        <f t="shared" si="48"/>
        <v>0</v>
      </c>
      <c r="C1031" s="63" t="b">
        <f t="shared" si="49"/>
        <v>1</v>
      </c>
      <c r="D1031" s="63" t="str">
        <f t="shared" si="50"/>
        <v>OK</v>
      </c>
      <c r="E1031" s="393">
        <v>400053251</v>
      </c>
      <c r="F1031" s="392" t="s">
        <v>424</v>
      </c>
      <c r="G1031" s="392" t="s">
        <v>5995</v>
      </c>
      <c r="H1031" s="392" t="s">
        <v>7418</v>
      </c>
      <c r="I1031" s="392" t="s">
        <v>6423</v>
      </c>
      <c r="J1031" s="392" t="s">
        <v>8805</v>
      </c>
      <c r="K1031" s="392" t="s">
        <v>425</v>
      </c>
      <c r="L1031" s="392" t="s">
        <v>6663</v>
      </c>
      <c r="M1031" s="392" t="s">
        <v>7273</v>
      </c>
      <c r="N1031" s="392" t="s">
        <v>7273</v>
      </c>
      <c r="O1031" s="392" t="s">
        <v>7273</v>
      </c>
      <c r="P1031"/>
      <c r="Q1031"/>
      <c r="R1031" s="387">
        <f>VLOOKUP(E1031,'[1]NDB Impacted SPRFs 05032013'!$A$2:$A$65536,1,FALSE)</f>
        <v>400053251</v>
      </c>
      <c r="S1031" s="128"/>
      <c r="T1031" s="128"/>
      <c r="U1031" s="128"/>
    </row>
    <row r="1032" spans="1:21" s="159" customFormat="1" ht="45" x14ac:dyDescent="0.25">
      <c r="A1032" s="63">
        <f>MATCH($E1032,'D1 - Master Project Table'!$B$24:$B$7056,0)</f>
        <v>1928</v>
      </c>
      <c r="B1032" s="63" t="b">
        <f t="shared" si="48"/>
        <v>0</v>
      </c>
      <c r="C1032" s="63" t="b">
        <f t="shared" si="49"/>
        <v>1</v>
      </c>
      <c r="D1032" s="63" t="str">
        <f t="shared" si="50"/>
        <v>OK</v>
      </c>
      <c r="E1032" s="393">
        <v>400014609</v>
      </c>
      <c r="F1032" s="392" t="s">
        <v>5808</v>
      </c>
      <c r="G1032" s="392" t="s">
        <v>5787</v>
      </c>
      <c r="H1032" s="392" t="s">
        <v>7418</v>
      </c>
      <c r="I1032" s="392" t="s">
        <v>2883</v>
      </c>
      <c r="J1032" s="392" t="s">
        <v>7633</v>
      </c>
      <c r="K1032" s="392" t="s">
        <v>4124</v>
      </c>
      <c r="L1032" s="392" t="s">
        <v>3983</v>
      </c>
      <c r="M1032" s="392" t="s">
        <v>7273</v>
      </c>
      <c r="N1032" s="392" t="s">
        <v>7273</v>
      </c>
      <c r="O1032" s="392" t="s">
        <v>7273</v>
      </c>
      <c r="P1032"/>
      <c r="Q1032"/>
      <c r="R1032" s="387">
        <f>VLOOKUP(E1032,'[1]NDB Impacted SPRFs 05032013'!$A$2:$A$65536,1,FALSE)</f>
        <v>400014609</v>
      </c>
    </row>
    <row r="1033" spans="1:21" s="159" customFormat="1" ht="45" x14ac:dyDescent="0.25">
      <c r="A1033" s="63">
        <f>MATCH($E1033,'D1 - Master Project Table'!$B$24:$B$7056,0)</f>
        <v>1085</v>
      </c>
      <c r="B1033" s="63" t="b">
        <f t="shared" si="48"/>
        <v>0</v>
      </c>
      <c r="C1033" s="63" t="b">
        <f t="shared" si="49"/>
        <v>1</v>
      </c>
      <c r="D1033" s="63" t="str">
        <f t="shared" si="50"/>
        <v>OK</v>
      </c>
      <c r="E1033" s="393">
        <v>400028642</v>
      </c>
      <c r="F1033" s="392" t="s">
        <v>4791</v>
      </c>
      <c r="G1033" s="392" t="s">
        <v>5001</v>
      </c>
      <c r="H1033" s="392" t="s">
        <v>7418</v>
      </c>
      <c r="I1033" s="392" t="s">
        <v>3540</v>
      </c>
      <c r="J1033" s="392" t="s">
        <v>3220</v>
      </c>
      <c r="K1033" s="392" t="s">
        <v>6885</v>
      </c>
      <c r="L1033" s="392" t="s">
        <v>7483</v>
      </c>
      <c r="M1033" s="392" t="s">
        <v>3758</v>
      </c>
      <c r="N1033" s="392" t="s">
        <v>7273</v>
      </c>
      <c r="O1033" s="392" t="s">
        <v>7273</v>
      </c>
      <c r="P1033"/>
      <c r="Q1033"/>
      <c r="R1033" s="387">
        <f>VLOOKUP(E1033,'[1]NDB Impacted SPRFs 05032013'!$A$2:$A$65536,1,FALSE)</f>
        <v>400028642</v>
      </c>
    </row>
    <row r="1034" spans="1:21" s="160" customFormat="1" ht="45" x14ac:dyDescent="0.25">
      <c r="A1034" s="63">
        <f>MATCH($E1034,'D1 - Master Project Table'!$B$24:$B$7056,0)</f>
        <v>2907</v>
      </c>
      <c r="B1034" s="63" t="b">
        <f t="shared" si="48"/>
        <v>0</v>
      </c>
      <c r="C1034" s="63" t="b">
        <f t="shared" si="49"/>
        <v>1</v>
      </c>
      <c r="D1034" s="63" t="str">
        <f t="shared" si="50"/>
        <v>OK</v>
      </c>
      <c r="E1034" s="393">
        <v>400031197</v>
      </c>
      <c r="F1034" s="392" t="s">
        <v>8113</v>
      </c>
      <c r="G1034" s="392" t="s">
        <v>5001</v>
      </c>
      <c r="H1034" s="392" t="s">
        <v>5314</v>
      </c>
      <c r="I1034" s="392" t="s">
        <v>1829</v>
      </c>
      <c r="J1034" s="392" t="s">
        <v>8742</v>
      </c>
      <c r="K1034" s="392" t="s">
        <v>2062</v>
      </c>
      <c r="L1034" s="392" t="s">
        <v>7929</v>
      </c>
      <c r="M1034" s="392" t="s">
        <v>3758</v>
      </c>
      <c r="N1034" s="392" t="s">
        <v>7273</v>
      </c>
      <c r="O1034" s="392" t="s">
        <v>7273</v>
      </c>
      <c r="P1034"/>
      <c r="Q1034"/>
      <c r="R1034" s="387">
        <f>VLOOKUP(E1034,'[1]NDB Impacted SPRFs 05032013'!$A$2:$A$65536,1,FALSE)</f>
        <v>400031197</v>
      </c>
      <c r="S1034" s="159"/>
      <c r="T1034" s="159"/>
      <c r="U1034" s="159"/>
    </row>
    <row r="1035" spans="1:21" s="159" customFormat="1" ht="45" x14ac:dyDescent="0.25">
      <c r="A1035" s="63">
        <f>MATCH($E1035,'D1 - Master Project Table'!$B$24:$B$7056,0)</f>
        <v>191</v>
      </c>
      <c r="B1035" s="63" t="b">
        <f t="shared" si="48"/>
        <v>0</v>
      </c>
      <c r="C1035" s="63" t="b">
        <f t="shared" si="49"/>
        <v>1</v>
      </c>
      <c r="D1035" s="63" t="str">
        <f t="shared" si="50"/>
        <v>OK</v>
      </c>
      <c r="E1035" s="393">
        <v>400033451</v>
      </c>
      <c r="F1035" s="392" t="s">
        <v>4658</v>
      </c>
      <c r="G1035" s="392" t="s">
        <v>1147</v>
      </c>
      <c r="H1035" s="392" t="s">
        <v>5314</v>
      </c>
      <c r="I1035" s="392" t="s">
        <v>5523</v>
      </c>
      <c r="J1035" s="392" t="s">
        <v>2642</v>
      </c>
      <c r="K1035" s="392" t="s">
        <v>2643</v>
      </c>
      <c r="L1035" s="392" t="s">
        <v>2490</v>
      </c>
      <c r="M1035" s="392" t="s">
        <v>7273</v>
      </c>
      <c r="N1035" s="392" t="s">
        <v>7273</v>
      </c>
      <c r="O1035" s="392" t="s">
        <v>3758</v>
      </c>
      <c r="P1035"/>
      <c r="Q1035"/>
      <c r="R1035" s="387">
        <f>VLOOKUP(E1035,'[1]NDB Impacted SPRFs 05032013'!$A$2:$A$65536,1,FALSE)</f>
        <v>400033451</v>
      </c>
    </row>
    <row r="1036" spans="1:21" s="159" customFormat="1" ht="45" x14ac:dyDescent="0.25">
      <c r="A1036" s="63">
        <f>MATCH($E1036,'D1 - Master Project Table'!$B$24:$B$7056,0)</f>
        <v>78</v>
      </c>
      <c r="B1036" s="63" t="b">
        <f t="shared" si="48"/>
        <v>0</v>
      </c>
      <c r="C1036" s="63" t="b">
        <f t="shared" si="49"/>
        <v>0</v>
      </c>
      <c r="D1036" s="63" t="str">
        <f t="shared" si="50"/>
        <v>OK</v>
      </c>
      <c r="E1036" s="393">
        <v>400052232</v>
      </c>
      <c r="F1036" s="392" t="s">
        <v>754</v>
      </c>
      <c r="G1036" s="392" t="s">
        <v>9210</v>
      </c>
      <c r="H1036" s="392" t="s">
        <v>4917</v>
      </c>
      <c r="I1036" s="392" t="s">
        <v>7666</v>
      </c>
      <c r="J1036" s="392" t="s">
        <v>1957</v>
      </c>
      <c r="K1036" s="392" t="s">
        <v>1987</v>
      </c>
      <c r="L1036" s="392" t="s">
        <v>598</v>
      </c>
      <c r="M1036" s="392" t="s">
        <v>7273</v>
      </c>
      <c r="N1036" s="392" t="s">
        <v>7273</v>
      </c>
      <c r="O1036" s="392" t="s">
        <v>7273</v>
      </c>
      <c r="P1036"/>
      <c r="Q1036"/>
      <c r="R1036" s="387">
        <f>VLOOKUP(E1036,'[1]NDB Impacted SPRFs 05032013'!$A$2:$A$65536,1,FALSE)</f>
        <v>400052232</v>
      </c>
    </row>
    <row r="1037" spans="1:21" s="159" customFormat="1" ht="45" x14ac:dyDescent="0.25">
      <c r="A1037" s="63">
        <f>MATCH($E1037,'D1 - Master Project Table'!$B$24:$B$7056,0)</f>
        <v>833</v>
      </c>
      <c r="B1037" s="63" t="b">
        <f t="shared" si="48"/>
        <v>0</v>
      </c>
      <c r="C1037" s="63" t="b">
        <f t="shared" si="49"/>
        <v>1</v>
      </c>
      <c r="D1037" s="63" t="str">
        <f t="shared" si="50"/>
        <v>OK</v>
      </c>
      <c r="E1037" s="393">
        <v>400018429</v>
      </c>
      <c r="F1037" s="392" t="s">
        <v>4944</v>
      </c>
      <c r="G1037" s="392" t="s">
        <v>5324</v>
      </c>
      <c r="H1037" s="392" t="s">
        <v>7418</v>
      </c>
      <c r="I1037" s="392" t="s">
        <v>1759</v>
      </c>
      <c r="J1037" s="392" t="s">
        <v>8608</v>
      </c>
      <c r="K1037" s="392" t="s">
        <v>6371</v>
      </c>
      <c r="L1037" s="392" t="s">
        <v>7557</v>
      </c>
      <c r="M1037" s="392" t="s">
        <v>3758</v>
      </c>
      <c r="N1037" s="392" t="s">
        <v>7273</v>
      </c>
      <c r="O1037" s="392" t="s">
        <v>3758</v>
      </c>
      <c r="P1037"/>
      <c r="Q1037"/>
      <c r="R1037" s="387">
        <f>VLOOKUP(E1037,'[1]NDB Impacted SPRFs 05032013'!$A$2:$A$65536,1,FALSE)</f>
        <v>400018429</v>
      </c>
    </row>
    <row r="1038" spans="1:21" s="159" customFormat="1" ht="45" x14ac:dyDescent="0.25">
      <c r="A1038" s="63">
        <f>MATCH($E1038,'D1 - Master Project Table'!$B$24:$B$7056,0)</f>
        <v>2263</v>
      </c>
      <c r="B1038" s="63" t="b">
        <f t="shared" si="48"/>
        <v>0</v>
      </c>
      <c r="C1038" s="63" t="b">
        <f t="shared" si="49"/>
        <v>1</v>
      </c>
      <c r="D1038" s="63" t="str">
        <f t="shared" si="50"/>
        <v>OK</v>
      </c>
      <c r="E1038" s="393">
        <v>400032484</v>
      </c>
      <c r="F1038" s="392" t="s">
        <v>4786</v>
      </c>
      <c r="G1038" s="392" t="s">
        <v>5001</v>
      </c>
      <c r="H1038" s="392" t="s">
        <v>7418</v>
      </c>
      <c r="I1038" s="392" t="s">
        <v>3540</v>
      </c>
      <c r="J1038" s="392" t="s">
        <v>3220</v>
      </c>
      <c r="K1038" s="392" t="s">
        <v>6885</v>
      </c>
      <c r="L1038" s="392" t="s">
        <v>5113</v>
      </c>
      <c r="M1038" s="392" t="s">
        <v>7273</v>
      </c>
      <c r="N1038" s="392" t="s">
        <v>7273</v>
      </c>
      <c r="O1038" s="392" t="s">
        <v>7273</v>
      </c>
      <c r="P1038"/>
      <c r="Q1038"/>
      <c r="R1038" s="387">
        <f>VLOOKUP(E1038,'[1]NDB Impacted SPRFs 05032013'!$A$2:$A$65536,1,FALSE)</f>
        <v>400032484</v>
      </c>
      <c r="S1038" s="128"/>
      <c r="T1038" s="128"/>
      <c r="U1038" s="128"/>
    </row>
    <row r="1039" spans="1:21" s="159" customFormat="1" ht="45" x14ac:dyDescent="0.25">
      <c r="A1039" s="63">
        <f>MATCH($E1039,'D1 - Master Project Table'!$B$24:$B$7056,0)</f>
        <v>1753</v>
      </c>
      <c r="B1039" s="63" t="b">
        <f t="shared" si="48"/>
        <v>0</v>
      </c>
      <c r="C1039" s="63" t="b">
        <f t="shared" si="49"/>
        <v>0</v>
      </c>
      <c r="D1039" s="63" t="str">
        <f t="shared" si="50"/>
        <v>OK</v>
      </c>
      <c r="E1039" s="393">
        <v>400053105</v>
      </c>
      <c r="F1039" s="392" t="s">
        <v>2774</v>
      </c>
      <c r="G1039" s="392" t="s">
        <v>5324</v>
      </c>
      <c r="H1039" s="392" t="s">
        <v>7479</v>
      </c>
      <c r="I1039" s="392" t="s">
        <v>1758</v>
      </c>
      <c r="J1039" s="392" t="s">
        <v>2471</v>
      </c>
      <c r="K1039" s="392" t="s">
        <v>1549</v>
      </c>
      <c r="L1039" s="392" t="s">
        <v>7531</v>
      </c>
      <c r="M1039" s="392" t="s">
        <v>7273</v>
      </c>
      <c r="N1039" s="392" t="s">
        <v>7273</v>
      </c>
      <c r="O1039" s="392" t="s">
        <v>7273</v>
      </c>
      <c r="P1039"/>
      <c r="Q1039"/>
      <c r="R1039" s="387">
        <f>VLOOKUP(E1039,'[1]NDB Impacted SPRFs 05032013'!$A$2:$A$65536,1,FALSE)</f>
        <v>400053105</v>
      </c>
    </row>
    <row r="1040" spans="1:21" s="159" customFormat="1" ht="45" x14ac:dyDescent="0.25">
      <c r="A1040" s="63">
        <f>MATCH($E1040,'D1 - Master Project Table'!$B$24:$B$7056,0)</f>
        <v>3141</v>
      </c>
      <c r="B1040" s="63" t="b">
        <f t="shared" si="48"/>
        <v>0</v>
      </c>
      <c r="C1040" s="63" t="b">
        <f t="shared" si="49"/>
        <v>1</v>
      </c>
      <c r="D1040" s="63" t="str">
        <f t="shared" si="50"/>
        <v>OK</v>
      </c>
      <c r="E1040" s="393">
        <v>400056328</v>
      </c>
      <c r="F1040" s="392" t="s">
        <v>8015</v>
      </c>
      <c r="G1040" s="392" t="s">
        <v>5995</v>
      </c>
      <c r="H1040" s="392" t="s">
        <v>5314</v>
      </c>
      <c r="I1040" s="392" t="s">
        <v>6423</v>
      </c>
      <c r="J1040" s="392" t="s">
        <v>8804</v>
      </c>
      <c r="K1040" s="392" t="s">
        <v>1897</v>
      </c>
      <c r="L1040" s="392" t="s">
        <v>7707</v>
      </c>
      <c r="M1040" s="392" t="s">
        <v>3758</v>
      </c>
      <c r="N1040" s="392" t="s">
        <v>7273</v>
      </c>
      <c r="O1040" s="392" t="s">
        <v>7273</v>
      </c>
      <c r="P1040"/>
      <c r="Q1040"/>
      <c r="R1040" s="387">
        <f>VLOOKUP(E1040,'[1]NDB Impacted SPRFs 05032013'!$A$2:$A$65536,1,FALSE)</f>
        <v>400056328</v>
      </c>
    </row>
    <row r="1041" spans="1:21" s="159" customFormat="1" ht="45" x14ac:dyDescent="0.25">
      <c r="A1041" s="63">
        <f>MATCH($E1041,'D1 - Master Project Table'!$B$24:$B$7056,0)</f>
        <v>3142</v>
      </c>
      <c r="B1041" s="63" t="b">
        <f t="shared" si="48"/>
        <v>0</v>
      </c>
      <c r="C1041" s="63" t="b">
        <f t="shared" si="49"/>
        <v>1</v>
      </c>
      <c r="D1041" s="63" t="str">
        <f t="shared" si="50"/>
        <v>OK</v>
      </c>
      <c r="E1041" s="393">
        <v>400056398</v>
      </c>
      <c r="F1041" s="392" t="s">
        <v>6142</v>
      </c>
      <c r="G1041" s="392" t="s">
        <v>5995</v>
      </c>
      <c r="H1041" s="392" t="s">
        <v>5314</v>
      </c>
      <c r="I1041" s="392" t="s">
        <v>6423</v>
      </c>
      <c r="J1041" s="392" t="s">
        <v>8804</v>
      </c>
      <c r="K1041" s="392" t="s">
        <v>1897</v>
      </c>
      <c r="L1041" s="392" t="s">
        <v>7707</v>
      </c>
      <c r="M1041" s="392" t="s">
        <v>3758</v>
      </c>
      <c r="N1041" s="392" t="s">
        <v>7273</v>
      </c>
      <c r="O1041" s="392" t="s">
        <v>7273</v>
      </c>
      <c r="P1041"/>
      <c r="Q1041"/>
      <c r="R1041" s="387">
        <f>VLOOKUP(E1041,'[1]NDB Impacted SPRFs 05032013'!$A$2:$A$65536,1,FALSE)</f>
        <v>400056398</v>
      </c>
    </row>
    <row r="1042" spans="1:21" s="159" customFormat="1" ht="45" x14ac:dyDescent="0.25">
      <c r="A1042" s="63">
        <f>MATCH($E1042,'D1 - Master Project Table'!$B$24:$B$7056,0)</f>
        <v>65</v>
      </c>
      <c r="B1042" s="63" t="b">
        <f t="shared" si="48"/>
        <v>0</v>
      </c>
      <c r="C1042" s="63" t="b">
        <f t="shared" si="49"/>
        <v>0</v>
      </c>
      <c r="D1042" s="63" t="str">
        <f t="shared" si="50"/>
        <v>OK</v>
      </c>
      <c r="E1042" s="393">
        <v>400059765</v>
      </c>
      <c r="F1042" s="392" t="s">
        <v>9496</v>
      </c>
      <c r="G1042" s="392" t="s">
        <v>1147</v>
      </c>
      <c r="H1042" s="392" t="s">
        <v>8012</v>
      </c>
      <c r="I1042" s="392" t="s">
        <v>1757</v>
      </c>
      <c r="J1042" s="392" t="s">
        <v>6004</v>
      </c>
      <c r="K1042" s="392" t="s">
        <v>9497</v>
      </c>
      <c r="L1042" s="392" t="s">
        <v>9498</v>
      </c>
      <c r="M1042" s="392" t="s">
        <v>7273</v>
      </c>
      <c r="N1042" s="392" t="s">
        <v>7273</v>
      </c>
      <c r="O1042" s="392" t="s">
        <v>7273</v>
      </c>
      <c r="P1042"/>
      <c r="Q1042"/>
      <c r="R1042" s="387">
        <f>VLOOKUP(E1042,'[1]NDB Impacted SPRFs 05032013'!$A$2:$A$65536,1,FALSE)</f>
        <v>400059765</v>
      </c>
    </row>
    <row r="1043" spans="1:21" s="159" customFormat="1" ht="45" x14ac:dyDescent="0.25">
      <c r="A1043" s="63">
        <f>MATCH($E1043,'D1 - Master Project Table'!$B$24:$B$7056,0)</f>
        <v>633</v>
      </c>
      <c r="B1043" s="63" t="b">
        <f t="shared" si="48"/>
        <v>0</v>
      </c>
      <c r="C1043" s="63" t="b">
        <f t="shared" si="49"/>
        <v>1</v>
      </c>
      <c r="D1043" s="63" t="str">
        <f t="shared" si="50"/>
        <v>OK</v>
      </c>
      <c r="E1043" s="393">
        <v>400007403</v>
      </c>
      <c r="F1043" s="392" t="s">
        <v>4331</v>
      </c>
      <c r="G1043" s="392" t="s">
        <v>5787</v>
      </c>
      <c r="H1043" s="392" t="s">
        <v>7418</v>
      </c>
      <c r="I1043" s="392" t="s">
        <v>1780</v>
      </c>
      <c r="J1043" s="392" t="s">
        <v>8694</v>
      </c>
      <c r="K1043" s="392" t="s">
        <v>3353</v>
      </c>
      <c r="L1043" s="392" t="s">
        <v>2645</v>
      </c>
      <c r="M1043" s="392" t="s">
        <v>7273</v>
      </c>
      <c r="N1043" s="392" t="s">
        <v>7273</v>
      </c>
      <c r="O1043" s="392" t="s">
        <v>7273</v>
      </c>
      <c r="P1043"/>
      <c r="Q1043"/>
      <c r="R1043" s="387">
        <f>VLOOKUP(E1043,'[1]NDB Impacted SPRFs 05032013'!$A$2:$A$65536,1,FALSE)</f>
        <v>400007403</v>
      </c>
      <c r="S1043" s="128"/>
      <c r="T1043" s="128"/>
      <c r="U1043" s="128"/>
    </row>
    <row r="1044" spans="1:21" s="159" customFormat="1" ht="45" x14ac:dyDescent="0.25">
      <c r="A1044" s="63">
        <f>MATCH($E1044,'D1 - Master Project Table'!$B$24:$B$7056,0)</f>
        <v>1948</v>
      </c>
      <c r="B1044" s="63" t="b">
        <f t="shared" si="48"/>
        <v>0</v>
      </c>
      <c r="C1044" s="63" t="b">
        <f t="shared" si="49"/>
        <v>1</v>
      </c>
      <c r="D1044" s="63" t="str">
        <f t="shared" si="50"/>
        <v>OK</v>
      </c>
      <c r="E1044" s="393">
        <v>400020298</v>
      </c>
      <c r="F1044" s="392" t="s">
        <v>6714</v>
      </c>
      <c r="G1044" s="392" t="s">
        <v>5324</v>
      </c>
      <c r="H1044" s="392" t="s">
        <v>7418</v>
      </c>
      <c r="I1044" s="392" t="s">
        <v>1758</v>
      </c>
      <c r="J1044" s="392" t="s">
        <v>8600</v>
      </c>
      <c r="K1044" s="392" t="s">
        <v>4584</v>
      </c>
      <c r="L1044" s="392" t="s">
        <v>6052</v>
      </c>
      <c r="M1044" s="392" t="s">
        <v>7273</v>
      </c>
      <c r="N1044" s="392" t="s">
        <v>7273</v>
      </c>
      <c r="O1044" s="392" t="s">
        <v>7273</v>
      </c>
      <c r="P1044"/>
      <c r="Q1044"/>
      <c r="R1044" s="387">
        <f>VLOOKUP(E1044,'[1]NDB Impacted SPRFs 05032013'!$A$2:$A$65536,1,FALSE)</f>
        <v>400020298</v>
      </c>
    </row>
    <row r="1045" spans="1:21" ht="45" x14ac:dyDescent="0.25">
      <c r="A1045" s="63">
        <f>MATCH($E1045,'D1 - Master Project Table'!$B$24:$B$7056,0)</f>
        <v>1153</v>
      </c>
      <c r="B1045" s="63" t="b">
        <f t="shared" si="48"/>
        <v>0</v>
      </c>
      <c r="C1045" s="63" t="b">
        <f t="shared" si="49"/>
        <v>1</v>
      </c>
      <c r="D1045" s="63" t="str">
        <f t="shared" si="50"/>
        <v>OK</v>
      </c>
      <c r="E1045" s="393">
        <v>400029874</v>
      </c>
      <c r="F1045" s="392" t="s">
        <v>3246</v>
      </c>
      <c r="G1045" s="392" t="s">
        <v>5325</v>
      </c>
      <c r="H1045" s="392" t="s">
        <v>7418</v>
      </c>
      <c r="I1045" s="392" t="s">
        <v>6419</v>
      </c>
      <c r="J1045" s="392" t="s">
        <v>2505</v>
      </c>
      <c r="K1045" s="392" t="s">
        <v>6585</v>
      </c>
      <c r="L1045" s="392" t="s">
        <v>543</v>
      </c>
      <c r="M1045" s="392" t="s">
        <v>3758</v>
      </c>
      <c r="N1045" s="392" t="s">
        <v>7273</v>
      </c>
      <c r="O1045" s="392" t="s">
        <v>7273</v>
      </c>
      <c r="P1045"/>
      <c r="Q1045"/>
      <c r="R1045" s="387">
        <f>VLOOKUP(E1045,'[1]NDB Impacted SPRFs 05032013'!$A$2:$A$65536,1,FALSE)</f>
        <v>400029874</v>
      </c>
      <c r="S1045" s="159"/>
      <c r="T1045" s="159"/>
      <c r="U1045" s="159"/>
    </row>
    <row r="1046" spans="1:21" ht="45" x14ac:dyDescent="0.25">
      <c r="A1046" s="63">
        <f>MATCH($E1046,'D1 - Master Project Table'!$B$24:$B$7056,0)</f>
        <v>1299</v>
      </c>
      <c r="B1046" s="63" t="b">
        <f t="shared" si="48"/>
        <v>0</v>
      </c>
      <c r="C1046" s="63" t="b">
        <f t="shared" si="49"/>
        <v>1</v>
      </c>
      <c r="D1046" s="63" t="str">
        <f t="shared" si="50"/>
        <v>OK</v>
      </c>
      <c r="E1046" s="393">
        <v>400036187</v>
      </c>
      <c r="F1046" s="392" t="s">
        <v>4235</v>
      </c>
      <c r="G1046" s="392" t="s">
        <v>5324</v>
      </c>
      <c r="H1046" s="392" t="s">
        <v>7418</v>
      </c>
      <c r="I1046" s="392" t="s">
        <v>1760</v>
      </c>
      <c r="J1046" s="392" t="s">
        <v>8292</v>
      </c>
      <c r="K1046" s="392" t="s">
        <v>3089</v>
      </c>
      <c r="L1046" s="392" t="s">
        <v>4351</v>
      </c>
      <c r="M1046" s="392" t="s">
        <v>3758</v>
      </c>
      <c r="N1046" s="392" t="s">
        <v>7273</v>
      </c>
      <c r="O1046" s="392" t="s">
        <v>7273</v>
      </c>
      <c r="P1046"/>
      <c r="Q1046"/>
      <c r="R1046" s="387">
        <f>VLOOKUP(E1046,'[1]NDB Impacted SPRFs 05032013'!$A$2:$A$65536,1,FALSE)</f>
        <v>400036187</v>
      </c>
      <c r="S1046" s="159"/>
      <c r="T1046" s="159"/>
      <c r="U1046" s="159"/>
    </row>
    <row r="1047" spans="1:21" s="159" customFormat="1" ht="45" x14ac:dyDescent="0.25">
      <c r="A1047" s="63">
        <f>MATCH($E1047,'D1 - Master Project Table'!$B$24:$B$7056,0)</f>
        <v>1829</v>
      </c>
      <c r="B1047" s="63" t="b">
        <f t="shared" si="48"/>
        <v>0</v>
      </c>
      <c r="C1047" s="63" t="b">
        <f t="shared" si="49"/>
        <v>1</v>
      </c>
      <c r="D1047" s="63" t="str">
        <f t="shared" si="50"/>
        <v>OK</v>
      </c>
      <c r="E1047" s="393">
        <v>400055271</v>
      </c>
      <c r="F1047" s="392" t="s">
        <v>7177</v>
      </c>
      <c r="G1047" s="392" t="s">
        <v>5325</v>
      </c>
      <c r="H1047" s="392" t="s">
        <v>7418</v>
      </c>
      <c r="I1047" s="392" t="s">
        <v>7178</v>
      </c>
      <c r="J1047" s="392" t="s">
        <v>2471</v>
      </c>
      <c r="K1047" s="392" t="s">
        <v>6598</v>
      </c>
      <c r="L1047" s="392" t="s">
        <v>9271</v>
      </c>
      <c r="M1047" s="392" t="s">
        <v>7273</v>
      </c>
      <c r="N1047" s="392" t="s">
        <v>7273</v>
      </c>
      <c r="O1047" s="392" t="s">
        <v>7273</v>
      </c>
      <c r="P1047"/>
      <c r="Q1047"/>
      <c r="R1047" s="387">
        <f>VLOOKUP(E1047,'[1]NDB Impacted SPRFs 05032013'!$A$2:$A$65536,1,FALSE)</f>
        <v>400055271</v>
      </c>
    </row>
    <row r="1048" spans="1:21" s="159" customFormat="1" ht="45" x14ac:dyDescent="0.25">
      <c r="A1048" s="63">
        <f>MATCH($E1048,'D1 - Master Project Table'!$B$24:$B$7056,0)</f>
        <v>1832</v>
      </c>
      <c r="B1048" s="63" t="b">
        <f t="shared" si="48"/>
        <v>0</v>
      </c>
      <c r="C1048" s="63" t="b">
        <f t="shared" si="49"/>
        <v>0</v>
      </c>
      <c r="D1048" s="63" t="str">
        <f t="shared" si="50"/>
        <v>OK</v>
      </c>
      <c r="E1048" s="393">
        <v>400055677</v>
      </c>
      <c r="F1048" s="392" t="s">
        <v>7901</v>
      </c>
      <c r="G1048" s="392" t="s">
        <v>9210</v>
      </c>
      <c r="H1048" s="392" t="s">
        <v>4917</v>
      </c>
      <c r="I1048" s="392" t="s">
        <v>3540</v>
      </c>
      <c r="J1048" s="392" t="s">
        <v>8745</v>
      </c>
      <c r="K1048" s="392" t="s">
        <v>4462</v>
      </c>
      <c r="L1048" s="392" t="s">
        <v>9231</v>
      </c>
      <c r="M1048" s="392" t="s">
        <v>7273</v>
      </c>
      <c r="N1048" s="392" t="s">
        <v>7273</v>
      </c>
      <c r="O1048" s="392" t="s">
        <v>7273</v>
      </c>
      <c r="P1048"/>
      <c r="Q1048"/>
      <c r="R1048" s="387">
        <f>VLOOKUP(E1048,'[1]NDB Impacted SPRFs 05032013'!$A$2:$A$65536,1,FALSE)</f>
        <v>400055677</v>
      </c>
    </row>
    <row r="1049" spans="1:21" s="159" customFormat="1" ht="45" x14ac:dyDescent="0.25">
      <c r="A1049" s="63" t="e">
        <f>MATCH($E1049,'D1 - Master Project Table'!$B$24:$B$7056,0)</f>
        <v>#N/A</v>
      </c>
      <c r="B1049" s="63" t="b">
        <f t="shared" si="48"/>
        <v>1</v>
      </c>
      <c r="C1049" s="63" t="b">
        <f t="shared" si="49"/>
        <v>1</v>
      </c>
      <c r="D1049" s="63" t="str">
        <f t="shared" si="50"/>
        <v>OK</v>
      </c>
      <c r="E1049" s="393">
        <v>400012517</v>
      </c>
      <c r="F1049" s="392" t="s">
        <v>6690</v>
      </c>
      <c r="G1049" s="392" t="s">
        <v>5324</v>
      </c>
      <c r="H1049" s="392" t="s">
        <v>5314</v>
      </c>
      <c r="I1049" s="392" t="s">
        <v>1765</v>
      </c>
      <c r="J1049" s="392" t="s">
        <v>8363</v>
      </c>
      <c r="K1049" s="392" t="s">
        <v>3004</v>
      </c>
      <c r="L1049" s="392" t="s">
        <v>4760</v>
      </c>
      <c r="M1049" s="392" t="s">
        <v>3758</v>
      </c>
      <c r="N1049" s="392" t="s">
        <v>7273</v>
      </c>
      <c r="O1049" s="392" t="s">
        <v>7273</v>
      </c>
      <c r="P1049"/>
      <c r="Q1049"/>
      <c r="R1049" s="387">
        <f>VLOOKUP(E1049,'[1]NDB Impacted SPRFs 05032013'!$A$2:$A$65536,1,FALSE)</f>
        <v>400012517</v>
      </c>
      <c r="S1049" s="128"/>
      <c r="T1049" s="128"/>
      <c r="U1049" s="128"/>
    </row>
    <row r="1050" spans="1:21" s="159" customFormat="1" ht="45" x14ac:dyDescent="0.25">
      <c r="A1050" s="63">
        <f>MATCH($E1050,'D1 - Master Project Table'!$B$24:$B$7056,0)</f>
        <v>1289</v>
      </c>
      <c r="B1050" s="63" t="b">
        <f t="shared" si="48"/>
        <v>0</v>
      </c>
      <c r="C1050" s="63" t="b">
        <f t="shared" si="49"/>
        <v>1</v>
      </c>
      <c r="D1050" s="63" t="str">
        <f t="shared" si="50"/>
        <v>OK</v>
      </c>
      <c r="E1050" s="393">
        <v>400031481</v>
      </c>
      <c r="F1050" s="392" t="s">
        <v>3928</v>
      </c>
      <c r="G1050" s="392" t="s">
        <v>5324</v>
      </c>
      <c r="H1050" s="392" t="s">
        <v>7418</v>
      </c>
      <c r="I1050" s="392" t="s">
        <v>1757</v>
      </c>
      <c r="J1050" s="392" t="s">
        <v>4703</v>
      </c>
      <c r="K1050" s="392" t="s">
        <v>3933</v>
      </c>
      <c r="L1050" s="392" t="s">
        <v>7564</v>
      </c>
      <c r="M1050" s="392" t="s">
        <v>3758</v>
      </c>
      <c r="N1050" s="392" t="s">
        <v>7273</v>
      </c>
      <c r="O1050" s="392" t="s">
        <v>7273</v>
      </c>
      <c r="P1050"/>
      <c r="Q1050"/>
      <c r="R1050" s="387">
        <f>VLOOKUP(E1050,'[1]NDB Impacted SPRFs 05032013'!$A$2:$A$65536,1,FALSE)</f>
        <v>400031481</v>
      </c>
    </row>
    <row r="1051" spans="1:21" s="159" customFormat="1" ht="45" x14ac:dyDescent="0.25">
      <c r="A1051" s="63">
        <f>MATCH($E1051,'D1 - Master Project Table'!$B$24:$B$7056,0)</f>
        <v>1653</v>
      </c>
      <c r="B1051" s="63" t="b">
        <f t="shared" si="48"/>
        <v>0</v>
      </c>
      <c r="C1051" s="63" t="b">
        <f t="shared" si="49"/>
        <v>1</v>
      </c>
      <c r="D1051" s="63" t="str">
        <f t="shared" si="50"/>
        <v>OK</v>
      </c>
      <c r="E1051" s="393">
        <v>400044578</v>
      </c>
      <c r="F1051" s="392" t="s">
        <v>1312</v>
      </c>
      <c r="G1051" s="392" t="s">
        <v>5324</v>
      </c>
      <c r="H1051" s="392" t="s">
        <v>7418</v>
      </c>
      <c r="I1051" s="392" t="s">
        <v>1763</v>
      </c>
      <c r="J1051" s="392" t="s">
        <v>4796</v>
      </c>
      <c r="K1051" s="392" t="s">
        <v>2868</v>
      </c>
      <c r="L1051" s="392" t="s">
        <v>1015</v>
      </c>
      <c r="M1051" s="392" t="s">
        <v>7273</v>
      </c>
      <c r="N1051" s="392" t="s">
        <v>7273</v>
      </c>
      <c r="O1051" s="392" t="s">
        <v>7273</v>
      </c>
      <c r="P1051"/>
      <c r="Q1051"/>
      <c r="R1051" s="387">
        <f>VLOOKUP(E1051,'[1]NDB Impacted SPRFs 05032013'!$A$2:$A$65536,1,FALSE)</f>
        <v>400044578</v>
      </c>
    </row>
    <row r="1052" spans="1:21" s="159" customFormat="1" ht="45" x14ac:dyDescent="0.25">
      <c r="A1052" s="63">
        <f>MATCH($E1052,'D1 - Master Project Table'!$B$24:$B$7056,0)</f>
        <v>2248</v>
      </c>
      <c r="B1052" s="63" t="b">
        <f t="shared" si="48"/>
        <v>0</v>
      </c>
      <c r="C1052" s="63" t="b">
        <f t="shared" si="49"/>
        <v>1</v>
      </c>
      <c r="D1052" s="63" t="str">
        <f t="shared" si="50"/>
        <v>OK</v>
      </c>
      <c r="E1052" s="393">
        <v>400027714</v>
      </c>
      <c r="F1052" s="392" t="s">
        <v>7034</v>
      </c>
      <c r="G1052" s="392" t="s">
        <v>5324</v>
      </c>
      <c r="H1052" s="392" t="s">
        <v>5314</v>
      </c>
      <c r="I1052" s="392" t="s">
        <v>1759</v>
      </c>
      <c r="J1052" s="392" t="s">
        <v>8425</v>
      </c>
      <c r="K1052" s="392" t="s">
        <v>6005</v>
      </c>
      <c r="L1052" s="392" t="s">
        <v>1560</v>
      </c>
      <c r="M1052" s="392" t="s">
        <v>3758</v>
      </c>
      <c r="N1052" s="392" t="s">
        <v>7273</v>
      </c>
      <c r="O1052" s="392" t="s">
        <v>3758</v>
      </c>
      <c r="P1052"/>
      <c r="Q1052"/>
      <c r="R1052" s="387">
        <f>VLOOKUP(E1052,'[1]NDB Impacted SPRFs 05032013'!$A$2:$A$65536,1,FALSE)</f>
        <v>400027714</v>
      </c>
    </row>
    <row r="1053" spans="1:21" s="159" customFormat="1" ht="45" x14ac:dyDescent="0.25">
      <c r="A1053" s="63">
        <f>MATCH($E1053,'D1 - Master Project Table'!$B$24:$B$7056,0)</f>
        <v>2865</v>
      </c>
      <c r="B1053" s="63" t="b">
        <f t="shared" si="48"/>
        <v>0</v>
      </c>
      <c r="C1053" s="63" t="b">
        <f t="shared" si="49"/>
        <v>1</v>
      </c>
      <c r="D1053" s="63" t="str">
        <f t="shared" si="50"/>
        <v>OK</v>
      </c>
      <c r="E1053" s="393">
        <v>400027865</v>
      </c>
      <c r="F1053" s="392" t="s">
        <v>5202</v>
      </c>
      <c r="G1053" s="392" t="s">
        <v>5324</v>
      </c>
      <c r="H1053" s="392" t="s">
        <v>5314</v>
      </c>
      <c r="I1053" s="392" t="s">
        <v>1763</v>
      </c>
      <c r="J1053" s="392" t="s">
        <v>6851</v>
      </c>
      <c r="K1053" s="392" t="s">
        <v>8075</v>
      </c>
      <c r="L1053" s="392" t="s">
        <v>5907</v>
      </c>
      <c r="M1053" s="392" t="s">
        <v>3758</v>
      </c>
      <c r="N1053" s="392" t="s">
        <v>7273</v>
      </c>
      <c r="O1053" s="392" t="s">
        <v>3758</v>
      </c>
      <c r="P1053"/>
      <c r="Q1053"/>
      <c r="R1053" s="387">
        <f>VLOOKUP(E1053,'[1]NDB Impacted SPRFs 05032013'!$A$2:$A$65536,1,FALSE)</f>
        <v>400027865</v>
      </c>
      <c r="S1053" s="128"/>
      <c r="T1053" s="128"/>
      <c r="U1053" s="128"/>
    </row>
    <row r="1054" spans="1:21" s="159" customFormat="1" ht="45" x14ac:dyDescent="0.25">
      <c r="A1054" s="63">
        <f>MATCH($E1054,'D1 - Master Project Table'!$B$24:$B$7056,0)</f>
        <v>2039</v>
      </c>
      <c r="B1054" s="63" t="b">
        <f t="shared" si="48"/>
        <v>0</v>
      </c>
      <c r="C1054" s="63" t="b">
        <f t="shared" si="49"/>
        <v>1</v>
      </c>
      <c r="D1054" s="63" t="str">
        <f t="shared" si="50"/>
        <v>OK</v>
      </c>
      <c r="E1054" s="393">
        <v>400050945</v>
      </c>
      <c r="F1054" s="392" t="s">
        <v>1282</v>
      </c>
      <c r="G1054" s="392" t="s">
        <v>9210</v>
      </c>
      <c r="H1054" s="392" t="s">
        <v>7418</v>
      </c>
      <c r="I1054" s="392" t="s">
        <v>3540</v>
      </c>
      <c r="J1054" s="392" t="s">
        <v>6985</v>
      </c>
      <c r="K1054" s="392" t="s">
        <v>4455</v>
      </c>
      <c r="L1054" s="392" t="s">
        <v>1541</v>
      </c>
      <c r="M1054" s="392" t="s">
        <v>7273</v>
      </c>
      <c r="N1054" s="392" t="s">
        <v>7273</v>
      </c>
      <c r="O1054" s="392" t="s">
        <v>7273</v>
      </c>
      <c r="P1054"/>
      <c r="Q1054"/>
      <c r="R1054" s="387">
        <f>VLOOKUP(E1054,'[1]NDB Impacted SPRFs 05032013'!$A$2:$A$65536,1,FALSE)</f>
        <v>400050945</v>
      </c>
    </row>
    <row r="1055" spans="1:21" s="159" customFormat="1" ht="45" x14ac:dyDescent="0.25">
      <c r="A1055" s="63">
        <f>MATCH($E1055,'D1 - Master Project Table'!$B$24:$B$7056,0)</f>
        <v>2563</v>
      </c>
      <c r="B1055" s="63" t="b">
        <f t="shared" si="48"/>
        <v>0</v>
      </c>
      <c r="C1055" s="63" t="b">
        <f t="shared" si="49"/>
        <v>1</v>
      </c>
      <c r="D1055" s="63" t="str">
        <f t="shared" si="50"/>
        <v>OK</v>
      </c>
      <c r="E1055" s="393">
        <v>400009770</v>
      </c>
      <c r="F1055" s="392" t="s">
        <v>7042</v>
      </c>
      <c r="G1055" s="392" t="s">
        <v>5324</v>
      </c>
      <c r="H1055" s="392" t="s">
        <v>5314</v>
      </c>
      <c r="I1055" s="392" t="s">
        <v>1789</v>
      </c>
      <c r="J1055" s="392" t="s">
        <v>6348</v>
      </c>
      <c r="K1055" s="392" t="s">
        <v>1506</v>
      </c>
      <c r="L1055" s="392" t="s">
        <v>5549</v>
      </c>
      <c r="M1055" s="392" t="s">
        <v>7273</v>
      </c>
      <c r="N1055" s="392" t="s">
        <v>7273</v>
      </c>
      <c r="O1055" s="392" t="s">
        <v>7273</v>
      </c>
      <c r="P1055"/>
      <c r="Q1055"/>
      <c r="R1055" s="387">
        <f>VLOOKUP(E1055,'[1]NDB Impacted SPRFs 05032013'!$A$2:$A$65536,1,FALSE)</f>
        <v>400009770</v>
      </c>
      <c r="S1055" s="128"/>
      <c r="T1055" s="128"/>
      <c r="U1055" s="128"/>
    </row>
    <row r="1056" spans="1:21" s="159" customFormat="1" ht="45" x14ac:dyDescent="0.25">
      <c r="A1056" s="63">
        <f>MATCH($E1056,'D1 - Master Project Table'!$B$24:$B$7056,0)</f>
        <v>2737</v>
      </c>
      <c r="B1056" s="63" t="b">
        <f t="shared" si="48"/>
        <v>0</v>
      </c>
      <c r="C1056" s="63" t="b">
        <f t="shared" si="49"/>
        <v>1</v>
      </c>
      <c r="D1056" s="63" t="str">
        <f t="shared" si="50"/>
        <v>OK</v>
      </c>
      <c r="E1056" s="393">
        <v>400020073</v>
      </c>
      <c r="F1056" s="392" t="s">
        <v>5569</v>
      </c>
      <c r="G1056" s="392" t="s">
        <v>5324</v>
      </c>
      <c r="H1056" s="392" t="s">
        <v>5314</v>
      </c>
      <c r="I1056" s="392" t="s">
        <v>1763</v>
      </c>
      <c r="J1056" s="392" t="s">
        <v>8298</v>
      </c>
      <c r="K1056" s="392" t="s">
        <v>5756</v>
      </c>
      <c r="L1056" s="392" t="s">
        <v>4868</v>
      </c>
      <c r="M1056" s="392" t="s">
        <v>7273</v>
      </c>
      <c r="N1056" s="392" t="s">
        <v>7273</v>
      </c>
      <c r="O1056" s="392" t="s">
        <v>7273</v>
      </c>
      <c r="P1056"/>
      <c r="Q1056"/>
      <c r="R1056" s="387">
        <f>VLOOKUP(E1056,'[1]NDB Impacted SPRFs 05032013'!$A$2:$A$65536,1,FALSE)</f>
        <v>400020073</v>
      </c>
      <c r="S1056" s="128"/>
      <c r="T1056" s="128"/>
      <c r="U1056" s="128"/>
    </row>
    <row r="1057" spans="1:21" s="159" customFormat="1" ht="45" x14ac:dyDescent="0.25">
      <c r="A1057" s="63">
        <f>MATCH($E1057,'D1 - Master Project Table'!$B$24:$B$7056,0)</f>
        <v>1485</v>
      </c>
      <c r="B1057" s="63" t="b">
        <f t="shared" si="48"/>
        <v>0</v>
      </c>
      <c r="C1057" s="63" t="b">
        <f t="shared" si="49"/>
        <v>1</v>
      </c>
      <c r="D1057" s="63" t="str">
        <f t="shared" si="50"/>
        <v>OK</v>
      </c>
      <c r="E1057" s="393">
        <v>400042381</v>
      </c>
      <c r="F1057" s="392" t="s">
        <v>1156</v>
      </c>
      <c r="G1057" s="392" t="s">
        <v>5001</v>
      </c>
      <c r="H1057" s="392" t="s">
        <v>7418</v>
      </c>
      <c r="I1057" s="392" t="s">
        <v>3540</v>
      </c>
      <c r="J1057" s="392" t="s">
        <v>8778</v>
      </c>
      <c r="K1057" s="392" t="s">
        <v>5468</v>
      </c>
      <c r="L1057" s="392" t="s">
        <v>605</v>
      </c>
      <c r="M1057" s="392" t="s">
        <v>3758</v>
      </c>
      <c r="N1057" s="392" t="s">
        <v>7273</v>
      </c>
      <c r="O1057" s="392" t="s">
        <v>7273</v>
      </c>
      <c r="P1057"/>
      <c r="Q1057"/>
      <c r="R1057" s="387">
        <f>VLOOKUP(E1057,'[1]NDB Impacted SPRFs 05032013'!$A$2:$A$65536,1,FALSE)</f>
        <v>400042381</v>
      </c>
    </row>
    <row r="1058" spans="1:21" s="159" customFormat="1" ht="45" x14ac:dyDescent="0.25">
      <c r="A1058" s="63">
        <f>MATCH($E1058,'D1 - Master Project Table'!$B$24:$B$7056,0)</f>
        <v>464</v>
      </c>
      <c r="B1058" s="63" t="b">
        <f t="shared" si="48"/>
        <v>0</v>
      </c>
      <c r="C1058" s="63" t="b">
        <f t="shared" si="49"/>
        <v>1</v>
      </c>
      <c r="D1058" s="63" t="str">
        <f t="shared" si="50"/>
        <v>OK</v>
      </c>
      <c r="E1058" s="393">
        <v>400002499</v>
      </c>
      <c r="F1058" s="392" t="s">
        <v>5920</v>
      </c>
      <c r="G1058" s="392" t="s">
        <v>5324</v>
      </c>
      <c r="H1058" s="392" t="s">
        <v>7418</v>
      </c>
      <c r="I1058" s="392" t="s">
        <v>1765</v>
      </c>
      <c r="J1058" s="392" t="s">
        <v>8350</v>
      </c>
      <c r="K1058" s="392" t="s">
        <v>8075</v>
      </c>
      <c r="L1058" s="392" t="s">
        <v>5852</v>
      </c>
      <c r="M1058" s="392" t="s">
        <v>3758</v>
      </c>
      <c r="N1058" s="392" t="s">
        <v>7273</v>
      </c>
      <c r="O1058" s="392" t="s">
        <v>7273</v>
      </c>
      <c r="P1058"/>
      <c r="Q1058"/>
      <c r="R1058" s="387">
        <f>VLOOKUP(E1058,'[1]NDB Impacted SPRFs 05032013'!$A$2:$A$65536,1,FALSE)</f>
        <v>400002499</v>
      </c>
    </row>
    <row r="1059" spans="1:21" ht="45" x14ac:dyDescent="0.25">
      <c r="A1059" s="63">
        <f>MATCH($E1059,'D1 - Master Project Table'!$B$24:$B$7056,0)</f>
        <v>2505</v>
      </c>
      <c r="B1059" s="63" t="b">
        <f t="shared" si="48"/>
        <v>0</v>
      </c>
      <c r="C1059" s="63" t="b">
        <f t="shared" si="49"/>
        <v>1</v>
      </c>
      <c r="D1059" s="63" t="str">
        <f t="shared" si="50"/>
        <v>OK</v>
      </c>
      <c r="E1059" s="393">
        <v>400007296</v>
      </c>
      <c r="F1059" s="392" t="s">
        <v>4466</v>
      </c>
      <c r="G1059" s="392" t="s">
        <v>5787</v>
      </c>
      <c r="H1059" s="392" t="s">
        <v>5314</v>
      </c>
      <c r="I1059" s="392" t="s">
        <v>1773</v>
      </c>
      <c r="J1059" s="392" t="s">
        <v>8705</v>
      </c>
      <c r="K1059" s="392" t="s">
        <v>1419</v>
      </c>
      <c r="L1059" s="392" t="s">
        <v>2512</v>
      </c>
      <c r="M1059" s="392" t="s">
        <v>3758</v>
      </c>
      <c r="N1059" s="392" t="s">
        <v>7273</v>
      </c>
      <c r="O1059" s="392" t="s">
        <v>7273</v>
      </c>
      <c r="P1059"/>
      <c r="Q1059"/>
      <c r="R1059" s="387">
        <f>VLOOKUP(E1059,'[1]NDB Impacted SPRFs 05032013'!$A$2:$A$65536,1,FALSE)</f>
        <v>400007296</v>
      </c>
    </row>
    <row r="1060" spans="1:21" ht="45" x14ac:dyDescent="0.25">
      <c r="A1060" s="63">
        <f>MATCH($E1060,'D1 - Master Project Table'!$B$24:$B$7056,0)</f>
        <v>2173</v>
      </c>
      <c r="B1060" s="63" t="b">
        <f t="shared" si="48"/>
        <v>0</v>
      </c>
      <c r="C1060" s="63" t="b">
        <f t="shared" si="49"/>
        <v>1</v>
      </c>
      <c r="D1060" s="63" t="str">
        <f t="shared" si="50"/>
        <v>OK</v>
      </c>
      <c r="E1060" s="393">
        <v>400019619</v>
      </c>
      <c r="F1060" s="392" t="s">
        <v>5219</v>
      </c>
      <c r="G1060" s="392" t="s">
        <v>5324</v>
      </c>
      <c r="H1060" s="392" t="s">
        <v>7418</v>
      </c>
      <c r="I1060" s="392" t="s">
        <v>1759</v>
      </c>
      <c r="J1060" s="392" t="s">
        <v>1499</v>
      </c>
      <c r="K1060" s="392" t="s">
        <v>5457</v>
      </c>
      <c r="L1060" s="392" t="s">
        <v>712</v>
      </c>
      <c r="M1060" s="392" t="s">
        <v>3758</v>
      </c>
      <c r="N1060" s="392" t="s">
        <v>7273</v>
      </c>
      <c r="O1060" s="392" t="s">
        <v>7273</v>
      </c>
      <c r="P1060"/>
      <c r="Q1060"/>
      <c r="R1060" s="387">
        <f>VLOOKUP(E1060,'[1]NDB Impacted SPRFs 05032013'!$A$2:$A$65536,1,FALSE)</f>
        <v>400019619</v>
      </c>
      <c r="S1060" s="159"/>
      <c r="T1060" s="159"/>
      <c r="U1060" s="159"/>
    </row>
    <row r="1061" spans="1:21" s="159" customFormat="1" ht="45" x14ac:dyDescent="0.25">
      <c r="A1061" s="63">
        <f>MATCH($E1061,'D1 - Master Project Table'!$B$24:$B$7056,0)</f>
        <v>2769</v>
      </c>
      <c r="B1061" s="63" t="b">
        <f t="shared" si="48"/>
        <v>0</v>
      </c>
      <c r="C1061" s="63" t="b">
        <f t="shared" si="49"/>
        <v>1</v>
      </c>
      <c r="D1061" s="63" t="str">
        <f t="shared" si="50"/>
        <v>OK</v>
      </c>
      <c r="E1061" s="393">
        <v>400021580</v>
      </c>
      <c r="F1061" s="392" t="s">
        <v>1066</v>
      </c>
      <c r="G1061" s="392" t="s">
        <v>6322</v>
      </c>
      <c r="H1061" s="392" t="s">
        <v>5314</v>
      </c>
      <c r="I1061" s="392" t="s">
        <v>7594</v>
      </c>
      <c r="J1061" s="392" t="s">
        <v>8405</v>
      </c>
      <c r="K1061" s="392" t="s">
        <v>2349</v>
      </c>
      <c r="L1061" s="392" t="s">
        <v>8070</v>
      </c>
      <c r="M1061" s="392" t="s">
        <v>7273</v>
      </c>
      <c r="N1061" s="392" t="s">
        <v>7273</v>
      </c>
      <c r="O1061" s="392" t="s">
        <v>7273</v>
      </c>
      <c r="P1061"/>
      <c r="Q1061"/>
      <c r="R1061" s="387">
        <f>VLOOKUP(E1061,'[1]NDB Impacted SPRFs 05032013'!$A$2:$A$65536,1,FALSE)</f>
        <v>400021580</v>
      </c>
      <c r="S1061" s="128"/>
      <c r="T1061" s="128"/>
      <c r="U1061" s="128"/>
    </row>
    <row r="1062" spans="1:21" s="159" customFormat="1" ht="45" x14ac:dyDescent="0.25">
      <c r="A1062" s="63">
        <f>MATCH($E1062,'D1 - Master Project Table'!$B$24:$B$7056,0)</f>
        <v>1443</v>
      </c>
      <c r="B1062" s="63" t="b">
        <f t="shared" si="48"/>
        <v>0</v>
      </c>
      <c r="C1062" s="63" t="b">
        <f t="shared" si="49"/>
        <v>1</v>
      </c>
      <c r="D1062" s="63" t="str">
        <f t="shared" si="50"/>
        <v>OK</v>
      </c>
      <c r="E1062" s="393">
        <v>400033245</v>
      </c>
      <c r="F1062" s="392" t="s">
        <v>2409</v>
      </c>
      <c r="G1062" s="392" t="s">
        <v>5324</v>
      </c>
      <c r="H1062" s="392" t="s">
        <v>7418</v>
      </c>
      <c r="I1062" s="392" t="s">
        <v>1758</v>
      </c>
      <c r="J1062" s="392" t="s">
        <v>8311</v>
      </c>
      <c r="K1062" s="392" t="s">
        <v>7459</v>
      </c>
      <c r="L1062" s="392" t="s">
        <v>8193</v>
      </c>
      <c r="M1062" s="392" t="s">
        <v>3758</v>
      </c>
      <c r="N1062" s="392" t="s">
        <v>7273</v>
      </c>
      <c r="O1062" s="392" t="s">
        <v>7273</v>
      </c>
      <c r="P1062"/>
      <c r="Q1062"/>
      <c r="R1062" s="387">
        <f>VLOOKUP(E1062,'[1]NDB Impacted SPRFs 05032013'!$A$2:$A$65536,1,FALSE)</f>
        <v>400033245</v>
      </c>
    </row>
    <row r="1063" spans="1:21" s="159" customFormat="1" ht="45" x14ac:dyDescent="0.25">
      <c r="A1063" s="63">
        <f>MATCH($E1063,'D1 - Master Project Table'!$B$24:$B$7056,0)</f>
        <v>1398</v>
      </c>
      <c r="B1063" s="63" t="b">
        <f t="shared" si="48"/>
        <v>0</v>
      </c>
      <c r="C1063" s="63" t="b">
        <f t="shared" si="49"/>
        <v>1</v>
      </c>
      <c r="D1063" s="63" t="str">
        <f t="shared" si="50"/>
        <v>OK</v>
      </c>
      <c r="E1063" s="393">
        <v>400037314</v>
      </c>
      <c r="F1063" s="392" t="s">
        <v>1553</v>
      </c>
      <c r="G1063" s="392" t="s">
        <v>5324</v>
      </c>
      <c r="H1063" s="392" t="s">
        <v>7418</v>
      </c>
      <c r="I1063" s="392" t="s">
        <v>1763</v>
      </c>
      <c r="J1063" s="392" t="s">
        <v>8502</v>
      </c>
      <c r="K1063" s="392" t="s">
        <v>1554</v>
      </c>
      <c r="L1063" s="392" t="s">
        <v>6300</v>
      </c>
      <c r="M1063" s="392" t="s">
        <v>3758</v>
      </c>
      <c r="N1063" s="392" t="s">
        <v>7273</v>
      </c>
      <c r="O1063" s="392" t="s">
        <v>7273</v>
      </c>
      <c r="P1063"/>
      <c r="Q1063"/>
      <c r="R1063" s="387">
        <f>VLOOKUP(E1063,'[1]NDB Impacted SPRFs 05032013'!$A$2:$A$65536,1,FALSE)</f>
        <v>400037314</v>
      </c>
    </row>
    <row r="1064" spans="1:21" s="159" customFormat="1" ht="45" x14ac:dyDescent="0.25">
      <c r="A1064" s="63">
        <f>MATCH($E1064,'D1 - Master Project Table'!$B$24:$B$7056,0)</f>
        <v>1883</v>
      </c>
      <c r="B1064" s="63" t="b">
        <f t="shared" si="48"/>
        <v>0</v>
      </c>
      <c r="C1064" s="63" t="b">
        <f t="shared" si="49"/>
        <v>1</v>
      </c>
      <c r="D1064" s="63" t="str">
        <f t="shared" si="50"/>
        <v>OK</v>
      </c>
      <c r="E1064" s="393">
        <v>400003717</v>
      </c>
      <c r="F1064" s="392" t="s">
        <v>3488</v>
      </c>
      <c r="G1064" s="392" t="s">
        <v>5324</v>
      </c>
      <c r="H1064" s="392" t="s">
        <v>7418</v>
      </c>
      <c r="I1064" s="392" t="s">
        <v>1765</v>
      </c>
      <c r="J1064" s="392" t="s">
        <v>5298</v>
      </c>
      <c r="K1064" s="392" t="s">
        <v>5300</v>
      </c>
      <c r="L1064" s="392" t="s">
        <v>7480</v>
      </c>
      <c r="M1064" s="392" t="s">
        <v>7273</v>
      </c>
      <c r="N1064" s="392" t="s">
        <v>7273</v>
      </c>
      <c r="O1064" s="392" t="s">
        <v>7273</v>
      </c>
      <c r="P1064" s="212"/>
      <c r="Q1064"/>
      <c r="R1064" s="387">
        <f>VLOOKUP(E1064,'[1]NDB Impacted SPRFs 05032013'!$A$2:$A$65536,1,FALSE)</f>
        <v>400003717</v>
      </c>
    </row>
    <row r="1065" spans="1:21" s="159" customFormat="1" ht="45" x14ac:dyDescent="0.25">
      <c r="A1065" s="63">
        <f>MATCH($E1065,'D1 - Master Project Table'!$B$24:$B$7056,0)</f>
        <v>181</v>
      </c>
      <c r="B1065" s="63" t="b">
        <f t="shared" si="48"/>
        <v>0</v>
      </c>
      <c r="C1065" s="63" t="b">
        <f t="shared" si="49"/>
        <v>0</v>
      </c>
      <c r="D1065" s="63" t="str">
        <f t="shared" si="50"/>
        <v>OK</v>
      </c>
      <c r="E1065" s="393">
        <v>400057746</v>
      </c>
      <c r="F1065" s="392" t="s">
        <v>7671</v>
      </c>
      <c r="G1065" s="392" t="s">
        <v>5995</v>
      </c>
      <c r="H1065" s="392" t="s">
        <v>4917</v>
      </c>
      <c r="I1065" s="392" t="s">
        <v>6423</v>
      </c>
      <c r="J1065" s="392" t="s">
        <v>8806</v>
      </c>
      <c r="K1065" s="392" t="s">
        <v>8179</v>
      </c>
      <c r="L1065" s="392" t="s">
        <v>9106</v>
      </c>
      <c r="M1065" s="392" t="s">
        <v>3758</v>
      </c>
      <c r="N1065" s="392" t="s">
        <v>7273</v>
      </c>
      <c r="O1065" s="392" t="s">
        <v>7273</v>
      </c>
      <c r="P1065"/>
      <c r="Q1065"/>
      <c r="R1065" s="387">
        <f>VLOOKUP(E1065,'[1]NDB Impacted SPRFs 05032013'!$A$2:$A$65536,1,FALSE)</f>
        <v>400057746</v>
      </c>
    </row>
    <row r="1066" spans="1:21" s="159" customFormat="1" ht="45" x14ac:dyDescent="0.25">
      <c r="A1066" s="63">
        <f>MATCH($E1066,'D1 - Master Project Table'!$B$24:$B$7056,0)</f>
        <v>2996</v>
      </c>
      <c r="B1066" s="63" t="b">
        <f t="shared" si="48"/>
        <v>0</v>
      </c>
      <c r="C1066" s="63" t="b">
        <f t="shared" si="49"/>
        <v>1</v>
      </c>
      <c r="D1066" s="63" t="str">
        <f t="shared" si="50"/>
        <v>OK</v>
      </c>
      <c r="E1066" s="393">
        <v>400038687</v>
      </c>
      <c r="F1066" s="392" t="s">
        <v>7314</v>
      </c>
      <c r="G1066" s="392" t="s">
        <v>6322</v>
      </c>
      <c r="H1066" s="392" t="s">
        <v>5314</v>
      </c>
      <c r="I1066" s="392" t="s">
        <v>1119</v>
      </c>
      <c r="J1066" s="392" t="s">
        <v>4977</v>
      </c>
      <c r="K1066" s="392" t="s">
        <v>4978</v>
      </c>
      <c r="L1066" s="392" t="s">
        <v>5256</v>
      </c>
      <c r="M1066" s="392" t="s">
        <v>7273</v>
      </c>
      <c r="N1066" s="392" t="s">
        <v>7273</v>
      </c>
      <c r="O1066" s="392" t="s">
        <v>7273</v>
      </c>
      <c r="P1066"/>
      <c r="Q1066"/>
      <c r="R1066" s="387">
        <f>VLOOKUP(E1066,'[1]NDB Impacted SPRFs 05032013'!$A$2:$A$65536,1,FALSE)</f>
        <v>400038687</v>
      </c>
      <c r="S1066" s="128"/>
      <c r="T1066" s="128"/>
      <c r="U1066" s="128"/>
    </row>
    <row r="1067" spans="1:21" ht="45" x14ac:dyDescent="0.25">
      <c r="A1067" s="63">
        <f>MATCH($E1067,'D1 - Master Project Table'!$B$24:$B$7056,0)</f>
        <v>1569</v>
      </c>
      <c r="B1067" s="63" t="b">
        <f t="shared" si="48"/>
        <v>0</v>
      </c>
      <c r="C1067" s="63" t="b">
        <f t="shared" si="49"/>
        <v>1</v>
      </c>
      <c r="D1067" s="63" t="str">
        <f t="shared" si="50"/>
        <v>OK</v>
      </c>
      <c r="E1067" s="393">
        <v>400044754</v>
      </c>
      <c r="F1067" s="392" t="s">
        <v>4454</v>
      </c>
      <c r="G1067" s="392" t="s">
        <v>9210</v>
      </c>
      <c r="H1067" s="392" t="s">
        <v>7418</v>
      </c>
      <c r="I1067" s="392" t="s">
        <v>3540</v>
      </c>
      <c r="J1067" s="392" t="s">
        <v>7074</v>
      </c>
      <c r="K1067" s="392" t="s">
        <v>4455</v>
      </c>
      <c r="L1067" s="392" t="s">
        <v>2213</v>
      </c>
      <c r="M1067" s="392" t="s">
        <v>7273</v>
      </c>
      <c r="N1067" s="392" t="s">
        <v>7273</v>
      </c>
      <c r="O1067" s="392" t="s">
        <v>7273</v>
      </c>
      <c r="P1067"/>
      <c r="Q1067"/>
      <c r="R1067" s="387">
        <f>VLOOKUP(E1067,'[1]NDB Impacted SPRFs 05032013'!$A$2:$A$65536,1,FALSE)</f>
        <v>400044754</v>
      </c>
    </row>
    <row r="1068" spans="1:21" s="159" customFormat="1" ht="45" customHeight="1" x14ac:dyDescent="0.25">
      <c r="A1068" s="63">
        <f>MATCH($E1068,'D1 - Master Project Table'!$B$24:$B$7056,0)</f>
        <v>3072</v>
      </c>
      <c r="B1068" s="63" t="b">
        <f t="shared" si="48"/>
        <v>0</v>
      </c>
      <c r="C1068" s="63" t="b">
        <f t="shared" si="49"/>
        <v>1</v>
      </c>
      <c r="D1068" s="63" t="str">
        <f t="shared" si="50"/>
        <v>OK</v>
      </c>
      <c r="E1068" s="393">
        <v>400045800</v>
      </c>
      <c r="F1068" s="392" t="s">
        <v>6411</v>
      </c>
      <c r="G1068" s="392" t="s">
        <v>5325</v>
      </c>
      <c r="H1068" s="392" t="s">
        <v>5314</v>
      </c>
      <c r="I1068" s="392" t="s">
        <v>6414</v>
      </c>
      <c r="J1068" s="392" t="s">
        <v>1562</v>
      </c>
      <c r="K1068" s="392" t="s">
        <v>2475</v>
      </c>
      <c r="L1068" s="392" t="s">
        <v>7575</v>
      </c>
      <c r="M1068" s="392" t="s">
        <v>7273</v>
      </c>
      <c r="N1068" s="392" t="s">
        <v>7273</v>
      </c>
      <c r="O1068" s="392" t="s">
        <v>7273</v>
      </c>
      <c r="P1068"/>
      <c r="Q1068"/>
      <c r="R1068" s="387">
        <f>VLOOKUP(E1068,'[1]NDB Impacted SPRFs 05032013'!$A$2:$A$65536,1,FALSE)</f>
        <v>400045800</v>
      </c>
      <c r="S1068" s="128"/>
      <c r="T1068" s="128"/>
      <c r="U1068" s="128"/>
    </row>
    <row r="1069" spans="1:21" s="159" customFormat="1" ht="45" x14ac:dyDescent="0.25">
      <c r="A1069" s="63">
        <f>MATCH($E1069,'D1 - Master Project Table'!$B$24:$B$7056,0)</f>
        <v>2458</v>
      </c>
      <c r="B1069" s="63" t="b">
        <f t="shared" si="48"/>
        <v>0</v>
      </c>
      <c r="C1069" s="63" t="b">
        <f t="shared" si="49"/>
        <v>1</v>
      </c>
      <c r="D1069" s="63" t="str">
        <f t="shared" si="50"/>
        <v>OK</v>
      </c>
      <c r="E1069" s="393">
        <v>400004350</v>
      </c>
      <c r="F1069" s="392" t="s">
        <v>7596</v>
      </c>
      <c r="G1069" s="392" t="s">
        <v>5787</v>
      </c>
      <c r="H1069" s="392" t="s">
        <v>5314</v>
      </c>
      <c r="I1069" s="392" t="s">
        <v>1780</v>
      </c>
      <c r="J1069" s="392" t="s">
        <v>8458</v>
      </c>
      <c r="K1069" s="392" t="s">
        <v>3353</v>
      </c>
      <c r="L1069" s="392" t="s">
        <v>6407</v>
      </c>
      <c r="M1069" s="392" t="s">
        <v>7273</v>
      </c>
      <c r="N1069" s="392" t="s">
        <v>7273</v>
      </c>
      <c r="O1069" s="392" t="s">
        <v>7273</v>
      </c>
      <c r="P1069"/>
      <c r="Q1069"/>
      <c r="R1069" s="387">
        <f>VLOOKUP(E1069,'[1]NDB Impacted SPRFs 05032013'!$A$2:$A$65536,1,FALSE)</f>
        <v>400004350</v>
      </c>
    </row>
    <row r="1070" spans="1:21" s="159" customFormat="1" ht="45" x14ac:dyDescent="0.25">
      <c r="A1070" s="63">
        <f>MATCH($E1070,'D1 - Master Project Table'!$B$24:$B$7056,0)</f>
        <v>640</v>
      </c>
      <c r="B1070" s="63" t="b">
        <f t="shared" si="48"/>
        <v>0</v>
      </c>
      <c r="C1070" s="63" t="b">
        <f t="shared" si="49"/>
        <v>1</v>
      </c>
      <c r="D1070" s="63" t="str">
        <f t="shared" si="50"/>
        <v>OK</v>
      </c>
      <c r="E1070" s="393">
        <v>400010750</v>
      </c>
      <c r="F1070" s="392" t="s">
        <v>3913</v>
      </c>
      <c r="G1070" s="392" t="s">
        <v>5325</v>
      </c>
      <c r="H1070" s="392" t="s">
        <v>7418</v>
      </c>
      <c r="I1070" s="392" t="s">
        <v>6008</v>
      </c>
      <c r="J1070" s="392" t="s">
        <v>8274</v>
      </c>
      <c r="K1070" s="392" t="s">
        <v>6850</v>
      </c>
      <c r="L1070" s="392" t="s">
        <v>2406</v>
      </c>
      <c r="M1070" s="392" t="s">
        <v>7273</v>
      </c>
      <c r="N1070" s="392" t="s">
        <v>7273</v>
      </c>
      <c r="O1070" s="392" t="s">
        <v>7273</v>
      </c>
      <c r="P1070" s="158"/>
      <c r="Q1070" s="128"/>
      <c r="R1070" s="387">
        <f>VLOOKUP(E1070,'[1]NDB Impacted SPRFs 05032013'!$A$2:$A$65536,1,FALSE)</f>
        <v>400010750</v>
      </c>
      <c r="S1070" s="128"/>
      <c r="T1070" s="128"/>
      <c r="U1070" s="128"/>
    </row>
    <row r="1071" spans="1:21" s="160" customFormat="1" ht="45" x14ac:dyDescent="0.25">
      <c r="A1071" s="63">
        <f>MATCH($E1071,'D1 - Master Project Table'!$B$24:$B$7056,0)</f>
        <v>1923</v>
      </c>
      <c r="B1071" s="63" t="b">
        <f t="shared" si="48"/>
        <v>0</v>
      </c>
      <c r="C1071" s="63" t="b">
        <f t="shared" si="49"/>
        <v>1</v>
      </c>
      <c r="D1071" s="63" t="str">
        <f t="shared" si="50"/>
        <v>OK</v>
      </c>
      <c r="E1071" s="393">
        <v>400011473</v>
      </c>
      <c r="F1071" s="392" t="s">
        <v>5030</v>
      </c>
      <c r="G1071" s="392" t="s">
        <v>3441</v>
      </c>
      <c r="H1071" s="392" t="s">
        <v>7418</v>
      </c>
      <c r="I1071" s="392" t="s">
        <v>2662</v>
      </c>
      <c r="J1071" s="392" t="s">
        <v>8850</v>
      </c>
      <c r="K1071" s="392" t="s">
        <v>1506</v>
      </c>
      <c r="L1071" s="392" t="s">
        <v>6856</v>
      </c>
      <c r="M1071" s="392" t="s">
        <v>3758</v>
      </c>
      <c r="N1071" s="392" t="s">
        <v>7273</v>
      </c>
      <c r="O1071" s="392" t="s">
        <v>7273</v>
      </c>
      <c r="P1071"/>
      <c r="Q1071"/>
      <c r="R1071" s="387">
        <f>VLOOKUP(E1071,'[1]NDB Impacted SPRFs 05032013'!$A$2:$A$65536,1,FALSE)</f>
        <v>400011473</v>
      </c>
      <c r="S1071" s="159"/>
      <c r="T1071" s="159"/>
      <c r="U1071" s="159"/>
    </row>
    <row r="1072" spans="1:21" s="159" customFormat="1" ht="45" x14ac:dyDescent="0.25">
      <c r="A1072" s="63">
        <f>MATCH($E1072,'D1 - Master Project Table'!$B$24:$B$7056,0)</f>
        <v>1272</v>
      </c>
      <c r="B1072" s="63" t="b">
        <f t="shared" si="48"/>
        <v>0</v>
      </c>
      <c r="C1072" s="63" t="b">
        <f t="shared" si="49"/>
        <v>1</v>
      </c>
      <c r="D1072" s="63" t="str">
        <f t="shared" si="50"/>
        <v>OK</v>
      </c>
      <c r="E1072" s="393">
        <v>400032328</v>
      </c>
      <c r="F1072" s="392" t="s">
        <v>3699</v>
      </c>
      <c r="G1072" s="392" t="s">
        <v>5324</v>
      </c>
      <c r="H1072" s="392" t="s">
        <v>7418</v>
      </c>
      <c r="I1072" s="392" t="s">
        <v>1756</v>
      </c>
      <c r="J1072" s="392" t="s">
        <v>5647</v>
      </c>
      <c r="K1072" s="392" t="s">
        <v>1506</v>
      </c>
      <c r="L1072" s="392" t="s">
        <v>2884</v>
      </c>
      <c r="M1072" s="392" t="s">
        <v>7273</v>
      </c>
      <c r="N1072" s="392" t="s">
        <v>7273</v>
      </c>
      <c r="O1072" s="392" t="s">
        <v>7273</v>
      </c>
      <c r="P1072"/>
      <c r="Q1072"/>
      <c r="R1072" s="387">
        <f>VLOOKUP(E1072,'[1]NDB Impacted SPRFs 05032013'!$A$2:$A$65536,1,FALSE)</f>
        <v>400032328</v>
      </c>
      <c r="S1072" s="128"/>
      <c r="T1072" s="128"/>
      <c r="U1072" s="128"/>
    </row>
    <row r="1073" spans="1:21" s="159" customFormat="1" ht="45" x14ac:dyDescent="0.25">
      <c r="A1073" s="63">
        <f>MATCH($E1073,'D1 - Master Project Table'!$B$24:$B$7056,0)</f>
        <v>3293</v>
      </c>
      <c r="B1073" s="63" t="b">
        <f t="shared" si="48"/>
        <v>0</v>
      </c>
      <c r="C1073" s="63" t="b">
        <f t="shared" si="49"/>
        <v>1</v>
      </c>
      <c r="D1073" s="63" t="str">
        <f t="shared" si="50"/>
        <v>OK</v>
      </c>
      <c r="E1073" s="393">
        <v>400049534</v>
      </c>
      <c r="F1073" s="392" t="s">
        <v>1021</v>
      </c>
      <c r="G1073" s="392" t="s">
        <v>5001</v>
      </c>
      <c r="H1073" s="392" t="s">
        <v>7418</v>
      </c>
      <c r="I1073" s="392" t="s">
        <v>3540</v>
      </c>
      <c r="J1073" s="392" t="s">
        <v>8721</v>
      </c>
      <c r="K1073" s="392" t="s">
        <v>5468</v>
      </c>
      <c r="L1073" s="392" t="s">
        <v>1355</v>
      </c>
      <c r="M1073" s="392" t="s">
        <v>3758</v>
      </c>
      <c r="N1073" s="392" t="s">
        <v>7273</v>
      </c>
      <c r="O1073" s="392" t="s">
        <v>7273</v>
      </c>
      <c r="P1073"/>
      <c r="Q1073"/>
      <c r="R1073" s="387">
        <f>VLOOKUP(E1073,'[1]NDB Impacted SPRFs 05032013'!$A$2:$A$65536,1,FALSE)</f>
        <v>400049534</v>
      </c>
    </row>
    <row r="1074" spans="1:21" s="159" customFormat="1" ht="45" x14ac:dyDescent="0.25">
      <c r="A1074" s="63">
        <f>MATCH($E1074,'D1 - Master Project Table'!$B$24:$B$7056,0)</f>
        <v>313</v>
      </c>
      <c r="B1074" s="63" t="b">
        <f t="shared" si="48"/>
        <v>0</v>
      </c>
      <c r="C1074" s="63" t="b">
        <f t="shared" si="49"/>
        <v>1</v>
      </c>
      <c r="D1074" s="63" t="str">
        <f t="shared" si="50"/>
        <v>OK</v>
      </c>
      <c r="E1074" s="393">
        <v>400001058</v>
      </c>
      <c r="F1074" s="392" t="s">
        <v>2546</v>
      </c>
      <c r="G1074" s="392" t="s">
        <v>5324</v>
      </c>
      <c r="H1074" s="392" t="s">
        <v>5314</v>
      </c>
      <c r="I1074" s="392" t="s">
        <v>1757</v>
      </c>
      <c r="J1074" s="392" t="s">
        <v>8534</v>
      </c>
      <c r="K1074" s="392" t="s">
        <v>3390</v>
      </c>
      <c r="L1074" s="392" t="s">
        <v>5872</v>
      </c>
      <c r="M1074" s="392" t="s">
        <v>3758</v>
      </c>
      <c r="N1074" s="392" t="s">
        <v>7273</v>
      </c>
      <c r="O1074" s="392" t="s">
        <v>7273</v>
      </c>
      <c r="P1074"/>
      <c r="Q1074"/>
      <c r="R1074" s="387">
        <f>VLOOKUP(E1074,'[1]NDB Impacted SPRFs 05032013'!$A$2:$A$65536,1,FALSE)</f>
        <v>400001058</v>
      </c>
    </row>
    <row r="1075" spans="1:21" s="159" customFormat="1" ht="45" x14ac:dyDescent="0.25">
      <c r="A1075" s="63">
        <f>MATCH($E1075,'D1 - Master Project Table'!$B$24:$B$7056,0)</f>
        <v>1033</v>
      </c>
      <c r="B1075" s="63" t="b">
        <f t="shared" si="48"/>
        <v>0</v>
      </c>
      <c r="C1075" s="63" t="b">
        <f t="shared" si="49"/>
        <v>1</v>
      </c>
      <c r="D1075" s="63" t="str">
        <f t="shared" si="50"/>
        <v>OK</v>
      </c>
      <c r="E1075" s="393">
        <v>400026601</v>
      </c>
      <c r="F1075" s="392" t="s">
        <v>1910</v>
      </c>
      <c r="G1075" s="392" t="s">
        <v>5324</v>
      </c>
      <c r="H1075" s="392" t="s">
        <v>7418</v>
      </c>
      <c r="I1075" s="392" t="s">
        <v>1757</v>
      </c>
      <c r="J1075" s="392" t="s">
        <v>8492</v>
      </c>
      <c r="K1075" s="392" t="s">
        <v>7197</v>
      </c>
      <c r="L1075" s="392" t="s">
        <v>7526</v>
      </c>
      <c r="M1075" s="392" t="s">
        <v>3758</v>
      </c>
      <c r="N1075" s="392" t="s">
        <v>7273</v>
      </c>
      <c r="O1075" s="392" t="s">
        <v>3758</v>
      </c>
      <c r="P1075"/>
      <c r="Q1075"/>
      <c r="R1075" s="387">
        <f>VLOOKUP(E1075,'[1]NDB Impacted SPRFs 05032013'!$A$2:$A$65536,1,FALSE)</f>
        <v>400026601</v>
      </c>
    </row>
    <row r="1076" spans="1:21" s="159" customFormat="1" ht="45" x14ac:dyDescent="0.25">
      <c r="A1076" s="63">
        <f>MATCH($E1076,'D1 - Master Project Table'!$B$24:$B$7056,0)</f>
        <v>1103</v>
      </c>
      <c r="B1076" s="63" t="b">
        <f t="shared" si="48"/>
        <v>0</v>
      </c>
      <c r="C1076" s="63" t="b">
        <f t="shared" si="49"/>
        <v>1</v>
      </c>
      <c r="D1076" s="63" t="str">
        <f t="shared" si="50"/>
        <v>OK</v>
      </c>
      <c r="E1076" s="393">
        <v>400026608</v>
      </c>
      <c r="F1076" s="392" t="s">
        <v>1912</v>
      </c>
      <c r="G1076" s="392" t="s">
        <v>5324</v>
      </c>
      <c r="H1076" s="392" t="s">
        <v>7418</v>
      </c>
      <c r="I1076" s="392" t="s">
        <v>1757</v>
      </c>
      <c r="J1076" s="392" t="s">
        <v>8492</v>
      </c>
      <c r="K1076" s="392" t="s">
        <v>7197</v>
      </c>
      <c r="L1076" s="392" t="s">
        <v>7526</v>
      </c>
      <c r="M1076" s="392" t="s">
        <v>3758</v>
      </c>
      <c r="N1076" s="392" t="s">
        <v>7273</v>
      </c>
      <c r="O1076" s="392" t="s">
        <v>3758</v>
      </c>
      <c r="P1076" s="158"/>
      <c r="Q1076" s="128"/>
      <c r="R1076" s="387">
        <f>VLOOKUP(E1076,'[1]NDB Impacted SPRFs 05032013'!$A$2:$A$65536,1,FALSE)</f>
        <v>400026608</v>
      </c>
      <c r="S1076" s="128"/>
      <c r="T1076" s="128"/>
      <c r="U1076" s="128"/>
    </row>
    <row r="1077" spans="1:21" ht="45" x14ac:dyDescent="0.25">
      <c r="A1077" s="63">
        <f>MATCH($E1077,'D1 - Master Project Table'!$B$24:$B$7056,0)</f>
        <v>1135</v>
      </c>
      <c r="B1077" s="63" t="b">
        <f t="shared" si="48"/>
        <v>0</v>
      </c>
      <c r="C1077" s="63" t="b">
        <f t="shared" si="49"/>
        <v>1</v>
      </c>
      <c r="D1077" s="63" t="str">
        <f t="shared" si="50"/>
        <v>OK</v>
      </c>
      <c r="E1077" s="393">
        <v>400026609</v>
      </c>
      <c r="F1077" s="392" t="s">
        <v>4517</v>
      </c>
      <c r="G1077" s="392" t="s">
        <v>5324</v>
      </c>
      <c r="H1077" s="392" t="s">
        <v>7418</v>
      </c>
      <c r="I1077" s="392" t="s">
        <v>1757</v>
      </c>
      <c r="J1077" s="392" t="s">
        <v>8492</v>
      </c>
      <c r="K1077" s="392" t="s">
        <v>7197</v>
      </c>
      <c r="L1077" s="392" t="s">
        <v>7526</v>
      </c>
      <c r="M1077" s="392" t="s">
        <v>3758</v>
      </c>
      <c r="N1077" s="392" t="s">
        <v>7273</v>
      </c>
      <c r="O1077" s="392" t="s">
        <v>3758</v>
      </c>
      <c r="P1077"/>
      <c r="Q1077"/>
      <c r="R1077" s="387">
        <f>VLOOKUP(E1077,'[1]NDB Impacted SPRFs 05032013'!$A$2:$A$65536,1,FALSE)</f>
        <v>400026609</v>
      </c>
      <c r="S1077" s="159"/>
      <c r="T1077" s="159"/>
      <c r="U1077" s="159"/>
    </row>
    <row r="1078" spans="1:21" ht="45" x14ac:dyDescent="0.25">
      <c r="A1078" s="63">
        <f>MATCH($E1078,'D1 - Master Project Table'!$B$24:$B$7056,0)</f>
        <v>1138</v>
      </c>
      <c r="B1078" s="63" t="b">
        <f t="shared" si="48"/>
        <v>0</v>
      </c>
      <c r="C1078" s="63" t="b">
        <f t="shared" si="49"/>
        <v>1</v>
      </c>
      <c r="D1078" s="63" t="str">
        <f t="shared" si="50"/>
        <v>OK</v>
      </c>
      <c r="E1078" s="393">
        <v>400027683</v>
      </c>
      <c r="F1078" s="392" t="s">
        <v>5936</v>
      </c>
      <c r="G1078" s="392" t="s">
        <v>2041</v>
      </c>
      <c r="H1078" s="392" t="s">
        <v>7418</v>
      </c>
      <c r="I1078" s="392" t="s">
        <v>3629</v>
      </c>
      <c r="J1078" s="392" t="s">
        <v>8082</v>
      </c>
      <c r="K1078" s="392" t="s">
        <v>3938</v>
      </c>
      <c r="L1078" s="392" t="s">
        <v>1219</v>
      </c>
      <c r="M1078" s="392" t="s">
        <v>3758</v>
      </c>
      <c r="N1078" s="392" t="s">
        <v>7273</v>
      </c>
      <c r="O1078" s="392" t="s">
        <v>7273</v>
      </c>
      <c r="P1078"/>
      <c r="Q1078"/>
      <c r="R1078" s="387">
        <f>VLOOKUP(E1078,'[1]NDB Impacted SPRFs 05032013'!$A$2:$A$65536,1,FALSE)</f>
        <v>400027683</v>
      </c>
      <c r="S1078" s="159"/>
      <c r="T1078" s="159"/>
      <c r="U1078" s="159"/>
    </row>
    <row r="1079" spans="1:21" s="159" customFormat="1" ht="45" x14ac:dyDescent="0.25">
      <c r="A1079" s="63">
        <f>MATCH($E1079,'D1 - Master Project Table'!$B$24:$B$7056,0)</f>
        <v>2924</v>
      </c>
      <c r="B1079" s="63" t="b">
        <f t="shared" si="48"/>
        <v>0</v>
      </c>
      <c r="C1079" s="63" t="b">
        <f t="shared" si="49"/>
        <v>1</v>
      </c>
      <c r="D1079" s="63" t="str">
        <f t="shared" si="50"/>
        <v>OK</v>
      </c>
      <c r="E1079" s="393">
        <v>400032571</v>
      </c>
      <c r="F1079" s="392" t="s">
        <v>5726</v>
      </c>
      <c r="G1079" s="392" t="s">
        <v>5325</v>
      </c>
      <c r="H1079" s="392" t="s">
        <v>5314</v>
      </c>
      <c r="I1079" s="392" t="s">
        <v>1798</v>
      </c>
      <c r="J1079" s="392" t="s">
        <v>3158</v>
      </c>
      <c r="K1079" s="392" t="s">
        <v>3224</v>
      </c>
      <c r="L1079" s="392" t="s">
        <v>1747</v>
      </c>
      <c r="M1079" s="392" t="s">
        <v>7273</v>
      </c>
      <c r="N1079" s="392" t="s">
        <v>7273</v>
      </c>
      <c r="O1079" s="392" t="s">
        <v>7273</v>
      </c>
      <c r="P1079"/>
      <c r="Q1079"/>
      <c r="R1079" s="387">
        <f>VLOOKUP(E1079,'[1]NDB Impacted SPRFs 05032013'!$A$2:$A$65536,1,FALSE)</f>
        <v>400032571</v>
      </c>
    </row>
    <row r="1080" spans="1:21" s="159" customFormat="1" ht="45" x14ac:dyDescent="0.25">
      <c r="A1080" s="63">
        <f>MATCH($E1080,'D1 - Master Project Table'!$B$24:$B$7056,0)</f>
        <v>843</v>
      </c>
      <c r="B1080" s="63" t="b">
        <f t="shared" si="48"/>
        <v>0</v>
      </c>
      <c r="C1080" s="63" t="b">
        <f t="shared" si="49"/>
        <v>1</v>
      </c>
      <c r="D1080" s="63" t="str">
        <f t="shared" si="50"/>
        <v>OK</v>
      </c>
      <c r="E1080" s="393">
        <v>400016960</v>
      </c>
      <c r="F1080" s="392" t="s">
        <v>2984</v>
      </c>
      <c r="G1080" s="392" t="s">
        <v>5787</v>
      </c>
      <c r="H1080" s="392" t="s">
        <v>5314</v>
      </c>
      <c r="I1080" s="392" t="s">
        <v>1771</v>
      </c>
      <c r="J1080" s="392" t="s">
        <v>6846</v>
      </c>
      <c r="K1080" s="392" t="s">
        <v>5468</v>
      </c>
      <c r="L1080" s="392" t="s">
        <v>4825</v>
      </c>
      <c r="M1080" s="392" t="s">
        <v>7273</v>
      </c>
      <c r="N1080" s="392" t="s">
        <v>7273</v>
      </c>
      <c r="O1080" s="392" t="s">
        <v>7273</v>
      </c>
      <c r="P1080"/>
      <c r="Q1080"/>
      <c r="R1080" s="387">
        <f>VLOOKUP(E1080,'[1]NDB Impacted SPRFs 05032013'!$A$2:$A$65536,1,FALSE)</f>
        <v>400016960</v>
      </c>
    </row>
    <row r="1081" spans="1:21" ht="45" x14ac:dyDescent="0.25">
      <c r="A1081" s="63">
        <f>MATCH($E1081,'D1 - Master Project Table'!$B$24:$B$7056,0)</f>
        <v>832</v>
      </c>
      <c r="B1081" s="63" t="b">
        <f t="shared" si="48"/>
        <v>0</v>
      </c>
      <c r="C1081" s="63" t="b">
        <f t="shared" si="49"/>
        <v>1</v>
      </c>
      <c r="D1081" s="63" t="str">
        <f t="shared" si="50"/>
        <v>OK</v>
      </c>
      <c r="E1081" s="393">
        <v>400018088</v>
      </c>
      <c r="F1081" s="392" t="s">
        <v>2069</v>
      </c>
      <c r="G1081" s="392" t="s">
        <v>5324</v>
      </c>
      <c r="H1081" s="392" t="s">
        <v>7418</v>
      </c>
      <c r="I1081" s="392" t="s">
        <v>1759</v>
      </c>
      <c r="J1081" s="392" t="s">
        <v>8357</v>
      </c>
      <c r="K1081" s="392" t="s">
        <v>5184</v>
      </c>
      <c r="L1081" s="392" t="s">
        <v>5164</v>
      </c>
      <c r="M1081" s="392" t="s">
        <v>3758</v>
      </c>
      <c r="N1081" s="392" t="s">
        <v>7273</v>
      </c>
      <c r="O1081" s="392" t="s">
        <v>3758</v>
      </c>
      <c r="P1081"/>
      <c r="Q1081"/>
      <c r="R1081" s="387">
        <f>VLOOKUP(E1081,'[1]NDB Impacted SPRFs 05032013'!$A$2:$A$65536,1,FALSE)</f>
        <v>400018088</v>
      </c>
    </row>
    <row r="1082" spans="1:21" ht="45" x14ac:dyDescent="0.25">
      <c r="A1082" s="63">
        <f>MATCH($E1082,'D1 - Master Project Table'!$B$24:$B$7056,0)</f>
        <v>2749</v>
      </c>
      <c r="B1082" s="63" t="b">
        <f t="shared" si="48"/>
        <v>0</v>
      </c>
      <c r="C1082" s="63" t="b">
        <f t="shared" si="49"/>
        <v>1</v>
      </c>
      <c r="D1082" s="63" t="str">
        <f t="shared" si="50"/>
        <v>OK</v>
      </c>
      <c r="E1082" s="393">
        <v>400021040</v>
      </c>
      <c r="F1082" s="392" t="s">
        <v>7948</v>
      </c>
      <c r="G1082" s="392" t="s">
        <v>5324</v>
      </c>
      <c r="H1082" s="392" t="s">
        <v>7418</v>
      </c>
      <c r="I1082" s="392" t="s">
        <v>1769</v>
      </c>
      <c r="J1082" s="392" t="s">
        <v>8581</v>
      </c>
      <c r="K1082" s="392" t="s">
        <v>3263</v>
      </c>
      <c r="L1082" s="392" t="s">
        <v>1531</v>
      </c>
      <c r="M1082" s="392" t="s">
        <v>3758</v>
      </c>
      <c r="N1082" s="392" t="s">
        <v>7273</v>
      </c>
      <c r="O1082" s="392" t="s">
        <v>7273</v>
      </c>
      <c r="P1082"/>
      <c r="Q1082"/>
      <c r="R1082" s="387">
        <f>VLOOKUP(E1082,'[1]NDB Impacted SPRFs 05032013'!$A$2:$A$65536,1,FALSE)</f>
        <v>400021040</v>
      </c>
      <c r="S1082" s="159"/>
      <c r="T1082" s="159"/>
      <c r="U1082" s="159"/>
    </row>
    <row r="1083" spans="1:21" s="159" customFormat="1" ht="45" x14ac:dyDescent="0.25">
      <c r="A1083" s="63">
        <f>MATCH($E1083,'D1 - Master Project Table'!$B$24:$B$7056,0)</f>
        <v>2350</v>
      </c>
      <c r="B1083" s="63" t="b">
        <f t="shared" si="48"/>
        <v>0</v>
      </c>
      <c r="C1083" s="63" t="b">
        <f t="shared" si="49"/>
        <v>1</v>
      </c>
      <c r="D1083" s="63" t="str">
        <f t="shared" si="50"/>
        <v>OK</v>
      </c>
      <c r="E1083" s="393">
        <v>208201234</v>
      </c>
      <c r="F1083" s="392" t="s">
        <v>7934</v>
      </c>
      <c r="G1083" s="392" t="s">
        <v>5787</v>
      </c>
      <c r="H1083" s="392" t="s">
        <v>5314</v>
      </c>
      <c r="I1083" s="392" t="s">
        <v>1772</v>
      </c>
      <c r="J1083" s="392" t="s">
        <v>8272</v>
      </c>
      <c r="K1083" s="392" t="s">
        <v>3323</v>
      </c>
      <c r="L1083" s="392" t="s">
        <v>6526</v>
      </c>
      <c r="M1083" s="392" t="s">
        <v>3758</v>
      </c>
      <c r="N1083" s="392" t="s">
        <v>7273</v>
      </c>
      <c r="O1083" s="392" t="s">
        <v>7273</v>
      </c>
      <c r="P1083" s="212"/>
      <c r="Q1083" s="212"/>
      <c r="R1083" s="387">
        <f>VLOOKUP(E1083,'[1]NDB Impacted SPRFs 05032013'!$A$2:$A$65536,1,FALSE)</f>
        <v>208201234</v>
      </c>
    </row>
    <row r="1084" spans="1:21" s="159" customFormat="1" ht="45" x14ac:dyDescent="0.25">
      <c r="A1084" s="63">
        <f>MATCH($E1084,'D1 - Master Project Table'!$B$24:$B$7056,0)</f>
        <v>2530</v>
      </c>
      <c r="B1084" s="63" t="b">
        <f t="shared" si="48"/>
        <v>0</v>
      </c>
      <c r="C1084" s="63" t="b">
        <f t="shared" si="49"/>
        <v>1</v>
      </c>
      <c r="D1084" s="63" t="str">
        <f t="shared" si="50"/>
        <v>OK</v>
      </c>
      <c r="E1084" s="393">
        <v>400008103</v>
      </c>
      <c r="F1084" s="392" t="s">
        <v>3309</v>
      </c>
      <c r="G1084" s="392" t="s">
        <v>5787</v>
      </c>
      <c r="H1084" s="392" t="s">
        <v>5314</v>
      </c>
      <c r="I1084" s="392" t="s">
        <v>1776</v>
      </c>
      <c r="J1084" s="392" t="s">
        <v>8666</v>
      </c>
      <c r="K1084" s="392" t="s">
        <v>6213</v>
      </c>
      <c r="L1084" s="392" t="s">
        <v>4720</v>
      </c>
      <c r="M1084" s="392" t="s">
        <v>7273</v>
      </c>
      <c r="N1084" s="392" t="s">
        <v>7273</v>
      </c>
      <c r="O1084" s="392" t="s">
        <v>7273</v>
      </c>
      <c r="P1084"/>
      <c r="Q1084"/>
      <c r="R1084" s="387">
        <f>VLOOKUP(E1084,'[1]NDB Impacted SPRFs 05032013'!$A$2:$A$65536,1,FALSE)</f>
        <v>400008103</v>
      </c>
    </row>
    <row r="1085" spans="1:21" s="159" customFormat="1" ht="45" x14ac:dyDescent="0.25">
      <c r="A1085" s="63">
        <f>MATCH($E1085,'D1 - Master Project Table'!$B$24:$B$7056,0)</f>
        <v>2144</v>
      </c>
      <c r="B1085" s="63" t="b">
        <f t="shared" si="48"/>
        <v>0</v>
      </c>
      <c r="C1085" s="63" t="b">
        <f t="shared" si="49"/>
        <v>1</v>
      </c>
      <c r="D1085" s="63" t="str">
        <f t="shared" si="50"/>
        <v>OK</v>
      </c>
      <c r="E1085" s="393">
        <v>400019501</v>
      </c>
      <c r="F1085" s="392" t="s">
        <v>7037</v>
      </c>
      <c r="G1085" s="392" t="s">
        <v>5324</v>
      </c>
      <c r="H1085" s="392" t="s">
        <v>5314</v>
      </c>
      <c r="I1085" s="392" t="s">
        <v>1759</v>
      </c>
      <c r="J1085" s="392" t="s">
        <v>8357</v>
      </c>
      <c r="K1085" s="392" t="s">
        <v>5184</v>
      </c>
      <c r="L1085" s="392" t="s">
        <v>1405</v>
      </c>
      <c r="M1085" s="392" t="s">
        <v>3758</v>
      </c>
      <c r="N1085" s="392" t="s">
        <v>7273</v>
      </c>
      <c r="O1085" s="392" t="s">
        <v>3758</v>
      </c>
      <c r="P1085"/>
      <c r="Q1085"/>
      <c r="R1085" s="387">
        <f>VLOOKUP(E1085,'[1]NDB Impacted SPRFs 05032013'!$A$2:$A$65536,1,FALSE)</f>
        <v>400019501</v>
      </c>
    </row>
    <row r="1086" spans="1:21" s="159" customFormat="1" ht="45" x14ac:dyDescent="0.25">
      <c r="A1086" s="63" t="e">
        <f>MATCH($E1086,'D1 - Master Project Table'!$B$24:$B$7056,0)</f>
        <v>#N/A</v>
      </c>
      <c r="B1086" s="63" t="b">
        <f t="shared" si="48"/>
        <v>1</v>
      </c>
      <c r="C1086" s="63" t="b">
        <f t="shared" si="49"/>
        <v>1</v>
      </c>
      <c r="D1086" s="63" t="str">
        <f t="shared" si="50"/>
        <v>OK</v>
      </c>
      <c r="E1086" s="393">
        <v>400030674</v>
      </c>
      <c r="F1086" s="392" t="s">
        <v>6662</v>
      </c>
      <c r="G1086" s="392" t="s">
        <v>5324</v>
      </c>
      <c r="H1086" s="392" t="s">
        <v>5314</v>
      </c>
      <c r="I1086" s="392" t="s">
        <v>1760</v>
      </c>
      <c r="J1086" s="392" t="s">
        <v>8382</v>
      </c>
      <c r="K1086" s="392" t="s">
        <v>7932</v>
      </c>
      <c r="L1086" s="392" t="s">
        <v>5905</v>
      </c>
      <c r="M1086" s="392" t="s">
        <v>3758</v>
      </c>
      <c r="N1086" s="392" t="s">
        <v>7273</v>
      </c>
      <c r="O1086" s="392" t="s">
        <v>7273</v>
      </c>
      <c r="P1086"/>
      <c r="Q1086"/>
      <c r="R1086" s="387">
        <f>VLOOKUP(E1086,'[1]NDB Impacted SPRFs 05032013'!$A$2:$A$65536,1,FALSE)</f>
        <v>400030674</v>
      </c>
    </row>
    <row r="1087" spans="1:21" s="159" customFormat="1" ht="45" x14ac:dyDescent="0.25">
      <c r="A1087" s="63">
        <f>MATCH($E1087,'D1 - Master Project Table'!$B$24:$B$7056,0)</f>
        <v>3084</v>
      </c>
      <c r="B1087" s="63" t="b">
        <f t="shared" si="48"/>
        <v>0</v>
      </c>
      <c r="C1087" s="63" t="b">
        <f t="shared" si="49"/>
        <v>1</v>
      </c>
      <c r="D1087" s="63" t="str">
        <f t="shared" si="50"/>
        <v>OK</v>
      </c>
      <c r="E1087" s="393">
        <v>400047302</v>
      </c>
      <c r="F1087" s="392" t="s">
        <v>595</v>
      </c>
      <c r="G1087" s="392" t="s">
        <v>5324</v>
      </c>
      <c r="H1087" s="392" t="s">
        <v>7418</v>
      </c>
      <c r="I1087" s="392" t="s">
        <v>862</v>
      </c>
      <c r="J1087" s="392" t="s">
        <v>1586</v>
      </c>
      <c r="K1087" s="392" t="s">
        <v>2494</v>
      </c>
      <c r="L1087" s="392" t="s">
        <v>447</v>
      </c>
      <c r="M1087" s="392" t="s">
        <v>7273</v>
      </c>
      <c r="N1087" s="392" t="s">
        <v>7273</v>
      </c>
      <c r="O1087" s="392" t="s">
        <v>7273</v>
      </c>
      <c r="P1087"/>
      <c r="Q1087"/>
      <c r="R1087" s="387">
        <f>VLOOKUP(E1087,'[1]NDB Impacted SPRFs 05032013'!$A$2:$A$65536,1,FALSE)</f>
        <v>400047302</v>
      </c>
    </row>
    <row r="1088" spans="1:21" s="159" customFormat="1" ht="45" x14ac:dyDescent="0.25">
      <c r="A1088" s="63">
        <f>MATCH($E1088,'D1 - Master Project Table'!$B$24:$B$7056,0)</f>
        <v>351</v>
      </c>
      <c r="B1088" s="63" t="b">
        <f t="shared" si="48"/>
        <v>0</v>
      </c>
      <c r="C1088" s="63" t="b">
        <f t="shared" si="49"/>
        <v>1</v>
      </c>
      <c r="D1088" s="63" t="str">
        <f t="shared" si="50"/>
        <v>OK</v>
      </c>
      <c r="E1088" s="393">
        <v>400007870</v>
      </c>
      <c r="F1088" s="392" t="s">
        <v>2999</v>
      </c>
      <c r="G1088" s="392" t="s">
        <v>5324</v>
      </c>
      <c r="H1088" s="392" t="s">
        <v>7418</v>
      </c>
      <c r="I1088" s="392" t="s">
        <v>1768</v>
      </c>
      <c r="J1088" s="392" t="s">
        <v>3000</v>
      </c>
      <c r="K1088" s="392" t="s">
        <v>8075</v>
      </c>
      <c r="L1088" s="392" t="s">
        <v>3737</v>
      </c>
      <c r="M1088" s="392" t="s">
        <v>3758</v>
      </c>
      <c r="N1088" s="392" t="s">
        <v>7273</v>
      </c>
      <c r="O1088" s="392" t="s">
        <v>7273</v>
      </c>
      <c r="P1088"/>
      <c r="Q1088"/>
      <c r="R1088" s="387">
        <f>VLOOKUP(E1088,'[1]NDB Impacted SPRFs 05032013'!$A$2:$A$65536,1,FALSE)</f>
        <v>400007870</v>
      </c>
    </row>
    <row r="1089" spans="1:21" s="159" customFormat="1" ht="45" x14ac:dyDescent="0.25">
      <c r="A1089" s="63">
        <f>MATCH($E1089,'D1 - Master Project Table'!$B$24:$B$7056,0)</f>
        <v>2569</v>
      </c>
      <c r="B1089" s="63" t="b">
        <f t="shared" si="48"/>
        <v>0</v>
      </c>
      <c r="C1089" s="63" t="b">
        <f t="shared" si="49"/>
        <v>1</v>
      </c>
      <c r="D1089" s="63" t="str">
        <f t="shared" si="50"/>
        <v>OK</v>
      </c>
      <c r="E1089" s="393">
        <v>400009991</v>
      </c>
      <c r="F1089" s="392" t="s">
        <v>5629</v>
      </c>
      <c r="G1089" s="392" t="s">
        <v>5787</v>
      </c>
      <c r="H1089" s="392" t="s">
        <v>5314</v>
      </c>
      <c r="I1089" s="392" t="s">
        <v>1775</v>
      </c>
      <c r="J1089" s="392" t="s">
        <v>8696</v>
      </c>
      <c r="K1089" s="392" t="s">
        <v>4717</v>
      </c>
      <c r="L1089" s="392" t="s">
        <v>5248</v>
      </c>
      <c r="M1089" s="392" t="s">
        <v>3758</v>
      </c>
      <c r="N1089" s="392" t="s">
        <v>7273</v>
      </c>
      <c r="O1089" s="392" t="s">
        <v>7273</v>
      </c>
      <c r="P1089"/>
      <c r="Q1089"/>
      <c r="R1089" s="387">
        <f>VLOOKUP(E1089,'[1]NDB Impacted SPRFs 05032013'!$A$2:$A$65536,1,FALSE)</f>
        <v>400009991</v>
      </c>
    </row>
    <row r="1090" spans="1:21" ht="45" x14ac:dyDescent="0.25">
      <c r="A1090" s="63">
        <f>MATCH($E1090,'D1 - Master Project Table'!$B$24:$B$7056,0)</f>
        <v>1620</v>
      </c>
      <c r="B1090" s="63" t="b">
        <f t="shared" si="48"/>
        <v>0</v>
      </c>
      <c r="C1090" s="63" t="b">
        <f t="shared" si="49"/>
        <v>1</v>
      </c>
      <c r="D1090" s="63" t="str">
        <f t="shared" si="50"/>
        <v>OK</v>
      </c>
      <c r="E1090" s="393">
        <v>400044569</v>
      </c>
      <c r="F1090" s="392" t="s">
        <v>379</v>
      </c>
      <c r="G1090" s="392" t="s">
        <v>5324</v>
      </c>
      <c r="H1090" s="392" t="s">
        <v>7418</v>
      </c>
      <c r="I1090" s="392" t="s">
        <v>1757</v>
      </c>
      <c r="J1090" s="392" t="s">
        <v>4703</v>
      </c>
      <c r="K1090" s="392" t="s">
        <v>2684</v>
      </c>
      <c r="L1090" s="392" t="s">
        <v>8105</v>
      </c>
      <c r="M1090" s="392" t="s">
        <v>3758</v>
      </c>
      <c r="N1090" s="392" t="s">
        <v>7273</v>
      </c>
      <c r="O1090" s="392" t="s">
        <v>7273</v>
      </c>
      <c r="P1090"/>
      <c r="Q1090"/>
      <c r="R1090" s="387">
        <f>VLOOKUP(E1090,'[1]NDB Impacted SPRFs 05032013'!$A$2:$A$65536,1,FALSE)</f>
        <v>400044569</v>
      </c>
    </row>
    <row r="1091" spans="1:21" s="159" customFormat="1" ht="45" x14ac:dyDescent="0.25">
      <c r="A1091" s="63">
        <f>MATCH($E1091,'D1 - Master Project Table'!$B$24:$B$7056,0)</f>
        <v>1141</v>
      </c>
      <c r="B1091" s="63" t="b">
        <f t="shared" si="48"/>
        <v>0</v>
      </c>
      <c r="C1091" s="63" t="b">
        <f t="shared" si="49"/>
        <v>1</v>
      </c>
      <c r="D1091" s="63" t="str">
        <f t="shared" si="50"/>
        <v>OK</v>
      </c>
      <c r="E1091" s="393">
        <v>400028280</v>
      </c>
      <c r="F1091" s="392" t="s">
        <v>6774</v>
      </c>
      <c r="G1091" s="392" t="s">
        <v>5324</v>
      </c>
      <c r="H1091" s="392" t="s">
        <v>7418</v>
      </c>
      <c r="I1091" s="392" t="s">
        <v>1758</v>
      </c>
      <c r="J1091" s="392" t="s">
        <v>8311</v>
      </c>
      <c r="K1091" s="392" t="s">
        <v>5921</v>
      </c>
      <c r="L1091" s="392" t="s">
        <v>1832</v>
      </c>
      <c r="M1091" s="392" t="s">
        <v>3758</v>
      </c>
      <c r="N1091" s="392" t="s">
        <v>7273</v>
      </c>
      <c r="O1091" s="392" t="s">
        <v>7273</v>
      </c>
      <c r="P1091"/>
      <c r="Q1091"/>
      <c r="R1091" s="387">
        <f>VLOOKUP(E1091,'[1]NDB Impacted SPRFs 05032013'!$A$2:$A$65536,1,FALSE)</f>
        <v>400028280</v>
      </c>
    </row>
    <row r="1092" spans="1:21" ht="45" x14ac:dyDescent="0.25">
      <c r="A1092" s="63">
        <f>MATCH($E1092,'D1 - Master Project Table'!$B$24:$B$7056,0)</f>
        <v>1155</v>
      </c>
      <c r="B1092" s="63" t="b">
        <f t="shared" si="48"/>
        <v>0</v>
      </c>
      <c r="C1092" s="63" t="b">
        <f t="shared" si="49"/>
        <v>1</v>
      </c>
      <c r="D1092" s="63" t="str">
        <f t="shared" si="50"/>
        <v>OK</v>
      </c>
      <c r="E1092" s="393">
        <v>400029975</v>
      </c>
      <c r="F1092" s="392" t="s">
        <v>5836</v>
      </c>
      <c r="G1092" s="392" t="s">
        <v>5324</v>
      </c>
      <c r="H1092" s="392" t="s">
        <v>7418</v>
      </c>
      <c r="I1092" s="392" t="s">
        <v>1759</v>
      </c>
      <c r="J1092" s="392" t="s">
        <v>8575</v>
      </c>
      <c r="K1092" s="392" t="s">
        <v>7062</v>
      </c>
      <c r="L1092" s="392" t="s">
        <v>1497</v>
      </c>
      <c r="M1092" s="392" t="s">
        <v>3758</v>
      </c>
      <c r="N1092" s="392" t="s">
        <v>7273</v>
      </c>
      <c r="O1092" s="392" t="s">
        <v>7273</v>
      </c>
      <c r="P1092"/>
      <c r="Q1092"/>
      <c r="R1092" s="387">
        <f>VLOOKUP(E1092,'[1]NDB Impacted SPRFs 05032013'!$A$2:$A$65536,1,FALSE)</f>
        <v>400029975</v>
      </c>
    </row>
    <row r="1093" spans="1:21" s="159" customFormat="1" ht="45" x14ac:dyDescent="0.25">
      <c r="A1093" s="63" t="e">
        <f>MATCH($E1093,'D1 - Master Project Table'!$B$24:$B$7056,0)</f>
        <v>#N/A</v>
      </c>
      <c r="B1093" s="63" t="b">
        <f t="shared" si="48"/>
        <v>1</v>
      </c>
      <c r="C1093" s="63" t="b">
        <f t="shared" si="49"/>
        <v>1</v>
      </c>
      <c r="D1093" s="63" t="str">
        <f t="shared" si="50"/>
        <v>OK</v>
      </c>
      <c r="E1093" s="393">
        <v>400031858</v>
      </c>
      <c r="F1093" s="392" t="s">
        <v>6324</v>
      </c>
      <c r="G1093" s="392" t="s">
        <v>5324</v>
      </c>
      <c r="H1093" s="392" t="s">
        <v>5314</v>
      </c>
      <c r="I1093" s="392" t="s">
        <v>1758</v>
      </c>
      <c r="J1093" s="392" t="s">
        <v>8310</v>
      </c>
      <c r="K1093" s="392" t="s">
        <v>6325</v>
      </c>
      <c r="L1093" s="392" t="s">
        <v>7520</v>
      </c>
      <c r="M1093" s="392" t="s">
        <v>3758</v>
      </c>
      <c r="N1093" s="392" t="s">
        <v>7273</v>
      </c>
      <c r="O1093" s="392" t="s">
        <v>7273</v>
      </c>
      <c r="P1093"/>
      <c r="Q1093"/>
      <c r="R1093" s="387">
        <f>VLOOKUP(E1093,'[1]NDB Impacted SPRFs 05032013'!$A$2:$A$65536,1,FALSE)</f>
        <v>400031858</v>
      </c>
    </row>
    <row r="1094" spans="1:21" s="159" customFormat="1" ht="45" x14ac:dyDescent="0.25">
      <c r="A1094" s="63">
        <f>MATCH($E1094,'D1 - Master Project Table'!$B$24:$B$7056,0)</f>
        <v>1799</v>
      </c>
      <c r="B1094" s="63" t="b">
        <f t="shared" ref="B1094:B1134" si="51">ISERROR(A1094)</f>
        <v>0</v>
      </c>
      <c r="C1094" s="63" t="b">
        <f t="shared" ref="C1094:C1157" si="52">OR(H1094="Completed",H1094="Cancelled")</f>
        <v>1</v>
      </c>
      <c r="D1094" s="63" t="str">
        <f t="shared" ref="D1094:D1157" si="53">IF(AND(B1094=TRUE,C1094=FALSE),"Add","OK")</f>
        <v>OK</v>
      </c>
      <c r="E1094" s="393">
        <v>400041065</v>
      </c>
      <c r="F1094" s="392" t="s">
        <v>967</v>
      </c>
      <c r="G1094" s="392" t="s">
        <v>6322</v>
      </c>
      <c r="H1094" s="392" t="s">
        <v>7418</v>
      </c>
      <c r="I1094" s="392" t="s">
        <v>1758</v>
      </c>
      <c r="J1094" s="392" t="s">
        <v>4688</v>
      </c>
      <c r="K1094" s="392" t="s">
        <v>7102</v>
      </c>
      <c r="L1094" s="392" t="s">
        <v>8947</v>
      </c>
      <c r="M1094" s="392" t="s">
        <v>7273</v>
      </c>
      <c r="N1094" s="392" t="s">
        <v>7273</v>
      </c>
      <c r="O1094" s="392" t="s">
        <v>7273</v>
      </c>
      <c r="P1094" s="212"/>
      <c r="Q1094" s="212"/>
      <c r="R1094" s="387">
        <f>VLOOKUP(E1094,'[1]NDB Impacted SPRFs 05032013'!$A$2:$A$65536,1,FALSE)</f>
        <v>400041065</v>
      </c>
    </row>
    <row r="1095" spans="1:21" s="159" customFormat="1" ht="45" x14ac:dyDescent="0.25">
      <c r="A1095" s="63">
        <f>MATCH($E1095,'D1 - Master Project Table'!$B$24:$B$7056,0)</f>
        <v>1899</v>
      </c>
      <c r="B1095" s="63" t="b">
        <f t="shared" si="51"/>
        <v>0</v>
      </c>
      <c r="C1095" s="63" t="b">
        <f t="shared" si="52"/>
        <v>1</v>
      </c>
      <c r="D1095" s="63" t="str">
        <f t="shared" si="53"/>
        <v>OK</v>
      </c>
      <c r="E1095" s="393">
        <v>400006630</v>
      </c>
      <c r="F1095" s="392" t="s">
        <v>7621</v>
      </c>
      <c r="G1095" s="392" t="s">
        <v>5787</v>
      </c>
      <c r="H1095" s="392" t="s">
        <v>7418</v>
      </c>
      <c r="I1095" s="392" t="s">
        <v>1776</v>
      </c>
      <c r="J1095" s="392" t="s">
        <v>8707</v>
      </c>
      <c r="K1095" s="392" t="s">
        <v>1417</v>
      </c>
      <c r="L1095" s="392" t="s">
        <v>3280</v>
      </c>
      <c r="M1095" s="392" t="s">
        <v>3758</v>
      </c>
      <c r="N1095" s="392" t="s">
        <v>7273</v>
      </c>
      <c r="O1095" s="392" t="s">
        <v>7273</v>
      </c>
      <c r="P1095"/>
      <c r="Q1095"/>
      <c r="R1095" s="387">
        <f>VLOOKUP(E1095,'[1]NDB Impacted SPRFs 05032013'!$A$2:$A$65536,1,FALSE)</f>
        <v>400006630</v>
      </c>
    </row>
    <row r="1096" spans="1:21" ht="45" x14ac:dyDescent="0.25">
      <c r="A1096" s="63">
        <f>MATCH($E1096,'D1 - Master Project Table'!$B$24:$B$7056,0)</f>
        <v>1061</v>
      </c>
      <c r="B1096" s="63" t="b">
        <f t="shared" si="51"/>
        <v>0</v>
      </c>
      <c r="C1096" s="63" t="b">
        <f t="shared" si="52"/>
        <v>1</v>
      </c>
      <c r="D1096" s="63" t="str">
        <f t="shared" si="53"/>
        <v>OK</v>
      </c>
      <c r="E1096" s="393">
        <v>400026607</v>
      </c>
      <c r="F1096" s="392" t="s">
        <v>1911</v>
      </c>
      <c r="G1096" s="392" t="s">
        <v>5324</v>
      </c>
      <c r="H1096" s="392" t="s">
        <v>7418</v>
      </c>
      <c r="I1096" s="392" t="s">
        <v>1757</v>
      </c>
      <c r="J1096" s="392" t="s">
        <v>8492</v>
      </c>
      <c r="K1096" s="392" t="s">
        <v>7197</v>
      </c>
      <c r="L1096" s="392" t="s">
        <v>7527</v>
      </c>
      <c r="M1096" s="392" t="s">
        <v>3758</v>
      </c>
      <c r="N1096" s="392" t="s">
        <v>7273</v>
      </c>
      <c r="O1096" s="392" t="s">
        <v>3758</v>
      </c>
      <c r="P1096"/>
      <c r="Q1096"/>
      <c r="R1096" s="387">
        <f>VLOOKUP(E1096,'[1]NDB Impacted SPRFs 05032013'!$A$2:$A$65536,1,FALSE)</f>
        <v>400026607</v>
      </c>
      <c r="S1096" s="159"/>
      <c r="T1096" s="159"/>
      <c r="U1096" s="159"/>
    </row>
    <row r="1097" spans="1:21" s="159" customFormat="1" ht="45" customHeight="1" x14ac:dyDescent="0.25">
      <c r="A1097" s="63">
        <f>MATCH($E1097,'D1 - Master Project Table'!$B$24:$B$7056,0)</f>
        <v>1161</v>
      </c>
      <c r="B1097" s="63" t="b">
        <f t="shared" si="51"/>
        <v>0</v>
      </c>
      <c r="C1097" s="63" t="b">
        <f t="shared" si="52"/>
        <v>1</v>
      </c>
      <c r="D1097" s="63" t="str">
        <f t="shared" si="53"/>
        <v>OK</v>
      </c>
      <c r="E1097" s="393">
        <v>400030918</v>
      </c>
      <c r="F1097" s="392" t="s">
        <v>7653</v>
      </c>
      <c r="G1097" s="392" t="s">
        <v>5995</v>
      </c>
      <c r="H1097" s="392" t="s">
        <v>7418</v>
      </c>
      <c r="I1097" s="392" t="s">
        <v>3535</v>
      </c>
      <c r="J1097" s="392" t="s">
        <v>8820</v>
      </c>
      <c r="K1097" s="392" t="s">
        <v>7081</v>
      </c>
      <c r="L1097" s="392" t="s">
        <v>2924</v>
      </c>
      <c r="M1097" s="392" t="s">
        <v>7273</v>
      </c>
      <c r="N1097" s="392" t="s">
        <v>7273</v>
      </c>
      <c r="O1097" s="392" t="s">
        <v>7273</v>
      </c>
      <c r="P1097"/>
      <c r="Q1097"/>
      <c r="R1097" s="387">
        <f>VLOOKUP(E1097,'[1]NDB Impacted SPRFs 05032013'!$A$2:$A$65536,1,FALSE)</f>
        <v>400030918</v>
      </c>
      <c r="S1097" s="128"/>
      <c r="T1097" s="128"/>
      <c r="U1097" s="128"/>
    </row>
    <row r="1098" spans="1:21" s="159" customFormat="1" ht="45" x14ac:dyDescent="0.25">
      <c r="A1098" s="63">
        <f>MATCH($E1098,'D1 - Master Project Table'!$B$24:$B$7056,0)</f>
        <v>1463</v>
      </c>
      <c r="B1098" s="63" t="b">
        <f t="shared" si="51"/>
        <v>0</v>
      </c>
      <c r="C1098" s="63" t="b">
        <f t="shared" si="52"/>
        <v>1</v>
      </c>
      <c r="D1098" s="63" t="str">
        <f t="shared" si="53"/>
        <v>OK</v>
      </c>
      <c r="E1098" s="393">
        <v>400040438</v>
      </c>
      <c r="F1098" s="392" t="s">
        <v>1572</v>
      </c>
      <c r="G1098" s="392" t="s">
        <v>5324</v>
      </c>
      <c r="H1098" s="392" t="s">
        <v>7418</v>
      </c>
      <c r="I1098" s="392" t="s">
        <v>1791</v>
      </c>
      <c r="J1098" s="392" t="s">
        <v>8277</v>
      </c>
      <c r="K1098" s="392" t="s">
        <v>4642</v>
      </c>
      <c r="L1098" s="392" t="s">
        <v>2266</v>
      </c>
      <c r="M1098" s="392" t="s">
        <v>3758</v>
      </c>
      <c r="N1098" s="392" t="s">
        <v>7273</v>
      </c>
      <c r="O1098" s="392" t="s">
        <v>7273</v>
      </c>
      <c r="P1098"/>
      <c r="Q1098"/>
      <c r="R1098" s="387">
        <f>VLOOKUP(E1098,'[1]NDB Impacted SPRFs 05032013'!$A$2:$A$65536,1,FALSE)</f>
        <v>400040438</v>
      </c>
    </row>
    <row r="1099" spans="1:21" s="159" customFormat="1" ht="45" x14ac:dyDescent="0.25">
      <c r="A1099" s="63">
        <f>MATCH($E1099,'D1 - Master Project Table'!$B$24:$B$7056,0)</f>
        <v>1588</v>
      </c>
      <c r="B1099" s="63" t="b">
        <f t="shared" si="51"/>
        <v>0</v>
      </c>
      <c r="C1099" s="63" t="b">
        <f t="shared" si="52"/>
        <v>1</v>
      </c>
      <c r="D1099" s="63" t="str">
        <f t="shared" si="53"/>
        <v>OK</v>
      </c>
      <c r="E1099" s="393">
        <v>400043376</v>
      </c>
      <c r="F1099" s="392" t="s">
        <v>1212</v>
      </c>
      <c r="G1099" s="392" t="s">
        <v>5325</v>
      </c>
      <c r="H1099" s="392" t="s">
        <v>7418</v>
      </c>
      <c r="I1099" s="392" t="s">
        <v>1803</v>
      </c>
      <c r="J1099" s="392" t="s">
        <v>8277</v>
      </c>
      <c r="K1099" s="392" t="s">
        <v>1554</v>
      </c>
      <c r="L1099" s="392" t="s">
        <v>1035</v>
      </c>
      <c r="M1099" s="392" t="s">
        <v>7273</v>
      </c>
      <c r="N1099" s="392" t="s">
        <v>7273</v>
      </c>
      <c r="O1099" s="392" t="s">
        <v>7273</v>
      </c>
      <c r="P1099"/>
      <c r="Q1099"/>
      <c r="R1099" s="387">
        <f>VLOOKUP(E1099,'[1]NDB Impacted SPRFs 05032013'!$A$2:$A$65536,1,FALSE)</f>
        <v>400043376</v>
      </c>
    </row>
    <row r="1100" spans="1:21" s="159" customFormat="1" ht="45" x14ac:dyDescent="0.25">
      <c r="A1100" s="63">
        <f>MATCH($E1100,'D1 - Master Project Table'!$B$24:$B$7056,0)</f>
        <v>264</v>
      </c>
      <c r="B1100" s="63" t="b">
        <f t="shared" si="51"/>
        <v>0</v>
      </c>
      <c r="C1100" s="63" t="b">
        <f t="shared" si="52"/>
        <v>0</v>
      </c>
      <c r="D1100" s="63" t="str">
        <f t="shared" si="53"/>
        <v>OK</v>
      </c>
      <c r="E1100" s="393">
        <v>400059118</v>
      </c>
      <c r="F1100" s="392" t="s">
        <v>9272</v>
      </c>
      <c r="G1100" s="392" t="s">
        <v>9210</v>
      </c>
      <c r="H1100" s="392" t="s">
        <v>8012</v>
      </c>
      <c r="I1100" s="392" t="s">
        <v>2655</v>
      </c>
      <c r="J1100" s="392" t="s">
        <v>2189</v>
      </c>
      <c r="K1100" s="392" t="s">
        <v>2190</v>
      </c>
      <c r="L1100" s="392" t="s">
        <v>9319</v>
      </c>
      <c r="M1100" s="392" t="s">
        <v>3758</v>
      </c>
      <c r="N1100" s="392" t="s">
        <v>7273</v>
      </c>
      <c r="O1100" s="392" t="s">
        <v>3758</v>
      </c>
      <c r="P1100"/>
      <c r="Q1100"/>
      <c r="R1100" s="387">
        <f>VLOOKUP(E1100,'[1]NDB Impacted SPRFs 05032013'!$A$2:$A$65536,1,FALSE)</f>
        <v>400059118</v>
      </c>
      <c r="S1100" s="128"/>
      <c r="T1100" s="128"/>
      <c r="U1100" s="128"/>
    </row>
    <row r="1101" spans="1:21" s="159" customFormat="1" ht="45" x14ac:dyDescent="0.25">
      <c r="A1101" s="63">
        <f>MATCH($E1101,'D1 - Master Project Table'!$B$24:$B$7056,0)</f>
        <v>727</v>
      </c>
      <c r="B1101" s="63" t="b">
        <f t="shared" si="51"/>
        <v>0</v>
      </c>
      <c r="C1101" s="63" t="b">
        <f t="shared" si="52"/>
        <v>1</v>
      </c>
      <c r="D1101" s="63" t="str">
        <f t="shared" si="53"/>
        <v>OK</v>
      </c>
      <c r="E1101" s="393">
        <v>400015564</v>
      </c>
      <c r="F1101" s="392" t="s">
        <v>1512</v>
      </c>
      <c r="G1101" s="392" t="s">
        <v>5324</v>
      </c>
      <c r="H1101" s="392" t="s">
        <v>7418</v>
      </c>
      <c r="I1101" s="392" t="s">
        <v>1759</v>
      </c>
      <c r="J1101" s="392" t="s">
        <v>2251</v>
      </c>
      <c r="K1101" s="392" t="s">
        <v>8075</v>
      </c>
      <c r="L1101" s="392" t="s">
        <v>7562</v>
      </c>
      <c r="M1101" s="392" t="s">
        <v>3758</v>
      </c>
      <c r="N1101" s="392" t="s">
        <v>7273</v>
      </c>
      <c r="O1101" s="392" t="s">
        <v>7273</v>
      </c>
      <c r="P1101"/>
      <c r="Q1101"/>
      <c r="R1101" s="387">
        <f>VLOOKUP(E1101,'[1]NDB Impacted SPRFs 05032013'!$A$2:$A$65536,1,FALSE)</f>
        <v>400015564</v>
      </c>
    </row>
    <row r="1102" spans="1:21" ht="45" x14ac:dyDescent="0.25">
      <c r="A1102" s="63">
        <f>MATCH($E1102,'D1 - Master Project Table'!$B$24:$B$7056,0)</f>
        <v>1551</v>
      </c>
      <c r="B1102" s="63" t="b">
        <f t="shared" si="51"/>
        <v>0</v>
      </c>
      <c r="C1102" s="63" t="b">
        <f t="shared" si="52"/>
        <v>1</v>
      </c>
      <c r="D1102" s="63" t="str">
        <f t="shared" si="53"/>
        <v>OK</v>
      </c>
      <c r="E1102" s="393">
        <v>400039379</v>
      </c>
      <c r="F1102" s="392" t="s">
        <v>6928</v>
      </c>
      <c r="G1102" s="392" t="s">
        <v>7182</v>
      </c>
      <c r="H1102" s="392" t="s">
        <v>5314</v>
      </c>
      <c r="I1102" s="392" t="s">
        <v>7745</v>
      </c>
      <c r="J1102" s="392" t="s">
        <v>8839</v>
      </c>
      <c r="K1102" s="392" t="s">
        <v>6929</v>
      </c>
      <c r="L1102" s="392" t="s">
        <v>123</v>
      </c>
      <c r="M1102" s="392" t="s">
        <v>3758</v>
      </c>
      <c r="N1102" s="392" t="s">
        <v>7273</v>
      </c>
      <c r="O1102" s="392" t="s">
        <v>7273</v>
      </c>
      <c r="P1102"/>
      <c r="Q1102"/>
      <c r="R1102" s="387">
        <f>VLOOKUP(E1102,'[1]NDB Impacted SPRFs 05032013'!$A$2:$A$65536,1,FALSE)</f>
        <v>400039379</v>
      </c>
      <c r="S1102" s="159"/>
      <c r="T1102" s="159"/>
      <c r="U1102" s="159"/>
    </row>
    <row r="1103" spans="1:21" s="159" customFormat="1" ht="45" x14ac:dyDescent="0.25">
      <c r="A1103" s="63">
        <f>MATCH($E1103,'D1 - Master Project Table'!$B$24:$B$7056,0)</f>
        <v>1628</v>
      </c>
      <c r="B1103" s="63" t="b">
        <f t="shared" si="51"/>
        <v>0</v>
      </c>
      <c r="C1103" s="63" t="b">
        <f t="shared" si="52"/>
        <v>1</v>
      </c>
      <c r="D1103" s="63" t="str">
        <f t="shared" si="53"/>
        <v>OK</v>
      </c>
      <c r="E1103" s="393">
        <v>400048089</v>
      </c>
      <c r="F1103" s="392" t="s">
        <v>2672</v>
      </c>
      <c r="G1103" s="392" t="s">
        <v>5325</v>
      </c>
      <c r="H1103" s="392" t="s">
        <v>7418</v>
      </c>
      <c r="I1103" s="392" t="s">
        <v>1762</v>
      </c>
      <c r="J1103" s="392" t="s">
        <v>4110</v>
      </c>
      <c r="K1103" s="392" t="s">
        <v>8075</v>
      </c>
      <c r="L1103" s="392" t="s">
        <v>2179</v>
      </c>
      <c r="M1103" s="392" t="s">
        <v>7273</v>
      </c>
      <c r="N1103" s="392" t="s">
        <v>7273</v>
      </c>
      <c r="O1103" s="392" t="s">
        <v>3758</v>
      </c>
      <c r="P1103" s="54"/>
      <c r="Q1103" s="128"/>
      <c r="R1103" s="387">
        <f>VLOOKUP(E1103,'[1]NDB Impacted SPRFs 05032013'!$A$2:$A$65536,1,FALSE)</f>
        <v>400048089</v>
      </c>
      <c r="S1103" s="128"/>
      <c r="T1103" s="128"/>
      <c r="U1103" s="128"/>
    </row>
    <row r="1104" spans="1:21" s="159" customFormat="1" ht="45" x14ac:dyDescent="0.25">
      <c r="A1104" s="63">
        <f>MATCH($E1104,'D1 - Master Project Table'!$B$24:$B$7056,0)</f>
        <v>2345</v>
      </c>
      <c r="B1104" s="63" t="b">
        <f t="shared" si="51"/>
        <v>0</v>
      </c>
      <c r="C1104" s="63" t="b">
        <f t="shared" si="52"/>
        <v>1</v>
      </c>
      <c r="D1104" s="63" t="str">
        <f t="shared" si="53"/>
        <v>OK</v>
      </c>
      <c r="E1104" s="393">
        <v>400050503</v>
      </c>
      <c r="F1104" s="392" t="s">
        <v>43</v>
      </c>
      <c r="G1104" s="392" t="s">
        <v>6322</v>
      </c>
      <c r="H1104" s="392" t="s">
        <v>7418</v>
      </c>
      <c r="I1104" s="392" t="s">
        <v>1762</v>
      </c>
      <c r="J1104" s="392" t="s">
        <v>3151</v>
      </c>
      <c r="K1104" s="392" t="s">
        <v>44</v>
      </c>
      <c r="L1104" s="392" t="s">
        <v>2608</v>
      </c>
      <c r="M1104" s="392" t="s">
        <v>7273</v>
      </c>
      <c r="N1104" s="392" t="s">
        <v>7273</v>
      </c>
      <c r="O1104" s="392" t="s">
        <v>7273</v>
      </c>
      <c r="P1104"/>
      <c r="Q1104"/>
      <c r="R1104" s="387">
        <f>VLOOKUP(E1104,'[1]NDB Impacted SPRFs 05032013'!$A$2:$A$65536,1,FALSE)</f>
        <v>400050503</v>
      </c>
    </row>
    <row r="1105" spans="1:21" s="159" customFormat="1" ht="45" x14ac:dyDescent="0.25">
      <c r="A1105" s="63">
        <f>MATCH($E1105,'D1 - Master Project Table'!$B$24:$B$7056,0)</f>
        <v>83</v>
      </c>
      <c r="B1105" s="63" t="b">
        <f t="shared" si="51"/>
        <v>0</v>
      </c>
      <c r="C1105" s="63" t="b">
        <f t="shared" si="52"/>
        <v>0</v>
      </c>
      <c r="D1105" s="63" t="str">
        <f t="shared" si="53"/>
        <v>OK</v>
      </c>
      <c r="E1105" s="393">
        <v>400056269</v>
      </c>
      <c r="F1105" s="392" t="s">
        <v>1268</v>
      </c>
      <c r="G1105" s="392" t="s">
        <v>6322</v>
      </c>
      <c r="H1105" s="392" t="s">
        <v>4917</v>
      </c>
      <c r="I1105" s="392" t="s">
        <v>1762</v>
      </c>
      <c r="J1105" s="392" t="s">
        <v>8655</v>
      </c>
      <c r="K1105" s="392" t="s">
        <v>4978</v>
      </c>
      <c r="L1105" s="392" t="s">
        <v>9439</v>
      </c>
      <c r="M1105" s="392" t="s">
        <v>7273</v>
      </c>
      <c r="N1105" s="392" t="s">
        <v>7273</v>
      </c>
      <c r="O1105" s="392" t="s">
        <v>7273</v>
      </c>
      <c r="P1105"/>
      <c r="Q1105"/>
      <c r="R1105" s="387">
        <f>VLOOKUP(E1105,'[1]NDB Impacted SPRFs 05032013'!$A$2:$A$65536,1,FALSE)</f>
        <v>400056269</v>
      </c>
    </row>
    <row r="1106" spans="1:21" s="159" customFormat="1" ht="45" x14ac:dyDescent="0.25">
      <c r="A1106" s="63">
        <f>MATCH($E1106,'D1 - Master Project Table'!$B$24:$B$7056,0)</f>
        <v>2151</v>
      </c>
      <c r="B1106" s="63" t="b">
        <f t="shared" si="51"/>
        <v>0</v>
      </c>
      <c r="C1106" s="63" t="b">
        <f t="shared" si="52"/>
        <v>1</v>
      </c>
      <c r="D1106" s="63" t="str">
        <f t="shared" si="53"/>
        <v>OK</v>
      </c>
      <c r="E1106" s="393">
        <v>400015352</v>
      </c>
      <c r="F1106" s="392" t="s">
        <v>4768</v>
      </c>
      <c r="G1106" s="392" t="s">
        <v>3441</v>
      </c>
      <c r="H1106" s="392" t="s">
        <v>5314</v>
      </c>
      <c r="I1106" s="392" t="s">
        <v>1769</v>
      </c>
      <c r="J1106" s="392" t="s">
        <v>4990</v>
      </c>
      <c r="K1106" s="392" t="s">
        <v>2447</v>
      </c>
      <c r="L1106" s="392" t="s">
        <v>6181</v>
      </c>
      <c r="M1106" s="392" t="s">
        <v>7273</v>
      </c>
      <c r="N1106" s="392" t="s">
        <v>7273</v>
      </c>
      <c r="O1106" s="392" t="s">
        <v>3758</v>
      </c>
      <c r="P1106"/>
      <c r="Q1106"/>
      <c r="R1106" s="387">
        <f>VLOOKUP(E1106,'[1]NDB Impacted SPRFs 05032013'!$A$2:$A$65536,1,FALSE)</f>
        <v>400015352</v>
      </c>
      <c r="S1106" s="128"/>
      <c r="T1106" s="128"/>
      <c r="U1106" s="128"/>
    </row>
    <row r="1107" spans="1:21" s="159" customFormat="1" ht="45" x14ac:dyDescent="0.25">
      <c r="A1107" s="63">
        <f>MATCH($E1107,'D1 - Master Project Table'!$B$24:$B$7056,0)</f>
        <v>2953</v>
      </c>
      <c r="B1107" s="63" t="b">
        <f t="shared" si="51"/>
        <v>0</v>
      </c>
      <c r="C1107" s="63" t="b">
        <f t="shared" si="52"/>
        <v>1</v>
      </c>
      <c r="D1107" s="63" t="str">
        <f t="shared" si="53"/>
        <v>OK</v>
      </c>
      <c r="E1107" s="393">
        <v>400035329</v>
      </c>
      <c r="F1107" s="392" t="s">
        <v>6861</v>
      </c>
      <c r="G1107" s="392" t="s">
        <v>5324</v>
      </c>
      <c r="H1107" s="392" t="s">
        <v>5314</v>
      </c>
      <c r="I1107" s="392" t="s">
        <v>1761</v>
      </c>
      <c r="J1107" s="392" t="s">
        <v>4822</v>
      </c>
      <c r="K1107" s="392" t="s">
        <v>6862</v>
      </c>
      <c r="L1107" s="392" t="s">
        <v>4779</v>
      </c>
      <c r="M1107" s="392" t="s">
        <v>7273</v>
      </c>
      <c r="N1107" s="392" t="s">
        <v>7273</v>
      </c>
      <c r="O1107" s="392" t="s">
        <v>7273</v>
      </c>
      <c r="P1107"/>
      <c r="Q1107"/>
      <c r="R1107" s="387">
        <f>VLOOKUP(E1107,'[1]NDB Impacted SPRFs 05032013'!$A$2:$A$65536,1,FALSE)</f>
        <v>400035329</v>
      </c>
    </row>
    <row r="1108" spans="1:21" s="159" customFormat="1" ht="45" x14ac:dyDescent="0.25">
      <c r="A1108" s="63">
        <f>MATCH($E1108,'D1 - Master Project Table'!$B$24:$B$7056,0)</f>
        <v>3183</v>
      </c>
      <c r="B1108" s="63" t="b">
        <f t="shared" si="51"/>
        <v>0</v>
      </c>
      <c r="C1108" s="63" t="b">
        <f t="shared" si="52"/>
        <v>0</v>
      </c>
      <c r="D1108" s="63" t="str">
        <f t="shared" si="53"/>
        <v>OK</v>
      </c>
      <c r="E1108" s="393">
        <v>400041113</v>
      </c>
      <c r="F1108" s="392" t="s">
        <v>2212</v>
      </c>
      <c r="G1108" s="392" t="s">
        <v>9210</v>
      </c>
      <c r="H1108" s="392" t="s">
        <v>4917</v>
      </c>
      <c r="I1108" s="392" t="s">
        <v>3540</v>
      </c>
      <c r="J1108" s="392" t="s">
        <v>8779</v>
      </c>
      <c r="K1108" s="392" t="s">
        <v>7884</v>
      </c>
      <c r="L1108" s="392" t="s">
        <v>3460</v>
      </c>
      <c r="M1108" s="392" t="s">
        <v>3758</v>
      </c>
      <c r="N1108" s="392" t="s">
        <v>7273</v>
      </c>
      <c r="O1108" s="392" t="s">
        <v>7273</v>
      </c>
      <c r="P1108"/>
      <c r="Q1108"/>
      <c r="R1108" s="387">
        <f>VLOOKUP(E1108,'[1]NDB Impacted SPRFs 05032013'!$A$2:$A$65536,1,FALSE)</f>
        <v>400041113</v>
      </c>
    </row>
    <row r="1109" spans="1:21" ht="45" x14ac:dyDescent="0.25">
      <c r="A1109" s="63">
        <f>MATCH($E1109,'D1 - Master Project Table'!$B$24:$B$7056,0)</f>
        <v>1013</v>
      </c>
      <c r="B1109" s="63" t="b">
        <f t="shared" si="51"/>
        <v>0</v>
      </c>
      <c r="C1109" s="63" t="b">
        <f t="shared" si="52"/>
        <v>1</v>
      </c>
      <c r="D1109" s="63" t="str">
        <f t="shared" si="53"/>
        <v>OK</v>
      </c>
      <c r="E1109" s="393">
        <v>400026294</v>
      </c>
      <c r="F1109" s="392" t="s">
        <v>4018</v>
      </c>
      <c r="G1109" s="392" t="s">
        <v>5324</v>
      </c>
      <c r="H1109" s="392" t="s">
        <v>7418</v>
      </c>
      <c r="I1109" s="392" t="s">
        <v>1760</v>
      </c>
      <c r="J1109" s="392" t="s">
        <v>8085</v>
      </c>
      <c r="K1109" s="392" t="s">
        <v>7932</v>
      </c>
      <c r="L1109" s="392" t="s">
        <v>4892</v>
      </c>
      <c r="M1109" s="392" t="s">
        <v>7273</v>
      </c>
      <c r="N1109" s="392" t="s">
        <v>7273</v>
      </c>
      <c r="O1109" s="392" t="s">
        <v>7273</v>
      </c>
      <c r="P1109"/>
      <c r="Q1109"/>
      <c r="R1109" s="387">
        <f>VLOOKUP(E1109,'[1]NDB Impacted SPRFs 05032013'!$A$2:$A$65536,1,FALSE)</f>
        <v>400026294</v>
      </c>
      <c r="S1109" s="159"/>
      <c r="T1109" s="159"/>
      <c r="U1109" s="159"/>
    </row>
    <row r="1110" spans="1:21" ht="45" x14ac:dyDescent="0.25">
      <c r="A1110" s="63">
        <f>MATCH($E1110,'D1 - Master Project Table'!$B$24:$B$7056,0)</f>
        <v>3025</v>
      </c>
      <c r="B1110" s="63" t="b">
        <f t="shared" si="51"/>
        <v>0</v>
      </c>
      <c r="C1110" s="63" t="b">
        <f t="shared" si="52"/>
        <v>1</v>
      </c>
      <c r="D1110" s="63" t="str">
        <f t="shared" si="53"/>
        <v>OK</v>
      </c>
      <c r="E1110" s="393">
        <v>400040928</v>
      </c>
      <c r="F1110" s="392" t="s">
        <v>2474</v>
      </c>
      <c r="G1110" s="392" t="s">
        <v>5325</v>
      </c>
      <c r="H1110" s="392" t="s">
        <v>5314</v>
      </c>
      <c r="I1110" s="392" t="s">
        <v>1796</v>
      </c>
      <c r="J1110" s="392" t="s">
        <v>3493</v>
      </c>
      <c r="K1110" s="392" t="s">
        <v>2475</v>
      </c>
      <c r="L1110" s="392" t="s">
        <v>7569</v>
      </c>
      <c r="M1110" s="392" t="s">
        <v>7273</v>
      </c>
      <c r="N1110" s="392" t="s">
        <v>7273</v>
      </c>
      <c r="O1110" s="392" t="s">
        <v>7273</v>
      </c>
      <c r="P1110"/>
      <c r="Q1110"/>
      <c r="R1110" s="387">
        <f>VLOOKUP(E1110,'[1]NDB Impacted SPRFs 05032013'!$A$2:$A$65536,1,FALSE)</f>
        <v>400040928</v>
      </c>
      <c r="S1110" s="159"/>
      <c r="T1110" s="159"/>
      <c r="U1110" s="159"/>
    </row>
    <row r="1111" spans="1:21" s="159" customFormat="1" ht="45" x14ac:dyDescent="0.25">
      <c r="A1111" s="63">
        <f>MATCH($E1111,'D1 - Master Project Table'!$B$24:$B$7056,0)</f>
        <v>47</v>
      </c>
      <c r="B1111" s="63" t="b">
        <f t="shared" si="51"/>
        <v>0</v>
      </c>
      <c r="C1111" s="63" t="b">
        <f t="shared" si="52"/>
        <v>0</v>
      </c>
      <c r="D1111" s="63" t="str">
        <f t="shared" si="53"/>
        <v>OK</v>
      </c>
      <c r="E1111" s="393">
        <v>400053176</v>
      </c>
      <c r="F1111" s="392" t="s">
        <v>351</v>
      </c>
      <c r="G1111" s="392" t="s">
        <v>5324</v>
      </c>
      <c r="H1111" s="392" t="s">
        <v>4917</v>
      </c>
      <c r="I1111" s="392" t="s">
        <v>1762</v>
      </c>
      <c r="J1111" s="392" t="s">
        <v>1433</v>
      </c>
      <c r="K1111" s="392" t="s">
        <v>4595</v>
      </c>
      <c r="L1111" s="392" t="s">
        <v>8981</v>
      </c>
      <c r="M1111" s="392" t="s">
        <v>3758</v>
      </c>
      <c r="N1111" s="392" t="s">
        <v>7273</v>
      </c>
      <c r="O1111" s="392" t="s">
        <v>7273</v>
      </c>
      <c r="P1111"/>
      <c r="Q1111"/>
      <c r="R1111" s="387">
        <f>VLOOKUP(E1111,'[1]NDB Impacted SPRFs 05032013'!$A$2:$A$65536,1,FALSE)</f>
        <v>400053176</v>
      </c>
    </row>
    <row r="1112" spans="1:21" s="159" customFormat="1" ht="45" x14ac:dyDescent="0.25">
      <c r="A1112" s="63" t="e">
        <f>MATCH($E1112,'D1 - Master Project Table'!$B$24:$B$7056,0)</f>
        <v>#N/A</v>
      </c>
      <c r="B1112" s="63" t="b">
        <f t="shared" si="51"/>
        <v>1</v>
      </c>
      <c r="C1112" s="63" t="b">
        <f t="shared" si="52"/>
        <v>1</v>
      </c>
      <c r="D1112" s="63" t="str">
        <f t="shared" si="53"/>
        <v>OK</v>
      </c>
      <c r="E1112" s="393">
        <v>400000016</v>
      </c>
      <c r="F1112" s="392" t="s">
        <v>4754</v>
      </c>
      <c r="G1112" s="392" t="s">
        <v>5325</v>
      </c>
      <c r="H1112" s="392" t="s">
        <v>7418</v>
      </c>
      <c r="I1112" s="392" t="s">
        <v>1793</v>
      </c>
      <c r="J1112" s="392" t="s">
        <v>8254</v>
      </c>
      <c r="K1112" s="392" t="s">
        <v>6280</v>
      </c>
      <c r="L1112" s="392" t="s">
        <v>5824</v>
      </c>
      <c r="M1112" s="392" t="s">
        <v>3758</v>
      </c>
      <c r="N1112" s="392" t="s">
        <v>7273</v>
      </c>
      <c r="O1112" s="392" t="s">
        <v>7273</v>
      </c>
      <c r="P1112" s="158"/>
      <c r="Q1112" s="128"/>
      <c r="R1112" s="387">
        <f>VLOOKUP(E1112,'[1]NDB Impacted SPRFs 05032013'!$A$2:$A$65536,1,FALSE)</f>
        <v>400000016</v>
      </c>
      <c r="S1112" s="128"/>
      <c r="T1112" s="128"/>
      <c r="U1112" s="128"/>
    </row>
    <row r="1113" spans="1:21" s="159" customFormat="1" ht="45" x14ac:dyDescent="0.25">
      <c r="A1113" s="63">
        <f>MATCH($E1113,'D1 - Master Project Table'!$B$24:$B$7056,0)</f>
        <v>1958</v>
      </c>
      <c r="B1113" s="63" t="b">
        <f t="shared" si="51"/>
        <v>0</v>
      </c>
      <c r="C1113" s="63" t="b">
        <f t="shared" si="52"/>
        <v>1</v>
      </c>
      <c r="D1113" s="63" t="str">
        <f t="shared" si="53"/>
        <v>OK</v>
      </c>
      <c r="E1113" s="393">
        <v>400022302</v>
      </c>
      <c r="F1113" s="392" t="s">
        <v>2334</v>
      </c>
      <c r="G1113" s="392" t="s">
        <v>5324</v>
      </c>
      <c r="H1113" s="392" t="s">
        <v>7418</v>
      </c>
      <c r="I1113" s="392" t="s">
        <v>1763</v>
      </c>
      <c r="J1113" s="392" t="s">
        <v>8429</v>
      </c>
      <c r="K1113" s="392" t="s">
        <v>5004</v>
      </c>
      <c r="L1113" s="392" t="s">
        <v>5835</v>
      </c>
      <c r="M1113" s="392" t="s">
        <v>3758</v>
      </c>
      <c r="N1113" s="392" t="s">
        <v>7273</v>
      </c>
      <c r="O1113" s="392" t="s">
        <v>7273</v>
      </c>
      <c r="P1113"/>
      <c r="Q1113"/>
      <c r="R1113" s="387">
        <f>VLOOKUP(E1113,'[1]NDB Impacted SPRFs 05032013'!$A$2:$A$65536,1,FALSE)</f>
        <v>400022302</v>
      </c>
    </row>
    <row r="1114" spans="1:21" s="159" customFormat="1" ht="45" x14ac:dyDescent="0.25">
      <c r="A1114" s="63">
        <f>MATCH($E1114,'D1 - Master Project Table'!$B$24:$B$7056,0)</f>
        <v>1290</v>
      </c>
      <c r="B1114" s="63" t="b">
        <f t="shared" si="51"/>
        <v>0</v>
      </c>
      <c r="C1114" s="63" t="b">
        <f t="shared" si="52"/>
        <v>1</v>
      </c>
      <c r="D1114" s="63" t="str">
        <f t="shared" si="53"/>
        <v>OK</v>
      </c>
      <c r="E1114" s="393">
        <v>400032153</v>
      </c>
      <c r="F1114" s="392" t="s">
        <v>1661</v>
      </c>
      <c r="G1114" s="392" t="s">
        <v>5325</v>
      </c>
      <c r="H1114" s="392" t="s">
        <v>7418</v>
      </c>
      <c r="I1114" s="392" t="s">
        <v>6419</v>
      </c>
      <c r="J1114" s="392" t="s">
        <v>8286</v>
      </c>
      <c r="K1114" s="392" t="s">
        <v>4282</v>
      </c>
      <c r="L1114" s="392" t="s">
        <v>4457</v>
      </c>
      <c r="M1114" s="392" t="s">
        <v>7273</v>
      </c>
      <c r="N1114" s="392" t="s">
        <v>7273</v>
      </c>
      <c r="O1114" s="392" t="s">
        <v>7273</v>
      </c>
      <c r="P1114"/>
      <c r="Q1114"/>
      <c r="R1114" s="387">
        <f>VLOOKUP(E1114,'[1]NDB Impacted SPRFs 05032013'!$A$2:$A$65536,1,FALSE)</f>
        <v>400032153</v>
      </c>
    </row>
    <row r="1115" spans="1:21" s="159" customFormat="1" ht="45" x14ac:dyDescent="0.25">
      <c r="A1115" s="63">
        <f>MATCH($E1115,'D1 - Master Project Table'!$B$24:$B$7056,0)</f>
        <v>2708</v>
      </c>
      <c r="B1115" s="63" t="b">
        <f t="shared" si="51"/>
        <v>0</v>
      </c>
      <c r="C1115" s="63" t="b">
        <f t="shared" si="52"/>
        <v>1</v>
      </c>
      <c r="D1115" s="63" t="str">
        <f t="shared" si="53"/>
        <v>OK</v>
      </c>
      <c r="E1115" s="393">
        <v>400018846</v>
      </c>
      <c r="F1115" s="392" t="s">
        <v>3828</v>
      </c>
      <c r="G1115" s="392" t="s">
        <v>5324</v>
      </c>
      <c r="H1115" s="392" t="s">
        <v>5314</v>
      </c>
      <c r="I1115" s="392" t="s">
        <v>1757</v>
      </c>
      <c r="J1115" s="392" t="s">
        <v>6851</v>
      </c>
      <c r="K1115" s="392" t="s">
        <v>8075</v>
      </c>
      <c r="L1115" s="392" t="s">
        <v>7519</v>
      </c>
      <c r="M1115" s="392" t="s">
        <v>3758</v>
      </c>
      <c r="N1115" s="392" t="s">
        <v>7273</v>
      </c>
      <c r="O1115" s="392" t="s">
        <v>3758</v>
      </c>
      <c r="P1115"/>
      <c r="Q1115"/>
      <c r="R1115" s="387">
        <f>VLOOKUP(E1115,'[1]NDB Impacted SPRFs 05032013'!$A$2:$A$65536,1,FALSE)</f>
        <v>400018846</v>
      </c>
    </row>
    <row r="1116" spans="1:21" ht="45" x14ac:dyDescent="0.25">
      <c r="A1116" s="63">
        <f>MATCH($E1116,'D1 - Master Project Table'!$B$24:$B$7056,0)</f>
        <v>2887</v>
      </c>
      <c r="B1116" s="63" t="b">
        <f t="shared" si="51"/>
        <v>0</v>
      </c>
      <c r="C1116" s="63" t="b">
        <f t="shared" si="52"/>
        <v>1</v>
      </c>
      <c r="D1116" s="63" t="str">
        <f t="shared" si="53"/>
        <v>OK</v>
      </c>
      <c r="E1116" s="393">
        <v>400029480</v>
      </c>
      <c r="F1116" s="392" t="s">
        <v>3929</v>
      </c>
      <c r="G1116" s="392" t="s">
        <v>5325</v>
      </c>
      <c r="H1116" s="392" t="s">
        <v>5314</v>
      </c>
      <c r="I1116" s="392" t="s">
        <v>6414</v>
      </c>
      <c r="J1116" s="392" t="s">
        <v>8259</v>
      </c>
      <c r="K1116" s="392" t="s">
        <v>3930</v>
      </c>
      <c r="L1116" s="392" t="s">
        <v>4026</v>
      </c>
      <c r="M1116" s="392" t="s">
        <v>7273</v>
      </c>
      <c r="N1116" s="392" t="s">
        <v>7273</v>
      </c>
      <c r="O1116" s="392" t="s">
        <v>7273</v>
      </c>
      <c r="P1116"/>
      <c r="Q1116"/>
      <c r="R1116" s="387">
        <f>VLOOKUP(E1116,'[1]NDB Impacted SPRFs 05032013'!$A$2:$A$65536,1,FALSE)</f>
        <v>400029480</v>
      </c>
      <c r="S1116" s="159"/>
      <c r="T1116" s="159"/>
      <c r="U1116" s="159"/>
    </row>
    <row r="1117" spans="1:21" s="159" customFormat="1" ht="45" x14ac:dyDescent="0.25">
      <c r="A1117" s="63">
        <f>MATCH($E1117,'D1 - Master Project Table'!$B$24:$B$7056,0)</f>
        <v>1184</v>
      </c>
      <c r="B1117" s="63" t="b">
        <f t="shared" si="51"/>
        <v>0</v>
      </c>
      <c r="C1117" s="63" t="b">
        <f t="shared" si="52"/>
        <v>1</v>
      </c>
      <c r="D1117" s="63" t="str">
        <f t="shared" si="53"/>
        <v>OK</v>
      </c>
      <c r="E1117" s="393">
        <v>400031991</v>
      </c>
      <c r="F1117" s="392" t="s">
        <v>6377</v>
      </c>
      <c r="G1117" s="392" t="s">
        <v>5001</v>
      </c>
      <c r="H1117" s="392" t="s">
        <v>7418</v>
      </c>
      <c r="I1117" s="392" t="s">
        <v>2655</v>
      </c>
      <c r="J1117" s="392" t="s">
        <v>8756</v>
      </c>
      <c r="K1117" s="392" t="s">
        <v>6715</v>
      </c>
      <c r="L1117" s="392" t="s">
        <v>2489</v>
      </c>
      <c r="M1117" s="392" t="s">
        <v>3758</v>
      </c>
      <c r="N1117" s="392" t="s">
        <v>7273</v>
      </c>
      <c r="O1117" s="392" t="s">
        <v>7273</v>
      </c>
      <c r="P1117"/>
      <c r="Q1117"/>
      <c r="R1117" s="387">
        <f>VLOOKUP(E1117,'[1]NDB Impacted SPRFs 05032013'!$A$2:$A$65536,1,FALSE)</f>
        <v>400031991</v>
      </c>
    </row>
    <row r="1118" spans="1:21" s="159" customFormat="1" ht="45" x14ac:dyDescent="0.25">
      <c r="A1118" s="63">
        <f>MATCH($E1118,'D1 - Master Project Table'!$B$24:$B$7056,0)</f>
        <v>1296</v>
      </c>
      <c r="B1118" s="63" t="b">
        <f t="shared" si="51"/>
        <v>0</v>
      </c>
      <c r="C1118" s="63" t="b">
        <f t="shared" si="52"/>
        <v>1</v>
      </c>
      <c r="D1118" s="63" t="str">
        <f t="shared" si="53"/>
        <v>OK</v>
      </c>
      <c r="E1118" s="393">
        <v>400034829</v>
      </c>
      <c r="F1118" s="392" t="s">
        <v>3653</v>
      </c>
      <c r="G1118" s="392" t="s">
        <v>5325</v>
      </c>
      <c r="H1118" s="392" t="s">
        <v>7418</v>
      </c>
      <c r="I1118" s="392" t="s">
        <v>6419</v>
      </c>
      <c r="J1118" s="392" t="s">
        <v>7566</v>
      </c>
      <c r="K1118" s="392" t="s">
        <v>5162</v>
      </c>
      <c r="L1118" s="392" t="s">
        <v>4274</v>
      </c>
      <c r="M1118" s="392" t="s">
        <v>7273</v>
      </c>
      <c r="N1118" s="392" t="s">
        <v>7273</v>
      </c>
      <c r="O1118" s="392" t="s">
        <v>7273</v>
      </c>
      <c r="P1118"/>
      <c r="Q1118"/>
      <c r="R1118" s="387">
        <f>VLOOKUP(E1118,'[1]NDB Impacted SPRFs 05032013'!$A$2:$A$65536,1,FALSE)</f>
        <v>400034829</v>
      </c>
    </row>
    <row r="1119" spans="1:21" s="159" customFormat="1" ht="45" x14ac:dyDescent="0.25">
      <c r="A1119" s="63">
        <f>MATCH($E1119,'D1 - Master Project Table'!$B$24:$B$7056,0)</f>
        <v>203</v>
      </c>
      <c r="B1119" s="63" t="b">
        <f t="shared" si="51"/>
        <v>0</v>
      </c>
      <c r="C1119" s="63" t="b">
        <f t="shared" si="52"/>
        <v>1</v>
      </c>
      <c r="D1119" s="63" t="str">
        <f t="shared" si="53"/>
        <v>OK</v>
      </c>
      <c r="E1119" s="393">
        <v>400042851</v>
      </c>
      <c r="F1119" s="392" t="s">
        <v>5260</v>
      </c>
      <c r="G1119" s="392" t="s">
        <v>5995</v>
      </c>
      <c r="H1119" s="392" t="s">
        <v>7418</v>
      </c>
      <c r="I1119" s="392" t="s">
        <v>6423</v>
      </c>
      <c r="J1119" s="392" t="s">
        <v>8827</v>
      </c>
      <c r="K1119" s="392" t="s">
        <v>1897</v>
      </c>
      <c r="L1119" s="392" t="s">
        <v>3590</v>
      </c>
      <c r="M1119" s="392" t="s">
        <v>7273</v>
      </c>
      <c r="N1119" s="392" t="s">
        <v>7273</v>
      </c>
      <c r="O1119" s="392" t="s">
        <v>7273</v>
      </c>
      <c r="P1119"/>
      <c r="Q1119"/>
      <c r="R1119" s="387">
        <f>VLOOKUP(E1119,'[1]NDB Impacted SPRFs 05032013'!$A$2:$A$65536,1,FALSE)</f>
        <v>400042851</v>
      </c>
    </row>
    <row r="1120" spans="1:21" ht="45" x14ac:dyDescent="0.25">
      <c r="A1120" s="63">
        <f>MATCH($E1120,'D1 - Master Project Table'!$B$24:$B$7056,0)</f>
        <v>3089</v>
      </c>
      <c r="B1120" s="63" t="b">
        <f t="shared" si="51"/>
        <v>0</v>
      </c>
      <c r="C1120" s="63" t="b">
        <f t="shared" si="52"/>
        <v>1</v>
      </c>
      <c r="D1120" s="63" t="str">
        <f t="shared" si="53"/>
        <v>OK</v>
      </c>
      <c r="E1120" s="393">
        <v>400048329</v>
      </c>
      <c r="F1120" s="392" t="s">
        <v>1689</v>
      </c>
      <c r="G1120" s="392" t="s">
        <v>5001</v>
      </c>
      <c r="H1120" s="392" t="s">
        <v>5314</v>
      </c>
      <c r="I1120" s="392" t="s">
        <v>3540</v>
      </c>
      <c r="J1120" s="392" t="s">
        <v>4110</v>
      </c>
      <c r="K1120" s="392" t="s">
        <v>248</v>
      </c>
      <c r="L1120" s="392" t="s">
        <v>3458</v>
      </c>
      <c r="M1120" s="392" t="s">
        <v>7273</v>
      </c>
      <c r="N1120" s="392" t="s">
        <v>7273</v>
      </c>
      <c r="O1120" s="392" t="s">
        <v>3758</v>
      </c>
      <c r="P1120"/>
      <c r="Q1120"/>
      <c r="R1120" s="387">
        <f>VLOOKUP(E1120,'[1]NDB Impacted SPRFs 05032013'!$A$2:$A$65536,1,FALSE)</f>
        <v>400048329</v>
      </c>
      <c r="S1120" s="159"/>
      <c r="T1120" s="159"/>
      <c r="U1120" s="159"/>
    </row>
    <row r="1121" spans="1:21" s="159" customFormat="1" ht="45" x14ac:dyDescent="0.25">
      <c r="A1121" s="63">
        <f>MATCH($E1121,'D1 - Master Project Table'!$B$24:$B$7056,0)</f>
        <v>1749</v>
      </c>
      <c r="B1121" s="63" t="b">
        <f t="shared" si="51"/>
        <v>0</v>
      </c>
      <c r="C1121" s="63" t="b">
        <f t="shared" si="52"/>
        <v>1</v>
      </c>
      <c r="D1121" s="63" t="str">
        <f t="shared" si="53"/>
        <v>OK</v>
      </c>
      <c r="E1121" s="393">
        <v>400049625</v>
      </c>
      <c r="F1121" s="392" t="s">
        <v>1113</v>
      </c>
      <c r="G1121" s="392" t="s">
        <v>5324</v>
      </c>
      <c r="H1121" s="392" t="s">
        <v>7418</v>
      </c>
      <c r="I1121" s="392" t="s">
        <v>1762</v>
      </c>
      <c r="J1121" s="392" t="s">
        <v>4796</v>
      </c>
      <c r="K1121" s="392" t="s">
        <v>8075</v>
      </c>
      <c r="L1121" s="392" t="s">
        <v>871</v>
      </c>
      <c r="M1121" s="392" t="s">
        <v>3758</v>
      </c>
      <c r="N1121" s="392" t="s">
        <v>7273</v>
      </c>
      <c r="O1121" s="392" t="s">
        <v>3758</v>
      </c>
      <c r="P1121"/>
      <c r="Q1121"/>
      <c r="R1121" s="387">
        <f>VLOOKUP(E1121,'[1]NDB Impacted SPRFs 05032013'!$A$2:$A$65536,1,FALSE)</f>
        <v>400049625</v>
      </c>
    </row>
    <row r="1122" spans="1:21" s="159" customFormat="1" ht="45" x14ac:dyDescent="0.25">
      <c r="A1122" s="63">
        <f>MATCH($E1122,'D1 - Master Project Table'!$B$24:$B$7056,0)</f>
        <v>2404</v>
      </c>
      <c r="B1122" s="63" t="b">
        <f t="shared" si="51"/>
        <v>0</v>
      </c>
      <c r="C1122" s="63" t="b">
        <f t="shared" si="52"/>
        <v>1</v>
      </c>
      <c r="D1122" s="63" t="str">
        <f t="shared" si="53"/>
        <v>OK</v>
      </c>
      <c r="E1122" s="393">
        <v>400002621</v>
      </c>
      <c r="F1122" s="392" t="s">
        <v>7968</v>
      </c>
      <c r="G1122" s="392" t="s">
        <v>5324</v>
      </c>
      <c r="H1122" s="392" t="s">
        <v>5314</v>
      </c>
      <c r="I1122" s="392" t="s">
        <v>1765</v>
      </c>
      <c r="J1122" s="392" t="s">
        <v>8629</v>
      </c>
      <c r="K1122" s="392" t="s">
        <v>2953</v>
      </c>
      <c r="L1122" s="392" t="s">
        <v>8064</v>
      </c>
      <c r="M1122" s="392" t="s">
        <v>3758</v>
      </c>
      <c r="N1122" s="392" t="s">
        <v>7273</v>
      </c>
      <c r="O1122" s="392" t="s">
        <v>7273</v>
      </c>
      <c r="P1122"/>
      <c r="Q1122"/>
      <c r="R1122" s="387">
        <f>VLOOKUP(E1122,'[1]NDB Impacted SPRFs 05032013'!$A$2:$A$65536,1,FALSE)</f>
        <v>400002621</v>
      </c>
      <c r="S1122" s="128"/>
      <c r="T1122" s="128"/>
      <c r="U1122" s="128"/>
    </row>
    <row r="1123" spans="1:21" s="159" customFormat="1" ht="45" x14ac:dyDescent="0.25">
      <c r="A1123" s="63">
        <f>MATCH($E1123,'D1 - Master Project Table'!$B$24:$B$7056,0)</f>
        <v>605</v>
      </c>
      <c r="B1123" s="63" t="b">
        <f t="shared" si="51"/>
        <v>0</v>
      </c>
      <c r="C1123" s="63" t="b">
        <f t="shared" si="52"/>
        <v>1</v>
      </c>
      <c r="D1123" s="63" t="str">
        <f t="shared" si="53"/>
        <v>OK</v>
      </c>
      <c r="E1123" s="393">
        <v>400010564</v>
      </c>
      <c r="F1123" s="392" t="s">
        <v>6910</v>
      </c>
      <c r="G1123" s="392" t="s">
        <v>5324</v>
      </c>
      <c r="H1123" s="392" t="s">
        <v>7418</v>
      </c>
      <c r="I1123" s="392" t="s">
        <v>1762</v>
      </c>
      <c r="J1123" s="392" t="s">
        <v>2251</v>
      </c>
      <c r="K1123" s="392" t="s">
        <v>5641</v>
      </c>
      <c r="L1123" s="392" t="s">
        <v>6484</v>
      </c>
      <c r="M1123" s="392" t="s">
        <v>3758</v>
      </c>
      <c r="N1123" s="392" t="s">
        <v>7273</v>
      </c>
      <c r="O1123" s="392" t="s">
        <v>7273</v>
      </c>
      <c r="P1123"/>
      <c r="Q1123"/>
      <c r="R1123" s="387">
        <f>VLOOKUP(E1123,'[1]NDB Impacted SPRFs 05032013'!$A$2:$A$65536,1,FALSE)</f>
        <v>400010564</v>
      </c>
    </row>
    <row r="1124" spans="1:21" s="159" customFormat="1" ht="45" x14ac:dyDescent="0.25">
      <c r="A1124" s="63">
        <f>MATCH($E1124,'D1 - Master Project Table'!$B$24:$B$7056,0)</f>
        <v>529</v>
      </c>
      <c r="B1124" s="63" t="b">
        <f t="shared" si="51"/>
        <v>0</v>
      </c>
      <c r="C1124" s="63" t="b">
        <f t="shared" si="52"/>
        <v>1</v>
      </c>
      <c r="D1124" s="63" t="str">
        <f t="shared" si="53"/>
        <v>OK</v>
      </c>
      <c r="E1124" s="393">
        <v>400011768</v>
      </c>
      <c r="F1124" s="392" t="s">
        <v>7148</v>
      </c>
      <c r="G1124" s="392" t="s">
        <v>3441</v>
      </c>
      <c r="H1124" s="392" t="s">
        <v>7418</v>
      </c>
      <c r="I1124" s="392" t="s">
        <v>1769</v>
      </c>
      <c r="J1124" s="392" t="s">
        <v>2937</v>
      </c>
      <c r="K1124" s="392" t="s">
        <v>5541</v>
      </c>
      <c r="L1124" s="392" t="s">
        <v>4766</v>
      </c>
      <c r="M1124" s="392" t="s">
        <v>3758</v>
      </c>
      <c r="N1124" s="392" t="s">
        <v>7273</v>
      </c>
      <c r="O1124" s="392" t="s">
        <v>7273</v>
      </c>
      <c r="P1124"/>
      <c r="Q1124"/>
      <c r="R1124" s="387">
        <f>VLOOKUP(E1124,'[1]NDB Impacted SPRFs 05032013'!$A$2:$A$65536,1,FALSE)</f>
        <v>400011768</v>
      </c>
      <c r="S1124" s="128"/>
      <c r="T1124" s="128"/>
      <c r="U1124" s="128"/>
    </row>
    <row r="1125" spans="1:21" s="159" customFormat="1" ht="45" x14ac:dyDescent="0.25">
      <c r="A1125" s="63">
        <f>MATCH($E1125,'D1 - Master Project Table'!$B$24:$B$7056,0)</f>
        <v>2695</v>
      </c>
      <c r="B1125" s="63" t="b">
        <f t="shared" si="51"/>
        <v>0</v>
      </c>
      <c r="C1125" s="63" t="b">
        <f t="shared" si="52"/>
        <v>1</v>
      </c>
      <c r="D1125" s="63" t="str">
        <f t="shared" si="53"/>
        <v>OK</v>
      </c>
      <c r="E1125" s="393">
        <v>400018293</v>
      </c>
      <c r="F1125" s="392" t="s">
        <v>5361</v>
      </c>
      <c r="G1125" s="392" t="s">
        <v>5324</v>
      </c>
      <c r="H1125" s="392" t="s">
        <v>7418</v>
      </c>
      <c r="I1125" s="392" t="s">
        <v>1759</v>
      </c>
      <c r="J1125" s="392" t="s">
        <v>3493</v>
      </c>
      <c r="K1125" s="392" t="s">
        <v>4500</v>
      </c>
      <c r="L1125" s="392" t="s">
        <v>615</v>
      </c>
      <c r="M1125" s="392" t="s">
        <v>3758</v>
      </c>
      <c r="N1125" s="392" t="s">
        <v>7273</v>
      </c>
      <c r="O1125" s="392" t="s">
        <v>7273</v>
      </c>
      <c r="P1125"/>
      <c r="Q1125"/>
      <c r="R1125" s="387">
        <f>VLOOKUP(E1125,'[1]NDB Impacted SPRFs 05032013'!$A$2:$A$65536,1,FALSE)</f>
        <v>400018293</v>
      </c>
    </row>
    <row r="1126" spans="1:21" s="159" customFormat="1" ht="45" x14ac:dyDescent="0.25">
      <c r="A1126" s="63">
        <f>MATCH($E1126,'D1 - Master Project Table'!$B$24:$B$7056,0)</f>
        <v>2013</v>
      </c>
      <c r="B1126" s="63" t="b">
        <f t="shared" si="51"/>
        <v>0</v>
      </c>
      <c r="C1126" s="63" t="b">
        <f t="shared" si="52"/>
        <v>1</v>
      </c>
      <c r="D1126" s="63" t="str">
        <f t="shared" si="53"/>
        <v>OK</v>
      </c>
      <c r="E1126" s="393">
        <v>400033476</v>
      </c>
      <c r="F1126" s="392" t="s">
        <v>4714</v>
      </c>
      <c r="G1126" s="392" t="s">
        <v>5324</v>
      </c>
      <c r="H1126" s="392" t="s">
        <v>7418</v>
      </c>
      <c r="I1126" s="392" t="s">
        <v>1758</v>
      </c>
      <c r="J1126" s="392" t="s">
        <v>6543</v>
      </c>
      <c r="K1126" s="392" t="s">
        <v>5427</v>
      </c>
      <c r="L1126" s="392" t="s">
        <v>2618</v>
      </c>
      <c r="M1126" s="392" t="s">
        <v>7273</v>
      </c>
      <c r="N1126" s="392" t="s">
        <v>7273</v>
      </c>
      <c r="O1126" s="392" t="s">
        <v>3758</v>
      </c>
      <c r="P1126"/>
      <c r="Q1126"/>
      <c r="R1126" s="387">
        <f>VLOOKUP(E1126,'[1]NDB Impacted SPRFs 05032013'!$A$2:$A$65536,1,FALSE)</f>
        <v>400033476</v>
      </c>
      <c r="S1126" s="128"/>
      <c r="T1126" s="128"/>
      <c r="U1126" s="128"/>
    </row>
    <row r="1127" spans="1:21" s="159" customFormat="1" ht="45" x14ac:dyDescent="0.25">
      <c r="A1127" s="63">
        <f>MATCH($E1127,'D1 - Master Project Table'!$B$24:$B$7056,0)</f>
        <v>1318</v>
      </c>
      <c r="B1127" s="63" t="b">
        <f t="shared" si="51"/>
        <v>0</v>
      </c>
      <c r="C1127" s="63" t="b">
        <f t="shared" si="52"/>
        <v>1</v>
      </c>
      <c r="D1127" s="63" t="str">
        <f t="shared" si="53"/>
        <v>OK</v>
      </c>
      <c r="E1127" s="393">
        <v>400035195</v>
      </c>
      <c r="F1127" s="392" t="s">
        <v>3778</v>
      </c>
      <c r="G1127" s="392" t="s">
        <v>5324</v>
      </c>
      <c r="H1127" s="392" t="s">
        <v>7418</v>
      </c>
      <c r="I1127" s="392" t="s">
        <v>1758</v>
      </c>
      <c r="J1127" s="392" t="s">
        <v>8612</v>
      </c>
      <c r="K1127" s="392" t="s">
        <v>2903</v>
      </c>
      <c r="L1127" s="392" t="s">
        <v>5870</v>
      </c>
      <c r="M1127" s="392" t="s">
        <v>7273</v>
      </c>
      <c r="N1127" s="392" t="s">
        <v>7273</v>
      </c>
      <c r="O1127" s="392" t="s">
        <v>3758</v>
      </c>
      <c r="P1127"/>
      <c r="Q1127"/>
      <c r="R1127" s="387">
        <f>VLOOKUP(E1127,'[1]NDB Impacted SPRFs 05032013'!$A$2:$A$65536,1,FALSE)</f>
        <v>400035195</v>
      </c>
    </row>
    <row r="1128" spans="1:21" s="159" customFormat="1" ht="45" x14ac:dyDescent="0.25">
      <c r="A1128" s="63">
        <f>MATCH($E1128,'D1 - Master Project Table'!$B$24:$B$7056,0)</f>
        <v>3040</v>
      </c>
      <c r="B1128" s="63" t="b">
        <f t="shared" si="51"/>
        <v>0</v>
      </c>
      <c r="C1128" s="63" t="b">
        <f t="shared" si="52"/>
        <v>1</v>
      </c>
      <c r="D1128" s="63" t="str">
        <f t="shared" si="53"/>
        <v>OK</v>
      </c>
      <c r="E1128" s="393">
        <v>400042460</v>
      </c>
      <c r="F1128" s="392" t="s">
        <v>5262</v>
      </c>
      <c r="G1128" s="392" t="s">
        <v>5001</v>
      </c>
      <c r="H1128" s="392" t="s">
        <v>7418</v>
      </c>
      <c r="I1128" s="392" t="s">
        <v>3540</v>
      </c>
      <c r="J1128" s="392" t="s">
        <v>7074</v>
      </c>
      <c r="K1128" s="392" t="s">
        <v>6986</v>
      </c>
      <c r="L1128" s="392" t="s">
        <v>5286</v>
      </c>
      <c r="M1128" s="392" t="s">
        <v>7273</v>
      </c>
      <c r="N1128" s="392" t="s">
        <v>7273</v>
      </c>
      <c r="O1128" s="392" t="s">
        <v>7273</v>
      </c>
      <c r="P1128"/>
      <c r="Q1128"/>
      <c r="R1128" s="387">
        <f>VLOOKUP(E1128,'[1]NDB Impacted SPRFs 05032013'!$A$2:$A$65536,1,FALSE)</f>
        <v>400042460</v>
      </c>
    </row>
    <row r="1129" spans="1:21" ht="45" x14ac:dyDescent="0.25">
      <c r="A1129" s="63" t="e">
        <f>MATCH($E1129,'D1 - Master Project Table'!$B$24:$B$7056,0)</f>
        <v>#N/A</v>
      </c>
      <c r="B1129" s="63" t="b">
        <f t="shared" si="51"/>
        <v>1</v>
      </c>
      <c r="C1129" s="63" t="b">
        <f t="shared" si="52"/>
        <v>1</v>
      </c>
      <c r="D1129" s="63" t="str">
        <f t="shared" si="53"/>
        <v>OK</v>
      </c>
      <c r="E1129" s="393">
        <v>212000000</v>
      </c>
      <c r="F1129" s="392" t="s">
        <v>4929</v>
      </c>
      <c r="G1129" s="392" t="s">
        <v>5324</v>
      </c>
      <c r="H1129" s="392" t="s">
        <v>7418</v>
      </c>
      <c r="I1129" s="392" t="s">
        <v>1807</v>
      </c>
      <c r="J1129" s="392" t="s">
        <v>8537</v>
      </c>
      <c r="K1129" s="392" t="s">
        <v>8087</v>
      </c>
      <c r="L1129" s="392" t="s">
        <v>709</v>
      </c>
      <c r="M1129" s="392" t="s">
        <v>3758</v>
      </c>
      <c r="N1129" s="392" t="s">
        <v>7273</v>
      </c>
      <c r="O1129" s="392" t="s">
        <v>7273</v>
      </c>
      <c r="P1129"/>
      <c r="Q1129"/>
      <c r="R1129" s="387">
        <f>VLOOKUP(E1129,'[1]NDB Impacted SPRFs 05032013'!$A$2:$A$65536,1,FALSE)</f>
        <v>212000000</v>
      </c>
    </row>
    <row r="1130" spans="1:21" s="159" customFormat="1" ht="45" x14ac:dyDescent="0.25">
      <c r="A1130" s="63" t="e">
        <f>MATCH($E1130,'D1 - Master Project Table'!$B$24:$B$7056,0)</f>
        <v>#N/A</v>
      </c>
      <c r="B1130" s="63" t="b">
        <f t="shared" si="51"/>
        <v>1</v>
      </c>
      <c r="C1130" s="63" t="b">
        <f t="shared" si="52"/>
        <v>1</v>
      </c>
      <c r="D1130" s="63" t="str">
        <f t="shared" si="53"/>
        <v>OK</v>
      </c>
      <c r="E1130" s="393">
        <v>400005162</v>
      </c>
      <c r="F1130" s="392" t="s">
        <v>2522</v>
      </c>
      <c r="G1130" s="392" t="s">
        <v>5787</v>
      </c>
      <c r="H1130" s="392" t="s">
        <v>7418</v>
      </c>
      <c r="I1130" s="392" t="s">
        <v>1772</v>
      </c>
      <c r="J1130" s="392" t="s">
        <v>8456</v>
      </c>
      <c r="K1130" s="392" t="s">
        <v>6963</v>
      </c>
      <c r="L1130" s="392" t="s">
        <v>4240</v>
      </c>
      <c r="M1130" s="392" t="s">
        <v>3758</v>
      </c>
      <c r="N1130" s="392" t="s">
        <v>7273</v>
      </c>
      <c r="O1130" s="392" t="s">
        <v>7273</v>
      </c>
      <c r="P1130"/>
      <c r="Q1130"/>
      <c r="R1130" s="387">
        <f>VLOOKUP(E1130,'[1]NDB Impacted SPRFs 05032013'!$A$2:$A$65536,1,FALSE)</f>
        <v>400005162</v>
      </c>
    </row>
    <row r="1131" spans="1:21" ht="45" x14ac:dyDescent="0.25">
      <c r="A1131" s="63">
        <f>MATCH($E1131,'D1 - Master Project Table'!$B$24:$B$7056,0)</f>
        <v>331</v>
      </c>
      <c r="B1131" s="63" t="b">
        <f t="shared" si="51"/>
        <v>0</v>
      </c>
      <c r="C1131" s="63" t="b">
        <f t="shared" si="52"/>
        <v>1</v>
      </c>
      <c r="D1131" s="63" t="str">
        <f t="shared" si="53"/>
        <v>OK</v>
      </c>
      <c r="E1131" s="393">
        <v>400005520</v>
      </c>
      <c r="F1131" s="392" t="s">
        <v>7135</v>
      </c>
      <c r="G1131" s="392" t="s">
        <v>5324</v>
      </c>
      <c r="H1131" s="392" t="s">
        <v>7418</v>
      </c>
      <c r="I1131" s="392" t="s">
        <v>1768</v>
      </c>
      <c r="J1131" s="392" t="s">
        <v>8450</v>
      </c>
      <c r="K1131" s="392" t="s">
        <v>2833</v>
      </c>
      <c r="L1131" s="392" t="s">
        <v>4079</v>
      </c>
      <c r="M1131" s="392" t="s">
        <v>3758</v>
      </c>
      <c r="N1131" s="392" t="s">
        <v>7273</v>
      </c>
      <c r="O1131" s="392" t="s">
        <v>7273</v>
      </c>
      <c r="P1131"/>
      <c r="Q1131"/>
      <c r="R1131" s="387">
        <f>VLOOKUP(E1131,'[1]NDB Impacted SPRFs 05032013'!$A$2:$A$65536,1,FALSE)</f>
        <v>400005520</v>
      </c>
      <c r="S1131" s="159"/>
      <c r="T1131" s="159"/>
      <c r="U1131" s="159"/>
    </row>
    <row r="1132" spans="1:21" ht="45" x14ac:dyDescent="0.25">
      <c r="A1132" s="63">
        <f>MATCH($E1132,'D1 - Master Project Table'!$B$24:$B$7056,0)</f>
        <v>2099</v>
      </c>
      <c r="B1132" s="63" t="b">
        <f t="shared" si="51"/>
        <v>0</v>
      </c>
      <c r="C1132" s="63" t="b">
        <f t="shared" si="52"/>
        <v>1</v>
      </c>
      <c r="D1132" s="63" t="str">
        <f t="shared" si="53"/>
        <v>OK</v>
      </c>
      <c r="E1132" s="393">
        <v>400011370</v>
      </c>
      <c r="F1132" s="392" t="s">
        <v>3343</v>
      </c>
      <c r="G1132" s="392" t="s">
        <v>5324</v>
      </c>
      <c r="H1132" s="392" t="s">
        <v>5314</v>
      </c>
      <c r="I1132" s="392" t="s">
        <v>1764</v>
      </c>
      <c r="J1132" s="392" t="s">
        <v>4344</v>
      </c>
      <c r="K1132" s="392" t="s">
        <v>5159</v>
      </c>
      <c r="L1132" s="392" t="s">
        <v>6866</v>
      </c>
      <c r="M1132" s="392" t="s">
        <v>3758</v>
      </c>
      <c r="N1132" s="392" t="s">
        <v>7273</v>
      </c>
      <c r="O1132" s="392" t="s">
        <v>3758</v>
      </c>
      <c r="P1132"/>
      <c r="Q1132"/>
      <c r="R1132" s="387">
        <f>VLOOKUP(E1132,'[1]NDB Impacted SPRFs 05032013'!$A$2:$A$65536,1,FALSE)</f>
        <v>400011370</v>
      </c>
    </row>
    <row r="1133" spans="1:21" s="159" customFormat="1" ht="45" x14ac:dyDescent="0.25">
      <c r="A1133" s="63">
        <f>MATCH($E1133,'D1 - Master Project Table'!$B$24:$B$7056,0)</f>
        <v>918</v>
      </c>
      <c r="B1133" s="63" t="b">
        <f t="shared" si="51"/>
        <v>0</v>
      </c>
      <c r="C1133" s="63" t="b">
        <f t="shared" si="52"/>
        <v>1</v>
      </c>
      <c r="D1133" s="63" t="str">
        <f t="shared" si="53"/>
        <v>OK</v>
      </c>
      <c r="E1133" s="393">
        <v>400019848</v>
      </c>
      <c r="F1133" s="392" t="s">
        <v>2345</v>
      </c>
      <c r="G1133" s="392" t="s">
        <v>5325</v>
      </c>
      <c r="H1133" s="392" t="s">
        <v>7418</v>
      </c>
      <c r="I1133" s="392" t="s">
        <v>1801</v>
      </c>
      <c r="J1133" s="392" t="s">
        <v>1499</v>
      </c>
      <c r="K1133" s="392" t="s">
        <v>5457</v>
      </c>
      <c r="L1133" s="392" t="s">
        <v>5368</v>
      </c>
      <c r="M1133" s="392" t="s">
        <v>7273</v>
      </c>
      <c r="N1133" s="392" t="s">
        <v>7273</v>
      </c>
      <c r="O1133" s="392" t="s">
        <v>7273</v>
      </c>
      <c r="P1133"/>
      <c r="Q1133"/>
      <c r="R1133" s="387">
        <f>VLOOKUP(E1133,'[1]NDB Impacted SPRFs 05032013'!$A$2:$A$65536,1,FALSE)</f>
        <v>400019848</v>
      </c>
    </row>
    <row r="1134" spans="1:21" ht="45" x14ac:dyDescent="0.25">
      <c r="A1134" s="63">
        <f>MATCH($E1134,'D1 - Master Project Table'!$B$24:$B$7056,0)</f>
        <v>1995</v>
      </c>
      <c r="B1134" s="63" t="b">
        <f t="shared" si="51"/>
        <v>0</v>
      </c>
      <c r="C1134" s="63" t="b">
        <f t="shared" si="52"/>
        <v>1</v>
      </c>
      <c r="D1134" s="63" t="str">
        <f t="shared" si="53"/>
        <v>OK</v>
      </c>
      <c r="E1134" s="393">
        <v>400030375</v>
      </c>
      <c r="F1134" s="392" t="s">
        <v>2890</v>
      </c>
      <c r="G1134" s="392" t="s">
        <v>5001</v>
      </c>
      <c r="H1134" s="392" t="s">
        <v>7418</v>
      </c>
      <c r="I1134" s="392" t="s">
        <v>3540</v>
      </c>
      <c r="J1134" s="392" t="s">
        <v>4110</v>
      </c>
      <c r="K1134" s="392" t="s">
        <v>3283</v>
      </c>
      <c r="L1134" s="392" t="s">
        <v>107</v>
      </c>
      <c r="M1134" s="392" t="s">
        <v>3758</v>
      </c>
      <c r="N1134" s="392" t="s">
        <v>7273</v>
      </c>
      <c r="O1134" s="392" t="s">
        <v>3758</v>
      </c>
      <c r="P1134"/>
      <c r="Q1134"/>
      <c r="R1134" s="387">
        <f>VLOOKUP(E1134,'[1]NDB Impacted SPRFs 05032013'!$A$2:$A$65536,1,FALSE)</f>
        <v>400030375</v>
      </c>
      <c r="S1134" s="159"/>
      <c r="T1134" s="159"/>
      <c r="U1134" s="159"/>
    </row>
    <row r="1135" spans="1:21" ht="45" x14ac:dyDescent="0.25">
      <c r="A1135" s="63">
        <f>MATCH($E1135,'D1 - Master Project Table'!$B$24:$B$7056,0)</f>
        <v>3030</v>
      </c>
      <c r="B1135" s="146" t="b">
        <v>0</v>
      </c>
      <c r="C1135" s="146" t="b">
        <f t="shared" si="52"/>
        <v>1</v>
      </c>
      <c r="D1135" s="63" t="str">
        <f t="shared" si="53"/>
        <v>OK</v>
      </c>
      <c r="E1135" s="393">
        <v>400041243</v>
      </c>
      <c r="F1135" s="392" t="s">
        <v>1530</v>
      </c>
      <c r="G1135" s="392" t="s">
        <v>6322</v>
      </c>
      <c r="H1135" s="392" t="s">
        <v>5314</v>
      </c>
      <c r="I1135" s="392" t="s">
        <v>7594</v>
      </c>
      <c r="J1135" s="392" t="s">
        <v>4688</v>
      </c>
      <c r="K1135" s="392" t="s">
        <v>6600</v>
      </c>
      <c r="L1135" s="392" t="s">
        <v>1946</v>
      </c>
      <c r="M1135" s="392" t="s">
        <v>7273</v>
      </c>
      <c r="N1135" s="392" t="s">
        <v>7273</v>
      </c>
      <c r="O1135" s="392" t="s">
        <v>7273</v>
      </c>
      <c r="P1135"/>
      <c r="Q1135"/>
      <c r="R1135" s="387">
        <f>VLOOKUP(E1135,'[1]NDB Impacted SPRFs 05032013'!$A$2:$A$65536,1,FALSE)</f>
        <v>400041243</v>
      </c>
      <c r="S1135" s="159"/>
      <c r="T1135" s="159"/>
      <c r="U1135" s="159"/>
    </row>
    <row r="1136" spans="1:21" s="159" customFormat="1" ht="45" x14ac:dyDescent="0.25">
      <c r="A1136" s="63">
        <f>MATCH($E1136,'D1 - Master Project Table'!$B$24:$B$7056,0)</f>
        <v>2704</v>
      </c>
      <c r="B1136" s="63" t="b">
        <f t="shared" ref="B1136:B1199" si="54">ISERROR(A1136)</f>
        <v>0</v>
      </c>
      <c r="C1136" s="63" t="b">
        <f t="shared" si="52"/>
        <v>1</v>
      </c>
      <c r="D1136" s="63" t="str">
        <f t="shared" si="53"/>
        <v>OK</v>
      </c>
      <c r="E1136" s="393">
        <v>400018724</v>
      </c>
      <c r="F1136" s="392" t="s">
        <v>5643</v>
      </c>
      <c r="G1136" s="392" t="s">
        <v>5324</v>
      </c>
      <c r="H1136" s="392" t="s">
        <v>5314</v>
      </c>
      <c r="I1136" s="392" t="s">
        <v>1756</v>
      </c>
      <c r="J1136" s="392" t="s">
        <v>8376</v>
      </c>
      <c r="K1136" s="392" t="s">
        <v>1506</v>
      </c>
      <c r="L1136" s="392" t="s">
        <v>3852</v>
      </c>
      <c r="M1136" s="392" t="s">
        <v>3758</v>
      </c>
      <c r="N1136" s="392" t="s">
        <v>7273</v>
      </c>
      <c r="O1136" s="392" t="s">
        <v>7273</v>
      </c>
      <c r="P1136"/>
      <c r="Q1136"/>
      <c r="R1136" s="387">
        <f>VLOOKUP(E1136,'[1]NDB Impacted SPRFs 05032013'!$A$2:$A$65536,1,FALSE)</f>
        <v>400018724</v>
      </c>
    </row>
    <row r="1137" spans="1:21" s="159" customFormat="1" ht="45" x14ac:dyDescent="0.25">
      <c r="A1137" s="63">
        <f>MATCH($E1137,'D1 - Master Project Table'!$B$24:$B$7056,0)</f>
        <v>3248</v>
      </c>
      <c r="B1137" s="63" t="b">
        <f t="shared" si="54"/>
        <v>0</v>
      </c>
      <c r="C1137" s="63" t="b">
        <f t="shared" si="52"/>
        <v>0</v>
      </c>
      <c r="D1137" s="63" t="str">
        <f t="shared" si="53"/>
        <v>OK</v>
      </c>
      <c r="E1137" s="393">
        <v>400056152</v>
      </c>
      <c r="F1137" s="392" t="s">
        <v>7005</v>
      </c>
      <c r="G1137" s="392" t="s">
        <v>5324</v>
      </c>
      <c r="H1137" s="392" t="s">
        <v>4917</v>
      </c>
      <c r="I1137" s="392" t="s">
        <v>1757</v>
      </c>
      <c r="J1137" s="392" t="s">
        <v>8366</v>
      </c>
      <c r="K1137" s="392" t="s">
        <v>5436</v>
      </c>
      <c r="L1137" s="392" t="s">
        <v>9077</v>
      </c>
      <c r="M1137" s="392" t="s">
        <v>7273</v>
      </c>
      <c r="N1137" s="392" t="s">
        <v>7273</v>
      </c>
      <c r="O1137" s="392" t="s">
        <v>7273</v>
      </c>
      <c r="P1137"/>
      <c r="Q1137"/>
      <c r="R1137" s="387">
        <f>VLOOKUP(E1137,'[1]NDB Impacted SPRFs 05032013'!$A$2:$A$65536,1,FALSE)</f>
        <v>400056152</v>
      </c>
      <c r="S1137" s="128"/>
      <c r="T1137" s="128"/>
      <c r="U1137" s="128"/>
    </row>
    <row r="1138" spans="1:21" s="159" customFormat="1" ht="45" x14ac:dyDescent="0.25">
      <c r="A1138" s="63">
        <f>MATCH($E1138,'D1 - Master Project Table'!$B$24:$B$7056,0)</f>
        <v>3249</v>
      </c>
      <c r="B1138" s="63" t="b">
        <f t="shared" si="54"/>
        <v>0</v>
      </c>
      <c r="C1138" s="63" t="b">
        <f t="shared" si="52"/>
        <v>0</v>
      </c>
      <c r="D1138" s="63" t="str">
        <f t="shared" si="53"/>
        <v>OK</v>
      </c>
      <c r="E1138" s="393">
        <v>400056153</v>
      </c>
      <c r="F1138" s="392" t="s">
        <v>7006</v>
      </c>
      <c r="G1138" s="392" t="s">
        <v>5324</v>
      </c>
      <c r="H1138" s="392" t="s">
        <v>4917</v>
      </c>
      <c r="I1138" s="392" t="s">
        <v>1757</v>
      </c>
      <c r="J1138" s="392" t="s">
        <v>8366</v>
      </c>
      <c r="K1138" s="392" t="s">
        <v>5436</v>
      </c>
      <c r="L1138" s="392" t="s">
        <v>9077</v>
      </c>
      <c r="M1138" s="392" t="s">
        <v>7273</v>
      </c>
      <c r="N1138" s="392" t="s">
        <v>7273</v>
      </c>
      <c r="O1138" s="392" t="s">
        <v>7273</v>
      </c>
      <c r="P1138"/>
      <c r="Q1138"/>
      <c r="R1138" s="387">
        <f>VLOOKUP(E1138,'[1]NDB Impacted SPRFs 05032013'!$A$2:$A$65536,1,FALSE)</f>
        <v>400056153</v>
      </c>
      <c r="S1138" s="128"/>
      <c r="T1138" s="128"/>
      <c r="U1138" s="128"/>
    </row>
    <row r="1139" spans="1:21" s="159" customFormat="1" ht="45" x14ac:dyDescent="0.25">
      <c r="A1139" s="63">
        <f>MATCH($E1139,'D1 - Master Project Table'!$B$24:$B$7056,0)</f>
        <v>3250</v>
      </c>
      <c r="B1139" s="63" t="b">
        <f t="shared" si="54"/>
        <v>0</v>
      </c>
      <c r="C1139" s="63" t="b">
        <f t="shared" si="52"/>
        <v>0</v>
      </c>
      <c r="D1139" s="63" t="str">
        <f t="shared" si="53"/>
        <v>OK</v>
      </c>
      <c r="E1139" s="393">
        <v>400056154</v>
      </c>
      <c r="F1139" s="392" t="s">
        <v>7007</v>
      </c>
      <c r="G1139" s="392" t="s">
        <v>5324</v>
      </c>
      <c r="H1139" s="392" t="s">
        <v>4917</v>
      </c>
      <c r="I1139" s="392" t="s">
        <v>1757</v>
      </c>
      <c r="J1139" s="392" t="s">
        <v>8366</v>
      </c>
      <c r="K1139" s="392" t="s">
        <v>5436</v>
      </c>
      <c r="L1139" s="392" t="s">
        <v>9077</v>
      </c>
      <c r="M1139" s="392" t="s">
        <v>7273</v>
      </c>
      <c r="N1139" s="392" t="s">
        <v>7273</v>
      </c>
      <c r="O1139" s="392" t="s">
        <v>7273</v>
      </c>
      <c r="P1139"/>
      <c r="Q1139"/>
      <c r="R1139" s="387">
        <f>VLOOKUP(E1139,'[1]NDB Impacted SPRFs 05032013'!$A$2:$A$65536,1,FALSE)</f>
        <v>400056154</v>
      </c>
    </row>
    <row r="1140" spans="1:21" s="159" customFormat="1" ht="45" customHeight="1" x14ac:dyDescent="0.25">
      <c r="A1140" s="63" t="e">
        <f>MATCH($E1140,'D1 - Master Project Table'!$B$24:$B$7056,0)</f>
        <v>#N/A</v>
      </c>
      <c r="B1140" s="63" t="b">
        <f t="shared" si="54"/>
        <v>1</v>
      </c>
      <c r="C1140" s="63" t="b">
        <f t="shared" si="52"/>
        <v>1</v>
      </c>
      <c r="D1140" s="63" t="str">
        <f t="shared" si="53"/>
        <v>OK</v>
      </c>
      <c r="E1140" s="393">
        <v>210281320</v>
      </c>
      <c r="F1140" s="392" t="s">
        <v>4182</v>
      </c>
      <c r="G1140" s="392" t="s">
        <v>5324</v>
      </c>
      <c r="H1140" s="392" t="s">
        <v>7418</v>
      </c>
      <c r="I1140" s="392" t="s">
        <v>1765</v>
      </c>
      <c r="J1140" s="392" t="s">
        <v>8339</v>
      </c>
      <c r="K1140" s="392" t="s">
        <v>5641</v>
      </c>
      <c r="L1140" s="392" t="s">
        <v>4183</v>
      </c>
      <c r="M1140" s="392" t="s">
        <v>3758</v>
      </c>
      <c r="N1140" s="392" t="s">
        <v>7273</v>
      </c>
      <c r="O1140" s="392" t="s">
        <v>7273</v>
      </c>
      <c r="P1140"/>
      <c r="Q1140"/>
      <c r="R1140" s="387">
        <f>VLOOKUP(E1140,'[1]NDB Impacted SPRFs 05032013'!$A$2:$A$65536,1,FALSE)</f>
        <v>210281320</v>
      </c>
    </row>
    <row r="1141" spans="1:21" s="159" customFormat="1" ht="45" x14ac:dyDescent="0.25">
      <c r="A1141" s="63">
        <f>MATCH($E1141,'D1 - Master Project Table'!$B$24:$B$7056,0)</f>
        <v>1862</v>
      </c>
      <c r="B1141" s="63" t="b">
        <f t="shared" si="54"/>
        <v>0</v>
      </c>
      <c r="C1141" s="63" t="b">
        <f t="shared" si="52"/>
        <v>1</v>
      </c>
      <c r="D1141" s="63" t="str">
        <f t="shared" si="53"/>
        <v>OK</v>
      </c>
      <c r="E1141" s="393">
        <v>400000912</v>
      </c>
      <c r="F1141" s="392" t="s">
        <v>2857</v>
      </c>
      <c r="G1141" s="392" t="s">
        <v>5324</v>
      </c>
      <c r="H1141" s="392" t="s">
        <v>7418</v>
      </c>
      <c r="I1141" s="392" t="s">
        <v>1766</v>
      </c>
      <c r="J1141" s="392" t="s">
        <v>8349</v>
      </c>
      <c r="K1141" s="392" t="s">
        <v>2579</v>
      </c>
      <c r="L1141" s="392" t="s">
        <v>2343</v>
      </c>
      <c r="M1141" s="392" t="s">
        <v>3758</v>
      </c>
      <c r="N1141" s="392" t="s">
        <v>7273</v>
      </c>
      <c r="O1141" s="392" t="s">
        <v>7273</v>
      </c>
      <c r="P1141"/>
      <c r="Q1141"/>
      <c r="R1141" s="387">
        <f>VLOOKUP(E1141,'[1]NDB Impacted SPRFs 05032013'!$A$2:$A$65536,1,FALSE)</f>
        <v>400000912</v>
      </c>
    </row>
    <row r="1142" spans="1:21" s="159" customFormat="1" ht="45" x14ac:dyDescent="0.25">
      <c r="A1142" s="63">
        <f>MATCH($E1142,'D1 - Master Project Table'!$B$24:$B$7056,0)</f>
        <v>2638</v>
      </c>
      <c r="B1142" s="63" t="b">
        <f t="shared" si="54"/>
        <v>0</v>
      </c>
      <c r="C1142" s="63" t="b">
        <f t="shared" si="52"/>
        <v>1</v>
      </c>
      <c r="D1142" s="63" t="str">
        <f t="shared" si="53"/>
        <v>OK</v>
      </c>
      <c r="E1142" s="393">
        <v>400014814</v>
      </c>
      <c r="F1142" s="392" t="s">
        <v>4586</v>
      </c>
      <c r="G1142" s="392" t="s">
        <v>5324</v>
      </c>
      <c r="H1142" s="392" t="s">
        <v>5314</v>
      </c>
      <c r="I1142" s="392" t="s">
        <v>1764</v>
      </c>
      <c r="J1142" s="392" t="s">
        <v>8399</v>
      </c>
      <c r="K1142" s="392" t="s">
        <v>4737</v>
      </c>
      <c r="L1142" s="392" t="s">
        <v>4203</v>
      </c>
      <c r="M1142" s="392" t="s">
        <v>7273</v>
      </c>
      <c r="N1142" s="392" t="s">
        <v>7273</v>
      </c>
      <c r="O1142" s="392" t="s">
        <v>7273</v>
      </c>
      <c r="P1142"/>
      <c r="Q1142"/>
      <c r="R1142" s="387">
        <f>VLOOKUP(E1142,'[1]NDB Impacted SPRFs 05032013'!$A$2:$A$65536,1,FALSE)</f>
        <v>400014814</v>
      </c>
    </row>
    <row r="1143" spans="1:21" s="159" customFormat="1" ht="45" x14ac:dyDescent="0.25">
      <c r="A1143" s="63">
        <f>MATCH($E1143,'D1 - Master Project Table'!$B$24:$B$7056,0)</f>
        <v>2780</v>
      </c>
      <c r="B1143" s="63" t="b">
        <f t="shared" si="54"/>
        <v>0</v>
      </c>
      <c r="C1143" s="63" t="b">
        <f t="shared" si="52"/>
        <v>1</v>
      </c>
      <c r="D1143" s="63" t="str">
        <f t="shared" si="53"/>
        <v>OK</v>
      </c>
      <c r="E1143" s="393">
        <v>400021949</v>
      </c>
      <c r="F1143" s="392" t="s">
        <v>7869</v>
      </c>
      <c r="G1143" s="392" t="s">
        <v>5324</v>
      </c>
      <c r="H1143" s="392" t="s">
        <v>5314</v>
      </c>
      <c r="I1143" s="392" t="s">
        <v>1763</v>
      </c>
      <c r="J1143" s="392" t="s">
        <v>8391</v>
      </c>
      <c r="K1143" s="392" t="s">
        <v>2076</v>
      </c>
      <c r="L1143" s="392" t="s">
        <v>4872</v>
      </c>
      <c r="M1143" s="392" t="s">
        <v>3758</v>
      </c>
      <c r="N1143" s="392" t="s">
        <v>7273</v>
      </c>
      <c r="O1143" s="392" t="s">
        <v>7273</v>
      </c>
      <c r="P1143"/>
      <c r="Q1143"/>
      <c r="R1143" s="387">
        <f>VLOOKUP(E1143,'[1]NDB Impacted SPRFs 05032013'!$A$2:$A$65536,1,FALSE)</f>
        <v>400021949</v>
      </c>
      <c r="S1143" s="128"/>
      <c r="T1143" s="128"/>
      <c r="U1143" s="128"/>
    </row>
    <row r="1144" spans="1:21" s="159" customFormat="1" ht="45" x14ac:dyDescent="0.25">
      <c r="A1144" s="63">
        <f>MATCH($E1144,'D1 - Master Project Table'!$B$24:$B$7056,0)</f>
        <v>1683</v>
      </c>
      <c r="B1144" s="63" t="b">
        <f t="shared" si="54"/>
        <v>0</v>
      </c>
      <c r="C1144" s="63" t="b">
        <f t="shared" si="52"/>
        <v>1</v>
      </c>
      <c r="D1144" s="63" t="str">
        <f t="shared" si="53"/>
        <v>OK</v>
      </c>
      <c r="E1144" s="393">
        <v>400048809</v>
      </c>
      <c r="F1144" s="392" t="s">
        <v>1284</v>
      </c>
      <c r="G1144" s="392" t="s">
        <v>5995</v>
      </c>
      <c r="H1144" s="392" t="s">
        <v>7418</v>
      </c>
      <c r="I1144" s="392" t="s">
        <v>6423</v>
      </c>
      <c r="J1144" s="392" t="s">
        <v>8834</v>
      </c>
      <c r="K1144" s="392" t="s">
        <v>4114</v>
      </c>
      <c r="L1144" s="392" t="s">
        <v>752</v>
      </c>
      <c r="M1144" s="392" t="s">
        <v>7273</v>
      </c>
      <c r="N1144" s="392" t="s">
        <v>7273</v>
      </c>
      <c r="O1144" s="392" t="s">
        <v>7273</v>
      </c>
      <c r="P1144" s="212"/>
      <c r="Q1144"/>
      <c r="R1144" s="387">
        <f>VLOOKUP(E1144,'[1]NDB Impacted SPRFs 05032013'!$A$2:$A$65536,1,FALSE)</f>
        <v>400048809</v>
      </c>
    </row>
    <row r="1145" spans="1:21" s="159" customFormat="1" ht="45" x14ac:dyDescent="0.25">
      <c r="A1145" s="63">
        <f>MATCH($E1145,'D1 - Master Project Table'!$B$24:$B$7056,0)</f>
        <v>1300</v>
      </c>
      <c r="B1145" s="63" t="b">
        <f t="shared" si="54"/>
        <v>0</v>
      </c>
      <c r="C1145" s="63" t="b">
        <f t="shared" si="52"/>
        <v>1</v>
      </c>
      <c r="D1145" s="63" t="str">
        <f t="shared" si="53"/>
        <v>OK</v>
      </c>
      <c r="E1145" s="393">
        <v>400036212</v>
      </c>
      <c r="F1145" s="392" t="s">
        <v>7914</v>
      </c>
      <c r="G1145" s="392" t="s">
        <v>5325</v>
      </c>
      <c r="H1145" s="392" t="s">
        <v>7418</v>
      </c>
      <c r="I1145" s="392" t="s">
        <v>1799</v>
      </c>
      <c r="J1145" s="392" t="s">
        <v>6011</v>
      </c>
      <c r="K1145" s="392" t="s">
        <v>3167</v>
      </c>
      <c r="L1145" s="392" t="s">
        <v>5414</v>
      </c>
      <c r="M1145" s="392" t="s">
        <v>7273</v>
      </c>
      <c r="N1145" s="392" t="s">
        <v>7273</v>
      </c>
      <c r="O1145" s="392" t="s">
        <v>7273</v>
      </c>
      <c r="P1145"/>
      <c r="Q1145"/>
      <c r="R1145" s="387">
        <f>VLOOKUP(E1145,'[1]NDB Impacted SPRFs 05032013'!$A$2:$A$65536,1,FALSE)</f>
        <v>400036212</v>
      </c>
    </row>
    <row r="1146" spans="1:21" s="159" customFormat="1" ht="45" x14ac:dyDescent="0.25">
      <c r="A1146" s="63">
        <f>MATCH($E1146,'D1 - Master Project Table'!$B$24:$B$7056,0)</f>
        <v>1627</v>
      </c>
      <c r="B1146" s="63" t="b">
        <f t="shared" si="54"/>
        <v>0</v>
      </c>
      <c r="C1146" s="63" t="b">
        <f t="shared" si="52"/>
        <v>1</v>
      </c>
      <c r="D1146" s="63" t="str">
        <f t="shared" si="53"/>
        <v>OK</v>
      </c>
      <c r="E1146" s="393">
        <v>400047172</v>
      </c>
      <c r="F1146" s="392" t="s">
        <v>1347</v>
      </c>
      <c r="G1146" s="392" t="s">
        <v>5325</v>
      </c>
      <c r="H1146" s="392" t="s">
        <v>7418</v>
      </c>
      <c r="I1146" s="392" t="s">
        <v>1786</v>
      </c>
      <c r="J1146" s="392" t="s">
        <v>3493</v>
      </c>
      <c r="K1146" s="392" t="s">
        <v>1348</v>
      </c>
      <c r="L1146" s="392" t="s">
        <v>5969</v>
      </c>
      <c r="M1146" s="392" t="s">
        <v>7273</v>
      </c>
      <c r="N1146" s="392" t="s">
        <v>7273</v>
      </c>
      <c r="O1146" s="392" t="s">
        <v>7273</v>
      </c>
      <c r="P1146"/>
      <c r="Q1146"/>
      <c r="R1146" s="387">
        <f>VLOOKUP(E1146,'[1]NDB Impacted SPRFs 05032013'!$A$2:$A$65536,1,FALSE)</f>
        <v>400047172</v>
      </c>
    </row>
    <row r="1147" spans="1:21" s="159" customFormat="1" ht="45" x14ac:dyDescent="0.25">
      <c r="A1147" s="63">
        <f>MATCH($E1147,'D1 - Master Project Table'!$B$24:$B$7056,0)</f>
        <v>1752</v>
      </c>
      <c r="B1147" s="63" t="b">
        <f t="shared" si="54"/>
        <v>0</v>
      </c>
      <c r="C1147" s="63" t="b">
        <f t="shared" si="52"/>
        <v>1</v>
      </c>
      <c r="D1147" s="63" t="str">
        <f t="shared" si="53"/>
        <v>OK</v>
      </c>
      <c r="E1147" s="393">
        <v>400052476</v>
      </c>
      <c r="F1147" s="392" t="s">
        <v>208</v>
      </c>
      <c r="G1147" s="392" t="s">
        <v>5324</v>
      </c>
      <c r="H1147" s="392" t="s">
        <v>7418</v>
      </c>
      <c r="I1147" s="392" t="s">
        <v>1763</v>
      </c>
      <c r="J1147" s="392" t="s">
        <v>8482</v>
      </c>
      <c r="K1147" s="392" t="s">
        <v>8075</v>
      </c>
      <c r="L1147" s="392" t="s">
        <v>209</v>
      </c>
      <c r="M1147" s="392" t="s">
        <v>7273</v>
      </c>
      <c r="N1147" s="392" t="s">
        <v>7273</v>
      </c>
      <c r="O1147" s="392" t="s">
        <v>7273</v>
      </c>
      <c r="P1147"/>
      <c r="Q1147"/>
      <c r="R1147" s="387">
        <f>VLOOKUP(E1147,'[1]NDB Impacted SPRFs 05032013'!$A$2:$A$65536,1,FALSE)</f>
        <v>400052476</v>
      </c>
    </row>
    <row r="1148" spans="1:21" ht="45" x14ac:dyDescent="0.25">
      <c r="A1148" s="63">
        <f>MATCH($E1148,'D1 - Master Project Table'!$B$24:$B$7056,0)</f>
        <v>847</v>
      </c>
      <c r="B1148" s="63" t="b">
        <f t="shared" si="54"/>
        <v>0</v>
      </c>
      <c r="C1148" s="63" t="b">
        <f t="shared" si="52"/>
        <v>1</v>
      </c>
      <c r="D1148" s="63" t="str">
        <f t="shared" si="53"/>
        <v>OK</v>
      </c>
      <c r="E1148" s="393">
        <v>400011083</v>
      </c>
      <c r="F1148" s="392" t="s">
        <v>7853</v>
      </c>
      <c r="G1148" s="392" t="s">
        <v>5324</v>
      </c>
      <c r="H1148" s="392" t="s">
        <v>7418</v>
      </c>
      <c r="I1148" s="392" t="s">
        <v>1756</v>
      </c>
      <c r="J1148" s="392" t="s">
        <v>8394</v>
      </c>
      <c r="K1148" s="392" t="s">
        <v>5988</v>
      </c>
      <c r="L1148" s="392" t="s">
        <v>3577</v>
      </c>
      <c r="M1148" s="392" t="s">
        <v>7273</v>
      </c>
      <c r="N1148" s="392" t="s">
        <v>7273</v>
      </c>
      <c r="O1148" s="392" t="s">
        <v>3758</v>
      </c>
      <c r="P1148"/>
      <c r="Q1148"/>
      <c r="R1148" s="387">
        <f>VLOOKUP(E1148,'[1]NDB Impacted SPRFs 05032013'!$A$2:$A$65536,1,FALSE)</f>
        <v>400011083</v>
      </c>
      <c r="S1148" s="159"/>
      <c r="T1148" s="159"/>
      <c r="U1148" s="159"/>
    </row>
    <row r="1149" spans="1:21" s="159" customFormat="1" ht="45" x14ac:dyDescent="0.25">
      <c r="A1149" s="63" t="e">
        <f>MATCH($E1149,'D1 - Master Project Table'!$B$24:$B$7056,0)</f>
        <v>#N/A</v>
      </c>
      <c r="B1149" s="63" t="b">
        <f t="shared" si="54"/>
        <v>1</v>
      </c>
      <c r="C1149" s="63" t="b">
        <f t="shared" si="52"/>
        <v>1</v>
      </c>
      <c r="D1149" s="63" t="str">
        <f t="shared" si="53"/>
        <v>OK</v>
      </c>
      <c r="E1149" s="393">
        <v>400016872</v>
      </c>
      <c r="F1149" s="392" t="s">
        <v>3393</v>
      </c>
      <c r="G1149" s="392" t="s">
        <v>5324</v>
      </c>
      <c r="H1149" s="392" t="s">
        <v>5314</v>
      </c>
      <c r="I1149" s="392" t="s">
        <v>1756</v>
      </c>
      <c r="J1149" s="392" t="s">
        <v>2425</v>
      </c>
      <c r="K1149" s="392" t="s">
        <v>2508</v>
      </c>
      <c r="L1149" s="392" t="s">
        <v>5488</v>
      </c>
      <c r="M1149" s="392" t="s">
        <v>7273</v>
      </c>
      <c r="N1149" s="392" t="s">
        <v>7273</v>
      </c>
      <c r="O1149" s="392" t="s">
        <v>7273</v>
      </c>
      <c r="P1149"/>
      <c r="Q1149"/>
      <c r="R1149" s="387">
        <f>VLOOKUP(E1149,'[1]NDB Impacted SPRFs 05032013'!$A$2:$A$65536,1,FALSE)</f>
        <v>400016872</v>
      </c>
    </row>
    <row r="1150" spans="1:21" s="159" customFormat="1" ht="45" x14ac:dyDescent="0.25">
      <c r="A1150" s="63" t="e">
        <f>MATCH($E1150,'D1 - Master Project Table'!$B$24:$B$7056,0)</f>
        <v>#N/A</v>
      </c>
      <c r="B1150" s="63" t="b">
        <f t="shared" si="54"/>
        <v>1</v>
      </c>
      <c r="C1150" s="63" t="b">
        <f t="shared" si="52"/>
        <v>1</v>
      </c>
      <c r="D1150" s="63" t="str">
        <f t="shared" si="53"/>
        <v>OK</v>
      </c>
      <c r="E1150" s="393">
        <v>400003548</v>
      </c>
      <c r="F1150" s="392" t="s">
        <v>6386</v>
      </c>
      <c r="G1150" s="392" t="s">
        <v>5787</v>
      </c>
      <c r="H1150" s="392" t="s">
        <v>7418</v>
      </c>
      <c r="I1150" s="392" t="s">
        <v>1778</v>
      </c>
      <c r="J1150" s="392" t="s">
        <v>8460</v>
      </c>
      <c r="K1150" s="392" t="s">
        <v>6260</v>
      </c>
      <c r="L1150" s="392" t="s">
        <v>7949</v>
      </c>
      <c r="M1150" s="392" t="s">
        <v>3758</v>
      </c>
      <c r="N1150" s="392" t="s">
        <v>7273</v>
      </c>
      <c r="O1150" s="392" t="s">
        <v>7273</v>
      </c>
      <c r="P1150"/>
      <c r="Q1150"/>
      <c r="R1150" s="387">
        <f>VLOOKUP(E1150,'[1]NDB Impacted SPRFs 05032013'!$A$2:$A$65536,1,FALSE)</f>
        <v>400003548</v>
      </c>
    </row>
    <row r="1151" spans="1:21" ht="45" x14ac:dyDescent="0.25">
      <c r="A1151" s="63">
        <f>MATCH($E1151,'D1 - Master Project Table'!$B$24:$B$7056,0)</f>
        <v>1164</v>
      </c>
      <c r="B1151" s="63" t="b">
        <f t="shared" si="54"/>
        <v>0</v>
      </c>
      <c r="C1151" s="63" t="b">
        <f t="shared" si="52"/>
        <v>1</v>
      </c>
      <c r="D1151" s="63" t="str">
        <f t="shared" si="53"/>
        <v>OK</v>
      </c>
      <c r="E1151" s="393">
        <v>400031504</v>
      </c>
      <c r="F1151" s="392" t="s">
        <v>6091</v>
      </c>
      <c r="G1151" s="392" t="s">
        <v>5325</v>
      </c>
      <c r="H1151" s="392" t="s">
        <v>7418</v>
      </c>
      <c r="I1151" s="392" t="s">
        <v>6419</v>
      </c>
      <c r="J1151" s="392" t="s">
        <v>2505</v>
      </c>
      <c r="K1151" s="392" t="s">
        <v>6585</v>
      </c>
      <c r="L1151" s="392" t="s">
        <v>5317</v>
      </c>
      <c r="M1151" s="392" t="s">
        <v>3758</v>
      </c>
      <c r="N1151" s="392" t="s">
        <v>7273</v>
      </c>
      <c r="O1151" s="392" t="s">
        <v>7273</v>
      </c>
      <c r="P1151"/>
      <c r="Q1151"/>
      <c r="R1151" s="387">
        <f>VLOOKUP(E1151,'[1]NDB Impacted SPRFs 05032013'!$A$2:$A$65536,1,FALSE)</f>
        <v>400031504</v>
      </c>
    </row>
    <row r="1152" spans="1:21" ht="45" x14ac:dyDescent="0.25">
      <c r="A1152" s="63">
        <f>MATCH($E1152,'D1 - Master Project Table'!$B$24:$B$7056,0)</f>
        <v>2459</v>
      </c>
      <c r="B1152" s="63" t="b">
        <f t="shared" si="54"/>
        <v>0</v>
      </c>
      <c r="C1152" s="63" t="b">
        <f t="shared" si="52"/>
        <v>1</v>
      </c>
      <c r="D1152" s="63" t="str">
        <f t="shared" si="53"/>
        <v>OK</v>
      </c>
      <c r="E1152" s="393">
        <v>400004379</v>
      </c>
      <c r="F1152" s="392" t="s">
        <v>7462</v>
      </c>
      <c r="G1152" s="392" t="s">
        <v>5787</v>
      </c>
      <c r="H1152" s="392" t="s">
        <v>5314</v>
      </c>
      <c r="I1152" s="392" t="s">
        <v>6869</v>
      </c>
      <c r="J1152" s="392" t="s">
        <v>8659</v>
      </c>
      <c r="K1152" s="392" t="s">
        <v>1419</v>
      </c>
      <c r="L1152" s="392" t="s">
        <v>5313</v>
      </c>
      <c r="M1152" s="392" t="s">
        <v>7273</v>
      </c>
      <c r="N1152" s="392" t="s">
        <v>7273</v>
      </c>
      <c r="O1152" s="392" t="s">
        <v>7273</v>
      </c>
      <c r="P1152"/>
      <c r="Q1152"/>
      <c r="R1152" s="387">
        <f>VLOOKUP(E1152,'[1]NDB Impacted SPRFs 05032013'!$A$2:$A$65536,1,FALSE)</f>
        <v>400004379</v>
      </c>
      <c r="S1152" s="159"/>
      <c r="T1152" s="159"/>
      <c r="U1152" s="159"/>
    </row>
    <row r="1153" spans="1:21" ht="45" x14ac:dyDescent="0.25">
      <c r="A1153" s="63">
        <f>MATCH($E1153,'D1 - Master Project Table'!$B$24:$B$7056,0)</f>
        <v>1142</v>
      </c>
      <c r="B1153" s="63" t="b">
        <f t="shared" si="54"/>
        <v>0</v>
      </c>
      <c r="C1153" s="63" t="b">
        <f t="shared" si="52"/>
        <v>1</v>
      </c>
      <c r="D1153" s="63" t="str">
        <f t="shared" si="53"/>
        <v>OK</v>
      </c>
      <c r="E1153" s="393">
        <v>400028281</v>
      </c>
      <c r="F1153" s="392" t="s">
        <v>8059</v>
      </c>
      <c r="G1153" s="392" t="s">
        <v>5325</v>
      </c>
      <c r="H1153" s="392" t="s">
        <v>7418</v>
      </c>
      <c r="I1153" s="392" t="s">
        <v>6419</v>
      </c>
      <c r="J1153" s="392" t="s">
        <v>8287</v>
      </c>
      <c r="K1153" s="392" t="s">
        <v>6585</v>
      </c>
      <c r="L1153" s="392" t="s">
        <v>7613</v>
      </c>
      <c r="M1153" s="392" t="s">
        <v>3758</v>
      </c>
      <c r="N1153" s="392" t="s">
        <v>7273</v>
      </c>
      <c r="O1153" s="392" t="s">
        <v>7273</v>
      </c>
      <c r="P1153"/>
      <c r="Q1153"/>
      <c r="R1153" s="387">
        <f>VLOOKUP(E1153,'[1]NDB Impacted SPRFs 05032013'!$A$2:$A$65536,1,FALSE)</f>
        <v>400028281</v>
      </c>
      <c r="S1153" s="159"/>
      <c r="T1153" s="159"/>
      <c r="U1153" s="159"/>
    </row>
    <row r="1154" spans="1:21" s="159" customFormat="1" ht="45" x14ac:dyDescent="0.25">
      <c r="A1154" s="63">
        <f>MATCH($E1154,'D1 - Master Project Table'!$B$24:$B$7056,0)</f>
        <v>1145</v>
      </c>
      <c r="B1154" s="63" t="b">
        <f t="shared" si="54"/>
        <v>0</v>
      </c>
      <c r="C1154" s="63" t="b">
        <f t="shared" si="52"/>
        <v>1</v>
      </c>
      <c r="D1154" s="63" t="str">
        <f t="shared" si="53"/>
        <v>OK</v>
      </c>
      <c r="E1154" s="393">
        <v>400029187</v>
      </c>
      <c r="F1154" s="392" t="s">
        <v>2892</v>
      </c>
      <c r="G1154" s="392" t="s">
        <v>5001</v>
      </c>
      <c r="H1154" s="392" t="s">
        <v>7418</v>
      </c>
      <c r="I1154" s="392" t="s">
        <v>3540</v>
      </c>
      <c r="J1154" s="392" t="s">
        <v>8753</v>
      </c>
      <c r="K1154" s="392" t="s">
        <v>7043</v>
      </c>
      <c r="L1154" s="392" t="s">
        <v>8002</v>
      </c>
      <c r="M1154" s="392" t="s">
        <v>7273</v>
      </c>
      <c r="N1154" s="392" t="s">
        <v>7273</v>
      </c>
      <c r="O1154" s="392" t="s">
        <v>7273</v>
      </c>
      <c r="P1154"/>
      <c r="Q1154"/>
      <c r="R1154" s="387">
        <f>VLOOKUP(E1154,'[1]NDB Impacted SPRFs 05032013'!$A$2:$A$65536,1,FALSE)</f>
        <v>400029187</v>
      </c>
    </row>
    <row r="1155" spans="1:21" s="159" customFormat="1" ht="45" x14ac:dyDescent="0.25">
      <c r="A1155" s="63">
        <f>MATCH($E1155,'D1 - Master Project Table'!$B$24:$B$7056,0)</f>
        <v>846</v>
      </c>
      <c r="B1155" s="63" t="b">
        <f t="shared" si="54"/>
        <v>0</v>
      </c>
      <c r="C1155" s="63" t="b">
        <f t="shared" si="52"/>
        <v>1</v>
      </c>
      <c r="D1155" s="63" t="str">
        <f t="shared" si="53"/>
        <v>OK</v>
      </c>
      <c r="E1155" s="393">
        <v>400011082</v>
      </c>
      <c r="F1155" s="392" t="s">
        <v>4177</v>
      </c>
      <c r="G1155" s="392" t="s">
        <v>5324</v>
      </c>
      <c r="H1155" s="392" t="s">
        <v>7418</v>
      </c>
      <c r="I1155" s="392" t="s">
        <v>1756</v>
      </c>
      <c r="J1155" s="392" t="s">
        <v>8394</v>
      </c>
      <c r="K1155" s="392" t="s">
        <v>5988</v>
      </c>
      <c r="L1155" s="392" t="s">
        <v>5253</v>
      </c>
      <c r="M1155" s="392" t="s">
        <v>7273</v>
      </c>
      <c r="N1155" s="392" t="s">
        <v>7273</v>
      </c>
      <c r="O1155" s="392" t="s">
        <v>3758</v>
      </c>
      <c r="P1155"/>
      <c r="Q1155"/>
      <c r="R1155" s="387">
        <f>VLOOKUP(E1155,'[1]NDB Impacted SPRFs 05032013'!$A$2:$A$65536,1,FALSE)</f>
        <v>400011082</v>
      </c>
    </row>
    <row r="1156" spans="1:21" s="159" customFormat="1" ht="45" x14ac:dyDescent="0.25">
      <c r="A1156" s="63">
        <f>MATCH($E1156,'D1 - Master Project Table'!$B$24:$B$7056,0)</f>
        <v>2254</v>
      </c>
      <c r="B1156" s="63" t="b">
        <f t="shared" si="54"/>
        <v>0</v>
      </c>
      <c r="C1156" s="63" t="b">
        <f t="shared" si="52"/>
        <v>1</v>
      </c>
      <c r="D1156" s="63" t="str">
        <f t="shared" si="53"/>
        <v>OK</v>
      </c>
      <c r="E1156" s="393">
        <v>400030275</v>
      </c>
      <c r="F1156" s="392" t="s">
        <v>5079</v>
      </c>
      <c r="G1156" s="392" t="s">
        <v>5001</v>
      </c>
      <c r="H1156" s="392" t="s">
        <v>7418</v>
      </c>
      <c r="I1156" s="392" t="s">
        <v>3540</v>
      </c>
      <c r="J1156" s="392" t="s">
        <v>3220</v>
      </c>
      <c r="K1156" s="392" t="s">
        <v>5080</v>
      </c>
      <c r="L1156" s="392" t="s">
        <v>716</v>
      </c>
      <c r="M1156" s="392" t="s">
        <v>7273</v>
      </c>
      <c r="N1156" s="392" t="s">
        <v>7273</v>
      </c>
      <c r="O1156" s="392" t="s">
        <v>7273</v>
      </c>
      <c r="P1156"/>
      <c r="Q1156"/>
      <c r="R1156" s="387">
        <f>VLOOKUP(E1156,'[1]NDB Impacted SPRFs 05032013'!$A$2:$A$65536,1,FALSE)</f>
        <v>400030275</v>
      </c>
      <c r="S1156" s="128"/>
      <c r="T1156" s="128"/>
      <c r="U1156" s="128"/>
    </row>
    <row r="1157" spans="1:21" s="159" customFormat="1" ht="45" x14ac:dyDescent="0.25">
      <c r="A1157" s="63">
        <f>MATCH($E1157,'D1 - Master Project Table'!$B$24:$B$7056,0)</f>
        <v>2903</v>
      </c>
      <c r="B1157" s="63" t="b">
        <f t="shared" si="54"/>
        <v>0</v>
      </c>
      <c r="C1157" s="63" t="b">
        <f t="shared" si="52"/>
        <v>1</v>
      </c>
      <c r="D1157" s="63" t="str">
        <f t="shared" si="53"/>
        <v>OK</v>
      </c>
      <c r="E1157" s="393">
        <v>400030803</v>
      </c>
      <c r="F1157" s="392" t="s">
        <v>3825</v>
      </c>
      <c r="G1157" s="392" t="s">
        <v>5324</v>
      </c>
      <c r="H1157" s="392" t="s">
        <v>5314</v>
      </c>
      <c r="I1157" s="392" t="s">
        <v>1758</v>
      </c>
      <c r="J1157" s="392" t="s">
        <v>8292</v>
      </c>
      <c r="K1157" s="392" t="s">
        <v>7877</v>
      </c>
      <c r="L1157" s="392" t="s">
        <v>2353</v>
      </c>
      <c r="M1157" s="392" t="s">
        <v>3758</v>
      </c>
      <c r="N1157" s="392" t="s">
        <v>7273</v>
      </c>
      <c r="O1157" s="392" t="s">
        <v>7273</v>
      </c>
      <c r="P1157"/>
      <c r="Q1157"/>
      <c r="R1157" s="387">
        <f>VLOOKUP(E1157,'[1]NDB Impacted SPRFs 05032013'!$A$2:$A$65536,1,FALSE)</f>
        <v>400030803</v>
      </c>
    </row>
    <row r="1158" spans="1:21" s="159" customFormat="1" ht="45" x14ac:dyDescent="0.25">
      <c r="A1158" s="63">
        <f>MATCH($E1158,'D1 - Master Project Table'!$B$24:$B$7056,0)</f>
        <v>1811</v>
      </c>
      <c r="B1158" s="63" t="b">
        <f t="shared" si="54"/>
        <v>0</v>
      </c>
      <c r="C1158" s="63" t="b">
        <f t="shared" ref="C1158:C1221" si="55">OR(H1158="Completed",H1158="Cancelled")</f>
        <v>0</v>
      </c>
      <c r="D1158" s="63" t="str">
        <f t="shared" ref="D1158:D1221" si="56">IF(AND(B1158=TRUE,C1158=FALSE),"Add","OK")</f>
        <v>OK</v>
      </c>
      <c r="E1158" s="393">
        <v>400051300</v>
      </c>
      <c r="F1158" s="392" t="s">
        <v>2143</v>
      </c>
      <c r="G1158" s="392" t="s">
        <v>5324</v>
      </c>
      <c r="H1158" s="392" t="s">
        <v>4917</v>
      </c>
      <c r="I1158" s="392" t="s">
        <v>862</v>
      </c>
      <c r="J1158" s="392" t="s">
        <v>1586</v>
      </c>
      <c r="K1158" s="392" t="s">
        <v>2144</v>
      </c>
      <c r="L1158" s="392" t="s">
        <v>860</v>
      </c>
      <c r="M1158" s="392" t="s">
        <v>7273</v>
      </c>
      <c r="N1158" s="392" t="s">
        <v>7273</v>
      </c>
      <c r="O1158" s="392" t="s">
        <v>7273</v>
      </c>
      <c r="P1158"/>
      <c r="Q1158"/>
      <c r="R1158" s="387">
        <f>VLOOKUP(E1158,'[1]NDB Impacted SPRFs 05032013'!$A$2:$A$65536,1,FALSE)</f>
        <v>400051300</v>
      </c>
    </row>
    <row r="1159" spans="1:21" s="159" customFormat="1" ht="45" x14ac:dyDescent="0.25">
      <c r="A1159" s="63">
        <f>MATCH($E1159,'D1 - Master Project Table'!$B$24:$B$7056,0)</f>
        <v>3136</v>
      </c>
      <c r="B1159" s="63" t="b">
        <f t="shared" si="54"/>
        <v>0</v>
      </c>
      <c r="C1159" s="63" t="b">
        <f t="shared" si="55"/>
        <v>1</v>
      </c>
      <c r="D1159" s="63" t="str">
        <f t="shared" si="56"/>
        <v>OK</v>
      </c>
      <c r="E1159" s="393">
        <v>400054610</v>
      </c>
      <c r="F1159" s="392" t="s">
        <v>947</v>
      </c>
      <c r="G1159" s="392" t="s">
        <v>6322</v>
      </c>
      <c r="H1159" s="392" t="s">
        <v>5314</v>
      </c>
      <c r="I1159" s="392" t="s">
        <v>1758</v>
      </c>
      <c r="J1159" s="392" t="s">
        <v>8635</v>
      </c>
      <c r="K1159" s="392" t="s">
        <v>2365</v>
      </c>
      <c r="L1159" s="392" t="s">
        <v>5117</v>
      </c>
      <c r="M1159" s="392" t="s">
        <v>7273</v>
      </c>
      <c r="N1159" s="392" t="s">
        <v>7273</v>
      </c>
      <c r="O1159" s="392" t="s">
        <v>7273</v>
      </c>
      <c r="P1159"/>
      <c r="Q1159"/>
      <c r="R1159" s="387">
        <f>VLOOKUP(E1159,'[1]NDB Impacted SPRFs 05032013'!$A$2:$A$65536,1,FALSE)</f>
        <v>400054610</v>
      </c>
      <c r="S1159" s="128"/>
      <c r="T1159" s="128"/>
      <c r="U1159" s="128"/>
    </row>
    <row r="1160" spans="1:21" s="159" customFormat="1" ht="45" customHeight="1" x14ac:dyDescent="0.25">
      <c r="A1160" s="63">
        <f>MATCH($E1160,'D1 - Master Project Table'!$B$24:$B$7056,0)</f>
        <v>1869</v>
      </c>
      <c r="B1160" s="63" t="b">
        <f t="shared" si="54"/>
        <v>0</v>
      </c>
      <c r="C1160" s="63" t="b">
        <f t="shared" si="55"/>
        <v>1</v>
      </c>
      <c r="D1160" s="63" t="str">
        <f t="shared" si="56"/>
        <v>OK</v>
      </c>
      <c r="E1160" s="393">
        <v>400002577</v>
      </c>
      <c r="F1160" s="392" t="s">
        <v>7389</v>
      </c>
      <c r="G1160" s="392" t="s">
        <v>5995</v>
      </c>
      <c r="H1160" s="392" t="s">
        <v>7418</v>
      </c>
      <c r="I1160" s="392" t="s">
        <v>3530</v>
      </c>
      <c r="J1160" s="392" t="s">
        <v>8816</v>
      </c>
      <c r="K1160" s="392" t="s">
        <v>7234</v>
      </c>
      <c r="L1160" s="392" t="s">
        <v>7348</v>
      </c>
      <c r="M1160" s="392" t="s">
        <v>3758</v>
      </c>
      <c r="N1160" s="392" t="s">
        <v>7273</v>
      </c>
      <c r="O1160" s="392" t="s">
        <v>7273</v>
      </c>
      <c r="P1160"/>
      <c r="Q1160"/>
      <c r="R1160" s="387">
        <f>VLOOKUP(E1160,'[1]NDB Impacted SPRFs 05032013'!$A$2:$A$65536,1,FALSE)</f>
        <v>400002577</v>
      </c>
    </row>
    <row r="1161" spans="1:21" ht="45" x14ac:dyDescent="0.25">
      <c r="A1161" s="63">
        <f>MATCH($E1161,'D1 - Master Project Table'!$B$24:$B$7056,0)</f>
        <v>576</v>
      </c>
      <c r="B1161" s="63" t="b">
        <f t="shared" si="54"/>
        <v>0</v>
      </c>
      <c r="C1161" s="63" t="b">
        <f t="shared" si="55"/>
        <v>1</v>
      </c>
      <c r="D1161" s="63" t="str">
        <f t="shared" si="56"/>
        <v>OK</v>
      </c>
      <c r="E1161" s="393">
        <v>400008008</v>
      </c>
      <c r="F1161" s="392" t="s">
        <v>6621</v>
      </c>
      <c r="G1161" s="392" t="s">
        <v>3441</v>
      </c>
      <c r="H1161" s="392" t="s">
        <v>7418</v>
      </c>
      <c r="I1161" s="392" t="s">
        <v>1769</v>
      </c>
      <c r="J1161" s="392" t="s">
        <v>3843</v>
      </c>
      <c r="K1161" s="392" t="s">
        <v>5541</v>
      </c>
      <c r="L1161" s="392" t="s">
        <v>3436</v>
      </c>
      <c r="M1161" s="392" t="s">
        <v>3758</v>
      </c>
      <c r="N1161" s="392" t="s">
        <v>7273</v>
      </c>
      <c r="O1161" s="392" t="s">
        <v>7273</v>
      </c>
      <c r="P1161"/>
      <c r="Q1161"/>
      <c r="R1161" s="387">
        <f>VLOOKUP(E1161,'[1]NDB Impacted SPRFs 05032013'!$A$2:$A$65536,1,FALSE)</f>
        <v>400008008</v>
      </c>
      <c r="S1161" s="159"/>
      <c r="T1161" s="159"/>
      <c r="U1161" s="159"/>
    </row>
    <row r="1162" spans="1:21" s="159" customFormat="1" ht="45" x14ac:dyDescent="0.25">
      <c r="A1162" s="63">
        <f>MATCH($E1162,'D1 - Master Project Table'!$B$24:$B$7056,0)</f>
        <v>1983</v>
      </c>
      <c r="B1162" s="63" t="b">
        <f t="shared" si="54"/>
        <v>0</v>
      </c>
      <c r="C1162" s="63" t="b">
        <f t="shared" si="55"/>
        <v>1</v>
      </c>
      <c r="D1162" s="63" t="str">
        <f t="shared" si="56"/>
        <v>OK</v>
      </c>
      <c r="E1162" s="393">
        <v>400027485</v>
      </c>
      <c r="F1162" s="392" t="s">
        <v>3416</v>
      </c>
      <c r="G1162" s="392" t="s">
        <v>5324</v>
      </c>
      <c r="H1162" s="392" t="s">
        <v>7418</v>
      </c>
      <c r="I1162" s="392" t="s">
        <v>1758</v>
      </c>
      <c r="J1162" s="392" t="s">
        <v>8311</v>
      </c>
      <c r="K1162" s="392" t="s">
        <v>5921</v>
      </c>
      <c r="L1162" s="392" t="s">
        <v>814</v>
      </c>
      <c r="M1162" s="392" t="s">
        <v>3758</v>
      </c>
      <c r="N1162" s="392" t="s">
        <v>7273</v>
      </c>
      <c r="O1162" s="392" t="s">
        <v>7273</v>
      </c>
      <c r="P1162"/>
      <c r="Q1162"/>
      <c r="R1162" s="387">
        <f>VLOOKUP(E1162,'[1]NDB Impacted SPRFs 05032013'!$A$2:$A$65536,1,FALSE)</f>
        <v>400027485</v>
      </c>
    </row>
    <row r="1163" spans="1:21" s="159" customFormat="1" ht="45" x14ac:dyDescent="0.25">
      <c r="A1163" s="63">
        <f>MATCH($E1163,'D1 - Master Project Table'!$B$24:$B$7056,0)</f>
        <v>3043</v>
      </c>
      <c r="B1163" s="63" t="b">
        <f t="shared" si="54"/>
        <v>0</v>
      </c>
      <c r="C1163" s="63" t="b">
        <f t="shared" si="55"/>
        <v>1</v>
      </c>
      <c r="D1163" s="63" t="str">
        <f t="shared" si="56"/>
        <v>OK</v>
      </c>
      <c r="E1163" s="393">
        <v>400042821</v>
      </c>
      <c r="F1163" s="392" t="s">
        <v>5282</v>
      </c>
      <c r="G1163" s="392" t="s">
        <v>5325</v>
      </c>
      <c r="H1163" s="392" t="s">
        <v>5314</v>
      </c>
      <c r="I1163" s="392" t="s">
        <v>6419</v>
      </c>
      <c r="J1163" s="392" t="s">
        <v>6584</v>
      </c>
      <c r="K1163" s="392" t="s">
        <v>6585</v>
      </c>
      <c r="L1163" s="392" t="s">
        <v>7573</v>
      </c>
      <c r="M1163" s="392" t="s">
        <v>7273</v>
      </c>
      <c r="N1163" s="392" t="s">
        <v>7273</v>
      </c>
      <c r="O1163" s="392" t="s">
        <v>7273</v>
      </c>
      <c r="P1163"/>
      <c r="Q1163"/>
      <c r="R1163" s="387">
        <f>VLOOKUP(E1163,'[1]NDB Impacted SPRFs 05032013'!$A$2:$A$65536,1,FALSE)</f>
        <v>400042821</v>
      </c>
      <c r="S1163" s="128"/>
      <c r="T1163" s="128"/>
      <c r="U1163" s="128"/>
    </row>
    <row r="1164" spans="1:21" s="159" customFormat="1" ht="45" x14ac:dyDescent="0.25">
      <c r="A1164" s="63">
        <f>MATCH($E1164,'D1 - Master Project Table'!$B$24:$B$7056,0)</f>
        <v>1771</v>
      </c>
      <c r="B1164" s="63" t="b">
        <f t="shared" si="54"/>
        <v>0</v>
      </c>
      <c r="C1164" s="63" t="b">
        <f t="shared" si="55"/>
        <v>1</v>
      </c>
      <c r="D1164" s="63" t="str">
        <f t="shared" si="56"/>
        <v>OK</v>
      </c>
      <c r="E1164" s="393">
        <v>400050457</v>
      </c>
      <c r="F1164" s="392" t="s">
        <v>3456</v>
      </c>
      <c r="G1164" s="392" t="s">
        <v>9210</v>
      </c>
      <c r="H1164" s="392" t="s">
        <v>7418</v>
      </c>
      <c r="I1164" s="392" t="s">
        <v>2655</v>
      </c>
      <c r="J1164" s="392" t="s">
        <v>2189</v>
      </c>
      <c r="K1164" s="392" t="s">
        <v>6986</v>
      </c>
      <c r="L1164" s="392" t="s">
        <v>68</v>
      </c>
      <c r="M1164" s="392" t="s">
        <v>3758</v>
      </c>
      <c r="N1164" s="392" t="s">
        <v>7273</v>
      </c>
      <c r="O1164" s="392" t="s">
        <v>7273</v>
      </c>
      <c r="P1164"/>
      <c r="Q1164"/>
      <c r="R1164" s="387">
        <f>VLOOKUP(E1164,'[1]NDB Impacted SPRFs 05032013'!$A$2:$A$65536,1,FALSE)</f>
        <v>400050457</v>
      </c>
    </row>
    <row r="1165" spans="1:21" ht="45" x14ac:dyDescent="0.25">
      <c r="A1165" s="63">
        <f>MATCH($E1165,'D1 - Master Project Table'!$B$24:$B$7056,0)</f>
        <v>121</v>
      </c>
      <c r="B1165" s="63" t="b">
        <f t="shared" si="54"/>
        <v>0</v>
      </c>
      <c r="C1165" s="63" t="b">
        <f t="shared" si="55"/>
        <v>0</v>
      </c>
      <c r="D1165" s="63" t="str">
        <f t="shared" si="56"/>
        <v>OK</v>
      </c>
      <c r="E1165" s="393">
        <v>400054607</v>
      </c>
      <c r="F1165" s="392" t="s">
        <v>946</v>
      </c>
      <c r="G1165" s="392" t="s">
        <v>6322</v>
      </c>
      <c r="H1165" s="392" t="s">
        <v>4917</v>
      </c>
      <c r="I1165" s="392" t="s">
        <v>1758</v>
      </c>
      <c r="J1165" s="392" t="s">
        <v>8636</v>
      </c>
      <c r="K1165" s="392" t="s">
        <v>2365</v>
      </c>
      <c r="L1165" s="392" t="s">
        <v>9320</v>
      </c>
      <c r="M1165" s="392" t="s">
        <v>7273</v>
      </c>
      <c r="N1165" s="392" t="s">
        <v>7273</v>
      </c>
      <c r="O1165" s="392" t="s">
        <v>7273</v>
      </c>
      <c r="P1165"/>
      <c r="Q1165"/>
      <c r="R1165" s="387">
        <f>VLOOKUP(E1165,'[1]NDB Impacted SPRFs 05032013'!$A$2:$A$65536,1,FALSE)</f>
        <v>400054607</v>
      </c>
      <c r="S1165" s="159"/>
      <c r="T1165" s="159"/>
      <c r="U1165" s="159"/>
    </row>
    <row r="1166" spans="1:21" s="159" customFormat="1" ht="45" x14ac:dyDescent="0.25">
      <c r="A1166" s="63" t="e">
        <f>MATCH($E1166,'D1 - Master Project Table'!$B$24:$B$7056,0)</f>
        <v>#N/A</v>
      </c>
      <c r="B1166" s="63" t="b">
        <f t="shared" si="54"/>
        <v>1</v>
      </c>
      <c r="C1166" s="63" t="b">
        <f t="shared" si="55"/>
        <v>1</v>
      </c>
      <c r="D1166" s="63" t="str">
        <f t="shared" si="56"/>
        <v>OK</v>
      </c>
      <c r="E1166" s="393">
        <v>400015236</v>
      </c>
      <c r="F1166" s="392" t="s">
        <v>6576</v>
      </c>
      <c r="G1166" s="392" t="s">
        <v>3441</v>
      </c>
      <c r="H1166" s="392" t="s">
        <v>5314</v>
      </c>
      <c r="I1166" s="392" t="s">
        <v>1769</v>
      </c>
      <c r="J1166" s="392" t="s">
        <v>4990</v>
      </c>
      <c r="K1166" s="392" t="s">
        <v>2447</v>
      </c>
      <c r="L1166" s="392" t="s">
        <v>6349</v>
      </c>
      <c r="M1166" s="392" t="s">
        <v>7273</v>
      </c>
      <c r="N1166" s="392" t="s">
        <v>7273</v>
      </c>
      <c r="O1166" s="392" t="s">
        <v>3758</v>
      </c>
      <c r="P1166"/>
      <c r="Q1166"/>
      <c r="R1166" s="387">
        <f>VLOOKUP(E1166,'[1]NDB Impacted SPRFs 05032013'!$A$2:$A$65536,1,FALSE)</f>
        <v>400015236</v>
      </c>
    </row>
    <row r="1167" spans="1:21" s="159" customFormat="1" ht="45" x14ac:dyDescent="0.25">
      <c r="A1167" s="63">
        <f>MATCH($E1167,'D1 - Master Project Table'!$B$24:$B$7056,0)</f>
        <v>2764</v>
      </c>
      <c r="B1167" s="147" t="b">
        <f t="shared" si="54"/>
        <v>0</v>
      </c>
      <c r="C1167" s="147" t="b">
        <f t="shared" si="55"/>
        <v>1</v>
      </c>
      <c r="D1167" s="147" t="str">
        <f t="shared" si="56"/>
        <v>OK</v>
      </c>
      <c r="E1167" s="393">
        <v>400021423</v>
      </c>
      <c r="F1167" s="392" t="s">
        <v>2587</v>
      </c>
      <c r="G1167" s="392" t="s">
        <v>5324</v>
      </c>
      <c r="H1167" s="392" t="s">
        <v>5314</v>
      </c>
      <c r="I1167" s="392" t="s">
        <v>1759</v>
      </c>
      <c r="J1167" s="392" t="s">
        <v>5168</v>
      </c>
      <c r="K1167" s="392" t="s">
        <v>2819</v>
      </c>
      <c r="L1167" s="392" t="s">
        <v>3662</v>
      </c>
      <c r="M1167" s="392" t="s">
        <v>7273</v>
      </c>
      <c r="N1167" s="392" t="s">
        <v>7273</v>
      </c>
      <c r="O1167" s="392" t="s">
        <v>7273</v>
      </c>
      <c r="P1167"/>
      <c r="Q1167"/>
      <c r="R1167" s="387">
        <f>VLOOKUP(E1167,'[1]NDB Impacted SPRFs 05032013'!$A$2:$A$65536,1,FALSE)</f>
        <v>400021423</v>
      </c>
    </row>
    <row r="1168" spans="1:21" s="159" customFormat="1" ht="45" x14ac:dyDescent="0.25">
      <c r="A1168" s="63">
        <f>MATCH($E1168,'D1 - Master Project Table'!$B$24:$B$7056,0)</f>
        <v>946</v>
      </c>
      <c r="B1168" s="63" t="b">
        <f t="shared" si="54"/>
        <v>0</v>
      </c>
      <c r="C1168" s="63" t="b">
        <f t="shared" si="55"/>
        <v>1</v>
      </c>
      <c r="D1168" s="63" t="str">
        <f t="shared" si="56"/>
        <v>OK</v>
      </c>
      <c r="E1168" s="393">
        <v>400021977</v>
      </c>
      <c r="F1168" s="392" t="s">
        <v>7757</v>
      </c>
      <c r="G1168" s="392" t="s">
        <v>5324</v>
      </c>
      <c r="H1168" s="392" t="s">
        <v>7418</v>
      </c>
      <c r="I1168" s="392" t="s">
        <v>1761</v>
      </c>
      <c r="J1168" s="392" t="s">
        <v>8437</v>
      </c>
      <c r="K1168" s="392" t="s">
        <v>1506</v>
      </c>
      <c r="L1168" s="392" t="s">
        <v>5093</v>
      </c>
      <c r="M1168" s="392" t="s">
        <v>3758</v>
      </c>
      <c r="N1168" s="392" t="s">
        <v>7273</v>
      </c>
      <c r="O1168" s="392" t="s">
        <v>7273</v>
      </c>
      <c r="P1168"/>
      <c r="Q1168"/>
      <c r="R1168" s="387">
        <f>VLOOKUP(E1168,'[1]NDB Impacted SPRFs 05032013'!$A$2:$A$65536,1,FALSE)</f>
        <v>400021977</v>
      </c>
    </row>
    <row r="1169" spans="1:21" ht="45" x14ac:dyDescent="0.25">
      <c r="A1169" s="63">
        <f>MATCH($E1169,'D1 - Master Project Table'!$B$24:$B$7056,0)</f>
        <v>2554</v>
      </c>
      <c r="B1169" s="63" t="b">
        <f t="shared" si="54"/>
        <v>0</v>
      </c>
      <c r="C1169" s="63" t="b">
        <f t="shared" si="55"/>
        <v>1</v>
      </c>
      <c r="D1169" s="63" t="str">
        <f t="shared" si="56"/>
        <v>OK</v>
      </c>
      <c r="E1169" s="393">
        <v>400009567</v>
      </c>
      <c r="F1169" s="392" t="s">
        <v>1604</v>
      </c>
      <c r="G1169" s="392" t="s">
        <v>5324</v>
      </c>
      <c r="H1169" s="392" t="s">
        <v>5314</v>
      </c>
      <c r="I1169" s="392" t="s">
        <v>1756</v>
      </c>
      <c r="J1169" s="392" t="s">
        <v>5473</v>
      </c>
      <c r="K1169" s="392" t="s">
        <v>1506</v>
      </c>
      <c r="L1169" s="392" t="s">
        <v>7380</v>
      </c>
      <c r="M1169" s="392" t="s">
        <v>3758</v>
      </c>
      <c r="N1169" s="392" t="s">
        <v>7273</v>
      </c>
      <c r="O1169" s="392" t="s">
        <v>7273</v>
      </c>
      <c r="P1169"/>
      <c r="Q1169"/>
      <c r="R1169" s="387">
        <f>VLOOKUP(E1169,'[1]NDB Impacted SPRFs 05032013'!$A$2:$A$65536,1,FALSE)</f>
        <v>400009567</v>
      </c>
    </row>
    <row r="1170" spans="1:21" s="159" customFormat="1" ht="45" x14ac:dyDescent="0.25">
      <c r="A1170" s="63">
        <f>MATCH($E1170,'D1 - Master Project Table'!$B$24:$B$7056,0)</f>
        <v>1246</v>
      </c>
      <c r="B1170" s="63" t="b">
        <f t="shared" si="54"/>
        <v>0</v>
      </c>
      <c r="C1170" s="63" t="b">
        <f t="shared" si="55"/>
        <v>1</v>
      </c>
      <c r="D1170" s="63" t="str">
        <f t="shared" si="56"/>
        <v>OK</v>
      </c>
      <c r="E1170" s="393">
        <v>400027989</v>
      </c>
      <c r="F1170" s="392" t="s">
        <v>5230</v>
      </c>
      <c r="G1170" s="392" t="s">
        <v>5324</v>
      </c>
      <c r="H1170" s="392" t="s">
        <v>7418</v>
      </c>
      <c r="I1170" s="392" t="s">
        <v>1760</v>
      </c>
      <c r="J1170" s="392" t="s">
        <v>5546</v>
      </c>
      <c r="K1170" s="392" t="s">
        <v>7932</v>
      </c>
      <c r="L1170" s="392" t="s">
        <v>4206</v>
      </c>
      <c r="M1170" s="392" t="s">
        <v>7273</v>
      </c>
      <c r="N1170" s="392" t="s">
        <v>7273</v>
      </c>
      <c r="O1170" s="392" t="s">
        <v>7273</v>
      </c>
      <c r="P1170"/>
      <c r="Q1170"/>
      <c r="R1170" s="387">
        <f>VLOOKUP(E1170,'[1]NDB Impacted SPRFs 05032013'!$A$2:$A$65536,1,FALSE)</f>
        <v>400027989</v>
      </c>
      <c r="S1170" s="128"/>
      <c r="T1170" s="128"/>
      <c r="U1170" s="128"/>
    </row>
    <row r="1171" spans="1:21" s="159" customFormat="1" ht="45" x14ac:dyDescent="0.25">
      <c r="A1171" s="63">
        <f>MATCH($E1171,'D1 - Master Project Table'!$B$24:$B$7056,0)</f>
        <v>1150</v>
      </c>
      <c r="B1171" s="63" t="b">
        <f t="shared" si="54"/>
        <v>0</v>
      </c>
      <c r="C1171" s="63" t="b">
        <f t="shared" si="55"/>
        <v>1</v>
      </c>
      <c r="D1171" s="63" t="str">
        <f t="shared" si="56"/>
        <v>OK</v>
      </c>
      <c r="E1171" s="393">
        <v>400029529</v>
      </c>
      <c r="F1171" s="392" t="s">
        <v>3931</v>
      </c>
      <c r="G1171" s="392" t="s">
        <v>5325</v>
      </c>
      <c r="H1171" s="392" t="s">
        <v>7418</v>
      </c>
      <c r="I1171" s="392" t="s">
        <v>6419</v>
      </c>
      <c r="J1171" s="392" t="s">
        <v>8283</v>
      </c>
      <c r="K1171" s="392" t="s">
        <v>8128</v>
      </c>
      <c r="L1171" s="392" t="s">
        <v>5316</v>
      </c>
      <c r="M1171" s="392" t="s">
        <v>3758</v>
      </c>
      <c r="N1171" s="392" t="s">
        <v>7273</v>
      </c>
      <c r="O1171" s="392" t="s">
        <v>7273</v>
      </c>
      <c r="P1171"/>
      <c r="Q1171"/>
      <c r="R1171" s="387">
        <f>VLOOKUP(E1171,'[1]NDB Impacted SPRFs 05032013'!$A$2:$A$65536,1,FALSE)</f>
        <v>400029529</v>
      </c>
    </row>
    <row r="1172" spans="1:21" s="159" customFormat="1" ht="45" x14ac:dyDescent="0.25">
      <c r="A1172" s="63">
        <f>MATCH($E1172,'D1 - Master Project Table'!$B$24:$B$7056,0)</f>
        <v>2127</v>
      </c>
      <c r="B1172" s="63" t="b">
        <f t="shared" si="54"/>
        <v>0</v>
      </c>
      <c r="C1172" s="63" t="b">
        <f t="shared" si="55"/>
        <v>1</v>
      </c>
      <c r="D1172" s="63" t="str">
        <f t="shared" si="56"/>
        <v>OK</v>
      </c>
      <c r="E1172" s="393">
        <v>400013386</v>
      </c>
      <c r="F1172" s="392" t="s">
        <v>8007</v>
      </c>
      <c r="G1172" s="392" t="s">
        <v>5324</v>
      </c>
      <c r="H1172" s="392" t="s">
        <v>5314</v>
      </c>
      <c r="I1172" s="392" t="s">
        <v>1756</v>
      </c>
      <c r="J1172" s="392" t="s">
        <v>451</v>
      </c>
      <c r="K1172" s="392" t="s">
        <v>1506</v>
      </c>
      <c r="L1172" s="392" t="s">
        <v>3173</v>
      </c>
      <c r="M1172" s="392" t="s">
        <v>7273</v>
      </c>
      <c r="N1172" s="392" t="s">
        <v>7273</v>
      </c>
      <c r="O1172" s="392" t="s">
        <v>7273</v>
      </c>
      <c r="P1172"/>
      <c r="Q1172"/>
      <c r="R1172" s="387">
        <f>VLOOKUP(E1172,'[1]NDB Impacted SPRFs 05032013'!$A$2:$A$65536,1,FALSE)</f>
        <v>400013386</v>
      </c>
    </row>
    <row r="1173" spans="1:21" ht="45" x14ac:dyDescent="0.25">
      <c r="A1173" s="63">
        <f>MATCH($E1173,'D1 - Master Project Table'!$B$24:$B$7056,0)</f>
        <v>3297</v>
      </c>
      <c r="B1173" s="63" t="b">
        <f t="shared" si="54"/>
        <v>0</v>
      </c>
      <c r="C1173" s="63" t="b">
        <f t="shared" si="55"/>
        <v>1</v>
      </c>
      <c r="D1173" s="63" t="str">
        <f t="shared" si="56"/>
        <v>OK</v>
      </c>
      <c r="E1173" s="393">
        <v>400043182</v>
      </c>
      <c r="F1173" s="392" t="s">
        <v>149</v>
      </c>
      <c r="G1173" s="392" t="s">
        <v>5324</v>
      </c>
      <c r="H1173" s="392" t="s">
        <v>7418</v>
      </c>
      <c r="I1173" s="392" t="s">
        <v>1763</v>
      </c>
      <c r="J1173" s="392" t="s">
        <v>8442</v>
      </c>
      <c r="K1173" s="392" t="s">
        <v>150</v>
      </c>
      <c r="L1173" s="392" t="s">
        <v>151</v>
      </c>
      <c r="M1173" s="392" t="s">
        <v>7273</v>
      </c>
      <c r="N1173" s="392" t="s">
        <v>7273</v>
      </c>
      <c r="O1173" s="392" t="s">
        <v>3758</v>
      </c>
      <c r="P1173"/>
      <c r="Q1173"/>
      <c r="R1173" s="387">
        <f>VLOOKUP(E1173,'[1]NDB Impacted SPRFs 05032013'!$A$2:$A$65536,1,FALSE)</f>
        <v>400043182</v>
      </c>
    </row>
    <row r="1174" spans="1:21" s="159" customFormat="1" ht="45" x14ac:dyDescent="0.25">
      <c r="A1174" s="63">
        <f>MATCH($E1174,'D1 - Master Project Table'!$B$24:$B$7056,0)</f>
        <v>975</v>
      </c>
      <c r="B1174" s="63" t="b">
        <f t="shared" si="54"/>
        <v>0</v>
      </c>
      <c r="C1174" s="63" t="b">
        <f t="shared" si="55"/>
        <v>1</v>
      </c>
      <c r="D1174" s="63" t="str">
        <f t="shared" si="56"/>
        <v>OK</v>
      </c>
      <c r="E1174" s="393">
        <v>400020080</v>
      </c>
      <c r="F1174" s="392" t="s">
        <v>5097</v>
      </c>
      <c r="G1174" s="392" t="s">
        <v>5324</v>
      </c>
      <c r="H1174" s="392" t="s">
        <v>7418</v>
      </c>
      <c r="I1174" s="392" t="s">
        <v>1757</v>
      </c>
      <c r="J1174" s="392" t="s">
        <v>8393</v>
      </c>
      <c r="K1174" s="392" t="s">
        <v>7197</v>
      </c>
      <c r="L1174" s="392" t="s">
        <v>6758</v>
      </c>
      <c r="M1174" s="392" t="s">
        <v>3758</v>
      </c>
      <c r="N1174" s="392" t="s">
        <v>7273</v>
      </c>
      <c r="O1174" s="392" t="s">
        <v>3758</v>
      </c>
      <c r="P1174"/>
      <c r="Q1174"/>
      <c r="R1174" s="387">
        <f>VLOOKUP(E1174,'[1]NDB Impacted SPRFs 05032013'!$A$2:$A$65536,1,FALSE)</f>
        <v>400020080</v>
      </c>
    </row>
    <row r="1175" spans="1:21" s="159" customFormat="1" ht="45" x14ac:dyDescent="0.25">
      <c r="A1175" s="63">
        <f>MATCH($E1175,'D1 - Master Project Table'!$B$24:$B$7056,0)</f>
        <v>2276</v>
      </c>
      <c r="B1175" s="63" t="b">
        <f t="shared" si="54"/>
        <v>0</v>
      </c>
      <c r="C1175" s="63" t="b">
        <f t="shared" si="55"/>
        <v>1</v>
      </c>
      <c r="D1175" s="63" t="str">
        <f t="shared" si="56"/>
        <v>OK</v>
      </c>
      <c r="E1175" s="393">
        <v>400033841</v>
      </c>
      <c r="F1175" s="392" t="s">
        <v>5146</v>
      </c>
      <c r="G1175" s="392" t="s">
        <v>5001</v>
      </c>
      <c r="H1175" s="392" t="s">
        <v>7418</v>
      </c>
      <c r="I1175" s="392" t="s">
        <v>3540</v>
      </c>
      <c r="J1175" s="392" t="s">
        <v>6840</v>
      </c>
      <c r="K1175" s="392" t="s">
        <v>2174</v>
      </c>
      <c r="L1175" s="392" t="s">
        <v>8948</v>
      </c>
      <c r="M1175" s="392" t="s">
        <v>7273</v>
      </c>
      <c r="N1175" s="392" t="s">
        <v>7273</v>
      </c>
      <c r="O1175" s="392" t="s">
        <v>7273</v>
      </c>
      <c r="P1175" s="212"/>
      <c r="Q1175" s="212"/>
      <c r="R1175" s="387">
        <f>VLOOKUP(E1175,'[1]NDB Impacted SPRFs 05032013'!$A$2:$A$65536,1,FALSE)</f>
        <v>400033841</v>
      </c>
      <c r="S1175" s="128"/>
      <c r="T1175" s="128"/>
      <c r="U1175" s="128"/>
    </row>
    <row r="1176" spans="1:21" s="159" customFormat="1" ht="45" x14ac:dyDescent="0.25">
      <c r="A1176" s="63">
        <f>MATCH($E1176,'D1 - Master Project Table'!$B$24:$B$7056,0)</f>
        <v>2277</v>
      </c>
      <c r="B1176" s="63" t="b">
        <f t="shared" si="54"/>
        <v>0</v>
      </c>
      <c r="C1176" s="63" t="b">
        <f t="shared" si="55"/>
        <v>1</v>
      </c>
      <c r="D1176" s="63" t="str">
        <f t="shared" si="56"/>
        <v>OK</v>
      </c>
      <c r="E1176" s="393">
        <v>400034817</v>
      </c>
      <c r="F1176" s="392" t="s">
        <v>2122</v>
      </c>
      <c r="G1176" s="392" t="s">
        <v>5325</v>
      </c>
      <c r="H1176" s="392" t="s">
        <v>5314</v>
      </c>
      <c r="I1176" s="392" t="s">
        <v>6419</v>
      </c>
      <c r="J1176" s="392" t="s">
        <v>8284</v>
      </c>
      <c r="K1176" s="392" t="s">
        <v>6585</v>
      </c>
      <c r="L1176" s="392" t="s">
        <v>1928</v>
      </c>
      <c r="M1176" s="392" t="s">
        <v>3758</v>
      </c>
      <c r="N1176" s="392" t="s">
        <v>7273</v>
      </c>
      <c r="O1176" s="392" t="s">
        <v>7273</v>
      </c>
      <c r="P1176"/>
      <c r="Q1176"/>
      <c r="R1176" s="387">
        <f>VLOOKUP(E1176,'[1]NDB Impacted SPRFs 05032013'!$A$2:$A$65536,1,FALSE)</f>
        <v>400034817</v>
      </c>
      <c r="S1176" s="128"/>
      <c r="T1176" s="128"/>
      <c r="U1176" s="128"/>
    </row>
    <row r="1177" spans="1:21" s="159" customFormat="1" ht="45" x14ac:dyDescent="0.25">
      <c r="A1177" s="63">
        <f>MATCH($E1177,'D1 - Master Project Table'!$B$24:$B$7056,0)</f>
        <v>3268</v>
      </c>
      <c r="B1177" s="63" t="b">
        <f t="shared" si="54"/>
        <v>0</v>
      </c>
      <c r="C1177" s="63" t="b">
        <f t="shared" si="55"/>
        <v>1</v>
      </c>
      <c r="D1177" s="63" t="str">
        <f t="shared" si="56"/>
        <v>OK</v>
      </c>
      <c r="E1177" s="393">
        <v>400041817</v>
      </c>
      <c r="F1177" s="392" t="s">
        <v>2536</v>
      </c>
      <c r="G1177" s="392" t="s">
        <v>5324</v>
      </c>
      <c r="H1177" s="392" t="s">
        <v>7418</v>
      </c>
      <c r="I1177" s="392" t="s">
        <v>1758</v>
      </c>
      <c r="J1177" s="392" t="s">
        <v>8511</v>
      </c>
      <c r="K1177" s="392" t="s">
        <v>3521</v>
      </c>
      <c r="L1177" s="392" t="s">
        <v>641</v>
      </c>
      <c r="M1177" s="392" t="s">
        <v>3758</v>
      </c>
      <c r="N1177" s="392" t="s">
        <v>7273</v>
      </c>
      <c r="O1177" s="392" t="s">
        <v>7273</v>
      </c>
      <c r="P1177"/>
      <c r="Q1177"/>
      <c r="R1177" s="387">
        <f>VLOOKUP(E1177,'[1]NDB Impacted SPRFs 05032013'!$A$2:$A$65536,1,FALSE)</f>
        <v>400041817</v>
      </c>
    </row>
    <row r="1178" spans="1:21" s="159" customFormat="1" ht="45" x14ac:dyDescent="0.25">
      <c r="A1178" s="63">
        <f>MATCH($E1178,'D1 - Master Project Table'!$B$24:$B$7056,0)</f>
        <v>1774</v>
      </c>
      <c r="B1178" s="63" t="b">
        <f t="shared" si="54"/>
        <v>0</v>
      </c>
      <c r="C1178" s="63" t="b">
        <f t="shared" si="55"/>
        <v>1</v>
      </c>
      <c r="D1178" s="63" t="str">
        <f t="shared" si="56"/>
        <v>OK</v>
      </c>
      <c r="E1178" s="393">
        <v>400050909</v>
      </c>
      <c r="F1178" s="392" t="s">
        <v>1278</v>
      </c>
      <c r="G1178" s="392" t="s">
        <v>5324</v>
      </c>
      <c r="H1178" s="392" t="s">
        <v>7418</v>
      </c>
      <c r="I1178" s="392" t="s">
        <v>1759</v>
      </c>
      <c r="J1178" s="392" t="s">
        <v>6584</v>
      </c>
      <c r="K1178" s="392" t="s">
        <v>6585</v>
      </c>
      <c r="L1178" s="392" t="s">
        <v>3043</v>
      </c>
      <c r="M1178" s="392" t="s">
        <v>7273</v>
      </c>
      <c r="N1178" s="392" t="s">
        <v>7273</v>
      </c>
      <c r="O1178" s="392" t="s">
        <v>7273</v>
      </c>
      <c r="P1178"/>
      <c r="Q1178"/>
      <c r="R1178" s="387">
        <f>VLOOKUP(E1178,'[1]NDB Impacted SPRFs 05032013'!$A$2:$A$65536,1,FALSE)</f>
        <v>400050909</v>
      </c>
    </row>
    <row r="1179" spans="1:21" ht="45" x14ac:dyDescent="0.25">
      <c r="A1179" s="63">
        <f>MATCH($E1179,'D1 - Master Project Table'!$B$24:$B$7056,0)</f>
        <v>473</v>
      </c>
      <c r="B1179" s="63" t="b">
        <f t="shared" si="54"/>
        <v>0</v>
      </c>
      <c r="C1179" s="63" t="b">
        <f t="shared" si="55"/>
        <v>1</v>
      </c>
      <c r="D1179" s="63" t="str">
        <f t="shared" si="56"/>
        <v>OK</v>
      </c>
      <c r="E1179" s="393">
        <v>400008054</v>
      </c>
      <c r="F1179" s="392" t="s">
        <v>4528</v>
      </c>
      <c r="G1179" s="392" t="s">
        <v>5324</v>
      </c>
      <c r="H1179" s="392" t="s">
        <v>7418</v>
      </c>
      <c r="I1179" s="392" t="s">
        <v>1764</v>
      </c>
      <c r="J1179" s="392" t="s">
        <v>2937</v>
      </c>
      <c r="K1179" s="392" t="s">
        <v>5641</v>
      </c>
      <c r="L1179" s="392" t="s">
        <v>1523</v>
      </c>
      <c r="M1179" s="392" t="s">
        <v>3758</v>
      </c>
      <c r="N1179" s="392" t="s">
        <v>7273</v>
      </c>
      <c r="O1179" s="392" t="s">
        <v>3758</v>
      </c>
      <c r="P1179"/>
      <c r="Q1179"/>
      <c r="R1179" s="387">
        <f>VLOOKUP(E1179,'[1]NDB Impacted SPRFs 05032013'!$A$2:$A$65536,1,FALSE)</f>
        <v>400008054</v>
      </c>
    </row>
    <row r="1180" spans="1:21" s="159" customFormat="1" ht="45" x14ac:dyDescent="0.25">
      <c r="A1180" s="63">
        <f>MATCH($E1180,'D1 - Master Project Table'!$B$24:$B$7056,0)</f>
        <v>481</v>
      </c>
      <c r="B1180" s="63" t="b">
        <f t="shared" si="54"/>
        <v>0</v>
      </c>
      <c r="C1180" s="63" t="b">
        <f t="shared" si="55"/>
        <v>1</v>
      </c>
      <c r="D1180" s="63" t="str">
        <f t="shared" si="56"/>
        <v>OK</v>
      </c>
      <c r="E1180" s="393">
        <v>400009896</v>
      </c>
      <c r="F1180" s="392" t="s">
        <v>5630</v>
      </c>
      <c r="G1180" s="392" t="s">
        <v>5787</v>
      </c>
      <c r="H1180" s="392" t="s">
        <v>7418</v>
      </c>
      <c r="I1180" s="392" t="s">
        <v>1783</v>
      </c>
      <c r="J1180" s="392" t="s">
        <v>4437</v>
      </c>
      <c r="K1180" s="392" t="s">
        <v>6213</v>
      </c>
      <c r="L1180" s="392" t="s">
        <v>4309</v>
      </c>
      <c r="M1180" s="392" t="s">
        <v>7273</v>
      </c>
      <c r="N1180" s="392" t="s">
        <v>7273</v>
      </c>
      <c r="O1180" s="392" t="s">
        <v>7273</v>
      </c>
      <c r="P1180"/>
      <c r="Q1180"/>
      <c r="R1180" s="387">
        <f>VLOOKUP(E1180,'[1]NDB Impacted SPRFs 05032013'!$A$2:$A$65536,1,FALSE)</f>
        <v>400009896</v>
      </c>
    </row>
    <row r="1181" spans="1:21" s="159" customFormat="1" ht="45" x14ac:dyDescent="0.25">
      <c r="A1181" s="63" t="e">
        <f>MATCH($E1181,'D1 - Master Project Table'!$B$24:$B$7056,0)</f>
        <v>#N/A</v>
      </c>
      <c r="B1181" s="63" t="b">
        <f t="shared" si="54"/>
        <v>1</v>
      </c>
      <c r="C1181" s="63" t="b">
        <f t="shared" si="55"/>
        <v>1</v>
      </c>
      <c r="D1181" s="63" t="str">
        <f t="shared" si="56"/>
        <v>OK</v>
      </c>
      <c r="E1181" s="393">
        <v>400015275</v>
      </c>
      <c r="F1181" s="392" t="s">
        <v>6351</v>
      </c>
      <c r="G1181" s="392" t="s">
        <v>3441</v>
      </c>
      <c r="H1181" s="392" t="s">
        <v>5314</v>
      </c>
      <c r="I1181" s="392" t="s">
        <v>1769</v>
      </c>
      <c r="J1181" s="392" t="s">
        <v>4990</v>
      </c>
      <c r="K1181" s="392" t="s">
        <v>2447</v>
      </c>
      <c r="L1181" s="392" t="s">
        <v>3428</v>
      </c>
      <c r="M1181" s="392" t="s">
        <v>3758</v>
      </c>
      <c r="N1181" s="392" t="s">
        <v>7273</v>
      </c>
      <c r="O1181" s="392" t="s">
        <v>3758</v>
      </c>
      <c r="P1181"/>
      <c r="Q1181"/>
      <c r="R1181" s="387">
        <f>VLOOKUP(E1181,'[1]NDB Impacted SPRFs 05032013'!$A$2:$A$65536,1,FALSE)</f>
        <v>400015275</v>
      </c>
    </row>
    <row r="1182" spans="1:21" s="159" customFormat="1" ht="45" x14ac:dyDescent="0.25">
      <c r="A1182" s="63" t="e">
        <f>MATCH($E1182,'D1 - Master Project Table'!$B$24:$B$7056,0)</f>
        <v>#N/A</v>
      </c>
      <c r="B1182" s="63" t="b">
        <f t="shared" si="54"/>
        <v>1</v>
      </c>
      <c r="C1182" s="63" t="b">
        <f t="shared" si="55"/>
        <v>1</v>
      </c>
      <c r="D1182" s="63" t="str">
        <f t="shared" si="56"/>
        <v>OK</v>
      </c>
      <c r="E1182" s="393">
        <v>400022618</v>
      </c>
      <c r="F1182" s="392" t="s">
        <v>3926</v>
      </c>
      <c r="G1182" s="392" t="s">
        <v>5324</v>
      </c>
      <c r="H1182" s="392" t="s">
        <v>5314</v>
      </c>
      <c r="I1182" s="392" t="s">
        <v>1763</v>
      </c>
      <c r="J1182" s="392" t="s">
        <v>5583</v>
      </c>
      <c r="K1182" s="392" t="s">
        <v>4176</v>
      </c>
      <c r="L1182" s="392" t="s">
        <v>706</v>
      </c>
      <c r="M1182" s="392" t="s">
        <v>3758</v>
      </c>
      <c r="N1182" s="392" t="s">
        <v>7273</v>
      </c>
      <c r="O1182" s="392" t="s">
        <v>7273</v>
      </c>
      <c r="P1182"/>
      <c r="Q1182"/>
      <c r="R1182" s="387">
        <f>VLOOKUP(E1182,'[1]NDB Impacted SPRFs 05032013'!$A$2:$A$65536,1,FALSE)</f>
        <v>400022618</v>
      </c>
    </row>
    <row r="1183" spans="1:21" s="159" customFormat="1" ht="45" x14ac:dyDescent="0.25">
      <c r="A1183" s="63">
        <f>MATCH($E1183,'D1 - Master Project Table'!$B$24:$B$7056,0)</f>
        <v>1105</v>
      </c>
      <c r="B1183" s="63" t="b">
        <f t="shared" si="54"/>
        <v>0</v>
      </c>
      <c r="C1183" s="63" t="b">
        <f t="shared" si="55"/>
        <v>1</v>
      </c>
      <c r="D1183" s="63" t="str">
        <f t="shared" si="56"/>
        <v>OK</v>
      </c>
      <c r="E1183" s="393">
        <v>400028877</v>
      </c>
      <c r="F1183" s="392" t="s">
        <v>7649</v>
      </c>
      <c r="G1183" s="392" t="s">
        <v>5324</v>
      </c>
      <c r="H1183" s="392" t="s">
        <v>7418</v>
      </c>
      <c r="I1183" s="392" t="s">
        <v>1761</v>
      </c>
      <c r="J1183" s="392" t="s">
        <v>4990</v>
      </c>
      <c r="K1183" s="392" t="s">
        <v>7650</v>
      </c>
      <c r="L1183" s="392" t="s">
        <v>2627</v>
      </c>
      <c r="M1183" s="392" t="s">
        <v>7273</v>
      </c>
      <c r="N1183" s="392" t="s">
        <v>7273</v>
      </c>
      <c r="O1183" s="392" t="s">
        <v>3758</v>
      </c>
      <c r="P1183"/>
      <c r="Q1183"/>
      <c r="R1183" s="387">
        <f>VLOOKUP(E1183,'[1]NDB Impacted SPRFs 05032013'!$A$2:$A$65536,1,FALSE)</f>
        <v>400028877</v>
      </c>
    </row>
    <row r="1184" spans="1:21" s="159" customFormat="1" ht="45" x14ac:dyDescent="0.25">
      <c r="A1184" s="63">
        <f>MATCH($E1184,'D1 - Master Project Table'!$B$24:$B$7056,0)</f>
        <v>3269</v>
      </c>
      <c r="B1184" s="63" t="b">
        <f t="shared" si="54"/>
        <v>0</v>
      </c>
      <c r="C1184" s="63" t="b">
        <f t="shared" si="55"/>
        <v>1</v>
      </c>
      <c r="D1184" s="63" t="str">
        <f t="shared" si="56"/>
        <v>OK</v>
      </c>
      <c r="E1184" s="393">
        <v>400043342</v>
      </c>
      <c r="F1184" s="392" t="s">
        <v>2260</v>
      </c>
      <c r="G1184" s="392" t="s">
        <v>5324</v>
      </c>
      <c r="H1184" s="392" t="s">
        <v>7418</v>
      </c>
      <c r="I1184" s="392" t="s">
        <v>1762</v>
      </c>
      <c r="J1184" s="392" t="s">
        <v>8408</v>
      </c>
      <c r="K1184" s="392" t="s">
        <v>6929</v>
      </c>
      <c r="L1184" s="392" t="s">
        <v>1938</v>
      </c>
      <c r="M1184" s="392" t="s">
        <v>7273</v>
      </c>
      <c r="N1184" s="392" t="s">
        <v>7273</v>
      </c>
      <c r="O1184" s="392" t="s">
        <v>7273</v>
      </c>
      <c r="P1184"/>
      <c r="Q1184"/>
      <c r="R1184" s="387">
        <f>VLOOKUP(E1184,'[1]NDB Impacted SPRFs 05032013'!$A$2:$A$65536,1,FALSE)</f>
        <v>400043342</v>
      </c>
    </row>
    <row r="1185" spans="1:21" s="159" customFormat="1" ht="45" x14ac:dyDescent="0.25">
      <c r="A1185" s="63">
        <f>MATCH($E1185,'D1 - Master Project Table'!$B$24:$B$7056,0)</f>
        <v>1827</v>
      </c>
      <c r="B1185" s="63" t="b">
        <f t="shared" si="54"/>
        <v>0</v>
      </c>
      <c r="C1185" s="63" t="b">
        <f t="shared" si="55"/>
        <v>0</v>
      </c>
      <c r="D1185" s="63" t="str">
        <f t="shared" si="56"/>
        <v>OK</v>
      </c>
      <c r="E1185" s="393">
        <v>400050549</v>
      </c>
      <c r="F1185" s="392" t="s">
        <v>3201</v>
      </c>
      <c r="G1185" s="392" t="s">
        <v>2041</v>
      </c>
      <c r="H1185" s="392" t="s">
        <v>4917</v>
      </c>
      <c r="I1185" s="392" t="s">
        <v>2041</v>
      </c>
      <c r="J1185" s="392" t="s">
        <v>8790</v>
      </c>
      <c r="K1185" s="392" t="s">
        <v>3202</v>
      </c>
      <c r="L1185" s="392" t="s">
        <v>281</v>
      </c>
      <c r="M1185" s="392" t="s">
        <v>7273</v>
      </c>
      <c r="N1185" s="392" t="s">
        <v>7273</v>
      </c>
      <c r="O1185" s="392" t="s">
        <v>7273</v>
      </c>
      <c r="P1185"/>
      <c r="Q1185"/>
      <c r="R1185" s="387">
        <f>VLOOKUP(E1185,'[1]NDB Impacted SPRFs 05032013'!$A$2:$A$65536,1,FALSE)</f>
        <v>400050549</v>
      </c>
    </row>
    <row r="1186" spans="1:21" ht="60" customHeight="1" x14ac:dyDescent="0.25">
      <c r="A1186" s="63">
        <f>MATCH($E1186,'D1 - Master Project Table'!$B$24:$B$7056,0)</f>
        <v>3301</v>
      </c>
      <c r="B1186" s="63" t="b">
        <f t="shared" si="54"/>
        <v>0</v>
      </c>
      <c r="C1186" s="63" t="b">
        <f t="shared" si="55"/>
        <v>1</v>
      </c>
      <c r="D1186" s="63" t="str">
        <f t="shared" si="56"/>
        <v>OK</v>
      </c>
      <c r="E1186" s="393">
        <v>400052226</v>
      </c>
      <c r="F1186" s="392" t="s">
        <v>190</v>
      </c>
      <c r="G1186" s="392" t="s">
        <v>9210</v>
      </c>
      <c r="H1186" s="392" t="s">
        <v>7418</v>
      </c>
      <c r="I1186" s="392" t="s">
        <v>3540</v>
      </c>
      <c r="J1186" s="392" t="s">
        <v>8737</v>
      </c>
      <c r="K1186" s="392" t="s">
        <v>914</v>
      </c>
      <c r="L1186" s="392" t="s">
        <v>332</v>
      </c>
      <c r="M1186" s="392" t="s">
        <v>7273</v>
      </c>
      <c r="N1186" s="392" t="s">
        <v>7273</v>
      </c>
      <c r="O1186" s="392" t="s">
        <v>3758</v>
      </c>
      <c r="P1186"/>
      <c r="Q1186"/>
      <c r="R1186" s="387">
        <f>VLOOKUP(E1186,'[1]NDB Impacted SPRFs 05032013'!$A$2:$A$65536,1,FALSE)</f>
        <v>400052226</v>
      </c>
      <c r="S1186" s="159"/>
      <c r="T1186" s="159"/>
      <c r="U1186" s="159"/>
    </row>
    <row r="1187" spans="1:21" s="159" customFormat="1" ht="45" x14ac:dyDescent="0.25">
      <c r="A1187" s="63">
        <f>MATCH($E1187,'D1 - Master Project Table'!$B$24:$B$7056,0)</f>
        <v>2703</v>
      </c>
      <c r="B1187" s="63" t="b">
        <f t="shared" si="54"/>
        <v>0</v>
      </c>
      <c r="C1187" s="63" t="b">
        <f t="shared" si="55"/>
        <v>1</v>
      </c>
      <c r="D1187" s="63" t="str">
        <f t="shared" si="56"/>
        <v>OK</v>
      </c>
      <c r="E1187" s="393">
        <v>400018635</v>
      </c>
      <c r="F1187" s="392" t="s">
        <v>5619</v>
      </c>
      <c r="G1187" s="392" t="s">
        <v>5324</v>
      </c>
      <c r="H1187" s="392" t="s">
        <v>5314</v>
      </c>
      <c r="I1187" s="392" t="s">
        <v>1763</v>
      </c>
      <c r="J1187" s="392" t="s">
        <v>8298</v>
      </c>
      <c r="K1187" s="392" t="s">
        <v>5756</v>
      </c>
      <c r="L1187" s="392" t="s">
        <v>4835</v>
      </c>
      <c r="M1187" s="392" t="s">
        <v>7273</v>
      </c>
      <c r="N1187" s="392" t="s">
        <v>7273</v>
      </c>
      <c r="O1187" s="392" t="s">
        <v>7273</v>
      </c>
      <c r="P1187"/>
      <c r="Q1187"/>
      <c r="R1187" s="387">
        <f>VLOOKUP(E1187,'[1]NDB Impacted SPRFs 05032013'!$A$2:$A$65536,1,FALSE)</f>
        <v>400018635</v>
      </c>
    </row>
    <row r="1188" spans="1:21" s="159" customFormat="1" ht="45" x14ac:dyDescent="0.25">
      <c r="A1188" s="63">
        <f>MATCH($E1188,'D1 - Master Project Table'!$B$24:$B$7056,0)</f>
        <v>1227</v>
      </c>
      <c r="B1188" s="63" t="b">
        <f t="shared" si="54"/>
        <v>0</v>
      </c>
      <c r="C1188" s="63" t="b">
        <f t="shared" si="55"/>
        <v>1</v>
      </c>
      <c r="D1188" s="63" t="str">
        <f t="shared" si="56"/>
        <v>OK</v>
      </c>
      <c r="E1188" s="393">
        <v>400032988</v>
      </c>
      <c r="F1188" s="392" t="s">
        <v>7793</v>
      </c>
      <c r="G1188" s="392" t="s">
        <v>5325</v>
      </c>
      <c r="H1188" s="392" t="s">
        <v>7418</v>
      </c>
      <c r="I1188" s="392" t="s">
        <v>1804</v>
      </c>
      <c r="J1188" s="392" t="s">
        <v>6240</v>
      </c>
      <c r="K1188" s="392" t="s">
        <v>2930</v>
      </c>
      <c r="L1188" s="392" t="s">
        <v>1240</v>
      </c>
      <c r="M1188" s="392" t="s">
        <v>7273</v>
      </c>
      <c r="N1188" s="392" t="s">
        <v>7273</v>
      </c>
      <c r="O1188" s="392" t="s">
        <v>7273</v>
      </c>
      <c r="P1188"/>
      <c r="Q1188"/>
      <c r="R1188" s="387">
        <f>VLOOKUP(E1188,'[1]NDB Impacted SPRFs 05032013'!$A$2:$A$65536,1,FALSE)</f>
        <v>400032988</v>
      </c>
    </row>
    <row r="1189" spans="1:21" s="159" customFormat="1" ht="45" x14ac:dyDescent="0.25">
      <c r="A1189" s="63">
        <f>MATCH($E1189,'D1 - Master Project Table'!$B$24:$B$7056,0)</f>
        <v>3045</v>
      </c>
      <c r="B1189" s="63" t="b">
        <f t="shared" si="54"/>
        <v>0</v>
      </c>
      <c r="C1189" s="63" t="b">
        <f t="shared" si="55"/>
        <v>1</v>
      </c>
      <c r="D1189" s="63" t="str">
        <f t="shared" si="56"/>
        <v>OK</v>
      </c>
      <c r="E1189" s="393">
        <v>400042934</v>
      </c>
      <c r="F1189" s="392" t="s">
        <v>7263</v>
      </c>
      <c r="G1189" s="392" t="s">
        <v>5324</v>
      </c>
      <c r="H1189" s="392" t="s">
        <v>5314</v>
      </c>
      <c r="I1189" s="392" t="s">
        <v>1762</v>
      </c>
      <c r="J1189" s="392" t="s">
        <v>542</v>
      </c>
      <c r="K1189" s="392" t="s">
        <v>7264</v>
      </c>
      <c r="L1189" s="392" t="s">
        <v>519</v>
      </c>
      <c r="M1189" s="392" t="s">
        <v>3758</v>
      </c>
      <c r="N1189" s="392" t="s">
        <v>7273</v>
      </c>
      <c r="O1189" s="392" t="s">
        <v>7273</v>
      </c>
      <c r="P1189"/>
      <c r="Q1189"/>
      <c r="R1189" s="387">
        <f>VLOOKUP(E1189,'[1]NDB Impacted SPRFs 05032013'!$A$2:$A$65536,1,FALSE)</f>
        <v>400042934</v>
      </c>
      <c r="S1189" s="128"/>
      <c r="T1189" s="128"/>
      <c r="U1189" s="128"/>
    </row>
    <row r="1190" spans="1:21" ht="45" x14ac:dyDescent="0.25">
      <c r="A1190" s="63">
        <f>MATCH($E1190,'D1 - Master Project Table'!$B$24:$B$7056,0)</f>
        <v>2688</v>
      </c>
      <c r="B1190" s="63" t="b">
        <f t="shared" si="54"/>
        <v>0</v>
      </c>
      <c r="C1190" s="63" t="b">
        <f t="shared" si="55"/>
        <v>1</v>
      </c>
      <c r="D1190" s="63" t="str">
        <f t="shared" si="56"/>
        <v>OK</v>
      </c>
      <c r="E1190" s="393">
        <v>400017600</v>
      </c>
      <c r="F1190" s="392" t="s">
        <v>4943</v>
      </c>
      <c r="G1190" s="392" t="s">
        <v>5324</v>
      </c>
      <c r="H1190" s="392" t="s">
        <v>5314</v>
      </c>
      <c r="I1190" s="392" t="s">
        <v>1756</v>
      </c>
      <c r="J1190" s="392" t="s">
        <v>8376</v>
      </c>
      <c r="K1190" s="392" t="s">
        <v>1506</v>
      </c>
      <c r="L1190" s="392" t="s">
        <v>4834</v>
      </c>
      <c r="M1190" s="392" t="s">
        <v>3758</v>
      </c>
      <c r="N1190" s="392" t="s">
        <v>7273</v>
      </c>
      <c r="O1190" s="392" t="s">
        <v>7273</v>
      </c>
      <c r="P1190"/>
      <c r="Q1190"/>
      <c r="R1190" s="387">
        <f>VLOOKUP(E1190,'[1]NDB Impacted SPRFs 05032013'!$A$2:$A$65536,1,FALSE)</f>
        <v>400017600</v>
      </c>
      <c r="S1190" s="159"/>
      <c r="T1190" s="159"/>
      <c r="U1190" s="159"/>
    </row>
    <row r="1191" spans="1:21" s="159" customFormat="1" ht="45" x14ac:dyDescent="0.25">
      <c r="A1191" s="63">
        <f>MATCH($E1191,'D1 - Master Project Table'!$B$24:$B$7056,0)</f>
        <v>2714</v>
      </c>
      <c r="B1191" s="63" t="b">
        <f t="shared" si="54"/>
        <v>0</v>
      </c>
      <c r="C1191" s="63" t="b">
        <f t="shared" si="55"/>
        <v>1</v>
      </c>
      <c r="D1191" s="63" t="str">
        <f t="shared" si="56"/>
        <v>OK</v>
      </c>
      <c r="E1191" s="393">
        <v>400019028</v>
      </c>
      <c r="F1191" s="392" t="s">
        <v>3627</v>
      </c>
      <c r="G1191" s="392" t="s">
        <v>5324</v>
      </c>
      <c r="H1191" s="392" t="s">
        <v>5314</v>
      </c>
      <c r="I1191" s="392" t="s">
        <v>1758</v>
      </c>
      <c r="J1191" s="392" t="s">
        <v>8387</v>
      </c>
      <c r="K1191" s="392" t="s">
        <v>6727</v>
      </c>
      <c r="L1191" s="392" t="s">
        <v>4722</v>
      </c>
      <c r="M1191" s="392" t="s">
        <v>7273</v>
      </c>
      <c r="N1191" s="392" t="s">
        <v>7273</v>
      </c>
      <c r="O1191" s="392" t="s">
        <v>7273</v>
      </c>
      <c r="P1191"/>
      <c r="Q1191"/>
      <c r="R1191" s="387">
        <f>VLOOKUP(E1191,'[1]NDB Impacted SPRFs 05032013'!$A$2:$A$65536,1,FALSE)</f>
        <v>400019028</v>
      </c>
    </row>
    <row r="1192" spans="1:21" s="159" customFormat="1" ht="45" x14ac:dyDescent="0.25">
      <c r="A1192" s="63">
        <f>MATCH($E1192,'D1 - Master Project Table'!$B$24:$B$7056,0)</f>
        <v>2943</v>
      </c>
      <c r="B1192" s="63" t="b">
        <f t="shared" si="54"/>
        <v>0</v>
      </c>
      <c r="C1192" s="63" t="b">
        <f t="shared" si="55"/>
        <v>1</v>
      </c>
      <c r="D1192" s="63" t="str">
        <f t="shared" si="56"/>
        <v>OK</v>
      </c>
      <c r="E1192" s="393">
        <v>400034075</v>
      </c>
      <c r="F1192" s="392" t="s">
        <v>653</v>
      </c>
      <c r="G1192" s="392" t="s">
        <v>5324</v>
      </c>
      <c r="H1192" s="392" t="s">
        <v>5314</v>
      </c>
      <c r="I1192" s="392" t="s">
        <v>1758</v>
      </c>
      <c r="J1192" s="392" t="s">
        <v>8311</v>
      </c>
      <c r="K1192" s="392" t="s">
        <v>7459</v>
      </c>
      <c r="L1192" s="392" t="s">
        <v>4804</v>
      </c>
      <c r="M1192" s="392" t="s">
        <v>3758</v>
      </c>
      <c r="N1192" s="392" t="s">
        <v>7273</v>
      </c>
      <c r="O1192" s="392" t="s">
        <v>7273</v>
      </c>
      <c r="P1192"/>
      <c r="Q1192"/>
      <c r="R1192" s="387">
        <f>VLOOKUP(E1192,'[1]NDB Impacted SPRFs 05032013'!$A$2:$A$65536,1,FALSE)</f>
        <v>400034075</v>
      </c>
    </row>
    <row r="1193" spans="1:21" s="159" customFormat="1" ht="45" x14ac:dyDescent="0.25">
      <c r="A1193" s="63">
        <f>MATCH($E1193,'D1 - Master Project Table'!$B$24:$B$7056,0)</f>
        <v>1496</v>
      </c>
      <c r="B1193" s="63" t="b">
        <f t="shared" si="54"/>
        <v>0</v>
      </c>
      <c r="C1193" s="63" t="b">
        <f t="shared" si="55"/>
        <v>1</v>
      </c>
      <c r="D1193" s="63" t="str">
        <f t="shared" si="56"/>
        <v>OK</v>
      </c>
      <c r="E1193" s="393">
        <v>400037320</v>
      </c>
      <c r="F1193" s="392" t="s">
        <v>6116</v>
      </c>
      <c r="G1193" s="392" t="s">
        <v>5325</v>
      </c>
      <c r="H1193" s="392" t="s">
        <v>7418</v>
      </c>
      <c r="I1193" s="392" t="s">
        <v>6414</v>
      </c>
      <c r="J1193" s="392" t="s">
        <v>8282</v>
      </c>
      <c r="K1193" s="392" t="s">
        <v>6117</v>
      </c>
      <c r="L1193" s="392" t="s">
        <v>2223</v>
      </c>
      <c r="M1193" s="392" t="s">
        <v>7273</v>
      </c>
      <c r="N1193" s="392" t="s">
        <v>7273</v>
      </c>
      <c r="O1193" s="392" t="s">
        <v>7273</v>
      </c>
      <c r="P1193"/>
      <c r="Q1193"/>
      <c r="R1193" s="387">
        <f>VLOOKUP(E1193,'[1]NDB Impacted SPRFs 05032013'!$A$2:$A$65536,1,FALSE)</f>
        <v>400037320</v>
      </c>
    </row>
    <row r="1194" spans="1:21" ht="45" x14ac:dyDescent="0.25">
      <c r="A1194" s="63">
        <f>MATCH($E1194,'D1 - Master Project Table'!$B$24:$B$7056,0)</f>
        <v>1850</v>
      </c>
      <c r="B1194" s="63" t="b">
        <f t="shared" si="54"/>
        <v>0</v>
      </c>
      <c r="C1194" s="63" t="b">
        <f t="shared" si="55"/>
        <v>1</v>
      </c>
      <c r="D1194" s="63" t="str">
        <f t="shared" si="56"/>
        <v>OK</v>
      </c>
      <c r="E1194" s="393">
        <v>400007826</v>
      </c>
      <c r="F1194" s="392" t="s">
        <v>4635</v>
      </c>
      <c r="G1194" s="392" t="s">
        <v>5787</v>
      </c>
      <c r="H1194" s="392" t="s">
        <v>7418</v>
      </c>
      <c r="I1194" s="392" t="s">
        <v>1771</v>
      </c>
      <c r="J1194" s="392" t="s">
        <v>8706</v>
      </c>
      <c r="K1194" s="392" t="s">
        <v>5674</v>
      </c>
      <c r="L1194" s="392" t="s">
        <v>4999</v>
      </c>
      <c r="M1194" s="392" t="s">
        <v>7273</v>
      </c>
      <c r="N1194" s="392" t="s">
        <v>7273</v>
      </c>
      <c r="O1194" s="392" t="s">
        <v>7273</v>
      </c>
      <c r="P1194"/>
      <c r="Q1194"/>
      <c r="R1194" s="387">
        <f>VLOOKUP(E1194,'[1]NDB Impacted SPRFs 05032013'!$A$2:$A$65536,1,FALSE)</f>
        <v>400007826</v>
      </c>
      <c r="S1194" s="159"/>
      <c r="T1194" s="159"/>
      <c r="U1194" s="159"/>
    </row>
    <row r="1195" spans="1:21" s="159" customFormat="1" ht="45" x14ac:dyDescent="0.25">
      <c r="A1195" s="63">
        <f>MATCH($E1195,'D1 - Master Project Table'!$B$24:$B$7056,0)</f>
        <v>768</v>
      </c>
      <c r="B1195" s="63" t="b">
        <f t="shared" si="54"/>
        <v>0</v>
      </c>
      <c r="C1195" s="63" t="b">
        <f t="shared" si="55"/>
        <v>1</v>
      </c>
      <c r="D1195" s="63" t="str">
        <f t="shared" si="56"/>
        <v>OK</v>
      </c>
      <c r="E1195" s="393">
        <v>400014056</v>
      </c>
      <c r="F1195" s="392" t="s">
        <v>3334</v>
      </c>
      <c r="G1195" s="392" t="s">
        <v>5324</v>
      </c>
      <c r="H1195" s="392" t="s">
        <v>7418</v>
      </c>
      <c r="I1195" s="392" t="s">
        <v>1759</v>
      </c>
      <c r="J1195" s="392" t="s">
        <v>6851</v>
      </c>
      <c r="K1195" s="392" t="s">
        <v>8075</v>
      </c>
      <c r="L1195" s="392" t="s">
        <v>6749</v>
      </c>
      <c r="M1195" s="392" t="s">
        <v>3758</v>
      </c>
      <c r="N1195" s="392" t="s">
        <v>7273</v>
      </c>
      <c r="O1195" s="392" t="s">
        <v>3758</v>
      </c>
      <c r="P1195"/>
      <c r="Q1195"/>
      <c r="R1195" s="387">
        <f>VLOOKUP(E1195,'[1]NDB Impacted SPRFs 05032013'!$A$2:$A$65536,1,FALSE)</f>
        <v>400014056</v>
      </c>
    </row>
    <row r="1196" spans="1:21" ht="45" x14ac:dyDescent="0.25">
      <c r="A1196" s="63">
        <f>MATCH($E1196,'D1 - Master Project Table'!$B$24:$B$7056,0)</f>
        <v>2684</v>
      </c>
      <c r="B1196" s="63" t="b">
        <f t="shared" si="54"/>
        <v>0</v>
      </c>
      <c r="C1196" s="63" t="b">
        <f t="shared" si="55"/>
        <v>1</v>
      </c>
      <c r="D1196" s="63" t="str">
        <f t="shared" si="56"/>
        <v>OK</v>
      </c>
      <c r="E1196" s="393">
        <v>400017223</v>
      </c>
      <c r="F1196" s="392" t="s">
        <v>3351</v>
      </c>
      <c r="G1196" s="392" t="s">
        <v>3441</v>
      </c>
      <c r="H1196" s="392" t="s">
        <v>5314</v>
      </c>
      <c r="I1196" s="392" t="s">
        <v>1769</v>
      </c>
      <c r="J1196" s="392" t="s">
        <v>8845</v>
      </c>
      <c r="K1196" s="392" t="s">
        <v>1506</v>
      </c>
      <c r="L1196" s="392" t="s">
        <v>3429</v>
      </c>
      <c r="M1196" s="392" t="s">
        <v>3758</v>
      </c>
      <c r="N1196" s="392" t="s">
        <v>7273</v>
      </c>
      <c r="O1196" s="392" t="s">
        <v>3758</v>
      </c>
      <c r="P1196"/>
      <c r="Q1196"/>
      <c r="R1196" s="387">
        <f>VLOOKUP(E1196,'[1]NDB Impacted SPRFs 05032013'!$A$2:$A$65536,1,FALSE)</f>
        <v>400017223</v>
      </c>
      <c r="S1196" s="159"/>
      <c r="T1196" s="159"/>
      <c r="U1196" s="159"/>
    </row>
    <row r="1197" spans="1:21" ht="45" x14ac:dyDescent="0.25">
      <c r="A1197" s="63">
        <f>MATCH($E1197,'D1 - Master Project Table'!$B$24:$B$7056,0)</f>
        <v>1216</v>
      </c>
      <c r="B1197" s="63" t="b">
        <f t="shared" si="54"/>
        <v>0</v>
      </c>
      <c r="C1197" s="63" t="b">
        <f t="shared" si="55"/>
        <v>1</v>
      </c>
      <c r="D1197" s="63" t="str">
        <f t="shared" si="56"/>
        <v>OK</v>
      </c>
      <c r="E1197" s="393">
        <v>400030199</v>
      </c>
      <c r="F1197" s="392" t="s">
        <v>7301</v>
      </c>
      <c r="G1197" s="392" t="s">
        <v>5324</v>
      </c>
      <c r="H1197" s="392" t="s">
        <v>7418</v>
      </c>
      <c r="I1197" s="392" t="s">
        <v>1758</v>
      </c>
      <c r="J1197" s="392" t="s">
        <v>8292</v>
      </c>
      <c r="K1197" s="392" t="s">
        <v>7877</v>
      </c>
      <c r="L1197" s="392" t="s">
        <v>4782</v>
      </c>
      <c r="M1197" s="392" t="s">
        <v>7273</v>
      </c>
      <c r="N1197" s="392" t="s">
        <v>7273</v>
      </c>
      <c r="O1197" s="392" t="s">
        <v>7273</v>
      </c>
      <c r="P1197"/>
      <c r="Q1197"/>
      <c r="R1197" s="387">
        <f>VLOOKUP(E1197,'[1]NDB Impacted SPRFs 05032013'!$A$2:$A$65536,1,FALSE)</f>
        <v>400030199</v>
      </c>
      <c r="S1197" s="159"/>
      <c r="T1197" s="159"/>
      <c r="U1197" s="159"/>
    </row>
    <row r="1198" spans="1:21" s="159" customFormat="1" ht="45" x14ac:dyDescent="0.25">
      <c r="A1198" s="63">
        <f>MATCH($E1198,'D1 - Master Project Table'!$B$24:$B$7056,0)</f>
        <v>2020</v>
      </c>
      <c r="B1198" s="63" t="b">
        <f t="shared" si="54"/>
        <v>0</v>
      </c>
      <c r="C1198" s="63" t="b">
        <f t="shared" si="55"/>
        <v>1</v>
      </c>
      <c r="D1198" s="63" t="str">
        <f t="shared" si="56"/>
        <v>OK</v>
      </c>
      <c r="E1198" s="393">
        <v>400036341</v>
      </c>
      <c r="F1198" s="392" t="s">
        <v>4725</v>
      </c>
      <c r="G1198" s="392" t="s">
        <v>5324</v>
      </c>
      <c r="H1198" s="392" t="s">
        <v>7418</v>
      </c>
      <c r="I1198" s="392" t="s">
        <v>1758</v>
      </c>
      <c r="J1198" s="392" t="s">
        <v>8292</v>
      </c>
      <c r="K1198" s="392" t="s">
        <v>7459</v>
      </c>
      <c r="L1198" s="392" t="s">
        <v>4390</v>
      </c>
      <c r="M1198" s="392" t="s">
        <v>3758</v>
      </c>
      <c r="N1198" s="392" t="s">
        <v>7273</v>
      </c>
      <c r="O1198" s="392" t="s">
        <v>7273</v>
      </c>
      <c r="P1198"/>
      <c r="Q1198"/>
      <c r="R1198" s="387">
        <f>VLOOKUP(E1198,'[1]NDB Impacted SPRFs 05032013'!$A$2:$A$65536,1,FALSE)</f>
        <v>400036341</v>
      </c>
    </row>
    <row r="1199" spans="1:21" s="159" customFormat="1" ht="45" x14ac:dyDescent="0.25">
      <c r="A1199" s="63">
        <f>MATCH($E1199,'D1 - Master Project Table'!$B$24:$B$7056,0)</f>
        <v>2759</v>
      </c>
      <c r="B1199" s="63" t="b">
        <f t="shared" si="54"/>
        <v>0</v>
      </c>
      <c r="C1199" s="63" t="b">
        <f t="shared" si="55"/>
        <v>1</v>
      </c>
      <c r="D1199" s="63" t="str">
        <f t="shared" si="56"/>
        <v>OK</v>
      </c>
      <c r="E1199" s="393">
        <v>400021307</v>
      </c>
      <c r="F1199" s="392" t="s">
        <v>6595</v>
      </c>
      <c r="G1199" s="392" t="s">
        <v>5324</v>
      </c>
      <c r="H1199" s="392" t="s">
        <v>5314</v>
      </c>
      <c r="I1199" s="392" t="s">
        <v>1756</v>
      </c>
      <c r="J1199" s="392" t="s">
        <v>8378</v>
      </c>
      <c r="K1199" s="392" t="s">
        <v>1506</v>
      </c>
      <c r="L1199" s="392" t="s">
        <v>4839</v>
      </c>
      <c r="M1199" s="392" t="s">
        <v>3758</v>
      </c>
      <c r="N1199" s="392" t="s">
        <v>7273</v>
      </c>
      <c r="O1199" s="392" t="s">
        <v>7273</v>
      </c>
      <c r="P1199"/>
      <c r="Q1199"/>
      <c r="R1199" s="387">
        <f>VLOOKUP(E1199,'[1]NDB Impacted SPRFs 05032013'!$A$2:$A$65536,1,FALSE)</f>
        <v>400021307</v>
      </c>
    </row>
    <row r="1200" spans="1:21" s="159" customFormat="1" ht="45" x14ac:dyDescent="0.25">
      <c r="A1200" s="63">
        <f>MATCH($E1200,'D1 - Master Project Table'!$B$24:$B$7056,0)</f>
        <v>1276</v>
      </c>
      <c r="B1200" s="147" t="b">
        <f t="shared" ref="B1200:B1263" si="57">ISERROR(A1200)</f>
        <v>0</v>
      </c>
      <c r="C1200" s="147" t="b">
        <f t="shared" si="55"/>
        <v>1</v>
      </c>
      <c r="D1200" s="147" t="str">
        <f t="shared" si="56"/>
        <v>OK</v>
      </c>
      <c r="E1200" s="393">
        <v>400033693</v>
      </c>
      <c r="F1200" s="392" t="s">
        <v>7916</v>
      </c>
      <c r="G1200" s="392" t="s">
        <v>5001</v>
      </c>
      <c r="H1200" s="392" t="s">
        <v>7418</v>
      </c>
      <c r="I1200" s="392" t="s">
        <v>3540</v>
      </c>
      <c r="J1200" s="392" t="s">
        <v>8753</v>
      </c>
      <c r="K1200" s="392" t="s">
        <v>7043</v>
      </c>
      <c r="L1200" s="392" t="s">
        <v>4340</v>
      </c>
      <c r="M1200" s="392" t="s">
        <v>7273</v>
      </c>
      <c r="N1200" s="392" t="s">
        <v>7273</v>
      </c>
      <c r="O1200" s="392" t="s">
        <v>7273</v>
      </c>
      <c r="P1200"/>
      <c r="Q1200"/>
      <c r="R1200" s="387">
        <f>VLOOKUP(E1200,'[1]NDB Impacted SPRFs 05032013'!$A$2:$A$65536,1,FALSE)</f>
        <v>400033693</v>
      </c>
    </row>
    <row r="1201" spans="1:21" s="159" customFormat="1" ht="45" x14ac:dyDescent="0.25">
      <c r="A1201" s="63">
        <f>MATCH($E1201,'D1 - Master Project Table'!$B$24:$B$7056,0)</f>
        <v>1800</v>
      </c>
      <c r="B1201" s="63" t="b">
        <f t="shared" si="57"/>
        <v>0</v>
      </c>
      <c r="C1201" s="63" t="b">
        <f t="shared" si="55"/>
        <v>1</v>
      </c>
      <c r="D1201" s="63" t="str">
        <f t="shared" si="56"/>
        <v>OK</v>
      </c>
      <c r="E1201" s="393">
        <v>400041433</v>
      </c>
      <c r="F1201" s="392" t="s">
        <v>2479</v>
      </c>
      <c r="G1201" s="392" t="s">
        <v>9210</v>
      </c>
      <c r="H1201" s="392" t="s">
        <v>7418</v>
      </c>
      <c r="I1201" s="392" t="s">
        <v>3540</v>
      </c>
      <c r="J1201" s="392" t="s">
        <v>8780</v>
      </c>
      <c r="K1201" s="392" t="s">
        <v>7043</v>
      </c>
      <c r="L1201" s="392" t="s">
        <v>599</v>
      </c>
      <c r="M1201" s="392" t="s">
        <v>7273</v>
      </c>
      <c r="N1201" s="392" t="s">
        <v>7273</v>
      </c>
      <c r="O1201" s="392" t="s">
        <v>7273</v>
      </c>
      <c r="P1201"/>
      <c r="Q1201"/>
      <c r="R1201" s="387">
        <f>VLOOKUP(E1201,'[1]NDB Impacted SPRFs 05032013'!$A$2:$A$65536,1,FALSE)</f>
        <v>400041433</v>
      </c>
    </row>
    <row r="1202" spans="1:21" s="159" customFormat="1" ht="45" x14ac:dyDescent="0.25">
      <c r="A1202" s="63">
        <f>MATCH($E1202,'D1 - Master Project Table'!$B$24:$B$7056,0)</f>
        <v>322</v>
      </c>
      <c r="B1202" s="63" t="b">
        <f t="shared" si="57"/>
        <v>0</v>
      </c>
      <c r="C1202" s="63" t="b">
        <f t="shared" si="55"/>
        <v>1</v>
      </c>
      <c r="D1202" s="63" t="str">
        <f t="shared" si="56"/>
        <v>OK</v>
      </c>
      <c r="E1202" s="393">
        <v>400002656</v>
      </c>
      <c r="F1202" s="392" t="s">
        <v>2432</v>
      </c>
      <c r="G1202" s="392" t="s">
        <v>5324</v>
      </c>
      <c r="H1202" s="392" t="s">
        <v>7418</v>
      </c>
      <c r="I1202" s="392" t="s">
        <v>1765</v>
      </c>
      <c r="J1202" s="392" t="s">
        <v>4462</v>
      </c>
      <c r="K1202" s="392" t="s">
        <v>5641</v>
      </c>
      <c r="L1202" s="392" t="s">
        <v>4058</v>
      </c>
      <c r="M1202" s="392" t="s">
        <v>3758</v>
      </c>
      <c r="N1202" s="392" t="s">
        <v>7273</v>
      </c>
      <c r="O1202" s="392" t="s">
        <v>7273</v>
      </c>
      <c r="P1202"/>
      <c r="Q1202"/>
      <c r="R1202" s="387">
        <f>VLOOKUP(E1202,'[1]NDB Impacted SPRFs 05032013'!$A$2:$A$65536,1,FALSE)</f>
        <v>400002656</v>
      </c>
    </row>
    <row r="1203" spans="1:21" s="159" customFormat="1" ht="45" x14ac:dyDescent="0.25">
      <c r="A1203" s="63">
        <f>MATCH($E1203,'D1 - Master Project Table'!$B$24:$B$7056,0)</f>
        <v>2446</v>
      </c>
      <c r="B1203" s="63" t="b">
        <f t="shared" si="57"/>
        <v>0</v>
      </c>
      <c r="C1203" s="63" t="b">
        <f t="shared" si="55"/>
        <v>1</v>
      </c>
      <c r="D1203" s="63" t="str">
        <f t="shared" si="56"/>
        <v>OK</v>
      </c>
      <c r="E1203" s="393">
        <v>400003918</v>
      </c>
      <c r="F1203" s="392" t="s">
        <v>4492</v>
      </c>
      <c r="G1203" s="392" t="s">
        <v>5787</v>
      </c>
      <c r="H1203" s="392" t="s">
        <v>5314</v>
      </c>
      <c r="I1203" s="392" t="s">
        <v>1778</v>
      </c>
      <c r="J1203" s="392" t="s">
        <v>6522</v>
      </c>
      <c r="K1203" s="392" t="s">
        <v>3914</v>
      </c>
      <c r="L1203" s="392" t="s">
        <v>7063</v>
      </c>
      <c r="M1203" s="392" t="s">
        <v>7273</v>
      </c>
      <c r="N1203" s="392" t="s">
        <v>7273</v>
      </c>
      <c r="O1203" s="392" t="s">
        <v>7273</v>
      </c>
      <c r="P1203"/>
      <c r="Q1203"/>
      <c r="R1203" s="387">
        <f>VLOOKUP(E1203,'[1]NDB Impacted SPRFs 05032013'!$A$2:$A$65536,1,FALSE)</f>
        <v>400003918</v>
      </c>
      <c r="S1203" s="128"/>
      <c r="T1203" s="128"/>
      <c r="U1203" s="128"/>
    </row>
    <row r="1204" spans="1:21" s="159" customFormat="1" ht="45" x14ac:dyDescent="0.25">
      <c r="A1204" s="63">
        <f>MATCH($E1204,'D1 - Master Project Table'!$B$24:$B$7056,0)</f>
        <v>2047</v>
      </c>
      <c r="B1204" s="63" t="b">
        <f t="shared" si="57"/>
        <v>0</v>
      </c>
      <c r="C1204" s="63" t="b">
        <f t="shared" si="55"/>
        <v>1</v>
      </c>
      <c r="D1204" s="63" t="str">
        <f t="shared" si="56"/>
        <v>OK</v>
      </c>
      <c r="E1204" s="393">
        <v>400005444</v>
      </c>
      <c r="F1204" s="392" t="s">
        <v>1991</v>
      </c>
      <c r="G1204" s="392" t="s">
        <v>5324</v>
      </c>
      <c r="H1204" s="392" t="s">
        <v>7418</v>
      </c>
      <c r="I1204" s="392" t="s">
        <v>1759</v>
      </c>
      <c r="J1204" s="392" t="s">
        <v>4708</v>
      </c>
      <c r="K1204" s="392" t="s">
        <v>4006</v>
      </c>
      <c r="L1204" s="392" t="s">
        <v>4891</v>
      </c>
      <c r="M1204" s="392" t="s">
        <v>3758</v>
      </c>
      <c r="N1204" s="392" t="s">
        <v>7273</v>
      </c>
      <c r="O1204" s="392" t="s">
        <v>7273</v>
      </c>
      <c r="P1204"/>
      <c r="Q1204"/>
      <c r="R1204" s="387">
        <f>VLOOKUP(E1204,'[1]NDB Impacted SPRFs 05032013'!$A$2:$A$65536,1,FALSE)</f>
        <v>400005444</v>
      </c>
    </row>
    <row r="1205" spans="1:21" s="159" customFormat="1" ht="45" x14ac:dyDescent="0.25">
      <c r="A1205" s="63">
        <f>MATCH($E1205,'D1 - Master Project Table'!$B$24:$B$7056,0)</f>
        <v>2069</v>
      </c>
      <c r="B1205" s="63" t="b">
        <f t="shared" si="57"/>
        <v>0</v>
      </c>
      <c r="C1205" s="63" t="b">
        <f t="shared" si="55"/>
        <v>1</v>
      </c>
      <c r="D1205" s="63" t="str">
        <f t="shared" si="56"/>
        <v>OK</v>
      </c>
      <c r="E1205" s="393">
        <v>400013978</v>
      </c>
      <c r="F1205" s="392" t="s">
        <v>3003</v>
      </c>
      <c r="G1205" s="392" t="s">
        <v>5324</v>
      </c>
      <c r="H1205" s="392" t="s">
        <v>7418</v>
      </c>
      <c r="I1205" s="392" t="s">
        <v>1756</v>
      </c>
      <c r="J1205" s="392" t="s">
        <v>8595</v>
      </c>
      <c r="K1205" s="392" t="s">
        <v>1265</v>
      </c>
      <c r="L1205" s="392" t="s">
        <v>6942</v>
      </c>
      <c r="M1205" s="392" t="s">
        <v>7273</v>
      </c>
      <c r="N1205" s="392" t="s">
        <v>7273</v>
      </c>
      <c r="O1205" s="392" t="s">
        <v>7273</v>
      </c>
      <c r="P1205"/>
      <c r="Q1205"/>
      <c r="R1205" s="387">
        <f>VLOOKUP(E1205,'[1]NDB Impacted SPRFs 05032013'!$A$2:$A$65536,1,FALSE)</f>
        <v>400013978</v>
      </c>
    </row>
    <row r="1206" spans="1:21" s="159" customFormat="1" ht="45" x14ac:dyDescent="0.25">
      <c r="A1206" s="63">
        <f>MATCH($E1206,'D1 - Master Project Table'!$B$24:$B$7056,0)</f>
        <v>3270</v>
      </c>
      <c r="B1206" s="63" t="b">
        <f t="shared" si="57"/>
        <v>0</v>
      </c>
      <c r="C1206" s="63" t="b">
        <f t="shared" si="55"/>
        <v>1</v>
      </c>
      <c r="D1206" s="63" t="str">
        <f t="shared" si="56"/>
        <v>OK</v>
      </c>
      <c r="E1206" s="393">
        <v>400043349</v>
      </c>
      <c r="F1206" s="392" t="s">
        <v>2265</v>
      </c>
      <c r="G1206" s="392" t="s">
        <v>5324</v>
      </c>
      <c r="H1206" s="392" t="s">
        <v>7418</v>
      </c>
      <c r="I1206" s="392" t="s">
        <v>1762</v>
      </c>
      <c r="J1206" s="392" t="s">
        <v>8408</v>
      </c>
      <c r="K1206" s="392" t="s">
        <v>6929</v>
      </c>
      <c r="L1206" s="392" t="s">
        <v>3595</v>
      </c>
      <c r="M1206" s="392" t="s">
        <v>3758</v>
      </c>
      <c r="N1206" s="392" t="s">
        <v>7273</v>
      </c>
      <c r="O1206" s="392" t="s">
        <v>7273</v>
      </c>
      <c r="P1206"/>
      <c r="Q1206"/>
      <c r="R1206" s="387">
        <f>VLOOKUP(E1206,'[1]NDB Impacted SPRFs 05032013'!$A$2:$A$65536,1,FALSE)</f>
        <v>400043349</v>
      </c>
    </row>
    <row r="1207" spans="1:21" ht="45" x14ac:dyDescent="0.25">
      <c r="A1207" s="63">
        <f>MATCH($E1207,'D1 - Master Project Table'!$B$24:$B$7056,0)</f>
        <v>465</v>
      </c>
      <c r="B1207" s="63" t="b">
        <f t="shared" si="57"/>
        <v>0</v>
      </c>
      <c r="C1207" s="63" t="b">
        <f t="shared" si="55"/>
        <v>1</v>
      </c>
      <c r="D1207" s="63" t="str">
        <f t="shared" si="56"/>
        <v>OK</v>
      </c>
      <c r="E1207" s="393">
        <v>400003085</v>
      </c>
      <c r="F1207" s="392" t="s">
        <v>7351</v>
      </c>
      <c r="G1207" s="392" t="s">
        <v>5324</v>
      </c>
      <c r="H1207" s="392" t="s">
        <v>7418</v>
      </c>
      <c r="I1207" s="392" t="s">
        <v>1765</v>
      </c>
      <c r="J1207" s="392" t="s">
        <v>8355</v>
      </c>
      <c r="K1207" s="392" t="s">
        <v>7401</v>
      </c>
      <c r="L1207" s="392" t="s">
        <v>1636</v>
      </c>
      <c r="M1207" s="392" t="s">
        <v>3758</v>
      </c>
      <c r="N1207" s="392" t="s">
        <v>7273</v>
      </c>
      <c r="O1207" s="392" t="s">
        <v>7273</v>
      </c>
      <c r="P1207"/>
      <c r="Q1207"/>
      <c r="R1207" s="387">
        <f>VLOOKUP(E1207,'[1]NDB Impacted SPRFs 05032013'!$A$2:$A$65536,1,FALSE)</f>
        <v>400003085</v>
      </c>
      <c r="S1207" s="159"/>
      <c r="T1207" s="159"/>
      <c r="U1207" s="159"/>
    </row>
    <row r="1208" spans="1:21" s="159" customFormat="1" ht="45" x14ac:dyDescent="0.25">
      <c r="A1208" s="63">
        <f>MATCH($E1208,'D1 - Master Project Table'!$B$24:$B$7056,0)</f>
        <v>874</v>
      </c>
      <c r="B1208" s="63" t="b">
        <f t="shared" si="57"/>
        <v>0</v>
      </c>
      <c r="C1208" s="63" t="b">
        <f t="shared" si="55"/>
        <v>1</v>
      </c>
      <c r="D1208" s="63" t="str">
        <f t="shared" si="56"/>
        <v>OK</v>
      </c>
      <c r="E1208" s="393">
        <v>400018247</v>
      </c>
      <c r="F1208" s="392" t="s">
        <v>8094</v>
      </c>
      <c r="G1208" s="392" t="s">
        <v>5324</v>
      </c>
      <c r="H1208" s="392" t="s">
        <v>7418</v>
      </c>
      <c r="I1208" s="392" t="s">
        <v>1756</v>
      </c>
      <c r="J1208" s="392" t="s">
        <v>8610</v>
      </c>
      <c r="K1208" s="392" t="s">
        <v>8095</v>
      </c>
      <c r="L1208" s="392" t="s">
        <v>7559</v>
      </c>
      <c r="M1208" s="392" t="s">
        <v>3758</v>
      </c>
      <c r="N1208" s="392" t="s">
        <v>7273</v>
      </c>
      <c r="O1208" s="392" t="s">
        <v>7273</v>
      </c>
      <c r="P1208"/>
      <c r="Q1208"/>
      <c r="R1208" s="387">
        <f>VLOOKUP(E1208,'[1]NDB Impacted SPRFs 05032013'!$A$2:$A$65536,1,FALSE)</f>
        <v>400018247</v>
      </c>
    </row>
    <row r="1209" spans="1:21" s="159" customFormat="1" ht="45" x14ac:dyDescent="0.25">
      <c r="A1209" s="63">
        <f>MATCH($E1209,'D1 - Master Project Table'!$B$24:$B$7056,0)</f>
        <v>2821</v>
      </c>
      <c r="B1209" s="63" t="b">
        <f t="shared" si="57"/>
        <v>0</v>
      </c>
      <c r="C1209" s="63" t="b">
        <f t="shared" si="55"/>
        <v>1</v>
      </c>
      <c r="D1209" s="63" t="str">
        <f t="shared" si="56"/>
        <v>OK</v>
      </c>
      <c r="E1209" s="393">
        <v>400024508</v>
      </c>
      <c r="F1209" s="392" t="s">
        <v>6641</v>
      </c>
      <c r="G1209" s="392" t="s">
        <v>5325</v>
      </c>
      <c r="H1209" s="392" t="s">
        <v>5314</v>
      </c>
      <c r="I1209" s="392" t="s">
        <v>6419</v>
      </c>
      <c r="J1209" s="392" t="s">
        <v>8266</v>
      </c>
      <c r="K1209" s="392" t="s">
        <v>6960</v>
      </c>
      <c r="L1209" s="392" t="s">
        <v>7580</v>
      </c>
      <c r="M1209" s="392" t="s">
        <v>3758</v>
      </c>
      <c r="N1209" s="392" t="s">
        <v>7273</v>
      </c>
      <c r="O1209" s="392" t="s">
        <v>7273</v>
      </c>
      <c r="P1209"/>
      <c r="Q1209"/>
      <c r="R1209" s="387">
        <f>VLOOKUP(E1209,'[1]NDB Impacted SPRFs 05032013'!$A$2:$A$65536,1,FALSE)</f>
        <v>400024508</v>
      </c>
      <c r="S1209" s="128"/>
      <c r="T1209" s="128"/>
      <c r="U1209" s="128"/>
    </row>
    <row r="1210" spans="1:21" s="159" customFormat="1" ht="45" x14ac:dyDescent="0.25">
      <c r="A1210" s="63">
        <f>MATCH($E1210,'D1 - Master Project Table'!$B$24:$B$7056,0)</f>
        <v>1370</v>
      </c>
      <c r="B1210" s="63" t="b">
        <f t="shared" si="57"/>
        <v>0</v>
      </c>
      <c r="C1210" s="63" t="b">
        <f t="shared" si="55"/>
        <v>1</v>
      </c>
      <c r="D1210" s="63" t="str">
        <f t="shared" si="56"/>
        <v>OK</v>
      </c>
      <c r="E1210" s="393">
        <v>400037167</v>
      </c>
      <c r="F1210" s="392" t="s">
        <v>4828</v>
      </c>
      <c r="G1210" s="392" t="s">
        <v>5324</v>
      </c>
      <c r="H1210" s="392" t="s">
        <v>7418</v>
      </c>
      <c r="I1210" s="392" t="s">
        <v>1763</v>
      </c>
      <c r="J1210" s="392" t="s">
        <v>8465</v>
      </c>
      <c r="K1210" s="392" t="s">
        <v>4829</v>
      </c>
      <c r="L1210" s="392" t="s">
        <v>6933</v>
      </c>
      <c r="M1210" s="392" t="s">
        <v>7273</v>
      </c>
      <c r="N1210" s="392" t="s">
        <v>7273</v>
      </c>
      <c r="O1210" s="392" t="s">
        <v>7273</v>
      </c>
      <c r="P1210"/>
      <c r="Q1210"/>
      <c r="R1210" s="387">
        <f>VLOOKUP(E1210,'[1]NDB Impacted SPRFs 05032013'!$A$2:$A$65536,1,FALSE)</f>
        <v>400037167</v>
      </c>
    </row>
    <row r="1211" spans="1:21" s="159" customFormat="1" ht="45" customHeight="1" x14ac:dyDescent="0.25">
      <c r="A1211" s="63">
        <f>MATCH($E1211,'D1 - Master Project Table'!$B$24:$B$7056,0)</f>
        <v>50</v>
      </c>
      <c r="B1211" s="63" t="b">
        <f t="shared" si="57"/>
        <v>0</v>
      </c>
      <c r="C1211" s="63" t="b">
        <f t="shared" si="55"/>
        <v>0</v>
      </c>
      <c r="D1211" s="63" t="str">
        <f t="shared" si="56"/>
        <v>OK</v>
      </c>
      <c r="E1211" s="393">
        <v>400054074</v>
      </c>
      <c r="F1211" s="392" t="s">
        <v>908</v>
      </c>
      <c r="G1211" s="392" t="s">
        <v>5324</v>
      </c>
      <c r="H1211" s="392" t="s">
        <v>4917</v>
      </c>
      <c r="I1211" s="392" t="s">
        <v>1757</v>
      </c>
      <c r="J1211" s="392" t="s">
        <v>8472</v>
      </c>
      <c r="K1211" s="392" t="s">
        <v>2684</v>
      </c>
      <c r="L1211" s="392" t="s">
        <v>6638</v>
      </c>
      <c r="M1211" s="392" t="s">
        <v>3758</v>
      </c>
      <c r="N1211" s="392" t="s">
        <v>7273</v>
      </c>
      <c r="O1211" s="392" t="s">
        <v>3758</v>
      </c>
      <c r="P1211"/>
      <c r="Q1211"/>
      <c r="R1211" s="387">
        <f>VLOOKUP(E1211,'[1]NDB Impacted SPRFs 05032013'!$A$2:$A$65536,1,FALSE)</f>
        <v>400054074</v>
      </c>
    </row>
    <row r="1212" spans="1:21" s="159" customFormat="1" ht="45" x14ac:dyDescent="0.25">
      <c r="A1212" s="63">
        <f>MATCH($E1212,'D1 - Master Project Table'!$B$24:$B$7056,0)</f>
        <v>675</v>
      </c>
      <c r="B1212" s="63" t="b">
        <f t="shared" si="57"/>
        <v>0</v>
      </c>
      <c r="C1212" s="63" t="b">
        <f t="shared" si="55"/>
        <v>1</v>
      </c>
      <c r="D1212" s="63" t="str">
        <f t="shared" si="56"/>
        <v>OK</v>
      </c>
      <c r="E1212" s="393">
        <v>400013210</v>
      </c>
      <c r="F1212" s="392" t="s">
        <v>4910</v>
      </c>
      <c r="G1212" s="392" t="s">
        <v>5324</v>
      </c>
      <c r="H1212" s="392" t="s">
        <v>7418</v>
      </c>
      <c r="I1212" s="392" t="s">
        <v>1764</v>
      </c>
      <c r="J1212" s="392" t="s">
        <v>7233</v>
      </c>
      <c r="K1212" s="392" t="s">
        <v>2862</v>
      </c>
      <c r="L1212" s="392" t="s">
        <v>4003</v>
      </c>
      <c r="M1212" s="392" t="s">
        <v>7273</v>
      </c>
      <c r="N1212" s="392" t="s">
        <v>7273</v>
      </c>
      <c r="O1212" s="392" t="s">
        <v>7273</v>
      </c>
      <c r="P1212"/>
      <c r="Q1212"/>
      <c r="R1212" s="387">
        <f>VLOOKUP(E1212,'[1]NDB Impacted SPRFs 05032013'!$A$2:$A$65536,1,FALSE)</f>
        <v>400013210</v>
      </c>
      <c r="S1212" s="128"/>
      <c r="T1212" s="128"/>
      <c r="U1212" s="128"/>
    </row>
    <row r="1213" spans="1:21" s="159" customFormat="1" ht="45" x14ac:dyDescent="0.25">
      <c r="A1213" s="63">
        <f>MATCH($E1213,'D1 - Master Project Table'!$B$24:$B$7056,0)</f>
        <v>2210</v>
      </c>
      <c r="B1213" s="63" t="b">
        <f t="shared" si="57"/>
        <v>0</v>
      </c>
      <c r="C1213" s="63" t="b">
        <f t="shared" si="55"/>
        <v>1</v>
      </c>
      <c r="D1213" s="63" t="str">
        <f t="shared" si="56"/>
        <v>OK</v>
      </c>
      <c r="E1213" s="393">
        <v>400017186</v>
      </c>
      <c r="F1213" s="392" t="s">
        <v>2442</v>
      </c>
      <c r="G1213" s="392" t="s">
        <v>5324</v>
      </c>
      <c r="H1213" s="392" t="s">
        <v>5314</v>
      </c>
      <c r="I1213" s="392" t="s">
        <v>1788</v>
      </c>
      <c r="J1213" s="392" t="s">
        <v>8254</v>
      </c>
      <c r="K1213" s="392" t="s">
        <v>1506</v>
      </c>
      <c r="L1213" s="392" t="s">
        <v>6299</v>
      </c>
      <c r="M1213" s="392" t="s">
        <v>3758</v>
      </c>
      <c r="N1213" s="392" t="s">
        <v>7273</v>
      </c>
      <c r="O1213" s="392" t="s">
        <v>7273</v>
      </c>
      <c r="P1213"/>
      <c r="Q1213"/>
      <c r="R1213" s="387">
        <f>VLOOKUP(E1213,'[1]NDB Impacted SPRFs 05032013'!$A$2:$A$65536,1,FALSE)</f>
        <v>400017186</v>
      </c>
    </row>
    <row r="1214" spans="1:21" s="159" customFormat="1" ht="45" x14ac:dyDescent="0.25">
      <c r="A1214" s="63">
        <f>MATCH($E1214,'D1 - Master Project Table'!$B$24:$B$7056,0)</f>
        <v>2754</v>
      </c>
      <c r="B1214" s="63" t="b">
        <f t="shared" si="57"/>
        <v>0</v>
      </c>
      <c r="C1214" s="63" t="b">
        <f t="shared" si="55"/>
        <v>1</v>
      </c>
      <c r="D1214" s="63" t="str">
        <f t="shared" si="56"/>
        <v>OK</v>
      </c>
      <c r="E1214" s="393">
        <v>400021209</v>
      </c>
      <c r="F1214" s="392" t="s">
        <v>7036</v>
      </c>
      <c r="G1214" s="392" t="s">
        <v>5324</v>
      </c>
      <c r="H1214" s="392" t="s">
        <v>5314</v>
      </c>
      <c r="I1214" s="392" t="s">
        <v>1762</v>
      </c>
      <c r="J1214" s="392" t="s">
        <v>8385</v>
      </c>
      <c r="K1214" s="392" t="s">
        <v>6371</v>
      </c>
      <c r="L1214" s="392" t="s">
        <v>7516</v>
      </c>
      <c r="M1214" s="392" t="s">
        <v>3758</v>
      </c>
      <c r="N1214" s="392" t="s">
        <v>7273</v>
      </c>
      <c r="O1214" s="392" t="s">
        <v>7273</v>
      </c>
      <c r="P1214"/>
      <c r="Q1214"/>
      <c r="R1214" s="387">
        <f>VLOOKUP(E1214,'[1]NDB Impacted SPRFs 05032013'!$A$2:$A$65536,1,FALSE)</f>
        <v>400021209</v>
      </c>
      <c r="S1214" s="128"/>
      <c r="T1214" s="128"/>
      <c r="U1214" s="128"/>
    </row>
    <row r="1215" spans="1:21" s="159" customFormat="1" ht="45" x14ac:dyDescent="0.25">
      <c r="A1215" s="63">
        <f>MATCH($E1215,'D1 - Master Project Table'!$B$24:$B$7056,0)</f>
        <v>2256</v>
      </c>
      <c r="B1215" s="147" t="b">
        <f t="shared" si="57"/>
        <v>0</v>
      </c>
      <c r="C1215" s="147" t="b">
        <f t="shared" si="55"/>
        <v>1</v>
      </c>
      <c r="D1215" s="147" t="str">
        <f t="shared" si="56"/>
        <v>OK</v>
      </c>
      <c r="E1215" s="393">
        <v>400032220</v>
      </c>
      <c r="F1215" s="392" t="s">
        <v>4602</v>
      </c>
      <c r="G1215" s="392" t="s">
        <v>5324</v>
      </c>
      <c r="H1215" s="392" t="s">
        <v>7418</v>
      </c>
      <c r="I1215" s="392" t="s">
        <v>1758</v>
      </c>
      <c r="J1215" s="392" t="s">
        <v>3449</v>
      </c>
      <c r="K1215" s="392" t="s">
        <v>3450</v>
      </c>
      <c r="L1215" s="392" t="s">
        <v>1424</v>
      </c>
      <c r="M1215" s="392" t="s">
        <v>7273</v>
      </c>
      <c r="N1215" s="392" t="s">
        <v>7273</v>
      </c>
      <c r="O1215" s="392" t="s">
        <v>3758</v>
      </c>
      <c r="P1215"/>
      <c r="Q1215"/>
      <c r="R1215" s="387">
        <f>VLOOKUP(E1215,'[1]NDB Impacted SPRFs 05032013'!$A$2:$A$65536,1,FALSE)</f>
        <v>400032220</v>
      </c>
      <c r="S1215" s="128"/>
      <c r="T1215" s="128"/>
      <c r="U1215" s="128"/>
    </row>
    <row r="1216" spans="1:21" s="159" customFormat="1" ht="45" x14ac:dyDescent="0.25">
      <c r="A1216" s="63">
        <f>MATCH($E1216,'D1 - Master Project Table'!$B$24:$B$7056,0)</f>
        <v>3267</v>
      </c>
      <c r="B1216" s="63" t="b">
        <f t="shared" si="57"/>
        <v>0</v>
      </c>
      <c r="C1216" s="63" t="b">
        <f t="shared" si="55"/>
        <v>1</v>
      </c>
      <c r="D1216" s="63" t="str">
        <f t="shared" si="56"/>
        <v>OK</v>
      </c>
      <c r="E1216" s="393">
        <v>400040773</v>
      </c>
      <c r="F1216" s="392" t="s">
        <v>1203</v>
      </c>
      <c r="G1216" s="392" t="s">
        <v>9210</v>
      </c>
      <c r="H1216" s="392" t="s">
        <v>7418</v>
      </c>
      <c r="I1216" s="392" t="s">
        <v>3540</v>
      </c>
      <c r="J1216" s="392" t="s">
        <v>8721</v>
      </c>
      <c r="K1216" s="392" t="s">
        <v>5468</v>
      </c>
      <c r="L1216" s="392" t="s">
        <v>3617</v>
      </c>
      <c r="M1216" s="392" t="s">
        <v>3758</v>
      </c>
      <c r="N1216" s="392" t="s">
        <v>7273</v>
      </c>
      <c r="O1216" s="392" t="s">
        <v>7273</v>
      </c>
      <c r="P1216"/>
      <c r="Q1216"/>
      <c r="R1216" s="387">
        <f>VLOOKUP(E1216,'[1]NDB Impacted SPRFs 05032013'!$A$2:$A$65536,1,FALSE)</f>
        <v>400040773</v>
      </c>
      <c r="S1216" s="128"/>
      <c r="T1216" s="128"/>
      <c r="U1216" s="128"/>
    </row>
    <row r="1217" spans="1:21" s="159" customFormat="1" ht="45" x14ac:dyDescent="0.25">
      <c r="A1217" s="63">
        <f>MATCH($E1217,'D1 - Master Project Table'!$B$24:$B$7056,0)</f>
        <v>2109</v>
      </c>
      <c r="B1217" s="63" t="b">
        <f t="shared" si="57"/>
        <v>0</v>
      </c>
      <c r="C1217" s="63" t="b">
        <f t="shared" si="55"/>
        <v>1</v>
      </c>
      <c r="D1217" s="63" t="str">
        <f t="shared" si="56"/>
        <v>OK</v>
      </c>
      <c r="E1217" s="393">
        <v>400014472</v>
      </c>
      <c r="F1217" s="392" t="s">
        <v>5420</v>
      </c>
      <c r="G1217" s="392" t="s">
        <v>3441</v>
      </c>
      <c r="H1217" s="392" t="s">
        <v>7418</v>
      </c>
      <c r="I1217" s="392" t="s">
        <v>1769</v>
      </c>
      <c r="J1217" s="392" t="s">
        <v>8714</v>
      </c>
      <c r="K1217" s="392" t="s">
        <v>5541</v>
      </c>
      <c r="L1217" s="392" t="s">
        <v>1627</v>
      </c>
      <c r="M1217" s="392" t="s">
        <v>3758</v>
      </c>
      <c r="N1217" s="392" t="s">
        <v>7273</v>
      </c>
      <c r="O1217" s="392" t="s">
        <v>7273</v>
      </c>
      <c r="P1217"/>
      <c r="Q1217"/>
      <c r="R1217" s="387">
        <f>VLOOKUP(E1217,'[1]NDB Impacted SPRFs 05032013'!$A$2:$A$65536,1,FALSE)</f>
        <v>400014472</v>
      </c>
    </row>
    <row r="1218" spans="1:21" s="159" customFormat="1" ht="45" x14ac:dyDescent="0.25">
      <c r="A1218" s="63">
        <f>MATCH($E1218,'D1 - Master Project Table'!$B$24:$B$7056,0)</f>
        <v>1101</v>
      </c>
      <c r="B1218" s="63" t="b">
        <f t="shared" si="57"/>
        <v>0</v>
      </c>
      <c r="C1218" s="63" t="b">
        <f t="shared" si="55"/>
        <v>1</v>
      </c>
      <c r="D1218" s="63" t="str">
        <f t="shared" si="56"/>
        <v>OK</v>
      </c>
      <c r="E1218" s="393">
        <v>400025245</v>
      </c>
      <c r="F1218" s="392" t="s">
        <v>6695</v>
      </c>
      <c r="G1218" s="392" t="s">
        <v>5995</v>
      </c>
      <c r="H1218" s="392" t="s">
        <v>7418</v>
      </c>
      <c r="I1218" s="392" t="s">
        <v>6423</v>
      </c>
      <c r="J1218" s="392" t="s">
        <v>8261</v>
      </c>
      <c r="K1218" s="392" t="s">
        <v>6601</v>
      </c>
      <c r="L1218" s="392" t="s">
        <v>3133</v>
      </c>
      <c r="M1218" s="392" t="s">
        <v>3758</v>
      </c>
      <c r="N1218" s="392" t="s">
        <v>7273</v>
      </c>
      <c r="O1218" s="392" t="s">
        <v>7273</v>
      </c>
      <c r="P1218"/>
      <c r="Q1218"/>
      <c r="R1218" s="387">
        <f>VLOOKUP(E1218,'[1]NDB Impacted SPRFs 05032013'!$A$2:$A$65536,1,FALSE)</f>
        <v>400025245</v>
      </c>
    </row>
    <row r="1219" spans="1:21" s="159" customFormat="1" ht="45" x14ac:dyDescent="0.25">
      <c r="A1219" s="63">
        <f>MATCH($E1219,'D1 - Master Project Table'!$B$24:$B$7056,0)</f>
        <v>1467</v>
      </c>
      <c r="B1219" s="63" t="b">
        <f t="shared" si="57"/>
        <v>0</v>
      </c>
      <c r="C1219" s="63" t="b">
        <f t="shared" si="55"/>
        <v>1</v>
      </c>
      <c r="D1219" s="63" t="str">
        <f t="shared" si="56"/>
        <v>OK</v>
      </c>
      <c r="E1219" s="393">
        <v>400041398</v>
      </c>
      <c r="F1219" s="392" t="s">
        <v>6301</v>
      </c>
      <c r="G1219" s="392" t="s">
        <v>5324</v>
      </c>
      <c r="H1219" s="392" t="s">
        <v>7418</v>
      </c>
      <c r="I1219" s="392" t="s">
        <v>1763</v>
      </c>
      <c r="J1219" s="392" t="s">
        <v>4796</v>
      </c>
      <c r="K1219" s="392" t="s">
        <v>2868</v>
      </c>
      <c r="L1219" s="392" t="s">
        <v>378</v>
      </c>
      <c r="M1219" s="392" t="s">
        <v>3758</v>
      </c>
      <c r="N1219" s="392" t="s">
        <v>7273</v>
      </c>
      <c r="O1219" s="392" t="s">
        <v>7273</v>
      </c>
      <c r="P1219"/>
      <c r="Q1219"/>
      <c r="R1219" s="387">
        <f>VLOOKUP(E1219,'[1]NDB Impacted SPRFs 05032013'!$A$2:$A$65536,1,FALSE)</f>
        <v>400041398</v>
      </c>
    </row>
    <row r="1220" spans="1:21" ht="45" x14ac:dyDescent="0.25">
      <c r="A1220" s="63">
        <f>MATCH($E1220,'D1 - Master Project Table'!$B$24:$B$7056,0)</f>
        <v>1366</v>
      </c>
      <c r="B1220" s="63" t="b">
        <f t="shared" si="57"/>
        <v>0</v>
      </c>
      <c r="C1220" s="63" t="b">
        <f t="shared" si="55"/>
        <v>1</v>
      </c>
      <c r="D1220" s="63" t="str">
        <f t="shared" si="56"/>
        <v>OK</v>
      </c>
      <c r="E1220" s="393">
        <v>400036073</v>
      </c>
      <c r="F1220" s="392" t="s">
        <v>6921</v>
      </c>
      <c r="G1220" s="392" t="s">
        <v>5324</v>
      </c>
      <c r="H1220" s="392" t="s">
        <v>7418</v>
      </c>
      <c r="I1220" s="392" t="s">
        <v>1758</v>
      </c>
      <c r="J1220" s="392" t="s">
        <v>8505</v>
      </c>
      <c r="K1220" s="392" t="s">
        <v>5948</v>
      </c>
      <c r="L1220" s="392" t="s">
        <v>6934</v>
      </c>
      <c r="M1220" s="392" t="s">
        <v>7273</v>
      </c>
      <c r="N1220" s="392" t="s">
        <v>7273</v>
      </c>
      <c r="O1220" s="392" t="s">
        <v>3758</v>
      </c>
      <c r="P1220"/>
      <c r="Q1220"/>
      <c r="R1220" s="387">
        <f>VLOOKUP(E1220,'[1]NDB Impacted SPRFs 05032013'!$A$2:$A$65536,1,FALSE)</f>
        <v>400036073</v>
      </c>
      <c r="S1220" s="159"/>
      <c r="T1220" s="159"/>
      <c r="U1220" s="159"/>
    </row>
    <row r="1221" spans="1:21" ht="45" x14ac:dyDescent="0.25">
      <c r="A1221" s="63">
        <f>MATCH($E1221,'D1 - Master Project Table'!$B$24:$B$7056,0)</f>
        <v>391</v>
      </c>
      <c r="B1221" s="63" t="b">
        <f t="shared" si="57"/>
        <v>0</v>
      </c>
      <c r="C1221" s="63" t="b">
        <f t="shared" si="55"/>
        <v>1</v>
      </c>
      <c r="D1221" s="63" t="str">
        <f t="shared" si="56"/>
        <v>OK</v>
      </c>
      <c r="E1221" s="393">
        <v>400008062</v>
      </c>
      <c r="F1221" s="392" t="s">
        <v>5624</v>
      </c>
      <c r="G1221" s="392" t="s">
        <v>5787</v>
      </c>
      <c r="H1221" s="392" t="s">
        <v>7418</v>
      </c>
      <c r="I1221" s="392" t="s">
        <v>1783</v>
      </c>
      <c r="J1221" s="392" t="s">
        <v>4437</v>
      </c>
      <c r="K1221" s="392" t="s">
        <v>6213</v>
      </c>
      <c r="L1221" s="392" t="s">
        <v>6337</v>
      </c>
      <c r="M1221" s="392" t="s">
        <v>7273</v>
      </c>
      <c r="N1221" s="392" t="s">
        <v>7273</v>
      </c>
      <c r="O1221" s="392" t="s">
        <v>7273</v>
      </c>
      <c r="P1221"/>
      <c r="Q1221"/>
      <c r="R1221" s="387">
        <f>VLOOKUP(E1221,'[1]NDB Impacted SPRFs 05032013'!$A$2:$A$65536,1,FALSE)</f>
        <v>400008062</v>
      </c>
      <c r="S1221" s="159"/>
      <c r="T1221" s="159"/>
      <c r="U1221" s="159"/>
    </row>
    <row r="1222" spans="1:21" s="159" customFormat="1" ht="45" x14ac:dyDescent="0.25">
      <c r="A1222" s="63">
        <f>MATCH($E1222,'D1 - Master Project Table'!$B$24:$B$7056,0)</f>
        <v>717</v>
      </c>
      <c r="B1222" s="63" t="b">
        <f t="shared" si="57"/>
        <v>0</v>
      </c>
      <c r="C1222" s="63" t="b">
        <f t="shared" ref="C1222:C1285" si="58">OR(H1222="Completed",H1222="Cancelled")</f>
        <v>1</v>
      </c>
      <c r="D1222" s="63" t="str">
        <f t="shared" ref="D1222:D1285" si="59">IF(AND(B1222=TRUE,C1222=FALSE),"Add","OK")</f>
        <v>OK</v>
      </c>
      <c r="E1222" s="393">
        <v>400011185</v>
      </c>
      <c r="F1222" s="392" t="s">
        <v>4225</v>
      </c>
      <c r="G1222" s="392" t="s">
        <v>3441</v>
      </c>
      <c r="H1222" s="392" t="s">
        <v>7418</v>
      </c>
      <c r="I1222" s="392" t="s">
        <v>2662</v>
      </c>
      <c r="J1222" s="392" t="s">
        <v>8378</v>
      </c>
      <c r="K1222" s="392" t="s">
        <v>1506</v>
      </c>
      <c r="L1222" s="392" t="s">
        <v>1216</v>
      </c>
      <c r="M1222" s="392" t="s">
        <v>3758</v>
      </c>
      <c r="N1222" s="392" t="s">
        <v>7273</v>
      </c>
      <c r="O1222" s="392" t="s">
        <v>7273</v>
      </c>
      <c r="P1222"/>
      <c r="Q1222"/>
      <c r="R1222" s="387">
        <f>VLOOKUP(E1222,'[1]NDB Impacted SPRFs 05032013'!$A$2:$A$65536,1,FALSE)</f>
        <v>400011185</v>
      </c>
    </row>
    <row r="1223" spans="1:21" s="159" customFormat="1" ht="45" x14ac:dyDescent="0.25">
      <c r="A1223" s="63">
        <f>MATCH($E1223,'D1 - Master Project Table'!$B$24:$B$7056,0)</f>
        <v>1286</v>
      </c>
      <c r="B1223" s="63" t="b">
        <f t="shared" si="57"/>
        <v>0</v>
      </c>
      <c r="C1223" s="63" t="b">
        <f t="shared" si="58"/>
        <v>1</v>
      </c>
      <c r="D1223" s="63" t="str">
        <f t="shared" si="59"/>
        <v>OK</v>
      </c>
      <c r="E1223" s="393">
        <v>400030726</v>
      </c>
      <c r="F1223" s="392" t="s">
        <v>5586</v>
      </c>
      <c r="G1223" s="392" t="s">
        <v>5325</v>
      </c>
      <c r="H1223" s="392" t="s">
        <v>7418</v>
      </c>
      <c r="I1223" s="392" t="s">
        <v>6419</v>
      </c>
      <c r="J1223" s="392" t="s">
        <v>8287</v>
      </c>
      <c r="K1223" s="392" t="s">
        <v>3028</v>
      </c>
      <c r="L1223" s="392" t="s">
        <v>8207</v>
      </c>
      <c r="M1223" s="392" t="s">
        <v>7273</v>
      </c>
      <c r="N1223" s="392" t="s">
        <v>7273</v>
      </c>
      <c r="O1223" s="392" t="s">
        <v>7273</v>
      </c>
      <c r="P1223"/>
      <c r="Q1223"/>
      <c r="R1223" s="387">
        <f>VLOOKUP(E1223,'[1]NDB Impacted SPRFs 05032013'!$A$2:$A$65536,1,FALSE)</f>
        <v>400030726</v>
      </c>
    </row>
    <row r="1224" spans="1:21" s="159" customFormat="1" ht="45" x14ac:dyDescent="0.25">
      <c r="A1224" s="63">
        <f>MATCH($E1224,'D1 - Master Project Table'!$B$24:$B$7056,0)</f>
        <v>124</v>
      </c>
      <c r="B1224" s="63" t="b">
        <f t="shared" si="57"/>
        <v>0</v>
      </c>
      <c r="C1224" s="63" t="b">
        <f t="shared" si="58"/>
        <v>0</v>
      </c>
      <c r="D1224" s="63" t="str">
        <f t="shared" si="59"/>
        <v>OK</v>
      </c>
      <c r="E1224" s="393">
        <v>400055050</v>
      </c>
      <c r="F1224" s="392" t="s">
        <v>77</v>
      </c>
      <c r="G1224" s="392" t="s">
        <v>6322</v>
      </c>
      <c r="H1224" s="392" t="s">
        <v>4917</v>
      </c>
      <c r="I1224" s="392" t="s">
        <v>1762</v>
      </c>
      <c r="J1224" s="392" t="s">
        <v>8656</v>
      </c>
      <c r="K1224" s="392" t="s">
        <v>78</v>
      </c>
      <c r="L1224" s="392" t="s">
        <v>18</v>
      </c>
      <c r="M1224" s="392" t="s">
        <v>7273</v>
      </c>
      <c r="N1224" s="392" t="s">
        <v>7273</v>
      </c>
      <c r="O1224" s="392" t="s">
        <v>7273</v>
      </c>
      <c r="P1224"/>
      <c r="Q1224"/>
      <c r="R1224" s="387">
        <f>VLOOKUP(E1224,'[1]NDB Impacted SPRFs 05032013'!$A$2:$A$65536,1,FALSE)</f>
        <v>400055050</v>
      </c>
    </row>
    <row r="1225" spans="1:21" s="159" customFormat="1" ht="45" x14ac:dyDescent="0.25">
      <c r="A1225" s="63">
        <f>MATCH($E1225,'D1 - Master Project Table'!$B$24:$B$7056,0)</f>
        <v>434</v>
      </c>
      <c r="B1225" s="63" t="b">
        <f t="shared" si="57"/>
        <v>0</v>
      </c>
      <c r="C1225" s="63" t="b">
        <f t="shared" si="58"/>
        <v>1</v>
      </c>
      <c r="D1225" s="63" t="str">
        <f t="shared" si="59"/>
        <v>OK</v>
      </c>
      <c r="E1225" s="393">
        <v>400007935</v>
      </c>
      <c r="F1225" s="392" t="s">
        <v>3776</v>
      </c>
      <c r="G1225" s="392" t="s">
        <v>5324</v>
      </c>
      <c r="H1225" s="392" t="s">
        <v>7418</v>
      </c>
      <c r="I1225" s="392" t="s">
        <v>1759</v>
      </c>
      <c r="J1225" s="392" t="s">
        <v>8359</v>
      </c>
      <c r="K1225" s="392" t="s">
        <v>2833</v>
      </c>
      <c r="L1225" s="392" t="s">
        <v>6130</v>
      </c>
      <c r="M1225" s="392" t="s">
        <v>3758</v>
      </c>
      <c r="N1225" s="392" t="s">
        <v>7273</v>
      </c>
      <c r="O1225" s="392" t="s">
        <v>7273</v>
      </c>
      <c r="P1225"/>
      <c r="Q1225"/>
      <c r="R1225" s="387">
        <f>VLOOKUP(E1225,'[1]NDB Impacted SPRFs 05032013'!$A$2:$A$65536,1,FALSE)</f>
        <v>400007935</v>
      </c>
    </row>
    <row r="1226" spans="1:21" s="159" customFormat="1" ht="45" x14ac:dyDescent="0.25">
      <c r="A1226" s="63">
        <f>MATCH($E1226,'D1 - Master Project Table'!$B$24:$B$7056,0)</f>
        <v>2825</v>
      </c>
      <c r="B1226" s="63" t="b">
        <f t="shared" si="57"/>
        <v>0</v>
      </c>
      <c r="C1226" s="63" t="b">
        <f t="shared" si="58"/>
        <v>1</v>
      </c>
      <c r="D1226" s="63" t="str">
        <f t="shared" si="59"/>
        <v>OK</v>
      </c>
      <c r="E1226" s="393">
        <v>400025131</v>
      </c>
      <c r="F1226" s="392" t="s">
        <v>5444</v>
      </c>
      <c r="G1226" s="392" t="s">
        <v>5324</v>
      </c>
      <c r="H1226" s="392" t="s">
        <v>5314</v>
      </c>
      <c r="I1226" s="392" t="s">
        <v>1759</v>
      </c>
      <c r="J1226" s="392" t="s">
        <v>8313</v>
      </c>
      <c r="K1226" s="392" t="s">
        <v>3774</v>
      </c>
      <c r="L1226" s="392" t="s">
        <v>993</v>
      </c>
      <c r="M1226" s="392" t="s">
        <v>3758</v>
      </c>
      <c r="N1226" s="392" t="s">
        <v>7273</v>
      </c>
      <c r="O1226" s="392" t="s">
        <v>7273</v>
      </c>
      <c r="P1226"/>
      <c r="Q1226"/>
      <c r="R1226" s="387">
        <f>VLOOKUP(E1226,'[1]NDB Impacted SPRFs 05032013'!$A$2:$A$65536,1,FALSE)</f>
        <v>400025131</v>
      </c>
    </row>
    <row r="1227" spans="1:21" s="159" customFormat="1" ht="45" x14ac:dyDescent="0.25">
      <c r="A1227" s="63" t="e">
        <f>MATCH($E1227,'D1 - Master Project Table'!$B$24:$B$7056,0)</f>
        <v>#N/A</v>
      </c>
      <c r="B1227" s="63" t="b">
        <f t="shared" si="57"/>
        <v>1</v>
      </c>
      <c r="C1227" s="63" t="b">
        <f t="shared" si="58"/>
        <v>1</v>
      </c>
      <c r="D1227" s="63" t="str">
        <f t="shared" si="59"/>
        <v>OK</v>
      </c>
      <c r="E1227" s="393">
        <v>400000656</v>
      </c>
      <c r="F1227" s="392" t="s">
        <v>5676</v>
      </c>
      <c r="G1227" s="392" t="s">
        <v>5787</v>
      </c>
      <c r="H1227" s="392" t="s">
        <v>7418</v>
      </c>
      <c r="I1227" s="392" t="s">
        <v>1772</v>
      </c>
      <c r="J1227" s="392" t="s">
        <v>8689</v>
      </c>
      <c r="K1227" s="392" t="s">
        <v>3275</v>
      </c>
      <c r="L1227" s="392" t="s">
        <v>3304</v>
      </c>
      <c r="M1227" s="392" t="s">
        <v>7273</v>
      </c>
      <c r="N1227" s="392" t="s">
        <v>7273</v>
      </c>
      <c r="O1227" s="392" t="s">
        <v>7273</v>
      </c>
      <c r="P1227"/>
      <c r="Q1227"/>
      <c r="R1227" s="387">
        <f>VLOOKUP(E1227,'[1]NDB Impacted SPRFs 05032013'!$A$2:$A$65536,1,FALSE)</f>
        <v>400000656</v>
      </c>
      <c r="S1227" s="128"/>
      <c r="T1227" s="128"/>
      <c r="U1227" s="128"/>
    </row>
    <row r="1228" spans="1:21" s="159" customFormat="1" ht="45" x14ac:dyDescent="0.25">
      <c r="A1228" s="63" t="e">
        <f>MATCH($E1228,'D1 - Master Project Table'!$B$24:$B$7056,0)</f>
        <v>#N/A</v>
      </c>
      <c r="B1228" s="63" t="b">
        <f t="shared" si="57"/>
        <v>1</v>
      </c>
      <c r="C1228" s="63" t="b">
        <f t="shared" si="58"/>
        <v>1</v>
      </c>
      <c r="D1228" s="63" t="str">
        <f t="shared" si="59"/>
        <v>OK</v>
      </c>
      <c r="E1228" s="393">
        <v>400000961</v>
      </c>
      <c r="F1228" s="392" t="s">
        <v>7310</v>
      </c>
      <c r="G1228" s="392" t="s">
        <v>5324</v>
      </c>
      <c r="H1228" s="392" t="s">
        <v>5314</v>
      </c>
      <c r="I1228" s="392" t="s">
        <v>1765</v>
      </c>
      <c r="J1228" s="392" t="s">
        <v>3843</v>
      </c>
      <c r="K1228" s="392" t="s">
        <v>2579</v>
      </c>
      <c r="L1228" s="392" t="s">
        <v>6793</v>
      </c>
      <c r="M1228" s="392" t="s">
        <v>3758</v>
      </c>
      <c r="N1228" s="392" t="s">
        <v>7273</v>
      </c>
      <c r="O1228" s="392" t="s">
        <v>7273</v>
      </c>
      <c r="P1228"/>
      <c r="Q1228"/>
      <c r="R1228" s="387">
        <f>VLOOKUP(E1228,'[1]NDB Impacted SPRFs 05032013'!$A$2:$A$65536,1,FALSE)</f>
        <v>400000961</v>
      </c>
    </row>
    <row r="1229" spans="1:21" s="159" customFormat="1" ht="45" x14ac:dyDescent="0.25">
      <c r="A1229" s="63">
        <f>MATCH($E1229,'D1 - Master Project Table'!$B$24:$B$7056,0)</f>
        <v>2920</v>
      </c>
      <c r="B1229" s="63" t="b">
        <f t="shared" si="57"/>
        <v>0</v>
      </c>
      <c r="C1229" s="63" t="b">
        <f t="shared" si="58"/>
        <v>1</v>
      </c>
      <c r="D1229" s="63" t="str">
        <f t="shared" si="59"/>
        <v>OK</v>
      </c>
      <c r="E1229" s="393">
        <v>400032528</v>
      </c>
      <c r="F1229" s="392" t="s">
        <v>6019</v>
      </c>
      <c r="G1229" s="392" t="s">
        <v>5324</v>
      </c>
      <c r="H1229" s="392" t="s">
        <v>5314</v>
      </c>
      <c r="I1229" s="392" t="s">
        <v>1759</v>
      </c>
      <c r="J1229" s="392" t="s">
        <v>4634</v>
      </c>
      <c r="K1229" s="392" t="s">
        <v>4006</v>
      </c>
      <c r="L1229" s="392" t="s">
        <v>6533</v>
      </c>
      <c r="M1229" s="392" t="s">
        <v>7273</v>
      </c>
      <c r="N1229" s="392" t="s">
        <v>7273</v>
      </c>
      <c r="O1229" s="392" t="s">
        <v>3758</v>
      </c>
      <c r="P1229"/>
      <c r="Q1229"/>
      <c r="R1229" s="387">
        <f>VLOOKUP(E1229,'[1]NDB Impacted SPRFs 05032013'!$A$2:$A$65536,1,FALSE)</f>
        <v>400032528</v>
      </c>
    </row>
    <row r="1230" spans="1:21" s="159" customFormat="1" ht="45" x14ac:dyDescent="0.25">
      <c r="A1230" s="63">
        <f>MATCH($E1230,'D1 - Master Project Table'!$B$24:$B$7056,0)</f>
        <v>1400</v>
      </c>
      <c r="B1230" s="63" t="b">
        <f t="shared" si="57"/>
        <v>0</v>
      </c>
      <c r="C1230" s="63" t="b">
        <f t="shared" si="58"/>
        <v>1</v>
      </c>
      <c r="D1230" s="63" t="str">
        <f t="shared" si="59"/>
        <v>OK</v>
      </c>
      <c r="E1230" s="393">
        <v>400038465</v>
      </c>
      <c r="F1230" s="392" t="s">
        <v>3963</v>
      </c>
      <c r="G1230" s="392" t="s">
        <v>5324</v>
      </c>
      <c r="H1230" s="392" t="s">
        <v>7418</v>
      </c>
      <c r="I1230" s="392" t="s">
        <v>1757</v>
      </c>
      <c r="J1230" s="392" t="s">
        <v>4703</v>
      </c>
      <c r="K1230" s="392" t="s">
        <v>3933</v>
      </c>
      <c r="L1230" s="392" t="s">
        <v>6744</v>
      </c>
      <c r="M1230" s="392" t="s">
        <v>7273</v>
      </c>
      <c r="N1230" s="392" t="s">
        <v>7273</v>
      </c>
      <c r="O1230" s="392" t="s">
        <v>7273</v>
      </c>
      <c r="P1230"/>
      <c r="Q1230"/>
      <c r="R1230" s="387">
        <f>VLOOKUP(E1230,'[1]NDB Impacted SPRFs 05032013'!$A$2:$A$65536,1,FALSE)</f>
        <v>400038465</v>
      </c>
    </row>
    <row r="1231" spans="1:21" s="159" customFormat="1" ht="45" x14ac:dyDescent="0.25">
      <c r="A1231" s="63">
        <f>MATCH($E1231,'D1 - Master Project Table'!$B$24:$B$7056,0)</f>
        <v>1454</v>
      </c>
      <c r="B1231" s="63" t="b">
        <f t="shared" si="57"/>
        <v>0</v>
      </c>
      <c r="C1231" s="63" t="b">
        <f t="shared" si="58"/>
        <v>1</v>
      </c>
      <c r="D1231" s="63" t="str">
        <f t="shared" si="59"/>
        <v>OK</v>
      </c>
      <c r="E1231" s="393">
        <v>400038466</v>
      </c>
      <c r="F1231" s="392" t="s">
        <v>3964</v>
      </c>
      <c r="G1231" s="392" t="s">
        <v>5324</v>
      </c>
      <c r="H1231" s="392" t="s">
        <v>7418</v>
      </c>
      <c r="I1231" s="392" t="s">
        <v>1757</v>
      </c>
      <c r="J1231" s="392" t="s">
        <v>4703</v>
      </c>
      <c r="K1231" s="392" t="s">
        <v>3933</v>
      </c>
      <c r="L1231" s="392" t="s">
        <v>6744</v>
      </c>
      <c r="M1231" s="392" t="s">
        <v>7273</v>
      </c>
      <c r="N1231" s="392" t="s">
        <v>7273</v>
      </c>
      <c r="O1231" s="392" t="s">
        <v>7273</v>
      </c>
      <c r="P1231"/>
      <c r="Q1231"/>
      <c r="R1231" s="387">
        <f>VLOOKUP(E1231,'[1]NDB Impacted SPRFs 05032013'!$A$2:$A$65536,1,FALSE)</f>
        <v>400038466</v>
      </c>
    </row>
    <row r="1232" spans="1:21" s="159" customFormat="1" ht="45" x14ac:dyDescent="0.25">
      <c r="A1232" s="63">
        <f>MATCH($E1232,'D1 - Master Project Table'!$B$24:$B$7056,0)</f>
        <v>1498</v>
      </c>
      <c r="B1232" s="63" t="b">
        <f t="shared" si="57"/>
        <v>0</v>
      </c>
      <c r="C1232" s="63" t="b">
        <f t="shared" si="58"/>
        <v>1</v>
      </c>
      <c r="D1232" s="63" t="str">
        <f t="shared" si="59"/>
        <v>OK</v>
      </c>
      <c r="E1232" s="393">
        <v>400038467</v>
      </c>
      <c r="F1232" s="392" t="s">
        <v>3965</v>
      </c>
      <c r="G1232" s="392" t="s">
        <v>5324</v>
      </c>
      <c r="H1232" s="392" t="s">
        <v>7418</v>
      </c>
      <c r="I1232" s="392" t="s">
        <v>1757</v>
      </c>
      <c r="J1232" s="392" t="s">
        <v>4703</v>
      </c>
      <c r="K1232" s="392" t="s">
        <v>1094</v>
      </c>
      <c r="L1232" s="392" t="s">
        <v>6744</v>
      </c>
      <c r="M1232" s="392" t="s">
        <v>7273</v>
      </c>
      <c r="N1232" s="392" t="s">
        <v>7273</v>
      </c>
      <c r="O1232" s="392" t="s">
        <v>7273</v>
      </c>
      <c r="P1232"/>
      <c r="Q1232"/>
      <c r="R1232" s="387">
        <f>VLOOKUP(E1232,'[1]NDB Impacted SPRFs 05032013'!$A$2:$A$65536,1,FALSE)</f>
        <v>400038467</v>
      </c>
      <c r="S1232" s="128"/>
      <c r="T1232" s="128"/>
      <c r="U1232" s="128"/>
    </row>
    <row r="1233" spans="1:21" s="159" customFormat="1" ht="45" x14ac:dyDescent="0.25">
      <c r="A1233" s="63">
        <f>MATCH($E1233,'D1 - Master Project Table'!$B$24:$B$7056,0)</f>
        <v>1545</v>
      </c>
      <c r="B1233" s="63" t="b">
        <f t="shared" si="57"/>
        <v>0</v>
      </c>
      <c r="C1233" s="63" t="b">
        <f t="shared" si="58"/>
        <v>1</v>
      </c>
      <c r="D1233" s="63" t="str">
        <f t="shared" si="59"/>
        <v>OK</v>
      </c>
      <c r="E1233" s="393">
        <v>400038468</v>
      </c>
      <c r="F1233" s="392" t="s">
        <v>89</v>
      </c>
      <c r="G1233" s="392" t="s">
        <v>5324</v>
      </c>
      <c r="H1233" s="392" t="s">
        <v>7418</v>
      </c>
      <c r="I1233" s="392" t="s">
        <v>1757</v>
      </c>
      <c r="J1233" s="392" t="s">
        <v>4703</v>
      </c>
      <c r="K1233" s="392" t="s">
        <v>1094</v>
      </c>
      <c r="L1233" s="392" t="s">
        <v>6744</v>
      </c>
      <c r="M1233" s="392" t="s">
        <v>7273</v>
      </c>
      <c r="N1233" s="392" t="s">
        <v>7273</v>
      </c>
      <c r="O1233" s="392" t="s">
        <v>7273</v>
      </c>
      <c r="P1233"/>
      <c r="Q1233"/>
      <c r="R1233" s="387">
        <f>VLOOKUP(E1233,'[1]NDB Impacted SPRFs 05032013'!$A$2:$A$65536,1,FALSE)</f>
        <v>400038468</v>
      </c>
      <c r="S1233" s="128"/>
      <c r="T1233" s="128"/>
      <c r="U1233" s="128"/>
    </row>
    <row r="1234" spans="1:21" s="159" customFormat="1" ht="45" x14ac:dyDescent="0.25">
      <c r="A1234" s="63">
        <f>MATCH($E1234,'D1 - Master Project Table'!$B$24:$B$7056,0)</f>
        <v>942</v>
      </c>
      <c r="B1234" s="63" t="b">
        <f t="shared" si="57"/>
        <v>0</v>
      </c>
      <c r="C1234" s="63" t="b">
        <f t="shared" si="58"/>
        <v>1</v>
      </c>
      <c r="D1234" s="63" t="str">
        <f t="shared" si="59"/>
        <v>OK</v>
      </c>
      <c r="E1234" s="393">
        <v>400020079</v>
      </c>
      <c r="F1234" s="392" t="s">
        <v>4752</v>
      </c>
      <c r="G1234" s="392" t="s">
        <v>5324</v>
      </c>
      <c r="H1234" s="392" t="s">
        <v>7418</v>
      </c>
      <c r="I1234" s="392" t="s">
        <v>1757</v>
      </c>
      <c r="J1234" s="392" t="s">
        <v>8393</v>
      </c>
      <c r="K1234" s="392" t="s">
        <v>7197</v>
      </c>
      <c r="L1234" s="392" t="s">
        <v>6757</v>
      </c>
      <c r="M1234" s="392" t="s">
        <v>3758</v>
      </c>
      <c r="N1234" s="392" t="s">
        <v>7273</v>
      </c>
      <c r="O1234" s="392" t="s">
        <v>3758</v>
      </c>
      <c r="P1234"/>
      <c r="Q1234"/>
      <c r="R1234" s="387">
        <f>VLOOKUP(E1234,'[1]NDB Impacted SPRFs 05032013'!$A$2:$A$65536,1,FALSE)</f>
        <v>400020079</v>
      </c>
    </row>
    <row r="1235" spans="1:21" s="159" customFormat="1" ht="45" x14ac:dyDescent="0.25">
      <c r="A1235" s="63">
        <f>MATCH($E1235,'D1 - Master Project Table'!$B$24:$B$7056,0)</f>
        <v>2834</v>
      </c>
      <c r="B1235" s="63" t="b">
        <f t="shared" si="57"/>
        <v>0</v>
      </c>
      <c r="C1235" s="63" t="b">
        <f t="shared" si="58"/>
        <v>1</v>
      </c>
      <c r="D1235" s="63" t="str">
        <f t="shared" si="59"/>
        <v>OK</v>
      </c>
      <c r="E1235" s="393">
        <v>400025521</v>
      </c>
      <c r="F1235" s="392" t="s">
        <v>5826</v>
      </c>
      <c r="G1235" s="392" t="s">
        <v>5324</v>
      </c>
      <c r="H1235" s="392" t="s">
        <v>5314</v>
      </c>
      <c r="I1235" s="392" t="s">
        <v>1757</v>
      </c>
      <c r="J1235" s="392" t="s">
        <v>8316</v>
      </c>
      <c r="K1235" s="392" t="s">
        <v>3283</v>
      </c>
      <c r="L1235" s="392" t="s">
        <v>3196</v>
      </c>
      <c r="M1235" s="392" t="s">
        <v>3758</v>
      </c>
      <c r="N1235" s="392" t="s">
        <v>7273</v>
      </c>
      <c r="O1235" s="392" t="s">
        <v>3758</v>
      </c>
      <c r="P1235"/>
      <c r="Q1235"/>
      <c r="R1235" s="387">
        <f>VLOOKUP(E1235,'[1]NDB Impacted SPRFs 05032013'!$A$2:$A$65536,1,FALSE)</f>
        <v>400025521</v>
      </c>
    </row>
    <row r="1236" spans="1:21" s="159" customFormat="1" ht="45" x14ac:dyDescent="0.25">
      <c r="A1236" s="63">
        <f>MATCH($E1236,'D1 - Master Project Table'!$B$24:$B$7056,0)</f>
        <v>2971</v>
      </c>
      <c r="B1236" s="63" t="b">
        <f t="shared" si="57"/>
        <v>0</v>
      </c>
      <c r="C1236" s="63" t="b">
        <f t="shared" si="58"/>
        <v>1</v>
      </c>
      <c r="D1236" s="63" t="str">
        <f t="shared" si="59"/>
        <v>OK</v>
      </c>
      <c r="E1236" s="393">
        <v>400036771</v>
      </c>
      <c r="F1236" s="392" t="s">
        <v>4217</v>
      </c>
      <c r="G1236" s="392" t="s">
        <v>5324</v>
      </c>
      <c r="H1236" s="392" t="s">
        <v>5314</v>
      </c>
      <c r="I1236" s="392" t="s">
        <v>1763</v>
      </c>
      <c r="J1236" s="392" t="s">
        <v>8300</v>
      </c>
      <c r="K1236" s="392" t="s">
        <v>3283</v>
      </c>
      <c r="L1236" s="392" t="s">
        <v>4218</v>
      </c>
      <c r="M1236" s="392" t="s">
        <v>3758</v>
      </c>
      <c r="N1236" s="392" t="s">
        <v>7273</v>
      </c>
      <c r="O1236" s="392" t="s">
        <v>3758</v>
      </c>
      <c r="P1236"/>
      <c r="Q1236"/>
      <c r="R1236" s="387">
        <f>VLOOKUP(E1236,'[1]NDB Impacted SPRFs 05032013'!$A$2:$A$65536,1,FALSE)</f>
        <v>400036771</v>
      </c>
    </row>
    <row r="1237" spans="1:21" ht="45" x14ac:dyDescent="0.25">
      <c r="A1237" s="63">
        <f>MATCH($E1237,'D1 - Master Project Table'!$B$24:$B$7056,0)</f>
        <v>1571</v>
      </c>
      <c r="B1237" s="63" t="b">
        <f t="shared" si="57"/>
        <v>0</v>
      </c>
      <c r="C1237" s="63" t="b">
        <f t="shared" si="58"/>
        <v>1</v>
      </c>
      <c r="D1237" s="63" t="str">
        <f t="shared" si="59"/>
        <v>OK</v>
      </c>
      <c r="E1237" s="393">
        <v>400044781</v>
      </c>
      <c r="F1237" s="392" t="s">
        <v>1851</v>
      </c>
      <c r="G1237" s="392" t="s">
        <v>5995</v>
      </c>
      <c r="H1237" s="392" t="s">
        <v>7418</v>
      </c>
      <c r="I1237" s="392" t="s">
        <v>6423</v>
      </c>
      <c r="J1237" s="392" t="s">
        <v>1709</v>
      </c>
      <c r="K1237" s="392" t="s">
        <v>1897</v>
      </c>
      <c r="L1237" s="392" t="s">
        <v>423</v>
      </c>
      <c r="M1237" s="392" t="s">
        <v>7273</v>
      </c>
      <c r="N1237" s="392" t="s">
        <v>7273</v>
      </c>
      <c r="O1237" s="392" t="s">
        <v>7273</v>
      </c>
      <c r="P1237" s="212"/>
      <c r="Q1237"/>
      <c r="R1237" s="387">
        <f>VLOOKUP(E1237,'[1]NDB Impacted SPRFs 05032013'!$A$2:$A$65536,1,FALSE)</f>
        <v>400044781</v>
      </c>
      <c r="S1237" s="159"/>
      <c r="T1237" s="159"/>
      <c r="U1237" s="159"/>
    </row>
    <row r="1238" spans="1:21" s="159" customFormat="1" ht="45" x14ac:dyDescent="0.25">
      <c r="A1238" s="63">
        <f>MATCH($E1238,'D1 - Master Project Table'!$B$24:$B$7056,0)</f>
        <v>298</v>
      </c>
      <c r="B1238" s="63" t="b">
        <f t="shared" si="57"/>
        <v>0</v>
      </c>
      <c r="C1238" s="63" t="b">
        <f t="shared" si="58"/>
        <v>1</v>
      </c>
      <c r="D1238" s="63" t="str">
        <f t="shared" si="59"/>
        <v>OK</v>
      </c>
      <c r="E1238" s="393">
        <v>400003893</v>
      </c>
      <c r="F1238" s="392" t="s">
        <v>2968</v>
      </c>
      <c r="G1238" s="392" t="s">
        <v>5995</v>
      </c>
      <c r="H1238" s="392" t="s">
        <v>7418</v>
      </c>
      <c r="I1238" s="392" t="s">
        <v>4527</v>
      </c>
      <c r="J1238" s="392" t="s">
        <v>8074</v>
      </c>
      <c r="K1238" s="392" t="s">
        <v>8116</v>
      </c>
      <c r="L1238" s="392" t="s">
        <v>6282</v>
      </c>
      <c r="M1238" s="392" t="s">
        <v>3758</v>
      </c>
      <c r="N1238" s="392" t="s">
        <v>7273</v>
      </c>
      <c r="O1238" s="392" t="s">
        <v>7273</v>
      </c>
      <c r="P1238"/>
      <c r="Q1238"/>
      <c r="R1238" s="387">
        <f>VLOOKUP(E1238,'[1]NDB Impacted SPRFs 05032013'!$A$2:$A$65536,1,FALSE)</f>
        <v>400003893</v>
      </c>
    </row>
    <row r="1239" spans="1:21" s="159" customFormat="1" ht="30" x14ac:dyDescent="0.25">
      <c r="A1239" s="63" t="e">
        <f>MATCH($E1239,'D1 - Master Project Table'!$B$24:$B$7056,0)</f>
        <v>#N/A</v>
      </c>
      <c r="B1239" s="63" t="b">
        <f t="shared" si="57"/>
        <v>1</v>
      </c>
      <c r="C1239" s="63" t="b">
        <f t="shared" si="58"/>
        <v>1</v>
      </c>
      <c r="D1239" s="63" t="str">
        <f t="shared" si="59"/>
        <v>OK</v>
      </c>
      <c r="E1239" s="393">
        <v>400006276</v>
      </c>
      <c r="F1239" s="392" t="s">
        <v>5693</v>
      </c>
      <c r="G1239" s="392" t="s">
        <v>5787</v>
      </c>
      <c r="H1239" s="392" t="s">
        <v>7418</v>
      </c>
      <c r="I1239" s="392" t="s">
        <v>1771</v>
      </c>
      <c r="J1239" s="392" t="s">
        <v>6846</v>
      </c>
      <c r="K1239" s="392" t="s">
        <v>4671</v>
      </c>
      <c r="L1239" s="392" t="s">
        <v>7761</v>
      </c>
      <c r="M1239" s="392" t="s">
        <v>7273</v>
      </c>
      <c r="N1239" s="392" t="s">
        <v>7273</v>
      </c>
      <c r="O1239" s="392" t="s">
        <v>7273</v>
      </c>
      <c r="P1239"/>
      <c r="Q1239"/>
      <c r="R1239" s="387">
        <f>VLOOKUP(E1239,'[1]NDB Impacted SPRFs 05032013'!$A$2:$A$65536,1,FALSE)</f>
        <v>400006276</v>
      </c>
    </row>
    <row r="1240" spans="1:21" s="159" customFormat="1" ht="45" x14ac:dyDescent="0.25">
      <c r="A1240" s="63" t="e">
        <f>MATCH($E1240,'D1 - Master Project Table'!$B$24:$B$7056,0)</f>
        <v>#N/A</v>
      </c>
      <c r="B1240" s="63" t="b">
        <f t="shared" si="57"/>
        <v>1</v>
      </c>
      <c r="C1240" s="63" t="b">
        <f t="shared" si="58"/>
        <v>1</v>
      </c>
      <c r="D1240" s="63" t="str">
        <f t="shared" si="59"/>
        <v>OK</v>
      </c>
      <c r="E1240" s="393">
        <v>400015810</v>
      </c>
      <c r="F1240" s="392" t="s">
        <v>6487</v>
      </c>
      <c r="G1240" s="392" t="s">
        <v>3441</v>
      </c>
      <c r="H1240" s="392" t="s">
        <v>5314</v>
      </c>
      <c r="I1240" s="392" t="s">
        <v>1769</v>
      </c>
      <c r="J1240" s="392" t="s">
        <v>8844</v>
      </c>
      <c r="K1240" s="392" t="s">
        <v>1506</v>
      </c>
      <c r="L1240" s="392" t="s">
        <v>2640</v>
      </c>
      <c r="M1240" s="392" t="s">
        <v>3758</v>
      </c>
      <c r="N1240" s="392" t="s">
        <v>7273</v>
      </c>
      <c r="O1240" s="392" t="s">
        <v>7273</v>
      </c>
      <c r="P1240"/>
      <c r="Q1240"/>
      <c r="R1240" s="387">
        <f>VLOOKUP(E1240,'[1]NDB Impacted SPRFs 05032013'!$A$2:$A$65536,1,FALSE)</f>
        <v>400015810</v>
      </c>
    </row>
    <row r="1241" spans="1:21" s="159" customFormat="1" ht="45" customHeight="1" x14ac:dyDescent="0.25">
      <c r="A1241" s="63">
        <f>MATCH($E1241,'D1 - Master Project Table'!$B$24:$B$7056,0)</f>
        <v>1984</v>
      </c>
      <c r="B1241" s="63" t="b">
        <f t="shared" si="57"/>
        <v>0</v>
      </c>
      <c r="C1241" s="63" t="b">
        <f t="shared" si="58"/>
        <v>1</v>
      </c>
      <c r="D1241" s="63" t="str">
        <f t="shared" si="59"/>
        <v>OK</v>
      </c>
      <c r="E1241" s="393">
        <v>400027506</v>
      </c>
      <c r="F1241" s="392" t="s">
        <v>3787</v>
      </c>
      <c r="G1241" s="392" t="s">
        <v>5324</v>
      </c>
      <c r="H1241" s="392" t="s">
        <v>7418</v>
      </c>
      <c r="I1241" s="392" t="s">
        <v>1756</v>
      </c>
      <c r="J1241" s="392" t="s">
        <v>5112</v>
      </c>
      <c r="K1241" s="392" t="s">
        <v>5430</v>
      </c>
      <c r="L1241" s="392" t="s">
        <v>8055</v>
      </c>
      <c r="M1241" s="392" t="s">
        <v>3758</v>
      </c>
      <c r="N1241" s="392" t="s">
        <v>7273</v>
      </c>
      <c r="O1241" s="392" t="s">
        <v>7273</v>
      </c>
      <c r="P1241"/>
      <c r="Q1241"/>
      <c r="R1241" s="387">
        <f>VLOOKUP(E1241,'[1]NDB Impacted SPRFs 05032013'!$A$2:$A$65536,1,FALSE)</f>
        <v>400027506</v>
      </c>
    </row>
    <row r="1242" spans="1:21" s="159" customFormat="1" ht="45" customHeight="1" x14ac:dyDescent="0.25">
      <c r="A1242" s="63">
        <f>MATCH($E1242,'D1 - Master Project Table'!$B$24:$B$7056,0)</f>
        <v>1985</v>
      </c>
      <c r="B1242" s="63" t="b">
        <f t="shared" si="57"/>
        <v>0</v>
      </c>
      <c r="C1242" s="63" t="b">
        <f t="shared" si="58"/>
        <v>1</v>
      </c>
      <c r="D1242" s="63" t="str">
        <f t="shared" si="59"/>
        <v>OK</v>
      </c>
      <c r="E1242" s="393">
        <v>400028445</v>
      </c>
      <c r="F1242" s="392" t="s">
        <v>5634</v>
      </c>
      <c r="G1242" s="392" t="s">
        <v>6065</v>
      </c>
      <c r="H1242" s="392" t="s">
        <v>7418</v>
      </c>
      <c r="I1242" s="392" t="s">
        <v>2655</v>
      </c>
      <c r="J1242" s="392" t="s">
        <v>7269</v>
      </c>
      <c r="K1242" s="392" t="s">
        <v>5218</v>
      </c>
      <c r="L1242" s="392" t="s">
        <v>2927</v>
      </c>
      <c r="M1242" s="392" t="s">
        <v>7273</v>
      </c>
      <c r="N1242" s="392" t="s">
        <v>7273</v>
      </c>
      <c r="O1242" s="392" t="s">
        <v>7273</v>
      </c>
      <c r="P1242"/>
      <c r="Q1242"/>
      <c r="R1242" s="387">
        <f>VLOOKUP(E1242,'[1]NDB Impacted SPRFs 05032013'!$A$2:$A$65536,1,FALSE)</f>
        <v>400028445</v>
      </c>
    </row>
    <row r="1243" spans="1:21" s="159" customFormat="1" ht="45" x14ac:dyDescent="0.25">
      <c r="A1243" s="63">
        <f>MATCH($E1243,'D1 - Master Project Table'!$B$24:$B$7056,0)</f>
        <v>1225</v>
      </c>
      <c r="B1243" s="63" t="b">
        <f t="shared" si="57"/>
        <v>0</v>
      </c>
      <c r="C1243" s="63" t="b">
        <f t="shared" si="58"/>
        <v>1</v>
      </c>
      <c r="D1243" s="63" t="str">
        <f t="shared" si="59"/>
        <v>OK</v>
      </c>
      <c r="E1243" s="393">
        <v>400032222</v>
      </c>
      <c r="F1243" s="392" t="s">
        <v>3451</v>
      </c>
      <c r="G1243" s="392" t="s">
        <v>5001</v>
      </c>
      <c r="H1243" s="392" t="s">
        <v>7418</v>
      </c>
      <c r="I1243" s="392" t="s">
        <v>3540</v>
      </c>
      <c r="J1243" s="392" t="s">
        <v>3220</v>
      </c>
      <c r="K1243" s="392" t="s">
        <v>3452</v>
      </c>
      <c r="L1243" s="392" t="s">
        <v>101</v>
      </c>
      <c r="M1243" s="392" t="s">
        <v>7273</v>
      </c>
      <c r="N1243" s="392" t="s">
        <v>7273</v>
      </c>
      <c r="O1243" s="392" t="s">
        <v>7273</v>
      </c>
      <c r="P1243"/>
      <c r="Q1243"/>
      <c r="R1243" s="387">
        <f>VLOOKUP(E1243,'[1]NDB Impacted SPRFs 05032013'!$A$2:$A$65536,1,FALSE)</f>
        <v>400032222</v>
      </c>
    </row>
    <row r="1244" spans="1:21" s="159" customFormat="1" ht="45" customHeight="1" x14ac:dyDescent="0.25">
      <c r="A1244" s="63">
        <f>MATCH($E1244,'D1 - Master Project Table'!$B$24:$B$7056,0)</f>
        <v>3188</v>
      </c>
      <c r="B1244" s="63" t="b">
        <f t="shared" si="57"/>
        <v>0</v>
      </c>
      <c r="C1244" s="63" t="b">
        <f t="shared" si="58"/>
        <v>1</v>
      </c>
      <c r="D1244" s="63" t="str">
        <f t="shared" si="59"/>
        <v>OK</v>
      </c>
      <c r="E1244" s="393">
        <v>400043432</v>
      </c>
      <c r="F1244" s="392" t="s">
        <v>892</v>
      </c>
      <c r="G1244" s="392" t="s">
        <v>6322</v>
      </c>
      <c r="H1244" s="392" t="s">
        <v>7418</v>
      </c>
      <c r="I1244" s="392" t="s">
        <v>1758</v>
      </c>
      <c r="J1244" s="392" t="s">
        <v>8652</v>
      </c>
      <c r="K1244" s="392" t="s">
        <v>6586</v>
      </c>
      <c r="L1244" s="392" t="s">
        <v>8196</v>
      </c>
      <c r="M1244" s="392" t="s">
        <v>7273</v>
      </c>
      <c r="N1244" s="392" t="s">
        <v>7273</v>
      </c>
      <c r="O1244" s="392" t="s">
        <v>7273</v>
      </c>
      <c r="P1244"/>
      <c r="Q1244"/>
      <c r="R1244" s="387">
        <f>VLOOKUP(E1244,'[1]NDB Impacted SPRFs 05032013'!$A$2:$A$65536,1,FALSE)</f>
        <v>400043432</v>
      </c>
    </row>
    <row r="1245" spans="1:21" s="159" customFormat="1" ht="45" x14ac:dyDescent="0.25">
      <c r="A1245" s="63">
        <f>MATCH($E1245,'D1 - Master Project Table'!$B$24:$B$7056,0)</f>
        <v>2552</v>
      </c>
      <c r="B1245" s="63" t="b">
        <f t="shared" si="57"/>
        <v>0</v>
      </c>
      <c r="C1245" s="63" t="b">
        <f t="shared" si="58"/>
        <v>1</v>
      </c>
      <c r="D1245" s="63" t="str">
        <f t="shared" si="59"/>
        <v>OK</v>
      </c>
      <c r="E1245" s="393">
        <v>400009433</v>
      </c>
      <c r="F1245" s="392" t="s">
        <v>5476</v>
      </c>
      <c r="G1245" s="392" t="s">
        <v>5324</v>
      </c>
      <c r="H1245" s="392" t="s">
        <v>5314</v>
      </c>
      <c r="I1245" s="392" t="s">
        <v>1759</v>
      </c>
      <c r="J1245" s="392" t="s">
        <v>8359</v>
      </c>
      <c r="K1245" s="392" t="s">
        <v>2833</v>
      </c>
      <c r="L1245" s="392" t="s">
        <v>6183</v>
      </c>
      <c r="M1245" s="392" t="s">
        <v>3758</v>
      </c>
      <c r="N1245" s="392" t="s">
        <v>7273</v>
      </c>
      <c r="O1245" s="392" t="s">
        <v>7273</v>
      </c>
      <c r="P1245"/>
      <c r="Q1245"/>
      <c r="R1245" s="387">
        <f>VLOOKUP(E1245,'[1]NDB Impacted SPRFs 05032013'!$A$2:$A$65536,1,FALSE)</f>
        <v>400009433</v>
      </c>
      <c r="S1245" s="128"/>
      <c r="T1245" s="128"/>
      <c r="U1245" s="128"/>
    </row>
    <row r="1246" spans="1:21" s="159" customFormat="1" ht="45" x14ac:dyDescent="0.25">
      <c r="A1246" s="63">
        <f>MATCH($E1246,'D1 - Master Project Table'!$B$24:$B$7056,0)</f>
        <v>2685</v>
      </c>
      <c r="B1246" s="63" t="b">
        <f t="shared" si="57"/>
        <v>0</v>
      </c>
      <c r="C1246" s="63" t="b">
        <f t="shared" si="58"/>
        <v>1</v>
      </c>
      <c r="D1246" s="63" t="str">
        <f t="shared" si="59"/>
        <v>OK</v>
      </c>
      <c r="E1246" s="393">
        <v>400017319</v>
      </c>
      <c r="F1246" s="392" t="s">
        <v>4175</v>
      </c>
      <c r="G1246" s="392" t="s">
        <v>5324</v>
      </c>
      <c r="H1246" s="392" t="s">
        <v>7418</v>
      </c>
      <c r="I1246" s="392" t="s">
        <v>1757</v>
      </c>
      <c r="J1246" s="392" t="s">
        <v>8384</v>
      </c>
      <c r="K1246" s="392" t="s">
        <v>7043</v>
      </c>
      <c r="L1246" s="392" t="s">
        <v>4100</v>
      </c>
      <c r="M1246" s="392" t="s">
        <v>7273</v>
      </c>
      <c r="N1246" s="392" t="s">
        <v>7273</v>
      </c>
      <c r="O1246" s="392" t="s">
        <v>7273</v>
      </c>
      <c r="P1246"/>
      <c r="Q1246"/>
      <c r="R1246" s="387">
        <f>VLOOKUP(E1246,'[1]NDB Impacted SPRFs 05032013'!$A$2:$A$65536,1,FALSE)</f>
        <v>400017319</v>
      </c>
    </row>
    <row r="1247" spans="1:21" s="159" customFormat="1" ht="45" x14ac:dyDescent="0.25">
      <c r="A1247" s="63">
        <f>MATCH($E1247,'D1 - Master Project Table'!$B$24:$B$7056,0)</f>
        <v>2768</v>
      </c>
      <c r="B1247" s="63" t="b">
        <f t="shared" si="57"/>
        <v>0</v>
      </c>
      <c r="C1247" s="63" t="b">
        <f t="shared" si="58"/>
        <v>1</v>
      </c>
      <c r="D1247" s="63" t="str">
        <f t="shared" si="59"/>
        <v>OK</v>
      </c>
      <c r="E1247" s="393">
        <v>400021510</v>
      </c>
      <c r="F1247" s="392" t="s">
        <v>6619</v>
      </c>
      <c r="G1247" s="392" t="s">
        <v>5324</v>
      </c>
      <c r="H1247" s="392" t="s">
        <v>5314</v>
      </c>
      <c r="I1247" s="392" t="s">
        <v>1759</v>
      </c>
      <c r="J1247" s="392" t="s">
        <v>8379</v>
      </c>
      <c r="K1247" s="392" t="s">
        <v>7062</v>
      </c>
      <c r="L1247" s="392" t="s">
        <v>7517</v>
      </c>
      <c r="M1247" s="392" t="s">
        <v>3758</v>
      </c>
      <c r="N1247" s="392" t="s">
        <v>7273</v>
      </c>
      <c r="O1247" s="392" t="s">
        <v>7273</v>
      </c>
      <c r="P1247" s="212"/>
      <c r="Q1247"/>
      <c r="R1247" s="387">
        <f>VLOOKUP(E1247,'[1]NDB Impacted SPRFs 05032013'!$A$2:$A$65536,1,FALSE)</f>
        <v>400021510</v>
      </c>
    </row>
    <row r="1248" spans="1:21" ht="45" x14ac:dyDescent="0.25">
      <c r="A1248" s="63">
        <f>MATCH($E1248,'D1 - Master Project Table'!$B$24:$B$7056,0)</f>
        <v>188</v>
      </c>
      <c r="B1248" s="63" t="b">
        <f t="shared" si="57"/>
        <v>0</v>
      </c>
      <c r="C1248" s="63" t="b">
        <f t="shared" si="58"/>
        <v>1</v>
      </c>
      <c r="D1248" s="63" t="str">
        <f t="shared" si="59"/>
        <v>OK</v>
      </c>
      <c r="E1248" s="393">
        <v>400050633</v>
      </c>
      <c r="F1248" s="392" t="s">
        <v>2029</v>
      </c>
      <c r="G1248" s="392" t="s">
        <v>5001</v>
      </c>
      <c r="H1248" s="392" t="s">
        <v>5314</v>
      </c>
      <c r="I1248" s="392" t="s">
        <v>3540</v>
      </c>
      <c r="J1248" s="392" t="s">
        <v>8445</v>
      </c>
      <c r="K1248" s="392" t="s">
        <v>248</v>
      </c>
      <c r="L1248" s="392" t="s">
        <v>2320</v>
      </c>
      <c r="M1248" s="392" t="s">
        <v>7273</v>
      </c>
      <c r="N1248" s="392" t="s">
        <v>7273</v>
      </c>
      <c r="O1248" s="392" t="s">
        <v>7273</v>
      </c>
      <c r="P1248"/>
      <c r="Q1248"/>
      <c r="R1248" s="387">
        <f>VLOOKUP(E1248,'[1]NDB Impacted SPRFs 05032013'!$A$2:$A$65536,1,FALSE)</f>
        <v>400050633</v>
      </c>
      <c r="S1248" s="159"/>
      <c r="T1248" s="159"/>
      <c r="U1248" s="159"/>
    </row>
    <row r="1249" spans="1:21" ht="60" x14ac:dyDescent="0.25">
      <c r="A1249" s="63">
        <f>MATCH($E1249,'D1 - Master Project Table'!$B$24:$B$7056,0)</f>
        <v>241</v>
      </c>
      <c r="B1249" s="63" t="b">
        <f t="shared" si="57"/>
        <v>0</v>
      </c>
      <c r="C1249" s="63" t="b">
        <f t="shared" si="58"/>
        <v>0</v>
      </c>
      <c r="D1249" s="63" t="str">
        <f t="shared" si="59"/>
        <v>OK</v>
      </c>
      <c r="E1249" s="393">
        <v>400057740</v>
      </c>
      <c r="F1249" s="392" t="s">
        <v>70</v>
      </c>
      <c r="G1249" s="392" t="s">
        <v>5324</v>
      </c>
      <c r="H1249" s="392" t="s">
        <v>3555</v>
      </c>
      <c r="I1249" s="392" t="s">
        <v>862</v>
      </c>
      <c r="J1249" s="392" t="s">
        <v>8325</v>
      </c>
      <c r="K1249" s="392" t="s">
        <v>5607</v>
      </c>
      <c r="L1249" s="392" t="s">
        <v>8326</v>
      </c>
      <c r="M1249" s="392" t="s">
        <v>7273</v>
      </c>
      <c r="N1249" s="392" t="s">
        <v>7273</v>
      </c>
      <c r="O1249" s="392" t="s">
        <v>7273</v>
      </c>
      <c r="P1249"/>
      <c r="Q1249"/>
      <c r="R1249" s="387">
        <f>VLOOKUP(E1249,'[1]NDB Impacted SPRFs 05032013'!$A$2:$A$65536,1,FALSE)</f>
        <v>400057740</v>
      </c>
      <c r="S1249" s="159"/>
      <c r="T1249" s="159"/>
      <c r="U1249" s="159"/>
    </row>
    <row r="1250" spans="1:21" s="159" customFormat="1" ht="45" x14ac:dyDescent="0.25">
      <c r="A1250" s="63">
        <f>MATCH($E1250,'D1 - Master Project Table'!$B$24:$B$7056,0)</f>
        <v>2472</v>
      </c>
      <c r="B1250" s="63" t="b">
        <f t="shared" si="57"/>
        <v>0</v>
      </c>
      <c r="C1250" s="63" t="b">
        <f t="shared" si="58"/>
        <v>1</v>
      </c>
      <c r="D1250" s="63" t="str">
        <f t="shared" si="59"/>
        <v>OK</v>
      </c>
      <c r="E1250" s="393">
        <v>400004939</v>
      </c>
      <c r="F1250" s="392" t="s">
        <v>5312</v>
      </c>
      <c r="G1250" s="392" t="s">
        <v>5787</v>
      </c>
      <c r="H1250" s="392" t="s">
        <v>5314</v>
      </c>
      <c r="I1250" s="392" t="s">
        <v>1780</v>
      </c>
      <c r="J1250" s="392" t="s">
        <v>5025</v>
      </c>
      <c r="K1250" s="392" t="s">
        <v>3353</v>
      </c>
      <c r="L1250" s="392" t="s">
        <v>7946</v>
      </c>
      <c r="M1250" s="392" t="s">
        <v>7273</v>
      </c>
      <c r="N1250" s="392" t="s">
        <v>7273</v>
      </c>
      <c r="O1250" s="392" t="s">
        <v>7273</v>
      </c>
      <c r="P1250"/>
      <c r="Q1250"/>
      <c r="R1250" s="387">
        <f>VLOOKUP(E1250,'[1]NDB Impacted SPRFs 05032013'!$A$2:$A$65536,1,FALSE)</f>
        <v>400004939</v>
      </c>
    </row>
    <row r="1251" spans="1:21" s="159" customFormat="1" ht="45" x14ac:dyDescent="0.25">
      <c r="A1251" s="63">
        <f>MATCH($E1251,'D1 - Master Project Table'!$B$24:$B$7056,0)</f>
        <v>2519</v>
      </c>
      <c r="B1251" s="63" t="b">
        <f t="shared" si="57"/>
        <v>0</v>
      </c>
      <c r="C1251" s="63" t="b">
        <f t="shared" si="58"/>
        <v>1</v>
      </c>
      <c r="D1251" s="63" t="str">
        <f t="shared" si="59"/>
        <v>OK</v>
      </c>
      <c r="E1251" s="393">
        <v>400007711</v>
      </c>
      <c r="F1251" s="392" t="s">
        <v>2792</v>
      </c>
      <c r="G1251" s="392" t="s">
        <v>5324</v>
      </c>
      <c r="H1251" s="392" t="s">
        <v>5314</v>
      </c>
      <c r="I1251" s="392" t="s">
        <v>1768</v>
      </c>
      <c r="J1251" s="392" t="s">
        <v>5638</v>
      </c>
      <c r="K1251" s="392" t="s">
        <v>8075</v>
      </c>
      <c r="L1251" s="392" t="s">
        <v>6165</v>
      </c>
      <c r="M1251" s="392" t="s">
        <v>3758</v>
      </c>
      <c r="N1251" s="392" t="s">
        <v>7273</v>
      </c>
      <c r="O1251" s="392" t="s">
        <v>7273</v>
      </c>
      <c r="P1251"/>
      <c r="Q1251"/>
      <c r="R1251" s="387">
        <f>VLOOKUP(E1251,'[1]NDB Impacted SPRFs 05032013'!$A$2:$A$65536,1,FALSE)</f>
        <v>400007711</v>
      </c>
      <c r="S1251" s="128"/>
      <c r="T1251" s="128"/>
      <c r="U1251" s="128"/>
    </row>
    <row r="1252" spans="1:21" s="159" customFormat="1" ht="45" x14ac:dyDescent="0.25">
      <c r="A1252" s="63">
        <f>MATCH($E1252,'D1 - Master Project Table'!$B$24:$B$7056,0)</f>
        <v>582</v>
      </c>
      <c r="B1252" s="63" t="b">
        <f t="shared" si="57"/>
        <v>0</v>
      </c>
      <c r="C1252" s="63" t="b">
        <f t="shared" si="58"/>
        <v>1</v>
      </c>
      <c r="D1252" s="63" t="str">
        <f t="shared" si="59"/>
        <v>OK</v>
      </c>
      <c r="E1252" s="393">
        <v>400010225</v>
      </c>
      <c r="F1252" s="392" t="s">
        <v>6178</v>
      </c>
      <c r="G1252" s="392" t="s">
        <v>5324</v>
      </c>
      <c r="H1252" s="392" t="s">
        <v>7418</v>
      </c>
      <c r="I1252" s="392" t="s">
        <v>1762</v>
      </c>
      <c r="J1252" s="392" t="s">
        <v>2251</v>
      </c>
      <c r="K1252" s="392" t="s">
        <v>5641</v>
      </c>
      <c r="L1252" s="392" t="s">
        <v>4002</v>
      </c>
      <c r="M1252" s="392" t="s">
        <v>7273</v>
      </c>
      <c r="N1252" s="392" t="s">
        <v>7273</v>
      </c>
      <c r="O1252" s="392" t="s">
        <v>7273</v>
      </c>
      <c r="P1252"/>
      <c r="Q1252"/>
      <c r="R1252" s="387">
        <f>VLOOKUP(E1252,'[1]NDB Impacted SPRFs 05032013'!$A$2:$A$65536,1,FALSE)</f>
        <v>400010225</v>
      </c>
    </row>
    <row r="1253" spans="1:21" ht="45" x14ac:dyDescent="0.25">
      <c r="A1253" s="63">
        <f>MATCH($E1253,'D1 - Master Project Table'!$B$24:$B$7056,0)</f>
        <v>3</v>
      </c>
      <c r="B1253" s="63" t="b">
        <f t="shared" si="57"/>
        <v>0</v>
      </c>
      <c r="C1253" s="63" t="b">
        <f t="shared" si="58"/>
        <v>0</v>
      </c>
      <c r="D1253" s="63" t="str">
        <f t="shared" si="59"/>
        <v>OK</v>
      </c>
      <c r="E1253" s="393">
        <v>400051411</v>
      </c>
      <c r="F1253" s="392" t="s">
        <v>191</v>
      </c>
      <c r="G1253" s="392" t="s">
        <v>9210</v>
      </c>
      <c r="H1253" s="392" t="s">
        <v>4917</v>
      </c>
      <c r="I1253" s="392" t="s">
        <v>2655</v>
      </c>
      <c r="J1253" s="392" t="s">
        <v>8751</v>
      </c>
      <c r="K1253" s="392" t="s">
        <v>5468</v>
      </c>
      <c r="L1253" s="392" t="s">
        <v>7449</v>
      </c>
      <c r="M1253" s="392" t="s">
        <v>7273</v>
      </c>
      <c r="N1253" s="392" t="s">
        <v>7273</v>
      </c>
      <c r="O1253" s="392" t="s">
        <v>7273</v>
      </c>
      <c r="P1253"/>
      <c r="Q1253"/>
      <c r="R1253" s="387">
        <f>VLOOKUP(E1253,'[1]NDB Impacted SPRFs 05032013'!$A$2:$A$65536,1,FALSE)</f>
        <v>400051411</v>
      </c>
      <c r="S1253" s="160"/>
      <c r="T1253" s="160"/>
      <c r="U1253" s="160"/>
    </row>
    <row r="1254" spans="1:21" s="159" customFormat="1" ht="45" x14ac:dyDescent="0.25">
      <c r="A1254" s="63" t="e">
        <f>MATCH($E1254,'D1 - Master Project Table'!$B$24:$B$7056,0)</f>
        <v>#N/A</v>
      </c>
      <c r="B1254" s="63" t="b">
        <f t="shared" si="57"/>
        <v>1</v>
      </c>
      <c r="C1254" s="63" t="b">
        <f t="shared" si="58"/>
        <v>1</v>
      </c>
      <c r="D1254" s="63" t="str">
        <f t="shared" si="59"/>
        <v>OK</v>
      </c>
      <c r="E1254" s="393">
        <v>210281327</v>
      </c>
      <c r="F1254" s="392" t="s">
        <v>4184</v>
      </c>
      <c r="G1254" s="392" t="s">
        <v>5324</v>
      </c>
      <c r="H1254" s="392" t="s">
        <v>7418</v>
      </c>
      <c r="I1254" s="392" t="s">
        <v>1765</v>
      </c>
      <c r="J1254" s="392" t="s">
        <v>8339</v>
      </c>
      <c r="K1254" s="392" t="s">
        <v>5641</v>
      </c>
      <c r="L1254" s="392" t="s">
        <v>4185</v>
      </c>
      <c r="M1254" s="392" t="s">
        <v>3758</v>
      </c>
      <c r="N1254" s="392" t="s">
        <v>7273</v>
      </c>
      <c r="O1254" s="392" t="s">
        <v>7273</v>
      </c>
      <c r="P1254"/>
      <c r="Q1254"/>
      <c r="R1254" s="387">
        <f>VLOOKUP(E1254,'[1]NDB Impacted SPRFs 05032013'!$A$2:$A$65536,1,FALSE)</f>
        <v>210281327</v>
      </c>
      <c r="S1254" s="128"/>
      <c r="T1254" s="128"/>
      <c r="U1254" s="128"/>
    </row>
    <row r="1255" spans="1:21" s="159" customFormat="1" ht="45" x14ac:dyDescent="0.25">
      <c r="A1255" s="63">
        <f>MATCH($E1255,'D1 - Master Project Table'!$B$24:$B$7056,0)</f>
        <v>2140</v>
      </c>
      <c r="B1255" s="63" t="b">
        <f t="shared" si="57"/>
        <v>0</v>
      </c>
      <c r="C1255" s="63" t="b">
        <f t="shared" si="58"/>
        <v>1</v>
      </c>
      <c r="D1255" s="63" t="str">
        <f t="shared" si="59"/>
        <v>OK</v>
      </c>
      <c r="E1255" s="393">
        <v>400011744</v>
      </c>
      <c r="F1255" s="392" t="s">
        <v>5699</v>
      </c>
      <c r="G1255" s="392" t="s">
        <v>3441</v>
      </c>
      <c r="H1255" s="392" t="s">
        <v>5314</v>
      </c>
      <c r="I1255" s="392" t="s">
        <v>1769</v>
      </c>
      <c r="J1255" s="392" t="s">
        <v>8272</v>
      </c>
      <c r="K1255" s="392" t="s">
        <v>8075</v>
      </c>
      <c r="L1255" s="392" t="s">
        <v>6471</v>
      </c>
      <c r="M1255" s="392" t="s">
        <v>7273</v>
      </c>
      <c r="N1255" s="392" t="s">
        <v>7273</v>
      </c>
      <c r="O1255" s="392" t="s">
        <v>7273</v>
      </c>
      <c r="P1255"/>
      <c r="Q1255"/>
      <c r="R1255" s="387">
        <f>VLOOKUP(E1255,'[1]NDB Impacted SPRFs 05032013'!$A$2:$A$65536,1,FALSE)</f>
        <v>400011744</v>
      </c>
    </row>
    <row r="1256" spans="1:21" s="159" customFormat="1" ht="45" x14ac:dyDescent="0.25">
      <c r="A1256" s="63">
        <f>MATCH($E1256,'D1 - Master Project Table'!$B$24:$B$7056,0)</f>
        <v>2669</v>
      </c>
      <c r="B1256" s="63" t="b">
        <f t="shared" si="57"/>
        <v>0</v>
      </c>
      <c r="C1256" s="63" t="b">
        <f t="shared" si="58"/>
        <v>1</v>
      </c>
      <c r="D1256" s="63" t="str">
        <f t="shared" si="59"/>
        <v>OK</v>
      </c>
      <c r="E1256" s="393">
        <v>400016318</v>
      </c>
      <c r="F1256" s="392" t="s">
        <v>7943</v>
      </c>
      <c r="G1256" s="392" t="s">
        <v>5324</v>
      </c>
      <c r="H1256" s="392" t="s">
        <v>5314</v>
      </c>
      <c r="I1256" s="392" t="s">
        <v>1759</v>
      </c>
      <c r="J1256" s="392" t="s">
        <v>8375</v>
      </c>
      <c r="K1256" s="392" t="s">
        <v>1976</v>
      </c>
      <c r="L1256" s="392" t="s">
        <v>6767</v>
      </c>
      <c r="M1256" s="392" t="s">
        <v>7273</v>
      </c>
      <c r="N1256" s="392" t="s">
        <v>7273</v>
      </c>
      <c r="O1256" s="392" t="s">
        <v>7273</v>
      </c>
      <c r="P1256"/>
      <c r="Q1256"/>
      <c r="R1256" s="387">
        <f>VLOOKUP(E1256,'[1]NDB Impacted SPRFs 05032013'!$A$2:$A$65536,1,FALSE)</f>
        <v>400016318</v>
      </c>
      <c r="S1256" s="128"/>
      <c r="T1256" s="128"/>
      <c r="U1256" s="128"/>
    </row>
    <row r="1257" spans="1:21" s="159" customFormat="1" ht="45" x14ac:dyDescent="0.25">
      <c r="A1257" s="63">
        <f>MATCH($E1257,'D1 - Master Project Table'!$B$24:$B$7056,0)</f>
        <v>2761</v>
      </c>
      <c r="B1257" s="63" t="b">
        <f t="shared" si="57"/>
        <v>0</v>
      </c>
      <c r="C1257" s="63" t="b">
        <f t="shared" si="58"/>
        <v>1</v>
      </c>
      <c r="D1257" s="63" t="str">
        <f t="shared" si="59"/>
        <v>OK</v>
      </c>
      <c r="E1257" s="393">
        <v>400021334</v>
      </c>
      <c r="F1257" s="392" t="s">
        <v>4967</v>
      </c>
      <c r="G1257" s="392" t="s">
        <v>5324</v>
      </c>
      <c r="H1257" s="392" t="s">
        <v>5314</v>
      </c>
      <c r="I1257" s="392" t="s">
        <v>1759</v>
      </c>
      <c r="J1257" s="392" t="s">
        <v>6851</v>
      </c>
      <c r="K1257" s="392" t="s">
        <v>8075</v>
      </c>
      <c r="L1257" s="392" t="s">
        <v>4867</v>
      </c>
      <c r="M1257" s="392" t="s">
        <v>3758</v>
      </c>
      <c r="N1257" s="392" t="s">
        <v>7273</v>
      </c>
      <c r="O1257" s="392" t="s">
        <v>3758</v>
      </c>
      <c r="P1257"/>
      <c r="Q1257"/>
      <c r="R1257" s="387">
        <f>VLOOKUP(E1257,'[1]NDB Impacted SPRFs 05032013'!$A$2:$A$65536,1,FALSE)</f>
        <v>400021334</v>
      </c>
      <c r="S1257" s="128"/>
      <c r="T1257" s="128"/>
      <c r="U1257" s="128"/>
    </row>
    <row r="1258" spans="1:21" s="159" customFormat="1" ht="45" x14ac:dyDescent="0.25">
      <c r="A1258" s="63">
        <f>MATCH($E1258,'D1 - Master Project Table'!$B$24:$B$7056,0)</f>
        <v>2872</v>
      </c>
      <c r="B1258" s="63" t="b">
        <f t="shared" si="57"/>
        <v>0</v>
      </c>
      <c r="C1258" s="63" t="b">
        <f t="shared" si="58"/>
        <v>1</v>
      </c>
      <c r="D1258" s="63" t="str">
        <f t="shared" si="59"/>
        <v>OK</v>
      </c>
      <c r="E1258" s="393">
        <v>400028359</v>
      </c>
      <c r="F1258" s="392" t="s">
        <v>5964</v>
      </c>
      <c r="G1258" s="392" t="s">
        <v>6065</v>
      </c>
      <c r="H1258" s="392" t="s">
        <v>5314</v>
      </c>
      <c r="I1258" s="392" t="s">
        <v>2655</v>
      </c>
      <c r="J1258" s="392" t="s">
        <v>2556</v>
      </c>
      <c r="K1258" s="392" t="s">
        <v>3649</v>
      </c>
      <c r="L1258" s="392" t="s">
        <v>2926</v>
      </c>
      <c r="M1258" s="392" t="s">
        <v>3758</v>
      </c>
      <c r="N1258" s="392" t="s">
        <v>7273</v>
      </c>
      <c r="O1258" s="392" t="s">
        <v>7273</v>
      </c>
      <c r="P1258"/>
      <c r="Q1258"/>
      <c r="R1258" s="387">
        <f>VLOOKUP(E1258,'[1]NDB Impacted SPRFs 05032013'!$A$2:$A$65536,1,FALSE)</f>
        <v>400028359</v>
      </c>
      <c r="S1258" s="128"/>
      <c r="T1258" s="128"/>
      <c r="U1258" s="128"/>
    </row>
    <row r="1259" spans="1:21" ht="45" x14ac:dyDescent="0.25">
      <c r="A1259" s="63">
        <f>MATCH($E1259,'D1 - Master Project Table'!$B$24:$B$7056,0)</f>
        <v>1527</v>
      </c>
      <c r="B1259" s="63" t="b">
        <f t="shared" si="57"/>
        <v>0</v>
      </c>
      <c r="C1259" s="63" t="b">
        <f t="shared" si="58"/>
        <v>1</v>
      </c>
      <c r="D1259" s="63" t="str">
        <f t="shared" si="59"/>
        <v>OK</v>
      </c>
      <c r="E1259" s="393">
        <v>400044043</v>
      </c>
      <c r="F1259" s="392" t="s">
        <v>2254</v>
      </c>
      <c r="G1259" s="392" t="s">
        <v>5325</v>
      </c>
      <c r="H1259" s="392" t="s">
        <v>7418</v>
      </c>
      <c r="I1259" s="392" t="s">
        <v>1799</v>
      </c>
      <c r="J1259" s="392" t="s">
        <v>6011</v>
      </c>
      <c r="K1259" s="392" t="s">
        <v>3167</v>
      </c>
      <c r="L1259" s="392" t="s">
        <v>1871</v>
      </c>
      <c r="M1259" s="392" t="s">
        <v>7273</v>
      </c>
      <c r="N1259" s="392" t="s">
        <v>7273</v>
      </c>
      <c r="O1259" s="392" t="s">
        <v>7273</v>
      </c>
      <c r="P1259"/>
      <c r="Q1259"/>
      <c r="R1259" s="387">
        <f>VLOOKUP(E1259,'[1]NDB Impacted SPRFs 05032013'!$A$2:$A$65536,1,FALSE)</f>
        <v>400044043</v>
      </c>
      <c r="S1259" s="159"/>
      <c r="T1259" s="159"/>
      <c r="U1259" s="159"/>
    </row>
    <row r="1260" spans="1:21" s="159" customFormat="1" ht="45" customHeight="1" x14ac:dyDescent="0.25">
      <c r="A1260" s="63">
        <f>MATCH($E1260,'D1 - Master Project Table'!$B$24:$B$7056,0)</f>
        <v>849</v>
      </c>
      <c r="B1260" s="63" t="b">
        <f t="shared" si="57"/>
        <v>0</v>
      </c>
      <c r="C1260" s="63" t="b">
        <f t="shared" si="58"/>
        <v>1</v>
      </c>
      <c r="D1260" s="63" t="str">
        <f t="shared" si="59"/>
        <v>OK</v>
      </c>
      <c r="E1260" s="393">
        <v>400016790</v>
      </c>
      <c r="F1260" s="392" t="s">
        <v>3945</v>
      </c>
      <c r="G1260" s="392" t="s">
        <v>5324</v>
      </c>
      <c r="H1260" s="392" t="s">
        <v>7418</v>
      </c>
      <c r="I1260" s="392" t="s">
        <v>1758</v>
      </c>
      <c r="J1260" s="392" t="s">
        <v>8436</v>
      </c>
      <c r="K1260" s="392" t="s">
        <v>4584</v>
      </c>
      <c r="L1260" s="392" t="s">
        <v>380</v>
      </c>
      <c r="M1260" s="392" t="s">
        <v>7273</v>
      </c>
      <c r="N1260" s="392" t="s">
        <v>7273</v>
      </c>
      <c r="O1260" s="392" t="s">
        <v>7273</v>
      </c>
      <c r="P1260"/>
      <c r="Q1260"/>
      <c r="R1260" s="387">
        <f>VLOOKUP(E1260,'[1]NDB Impacted SPRFs 05032013'!$A$2:$A$65536,1,FALSE)</f>
        <v>400016790</v>
      </c>
      <c r="S1260" s="128"/>
      <c r="T1260" s="128"/>
      <c r="U1260" s="128"/>
    </row>
    <row r="1261" spans="1:21" s="159" customFormat="1" ht="45" x14ac:dyDescent="0.25">
      <c r="A1261" s="63">
        <f>MATCH($E1261,'D1 - Master Project Table'!$B$24:$B$7056,0)</f>
        <v>2710</v>
      </c>
      <c r="B1261" s="63" t="b">
        <f t="shared" si="57"/>
        <v>0</v>
      </c>
      <c r="C1261" s="63" t="b">
        <f t="shared" si="58"/>
        <v>1</v>
      </c>
      <c r="D1261" s="63" t="str">
        <f t="shared" si="59"/>
        <v>OK</v>
      </c>
      <c r="E1261" s="393">
        <v>400018944</v>
      </c>
      <c r="F1261" s="392" t="s">
        <v>6066</v>
      </c>
      <c r="G1261" s="392" t="s">
        <v>5324</v>
      </c>
      <c r="H1261" s="392" t="s">
        <v>5314</v>
      </c>
      <c r="I1261" s="392" t="s">
        <v>1756</v>
      </c>
      <c r="J1261" s="392" t="s">
        <v>5168</v>
      </c>
      <c r="K1261" s="392" t="s">
        <v>6067</v>
      </c>
      <c r="L1261" s="392" t="s">
        <v>3853</v>
      </c>
      <c r="M1261" s="392" t="s">
        <v>7273</v>
      </c>
      <c r="N1261" s="392" t="s">
        <v>7273</v>
      </c>
      <c r="O1261" s="392" t="s">
        <v>7273</v>
      </c>
      <c r="P1261"/>
      <c r="Q1261"/>
      <c r="R1261" s="387">
        <f>VLOOKUP(E1261,'[1]NDB Impacted SPRFs 05032013'!$A$2:$A$65536,1,FALSE)</f>
        <v>400018944</v>
      </c>
    </row>
    <row r="1262" spans="1:21" s="159" customFormat="1" ht="45" x14ac:dyDescent="0.25">
      <c r="A1262" s="63">
        <f>MATCH($E1262,'D1 - Master Project Table'!$B$24:$B$7056,0)</f>
        <v>855</v>
      </c>
      <c r="B1262" s="63" t="b">
        <f t="shared" si="57"/>
        <v>0</v>
      </c>
      <c r="C1262" s="63" t="b">
        <f t="shared" si="58"/>
        <v>1</v>
      </c>
      <c r="D1262" s="63" t="str">
        <f t="shared" si="59"/>
        <v>OK</v>
      </c>
      <c r="E1262" s="393">
        <v>400020078</v>
      </c>
      <c r="F1262" s="392" t="s">
        <v>3806</v>
      </c>
      <c r="G1262" s="392" t="s">
        <v>5324</v>
      </c>
      <c r="H1262" s="392" t="s">
        <v>7418</v>
      </c>
      <c r="I1262" s="392" t="s">
        <v>1757</v>
      </c>
      <c r="J1262" s="392" t="s">
        <v>8393</v>
      </c>
      <c r="K1262" s="392" t="s">
        <v>7197</v>
      </c>
      <c r="L1262" s="392" t="s">
        <v>6756</v>
      </c>
      <c r="M1262" s="392" t="s">
        <v>3758</v>
      </c>
      <c r="N1262" s="392" t="s">
        <v>7273</v>
      </c>
      <c r="O1262" s="392" t="s">
        <v>3758</v>
      </c>
      <c r="P1262"/>
      <c r="Q1262"/>
      <c r="R1262" s="387">
        <f>VLOOKUP(E1262,'[1]NDB Impacted SPRFs 05032013'!$A$2:$A$65536,1,FALSE)</f>
        <v>400020078</v>
      </c>
    </row>
    <row r="1263" spans="1:21" s="159" customFormat="1" ht="45" x14ac:dyDescent="0.25">
      <c r="A1263" s="63">
        <f>MATCH($E1263,'D1 - Master Project Table'!$B$24:$B$7056,0)</f>
        <v>2760</v>
      </c>
      <c r="B1263" s="63" t="b">
        <f t="shared" si="57"/>
        <v>0</v>
      </c>
      <c r="C1263" s="63" t="b">
        <f t="shared" si="58"/>
        <v>1</v>
      </c>
      <c r="D1263" s="63" t="str">
        <f t="shared" si="59"/>
        <v>OK</v>
      </c>
      <c r="E1263" s="393">
        <v>400021333</v>
      </c>
      <c r="F1263" s="392" t="s">
        <v>4075</v>
      </c>
      <c r="G1263" s="392" t="s">
        <v>5324</v>
      </c>
      <c r="H1263" s="392" t="s">
        <v>5314</v>
      </c>
      <c r="I1263" s="392" t="s">
        <v>1759</v>
      </c>
      <c r="J1263" s="392" t="s">
        <v>6851</v>
      </c>
      <c r="K1263" s="392" t="s">
        <v>8075</v>
      </c>
      <c r="L1263" s="392" t="s">
        <v>4866</v>
      </c>
      <c r="M1263" s="392" t="s">
        <v>7273</v>
      </c>
      <c r="N1263" s="392" t="s">
        <v>7273</v>
      </c>
      <c r="O1263" s="392" t="s">
        <v>3758</v>
      </c>
      <c r="P1263"/>
      <c r="Q1263"/>
      <c r="R1263" s="387">
        <f>VLOOKUP(E1263,'[1]NDB Impacted SPRFs 05032013'!$A$2:$A$65536,1,FALSE)</f>
        <v>400021333</v>
      </c>
    </row>
    <row r="1264" spans="1:21" s="159" customFormat="1" ht="60" x14ac:dyDescent="0.25">
      <c r="A1264" s="63">
        <f>MATCH($E1264,'D1 - Master Project Table'!$B$24:$B$7056,0)</f>
        <v>168</v>
      </c>
      <c r="B1264" s="63" t="b">
        <f t="shared" ref="B1264:B1327" si="60">ISERROR(A1264)</f>
        <v>0</v>
      </c>
      <c r="C1264" s="63" t="b">
        <f t="shared" si="58"/>
        <v>0</v>
      </c>
      <c r="D1264" s="63" t="str">
        <f t="shared" si="59"/>
        <v>OK</v>
      </c>
      <c r="E1264" s="393">
        <v>400057546</v>
      </c>
      <c r="F1264" s="392" t="s">
        <v>8952</v>
      </c>
      <c r="G1264" s="392" t="s">
        <v>5324</v>
      </c>
      <c r="H1264" s="392" t="s">
        <v>3555</v>
      </c>
      <c r="I1264" s="392" t="s">
        <v>1763</v>
      </c>
      <c r="J1264" s="392" t="s">
        <v>9068</v>
      </c>
      <c r="K1264" s="392" t="s">
        <v>248</v>
      </c>
      <c r="L1264" s="392" t="s">
        <v>9297</v>
      </c>
      <c r="M1264" s="392" t="s">
        <v>7273</v>
      </c>
      <c r="N1264" s="392" t="s">
        <v>7273</v>
      </c>
      <c r="O1264" s="392" t="s">
        <v>7273</v>
      </c>
      <c r="P1264"/>
      <c r="Q1264"/>
      <c r="R1264" s="387">
        <f>VLOOKUP(E1264,'[1]NDB Impacted SPRFs 05032013'!$A$2:$A$65536,1,FALSE)</f>
        <v>400057546</v>
      </c>
    </row>
    <row r="1265" spans="1:21" s="159" customFormat="1" ht="45" x14ac:dyDescent="0.25">
      <c r="A1265" s="63">
        <f>MATCH($E1265,'D1 - Master Project Table'!$B$24:$B$7056,0)</f>
        <v>340</v>
      </c>
      <c r="B1265" s="63" t="b">
        <f t="shared" si="60"/>
        <v>0</v>
      </c>
      <c r="C1265" s="63" t="b">
        <f t="shared" si="58"/>
        <v>1</v>
      </c>
      <c r="D1265" s="63" t="str">
        <f t="shared" si="59"/>
        <v>OK</v>
      </c>
      <c r="E1265" s="393">
        <v>212181609</v>
      </c>
      <c r="F1265" s="392" t="s">
        <v>4591</v>
      </c>
      <c r="G1265" s="392" t="s">
        <v>5324</v>
      </c>
      <c r="H1265" s="392" t="s">
        <v>7418</v>
      </c>
      <c r="I1265" s="392" t="s">
        <v>1765</v>
      </c>
      <c r="J1265" s="392" t="s">
        <v>8344</v>
      </c>
      <c r="K1265" s="392" t="s">
        <v>8075</v>
      </c>
      <c r="L1265" s="392" t="s">
        <v>4884</v>
      </c>
      <c r="M1265" s="392" t="s">
        <v>3758</v>
      </c>
      <c r="N1265" s="392" t="s">
        <v>7273</v>
      </c>
      <c r="O1265" s="392" t="s">
        <v>7273</v>
      </c>
      <c r="P1265"/>
      <c r="Q1265"/>
      <c r="R1265" s="387">
        <f>VLOOKUP(E1265,'[1]NDB Impacted SPRFs 05032013'!$A$2:$A$65536,1,FALSE)</f>
        <v>212181609</v>
      </c>
    </row>
    <row r="1266" spans="1:21" s="159" customFormat="1" ht="30" x14ac:dyDescent="0.25">
      <c r="A1266" s="63">
        <f>MATCH($E1266,'D1 - Master Project Table'!$B$24:$B$7056,0)</f>
        <v>604</v>
      </c>
      <c r="B1266" s="63" t="b">
        <f t="shared" si="60"/>
        <v>0</v>
      </c>
      <c r="C1266" s="63" t="b">
        <f t="shared" si="58"/>
        <v>1</v>
      </c>
      <c r="D1266" s="63" t="str">
        <f t="shared" si="59"/>
        <v>OK</v>
      </c>
      <c r="E1266" s="393">
        <v>400010372</v>
      </c>
      <c r="F1266" s="392" t="s">
        <v>6383</v>
      </c>
      <c r="G1266" s="392" t="s">
        <v>5995</v>
      </c>
      <c r="H1266" s="392" t="s">
        <v>7418</v>
      </c>
      <c r="I1266" s="392" t="s">
        <v>4527</v>
      </c>
      <c r="J1266" s="392" t="s">
        <v>8813</v>
      </c>
      <c r="K1266" s="392" t="s">
        <v>8116</v>
      </c>
      <c r="L1266" s="392" t="s">
        <v>4993</v>
      </c>
      <c r="M1266" s="392" t="s">
        <v>3758</v>
      </c>
      <c r="N1266" s="392" t="s">
        <v>7273</v>
      </c>
      <c r="O1266" s="392" t="s">
        <v>7273</v>
      </c>
      <c r="P1266"/>
      <c r="Q1266"/>
      <c r="R1266" s="387">
        <f>VLOOKUP(E1266,'[1]NDB Impacted SPRFs 05032013'!$A$2:$A$65536,1,FALSE)</f>
        <v>400010372</v>
      </c>
    </row>
    <row r="1267" spans="1:21" ht="45" x14ac:dyDescent="0.25">
      <c r="A1267" s="63">
        <f>MATCH($E1267,'D1 - Master Project Table'!$B$24:$B$7056,0)</f>
        <v>990</v>
      </c>
      <c r="B1267" s="63" t="b">
        <f t="shared" si="60"/>
        <v>0</v>
      </c>
      <c r="C1267" s="63" t="b">
        <f t="shared" si="58"/>
        <v>1</v>
      </c>
      <c r="D1267" s="63" t="str">
        <f t="shared" si="59"/>
        <v>OK</v>
      </c>
      <c r="E1267" s="393">
        <v>400024411</v>
      </c>
      <c r="F1267" s="392" t="s">
        <v>6295</v>
      </c>
      <c r="G1267" s="392" t="s">
        <v>5324</v>
      </c>
      <c r="H1267" s="392" t="s">
        <v>5314</v>
      </c>
      <c r="I1267" s="392" t="s">
        <v>1756</v>
      </c>
      <c r="J1267" s="392" t="s">
        <v>8395</v>
      </c>
      <c r="K1267" s="392" t="s">
        <v>1967</v>
      </c>
      <c r="L1267" s="392" t="s">
        <v>813</v>
      </c>
      <c r="M1267" s="392" t="s">
        <v>7273</v>
      </c>
      <c r="N1267" s="392" t="s">
        <v>7273</v>
      </c>
      <c r="O1267" s="392" t="s">
        <v>7273</v>
      </c>
      <c r="P1267"/>
      <c r="Q1267"/>
      <c r="R1267" s="387">
        <f>VLOOKUP(E1267,'[1]NDB Impacted SPRFs 05032013'!$A$2:$A$65536,1,FALSE)</f>
        <v>400024411</v>
      </c>
      <c r="S1267" s="159"/>
      <c r="T1267" s="159"/>
      <c r="U1267" s="159"/>
    </row>
    <row r="1268" spans="1:21" ht="45" x14ac:dyDescent="0.25">
      <c r="A1268" s="63" t="e">
        <f>MATCH($E1268,'D1 - Master Project Table'!$B$24:$B$7056,0)</f>
        <v>#N/A</v>
      </c>
      <c r="B1268" s="63" t="b">
        <f t="shared" si="60"/>
        <v>1</v>
      </c>
      <c r="C1268" s="63" t="b">
        <f t="shared" si="58"/>
        <v>1</v>
      </c>
      <c r="D1268" s="63" t="str">
        <f t="shared" si="59"/>
        <v>OK</v>
      </c>
      <c r="E1268" s="393">
        <v>400024548</v>
      </c>
      <c r="F1268" s="392" t="s">
        <v>3703</v>
      </c>
      <c r="G1268" s="392" t="s">
        <v>6065</v>
      </c>
      <c r="H1268" s="392" t="s">
        <v>7418</v>
      </c>
      <c r="I1268" s="392" t="s">
        <v>2655</v>
      </c>
      <c r="J1268" s="392" t="s">
        <v>7269</v>
      </c>
      <c r="K1268" s="392" t="s">
        <v>2078</v>
      </c>
      <c r="L1268" s="392" t="s">
        <v>3950</v>
      </c>
      <c r="M1268" s="392" t="s">
        <v>7273</v>
      </c>
      <c r="N1268" s="392" t="s">
        <v>7273</v>
      </c>
      <c r="O1268" s="392" t="s">
        <v>7273</v>
      </c>
      <c r="P1268"/>
      <c r="Q1268"/>
      <c r="R1268" s="387">
        <f>VLOOKUP(E1268,'[1]NDB Impacted SPRFs 05032013'!$A$2:$A$65536,1,FALSE)</f>
        <v>400024548</v>
      </c>
      <c r="S1268" s="159"/>
      <c r="T1268" s="159"/>
      <c r="U1268" s="159"/>
    </row>
    <row r="1269" spans="1:21" s="159" customFormat="1" ht="45" x14ac:dyDescent="0.25">
      <c r="A1269" s="63">
        <f>MATCH($E1269,'D1 - Master Project Table'!$B$24:$B$7056,0)</f>
        <v>1182</v>
      </c>
      <c r="B1269" s="63" t="b">
        <f t="shared" si="60"/>
        <v>0</v>
      </c>
      <c r="C1269" s="63" t="b">
        <f t="shared" si="58"/>
        <v>1</v>
      </c>
      <c r="D1269" s="63" t="str">
        <f t="shared" si="59"/>
        <v>OK</v>
      </c>
      <c r="E1269" s="393">
        <v>400031900</v>
      </c>
      <c r="F1269" s="392" t="s">
        <v>4487</v>
      </c>
      <c r="G1269" s="392" t="s">
        <v>5001</v>
      </c>
      <c r="H1269" s="392" t="s">
        <v>7418</v>
      </c>
      <c r="I1269" s="392" t="s">
        <v>3540</v>
      </c>
      <c r="J1269" s="392" t="s">
        <v>3220</v>
      </c>
      <c r="K1269" s="392" t="s">
        <v>6885</v>
      </c>
      <c r="L1269" s="392" t="s">
        <v>5089</v>
      </c>
      <c r="M1269" s="392" t="s">
        <v>7273</v>
      </c>
      <c r="N1269" s="392" t="s">
        <v>7273</v>
      </c>
      <c r="O1269" s="392" t="s">
        <v>7273</v>
      </c>
      <c r="P1269"/>
      <c r="Q1269"/>
      <c r="R1269" s="387">
        <f>VLOOKUP(E1269,'[1]NDB Impacted SPRFs 05032013'!$A$2:$A$65536,1,FALSE)</f>
        <v>400031900</v>
      </c>
      <c r="S1269" s="128"/>
      <c r="T1269" s="128"/>
      <c r="U1269" s="128"/>
    </row>
    <row r="1270" spans="1:21" s="159" customFormat="1" ht="45" x14ac:dyDescent="0.25">
      <c r="A1270" s="63">
        <f>MATCH($E1270,'D1 - Master Project Table'!$B$24:$B$7056,0)</f>
        <v>3076</v>
      </c>
      <c r="B1270" s="63" t="b">
        <f t="shared" si="60"/>
        <v>0</v>
      </c>
      <c r="C1270" s="63" t="b">
        <f t="shared" si="58"/>
        <v>1</v>
      </c>
      <c r="D1270" s="63" t="str">
        <f t="shared" si="59"/>
        <v>OK</v>
      </c>
      <c r="E1270" s="393">
        <v>400046373</v>
      </c>
      <c r="F1270" s="392" t="s">
        <v>526</v>
      </c>
      <c r="G1270" s="392" t="s">
        <v>5324</v>
      </c>
      <c r="H1270" s="392" t="s">
        <v>5314</v>
      </c>
      <c r="I1270" s="392" t="s">
        <v>1762</v>
      </c>
      <c r="J1270" s="392" t="s">
        <v>8412</v>
      </c>
      <c r="K1270" s="392" t="s">
        <v>3377</v>
      </c>
      <c r="L1270" s="392" t="s">
        <v>7262</v>
      </c>
      <c r="M1270" s="392" t="s">
        <v>3758</v>
      </c>
      <c r="N1270" s="392" t="s">
        <v>7273</v>
      </c>
      <c r="O1270" s="392" t="s">
        <v>7273</v>
      </c>
      <c r="P1270"/>
      <c r="Q1270"/>
      <c r="R1270" s="387">
        <f>VLOOKUP(E1270,'[1]NDB Impacted SPRFs 05032013'!$A$2:$A$65536,1,FALSE)</f>
        <v>400046373</v>
      </c>
      <c r="S1270" s="128"/>
      <c r="T1270" s="128"/>
      <c r="U1270" s="128"/>
    </row>
    <row r="1271" spans="1:21" s="159" customFormat="1" ht="45" x14ac:dyDescent="0.25">
      <c r="A1271" s="63">
        <f>MATCH($E1271,'D1 - Master Project Table'!$B$24:$B$7056,0)</f>
        <v>1785</v>
      </c>
      <c r="B1271" s="63" t="b">
        <f t="shared" si="60"/>
        <v>0</v>
      </c>
      <c r="C1271" s="63" t="b">
        <f t="shared" si="58"/>
        <v>0</v>
      </c>
      <c r="D1271" s="63" t="str">
        <f t="shared" si="59"/>
        <v>OK</v>
      </c>
      <c r="E1271" s="393">
        <v>400048416</v>
      </c>
      <c r="F1271" s="392" t="s">
        <v>1347</v>
      </c>
      <c r="G1271" s="392" t="s">
        <v>5325</v>
      </c>
      <c r="H1271" s="392" t="s">
        <v>4917</v>
      </c>
      <c r="I1271" s="392" t="s">
        <v>1786</v>
      </c>
      <c r="J1271" s="392" t="s">
        <v>3493</v>
      </c>
      <c r="K1271" s="392" t="s">
        <v>1348</v>
      </c>
      <c r="L1271" s="392" t="s">
        <v>5970</v>
      </c>
      <c r="M1271" s="392" t="s">
        <v>3758</v>
      </c>
      <c r="N1271" s="392" t="s">
        <v>7273</v>
      </c>
      <c r="O1271" s="392" t="s">
        <v>7273</v>
      </c>
      <c r="P1271"/>
      <c r="Q1271"/>
      <c r="R1271" s="387">
        <f>VLOOKUP(E1271,'[1]NDB Impacted SPRFs 05032013'!$A$2:$A$65536,1,FALSE)</f>
        <v>400048416</v>
      </c>
    </row>
    <row r="1272" spans="1:21" ht="30" x14ac:dyDescent="0.25">
      <c r="A1272" s="63">
        <f>MATCH($E1272,'D1 - Master Project Table'!$B$24:$B$7056,0)</f>
        <v>2736</v>
      </c>
      <c r="B1272" s="63" t="b">
        <f t="shared" si="60"/>
        <v>0</v>
      </c>
      <c r="C1272" s="63" t="b">
        <f t="shared" si="58"/>
        <v>1</v>
      </c>
      <c r="D1272" s="63" t="str">
        <f t="shared" si="59"/>
        <v>OK</v>
      </c>
      <c r="E1272" s="393">
        <v>400020071</v>
      </c>
      <c r="F1272" s="392" t="s">
        <v>3846</v>
      </c>
      <c r="G1272" s="392" t="s">
        <v>3441</v>
      </c>
      <c r="H1272" s="392" t="s">
        <v>5314</v>
      </c>
      <c r="I1272" s="392" t="s">
        <v>2662</v>
      </c>
      <c r="J1272" s="392" t="s">
        <v>8382</v>
      </c>
      <c r="K1272" s="392" t="s">
        <v>8075</v>
      </c>
      <c r="L1272" s="392" t="s">
        <v>7825</v>
      </c>
      <c r="M1272" s="392" t="s">
        <v>3758</v>
      </c>
      <c r="N1272" s="392" t="s">
        <v>7273</v>
      </c>
      <c r="O1272" s="392" t="s">
        <v>7273</v>
      </c>
      <c r="P1272"/>
      <c r="Q1272"/>
      <c r="R1272" s="387">
        <f>VLOOKUP(E1272,'[1]NDB Impacted SPRFs 05032013'!$A$2:$A$65536,1,FALSE)</f>
        <v>400020071</v>
      </c>
      <c r="S1272" s="159"/>
      <c r="T1272" s="159"/>
      <c r="U1272" s="159"/>
    </row>
    <row r="1273" spans="1:21" ht="45" x14ac:dyDescent="0.25">
      <c r="A1273" s="63">
        <f>MATCH($E1273,'D1 - Master Project Table'!$B$24:$B$7056,0)</f>
        <v>1077</v>
      </c>
      <c r="B1273" s="63" t="b">
        <f t="shared" si="60"/>
        <v>0</v>
      </c>
      <c r="C1273" s="63" t="b">
        <f t="shared" si="58"/>
        <v>1</v>
      </c>
      <c r="D1273" s="63" t="str">
        <f t="shared" si="59"/>
        <v>OK</v>
      </c>
      <c r="E1273" s="393">
        <v>400026691</v>
      </c>
      <c r="F1273" s="392" t="s">
        <v>4883</v>
      </c>
      <c r="G1273" s="392" t="s">
        <v>5324</v>
      </c>
      <c r="H1273" s="392" t="s">
        <v>7418</v>
      </c>
      <c r="I1273" s="392" t="s">
        <v>1758</v>
      </c>
      <c r="J1273" s="392" t="s">
        <v>8428</v>
      </c>
      <c r="K1273" s="392" t="s">
        <v>5921</v>
      </c>
      <c r="L1273" s="392" t="s">
        <v>817</v>
      </c>
      <c r="M1273" s="392" t="s">
        <v>3758</v>
      </c>
      <c r="N1273" s="392" t="s">
        <v>7273</v>
      </c>
      <c r="O1273" s="392" t="s">
        <v>7273</v>
      </c>
      <c r="P1273"/>
      <c r="Q1273"/>
      <c r="R1273" s="387">
        <f>VLOOKUP(E1273,'[1]NDB Impacted SPRFs 05032013'!$A$2:$A$65536,1,FALSE)</f>
        <v>400026691</v>
      </c>
      <c r="S1273" s="159"/>
      <c r="T1273" s="159"/>
      <c r="U1273" s="159"/>
    </row>
    <row r="1274" spans="1:21" s="159" customFormat="1" ht="45" x14ac:dyDescent="0.25">
      <c r="A1274" s="63">
        <f>MATCH($E1274,'D1 - Master Project Table'!$B$24:$B$7056,0)</f>
        <v>2242</v>
      </c>
      <c r="B1274" s="63" t="b">
        <f t="shared" si="60"/>
        <v>0</v>
      </c>
      <c r="C1274" s="63" t="b">
        <f t="shared" si="58"/>
        <v>1</v>
      </c>
      <c r="D1274" s="63" t="str">
        <f t="shared" si="59"/>
        <v>OK</v>
      </c>
      <c r="E1274" s="393">
        <v>400027951</v>
      </c>
      <c r="F1274" s="392" t="s">
        <v>5707</v>
      </c>
      <c r="G1274" s="392" t="s">
        <v>5001</v>
      </c>
      <c r="H1274" s="392" t="s">
        <v>5314</v>
      </c>
      <c r="I1274" s="392" t="s">
        <v>3540</v>
      </c>
      <c r="J1274" s="392" t="s">
        <v>4440</v>
      </c>
      <c r="K1274" s="392" t="s">
        <v>7237</v>
      </c>
      <c r="L1274" s="392" t="s">
        <v>134</v>
      </c>
      <c r="M1274" s="392" t="s">
        <v>3758</v>
      </c>
      <c r="N1274" s="392" t="s">
        <v>7273</v>
      </c>
      <c r="O1274" s="392" t="s">
        <v>7273</v>
      </c>
      <c r="P1274"/>
      <c r="Q1274"/>
      <c r="R1274" s="387">
        <f>VLOOKUP(E1274,'[1]NDB Impacted SPRFs 05032013'!$A$2:$A$65536,1,FALSE)</f>
        <v>400027951</v>
      </c>
    </row>
    <row r="1275" spans="1:21" s="159" customFormat="1" ht="30" x14ac:dyDescent="0.25">
      <c r="A1275" s="63">
        <f>MATCH($E1275,'D1 - Master Project Table'!$B$24:$B$7056,0)</f>
        <v>2281</v>
      </c>
      <c r="B1275" s="63" t="b">
        <f t="shared" si="60"/>
        <v>0</v>
      </c>
      <c r="C1275" s="63" t="b">
        <f t="shared" si="58"/>
        <v>1</v>
      </c>
      <c r="D1275" s="63" t="str">
        <f t="shared" si="59"/>
        <v>OK</v>
      </c>
      <c r="E1275" s="393">
        <v>400033903</v>
      </c>
      <c r="F1275" s="392" t="s">
        <v>5147</v>
      </c>
      <c r="G1275" s="392" t="s">
        <v>5001</v>
      </c>
      <c r="H1275" s="392" t="s">
        <v>5314</v>
      </c>
      <c r="I1275" s="392" t="s">
        <v>3540</v>
      </c>
      <c r="J1275" s="392" t="s">
        <v>6840</v>
      </c>
      <c r="K1275" s="392" t="s">
        <v>2174</v>
      </c>
      <c r="L1275" s="392" t="s">
        <v>94</v>
      </c>
      <c r="M1275" s="392" t="s">
        <v>7273</v>
      </c>
      <c r="N1275" s="392" t="s">
        <v>7273</v>
      </c>
      <c r="O1275" s="392" t="s">
        <v>7273</v>
      </c>
      <c r="P1275"/>
      <c r="Q1275"/>
      <c r="R1275" s="387">
        <f>VLOOKUP(E1275,'[1]NDB Impacted SPRFs 05032013'!$A$2:$A$65536,1,FALSE)</f>
        <v>400033903</v>
      </c>
    </row>
    <row r="1276" spans="1:21" s="159" customFormat="1" ht="45" x14ac:dyDescent="0.25">
      <c r="A1276" s="63">
        <f>MATCH($E1276,'D1 - Master Project Table'!$B$24:$B$7056,0)</f>
        <v>987</v>
      </c>
      <c r="B1276" s="63" t="b">
        <f t="shared" si="60"/>
        <v>0</v>
      </c>
      <c r="C1276" s="63" t="b">
        <f t="shared" si="58"/>
        <v>1</v>
      </c>
      <c r="D1276" s="63" t="str">
        <f t="shared" si="59"/>
        <v>OK</v>
      </c>
      <c r="E1276" s="393">
        <v>400024251</v>
      </c>
      <c r="F1276" s="392" t="s">
        <v>3282</v>
      </c>
      <c r="G1276" s="392" t="s">
        <v>5324</v>
      </c>
      <c r="H1276" s="392" t="s">
        <v>7418</v>
      </c>
      <c r="I1276" s="392" t="s">
        <v>1763</v>
      </c>
      <c r="J1276" s="392" t="s">
        <v>8420</v>
      </c>
      <c r="K1276" s="392" t="s">
        <v>3283</v>
      </c>
      <c r="L1276" s="392" t="s">
        <v>6978</v>
      </c>
      <c r="M1276" s="392" t="s">
        <v>7273</v>
      </c>
      <c r="N1276" s="392" t="s">
        <v>7273</v>
      </c>
      <c r="O1276" s="392" t="s">
        <v>7273</v>
      </c>
      <c r="P1276"/>
      <c r="Q1276"/>
      <c r="R1276" s="387">
        <f>VLOOKUP(E1276,'[1]NDB Impacted SPRFs 05032013'!$A$2:$A$65536,1,FALSE)</f>
        <v>400024251</v>
      </c>
      <c r="S1276" s="128"/>
      <c r="T1276" s="128"/>
      <c r="U1276" s="128"/>
    </row>
    <row r="1277" spans="1:21" s="159" customFormat="1" ht="45" customHeight="1" x14ac:dyDescent="0.25">
      <c r="A1277" s="63">
        <f>MATCH($E1277,'D1 - Master Project Table'!$B$24:$B$7056,0)</f>
        <v>2009</v>
      </c>
      <c r="B1277" s="147" t="b">
        <f t="shared" si="60"/>
        <v>0</v>
      </c>
      <c r="C1277" s="147" t="b">
        <f t="shared" si="58"/>
        <v>1</v>
      </c>
      <c r="D1277" s="147" t="str">
        <f t="shared" si="59"/>
        <v>OK</v>
      </c>
      <c r="E1277" s="393">
        <v>400032877</v>
      </c>
      <c r="F1277" s="392" t="s">
        <v>4729</v>
      </c>
      <c r="G1277" s="392" t="s">
        <v>5001</v>
      </c>
      <c r="H1277" s="392" t="s">
        <v>7418</v>
      </c>
      <c r="I1277" s="392" t="s">
        <v>2655</v>
      </c>
      <c r="J1277" s="392" t="s">
        <v>7269</v>
      </c>
      <c r="K1277" s="392" t="s">
        <v>4730</v>
      </c>
      <c r="L1277" s="392" t="s">
        <v>715</v>
      </c>
      <c r="M1277" s="392" t="s">
        <v>3758</v>
      </c>
      <c r="N1277" s="392" t="s">
        <v>7273</v>
      </c>
      <c r="O1277" s="392" t="s">
        <v>7273</v>
      </c>
      <c r="P1277"/>
      <c r="Q1277"/>
      <c r="R1277" s="387">
        <f>VLOOKUP(E1277,'[1]NDB Impacted SPRFs 05032013'!$A$2:$A$65536,1,FALSE)</f>
        <v>400032877</v>
      </c>
    </row>
    <row r="1278" spans="1:21" ht="45" customHeight="1" x14ac:dyDescent="0.25">
      <c r="A1278" s="63">
        <f>MATCH($E1278,'D1 - Master Project Table'!$B$24:$B$7056,0)</f>
        <v>2322</v>
      </c>
      <c r="B1278" s="63" t="b">
        <f t="shared" si="60"/>
        <v>0</v>
      </c>
      <c r="C1278" s="63" t="b">
        <f t="shared" si="58"/>
        <v>1</v>
      </c>
      <c r="D1278" s="63" t="str">
        <f t="shared" si="59"/>
        <v>OK</v>
      </c>
      <c r="E1278" s="393">
        <v>400048659</v>
      </c>
      <c r="F1278" s="392" t="s">
        <v>1690</v>
      </c>
      <c r="G1278" s="392" t="s">
        <v>5001</v>
      </c>
      <c r="H1278" s="392" t="s">
        <v>5314</v>
      </c>
      <c r="I1278" s="392" t="s">
        <v>3540</v>
      </c>
      <c r="J1278" s="392" t="s">
        <v>4110</v>
      </c>
      <c r="K1278" s="392" t="s">
        <v>8075</v>
      </c>
      <c r="L1278" s="392" t="s">
        <v>142</v>
      </c>
      <c r="M1278" s="392" t="s">
        <v>7273</v>
      </c>
      <c r="N1278" s="392" t="s">
        <v>7273</v>
      </c>
      <c r="O1278" s="392" t="s">
        <v>7273</v>
      </c>
      <c r="P1278"/>
      <c r="Q1278"/>
      <c r="R1278" s="387">
        <f>VLOOKUP(E1278,'[1]NDB Impacted SPRFs 05032013'!$A$2:$A$65536,1,FALSE)</f>
        <v>400048659</v>
      </c>
      <c r="S1278" s="159"/>
      <c r="T1278" s="159"/>
      <c r="U1278" s="159"/>
    </row>
    <row r="1279" spans="1:21" s="159" customFormat="1" ht="30" x14ac:dyDescent="0.25">
      <c r="A1279" s="63">
        <f>MATCH($E1279,'D1 - Master Project Table'!$B$24:$B$7056,0)</f>
        <v>1658</v>
      </c>
      <c r="B1279" s="63" t="b">
        <f t="shared" si="60"/>
        <v>0</v>
      </c>
      <c r="C1279" s="63" t="b">
        <f t="shared" si="58"/>
        <v>1</v>
      </c>
      <c r="D1279" s="63" t="str">
        <f t="shared" si="59"/>
        <v>OK</v>
      </c>
      <c r="E1279" s="393">
        <v>400048846</v>
      </c>
      <c r="F1279" s="392" t="s">
        <v>157</v>
      </c>
      <c r="G1279" s="392" t="s">
        <v>5001</v>
      </c>
      <c r="H1279" s="392" t="s">
        <v>7418</v>
      </c>
      <c r="I1279" s="392" t="s">
        <v>3540</v>
      </c>
      <c r="J1279" s="392" t="s">
        <v>8445</v>
      </c>
      <c r="K1279" s="392" t="s">
        <v>248</v>
      </c>
      <c r="L1279" s="392" t="s">
        <v>2298</v>
      </c>
      <c r="M1279" s="392" t="s">
        <v>7273</v>
      </c>
      <c r="N1279" s="392" t="s">
        <v>7273</v>
      </c>
      <c r="O1279" s="392" t="s">
        <v>7273</v>
      </c>
      <c r="P1279"/>
      <c r="Q1279"/>
      <c r="R1279" s="387">
        <f>VLOOKUP(E1279,'[1]NDB Impacted SPRFs 05032013'!$A$2:$A$65536,1,FALSE)</f>
        <v>400048846</v>
      </c>
      <c r="S1279" s="128"/>
      <c r="T1279" s="128"/>
      <c r="U1279" s="128"/>
    </row>
    <row r="1280" spans="1:21" s="159" customFormat="1" ht="30" x14ac:dyDescent="0.25">
      <c r="A1280" s="63">
        <f>MATCH($E1280,'D1 - Master Project Table'!$B$24:$B$7056,0)</f>
        <v>1828</v>
      </c>
      <c r="B1280" s="63" t="b">
        <f t="shared" si="60"/>
        <v>0</v>
      </c>
      <c r="C1280" s="63" t="b">
        <f t="shared" si="58"/>
        <v>0</v>
      </c>
      <c r="D1280" s="63" t="str">
        <f t="shared" si="59"/>
        <v>OK</v>
      </c>
      <c r="E1280" s="393">
        <v>400053467</v>
      </c>
      <c r="F1280" s="392" t="s">
        <v>279</v>
      </c>
      <c r="G1280" s="392" t="s">
        <v>6322</v>
      </c>
      <c r="H1280" s="392" t="s">
        <v>4917</v>
      </c>
      <c r="I1280" s="392" t="s">
        <v>1757</v>
      </c>
      <c r="J1280" s="392" t="s">
        <v>8657</v>
      </c>
      <c r="K1280" s="392" t="s">
        <v>4462</v>
      </c>
      <c r="L1280" s="392" t="s">
        <v>949</v>
      </c>
      <c r="M1280" s="392" t="s">
        <v>7273</v>
      </c>
      <c r="N1280" s="392" t="s">
        <v>7273</v>
      </c>
      <c r="O1280" s="392" t="s">
        <v>7273</v>
      </c>
      <c r="P1280"/>
      <c r="Q1280"/>
      <c r="R1280" s="387">
        <f>VLOOKUP(E1280,'[1]NDB Impacted SPRFs 05032013'!$A$2:$A$65536,1,FALSE)</f>
        <v>400053467</v>
      </c>
    </row>
    <row r="1281" spans="1:21" s="159" customFormat="1" ht="45" x14ac:dyDescent="0.25">
      <c r="A1281" s="63">
        <f>MATCH($E1281,'D1 - Master Project Table'!$B$24:$B$7056,0)</f>
        <v>2351</v>
      </c>
      <c r="B1281" s="63" t="b">
        <f t="shared" si="60"/>
        <v>0</v>
      </c>
      <c r="C1281" s="63" t="b">
        <f t="shared" si="58"/>
        <v>1</v>
      </c>
      <c r="D1281" s="63" t="str">
        <f t="shared" si="59"/>
        <v>OK</v>
      </c>
      <c r="E1281" s="393">
        <v>211011229</v>
      </c>
      <c r="F1281" s="392" t="s">
        <v>4201</v>
      </c>
      <c r="G1281" s="392" t="s">
        <v>5324</v>
      </c>
      <c r="H1281" s="392" t="s">
        <v>5314</v>
      </c>
      <c r="I1281" s="392" t="s">
        <v>1757</v>
      </c>
      <c r="J1281" s="392" t="s">
        <v>8346</v>
      </c>
      <c r="K1281" s="392" t="s">
        <v>7029</v>
      </c>
      <c r="L1281" s="392" t="s">
        <v>3326</v>
      </c>
      <c r="M1281" s="392" t="s">
        <v>3758</v>
      </c>
      <c r="N1281" s="392" t="s">
        <v>7273</v>
      </c>
      <c r="O1281" s="392" t="s">
        <v>7273</v>
      </c>
      <c r="P1281"/>
      <c r="Q1281"/>
      <c r="R1281" s="387">
        <f>VLOOKUP(E1281,'[1]NDB Impacted SPRFs 05032013'!$A$2:$A$65536,1,FALSE)</f>
        <v>211011229</v>
      </c>
      <c r="S1281" s="128"/>
      <c r="T1281" s="128"/>
      <c r="U1281" s="128"/>
    </row>
    <row r="1282" spans="1:21" s="159" customFormat="1" ht="30" x14ac:dyDescent="0.25">
      <c r="A1282" s="63">
        <f>MATCH($E1282,'D1 - Master Project Table'!$B$24:$B$7056,0)</f>
        <v>2352</v>
      </c>
      <c r="B1282" s="63" t="b">
        <f t="shared" si="60"/>
        <v>0</v>
      </c>
      <c r="C1282" s="63" t="b">
        <f t="shared" si="58"/>
        <v>1</v>
      </c>
      <c r="D1282" s="63" t="str">
        <f t="shared" si="59"/>
        <v>OK</v>
      </c>
      <c r="E1282" s="393">
        <v>303111044</v>
      </c>
      <c r="F1282" s="392" t="s">
        <v>2428</v>
      </c>
      <c r="G1282" s="392" t="s">
        <v>5787</v>
      </c>
      <c r="H1282" s="392" t="s">
        <v>5314</v>
      </c>
      <c r="I1282" s="392" t="s">
        <v>1779</v>
      </c>
      <c r="J1282" s="392" t="s">
        <v>8713</v>
      </c>
      <c r="K1282" s="392" t="s">
        <v>8075</v>
      </c>
      <c r="L1282" s="392" t="s">
        <v>2978</v>
      </c>
      <c r="M1282" s="392" t="s">
        <v>3758</v>
      </c>
      <c r="N1282" s="392" t="s">
        <v>7273</v>
      </c>
      <c r="O1282" s="392" t="s">
        <v>7273</v>
      </c>
      <c r="P1282"/>
      <c r="Q1282"/>
      <c r="R1282" s="387">
        <f>VLOOKUP(E1282,'[1]NDB Impacted SPRFs 05032013'!$A$2:$A$65536,1,FALSE)</f>
        <v>303111044</v>
      </c>
      <c r="S1282" s="128"/>
      <c r="T1282" s="128"/>
      <c r="U1282" s="128"/>
    </row>
    <row r="1283" spans="1:21" s="159" customFormat="1" ht="45" x14ac:dyDescent="0.25">
      <c r="A1283" s="63" t="e">
        <f>MATCH($E1283,'D1 - Master Project Table'!$B$24:$B$7056,0)</f>
        <v>#N/A</v>
      </c>
      <c r="B1283" s="63" t="b">
        <f t="shared" si="60"/>
        <v>1</v>
      </c>
      <c r="C1283" s="63" t="b">
        <f t="shared" si="58"/>
        <v>1</v>
      </c>
      <c r="D1283" s="63" t="str">
        <f t="shared" si="59"/>
        <v>OK</v>
      </c>
      <c r="E1283" s="393">
        <v>400001918</v>
      </c>
      <c r="F1283" s="392" t="s">
        <v>3479</v>
      </c>
      <c r="G1283" s="392" t="s">
        <v>5324</v>
      </c>
      <c r="H1283" s="392" t="s">
        <v>5314</v>
      </c>
      <c r="I1283" s="392" t="s">
        <v>1765</v>
      </c>
      <c r="J1283" s="392" t="s">
        <v>5473</v>
      </c>
      <c r="K1283" s="392" t="s">
        <v>8075</v>
      </c>
      <c r="L1283" s="392" t="s">
        <v>4255</v>
      </c>
      <c r="M1283" s="392" t="s">
        <v>3758</v>
      </c>
      <c r="N1283" s="392" t="s">
        <v>7273</v>
      </c>
      <c r="O1283" s="392" t="s">
        <v>7273</v>
      </c>
      <c r="P1283"/>
      <c r="Q1283"/>
      <c r="R1283" s="387">
        <f>VLOOKUP(E1283,'[1]NDB Impacted SPRFs 05032013'!$A$2:$A$65536,1,FALSE)</f>
        <v>400001918</v>
      </c>
    </row>
    <row r="1284" spans="1:21" s="159" customFormat="1" ht="45" x14ac:dyDescent="0.25">
      <c r="A1284" s="63">
        <f>MATCH($E1284,'D1 - Master Project Table'!$B$24:$B$7056,0)</f>
        <v>1445</v>
      </c>
      <c r="B1284" s="63" t="b">
        <f t="shared" si="60"/>
        <v>0</v>
      </c>
      <c r="C1284" s="63" t="b">
        <f t="shared" si="58"/>
        <v>1</v>
      </c>
      <c r="D1284" s="63" t="str">
        <f t="shared" si="59"/>
        <v>OK</v>
      </c>
      <c r="E1284" s="393">
        <v>400033823</v>
      </c>
      <c r="F1284" s="392" t="s">
        <v>1481</v>
      </c>
      <c r="G1284" s="392" t="s">
        <v>9210</v>
      </c>
      <c r="H1284" s="392" t="s">
        <v>7418</v>
      </c>
      <c r="I1284" s="392" t="s">
        <v>3540</v>
      </c>
      <c r="J1284" s="392" t="s">
        <v>8753</v>
      </c>
      <c r="K1284" s="392" t="s">
        <v>7043</v>
      </c>
      <c r="L1284" s="392" t="s">
        <v>1482</v>
      </c>
      <c r="M1284" s="392" t="s">
        <v>7273</v>
      </c>
      <c r="N1284" s="392" t="s">
        <v>7273</v>
      </c>
      <c r="O1284" s="392" t="s">
        <v>7273</v>
      </c>
      <c r="P1284"/>
      <c r="Q1284"/>
      <c r="R1284" s="387">
        <f>VLOOKUP(E1284,'[1]NDB Impacted SPRFs 05032013'!$A$2:$A$65536,1,FALSE)</f>
        <v>400033823</v>
      </c>
    </row>
    <row r="1285" spans="1:21" s="159" customFormat="1" ht="30" x14ac:dyDescent="0.25">
      <c r="A1285" s="63">
        <f>MATCH($E1285,'D1 - Master Project Table'!$B$24:$B$7056,0)</f>
        <v>1561</v>
      </c>
      <c r="B1285" s="63" t="b">
        <f t="shared" si="60"/>
        <v>0</v>
      </c>
      <c r="C1285" s="63" t="b">
        <f t="shared" si="58"/>
        <v>1</v>
      </c>
      <c r="D1285" s="63" t="str">
        <f t="shared" si="59"/>
        <v>OK</v>
      </c>
      <c r="E1285" s="393">
        <v>400042641</v>
      </c>
      <c r="F1285" s="392" t="s">
        <v>5323</v>
      </c>
      <c r="G1285" s="392" t="s">
        <v>5001</v>
      </c>
      <c r="H1285" s="392" t="s">
        <v>7418</v>
      </c>
      <c r="I1285" s="392" t="s">
        <v>3540</v>
      </c>
      <c r="J1285" s="392" t="s">
        <v>8775</v>
      </c>
      <c r="K1285" s="392" t="s">
        <v>3689</v>
      </c>
      <c r="L1285" s="392" t="s">
        <v>890</v>
      </c>
      <c r="M1285" s="392" t="s">
        <v>7273</v>
      </c>
      <c r="N1285" s="392" t="s">
        <v>7273</v>
      </c>
      <c r="O1285" s="392" t="s">
        <v>7273</v>
      </c>
      <c r="P1285"/>
      <c r="Q1285"/>
      <c r="R1285" s="387">
        <f>VLOOKUP(E1285,'[1]NDB Impacted SPRFs 05032013'!$A$2:$A$65536,1,FALSE)</f>
        <v>400042641</v>
      </c>
    </row>
    <row r="1286" spans="1:21" s="159" customFormat="1" ht="30" x14ac:dyDescent="0.25">
      <c r="A1286" s="63" t="e">
        <f>MATCH($E1286,'D1 - Master Project Table'!$B$24:$B$7056,0)</f>
        <v>#N/A</v>
      </c>
      <c r="B1286" s="63" t="b">
        <f t="shared" si="60"/>
        <v>1</v>
      </c>
      <c r="C1286" s="63" t="b">
        <f t="shared" ref="C1286:C1349" si="61">OR(H1286="Completed",H1286="Cancelled")</f>
        <v>1</v>
      </c>
      <c r="D1286" s="63" t="str">
        <f t="shared" ref="D1286:D1349" si="62">IF(AND(B1286=TRUE,C1286=FALSE),"Add","OK")</f>
        <v>OK</v>
      </c>
      <c r="E1286" s="393">
        <v>302210941</v>
      </c>
      <c r="F1286" s="392" t="s">
        <v>5777</v>
      </c>
      <c r="G1286" s="392" t="s">
        <v>5787</v>
      </c>
      <c r="H1286" s="392" t="s">
        <v>7418</v>
      </c>
      <c r="I1286" s="392" t="s">
        <v>1772</v>
      </c>
      <c r="J1286" s="392" t="s">
        <v>7029</v>
      </c>
      <c r="K1286" s="392" t="s">
        <v>7029</v>
      </c>
      <c r="L1286" s="392" t="s">
        <v>4996</v>
      </c>
      <c r="M1286" s="392" t="s">
        <v>3758</v>
      </c>
      <c r="N1286" s="392" t="s">
        <v>7273</v>
      </c>
      <c r="O1286" s="392" t="s">
        <v>7273</v>
      </c>
      <c r="P1286"/>
      <c r="Q1286"/>
      <c r="R1286" s="387">
        <f>VLOOKUP(E1286,'[1]NDB Impacted SPRFs 05032013'!$A$2:$A$65536,1,FALSE)</f>
        <v>302210941</v>
      </c>
      <c r="S1286" s="128"/>
      <c r="T1286" s="128"/>
      <c r="U1286" s="128"/>
    </row>
    <row r="1287" spans="1:21" s="159" customFormat="1" ht="45" x14ac:dyDescent="0.25">
      <c r="A1287" s="63">
        <f>MATCH($E1287,'D1 - Master Project Table'!$B$24:$B$7056,0)</f>
        <v>1916</v>
      </c>
      <c r="B1287" s="63" t="b">
        <f t="shared" si="60"/>
        <v>0</v>
      </c>
      <c r="C1287" s="63" t="b">
        <f t="shared" si="61"/>
        <v>1</v>
      </c>
      <c r="D1287" s="63" t="str">
        <f t="shared" si="62"/>
        <v>OK</v>
      </c>
      <c r="E1287" s="393">
        <v>400009660</v>
      </c>
      <c r="F1287" s="392" t="s">
        <v>2935</v>
      </c>
      <c r="G1287" s="392" t="s">
        <v>5324</v>
      </c>
      <c r="H1287" s="392" t="s">
        <v>7418</v>
      </c>
      <c r="I1287" s="392" t="s">
        <v>1764</v>
      </c>
      <c r="J1287" s="392" t="s">
        <v>2937</v>
      </c>
      <c r="K1287" s="392" t="s">
        <v>5641</v>
      </c>
      <c r="L1287" s="392" t="s">
        <v>2453</v>
      </c>
      <c r="M1287" s="392" t="s">
        <v>7273</v>
      </c>
      <c r="N1287" s="392" t="s">
        <v>7273</v>
      </c>
      <c r="O1287" s="392" t="s">
        <v>7273</v>
      </c>
      <c r="P1287"/>
      <c r="Q1287"/>
      <c r="R1287" s="387">
        <f>VLOOKUP(E1287,'[1]NDB Impacted SPRFs 05032013'!$A$2:$A$65536,1,FALSE)</f>
        <v>400009660</v>
      </c>
    </row>
    <row r="1288" spans="1:21" s="159" customFormat="1" ht="45" x14ac:dyDescent="0.25">
      <c r="A1288" s="63">
        <f>MATCH($E1288,'D1 - Master Project Table'!$B$24:$B$7056,0)</f>
        <v>977</v>
      </c>
      <c r="B1288" s="63" t="b">
        <f t="shared" si="60"/>
        <v>0</v>
      </c>
      <c r="C1288" s="63" t="b">
        <f t="shared" si="61"/>
        <v>1</v>
      </c>
      <c r="D1288" s="63" t="str">
        <f t="shared" si="62"/>
        <v>OK</v>
      </c>
      <c r="E1288" s="393">
        <v>400021187</v>
      </c>
      <c r="F1288" s="392" t="s">
        <v>5507</v>
      </c>
      <c r="G1288" s="392" t="s">
        <v>5324</v>
      </c>
      <c r="H1288" s="392" t="s">
        <v>7418</v>
      </c>
      <c r="I1288" s="392" t="s">
        <v>1756</v>
      </c>
      <c r="J1288" s="392" t="s">
        <v>8406</v>
      </c>
      <c r="K1288" s="392" t="s">
        <v>2827</v>
      </c>
      <c r="L1288" s="392" t="s">
        <v>2626</v>
      </c>
      <c r="M1288" s="392" t="s">
        <v>7273</v>
      </c>
      <c r="N1288" s="392" t="s">
        <v>7273</v>
      </c>
      <c r="O1288" s="392" t="s">
        <v>7273</v>
      </c>
      <c r="P1288"/>
      <c r="Q1288"/>
      <c r="R1288" s="387">
        <f>VLOOKUP(E1288,'[1]NDB Impacted SPRFs 05032013'!$A$2:$A$65536,1,FALSE)</f>
        <v>400021187</v>
      </c>
    </row>
    <row r="1289" spans="1:21" s="159" customFormat="1" ht="45" x14ac:dyDescent="0.25">
      <c r="A1289" s="63">
        <f>MATCH($E1289,'D1 - Master Project Table'!$B$24:$B$7056,0)</f>
        <v>2798</v>
      </c>
      <c r="B1289" s="63" t="b">
        <f t="shared" si="60"/>
        <v>0</v>
      </c>
      <c r="C1289" s="63" t="b">
        <f t="shared" si="61"/>
        <v>1</v>
      </c>
      <c r="D1289" s="63" t="str">
        <f t="shared" si="62"/>
        <v>OK</v>
      </c>
      <c r="E1289" s="393">
        <v>400023208</v>
      </c>
      <c r="F1289" s="392" t="s">
        <v>2055</v>
      </c>
      <c r="G1289" s="392" t="s">
        <v>5325</v>
      </c>
      <c r="H1289" s="392" t="s">
        <v>5314</v>
      </c>
      <c r="I1289" s="392" t="s">
        <v>1795</v>
      </c>
      <c r="J1289" s="392" t="s">
        <v>5112</v>
      </c>
      <c r="K1289" s="392" t="s">
        <v>6236</v>
      </c>
      <c r="L1289" s="392" t="s">
        <v>7581</v>
      </c>
      <c r="M1289" s="392" t="s">
        <v>7273</v>
      </c>
      <c r="N1289" s="392" t="s">
        <v>7273</v>
      </c>
      <c r="O1289" s="392" t="s">
        <v>7273</v>
      </c>
      <c r="P1289"/>
      <c r="Q1289"/>
      <c r="R1289" s="387">
        <f>VLOOKUP(E1289,'[1]NDB Impacted SPRFs 05032013'!$A$2:$A$65536,1,FALSE)</f>
        <v>400023208</v>
      </c>
    </row>
    <row r="1290" spans="1:21" ht="45" x14ac:dyDescent="0.25">
      <c r="A1290" s="63">
        <f>MATCH($E1290,'D1 - Master Project Table'!$B$24:$B$7056,0)</f>
        <v>1064</v>
      </c>
      <c r="B1290" s="63" t="b">
        <f t="shared" si="60"/>
        <v>0</v>
      </c>
      <c r="C1290" s="63" t="b">
        <f t="shared" si="61"/>
        <v>1</v>
      </c>
      <c r="D1290" s="63" t="str">
        <f t="shared" si="62"/>
        <v>OK</v>
      </c>
      <c r="E1290" s="393">
        <v>400028032</v>
      </c>
      <c r="F1290" s="392" t="s">
        <v>7035</v>
      </c>
      <c r="G1290" s="392" t="s">
        <v>5324</v>
      </c>
      <c r="H1290" s="392" t="s">
        <v>7418</v>
      </c>
      <c r="I1290" s="392" t="s">
        <v>1760</v>
      </c>
      <c r="J1290" s="392" t="s">
        <v>8423</v>
      </c>
      <c r="K1290" s="392" t="s">
        <v>1506</v>
      </c>
      <c r="L1290" s="392" t="s">
        <v>8108</v>
      </c>
      <c r="M1290" s="392" t="s">
        <v>3758</v>
      </c>
      <c r="N1290" s="392" t="s">
        <v>7273</v>
      </c>
      <c r="O1290" s="392" t="s">
        <v>7273</v>
      </c>
      <c r="P1290"/>
      <c r="Q1290"/>
      <c r="R1290" s="387">
        <f>VLOOKUP(E1290,'[1]NDB Impacted SPRFs 05032013'!$A$2:$A$65536,1,FALSE)</f>
        <v>400028032</v>
      </c>
      <c r="S1290" s="159"/>
      <c r="T1290" s="159"/>
      <c r="U1290" s="159"/>
    </row>
    <row r="1291" spans="1:21" s="159" customFormat="1" ht="45" x14ac:dyDescent="0.25">
      <c r="A1291" s="63">
        <f>MATCH($E1291,'D1 - Master Project Table'!$B$24:$B$7056,0)</f>
        <v>1148</v>
      </c>
      <c r="B1291" s="63" t="b">
        <f t="shared" si="60"/>
        <v>0</v>
      </c>
      <c r="C1291" s="63" t="b">
        <f t="shared" si="61"/>
        <v>1</v>
      </c>
      <c r="D1291" s="63" t="str">
        <f t="shared" si="62"/>
        <v>OK</v>
      </c>
      <c r="E1291" s="393">
        <v>400029399</v>
      </c>
      <c r="F1291" s="392" t="s">
        <v>2175</v>
      </c>
      <c r="G1291" s="392" t="s">
        <v>5001</v>
      </c>
      <c r="H1291" s="392" t="s">
        <v>7418</v>
      </c>
      <c r="I1291" s="392" t="s">
        <v>3540</v>
      </c>
      <c r="J1291" s="392" t="s">
        <v>6840</v>
      </c>
      <c r="K1291" s="392" t="s">
        <v>2174</v>
      </c>
      <c r="L1291" s="392" t="s">
        <v>115</v>
      </c>
      <c r="M1291" s="392" t="s">
        <v>3758</v>
      </c>
      <c r="N1291" s="392" t="s">
        <v>7273</v>
      </c>
      <c r="O1291" s="392" t="s">
        <v>3758</v>
      </c>
      <c r="P1291"/>
      <c r="Q1291"/>
      <c r="R1291" s="387">
        <f>VLOOKUP(E1291,'[1]NDB Impacted SPRFs 05032013'!$A$2:$A$65536,1,FALSE)</f>
        <v>400029399</v>
      </c>
    </row>
    <row r="1292" spans="1:21" s="159" customFormat="1" ht="45" x14ac:dyDescent="0.25">
      <c r="A1292" s="63">
        <f>MATCH($E1292,'D1 - Master Project Table'!$B$24:$B$7056,0)</f>
        <v>1993</v>
      </c>
      <c r="B1292" s="63" t="b">
        <f t="shared" si="60"/>
        <v>0</v>
      </c>
      <c r="C1292" s="63" t="b">
        <f t="shared" si="61"/>
        <v>1</v>
      </c>
      <c r="D1292" s="63" t="str">
        <f t="shared" si="62"/>
        <v>OK</v>
      </c>
      <c r="E1292" s="393">
        <v>400029511</v>
      </c>
      <c r="F1292" s="392" t="s">
        <v>5750</v>
      </c>
      <c r="G1292" s="392" t="s">
        <v>5324</v>
      </c>
      <c r="H1292" s="392" t="s">
        <v>7418</v>
      </c>
      <c r="I1292" s="392" t="s">
        <v>1757</v>
      </c>
      <c r="J1292" s="392" t="s">
        <v>5879</v>
      </c>
      <c r="K1292" s="392" t="s">
        <v>5751</v>
      </c>
      <c r="L1292" s="392" t="s">
        <v>4806</v>
      </c>
      <c r="M1292" s="392" t="s">
        <v>7273</v>
      </c>
      <c r="N1292" s="392" t="s">
        <v>7273</v>
      </c>
      <c r="O1292" s="392" t="s">
        <v>7273</v>
      </c>
      <c r="P1292"/>
      <c r="Q1292"/>
      <c r="R1292" s="387">
        <f>VLOOKUP(E1292,'[1]NDB Impacted SPRFs 05032013'!$A$2:$A$65536,1,FALSE)</f>
        <v>400029511</v>
      </c>
      <c r="S1292" s="128"/>
      <c r="T1292" s="128"/>
      <c r="U1292" s="128"/>
    </row>
    <row r="1293" spans="1:21" s="160" customFormat="1" ht="45" x14ac:dyDescent="0.25">
      <c r="A1293" s="63">
        <f>MATCH($E1293,'D1 - Master Project Table'!$B$24:$B$7056,0)</f>
        <v>1196</v>
      </c>
      <c r="B1293" s="63" t="b">
        <f t="shared" si="60"/>
        <v>0</v>
      </c>
      <c r="C1293" s="63" t="b">
        <f t="shared" si="61"/>
        <v>1</v>
      </c>
      <c r="D1293" s="63" t="str">
        <f t="shared" si="62"/>
        <v>OK</v>
      </c>
      <c r="E1293" s="393">
        <v>400029571</v>
      </c>
      <c r="F1293" s="392" t="s">
        <v>1638</v>
      </c>
      <c r="G1293" s="392" t="s">
        <v>5324</v>
      </c>
      <c r="H1293" s="392" t="s">
        <v>7418</v>
      </c>
      <c r="I1293" s="392" t="s">
        <v>1756</v>
      </c>
      <c r="J1293" s="392" t="s">
        <v>5647</v>
      </c>
      <c r="K1293" s="392" t="s">
        <v>1506</v>
      </c>
      <c r="L1293" s="392" t="s">
        <v>4468</v>
      </c>
      <c r="M1293" s="392" t="s">
        <v>7273</v>
      </c>
      <c r="N1293" s="392" t="s">
        <v>7273</v>
      </c>
      <c r="O1293" s="392" t="s">
        <v>7273</v>
      </c>
      <c r="P1293"/>
      <c r="Q1293"/>
      <c r="R1293" s="387">
        <f>VLOOKUP(E1293,'[1]NDB Impacted SPRFs 05032013'!$A$2:$A$65536,1,FALSE)</f>
        <v>400029571</v>
      </c>
      <c r="S1293" s="159"/>
      <c r="T1293" s="159"/>
      <c r="U1293" s="159"/>
    </row>
    <row r="1294" spans="1:21" ht="45" x14ac:dyDescent="0.25">
      <c r="A1294" s="63">
        <f>MATCH($E1294,'D1 - Master Project Table'!$B$24:$B$7056,0)</f>
        <v>2956</v>
      </c>
      <c r="B1294" s="63" t="b">
        <f t="shared" si="60"/>
        <v>0</v>
      </c>
      <c r="C1294" s="63" t="b">
        <f t="shared" si="61"/>
        <v>1</v>
      </c>
      <c r="D1294" s="63" t="str">
        <f t="shared" si="62"/>
        <v>OK</v>
      </c>
      <c r="E1294" s="393">
        <v>400035720</v>
      </c>
      <c r="F1294" s="392" t="s">
        <v>5415</v>
      </c>
      <c r="G1294" s="392" t="s">
        <v>5325</v>
      </c>
      <c r="H1294" s="392" t="s">
        <v>7418</v>
      </c>
      <c r="I1294" s="392" t="s">
        <v>6419</v>
      </c>
      <c r="J1294" s="392" t="s">
        <v>8283</v>
      </c>
      <c r="K1294" s="392" t="s">
        <v>5416</v>
      </c>
      <c r="L1294" s="392" t="s">
        <v>1927</v>
      </c>
      <c r="M1294" s="392" t="s">
        <v>7273</v>
      </c>
      <c r="N1294" s="392" t="s">
        <v>7273</v>
      </c>
      <c r="O1294" s="392" t="s">
        <v>7273</v>
      </c>
      <c r="P1294"/>
      <c r="Q1294"/>
      <c r="R1294" s="387">
        <f>VLOOKUP(E1294,'[1]NDB Impacted SPRFs 05032013'!$A$2:$A$65536,1,FALSE)</f>
        <v>400035720</v>
      </c>
    </row>
    <row r="1295" spans="1:21" ht="45" x14ac:dyDescent="0.25">
      <c r="A1295" s="63">
        <f>MATCH($E1295,'D1 - Master Project Table'!$B$24:$B$7056,0)</f>
        <v>1778</v>
      </c>
      <c r="B1295" s="63" t="b">
        <f t="shared" si="60"/>
        <v>0</v>
      </c>
      <c r="C1295" s="63" t="b">
        <f t="shared" si="61"/>
        <v>1</v>
      </c>
      <c r="D1295" s="63" t="str">
        <f t="shared" si="62"/>
        <v>OK</v>
      </c>
      <c r="E1295" s="393">
        <v>400052496</v>
      </c>
      <c r="F1295" s="392" t="s">
        <v>3551</v>
      </c>
      <c r="G1295" s="392" t="s">
        <v>5324</v>
      </c>
      <c r="H1295" s="392" t="s">
        <v>7418</v>
      </c>
      <c r="I1295" s="392" t="s">
        <v>1762</v>
      </c>
      <c r="J1295" s="392" t="s">
        <v>8474</v>
      </c>
      <c r="K1295" s="392" t="s">
        <v>3552</v>
      </c>
      <c r="L1295" s="392" t="s">
        <v>2775</v>
      </c>
      <c r="M1295" s="392" t="s">
        <v>7273</v>
      </c>
      <c r="N1295" s="392" t="s">
        <v>7273</v>
      </c>
      <c r="O1295" s="392" t="s">
        <v>3758</v>
      </c>
      <c r="P1295"/>
      <c r="Q1295"/>
      <c r="R1295" s="387">
        <f>VLOOKUP(E1295,'[1]NDB Impacted SPRFs 05032013'!$A$2:$A$65536,1,FALSE)</f>
        <v>400052496</v>
      </c>
      <c r="S1295" s="159"/>
      <c r="T1295" s="159"/>
      <c r="U1295" s="159"/>
    </row>
    <row r="1296" spans="1:21" s="159" customFormat="1" ht="45" x14ac:dyDescent="0.25">
      <c r="A1296" s="63">
        <f>MATCH($E1296,'D1 - Master Project Table'!$B$24:$B$7056,0)</f>
        <v>1029</v>
      </c>
      <c r="B1296" s="63" t="b">
        <f t="shared" si="60"/>
        <v>0</v>
      </c>
      <c r="C1296" s="63" t="b">
        <f t="shared" si="61"/>
        <v>1</v>
      </c>
      <c r="D1296" s="63" t="str">
        <f t="shared" si="62"/>
        <v>OK</v>
      </c>
      <c r="E1296" s="393">
        <v>400024378</v>
      </c>
      <c r="F1296" s="392" t="s">
        <v>4150</v>
      </c>
      <c r="G1296" s="392" t="s">
        <v>5324</v>
      </c>
      <c r="H1296" s="392" t="s">
        <v>7418</v>
      </c>
      <c r="I1296" s="392" t="s">
        <v>1756</v>
      </c>
      <c r="J1296" s="392" t="s">
        <v>8420</v>
      </c>
      <c r="K1296" s="392" t="s">
        <v>4151</v>
      </c>
      <c r="L1296" s="392" t="s">
        <v>5342</v>
      </c>
      <c r="M1296" s="392" t="s">
        <v>7273</v>
      </c>
      <c r="N1296" s="392" t="s">
        <v>7273</v>
      </c>
      <c r="O1296" s="392" t="s">
        <v>7273</v>
      </c>
      <c r="P1296"/>
      <c r="Q1296"/>
      <c r="R1296" s="387">
        <f>VLOOKUP(E1296,'[1]NDB Impacted SPRFs 05032013'!$A$2:$A$65536,1,FALSE)</f>
        <v>400024378</v>
      </c>
    </row>
    <row r="1297" spans="1:21" ht="45" x14ac:dyDescent="0.25">
      <c r="A1297" s="63">
        <f>MATCH($E1297,'D1 - Master Project Table'!$B$24:$B$7056,0)</f>
        <v>1997</v>
      </c>
      <c r="B1297" s="63" t="b">
        <f t="shared" si="60"/>
        <v>0</v>
      </c>
      <c r="C1297" s="63" t="b">
        <f t="shared" si="61"/>
        <v>1</v>
      </c>
      <c r="D1297" s="63" t="str">
        <f t="shared" si="62"/>
        <v>OK</v>
      </c>
      <c r="E1297" s="393">
        <v>400030601</v>
      </c>
      <c r="F1297" s="392" t="s">
        <v>6843</v>
      </c>
      <c r="G1297" s="392" t="s">
        <v>5325</v>
      </c>
      <c r="H1297" s="392" t="s">
        <v>7418</v>
      </c>
      <c r="I1297" s="392" t="s">
        <v>6419</v>
      </c>
      <c r="J1297" s="392" t="s">
        <v>8288</v>
      </c>
      <c r="K1297" s="392" t="s">
        <v>6844</v>
      </c>
      <c r="L1297" s="392" t="s">
        <v>7360</v>
      </c>
      <c r="M1297" s="392" t="s">
        <v>7273</v>
      </c>
      <c r="N1297" s="392" t="s">
        <v>7273</v>
      </c>
      <c r="O1297" s="392" t="s">
        <v>7273</v>
      </c>
      <c r="P1297"/>
      <c r="Q1297"/>
      <c r="R1297" s="387">
        <f>VLOOKUP(E1297,'[1]NDB Impacted SPRFs 05032013'!$A$2:$A$65536,1,FALSE)</f>
        <v>400030601</v>
      </c>
    </row>
    <row r="1298" spans="1:21" ht="45" x14ac:dyDescent="0.25">
      <c r="A1298" s="63">
        <f>MATCH($E1298,'D1 - Master Project Table'!$B$24:$B$7056,0)</f>
        <v>1362</v>
      </c>
      <c r="B1298" s="63" t="b">
        <f t="shared" si="60"/>
        <v>0</v>
      </c>
      <c r="C1298" s="63" t="b">
        <f t="shared" si="61"/>
        <v>1</v>
      </c>
      <c r="D1298" s="63" t="str">
        <f t="shared" si="62"/>
        <v>OK</v>
      </c>
      <c r="E1298" s="393">
        <v>400034822</v>
      </c>
      <c r="F1298" s="392" t="s">
        <v>6741</v>
      </c>
      <c r="G1298" s="392" t="s">
        <v>5325</v>
      </c>
      <c r="H1298" s="392" t="s">
        <v>7418</v>
      </c>
      <c r="I1298" s="392" t="s">
        <v>6419</v>
      </c>
      <c r="J1298" s="392" t="s">
        <v>7566</v>
      </c>
      <c r="K1298" s="392" t="s">
        <v>5162</v>
      </c>
      <c r="L1298" s="392" t="s">
        <v>5372</v>
      </c>
      <c r="M1298" s="392" t="s">
        <v>7273</v>
      </c>
      <c r="N1298" s="392" t="s">
        <v>7273</v>
      </c>
      <c r="O1298" s="392" t="s">
        <v>7273</v>
      </c>
      <c r="P1298"/>
      <c r="Q1298"/>
      <c r="R1298" s="387">
        <f>VLOOKUP(E1298,'[1]NDB Impacted SPRFs 05032013'!$A$2:$A$65536,1,FALSE)</f>
        <v>400034822</v>
      </c>
    </row>
    <row r="1299" spans="1:21" s="159" customFormat="1" ht="45" x14ac:dyDescent="0.25">
      <c r="A1299" s="63">
        <f>MATCH($E1299,'D1 - Master Project Table'!$B$24:$B$7056,0)</f>
        <v>3265</v>
      </c>
      <c r="B1299" s="63" t="b">
        <f t="shared" si="60"/>
        <v>0</v>
      </c>
      <c r="C1299" s="63" t="b">
        <f t="shared" si="61"/>
        <v>1</v>
      </c>
      <c r="D1299" s="63" t="str">
        <f t="shared" si="62"/>
        <v>OK</v>
      </c>
      <c r="E1299" s="393">
        <v>400037557</v>
      </c>
      <c r="F1299" s="392" t="s">
        <v>1940</v>
      </c>
      <c r="G1299" s="392" t="s">
        <v>5324</v>
      </c>
      <c r="H1299" s="392" t="s">
        <v>7418</v>
      </c>
      <c r="I1299" s="392" t="s">
        <v>1763</v>
      </c>
      <c r="J1299" s="392" t="s">
        <v>8501</v>
      </c>
      <c r="K1299" s="392" t="s">
        <v>7459</v>
      </c>
      <c r="L1299" s="392" t="s">
        <v>1941</v>
      </c>
      <c r="M1299" s="392" t="s">
        <v>7273</v>
      </c>
      <c r="N1299" s="392" t="s">
        <v>7273</v>
      </c>
      <c r="O1299" s="392" t="s">
        <v>7273</v>
      </c>
      <c r="P1299"/>
      <c r="Q1299"/>
      <c r="R1299" s="387">
        <f>VLOOKUP(E1299,'[1]NDB Impacted SPRFs 05032013'!$A$2:$A$65536,1,FALSE)</f>
        <v>400037557</v>
      </c>
    </row>
    <row r="1300" spans="1:21" s="159" customFormat="1" ht="30" x14ac:dyDescent="0.25">
      <c r="A1300" s="63">
        <f>MATCH($E1300,'D1 - Master Project Table'!$B$24:$B$7056,0)</f>
        <v>1460</v>
      </c>
      <c r="B1300" s="63" t="b">
        <f t="shared" si="60"/>
        <v>0</v>
      </c>
      <c r="C1300" s="63" t="b">
        <f t="shared" si="61"/>
        <v>1</v>
      </c>
      <c r="D1300" s="63" t="str">
        <f t="shared" si="62"/>
        <v>OK</v>
      </c>
      <c r="E1300" s="393">
        <v>400039697</v>
      </c>
      <c r="F1300" s="392" t="s">
        <v>1152</v>
      </c>
      <c r="G1300" s="392" t="s">
        <v>5995</v>
      </c>
      <c r="H1300" s="392" t="s">
        <v>7418</v>
      </c>
      <c r="I1300" s="392" t="s">
        <v>3533</v>
      </c>
      <c r="J1300" s="392" t="s">
        <v>1153</v>
      </c>
      <c r="K1300" s="392" t="s">
        <v>1153</v>
      </c>
      <c r="L1300" s="392" t="s">
        <v>5605</v>
      </c>
      <c r="M1300" s="392" t="s">
        <v>7273</v>
      </c>
      <c r="N1300" s="392" t="s">
        <v>7273</v>
      </c>
      <c r="O1300" s="392" t="s">
        <v>7273</v>
      </c>
      <c r="P1300"/>
      <c r="Q1300"/>
      <c r="R1300" s="387">
        <f>VLOOKUP(E1300,'[1]NDB Impacted SPRFs 05032013'!$A$2:$A$65536,1,FALSE)</f>
        <v>400039697</v>
      </c>
    </row>
    <row r="1301" spans="1:21" s="159" customFormat="1" ht="45" x14ac:dyDescent="0.25">
      <c r="A1301" s="63">
        <f>MATCH($E1301,'D1 - Master Project Table'!$B$24:$B$7056,0)</f>
        <v>3298</v>
      </c>
      <c r="B1301" s="63" t="b">
        <f t="shared" si="60"/>
        <v>0</v>
      </c>
      <c r="C1301" s="63" t="b">
        <f t="shared" si="61"/>
        <v>1</v>
      </c>
      <c r="D1301" s="63" t="str">
        <f t="shared" si="62"/>
        <v>OK</v>
      </c>
      <c r="E1301" s="393">
        <v>400047343</v>
      </c>
      <c r="F1301" s="392" t="s">
        <v>2371</v>
      </c>
      <c r="G1301" s="392" t="s">
        <v>5324</v>
      </c>
      <c r="H1301" s="392" t="s">
        <v>7418</v>
      </c>
      <c r="I1301" s="392" t="s">
        <v>1786</v>
      </c>
      <c r="J1301" s="392" t="s">
        <v>4822</v>
      </c>
      <c r="K1301" s="392" t="s">
        <v>6170</v>
      </c>
      <c r="L1301" s="392" t="s">
        <v>1809</v>
      </c>
      <c r="M1301" s="392" t="s">
        <v>3758</v>
      </c>
      <c r="N1301" s="392" t="s">
        <v>7273</v>
      </c>
      <c r="O1301" s="392" t="s">
        <v>7273</v>
      </c>
      <c r="P1301"/>
      <c r="Q1301"/>
      <c r="R1301" s="387">
        <f>VLOOKUP(E1301,'[1]NDB Impacted SPRFs 05032013'!$A$2:$A$65536,1,FALSE)</f>
        <v>400047343</v>
      </c>
    </row>
    <row r="1302" spans="1:21" s="159" customFormat="1" ht="30" x14ac:dyDescent="0.25">
      <c r="A1302" s="63">
        <f>MATCH($E1302,'D1 - Master Project Table'!$B$24:$B$7056,0)</f>
        <v>258</v>
      </c>
      <c r="B1302" s="63" t="b">
        <f t="shared" si="60"/>
        <v>0</v>
      </c>
      <c r="C1302" s="63" t="b">
        <f t="shared" si="61"/>
        <v>0</v>
      </c>
      <c r="D1302" s="63" t="str">
        <f t="shared" si="62"/>
        <v>OK</v>
      </c>
      <c r="E1302" s="393">
        <v>400058658</v>
      </c>
      <c r="F1302" s="392" t="s">
        <v>9071</v>
      </c>
      <c r="G1302" s="392" t="s">
        <v>5995</v>
      </c>
      <c r="H1302" s="392" t="s">
        <v>8012</v>
      </c>
      <c r="I1302" s="392" t="s">
        <v>3533</v>
      </c>
      <c r="J1302" s="392" t="s">
        <v>9267</v>
      </c>
      <c r="K1302" s="392" t="s">
        <v>608</v>
      </c>
      <c r="L1302" s="392" t="s">
        <v>9499</v>
      </c>
      <c r="M1302" s="392" t="s">
        <v>3758</v>
      </c>
      <c r="N1302" s="392" t="s">
        <v>7273</v>
      </c>
      <c r="O1302" s="392" t="s">
        <v>7273</v>
      </c>
      <c r="P1302"/>
      <c r="Q1302"/>
      <c r="R1302" s="387">
        <f>VLOOKUP(E1302,'[1]NDB Impacted SPRFs 05032013'!$A$2:$A$65536,1,FALSE)</f>
        <v>400058658</v>
      </c>
    </row>
    <row r="1303" spans="1:21" ht="30" x14ac:dyDescent="0.25">
      <c r="A1303" s="63" t="e">
        <f>MATCH($E1303,'D1 - Master Project Table'!$B$24:$B$7056,0)</f>
        <v>#N/A</v>
      </c>
      <c r="B1303" s="63" t="b">
        <f t="shared" si="60"/>
        <v>1</v>
      </c>
      <c r="C1303" s="63" t="b">
        <f t="shared" si="61"/>
        <v>1</v>
      </c>
      <c r="D1303" s="63" t="str">
        <f t="shared" si="62"/>
        <v>OK</v>
      </c>
      <c r="E1303" s="393">
        <v>206061751</v>
      </c>
      <c r="F1303" s="392" t="s">
        <v>4435</v>
      </c>
      <c r="G1303" s="392" t="s">
        <v>5787</v>
      </c>
      <c r="H1303" s="392" t="s">
        <v>7418</v>
      </c>
      <c r="I1303" s="392" t="s">
        <v>1772</v>
      </c>
      <c r="J1303" s="392" t="s">
        <v>7029</v>
      </c>
      <c r="K1303" s="392" t="s">
        <v>3390</v>
      </c>
      <c r="L1303" s="392" t="s">
        <v>7647</v>
      </c>
      <c r="M1303" s="392" t="s">
        <v>3758</v>
      </c>
      <c r="N1303" s="392" t="s">
        <v>7273</v>
      </c>
      <c r="O1303" s="392" t="s">
        <v>7273</v>
      </c>
      <c r="P1303"/>
      <c r="Q1303"/>
      <c r="R1303" s="387">
        <f>VLOOKUP(E1303,'[1]NDB Impacted SPRFs 05032013'!$A$2:$A$65536,1,FALSE)</f>
        <v>206061751</v>
      </c>
      <c r="S1303" s="159"/>
      <c r="T1303" s="159"/>
      <c r="U1303" s="159"/>
    </row>
    <row r="1304" spans="1:21" s="159" customFormat="1" ht="45" x14ac:dyDescent="0.25">
      <c r="A1304" s="63">
        <f>MATCH($E1304,'D1 - Master Project Table'!$B$24:$B$7056,0)</f>
        <v>374</v>
      </c>
      <c r="B1304" s="63" t="b">
        <f t="shared" si="60"/>
        <v>0</v>
      </c>
      <c r="C1304" s="63" t="b">
        <f t="shared" si="61"/>
        <v>1</v>
      </c>
      <c r="D1304" s="63" t="str">
        <f t="shared" si="62"/>
        <v>OK</v>
      </c>
      <c r="E1304" s="393">
        <v>400001172</v>
      </c>
      <c r="F1304" s="392" t="s">
        <v>7110</v>
      </c>
      <c r="G1304" s="392" t="s">
        <v>5324</v>
      </c>
      <c r="H1304" s="392" t="s">
        <v>7418</v>
      </c>
      <c r="I1304" s="392" t="s">
        <v>1765</v>
      </c>
      <c r="J1304" s="392" t="s">
        <v>8272</v>
      </c>
      <c r="K1304" s="392" t="s">
        <v>7338</v>
      </c>
      <c r="L1304" s="392" t="s">
        <v>4502</v>
      </c>
      <c r="M1304" s="392" t="s">
        <v>3758</v>
      </c>
      <c r="N1304" s="392" t="s">
        <v>7273</v>
      </c>
      <c r="O1304" s="392" t="s">
        <v>7273</v>
      </c>
      <c r="P1304"/>
      <c r="Q1304"/>
      <c r="R1304" s="387">
        <f>VLOOKUP(E1304,'[1]NDB Impacted SPRFs 05032013'!$A$2:$A$65536,1,FALSE)</f>
        <v>400001172</v>
      </c>
    </row>
    <row r="1305" spans="1:21" s="159" customFormat="1" ht="30" x14ac:dyDescent="0.25">
      <c r="A1305" s="63">
        <f>MATCH($E1305,'D1 - Master Project Table'!$B$24:$B$7056,0)</f>
        <v>2499</v>
      </c>
      <c r="B1305" s="63" t="b">
        <f t="shared" si="60"/>
        <v>0</v>
      </c>
      <c r="C1305" s="63" t="b">
        <f t="shared" si="61"/>
        <v>1</v>
      </c>
      <c r="D1305" s="63" t="str">
        <f t="shared" si="62"/>
        <v>OK</v>
      </c>
      <c r="E1305" s="393">
        <v>400006806</v>
      </c>
      <c r="F1305" s="392" t="s">
        <v>5686</v>
      </c>
      <c r="G1305" s="392" t="s">
        <v>5995</v>
      </c>
      <c r="H1305" s="392" t="s">
        <v>5314</v>
      </c>
      <c r="I1305" s="392" t="s">
        <v>3530</v>
      </c>
      <c r="J1305" s="392" t="s">
        <v>8798</v>
      </c>
      <c r="K1305" s="392" t="s">
        <v>2090</v>
      </c>
      <c r="L1305" s="392" t="s">
        <v>6409</v>
      </c>
      <c r="M1305" s="392" t="s">
        <v>7273</v>
      </c>
      <c r="N1305" s="392" t="s">
        <v>7273</v>
      </c>
      <c r="O1305" s="392" t="s">
        <v>7273</v>
      </c>
      <c r="P1305"/>
      <c r="Q1305"/>
      <c r="R1305" s="387">
        <f>VLOOKUP(E1305,'[1]NDB Impacted SPRFs 05032013'!$A$2:$A$65536,1,FALSE)</f>
        <v>400006806</v>
      </c>
      <c r="S1305" s="128"/>
      <c r="T1305" s="128"/>
      <c r="U1305" s="128"/>
    </row>
    <row r="1306" spans="1:21" ht="45" x14ac:dyDescent="0.25">
      <c r="A1306" s="63">
        <f>MATCH($E1306,'D1 - Master Project Table'!$B$24:$B$7056,0)</f>
        <v>776</v>
      </c>
      <c r="B1306" s="63" t="b">
        <f t="shared" si="60"/>
        <v>0</v>
      </c>
      <c r="C1306" s="63" t="b">
        <f t="shared" si="61"/>
        <v>1</v>
      </c>
      <c r="D1306" s="63" t="str">
        <f t="shared" si="62"/>
        <v>OK</v>
      </c>
      <c r="E1306" s="393">
        <v>400017959</v>
      </c>
      <c r="F1306" s="392" t="s">
        <v>4421</v>
      </c>
      <c r="G1306" s="392" t="s">
        <v>5324</v>
      </c>
      <c r="H1306" s="392" t="s">
        <v>7418</v>
      </c>
      <c r="I1306" s="392" t="s">
        <v>1756</v>
      </c>
      <c r="J1306" s="392" t="s">
        <v>6905</v>
      </c>
      <c r="K1306" s="392" t="s">
        <v>1506</v>
      </c>
      <c r="L1306" s="392" t="s">
        <v>7558</v>
      </c>
      <c r="M1306" s="392" t="s">
        <v>3758</v>
      </c>
      <c r="N1306" s="392" t="s">
        <v>7273</v>
      </c>
      <c r="O1306" s="392" t="s">
        <v>7273</v>
      </c>
      <c r="P1306"/>
      <c r="Q1306"/>
      <c r="R1306" s="387">
        <f>VLOOKUP(E1306,'[1]NDB Impacted SPRFs 05032013'!$A$2:$A$65536,1,FALSE)</f>
        <v>400017959</v>
      </c>
      <c r="S1306" s="159"/>
      <c r="T1306" s="159"/>
      <c r="U1306" s="159"/>
    </row>
    <row r="1307" spans="1:21" s="159" customFormat="1" ht="30" x14ac:dyDescent="0.25">
      <c r="A1307" s="63">
        <f>MATCH($E1307,'D1 - Master Project Table'!$B$24:$B$7056,0)</f>
        <v>1598</v>
      </c>
      <c r="B1307" s="63" t="b">
        <f t="shared" si="60"/>
        <v>0</v>
      </c>
      <c r="C1307" s="63" t="b">
        <f t="shared" si="61"/>
        <v>1</v>
      </c>
      <c r="D1307" s="63" t="str">
        <f t="shared" si="62"/>
        <v>OK</v>
      </c>
      <c r="E1307" s="393">
        <v>400048397</v>
      </c>
      <c r="F1307" s="392" t="s">
        <v>3539</v>
      </c>
      <c r="G1307" s="392" t="s">
        <v>9210</v>
      </c>
      <c r="H1307" s="392" t="s">
        <v>7418</v>
      </c>
      <c r="I1307" s="392" t="s">
        <v>3540</v>
      </c>
      <c r="J1307" s="392" t="s">
        <v>8775</v>
      </c>
      <c r="K1307" s="392" t="s">
        <v>3689</v>
      </c>
      <c r="L1307" s="392" t="s">
        <v>224</v>
      </c>
      <c r="M1307" s="392" t="s">
        <v>7273</v>
      </c>
      <c r="N1307" s="392" t="s">
        <v>7273</v>
      </c>
      <c r="O1307" s="392" t="s">
        <v>7273</v>
      </c>
      <c r="P1307"/>
      <c r="Q1307"/>
      <c r="R1307" s="387">
        <f>VLOOKUP(E1307,'[1]NDB Impacted SPRFs 05032013'!$A$2:$A$65536,1,FALSE)</f>
        <v>400048397</v>
      </c>
    </row>
    <row r="1308" spans="1:21" s="159" customFormat="1" ht="30" x14ac:dyDescent="0.25">
      <c r="A1308" s="63" t="e">
        <f>MATCH($E1308,'D1 - Master Project Table'!$B$24:$B$7056,0)</f>
        <v>#N/A</v>
      </c>
      <c r="B1308" s="63" t="b">
        <f t="shared" si="60"/>
        <v>1</v>
      </c>
      <c r="C1308" s="63" t="b">
        <f t="shared" si="61"/>
        <v>1</v>
      </c>
      <c r="D1308" s="63" t="str">
        <f t="shared" si="62"/>
        <v>OK</v>
      </c>
      <c r="E1308" s="393">
        <v>204091242</v>
      </c>
      <c r="F1308" s="392" t="s">
        <v>1521</v>
      </c>
      <c r="G1308" s="392" t="s">
        <v>5995</v>
      </c>
      <c r="H1308" s="392" t="s">
        <v>7418</v>
      </c>
      <c r="I1308" s="392" t="s">
        <v>3529</v>
      </c>
      <c r="J1308" s="392" t="s">
        <v>8795</v>
      </c>
      <c r="K1308" s="392" t="s">
        <v>6736</v>
      </c>
      <c r="L1308" s="392" t="s">
        <v>3156</v>
      </c>
      <c r="M1308" s="392" t="s">
        <v>7273</v>
      </c>
      <c r="N1308" s="392" t="s">
        <v>7273</v>
      </c>
      <c r="O1308" s="392" t="s">
        <v>7273</v>
      </c>
      <c r="P1308"/>
      <c r="Q1308"/>
      <c r="R1308" s="387">
        <f>VLOOKUP(E1308,'[1]NDB Impacted SPRFs 05032013'!$A$2:$A$65536,1,FALSE)</f>
        <v>204091242</v>
      </c>
    </row>
    <row r="1309" spans="1:21" ht="30" x14ac:dyDescent="0.25">
      <c r="A1309" s="63">
        <f>MATCH($E1309,'D1 - Master Project Table'!$B$24:$B$7056,0)</f>
        <v>587</v>
      </c>
      <c r="B1309" s="63" t="b">
        <f t="shared" si="60"/>
        <v>0</v>
      </c>
      <c r="C1309" s="63" t="b">
        <f t="shared" si="61"/>
        <v>1</v>
      </c>
      <c r="D1309" s="63" t="str">
        <f t="shared" si="62"/>
        <v>OK</v>
      </c>
      <c r="E1309" s="393">
        <v>400012311</v>
      </c>
      <c r="F1309" s="392" t="s">
        <v>2853</v>
      </c>
      <c r="G1309" s="392" t="s">
        <v>3441</v>
      </c>
      <c r="H1309" s="392" t="s">
        <v>7418</v>
      </c>
      <c r="I1309" s="392" t="s">
        <v>2662</v>
      </c>
      <c r="J1309" s="392" t="s">
        <v>8810</v>
      </c>
      <c r="K1309" s="392" t="s">
        <v>4114</v>
      </c>
      <c r="L1309" s="392" t="s">
        <v>6870</v>
      </c>
      <c r="M1309" s="392" t="s">
        <v>3758</v>
      </c>
      <c r="N1309" s="392" t="s">
        <v>7273</v>
      </c>
      <c r="O1309" s="392" t="s">
        <v>7273</v>
      </c>
      <c r="P1309"/>
      <c r="Q1309"/>
      <c r="R1309" s="387">
        <f>VLOOKUP(E1309,'[1]NDB Impacted SPRFs 05032013'!$A$2:$A$65536,1,FALSE)</f>
        <v>400012311</v>
      </c>
      <c r="S1309" s="159"/>
      <c r="T1309" s="159"/>
      <c r="U1309" s="159"/>
    </row>
    <row r="1310" spans="1:21" s="159" customFormat="1" ht="45" x14ac:dyDescent="0.25">
      <c r="A1310" s="63">
        <f>MATCH($E1310,'D1 - Master Project Table'!$B$24:$B$7056,0)</f>
        <v>2982</v>
      </c>
      <c r="B1310" s="63" t="b">
        <f t="shared" si="60"/>
        <v>0</v>
      </c>
      <c r="C1310" s="63" t="b">
        <f t="shared" si="61"/>
        <v>1</v>
      </c>
      <c r="D1310" s="63" t="str">
        <f t="shared" si="62"/>
        <v>OK</v>
      </c>
      <c r="E1310" s="393">
        <v>400037786</v>
      </c>
      <c r="F1310" s="392" t="s">
        <v>7454</v>
      </c>
      <c r="G1310" s="392" t="s">
        <v>5324</v>
      </c>
      <c r="H1310" s="392" t="s">
        <v>5314</v>
      </c>
      <c r="I1310" s="392" t="s">
        <v>1757</v>
      </c>
      <c r="J1310" s="392" t="s">
        <v>8465</v>
      </c>
      <c r="K1310" s="392" t="s">
        <v>5948</v>
      </c>
      <c r="L1310" s="392" t="s">
        <v>1984</v>
      </c>
      <c r="M1310" s="392" t="s">
        <v>7273</v>
      </c>
      <c r="N1310" s="392" t="s">
        <v>7273</v>
      </c>
      <c r="O1310" s="392" t="s">
        <v>3758</v>
      </c>
      <c r="P1310"/>
      <c r="Q1310"/>
      <c r="R1310" s="387">
        <f>VLOOKUP(E1310,'[1]NDB Impacted SPRFs 05032013'!$A$2:$A$65536,1,FALSE)</f>
        <v>400037786</v>
      </c>
    </row>
    <row r="1311" spans="1:21" ht="30" x14ac:dyDescent="0.25">
      <c r="A1311" s="63">
        <f>MATCH($E1311,'D1 - Master Project Table'!$B$24:$B$7056,0)</f>
        <v>3023</v>
      </c>
      <c r="B1311" s="63" t="b">
        <f t="shared" si="60"/>
        <v>0</v>
      </c>
      <c r="C1311" s="63" t="b">
        <f t="shared" si="61"/>
        <v>1</v>
      </c>
      <c r="D1311" s="63" t="str">
        <f t="shared" si="62"/>
        <v>OK</v>
      </c>
      <c r="E1311" s="393">
        <v>400040814</v>
      </c>
      <c r="F1311" s="392" t="s">
        <v>2470</v>
      </c>
      <c r="G1311" s="392" t="s">
        <v>5995</v>
      </c>
      <c r="H1311" s="392" t="s">
        <v>5314</v>
      </c>
      <c r="I1311" s="392" t="s">
        <v>3533</v>
      </c>
      <c r="J1311" s="392" t="s">
        <v>2471</v>
      </c>
      <c r="K1311" s="392" t="s">
        <v>3261</v>
      </c>
      <c r="L1311" s="392" t="s">
        <v>9273</v>
      </c>
      <c r="M1311" s="392" t="s">
        <v>7273</v>
      </c>
      <c r="N1311" s="392" t="s">
        <v>7273</v>
      </c>
      <c r="O1311" s="392" t="s">
        <v>7273</v>
      </c>
      <c r="R1311" s="387">
        <f>VLOOKUP(E1311,'[1]NDB Impacted SPRFs 05032013'!$A$2:$A$65536,1,FALSE)</f>
        <v>400040814</v>
      </c>
    </row>
    <row r="1312" spans="1:21" ht="45" x14ac:dyDescent="0.25">
      <c r="A1312" s="63">
        <f>MATCH($E1312,'D1 - Master Project Table'!$B$24:$B$7056,0)</f>
        <v>1223</v>
      </c>
      <c r="B1312" s="63" t="b">
        <f t="shared" si="60"/>
        <v>0</v>
      </c>
      <c r="C1312" s="63" t="b">
        <f t="shared" si="61"/>
        <v>1</v>
      </c>
      <c r="D1312" s="63" t="str">
        <f t="shared" si="62"/>
        <v>OK</v>
      </c>
      <c r="E1312" s="393">
        <v>400031687</v>
      </c>
      <c r="F1312" s="392" t="s">
        <v>3836</v>
      </c>
      <c r="G1312" s="392" t="s">
        <v>5324</v>
      </c>
      <c r="H1312" s="392" t="s">
        <v>7418</v>
      </c>
      <c r="I1312" s="392" t="s">
        <v>1761</v>
      </c>
      <c r="J1312" s="392" t="s">
        <v>4822</v>
      </c>
      <c r="K1312" s="392" t="s">
        <v>6185</v>
      </c>
      <c r="L1312" s="392" t="s">
        <v>7209</v>
      </c>
      <c r="M1312" s="392" t="s">
        <v>7273</v>
      </c>
      <c r="N1312" s="392" t="s">
        <v>7273</v>
      </c>
      <c r="O1312" s="392" t="s">
        <v>7273</v>
      </c>
      <c r="P1312"/>
      <c r="Q1312"/>
      <c r="R1312" s="387">
        <f>VLOOKUP(E1312,'[1]NDB Impacted SPRFs 05032013'!$A$2:$A$65536,1,FALSE)</f>
        <v>400031687</v>
      </c>
      <c r="S1312" s="159"/>
      <c r="T1312" s="159"/>
      <c r="U1312" s="159"/>
    </row>
    <row r="1313" spans="1:21" s="159" customFormat="1" ht="45" x14ac:dyDescent="0.25">
      <c r="A1313" s="63">
        <f>MATCH($E1313,'D1 - Master Project Table'!$B$24:$B$7056,0)</f>
        <v>1663</v>
      </c>
      <c r="B1313" s="63" t="b">
        <f t="shared" si="60"/>
        <v>0</v>
      </c>
      <c r="C1313" s="63" t="b">
        <f t="shared" si="61"/>
        <v>1</v>
      </c>
      <c r="D1313" s="63" t="str">
        <f t="shared" si="62"/>
        <v>OK</v>
      </c>
      <c r="E1313" s="393">
        <v>400039473</v>
      </c>
      <c r="F1313" s="392" t="s">
        <v>416</v>
      </c>
      <c r="G1313" s="392" t="s">
        <v>5324</v>
      </c>
      <c r="H1313" s="392" t="s">
        <v>7418</v>
      </c>
      <c r="I1313" s="392" t="s">
        <v>1759</v>
      </c>
      <c r="J1313" s="392" t="s">
        <v>3962</v>
      </c>
      <c r="K1313" s="392" t="s">
        <v>417</v>
      </c>
      <c r="L1313" s="392" t="s">
        <v>418</v>
      </c>
      <c r="M1313" s="392" t="s">
        <v>7273</v>
      </c>
      <c r="N1313" s="392" t="s">
        <v>7273</v>
      </c>
      <c r="O1313" s="392" t="s">
        <v>7273</v>
      </c>
      <c r="P1313"/>
      <c r="Q1313"/>
      <c r="R1313" s="387">
        <f>VLOOKUP(E1313,'[1]NDB Impacted SPRFs 05032013'!$A$2:$A$65536,1,FALSE)</f>
        <v>400039473</v>
      </c>
    </row>
    <row r="1314" spans="1:21" ht="45" x14ac:dyDescent="0.25">
      <c r="A1314" s="63">
        <f>MATCH($E1314,'D1 - Master Project Table'!$B$24:$B$7056,0)</f>
        <v>120</v>
      </c>
      <c r="B1314" s="63" t="b">
        <f t="shared" si="60"/>
        <v>0</v>
      </c>
      <c r="C1314" s="63" t="b">
        <f t="shared" si="61"/>
        <v>0</v>
      </c>
      <c r="D1314" s="63" t="str">
        <f t="shared" si="62"/>
        <v>OK</v>
      </c>
      <c r="E1314" s="393">
        <v>400053904</v>
      </c>
      <c r="F1314" s="392" t="s">
        <v>909</v>
      </c>
      <c r="G1314" s="392" t="s">
        <v>5324</v>
      </c>
      <c r="H1314" s="392" t="s">
        <v>4917</v>
      </c>
      <c r="I1314" s="392" t="s">
        <v>1757</v>
      </c>
      <c r="J1314" s="392" t="s">
        <v>8476</v>
      </c>
      <c r="K1314" s="392" t="s">
        <v>2684</v>
      </c>
      <c r="L1314" s="392" t="s">
        <v>7525</v>
      </c>
      <c r="M1314" s="392" t="s">
        <v>3758</v>
      </c>
      <c r="N1314" s="392" t="s">
        <v>7273</v>
      </c>
      <c r="O1314" s="392" t="s">
        <v>7273</v>
      </c>
      <c r="P1314"/>
      <c r="Q1314"/>
      <c r="R1314" s="387">
        <f>VLOOKUP(E1314,'[1]NDB Impacted SPRFs 05032013'!$A$2:$A$65536,1,FALSE)</f>
        <v>400053904</v>
      </c>
      <c r="S1314" s="159"/>
      <c r="T1314" s="159"/>
      <c r="U1314" s="159"/>
    </row>
    <row r="1315" spans="1:21" s="159" customFormat="1" ht="45" x14ac:dyDescent="0.25">
      <c r="A1315" s="63">
        <f>MATCH($E1315,'D1 - Master Project Table'!$B$24:$B$7056,0)</f>
        <v>3145</v>
      </c>
      <c r="B1315" s="63" t="b">
        <f t="shared" si="60"/>
        <v>0</v>
      </c>
      <c r="C1315" s="63" t="b">
        <f t="shared" si="61"/>
        <v>1</v>
      </c>
      <c r="D1315" s="63" t="str">
        <f t="shared" si="62"/>
        <v>OK</v>
      </c>
      <c r="E1315" s="393">
        <v>400057143</v>
      </c>
      <c r="F1315" s="392" t="s">
        <v>7184</v>
      </c>
      <c r="G1315" s="392" t="s">
        <v>5995</v>
      </c>
      <c r="H1315" s="392" t="s">
        <v>5314</v>
      </c>
      <c r="I1315" s="392" t="s">
        <v>6423</v>
      </c>
      <c r="J1315" s="392" t="s">
        <v>1155</v>
      </c>
      <c r="K1315" s="392" t="s">
        <v>1155</v>
      </c>
      <c r="L1315" s="392" t="s">
        <v>7809</v>
      </c>
      <c r="M1315" s="392" t="s">
        <v>7273</v>
      </c>
      <c r="N1315" s="392" t="s">
        <v>7273</v>
      </c>
      <c r="O1315" s="392" t="s">
        <v>7273</v>
      </c>
      <c r="P1315"/>
      <c r="Q1315"/>
      <c r="R1315" s="387">
        <f>VLOOKUP(E1315,'[1]NDB Impacted SPRFs 05032013'!$A$2:$A$65536,1,FALSE)</f>
        <v>400057143</v>
      </c>
    </row>
    <row r="1316" spans="1:21" ht="45" x14ac:dyDescent="0.25">
      <c r="A1316" s="63">
        <f>MATCH($E1316,'D1 - Master Project Table'!$B$24:$B$7056,0)</f>
        <v>872</v>
      </c>
      <c r="B1316" s="63" t="b">
        <f t="shared" si="60"/>
        <v>0</v>
      </c>
      <c r="C1316" s="63" t="b">
        <f t="shared" si="61"/>
        <v>1</v>
      </c>
      <c r="D1316" s="63" t="str">
        <f t="shared" si="62"/>
        <v>OK</v>
      </c>
      <c r="E1316" s="393">
        <v>400018000</v>
      </c>
      <c r="F1316" s="392" t="s">
        <v>5877</v>
      </c>
      <c r="G1316" s="392" t="s">
        <v>5324</v>
      </c>
      <c r="H1316" s="392" t="s">
        <v>7418</v>
      </c>
      <c r="I1316" s="392" t="s">
        <v>1756</v>
      </c>
      <c r="J1316" s="392" t="s">
        <v>8394</v>
      </c>
      <c r="K1316" s="392" t="s">
        <v>5988</v>
      </c>
      <c r="L1316" s="392" t="s">
        <v>989</v>
      </c>
      <c r="M1316" s="392" t="s">
        <v>7273</v>
      </c>
      <c r="N1316" s="392" t="s">
        <v>7273</v>
      </c>
      <c r="O1316" s="392" t="s">
        <v>3758</v>
      </c>
      <c r="P1316"/>
      <c r="Q1316"/>
      <c r="R1316" s="387">
        <f>VLOOKUP(E1316,'[1]NDB Impacted SPRFs 05032013'!$A$2:$A$65536,1,FALSE)</f>
        <v>400018000</v>
      </c>
      <c r="S1316" s="159"/>
      <c r="T1316" s="159"/>
      <c r="U1316" s="159"/>
    </row>
    <row r="1317" spans="1:21" s="159" customFormat="1" ht="45" x14ac:dyDescent="0.25">
      <c r="A1317" s="63">
        <f>MATCH($E1317,'D1 - Master Project Table'!$B$24:$B$7056,0)</f>
        <v>873</v>
      </c>
      <c r="B1317" s="63" t="b">
        <f t="shared" si="60"/>
        <v>0</v>
      </c>
      <c r="C1317" s="63" t="b">
        <f t="shared" si="61"/>
        <v>1</v>
      </c>
      <c r="D1317" s="63" t="str">
        <f t="shared" si="62"/>
        <v>OK</v>
      </c>
      <c r="E1317" s="393">
        <v>400018003</v>
      </c>
      <c r="F1317" s="392" t="s">
        <v>5878</v>
      </c>
      <c r="G1317" s="392" t="s">
        <v>5324</v>
      </c>
      <c r="H1317" s="392" t="s">
        <v>7418</v>
      </c>
      <c r="I1317" s="392" t="s">
        <v>1756</v>
      </c>
      <c r="J1317" s="392" t="s">
        <v>8394</v>
      </c>
      <c r="K1317" s="392" t="s">
        <v>5988</v>
      </c>
      <c r="L1317" s="392" t="s">
        <v>989</v>
      </c>
      <c r="M1317" s="392" t="s">
        <v>7273</v>
      </c>
      <c r="N1317" s="392" t="s">
        <v>7273</v>
      </c>
      <c r="O1317" s="392" t="s">
        <v>3758</v>
      </c>
      <c r="P1317"/>
      <c r="Q1317"/>
      <c r="R1317" s="387">
        <f>VLOOKUP(E1317,'[1]NDB Impacted SPRFs 05032013'!$A$2:$A$65536,1,FALSE)</f>
        <v>400018003</v>
      </c>
      <c r="S1317" s="128"/>
      <c r="T1317" s="128"/>
      <c r="U1317" s="128"/>
    </row>
    <row r="1318" spans="1:21" ht="45" x14ac:dyDescent="0.25">
      <c r="A1318" s="63">
        <f>MATCH($E1318,'D1 - Master Project Table'!$B$24:$B$7056,0)</f>
        <v>2862</v>
      </c>
      <c r="B1318" s="63" t="b">
        <f t="shared" si="60"/>
        <v>0</v>
      </c>
      <c r="C1318" s="63" t="b">
        <f t="shared" si="61"/>
        <v>1</v>
      </c>
      <c r="D1318" s="63" t="str">
        <f t="shared" si="62"/>
        <v>OK</v>
      </c>
      <c r="E1318" s="393">
        <v>400027602</v>
      </c>
      <c r="F1318" s="392" t="s">
        <v>5192</v>
      </c>
      <c r="G1318" s="392" t="s">
        <v>5324</v>
      </c>
      <c r="H1318" s="392" t="s">
        <v>5314</v>
      </c>
      <c r="I1318" s="392" t="s">
        <v>1758</v>
      </c>
      <c r="J1318" s="392" t="s">
        <v>8295</v>
      </c>
      <c r="K1318" s="392" t="s">
        <v>2523</v>
      </c>
      <c r="L1318" s="392" t="s">
        <v>7513</v>
      </c>
      <c r="M1318" s="392" t="s">
        <v>7273</v>
      </c>
      <c r="N1318" s="392" t="s">
        <v>7273</v>
      </c>
      <c r="O1318" s="392" t="s">
        <v>7273</v>
      </c>
      <c r="P1318"/>
      <c r="Q1318"/>
      <c r="R1318" s="387">
        <f>VLOOKUP(E1318,'[1]NDB Impacted SPRFs 05032013'!$A$2:$A$65536,1,FALSE)</f>
        <v>400027602</v>
      </c>
    </row>
    <row r="1319" spans="1:21" s="159" customFormat="1" ht="45" x14ac:dyDescent="0.25">
      <c r="A1319" s="63">
        <f>MATCH($E1319,'D1 - Master Project Table'!$B$24:$B$7056,0)</f>
        <v>1166</v>
      </c>
      <c r="B1319" s="63" t="b">
        <f t="shared" si="60"/>
        <v>0</v>
      </c>
      <c r="C1319" s="63" t="b">
        <f t="shared" si="61"/>
        <v>1</v>
      </c>
      <c r="D1319" s="63" t="str">
        <f t="shared" si="62"/>
        <v>OK</v>
      </c>
      <c r="E1319" s="393">
        <v>400031685</v>
      </c>
      <c r="F1319" s="392" t="s">
        <v>1056</v>
      </c>
      <c r="G1319" s="392" t="s">
        <v>5324</v>
      </c>
      <c r="H1319" s="392" t="s">
        <v>7418</v>
      </c>
      <c r="I1319" s="392" t="s">
        <v>1759</v>
      </c>
      <c r="J1319" s="392" t="s">
        <v>3493</v>
      </c>
      <c r="K1319" s="392" t="s">
        <v>7062</v>
      </c>
      <c r="L1319" s="392" t="s">
        <v>5875</v>
      </c>
      <c r="M1319" s="392" t="s">
        <v>3758</v>
      </c>
      <c r="N1319" s="392" t="s">
        <v>7273</v>
      </c>
      <c r="O1319" s="392" t="s">
        <v>7273</v>
      </c>
      <c r="P1319"/>
      <c r="Q1319"/>
      <c r="R1319" s="387">
        <f>VLOOKUP(E1319,'[1]NDB Impacted SPRFs 05032013'!$A$2:$A$65536,1,FALSE)</f>
        <v>400031685</v>
      </c>
      <c r="S1319" s="128"/>
      <c r="T1319" s="128"/>
      <c r="U1319" s="128"/>
    </row>
    <row r="1320" spans="1:21" s="159" customFormat="1" ht="45" x14ac:dyDescent="0.25">
      <c r="A1320" s="63">
        <f>MATCH($E1320,'D1 - Master Project Table'!$B$24:$B$7056,0)</f>
        <v>2300</v>
      </c>
      <c r="B1320" s="63" t="b">
        <f t="shared" si="60"/>
        <v>0</v>
      </c>
      <c r="C1320" s="63" t="b">
        <f t="shared" si="61"/>
        <v>1</v>
      </c>
      <c r="D1320" s="63" t="str">
        <f t="shared" si="62"/>
        <v>OK</v>
      </c>
      <c r="E1320" s="393">
        <v>400033077</v>
      </c>
      <c r="F1320" s="392" t="s">
        <v>6031</v>
      </c>
      <c r="G1320" s="392" t="s">
        <v>5324</v>
      </c>
      <c r="H1320" s="392" t="s">
        <v>5314</v>
      </c>
      <c r="I1320" s="392" t="s">
        <v>1763</v>
      </c>
      <c r="J1320" s="392" t="s">
        <v>8613</v>
      </c>
      <c r="K1320" s="392" t="s">
        <v>6032</v>
      </c>
      <c r="L1320" s="392" t="s">
        <v>659</v>
      </c>
      <c r="M1320" s="392" t="s">
        <v>7273</v>
      </c>
      <c r="N1320" s="392" t="s">
        <v>7273</v>
      </c>
      <c r="O1320" s="392" t="s">
        <v>7273</v>
      </c>
      <c r="P1320"/>
      <c r="Q1320"/>
      <c r="R1320" s="387">
        <f>VLOOKUP(E1320,'[1]NDB Impacted SPRFs 05032013'!$A$2:$A$65536,1,FALSE)</f>
        <v>400033077</v>
      </c>
    </row>
    <row r="1321" spans="1:21" ht="45" x14ac:dyDescent="0.25">
      <c r="A1321" s="63">
        <f>MATCH($E1321,'D1 - Master Project Table'!$B$24:$B$7056,0)</f>
        <v>3114</v>
      </c>
      <c r="B1321" s="63" t="b">
        <f t="shared" si="60"/>
        <v>0</v>
      </c>
      <c r="C1321" s="63" t="b">
        <f t="shared" si="61"/>
        <v>1</v>
      </c>
      <c r="D1321" s="63" t="str">
        <f t="shared" si="62"/>
        <v>OK</v>
      </c>
      <c r="E1321" s="393">
        <v>400052162</v>
      </c>
      <c r="F1321" s="392" t="s">
        <v>143</v>
      </c>
      <c r="G1321" s="392" t="s">
        <v>5324</v>
      </c>
      <c r="H1321" s="392" t="s">
        <v>5314</v>
      </c>
      <c r="I1321" s="392" t="s">
        <v>1759</v>
      </c>
      <c r="J1321" s="392" t="s">
        <v>4854</v>
      </c>
      <c r="K1321" s="392" t="s">
        <v>5162</v>
      </c>
      <c r="L1321" s="392" t="s">
        <v>7057</v>
      </c>
      <c r="M1321" s="392" t="s">
        <v>7273</v>
      </c>
      <c r="N1321" s="392" t="s">
        <v>7273</v>
      </c>
      <c r="O1321" s="392" t="s">
        <v>7273</v>
      </c>
      <c r="P1321"/>
      <c r="Q1321"/>
      <c r="R1321" s="387">
        <f>VLOOKUP(E1321,'[1]NDB Impacted SPRFs 05032013'!$A$2:$A$65536,1,FALSE)</f>
        <v>400052162</v>
      </c>
      <c r="S1321" s="159"/>
      <c r="T1321" s="159"/>
      <c r="U1321" s="159"/>
    </row>
    <row r="1322" spans="1:21" s="159" customFormat="1" ht="45" x14ac:dyDescent="0.25">
      <c r="A1322" s="63" t="e">
        <f>MATCH($E1322,'D1 - Master Project Table'!$B$24:$B$7056,0)</f>
        <v>#N/A</v>
      </c>
      <c r="B1322" s="63" t="b">
        <f t="shared" si="60"/>
        <v>1</v>
      </c>
      <c r="C1322" s="63" t="b">
        <f t="shared" si="61"/>
        <v>1</v>
      </c>
      <c r="D1322" s="63" t="str">
        <f t="shared" si="62"/>
        <v>OK</v>
      </c>
      <c r="E1322" s="393">
        <v>400001592</v>
      </c>
      <c r="F1322" s="392" t="s">
        <v>4335</v>
      </c>
      <c r="G1322" s="392" t="s">
        <v>5324</v>
      </c>
      <c r="H1322" s="392" t="s">
        <v>7418</v>
      </c>
      <c r="I1322" s="392" t="s">
        <v>1765</v>
      </c>
      <c r="J1322" s="392" t="s">
        <v>8358</v>
      </c>
      <c r="K1322" s="392" t="s">
        <v>8075</v>
      </c>
      <c r="L1322" s="392" t="s">
        <v>4676</v>
      </c>
      <c r="M1322" s="392" t="s">
        <v>3758</v>
      </c>
      <c r="N1322" s="392" t="s">
        <v>7273</v>
      </c>
      <c r="O1322" s="392" t="s">
        <v>7273</v>
      </c>
      <c r="P1322"/>
      <c r="Q1322"/>
      <c r="R1322" s="387">
        <f>VLOOKUP(E1322,'[1]NDB Impacted SPRFs 05032013'!$A$2:$A$65536,1,FALSE)</f>
        <v>400001592</v>
      </c>
      <c r="S1322" s="128"/>
      <c r="T1322" s="128"/>
      <c r="U1322" s="128"/>
    </row>
    <row r="1323" spans="1:21" s="159" customFormat="1" ht="45" x14ac:dyDescent="0.25">
      <c r="A1323" s="63">
        <f>MATCH($E1323,'D1 - Master Project Table'!$B$24:$B$7056,0)</f>
        <v>355</v>
      </c>
      <c r="B1323" s="63" t="b">
        <f t="shared" si="60"/>
        <v>0</v>
      </c>
      <c r="C1323" s="63" t="b">
        <f t="shared" si="61"/>
        <v>1</v>
      </c>
      <c r="D1323" s="63" t="str">
        <f t="shared" si="62"/>
        <v>OK</v>
      </c>
      <c r="E1323" s="393">
        <v>400003582</v>
      </c>
      <c r="F1323" s="392" t="s">
        <v>4683</v>
      </c>
      <c r="G1323" s="392" t="s">
        <v>5324</v>
      </c>
      <c r="H1323" s="392" t="s">
        <v>7418</v>
      </c>
      <c r="I1323" s="392" t="s">
        <v>1768</v>
      </c>
      <c r="J1323" s="392" t="s">
        <v>8451</v>
      </c>
      <c r="K1323" s="392" t="s">
        <v>2833</v>
      </c>
      <c r="L1323" s="392" t="s">
        <v>3880</v>
      </c>
      <c r="M1323" s="392" t="s">
        <v>3758</v>
      </c>
      <c r="N1323" s="392" t="s">
        <v>7273</v>
      </c>
      <c r="O1323" s="392" t="s">
        <v>7273</v>
      </c>
      <c r="P1323"/>
      <c r="Q1323"/>
      <c r="R1323" s="387">
        <f>VLOOKUP(E1323,'[1]NDB Impacted SPRFs 05032013'!$A$2:$A$65536,1,FALSE)</f>
        <v>400003582</v>
      </c>
      <c r="S1323" s="128"/>
      <c r="T1323" s="128"/>
      <c r="U1323" s="128"/>
    </row>
    <row r="1324" spans="1:21" s="159" customFormat="1" ht="45" x14ac:dyDescent="0.25">
      <c r="A1324" s="63">
        <f>MATCH($E1324,'D1 - Master Project Table'!$B$24:$B$7056,0)</f>
        <v>893</v>
      </c>
      <c r="B1324" s="63" t="b">
        <f t="shared" si="60"/>
        <v>0</v>
      </c>
      <c r="C1324" s="63" t="b">
        <f t="shared" si="61"/>
        <v>1</v>
      </c>
      <c r="D1324" s="63" t="str">
        <f t="shared" si="62"/>
        <v>OK</v>
      </c>
      <c r="E1324" s="393">
        <v>400018977</v>
      </c>
      <c r="F1324" s="392" t="s">
        <v>5860</v>
      </c>
      <c r="G1324" s="392" t="s">
        <v>5324</v>
      </c>
      <c r="H1324" s="392" t="s">
        <v>7418</v>
      </c>
      <c r="I1324" s="392" t="s">
        <v>1756</v>
      </c>
      <c r="J1324" s="392" t="s">
        <v>6905</v>
      </c>
      <c r="K1324" s="392" t="s">
        <v>1506</v>
      </c>
      <c r="L1324" s="392" t="s">
        <v>2686</v>
      </c>
      <c r="M1324" s="392" t="s">
        <v>3758</v>
      </c>
      <c r="N1324" s="392" t="s">
        <v>7273</v>
      </c>
      <c r="O1324" s="392" t="s">
        <v>7273</v>
      </c>
      <c r="P1324"/>
      <c r="Q1324"/>
      <c r="R1324" s="387">
        <f>VLOOKUP(E1324,'[1]NDB Impacted SPRFs 05032013'!$A$2:$A$65536,1,FALSE)</f>
        <v>400018977</v>
      </c>
      <c r="S1324" s="128"/>
      <c r="T1324" s="128"/>
      <c r="U1324" s="128"/>
    </row>
    <row r="1325" spans="1:21" s="159" customFormat="1" ht="45" x14ac:dyDescent="0.25">
      <c r="A1325" s="63">
        <f>MATCH($E1325,'D1 - Master Project Table'!$B$24:$B$7056,0)</f>
        <v>2211</v>
      </c>
      <c r="B1325" s="63" t="b">
        <f t="shared" si="60"/>
        <v>0</v>
      </c>
      <c r="C1325" s="63" t="b">
        <f t="shared" si="61"/>
        <v>1</v>
      </c>
      <c r="D1325" s="63" t="str">
        <f t="shared" si="62"/>
        <v>OK</v>
      </c>
      <c r="E1325" s="393">
        <v>400019781</v>
      </c>
      <c r="F1325" s="392" t="s">
        <v>4681</v>
      </c>
      <c r="G1325" s="392" t="s">
        <v>5324</v>
      </c>
      <c r="H1325" s="392" t="s">
        <v>5314</v>
      </c>
      <c r="I1325" s="392" t="s">
        <v>1788</v>
      </c>
      <c r="J1325" s="392" t="s">
        <v>7015</v>
      </c>
      <c r="K1325" s="392" t="s">
        <v>4682</v>
      </c>
      <c r="L1325" s="392" t="s">
        <v>2630</v>
      </c>
      <c r="M1325" s="392" t="s">
        <v>7273</v>
      </c>
      <c r="N1325" s="392" t="s">
        <v>7273</v>
      </c>
      <c r="O1325" s="392" t="s">
        <v>7273</v>
      </c>
      <c r="P1325"/>
      <c r="Q1325"/>
      <c r="R1325" s="387">
        <f>VLOOKUP(E1325,'[1]NDB Impacted SPRFs 05032013'!$A$2:$A$65536,1,FALSE)</f>
        <v>400019781</v>
      </c>
    </row>
    <row r="1326" spans="1:21" s="159" customFormat="1" ht="45" x14ac:dyDescent="0.25">
      <c r="A1326" s="63" t="e">
        <f>MATCH($E1326,'D1 - Master Project Table'!$B$24:$B$7056,0)</f>
        <v>#N/A</v>
      </c>
      <c r="B1326" s="63" t="b">
        <f t="shared" si="60"/>
        <v>1</v>
      </c>
      <c r="C1326" s="63" t="b">
        <f t="shared" si="61"/>
        <v>1</v>
      </c>
      <c r="D1326" s="63" t="str">
        <f t="shared" si="62"/>
        <v>OK</v>
      </c>
      <c r="E1326" s="393">
        <v>400002417</v>
      </c>
      <c r="F1326" s="392" t="s">
        <v>5122</v>
      </c>
      <c r="G1326" s="392" t="s">
        <v>5324</v>
      </c>
      <c r="H1326" s="392" t="s">
        <v>7418</v>
      </c>
      <c r="I1326" s="392" t="s">
        <v>1765</v>
      </c>
      <c r="J1326" s="392" t="s">
        <v>8450</v>
      </c>
      <c r="K1326" s="392" t="s">
        <v>5004</v>
      </c>
      <c r="L1326" s="392" t="s">
        <v>4264</v>
      </c>
      <c r="M1326" s="392" t="s">
        <v>3758</v>
      </c>
      <c r="N1326" s="392" t="s">
        <v>7273</v>
      </c>
      <c r="O1326" s="392" t="s">
        <v>7273</v>
      </c>
      <c r="P1326"/>
      <c r="Q1326"/>
      <c r="R1326" s="387">
        <f>VLOOKUP(E1326,'[1]NDB Impacted SPRFs 05032013'!$A$2:$A$65536,1,FALSE)</f>
        <v>400002417</v>
      </c>
    </row>
    <row r="1327" spans="1:21" s="159" customFormat="1" ht="45" x14ac:dyDescent="0.25">
      <c r="A1327" s="63">
        <f>MATCH($E1327,'D1 - Master Project Table'!$B$24:$B$7056,0)</f>
        <v>1879</v>
      </c>
      <c r="B1327" s="63" t="b">
        <f t="shared" si="60"/>
        <v>0</v>
      </c>
      <c r="C1327" s="63" t="b">
        <f t="shared" si="61"/>
        <v>1</v>
      </c>
      <c r="D1327" s="63" t="str">
        <f t="shared" si="62"/>
        <v>OK</v>
      </c>
      <c r="E1327" s="393">
        <v>400003373</v>
      </c>
      <c r="F1327" s="392" t="s">
        <v>4066</v>
      </c>
      <c r="G1327" s="392" t="s">
        <v>5324</v>
      </c>
      <c r="H1327" s="392" t="s">
        <v>7418</v>
      </c>
      <c r="I1327" s="392" t="s">
        <v>1765</v>
      </c>
      <c r="J1327" s="392" t="s">
        <v>5298</v>
      </c>
      <c r="K1327" s="392" t="s">
        <v>2523</v>
      </c>
      <c r="L1327" s="392" t="s">
        <v>1243</v>
      </c>
      <c r="M1327" s="392" t="s">
        <v>7273</v>
      </c>
      <c r="N1327" s="392" t="s">
        <v>7273</v>
      </c>
      <c r="O1327" s="392" t="s">
        <v>7273</v>
      </c>
      <c r="P1327"/>
      <c r="Q1327"/>
      <c r="R1327" s="387">
        <f>VLOOKUP(E1327,'[1]NDB Impacted SPRFs 05032013'!$A$2:$A$65536,1,FALSE)</f>
        <v>400003373</v>
      </c>
    </row>
    <row r="1328" spans="1:21" s="159" customFormat="1" ht="45" x14ac:dyDescent="0.25">
      <c r="A1328" s="63">
        <f>MATCH($E1328,'D1 - Master Project Table'!$B$24:$B$7056,0)</f>
        <v>2583</v>
      </c>
      <c r="B1328" s="63" t="b">
        <f t="shared" ref="B1328:B1391" si="63">ISERROR(A1328)</f>
        <v>0</v>
      </c>
      <c r="C1328" s="63" t="b">
        <f t="shared" si="61"/>
        <v>1</v>
      </c>
      <c r="D1328" s="63" t="str">
        <f t="shared" si="62"/>
        <v>OK</v>
      </c>
      <c r="E1328" s="393">
        <v>400011028</v>
      </c>
      <c r="F1328" s="392" t="s">
        <v>4511</v>
      </c>
      <c r="G1328" s="392" t="s">
        <v>5324</v>
      </c>
      <c r="H1328" s="392" t="s">
        <v>5314</v>
      </c>
      <c r="I1328" s="392" t="s">
        <v>1768</v>
      </c>
      <c r="J1328" s="392" t="s">
        <v>2937</v>
      </c>
      <c r="K1328" s="392" t="s">
        <v>5159</v>
      </c>
      <c r="L1328" s="392" t="s">
        <v>3701</v>
      </c>
      <c r="M1328" s="392" t="s">
        <v>7273</v>
      </c>
      <c r="N1328" s="392" t="s">
        <v>7273</v>
      </c>
      <c r="O1328" s="392" t="s">
        <v>7273</v>
      </c>
      <c r="P1328"/>
      <c r="Q1328"/>
      <c r="R1328" s="387">
        <f>VLOOKUP(E1328,'[1]NDB Impacted SPRFs 05032013'!$A$2:$A$65536,1,FALSE)</f>
        <v>400011028</v>
      </c>
    </row>
    <row r="1329" spans="1:21" s="159" customFormat="1" ht="45" x14ac:dyDescent="0.25">
      <c r="A1329" s="63">
        <f>MATCH($E1329,'D1 - Master Project Table'!$B$24:$B$7056,0)</f>
        <v>2988</v>
      </c>
      <c r="B1329" s="63" t="b">
        <f t="shared" si="63"/>
        <v>0</v>
      </c>
      <c r="C1329" s="63" t="b">
        <f t="shared" si="61"/>
        <v>1</v>
      </c>
      <c r="D1329" s="63" t="str">
        <f t="shared" si="62"/>
        <v>OK</v>
      </c>
      <c r="E1329" s="393">
        <v>400038076</v>
      </c>
      <c r="F1329" s="392" t="s">
        <v>1436</v>
      </c>
      <c r="G1329" s="392" t="s">
        <v>6322</v>
      </c>
      <c r="H1329" s="392" t="s">
        <v>5314</v>
      </c>
      <c r="I1329" s="392" t="s">
        <v>1812</v>
      </c>
      <c r="J1329" s="392" t="s">
        <v>8635</v>
      </c>
      <c r="K1329" s="392" t="s">
        <v>1437</v>
      </c>
      <c r="L1329" s="392" t="s">
        <v>2367</v>
      </c>
      <c r="M1329" s="392" t="s">
        <v>7273</v>
      </c>
      <c r="N1329" s="392" t="s">
        <v>7273</v>
      </c>
      <c r="O1329" s="392" t="s">
        <v>7273</v>
      </c>
      <c r="P1329"/>
      <c r="Q1329"/>
      <c r="R1329" s="387">
        <f>VLOOKUP(E1329,'[1]NDB Impacted SPRFs 05032013'!$A$2:$A$65536,1,FALSE)</f>
        <v>400038076</v>
      </c>
    </row>
    <row r="1330" spans="1:21" s="159" customFormat="1" ht="30" customHeight="1" x14ac:dyDescent="0.25">
      <c r="A1330" s="63">
        <f>MATCH($E1330,'D1 - Master Project Table'!$B$24:$B$7056,0)</f>
        <v>1479</v>
      </c>
      <c r="B1330" s="63" t="b">
        <f t="shared" si="63"/>
        <v>0</v>
      </c>
      <c r="C1330" s="63" t="b">
        <f t="shared" si="61"/>
        <v>1</v>
      </c>
      <c r="D1330" s="63" t="str">
        <f t="shared" si="62"/>
        <v>OK</v>
      </c>
      <c r="E1330" s="393">
        <v>400039944</v>
      </c>
      <c r="F1330" s="392" t="s">
        <v>4546</v>
      </c>
      <c r="G1330" s="392" t="s">
        <v>5001</v>
      </c>
      <c r="H1330" s="392" t="s">
        <v>7418</v>
      </c>
      <c r="I1330" s="392" t="s">
        <v>3540</v>
      </c>
      <c r="J1330" s="392" t="s">
        <v>8775</v>
      </c>
      <c r="K1330" s="392" t="s">
        <v>3689</v>
      </c>
      <c r="L1330" s="392" t="s">
        <v>2249</v>
      </c>
      <c r="M1330" s="392" t="s">
        <v>7273</v>
      </c>
      <c r="N1330" s="392" t="s">
        <v>7273</v>
      </c>
      <c r="O1330" s="392" t="s">
        <v>7273</v>
      </c>
      <c r="P1330"/>
      <c r="Q1330"/>
      <c r="R1330" s="387">
        <f>VLOOKUP(E1330,'[1]NDB Impacted SPRFs 05032013'!$A$2:$A$65536,1,FALSE)</f>
        <v>400039944</v>
      </c>
    </row>
    <row r="1331" spans="1:21" ht="45" x14ac:dyDescent="0.25">
      <c r="A1331" s="63">
        <f>MATCH($E1331,'D1 - Master Project Table'!$B$24:$B$7056,0)</f>
        <v>7</v>
      </c>
      <c r="B1331" s="63" t="b">
        <f t="shared" si="63"/>
        <v>0</v>
      </c>
      <c r="C1331" s="63" t="b">
        <f t="shared" si="61"/>
        <v>0</v>
      </c>
      <c r="D1331" s="63" t="str">
        <f t="shared" si="62"/>
        <v>OK</v>
      </c>
      <c r="E1331" s="393">
        <v>400049911</v>
      </c>
      <c r="F1331" s="392" t="s">
        <v>1114</v>
      </c>
      <c r="G1331" s="392" t="s">
        <v>5324</v>
      </c>
      <c r="H1331" s="392" t="s">
        <v>4917</v>
      </c>
      <c r="I1331" s="392" t="s">
        <v>1786</v>
      </c>
      <c r="J1331" s="392" t="s">
        <v>8465</v>
      </c>
      <c r="K1331" s="392" t="s">
        <v>5948</v>
      </c>
      <c r="L1331" s="392" t="s">
        <v>5690</v>
      </c>
      <c r="M1331" s="392" t="s">
        <v>7273</v>
      </c>
      <c r="N1331" s="392" t="s">
        <v>7273</v>
      </c>
      <c r="O1331" s="392" t="s">
        <v>3758</v>
      </c>
      <c r="P1331" s="212"/>
      <c r="Q1331"/>
      <c r="R1331" s="387">
        <f>VLOOKUP(E1331,'[1]NDB Impacted SPRFs 05032013'!$A$2:$A$65536,1,FALSE)</f>
        <v>400049911</v>
      </c>
      <c r="S1331" s="159"/>
      <c r="T1331" s="159"/>
      <c r="U1331" s="159"/>
    </row>
    <row r="1332" spans="1:21" s="159" customFormat="1" ht="45" x14ac:dyDescent="0.25">
      <c r="A1332" s="63">
        <f>MATCH($E1332,'D1 - Master Project Table'!$B$24:$B$7056,0)</f>
        <v>2624</v>
      </c>
      <c r="B1332" s="63" t="b">
        <f t="shared" si="63"/>
        <v>0</v>
      </c>
      <c r="C1332" s="63" t="b">
        <f t="shared" si="61"/>
        <v>1</v>
      </c>
      <c r="D1332" s="63" t="str">
        <f t="shared" si="62"/>
        <v>OK</v>
      </c>
      <c r="E1332" s="393">
        <v>400013639</v>
      </c>
      <c r="F1332" s="392" t="s">
        <v>4648</v>
      </c>
      <c r="G1332" s="392" t="s">
        <v>5324</v>
      </c>
      <c r="H1332" s="392" t="s">
        <v>5314</v>
      </c>
      <c r="I1332" s="392" t="s">
        <v>1764</v>
      </c>
      <c r="J1332" s="392" t="s">
        <v>2937</v>
      </c>
      <c r="K1332" s="392" t="s">
        <v>5756</v>
      </c>
      <c r="L1332" s="392" t="s">
        <v>1452</v>
      </c>
      <c r="M1332" s="392" t="s">
        <v>7273</v>
      </c>
      <c r="N1332" s="392" t="s">
        <v>7273</v>
      </c>
      <c r="O1332" s="392" t="s">
        <v>7273</v>
      </c>
      <c r="P1332"/>
      <c r="Q1332"/>
      <c r="R1332" s="387">
        <f>VLOOKUP(E1332,'[1]NDB Impacted SPRFs 05032013'!$A$2:$A$65536,1,FALSE)</f>
        <v>400013639</v>
      </c>
      <c r="S1332" s="128"/>
      <c r="T1332" s="128"/>
      <c r="U1332" s="128"/>
    </row>
    <row r="1333" spans="1:21" s="159" customFormat="1" ht="45" x14ac:dyDescent="0.25">
      <c r="A1333" s="63">
        <f>MATCH($E1333,'D1 - Master Project Table'!$B$24:$B$7056,0)</f>
        <v>2022</v>
      </c>
      <c r="B1333" s="63" t="b">
        <f t="shared" si="63"/>
        <v>0</v>
      </c>
      <c r="C1333" s="63" t="b">
        <f t="shared" si="61"/>
        <v>1</v>
      </c>
      <c r="D1333" s="63" t="str">
        <f t="shared" si="62"/>
        <v>OK</v>
      </c>
      <c r="E1333" s="393">
        <v>400038653</v>
      </c>
      <c r="F1333" s="392" t="s">
        <v>7325</v>
      </c>
      <c r="G1333" s="392" t="s">
        <v>5325</v>
      </c>
      <c r="H1333" s="392" t="s">
        <v>7418</v>
      </c>
      <c r="I1333" s="392" t="s">
        <v>1799</v>
      </c>
      <c r="J1333" s="392" t="s">
        <v>8279</v>
      </c>
      <c r="K1333" s="392" t="s">
        <v>3167</v>
      </c>
      <c r="L1333" s="392" t="s">
        <v>2052</v>
      </c>
      <c r="M1333" s="392" t="s">
        <v>7273</v>
      </c>
      <c r="N1333" s="392" t="s">
        <v>7273</v>
      </c>
      <c r="O1333" s="392" t="s">
        <v>7273</v>
      </c>
      <c r="P1333"/>
      <c r="Q1333"/>
      <c r="R1333" s="387">
        <f>VLOOKUP(E1333,'[1]NDB Impacted SPRFs 05032013'!$A$2:$A$65536,1,FALSE)</f>
        <v>400038653</v>
      </c>
    </row>
    <row r="1334" spans="1:21" s="159" customFormat="1" ht="45" x14ac:dyDescent="0.25">
      <c r="A1334" s="63">
        <f>MATCH($E1334,'D1 - Master Project Table'!$B$24:$B$7056,0)</f>
        <v>1456</v>
      </c>
      <c r="B1334" s="63" t="b">
        <f t="shared" si="63"/>
        <v>0</v>
      </c>
      <c r="C1334" s="63" t="b">
        <f t="shared" si="61"/>
        <v>1</v>
      </c>
      <c r="D1334" s="63" t="str">
        <f t="shared" si="62"/>
        <v>OK</v>
      </c>
      <c r="E1334" s="393">
        <v>400038705</v>
      </c>
      <c r="F1334" s="392" t="s">
        <v>7882</v>
      </c>
      <c r="G1334" s="392" t="s">
        <v>5324</v>
      </c>
      <c r="H1334" s="392" t="s">
        <v>7418</v>
      </c>
      <c r="I1334" s="392" t="s">
        <v>1759</v>
      </c>
      <c r="J1334" s="392" t="s">
        <v>8383</v>
      </c>
      <c r="K1334" s="392" t="s">
        <v>1094</v>
      </c>
      <c r="L1334" s="392" t="s">
        <v>818</v>
      </c>
      <c r="M1334" s="392" t="s">
        <v>7273</v>
      </c>
      <c r="N1334" s="392" t="s">
        <v>7273</v>
      </c>
      <c r="O1334" s="392" t="s">
        <v>3758</v>
      </c>
      <c r="P1334"/>
      <c r="Q1334"/>
      <c r="R1334" s="387">
        <f>VLOOKUP(E1334,'[1]NDB Impacted SPRFs 05032013'!$A$2:$A$65536,1,FALSE)</f>
        <v>400038705</v>
      </c>
    </row>
    <row r="1335" spans="1:21" ht="30" x14ac:dyDescent="0.25">
      <c r="A1335" s="63" t="e">
        <f>MATCH($E1335,'D1 - Master Project Table'!$B$24:$B$7056,0)</f>
        <v>#N/A</v>
      </c>
      <c r="B1335" s="63" t="b">
        <f t="shared" si="63"/>
        <v>1</v>
      </c>
      <c r="C1335" s="63" t="b">
        <f t="shared" si="61"/>
        <v>1</v>
      </c>
      <c r="D1335" s="63" t="str">
        <f t="shared" si="62"/>
        <v>OK</v>
      </c>
      <c r="E1335" s="393">
        <v>400002619</v>
      </c>
      <c r="F1335" s="392" t="s">
        <v>7038</v>
      </c>
      <c r="G1335" s="392" t="s">
        <v>5787</v>
      </c>
      <c r="H1335" s="392" t="s">
        <v>7418</v>
      </c>
      <c r="I1335" s="392" t="s">
        <v>1772</v>
      </c>
      <c r="J1335" s="392" t="s">
        <v>8704</v>
      </c>
      <c r="K1335" s="392" t="s">
        <v>4124</v>
      </c>
      <c r="L1335" s="392" t="s">
        <v>4933</v>
      </c>
      <c r="M1335" s="392" t="s">
        <v>3758</v>
      </c>
      <c r="N1335" s="392" t="s">
        <v>7273</v>
      </c>
      <c r="O1335" s="392" t="s">
        <v>7273</v>
      </c>
      <c r="P1335"/>
      <c r="Q1335"/>
      <c r="R1335" s="387">
        <f>VLOOKUP(E1335,'[1]NDB Impacted SPRFs 05032013'!$A$2:$A$65536,1,FALSE)</f>
        <v>400002619</v>
      </c>
      <c r="S1335" s="159"/>
      <c r="T1335" s="159"/>
      <c r="U1335" s="159"/>
    </row>
    <row r="1336" spans="1:21" s="159" customFormat="1" ht="45" x14ac:dyDescent="0.25">
      <c r="A1336" s="63">
        <f>MATCH($E1336,'D1 - Master Project Table'!$B$24:$B$7056,0)</f>
        <v>431</v>
      </c>
      <c r="B1336" s="63" t="b">
        <f t="shared" si="63"/>
        <v>0</v>
      </c>
      <c r="C1336" s="63" t="b">
        <f t="shared" si="61"/>
        <v>1</v>
      </c>
      <c r="D1336" s="63" t="str">
        <f t="shared" si="62"/>
        <v>OK</v>
      </c>
      <c r="E1336" s="393">
        <v>400007562</v>
      </c>
      <c r="F1336" s="392" t="s">
        <v>3666</v>
      </c>
      <c r="G1336" s="392" t="s">
        <v>5995</v>
      </c>
      <c r="H1336" s="392" t="s">
        <v>7418</v>
      </c>
      <c r="I1336" s="392" t="s">
        <v>4527</v>
      </c>
      <c r="J1336" s="392" t="s">
        <v>4115</v>
      </c>
      <c r="K1336" s="392" t="s">
        <v>8092</v>
      </c>
      <c r="L1336" s="392" t="s">
        <v>2979</v>
      </c>
      <c r="M1336" s="392" t="s">
        <v>3758</v>
      </c>
      <c r="N1336" s="392" t="s">
        <v>7273</v>
      </c>
      <c r="O1336" s="392" t="s">
        <v>7273</v>
      </c>
      <c r="P1336"/>
      <c r="Q1336"/>
      <c r="R1336" s="387">
        <f>VLOOKUP(E1336,'[1]NDB Impacted SPRFs 05032013'!$A$2:$A$65536,1,FALSE)</f>
        <v>400007562</v>
      </c>
    </row>
    <row r="1337" spans="1:21" s="159" customFormat="1" ht="30" customHeight="1" x14ac:dyDescent="0.25">
      <c r="A1337" s="63">
        <f>MATCH($E1337,'D1 - Master Project Table'!$B$24:$B$7056,0)</f>
        <v>2926</v>
      </c>
      <c r="B1337" s="63" t="b">
        <f t="shared" si="63"/>
        <v>0</v>
      </c>
      <c r="C1337" s="63" t="b">
        <f t="shared" si="61"/>
        <v>1</v>
      </c>
      <c r="D1337" s="63" t="str">
        <f t="shared" si="62"/>
        <v>OK</v>
      </c>
      <c r="E1337" s="393">
        <v>400032925</v>
      </c>
      <c r="F1337" s="392" t="s">
        <v>648</v>
      </c>
      <c r="G1337" s="392" t="s">
        <v>5324</v>
      </c>
      <c r="H1337" s="392" t="s">
        <v>5314</v>
      </c>
      <c r="I1337" s="392" t="s">
        <v>1758</v>
      </c>
      <c r="J1337" s="392" t="s">
        <v>8311</v>
      </c>
      <c r="K1337" s="392" t="s">
        <v>7459</v>
      </c>
      <c r="L1337" s="392" t="s">
        <v>2354</v>
      </c>
      <c r="M1337" s="392" t="s">
        <v>3758</v>
      </c>
      <c r="N1337" s="392" t="s">
        <v>7273</v>
      </c>
      <c r="O1337" s="392" t="s">
        <v>7273</v>
      </c>
      <c r="P1337"/>
      <c r="Q1337"/>
      <c r="R1337" s="387">
        <f>VLOOKUP(E1337,'[1]NDB Impacted SPRFs 05032013'!$A$2:$A$65536,1,FALSE)</f>
        <v>400032925</v>
      </c>
      <c r="S1337" s="128"/>
      <c r="T1337" s="128"/>
      <c r="U1337" s="128"/>
    </row>
    <row r="1338" spans="1:21" s="159" customFormat="1" ht="45" x14ac:dyDescent="0.25">
      <c r="A1338" s="63">
        <f>MATCH($E1338,'D1 - Master Project Table'!$B$24:$B$7056,0)</f>
        <v>1816</v>
      </c>
      <c r="B1338" s="63" t="b">
        <f t="shared" si="63"/>
        <v>0</v>
      </c>
      <c r="C1338" s="63" t="b">
        <f t="shared" si="61"/>
        <v>0</v>
      </c>
      <c r="D1338" s="63" t="str">
        <f t="shared" si="62"/>
        <v>OK</v>
      </c>
      <c r="E1338" s="393">
        <v>400053899</v>
      </c>
      <c r="F1338" s="392" t="s">
        <v>277</v>
      </c>
      <c r="G1338" s="392" t="s">
        <v>5324</v>
      </c>
      <c r="H1338" s="392" t="s">
        <v>4917</v>
      </c>
      <c r="I1338" s="392" t="s">
        <v>1757</v>
      </c>
      <c r="J1338" s="392" t="s">
        <v>4703</v>
      </c>
      <c r="K1338" s="392" t="s">
        <v>2684</v>
      </c>
      <c r="L1338" s="392" t="s">
        <v>7928</v>
      </c>
      <c r="M1338" s="392" t="s">
        <v>3758</v>
      </c>
      <c r="N1338" s="392" t="s">
        <v>7273</v>
      </c>
      <c r="O1338" s="392" t="s">
        <v>7273</v>
      </c>
      <c r="P1338"/>
      <c r="Q1338"/>
      <c r="R1338" s="387">
        <f>VLOOKUP(E1338,'[1]NDB Impacted SPRFs 05032013'!$A$2:$A$65536,1,FALSE)</f>
        <v>400053899</v>
      </c>
    </row>
    <row r="1339" spans="1:21" ht="45" x14ac:dyDescent="0.25">
      <c r="A1339" s="63">
        <f>MATCH($E1339,'D1 - Master Project Table'!$B$24:$B$7056,0)</f>
        <v>160</v>
      </c>
      <c r="B1339" s="63" t="b">
        <f t="shared" si="63"/>
        <v>0</v>
      </c>
      <c r="C1339" s="63" t="b">
        <f t="shared" si="61"/>
        <v>0</v>
      </c>
      <c r="D1339" s="63" t="str">
        <f t="shared" si="62"/>
        <v>OK</v>
      </c>
      <c r="E1339" s="393">
        <v>400054137</v>
      </c>
      <c r="F1339" s="392" t="s">
        <v>907</v>
      </c>
      <c r="G1339" s="392" t="s">
        <v>5324</v>
      </c>
      <c r="H1339" s="392" t="s">
        <v>4917</v>
      </c>
      <c r="I1339" s="392" t="s">
        <v>1757</v>
      </c>
      <c r="J1339" s="392" t="s">
        <v>8474</v>
      </c>
      <c r="K1339" s="392" t="s">
        <v>2684</v>
      </c>
      <c r="L1339" s="392" t="s">
        <v>7928</v>
      </c>
      <c r="M1339" s="392" t="s">
        <v>3758</v>
      </c>
      <c r="N1339" s="392" t="s">
        <v>7273</v>
      </c>
      <c r="O1339" s="392" t="s">
        <v>7273</v>
      </c>
      <c r="P1339"/>
      <c r="Q1339"/>
      <c r="R1339" s="387">
        <f>VLOOKUP(E1339,'[1]NDB Impacted SPRFs 05032013'!$A$2:$A$65536,1,FALSE)</f>
        <v>400054137</v>
      </c>
    </row>
    <row r="1340" spans="1:21" s="159" customFormat="1" ht="30" x14ac:dyDescent="0.25">
      <c r="A1340" s="63" t="e">
        <f>MATCH($E1340,'D1 - Master Project Table'!$B$24:$B$7056,0)</f>
        <v>#N/A</v>
      </c>
      <c r="B1340" s="63" t="b">
        <f t="shared" si="63"/>
        <v>1</v>
      </c>
      <c r="C1340" s="63" t="b">
        <f t="shared" si="61"/>
        <v>1</v>
      </c>
      <c r="D1340" s="63" t="str">
        <f t="shared" si="62"/>
        <v>OK</v>
      </c>
      <c r="E1340" s="393">
        <v>400009523</v>
      </c>
      <c r="F1340" s="392" t="s">
        <v>6380</v>
      </c>
      <c r="G1340" s="392" t="s">
        <v>6322</v>
      </c>
      <c r="H1340" s="392" t="s">
        <v>7418</v>
      </c>
      <c r="I1340" s="392" t="s">
        <v>7594</v>
      </c>
      <c r="J1340" s="392" t="s">
        <v>8648</v>
      </c>
      <c r="K1340" s="392" t="s">
        <v>3916</v>
      </c>
      <c r="L1340" s="392" t="s">
        <v>3437</v>
      </c>
      <c r="M1340" s="392" t="s">
        <v>7273</v>
      </c>
      <c r="N1340" s="392" t="s">
        <v>7273</v>
      </c>
      <c r="O1340" s="392" t="s">
        <v>7273</v>
      </c>
      <c r="P1340"/>
      <c r="Q1340"/>
      <c r="R1340" s="387">
        <f>VLOOKUP(E1340,'[1]NDB Impacted SPRFs 05032013'!$A$2:$A$65536,1,FALSE)</f>
        <v>400009523</v>
      </c>
    </row>
    <row r="1341" spans="1:21" s="159" customFormat="1" ht="45" x14ac:dyDescent="0.25">
      <c r="A1341" s="63">
        <f>MATCH($E1341,'D1 - Master Project Table'!$B$24:$B$7056,0)</f>
        <v>670</v>
      </c>
      <c r="B1341" s="63" t="b">
        <f t="shared" si="63"/>
        <v>0</v>
      </c>
      <c r="C1341" s="63" t="b">
        <f t="shared" si="61"/>
        <v>1</v>
      </c>
      <c r="D1341" s="63" t="str">
        <f t="shared" si="62"/>
        <v>OK</v>
      </c>
      <c r="E1341" s="393">
        <v>400010982</v>
      </c>
      <c r="F1341" s="392" t="s">
        <v>5499</v>
      </c>
      <c r="G1341" s="392" t="s">
        <v>5324</v>
      </c>
      <c r="H1341" s="392" t="s">
        <v>7418</v>
      </c>
      <c r="I1341" s="392" t="s">
        <v>1762</v>
      </c>
      <c r="J1341" s="392" t="s">
        <v>2251</v>
      </c>
      <c r="K1341" s="392" t="s">
        <v>5159</v>
      </c>
      <c r="L1341" s="392" t="s">
        <v>6106</v>
      </c>
      <c r="M1341" s="392" t="s">
        <v>7273</v>
      </c>
      <c r="N1341" s="392" t="s">
        <v>7273</v>
      </c>
      <c r="O1341" s="392" t="s">
        <v>7273</v>
      </c>
      <c r="P1341"/>
      <c r="Q1341"/>
      <c r="R1341" s="387">
        <f>VLOOKUP(E1341,'[1]NDB Impacted SPRFs 05032013'!$A$2:$A$65536,1,FALSE)</f>
        <v>400010982</v>
      </c>
    </row>
    <row r="1342" spans="1:21" s="159" customFormat="1" ht="45" x14ac:dyDescent="0.25">
      <c r="A1342" s="63">
        <f>MATCH($E1342,'D1 - Master Project Table'!$B$24:$B$7056,0)</f>
        <v>2584</v>
      </c>
      <c r="B1342" s="63" t="b">
        <f t="shared" si="63"/>
        <v>0</v>
      </c>
      <c r="C1342" s="63" t="b">
        <f t="shared" si="61"/>
        <v>1</v>
      </c>
      <c r="D1342" s="63" t="str">
        <f t="shared" si="62"/>
        <v>OK</v>
      </c>
      <c r="E1342" s="393">
        <v>400011157</v>
      </c>
      <c r="F1342" s="392" t="s">
        <v>2111</v>
      </c>
      <c r="G1342" s="392" t="s">
        <v>5324</v>
      </c>
      <c r="H1342" s="392" t="s">
        <v>5314</v>
      </c>
      <c r="I1342" s="392" t="s">
        <v>1759</v>
      </c>
      <c r="J1342" s="392" t="s">
        <v>6851</v>
      </c>
      <c r="K1342" s="392" t="s">
        <v>8075</v>
      </c>
      <c r="L1342" s="392" t="s">
        <v>1423</v>
      </c>
      <c r="M1342" s="392" t="s">
        <v>3758</v>
      </c>
      <c r="N1342" s="392" t="s">
        <v>7273</v>
      </c>
      <c r="O1342" s="392" t="s">
        <v>3758</v>
      </c>
      <c r="P1342"/>
      <c r="Q1342"/>
      <c r="R1342" s="387">
        <f>VLOOKUP(E1342,'[1]NDB Impacted SPRFs 05032013'!$A$2:$A$65536,1,FALSE)</f>
        <v>400011157</v>
      </c>
    </row>
    <row r="1343" spans="1:21" s="159" customFormat="1" ht="45" x14ac:dyDescent="0.25">
      <c r="A1343" s="63">
        <f>MATCH($E1343,'D1 - Master Project Table'!$B$24:$B$7056,0)</f>
        <v>2621</v>
      </c>
      <c r="B1343" s="63" t="b">
        <f t="shared" si="63"/>
        <v>0</v>
      </c>
      <c r="C1343" s="63" t="b">
        <f t="shared" si="61"/>
        <v>1</v>
      </c>
      <c r="D1343" s="63" t="str">
        <f t="shared" si="62"/>
        <v>OK</v>
      </c>
      <c r="E1343" s="393">
        <v>400013589</v>
      </c>
      <c r="F1343" s="392" t="s">
        <v>4701</v>
      </c>
      <c r="G1343" s="392" t="s">
        <v>5324</v>
      </c>
      <c r="H1343" s="392" t="s">
        <v>5314</v>
      </c>
      <c r="I1343" s="392" t="s">
        <v>1763</v>
      </c>
      <c r="J1343" s="392" t="s">
        <v>8597</v>
      </c>
      <c r="K1343" s="392" t="s">
        <v>5641</v>
      </c>
      <c r="L1343" s="392" t="s">
        <v>6750</v>
      </c>
      <c r="M1343" s="392" t="s">
        <v>3758</v>
      </c>
      <c r="N1343" s="392" t="s">
        <v>7273</v>
      </c>
      <c r="O1343" s="392" t="s">
        <v>7273</v>
      </c>
      <c r="P1343"/>
      <c r="Q1343"/>
      <c r="R1343" s="387">
        <f>VLOOKUP(E1343,'[1]NDB Impacted SPRFs 05032013'!$A$2:$A$65536,1,FALSE)</f>
        <v>400013589</v>
      </c>
    </row>
    <row r="1344" spans="1:21" s="159" customFormat="1" ht="30" customHeight="1" x14ac:dyDescent="0.25">
      <c r="A1344" s="63" t="e">
        <f>MATCH($E1344,'D1 - Master Project Table'!$B$24:$B$7056,0)</f>
        <v>#N/A</v>
      </c>
      <c r="B1344" s="63" t="b">
        <f t="shared" si="63"/>
        <v>1</v>
      </c>
      <c r="C1344" s="63" t="b">
        <f t="shared" si="61"/>
        <v>1</v>
      </c>
      <c r="D1344" s="63" t="str">
        <f t="shared" si="62"/>
        <v>OK</v>
      </c>
      <c r="E1344" s="393">
        <v>400015276</v>
      </c>
      <c r="F1344" s="392" t="s">
        <v>8114</v>
      </c>
      <c r="G1344" s="392" t="s">
        <v>3441</v>
      </c>
      <c r="H1344" s="392" t="s">
        <v>5314</v>
      </c>
      <c r="I1344" s="392" t="s">
        <v>1769</v>
      </c>
      <c r="J1344" s="392" t="s">
        <v>4990</v>
      </c>
      <c r="K1344" s="392" t="s">
        <v>2447</v>
      </c>
      <c r="L1344" s="392" t="s">
        <v>4909</v>
      </c>
      <c r="M1344" s="392" t="s">
        <v>7273</v>
      </c>
      <c r="N1344" s="392" t="s">
        <v>7273</v>
      </c>
      <c r="O1344" s="392" t="s">
        <v>3758</v>
      </c>
      <c r="P1344"/>
      <c r="Q1344"/>
      <c r="R1344" s="387">
        <f>VLOOKUP(E1344,'[1]NDB Impacted SPRFs 05032013'!$A$2:$A$65536,1,FALSE)</f>
        <v>400015276</v>
      </c>
    </row>
    <row r="1345" spans="1:21" s="159" customFormat="1" ht="30" x14ac:dyDescent="0.25">
      <c r="A1345" s="63">
        <f>MATCH($E1345,'D1 - Master Project Table'!$B$24:$B$7056,0)</f>
        <v>2896</v>
      </c>
      <c r="B1345" s="63" t="b">
        <f t="shared" si="63"/>
        <v>0</v>
      </c>
      <c r="C1345" s="63" t="b">
        <f t="shared" si="61"/>
        <v>0</v>
      </c>
      <c r="D1345" s="63" t="str">
        <f t="shared" si="62"/>
        <v>OK</v>
      </c>
      <c r="E1345" s="393">
        <v>400030076</v>
      </c>
      <c r="F1345" s="392" t="s">
        <v>7961</v>
      </c>
      <c r="G1345" s="392" t="s">
        <v>9210</v>
      </c>
      <c r="H1345" s="392" t="s">
        <v>4917</v>
      </c>
      <c r="I1345" s="392" t="s">
        <v>2655</v>
      </c>
      <c r="J1345" s="392" t="s">
        <v>8760</v>
      </c>
      <c r="K1345" s="392" t="s">
        <v>2568</v>
      </c>
      <c r="L1345" s="392" t="s">
        <v>8950</v>
      </c>
      <c r="M1345" s="392" t="s">
        <v>7273</v>
      </c>
      <c r="N1345" s="392" t="s">
        <v>7273</v>
      </c>
      <c r="O1345" s="392" t="s">
        <v>7273</v>
      </c>
      <c r="P1345" s="212"/>
      <c r="Q1345" s="212"/>
      <c r="R1345" s="387">
        <f>VLOOKUP(E1345,'[1]NDB Impacted SPRFs 05032013'!$A$2:$A$65536,1,FALSE)</f>
        <v>400030076</v>
      </c>
      <c r="S1345" s="128"/>
      <c r="T1345" s="128"/>
      <c r="U1345" s="128"/>
    </row>
    <row r="1346" spans="1:21" ht="30" x14ac:dyDescent="0.25">
      <c r="A1346" s="63">
        <f>MATCH($E1346,'D1 - Master Project Table'!$B$24:$B$7056,0)</f>
        <v>2913</v>
      </c>
      <c r="B1346" s="63" t="b">
        <f t="shared" si="63"/>
        <v>0</v>
      </c>
      <c r="C1346" s="63" t="b">
        <f t="shared" si="61"/>
        <v>1</v>
      </c>
      <c r="D1346" s="63" t="str">
        <f t="shared" si="62"/>
        <v>OK</v>
      </c>
      <c r="E1346" s="393">
        <v>400032282</v>
      </c>
      <c r="F1346" s="392" t="s">
        <v>7342</v>
      </c>
      <c r="G1346" s="392" t="s">
        <v>5001</v>
      </c>
      <c r="H1346" s="392" t="s">
        <v>5314</v>
      </c>
      <c r="I1346" s="392" t="s">
        <v>3540</v>
      </c>
      <c r="J1346" s="392" t="s">
        <v>6840</v>
      </c>
      <c r="K1346" s="392" t="s">
        <v>5184</v>
      </c>
      <c r="L1346" s="392" t="s">
        <v>3697</v>
      </c>
      <c r="M1346" s="392" t="s">
        <v>7273</v>
      </c>
      <c r="N1346" s="392" t="s">
        <v>7273</v>
      </c>
      <c r="O1346" s="392" t="s">
        <v>7273</v>
      </c>
      <c r="P1346"/>
      <c r="Q1346"/>
      <c r="R1346" s="387">
        <f>VLOOKUP(E1346,'[1]NDB Impacted SPRFs 05032013'!$A$2:$A$65536,1,FALSE)</f>
        <v>400032282</v>
      </c>
      <c r="S1346" s="159"/>
      <c r="T1346" s="159"/>
      <c r="U1346" s="159"/>
    </row>
    <row r="1347" spans="1:21" s="159" customFormat="1" ht="30" customHeight="1" x14ac:dyDescent="0.25">
      <c r="A1347" s="63" t="e">
        <f>MATCH($E1347,'D1 - Master Project Table'!$B$24:$B$7056,0)</f>
        <v>#N/A</v>
      </c>
      <c r="B1347" s="63" t="b">
        <f t="shared" si="63"/>
        <v>1</v>
      </c>
      <c r="C1347" s="63" t="b">
        <f t="shared" si="61"/>
        <v>1</v>
      </c>
      <c r="D1347" s="63" t="str">
        <f t="shared" si="62"/>
        <v>OK</v>
      </c>
      <c r="E1347" s="393">
        <v>400000102</v>
      </c>
      <c r="F1347" s="392" t="s">
        <v>1220</v>
      </c>
      <c r="G1347" s="392" t="s">
        <v>5787</v>
      </c>
      <c r="H1347" s="392" t="s">
        <v>7418</v>
      </c>
      <c r="I1347" s="392" t="s">
        <v>1816</v>
      </c>
      <c r="J1347" s="392" t="s">
        <v>8678</v>
      </c>
      <c r="K1347" s="392" t="s">
        <v>4087</v>
      </c>
      <c r="L1347" s="392" t="s">
        <v>6180</v>
      </c>
      <c r="M1347" s="392" t="s">
        <v>3758</v>
      </c>
      <c r="N1347" s="392" t="s">
        <v>7273</v>
      </c>
      <c r="O1347" s="392" t="s">
        <v>7273</v>
      </c>
      <c r="P1347"/>
      <c r="Q1347"/>
      <c r="R1347" s="387">
        <f>VLOOKUP(E1347,'[1]NDB Impacted SPRFs 05032013'!$A$2:$A$65536,1,FALSE)</f>
        <v>400000102</v>
      </c>
      <c r="S1347" s="128"/>
      <c r="T1347" s="128"/>
      <c r="U1347" s="128"/>
    </row>
    <row r="1348" spans="1:21" s="159" customFormat="1" ht="45" x14ac:dyDescent="0.25">
      <c r="A1348" s="63">
        <f>MATCH($E1348,'D1 - Master Project Table'!$B$24:$B$7056,0)</f>
        <v>2471</v>
      </c>
      <c r="B1348" s="63" t="b">
        <f t="shared" si="63"/>
        <v>0</v>
      </c>
      <c r="C1348" s="63" t="b">
        <f t="shared" si="61"/>
        <v>1</v>
      </c>
      <c r="D1348" s="63" t="str">
        <f t="shared" si="62"/>
        <v>OK</v>
      </c>
      <c r="E1348" s="393">
        <v>400004898</v>
      </c>
      <c r="F1348" s="392" t="s">
        <v>6334</v>
      </c>
      <c r="G1348" s="392" t="s">
        <v>5324</v>
      </c>
      <c r="H1348" s="392" t="s">
        <v>5314</v>
      </c>
      <c r="I1348" s="392" t="s">
        <v>1765</v>
      </c>
      <c r="J1348" s="392" t="s">
        <v>8359</v>
      </c>
      <c r="K1348" s="392" t="s">
        <v>5641</v>
      </c>
      <c r="L1348" s="392" t="s">
        <v>1469</v>
      </c>
      <c r="M1348" s="392" t="s">
        <v>3758</v>
      </c>
      <c r="N1348" s="392" t="s">
        <v>7273</v>
      </c>
      <c r="O1348" s="392" t="s">
        <v>7273</v>
      </c>
      <c r="P1348"/>
      <c r="Q1348"/>
      <c r="R1348" s="387">
        <f>VLOOKUP(E1348,'[1]NDB Impacted SPRFs 05032013'!$A$2:$A$65536,1,FALSE)</f>
        <v>400004898</v>
      </c>
    </row>
    <row r="1349" spans="1:21" s="159" customFormat="1" ht="45" x14ac:dyDescent="0.25">
      <c r="A1349" s="63">
        <f>MATCH($E1349,'D1 - Master Project Table'!$B$24:$B$7056,0)</f>
        <v>857</v>
      </c>
      <c r="B1349" s="63" t="b">
        <f t="shared" si="63"/>
        <v>0</v>
      </c>
      <c r="C1349" s="63" t="b">
        <f t="shared" si="61"/>
        <v>1</v>
      </c>
      <c r="D1349" s="63" t="str">
        <f t="shared" si="62"/>
        <v>OK</v>
      </c>
      <c r="E1349" s="393">
        <v>400021295</v>
      </c>
      <c r="F1349" s="392" t="s">
        <v>5703</v>
      </c>
      <c r="G1349" s="392" t="s">
        <v>5324</v>
      </c>
      <c r="H1349" s="392" t="s">
        <v>7418</v>
      </c>
      <c r="I1349" s="392" t="s">
        <v>1758</v>
      </c>
      <c r="J1349" s="392" t="s">
        <v>8585</v>
      </c>
      <c r="K1349" s="392" t="s">
        <v>7737</v>
      </c>
      <c r="L1349" s="392" t="s">
        <v>6477</v>
      </c>
      <c r="M1349" s="392" t="s">
        <v>7273</v>
      </c>
      <c r="N1349" s="392" t="s">
        <v>7273</v>
      </c>
      <c r="O1349" s="392" t="s">
        <v>7273</v>
      </c>
      <c r="P1349"/>
      <c r="Q1349"/>
      <c r="R1349" s="387">
        <f>VLOOKUP(E1349,'[1]NDB Impacted SPRFs 05032013'!$A$2:$A$65536,1,FALSE)</f>
        <v>400021295</v>
      </c>
    </row>
    <row r="1350" spans="1:21" s="159" customFormat="1" ht="30" x14ac:dyDescent="0.25">
      <c r="A1350" s="63">
        <f>MATCH($E1350,'D1 - Master Project Table'!$B$24:$B$7056,0)</f>
        <v>2989</v>
      </c>
      <c r="B1350" s="63" t="b">
        <f t="shared" si="63"/>
        <v>0</v>
      </c>
      <c r="C1350" s="63" t="b">
        <f t="shared" ref="C1350:C1413" si="64">OR(H1350="Completed",H1350="Cancelled")</f>
        <v>1</v>
      </c>
      <c r="D1350" s="63" t="str">
        <f t="shared" ref="D1350:D1413" si="65">IF(AND(B1350=TRUE,C1350=FALSE),"Add","OK")</f>
        <v>OK</v>
      </c>
      <c r="E1350" s="393">
        <v>400038169</v>
      </c>
      <c r="F1350" s="392" t="s">
        <v>1438</v>
      </c>
      <c r="G1350" s="392" t="s">
        <v>6322</v>
      </c>
      <c r="H1350" s="392" t="s">
        <v>5314</v>
      </c>
      <c r="I1350" s="392" t="s">
        <v>1118</v>
      </c>
      <c r="J1350" s="392" t="s">
        <v>1062</v>
      </c>
      <c r="K1350" s="392" t="s">
        <v>4578</v>
      </c>
      <c r="L1350" s="392" t="s">
        <v>3183</v>
      </c>
      <c r="M1350" s="392" t="s">
        <v>7273</v>
      </c>
      <c r="N1350" s="392" t="s">
        <v>7273</v>
      </c>
      <c r="O1350" s="392" t="s">
        <v>3758</v>
      </c>
      <c r="P1350"/>
      <c r="Q1350"/>
      <c r="R1350" s="387">
        <f>VLOOKUP(E1350,'[1]NDB Impacted SPRFs 05032013'!$A$2:$A$65536,1,FALSE)</f>
        <v>400038169</v>
      </c>
    </row>
    <row r="1351" spans="1:21" s="159" customFormat="1" ht="30" x14ac:dyDescent="0.25">
      <c r="A1351" s="63">
        <f>MATCH($E1351,'D1 - Master Project Table'!$B$24:$B$7056,0)</f>
        <v>2994</v>
      </c>
      <c r="B1351" s="63" t="b">
        <f t="shared" si="63"/>
        <v>0</v>
      </c>
      <c r="C1351" s="63" t="b">
        <f t="shared" si="64"/>
        <v>1</v>
      </c>
      <c r="D1351" s="63" t="str">
        <f t="shared" si="65"/>
        <v>OK</v>
      </c>
      <c r="E1351" s="393">
        <v>400038434</v>
      </c>
      <c r="F1351" s="392" t="s">
        <v>1429</v>
      </c>
      <c r="G1351" s="392" t="s">
        <v>5001</v>
      </c>
      <c r="H1351" s="392" t="s">
        <v>5314</v>
      </c>
      <c r="I1351" s="392" t="s">
        <v>3540</v>
      </c>
      <c r="J1351" s="392" t="s">
        <v>3220</v>
      </c>
      <c r="K1351" s="392" t="s">
        <v>6885</v>
      </c>
      <c r="L1351" s="392" t="s">
        <v>891</v>
      </c>
      <c r="M1351" s="392" t="s">
        <v>3758</v>
      </c>
      <c r="N1351" s="392" t="s">
        <v>7273</v>
      </c>
      <c r="O1351" s="392" t="s">
        <v>7273</v>
      </c>
      <c r="P1351"/>
      <c r="Q1351"/>
      <c r="R1351" s="387">
        <f>VLOOKUP(E1351,'[1]NDB Impacted SPRFs 05032013'!$A$2:$A$65536,1,FALSE)</f>
        <v>400038434</v>
      </c>
    </row>
    <row r="1352" spans="1:21" s="159" customFormat="1" ht="45" x14ac:dyDescent="0.25">
      <c r="A1352" s="63">
        <f>MATCH($E1352,'D1 - Master Project Table'!$B$24:$B$7056,0)</f>
        <v>2782</v>
      </c>
      <c r="B1352" s="63" t="b">
        <f t="shared" si="63"/>
        <v>0</v>
      </c>
      <c r="C1352" s="63" t="b">
        <f t="shared" si="64"/>
        <v>1</v>
      </c>
      <c r="D1352" s="63" t="str">
        <f t="shared" si="65"/>
        <v>OK</v>
      </c>
      <c r="E1352" s="393">
        <v>400021978</v>
      </c>
      <c r="F1352" s="392" t="s">
        <v>7625</v>
      </c>
      <c r="G1352" s="392" t="s">
        <v>5324</v>
      </c>
      <c r="H1352" s="392" t="s">
        <v>5314</v>
      </c>
      <c r="I1352" s="392" t="s">
        <v>1763</v>
      </c>
      <c r="J1352" s="392" t="s">
        <v>8392</v>
      </c>
      <c r="K1352" s="392" t="s">
        <v>7019</v>
      </c>
      <c r="L1352" s="392" t="s">
        <v>7334</v>
      </c>
      <c r="M1352" s="392" t="s">
        <v>7273</v>
      </c>
      <c r="N1352" s="392" t="s">
        <v>7273</v>
      </c>
      <c r="O1352" s="392" t="s">
        <v>7273</v>
      </c>
      <c r="P1352"/>
      <c r="Q1352"/>
      <c r="R1352" s="387">
        <f>VLOOKUP(E1352,'[1]NDB Impacted SPRFs 05032013'!$A$2:$A$65536,1,FALSE)</f>
        <v>400021978</v>
      </c>
      <c r="S1352" s="128"/>
      <c r="T1352" s="128"/>
      <c r="U1352" s="128"/>
    </row>
    <row r="1353" spans="1:21" ht="45" x14ac:dyDescent="0.25">
      <c r="A1353" s="63">
        <f>MATCH($E1353,'D1 - Master Project Table'!$B$24:$B$7056,0)</f>
        <v>1079</v>
      </c>
      <c r="B1353" s="63" t="b">
        <f t="shared" si="63"/>
        <v>0</v>
      </c>
      <c r="C1353" s="63" t="b">
        <f t="shared" si="64"/>
        <v>1</v>
      </c>
      <c r="D1353" s="63" t="str">
        <f t="shared" si="65"/>
        <v>OK</v>
      </c>
      <c r="E1353" s="393">
        <v>400027214</v>
      </c>
      <c r="F1353" s="392" t="s">
        <v>7079</v>
      </c>
      <c r="G1353" s="392" t="s">
        <v>5324</v>
      </c>
      <c r="H1353" s="392" t="s">
        <v>7418</v>
      </c>
      <c r="I1353" s="392" t="s">
        <v>1758</v>
      </c>
      <c r="J1353" s="392" t="s">
        <v>8292</v>
      </c>
      <c r="K1353" s="392" t="s">
        <v>5921</v>
      </c>
      <c r="L1353" s="392" t="s">
        <v>6743</v>
      </c>
      <c r="M1353" s="392" t="s">
        <v>7273</v>
      </c>
      <c r="N1353" s="392" t="s">
        <v>7273</v>
      </c>
      <c r="O1353" s="392" t="s">
        <v>7273</v>
      </c>
      <c r="P1353" s="212"/>
      <c r="Q1353"/>
      <c r="R1353" s="387">
        <f>VLOOKUP(E1353,'[1]NDB Impacted SPRFs 05032013'!$A$2:$A$65536,1,FALSE)</f>
        <v>400027214</v>
      </c>
      <c r="S1353" s="159"/>
      <c r="T1353" s="159"/>
      <c r="U1353" s="159"/>
    </row>
    <row r="1354" spans="1:21" ht="30" customHeight="1" x14ac:dyDescent="0.25">
      <c r="A1354" s="63">
        <f>MATCH($E1354,'D1 - Master Project Table'!$B$24:$B$7056,0)</f>
        <v>1897</v>
      </c>
      <c r="B1354" s="63" t="b">
        <f t="shared" si="63"/>
        <v>0</v>
      </c>
      <c r="C1354" s="63" t="b">
        <f t="shared" si="64"/>
        <v>1</v>
      </c>
      <c r="D1354" s="63" t="str">
        <f t="shared" si="65"/>
        <v>OK</v>
      </c>
      <c r="E1354" s="393">
        <v>400006516</v>
      </c>
      <c r="F1354" s="392" t="s">
        <v>6047</v>
      </c>
      <c r="G1354" s="392" t="s">
        <v>5995</v>
      </c>
      <c r="H1354" s="392" t="s">
        <v>7418</v>
      </c>
      <c r="I1354" s="392" t="s">
        <v>3530</v>
      </c>
      <c r="J1354" s="392" t="s">
        <v>8798</v>
      </c>
      <c r="K1354" s="392" t="s">
        <v>2090</v>
      </c>
      <c r="L1354" s="392" t="s">
        <v>2344</v>
      </c>
      <c r="M1354" s="392" t="s">
        <v>7273</v>
      </c>
      <c r="N1354" s="392" t="s">
        <v>7273</v>
      </c>
      <c r="O1354" s="392" t="s">
        <v>7273</v>
      </c>
      <c r="P1354"/>
      <c r="Q1354"/>
      <c r="R1354" s="387">
        <f>VLOOKUP(E1354,'[1]NDB Impacted SPRFs 05032013'!$A$2:$A$65536,1,FALSE)</f>
        <v>400006516</v>
      </c>
      <c r="S1354" s="159"/>
      <c r="T1354" s="159"/>
      <c r="U1354" s="159"/>
    </row>
    <row r="1355" spans="1:21" ht="45" x14ac:dyDescent="0.25">
      <c r="A1355" s="63">
        <f>MATCH($E1355,'D1 - Master Project Table'!$B$24:$B$7056,0)</f>
        <v>1922</v>
      </c>
      <c r="B1355" s="63" t="b">
        <f t="shared" si="63"/>
        <v>0</v>
      </c>
      <c r="C1355" s="63" t="b">
        <f t="shared" si="64"/>
        <v>1</v>
      </c>
      <c r="D1355" s="63" t="str">
        <f t="shared" si="65"/>
        <v>OK</v>
      </c>
      <c r="E1355" s="393">
        <v>400011199</v>
      </c>
      <c r="F1355" s="392" t="s">
        <v>6270</v>
      </c>
      <c r="G1355" s="392" t="s">
        <v>5324</v>
      </c>
      <c r="H1355" s="392" t="s">
        <v>7418</v>
      </c>
      <c r="I1355" s="392" t="s">
        <v>1759</v>
      </c>
      <c r="J1355" s="392" t="s">
        <v>8357</v>
      </c>
      <c r="K1355" s="392" t="s">
        <v>5184</v>
      </c>
      <c r="L1355" s="392" t="s">
        <v>4233</v>
      </c>
      <c r="M1355" s="392" t="s">
        <v>3758</v>
      </c>
      <c r="N1355" s="392" t="s">
        <v>7273</v>
      </c>
      <c r="O1355" s="392" t="s">
        <v>7273</v>
      </c>
      <c r="P1355"/>
      <c r="Q1355"/>
      <c r="R1355" s="387">
        <f>VLOOKUP(E1355,'[1]NDB Impacted SPRFs 05032013'!$A$2:$A$65536,1,FALSE)</f>
        <v>400011199</v>
      </c>
      <c r="S1355" s="159"/>
      <c r="T1355" s="159"/>
      <c r="U1355" s="159"/>
    </row>
    <row r="1356" spans="1:21" s="159" customFormat="1" ht="45" x14ac:dyDescent="0.25">
      <c r="A1356" s="63">
        <f>MATCH($E1356,'D1 - Master Project Table'!$B$24:$B$7056,0)</f>
        <v>2922</v>
      </c>
      <c r="B1356" s="63" t="b">
        <f t="shared" si="63"/>
        <v>0</v>
      </c>
      <c r="C1356" s="63" t="b">
        <f t="shared" si="64"/>
        <v>1</v>
      </c>
      <c r="D1356" s="63" t="str">
        <f t="shared" si="65"/>
        <v>OK</v>
      </c>
      <c r="E1356" s="393">
        <v>400032532</v>
      </c>
      <c r="F1356" s="392" t="s">
        <v>3690</v>
      </c>
      <c r="G1356" s="392" t="s">
        <v>5324</v>
      </c>
      <c r="H1356" s="392" t="s">
        <v>5314</v>
      </c>
      <c r="I1356" s="392" t="s">
        <v>1759</v>
      </c>
      <c r="J1356" s="392" t="s">
        <v>4634</v>
      </c>
      <c r="K1356" s="392" t="s">
        <v>4006</v>
      </c>
      <c r="L1356" s="392" t="s">
        <v>3790</v>
      </c>
      <c r="M1356" s="392" t="s">
        <v>7273</v>
      </c>
      <c r="N1356" s="392" t="s">
        <v>7273</v>
      </c>
      <c r="O1356" s="392" t="s">
        <v>3758</v>
      </c>
      <c r="P1356"/>
      <c r="Q1356"/>
      <c r="R1356" s="387">
        <f>VLOOKUP(E1356,'[1]NDB Impacted SPRFs 05032013'!$A$2:$A$65536,1,FALSE)</f>
        <v>400032532</v>
      </c>
    </row>
    <row r="1357" spans="1:21" s="159" customFormat="1" ht="45" x14ac:dyDescent="0.25">
      <c r="A1357" s="63">
        <f>MATCH($E1357,'D1 - Master Project Table'!$B$24:$B$7056,0)</f>
        <v>1368</v>
      </c>
      <c r="B1357" s="63" t="b">
        <f t="shared" si="63"/>
        <v>0</v>
      </c>
      <c r="C1357" s="63" t="b">
        <f t="shared" si="64"/>
        <v>1</v>
      </c>
      <c r="D1357" s="63" t="str">
        <f t="shared" si="65"/>
        <v>OK</v>
      </c>
      <c r="E1357" s="393">
        <v>400036724</v>
      </c>
      <c r="F1357" s="392" t="s">
        <v>6455</v>
      </c>
      <c r="G1357" s="392" t="s">
        <v>5324</v>
      </c>
      <c r="H1357" s="392" t="s">
        <v>7418</v>
      </c>
      <c r="I1357" s="392" t="s">
        <v>1763</v>
      </c>
      <c r="J1357" s="392" t="s">
        <v>3449</v>
      </c>
      <c r="K1357" s="392" t="s">
        <v>7601</v>
      </c>
      <c r="L1357" s="392" t="s">
        <v>3790</v>
      </c>
      <c r="M1357" s="392" t="s">
        <v>7273</v>
      </c>
      <c r="N1357" s="392" t="s">
        <v>7273</v>
      </c>
      <c r="O1357" s="392" t="s">
        <v>3758</v>
      </c>
      <c r="P1357"/>
      <c r="Q1357"/>
      <c r="R1357" s="387">
        <f>VLOOKUP(E1357,'[1]NDB Impacted SPRFs 05032013'!$A$2:$A$65536,1,FALSE)</f>
        <v>400036724</v>
      </c>
      <c r="S1357" s="128"/>
      <c r="T1357" s="128"/>
      <c r="U1357" s="128"/>
    </row>
    <row r="1358" spans="1:21" s="159" customFormat="1" ht="30" x14ac:dyDescent="0.25">
      <c r="A1358" s="63">
        <f>MATCH($E1358,'D1 - Master Project Table'!$B$24:$B$7056,0)</f>
        <v>199</v>
      </c>
      <c r="B1358" s="63" t="b">
        <f t="shared" si="63"/>
        <v>0</v>
      </c>
      <c r="C1358" s="63" t="b">
        <f t="shared" si="64"/>
        <v>1</v>
      </c>
      <c r="D1358" s="63" t="str">
        <f t="shared" si="65"/>
        <v>OK</v>
      </c>
      <c r="E1358" s="393">
        <v>400041432</v>
      </c>
      <c r="F1358" s="392" t="s">
        <v>1202</v>
      </c>
      <c r="G1358" s="392" t="s">
        <v>5001</v>
      </c>
      <c r="H1358" s="392" t="s">
        <v>7418</v>
      </c>
      <c r="I1358" s="392" t="s">
        <v>3540</v>
      </c>
      <c r="J1358" s="392" t="s">
        <v>8780</v>
      </c>
      <c r="K1358" s="392" t="s">
        <v>7043</v>
      </c>
      <c r="L1358" s="392" t="s">
        <v>2250</v>
      </c>
      <c r="M1358" s="392" t="s">
        <v>7273</v>
      </c>
      <c r="N1358" s="392" t="s">
        <v>7273</v>
      </c>
      <c r="O1358" s="392" t="s">
        <v>7273</v>
      </c>
      <c r="P1358"/>
      <c r="Q1358"/>
      <c r="R1358" s="387">
        <f>VLOOKUP(E1358,'[1]NDB Impacted SPRFs 05032013'!$A$2:$A$65536,1,FALSE)</f>
        <v>400041432</v>
      </c>
    </row>
    <row r="1359" spans="1:21" s="159" customFormat="1" ht="45" x14ac:dyDescent="0.25">
      <c r="A1359" s="63">
        <f>MATCH($E1359,'D1 - Master Project Table'!$B$24:$B$7056,0)</f>
        <v>2077</v>
      </c>
      <c r="B1359" s="63" t="b">
        <f t="shared" si="63"/>
        <v>0</v>
      </c>
      <c r="C1359" s="63" t="b">
        <f t="shared" si="64"/>
        <v>1</v>
      </c>
      <c r="D1359" s="63" t="str">
        <f t="shared" si="65"/>
        <v>OK</v>
      </c>
      <c r="E1359" s="393">
        <v>400010616</v>
      </c>
      <c r="F1359" s="392" t="s">
        <v>7471</v>
      </c>
      <c r="G1359" s="392" t="s">
        <v>5324</v>
      </c>
      <c r="H1359" s="392" t="s">
        <v>7418</v>
      </c>
      <c r="I1359" s="392" t="s">
        <v>1762</v>
      </c>
      <c r="J1359" s="392" t="s">
        <v>2251</v>
      </c>
      <c r="K1359" s="392" t="s">
        <v>5159</v>
      </c>
      <c r="L1359" s="392" t="s">
        <v>6892</v>
      </c>
      <c r="M1359" s="392" t="s">
        <v>3758</v>
      </c>
      <c r="N1359" s="392" t="s">
        <v>7273</v>
      </c>
      <c r="O1359" s="392" t="s">
        <v>3758</v>
      </c>
      <c r="P1359"/>
      <c r="Q1359"/>
      <c r="R1359" s="387">
        <f>VLOOKUP(E1359,'[1]NDB Impacted SPRFs 05032013'!$A$2:$A$65536,1,FALSE)</f>
        <v>400010616</v>
      </c>
    </row>
    <row r="1360" spans="1:21" s="159" customFormat="1" ht="45" x14ac:dyDescent="0.25">
      <c r="A1360" s="63">
        <f>MATCH($E1360,'D1 - Master Project Table'!$B$24:$B$7056,0)</f>
        <v>1146</v>
      </c>
      <c r="B1360" s="63" t="b">
        <f t="shared" si="63"/>
        <v>0</v>
      </c>
      <c r="C1360" s="63" t="b">
        <f t="shared" si="64"/>
        <v>1</v>
      </c>
      <c r="D1360" s="63" t="str">
        <f t="shared" si="65"/>
        <v>OK</v>
      </c>
      <c r="E1360" s="393">
        <v>400029216</v>
      </c>
      <c r="F1360" s="392" t="s">
        <v>6059</v>
      </c>
      <c r="G1360" s="392" t="s">
        <v>5324</v>
      </c>
      <c r="H1360" s="392" t="s">
        <v>7418</v>
      </c>
      <c r="I1360" s="392" t="s">
        <v>1759</v>
      </c>
      <c r="J1360" s="392" t="s">
        <v>3679</v>
      </c>
      <c r="K1360" s="392" t="s">
        <v>4006</v>
      </c>
      <c r="L1360" s="392" t="s">
        <v>4291</v>
      </c>
      <c r="M1360" s="392" t="s">
        <v>7273</v>
      </c>
      <c r="N1360" s="392" t="s">
        <v>7273</v>
      </c>
      <c r="O1360" s="392" t="s">
        <v>7273</v>
      </c>
      <c r="P1360"/>
      <c r="Q1360"/>
      <c r="R1360" s="387">
        <f>VLOOKUP(E1360,'[1]NDB Impacted SPRFs 05032013'!$A$2:$A$65536,1,FALSE)</f>
        <v>400029216</v>
      </c>
      <c r="S1360" s="128"/>
      <c r="T1360" s="128"/>
      <c r="U1360" s="128"/>
    </row>
    <row r="1361" spans="1:21" s="159" customFormat="1" ht="45" x14ac:dyDescent="0.25">
      <c r="A1361" s="63">
        <f>MATCH($E1361,'D1 - Master Project Table'!$B$24:$B$7056,0)</f>
        <v>1259</v>
      </c>
      <c r="B1361" s="63" t="b">
        <f t="shared" si="63"/>
        <v>0</v>
      </c>
      <c r="C1361" s="63" t="b">
        <f t="shared" si="64"/>
        <v>1</v>
      </c>
      <c r="D1361" s="63" t="str">
        <f t="shared" si="65"/>
        <v>OK</v>
      </c>
      <c r="E1361" s="393">
        <v>400035183</v>
      </c>
      <c r="F1361" s="392" t="s">
        <v>3698</v>
      </c>
      <c r="G1361" s="392" t="s">
        <v>5001</v>
      </c>
      <c r="H1361" s="392" t="s">
        <v>7418</v>
      </c>
      <c r="I1361" s="392" t="s">
        <v>2655</v>
      </c>
      <c r="J1361" s="392" t="s">
        <v>7269</v>
      </c>
      <c r="K1361" s="392" t="s">
        <v>4730</v>
      </c>
      <c r="L1361" s="392" t="s">
        <v>710</v>
      </c>
      <c r="M1361" s="392" t="s">
        <v>3758</v>
      </c>
      <c r="N1361" s="392" t="s">
        <v>7273</v>
      </c>
      <c r="O1361" s="392" t="s">
        <v>7273</v>
      </c>
      <c r="P1361"/>
      <c r="Q1361"/>
      <c r="R1361" s="387">
        <f>VLOOKUP(E1361,'[1]NDB Impacted SPRFs 05032013'!$A$2:$A$65536,1,FALSE)</f>
        <v>400035183</v>
      </c>
      <c r="S1361" s="128"/>
      <c r="T1361" s="128"/>
      <c r="U1361" s="128"/>
    </row>
    <row r="1362" spans="1:21" ht="30" x14ac:dyDescent="0.25">
      <c r="A1362" s="63">
        <f>MATCH($E1362,'D1 - Master Project Table'!$B$24:$B$7056,0)</f>
        <v>3146</v>
      </c>
      <c r="B1362" s="63" t="b">
        <f t="shared" si="63"/>
        <v>0</v>
      </c>
      <c r="C1362" s="63" t="b">
        <f t="shared" si="64"/>
        <v>0</v>
      </c>
      <c r="D1362" s="63" t="str">
        <f t="shared" si="65"/>
        <v>OK</v>
      </c>
      <c r="E1362" s="393">
        <v>400057192</v>
      </c>
      <c r="F1362" s="392" t="s">
        <v>8194</v>
      </c>
      <c r="G1362" s="392" t="s">
        <v>6322</v>
      </c>
      <c r="H1362" s="392" t="s">
        <v>8012</v>
      </c>
      <c r="I1362" s="392" t="s">
        <v>1762</v>
      </c>
      <c r="J1362" s="392" t="s">
        <v>8642</v>
      </c>
      <c r="K1362" s="392" t="s">
        <v>7803</v>
      </c>
      <c r="L1362" s="392" t="s">
        <v>7804</v>
      </c>
      <c r="M1362" s="392" t="s">
        <v>7273</v>
      </c>
      <c r="N1362" s="392" t="s">
        <v>7273</v>
      </c>
      <c r="O1362" s="392" t="s">
        <v>7273</v>
      </c>
      <c r="P1362"/>
      <c r="Q1362"/>
      <c r="R1362" s="387">
        <f>VLOOKUP(E1362,'[1]NDB Impacted SPRFs 05032013'!$A$2:$A$65536,1,FALSE)</f>
        <v>400057192</v>
      </c>
      <c r="S1362" s="159"/>
      <c r="T1362" s="159"/>
      <c r="U1362" s="159"/>
    </row>
    <row r="1363" spans="1:21" s="159" customFormat="1" ht="45" x14ac:dyDescent="0.25">
      <c r="A1363" s="63">
        <f>MATCH($E1363,'D1 - Master Project Table'!$B$24:$B$7056,0)</f>
        <v>341</v>
      </c>
      <c r="B1363" s="63" t="b">
        <f t="shared" si="63"/>
        <v>0</v>
      </c>
      <c r="C1363" s="63" t="b">
        <f t="shared" si="64"/>
        <v>1</v>
      </c>
      <c r="D1363" s="63" t="str">
        <f t="shared" si="65"/>
        <v>OK</v>
      </c>
      <c r="E1363" s="393">
        <v>400000338</v>
      </c>
      <c r="F1363" s="392" t="s">
        <v>1983</v>
      </c>
      <c r="G1363" s="392" t="s">
        <v>5324</v>
      </c>
      <c r="H1363" s="392" t="s">
        <v>7418</v>
      </c>
      <c r="I1363" s="392" t="s">
        <v>1765</v>
      </c>
      <c r="J1363" s="392" t="s">
        <v>8350</v>
      </c>
      <c r="K1363" s="392" t="s">
        <v>5572</v>
      </c>
      <c r="L1363" s="392" t="s">
        <v>5866</v>
      </c>
      <c r="M1363" s="392" t="s">
        <v>3758</v>
      </c>
      <c r="N1363" s="392" t="s">
        <v>7273</v>
      </c>
      <c r="O1363" s="392" t="s">
        <v>7273</v>
      </c>
      <c r="P1363"/>
      <c r="Q1363"/>
      <c r="R1363" s="387">
        <f>VLOOKUP(E1363,'[1]NDB Impacted SPRFs 05032013'!$A$2:$A$65536,1,FALSE)</f>
        <v>400000338</v>
      </c>
    </row>
    <row r="1364" spans="1:21" s="159" customFormat="1" ht="45" x14ac:dyDescent="0.25">
      <c r="A1364" s="63">
        <f>MATCH($E1364,'D1 - Master Project Table'!$B$24:$B$7056,0)</f>
        <v>466</v>
      </c>
      <c r="B1364" s="63" t="b">
        <f t="shared" si="63"/>
        <v>0</v>
      </c>
      <c r="C1364" s="63" t="b">
        <f t="shared" si="64"/>
        <v>1</v>
      </c>
      <c r="D1364" s="63" t="str">
        <f t="shared" si="65"/>
        <v>OK</v>
      </c>
      <c r="E1364" s="393">
        <v>400004211</v>
      </c>
      <c r="F1364" s="392" t="s">
        <v>6611</v>
      </c>
      <c r="G1364" s="392" t="s">
        <v>5324</v>
      </c>
      <c r="H1364" s="392" t="s">
        <v>7418</v>
      </c>
      <c r="I1364" s="392" t="s">
        <v>1759</v>
      </c>
      <c r="J1364" s="392" t="s">
        <v>5473</v>
      </c>
      <c r="K1364" s="392" t="s">
        <v>6348</v>
      </c>
      <c r="L1364" s="392" t="s">
        <v>3090</v>
      </c>
      <c r="M1364" s="392" t="s">
        <v>3758</v>
      </c>
      <c r="N1364" s="392" t="s">
        <v>7273</v>
      </c>
      <c r="O1364" s="392" t="s">
        <v>7273</v>
      </c>
      <c r="P1364"/>
      <c r="Q1364"/>
      <c r="R1364" s="387">
        <f>VLOOKUP(E1364,'[1]NDB Impacted SPRFs 05032013'!$A$2:$A$65536,1,FALSE)</f>
        <v>400004211</v>
      </c>
    </row>
    <row r="1365" spans="1:21" s="159" customFormat="1" ht="45" x14ac:dyDescent="0.25">
      <c r="A1365" s="63">
        <f>MATCH($E1365,'D1 - Master Project Table'!$B$24:$B$7056,0)</f>
        <v>662</v>
      </c>
      <c r="B1365" s="63" t="b">
        <f t="shared" si="63"/>
        <v>0</v>
      </c>
      <c r="C1365" s="63" t="b">
        <f t="shared" si="64"/>
        <v>1</v>
      </c>
      <c r="D1365" s="63" t="str">
        <f t="shared" si="65"/>
        <v>OK</v>
      </c>
      <c r="E1365" s="393">
        <v>400010580</v>
      </c>
      <c r="F1365" s="392" t="s">
        <v>5540</v>
      </c>
      <c r="G1365" s="392" t="s">
        <v>5324</v>
      </c>
      <c r="H1365" s="392" t="s">
        <v>7418</v>
      </c>
      <c r="I1365" s="392" t="s">
        <v>1762</v>
      </c>
      <c r="J1365" s="392" t="s">
        <v>2251</v>
      </c>
      <c r="K1365" s="392" t="s">
        <v>5159</v>
      </c>
      <c r="L1365" s="392" t="s">
        <v>2580</v>
      </c>
      <c r="M1365" s="392" t="s">
        <v>3758</v>
      </c>
      <c r="N1365" s="392" t="s">
        <v>7273</v>
      </c>
      <c r="O1365" s="392" t="s">
        <v>7273</v>
      </c>
      <c r="P1365"/>
      <c r="Q1365"/>
      <c r="R1365" s="387">
        <f>VLOOKUP(E1365,'[1]NDB Impacted SPRFs 05032013'!$A$2:$A$65536,1,FALSE)</f>
        <v>400010580</v>
      </c>
    </row>
    <row r="1366" spans="1:21" ht="30" x14ac:dyDescent="0.25">
      <c r="A1366" s="63">
        <f>MATCH($E1366,'D1 - Master Project Table'!$B$24:$B$7056,0)</f>
        <v>2579</v>
      </c>
      <c r="B1366" s="63" t="b">
        <f t="shared" si="63"/>
        <v>0</v>
      </c>
      <c r="C1366" s="63" t="b">
        <f t="shared" si="64"/>
        <v>1</v>
      </c>
      <c r="D1366" s="63" t="str">
        <f t="shared" si="65"/>
        <v>OK</v>
      </c>
      <c r="E1366" s="393">
        <v>400010813</v>
      </c>
      <c r="F1366" s="392" t="s">
        <v>4575</v>
      </c>
      <c r="G1366" s="392" t="s">
        <v>5787</v>
      </c>
      <c r="H1366" s="392" t="s">
        <v>5314</v>
      </c>
      <c r="I1366" s="392" t="s">
        <v>1775</v>
      </c>
      <c r="J1366" s="392" t="s">
        <v>8696</v>
      </c>
      <c r="K1366" s="392" t="s">
        <v>4717</v>
      </c>
      <c r="L1366" s="392" t="s">
        <v>4530</v>
      </c>
      <c r="M1366" s="392" t="s">
        <v>7273</v>
      </c>
      <c r="N1366" s="392" t="s">
        <v>7273</v>
      </c>
      <c r="O1366" s="392" t="s">
        <v>7273</v>
      </c>
      <c r="P1366"/>
      <c r="Q1366"/>
      <c r="R1366" s="387">
        <f>VLOOKUP(E1366,'[1]NDB Impacted SPRFs 05032013'!$A$2:$A$65536,1,FALSE)</f>
        <v>400010813</v>
      </c>
      <c r="S1366" s="159"/>
      <c r="T1366" s="159"/>
      <c r="U1366" s="159"/>
    </row>
    <row r="1367" spans="1:21" s="159" customFormat="1" ht="45" x14ac:dyDescent="0.25">
      <c r="A1367" s="63">
        <f>MATCH($E1367,'D1 - Master Project Table'!$B$24:$B$7056,0)</f>
        <v>897</v>
      </c>
      <c r="B1367" s="63" t="b">
        <f t="shared" si="63"/>
        <v>0</v>
      </c>
      <c r="C1367" s="63" t="b">
        <f t="shared" si="64"/>
        <v>1</v>
      </c>
      <c r="D1367" s="63" t="str">
        <f t="shared" si="65"/>
        <v>OK</v>
      </c>
      <c r="E1367" s="393">
        <v>400020077</v>
      </c>
      <c r="F1367" s="392" t="s">
        <v>7295</v>
      </c>
      <c r="G1367" s="392" t="s">
        <v>5324</v>
      </c>
      <c r="H1367" s="392" t="s">
        <v>7418</v>
      </c>
      <c r="I1367" s="392" t="s">
        <v>1757</v>
      </c>
      <c r="J1367" s="392" t="s">
        <v>8393</v>
      </c>
      <c r="K1367" s="392" t="s">
        <v>7197</v>
      </c>
      <c r="L1367" s="392" t="s">
        <v>6755</v>
      </c>
      <c r="M1367" s="392" t="s">
        <v>3758</v>
      </c>
      <c r="N1367" s="392" t="s">
        <v>7273</v>
      </c>
      <c r="O1367" s="392" t="s">
        <v>3758</v>
      </c>
      <c r="P1367"/>
      <c r="Q1367"/>
      <c r="R1367" s="387">
        <f>VLOOKUP(E1367,'[1]NDB Impacted SPRFs 05032013'!$A$2:$A$65536,1,FALSE)</f>
        <v>400020077</v>
      </c>
      <c r="S1367" s="128"/>
      <c r="T1367" s="128"/>
      <c r="U1367" s="128"/>
    </row>
    <row r="1368" spans="1:21" s="159" customFormat="1" ht="30" x14ac:dyDescent="0.25">
      <c r="A1368" s="63">
        <f>MATCH($E1368,'D1 - Master Project Table'!$B$24:$B$7056,0)</f>
        <v>2751</v>
      </c>
      <c r="B1368" s="63" t="b">
        <f t="shared" si="63"/>
        <v>0</v>
      </c>
      <c r="C1368" s="63" t="b">
        <f t="shared" si="64"/>
        <v>1</v>
      </c>
      <c r="D1368" s="63" t="str">
        <f t="shared" si="65"/>
        <v>OK</v>
      </c>
      <c r="E1368" s="393">
        <v>400021163</v>
      </c>
      <c r="F1368" s="392" t="s">
        <v>5172</v>
      </c>
      <c r="G1368" s="392" t="s">
        <v>6322</v>
      </c>
      <c r="H1368" s="392" t="s">
        <v>7418</v>
      </c>
      <c r="I1368" s="392" t="s">
        <v>7594</v>
      </c>
      <c r="J1368" s="392" t="s">
        <v>4133</v>
      </c>
      <c r="K1368" s="392" t="s">
        <v>5173</v>
      </c>
      <c r="L1368" s="392" t="s">
        <v>1612</v>
      </c>
      <c r="M1368" s="392" t="s">
        <v>7273</v>
      </c>
      <c r="N1368" s="392" t="s">
        <v>7273</v>
      </c>
      <c r="O1368" s="392" t="s">
        <v>7273</v>
      </c>
      <c r="P1368"/>
      <c r="Q1368"/>
      <c r="R1368" s="387">
        <f>VLOOKUP(E1368,'[1]NDB Impacted SPRFs 05032013'!$A$2:$A$65536,1,FALSE)</f>
        <v>400021163</v>
      </c>
    </row>
    <row r="1369" spans="1:21" s="159" customFormat="1" ht="30" x14ac:dyDescent="0.25">
      <c r="A1369" s="63">
        <f>MATCH($E1369,'D1 - Master Project Table'!$B$24:$B$7056,0)</f>
        <v>2218</v>
      </c>
      <c r="B1369" s="63" t="b">
        <f t="shared" si="63"/>
        <v>0</v>
      </c>
      <c r="C1369" s="63" t="b">
        <f t="shared" si="64"/>
        <v>1</v>
      </c>
      <c r="D1369" s="63" t="str">
        <f t="shared" si="65"/>
        <v>OK</v>
      </c>
      <c r="E1369" s="393">
        <v>400024408</v>
      </c>
      <c r="F1369" s="392" t="s">
        <v>4966</v>
      </c>
      <c r="G1369" s="392" t="s">
        <v>6065</v>
      </c>
      <c r="H1369" s="392" t="s">
        <v>5314</v>
      </c>
      <c r="I1369" s="392" t="s">
        <v>2655</v>
      </c>
      <c r="J1369" s="392" t="s">
        <v>7269</v>
      </c>
      <c r="K1369" s="392" t="s">
        <v>5218</v>
      </c>
      <c r="L1369" s="392" t="s">
        <v>3951</v>
      </c>
      <c r="M1369" s="392" t="s">
        <v>7273</v>
      </c>
      <c r="N1369" s="392" t="s">
        <v>7273</v>
      </c>
      <c r="O1369" s="392" t="s">
        <v>7273</v>
      </c>
      <c r="P1369"/>
      <c r="Q1369"/>
      <c r="R1369" s="387">
        <f>VLOOKUP(E1369,'[1]NDB Impacted SPRFs 05032013'!$A$2:$A$65536,1,FALSE)</f>
        <v>400024408</v>
      </c>
    </row>
    <row r="1370" spans="1:21" s="159" customFormat="1" ht="30" customHeight="1" x14ac:dyDescent="0.25">
      <c r="A1370" s="63">
        <f>MATCH($E1370,'D1 - Master Project Table'!$B$24:$B$7056,0)</f>
        <v>2824</v>
      </c>
      <c r="B1370" s="63" t="b">
        <f t="shared" si="63"/>
        <v>0</v>
      </c>
      <c r="C1370" s="63" t="b">
        <f t="shared" si="64"/>
        <v>1</v>
      </c>
      <c r="D1370" s="63" t="str">
        <f t="shared" si="65"/>
        <v>OK</v>
      </c>
      <c r="E1370" s="393">
        <v>400025071</v>
      </c>
      <c r="F1370" s="392" t="s">
        <v>6872</v>
      </c>
      <c r="G1370" s="392" t="s">
        <v>5325</v>
      </c>
      <c r="H1370" s="392" t="s">
        <v>5314</v>
      </c>
      <c r="I1370" s="392" t="s">
        <v>1795</v>
      </c>
      <c r="J1370" s="392" t="s">
        <v>6584</v>
      </c>
      <c r="K1370" s="392" t="s">
        <v>6585</v>
      </c>
      <c r="L1370" s="392" t="s">
        <v>1898</v>
      </c>
      <c r="M1370" s="392" t="s">
        <v>7273</v>
      </c>
      <c r="N1370" s="392" t="s">
        <v>7273</v>
      </c>
      <c r="O1370" s="392" t="s">
        <v>7273</v>
      </c>
      <c r="P1370"/>
      <c r="Q1370"/>
      <c r="R1370" s="387">
        <f>VLOOKUP(E1370,'[1]NDB Impacted SPRFs 05032013'!$A$2:$A$65536,1,FALSE)</f>
        <v>400025071</v>
      </c>
    </row>
    <row r="1371" spans="1:21" s="159" customFormat="1" ht="30" x14ac:dyDescent="0.25">
      <c r="A1371" s="63">
        <f>MATCH($E1371,'D1 - Master Project Table'!$B$24:$B$7056,0)</f>
        <v>1157</v>
      </c>
      <c r="B1371" s="63" t="b">
        <f t="shared" si="63"/>
        <v>0</v>
      </c>
      <c r="C1371" s="63" t="b">
        <f t="shared" si="64"/>
        <v>1</v>
      </c>
      <c r="D1371" s="63" t="str">
        <f t="shared" si="65"/>
        <v>OK</v>
      </c>
      <c r="E1371" s="393">
        <v>400030840</v>
      </c>
      <c r="F1371" s="392" t="s">
        <v>3826</v>
      </c>
      <c r="G1371" s="392" t="s">
        <v>5001</v>
      </c>
      <c r="H1371" s="392" t="s">
        <v>7418</v>
      </c>
      <c r="I1371" s="392" t="s">
        <v>3540</v>
      </c>
      <c r="J1371" s="392" t="s">
        <v>8756</v>
      </c>
      <c r="K1371" s="392" t="s">
        <v>7751</v>
      </c>
      <c r="L1371" s="392" t="s">
        <v>3400</v>
      </c>
      <c r="M1371" s="392" t="s">
        <v>3758</v>
      </c>
      <c r="N1371" s="392" t="s">
        <v>7273</v>
      </c>
      <c r="O1371" s="392" t="s">
        <v>7273</v>
      </c>
      <c r="P1371"/>
      <c r="Q1371"/>
      <c r="R1371" s="387">
        <f>VLOOKUP(E1371,'[1]NDB Impacted SPRFs 05032013'!$A$2:$A$65536,1,FALSE)</f>
        <v>400030840</v>
      </c>
      <c r="S1371" s="128"/>
      <c r="T1371" s="128"/>
      <c r="U1371" s="128"/>
    </row>
    <row r="1372" spans="1:21" s="159" customFormat="1" ht="45" x14ac:dyDescent="0.25">
      <c r="A1372" s="63">
        <f>MATCH($E1372,'D1 - Master Project Table'!$B$24:$B$7056,0)</f>
        <v>1288</v>
      </c>
      <c r="B1372" s="63" t="b">
        <f t="shared" si="63"/>
        <v>0</v>
      </c>
      <c r="C1372" s="63" t="b">
        <f t="shared" si="64"/>
        <v>1</v>
      </c>
      <c r="D1372" s="63" t="str">
        <f t="shared" si="65"/>
        <v>OK</v>
      </c>
      <c r="E1372" s="393">
        <v>400031063</v>
      </c>
      <c r="F1372" s="392" t="s">
        <v>6914</v>
      </c>
      <c r="G1372" s="392" t="s">
        <v>5325</v>
      </c>
      <c r="H1372" s="392" t="s">
        <v>7418</v>
      </c>
      <c r="I1372" s="392" t="s">
        <v>6419</v>
      </c>
      <c r="J1372" s="392" t="s">
        <v>7566</v>
      </c>
      <c r="K1372" s="392" t="s">
        <v>5162</v>
      </c>
      <c r="L1372" s="392" t="s">
        <v>5319</v>
      </c>
      <c r="M1372" s="392" t="s">
        <v>7273</v>
      </c>
      <c r="N1372" s="392" t="s">
        <v>7273</v>
      </c>
      <c r="O1372" s="392" t="s">
        <v>7273</v>
      </c>
      <c r="P1372"/>
      <c r="Q1372"/>
      <c r="R1372" s="387">
        <f>VLOOKUP(E1372,'[1]NDB Impacted SPRFs 05032013'!$A$2:$A$65536,1,FALSE)</f>
        <v>400031063</v>
      </c>
      <c r="S1372" s="128"/>
      <c r="T1372" s="128"/>
      <c r="U1372" s="128"/>
    </row>
    <row r="1373" spans="1:21" s="159" customFormat="1" ht="30" x14ac:dyDescent="0.25">
      <c r="A1373" s="63">
        <f>MATCH($E1373,'D1 - Master Project Table'!$B$24:$B$7056,0)</f>
        <v>1715</v>
      </c>
      <c r="B1373" s="63" t="b">
        <f t="shared" si="63"/>
        <v>0</v>
      </c>
      <c r="C1373" s="63" t="b">
        <f t="shared" si="64"/>
        <v>1</v>
      </c>
      <c r="D1373" s="63" t="str">
        <f t="shared" si="65"/>
        <v>OK</v>
      </c>
      <c r="E1373" s="393">
        <v>400032631</v>
      </c>
      <c r="F1373" s="392" t="s">
        <v>1273</v>
      </c>
      <c r="G1373" s="392" t="s">
        <v>6322</v>
      </c>
      <c r="H1373" s="392" t="s">
        <v>5314</v>
      </c>
      <c r="I1373" s="392" t="s">
        <v>1762</v>
      </c>
      <c r="J1373" s="392" t="s">
        <v>8638</v>
      </c>
      <c r="K1373" s="392" t="s">
        <v>120</v>
      </c>
      <c r="L1373" s="392" t="s">
        <v>2323</v>
      </c>
      <c r="M1373" s="392" t="s">
        <v>7273</v>
      </c>
      <c r="N1373" s="392" t="s">
        <v>7273</v>
      </c>
      <c r="O1373" s="392" t="s">
        <v>3758</v>
      </c>
      <c r="P1373"/>
      <c r="Q1373"/>
      <c r="R1373" s="387">
        <f>VLOOKUP(E1373,'[1]NDB Impacted SPRFs 05032013'!$A$2:$A$65536,1,FALSE)</f>
        <v>400032631</v>
      </c>
    </row>
    <row r="1374" spans="1:21" s="159" customFormat="1" ht="45" x14ac:dyDescent="0.25">
      <c r="A1374" s="63">
        <f>MATCH($E1374,'D1 - Master Project Table'!$B$24:$B$7056,0)</f>
        <v>1758</v>
      </c>
      <c r="B1374" s="63" t="b">
        <f t="shared" si="63"/>
        <v>0</v>
      </c>
      <c r="C1374" s="63" t="b">
        <f t="shared" si="64"/>
        <v>1</v>
      </c>
      <c r="D1374" s="63" t="str">
        <f t="shared" si="65"/>
        <v>OK</v>
      </c>
      <c r="E1374" s="393">
        <v>400044571</v>
      </c>
      <c r="F1374" s="392" t="s">
        <v>1868</v>
      </c>
      <c r="G1374" s="392" t="s">
        <v>5324</v>
      </c>
      <c r="H1374" s="392" t="s">
        <v>7418</v>
      </c>
      <c r="I1374" s="392" t="s">
        <v>1757</v>
      </c>
      <c r="J1374" s="392" t="s">
        <v>4703</v>
      </c>
      <c r="K1374" s="392" t="s">
        <v>2684</v>
      </c>
      <c r="L1374" s="392" t="s">
        <v>8107</v>
      </c>
      <c r="M1374" s="392" t="s">
        <v>3758</v>
      </c>
      <c r="N1374" s="392" t="s">
        <v>7273</v>
      </c>
      <c r="O1374" s="392" t="s">
        <v>7273</v>
      </c>
      <c r="P1374"/>
      <c r="Q1374"/>
      <c r="R1374" s="387">
        <f>VLOOKUP(E1374,'[1]NDB Impacted SPRFs 05032013'!$A$2:$A$65536,1,FALSE)</f>
        <v>400044571</v>
      </c>
    </row>
    <row r="1375" spans="1:21" s="159" customFormat="1" ht="45" x14ac:dyDescent="0.25">
      <c r="A1375" s="63">
        <f>MATCH($E1375,'D1 - Master Project Table'!$B$24:$B$7056,0)</f>
        <v>827</v>
      </c>
      <c r="B1375" s="63" t="b">
        <f t="shared" si="63"/>
        <v>0</v>
      </c>
      <c r="C1375" s="63" t="b">
        <f t="shared" si="64"/>
        <v>1</v>
      </c>
      <c r="D1375" s="63" t="str">
        <f t="shared" si="65"/>
        <v>OK</v>
      </c>
      <c r="E1375" s="393">
        <v>400017125</v>
      </c>
      <c r="F1375" s="392" t="s">
        <v>5297</v>
      </c>
      <c r="G1375" s="392" t="s">
        <v>5324</v>
      </c>
      <c r="H1375" s="392" t="s">
        <v>7418</v>
      </c>
      <c r="I1375" s="392" t="s">
        <v>1763</v>
      </c>
      <c r="J1375" s="392" t="s">
        <v>8569</v>
      </c>
      <c r="K1375" s="392" t="s">
        <v>5298</v>
      </c>
      <c r="L1375" s="392" t="s">
        <v>372</v>
      </c>
      <c r="M1375" s="392" t="s">
        <v>7273</v>
      </c>
      <c r="N1375" s="392" t="s">
        <v>7273</v>
      </c>
      <c r="O1375" s="392" t="s">
        <v>7273</v>
      </c>
      <c r="P1375"/>
      <c r="Q1375"/>
      <c r="R1375" s="387">
        <f>VLOOKUP(E1375,'[1]NDB Impacted SPRFs 05032013'!$A$2:$A$65536,1,FALSE)</f>
        <v>400017125</v>
      </c>
    </row>
    <row r="1376" spans="1:21" s="159" customFormat="1" ht="45" x14ac:dyDescent="0.25">
      <c r="A1376" s="63">
        <f>MATCH($E1376,'D1 - Master Project Table'!$B$24:$B$7056,0)</f>
        <v>830</v>
      </c>
      <c r="B1376" s="63" t="b">
        <f t="shared" si="63"/>
        <v>0</v>
      </c>
      <c r="C1376" s="63" t="b">
        <f t="shared" si="64"/>
        <v>1</v>
      </c>
      <c r="D1376" s="63" t="str">
        <f t="shared" si="65"/>
        <v>OK</v>
      </c>
      <c r="E1376" s="393">
        <v>400017964</v>
      </c>
      <c r="F1376" s="392" t="s">
        <v>4611</v>
      </c>
      <c r="G1376" s="392" t="s">
        <v>5324</v>
      </c>
      <c r="H1376" s="392" t="s">
        <v>7418</v>
      </c>
      <c r="I1376" s="392" t="s">
        <v>1756</v>
      </c>
      <c r="J1376" s="392" t="s">
        <v>6905</v>
      </c>
      <c r="K1376" s="392" t="s">
        <v>1506</v>
      </c>
      <c r="L1376" s="392" t="s">
        <v>7560</v>
      </c>
      <c r="M1376" s="392" t="s">
        <v>3758</v>
      </c>
      <c r="N1376" s="392" t="s">
        <v>7273</v>
      </c>
      <c r="O1376" s="392" t="s">
        <v>7273</v>
      </c>
      <c r="P1376"/>
      <c r="Q1376"/>
      <c r="R1376" s="387">
        <f>VLOOKUP(E1376,'[1]NDB Impacted SPRFs 05032013'!$A$2:$A$65536,1,FALSE)</f>
        <v>400017964</v>
      </c>
    </row>
    <row r="1377" spans="1:21" ht="45" x14ac:dyDescent="0.25">
      <c r="A1377" s="63">
        <f>MATCH($E1377,'D1 - Master Project Table'!$B$24:$B$7056,0)</f>
        <v>2174</v>
      </c>
      <c r="B1377" s="63" t="b">
        <f t="shared" si="63"/>
        <v>0</v>
      </c>
      <c r="C1377" s="63" t="b">
        <f t="shared" si="64"/>
        <v>1</v>
      </c>
      <c r="D1377" s="63" t="str">
        <f t="shared" si="65"/>
        <v>OK</v>
      </c>
      <c r="E1377" s="393">
        <v>400019621</v>
      </c>
      <c r="F1377" s="392" t="s">
        <v>6204</v>
      </c>
      <c r="G1377" s="392" t="s">
        <v>5325</v>
      </c>
      <c r="H1377" s="392" t="s">
        <v>7418</v>
      </c>
      <c r="I1377" s="392" t="s">
        <v>1801</v>
      </c>
      <c r="J1377" s="392" t="s">
        <v>1499</v>
      </c>
      <c r="K1377" s="392" t="s">
        <v>5457</v>
      </c>
      <c r="L1377" s="392" t="s">
        <v>1924</v>
      </c>
      <c r="M1377" s="392" t="s">
        <v>7273</v>
      </c>
      <c r="N1377" s="392" t="s">
        <v>7273</v>
      </c>
      <c r="O1377" s="392" t="s">
        <v>7273</v>
      </c>
      <c r="P1377"/>
      <c r="Q1377"/>
      <c r="R1377" s="387">
        <f>VLOOKUP(E1377,'[1]NDB Impacted SPRFs 05032013'!$A$2:$A$65536,1,FALSE)</f>
        <v>400019621</v>
      </c>
      <c r="S1377" s="167"/>
      <c r="T1377" s="167"/>
      <c r="U1377" s="167"/>
    </row>
    <row r="1378" spans="1:21" s="159" customFormat="1" ht="45" x14ac:dyDescent="0.25">
      <c r="A1378" s="63">
        <f>MATCH($E1378,'D1 - Master Project Table'!$B$24:$B$7056,0)</f>
        <v>837</v>
      </c>
      <c r="B1378" s="63" t="b">
        <f t="shared" si="63"/>
        <v>0</v>
      </c>
      <c r="C1378" s="63" t="b">
        <f t="shared" si="64"/>
        <v>1</v>
      </c>
      <c r="D1378" s="63" t="str">
        <f t="shared" si="65"/>
        <v>OK</v>
      </c>
      <c r="E1378" s="393">
        <v>400019956</v>
      </c>
      <c r="F1378" s="392" t="s">
        <v>7970</v>
      </c>
      <c r="G1378" s="392" t="s">
        <v>5324</v>
      </c>
      <c r="H1378" s="392" t="s">
        <v>7418</v>
      </c>
      <c r="I1378" s="392" t="s">
        <v>1762</v>
      </c>
      <c r="J1378" s="392" t="s">
        <v>8385</v>
      </c>
      <c r="K1378" s="392" t="s">
        <v>6371</v>
      </c>
      <c r="L1378" s="392" t="s">
        <v>7032</v>
      </c>
      <c r="M1378" s="392" t="s">
        <v>3758</v>
      </c>
      <c r="N1378" s="392" t="s">
        <v>7273</v>
      </c>
      <c r="O1378" s="392" t="s">
        <v>7273</v>
      </c>
      <c r="P1378"/>
      <c r="Q1378"/>
      <c r="R1378" s="387">
        <f>VLOOKUP(E1378,'[1]NDB Impacted SPRFs 05032013'!$A$2:$A$65536,1,FALSE)</f>
        <v>400019956</v>
      </c>
      <c r="S1378" s="128"/>
      <c r="T1378" s="128"/>
      <c r="U1378" s="128"/>
    </row>
    <row r="1379" spans="1:21" s="159" customFormat="1" ht="45" x14ac:dyDescent="0.25">
      <c r="A1379" s="63">
        <f>MATCH($E1379,'D1 - Master Project Table'!$B$24:$B$7056,0)</f>
        <v>1228</v>
      </c>
      <c r="B1379" s="63" t="b">
        <f t="shared" si="63"/>
        <v>0</v>
      </c>
      <c r="C1379" s="63" t="b">
        <f t="shared" si="64"/>
        <v>1</v>
      </c>
      <c r="D1379" s="63" t="str">
        <f t="shared" si="65"/>
        <v>OK</v>
      </c>
      <c r="E1379" s="393">
        <v>400033020</v>
      </c>
      <c r="F1379" s="392" t="s">
        <v>4581</v>
      </c>
      <c r="G1379" s="392" t="s">
        <v>5324</v>
      </c>
      <c r="H1379" s="392" t="s">
        <v>7418</v>
      </c>
      <c r="I1379" s="392" t="s">
        <v>1763</v>
      </c>
      <c r="J1379" s="392" t="s">
        <v>8300</v>
      </c>
      <c r="K1379" s="392" t="s">
        <v>3283</v>
      </c>
      <c r="L1379" s="392" t="s">
        <v>4582</v>
      </c>
      <c r="M1379" s="392" t="s">
        <v>7273</v>
      </c>
      <c r="N1379" s="392" t="s">
        <v>7273</v>
      </c>
      <c r="O1379" s="392" t="s">
        <v>7273</v>
      </c>
      <c r="P1379"/>
      <c r="Q1379"/>
      <c r="R1379" s="387">
        <f>VLOOKUP(E1379,'[1]NDB Impacted SPRFs 05032013'!$A$2:$A$65536,1,FALSE)</f>
        <v>400033020</v>
      </c>
    </row>
    <row r="1380" spans="1:21" ht="45" x14ac:dyDescent="0.25">
      <c r="A1380" s="63">
        <f>MATCH($E1380,'D1 - Master Project Table'!$B$24:$B$7056,0)</f>
        <v>2012</v>
      </c>
      <c r="B1380" s="63" t="b">
        <f t="shared" si="63"/>
        <v>0</v>
      </c>
      <c r="C1380" s="63" t="b">
        <f t="shared" si="64"/>
        <v>1</v>
      </c>
      <c r="D1380" s="63" t="str">
        <f t="shared" si="65"/>
        <v>OK</v>
      </c>
      <c r="E1380" s="393">
        <v>400033322</v>
      </c>
      <c r="F1380" s="392" t="s">
        <v>3403</v>
      </c>
      <c r="G1380" s="392" t="s">
        <v>5324</v>
      </c>
      <c r="H1380" s="392" t="s">
        <v>7418</v>
      </c>
      <c r="I1380" s="392" t="s">
        <v>1758</v>
      </c>
      <c r="J1380" s="392" t="s">
        <v>6543</v>
      </c>
      <c r="K1380" s="392" t="s">
        <v>5751</v>
      </c>
      <c r="L1380" s="392" t="s">
        <v>2620</v>
      </c>
      <c r="M1380" s="392" t="s">
        <v>7273</v>
      </c>
      <c r="N1380" s="392" t="s">
        <v>7273</v>
      </c>
      <c r="O1380" s="392" t="s">
        <v>7273</v>
      </c>
      <c r="P1380"/>
      <c r="Q1380"/>
      <c r="R1380" s="387">
        <f>VLOOKUP(E1380,'[1]NDB Impacted SPRFs 05032013'!$A$2:$A$65536,1,FALSE)</f>
        <v>400033322</v>
      </c>
      <c r="S1380" s="159"/>
      <c r="T1380" s="159"/>
      <c r="U1380" s="159"/>
    </row>
    <row r="1381" spans="1:21" s="159" customFormat="1" ht="45" x14ac:dyDescent="0.25">
      <c r="A1381" s="63">
        <f>MATCH($E1381,'D1 - Master Project Table'!$B$24:$B$7056,0)</f>
        <v>1247</v>
      </c>
      <c r="B1381" s="63" t="b">
        <f t="shared" si="63"/>
        <v>0</v>
      </c>
      <c r="C1381" s="63" t="b">
        <f t="shared" si="64"/>
        <v>1</v>
      </c>
      <c r="D1381" s="63" t="str">
        <f t="shared" si="65"/>
        <v>OK</v>
      </c>
      <c r="E1381" s="393">
        <v>400028153</v>
      </c>
      <c r="F1381" s="392" t="s">
        <v>8058</v>
      </c>
      <c r="G1381" s="392" t="s">
        <v>5325</v>
      </c>
      <c r="H1381" s="392" t="s">
        <v>7418</v>
      </c>
      <c r="I1381" s="392" t="s">
        <v>6419</v>
      </c>
      <c r="J1381" s="392" t="s">
        <v>8287</v>
      </c>
      <c r="K1381" s="392" t="s">
        <v>6402</v>
      </c>
      <c r="L1381" s="392" t="s">
        <v>1918</v>
      </c>
      <c r="M1381" s="392" t="s">
        <v>7273</v>
      </c>
      <c r="N1381" s="392" t="s">
        <v>7273</v>
      </c>
      <c r="O1381" s="392" t="s">
        <v>7273</v>
      </c>
      <c r="P1381"/>
      <c r="Q1381"/>
      <c r="R1381" s="387">
        <f>VLOOKUP(E1381,'[1]NDB Impacted SPRFs 05032013'!$A$2:$A$65536,1,FALSE)</f>
        <v>400028153</v>
      </c>
    </row>
    <row r="1382" spans="1:21" ht="45" x14ac:dyDescent="0.25">
      <c r="A1382" s="63">
        <f>MATCH($E1382,'D1 - Master Project Table'!$B$24:$B$7056,0)</f>
        <v>3037</v>
      </c>
      <c r="B1382" s="63" t="b">
        <f t="shared" si="63"/>
        <v>0</v>
      </c>
      <c r="C1382" s="63" t="b">
        <f t="shared" si="64"/>
        <v>1</v>
      </c>
      <c r="D1382" s="63" t="str">
        <f t="shared" si="65"/>
        <v>OK</v>
      </c>
      <c r="E1382" s="393">
        <v>400042159</v>
      </c>
      <c r="F1382" s="392" t="s">
        <v>2181</v>
      </c>
      <c r="G1382" s="392" t="s">
        <v>5324</v>
      </c>
      <c r="H1382" s="392" t="s">
        <v>7418</v>
      </c>
      <c r="I1382" s="392" t="s">
        <v>1756</v>
      </c>
      <c r="J1382" s="392" t="s">
        <v>5647</v>
      </c>
      <c r="K1382" s="392" t="s">
        <v>1506</v>
      </c>
      <c r="L1382" s="392" t="s">
        <v>2182</v>
      </c>
      <c r="M1382" s="392" t="s">
        <v>7273</v>
      </c>
      <c r="N1382" s="392" t="s">
        <v>7273</v>
      </c>
      <c r="O1382" s="392" t="s">
        <v>7273</v>
      </c>
      <c r="P1382"/>
      <c r="Q1382"/>
      <c r="R1382" s="387">
        <f>VLOOKUP(E1382,'[1]NDB Impacted SPRFs 05032013'!$A$2:$A$65536,1,FALSE)</f>
        <v>400042159</v>
      </c>
      <c r="S1382" s="159"/>
      <c r="T1382" s="159"/>
      <c r="U1382" s="159"/>
    </row>
    <row r="1383" spans="1:21" ht="45" x14ac:dyDescent="0.25">
      <c r="A1383" s="63">
        <f>MATCH($E1383,'D1 - Master Project Table'!$B$24:$B$7056,0)</f>
        <v>94</v>
      </c>
      <c r="B1383" s="63" t="b">
        <f t="shared" si="63"/>
        <v>0</v>
      </c>
      <c r="C1383" s="63" t="b">
        <f t="shared" si="64"/>
        <v>0</v>
      </c>
      <c r="D1383" s="63" t="str">
        <f t="shared" si="65"/>
        <v>OK</v>
      </c>
      <c r="E1383" s="393">
        <v>400058921</v>
      </c>
      <c r="F1383" s="392" t="s">
        <v>9107</v>
      </c>
      <c r="G1383" s="392" t="s">
        <v>5324</v>
      </c>
      <c r="H1383" s="392" t="s">
        <v>8012</v>
      </c>
      <c r="I1383" s="392" t="s">
        <v>1763</v>
      </c>
      <c r="J1383" s="392" t="s">
        <v>9230</v>
      </c>
      <c r="K1383" s="392" t="s">
        <v>7060</v>
      </c>
      <c r="L1383" s="392" t="s">
        <v>9412</v>
      </c>
      <c r="M1383" s="392" t="s">
        <v>7273</v>
      </c>
      <c r="N1383" s="392" t="s">
        <v>7273</v>
      </c>
      <c r="O1383" s="392" t="s">
        <v>7273</v>
      </c>
      <c r="P1383"/>
      <c r="Q1383"/>
      <c r="R1383" s="387">
        <f>VLOOKUP(E1383,'[1]NDB Impacted SPRFs 05032013'!$A$2:$A$65536,1,FALSE)</f>
        <v>400058921</v>
      </c>
      <c r="S1383" s="159"/>
      <c r="T1383" s="159"/>
      <c r="U1383" s="159"/>
    </row>
    <row r="1384" spans="1:21" s="159" customFormat="1" ht="30" x14ac:dyDescent="0.25">
      <c r="A1384" s="63">
        <f>MATCH($E1384,'D1 - Master Project Table'!$B$24:$B$7056,0)</f>
        <v>1574</v>
      </c>
      <c r="B1384" s="63" t="b">
        <f t="shared" si="63"/>
        <v>0</v>
      </c>
      <c r="C1384" s="63" t="b">
        <f t="shared" si="64"/>
        <v>1</v>
      </c>
      <c r="D1384" s="63" t="str">
        <f t="shared" si="65"/>
        <v>OK</v>
      </c>
      <c r="E1384" s="393">
        <v>400047208</v>
      </c>
      <c r="F1384" s="392" t="s">
        <v>7255</v>
      </c>
      <c r="G1384" s="392" t="s">
        <v>5001</v>
      </c>
      <c r="H1384" s="392" t="s">
        <v>7418</v>
      </c>
      <c r="I1384" s="392" t="s">
        <v>2655</v>
      </c>
      <c r="J1384" s="392" t="s">
        <v>7269</v>
      </c>
      <c r="K1384" s="392" t="s">
        <v>6986</v>
      </c>
      <c r="L1384" s="392" t="s">
        <v>211</v>
      </c>
      <c r="M1384" s="392" t="s">
        <v>7273</v>
      </c>
      <c r="N1384" s="392" t="s">
        <v>7273</v>
      </c>
      <c r="O1384" s="392" t="s">
        <v>7273</v>
      </c>
      <c r="P1384"/>
      <c r="Q1384"/>
      <c r="R1384" s="387">
        <f>VLOOKUP(E1384,'[1]NDB Impacted SPRFs 05032013'!$A$2:$A$65536,1,FALSE)</f>
        <v>400047208</v>
      </c>
      <c r="S1384" s="128"/>
      <c r="T1384" s="128"/>
      <c r="U1384" s="128"/>
    </row>
    <row r="1385" spans="1:21" s="159" customFormat="1" ht="30" x14ac:dyDescent="0.25">
      <c r="A1385" s="63" t="e">
        <f>MATCH($E1385,'D1 - Master Project Table'!$B$24:$B$7056,0)</f>
        <v>#N/A</v>
      </c>
      <c r="B1385" s="63" t="b">
        <f t="shared" si="63"/>
        <v>1</v>
      </c>
      <c r="C1385" s="63" t="b">
        <f t="shared" si="64"/>
        <v>1</v>
      </c>
      <c r="D1385" s="63" t="str">
        <f t="shared" si="65"/>
        <v>OK</v>
      </c>
      <c r="E1385" s="393">
        <v>400003734</v>
      </c>
      <c r="F1385" s="392" t="s">
        <v>4126</v>
      </c>
      <c r="G1385" s="392" t="s">
        <v>5787</v>
      </c>
      <c r="H1385" s="392" t="s">
        <v>7418</v>
      </c>
      <c r="I1385" s="392" t="s">
        <v>1776</v>
      </c>
      <c r="J1385" s="392" t="s">
        <v>8703</v>
      </c>
      <c r="K1385" s="392" t="s">
        <v>6613</v>
      </c>
      <c r="L1385" s="392" t="s">
        <v>4663</v>
      </c>
      <c r="M1385" s="392" t="s">
        <v>7273</v>
      </c>
      <c r="N1385" s="392" t="s">
        <v>7273</v>
      </c>
      <c r="O1385" s="392" t="s">
        <v>7273</v>
      </c>
      <c r="P1385"/>
      <c r="Q1385"/>
      <c r="R1385" s="387">
        <f>VLOOKUP(E1385,'[1]NDB Impacted SPRFs 05032013'!$A$2:$A$65536,1,FALSE)</f>
        <v>400003734</v>
      </c>
    </row>
    <row r="1386" spans="1:21" s="159" customFormat="1" ht="60" customHeight="1" x14ac:dyDescent="0.25">
      <c r="A1386" s="63">
        <f>MATCH($E1386,'D1 - Master Project Table'!$B$24:$B$7056,0)</f>
        <v>663</v>
      </c>
      <c r="B1386" s="63" t="b">
        <f t="shared" si="63"/>
        <v>0</v>
      </c>
      <c r="C1386" s="63" t="b">
        <f t="shared" si="64"/>
        <v>1</v>
      </c>
      <c r="D1386" s="63" t="str">
        <f t="shared" si="65"/>
        <v>OK</v>
      </c>
      <c r="E1386" s="393">
        <v>400010681</v>
      </c>
      <c r="F1386" s="392" t="s">
        <v>4576</v>
      </c>
      <c r="G1386" s="392" t="s">
        <v>5787</v>
      </c>
      <c r="H1386" s="392" t="s">
        <v>7418</v>
      </c>
      <c r="I1386" s="392" t="s">
        <v>1775</v>
      </c>
      <c r="J1386" s="392" t="s">
        <v>8341</v>
      </c>
      <c r="K1386" s="392" t="s">
        <v>7074</v>
      </c>
      <c r="L1386" s="392" t="s">
        <v>8086</v>
      </c>
      <c r="M1386" s="392" t="s">
        <v>3758</v>
      </c>
      <c r="N1386" s="392" t="s">
        <v>7273</v>
      </c>
      <c r="O1386" s="392" t="s">
        <v>7273</v>
      </c>
      <c r="P1386"/>
      <c r="Q1386"/>
      <c r="R1386" s="387">
        <f>VLOOKUP(E1386,'[1]NDB Impacted SPRFs 05032013'!$A$2:$A$65536,1,FALSE)</f>
        <v>400010681</v>
      </c>
      <c r="S1386" s="128"/>
      <c r="T1386" s="128"/>
      <c r="U1386" s="128"/>
    </row>
    <row r="1387" spans="1:21" ht="45" x14ac:dyDescent="0.25">
      <c r="A1387" s="63">
        <f>MATCH($E1387,'D1 - Master Project Table'!$B$24:$B$7056,0)</f>
        <v>746</v>
      </c>
      <c r="B1387" s="63" t="b">
        <f t="shared" si="63"/>
        <v>0</v>
      </c>
      <c r="C1387" s="63" t="b">
        <f t="shared" si="64"/>
        <v>1</v>
      </c>
      <c r="D1387" s="63" t="str">
        <f t="shared" si="65"/>
        <v>OK</v>
      </c>
      <c r="E1387" s="393">
        <v>400015205</v>
      </c>
      <c r="F1387" s="392" t="s">
        <v>1624</v>
      </c>
      <c r="G1387" s="392" t="s">
        <v>5324</v>
      </c>
      <c r="H1387" s="392" t="s">
        <v>7418</v>
      </c>
      <c r="I1387" s="392" t="s">
        <v>1764</v>
      </c>
      <c r="J1387" s="392" t="s">
        <v>8388</v>
      </c>
      <c r="K1387" s="392" t="s">
        <v>5017</v>
      </c>
      <c r="L1387" s="392" t="s">
        <v>994</v>
      </c>
      <c r="M1387" s="392" t="s">
        <v>7273</v>
      </c>
      <c r="N1387" s="392" t="s">
        <v>7273</v>
      </c>
      <c r="O1387" s="392" t="s">
        <v>7273</v>
      </c>
      <c r="P1387"/>
      <c r="Q1387"/>
      <c r="R1387" s="387">
        <f>VLOOKUP(E1387,'[1]NDB Impacted SPRFs 05032013'!$A$2:$A$65536,1,FALSE)</f>
        <v>400015205</v>
      </c>
      <c r="S1387" s="159"/>
      <c r="T1387" s="159"/>
      <c r="U1387" s="159"/>
    </row>
    <row r="1388" spans="1:21" s="159" customFormat="1" ht="45" x14ac:dyDescent="0.25">
      <c r="A1388" s="63">
        <f>MATCH($E1388,'D1 - Master Project Table'!$B$24:$B$7056,0)</f>
        <v>2808</v>
      </c>
      <c r="B1388" s="63" t="b">
        <f t="shared" si="63"/>
        <v>0</v>
      </c>
      <c r="C1388" s="63" t="b">
        <f t="shared" si="64"/>
        <v>1</v>
      </c>
      <c r="D1388" s="63" t="str">
        <f t="shared" si="65"/>
        <v>OK</v>
      </c>
      <c r="E1388" s="393">
        <v>400023794</v>
      </c>
      <c r="F1388" s="392" t="s">
        <v>2119</v>
      </c>
      <c r="G1388" s="392" t="s">
        <v>5325</v>
      </c>
      <c r="H1388" s="392" t="s">
        <v>5314</v>
      </c>
      <c r="I1388" s="392" t="s">
        <v>1795</v>
      </c>
      <c r="J1388" s="392" t="s">
        <v>6584</v>
      </c>
      <c r="K1388" s="392" t="s">
        <v>6402</v>
      </c>
      <c r="L1388" s="392" t="s">
        <v>5088</v>
      </c>
      <c r="M1388" s="392" t="s">
        <v>7273</v>
      </c>
      <c r="N1388" s="392" t="s">
        <v>7273</v>
      </c>
      <c r="O1388" s="392" t="s">
        <v>7273</v>
      </c>
      <c r="P1388"/>
      <c r="Q1388"/>
      <c r="R1388" s="387">
        <f>VLOOKUP(E1388,'[1]NDB Impacted SPRFs 05032013'!$A$2:$A$65536,1,FALSE)</f>
        <v>400023794</v>
      </c>
    </row>
    <row r="1389" spans="1:21" ht="30" x14ac:dyDescent="0.25">
      <c r="A1389" s="63">
        <f>MATCH($E1389,'D1 - Master Project Table'!$B$24:$B$7056,0)</f>
        <v>1214</v>
      </c>
      <c r="B1389" s="63" t="b">
        <f t="shared" si="63"/>
        <v>0</v>
      </c>
      <c r="C1389" s="63" t="b">
        <f t="shared" si="64"/>
        <v>1</v>
      </c>
      <c r="D1389" s="63" t="str">
        <f t="shared" si="65"/>
        <v>OK</v>
      </c>
      <c r="E1389" s="393">
        <v>400028736</v>
      </c>
      <c r="F1389" s="392" t="s">
        <v>6855</v>
      </c>
      <c r="G1389" s="392" t="s">
        <v>5001</v>
      </c>
      <c r="H1389" s="392" t="s">
        <v>7418</v>
      </c>
      <c r="I1389" s="392" t="s">
        <v>3540</v>
      </c>
      <c r="J1389" s="392" t="s">
        <v>8758</v>
      </c>
      <c r="K1389" s="392" t="s">
        <v>5468</v>
      </c>
      <c r="L1389" s="392" t="s">
        <v>133</v>
      </c>
      <c r="M1389" s="392" t="s">
        <v>3758</v>
      </c>
      <c r="N1389" s="392" t="s">
        <v>7273</v>
      </c>
      <c r="O1389" s="392" t="s">
        <v>7273</v>
      </c>
      <c r="P1389"/>
      <c r="Q1389"/>
      <c r="R1389" s="387">
        <f>VLOOKUP(E1389,'[1]NDB Impacted SPRFs 05032013'!$A$2:$A$65536,1,FALSE)</f>
        <v>400028736</v>
      </c>
      <c r="S1389" s="159"/>
      <c r="T1389" s="159"/>
      <c r="U1389" s="159"/>
    </row>
    <row r="1390" spans="1:21" ht="45" x14ac:dyDescent="0.25">
      <c r="A1390" s="63" t="e">
        <f>MATCH($E1390,'D1 - Master Project Table'!$B$24:$B$7056,0)</f>
        <v>#N/A</v>
      </c>
      <c r="B1390" s="63" t="b">
        <f t="shared" si="63"/>
        <v>1</v>
      </c>
      <c r="C1390" s="63" t="b">
        <f t="shared" si="64"/>
        <v>1</v>
      </c>
      <c r="D1390" s="63" t="str">
        <f t="shared" si="65"/>
        <v>OK</v>
      </c>
      <c r="E1390" s="393">
        <v>400001923</v>
      </c>
      <c r="F1390" s="392" t="s">
        <v>3480</v>
      </c>
      <c r="G1390" s="392" t="s">
        <v>5324</v>
      </c>
      <c r="H1390" s="392" t="s">
        <v>5314</v>
      </c>
      <c r="I1390" s="392" t="s">
        <v>1765</v>
      </c>
      <c r="J1390" s="392" t="s">
        <v>8348</v>
      </c>
      <c r="K1390" s="392" t="s">
        <v>4169</v>
      </c>
      <c r="L1390" s="392" t="s">
        <v>3481</v>
      </c>
      <c r="M1390" s="392" t="s">
        <v>7273</v>
      </c>
      <c r="N1390" s="392" t="s">
        <v>7273</v>
      </c>
      <c r="O1390" s="392" t="s">
        <v>7273</v>
      </c>
      <c r="P1390"/>
      <c r="Q1390"/>
      <c r="R1390" s="387">
        <f>VLOOKUP(E1390,'[1]NDB Impacted SPRFs 05032013'!$A$2:$A$65536,1,FALSE)</f>
        <v>400001923</v>
      </c>
      <c r="S1390" s="159"/>
      <c r="T1390" s="159"/>
      <c r="U1390" s="159"/>
    </row>
    <row r="1391" spans="1:21" s="159" customFormat="1" ht="45" x14ac:dyDescent="0.25">
      <c r="A1391" s="63">
        <f>MATCH($E1391,'D1 - Master Project Table'!$B$24:$B$7056,0)</f>
        <v>2118</v>
      </c>
      <c r="B1391" s="63" t="b">
        <f t="shared" si="63"/>
        <v>0</v>
      </c>
      <c r="C1391" s="63" t="b">
        <f t="shared" si="64"/>
        <v>1</v>
      </c>
      <c r="D1391" s="63" t="str">
        <f t="shared" si="65"/>
        <v>OK</v>
      </c>
      <c r="E1391" s="393">
        <v>400009608</v>
      </c>
      <c r="F1391" s="392" t="s">
        <v>6805</v>
      </c>
      <c r="G1391" s="392" t="s">
        <v>3441</v>
      </c>
      <c r="H1391" s="392" t="s">
        <v>5314</v>
      </c>
      <c r="I1391" s="392" t="s">
        <v>1770</v>
      </c>
      <c r="J1391" s="392" t="s">
        <v>8300</v>
      </c>
      <c r="K1391" s="392" t="s">
        <v>5541</v>
      </c>
      <c r="L1391" s="392" t="s">
        <v>3888</v>
      </c>
      <c r="M1391" s="392" t="s">
        <v>3758</v>
      </c>
      <c r="N1391" s="392" t="s">
        <v>7273</v>
      </c>
      <c r="O1391" s="392" t="s">
        <v>7273</v>
      </c>
      <c r="P1391"/>
      <c r="Q1391"/>
      <c r="R1391" s="387">
        <f>VLOOKUP(E1391,'[1]NDB Impacted SPRFs 05032013'!$A$2:$A$65536,1,FALSE)</f>
        <v>400009608</v>
      </c>
    </row>
    <row r="1392" spans="1:21" s="159" customFormat="1" ht="45" x14ac:dyDescent="0.25">
      <c r="A1392" s="63">
        <f>MATCH($E1392,'D1 - Master Project Table'!$B$24:$B$7056,0)</f>
        <v>1083</v>
      </c>
      <c r="B1392" s="63" t="b">
        <f t="shared" ref="B1392:B1455" si="66">ISERROR(A1392)</f>
        <v>0</v>
      </c>
      <c r="C1392" s="63" t="b">
        <f t="shared" si="64"/>
        <v>1</v>
      </c>
      <c r="D1392" s="63" t="str">
        <f t="shared" si="65"/>
        <v>OK</v>
      </c>
      <c r="E1392" s="393">
        <v>400027911</v>
      </c>
      <c r="F1392" s="392" t="s">
        <v>8056</v>
      </c>
      <c r="G1392" s="392" t="s">
        <v>5325</v>
      </c>
      <c r="H1392" s="392" t="s">
        <v>7418</v>
      </c>
      <c r="I1392" s="392" t="s">
        <v>6419</v>
      </c>
      <c r="J1392" s="392" t="s">
        <v>8287</v>
      </c>
      <c r="K1392" s="392" t="s">
        <v>6402</v>
      </c>
      <c r="L1392" s="392" t="s">
        <v>7614</v>
      </c>
      <c r="M1392" s="392" t="s">
        <v>7273</v>
      </c>
      <c r="N1392" s="392" t="s">
        <v>7273</v>
      </c>
      <c r="O1392" s="392" t="s">
        <v>7273</v>
      </c>
      <c r="P1392"/>
      <c r="Q1392"/>
      <c r="R1392" s="387">
        <f>VLOOKUP(E1392,'[1]NDB Impacted SPRFs 05032013'!$A$2:$A$65536,1,FALSE)</f>
        <v>400027911</v>
      </c>
      <c r="S1392" s="128"/>
      <c r="T1392" s="128"/>
      <c r="U1392" s="128"/>
    </row>
    <row r="1393" spans="1:21" s="159" customFormat="1" ht="45" x14ac:dyDescent="0.25">
      <c r="A1393" s="63">
        <f>MATCH($E1393,'D1 - Master Project Table'!$B$24:$B$7056,0)</f>
        <v>84</v>
      </c>
      <c r="B1393" s="63" t="b">
        <f t="shared" si="66"/>
        <v>0</v>
      </c>
      <c r="C1393" s="63" t="b">
        <f t="shared" si="64"/>
        <v>0</v>
      </c>
      <c r="D1393" s="63" t="str">
        <f t="shared" si="65"/>
        <v>OK</v>
      </c>
      <c r="E1393" s="393">
        <v>400056402</v>
      </c>
      <c r="F1393" s="392" t="s">
        <v>6956</v>
      </c>
      <c r="G1393" s="392" t="s">
        <v>5324</v>
      </c>
      <c r="H1393" s="392" t="s">
        <v>4917</v>
      </c>
      <c r="I1393" s="392" t="s">
        <v>1762</v>
      </c>
      <c r="J1393" s="392" t="s">
        <v>8370</v>
      </c>
      <c r="K1393" s="392" t="s">
        <v>2729</v>
      </c>
      <c r="L1393" s="392" t="s">
        <v>7437</v>
      </c>
      <c r="M1393" s="392" t="s">
        <v>7273</v>
      </c>
      <c r="N1393" s="392" t="s">
        <v>7273</v>
      </c>
      <c r="O1393" s="392" t="s">
        <v>7273</v>
      </c>
      <c r="P1393"/>
      <c r="Q1393"/>
      <c r="R1393" s="387">
        <f>VLOOKUP(E1393,'[1]NDB Impacted SPRFs 05032013'!$A$2:$A$65536,1,FALSE)</f>
        <v>400056402</v>
      </c>
      <c r="S1393" s="128"/>
      <c r="T1393" s="128"/>
      <c r="U1393" s="128"/>
    </row>
    <row r="1394" spans="1:21" s="159" customFormat="1" ht="45" x14ac:dyDescent="0.25">
      <c r="A1394" s="63">
        <f>MATCH($E1394,'D1 - Master Project Table'!$B$24:$B$7056,0)</f>
        <v>87</v>
      </c>
      <c r="B1394" s="63" t="b">
        <f t="shared" si="66"/>
        <v>0</v>
      </c>
      <c r="C1394" s="63" t="b">
        <f t="shared" si="64"/>
        <v>0</v>
      </c>
      <c r="D1394" s="63" t="str">
        <f t="shared" si="65"/>
        <v>OK</v>
      </c>
      <c r="E1394" s="393">
        <v>400057022</v>
      </c>
      <c r="F1394" s="392" t="s">
        <v>7441</v>
      </c>
      <c r="G1394" s="392" t="s">
        <v>5324</v>
      </c>
      <c r="H1394" s="392" t="s">
        <v>4917</v>
      </c>
      <c r="I1394" s="392" t="s">
        <v>1762</v>
      </c>
      <c r="J1394" s="392" t="s">
        <v>8370</v>
      </c>
      <c r="K1394" s="392" t="s">
        <v>7442</v>
      </c>
      <c r="L1394" s="392" t="s">
        <v>7437</v>
      </c>
      <c r="M1394" s="392" t="s">
        <v>7273</v>
      </c>
      <c r="N1394" s="392" t="s">
        <v>7273</v>
      </c>
      <c r="O1394" s="392" t="s">
        <v>7273</v>
      </c>
      <c r="P1394"/>
      <c r="Q1394"/>
      <c r="R1394" s="387">
        <f>VLOOKUP(E1394,'[1]NDB Impacted SPRFs 05032013'!$A$2:$A$65536,1,FALSE)</f>
        <v>400057022</v>
      </c>
      <c r="S1394" s="128"/>
      <c r="T1394" s="128"/>
      <c r="U1394" s="128"/>
    </row>
    <row r="1395" spans="1:21" s="159" customFormat="1" ht="45" x14ac:dyDescent="0.25">
      <c r="A1395" s="63">
        <f>MATCH($E1395,'D1 - Master Project Table'!$B$24:$B$7056,0)</f>
        <v>377</v>
      </c>
      <c r="B1395" s="63" t="b">
        <f t="shared" si="66"/>
        <v>0</v>
      </c>
      <c r="C1395" s="63" t="b">
        <f t="shared" si="64"/>
        <v>1</v>
      </c>
      <c r="D1395" s="63" t="str">
        <f t="shared" si="65"/>
        <v>OK</v>
      </c>
      <c r="E1395" s="393">
        <v>400003583</v>
      </c>
      <c r="F1395" s="392" t="s">
        <v>5973</v>
      </c>
      <c r="G1395" s="392" t="s">
        <v>5324</v>
      </c>
      <c r="H1395" s="392" t="s">
        <v>7418</v>
      </c>
      <c r="I1395" s="392" t="s">
        <v>1759</v>
      </c>
      <c r="J1395" s="392" t="s">
        <v>8450</v>
      </c>
      <c r="K1395" s="392" t="s">
        <v>2833</v>
      </c>
      <c r="L1395" s="392" t="s">
        <v>3669</v>
      </c>
      <c r="M1395" s="392" t="s">
        <v>3758</v>
      </c>
      <c r="N1395" s="392" t="s">
        <v>7273</v>
      </c>
      <c r="O1395" s="392" t="s">
        <v>7273</v>
      </c>
      <c r="P1395"/>
      <c r="Q1395"/>
      <c r="R1395" s="387">
        <f>VLOOKUP(E1395,'[1]NDB Impacted SPRFs 05032013'!$A$2:$A$65536,1,FALSE)</f>
        <v>400003583</v>
      </c>
    </row>
    <row r="1396" spans="1:21" ht="30" x14ac:dyDescent="0.25">
      <c r="A1396" s="63">
        <f>MATCH($E1396,'D1 - Master Project Table'!$B$24:$B$7056,0)</f>
        <v>379</v>
      </c>
      <c r="B1396" s="63" t="b">
        <f t="shared" si="66"/>
        <v>0</v>
      </c>
      <c r="C1396" s="63" t="b">
        <f t="shared" si="64"/>
        <v>1</v>
      </c>
      <c r="D1396" s="63" t="str">
        <f t="shared" si="65"/>
        <v>OK</v>
      </c>
      <c r="E1396" s="393">
        <v>400005272</v>
      </c>
      <c r="F1396" s="392" t="s">
        <v>6202</v>
      </c>
      <c r="G1396" s="392" t="s">
        <v>5787</v>
      </c>
      <c r="H1396" s="392" t="s">
        <v>7418</v>
      </c>
      <c r="I1396" s="392" t="s">
        <v>1778</v>
      </c>
      <c r="J1396" s="392" t="s">
        <v>6522</v>
      </c>
      <c r="K1396" s="392" t="s">
        <v>2506</v>
      </c>
      <c r="L1396" s="392" t="s">
        <v>4849</v>
      </c>
      <c r="M1396" s="392" t="s">
        <v>3758</v>
      </c>
      <c r="N1396" s="392" t="s">
        <v>7273</v>
      </c>
      <c r="O1396" s="392" t="s">
        <v>7273</v>
      </c>
      <c r="P1396"/>
      <c r="Q1396"/>
      <c r="R1396" s="387">
        <f>VLOOKUP(E1396,'[1]NDB Impacted SPRFs 05032013'!$A$2:$A$65536,1,FALSE)</f>
        <v>400005272</v>
      </c>
      <c r="S1396" s="161"/>
      <c r="T1396" s="161"/>
      <c r="U1396" s="161"/>
    </row>
    <row r="1397" spans="1:21" s="159" customFormat="1" ht="30" x14ac:dyDescent="0.25">
      <c r="A1397" s="63">
        <f>MATCH($E1397,'D1 - Master Project Table'!$B$24:$B$7056,0)</f>
        <v>387</v>
      </c>
      <c r="B1397" s="63" t="b">
        <f t="shared" si="66"/>
        <v>0</v>
      </c>
      <c r="C1397" s="63" t="b">
        <f t="shared" si="64"/>
        <v>1</v>
      </c>
      <c r="D1397" s="63" t="str">
        <f t="shared" si="65"/>
        <v>OK</v>
      </c>
      <c r="E1397" s="393">
        <v>400007192</v>
      </c>
      <c r="F1397" s="392" t="s">
        <v>6405</v>
      </c>
      <c r="G1397" s="392" t="s">
        <v>3441</v>
      </c>
      <c r="H1397" s="392" t="s">
        <v>7418</v>
      </c>
      <c r="I1397" s="392" t="s">
        <v>4168</v>
      </c>
      <c r="J1397" s="392" t="s">
        <v>6348</v>
      </c>
      <c r="K1397" s="392" t="s">
        <v>1506</v>
      </c>
      <c r="L1397" s="392" t="s">
        <v>6485</v>
      </c>
      <c r="M1397" s="392" t="s">
        <v>3758</v>
      </c>
      <c r="N1397" s="392" t="s">
        <v>7273</v>
      </c>
      <c r="O1397" s="392" t="s">
        <v>7273</v>
      </c>
      <c r="P1397"/>
      <c r="Q1397"/>
      <c r="R1397" s="387">
        <f>VLOOKUP(E1397,'[1]NDB Impacted SPRFs 05032013'!$A$2:$A$65536,1,FALSE)</f>
        <v>400007192</v>
      </c>
    </row>
    <row r="1398" spans="1:21" s="159" customFormat="1" ht="45" x14ac:dyDescent="0.25">
      <c r="A1398" s="63">
        <f>MATCH($E1398,'D1 - Master Project Table'!$B$24:$B$7056,0)</f>
        <v>1930</v>
      </c>
      <c r="B1398" s="63" t="b">
        <f t="shared" si="66"/>
        <v>0</v>
      </c>
      <c r="C1398" s="63" t="b">
        <f t="shared" si="64"/>
        <v>1</v>
      </c>
      <c r="D1398" s="63" t="str">
        <f t="shared" si="65"/>
        <v>OK</v>
      </c>
      <c r="E1398" s="393">
        <v>400015179</v>
      </c>
      <c r="F1398" s="392" t="s">
        <v>7076</v>
      </c>
      <c r="G1398" s="392" t="s">
        <v>5324</v>
      </c>
      <c r="H1398" s="392" t="s">
        <v>7418</v>
      </c>
      <c r="I1398" s="392" t="s">
        <v>1762</v>
      </c>
      <c r="J1398" s="392" t="s">
        <v>8524</v>
      </c>
      <c r="K1398" s="392" t="s">
        <v>3250</v>
      </c>
      <c r="L1398" s="392" t="s">
        <v>6746</v>
      </c>
      <c r="M1398" s="392" t="s">
        <v>3758</v>
      </c>
      <c r="N1398" s="392" t="s">
        <v>7273</v>
      </c>
      <c r="O1398" s="392" t="s">
        <v>7273</v>
      </c>
      <c r="P1398"/>
      <c r="Q1398"/>
      <c r="R1398" s="387">
        <f>VLOOKUP(E1398,'[1]NDB Impacted SPRFs 05032013'!$A$2:$A$65536,1,FALSE)</f>
        <v>400015179</v>
      </c>
    </row>
    <row r="1399" spans="1:21" s="159" customFormat="1" ht="45" x14ac:dyDescent="0.25">
      <c r="A1399" s="63">
        <f>MATCH($E1399,'D1 - Master Project Table'!$B$24:$B$7056,0)</f>
        <v>817</v>
      </c>
      <c r="B1399" s="63" t="b">
        <f t="shared" si="66"/>
        <v>0</v>
      </c>
      <c r="C1399" s="63" t="b">
        <f t="shared" si="64"/>
        <v>1</v>
      </c>
      <c r="D1399" s="63" t="str">
        <f t="shared" si="65"/>
        <v>OK</v>
      </c>
      <c r="E1399" s="393">
        <v>400015364</v>
      </c>
      <c r="F1399" s="392" t="s">
        <v>5303</v>
      </c>
      <c r="G1399" s="392" t="s">
        <v>5324</v>
      </c>
      <c r="H1399" s="392" t="s">
        <v>7418</v>
      </c>
      <c r="I1399" s="392" t="s">
        <v>1759</v>
      </c>
      <c r="J1399" s="392" t="s">
        <v>8379</v>
      </c>
      <c r="K1399" s="392" t="s">
        <v>7062</v>
      </c>
      <c r="L1399" s="392" t="s">
        <v>6746</v>
      </c>
      <c r="M1399" s="392" t="s">
        <v>3758</v>
      </c>
      <c r="N1399" s="392" t="s">
        <v>7273</v>
      </c>
      <c r="O1399" s="392" t="s">
        <v>7273</v>
      </c>
      <c r="P1399"/>
      <c r="Q1399"/>
      <c r="R1399" s="387">
        <f>VLOOKUP(E1399,'[1]NDB Impacted SPRFs 05032013'!$A$2:$A$65536,1,FALSE)</f>
        <v>400015364</v>
      </c>
    </row>
    <row r="1400" spans="1:21" ht="45" x14ac:dyDescent="0.25">
      <c r="A1400" s="63">
        <f>MATCH($E1400,'D1 - Master Project Table'!$B$24:$B$7056,0)</f>
        <v>777</v>
      </c>
      <c r="B1400" s="63" t="b">
        <f t="shared" si="66"/>
        <v>0</v>
      </c>
      <c r="C1400" s="63" t="b">
        <f t="shared" si="64"/>
        <v>1</v>
      </c>
      <c r="D1400" s="63" t="str">
        <f t="shared" si="65"/>
        <v>OK</v>
      </c>
      <c r="E1400" s="393">
        <v>400017961</v>
      </c>
      <c r="F1400" s="392" t="s">
        <v>8117</v>
      </c>
      <c r="G1400" s="392" t="s">
        <v>5324</v>
      </c>
      <c r="H1400" s="392" t="s">
        <v>7418</v>
      </c>
      <c r="I1400" s="392" t="s">
        <v>1756</v>
      </c>
      <c r="J1400" s="392" t="s">
        <v>6905</v>
      </c>
      <c r="K1400" s="392" t="s">
        <v>1506</v>
      </c>
      <c r="L1400" s="392" t="s">
        <v>6746</v>
      </c>
      <c r="M1400" s="392" t="s">
        <v>3758</v>
      </c>
      <c r="N1400" s="392" t="s">
        <v>7273</v>
      </c>
      <c r="O1400" s="392" t="s">
        <v>7273</v>
      </c>
      <c r="P1400"/>
      <c r="Q1400"/>
      <c r="R1400" s="387">
        <f>VLOOKUP(E1400,'[1]NDB Impacted SPRFs 05032013'!$A$2:$A$65536,1,FALSE)</f>
        <v>400017961</v>
      </c>
      <c r="S1400" s="159"/>
      <c r="T1400" s="159"/>
      <c r="U1400" s="159"/>
    </row>
    <row r="1401" spans="1:21" s="159" customFormat="1" ht="45" x14ac:dyDescent="0.25">
      <c r="A1401" s="63">
        <f>MATCH($E1401,'D1 - Master Project Table'!$B$24:$B$7056,0)</f>
        <v>778</v>
      </c>
      <c r="B1401" s="63" t="b">
        <f t="shared" si="66"/>
        <v>0</v>
      </c>
      <c r="C1401" s="63" t="b">
        <f t="shared" si="64"/>
        <v>1</v>
      </c>
      <c r="D1401" s="63" t="str">
        <f t="shared" si="65"/>
        <v>OK</v>
      </c>
      <c r="E1401" s="393">
        <v>400018040</v>
      </c>
      <c r="F1401" s="392" t="s">
        <v>5678</v>
      </c>
      <c r="G1401" s="392" t="s">
        <v>5324</v>
      </c>
      <c r="H1401" s="392" t="s">
        <v>7418</v>
      </c>
      <c r="I1401" s="392" t="s">
        <v>1759</v>
      </c>
      <c r="J1401" s="392" t="s">
        <v>9068</v>
      </c>
      <c r="K1401" s="392" t="s">
        <v>7224</v>
      </c>
      <c r="L1401" s="392" t="s">
        <v>6746</v>
      </c>
      <c r="M1401" s="392" t="s">
        <v>3758</v>
      </c>
      <c r="N1401" s="392" t="s">
        <v>7273</v>
      </c>
      <c r="O1401" s="392" t="s">
        <v>7273</v>
      </c>
      <c r="P1401"/>
      <c r="Q1401"/>
      <c r="R1401" s="387">
        <f>VLOOKUP(E1401,'[1]NDB Impacted SPRFs 05032013'!$A$2:$A$65536,1,FALSE)</f>
        <v>400018040</v>
      </c>
    </row>
    <row r="1402" spans="1:21" ht="45" x14ac:dyDescent="0.25">
      <c r="A1402" s="63">
        <f>MATCH($E1402,'D1 - Master Project Table'!$B$24:$B$7056,0)</f>
        <v>2738</v>
      </c>
      <c r="B1402" s="63" t="b">
        <f t="shared" si="66"/>
        <v>0</v>
      </c>
      <c r="C1402" s="63" t="b">
        <f t="shared" si="64"/>
        <v>1</v>
      </c>
      <c r="D1402" s="63" t="str">
        <f t="shared" si="65"/>
        <v>OK</v>
      </c>
      <c r="E1402" s="393">
        <v>400020219</v>
      </c>
      <c r="F1402" s="392" t="s">
        <v>5047</v>
      </c>
      <c r="G1402" s="392" t="s">
        <v>5324</v>
      </c>
      <c r="H1402" s="392" t="s">
        <v>5314</v>
      </c>
      <c r="I1402" s="392" t="s">
        <v>1759</v>
      </c>
      <c r="J1402" s="392" t="s">
        <v>9068</v>
      </c>
      <c r="K1402" s="392" t="s">
        <v>7224</v>
      </c>
      <c r="L1402" s="392" t="s">
        <v>6746</v>
      </c>
      <c r="M1402" s="392" t="s">
        <v>3758</v>
      </c>
      <c r="N1402" s="392" t="s">
        <v>7273</v>
      </c>
      <c r="O1402" s="392" t="s">
        <v>7273</v>
      </c>
      <c r="P1402"/>
      <c r="Q1402"/>
      <c r="R1402" s="387">
        <f>VLOOKUP(E1402,'[1]NDB Impacted SPRFs 05032013'!$A$2:$A$65536,1,FALSE)</f>
        <v>400020219</v>
      </c>
      <c r="S1402" s="159"/>
      <c r="T1402" s="159"/>
      <c r="U1402" s="159"/>
    </row>
    <row r="1403" spans="1:21" s="159" customFormat="1" ht="45" x14ac:dyDescent="0.25">
      <c r="A1403" s="63">
        <f>MATCH($E1403,'D1 - Master Project Table'!$B$24:$B$7056,0)</f>
        <v>3007</v>
      </c>
      <c r="B1403" s="63" t="b">
        <f t="shared" si="66"/>
        <v>0</v>
      </c>
      <c r="C1403" s="63" t="b">
        <f t="shared" si="64"/>
        <v>1</v>
      </c>
      <c r="D1403" s="63" t="str">
        <f t="shared" si="65"/>
        <v>OK</v>
      </c>
      <c r="E1403" s="393">
        <v>400039641</v>
      </c>
      <c r="F1403" s="392" t="s">
        <v>4612</v>
      </c>
      <c r="G1403" s="392" t="s">
        <v>5324</v>
      </c>
      <c r="H1403" s="392" t="s">
        <v>5314</v>
      </c>
      <c r="I1403" s="392" t="s">
        <v>1759</v>
      </c>
      <c r="J1403" s="392" t="s">
        <v>7372</v>
      </c>
      <c r="K1403" s="392" t="s">
        <v>6005</v>
      </c>
      <c r="L1403" s="392" t="s">
        <v>5903</v>
      </c>
      <c r="M1403" s="392" t="s">
        <v>7273</v>
      </c>
      <c r="N1403" s="392" t="s">
        <v>7273</v>
      </c>
      <c r="O1403" s="392" t="s">
        <v>3758</v>
      </c>
      <c r="P1403"/>
      <c r="Q1403"/>
      <c r="R1403" s="387">
        <f>VLOOKUP(E1403,'[1]NDB Impacted SPRFs 05032013'!$A$2:$A$65536,1,FALSE)</f>
        <v>400039641</v>
      </c>
    </row>
    <row r="1404" spans="1:21" s="159" customFormat="1" ht="45" x14ac:dyDescent="0.25">
      <c r="A1404" s="63">
        <f>MATCH($E1404,'D1 - Master Project Table'!$B$24:$B$7056,0)</f>
        <v>802</v>
      </c>
      <c r="B1404" s="63" t="b">
        <f t="shared" si="66"/>
        <v>0</v>
      </c>
      <c r="C1404" s="63" t="b">
        <f t="shared" si="64"/>
        <v>1</v>
      </c>
      <c r="D1404" s="63" t="str">
        <f t="shared" si="65"/>
        <v>OK</v>
      </c>
      <c r="E1404" s="393">
        <v>400021215</v>
      </c>
      <c r="F1404" s="392" t="s">
        <v>5349</v>
      </c>
      <c r="G1404" s="392" t="s">
        <v>5324</v>
      </c>
      <c r="H1404" s="392" t="s">
        <v>7418</v>
      </c>
      <c r="I1404" s="392" t="s">
        <v>1756</v>
      </c>
      <c r="J1404" s="392" t="s">
        <v>8406</v>
      </c>
      <c r="K1404" s="392" t="s">
        <v>4462</v>
      </c>
      <c r="L1404" s="392" t="s">
        <v>2625</v>
      </c>
      <c r="M1404" s="392" t="s">
        <v>7273</v>
      </c>
      <c r="N1404" s="392" t="s">
        <v>7273</v>
      </c>
      <c r="O1404" s="392" t="s">
        <v>7273</v>
      </c>
      <c r="P1404"/>
      <c r="Q1404"/>
      <c r="R1404" s="387">
        <f>VLOOKUP(E1404,'[1]NDB Impacted SPRFs 05032013'!$A$2:$A$65536,1,FALSE)</f>
        <v>400021215</v>
      </c>
    </row>
    <row r="1405" spans="1:21" s="159" customFormat="1" ht="45" x14ac:dyDescent="0.25">
      <c r="A1405" s="63">
        <f>MATCH($E1405,'D1 - Master Project Table'!$B$24:$B$7056,0)</f>
        <v>2892</v>
      </c>
      <c r="B1405" s="63" t="b">
        <f t="shared" si="66"/>
        <v>0</v>
      </c>
      <c r="C1405" s="63" t="b">
        <f t="shared" si="64"/>
        <v>1</v>
      </c>
      <c r="D1405" s="63" t="str">
        <f t="shared" si="65"/>
        <v>OK</v>
      </c>
      <c r="E1405" s="393">
        <v>400029894</v>
      </c>
      <c r="F1405" s="392" t="s">
        <v>6803</v>
      </c>
      <c r="G1405" s="392" t="s">
        <v>5324</v>
      </c>
      <c r="H1405" s="392" t="s">
        <v>5314</v>
      </c>
      <c r="I1405" s="392" t="s">
        <v>1758</v>
      </c>
      <c r="J1405" s="392" t="s">
        <v>8292</v>
      </c>
      <c r="K1405" s="392" t="s">
        <v>7877</v>
      </c>
      <c r="L1405" s="392" t="s">
        <v>2352</v>
      </c>
      <c r="M1405" s="392" t="s">
        <v>7273</v>
      </c>
      <c r="N1405" s="392" t="s">
        <v>7273</v>
      </c>
      <c r="O1405" s="392" t="s">
        <v>7273</v>
      </c>
      <c r="P1405"/>
      <c r="Q1405"/>
      <c r="R1405" s="387">
        <f>VLOOKUP(E1405,'[1]NDB Impacted SPRFs 05032013'!$A$2:$A$65536,1,FALSE)</f>
        <v>400029894</v>
      </c>
    </row>
    <row r="1406" spans="1:21" s="159" customFormat="1" ht="45" x14ac:dyDescent="0.25">
      <c r="A1406" s="63">
        <f>MATCH($E1406,'D1 - Master Project Table'!$B$24:$B$7056,0)</f>
        <v>2921</v>
      </c>
      <c r="B1406" s="63" t="b">
        <f t="shared" si="66"/>
        <v>0</v>
      </c>
      <c r="C1406" s="63" t="b">
        <f t="shared" si="64"/>
        <v>1</v>
      </c>
      <c r="D1406" s="63" t="str">
        <f t="shared" si="65"/>
        <v>OK</v>
      </c>
      <c r="E1406" s="393">
        <v>400032531</v>
      </c>
      <c r="F1406" s="392" t="s">
        <v>6370</v>
      </c>
      <c r="G1406" s="392" t="s">
        <v>5324</v>
      </c>
      <c r="H1406" s="392" t="s">
        <v>5314</v>
      </c>
      <c r="I1406" s="392" t="s">
        <v>1759</v>
      </c>
      <c r="J1406" s="392" t="s">
        <v>4634</v>
      </c>
      <c r="K1406" s="392" t="s">
        <v>4006</v>
      </c>
      <c r="L1406" s="392" t="s">
        <v>1228</v>
      </c>
      <c r="M1406" s="392" t="s">
        <v>7273</v>
      </c>
      <c r="N1406" s="392" t="s">
        <v>7273</v>
      </c>
      <c r="O1406" s="392" t="s">
        <v>3758</v>
      </c>
      <c r="P1406"/>
      <c r="Q1406"/>
      <c r="R1406" s="387">
        <f>VLOOKUP(E1406,'[1]NDB Impacted SPRFs 05032013'!$A$2:$A$65536,1,FALSE)</f>
        <v>400032531</v>
      </c>
      <c r="S1406" s="128"/>
      <c r="T1406" s="128"/>
      <c r="U1406" s="128"/>
    </row>
    <row r="1407" spans="1:21" s="159" customFormat="1" ht="45" x14ac:dyDescent="0.25">
      <c r="A1407" s="63">
        <f>MATCH($E1407,'D1 - Master Project Table'!$B$24:$B$7056,0)</f>
        <v>2442</v>
      </c>
      <c r="B1407" s="63" t="b">
        <f t="shared" si="66"/>
        <v>0</v>
      </c>
      <c r="C1407" s="63" t="b">
        <f t="shared" si="64"/>
        <v>1</v>
      </c>
      <c r="D1407" s="63" t="str">
        <f t="shared" si="65"/>
        <v>OK</v>
      </c>
      <c r="E1407" s="393">
        <v>400003768</v>
      </c>
      <c r="F1407" s="392" t="s">
        <v>3670</v>
      </c>
      <c r="G1407" s="392" t="s">
        <v>5324</v>
      </c>
      <c r="H1407" s="392" t="s">
        <v>5314</v>
      </c>
      <c r="I1407" s="392" t="s">
        <v>1765</v>
      </c>
      <c r="J1407" s="392" t="s">
        <v>5473</v>
      </c>
      <c r="K1407" s="392" t="s">
        <v>2579</v>
      </c>
      <c r="L1407" s="392" t="s">
        <v>4980</v>
      </c>
      <c r="M1407" s="392" t="s">
        <v>7273</v>
      </c>
      <c r="N1407" s="392" t="s">
        <v>7273</v>
      </c>
      <c r="O1407" s="392" t="s">
        <v>7273</v>
      </c>
      <c r="P1407"/>
      <c r="Q1407"/>
      <c r="R1407" s="387">
        <f>VLOOKUP(E1407,'[1]NDB Impacted SPRFs 05032013'!$A$2:$A$65536,1,FALSE)</f>
        <v>400003768</v>
      </c>
      <c r="S1407" s="128"/>
      <c r="T1407" s="128"/>
      <c r="U1407" s="128"/>
    </row>
    <row r="1408" spans="1:21" s="159" customFormat="1" ht="45" x14ac:dyDescent="0.25">
      <c r="A1408" s="63">
        <f>MATCH($E1408,'D1 - Master Project Table'!$B$24:$B$7056,0)</f>
        <v>2630</v>
      </c>
      <c r="B1408" s="63" t="b">
        <f t="shared" si="66"/>
        <v>0</v>
      </c>
      <c r="C1408" s="63" t="b">
        <f t="shared" si="64"/>
        <v>1</v>
      </c>
      <c r="D1408" s="63" t="str">
        <f t="shared" si="65"/>
        <v>OK</v>
      </c>
      <c r="E1408" s="393">
        <v>400013931</v>
      </c>
      <c r="F1408" s="392" t="s">
        <v>5961</v>
      </c>
      <c r="G1408" s="392" t="s">
        <v>5324</v>
      </c>
      <c r="H1408" s="392" t="s">
        <v>7418</v>
      </c>
      <c r="I1408" s="392" t="s">
        <v>1756</v>
      </c>
      <c r="J1408" s="392" t="s">
        <v>5473</v>
      </c>
      <c r="K1408" s="392" t="s">
        <v>1506</v>
      </c>
      <c r="L1408" s="392" t="s">
        <v>1061</v>
      </c>
      <c r="M1408" s="392" t="s">
        <v>3758</v>
      </c>
      <c r="N1408" s="392" t="s">
        <v>7273</v>
      </c>
      <c r="O1408" s="392" t="s">
        <v>7273</v>
      </c>
      <c r="P1408"/>
      <c r="Q1408"/>
      <c r="R1408" s="387">
        <f>VLOOKUP(E1408,'[1]NDB Impacted SPRFs 05032013'!$A$2:$A$65536,1,FALSE)</f>
        <v>400013931</v>
      </c>
    </row>
    <row r="1409" spans="1:21" s="159" customFormat="1" ht="30" x14ac:dyDescent="0.25">
      <c r="A1409" s="63">
        <f>MATCH($E1409,'D1 - Master Project Table'!$B$24:$B$7056,0)</f>
        <v>2659</v>
      </c>
      <c r="B1409" s="63" t="b">
        <f t="shared" si="66"/>
        <v>0</v>
      </c>
      <c r="C1409" s="63" t="b">
        <f t="shared" si="64"/>
        <v>1</v>
      </c>
      <c r="D1409" s="63" t="str">
        <f t="shared" si="65"/>
        <v>OK</v>
      </c>
      <c r="E1409" s="393">
        <v>400015479</v>
      </c>
      <c r="F1409" s="392" t="s">
        <v>6082</v>
      </c>
      <c r="G1409" s="392" t="s">
        <v>3441</v>
      </c>
      <c r="H1409" s="392" t="s">
        <v>5314</v>
      </c>
      <c r="I1409" s="392" t="s">
        <v>1769</v>
      </c>
      <c r="J1409" s="392" t="s">
        <v>8393</v>
      </c>
      <c r="K1409" s="392" t="s">
        <v>5952</v>
      </c>
      <c r="L1409" s="392" t="s">
        <v>5332</v>
      </c>
      <c r="M1409" s="392" t="s">
        <v>3758</v>
      </c>
      <c r="N1409" s="392" t="s">
        <v>7273</v>
      </c>
      <c r="O1409" s="392" t="s">
        <v>7273</v>
      </c>
      <c r="P1409"/>
      <c r="Q1409"/>
      <c r="R1409" s="387">
        <f>VLOOKUP(E1409,'[1]NDB Impacted SPRFs 05032013'!$A$2:$A$65536,1,FALSE)</f>
        <v>400015479</v>
      </c>
      <c r="S1409" s="128"/>
      <c r="T1409" s="128"/>
      <c r="U1409" s="128"/>
    </row>
    <row r="1410" spans="1:21" ht="45" x14ac:dyDescent="0.25">
      <c r="A1410" s="63">
        <f>MATCH($E1410,'D1 - Master Project Table'!$B$24:$B$7056,0)</f>
        <v>2787</v>
      </c>
      <c r="B1410" s="63" t="b">
        <f t="shared" si="66"/>
        <v>0</v>
      </c>
      <c r="C1410" s="63" t="b">
        <f t="shared" si="64"/>
        <v>1</v>
      </c>
      <c r="D1410" s="63" t="str">
        <f t="shared" si="65"/>
        <v>OK</v>
      </c>
      <c r="E1410" s="393">
        <v>400022356</v>
      </c>
      <c r="F1410" s="392" t="s">
        <v>2414</v>
      </c>
      <c r="G1410" s="392" t="s">
        <v>5325</v>
      </c>
      <c r="H1410" s="392" t="s">
        <v>5314</v>
      </c>
      <c r="I1410" s="392" t="s">
        <v>6008</v>
      </c>
      <c r="J1410" s="392" t="s">
        <v>8268</v>
      </c>
      <c r="K1410" s="392" t="s">
        <v>2415</v>
      </c>
      <c r="L1410" s="392" t="s">
        <v>3827</v>
      </c>
      <c r="M1410" s="392" t="s">
        <v>3758</v>
      </c>
      <c r="N1410" s="392" t="s">
        <v>7273</v>
      </c>
      <c r="O1410" s="392" t="s">
        <v>7273</v>
      </c>
      <c r="P1410" s="212"/>
      <c r="Q1410"/>
      <c r="R1410" s="387">
        <f>VLOOKUP(E1410,'[1]NDB Impacted SPRFs 05032013'!$A$2:$A$65536,1,FALSE)</f>
        <v>400022356</v>
      </c>
      <c r="S1410" s="159"/>
      <c r="T1410" s="159"/>
      <c r="U1410" s="159"/>
    </row>
    <row r="1411" spans="1:21" ht="45" x14ac:dyDescent="0.25">
      <c r="A1411" s="63">
        <f>MATCH($E1411,'D1 - Master Project Table'!$B$24:$B$7056,0)</f>
        <v>1275</v>
      </c>
      <c r="B1411" s="63" t="b">
        <f t="shared" si="66"/>
        <v>0</v>
      </c>
      <c r="C1411" s="63" t="b">
        <f t="shared" si="64"/>
        <v>1</v>
      </c>
      <c r="D1411" s="63" t="str">
        <f t="shared" si="65"/>
        <v>OK</v>
      </c>
      <c r="E1411" s="393">
        <v>400033661</v>
      </c>
      <c r="F1411" s="392" t="s">
        <v>5530</v>
      </c>
      <c r="G1411" s="392" t="s">
        <v>5324</v>
      </c>
      <c r="H1411" s="392" t="s">
        <v>7418</v>
      </c>
      <c r="I1411" s="392" t="s">
        <v>1756</v>
      </c>
      <c r="J1411" s="392" t="s">
        <v>5647</v>
      </c>
      <c r="K1411" s="392" t="s">
        <v>1506</v>
      </c>
      <c r="L1411" s="392" t="s">
        <v>5873</v>
      </c>
      <c r="M1411" s="392" t="s">
        <v>7273</v>
      </c>
      <c r="N1411" s="392" t="s">
        <v>7273</v>
      </c>
      <c r="O1411" s="392" t="s">
        <v>7273</v>
      </c>
      <c r="P1411"/>
      <c r="Q1411"/>
      <c r="R1411" s="387">
        <f>VLOOKUP(E1411,'[1]NDB Impacted SPRFs 05032013'!$A$2:$A$65536,1,FALSE)</f>
        <v>400033661</v>
      </c>
      <c r="S1411" s="159"/>
      <c r="T1411" s="159"/>
      <c r="U1411" s="159"/>
    </row>
    <row r="1412" spans="1:21" ht="45" x14ac:dyDescent="0.25">
      <c r="A1412" s="63">
        <f>MATCH($E1412,'D1 - Master Project Table'!$B$24:$B$7056,0)</f>
        <v>1693</v>
      </c>
      <c r="B1412" s="63" t="b">
        <f t="shared" si="66"/>
        <v>0</v>
      </c>
      <c r="C1412" s="63" t="b">
        <f t="shared" si="64"/>
        <v>1</v>
      </c>
      <c r="D1412" s="63" t="str">
        <f t="shared" si="65"/>
        <v>OK</v>
      </c>
      <c r="E1412" s="393">
        <v>400042122</v>
      </c>
      <c r="F1412" s="392" t="s">
        <v>2730</v>
      </c>
      <c r="G1412" s="392" t="s">
        <v>5324</v>
      </c>
      <c r="H1412" s="392" t="s">
        <v>7418</v>
      </c>
      <c r="I1412" s="392" t="s">
        <v>1595</v>
      </c>
      <c r="J1412" s="392" t="s">
        <v>8491</v>
      </c>
      <c r="K1412" s="392" t="s">
        <v>2868</v>
      </c>
      <c r="L1412" s="392" t="s">
        <v>858</v>
      </c>
      <c r="M1412" s="392" t="s">
        <v>7273</v>
      </c>
      <c r="N1412" s="392" t="s">
        <v>7273</v>
      </c>
      <c r="O1412" s="392" t="s">
        <v>7273</v>
      </c>
      <c r="P1412" s="212"/>
      <c r="Q1412"/>
      <c r="R1412" s="387">
        <f>VLOOKUP(E1412,'[1]NDB Impacted SPRFs 05032013'!$A$2:$A$65536,1,FALSE)</f>
        <v>400042122</v>
      </c>
      <c r="S1412" s="159"/>
      <c r="T1412" s="159"/>
      <c r="U1412" s="159"/>
    </row>
    <row r="1413" spans="1:21" s="159" customFormat="1" ht="30" x14ac:dyDescent="0.25">
      <c r="A1413" s="63" t="e">
        <f>MATCH($E1413,'D1 - Master Project Table'!$B$24:$B$7056,0)</f>
        <v>#N/A</v>
      </c>
      <c r="B1413" s="63" t="b">
        <f t="shared" si="66"/>
        <v>1</v>
      </c>
      <c r="C1413" s="63" t="b">
        <f t="shared" si="64"/>
        <v>1</v>
      </c>
      <c r="D1413" s="63" t="str">
        <f t="shared" si="65"/>
        <v>OK</v>
      </c>
      <c r="E1413" s="393">
        <v>400003579</v>
      </c>
      <c r="F1413" s="392" t="s">
        <v>6442</v>
      </c>
      <c r="G1413" s="392" t="s">
        <v>5787</v>
      </c>
      <c r="H1413" s="392" t="s">
        <v>7418</v>
      </c>
      <c r="I1413" s="392" t="s">
        <v>1780</v>
      </c>
      <c r="J1413" s="392" t="s">
        <v>8459</v>
      </c>
      <c r="K1413" s="392" t="s">
        <v>3353</v>
      </c>
      <c r="L1413" s="392" t="s">
        <v>6063</v>
      </c>
      <c r="M1413" s="392" t="s">
        <v>7273</v>
      </c>
      <c r="N1413" s="392" t="s">
        <v>7273</v>
      </c>
      <c r="O1413" s="392" t="s">
        <v>7273</v>
      </c>
      <c r="P1413"/>
      <c r="Q1413"/>
      <c r="R1413" s="387">
        <f>VLOOKUP(E1413,'[1]NDB Impacted SPRFs 05032013'!$A$2:$A$65536,1,FALSE)</f>
        <v>400003579</v>
      </c>
      <c r="S1413" s="128"/>
      <c r="T1413" s="128"/>
      <c r="U1413" s="128"/>
    </row>
    <row r="1414" spans="1:21" s="159" customFormat="1" ht="45" x14ac:dyDescent="0.25">
      <c r="A1414" s="63">
        <f>MATCH($E1414,'D1 - Master Project Table'!$B$24:$B$7056,0)</f>
        <v>534</v>
      </c>
      <c r="B1414" s="63" t="b">
        <f t="shared" si="66"/>
        <v>0</v>
      </c>
      <c r="C1414" s="63" t="b">
        <f t="shared" ref="C1414:C1477" si="67">OR(H1414="Completed",H1414="Cancelled")</f>
        <v>1</v>
      </c>
      <c r="D1414" s="63" t="str">
        <f t="shared" ref="D1414:D1477" si="68">IF(AND(B1414=TRUE,C1414=FALSE),"Add","OK")</f>
        <v>OK</v>
      </c>
      <c r="E1414" s="393">
        <v>400012697</v>
      </c>
      <c r="F1414" s="392" t="s">
        <v>3319</v>
      </c>
      <c r="G1414" s="392" t="s">
        <v>5324</v>
      </c>
      <c r="H1414" s="392" t="s">
        <v>7418</v>
      </c>
      <c r="I1414" s="392" t="s">
        <v>1756</v>
      </c>
      <c r="J1414" s="392" t="s">
        <v>5473</v>
      </c>
      <c r="K1414" s="392" t="s">
        <v>1506</v>
      </c>
      <c r="L1414" s="392" t="s">
        <v>7213</v>
      </c>
      <c r="M1414" s="392" t="s">
        <v>3758</v>
      </c>
      <c r="N1414" s="392" t="s">
        <v>7273</v>
      </c>
      <c r="O1414" s="392" t="s">
        <v>7273</v>
      </c>
      <c r="P1414"/>
      <c r="Q1414"/>
      <c r="R1414" s="387">
        <f>VLOOKUP(E1414,'[1]NDB Impacted SPRFs 05032013'!$A$2:$A$65536,1,FALSE)</f>
        <v>400012697</v>
      </c>
    </row>
    <row r="1415" spans="1:21" ht="45" x14ac:dyDescent="0.25">
      <c r="A1415" s="63">
        <f>MATCH($E1415,'D1 - Master Project Table'!$B$24:$B$7056,0)</f>
        <v>1927</v>
      </c>
      <c r="B1415" s="63" t="b">
        <f t="shared" si="66"/>
        <v>0</v>
      </c>
      <c r="C1415" s="63" t="b">
        <f t="shared" si="67"/>
        <v>1</v>
      </c>
      <c r="D1415" s="63" t="str">
        <f t="shared" si="68"/>
        <v>OK</v>
      </c>
      <c r="E1415" s="393">
        <v>400014296</v>
      </c>
      <c r="F1415" s="392" t="s">
        <v>2094</v>
      </c>
      <c r="G1415" s="392" t="s">
        <v>5324</v>
      </c>
      <c r="H1415" s="392" t="s">
        <v>7418</v>
      </c>
      <c r="I1415" s="392" t="s">
        <v>1757</v>
      </c>
      <c r="J1415" s="392" t="s">
        <v>8593</v>
      </c>
      <c r="K1415" s="392" t="s">
        <v>6273</v>
      </c>
      <c r="L1415" s="392" t="s">
        <v>4082</v>
      </c>
      <c r="M1415" s="392" t="s">
        <v>3758</v>
      </c>
      <c r="N1415" s="392" t="s">
        <v>7273</v>
      </c>
      <c r="O1415" s="392" t="s">
        <v>7273</v>
      </c>
      <c r="P1415"/>
      <c r="Q1415"/>
      <c r="R1415" s="387">
        <f>VLOOKUP(E1415,'[1]NDB Impacted SPRFs 05032013'!$A$2:$A$65536,1,FALSE)</f>
        <v>400014296</v>
      </c>
      <c r="S1415" s="159"/>
      <c r="T1415" s="159"/>
      <c r="U1415" s="159"/>
    </row>
    <row r="1416" spans="1:21" s="159" customFormat="1" ht="45" x14ac:dyDescent="0.25">
      <c r="A1416" s="63">
        <f>MATCH($E1416,'D1 - Master Project Table'!$B$24:$B$7056,0)</f>
        <v>881</v>
      </c>
      <c r="B1416" s="63" t="b">
        <f t="shared" si="66"/>
        <v>0</v>
      </c>
      <c r="C1416" s="63" t="b">
        <f t="shared" si="67"/>
        <v>1</v>
      </c>
      <c r="D1416" s="63" t="str">
        <f t="shared" si="68"/>
        <v>OK</v>
      </c>
      <c r="E1416" s="393">
        <v>400021036</v>
      </c>
      <c r="F1416" s="392" t="s">
        <v>6369</v>
      </c>
      <c r="G1416" s="392" t="s">
        <v>5324</v>
      </c>
      <c r="H1416" s="392" t="s">
        <v>7418</v>
      </c>
      <c r="I1416" s="392" t="s">
        <v>1788</v>
      </c>
      <c r="J1416" s="392" t="s">
        <v>8378</v>
      </c>
      <c r="K1416" s="392" t="s">
        <v>1506</v>
      </c>
      <c r="L1416" s="392" t="s">
        <v>6195</v>
      </c>
      <c r="M1416" s="392" t="s">
        <v>7273</v>
      </c>
      <c r="N1416" s="392" t="s">
        <v>7273</v>
      </c>
      <c r="O1416" s="392" t="s">
        <v>7273</v>
      </c>
      <c r="P1416"/>
      <c r="Q1416"/>
      <c r="R1416" s="387">
        <f>VLOOKUP(E1416,'[1]NDB Impacted SPRFs 05032013'!$A$2:$A$65536,1,FALSE)</f>
        <v>400021036</v>
      </c>
      <c r="S1416" s="128"/>
      <c r="T1416" s="128"/>
      <c r="U1416" s="128"/>
    </row>
    <row r="1417" spans="1:21" s="159" customFormat="1" ht="30" x14ac:dyDescent="0.25">
      <c r="A1417" s="63">
        <f>MATCH($E1417,'D1 - Master Project Table'!$B$24:$B$7056,0)</f>
        <v>1207</v>
      </c>
      <c r="B1417" s="63" t="b">
        <f t="shared" si="66"/>
        <v>0</v>
      </c>
      <c r="C1417" s="63" t="b">
        <f t="shared" si="67"/>
        <v>1</v>
      </c>
      <c r="D1417" s="63" t="str">
        <f t="shared" si="68"/>
        <v>OK</v>
      </c>
      <c r="E1417" s="393">
        <v>400023729</v>
      </c>
      <c r="F1417" s="392" t="s">
        <v>4911</v>
      </c>
      <c r="G1417" s="392" t="s">
        <v>6322</v>
      </c>
      <c r="H1417" s="392" t="s">
        <v>7418</v>
      </c>
      <c r="I1417" s="392" t="s">
        <v>7594</v>
      </c>
      <c r="J1417" s="392" t="s">
        <v>7233</v>
      </c>
      <c r="K1417" s="392" t="s">
        <v>2856</v>
      </c>
      <c r="L1417" s="392" t="s">
        <v>2369</v>
      </c>
      <c r="M1417" s="392" t="s">
        <v>7273</v>
      </c>
      <c r="N1417" s="392" t="s">
        <v>7273</v>
      </c>
      <c r="O1417" s="392" t="s">
        <v>7273</v>
      </c>
      <c r="P1417"/>
      <c r="Q1417"/>
      <c r="R1417" s="387">
        <f>VLOOKUP(E1417,'[1]NDB Impacted SPRFs 05032013'!$A$2:$A$65536,1,FALSE)</f>
        <v>400023729</v>
      </c>
    </row>
    <row r="1418" spans="1:21" s="159" customFormat="1" ht="30" x14ac:dyDescent="0.25">
      <c r="A1418" s="63">
        <f>MATCH($E1418,'D1 - Master Project Table'!$B$24:$B$7056,0)</f>
        <v>1354</v>
      </c>
      <c r="B1418" s="63" t="b">
        <f t="shared" si="66"/>
        <v>0</v>
      </c>
      <c r="C1418" s="63" t="b">
        <f t="shared" si="67"/>
        <v>1</v>
      </c>
      <c r="D1418" s="63" t="str">
        <f t="shared" si="68"/>
        <v>OK</v>
      </c>
      <c r="E1418" s="393">
        <v>400033766</v>
      </c>
      <c r="F1418" s="392" t="s">
        <v>2103</v>
      </c>
      <c r="G1418" s="392" t="s">
        <v>6322</v>
      </c>
      <c r="H1418" s="392" t="s">
        <v>7418</v>
      </c>
      <c r="I1418" s="392" t="s">
        <v>1762</v>
      </c>
      <c r="J1418" s="392" t="s">
        <v>8643</v>
      </c>
      <c r="K1418" s="392" t="s">
        <v>2104</v>
      </c>
      <c r="L1418" s="392" t="s">
        <v>5386</v>
      </c>
      <c r="M1418" s="392" t="s">
        <v>7273</v>
      </c>
      <c r="N1418" s="392" t="s">
        <v>7273</v>
      </c>
      <c r="O1418" s="392" t="s">
        <v>7273</v>
      </c>
      <c r="P1418"/>
      <c r="Q1418"/>
      <c r="R1418" s="387">
        <f>VLOOKUP(E1418,'[1]NDB Impacted SPRFs 05032013'!$A$2:$A$65536,1,FALSE)</f>
        <v>400033766</v>
      </c>
    </row>
    <row r="1419" spans="1:21" s="159" customFormat="1" ht="30" x14ac:dyDescent="0.25">
      <c r="A1419" s="63">
        <f>MATCH($E1419,'D1 - Master Project Table'!$B$24:$B$7056,0)</f>
        <v>3017</v>
      </c>
      <c r="B1419" s="63" t="b">
        <f t="shared" si="66"/>
        <v>0</v>
      </c>
      <c r="C1419" s="63" t="b">
        <f t="shared" si="67"/>
        <v>1</v>
      </c>
      <c r="D1419" s="63" t="str">
        <f t="shared" si="68"/>
        <v>OK</v>
      </c>
      <c r="E1419" s="393">
        <v>400040275</v>
      </c>
      <c r="F1419" s="392" t="s">
        <v>4549</v>
      </c>
      <c r="G1419" s="392" t="s">
        <v>5001</v>
      </c>
      <c r="H1419" s="392" t="s">
        <v>5314</v>
      </c>
      <c r="I1419" s="392" t="s">
        <v>3540</v>
      </c>
      <c r="J1419" s="392" t="s">
        <v>6985</v>
      </c>
      <c r="K1419" s="392" t="s">
        <v>6986</v>
      </c>
      <c r="L1419" s="392" t="s">
        <v>5608</v>
      </c>
      <c r="M1419" s="392" t="s">
        <v>7273</v>
      </c>
      <c r="N1419" s="392" t="s">
        <v>7273</v>
      </c>
      <c r="O1419" s="392" t="s">
        <v>7273</v>
      </c>
      <c r="P1419"/>
      <c r="Q1419"/>
      <c r="R1419" s="387">
        <f>VLOOKUP(E1419,'[1]NDB Impacted SPRFs 05032013'!$A$2:$A$65536,1,FALSE)</f>
        <v>400040275</v>
      </c>
    </row>
    <row r="1420" spans="1:21" ht="45" x14ac:dyDescent="0.25">
      <c r="A1420" s="63">
        <f>MATCH($E1420,'D1 - Master Project Table'!$B$24:$B$7056,0)</f>
        <v>487</v>
      </c>
      <c r="B1420" s="147" t="b">
        <f t="shared" si="66"/>
        <v>0</v>
      </c>
      <c r="C1420" s="147" t="b">
        <f t="shared" si="67"/>
        <v>1</v>
      </c>
      <c r="D1420" s="147" t="str">
        <f t="shared" si="68"/>
        <v>OK</v>
      </c>
      <c r="E1420" s="393">
        <v>400010736</v>
      </c>
      <c r="F1420" s="392" t="s">
        <v>1264</v>
      </c>
      <c r="G1420" s="392" t="s">
        <v>5324</v>
      </c>
      <c r="H1420" s="392" t="s">
        <v>7418</v>
      </c>
      <c r="I1420" s="392" t="s">
        <v>1759</v>
      </c>
      <c r="J1420" s="392" t="s">
        <v>8272</v>
      </c>
      <c r="K1420" s="392" t="s">
        <v>1265</v>
      </c>
      <c r="L1420" s="392" t="s">
        <v>4227</v>
      </c>
      <c r="M1420" s="392" t="s">
        <v>7273</v>
      </c>
      <c r="N1420" s="392" t="s">
        <v>7273</v>
      </c>
      <c r="O1420" s="392" t="s">
        <v>7273</v>
      </c>
      <c r="P1420"/>
      <c r="Q1420"/>
      <c r="R1420" s="387">
        <f>VLOOKUP(E1420,'[1]NDB Impacted SPRFs 05032013'!$A$2:$A$65536,1,FALSE)</f>
        <v>400010736</v>
      </c>
      <c r="S1420" s="159"/>
      <c r="T1420" s="159"/>
      <c r="U1420" s="159"/>
    </row>
    <row r="1421" spans="1:21" s="161" customFormat="1" ht="30" x14ac:dyDescent="0.25">
      <c r="A1421" s="63">
        <f>MATCH($E1421,'D1 - Master Project Table'!$B$24:$B$7056,0)</f>
        <v>652</v>
      </c>
      <c r="B1421" s="63" t="b">
        <f t="shared" si="66"/>
        <v>0</v>
      </c>
      <c r="C1421" s="63" t="b">
        <f t="shared" si="67"/>
        <v>1</v>
      </c>
      <c r="D1421" s="63" t="str">
        <f t="shared" si="68"/>
        <v>OK</v>
      </c>
      <c r="E1421" s="393">
        <v>400015728</v>
      </c>
      <c r="F1421" s="392" t="s">
        <v>6278</v>
      </c>
      <c r="G1421" s="392" t="s">
        <v>3441</v>
      </c>
      <c r="H1421" s="392" t="s">
        <v>7418</v>
      </c>
      <c r="I1421" s="392" t="s">
        <v>1769</v>
      </c>
      <c r="J1421" s="392" t="s">
        <v>7233</v>
      </c>
      <c r="K1421" s="392" t="s">
        <v>6899</v>
      </c>
      <c r="L1421" s="392" t="s">
        <v>3957</v>
      </c>
      <c r="M1421" s="392" t="s">
        <v>7273</v>
      </c>
      <c r="N1421" s="392" t="s">
        <v>7273</v>
      </c>
      <c r="O1421" s="392" t="s">
        <v>7273</v>
      </c>
      <c r="P1421"/>
      <c r="Q1421"/>
      <c r="R1421" s="387">
        <f>VLOOKUP(E1421,'[1]NDB Impacted SPRFs 05032013'!$A$2:$A$65536,1,FALSE)</f>
        <v>400015728</v>
      </c>
      <c r="S1421" s="159"/>
      <c r="T1421" s="159"/>
      <c r="U1421" s="159"/>
    </row>
    <row r="1422" spans="1:21" s="159" customFormat="1" ht="45" x14ac:dyDescent="0.25">
      <c r="A1422" s="63">
        <f>MATCH($E1422,'D1 - Master Project Table'!$B$24:$B$7056,0)</f>
        <v>2866</v>
      </c>
      <c r="B1422" s="63" t="b">
        <f t="shared" si="66"/>
        <v>0</v>
      </c>
      <c r="C1422" s="63" t="b">
        <f t="shared" si="67"/>
        <v>1</v>
      </c>
      <c r="D1422" s="63" t="str">
        <f t="shared" si="68"/>
        <v>OK</v>
      </c>
      <c r="E1422" s="393">
        <v>400027875</v>
      </c>
      <c r="F1422" s="392" t="s">
        <v>7455</v>
      </c>
      <c r="G1422" s="392" t="s">
        <v>5324</v>
      </c>
      <c r="H1422" s="392" t="s">
        <v>5314</v>
      </c>
      <c r="I1422" s="392" t="s">
        <v>1763</v>
      </c>
      <c r="J1422" s="392" t="s">
        <v>8424</v>
      </c>
      <c r="K1422" s="392" t="s">
        <v>5642</v>
      </c>
      <c r="L1422" s="392" t="s">
        <v>1559</v>
      </c>
      <c r="M1422" s="392" t="s">
        <v>3758</v>
      </c>
      <c r="N1422" s="392" t="s">
        <v>7273</v>
      </c>
      <c r="O1422" s="392" t="s">
        <v>7273</v>
      </c>
      <c r="P1422"/>
      <c r="Q1422"/>
      <c r="R1422" s="387">
        <f>VLOOKUP(E1422,'[1]NDB Impacted SPRFs 05032013'!$A$2:$A$65536,1,FALSE)</f>
        <v>400027875</v>
      </c>
    </row>
    <row r="1423" spans="1:21" ht="30" x14ac:dyDescent="0.25">
      <c r="A1423" s="63">
        <f>MATCH($E1423,'D1 - Master Project Table'!$B$24:$B$7056,0)</f>
        <v>2897</v>
      </c>
      <c r="B1423" s="63" t="b">
        <f t="shared" si="66"/>
        <v>0</v>
      </c>
      <c r="C1423" s="63" t="b">
        <f t="shared" si="67"/>
        <v>1</v>
      </c>
      <c r="D1423" s="63" t="str">
        <f t="shared" si="68"/>
        <v>OK</v>
      </c>
      <c r="E1423" s="393">
        <v>400030284</v>
      </c>
      <c r="F1423" s="392" t="s">
        <v>2889</v>
      </c>
      <c r="G1423" s="392" t="s">
        <v>5001</v>
      </c>
      <c r="H1423" s="392" t="s">
        <v>5314</v>
      </c>
      <c r="I1423" s="392" t="s">
        <v>3540</v>
      </c>
      <c r="J1423" s="392" t="s">
        <v>3220</v>
      </c>
      <c r="K1423" s="392" t="s">
        <v>6885</v>
      </c>
      <c r="L1423" s="392" t="s">
        <v>105</v>
      </c>
      <c r="M1423" s="392" t="s">
        <v>3758</v>
      </c>
      <c r="N1423" s="392" t="s">
        <v>7273</v>
      </c>
      <c r="O1423" s="392" t="s">
        <v>7273</v>
      </c>
      <c r="P1423" s="212"/>
      <c r="Q1423"/>
      <c r="R1423" s="387">
        <f>VLOOKUP(E1423,'[1]NDB Impacted SPRFs 05032013'!$A$2:$A$65536,1,FALSE)</f>
        <v>400030284</v>
      </c>
      <c r="S1423" s="160"/>
      <c r="T1423" s="160"/>
      <c r="U1423" s="160"/>
    </row>
    <row r="1424" spans="1:21" s="159" customFormat="1" ht="45" x14ac:dyDescent="0.25">
      <c r="A1424" s="63">
        <f>MATCH($E1424,'D1 - Master Project Table'!$B$24:$B$7056,0)</f>
        <v>2279</v>
      </c>
      <c r="B1424" s="63" t="b">
        <f t="shared" si="66"/>
        <v>0</v>
      </c>
      <c r="C1424" s="63" t="b">
        <f t="shared" si="67"/>
        <v>1</v>
      </c>
      <c r="D1424" s="63" t="str">
        <f t="shared" si="68"/>
        <v>OK</v>
      </c>
      <c r="E1424" s="393">
        <v>400037047</v>
      </c>
      <c r="F1424" s="392" t="s">
        <v>5924</v>
      </c>
      <c r="G1424" s="392" t="s">
        <v>5325</v>
      </c>
      <c r="H1424" s="392" t="s">
        <v>7418</v>
      </c>
      <c r="I1424" s="392" t="s">
        <v>1804</v>
      </c>
      <c r="J1424" s="392" t="s">
        <v>6011</v>
      </c>
      <c r="K1424" s="392" t="s">
        <v>5063</v>
      </c>
      <c r="L1424" s="392" t="s">
        <v>5370</v>
      </c>
      <c r="M1424" s="392" t="s">
        <v>7273</v>
      </c>
      <c r="N1424" s="392" t="s">
        <v>7273</v>
      </c>
      <c r="O1424" s="392" t="s">
        <v>7273</v>
      </c>
      <c r="P1424"/>
      <c r="Q1424"/>
      <c r="R1424" s="387">
        <f>VLOOKUP(E1424,'[1]NDB Impacted SPRFs 05032013'!$A$2:$A$65536,1,FALSE)</f>
        <v>400037047</v>
      </c>
    </row>
    <row r="1425" spans="1:21" s="159" customFormat="1" ht="30" x14ac:dyDescent="0.25">
      <c r="A1425" s="63" t="e">
        <f>MATCH($E1425,'D1 - Master Project Table'!$B$24:$B$7056,0)</f>
        <v>#N/A</v>
      </c>
      <c r="B1425" s="63" t="b">
        <f t="shared" si="66"/>
        <v>1</v>
      </c>
      <c r="C1425" s="63" t="b">
        <f t="shared" si="67"/>
        <v>1</v>
      </c>
      <c r="D1425" s="63" t="str">
        <f t="shared" si="68"/>
        <v>OK</v>
      </c>
      <c r="E1425" s="393">
        <v>400041162</v>
      </c>
      <c r="F1425" s="392" t="s">
        <v>1536</v>
      </c>
      <c r="G1425" s="392" t="s">
        <v>6322</v>
      </c>
      <c r="H1425" s="392" t="s">
        <v>5314</v>
      </c>
      <c r="I1425" s="392" t="s">
        <v>7594</v>
      </c>
      <c r="J1425" s="392" t="s">
        <v>4688</v>
      </c>
      <c r="K1425" s="392" t="s">
        <v>7164</v>
      </c>
      <c r="L1425" s="392" t="s">
        <v>3184</v>
      </c>
      <c r="M1425" s="392" t="s">
        <v>7273</v>
      </c>
      <c r="N1425" s="392" t="s">
        <v>7273</v>
      </c>
      <c r="O1425" s="392" t="s">
        <v>7273</v>
      </c>
      <c r="P1425"/>
      <c r="Q1425"/>
      <c r="R1425" s="387">
        <f>VLOOKUP(E1425,'[1]NDB Impacted SPRFs 05032013'!$A$2:$A$65536,1,FALSE)</f>
        <v>400041162</v>
      </c>
    </row>
    <row r="1426" spans="1:21" ht="30" x14ac:dyDescent="0.25">
      <c r="A1426" s="63">
        <f>MATCH($E1426,'D1 - Master Project Table'!$B$24:$B$7056,0)</f>
        <v>3039</v>
      </c>
      <c r="B1426" s="63" t="b">
        <f t="shared" si="66"/>
        <v>0</v>
      </c>
      <c r="C1426" s="63" t="b">
        <f t="shared" si="67"/>
        <v>1</v>
      </c>
      <c r="D1426" s="63" t="str">
        <f t="shared" si="68"/>
        <v>OK</v>
      </c>
      <c r="E1426" s="393">
        <v>400042436</v>
      </c>
      <c r="F1426" s="392" t="s">
        <v>1893</v>
      </c>
      <c r="G1426" s="392" t="s">
        <v>5995</v>
      </c>
      <c r="H1426" s="392" t="s">
        <v>5314</v>
      </c>
      <c r="I1426" s="392" t="s">
        <v>6423</v>
      </c>
      <c r="J1426" s="392" t="s">
        <v>1894</v>
      </c>
      <c r="K1426" s="392" t="s">
        <v>1895</v>
      </c>
      <c r="L1426" s="392" t="s">
        <v>5259</v>
      </c>
      <c r="M1426" s="392" t="s">
        <v>7273</v>
      </c>
      <c r="N1426" s="392" t="s">
        <v>7273</v>
      </c>
      <c r="O1426" s="392" t="s">
        <v>7273</v>
      </c>
      <c r="P1426"/>
      <c r="Q1426"/>
      <c r="R1426" s="387">
        <f>VLOOKUP(E1426,'[1]NDB Impacted SPRFs 05032013'!$A$2:$A$65536,1,FALSE)</f>
        <v>400042436</v>
      </c>
    </row>
    <row r="1427" spans="1:21" s="159" customFormat="1" ht="45" x14ac:dyDescent="0.25">
      <c r="A1427" s="63">
        <f>MATCH($E1427,'D1 - Master Project Table'!$B$24:$B$7056,0)</f>
        <v>146</v>
      </c>
      <c r="B1427" s="63" t="b">
        <f t="shared" si="66"/>
        <v>0</v>
      </c>
      <c r="C1427" s="63" t="b">
        <f t="shared" si="67"/>
        <v>0</v>
      </c>
      <c r="D1427" s="63" t="str">
        <f t="shared" si="68"/>
        <v>OK</v>
      </c>
      <c r="E1427" s="393">
        <v>400057571</v>
      </c>
      <c r="F1427" s="392" t="s">
        <v>8966</v>
      </c>
      <c r="G1427" s="392" t="s">
        <v>5324</v>
      </c>
      <c r="H1427" s="392" t="s">
        <v>4917</v>
      </c>
      <c r="I1427" s="392" t="s">
        <v>1763</v>
      </c>
      <c r="J1427" s="392" t="s">
        <v>9068</v>
      </c>
      <c r="K1427" s="392" t="s">
        <v>248</v>
      </c>
      <c r="L1427" s="392" t="s">
        <v>9440</v>
      </c>
      <c r="M1427" s="392" t="s">
        <v>7273</v>
      </c>
      <c r="N1427" s="392" t="s">
        <v>7273</v>
      </c>
      <c r="O1427" s="392" t="s">
        <v>7273</v>
      </c>
      <c r="P1427"/>
      <c r="Q1427"/>
      <c r="R1427" s="387">
        <f>VLOOKUP(E1427,'[1]NDB Impacted SPRFs 05032013'!$A$2:$A$65536,1,FALSE)</f>
        <v>400057571</v>
      </c>
    </row>
    <row r="1428" spans="1:21" s="159" customFormat="1" ht="30" x14ac:dyDescent="0.25">
      <c r="A1428" s="63">
        <f>MATCH($E1428,'D1 - Master Project Table'!$B$24:$B$7056,0)</f>
        <v>1904</v>
      </c>
      <c r="B1428" s="63" t="b">
        <f t="shared" si="66"/>
        <v>0</v>
      </c>
      <c r="C1428" s="63" t="b">
        <f t="shared" si="67"/>
        <v>1</v>
      </c>
      <c r="D1428" s="63" t="str">
        <f t="shared" si="68"/>
        <v>OK</v>
      </c>
      <c r="E1428" s="393">
        <v>400008049</v>
      </c>
      <c r="F1428" s="392" t="s">
        <v>6262</v>
      </c>
      <c r="G1428" s="392" t="s">
        <v>5787</v>
      </c>
      <c r="H1428" s="392" t="s">
        <v>7418</v>
      </c>
      <c r="I1428" s="392" t="s">
        <v>1775</v>
      </c>
      <c r="J1428" s="392" t="s">
        <v>4997</v>
      </c>
      <c r="K1428" s="392" t="s">
        <v>2523</v>
      </c>
      <c r="L1428" s="392" t="s">
        <v>5014</v>
      </c>
      <c r="M1428" s="392" t="s">
        <v>7273</v>
      </c>
      <c r="N1428" s="392" t="s">
        <v>7273</v>
      </c>
      <c r="O1428" s="392" t="s">
        <v>7273</v>
      </c>
      <c r="P1428"/>
      <c r="Q1428"/>
      <c r="R1428" s="387">
        <f>VLOOKUP(E1428,'[1]NDB Impacted SPRFs 05032013'!$A$2:$A$65536,1,FALSE)</f>
        <v>400008049</v>
      </c>
    </row>
    <row r="1429" spans="1:21" s="159" customFormat="1" ht="45" x14ac:dyDescent="0.25">
      <c r="A1429" s="63">
        <f>MATCH($E1429,'D1 - Master Project Table'!$B$24:$B$7056,0)</f>
        <v>807</v>
      </c>
      <c r="B1429" s="63" t="b">
        <f t="shared" si="66"/>
        <v>0</v>
      </c>
      <c r="C1429" s="63" t="b">
        <f t="shared" si="67"/>
        <v>1</v>
      </c>
      <c r="D1429" s="63" t="str">
        <f t="shared" si="68"/>
        <v>OK</v>
      </c>
      <c r="E1429" s="393">
        <v>400020443</v>
      </c>
      <c r="F1429" s="392" t="s">
        <v>5181</v>
      </c>
      <c r="G1429" s="392" t="s">
        <v>5324</v>
      </c>
      <c r="H1429" s="392" t="s">
        <v>7418</v>
      </c>
      <c r="I1429" s="392" t="s">
        <v>1788</v>
      </c>
      <c r="J1429" s="392" t="s">
        <v>8437</v>
      </c>
      <c r="K1429" s="392" t="s">
        <v>1506</v>
      </c>
      <c r="L1429" s="392" t="s">
        <v>2881</v>
      </c>
      <c r="M1429" s="392" t="s">
        <v>7273</v>
      </c>
      <c r="N1429" s="392" t="s">
        <v>7273</v>
      </c>
      <c r="O1429" s="392" t="s">
        <v>7273</v>
      </c>
      <c r="P1429" s="212"/>
      <c r="Q1429" s="212"/>
      <c r="R1429" s="387">
        <f>VLOOKUP(E1429,'[1]NDB Impacted SPRFs 05032013'!$A$2:$A$65536,1,FALSE)</f>
        <v>400020443</v>
      </c>
      <c r="S1429" s="128"/>
      <c r="T1429" s="128"/>
      <c r="U1429" s="128"/>
    </row>
    <row r="1430" spans="1:21" s="159" customFormat="1" ht="30" x14ac:dyDescent="0.25">
      <c r="A1430" s="63" t="e">
        <f>MATCH($E1430,'D1 - Master Project Table'!$B$24:$B$7056,0)</f>
        <v>#N/A</v>
      </c>
      <c r="B1430" s="63" t="b">
        <f t="shared" si="66"/>
        <v>1</v>
      </c>
      <c r="C1430" s="63" t="b">
        <f t="shared" si="67"/>
        <v>1</v>
      </c>
      <c r="D1430" s="63" t="str">
        <f t="shared" si="68"/>
        <v>OK</v>
      </c>
      <c r="E1430" s="393">
        <v>400023042</v>
      </c>
      <c r="F1430" s="392" t="s">
        <v>4089</v>
      </c>
      <c r="G1430" s="392" t="s">
        <v>3441</v>
      </c>
      <c r="H1430" s="392" t="s">
        <v>5314</v>
      </c>
      <c r="I1430" s="392" t="s">
        <v>2662</v>
      </c>
      <c r="J1430" s="392" t="s">
        <v>8437</v>
      </c>
      <c r="K1430" s="392" t="s">
        <v>1506</v>
      </c>
      <c r="L1430" s="392" t="s">
        <v>2881</v>
      </c>
      <c r="M1430" s="392" t="s">
        <v>7273</v>
      </c>
      <c r="N1430" s="392" t="s">
        <v>7273</v>
      </c>
      <c r="O1430" s="392" t="s">
        <v>7273</v>
      </c>
      <c r="P1430"/>
      <c r="Q1430"/>
      <c r="R1430" s="387">
        <f>VLOOKUP(E1430,'[1]NDB Impacted SPRFs 05032013'!$A$2:$A$65536,1,FALSE)</f>
        <v>400023042</v>
      </c>
      <c r="S1430" s="128"/>
      <c r="T1430" s="128"/>
      <c r="U1430" s="128"/>
    </row>
    <row r="1431" spans="1:21" s="159" customFormat="1" ht="45" x14ac:dyDescent="0.25">
      <c r="A1431" s="63">
        <f>MATCH($E1431,'D1 - Master Project Table'!$B$24:$B$7056,0)</f>
        <v>1427</v>
      </c>
      <c r="B1431" s="63" t="b">
        <f t="shared" si="66"/>
        <v>0</v>
      </c>
      <c r="C1431" s="63" t="b">
        <f t="shared" si="67"/>
        <v>1</v>
      </c>
      <c r="D1431" s="63" t="str">
        <f t="shared" si="68"/>
        <v>OK</v>
      </c>
      <c r="E1431" s="393">
        <v>400038669</v>
      </c>
      <c r="F1431" s="392" t="s">
        <v>7885</v>
      </c>
      <c r="G1431" s="392" t="s">
        <v>5324</v>
      </c>
      <c r="H1431" s="392" t="s">
        <v>7418</v>
      </c>
      <c r="I1431" s="392" t="s">
        <v>1756</v>
      </c>
      <c r="J1431" s="392" t="s">
        <v>7835</v>
      </c>
      <c r="K1431" s="392" t="s">
        <v>1989</v>
      </c>
      <c r="L1431" s="392" t="s">
        <v>206</v>
      </c>
      <c r="M1431" s="392" t="s">
        <v>7273</v>
      </c>
      <c r="N1431" s="392" t="s">
        <v>7273</v>
      </c>
      <c r="O1431" s="392" t="s">
        <v>7273</v>
      </c>
      <c r="P1431"/>
      <c r="Q1431"/>
      <c r="R1431" s="387">
        <f>VLOOKUP(E1431,'[1]NDB Impacted SPRFs 05032013'!$A$2:$A$65536,1,FALSE)</f>
        <v>400038669</v>
      </c>
    </row>
    <row r="1432" spans="1:21" ht="45" x14ac:dyDescent="0.25">
      <c r="A1432" s="63">
        <f>MATCH($E1432,'D1 - Master Project Table'!$B$24:$B$7056,0)</f>
        <v>3059</v>
      </c>
      <c r="B1432" s="63" t="b">
        <f t="shared" si="66"/>
        <v>0</v>
      </c>
      <c r="C1432" s="63" t="b">
        <f t="shared" si="67"/>
        <v>1</v>
      </c>
      <c r="D1432" s="63" t="str">
        <f t="shared" si="68"/>
        <v>OK</v>
      </c>
      <c r="E1432" s="393">
        <v>400044141</v>
      </c>
      <c r="F1432" s="392" t="s">
        <v>2252</v>
      </c>
      <c r="G1432" s="392" t="s">
        <v>5324</v>
      </c>
      <c r="H1432" s="392" t="s">
        <v>5314</v>
      </c>
      <c r="I1432" s="392" t="s">
        <v>1787</v>
      </c>
      <c r="J1432" s="392" t="s">
        <v>8321</v>
      </c>
      <c r="K1432" s="392" t="s">
        <v>1181</v>
      </c>
      <c r="L1432" s="392" t="s">
        <v>2253</v>
      </c>
      <c r="M1432" s="392" t="s">
        <v>7273</v>
      </c>
      <c r="N1432" s="392" t="s">
        <v>7273</v>
      </c>
      <c r="O1432" s="392" t="s">
        <v>7273</v>
      </c>
      <c r="P1432"/>
      <c r="Q1432"/>
      <c r="R1432" s="387">
        <f>VLOOKUP(E1432,'[1]NDB Impacted SPRFs 05032013'!$A$2:$A$65536,1,FALSE)</f>
        <v>400044141</v>
      </c>
      <c r="S1432" s="159"/>
      <c r="T1432" s="159"/>
      <c r="U1432" s="159"/>
    </row>
    <row r="1433" spans="1:21" s="159" customFormat="1" ht="45" x14ac:dyDescent="0.25">
      <c r="A1433" s="63" t="e">
        <f>MATCH($E1433,'D1 - Master Project Table'!$B$24:$B$7056,0)</f>
        <v>#N/A</v>
      </c>
      <c r="B1433" s="63" t="b">
        <f t="shared" si="66"/>
        <v>1</v>
      </c>
      <c r="C1433" s="63" t="b">
        <f t="shared" si="67"/>
        <v>1</v>
      </c>
      <c r="D1433" s="63" t="str">
        <f t="shared" si="68"/>
        <v>OK</v>
      </c>
      <c r="E1433" s="393">
        <v>400001113</v>
      </c>
      <c r="F1433" s="392" t="s">
        <v>2962</v>
      </c>
      <c r="G1433" s="392" t="s">
        <v>5324</v>
      </c>
      <c r="H1433" s="392" t="s">
        <v>5314</v>
      </c>
      <c r="I1433" s="392" t="s">
        <v>1805</v>
      </c>
      <c r="J1433" s="392" t="s">
        <v>8532</v>
      </c>
      <c r="K1433" s="392" t="s">
        <v>2447</v>
      </c>
      <c r="L1433" s="392" t="s">
        <v>4327</v>
      </c>
      <c r="M1433" s="392" t="s">
        <v>3758</v>
      </c>
      <c r="N1433" s="392" t="s">
        <v>7273</v>
      </c>
      <c r="O1433" s="392" t="s">
        <v>7273</v>
      </c>
      <c r="P1433"/>
      <c r="Q1433"/>
      <c r="R1433" s="387">
        <f>VLOOKUP(E1433,'[1]NDB Impacted SPRFs 05032013'!$A$2:$A$65536,1,FALSE)</f>
        <v>400001113</v>
      </c>
    </row>
    <row r="1434" spans="1:21" s="159" customFormat="1" ht="30" x14ac:dyDescent="0.25">
      <c r="A1434" s="63">
        <f>MATCH($E1434,'D1 - Master Project Table'!$B$24:$B$7056,0)</f>
        <v>1962</v>
      </c>
      <c r="B1434" s="63" t="b">
        <f t="shared" si="66"/>
        <v>0</v>
      </c>
      <c r="C1434" s="63" t="b">
        <f t="shared" si="67"/>
        <v>1</v>
      </c>
      <c r="D1434" s="63" t="str">
        <f t="shared" si="68"/>
        <v>OK</v>
      </c>
      <c r="E1434" s="393">
        <v>400022873</v>
      </c>
      <c r="F1434" s="392" t="s">
        <v>7799</v>
      </c>
      <c r="G1434" s="392" t="s">
        <v>6065</v>
      </c>
      <c r="H1434" s="392" t="s">
        <v>7418</v>
      </c>
      <c r="I1434" s="392" t="s">
        <v>2655</v>
      </c>
      <c r="J1434" s="392" t="s">
        <v>4540</v>
      </c>
      <c r="K1434" s="392" t="s">
        <v>5218</v>
      </c>
      <c r="L1434" s="392" t="s">
        <v>704</v>
      </c>
      <c r="M1434" s="392" t="s">
        <v>3758</v>
      </c>
      <c r="N1434" s="392" t="s">
        <v>7273</v>
      </c>
      <c r="O1434" s="392" t="s">
        <v>7273</v>
      </c>
      <c r="P1434"/>
      <c r="Q1434"/>
      <c r="R1434" s="387">
        <f>VLOOKUP(E1434,'[1]NDB Impacted SPRFs 05032013'!$A$2:$A$65536,1,FALSE)</f>
        <v>400022873</v>
      </c>
    </row>
    <row r="1435" spans="1:21" ht="45" x14ac:dyDescent="0.25">
      <c r="A1435" s="63">
        <f>MATCH($E1435,'D1 - Master Project Table'!$B$24:$B$7056,0)</f>
        <v>1695</v>
      </c>
      <c r="B1435" s="63" t="b">
        <f t="shared" si="66"/>
        <v>0</v>
      </c>
      <c r="C1435" s="63" t="b">
        <f t="shared" si="67"/>
        <v>1</v>
      </c>
      <c r="D1435" s="63" t="str">
        <f t="shared" si="68"/>
        <v>OK</v>
      </c>
      <c r="E1435" s="393">
        <v>400046682</v>
      </c>
      <c r="F1435" s="392" t="s">
        <v>1548</v>
      </c>
      <c r="G1435" s="392" t="s">
        <v>5324</v>
      </c>
      <c r="H1435" s="392" t="s">
        <v>7418</v>
      </c>
      <c r="I1435" s="392" t="s">
        <v>1758</v>
      </c>
      <c r="J1435" s="392" t="s">
        <v>2150</v>
      </c>
      <c r="K1435" s="392" t="s">
        <v>1549</v>
      </c>
      <c r="L1435" s="392" t="s">
        <v>1454</v>
      </c>
      <c r="M1435" s="392" t="s">
        <v>7273</v>
      </c>
      <c r="N1435" s="392" t="s">
        <v>7273</v>
      </c>
      <c r="O1435" s="392" t="s">
        <v>7273</v>
      </c>
      <c r="P1435"/>
      <c r="Q1435"/>
      <c r="R1435" s="387">
        <f>VLOOKUP(E1435,'[1]NDB Impacted SPRFs 05032013'!$A$2:$A$65536,1,FALSE)</f>
        <v>400046682</v>
      </c>
      <c r="S1435" s="159"/>
      <c r="T1435" s="159"/>
      <c r="U1435" s="159"/>
    </row>
    <row r="1436" spans="1:21" s="159" customFormat="1" ht="45" x14ac:dyDescent="0.25">
      <c r="A1436" s="63">
        <f>MATCH($E1436,'D1 - Master Project Table'!$B$24:$B$7056,0)</f>
        <v>3290</v>
      </c>
      <c r="B1436" s="63" t="b">
        <f t="shared" si="66"/>
        <v>0</v>
      </c>
      <c r="C1436" s="63" t="b">
        <f t="shared" si="67"/>
        <v>1</v>
      </c>
      <c r="D1436" s="63" t="str">
        <f t="shared" si="68"/>
        <v>OK</v>
      </c>
      <c r="E1436" s="393">
        <v>400052237</v>
      </c>
      <c r="F1436" s="392" t="s">
        <v>1466</v>
      </c>
      <c r="G1436" s="392" t="s">
        <v>5324</v>
      </c>
      <c r="H1436" s="392" t="s">
        <v>7418</v>
      </c>
      <c r="I1436" s="392" t="s">
        <v>1762</v>
      </c>
      <c r="J1436" s="392" t="s">
        <v>8483</v>
      </c>
      <c r="K1436" s="392" t="s">
        <v>6371</v>
      </c>
      <c r="L1436" s="392" t="s">
        <v>271</v>
      </c>
      <c r="M1436" s="392" t="s">
        <v>7273</v>
      </c>
      <c r="N1436" s="392" t="s">
        <v>7273</v>
      </c>
      <c r="O1436" s="392" t="s">
        <v>7273</v>
      </c>
      <c r="P1436"/>
      <c r="Q1436"/>
      <c r="R1436" s="387">
        <f>VLOOKUP(E1436,'[1]NDB Impacted SPRFs 05032013'!$A$2:$A$65536,1,FALSE)</f>
        <v>400052237</v>
      </c>
    </row>
    <row r="1437" spans="1:21" s="159" customFormat="1" ht="45" x14ac:dyDescent="0.25">
      <c r="A1437" s="63">
        <f>MATCH($E1437,'D1 - Master Project Table'!$B$24:$B$7056,0)</f>
        <v>789</v>
      </c>
      <c r="B1437" s="63" t="b">
        <f t="shared" si="66"/>
        <v>0</v>
      </c>
      <c r="C1437" s="63" t="b">
        <f t="shared" si="67"/>
        <v>1</v>
      </c>
      <c r="D1437" s="63" t="str">
        <f t="shared" si="68"/>
        <v>OK</v>
      </c>
      <c r="E1437" s="393">
        <v>400014653</v>
      </c>
      <c r="F1437" s="392" t="s">
        <v>6654</v>
      </c>
      <c r="G1437" s="392" t="s">
        <v>5324</v>
      </c>
      <c r="H1437" s="392" t="s">
        <v>7418</v>
      </c>
      <c r="I1437" s="392" t="s">
        <v>1759</v>
      </c>
      <c r="J1437" s="392" t="s">
        <v>8388</v>
      </c>
      <c r="K1437" s="392" t="s">
        <v>8075</v>
      </c>
      <c r="L1437" s="392" t="s">
        <v>3958</v>
      </c>
      <c r="M1437" s="392" t="s">
        <v>7273</v>
      </c>
      <c r="N1437" s="392" t="s">
        <v>7273</v>
      </c>
      <c r="O1437" s="392" t="s">
        <v>7273</v>
      </c>
      <c r="P1437"/>
      <c r="Q1437"/>
      <c r="R1437" s="387">
        <f>VLOOKUP(E1437,'[1]NDB Impacted SPRFs 05032013'!$A$2:$A$65536,1,FALSE)</f>
        <v>400014653</v>
      </c>
    </row>
    <row r="1438" spans="1:21" s="159" customFormat="1" ht="45" x14ac:dyDescent="0.25">
      <c r="A1438" s="63">
        <f>MATCH($E1438,'D1 - Master Project Table'!$B$24:$B$7056,0)</f>
        <v>2822</v>
      </c>
      <c r="B1438" s="63" t="b">
        <f t="shared" si="66"/>
        <v>0</v>
      </c>
      <c r="C1438" s="63" t="b">
        <f t="shared" si="67"/>
        <v>1</v>
      </c>
      <c r="D1438" s="63" t="str">
        <f t="shared" si="68"/>
        <v>OK</v>
      </c>
      <c r="E1438" s="393">
        <v>400024723</v>
      </c>
      <c r="F1438" s="392" t="s">
        <v>2577</v>
      </c>
      <c r="G1438" s="392" t="s">
        <v>5324</v>
      </c>
      <c r="H1438" s="392" t="s">
        <v>5314</v>
      </c>
      <c r="I1438" s="392" t="s">
        <v>1757</v>
      </c>
      <c r="J1438" s="392" t="s">
        <v>3936</v>
      </c>
      <c r="K1438" s="392" t="s">
        <v>2578</v>
      </c>
      <c r="L1438" s="392" t="s">
        <v>7477</v>
      </c>
      <c r="M1438" s="392" t="s">
        <v>7273</v>
      </c>
      <c r="N1438" s="392" t="s">
        <v>7273</v>
      </c>
      <c r="O1438" s="392" t="s">
        <v>7273</v>
      </c>
      <c r="P1438"/>
      <c r="Q1438"/>
      <c r="R1438" s="387">
        <f>VLOOKUP(E1438,'[1]NDB Impacted SPRFs 05032013'!$A$2:$A$65536,1,FALSE)</f>
        <v>400024723</v>
      </c>
    </row>
    <row r="1439" spans="1:21" s="159" customFormat="1" ht="45" x14ac:dyDescent="0.25">
      <c r="A1439" s="63">
        <f>MATCH($E1439,'D1 - Master Project Table'!$B$24:$B$7056,0)</f>
        <v>1292</v>
      </c>
      <c r="B1439" s="63" t="b">
        <f t="shared" si="66"/>
        <v>0</v>
      </c>
      <c r="C1439" s="63" t="b">
        <f t="shared" si="67"/>
        <v>1</v>
      </c>
      <c r="D1439" s="63" t="str">
        <f t="shared" si="68"/>
        <v>OK</v>
      </c>
      <c r="E1439" s="393">
        <v>400032696</v>
      </c>
      <c r="F1439" s="392" t="s">
        <v>6025</v>
      </c>
      <c r="G1439" s="392" t="s">
        <v>5325</v>
      </c>
      <c r="H1439" s="392" t="s">
        <v>7418</v>
      </c>
      <c r="I1439" s="392" t="s">
        <v>6419</v>
      </c>
      <c r="J1439" s="392" t="s">
        <v>1433</v>
      </c>
      <c r="K1439" s="392" t="s">
        <v>4595</v>
      </c>
      <c r="L1439" s="392" t="s">
        <v>8206</v>
      </c>
      <c r="M1439" s="392" t="s">
        <v>3758</v>
      </c>
      <c r="N1439" s="392" t="s">
        <v>7273</v>
      </c>
      <c r="O1439" s="392" t="s">
        <v>7273</v>
      </c>
      <c r="P1439"/>
      <c r="Q1439"/>
      <c r="R1439" s="387">
        <f>VLOOKUP(E1439,'[1]NDB Impacted SPRFs 05032013'!$A$2:$A$65536,1,FALSE)</f>
        <v>400032696</v>
      </c>
    </row>
    <row r="1440" spans="1:21" s="159" customFormat="1" ht="30" x14ac:dyDescent="0.25">
      <c r="A1440" s="63">
        <f>MATCH($E1440,'D1 - Master Project Table'!$B$24:$B$7056,0)</f>
        <v>1278</v>
      </c>
      <c r="B1440" s="63" t="b">
        <f t="shared" si="66"/>
        <v>0</v>
      </c>
      <c r="C1440" s="63" t="b">
        <f t="shared" si="67"/>
        <v>1</v>
      </c>
      <c r="D1440" s="63" t="str">
        <f t="shared" si="68"/>
        <v>OK</v>
      </c>
      <c r="E1440" s="393">
        <v>400036244</v>
      </c>
      <c r="F1440" s="392" t="s">
        <v>4687</v>
      </c>
      <c r="G1440" s="392" t="s">
        <v>6322</v>
      </c>
      <c r="H1440" s="392" t="s">
        <v>7418</v>
      </c>
      <c r="I1440" s="392" t="s">
        <v>7594</v>
      </c>
      <c r="J1440" s="392" t="s">
        <v>4688</v>
      </c>
      <c r="K1440" s="392" t="s">
        <v>7102</v>
      </c>
      <c r="L1440" s="392" t="s">
        <v>4295</v>
      </c>
      <c r="M1440" s="392" t="s">
        <v>7273</v>
      </c>
      <c r="N1440" s="392" t="s">
        <v>7273</v>
      </c>
      <c r="O1440" s="392" t="s">
        <v>7273</v>
      </c>
      <c r="P1440"/>
      <c r="Q1440"/>
      <c r="R1440" s="387">
        <f>VLOOKUP(E1440,'[1]NDB Impacted SPRFs 05032013'!$A$2:$A$65536,1,FALSE)</f>
        <v>400036244</v>
      </c>
    </row>
    <row r="1441" spans="1:21" s="159" customFormat="1" ht="45" x14ac:dyDescent="0.25">
      <c r="A1441" s="63">
        <f>MATCH($E1441,'D1 - Master Project Table'!$B$24:$B$7056,0)</f>
        <v>2387</v>
      </c>
      <c r="B1441" s="63" t="b">
        <f t="shared" si="66"/>
        <v>0</v>
      </c>
      <c r="C1441" s="63" t="b">
        <f t="shared" si="67"/>
        <v>1</v>
      </c>
      <c r="D1441" s="63" t="str">
        <f t="shared" si="68"/>
        <v>OK</v>
      </c>
      <c r="E1441" s="393">
        <v>400001693</v>
      </c>
      <c r="F1441" s="392" t="s">
        <v>3468</v>
      </c>
      <c r="G1441" s="392" t="s">
        <v>5324</v>
      </c>
      <c r="H1441" s="392" t="s">
        <v>5314</v>
      </c>
      <c r="I1441" s="392" t="s">
        <v>1785</v>
      </c>
      <c r="J1441" s="392" t="s">
        <v>5662</v>
      </c>
      <c r="K1441" s="392" t="s">
        <v>3469</v>
      </c>
      <c r="L1441" s="392" t="s">
        <v>3470</v>
      </c>
      <c r="M1441" s="392" t="s">
        <v>7273</v>
      </c>
      <c r="N1441" s="392" t="s">
        <v>7273</v>
      </c>
      <c r="O1441" s="392" t="s">
        <v>7273</v>
      </c>
      <c r="P1441"/>
      <c r="Q1441"/>
      <c r="R1441" s="387">
        <f>VLOOKUP(E1441,'[1]NDB Impacted SPRFs 05032013'!$A$2:$A$65536,1,FALSE)</f>
        <v>400001693</v>
      </c>
      <c r="S1441" s="128"/>
      <c r="T1441" s="128"/>
      <c r="U1441" s="128"/>
    </row>
    <row r="1442" spans="1:21" s="159" customFormat="1" ht="45" x14ac:dyDescent="0.25">
      <c r="A1442" s="63">
        <f>MATCH($E1442,'D1 - Master Project Table'!$B$24:$B$7056,0)</f>
        <v>2784</v>
      </c>
      <c r="B1442" s="63" t="b">
        <f t="shared" si="66"/>
        <v>0</v>
      </c>
      <c r="C1442" s="63" t="b">
        <f t="shared" si="67"/>
        <v>1</v>
      </c>
      <c r="D1442" s="63" t="str">
        <f t="shared" si="68"/>
        <v>OK</v>
      </c>
      <c r="E1442" s="393">
        <v>400022084</v>
      </c>
      <c r="F1442" s="392" t="s">
        <v>6661</v>
      </c>
      <c r="G1442" s="392" t="s">
        <v>5325</v>
      </c>
      <c r="H1442" s="392" t="s">
        <v>5314</v>
      </c>
      <c r="I1442" s="392" t="s">
        <v>1795</v>
      </c>
      <c r="J1442" s="392" t="s">
        <v>6584</v>
      </c>
      <c r="K1442" s="392" t="s">
        <v>6402</v>
      </c>
      <c r="L1442" s="392" t="s">
        <v>4377</v>
      </c>
      <c r="M1442" s="392" t="s">
        <v>7273</v>
      </c>
      <c r="N1442" s="392" t="s">
        <v>7273</v>
      </c>
      <c r="O1442" s="392" t="s">
        <v>7273</v>
      </c>
      <c r="P1442"/>
      <c r="Q1442"/>
      <c r="R1442" s="387">
        <f>VLOOKUP(E1442,'[1]NDB Impacted SPRFs 05032013'!$A$2:$A$65536,1,FALSE)</f>
        <v>400022084</v>
      </c>
    </row>
    <row r="1443" spans="1:21" s="159" customFormat="1" ht="45" x14ac:dyDescent="0.25">
      <c r="A1443" s="63">
        <f>MATCH($E1443,'D1 - Master Project Table'!$B$24:$B$7056,0)</f>
        <v>733</v>
      </c>
      <c r="B1443" s="63" t="b">
        <f t="shared" si="66"/>
        <v>0</v>
      </c>
      <c r="C1443" s="63" t="b">
        <f t="shared" si="67"/>
        <v>1</v>
      </c>
      <c r="D1443" s="63" t="str">
        <f t="shared" si="68"/>
        <v>OK</v>
      </c>
      <c r="E1443" s="393">
        <v>400016662</v>
      </c>
      <c r="F1443" s="392" t="s">
        <v>6093</v>
      </c>
      <c r="G1443" s="392" t="s">
        <v>5324</v>
      </c>
      <c r="H1443" s="392" t="s">
        <v>7418</v>
      </c>
      <c r="I1443" s="392" t="s">
        <v>1756</v>
      </c>
      <c r="J1443" s="392" t="s">
        <v>6975</v>
      </c>
      <c r="K1443" s="392" t="s">
        <v>8075</v>
      </c>
      <c r="L1443" s="392" t="s">
        <v>382</v>
      </c>
      <c r="M1443" s="392" t="s">
        <v>3758</v>
      </c>
      <c r="N1443" s="392" t="s">
        <v>7273</v>
      </c>
      <c r="O1443" s="392" t="s">
        <v>7273</v>
      </c>
      <c r="P1443"/>
      <c r="Q1443"/>
      <c r="R1443" s="387">
        <f>VLOOKUP(E1443,'[1]NDB Impacted SPRFs 05032013'!$A$2:$A$65536,1,FALSE)</f>
        <v>400016662</v>
      </c>
    </row>
    <row r="1444" spans="1:21" s="159" customFormat="1" ht="45" x14ac:dyDescent="0.25">
      <c r="A1444" s="63">
        <f>MATCH($E1444,'D1 - Master Project Table'!$B$24:$B$7056,0)</f>
        <v>1374</v>
      </c>
      <c r="B1444" s="63" t="b">
        <f t="shared" si="66"/>
        <v>0</v>
      </c>
      <c r="C1444" s="63" t="b">
        <f t="shared" si="67"/>
        <v>1</v>
      </c>
      <c r="D1444" s="63" t="str">
        <f t="shared" si="68"/>
        <v>OK</v>
      </c>
      <c r="E1444" s="393">
        <v>400038491</v>
      </c>
      <c r="F1444" s="392" t="s">
        <v>90</v>
      </c>
      <c r="G1444" s="392" t="s">
        <v>5324</v>
      </c>
      <c r="H1444" s="392" t="s">
        <v>7418</v>
      </c>
      <c r="I1444" s="392" t="s">
        <v>1786</v>
      </c>
      <c r="J1444" s="392" t="s">
        <v>3449</v>
      </c>
      <c r="K1444" s="392" t="s">
        <v>3450</v>
      </c>
      <c r="L1444" s="392" t="s">
        <v>6030</v>
      </c>
      <c r="M1444" s="392" t="s">
        <v>7273</v>
      </c>
      <c r="N1444" s="392" t="s">
        <v>7273</v>
      </c>
      <c r="O1444" s="392" t="s">
        <v>3758</v>
      </c>
      <c r="P1444"/>
      <c r="Q1444"/>
      <c r="R1444" s="387">
        <f>VLOOKUP(E1444,'[1]NDB Impacted SPRFs 05032013'!$A$2:$A$65536,1,FALSE)</f>
        <v>400038491</v>
      </c>
      <c r="S1444" s="128"/>
      <c r="T1444" s="128"/>
      <c r="U1444" s="128"/>
    </row>
    <row r="1445" spans="1:21" s="159" customFormat="1" ht="45" x14ac:dyDescent="0.25">
      <c r="A1445" s="63">
        <f>MATCH($E1445,'D1 - Master Project Table'!$B$24:$B$7056,0)</f>
        <v>3228</v>
      </c>
      <c r="B1445" s="63" t="b">
        <f t="shared" si="66"/>
        <v>0</v>
      </c>
      <c r="C1445" s="63" t="b">
        <f t="shared" si="67"/>
        <v>1</v>
      </c>
      <c r="D1445" s="63" t="str">
        <f t="shared" si="68"/>
        <v>OK</v>
      </c>
      <c r="E1445" s="393">
        <v>400050642</v>
      </c>
      <c r="F1445" s="392" t="s">
        <v>3516</v>
      </c>
      <c r="G1445" s="392" t="s">
        <v>5324</v>
      </c>
      <c r="H1445" s="392" t="s">
        <v>7418</v>
      </c>
      <c r="I1445" s="392" t="s">
        <v>1759</v>
      </c>
      <c r="J1445" s="392" t="s">
        <v>8440</v>
      </c>
      <c r="K1445" s="392" t="s">
        <v>7453</v>
      </c>
      <c r="L1445" s="392" t="s">
        <v>762</v>
      </c>
      <c r="M1445" s="392" t="s">
        <v>7273</v>
      </c>
      <c r="N1445" s="392" t="s">
        <v>7273</v>
      </c>
      <c r="O1445" s="392" t="s">
        <v>7273</v>
      </c>
      <c r="P1445"/>
      <c r="Q1445"/>
      <c r="R1445" s="387">
        <f>VLOOKUP(E1445,'[1]NDB Impacted SPRFs 05032013'!$A$2:$A$65536,1,FALSE)</f>
        <v>400050642</v>
      </c>
    </row>
    <row r="1446" spans="1:21" ht="45" x14ac:dyDescent="0.25">
      <c r="A1446" s="63" t="e">
        <f>MATCH($E1446,'D1 - Master Project Table'!$B$24:$B$7056,0)</f>
        <v>#N/A</v>
      </c>
      <c r="B1446" s="63" t="b">
        <f t="shared" si="66"/>
        <v>1</v>
      </c>
      <c r="C1446" s="63" t="b">
        <f t="shared" si="67"/>
        <v>1</v>
      </c>
      <c r="D1446" s="63" t="str">
        <f t="shared" si="68"/>
        <v>OK</v>
      </c>
      <c r="E1446" s="393">
        <v>400002458</v>
      </c>
      <c r="F1446" s="392" t="s">
        <v>3327</v>
      </c>
      <c r="G1446" s="392" t="s">
        <v>5324</v>
      </c>
      <c r="H1446" s="392" t="s">
        <v>5314</v>
      </c>
      <c r="I1446" s="392" t="s">
        <v>1766</v>
      </c>
      <c r="J1446" s="392" t="s">
        <v>8362</v>
      </c>
      <c r="K1446" s="392" t="s">
        <v>2168</v>
      </c>
      <c r="L1446" s="392" t="s">
        <v>4254</v>
      </c>
      <c r="M1446" s="392" t="s">
        <v>3758</v>
      </c>
      <c r="N1446" s="392" t="s">
        <v>7273</v>
      </c>
      <c r="O1446" s="392" t="s">
        <v>7273</v>
      </c>
      <c r="P1446" s="212"/>
      <c r="Q1446"/>
      <c r="R1446" s="387">
        <f>VLOOKUP(E1446,'[1]NDB Impacted SPRFs 05032013'!$A$2:$A$65536,1,FALSE)</f>
        <v>400002458</v>
      </c>
      <c r="S1446" s="159"/>
      <c r="T1446" s="159"/>
      <c r="U1446" s="159"/>
    </row>
    <row r="1447" spans="1:21" ht="45" x14ac:dyDescent="0.25">
      <c r="A1447" s="63">
        <f>MATCH($E1447,'D1 - Master Project Table'!$B$24:$B$7056,0)</f>
        <v>205</v>
      </c>
      <c r="B1447" s="63" t="b">
        <f t="shared" si="66"/>
        <v>0</v>
      </c>
      <c r="C1447" s="63" t="b">
        <f t="shared" si="67"/>
        <v>1</v>
      </c>
      <c r="D1447" s="63" t="str">
        <f t="shared" si="68"/>
        <v>OK</v>
      </c>
      <c r="E1447" s="393">
        <v>400044570</v>
      </c>
      <c r="F1447" s="392" t="s">
        <v>1867</v>
      </c>
      <c r="G1447" s="392" t="s">
        <v>5324</v>
      </c>
      <c r="H1447" s="392" t="s">
        <v>7418</v>
      </c>
      <c r="I1447" s="392" t="s">
        <v>1757</v>
      </c>
      <c r="J1447" s="392" t="s">
        <v>4703</v>
      </c>
      <c r="K1447" s="392" t="s">
        <v>2684</v>
      </c>
      <c r="L1447" s="392" t="s">
        <v>8106</v>
      </c>
      <c r="M1447" s="392" t="s">
        <v>3758</v>
      </c>
      <c r="N1447" s="392" t="s">
        <v>7273</v>
      </c>
      <c r="O1447" s="392" t="s">
        <v>7273</v>
      </c>
      <c r="P1447"/>
      <c r="Q1447"/>
      <c r="R1447" s="387">
        <f>VLOOKUP(E1447,'[1]NDB Impacted SPRFs 05032013'!$A$2:$A$65536,1,FALSE)</f>
        <v>400044570</v>
      </c>
      <c r="S1447" s="159"/>
      <c r="T1447" s="159"/>
      <c r="U1447" s="159"/>
    </row>
    <row r="1448" spans="1:21" s="159" customFormat="1" ht="45" x14ac:dyDescent="0.25">
      <c r="A1448" s="63">
        <f>MATCH($E1448,'D1 - Master Project Table'!$B$24:$B$7056,0)</f>
        <v>1759</v>
      </c>
      <c r="B1448" s="63" t="b">
        <f t="shared" si="66"/>
        <v>0</v>
      </c>
      <c r="C1448" s="63" t="b">
        <f t="shared" si="67"/>
        <v>1</v>
      </c>
      <c r="D1448" s="63" t="str">
        <f t="shared" si="68"/>
        <v>OK</v>
      </c>
      <c r="E1448" s="393">
        <v>400044572</v>
      </c>
      <c r="F1448" s="392" t="s">
        <v>1869</v>
      </c>
      <c r="G1448" s="392" t="s">
        <v>5324</v>
      </c>
      <c r="H1448" s="392" t="s">
        <v>7418</v>
      </c>
      <c r="I1448" s="392" t="s">
        <v>1757</v>
      </c>
      <c r="J1448" s="392" t="s">
        <v>4703</v>
      </c>
      <c r="K1448" s="392" t="s">
        <v>2684</v>
      </c>
      <c r="L1448" s="392" t="s">
        <v>8106</v>
      </c>
      <c r="M1448" s="392" t="s">
        <v>3758</v>
      </c>
      <c r="N1448" s="392" t="s">
        <v>7273</v>
      </c>
      <c r="O1448" s="392" t="s">
        <v>7273</v>
      </c>
      <c r="P1448"/>
      <c r="Q1448"/>
      <c r="R1448" s="387">
        <f>VLOOKUP(E1448,'[1]NDB Impacted SPRFs 05032013'!$A$2:$A$65536,1,FALSE)</f>
        <v>400044572</v>
      </c>
    </row>
    <row r="1449" spans="1:21" s="159" customFormat="1" ht="45" x14ac:dyDescent="0.25">
      <c r="A1449" s="63" t="e">
        <f>MATCH($E1449,'D1 - Master Project Table'!$B$24:$B$7056,0)</f>
        <v>#N/A</v>
      </c>
      <c r="B1449" s="63" t="b">
        <f t="shared" si="66"/>
        <v>1</v>
      </c>
      <c r="C1449" s="63" t="b">
        <f t="shared" si="67"/>
        <v>1</v>
      </c>
      <c r="D1449" s="63" t="str">
        <f t="shared" si="68"/>
        <v>OK</v>
      </c>
      <c r="E1449" s="393">
        <v>400003207</v>
      </c>
      <c r="F1449" s="392" t="s">
        <v>6580</v>
      </c>
      <c r="G1449" s="392" t="s">
        <v>6322</v>
      </c>
      <c r="H1449" s="392" t="s">
        <v>7418</v>
      </c>
      <c r="I1449" s="392" t="s">
        <v>7594</v>
      </c>
      <c r="J1449" s="392" t="s">
        <v>8649</v>
      </c>
      <c r="K1449" s="392" t="s">
        <v>7403</v>
      </c>
      <c r="L1449" s="392" t="s">
        <v>3438</v>
      </c>
      <c r="M1449" s="392" t="s">
        <v>7273</v>
      </c>
      <c r="N1449" s="392" t="s">
        <v>7273</v>
      </c>
      <c r="O1449" s="392" t="s">
        <v>7273</v>
      </c>
      <c r="P1449"/>
      <c r="Q1449"/>
      <c r="R1449" s="387">
        <f>VLOOKUP(E1449,'[1]NDB Impacted SPRFs 05032013'!$A$2:$A$65536,1,FALSE)</f>
        <v>400003207</v>
      </c>
      <c r="S1449" s="128"/>
      <c r="T1449" s="128"/>
      <c r="U1449" s="128"/>
    </row>
    <row r="1450" spans="1:21" s="159" customFormat="1" ht="45" x14ac:dyDescent="0.25">
      <c r="A1450" s="63">
        <f>MATCH($E1450,'D1 - Master Project Table'!$B$24:$B$7056,0)</f>
        <v>3131</v>
      </c>
      <c r="B1450" s="63" t="b">
        <f t="shared" si="66"/>
        <v>0</v>
      </c>
      <c r="C1450" s="63" t="b">
        <f t="shared" si="67"/>
        <v>0</v>
      </c>
      <c r="D1450" s="63" t="str">
        <f t="shared" si="68"/>
        <v>OK</v>
      </c>
      <c r="E1450" s="393">
        <v>400054133</v>
      </c>
      <c r="F1450" s="392" t="s">
        <v>39</v>
      </c>
      <c r="G1450" s="392" t="s">
        <v>5324</v>
      </c>
      <c r="H1450" s="392" t="s">
        <v>4917</v>
      </c>
      <c r="I1450" s="392" t="s">
        <v>1786</v>
      </c>
      <c r="J1450" s="392" t="s">
        <v>8473</v>
      </c>
      <c r="K1450" s="392" t="s">
        <v>3450</v>
      </c>
      <c r="L1450" s="392" t="s">
        <v>40</v>
      </c>
      <c r="M1450" s="392" t="s">
        <v>7273</v>
      </c>
      <c r="N1450" s="392" t="s">
        <v>7273</v>
      </c>
      <c r="O1450" s="392" t="s">
        <v>3758</v>
      </c>
      <c r="P1450"/>
      <c r="Q1450"/>
      <c r="R1450" s="387">
        <f>VLOOKUP(E1450,'[1]NDB Impacted SPRFs 05032013'!$A$2:$A$65536,1,FALSE)</f>
        <v>400054133</v>
      </c>
    </row>
    <row r="1451" spans="1:21" ht="45" x14ac:dyDescent="0.25">
      <c r="A1451" s="63">
        <f>MATCH($E1451,'D1 - Master Project Table'!$B$24:$B$7056,0)</f>
        <v>666</v>
      </c>
      <c r="B1451" s="63" t="b">
        <f t="shared" si="66"/>
        <v>0</v>
      </c>
      <c r="C1451" s="63" t="b">
        <f t="shared" si="67"/>
        <v>1</v>
      </c>
      <c r="D1451" s="63" t="str">
        <f t="shared" si="68"/>
        <v>OK</v>
      </c>
      <c r="E1451" s="393">
        <v>400010790</v>
      </c>
      <c r="F1451" s="392" t="s">
        <v>5505</v>
      </c>
      <c r="G1451" s="392" t="s">
        <v>5324</v>
      </c>
      <c r="H1451" s="392" t="s">
        <v>7418</v>
      </c>
      <c r="I1451" s="392" t="s">
        <v>1762</v>
      </c>
      <c r="J1451" s="392" t="s">
        <v>2251</v>
      </c>
      <c r="K1451" s="392" t="s">
        <v>5159</v>
      </c>
      <c r="L1451" s="392" t="s">
        <v>6432</v>
      </c>
      <c r="M1451" s="392" t="s">
        <v>3758</v>
      </c>
      <c r="N1451" s="392" t="s">
        <v>7273</v>
      </c>
      <c r="O1451" s="392" t="s">
        <v>7273</v>
      </c>
      <c r="P1451"/>
      <c r="Q1451"/>
      <c r="R1451" s="387">
        <f>VLOOKUP(E1451,'[1]NDB Impacted SPRFs 05032013'!$A$2:$A$65536,1,FALSE)</f>
        <v>400010790</v>
      </c>
      <c r="S1451" s="159"/>
      <c r="T1451" s="159"/>
      <c r="U1451" s="159"/>
    </row>
    <row r="1452" spans="1:21" s="159" customFormat="1" ht="45" x14ac:dyDescent="0.25">
      <c r="A1452" s="63">
        <f>MATCH($E1452,'D1 - Master Project Table'!$B$24:$B$7056,0)</f>
        <v>1363</v>
      </c>
      <c r="B1452" s="63" t="b">
        <f t="shared" si="66"/>
        <v>0</v>
      </c>
      <c r="C1452" s="63" t="b">
        <f t="shared" si="67"/>
        <v>1</v>
      </c>
      <c r="D1452" s="63" t="str">
        <f t="shared" si="68"/>
        <v>OK</v>
      </c>
      <c r="E1452" s="393">
        <v>400034837</v>
      </c>
      <c r="F1452" s="392" t="s">
        <v>5418</v>
      </c>
      <c r="G1452" s="392" t="s">
        <v>5325</v>
      </c>
      <c r="H1452" s="392" t="s">
        <v>7418</v>
      </c>
      <c r="I1452" s="392" t="s">
        <v>6419</v>
      </c>
      <c r="J1452" s="392" t="s">
        <v>7566</v>
      </c>
      <c r="K1452" s="392" t="s">
        <v>5162</v>
      </c>
      <c r="L1452" s="392" t="s">
        <v>5371</v>
      </c>
      <c r="M1452" s="392" t="s">
        <v>7273</v>
      </c>
      <c r="N1452" s="392" t="s">
        <v>7273</v>
      </c>
      <c r="O1452" s="392" t="s">
        <v>7273</v>
      </c>
      <c r="P1452"/>
      <c r="Q1452"/>
      <c r="R1452" s="387">
        <f>VLOOKUP(E1452,'[1]NDB Impacted SPRFs 05032013'!$A$2:$A$65536,1,FALSE)</f>
        <v>400034837</v>
      </c>
      <c r="S1452" s="128"/>
      <c r="T1452" s="128"/>
      <c r="U1452" s="128"/>
    </row>
    <row r="1453" spans="1:21" s="159" customFormat="1" ht="30" x14ac:dyDescent="0.25">
      <c r="A1453" s="63">
        <f>MATCH($E1453,'D1 - Master Project Table'!$B$24:$B$7056,0)</f>
        <v>2995</v>
      </c>
      <c r="B1453" s="63" t="b">
        <f t="shared" si="66"/>
        <v>0</v>
      </c>
      <c r="C1453" s="63" t="b">
        <f t="shared" si="67"/>
        <v>1</v>
      </c>
      <c r="D1453" s="63" t="str">
        <f t="shared" si="68"/>
        <v>OK</v>
      </c>
      <c r="E1453" s="393">
        <v>400038612</v>
      </c>
      <c r="F1453" s="392" t="s">
        <v>7319</v>
      </c>
      <c r="G1453" s="392" t="s">
        <v>5995</v>
      </c>
      <c r="H1453" s="392" t="s">
        <v>5314</v>
      </c>
      <c r="I1453" s="392" t="s">
        <v>6423</v>
      </c>
      <c r="J1453" s="392" t="s">
        <v>8829</v>
      </c>
      <c r="K1453" s="392" t="s">
        <v>4973</v>
      </c>
      <c r="L1453" s="392" t="s">
        <v>7320</v>
      </c>
      <c r="M1453" s="392" t="s">
        <v>7273</v>
      </c>
      <c r="N1453" s="392" t="s">
        <v>7273</v>
      </c>
      <c r="O1453" s="392" t="s">
        <v>7273</v>
      </c>
      <c r="P1453"/>
      <c r="Q1453"/>
      <c r="R1453" s="387">
        <f>VLOOKUP(E1453,'[1]NDB Impacted SPRFs 05032013'!$A$2:$A$65536,1,FALSE)</f>
        <v>400038612</v>
      </c>
      <c r="S1453" s="128"/>
      <c r="T1453" s="128"/>
      <c r="U1453" s="128"/>
    </row>
    <row r="1454" spans="1:21" s="159" customFormat="1" ht="45" x14ac:dyDescent="0.25">
      <c r="A1454" s="63">
        <f>MATCH($E1454,'D1 - Master Project Table'!$B$24:$B$7056,0)</f>
        <v>3005</v>
      </c>
      <c r="B1454" s="63" t="b">
        <f t="shared" si="66"/>
        <v>0</v>
      </c>
      <c r="C1454" s="63" t="b">
        <f t="shared" si="67"/>
        <v>1</v>
      </c>
      <c r="D1454" s="63" t="str">
        <f t="shared" si="68"/>
        <v>OK</v>
      </c>
      <c r="E1454" s="393">
        <v>400039474</v>
      </c>
      <c r="F1454" s="392" t="s">
        <v>7367</v>
      </c>
      <c r="G1454" s="392" t="s">
        <v>5324</v>
      </c>
      <c r="H1454" s="392" t="s">
        <v>5314</v>
      </c>
      <c r="I1454" s="392" t="s">
        <v>1759</v>
      </c>
      <c r="J1454" s="392" t="s">
        <v>7368</v>
      </c>
      <c r="K1454" s="392" t="s">
        <v>7369</v>
      </c>
      <c r="L1454" s="392" t="s">
        <v>5909</v>
      </c>
      <c r="M1454" s="392" t="s">
        <v>7273</v>
      </c>
      <c r="N1454" s="392" t="s">
        <v>7273</v>
      </c>
      <c r="O1454" s="392" t="s">
        <v>7273</v>
      </c>
      <c r="P1454"/>
      <c r="Q1454"/>
      <c r="R1454" s="387">
        <f>VLOOKUP(E1454,'[1]NDB Impacted SPRFs 05032013'!$A$2:$A$65536,1,FALSE)</f>
        <v>400039474</v>
      </c>
    </row>
    <row r="1455" spans="1:21" s="159" customFormat="1" ht="30" x14ac:dyDescent="0.25">
      <c r="A1455" s="63">
        <f>MATCH($E1455,'D1 - Master Project Table'!$B$24:$B$7056,0)</f>
        <v>201</v>
      </c>
      <c r="B1455" s="63" t="b">
        <f t="shared" si="66"/>
        <v>0</v>
      </c>
      <c r="C1455" s="63" t="b">
        <f t="shared" si="67"/>
        <v>1</v>
      </c>
      <c r="D1455" s="63" t="str">
        <f t="shared" si="68"/>
        <v>OK</v>
      </c>
      <c r="E1455" s="393">
        <v>400041936</v>
      </c>
      <c r="F1455" s="392" t="s">
        <v>1484</v>
      </c>
      <c r="G1455" s="392" t="s">
        <v>5001</v>
      </c>
      <c r="H1455" s="392" t="s">
        <v>5314</v>
      </c>
      <c r="I1455" s="392" t="s">
        <v>3540</v>
      </c>
      <c r="J1455" s="392" t="s">
        <v>8779</v>
      </c>
      <c r="K1455" s="392" t="s">
        <v>7884</v>
      </c>
      <c r="L1455" s="392" t="s">
        <v>5329</v>
      </c>
      <c r="M1455" s="392" t="s">
        <v>7273</v>
      </c>
      <c r="N1455" s="392" t="s">
        <v>7273</v>
      </c>
      <c r="O1455" s="392" t="s">
        <v>7273</v>
      </c>
      <c r="P1455"/>
      <c r="Q1455"/>
      <c r="R1455" s="387">
        <f>VLOOKUP(E1455,'[1]NDB Impacted SPRFs 05032013'!$A$2:$A$65536,1,FALSE)</f>
        <v>400041936</v>
      </c>
      <c r="S1455" s="128"/>
      <c r="T1455" s="128"/>
      <c r="U1455" s="128"/>
    </row>
    <row r="1456" spans="1:21" ht="30" x14ac:dyDescent="0.25">
      <c r="A1456" s="63">
        <f>MATCH($E1456,'D1 - Master Project Table'!$B$24:$B$7056,0)</f>
        <v>3056</v>
      </c>
      <c r="B1456" s="63" t="b">
        <f t="shared" ref="B1456:B1519" si="69">ISERROR(A1456)</f>
        <v>0</v>
      </c>
      <c r="C1456" s="63" t="b">
        <f t="shared" si="67"/>
        <v>1</v>
      </c>
      <c r="D1456" s="63" t="str">
        <f t="shared" si="68"/>
        <v>OK</v>
      </c>
      <c r="E1456" s="393">
        <v>400043583</v>
      </c>
      <c r="F1456" s="392" t="s">
        <v>2370</v>
      </c>
      <c r="G1456" s="392" t="s">
        <v>6322</v>
      </c>
      <c r="H1456" s="392" t="s">
        <v>5314</v>
      </c>
      <c r="I1456" s="392" t="s">
        <v>7594</v>
      </c>
      <c r="J1456" s="392" t="s">
        <v>2937</v>
      </c>
      <c r="K1456" s="392" t="s">
        <v>7164</v>
      </c>
      <c r="L1456" s="392" t="s">
        <v>2595</v>
      </c>
      <c r="M1456" s="392" t="s">
        <v>7273</v>
      </c>
      <c r="N1456" s="392" t="s">
        <v>7273</v>
      </c>
      <c r="O1456" s="392" t="s">
        <v>7273</v>
      </c>
      <c r="P1456"/>
      <c r="Q1456"/>
      <c r="R1456" s="387">
        <f>VLOOKUP(E1456,'[1]NDB Impacted SPRFs 05032013'!$A$2:$A$65536,1,FALSE)</f>
        <v>400043583</v>
      </c>
      <c r="S1456" s="159"/>
      <c r="T1456" s="159"/>
      <c r="U1456" s="159"/>
    </row>
    <row r="1457" spans="1:21" s="159" customFormat="1" ht="45" x14ac:dyDescent="0.25">
      <c r="A1457" s="63" t="e">
        <f>MATCH($E1457,'D1 - Master Project Table'!$B$24:$B$7056,0)</f>
        <v>#N/A</v>
      </c>
      <c r="B1457" s="63" t="b">
        <f t="shared" si="69"/>
        <v>1</v>
      </c>
      <c r="C1457" s="63" t="b">
        <f t="shared" si="67"/>
        <v>1</v>
      </c>
      <c r="D1457" s="63" t="str">
        <f t="shared" si="68"/>
        <v>OK</v>
      </c>
      <c r="E1457" s="393">
        <v>400003020</v>
      </c>
      <c r="F1457" s="392" t="s">
        <v>2342</v>
      </c>
      <c r="G1457" s="392" t="s">
        <v>5324</v>
      </c>
      <c r="H1457" s="392" t="s">
        <v>7418</v>
      </c>
      <c r="I1457" s="392" t="s">
        <v>1765</v>
      </c>
      <c r="J1457" s="392" t="s">
        <v>8357</v>
      </c>
      <c r="K1457" s="392" t="s">
        <v>5641</v>
      </c>
      <c r="L1457" s="392" t="s">
        <v>5769</v>
      </c>
      <c r="M1457" s="392" t="s">
        <v>3758</v>
      </c>
      <c r="N1457" s="392" t="s">
        <v>7273</v>
      </c>
      <c r="O1457" s="392" t="s">
        <v>7273</v>
      </c>
      <c r="P1457"/>
      <c r="Q1457"/>
      <c r="R1457" s="387">
        <f>VLOOKUP(E1457,'[1]NDB Impacted SPRFs 05032013'!$A$2:$A$65536,1,FALSE)</f>
        <v>400003020</v>
      </c>
    </row>
    <row r="1458" spans="1:21" s="159" customFormat="1" ht="30" x14ac:dyDescent="0.25">
      <c r="A1458" s="63" t="e">
        <f>MATCH($E1458,'D1 - Master Project Table'!$B$24:$B$7056,0)</f>
        <v>#N/A</v>
      </c>
      <c r="B1458" s="63" t="b">
        <f t="shared" si="69"/>
        <v>1</v>
      </c>
      <c r="C1458" s="63" t="b">
        <f t="shared" si="67"/>
        <v>1</v>
      </c>
      <c r="D1458" s="63" t="str">
        <f t="shared" si="68"/>
        <v>OK</v>
      </c>
      <c r="E1458" s="393">
        <v>400005294</v>
      </c>
      <c r="F1458" s="392" t="s">
        <v>3253</v>
      </c>
      <c r="G1458" s="392" t="s">
        <v>5787</v>
      </c>
      <c r="H1458" s="392" t="s">
        <v>7418</v>
      </c>
      <c r="I1458" s="392" t="s">
        <v>1776</v>
      </c>
      <c r="J1458" s="392" t="s">
        <v>8461</v>
      </c>
      <c r="K1458" s="392" t="s">
        <v>3941</v>
      </c>
      <c r="L1458" s="392" t="s">
        <v>6464</v>
      </c>
      <c r="M1458" s="392" t="s">
        <v>7273</v>
      </c>
      <c r="N1458" s="392" t="s">
        <v>7273</v>
      </c>
      <c r="O1458" s="392" t="s">
        <v>7273</v>
      </c>
      <c r="P1458"/>
      <c r="Q1458"/>
      <c r="R1458" s="387">
        <f>VLOOKUP(E1458,'[1]NDB Impacted SPRFs 05032013'!$A$2:$A$65536,1,FALSE)</f>
        <v>400005294</v>
      </c>
    </row>
    <row r="1459" spans="1:21" ht="30" x14ac:dyDescent="0.25">
      <c r="A1459" s="63" t="e">
        <f>MATCH($E1459,'D1 - Master Project Table'!$B$24:$B$7056,0)</f>
        <v>#N/A</v>
      </c>
      <c r="B1459" s="63" t="b">
        <f t="shared" si="69"/>
        <v>1</v>
      </c>
      <c r="C1459" s="63" t="b">
        <f t="shared" si="67"/>
        <v>1</v>
      </c>
      <c r="D1459" s="63" t="str">
        <f t="shared" si="68"/>
        <v>OK</v>
      </c>
      <c r="E1459" s="393">
        <v>400005940</v>
      </c>
      <c r="F1459" s="392" t="s">
        <v>1961</v>
      </c>
      <c r="G1459" s="392" t="s">
        <v>5787</v>
      </c>
      <c r="H1459" s="392" t="s">
        <v>7418</v>
      </c>
      <c r="I1459" s="392" t="s">
        <v>1776</v>
      </c>
      <c r="J1459" s="392" t="s">
        <v>8715</v>
      </c>
      <c r="K1459" s="392" t="s">
        <v>6613</v>
      </c>
      <c r="L1459" s="392" t="s">
        <v>6464</v>
      </c>
      <c r="M1459" s="392" t="s">
        <v>7273</v>
      </c>
      <c r="N1459" s="392" t="s">
        <v>7273</v>
      </c>
      <c r="O1459" s="392" t="s">
        <v>7273</v>
      </c>
      <c r="P1459" s="212"/>
      <c r="Q1459"/>
      <c r="R1459" s="387">
        <f>VLOOKUP(E1459,'[1]NDB Impacted SPRFs 05032013'!$A$2:$A$65536,1,FALSE)</f>
        <v>400005940</v>
      </c>
      <c r="S1459" s="159"/>
      <c r="T1459" s="159"/>
      <c r="U1459" s="159"/>
    </row>
    <row r="1460" spans="1:21" s="159" customFormat="1" ht="30" x14ac:dyDescent="0.25">
      <c r="A1460" s="63">
        <f>MATCH($E1460,'D1 - Master Project Table'!$B$24:$B$7056,0)</f>
        <v>2100</v>
      </c>
      <c r="B1460" s="63" t="b">
        <f t="shared" si="69"/>
        <v>0</v>
      </c>
      <c r="C1460" s="63" t="b">
        <f t="shared" si="67"/>
        <v>1</v>
      </c>
      <c r="D1460" s="63" t="str">
        <f t="shared" si="68"/>
        <v>OK</v>
      </c>
      <c r="E1460" s="393">
        <v>400011565</v>
      </c>
      <c r="F1460" s="392" t="s">
        <v>5022</v>
      </c>
      <c r="G1460" s="392" t="s">
        <v>3441</v>
      </c>
      <c r="H1460" s="392" t="s">
        <v>5314</v>
      </c>
      <c r="I1460" s="392" t="s">
        <v>1770</v>
      </c>
      <c r="J1460" s="392" t="s">
        <v>8298</v>
      </c>
      <c r="K1460" s="392" t="s">
        <v>5541</v>
      </c>
      <c r="L1460" s="392" t="s">
        <v>6578</v>
      </c>
      <c r="M1460" s="392" t="s">
        <v>3758</v>
      </c>
      <c r="N1460" s="392" t="s">
        <v>7273</v>
      </c>
      <c r="O1460" s="392" t="s">
        <v>7273</v>
      </c>
      <c r="P1460"/>
      <c r="Q1460"/>
      <c r="R1460" s="387">
        <f>VLOOKUP(E1460,'[1]NDB Impacted SPRFs 05032013'!$A$2:$A$65536,1,FALSE)</f>
        <v>400011565</v>
      </c>
      <c r="S1460" s="128"/>
      <c r="T1460" s="128"/>
      <c r="U1460" s="128"/>
    </row>
    <row r="1461" spans="1:21" s="159" customFormat="1" ht="30" x14ac:dyDescent="0.25">
      <c r="A1461" s="63">
        <f>MATCH($E1461,'D1 - Master Project Table'!$B$24:$B$7056,0)</f>
        <v>779</v>
      </c>
      <c r="B1461" s="63" t="b">
        <f t="shared" si="69"/>
        <v>0</v>
      </c>
      <c r="C1461" s="63" t="b">
        <f t="shared" si="67"/>
        <v>1</v>
      </c>
      <c r="D1461" s="63" t="str">
        <f t="shared" si="68"/>
        <v>OK</v>
      </c>
      <c r="E1461" s="393">
        <v>400020622</v>
      </c>
      <c r="F1461" s="392" t="s">
        <v>5562</v>
      </c>
      <c r="G1461" s="392" t="s">
        <v>3441</v>
      </c>
      <c r="H1461" s="392" t="s">
        <v>7418</v>
      </c>
      <c r="I1461" s="392" t="s">
        <v>2662</v>
      </c>
      <c r="J1461" s="392" t="s">
        <v>8844</v>
      </c>
      <c r="K1461" s="392" t="s">
        <v>1506</v>
      </c>
      <c r="L1461" s="392" t="s">
        <v>6284</v>
      </c>
      <c r="M1461" s="392" t="s">
        <v>3758</v>
      </c>
      <c r="N1461" s="392" t="s">
        <v>7273</v>
      </c>
      <c r="O1461" s="392" t="s">
        <v>7273</v>
      </c>
      <c r="P1461"/>
      <c r="Q1461"/>
      <c r="R1461" s="387">
        <f>VLOOKUP(E1461,'[1]NDB Impacted SPRFs 05032013'!$A$2:$A$65536,1,FALSE)</f>
        <v>400020622</v>
      </c>
    </row>
    <row r="1462" spans="1:21" s="159" customFormat="1" ht="45" x14ac:dyDescent="0.25">
      <c r="A1462" s="63">
        <f>MATCH($E1462,'D1 - Master Project Table'!$B$24:$B$7056,0)</f>
        <v>2830</v>
      </c>
      <c r="B1462" s="63" t="b">
        <f t="shared" si="69"/>
        <v>0</v>
      </c>
      <c r="C1462" s="63" t="b">
        <f t="shared" si="67"/>
        <v>1</v>
      </c>
      <c r="D1462" s="63" t="str">
        <f t="shared" si="68"/>
        <v>OK</v>
      </c>
      <c r="E1462" s="393">
        <v>400025391</v>
      </c>
      <c r="F1462" s="392" t="s">
        <v>4863</v>
      </c>
      <c r="G1462" s="392" t="s">
        <v>5324</v>
      </c>
      <c r="H1462" s="392" t="s">
        <v>5314</v>
      </c>
      <c r="I1462" s="392" t="s">
        <v>1756</v>
      </c>
      <c r="J1462" s="392" t="s">
        <v>8315</v>
      </c>
      <c r="K1462" s="392" t="s">
        <v>7197</v>
      </c>
      <c r="L1462" s="392" t="s">
        <v>4269</v>
      </c>
      <c r="M1462" s="392" t="s">
        <v>7273</v>
      </c>
      <c r="N1462" s="392" t="s">
        <v>7273</v>
      </c>
      <c r="O1462" s="392" t="s">
        <v>3758</v>
      </c>
      <c r="P1462"/>
      <c r="Q1462"/>
      <c r="R1462" s="387">
        <f>VLOOKUP(E1462,'[1]NDB Impacted SPRFs 05032013'!$A$2:$A$65536,1,FALSE)</f>
        <v>400025391</v>
      </c>
      <c r="S1462" s="128"/>
      <c r="T1462" s="128"/>
      <c r="U1462" s="128"/>
    </row>
    <row r="1463" spans="1:21" s="159" customFormat="1" ht="30" x14ac:dyDescent="0.25">
      <c r="A1463" s="63">
        <f>MATCH($E1463,'D1 - Master Project Table'!$B$24:$B$7056,0)</f>
        <v>1386</v>
      </c>
      <c r="B1463" s="63" t="b">
        <f t="shared" si="69"/>
        <v>0</v>
      </c>
      <c r="C1463" s="63" t="b">
        <f t="shared" si="67"/>
        <v>1</v>
      </c>
      <c r="D1463" s="63" t="str">
        <f t="shared" si="68"/>
        <v>OK</v>
      </c>
      <c r="E1463" s="393">
        <v>400032853</v>
      </c>
      <c r="F1463" s="392" t="s">
        <v>5889</v>
      </c>
      <c r="G1463" s="392" t="s">
        <v>6322</v>
      </c>
      <c r="H1463" s="392" t="s">
        <v>7418</v>
      </c>
      <c r="I1463" s="392" t="s">
        <v>1812</v>
      </c>
      <c r="J1463" s="392" t="s">
        <v>1062</v>
      </c>
      <c r="K1463" s="392" t="s">
        <v>5890</v>
      </c>
      <c r="L1463" s="392" t="s">
        <v>2366</v>
      </c>
      <c r="M1463" s="392" t="s">
        <v>7273</v>
      </c>
      <c r="N1463" s="392" t="s">
        <v>7273</v>
      </c>
      <c r="O1463" s="392" t="s">
        <v>7273</v>
      </c>
      <c r="P1463"/>
      <c r="Q1463"/>
      <c r="R1463" s="387">
        <f>VLOOKUP(E1463,'[1]NDB Impacted SPRFs 05032013'!$A$2:$A$65536,1,FALSE)</f>
        <v>400032853</v>
      </c>
      <c r="S1463" s="128"/>
      <c r="T1463" s="128"/>
      <c r="U1463" s="128"/>
    </row>
    <row r="1464" spans="1:21" s="159" customFormat="1" ht="45" x14ac:dyDescent="0.25">
      <c r="A1464" s="63">
        <f>MATCH($E1464,'D1 - Master Project Table'!$B$24:$B$7056,0)</f>
        <v>2722</v>
      </c>
      <c r="B1464" s="63" t="b">
        <f t="shared" si="69"/>
        <v>0</v>
      </c>
      <c r="C1464" s="63" t="b">
        <f t="shared" si="67"/>
        <v>1</v>
      </c>
      <c r="D1464" s="63" t="str">
        <f t="shared" si="68"/>
        <v>OK</v>
      </c>
      <c r="E1464" s="393">
        <v>400019286</v>
      </c>
      <c r="F1464" s="392" t="s">
        <v>5127</v>
      </c>
      <c r="G1464" s="392" t="s">
        <v>5324</v>
      </c>
      <c r="H1464" s="392" t="s">
        <v>7418</v>
      </c>
      <c r="I1464" s="392" t="s">
        <v>1758</v>
      </c>
      <c r="J1464" s="392" t="s">
        <v>8602</v>
      </c>
      <c r="K1464" s="392" t="s">
        <v>2348</v>
      </c>
      <c r="L1464" s="392" t="s">
        <v>6760</v>
      </c>
      <c r="M1464" s="392" t="s">
        <v>3758</v>
      </c>
      <c r="N1464" s="392" t="s">
        <v>7273</v>
      </c>
      <c r="O1464" s="392" t="s">
        <v>7273</v>
      </c>
      <c r="P1464"/>
      <c r="Q1464"/>
      <c r="R1464" s="387">
        <f>VLOOKUP(E1464,'[1]NDB Impacted SPRFs 05032013'!$A$2:$A$65536,1,FALSE)</f>
        <v>400019286</v>
      </c>
      <c r="S1464" s="128"/>
      <c r="T1464" s="128"/>
      <c r="U1464" s="128"/>
    </row>
    <row r="1465" spans="1:21" s="159" customFormat="1" ht="60" customHeight="1" x14ac:dyDescent="0.25">
      <c r="A1465" s="63">
        <f>MATCH($E1465,'D1 - Master Project Table'!$B$24:$B$7056,0)</f>
        <v>3162</v>
      </c>
      <c r="B1465" s="63" t="b">
        <f t="shared" si="69"/>
        <v>0</v>
      </c>
      <c r="C1465" s="63" t="b">
        <f t="shared" si="67"/>
        <v>1</v>
      </c>
      <c r="D1465" s="63" t="str">
        <f t="shared" si="68"/>
        <v>OK</v>
      </c>
      <c r="E1465" s="393">
        <v>400038567</v>
      </c>
      <c r="F1465" s="392" t="s">
        <v>1430</v>
      </c>
      <c r="G1465" s="392" t="s">
        <v>5001</v>
      </c>
      <c r="H1465" s="392" t="s">
        <v>7418</v>
      </c>
      <c r="I1465" s="392" t="s">
        <v>2655</v>
      </c>
      <c r="J1465" s="392" t="s">
        <v>8783</v>
      </c>
      <c r="K1465" s="392" t="s">
        <v>1431</v>
      </c>
      <c r="L1465" s="392" t="s">
        <v>3180</v>
      </c>
      <c r="M1465" s="392" t="s">
        <v>3758</v>
      </c>
      <c r="N1465" s="392" t="s">
        <v>7273</v>
      </c>
      <c r="O1465" s="392" t="s">
        <v>7273</v>
      </c>
      <c r="P1465"/>
      <c r="Q1465"/>
      <c r="R1465" s="387">
        <f>VLOOKUP(E1465,'[1]NDB Impacted SPRFs 05032013'!$A$2:$A$65536,1,FALSE)</f>
        <v>400038567</v>
      </c>
    </row>
    <row r="1466" spans="1:21" s="159" customFormat="1" ht="45" x14ac:dyDescent="0.25">
      <c r="A1466" s="63">
        <f>MATCH($E1466,'D1 - Master Project Table'!$B$24:$B$7056,0)</f>
        <v>2346</v>
      </c>
      <c r="B1466" s="63" t="b">
        <f t="shared" si="69"/>
        <v>0</v>
      </c>
      <c r="C1466" s="63" t="b">
        <f t="shared" si="67"/>
        <v>1</v>
      </c>
      <c r="D1466" s="63" t="str">
        <f t="shared" si="68"/>
        <v>OK</v>
      </c>
      <c r="E1466" s="393">
        <v>400052854</v>
      </c>
      <c r="F1466" s="392" t="s">
        <v>678</v>
      </c>
      <c r="G1466" s="392" t="s">
        <v>5324</v>
      </c>
      <c r="H1466" s="392" t="s">
        <v>5314</v>
      </c>
      <c r="I1466" s="392" t="s">
        <v>1759</v>
      </c>
      <c r="J1466" s="392" t="s">
        <v>517</v>
      </c>
      <c r="K1466" s="392" t="s">
        <v>518</v>
      </c>
      <c r="L1466" s="392" t="s">
        <v>7056</v>
      </c>
      <c r="M1466" s="392" t="s">
        <v>7273</v>
      </c>
      <c r="N1466" s="392" t="s">
        <v>7273</v>
      </c>
      <c r="O1466" s="392" t="s">
        <v>7273</v>
      </c>
      <c r="P1466"/>
      <c r="Q1466"/>
      <c r="R1466" s="387">
        <f>VLOOKUP(E1466,'[1]NDB Impacted SPRFs 05032013'!$A$2:$A$65536,1,FALSE)</f>
        <v>400052854</v>
      </c>
    </row>
    <row r="1467" spans="1:21" s="159" customFormat="1" ht="45" x14ac:dyDescent="0.25">
      <c r="A1467" s="63">
        <f>MATCH($E1467,'D1 - Master Project Table'!$B$24:$B$7056,0)</f>
        <v>2720</v>
      </c>
      <c r="B1467" s="63" t="b">
        <f t="shared" si="69"/>
        <v>0</v>
      </c>
      <c r="C1467" s="63" t="b">
        <f t="shared" si="67"/>
        <v>1</v>
      </c>
      <c r="D1467" s="63" t="str">
        <f t="shared" si="68"/>
        <v>OK</v>
      </c>
      <c r="E1467" s="393">
        <v>400019197</v>
      </c>
      <c r="F1467" s="392" t="s">
        <v>6816</v>
      </c>
      <c r="G1467" s="392" t="s">
        <v>5324</v>
      </c>
      <c r="H1467" s="392" t="s">
        <v>5314</v>
      </c>
      <c r="I1467" s="392" t="s">
        <v>1760</v>
      </c>
      <c r="J1467" s="392" t="s">
        <v>8312</v>
      </c>
      <c r="K1467" s="392" t="s">
        <v>3353</v>
      </c>
      <c r="L1467" s="392" t="s">
        <v>5224</v>
      </c>
      <c r="M1467" s="392" t="s">
        <v>7273</v>
      </c>
      <c r="N1467" s="392" t="s">
        <v>7273</v>
      </c>
      <c r="O1467" s="392" t="s">
        <v>7273</v>
      </c>
      <c r="P1467"/>
      <c r="Q1467"/>
      <c r="R1467" s="387">
        <f>VLOOKUP(E1467,'[1]NDB Impacted SPRFs 05032013'!$A$2:$A$65536,1,FALSE)</f>
        <v>400019197</v>
      </c>
      <c r="S1467" s="128"/>
      <c r="T1467" s="128"/>
      <c r="U1467" s="128"/>
    </row>
    <row r="1468" spans="1:21" s="159" customFormat="1" ht="45" x14ac:dyDescent="0.25">
      <c r="A1468" s="63">
        <f>MATCH($E1468,'D1 - Master Project Table'!$B$24:$B$7056,0)</f>
        <v>908</v>
      </c>
      <c r="B1468" s="63" t="b">
        <f t="shared" si="69"/>
        <v>0</v>
      </c>
      <c r="C1468" s="63" t="b">
        <f t="shared" si="67"/>
        <v>1</v>
      </c>
      <c r="D1468" s="63" t="str">
        <f t="shared" si="68"/>
        <v>OK</v>
      </c>
      <c r="E1468" s="393">
        <v>400021395</v>
      </c>
      <c r="F1468" s="392" t="s">
        <v>4660</v>
      </c>
      <c r="G1468" s="392" t="s">
        <v>5324</v>
      </c>
      <c r="H1468" s="392" t="s">
        <v>7418</v>
      </c>
      <c r="I1468" s="392" t="s">
        <v>1761</v>
      </c>
      <c r="J1468" s="392" t="s">
        <v>4990</v>
      </c>
      <c r="K1468" s="392" t="s">
        <v>2020</v>
      </c>
      <c r="L1468" s="392" t="s">
        <v>3946</v>
      </c>
      <c r="M1468" s="392" t="s">
        <v>7273</v>
      </c>
      <c r="N1468" s="392" t="s">
        <v>7273</v>
      </c>
      <c r="O1468" s="392" t="s">
        <v>7273</v>
      </c>
      <c r="P1468"/>
      <c r="Q1468"/>
      <c r="R1468" s="387">
        <f>VLOOKUP(E1468,'[1]NDB Impacted SPRFs 05032013'!$A$2:$A$65536,1,FALSE)</f>
        <v>400021395</v>
      </c>
    </row>
    <row r="1469" spans="1:21" s="159" customFormat="1" ht="45" x14ac:dyDescent="0.25">
      <c r="A1469" s="63">
        <f>MATCH($E1469,'D1 - Master Project Table'!$B$24:$B$7056,0)</f>
        <v>1959</v>
      </c>
      <c r="B1469" s="63" t="b">
        <f t="shared" si="69"/>
        <v>0</v>
      </c>
      <c r="C1469" s="63" t="b">
        <f t="shared" si="67"/>
        <v>1</v>
      </c>
      <c r="D1469" s="63" t="str">
        <f t="shared" si="68"/>
        <v>OK</v>
      </c>
      <c r="E1469" s="393">
        <v>400022311</v>
      </c>
      <c r="F1469" s="392" t="s">
        <v>5602</v>
      </c>
      <c r="G1469" s="392" t="s">
        <v>5324</v>
      </c>
      <c r="H1469" s="392" t="s">
        <v>7418</v>
      </c>
      <c r="I1469" s="392" t="s">
        <v>1763</v>
      </c>
      <c r="J1469" s="392" t="s">
        <v>3936</v>
      </c>
      <c r="K1469" s="392" t="s">
        <v>4176</v>
      </c>
      <c r="L1469" s="392" t="s">
        <v>3226</v>
      </c>
      <c r="M1469" s="392" t="s">
        <v>7273</v>
      </c>
      <c r="N1469" s="392" t="s">
        <v>7273</v>
      </c>
      <c r="O1469" s="392" t="s">
        <v>7273</v>
      </c>
      <c r="P1469"/>
      <c r="Q1469"/>
      <c r="R1469" s="387">
        <f>VLOOKUP(E1469,'[1]NDB Impacted SPRFs 05032013'!$A$2:$A$65536,1,FALSE)</f>
        <v>400022311</v>
      </c>
    </row>
    <row r="1470" spans="1:21" s="159" customFormat="1" ht="45" x14ac:dyDescent="0.25">
      <c r="A1470" s="63">
        <f>MATCH($E1470,'D1 - Master Project Table'!$B$24:$B$7056,0)</f>
        <v>2240</v>
      </c>
      <c r="B1470" s="63" t="b">
        <f t="shared" si="69"/>
        <v>0</v>
      </c>
      <c r="C1470" s="63" t="b">
        <f t="shared" si="67"/>
        <v>1</v>
      </c>
      <c r="D1470" s="63" t="str">
        <f t="shared" si="68"/>
        <v>OK</v>
      </c>
      <c r="E1470" s="393">
        <v>400026293</v>
      </c>
      <c r="F1470" s="392" t="s">
        <v>5616</v>
      </c>
      <c r="G1470" s="392" t="s">
        <v>5324</v>
      </c>
      <c r="H1470" s="392" t="s">
        <v>5314</v>
      </c>
      <c r="I1470" s="392" t="s">
        <v>1758</v>
      </c>
      <c r="J1470" s="392" t="s">
        <v>2077</v>
      </c>
      <c r="K1470" s="392" t="s">
        <v>5617</v>
      </c>
      <c r="L1470" s="392" t="s">
        <v>4812</v>
      </c>
      <c r="M1470" s="392" t="s">
        <v>7273</v>
      </c>
      <c r="N1470" s="392" t="s">
        <v>7273</v>
      </c>
      <c r="O1470" s="392" t="s">
        <v>7273</v>
      </c>
      <c r="P1470"/>
      <c r="Q1470"/>
      <c r="R1470" s="387">
        <f>VLOOKUP(E1470,'[1]NDB Impacted SPRFs 05032013'!$A$2:$A$65536,1,FALSE)</f>
        <v>400026293</v>
      </c>
    </row>
    <row r="1471" spans="1:21" s="159" customFormat="1" ht="30" x14ac:dyDescent="0.25">
      <c r="A1471" s="63">
        <f>MATCH($E1471,'D1 - Master Project Table'!$B$24:$B$7056,0)</f>
        <v>62</v>
      </c>
      <c r="B1471" s="63" t="b">
        <f t="shared" si="69"/>
        <v>0</v>
      </c>
      <c r="C1471" s="63" t="b">
        <f t="shared" si="67"/>
        <v>0</v>
      </c>
      <c r="D1471" s="63" t="str">
        <f t="shared" si="68"/>
        <v>OK</v>
      </c>
      <c r="E1471" s="393">
        <v>400056628</v>
      </c>
      <c r="F1471" s="392" t="s">
        <v>7806</v>
      </c>
      <c r="G1471" s="392" t="s">
        <v>9210</v>
      </c>
      <c r="H1471" s="392" t="s">
        <v>4917</v>
      </c>
      <c r="I1471" s="392" t="s">
        <v>3540</v>
      </c>
      <c r="J1471" s="392" t="s">
        <v>8737</v>
      </c>
      <c r="K1471" s="392" t="s">
        <v>7807</v>
      </c>
      <c r="L1471" s="392" t="s">
        <v>9298</v>
      </c>
      <c r="M1471" s="392" t="s">
        <v>7273</v>
      </c>
      <c r="N1471" s="392" t="s">
        <v>7273</v>
      </c>
      <c r="O1471" s="392" t="s">
        <v>3758</v>
      </c>
      <c r="P1471"/>
      <c r="Q1471"/>
      <c r="R1471" s="387">
        <f>VLOOKUP(E1471,'[1]NDB Impacted SPRFs 05032013'!$A$2:$A$65536,1,FALSE)</f>
        <v>400056628</v>
      </c>
      <c r="S1471" s="128"/>
      <c r="T1471" s="128"/>
      <c r="U1471" s="128"/>
    </row>
    <row r="1472" spans="1:21" s="159" customFormat="1" ht="45" x14ac:dyDescent="0.25">
      <c r="A1472" s="63">
        <f>MATCH($E1472,'D1 - Master Project Table'!$B$24:$B$7056,0)</f>
        <v>283</v>
      </c>
      <c r="B1472" s="63" t="b">
        <f t="shared" si="69"/>
        <v>0</v>
      </c>
      <c r="C1472" s="63" t="b">
        <f t="shared" si="67"/>
        <v>1</v>
      </c>
      <c r="D1472" s="63" t="str">
        <f t="shared" si="68"/>
        <v>OK</v>
      </c>
      <c r="E1472" s="393">
        <v>210021349</v>
      </c>
      <c r="F1472" s="392" t="s">
        <v>3296</v>
      </c>
      <c r="G1472" s="392" t="s">
        <v>5324</v>
      </c>
      <c r="H1472" s="392" t="s">
        <v>7418</v>
      </c>
      <c r="I1472" s="392" t="s">
        <v>1765</v>
      </c>
      <c r="J1472" s="392" t="s">
        <v>6348</v>
      </c>
      <c r="K1472" s="392" t="s">
        <v>8075</v>
      </c>
      <c r="L1472" s="392" t="s">
        <v>3297</v>
      </c>
      <c r="M1472" s="392" t="s">
        <v>3758</v>
      </c>
      <c r="N1472" s="392" t="s">
        <v>7273</v>
      </c>
      <c r="O1472" s="392" t="s">
        <v>7273</v>
      </c>
      <c r="P1472"/>
      <c r="Q1472"/>
      <c r="R1472" s="387">
        <f>VLOOKUP(E1472,'[1]NDB Impacted SPRFs 05032013'!$A$2:$A$65536,1,FALSE)</f>
        <v>210021349</v>
      </c>
    </row>
    <row r="1473" spans="1:21" ht="30" x14ac:dyDescent="0.25">
      <c r="A1473" s="63" t="e">
        <f>MATCH($E1473,'D1 - Master Project Table'!$B$24:$B$7056,0)</f>
        <v>#N/A</v>
      </c>
      <c r="B1473" s="63" t="b">
        <f t="shared" si="69"/>
        <v>1</v>
      </c>
      <c r="C1473" s="63" t="b">
        <f t="shared" si="67"/>
        <v>1</v>
      </c>
      <c r="D1473" s="63" t="str">
        <f t="shared" si="68"/>
        <v>OK</v>
      </c>
      <c r="E1473" s="393">
        <v>400000439</v>
      </c>
      <c r="F1473" s="392" t="s">
        <v>4721</v>
      </c>
      <c r="G1473" s="392" t="s">
        <v>5787</v>
      </c>
      <c r="H1473" s="392" t="s">
        <v>5314</v>
      </c>
      <c r="I1473" s="392" t="s">
        <v>1783</v>
      </c>
      <c r="J1473" s="392" t="s">
        <v>8687</v>
      </c>
      <c r="K1473" s="392" t="s">
        <v>2445</v>
      </c>
      <c r="L1473" s="392" t="s">
        <v>5364</v>
      </c>
      <c r="M1473" s="392" t="s">
        <v>3758</v>
      </c>
      <c r="N1473" s="392" t="s">
        <v>7273</v>
      </c>
      <c r="O1473" s="392" t="s">
        <v>7273</v>
      </c>
      <c r="P1473"/>
      <c r="Q1473"/>
      <c r="R1473" s="387">
        <f>VLOOKUP(E1473,'[1]NDB Impacted SPRFs 05032013'!$A$2:$A$65536,1,FALSE)</f>
        <v>400000439</v>
      </c>
      <c r="S1473" s="159"/>
      <c r="T1473" s="159"/>
      <c r="U1473" s="159"/>
    </row>
    <row r="1474" spans="1:21" s="159" customFormat="1" ht="45" x14ac:dyDescent="0.25">
      <c r="A1474" s="63" t="e">
        <f>MATCH($E1474,'D1 - Master Project Table'!$B$24:$B$7056,0)</f>
        <v>#N/A</v>
      </c>
      <c r="B1474" s="63" t="b">
        <f t="shared" si="69"/>
        <v>1</v>
      </c>
      <c r="C1474" s="63" t="b">
        <f t="shared" si="67"/>
        <v>1</v>
      </c>
      <c r="D1474" s="63" t="str">
        <f t="shared" si="68"/>
        <v>OK</v>
      </c>
      <c r="E1474" s="393">
        <v>400001115</v>
      </c>
      <c r="F1474" s="392" t="s">
        <v>5171</v>
      </c>
      <c r="G1474" s="392" t="s">
        <v>5324</v>
      </c>
      <c r="H1474" s="392" t="s">
        <v>5314</v>
      </c>
      <c r="I1474" s="392" t="s">
        <v>1805</v>
      </c>
      <c r="J1474" s="392" t="s">
        <v>8533</v>
      </c>
      <c r="K1474" s="392" t="s">
        <v>2829</v>
      </c>
      <c r="L1474" s="392" t="s">
        <v>4265</v>
      </c>
      <c r="M1474" s="392" t="s">
        <v>3758</v>
      </c>
      <c r="N1474" s="392" t="s">
        <v>7273</v>
      </c>
      <c r="O1474" s="392" t="s">
        <v>7273</v>
      </c>
      <c r="P1474"/>
      <c r="Q1474"/>
      <c r="R1474" s="387">
        <f>VLOOKUP(E1474,'[1]NDB Impacted SPRFs 05032013'!$A$2:$A$65536,1,FALSE)</f>
        <v>400001115</v>
      </c>
    </row>
    <row r="1475" spans="1:21" s="159" customFormat="1" ht="45" x14ac:dyDescent="0.25">
      <c r="A1475" s="63">
        <f>MATCH($E1475,'D1 - Master Project Table'!$B$24:$B$7056,0)</f>
        <v>2397</v>
      </c>
      <c r="B1475" s="63" t="b">
        <f t="shared" si="69"/>
        <v>0</v>
      </c>
      <c r="C1475" s="63" t="b">
        <f t="shared" si="67"/>
        <v>1</v>
      </c>
      <c r="D1475" s="63" t="str">
        <f t="shared" si="68"/>
        <v>OK</v>
      </c>
      <c r="E1475" s="393">
        <v>400002450</v>
      </c>
      <c r="F1475" s="392" t="s">
        <v>8091</v>
      </c>
      <c r="G1475" s="392" t="s">
        <v>5324</v>
      </c>
      <c r="H1475" s="392" t="s">
        <v>5314</v>
      </c>
      <c r="I1475" s="392" t="s">
        <v>1765</v>
      </c>
      <c r="J1475" s="392" t="s">
        <v>8359</v>
      </c>
      <c r="K1475" s="392" t="s">
        <v>5641</v>
      </c>
      <c r="L1475" s="392" t="s">
        <v>6912</v>
      </c>
      <c r="M1475" s="392" t="s">
        <v>3758</v>
      </c>
      <c r="N1475" s="392" t="s">
        <v>7273</v>
      </c>
      <c r="O1475" s="392" t="s">
        <v>7273</v>
      </c>
      <c r="P1475"/>
      <c r="Q1475"/>
      <c r="R1475" s="387">
        <f>VLOOKUP(E1475,'[1]NDB Impacted SPRFs 05032013'!$A$2:$A$65536,1,FALSE)</f>
        <v>400002450</v>
      </c>
    </row>
    <row r="1476" spans="1:21" s="159" customFormat="1" ht="45" x14ac:dyDescent="0.25">
      <c r="A1476" s="63">
        <f>MATCH($E1476,'D1 - Master Project Table'!$B$24:$B$7056,0)</f>
        <v>499</v>
      </c>
      <c r="B1476" s="63" t="b">
        <f t="shared" si="69"/>
        <v>0</v>
      </c>
      <c r="C1476" s="63" t="b">
        <f t="shared" si="67"/>
        <v>1</v>
      </c>
      <c r="D1476" s="63" t="str">
        <f t="shared" si="68"/>
        <v>OK</v>
      </c>
      <c r="E1476" s="393">
        <v>400012110</v>
      </c>
      <c r="F1476" s="392" t="s">
        <v>4544</v>
      </c>
      <c r="G1476" s="392" t="s">
        <v>5324</v>
      </c>
      <c r="H1476" s="392" t="s">
        <v>7418</v>
      </c>
      <c r="I1476" s="392" t="s">
        <v>1756</v>
      </c>
      <c r="J1476" s="392" t="s">
        <v>8394</v>
      </c>
      <c r="K1476" s="392" t="s">
        <v>5004</v>
      </c>
      <c r="L1476" s="392" t="s">
        <v>4272</v>
      </c>
      <c r="M1476" s="392" t="s">
        <v>3758</v>
      </c>
      <c r="N1476" s="392" t="s">
        <v>7273</v>
      </c>
      <c r="O1476" s="392" t="s">
        <v>3758</v>
      </c>
      <c r="P1476"/>
      <c r="Q1476"/>
      <c r="R1476" s="387">
        <f>VLOOKUP(E1476,'[1]NDB Impacted SPRFs 05032013'!$A$2:$A$65536,1,FALSE)</f>
        <v>400012110</v>
      </c>
      <c r="S1476" s="128"/>
      <c r="T1476" s="128"/>
      <c r="U1476" s="128"/>
    </row>
    <row r="1477" spans="1:21" ht="45" x14ac:dyDescent="0.25">
      <c r="A1477" s="63">
        <f>MATCH($E1477,'D1 - Master Project Table'!$B$24:$B$7056,0)</f>
        <v>2826</v>
      </c>
      <c r="B1477" s="63" t="b">
        <f t="shared" si="69"/>
        <v>0</v>
      </c>
      <c r="C1477" s="63" t="b">
        <f t="shared" si="67"/>
        <v>1</v>
      </c>
      <c r="D1477" s="63" t="str">
        <f t="shared" si="68"/>
        <v>OK</v>
      </c>
      <c r="E1477" s="393">
        <v>400025169</v>
      </c>
      <c r="F1477" s="392" t="s">
        <v>6149</v>
      </c>
      <c r="G1477" s="392" t="s">
        <v>5325</v>
      </c>
      <c r="H1477" s="392" t="s">
        <v>5314</v>
      </c>
      <c r="I1477" s="392" t="s">
        <v>1795</v>
      </c>
      <c r="J1477" s="392" t="s">
        <v>6584</v>
      </c>
      <c r="K1477" s="392" t="s">
        <v>6585</v>
      </c>
      <c r="L1477" s="392" t="s">
        <v>1972</v>
      </c>
      <c r="M1477" s="392" t="s">
        <v>7273</v>
      </c>
      <c r="N1477" s="392" t="s">
        <v>7273</v>
      </c>
      <c r="O1477" s="392" t="s">
        <v>7273</v>
      </c>
      <c r="P1477"/>
      <c r="Q1477"/>
      <c r="R1477" s="387">
        <f>VLOOKUP(E1477,'[1]NDB Impacted SPRFs 05032013'!$A$2:$A$65536,1,FALSE)</f>
        <v>400025169</v>
      </c>
      <c r="S1477" s="159"/>
      <c r="T1477" s="159"/>
      <c r="U1477" s="159"/>
    </row>
    <row r="1478" spans="1:21" s="159" customFormat="1" ht="45" x14ac:dyDescent="0.25">
      <c r="A1478" s="63">
        <f>MATCH($E1478,'D1 - Master Project Table'!$B$24:$B$7056,0)</f>
        <v>1102</v>
      </c>
      <c r="B1478" s="63" t="b">
        <f t="shared" si="69"/>
        <v>0</v>
      </c>
      <c r="C1478" s="63" t="b">
        <f t="shared" ref="C1478:C1541" si="70">OR(H1478="Completed",H1478="Cancelled")</f>
        <v>1</v>
      </c>
      <c r="D1478" s="63" t="str">
        <f t="shared" ref="D1478:D1541" si="71">IF(AND(B1478=TRUE,C1478=FALSE),"Add","OK")</f>
        <v>OK</v>
      </c>
      <c r="E1478" s="393">
        <v>400025413</v>
      </c>
      <c r="F1478" s="392" t="s">
        <v>7075</v>
      </c>
      <c r="G1478" s="392" t="s">
        <v>5324</v>
      </c>
      <c r="H1478" s="392" t="s">
        <v>7418</v>
      </c>
      <c r="I1478" s="392" t="s">
        <v>1756</v>
      </c>
      <c r="J1478" s="392" t="s">
        <v>8315</v>
      </c>
      <c r="K1478" s="392" t="s">
        <v>7197</v>
      </c>
      <c r="L1478" s="392" t="s">
        <v>4268</v>
      </c>
      <c r="M1478" s="392" t="s">
        <v>7273</v>
      </c>
      <c r="N1478" s="392" t="s">
        <v>7273</v>
      </c>
      <c r="O1478" s="392" t="s">
        <v>3758</v>
      </c>
      <c r="P1478"/>
      <c r="Q1478"/>
      <c r="R1478" s="387">
        <f>VLOOKUP(E1478,'[1]NDB Impacted SPRFs 05032013'!$A$2:$A$65536,1,FALSE)</f>
        <v>400025413</v>
      </c>
    </row>
    <row r="1479" spans="1:21" s="159" customFormat="1" ht="45" x14ac:dyDescent="0.25">
      <c r="A1479" s="63">
        <f>MATCH($E1479,'D1 - Master Project Table'!$B$24:$B$7056,0)</f>
        <v>1903</v>
      </c>
      <c r="B1479" s="63" t="b">
        <f t="shared" si="69"/>
        <v>0</v>
      </c>
      <c r="C1479" s="63" t="b">
        <f t="shared" si="70"/>
        <v>1</v>
      </c>
      <c r="D1479" s="63" t="str">
        <f t="shared" si="71"/>
        <v>OK</v>
      </c>
      <c r="E1479" s="393">
        <v>400008045</v>
      </c>
      <c r="F1479" s="392" t="s">
        <v>3660</v>
      </c>
      <c r="G1479" s="392" t="s">
        <v>5324</v>
      </c>
      <c r="H1479" s="392" t="s">
        <v>7418</v>
      </c>
      <c r="I1479" s="392" t="s">
        <v>1768</v>
      </c>
      <c r="J1479" s="392" t="s">
        <v>4997</v>
      </c>
      <c r="K1479" s="392" t="s">
        <v>2523</v>
      </c>
      <c r="L1479" s="392" t="s">
        <v>3942</v>
      </c>
      <c r="M1479" s="392" t="s">
        <v>7273</v>
      </c>
      <c r="N1479" s="392" t="s">
        <v>7273</v>
      </c>
      <c r="O1479" s="392" t="s">
        <v>7273</v>
      </c>
      <c r="P1479"/>
      <c r="Q1479"/>
      <c r="R1479" s="387">
        <f>VLOOKUP(E1479,'[1]NDB Impacted SPRFs 05032013'!$A$2:$A$65536,1,FALSE)</f>
        <v>400008045</v>
      </c>
    </row>
    <row r="1480" spans="1:21" s="159" customFormat="1" ht="45" x14ac:dyDescent="0.25">
      <c r="A1480" s="63">
        <f>MATCH($E1480,'D1 - Master Project Table'!$B$24:$B$7056,0)</f>
        <v>2532</v>
      </c>
      <c r="B1480" s="63" t="b">
        <f t="shared" si="69"/>
        <v>0</v>
      </c>
      <c r="C1480" s="63" t="b">
        <f t="shared" si="70"/>
        <v>1</v>
      </c>
      <c r="D1480" s="63" t="str">
        <f t="shared" si="71"/>
        <v>OK</v>
      </c>
      <c r="E1480" s="393">
        <v>400008254</v>
      </c>
      <c r="F1480" s="392" t="s">
        <v>4144</v>
      </c>
      <c r="G1480" s="392" t="s">
        <v>5324</v>
      </c>
      <c r="H1480" s="392" t="s">
        <v>7418</v>
      </c>
      <c r="I1480" s="392" t="s">
        <v>1756</v>
      </c>
      <c r="J1480" s="392" t="s">
        <v>7332</v>
      </c>
      <c r="K1480" s="392" t="s">
        <v>1592</v>
      </c>
      <c r="L1480" s="392" t="s">
        <v>5785</v>
      </c>
      <c r="M1480" s="392" t="s">
        <v>7273</v>
      </c>
      <c r="N1480" s="392" t="s">
        <v>7273</v>
      </c>
      <c r="O1480" s="392" t="s">
        <v>7273</v>
      </c>
      <c r="P1480"/>
      <c r="Q1480"/>
      <c r="R1480" s="387">
        <f>VLOOKUP(E1480,'[1]NDB Impacted SPRFs 05032013'!$A$2:$A$65536,1,FALSE)</f>
        <v>400008254</v>
      </c>
    </row>
    <row r="1481" spans="1:21" s="159" customFormat="1" ht="45" x14ac:dyDescent="0.25">
      <c r="A1481" s="63">
        <f>MATCH($E1481,'D1 - Master Project Table'!$B$24:$B$7056,0)</f>
        <v>963</v>
      </c>
      <c r="B1481" s="63" t="b">
        <f t="shared" si="69"/>
        <v>0</v>
      </c>
      <c r="C1481" s="63" t="b">
        <f t="shared" si="70"/>
        <v>1</v>
      </c>
      <c r="D1481" s="63" t="str">
        <f t="shared" si="71"/>
        <v>OK</v>
      </c>
      <c r="E1481" s="393">
        <v>400025351</v>
      </c>
      <c r="F1481" s="392" t="s">
        <v>2138</v>
      </c>
      <c r="G1481" s="392" t="s">
        <v>5324</v>
      </c>
      <c r="H1481" s="392" t="s">
        <v>7418</v>
      </c>
      <c r="I1481" s="392" t="s">
        <v>1758</v>
      </c>
      <c r="J1481" s="392" t="s">
        <v>8310</v>
      </c>
      <c r="K1481" s="392" t="s">
        <v>4087</v>
      </c>
      <c r="L1481" s="392" t="s">
        <v>5785</v>
      </c>
      <c r="M1481" s="392" t="s">
        <v>7273</v>
      </c>
      <c r="N1481" s="392" t="s">
        <v>7273</v>
      </c>
      <c r="O1481" s="392" t="s">
        <v>7273</v>
      </c>
      <c r="P1481"/>
      <c r="Q1481"/>
      <c r="R1481" s="387">
        <f>VLOOKUP(E1481,'[1]NDB Impacted SPRFs 05032013'!$A$2:$A$65536,1,FALSE)</f>
        <v>400025351</v>
      </c>
    </row>
    <row r="1482" spans="1:21" s="159" customFormat="1" ht="45" x14ac:dyDescent="0.25">
      <c r="A1482" s="63">
        <f>MATCH($E1482,'D1 - Master Project Table'!$B$24:$B$7056,0)</f>
        <v>235</v>
      </c>
      <c r="B1482" s="63" t="b">
        <f t="shared" si="69"/>
        <v>0</v>
      </c>
      <c r="C1482" s="63" t="b">
        <f t="shared" si="70"/>
        <v>0</v>
      </c>
      <c r="D1482" s="63" t="str">
        <f t="shared" si="71"/>
        <v>OK</v>
      </c>
      <c r="E1482" s="393">
        <v>400056306</v>
      </c>
      <c r="F1482" s="392" t="s">
        <v>9299</v>
      </c>
      <c r="G1482" s="392" t="s">
        <v>5325</v>
      </c>
      <c r="H1482" s="392" t="s">
        <v>4917</v>
      </c>
      <c r="I1482" s="392" t="s">
        <v>1759</v>
      </c>
      <c r="J1482" s="392" t="s">
        <v>5062</v>
      </c>
      <c r="K1482" s="392" t="s">
        <v>3224</v>
      </c>
      <c r="L1482" s="392" t="s">
        <v>9300</v>
      </c>
      <c r="M1482" s="392" t="s">
        <v>7273</v>
      </c>
      <c r="N1482" s="392" t="s">
        <v>7273</v>
      </c>
      <c r="O1482" s="392" t="s">
        <v>7273</v>
      </c>
      <c r="P1482"/>
      <c r="Q1482"/>
      <c r="R1482" s="387">
        <f>VLOOKUP(E1482,'[1]NDB Impacted SPRFs 05032013'!$A$2:$A$65536,1,FALSE)</f>
        <v>400056306</v>
      </c>
      <c r="S1482" s="128"/>
      <c r="T1482" s="128"/>
      <c r="U1482" s="128"/>
    </row>
    <row r="1483" spans="1:21" s="159" customFormat="1" ht="30" x14ac:dyDescent="0.25">
      <c r="A1483" s="63" t="e">
        <f>MATCH($E1483,'D1 - Master Project Table'!$B$24:$B$7056,0)</f>
        <v>#N/A</v>
      </c>
      <c r="B1483" s="63" t="b">
        <f t="shared" si="69"/>
        <v>1</v>
      </c>
      <c r="C1483" s="63" t="b">
        <f t="shared" si="70"/>
        <v>1</v>
      </c>
      <c r="D1483" s="63" t="str">
        <f t="shared" si="71"/>
        <v>OK</v>
      </c>
      <c r="E1483" s="393">
        <v>400001144</v>
      </c>
      <c r="F1483" s="392" t="s">
        <v>3221</v>
      </c>
      <c r="G1483" s="392" t="s">
        <v>6322</v>
      </c>
      <c r="H1483" s="392" t="s">
        <v>7418</v>
      </c>
      <c r="I1483" s="392" t="s">
        <v>7594</v>
      </c>
      <c r="J1483" s="392" t="s">
        <v>8632</v>
      </c>
      <c r="K1483" s="392" t="s">
        <v>4578</v>
      </c>
      <c r="L1483" s="392" t="s">
        <v>2101</v>
      </c>
      <c r="M1483" s="392" t="s">
        <v>7273</v>
      </c>
      <c r="N1483" s="392" t="s">
        <v>7273</v>
      </c>
      <c r="O1483" s="392" t="s">
        <v>7273</v>
      </c>
      <c r="P1483"/>
      <c r="Q1483"/>
      <c r="R1483" s="387">
        <f>VLOOKUP(E1483,'[1]NDB Impacted SPRFs 05032013'!$A$2:$A$65536,1,FALSE)</f>
        <v>400001144</v>
      </c>
      <c r="S1483" s="128"/>
      <c r="T1483" s="128"/>
      <c r="U1483" s="128"/>
    </row>
    <row r="1484" spans="1:21" s="159" customFormat="1" ht="30" x14ac:dyDescent="0.25">
      <c r="A1484" s="63" t="e">
        <f>MATCH($E1484,'D1 - Master Project Table'!$B$24:$B$7056,0)</f>
        <v>#N/A</v>
      </c>
      <c r="B1484" s="63" t="b">
        <f t="shared" si="69"/>
        <v>1</v>
      </c>
      <c r="C1484" s="63" t="b">
        <f t="shared" si="70"/>
        <v>1</v>
      </c>
      <c r="D1484" s="63" t="str">
        <f t="shared" si="71"/>
        <v>OK</v>
      </c>
      <c r="E1484" s="393">
        <v>400002142</v>
      </c>
      <c r="F1484" s="392" t="s">
        <v>6010</v>
      </c>
      <c r="G1484" s="392" t="s">
        <v>5787</v>
      </c>
      <c r="H1484" s="392" t="s">
        <v>7418</v>
      </c>
      <c r="I1484" s="392" t="s">
        <v>1772</v>
      </c>
      <c r="J1484" s="392" t="s">
        <v>8658</v>
      </c>
      <c r="K1484" s="392" t="s">
        <v>3766</v>
      </c>
      <c r="L1484" s="392" t="s">
        <v>1069</v>
      </c>
      <c r="M1484" s="392" t="s">
        <v>7273</v>
      </c>
      <c r="N1484" s="392" t="s">
        <v>7273</v>
      </c>
      <c r="O1484" s="392" t="s">
        <v>7273</v>
      </c>
      <c r="P1484" s="212"/>
      <c r="Q1484"/>
      <c r="R1484" s="387">
        <f>VLOOKUP(E1484,'[1]NDB Impacted SPRFs 05032013'!$A$2:$A$65536,1,FALSE)</f>
        <v>400002142</v>
      </c>
      <c r="S1484" s="128"/>
      <c r="T1484" s="128"/>
      <c r="U1484" s="128"/>
    </row>
    <row r="1485" spans="1:21" s="159" customFormat="1" ht="45" x14ac:dyDescent="0.25">
      <c r="A1485" s="63">
        <f>MATCH($E1485,'D1 - Master Project Table'!$B$24:$B$7056,0)</f>
        <v>342</v>
      </c>
      <c r="B1485" s="63" t="b">
        <f t="shared" si="69"/>
        <v>0</v>
      </c>
      <c r="C1485" s="63" t="b">
        <f t="shared" si="70"/>
        <v>1</v>
      </c>
      <c r="D1485" s="63" t="str">
        <f t="shared" si="71"/>
        <v>OK</v>
      </c>
      <c r="E1485" s="393">
        <v>400003959</v>
      </c>
      <c r="F1485" s="392" t="s">
        <v>5710</v>
      </c>
      <c r="G1485" s="392" t="s">
        <v>5324</v>
      </c>
      <c r="H1485" s="392" t="s">
        <v>7418</v>
      </c>
      <c r="I1485" s="392" t="s">
        <v>1765</v>
      </c>
      <c r="J1485" s="392" t="s">
        <v>8272</v>
      </c>
      <c r="K1485" s="392" t="s">
        <v>3354</v>
      </c>
      <c r="L1485" s="392" t="s">
        <v>4748</v>
      </c>
      <c r="M1485" s="392" t="s">
        <v>3758</v>
      </c>
      <c r="N1485" s="392" t="s">
        <v>7273</v>
      </c>
      <c r="O1485" s="392" t="s">
        <v>7273</v>
      </c>
      <c r="P1485"/>
      <c r="Q1485"/>
      <c r="R1485" s="387">
        <f>VLOOKUP(E1485,'[1]NDB Impacted SPRFs 05032013'!$A$2:$A$65536,1,FALSE)</f>
        <v>400003959</v>
      </c>
    </row>
    <row r="1486" spans="1:21" s="159" customFormat="1" ht="30" x14ac:dyDescent="0.25">
      <c r="A1486" s="63">
        <f>MATCH($E1486,'D1 - Master Project Table'!$B$24:$B$7056,0)</f>
        <v>406</v>
      </c>
      <c r="B1486" s="63" t="b">
        <f t="shared" si="69"/>
        <v>0</v>
      </c>
      <c r="C1486" s="63" t="b">
        <f t="shared" si="70"/>
        <v>1</v>
      </c>
      <c r="D1486" s="63" t="str">
        <f t="shared" si="71"/>
        <v>OK</v>
      </c>
      <c r="E1486" s="393">
        <v>400007178</v>
      </c>
      <c r="F1486" s="392" t="s">
        <v>2107</v>
      </c>
      <c r="G1486" s="392" t="s">
        <v>5787</v>
      </c>
      <c r="H1486" s="392" t="s">
        <v>7418</v>
      </c>
      <c r="I1486" s="392" t="s">
        <v>1780</v>
      </c>
      <c r="J1486" s="392" t="s">
        <v>8694</v>
      </c>
      <c r="K1486" s="392" t="s">
        <v>3353</v>
      </c>
      <c r="L1486" s="392" t="s">
        <v>7950</v>
      </c>
      <c r="M1486" s="392" t="s">
        <v>7273</v>
      </c>
      <c r="N1486" s="392" t="s">
        <v>7273</v>
      </c>
      <c r="O1486" s="392" t="s">
        <v>7273</v>
      </c>
      <c r="P1486"/>
      <c r="Q1486"/>
      <c r="R1486" s="387">
        <f>VLOOKUP(E1486,'[1]NDB Impacted SPRFs 05032013'!$A$2:$A$65536,1,FALSE)</f>
        <v>400007178</v>
      </c>
    </row>
    <row r="1487" spans="1:21" s="159" customFormat="1" ht="30" x14ac:dyDescent="0.25">
      <c r="A1487" s="63">
        <f>MATCH($E1487,'D1 - Master Project Table'!$B$24:$B$7056,0)</f>
        <v>2933</v>
      </c>
      <c r="B1487" s="63" t="b">
        <f t="shared" si="69"/>
        <v>0</v>
      </c>
      <c r="C1487" s="63" t="b">
        <f t="shared" si="70"/>
        <v>1</v>
      </c>
      <c r="D1487" s="63" t="str">
        <f t="shared" si="71"/>
        <v>OK</v>
      </c>
      <c r="E1487" s="393">
        <v>400033456</v>
      </c>
      <c r="F1487" s="392" t="s">
        <v>8122</v>
      </c>
      <c r="G1487" s="392" t="s">
        <v>1147</v>
      </c>
      <c r="H1487" s="392" t="s">
        <v>5314</v>
      </c>
      <c r="I1487" s="392" t="s">
        <v>5523</v>
      </c>
      <c r="J1487" s="392" t="s">
        <v>2642</v>
      </c>
      <c r="K1487" s="392" t="s">
        <v>2643</v>
      </c>
      <c r="L1487" s="392" t="s">
        <v>7606</v>
      </c>
      <c r="M1487" s="392" t="s">
        <v>7273</v>
      </c>
      <c r="N1487" s="392" t="s">
        <v>7273</v>
      </c>
      <c r="O1487" s="392" t="s">
        <v>7273</v>
      </c>
      <c r="P1487"/>
      <c r="Q1487"/>
      <c r="R1487" s="387">
        <f>VLOOKUP(E1487,'[1]NDB Impacted SPRFs 05032013'!$A$2:$A$65536,1,FALSE)</f>
        <v>400033456</v>
      </c>
      <c r="S1487" s="128"/>
      <c r="T1487" s="128"/>
      <c r="U1487" s="128"/>
    </row>
    <row r="1488" spans="1:21" s="159" customFormat="1" ht="45" customHeight="1" x14ac:dyDescent="0.25">
      <c r="A1488" s="63">
        <f>MATCH($E1488,'D1 - Master Project Table'!$B$24:$B$7056,0)</f>
        <v>1458</v>
      </c>
      <c r="B1488" s="63" t="b">
        <f t="shared" si="69"/>
        <v>0</v>
      </c>
      <c r="C1488" s="63" t="b">
        <f t="shared" si="70"/>
        <v>1</v>
      </c>
      <c r="D1488" s="63" t="str">
        <f t="shared" si="71"/>
        <v>OK</v>
      </c>
      <c r="E1488" s="393">
        <v>400039453</v>
      </c>
      <c r="F1488" s="392" t="s">
        <v>7373</v>
      </c>
      <c r="G1488" s="392" t="s">
        <v>5324</v>
      </c>
      <c r="H1488" s="392" t="s">
        <v>7418</v>
      </c>
      <c r="I1488" s="392" t="s">
        <v>1759</v>
      </c>
      <c r="J1488" s="392" t="s">
        <v>7372</v>
      </c>
      <c r="K1488" s="392" t="s">
        <v>3933</v>
      </c>
      <c r="L1488" s="392" t="s">
        <v>4901</v>
      </c>
      <c r="M1488" s="392" t="s">
        <v>7273</v>
      </c>
      <c r="N1488" s="392" t="s">
        <v>7273</v>
      </c>
      <c r="O1488" s="392" t="s">
        <v>3758</v>
      </c>
      <c r="P1488" s="212"/>
      <c r="Q1488"/>
      <c r="R1488" s="387">
        <f>VLOOKUP(E1488,'[1]NDB Impacted SPRFs 05032013'!$A$2:$A$65536,1,FALSE)</f>
        <v>400039453</v>
      </c>
    </row>
    <row r="1489" spans="1:21" s="159" customFormat="1" ht="45" x14ac:dyDescent="0.25">
      <c r="A1489" s="63">
        <f>MATCH($E1489,'D1 - Master Project Table'!$B$24:$B$7056,0)</f>
        <v>3122</v>
      </c>
      <c r="B1489" s="63" t="b">
        <f t="shared" si="69"/>
        <v>0</v>
      </c>
      <c r="C1489" s="63" t="b">
        <f t="shared" si="70"/>
        <v>1</v>
      </c>
      <c r="D1489" s="63" t="str">
        <f t="shared" si="71"/>
        <v>OK</v>
      </c>
      <c r="E1489" s="393">
        <v>400052759</v>
      </c>
      <c r="F1489" s="392" t="s">
        <v>1834</v>
      </c>
      <c r="G1489" s="392" t="s">
        <v>5324</v>
      </c>
      <c r="H1489" s="392" t="s">
        <v>5314</v>
      </c>
      <c r="I1489" s="392" t="s">
        <v>1786</v>
      </c>
      <c r="J1489" s="392" t="s">
        <v>8480</v>
      </c>
      <c r="K1489" s="392" t="s">
        <v>1835</v>
      </c>
      <c r="L1489" s="392" t="s">
        <v>8951</v>
      </c>
      <c r="M1489" s="392" t="s">
        <v>3758</v>
      </c>
      <c r="N1489" s="392" t="s">
        <v>7273</v>
      </c>
      <c r="O1489" s="392" t="s">
        <v>7273</v>
      </c>
      <c r="P1489"/>
      <c r="Q1489"/>
      <c r="R1489" s="387">
        <f>VLOOKUP(E1489,'[1]NDB Impacted SPRFs 05032013'!$A$2:$A$65536,1,FALSE)</f>
        <v>400052759</v>
      </c>
    </row>
    <row r="1490" spans="1:21" s="159" customFormat="1" ht="45" x14ac:dyDescent="0.25">
      <c r="A1490" s="63">
        <f>MATCH($E1490,'D1 - Master Project Table'!$B$24:$B$7056,0)</f>
        <v>2380</v>
      </c>
      <c r="B1490" s="63" t="b">
        <f t="shared" si="69"/>
        <v>0</v>
      </c>
      <c r="C1490" s="63" t="b">
        <f t="shared" si="70"/>
        <v>1</v>
      </c>
      <c r="D1490" s="63" t="str">
        <f t="shared" si="71"/>
        <v>OK</v>
      </c>
      <c r="E1490" s="393">
        <v>400001189</v>
      </c>
      <c r="F1490" s="392" t="s">
        <v>8014</v>
      </c>
      <c r="G1490" s="392" t="s">
        <v>5324</v>
      </c>
      <c r="H1490" s="392" t="s">
        <v>5314</v>
      </c>
      <c r="I1490" s="392" t="s">
        <v>1765</v>
      </c>
      <c r="J1490" s="392" t="s">
        <v>5894</v>
      </c>
      <c r="K1490" s="392" t="s">
        <v>5641</v>
      </c>
      <c r="L1490" s="392" t="s">
        <v>7756</v>
      </c>
      <c r="M1490" s="392" t="s">
        <v>3758</v>
      </c>
      <c r="N1490" s="392" t="s">
        <v>7273</v>
      </c>
      <c r="O1490" s="392" t="s">
        <v>7273</v>
      </c>
      <c r="P1490"/>
      <c r="Q1490"/>
      <c r="R1490" s="387">
        <f>VLOOKUP(E1490,'[1]NDB Impacted SPRFs 05032013'!$A$2:$A$65536,1,FALSE)</f>
        <v>400001189</v>
      </c>
    </row>
    <row r="1491" spans="1:21" s="159" customFormat="1" ht="30" x14ac:dyDescent="0.25">
      <c r="A1491" s="63">
        <f>MATCH($E1491,'D1 - Master Project Table'!$B$24:$B$7056,0)</f>
        <v>1144</v>
      </c>
      <c r="B1491" s="63" t="b">
        <f t="shared" si="69"/>
        <v>0</v>
      </c>
      <c r="C1491" s="63" t="b">
        <f t="shared" si="70"/>
        <v>1</v>
      </c>
      <c r="D1491" s="63" t="str">
        <f t="shared" si="71"/>
        <v>OK</v>
      </c>
      <c r="E1491" s="393">
        <v>400028633</v>
      </c>
      <c r="F1491" s="392" t="s">
        <v>3290</v>
      </c>
      <c r="G1491" s="392" t="s">
        <v>5001</v>
      </c>
      <c r="H1491" s="392" t="s">
        <v>7418</v>
      </c>
      <c r="I1491" s="392" t="s">
        <v>3540</v>
      </c>
      <c r="J1491" s="392" t="s">
        <v>3679</v>
      </c>
      <c r="K1491" s="392" t="s">
        <v>4006</v>
      </c>
      <c r="L1491" s="392" t="s">
        <v>6907</v>
      </c>
      <c r="M1491" s="392" t="s">
        <v>7273</v>
      </c>
      <c r="N1491" s="392" t="s">
        <v>7273</v>
      </c>
      <c r="O1491" s="392" t="s">
        <v>3758</v>
      </c>
      <c r="P1491"/>
      <c r="Q1491"/>
      <c r="R1491" s="387">
        <f>VLOOKUP(E1491,'[1]NDB Impacted SPRFs 05032013'!$A$2:$A$65536,1,FALSE)</f>
        <v>400028633</v>
      </c>
    </row>
    <row r="1492" spans="1:21" ht="45" x14ac:dyDescent="0.25">
      <c r="A1492" s="63">
        <f>MATCH($E1492,'D1 - Master Project Table'!$B$24:$B$7056,0)</f>
        <v>2884</v>
      </c>
      <c r="B1492" s="63" t="b">
        <f t="shared" si="69"/>
        <v>0</v>
      </c>
      <c r="C1492" s="63" t="b">
        <f t="shared" si="70"/>
        <v>1</v>
      </c>
      <c r="D1492" s="63" t="str">
        <f t="shared" si="71"/>
        <v>OK</v>
      </c>
      <c r="E1492" s="393">
        <v>400029227</v>
      </c>
      <c r="F1492" s="392" t="s">
        <v>5543</v>
      </c>
      <c r="G1492" s="392" t="s">
        <v>5324</v>
      </c>
      <c r="H1492" s="392" t="s">
        <v>5314</v>
      </c>
      <c r="I1492" s="392" t="s">
        <v>1763</v>
      </c>
      <c r="J1492" s="392" t="s">
        <v>8317</v>
      </c>
      <c r="K1492" s="392" t="s">
        <v>3283</v>
      </c>
      <c r="L1492" s="392" t="s">
        <v>7041</v>
      </c>
      <c r="M1492" s="392" t="s">
        <v>7273</v>
      </c>
      <c r="N1492" s="392" t="s">
        <v>7273</v>
      </c>
      <c r="O1492" s="392" t="s">
        <v>3758</v>
      </c>
      <c r="P1492"/>
      <c r="Q1492"/>
      <c r="R1492" s="387">
        <f>VLOOKUP(E1492,'[1]NDB Impacted SPRFs 05032013'!$A$2:$A$65536,1,FALSE)</f>
        <v>400029227</v>
      </c>
      <c r="S1492" s="159"/>
      <c r="T1492" s="159"/>
      <c r="U1492" s="159"/>
    </row>
    <row r="1493" spans="1:21" s="159" customFormat="1" ht="45" x14ac:dyDescent="0.25">
      <c r="A1493" s="63">
        <f>MATCH($E1493,'D1 - Master Project Table'!$B$24:$B$7056,0)</f>
        <v>3096</v>
      </c>
      <c r="B1493" s="63" t="b">
        <f t="shared" si="69"/>
        <v>0</v>
      </c>
      <c r="C1493" s="63" t="b">
        <f t="shared" si="70"/>
        <v>1</v>
      </c>
      <c r="D1493" s="63" t="str">
        <f t="shared" si="71"/>
        <v>OK</v>
      </c>
      <c r="E1493" s="393">
        <v>400049869</v>
      </c>
      <c r="F1493" s="392" t="s">
        <v>2760</v>
      </c>
      <c r="G1493" s="392" t="s">
        <v>6322</v>
      </c>
      <c r="H1493" s="392" t="s">
        <v>5314</v>
      </c>
      <c r="I1493" s="392" t="s">
        <v>1762</v>
      </c>
      <c r="J1493" s="392" t="s">
        <v>8638</v>
      </c>
      <c r="K1493" s="392" t="s">
        <v>2761</v>
      </c>
      <c r="L1493" s="392" t="s">
        <v>1455</v>
      </c>
      <c r="M1493" s="392" t="s">
        <v>7273</v>
      </c>
      <c r="N1493" s="392" t="s">
        <v>7273</v>
      </c>
      <c r="O1493" s="392" t="s">
        <v>3758</v>
      </c>
      <c r="P1493"/>
      <c r="Q1493"/>
      <c r="R1493" s="387">
        <f>VLOOKUP(E1493,'[1]NDB Impacted SPRFs 05032013'!$A$2:$A$65536,1,FALSE)</f>
        <v>400049869</v>
      </c>
    </row>
    <row r="1494" spans="1:21" s="159" customFormat="1" ht="30" x14ac:dyDescent="0.25">
      <c r="A1494" s="63">
        <f>MATCH($E1494,'D1 - Master Project Table'!$B$24:$B$7056,0)</f>
        <v>1868</v>
      </c>
      <c r="B1494" s="63" t="b">
        <f t="shared" si="69"/>
        <v>0</v>
      </c>
      <c r="C1494" s="63" t="b">
        <f t="shared" si="70"/>
        <v>1</v>
      </c>
      <c r="D1494" s="63" t="str">
        <f t="shared" si="71"/>
        <v>OK</v>
      </c>
      <c r="E1494" s="393">
        <v>400002073</v>
      </c>
      <c r="F1494" s="392" t="s">
        <v>8134</v>
      </c>
      <c r="G1494" s="392" t="s">
        <v>5995</v>
      </c>
      <c r="H1494" s="392" t="s">
        <v>7418</v>
      </c>
      <c r="I1494" s="392" t="s">
        <v>3529</v>
      </c>
      <c r="J1494" s="392" t="s">
        <v>8797</v>
      </c>
      <c r="K1494" s="392" t="s">
        <v>3794</v>
      </c>
      <c r="L1494" s="392" t="s">
        <v>2132</v>
      </c>
      <c r="M1494" s="392" t="s">
        <v>3758</v>
      </c>
      <c r="N1494" s="392" t="s">
        <v>7273</v>
      </c>
      <c r="O1494" s="392" t="s">
        <v>7273</v>
      </c>
      <c r="P1494"/>
      <c r="Q1494"/>
      <c r="R1494" s="387">
        <f>VLOOKUP(E1494,'[1]NDB Impacted SPRFs 05032013'!$A$2:$A$65536,1,FALSE)</f>
        <v>400002073</v>
      </c>
    </row>
    <row r="1495" spans="1:21" s="159" customFormat="1" ht="45" x14ac:dyDescent="0.25">
      <c r="A1495" s="63">
        <f>MATCH($E1495,'D1 - Master Project Table'!$B$24:$B$7056,0)</f>
        <v>2500</v>
      </c>
      <c r="B1495" s="63" t="b">
        <f t="shared" si="69"/>
        <v>0</v>
      </c>
      <c r="C1495" s="63" t="b">
        <f t="shared" si="70"/>
        <v>1</v>
      </c>
      <c r="D1495" s="63" t="str">
        <f t="shared" si="71"/>
        <v>OK</v>
      </c>
      <c r="E1495" s="393">
        <v>400006992</v>
      </c>
      <c r="F1495" s="392" t="s">
        <v>4497</v>
      </c>
      <c r="G1495" s="392" t="s">
        <v>5324</v>
      </c>
      <c r="H1495" s="392" t="s">
        <v>5314</v>
      </c>
      <c r="I1495" s="392" t="s">
        <v>1765</v>
      </c>
      <c r="J1495" s="392" t="s">
        <v>8322</v>
      </c>
      <c r="K1495" s="392" t="s">
        <v>3882</v>
      </c>
      <c r="L1495" s="392" t="s">
        <v>5568</v>
      </c>
      <c r="M1495" s="392" t="s">
        <v>3758</v>
      </c>
      <c r="N1495" s="392" t="s">
        <v>7273</v>
      </c>
      <c r="O1495" s="392" t="s">
        <v>7273</v>
      </c>
      <c r="P1495"/>
      <c r="Q1495"/>
      <c r="R1495" s="387">
        <f>VLOOKUP(E1495,'[1]NDB Impacted SPRFs 05032013'!$A$2:$A$65536,1,FALSE)</f>
        <v>400006992</v>
      </c>
    </row>
    <row r="1496" spans="1:21" s="159" customFormat="1" ht="30" customHeight="1" x14ac:dyDescent="0.25">
      <c r="A1496" s="63">
        <f>MATCH($E1496,'D1 - Master Project Table'!$B$24:$B$7056,0)</f>
        <v>2560</v>
      </c>
      <c r="B1496" s="63" t="b">
        <f t="shared" si="69"/>
        <v>0</v>
      </c>
      <c r="C1496" s="63" t="b">
        <f t="shared" si="70"/>
        <v>1</v>
      </c>
      <c r="D1496" s="63" t="str">
        <f t="shared" si="71"/>
        <v>OK</v>
      </c>
      <c r="E1496" s="393">
        <v>400009650</v>
      </c>
      <c r="F1496" s="392" t="s">
        <v>6683</v>
      </c>
      <c r="G1496" s="392" t="s">
        <v>3441</v>
      </c>
      <c r="H1496" s="392" t="s">
        <v>7418</v>
      </c>
      <c r="I1496" s="392" t="s">
        <v>2662</v>
      </c>
      <c r="J1496" s="392" t="s">
        <v>8723</v>
      </c>
      <c r="K1496" s="392" t="s">
        <v>1506</v>
      </c>
      <c r="L1496" s="392" t="s">
        <v>4318</v>
      </c>
      <c r="M1496" s="392" t="s">
        <v>3758</v>
      </c>
      <c r="N1496" s="392" t="s">
        <v>7273</v>
      </c>
      <c r="O1496" s="392" t="s">
        <v>7273</v>
      </c>
      <c r="P1496"/>
      <c r="Q1496"/>
      <c r="R1496" s="387">
        <f>VLOOKUP(E1496,'[1]NDB Impacted SPRFs 05032013'!$A$2:$A$65536,1,FALSE)</f>
        <v>400009650</v>
      </c>
    </row>
    <row r="1497" spans="1:21" s="159" customFormat="1" ht="45" x14ac:dyDescent="0.25">
      <c r="A1497" s="63">
        <f>MATCH($E1497,'D1 - Master Project Table'!$B$24:$B$7056,0)</f>
        <v>2882</v>
      </c>
      <c r="B1497" s="63" t="b">
        <f t="shared" si="69"/>
        <v>0</v>
      </c>
      <c r="C1497" s="63" t="b">
        <f t="shared" si="70"/>
        <v>1</v>
      </c>
      <c r="D1497" s="63" t="str">
        <f t="shared" si="71"/>
        <v>OK</v>
      </c>
      <c r="E1497" s="393">
        <v>400028865</v>
      </c>
      <c r="F1497" s="392" t="s">
        <v>2822</v>
      </c>
      <c r="G1497" s="392" t="s">
        <v>5324</v>
      </c>
      <c r="H1497" s="392" t="s">
        <v>5314</v>
      </c>
      <c r="I1497" s="392" t="s">
        <v>1760</v>
      </c>
      <c r="J1497" s="392" t="s">
        <v>1957</v>
      </c>
      <c r="K1497" s="392" t="s">
        <v>7932</v>
      </c>
      <c r="L1497" s="392" t="s">
        <v>6754</v>
      </c>
      <c r="M1497" s="392" t="s">
        <v>3758</v>
      </c>
      <c r="N1497" s="392" t="s">
        <v>7273</v>
      </c>
      <c r="O1497" s="392" t="s">
        <v>3758</v>
      </c>
      <c r="P1497"/>
      <c r="Q1497"/>
      <c r="R1497" s="387">
        <f>VLOOKUP(E1497,'[1]NDB Impacted SPRFs 05032013'!$A$2:$A$65536,1,FALSE)</f>
        <v>400028865</v>
      </c>
    </row>
    <row r="1498" spans="1:21" s="159" customFormat="1" ht="30" x14ac:dyDescent="0.25">
      <c r="A1498" s="63">
        <f>MATCH($E1498,'D1 - Master Project Table'!$B$24:$B$7056,0)</f>
        <v>3206</v>
      </c>
      <c r="B1498" s="63" t="b">
        <f t="shared" si="69"/>
        <v>0</v>
      </c>
      <c r="C1498" s="63" t="b">
        <f t="shared" si="70"/>
        <v>1</v>
      </c>
      <c r="D1498" s="63" t="str">
        <f t="shared" si="71"/>
        <v>OK</v>
      </c>
      <c r="E1498" s="393">
        <v>400047626</v>
      </c>
      <c r="F1498" s="392" t="s">
        <v>801</v>
      </c>
      <c r="G1498" s="392" t="s">
        <v>5995</v>
      </c>
      <c r="H1498" s="392" t="s">
        <v>7418</v>
      </c>
      <c r="I1498" s="392" t="s">
        <v>3535</v>
      </c>
      <c r="J1498" s="392" t="s">
        <v>7496</v>
      </c>
      <c r="K1498" s="392" t="s">
        <v>802</v>
      </c>
      <c r="L1498" s="392" t="s">
        <v>47</v>
      </c>
      <c r="M1498" s="392" t="s">
        <v>7273</v>
      </c>
      <c r="N1498" s="392" t="s">
        <v>7273</v>
      </c>
      <c r="O1498" s="392" t="s">
        <v>7273</v>
      </c>
      <c r="P1498"/>
      <c r="Q1498"/>
      <c r="R1498" s="387">
        <f>VLOOKUP(E1498,'[1]NDB Impacted SPRFs 05032013'!$A$2:$A$65536,1,FALSE)</f>
        <v>400047626</v>
      </c>
      <c r="S1498" s="128"/>
      <c r="T1498" s="128"/>
      <c r="U1498" s="128"/>
    </row>
    <row r="1499" spans="1:21" s="159" customFormat="1" ht="45" x14ac:dyDescent="0.25">
      <c r="A1499" s="63" t="e">
        <f>MATCH($E1499,'D1 - Master Project Table'!$B$24:$B$7056,0)</f>
        <v>#N/A</v>
      </c>
      <c r="B1499" s="63" t="b">
        <f t="shared" si="69"/>
        <v>1</v>
      </c>
      <c r="C1499" s="63" t="b">
        <f t="shared" si="70"/>
        <v>1</v>
      </c>
      <c r="D1499" s="63" t="str">
        <f t="shared" si="71"/>
        <v>OK</v>
      </c>
      <c r="E1499" s="393">
        <v>302071440</v>
      </c>
      <c r="F1499" s="392" t="s">
        <v>4186</v>
      </c>
      <c r="G1499" s="392" t="s">
        <v>5324</v>
      </c>
      <c r="H1499" s="392" t="s">
        <v>7418</v>
      </c>
      <c r="I1499" s="392" t="s">
        <v>1765</v>
      </c>
      <c r="J1499" s="392" t="s">
        <v>3843</v>
      </c>
      <c r="K1499" s="392" t="s">
        <v>8075</v>
      </c>
      <c r="L1499" s="392" t="s">
        <v>4187</v>
      </c>
      <c r="M1499" s="392" t="s">
        <v>3758</v>
      </c>
      <c r="N1499" s="392" t="s">
        <v>7273</v>
      </c>
      <c r="O1499" s="392" t="s">
        <v>7273</v>
      </c>
      <c r="P1499"/>
      <c r="Q1499"/>
      <c r="R1499" s="387">
        <f>VLOOKUP(E1499,'[1]NDB Impacted SPRFs 05032013'!$A$2:$A$65536,1,FALSE)</f>
        <v>302071440</v>
      </c>
    </row>
    <row r="1500" spans="1:21" s="159" customFormat="1" ht="30" x14ac:dyDescent="0.25">
      <c r="A1500" s="63">
        <f>MATCH($E1500,'D1 - Master Project Table'!$B$24:$B$7056,0)</f>
        <v>2353</v>
      </c>
      <c r="B1500" s="63" t="b">
        <f t="shared" si="69"/>
        <v>0</v>
      </c>
      <c r="C1500" s="63" t="b">
        <f t="shared" si="70"/>
        <v>1</v>
      </c>
      <c r="D1500" s="63" t="str">
        <f t="shared" si="71"/>
        <v>OK</v>
      </c>
      <c r="E1500" s="393">
        <v>400000134</v>
      </c>
      <c r="F1500" s="392" t="s">
        <v>4212</v>
      </c>
      <c r="G1500" s="392" t="s">
        <v>5787</v>
      </c>
      <c r="H1500" s="392" t="s">
        <v>5314</v>
      </c>
      <c r="I1500" s="392" t="s">
        <v>1818</v>
      </c>
      <c r="J1500" s="392" t="s">
        <v>8679</v>
      </c>
      <c r="K1500" s="392" t="s">
        <v>3009</v>
      </c>
      <c r="L1500" s="392" t="s">
        <v>6119</v>
      </c>
      <c r="M1500" s="392" t="s">
        <v>3758</v>
      </c>
      <c r="N1500" s="392" t="s">
        <v>7273</v>
      </c>
      <c r="O1500" s="392" t="s">
        <v>7273</v>
      </c>
      <c r="P1500"/>
      <c r="Q1500"/>
      <c r="R1500" s="387">
        <f>VLOOKUP(E1500,'[1]NDB Impacted SPRFs 05032013'!$A$2:$A$65536,1,FALSE)</f>
        <v>400000134</v>
      </c>
    </row>
    <row r="1501" spans="1:21" s="159" customFormat="1" ht="45" x14ac:dyDescent="0.25">
      <c r="A1501" s="63">
        <f>MATCH($E1501,'D1 - Master Project Table'!$B$24:$B$7056,0)</f>
        <v>1845</v>
      </c>
      <c r="B1501" s="63" t="b">
        <f t="shared" si="69"/>
        <v>0</v>
      </c>
      <c r="C1501" s="63" t="b">
        <f t="shared" si="70"/>
        <v>1</v>
      </c>
      <c r="D1501" s="63" t="str">
        <f t="shared" si="71"/>
        <v>OK</v>
      </c>
      <c r="E1501" s="393">
        <v>400003580</v>
      </c>
      <c r="F1501" s="392" t="s">
        <v>7082</v>
      </c>
      <c r="G1501" s="392" t="s">
        <v>5324</v>
      </c>
      <c r="H1501" s="392" t="s">
        <v>7418</v>
      </c>
      <c r="I1501" s="392" t="s">
        <v>1768</v>
      </c>
      <c r="J1501" s="392" t="s">
        <v>8450</v>
      </c>
      <c r="K1501" s="392" t="s">
        <v>2833</v>
      </c>
      <c r="L1501" s="392" t="s">
        <v>3240</v>
      </c>
      <c r="M1501" s="392" t="s">
        <v>3758</v>
      </c>
      <c r="N1501" s="392" t="s">
        <v>7273</v>
      </c>
      <c r="O1501" s="392" t="s">
        <v>7273</v>
      </c>
      <c r="P1501"/>
      <c r="Q1501"/>
      <c r="R1501" s="387">
        <f>VLOOKUP(E1501,'[1]NDB Impacted SPRFs 05032013'!$A$2:$A$65536,1,FALSE)</f>
        <v>400003580</v>
      </c>
      <c r="S1501" s="128"/>
      <c r="T1501" s="128"/>
      <c r="U1501" s="128"/>
    </row>
    <row r="1502" spans="1:21" s="159" customFormat="1" ht="45" x14ac:dyDescent="0.25">
      <c r="A1502" s="63">
        <f>MATCH($E1502,'D1 - Master Project Table'!$B$24:$B$7056,0)</f>
        <v>449</v>
      </c>
      <c r="B1502" s="63" t="b">
        <f t="shared" si="69"/>
        <v>0</v>
      </c>
      <c r="C1502" s="63" t="b">
        <f t="shared" si="70"/>
        <v>1</v>
      </c>
      <c r="D1502" s="63" t="str">
        <f t="shared" si="71"/>
        <v>OK</v>
      </c>
      <c r="E1502" s="393">
        <v>400011289</v>
      </c>
      <c r="F1502" s="392" t="s">
        <v>4951</v>
      </c>
      <c r="G1502" s="392" t="s">
        <v>5324</v>
      </c>
      <c r="H1502" s="392" t="s">
        <v>5314</v>
      </c>
      <c r="I1502" s="392" t="s">
        <v>1756</v>
      </c>
      <c r="J1502" s="392" t="s">
        <v>7233</v>
      </c>
      <c r="K1502" s="392" t="s">
        <v>5159</v>
      </c>
      <c r="L1502" s="392" t="s">
        <v>3944</v>
      </c>
      <c r="M1502" s="392" t="s">
        <v>3758</v>
      </c>
      <c r="N1502" s="392" t="s">
        <v>7273</v>
      </c>
      <c r="O1502" s="392" t="s">
        <v>7273</v>
      </c>
      <c r="P1502"/>
      <c r="Q1502"/>
      <c r="R1502" s="387">
        <f>VLOOKUP(E1502,'[1]NDB Impacted SPRFs 05032013'!$A$2:$A$65536,1,FALSE)</f>
        <v>400011289</v>
      </c>
      <c r="S1502" s="128"/>
      <c r="T1502" s="128"/>
      <c r="U1502" s="128"/>
    </row>
    <row r="1503" spans="1:21" s="159" customFormat="1" ht="45" x14ac:dyDescent="0.25">
      <c r="A1503" s="63">
        <f>MATCH($E1503,'D1 - Master Project Table'!$B$24:$B$7056,0)</f>
        <v>804</v>
      </c>
      <c r="B1503" s="63" t="b">
        <f t="shared" si="69"/>
        <v>0</v>
      </c>
      <c r="C1503" s="63" t="b">
        <f t="shared" si="70"/>
        <v>1</v>
      </c>
      <c r="D1503" s="63" t="str">
        <f t="shared" si="71"/>
        <v>OK</v>
      </c>
      <c r="E1503" s="393">
        <v>400015003</v>
      </c>
      <c r="F1503" s="392" t="s">
        <v>3890</v>
      </c>
      <c r="G1503" s="392" t="s">
        <v>5324</v>
      </c>
      <c r="H1503" s="392" t="s">
        <v>7418</v>
      </c>
      <c r="I1503" s="392" t="s">
        <v>1757</v>
      </c>
      <c r="J1503" s="392" t="s">
        <v>8455</v>
      </c>
      <c r="K1503" s="392" t="s">
        <v>3736</v>
      </c>
      <c r="L1503" s="392" t="s">
        <v>998</v>
      </c>
      <c r="M1503" s="392" t="s">
        <v>3758</v>
      </c>
      <c r="N1503" s="392" t="s">
        <v>7273</v>
      </c>
      <c r="O1503" s="392" t="s">
        <v>7273</v>
      </c>
      <c r="P1503"/>
      <c r="Q1503"/>
      <c r="R1503" s="387">
        <f>VLOOKUP(E1503,'[1]NDB Impacted SPRFs 05032013'!$A$2:$A$65536,1,FALSE)</f>
        <v>400015003</v>
      </c>
    </row>
    <row r="1504" spans="1:21" ht="30" x14ac:dyDescent="0.25">
      <c r="A1504" s="63">
        <f>MATCH($E1504,'D1 - Master Project Table'!$B$24:$B$7056,0)</f>
        <v>1708</v>
      </c>
      <c r="B1504" s="63" t="b">
        <f t="shared" si="69"/>
        <v>0</v>
      </c>
      <c r="C1504" s="63" t="b">
        <f t="shared" si="70"/>
        <v>1</v>
      </c>
      <c r="D1504" s="63" t="str">
        <f t="shared" si="71"/>
        <v>OK</v>
      </c>
      <c r="E1504" s="393">
        <v>400047682</v>
      </c>
      <c r="F1504" s="392" t="s">
        <v>798</v>
      </c>
      <c r="G1504" s="392" t="s">
        <v>5001</v>
      </c>
      <c r="H1504" s="392" t="s">
        <v>7418</v>
      </c>
      <c r="I1504" s="392" t="s">
        <v>3540</v>
      </c>
      <c r="J1504" s="392" t="s">
        <v>8316</v>
      </c>
      <c r="K1504" s="392" t="s">
        <v>2174</v>
      </c>
      <c r="L1504" s="392" t="s">
        <v>2027</v>
      </c>
      <c r="M1504" s="392" t="s">
        <v>7273</v>
      </c>
      <c r="N1504" s="392" t="s">
        <v>7273</v>
      </c>
      <c r="O1504" s="392" t="s">
        <v>7273</v>
      </c>
      <c r="P1504"/>
      <c r="Q1504"/>
      <c r="R1504" s="387">
        <f>VLOOKUP(E1504,'[1]NDB Impacted SPRFs 05032013'!$A$2:$A$65536,1,FALSE)</f>
        <v>400047682</v>
      </c>
      <c r="S1504" s="159"/>
      <c r="T1504" s="159"/>
      <c r="U1504" s="159"/>
    </row>
    <row r="1505" spans="1:21" s="159" customFormat="1" ht="45" x14ac:dyDescent="0.25">
      <c r="A1505" s="63">
        <f>MATCH($E1505,'D1 - Master Project Table'!$B$24:$B$7056,0)</f>
        <v>293</v>
      </c>
      <c r="B1505" s="63" t="b">
        <f t="shared" si="69"/>
        <v>0</v>
      </c>
      <c r="C1505" s="63" t="b">
        <f t="shared" si="70"/>
        <v>1</v>
      </c>
      <c r="D1505" s="63" t="str">
        <f t="shared" si="71"/>
        <v>OK</v>
      </c>
      <c r="E1505" s="393">
        <v>400002196</v>
      </c>
      <c r="F1505" s="392" t="s">
        <v>6343</v>
      </c>
      <c r="G1505" s="392" t="s">
        <v>5324</v>
      </c>
      <c r="H1505" s="392" t="s">
        <v>7418</v>
      </c>
      <c r="I1505" s="392" t="s">
        <v>1765</v>
      </c>
      <c r="J1505" s="392" t="s">
        <v>8341</v>
      </c>
      <c r="K1505" s="392" t="s">
        <v>2953</v>
      </c>
      <c r="L1505" s="392" t="s">
        <v>8084</v>
      </c>
      <c r="M1505" s="392" t="s">
        <v>3758</v>
      </c>
      <c r="N1505" s="392" t="s">
        <v>7273</v>
      </c>
      <c r="O1505" s="392" t="s">
        <v>7273</v>
      </c>
      <c r="P1505"/>
      <c r="Q1505"/>
      <c r="R1505" s="387">
        <f>VLOOKUP(E1505,'[1]NDB Impacted SPRFs 05032013'!$A$2:$A$65536,1,FALSE)</f>
        <v>400002196</v>
      </c>
    </row>
    <row r="1506" spans="1:21" s="159" customFormat="1" ht="45" x14ac:dyDescent="0.25">
      <c r="A1506" s="63">
        <f>MATCH($E1506,'D1 - Master Project Table'!$B$24:$B$7056,0)</f>
        <v>1944</v>
      </c>
      <c r="B1506" s="63" t="b">
        <f t="shared" si="69"/>
        <v>0</v>
      </c>
      <c r="C1506" s="63" t="b">
        <f t="shared" si="70"/>
        <v>1</v>
      </c>
      <c r="D1506" s="63" t="str">
        <f t="shared" si="71"/>
        <v>OK</v>
      </c>
      <c r="E1506" s="393">
        <v>400018931</v>
      </c>
      <c r="F1506" s="392" t="s">
        <v>2871</v>
      </c>
      <c r="G1506" s="392" t="s">
        <v>5324</v>
      </c>
      <c r="H1506" s="392" t="s">
        <v>7418</v>
      </c>
      <c r="I1506" s="392" t="s">
        <v>1756</v>
      </c>
      <c r="J1506" s="392" t="s">
        <v>8605</v>
      </c>
      <c r="K1506" s="392" t="s">
        <v>2872</v>
      </c>
      <c r="L1506" s="392" t="s">
        <v>7947</v>
      </c>
      <c r="M1506" s="392" t="s">
        <v>3758</v>
      </c>
      <c r="N1506" s="392" t="s">
        <v>7273</v>
      </c>
      <c r="O1506" s="392" t="s">
        <v>7273</v>
      </c>
      <c r="P1506"/>
      <c r="Q1506"/>
      <c r="R1506" s="387">
        <f>VLOOKUP(E1506,'[1]NDB Impacted SPRFs 05032013'!$A$2:$A$65536,1,FALSE)</f>
        <v>400018931</v>
      </c>
    </row>
    <row r="1507" spans="1:21" s="159" customFormat="1" ht="45" x14ac:dyDescent="0.25">
      <c r="A1507" s="63">
        <f>MATCH($E1507,'D1 - Master Project Table'!$B$24:$B$7056,0)</f>
        <v>1355</v>
      </c>
      <c r="B1507" s="63" t="b">
        <f t="shared" si="69"/>
        <v>0</v>
      </c>
      <c r="C1507" s="63" t="b">
        <f t="shared" si="70"/>
        <v>1</v>
      </c>
      <c r="D1507" s="63" t="str">
        <f t="shared" si="71"/>
        <v>OK</v>
      </c>
      <c r="E1507" s="393">
        <v>400033787</v>
      </c>
      <c r="F1507" s="392" t="s">
        <v>7370</v>
      </c>
      <c r="G1507" s="392" t="s">
        <v>5324</v>
      </c>
      <c r="H1507" s="392" t="s">
        <v>7418</v>
      </c>
      <c r="I1507" s="392" t="s">
        <v>1763</v>
      </c>
      <c r="J1507" s="392" t="s">
        <v>8432</v>
      </c>
      <c r="K1507" s="392" t="s">
        <v>3283</v>
      </c>
      <c r="L1507" s="392" t="s">
        <v>2502</v>
      </c>
      <c r="M1507" s="392" t="s">
        <v>7273</v>
      </c>
      <c r="N1507" s="392" t="s">
        <v>7273</v>
      </c>
      <c r="O1507" s="392" t="s">
        <v>7273</v>
      </c>
      <c r="P1507"/>
      <c r="Q1507"/>
      <c r="R1507" s="387">
        <f>VLOOKUP(E1507,'[1]NDB Impacted SPRFs 05032013'!$A$2:$A$65536,1,FALSE)</f>
        <v>400033787</v>
      </c>
      <c r="S1507" s="128"/>
      <c r="T1507" s="128"/>
      <c r="U1507" s="128"/>
    </row>
    <row r="1508" spans="1:21" s="159" customFormat="1" ht="45" x14ac:dyDescent="0.25">
      <c r="A1508" s="63">
        <f>MATCH($E1508,'D1 - Master Project Table'!$B$24:$B$7056,0)</f>
        <v>2589</v>
      </c>
      <c r="B1508" s="63" t="b">
        <f t="shared" si="69"/>
        <v>0</v>
      </c>
      <c r="C1508" s="63" t="b">
        <f t="shared" si="70"/>
        <v>1</v>
      </c>
      <c r="D1508" s="63" t="str">
        <f t="shared" si="71"/>
        <v>OK</v>
      </c>
      <c r="E1508" s="393">
        <v>400011541</v>
      </c>
      <c r="F1508" s="392" t="s">
        <v>1222</v>
      </c>
      <c r="G1508" s="392" t="s">
        <v>5324</v>
      </c>
      <c r="H1508" s="392" t="s">
        <v>5314</v>
      </c>
      <c r="I1508" s="392" t="s">
        <v>1764</v>
      </c>
      <c r="J1508" s="392" t="s">
        <v>2937</v>
      </c>
      <c r="K1508" s="392" t="s">
        <v>5159</v>
      </c>
      <c r="L1508" s="392" t="s">
        <v>2634</v>
      </c>
      <c r="M1508" s="392" t="s">
        <v>3758</v>
      </c>
      <c r="N1508" s="392" t="s">
        <v>7273</v>
      </c>
      <c r="O1508" s="392" t="s">
        <v>7273</v>
      </c>
      <c r="P1508"/>
      <c r="Q1508"/>
      <c r="R1508" s="387">
        <f>VLOOKUP(E1508,'[1]NDB Impacted SPRFs 05032013'!$A$2:$A$65536,1,FALSE)</f>
        <v>400011541</v>
      </c>
      <c r="S1508" s="128"/>
      <c r="T1508" s="128"/>
      <c r="U1508" s="128"/>
    </row>
    <row r="1509" spans="1:21" s="159" customFormat="1" ht="45" x14ac:dyDescent="0.25">
      <c r="A1509" s="63">
        <f>MATCH($E1509,'D1 - Master Project Table'!$B$24:$B$7056,0)</f>
        <v>2904</v>
      </c>
      <c r="B1509" s="63" t="b">
        <f t="shared" si="69"/>
        <v>0</v>
      </c>
      <c r="C1509" s="63" t="b">
        <f t="shared" si="70"/>
        <v>1</v>
      </c>
      <c r="D1509" s="63" t="str">
        <f t="shared" si="71"/>
        <v>OK</v>
      </c>
      <c r="E1509" s="393">
        <v>400030890</v>
      </c>
      <c r="F1509" s="392" t="s">
        <v>5896</v>
      </c>
      <c r="G1509" s="392" t="s">
        <v>5324</v>
      </c>
      <c r="H1509" s="392" t="s">
        <v>5314</v>
      </c>
      <c r="I1509" s="392" t="s">
        <v>1758</v>
      </c>
      <c r="J1509" s="392" t="s">
        <v>8309</v>
      </c>
      <c r="K1509" s="392" t="s">
        <v>3710</v>
      </c>
      <c r="L1509" s="392" t="s">
        <v>4258</v>
      </c>
      <c r="M1509" s="392" t="s">
        <v>3758</v>
      </c>
      <c r="N1509" s="392" t="s">
        <v>7273</v>
      </c>
      <c r="O1509" s="392" t="s">
        <v>7273</v>
      </c>
      <c r="P1509"/>
      <c r="Q1509"/>
      <c r="R1509" s="387">
        <f>VLOOKUP(E1509,'[1]NDB Impacted SPRFs 05032013'!$A$2:$A$65536,1,FALSE)</f>
        <v>400030890</v>
      </c>
      <c r="S1509" s="128"/>
      <c r="T1509" s="128"/>
      <c r="U1509" s="128"/>
    </row>
    <row r="1510" spans="1:21" s="159" customFormat="1" ht="30" x14ac:dyDescent="0.25">
      <c r="A1510" s="63">
        <f>MATCH($E1510,'D1 - Master Project Table'!$B$24:$B$7056,0)</f>
        <v>2925</v>
      </c>
      <c r="B1510" s="63" t="b">
        <f t="shared" si="69"/>
        <v>0</v>
      </c>
      <c r="C1510" s="63" t="b">
        <f t="shared" si="70"/>
        <v>1</v>
      </c>
      <c r="D1510" s="63" t="str">
        <f t="shared" si="71"/>
        <v>OK</v>
      </c>
      <c r="E1510" s="393">
        <v>400032872</v>
      </c>
      <c r="F1510" s="392" t="s">
        <v>4853</v>
      </c>
      <c r="G1510" s="392" t="s">
        <v>5995</v>
      </c>
      <c r="H1510" s="392" t="s">
        <v>5314</v>
      </c>
      <c r="I1510" s="392" t="s">
        <v>6423</v>
      </c>
      <c r="J1510" s="392" t="s">
        <v>8818</v>
      </c>
      <c r="K1510" s="392" t="s">
        <v>3015</v>
      </c>
      <c r="L1510" s="392" t="s">
        <v>1900</v>
      </c>
      <c r="M1510" s="392" t="s">
        <v>7273</v>
      </c>
      <c r="N1510" s="392" t="s">
        <v>7273</v>
      </c>
      <c r="O1510" s="392" t="s">
        <v>3758</v>
      </c>
      <c r="P1510"/>
      <c r="Q1510"/>
      <c r="R1510" s="387">
        <f>VLOOKUP(E1510,'[1]NDB Impacted SPRFs 05032013'!$A$2:$A$65536,1,FALSE)</f>
        <v>400032872</v>
      </c>
    </row>
    <row r="1511" spans="1:21" s="159" customFormat="1" ht="45" x14ac:dyDescent="0.25">
      <c r="A1511" s="63">
        <f>MATCH($E1511,'D1 - Master Project Table'!$B$24:$B$7056,0)</f>
        <v>2667</v>
      </c>
      <c r="B1511" s="63" t="b">
        <f t="shared" si="69"/>
        <v>0</v>
      </c>
      <c r="C1511" s="63" t="b">
        <f t="shared" si="70"/>
        <v>1</v>
      </c>
      <c r="D1511" s="63" t="str">
        <f t="shared" si="71"/>
        <v>OK</v>
      </c>
      <c r="E1511" s="393">
        <v>400016080</v>
      </c>
      <c r="F1511" s="392" t="s">
        <v>6549</v>
      </c>
      <c r="G1511" s="392" t="s">
        <v>5325</v>
      </c>
      <c r="H1511" s="392" t="s">
        <v>5314</v>
      </c>
      <c r="I1511" s="392" t="s">
        <v>6008</v>
      </c>
      <c r="J1511" s="392" t="s">
        <v>3704</v>
      </c>
      <c r="K1511" s="392" t="s">
        <v>3560</v>
      </c>
      <c r="L1511" s="392" t="s">
        <v>4716</v>
      </c>
      <c r="M1511" s="392" t="s">
        <v>7273</v>
      </c>
      <c r="N1511" s="392" t="s">
        <v>7273</v>
      </c>
      <c r="O1511" s="392" t="s">
        <v>7273</v>
      </c>
      <c r="P1511"/>
      <c r="Q1511"/>
      <c r="R1511" s="387">
        <f>VLOOKUP(E1511,'[1]NDB Impacted SPRFs 05032013'!$A$2:$A$65536,1,FALSE)</f>
        <v>400016080</v>
      </c>
    </row>
    <row r="1512" spans="1:21" ht="45" x14ac:dyDescent="0.25">
      <c r="A1512" s="63">
        <f>MATCH($E1512,'D1 - Master Project Table'!$B$24:$B$7056,0)</f>
        <v>810</v>
      </c>
      <c r="B1512" s="63" t="b">
        <f t="shared" si="69"/>
        <v>0</v>
      </c>
      <c r="C1512" s="63" t="b">
        <f t="shared" si="70"/>
        <v>1</v>
      </c>
      <c r="D1512" s="63" t="str">
        <f t="shared" si="71"/>
        <v>OK</v>
      </c>
      <c r="E1512" s="393">
        <v>400018092</v>
      </c>
      <c r="F1512" s="392" t="s">
        <v>3797</v>
      </c>
      <c r="G1512" s="392" t="s">
        <v>5324</v>
      </c>
      <c r="H1512" s="392" t="s">
        <v>7418</v>
      </c>
      <c r="I1512" s="392" t="s">
        <v>1764</v>
      </c>
      <c r="J1512" s="392" t="s">
        <v>8611</v>
      </c>
      <c r="K1512" s="392" t="s">
        <v>2947</v>
      </c>
      <c r="L1512" s="392" t="s">
        <v>616</v>
      </c>
      <c r="M1512" s="392" t="s">
        <v>7273</v>
      </c>
      <c r="N1512" s="392" t="s">
        <v>7273</v>
      </c>
      <c r="O1512" s="392" t="s">
        <v>7273</v>
      </c>
      <c r="P1512"/>
      <c r="Q1512"/>
      <c r="R1512" s="387">
        <f>VLOOKUP(E1512,'[1]NDB Impacted SPRFs 05032013'!$A$2:$A$65536,1,FALSE)</f>
        <v>400018092</v>
      </c>
      <c r="S1512" s="159"/>
      <c r="T1512" s="159"/>
      <c r="U1512" s="159"/>
    </row>
    <row r="1513" spans="1:21" s="159" customFormat="1" ht="45" x14ac:dyDescent="0.25">
      <c r="A1513" s="63">
        <f>MATCH($E1513,'D1 - Master Project Table'!$B$24:$B$7056,0)</f>
        <v>2870</v>
      </c>
      <c r="B1513" s="63" t="b">
        <f t="shared" si="69"/>
        <v>0</v>
      </c>
      <c r="C1513" s="63" t="b">
        <f t="shared" si="70"/>
        <v>1</v>
      </c>
      <c r="D1513" s="63" t="str">
        <f t="shared" si="71"/>
        <v>OK</v>
      </c>
      <c r="E1513" s="393">
        <v>400028174</v>
      </c>
      <c r="F1513" s="392" t="s">
        <v>1589</v>
      </c>
      <c r="G1513" s="392" t="s">
        <v>5324</v>
      </c>
      <c r="H1513" s="392" t="s">
        <v>5314</v>
      </c>
      <c r="I1513" s="392" t="s">
        <v>1759</v>
      </c>
      <c r="J1513" s="392" t="s">
        <v>3679</v>
      </c>
      <c r="K1513" s="392" t="s">
        <v>4006</v>
      </c>
      <c r="L1513" s="392" t="s">
        <v>1590</v>
      </c>
      <c r="M1513" s="392" t="s">
        <v>7273</v>
      </c>
      <c r="N1513" s="392" t="s">
        <v>7273</v>
      </c>
      <c r="O1513" s="392" t="s">
        <v>3758</v>
      </c>
      <c r="P1513"/>
      <c r="Q1513"/>
      <c r="R1513" s="387">
        <f>VLOOKUP(E1513,'[1]NDB Impacted SPRFs 05032013'!$A$2:$A$65536,1,FALSE)</f>
        <v>400028174</v>
      </c>
      <c r="S1513" s="128"/>
      <c r="T1513" s="128"/>
      <c r="U1513" s="128"/>
    </row>
    <row r="1514" spans="1:21" s="159" customFormat="1" ht="45" x14ac:dyDescent="0.25">
      <c r="A1514" s="63">
        <f>MATCH($E1514,'D1 - Master Project Table'!$B$24:$B$7056,0)</f>
        <v>2250</v>
      </c>
      <c r="B1514" s="63" t="b">
        <f t="shared" si="69"/>
        <v>0</v>
      </c>
      <c r="C1514" s="63" t="b">
        <f t="shared" si="70"/>
        <v>1</v>
      </c>
      <c r="D1514" s="63" t="str">
        <f t="shared" si="71"/>
        <v>OK</v>
      </c>
      <c r="E1514" s="393">
        <v>400028534</v>
      </c>
      <c r="F1514" s="392" t="s">
        <v>7277</v>
      </c>
      <c r="G1514" s="392" t="s">
        <v>5324</v>
      </c>
      <c r="H1514" s="392" t="s">
        <v>5314</v>
      </c>
      <c r="I1514" s="392" t="s">
        <v>1758</v>
      </c>
      <c r="J1514" s="392" t="s">
        <v>8310</v>
      </c>
      <c r="K1514" s="392" t="s">
        <v>7278</v>
      </c>
      <c r="L1514" s="392" t="s">
        <v>2651</v>
      </c>
      <c r="M1514" s="392" t="s">
        <v>3758</v>
      </c>
      <c r="N1514" s="392" t="s">
        <v>7273</v>
      </c>
      <c r="O1514" s="392" t="s">
        <v>7273</v>
      </c>
      <c r="P1514"/>
      <c r="Q1514"/>
      <c r="R1514" s="387">
        <f>VLOOKUP(E1514,'[1]NDB Impacted SPRFs 05032013'!$A$2:$A$65536,1,FALSE)</f>
        <v>400028534</v>
      </c>
      <c r="S1514" s="128"/>
      <c r="T1514" s="128"/>
      <c r="U1514" s="128"/>
    </row>
    <row r="1515" spans="1:21" s="159" customFormat="1" ht="30" x14ac:dyDescent="0.25">
      <c r="A1515" s="63">
        <f>MATCH($E1515,'D1 - Master Project Table'!$B$24:$B$7056,0)</f>
        <v>1393</v>
      </c>
      <c r="B1515" s="63" t="b">
        <f t="shared" si="69"/>
        <v>0</v>
      </c>
      <c r="C1515" s="63" t="b">
        <f t="shared" si="70"/>
        <v>1</v>
      </c>
      <c r="D1515" s="63" t="str">
        <f t="shared" si="71"/>
        <v>OK</v>
      </c>
      <c r="E1515" s="393">
        <v>400033994</v>
      </c>
      <c r="F1515" s="392" t="s">
        <v>3816</v>
      </c>
      <c r="G1515" s="392" t="s">
        <v>5001</v>
      </c>
      <c r="H1515" s="392" t="s">
        <v>7418</v>
      </c>
      <c r="I1515" s="392" t="s">
        <v>3540</v>
      </c>
      <c r="J1515" s="392" t="s">
        <v>6840</v>
      </c>
      <c r="K1515" s="392" t="s">
        <v>2174</v>
      </c>
      <c r="L1515" s="392" t="s">
        <v>3642</v>
      </c>
      <c r="M1515" s="392" t="s">
        <v>7273</v>
      </c>
      <c r="N1515" s="392" t="s">
        <v>7273</v>
      </c>
      <c r="O1515" s="392" t="s">
        <v>7273</v>
      </c>
      <c r="P1515"/>
      <c r="Q1515"/>
      <c r="R1515" s="387">
        <f>VLOOKUP(E1515,'[1]NDB Impacted SPRFs 05032013'!$A$2:$A$65536,1,FALSE)</f>
        <v>400033994</v>
      </c>
      <c r="S1515" s="128"/>
      <c r="T1515" s="128"/>
      <c r="U1515" s="128"/>
    </row>
    <row r="1516" spans="1:21" s="159" customFormat="1" ht="45" x14ac:dyDescent="0.25">
      <c r="A1516" s="63">
        <f>MATCH($E1516,'D1 - Master Project Table'!$B$24:$B$7056,0)</f>
        <v>2294</v>
      </c>
      <c r="B1516" s="63" t="b">
        <f t="shared" si="69"/>
        <v>0</v>
      </c>
      <c r="C1516" s="63" t="b">
        <f t="shared" si="70"/>
        <v>1</v>
      </c>
      <c r="D1516" s="63" t="str">
        <f t="shared" si="71"/>
        <v>OK</v>
      </c>
      <c r="E1516" s="393">
        <v>400041026</v>
      </c>
      <c r="F1516" s="392" t="s">
        <v>2493</v>
      </c>
      <c r="G1516" s="392" t="s">
        <v>5324</v>
      </c>
      <c r="H1516" s="392" t="s">
        <v>7418</v>
      </c>
      <c r="I1516" s="392" t="s">
        <v>1757</v>
      </c>
      <c r="J1516" s="392" t="s">
        <v>8445</v>
      </c>
      <c r="K1516" s="392" t="s">
        <v>2494</v>
      </c>
      <c r="L1516" s="392" t="s">
        <v>822</v>
      </c>
      <c r="M1516" s="392" t="s">
        <v>7273</v>
      </c>
      <c r="N1516" s="392" t="s">
        <v>7273</v>
      </c>
      <c r="O1516" s="392" t="s">
        <v>7273</v>
      </c>
      <c r="P1516"/>
      <c r="Q1516"/>
      <c r="R1516" s="387">
        <f>VLOOKUP(E1516,'[1]NDB Impacted SPRFs 05032013'!$A$2:$A$65536,1,FALSE)</f>
        <v>400041026</v>
      </c>
    </row>
    <row r="1517" spans="1:21" s="159" customFormat="1" ht="45" x14ac:dyDescent="0.25">
      <c r="A1517" s="63">
        <f>MATCH($E1517,'D1 - Master Project Table'!$B$24:$B$7056,0)</f>
        <v>2110</v>
      </c>
      <c r="B1517" s="63" t="b">
        <f t="shared" si="69"/>
        <v>0</v>
      </c>
      <c r="C1517" s="63" t="b">
        <f t="shared" si="70"/>
        <v>1</v>
      </c>
      <c r="D1517" s="63" t="str">
        <f t="shared" si="71"/>
        <v>OK</v>
      </c>
      <c r="E1517" s="393">
        <v>400009410</v>
      </c>
      <c r="F1517" s="392" t="s">
        <v>3621</v>
      </c>
      <c r="G1517" s="392" t="s">
        <v>5324</v>
      </c>
      <c r="H1517" s="392" t="s">
        <v>5314</v>
      </c>
      <c r="I1517" s="392" t="s">
        <v>1764</v>
      </c>
      <c r="J1517" s="392" t="s">
        <v>8555</v>
      </c>
      <c r="K1517" s="392" t="s">
        <v>5641</v>
      </c>
      <c r="L1517" s="392" t="s">
        <v>5107</v>
      </c>
      <c r="M1517" s="392" t="s">
        <v>7273</v>
      </c>
      <c r="N1517" s="392" t="s">
        <v>7273</v>
      </c>
      <c r="O1517" s="392" t="s">
        <v>7273</v>
      </c>
      <c r="P1517"/>
      <c r="Q1517"/>
      <c r="R1517" s="387">
        <f>VLOOKUP(E1517,'[1]NDB Impacted SPRFs 05032013'!$A$2:$A$65536,1,FALSE)</f>
        <v>400009410</v>
      </c>
    </row>
    <row r="1518" spans="1:21" s="159" customFormat="1" ht="45" x14ac:dyDescent="0.25">
      <c r="A1518" s="63">
        <f>MATCH($E1518,'D1 - Master Project Table'!$B$24:$B$7056,0)</f>
        <v>2623</v>
      </c>
      <c r="B1518" s="63" t="b">
        <f t="shared" si="69"/>
        <v>0</v>
      </c>
      <c r="C1518" s="63" t="b">
        <f t="shared" si="70"/>
        <v>1</v>
      </c>
      <c r="D1518" s="63" t="str">
        <f t="shared" si="71"/>
        <v>OK</v>
      </c>
      <c r="E1518" s="393">
        <v>400013608</v>
      </c>
      <c r="F1518" s="392" t="s">
        <v>7353</v>
      </c>
      <c r="G1518" s="392" t="s">
        <v>5324</v>
      </c>
      <c r="H1518" s="392" t="s">
        <v>5314</v>
      </c>
      <c r="I1518" s="392" t="s">
        <v>1764</v>
      </c>
      <c r="J1518" s="392" t="s">
        <v>2937</v>
      </c>
      <c r="K1518" s="392" t="s">
        <v>5756</v>
      </c>
      <c r="L1518" s="392" t="s">
        <v>6303</v>
      </c>
      <c r="M1518" s="392" t="s">
        <v>7273</v>
      </c>
      <c r="N1518" s="392" t="s">
        <v>7273</v>
      </c>
      <c r="O1518" s="392" t="s">
        <v>7273</v>
      </c>
      <c r="P1518"/>
      <c r="Q1518"/>
      <c r="R1518" s="387">
        <f>VLOOKUP(E1518,'[1]NDB Impacted SPRFs 05032013'!$A$2:$A$65536,1,FALSE)</f>
        <v>400013608</v>
      </c>
    </row>
    <row r="1519" spans="1:21" ht="45" x14ac:dyDescent="0.25">
      <c r="A1519" s="63">
        <f>MATCH($E1519,'D1 - Master Project Table'!$B$24:$B$7056,0)</f>
        <v>1047</v>
      </c>
      <c r="B1519" s="63" t="b">
        <f t="shared" si="69"/>
        <v>0</v>
      </c>
      <c r="C1519" s="63" t="b">
        <f t="shared" si="70"/>
        <v>1</v>
      </c>
      <c r="D1519" s="63" t="str">
        <f t="shared" si="71"/>
        <v>OK</v>
      </c>
      <c r="E1519" s="393">
        <v>400028151</v>
      </c>
      <c r="F1519" s="392" t="s">
        <v>7936</v>
      </c>
      <c r="G1519" s="392" t="s">
        <v>5324</v>
      </c>
      <c r="H1519" s="392" t="s">
        <v>7418</v>
      </c>
      <c r="I1519" s="392" t="s">
        <v>1761</v>
      </c>
      <c r="J1519" s="392" t="s">
        <v>8317</v>
      </c>
      <c r="K1519" s="392" t="s">
        <v>3283</v>
      </c>
      <c r="L1519" s="392" t="s">
        <v>3024</v>
      </c>
      <c r="M1519" s="392" t="s">
        <v>7273</v>
      </c>
      <c r="N1519" s="392" t="s">
        <v>7273</v>
      </c>
      <c r="O1519" s="392" t="s">
        <v>7273</v>
      </c>
      <c r="P1519"/>
      <c r="Q1519"/>
      <c r="R1519" s="387">
        <f>VLOOKUP(E1519,'[1]NDB Impacted SPRFs 05032013'!$A$2:$A$65536,1,FALSE)</f>
        <v>400028151</v>
      </c>
      <c r="S1519" s="159"/>
      <c r="T1519" s="159"/>
      <c r="U1519" s="159"/>
    </row>
    <row r="1520" spans="1:21" s="159" customFormat="1" ht="45" x14ac:dyDescent="0.25">
      <c r="A1520" s="63">
        <f>MATCH($E1520,'D1 - Master Project Table'!$B$24:$B$7056,0)</f>
        <v>2962</v>
      </c>
      <c r="B1520" s="63" t="b">
        <f t="shared" ref="B1520:B1583" si="72">ISERROR(A1520)</f>
        <v>0</v>
      </c>
      <c r="C1520" s="63" t="b">
        <f t="shared" si="70"/>
        <v>1</v>
      </c>
      <c r="D1520" s="63" t="str">
        <f t="shared" si="71"/>
        <v>OK</v>
      </c>
      <c r="E1520" s="393">
        <v>400036298</v>
      </c>
      <c r="F1520" s="392" t="s">
        <v>7016</v>
      </c>
      <c r="G1520" s="392" t="s">
        <v>5324</v>
      </c>
      <c r="H1520" s="392" t="s">
        <v>5314</v>
      </c>
      <c r="I1520" s="392" t="s">
        <v>1758</v>
      </c>
      <c r="J1520" s="392" t="s">
        <v>8504</v>
      </c>
      <c r="K1520" s="392" t="s">
        <v>7601</v>
      </c>
      <c r="L1520" s="392" t="s">
        <v>6460</v>
      </c>
      <c r="M1520" s="392" t="s">
        <v>7273</v>
      </c>
      <c r="N1520" s="392" t="s">
        <v>7273</v>
      </c>
      <c r="O1520" s="392" t="s">
        <v>3758</v>
      </c>
      <c r="P1520"/>
      <c r="Q1520"/>
      <c r="R1520" s="387">
        <f>VLOOKUP(E1520,'[1]NDB Impacted SPRFs 05032013'!$A$2:$A$65536,1,FALSE)</f>
        <v>400036298</v>
      </c>
      <c r="S1520" s="128"/>
      <c r="T1520" s="128"/>
      <c r="U1520" s="128"/>
    </row>
    <row r="1521" spans="1:21" ht="30" x14ac:dyDescent="0.25">
      <c r="A1521" s="63">
        <f>MATCH($E1521,'D1 - Master Project Table'!$B$24:$B$7056,0)</f>
        <v>3042</v>
      </c>
      <c r="B1521" s="63" t="b">
        <f t="shared" si="72"/>
        <v>0</v>
      </c>
      <c r="C1521" s="63" t="b">
        <f t="shared" si="70"/>
        <v>1</v>
      </c>
      <c r="D1521" s="63" t="str">
        <f t="shared" si="71"/>
        <v>OK</v>
      </c>
      <c r="E1521" s="393">
        <v>400042751</v>
      </c>
      <c r="F1521" s="392" t="s">
        <v>2364</v>
      </c>
      <c r="G1521" s="392" t="s">
        <v>6322</v>
      </c>
      <c r="H1521" s="392" t="s">
        <v>5314</v>
      </c>
      <c r="I1521" s="392" t="s">
        <v>7594</v>
      </c>
      <c r="J1521" s="392" t="s">
        <v>8636</v>
      </c>
      <c r="K1521" s="392" t="s">
        <v>2365</v>
      </c>
      <c r="L1521" s="392" t="s">
        <v>118</v>
      </c>
      <c r="M1521" s="392" t="s">
        <v>7273</v>
      </c>
      <c r="N1521" s="392" t="s">
        <v>7273</v>
      </c>
      <c r="O1521" s="392" t="s">
        <v>7273</v>
      </c>
      <c r="P1521"/>
      <c r="Q1521"/>
      <c r="R1521" s="387">
        <f>VLOOKUP(E1521,'[1]NDB Impacted SPRFs 05032013'!$A$2:$A$65536,1,FALSE)</f>
        <v>400042751</v>
      </c>
      <c r="S1521" s="159"/>
      <c r="T1521" s="159"/>
      <c r="U1521" s="159"/>
    </row>
    <row r="1522" spans="1:21" s="159" customFormat="1" ht="30" x14ac:dyDescent="0.25">
      <c r="A1522" s="63">
        <f>MATCH($E1522,'D1 - Master Project Table'!$B$24:$B$7056,0)</f>
        <v>2645</v>
      </c>
      <c r="B1522" s="63" t="b">
        <f t="shared" si="72"/>
        <v>0</v>
      </c>
      <c r="C1522" s="63" t="b">
        <f t="shared" si="70"/>
        <v>1</v>
      </c>
      <c r="D1522" s="63" t="str">
        <f t="shared" si="71"/>
        <v>OK</v>
      </c>
      <c r="E1522" s="393">
        <v>400015071</v>
      </c>
      <c r="F1522" s="392" t="s">
        <v>5646</v>
      </c>
      <c r="G1522" s="392" t="s">
        <v>3441</v>
      </c>
      <c r="H1522" s="392" t="s">
        <v>5314</v>
      </c>
      <c r="I1522" s="392" t="s">
        <v>1769</v>
      </c>
      <c r="J1522" s="392" t="s">
        <v>8714</v>
      </c>
      <c r="K1522" s="392" t="s">
        <v>5541</v>
      </c>
      <c r="L1522" s="392" t="s">
        <v>4801</v>
      </c>
      <c r="M1522" s="392" t="s">
        <v>3758</v>
      </c>
      <c r="N1522" s="392" t="s">
        <v>7273</v>
      </c>
      <c r="O1522" s="392" t="s">
        <v>7273</v>
      </c>
      <c r="P1522"/>
      <c r="Q1522"/>
      <c r="R1522" s="387">
        <f>VLOOKUP(E1522,'[1]NDB Impacted SPRFs 05032013'!$A$2:$A$65536,1,FALSE)</f>
        <v>400015071</v>
      </c>
    </row>
    <row r="1523" spans="1:21" s="159" customFormat="1" ht="45" x14ac:dyDescent="0.25">
      <c r="A1523" s="63">
        <f>MATCH($E1523,'D1 - Master Project Table'!$B$24:$B$7056,0)</f>
        <v>2724</v>
      </c>
      <c r="B1523" s="63" t="b">
        <f t="shared" si="72"/>
        <v>0</v>
      </c>
      <c r="C1523" s="63" t="b">
        <f t="shared" si="70"/>
        <v>1</v>
      </c>
      <c r="D1523" s="63" t="str">
        <f t="shared" si="71"/>
        <v>OK</v>
      </c>
      <c r="E1523" s="393">
        <v>400019566</v>
      </c>
      <c r="F1523" s="392" t="s">
        <v>4843</v>
      </c>
      <c r="G1523" s="392" t="s">
        <v>5324</v>
      </c>
      <c r="H1523" s="392" t="s">
        <v>5314</v>
      </c>
      <c r="I1523" s="392" t="s">
        <v>1763</v>
      </c>
      <c r="J1523" s="392" t="s">
        <v>8405</v>
      </c>
      <c r="K1523" s="392" t="s">
        <v>5756</v>
      </c>
      <c r="L1523" s="392" t="s">
        <v>3755</v>
      </c>
      <c r="M1523" s="392" t="s">
        <v>3758</v>
      </c>
      <c r="N1523" s="392" t="s">
        <v>7273</v>
      </c>
      <c r="O1523" s="392" t="s">
        <v>7273</v>
      </c>
      <c r="P1523"/>
      <c r="Q1523"/>
      <c r="R1523" s="387">
        <f>VLOOKUP(E1523,'[1]NDB Impacted SPRFs 05032013'!$A$2:$A$65536,1,FALSE)</f>
        <v>400019566</v>
      </c>
    </row>
    <row r="1524" spans="1:21" s="159" customFormat="1" ht="45" x14ac:dyDescent="0.25">
      <c r="A1524" s="63">
        <f>MATCH($E1524,'D1 - Master Project Table'!$B$24:$B$7056,0)</f>
        <v>2877</v>
      </c>
      <c r="B1524" s="63" t="b">
        <f t="shared" si="72"/>
        <v>0</v>
      </c>
      <c r="C1524" s="63" t="b">
        <f t="shared" si="70"/>
        <v>1</v>
      </c>
      <c r="D1524" s="63" t="str">
        <f t="shared" si="71"/>
        <v>OK</v>
      </c>
      <c r="E1524" s="393">
        <v>400028638</v>
      </c>
      <c r="F1524" s="392" t="s">
        <v>6841</v>
      </c>
      <c r="G1524" s="392" t="s">
        <v>5324</v>
      </c>
      <c r="H1524" s="392" t="s">
        <v>5314</v>
      </c>
      <c r="I1524" s="392" t="s">
        <v>1759</v>
      </c>
      <c r="J1524" s="392" t="s">
        <v>6840</v>
      </c>
      <c r="K1524" s="392" t="s">
        <v>6005</v>
      </c>
      <c r="L1524" s="392" t="s">
        <v>6538</v>
      </c>
      <c r="M1524" s="392" t="s">
        <v>7273</v>
      </c>
      <c r="N1524" s="392" t="s">
        <v>7273</v>
      </c>
      <c r="O1524" s="392" t="s">
        <v>3758</v>
      </c>
      <c r="P1524"/>
      <c r="Q1524"/>
      <c r="R1524" s="387">
        <f>VLOOKUP(E1524,'[1]NDB Impacted SPRFs 05032013'!$A$2:$A$65536,1,FALSE)</f>
        <v>400028638</v>
      </c>
      <c r="S1524" s="128"/>
      <c r="T1524" s="128"/>
      <c r="U1524" s="128"/>
    </row>
    <row r="1525" spans="1:21" s="159" customFormat="1" ht="45" x14ac:dyDescent="0.25">
      <c r="A1525" s="63">
        <f>MATCH($E1525,'D1 - Master Project Table'!$B$24:$B$7056,0)</f>
        <v>273</v>
      </c>
      <c r="B1525" s="63" t="b">
        <f t="shared" si="72"/>
        <v>0</v>
      </c>
      <c r="C1525" s="63" t="b">
        <f t="shared" si="70"/>
        <v>0</v>
      </c>
      <c r="D1525" s="63" t="str">
        <f t="shared" si="71"/>
        <v>OK</v>
      </c>
      <c r="E1525" s="393">
        <v>400059545</v>
      </c>
      <c r="F1525" s="392" t="s">
        <v>9414</v>
      </c>
      <c r="G1525" s="392" t="s">
        <v>5324</v>
      </c>
      <c r="H1525" s="392" t="s">
        <v>8012</v>
      </c>
      <c r="I1525" s="392" t="s">
        <v>1758</v>
      </c>
      <c r="J1525" s="392" t="s">
        <v>2471</v>
      </c>
      <c r="K1525" s="392" t="s">
        <v>7009</v>
      </c>
      <c r="L1525" s="392" t="s">
        <v>9441</v>
      </c>
      <c r="M1525" s="392" t="s">
        <v>7273</v>
      </c>
      <c r="N1525" s="392" t="s">
        <v>7273</v>
      </c>
      <c r="O1525" s="392" t="s">
        <v>7273</v>
      </c>
      <c r="P1525"/>
      <c r="Q1525"/>
      <c r="R1525" s="387">
        <f>VLOOKUP(E1525,'[1]NDB Impacted SPRFs 05032013'!$A$2:$A$65536,1,FALSE)</f>
        <v>400059545</v>
      </c>
      <c r="S1525" s="128"/>
      <c r="T1525" s="128"/>
      <c r="U1525" s="128"/>
    </row>
    <row r="1526" spans="1:21" s="159" customFormat="1" ht="30" x14ac:dyDescent="0.25">
      <c r="A1526" s="63">
        <f>MATCH($E1526,'D1 - Master Project Table'!$B$24:$B$7056,0)</f>
        <v>730</v>
      </c>
      <c r="B1526" s="63" t="b">
        <f t="shared" si="72"/>
        <v>0</v>
      </c>
      <c r="C1526" s="63" t="b">
        <f t="shared" si="70"/>
        <v>1</v>
      </c>
      <c r="D1526" s="63" t="str">
        <f t="shared" si="71"/>
        <v>OK</v>
      </c>
      <c r="E1526" s="393">
        <v>400016424</v>
      </c>
      <c r="F1526" s="392" t="s">
        <v>7415</v>
      </c>
      <c r="G1526" s="392" t="s">
        <v>3441</v>
      </c>
      <c r="H1526" s="392" t="s">
        <v>7418</v>
      </c>
      <c r="I1526" s="392" t="s">
        <v>1769</v>
      </c>
      <c r="J1526" s="392" t="s">
        <v>8298</v>
      </c>
      <c r="K1526" s="392" t="s">
        <v>4320</v>
      </c>
      <c r="L1526" s="392" t="s">
        <v>1213</v>
      </c>
      <c r="M1526" s="392" t="s">
        <v>7273</v>
      </c>
      <c r="N1526" s="392" t="s">
        <v>7273</v>
      </c>
      <c r="O1526" s="392" t="s">
        <v>7273</v>
      </c>
      <c r="P1526"/>
      <c r="Q1526"/>
      <c r="R1526" s="387">
        <f>VLOOKUP(E1526,'[1]NDB Impacted SPRFs 05032013'!$A$2:$A$65536,1,FALSE)</f>
        <v>400016424</v>
      </c>
    </row>
    <row r="1527" spans="1:21" ht="45" x14ac:dyDescent="0.25">
      <c r="A1527" s="63">
        <f>MATCH($E1527,'D1 - Master Project Table'!$B$24:$B$7056,0)</f>
        <v>1319</v>
      </c>
      <c r="B1527" s="63" t="b">
        <f t="shared" si="72"/>
        <v>0</v>
      </c>
      <c r="C1527" s="63" t="b">
        <f t="shared" si="70"/>
        <v>1</v>
      </c>
      <c r="D1527" s="63" t="str">
        <f t="shared" si="71"/>
        <v>OK</v>
      </c>
      <c r="E1527" s="393">
        <v>400035528</v>
      </c>
      <c r="F1527" s="392" t="s">
        <v>4391</v>
      </c>
      <c r="G1527" s="392" t="s">
        <v>5324</v>
      </c>
      <c r="H1527" s="392" t="s">
        <v>7418</v>
      </c>
      <c r="I1527" s="392" t="s">
        <v>1756</v>
      </c>
      <c r="J1527" s="392" t="s">
        <v>7835</v>
      </c>
      <c r="K1527" s="392" t="s">
        <v>1989</v>
      </c>
      <c r="L1527" s="392" t="s">
        <v>6923</v>
      </c>
      <c r="M1527" s="392" t="s">
        <v>7273</v>
      </c>
      <c r="N1527" s="392" t="s">
        <v>7273</v>
      </c>
      <c r="O1527" s="392" t="s">
        <v>7273</v>
      </c>
      <c r="P1527"/>
      <c r="Q1527"/>
      <c r="R1527" s="387">
        <f>VLOOKUP(E1527,'[1]NDB Impacted SPRFs 05032013'!$A$2:$A$65536,1,FALSE)</f>
        <v>400035528</v>
      </c>
    </row>
    <row r="1528" spans="1:21" s="159" customFormat="1" ht="30" x14ac:dyDescent="0.25">
      <c r="A1528" s="63">
        <f>MATCH($E1528,'D1 - Master Project Table'!$B$24:$B$7056,0)</f>
        <v>2991</v>
      </c>
      <c r="B1528" s="63" t="b">
        <f t="shared" si="72"/>
        <v>0</v>
      </c>
      <c r="C1528" s="63" t="b">
        <f t="shared" si="70"/>
        <v>1</v>
      </c>
      <c r="D1528" s="63" t="str">
        <f t="shared" si="71"/>
        <v>OK</v>
      </c>
      <c r="E1528" s="393">
        <v>400038314</v>
      </c>
      <c r="F1528" s="392" t="s">
        <v>1439</v>
      </c>
      <c r="G1528" s="392" t="s">
        <v>6322</v>
      </c>
      <c r="H1528" s="392" t="s">
        <v>5314</v>
      </c>
      <c r="I1528" s="392" t="s">
        <v>1812</v>
      </c>
      <c r="J1528" s="392" t="s">
        <v>8258</v>
      </c>
      <c r="K1528" s="392" t="s">
        <v>1440</v>
      </c>
      <c r="L1528" s="392" t="s">
        <v>2363</v>
      </c>
      <c r="M1528" s="392" t="s">
        <v>7273</v>
      </c>
      <c r="N1528" s="392" t="s">
        <v>7273</v>
      </c>
      <c r="O1528" s="392" t="s">
        <v>7273</v>
      </c>
      <c r="P1528"/>
      <c r="Q1528"/>
      <c r="R1528" s="387">
        <f>VLOOKUP(E1528,'[1]NDB Impacted SPRFs 05032013'!$A$2:$A$65536,1,FALSE)</f>
        <v>400038314</v>
      </c>
      <c r="S1528" s="128"/>
      <c r="T1528" s="128"/>
      <c r="U1528" s="128"/>
    </row>
    <row r="1529" spans="1:21" s="159" customFormat="1" ht="30" x14ac:dyDescent="0.25">
      <c r="A1529" s="63">
        <f>MATCH($E1529,'D1 - Master Project Table'!$B$24:$B$7056,0)</f>
        <v>3139</v>
      </c>
      <c r="B1529" s="63" t="b">
        <f t="shared" si="72"/>
        <v>0</v>
      </c>
      <c r="C1529" s="63" t="b">
        <f t="shared" si="70"/>
        <v>1</v>
      </c>
      <c r="D1529" s="63" t="str">
        <f t="shared" si="71"/>
        <v>OK</v>
      </c>
      <c r="E1529" s="393">
        <v>400055272</v>
      </c>
      <c r="F1529" s="392" t="s">
        <v>457</v>
      </c>
      <c r="G1529" s="392" t="s">
        <v>6322</v>
      </c>
      <c r="H1529" s="392" t="s">
        <v>5314</v>
      </c>
      <c r="I1529" s="392" t="s">
        <v>1758</v>
      </c>
      <c r="J1529" s="392" t="s">
        <v>8635</v>
      </c>
      <c r="K1529" s="392" t="s">
        <v>458</v>
      </c>
      <c r="L1529" s="392" t="s">
        <v>459</v>
      </c>
      <c r="M1529" s="392" t="s">
        <v>7273</v>
      </c>
      <c r="N1529" s="392" t="s">
        <v>7273</v>
      </c>
      <c r="O1529" s="392" t="s">
        <v>7273</v>
      </c>
      <c r="P1529"/>
      <c r="Q1529"/>
      <c r="R1529" s="387">
        <f>VLOOKUP(E1529,'[1]NDB Impacted SPRFs 05032013'!$A$2:$A$65536,1,FALSE)</f>
        <v>400055272</v>
      </c>
      <c r="S1529" s="128"/>
      <c r="T1529" s="128"/>
      <c r="U1529" s="128"/>
    </row>
    <row r="1530" spans="1:21" s="159" customFormat="1" ht="45" x14ac:dyDescent="0.25">
      <c r="A1530" s="63">
        <f>MATCH($E1530,'D1 - Master Project Table'!$B$24:$B$7056,0)</f>
        <v>1524</v>
      </c>
      <c r="B1530" s="63" t="b">
        <f t="shared" si="72"/>
        <v>0</v>
      </c>
      <c r="C1530" s="63" t="b">
        <f t="shared" si="70"/>
        <v>0</v>
      </c>
      <c r="D1530" s="63" t="str">
        <f t="shared" si="71"/>
        <v>OK</v>
      </c>
      <c r="E1530" s="393">
        <v>400042115</v>
      </c>
      <c r="F1530" s="392" t="s">
        <v>3574</v>
      </c>
      <c r="G1530" s="392" t="s">
        <v>5324</v>
      </c>
      <c r="H1530" s="392" t="s">
        <v>4917</v>
      </c>
      <c r="I1530" s="392" t="s">
        <v>1763</v>
      </c>
      <c r="J1530" s="392" t="s">
        <v>8465</v>
      </c>
      <c r="K1530" s="392" t="s">
        <v>5948</v>
      </c>
      <c r="L1530" s="392" t="s">
        <v>4289</v>
      </c>
      <c r="M1530" s="392" t="s">
        <v>7273</v>
      </c>
      <c r="N1530" s="392" t="s">
        <v>7273</v>
      </c>
      <c r="O1530" s="392" t="s">
        <v>3758</v>
      </c>
      <c r="P1530"/>
      <c r="Q1530"/>
      <c r="R1530" s="387">
        <f>VLOOKUP(E1530,'[1]NDB Impacted SPRFs 05032013'!$A$2:$A$65536,1,FALSE)</f>
        <v>400042115</v>
      </c>
    </row>
    <row r="1531" spans="1:21" s="159" customFormat="1" ht="30" x14ac:dyDescent="0.25">
      <c r="A1531" s="63">
        <f>MATCH($E1531,'D1 - Master Project Table'!$B$24:$B$7056,0)</f>
        <v>1846</v>
      </c>
      <c r="B1531" s="63" t="b">
        <f t="shared" si="72"/>
        <v>0</v>
      </c>
      <c r="C1531" s="63" t="b">
        <f t="shared" si="70"/>
        <v>1</v>
      </c>
      <c r="D1531" s="63" t="str">
        <f t="shared" si="71"/>
        <v>OK</v>
      </c>
      <c r="E1531" s="393">
        <v>400003666</v>
      </c>
      <c r="F1531" s="392" t="s">
        <v>1601</v>
      </c>
      <c r="G1531" s="392" t="s">
        <v>5787</v>
      </c>
      <c r="H1531" s="392" t="s">
        <v>7418</v>
      </c>
      <c r="I1531" s="392" t="s">
        <v>1772</v>
      </c>
      <c r="J1531" s="392" t="s">
        <v>8717</v>
      </c>
      <c r="K1531" s="392" t="s">
        <v>3390</v>
      </c>
      <c r="L1531" s="392" t="s">
        <v>6763</v>
      </c>
      <c r="M1531" s="392" t="s">
        <v>3758</v>
      </c>
      <c r="N1531" s="392" t="s">
        <v>7273</v>
      </c>
      <c r="O1531" s="392" t="s">
        <v>7273</v>
      </c>
      <c r="P1531"/>
      <c r="Q1531"/>
      <c r="R1531" s="387">
        <f>VLOOKUP(E1531,'[1]NDB Impacted SPRFs 05032013'!$A$2:$A$65536,1,FALSE)</f>
        <v>400003666</v>
      </c>
    </row>
    <row r="1532" spans="1:21" ht="45" x14ac:dyDescent="0.25">
      <c r="A1532" s="63">
        <f>MATCH($E1532,'D1 - Master Project Table'!$B$24:$B$7056,0)</f>
        <v>738</v>
      </c>
      <c r="B1532" s="63" t="b">
        <f t="shared" si="72"/>
        <v>0</v>
      </c>
      <c r="C1532" s="63" t="b">
        <f t="shared" si="70"/>
        <v>1</v>
      </c>
      <c r="D1532" s="63" t="str">
        <f t="shared" si="71"/>
        <v>OK</v>
      </c>
      <c r="E1532" s="393">
        <v>400012118</v>
      </c>
      <c r="F1532" s="392" t="s">
        <v>1234</v>
      </c>
      <c r="G1532" s="392" t="s">
        <v>5324</v>
      </c>
      <c r="H1532" s="392" t="s">
        <v>7418</v>
      </c>
      <c r="I1532" s="392" t="s">
        <v>1756</v>
      </c>
      <c r="J1532" s="392" t="s">
        <v>8394</v>
      </c>
      <c r="K1532" s="392" t="s">
        <v>5988</v>
      </c>
      <c r="L1532" s="392" t="s">
        <v>5252</v>
      </c>
      <c r="M1532" s="392" t="s">
        <v>3758</v>
      </c>
      <c r="N1532" s="392" t="s">
        <v>7273</v>
      </c>
      <c r="O1532" s="392" t="s">
        <v>3758</v>
      </c>
      <c r="P1532"/>
      <c r="Q1532"/>
      <c r="R1532" s="387">
        <f>VLOOKUP(E1532,'[1]NDB Impacted SPRFs 05032013'!$A$2:$A$65536,1,FALSE)</f>
        <v>400012118</v>
      </c>
      <c r="S1532" s="159"/>
      <c r="T1532" s="159"/>
      <c r="U1532" s="159"/>
    </row>
    <row r="1533" spans="1:21" s="159" customFormat="1" ht="30" customHeight="1" x14ac:dyDescent="0.25">
      <c r="A1533" s="63" t="e">
        <f>MATCH($E1533,'D1 - Master Project Table'!$B$24:$B$7056,0)</f>
        <v>#N/A</v>
      </c>
      <c r="B1533" s="63" t="b">
        <f t="shared" si="72"/>
        <v>1</v>
      </c>
      <c r="C1533" s="63" t="b">
        <f t="shared" si="70"/>
        <v>1</v>
      </c>
      <c r="D1533" s="63" t="str">
        <f t="shared" si="71"/>
        <v>OK</v>
      </c>
      <c r="E1533" s="393">
        <v>400013322</v>
      </c>
      <c r="F1533" s="392" t="s">
        <v>3411</v>
      </c>
      <c r="G1533" s="392" t="s">
        <v>5324</v>
      </c>
      <c r="H1533" s="392" t="s">
        <v>5314</v>
      </c>
      <c r="I1533" s="392" t="s">
        <v>1789</v>
      </c>
      <c r="J1533" s="392" t="s">
        <v>8386</v>
      </c>
      <c r="K1533" s="392" t="s">
        <v>8075</v>
      </c>
      <c r="L1533" s="392" t="s">
        <v>7587</v>
      </c>
      <c r="M1533" s="392" t="s">
        <v>3758</v>
      </c>
      <c r="N1533" s="392" t="s">
        <v>7273</v>
      </c>
      <c r="O1533" s="392" t="s">
        <v>7273</v>
      </c>
      <c r="P1533"/>
      <c r="Q1533"/>
      <c r="R1533" s="387">
        <f>VLOOKUP(E1533,'[1]NDB Impacted SPRFs 05032013'!$A$2:$A$65536,1,FALSE)</f>
        <v>400013322</v>
      </c>
      <c r="S1533" s="128"/>
      <c r="T1533" s="128"/>
      <c r="U1533" s="128"/>
    </row>
    <row r="1534" spans="1:21" ht="30" x14ac:dyDescent="0.25">
      <c r="A1534" s="63">
        <f>MATCH($E1534,'D1 - Master Project Table'!$B$24:$B$7056,0)</f>
        <v>852</v>
      </c>
      <c r="B1534" s="63" t="b">
        <f t="shared" si="72"/>
        <v>0</v>
      </c>
      <c r="C1534" s="63" t="b">
        <f t="shared" si="70"/>
        <v>1</v>
      </c>
      <c r="D1534" s="63" t="str">
        <f t="shared" si="71"/>
        <v>OK</v>
      </c>
      <c r="E1534" s="393">
        <v>400019720</v>
      </c>
      <c r="F1534" s="392" t="s">
        <v>1063</v>
      </c>
      <c r="G1534" s="392" t="s">
        <v>6065</v>
      </c>
      <c r="H1534" s="392" t="s">
        <v>7418</v>
      </c>
      <c r="I1534" s="392" t="s">
        <v>2655</v>
      </c>
      <c r="J1534" s="392" t="s">
        <v>4540</v>
      </c>
      <c r="K1534" s="392" t="s">
        <v>5218</v>
      </c>
      <c r="L1534" s="392" t="s">
        <v>3953</v>
      </c>
      <c r="M1534" s="392" t="s">
        <v>3758</v>
      </c>
      <c r="N1534" s="392" t="s">
        <v>7273</v>
      </c>
      <c r="O1534" s="392" t="s">
        <v>7273</v>
      </c>
      <c r="P1534" s="212"/>
      <c r="Q1534"/>
      <c r="R1534" s="387">
        <f>VLOOKUP(E1534,'[1]NDB Impacted SPRFs 05032013'!$A$2:$A$65536,1,FALSE)</f>
        <v>400019720</v>
      </c>
      <c r="S1534" s="159"/>
      <c r="T1534" s="159"/>
      <c r="U1534" s="159"/>
    </row>
    <row r="1535" spans="1:21" s="159" customFormat="1" ht="45" x14ac:dyDescent="0.25">
      <c r="A1535" s="63">
        <f>MATCH($E1535,'D1 - Master Project Table'!$B$24:$B$7056,0)</f>
        <v>1224</v>
      </c>
      <c r="B1535" s="63" t="b">
        <f t="shared" si="72"/>
        <v>0</v>
      </c>
      <c r="C1535" s="63" t="b">
        <f t="shared" si="70"/>
        <v>1</v>
      </c>
      <c r="D1535" s="63" t="str">
        <f t="shared" si="71"/>
        <v>OK</v>
      </c>
      <c r="E1535" s="393">
        <v>400031975</v>
      </c>
      <c r="F1535" s="392" t="s">
        <v>6572</v>
      </c>
      <c r="G1535" s="392" t="s">
        <v>5324</v>
      </c>
      <c r="H1535" s="392" t="s">
        <v>7418</v>
      </c>
      <c r="I1535" s="392" t="s">
        <v>1756</v>
      </c>
      <c r="J1535" s="392" t="s">
        <v>5647</v>
      </c>
      <c r="K1535" s="392" t="s">
        <v>1506</v>
      </c>
      <c r="L1535" s="392" t="s">
        <v>1232</v>
      </c>
      <c r="M1535" s="392" t="s">
        <v>7273</v>
      </c>
      <c r="N1535" s="392" t="s">
        <v>7273</v>
      </c>
      <c r="O1535" s="392" t="s">
        <v>7273</v>
      </c>
      <c r="P1535"/>
      <c r="Q1535"/>
      <c r="R1535" s="387">
        <f>VLOOKUP(E1535,'[1]NDB Impacted SPRFs 05032013'!$A$2:$A$65536,1,FALSE)</f>
        <v>400031975</v>
      </c>
    </row>
    <row r="1536" spans="1:21" s="159" customFormat="1" ht="45" x14ac:dyDescent="0.25">
      <c r="A1536" s="63">
        <f>MATCH($E1536,'D1 - Master Project Table'!$B$24:$B$7056,0)</f>
        <v>3006</v>
      </c>
      <c r="B1536" s="63" t="b">
        <f t="shared" si="72"/>
        <v>0</v>
      </c>
      <c r="C1536" s="63" t="b">
        <f t="shared" si="70"/>
        <v>1</v>
      </c>
      <c r="D1536" s="63" t="str">
        <f t="shared" si="71"/>
        <v>OK</v>
      </c>
      <c r="E1536" s="393">
        <v>400039624</v>
      </c>
      <c r="F1536" s="392" t="s">
        <v>6839</v>
      </c>
      <c r="G1536" s="392" t="s">
        <v>5324</v>
      </c>
      <c r="H1536" s="392" t="s">
        <v>5314</v>
      </c>
      <c r="I1536" s="392" t="s">
        <v>1759</v>
      </c>
      <c r="J1536" s="392" t="s">
        <v>7372</v>
      </c>
      <c r="K1536" s="392" t="s">
        <v>6005</v>
      </c>
      <c r="L1536" s="392" t="s">
        <v>5501</v>
      </c>
      <c r="M1536" s="392" t="s">
        <v>7273</v>
      </c>
      <c r="N1536" s="392" t="s">
        <v>7273</v>
      </c>
      <c r="O1536" s="392" t="s">
        <v>3758</v>
      </c>
      <c r="P1536" s="212"/>
      <c r="Q1536"/>
      <c r="R1536" s="387">
        <f>VLOOKUP(E1536,'[1]NDB Impacted SPRFs 05032013'!$A$2:$A$65536,1,FALSE)</f>
        <v>400039624</v>
      </c>
      <c r="S1536" s="128"/>
      <c r="T1536" s="128"/>
      <c r="U1536" s="128"/>
    </row>
    <row r="1537" spans="1:21" s="159" customFormat="1" ht="30" x14ac:dyDescent="0.25">
      <c r="A1537" s="63">
        <f>MATCH($E1537,'D1 - Master Project Table'!$B$24:$B$7056,0)</f>
        <v>380</v>
      </c>
      <c r="B1537" s="63" t="b">
        <f t="shared" si="72"/>
        <v>0</v>
      </c>
      <c r="C1537" s="63" t="b">
        <f t="shared" si="70"/>
        <v>1</v>
      </c>
      <c r="D1537" s="63" t="str">
        <f t="shared" si="71"/>
        <v>OK</v>
      </c>
      <c r="E1537" s="393">
        <v>400005533</v>
      </c>
      <c r="F1537" s="392" t="s">
        <v>6201</v>
      </c>
      <c r="G1537" s="392" t="s">
        <v>5787</v>
      </c>
      <c r="H1537" s="392" t="s">
        <v>7418</v>
      </c>
      <c r="I1537" s="392" t="s">
        <v>1780</v>
      </c>
      <c r="J1537" s="392" t="s">
        <v>8714</v>
      </c>
      <c r="K1537" s="392" t="s">
        <v>4010</v>
      </c>
      <c r="L1537" s="392" t="s">
        <v>4550</v>
      </c>
      <c r="M1537" s="392" t="s">
        <v>3758</v>
      </c>
      <c r="N1537" s="392" t="s">
        <v>7273</v>
      </c>
      <c r="O1537" s="392" t="s">
        <v>7273</v>
      </c>
      <c r="P1537"/>
      <c r="Q1537"/>
      <c r="R1537" s="387">
        <f>VLOOKUP(E1537,'[1]NDB Impacted SPRFs 05032013'!$A$2:$A$65536,1,FALSE)</f>
        <v>400005533</v>
      </c>
    </row>
    <row r="1538" spans="1:21" s="159" customFormat="1" ht="30" x14ac:dyDescent="0.25">
      <c r="A1538" s="63">
        <f>MATCH($E1538,'D1 - Master Project Table'!$B$24:$B$7056,0)</f>
        <v>868</v>
      </c>
      <c r="B1538" s="63" t="b">
        <f t="shared" si="72"/>
        <v>0</v>
      </c>
      <c r="C1538" s="63" t="b">
        <f t="shared" si="70"/>
        <v>1</v>
      </c>
      <c r="D1538" s="63" t="str">
        <f t="shared" si="71"/>
        <v>OK</v>
      </c>
      <c r="E1538" s="393">
        <v>400016788</v>
      </c>
      <c r="F1538" s="392" t="s">
        <v>7591</v>
      </c>
      <c r="G1538" s="392" t="s">
        <v>6065</v>
      </c>
      <c r="H1538" s="392" t="s">
        <v>7418</v>
      </c>
      <c r="I1538" s="392" t="s">
        <v>2655</v>
      </c>
      <c r="J1538" s="392" t="s">
        <v>9402</v>
      </c>
      <c r="K1538" s="392" t="s">
        <v>6229</v>
      </c>
      <c r="L1538" s="392" t="s">
        <v>4685</v>
      </c>
      <c r="M1538" s="392" t="s">
        <v>7273</v>
      </c>
      <c r="N1538" s="392" t="s">
        <v>7273</v>
      </c>
      <c r="O1538" s="392" t="s">
        <v>7273</v>
      </c>
      <c r="P1538"/>
      <c r="Q1538"/>
      <c r="R1538" s="387">
        <f>VLOOKUP(E1538,'[1]NDB Impacted SPRFs 05032013'!$A$2:$A$65536,1,FALSE)</f>
        <v>400016788</v>
      </c>
      <c r="S1538" s="128"/>
      <c r="T1538" s="128"/>
      <c r="U1538" s="128"/>
    </row>
    <row r="1539" spans="1:21" ht="45" x14ac:dyDescent="0.25">
      <c r="A1539" s="63">
        <f>MATCH($E1539,'D1 - Master Project Table'!$B$24:$B$7056,0)</f>
        <v>2705</v>
      </c>
      <c r="B1539" s="63" t="b">
        <f t="shared" si="72"/>
        <v>0</v>
      </c>
      <c r="C1539" s="63" t="b">
        <f t="shared" si="70"/>
        <v>1</v>
      </c>
      <c r="D1539" s="63" t="str">
        <f t="shared" si="71"/>
        <v>OK</v>
      </c>
      <c r="E1539" s="393">
        <v>400018747</v>
      </c>
      <c r="F1539" s="392" t="s">
        <v>4664</v>
      </c>
      <c r="G1539" s="392" t="s">
        <v>5324</v>
      </c>
      <c r="H1539" s="392" t="s">
        <v>5314</v>
      </c>
      <c r="I1539" s="392" t="s">
        <v>1756</v>
      </c>
      <c r="J1539" s="392" t="s">
        <v>8403</v>
      </c>
      <c r="K1539" s="392" t="s">
        <v>4925</v>
      </c>
      <c r="L1539" s="392" t="s">
        <v>4836</v>
      </c>
      <c r="M1539" s="392" t="s">
        <v>7273</v>
      </c>
      <c r="N1539" s="392" t="s">
        <v>7273</v>
      </c>
      <c r="O1539" s="392" t="s">
        <v>7273</v>
      </c>
      <c r="P1539"/>
      <c r="Q1539"/>
      <c r="R1539" s="387">
        <f>VLOOKUP(E1539,'[1]NDB Impacted SPRFs 05032013'!$A$2:$A$65536,1,FALSE)</f>
        <v>400018747</v>
      </c>
      <c r="S1539" s="159"/>
      <c r="T1539" s="159"/>
      <c r="U1539" s="159"/>
    </row>
    <row r="1540" spans="1:21" s="159" customFormat="1" ht="45" x14ac:dyDescent="0.25">
      <c r="A1540" s="63" t="e">
        <f>MATCH($E1540,'D1 - Master Project Table'!$B$24:$B$7056,0)</f>
        <v>#N/A</v>
      </c>
      <c r="B1540" s="63" t="b">
        <f t="shared" si="72"/>
        <v>1</v>
      </c>
      <c r="C1540" s="63" t="b">
        <f t="shared" si="70"/>
        <v>1</v>
      </c>
      <c r="D1540" s="63" t="str">
        <f t="shared" si="71"/>
        <v>OK</v>
      </c>
      <c r="E1540" s="393">
        <v>400023560</v>
      </c>
      <c r="F1540" s="392" t="s">
        <v>2807</v>
      </c>
      <c r="G1540" s="392" t="s">
        <v>5325</v>
      </c>
      <c r="H1540" s="392" t="s">
        <v>5314</v>
      </c>
      <c r="I1540" s="392" t="s">
        <v>1795</v>
      </c>
      <c r="J1540" s="392" t="s">
        <v>6584</v>
      </c>
      <c r="K1540" s="392" t="s">
        <v>6585</v>
      </c>
      <c r="L1540" s="392" t="s">
        <v>4652</v>
      </c>
      <c r="M1540" s="392" t="s">
        <v>7273</v>
      </c>
      <c r="N1540" s="392" t="s">
        <v>7273</v>
      </c>
      <c r="O1540" s="392" t="s">
        <v>7273</v>
      </c>
      <c r="P1540"/>
      <c r="Q1540"/>
      <c r="R1540" s="387">
        <f>VLOOKUP(E1540,'[1]NDB Impacted SPRFs 05032013'!$A$2:$A$65536,1,FALSE)</f>
        <v>400023560</v>
      </c>
    </row>
    <row r="1541" spans="1:21" s="159" customFormat="1" ht="45" x14ac:dyDescent="0.25">
      <c r="A1541" s="63">
        <f>MATCH($E1541,'D1 - Master Project Table'!$B$24:$B$7056,0)</f>
        <v>2804</v>
      </c>
      <c r="B1541" s="63" t="b">
        <f t="shared" si="72"/>
        <v>0</v>
      </c>
      <c r="C1541" s="63" t="b">
        <f t="shared" si="70"/>
        <v>1</v>
      </c>
      <c r="D1541" s="63" t="str">
        <f t="shared" si="71"/>
        <v>OK</v>
      </c>
      <c r="E1541" s="393">
        <v>400023562</v>
      </c>
      <c r="F1541" s="392" t="s">
        <v>1504</v>
      </c>
      <c r="G1541" s="392" t="s">
        <v>5325</v>
      </c>
      <c r="H1541" s="392" t="s">
        <v>5314</v>
      </c>
      <c r="I1541" s="392" t="s">
        <v>1795</v>
      </c>
      <c r="J1541" s="392" t="s">
        <v>6584</v>
      </c>
      <c r="K1541" s="392" t="s">
        <v>6585</v>
      </c>
      <c r="L1541" s="392" t="s">
        <v>4652</v>
      </c>
      <c r="M1541" s="392" t="s">
        <v>7273</v>
      </c>
      <c r="N1541" s="392" t="s">
        <v>7273</v>
      </c>
      <c r="O1541" s="392" t="s">
        <v>7273</v>
      </c>
      <c r="P1541"/>
      <c r="Q1541"/>
      <c r="R1541" s="387">
        <f>VLOOKUP(E1541,'[1]NDB Impacted SPRFs 05032013'!$A$2:$A$65536,1,FALSE)</f>
        <v>400023562</v>
      </c>
    </row>
    <row r="1542" spans="1:21" s="159" customFormat="1" ht="45" x14ac:dyDescent="0.25">
      <c r="A1542" s="63">
        <f>MATCH($E1542,'D1 - Master Project Table'!$B$24:$B$7056,0)</f>
        <v>2805</v>
      </c>
      <c r="B1542" s="63" t="b">
        <f t="shared" si="72"/>
        <v>0</v>
      </c>
      <c r="C1542" s="63" t="b">
        <f t="shared" ref="C1542:C1605" si="73">OR(H1542="Completed",H1542="Cancelled")</f>
        <v>1</v>
      </c>
      <c r="D1542" s="63" t="str">
        <f t="shared" ref="D1542:D1605" si="74">IF(AND(B1542=TRUE,C1542=FALSE),"Add","OK")</f>
        <v>OK</v>
      </c>
      <c r="E1542" s="393">
        <v>400023623</v>
      </c>
      <c r="F1542" s="392" t="s">
        <v>2807</v>
      </c>
      <c r="G1542" s="392" t="s">
        <v>5325</v>
      </c>
      <c r="H1542" s="392" t="s">
        <v>5314</v>
      </c>
      <c r="I1542" s="392" t="s">
        <v>1795</v>
      </c>
      <c r="J1542" s="392" t="s">
        <v>6584</v>
      </c>
      <c r="K1542" s="392" t="s">
        <v>6585</v>
      </c>
      <c r="L1542" s="392" t="s">
        <v>4652</v>
      </c>
      <c r="M1542" s="392" t="s">
        <v>7273</v>
      </c>
      <c r="N1542" s="392" t="s">
        <v>7273</v>
      </c>
      <c r="O1542" s="392" t="s">
        <v>7273</v>
      </c>
      <c r="P1542"/>
      <c r="Q1542"/>
      <c r="R1542" s="387">
        <f>VLOOKUP(E1542,'[1]NDB Impacted SPRFs 05032013'!$A$2:$A$65536,1,FALSE)</f>
        <v>400023623</v>
      </c>
    </row>
    <row r="1543" spans="1:21" s="159" customFormat="1" ht="45" x14ac:dyDescent="0.25">
      <c r="A1543" s="63">
        <f>MATCH($E1543,'D1 - Master Project Table'!$B$24:$B$7056,0)</f>
        <v>1402</v>
      </c>
      <c r="B1543" s="63" t="b">
        <f t="shared" si="72"/>
        <v>0</v>
      </c>
      <c r="C1543" s="63" t="b">
        <f t="shared" si="73"/>
        <v>1</v>
      </c>
      <c r="D1543" s="63" t="str">
        <f t="shared" si="74"/>
        <v>OK</v>
      </c>
      <c r="E1543" s="393">
        <v>400039517</v>
      </c>
      <c r="F1543" s="392" t="s">
        <v>6952</v>
      </c>
      <c r="G1543" s="392" t="s">
        <v>5324</v>
      </c>
      <c r="H1543" s="392" t="s">
        <v>7418</v>
      </c>
      <c r="I1543" s="392" t="s">
        <v>1763</v>
      </c>
      <c r="J1543" s="392" t="s">
        <v>8567</v>
      </c>
      <c r="K1543" s="392" t="s">
        <v>8075</v>
      </c>
      <c r="L1543" s="392" t="s">
        <v>6953</v>
      </c>
      <c r="M1543" s="392" t="s">
        <v>7273</v>
      </c>
      <c r="N1543" s="392" t="s">
        <v>7273</v>
      </c>
      <c r="O1543" s="392" t="s">
        <v>7273</v>
      </c>
      <c r="P1543"/>
      <c r="Q1543"/>
      <c r="R1543" s="387">
        <f>VLOOKUP(E1543,'[1]NDB Impacted SPRFs 05032013'!$A$2:$A$65536,1,FALSE)</f>
        <v>400039517</v>
      </c>
    </row>
    <row r="1544" spans="1:21" s="159" customFormat="1" ht="45" x14ac:dyDescent="0.25">
      <c r="A1544" s="63">
        <f>MATCH($E1544,'D1 - Master Project Table'!$B$24:$B$7056,0)</f>
        <v>3289</v>
      </c>
      <c r="B1544" s="63" t="b">
        <f t="shared" si="72"/>
        <v>0</v>
      </c>
      <c r="C1544" s="63" t="b">
        <f t="shared" si="73"/>
        <v>1</v>
      </c>
      <c r="D1544" s="63" t="str">
        <f t="shared" si="74"/>
        <v>OK</v>
      </c>
      <c r="E1544" s="393">
        <v>400047370</v>
      </c>
      <c r="F1544" s="392" t="s">
        <v>1012</v>
      </c>
      <c r="G1544" s="392" t="s">
        <v>6322</v>
      </c>
      <c r="H1544" s="392" t="s">
        <v>7418</v>
      </c>
      <c r="I1544" s="392" t="s">
        <v>1762</v>
      </c>
      <c r="J1544" s="392" t="s">
        <v>8651</v>
      </c>
      <c r="K1544" s="392" t="s">
        <v>1013</v>
      </c>
      <c r="L1544" s="392" t="s">
        <v>1281</v>
      </c>
      <c r="M1544" s="392" t="s">
        <v>7273</v>
      </c>
      <c r="N1544" s="392" t="s">
        <v>7273</v>
      </c>
      <c r="O1544" s="392" t="s">
        <v>7273</v>
      </c>
      <c r="P1544"/>
      <c r="Q1544"/>
      <c r="R1544" s="387">
        <f>VLOOKUP(E1544,'[1]NDB Impacted SPRFs 05032013'!$A$2:$A$65536,1,FALSE)</f>
        <v>400047370</v>
      </c>
    </row>
    <row r="1545" spans="1:21" s="159" customFormat="1" ht="30" x14ac:dyDescent="0.25">
      <c r="A1545" s="63">
        <f>MATCH($E1545,'D1 - Master Project Table'!$B$24:$B$7056,0)</f>
        <v>261</v>
      </c>
      <c r="B1545" s="63" t="b">
        <f t="shared" si="72"/>
        <v>0</v>
      </c>
      <c r="C1545" s="63" t="b">
        <f t="shared" si="73"/>
        <v>0</v>
      </c>
      <c r="D1545" s="63" t="str">
        <f t="shared" si="74"/>
        <v>OK</v>
      </c>
      <c r="E1545" s="393">
        <v>400058803</v>
      </c>
      <c r="F1545" s="392" t="s">
        <v>9321</v>
      </c>
      <c r="G1545" s="392" t="s">
        <v>1147</v>
      </c>
      <c r="H1545" s="392" t="s">
        <v>8012</v>
      </c>
      <c r="I1545" s="392" t="s">
        <v>1757</v>
      </c>
      <c r="J1545" s="392" t="s">
        <v>450</v>
      </c>
      <c r="K1545" s="392" t="s">
        <v>5524</v>
      </c>
      <c r="L1545" s="392" t="s">
        <v>9322</v>
      </c>
      <c r="M1545" s="392" t="s">
        <v>7273</v>
      </c>
      <c r="N1545" s="392" t="s">
        <v>7273</v>
      </c>
      <c r="O1545" s="392" t="s">
        <v>7273</v>
      </c>
      <c r="P1545"/>
      <c r="Q1545"/>
      <c r="R1545" s="387">
        <f>VLOOKUP(E1545,'[1]NDB Impacted SPRFs 05032013'!$A$2:$A$65536,1,FALSE)</f>
        <v>400058803</v>
      </c>
      <c r="S1545" s="128"/>
      <c r="T1545" s="128"/>
      <c r="U1545" s="128"/>
    </row>
    <row r="1546" spans="1:21" s="159" customFormat="1" ht="30" x14ac:dyDescent="0.25">
      <c r="A1546" s="63" t="e">
        <f>MATCH($E1546,'D1 - Master Project Table'!$B$24:$B$7056,0)</f>
        <v>#N/A</v>
      </c>
      <c r="B1546" s="63" t="b">
        <f t="shared" si="72"/>
        <v>1</v>
      </c>
      <c r="C1546" s="63" t="b">
        <f t="shared" si="73"/>
        <v>1</v>
      </c>
      <c r="D1546" s="63" t="str">
        <f t="shared" si="74"/>
        <v>OK</v>
      </c>
      <c r="E1546" s="393">
        <v>400000164</v>
      </c>
      <c r="F1546" s="392" t="s">
        <v>6764</v>
      </c>
      <c r="G1546" s="392" t="s">
        <v>5787</v>
      </c>
      <c r="H1546" s="392" t="s">
        <v>7418</v>
      </c>
      <c r="I1546" s="392" t="s">
        <v>1772</v>
      </c>
      <c r="J1546" s="392" t="s">
        <v>8680</v>
      </c>
      <c r="K1546" s="392" t="s">
        <v>4124</v>
      </c>
      <c r="L1546" s="392" t="s">
        <v>5528</v>
      </c>
      <c r="M1546" s="392" t="s">
        <v>3758</v>
      </c>
      <c r="N1546" s="392" t="s">
        <v>7273</v>
      </c>
      <c r="O1546" s="392" t="s">
        <v>7273</v>
      </c>
      <c r="P1546"/>
      <c r="Q1546"/>
      <c r="R1546" s="387">
        <f>VLOOKUP(E1546,'[1]NDB Impacted SPRFs 05032013'!$A$2:$A$65536,1,FALSE)</f>
        <v>400000164</v>
      </c>
    </row>
    <row r="1547" spans="1:21" s="159" customFormat="1" ht="30" x14ac:dyDescent="0.25">
      <c r="A1547" s="63">
        <f>MATCH($E1547,'D1 - Master Project Table'!$B$24:$B$7056,0)</f>
        <v>2073</v>
      </c>
      <c r="B1547" s="63" t="b">
        <f t="shared" si="72"/>
        <v>0</v>
      </c>
      <c r="C1547" s="63" t="b">
        <f t="shared" si="73"/>
        <v>1</v>
      </c>
      <c r="D1547" s="63" t="str">
        <f t="shared" si="74"/>
        <v>OK</v>
      </c>
      <c r="E1547" s="393">
        <v>400009754</v>
      </c>
      <c r="F1547" s="392" t="s">
        <v>3553</v>
      </c>
      <c r="G1547" s="392" t="s">
        <v>3441</v>
      </c>
      <c r="H1547" s="392" t="s">
        <v>5314</v>
      </c>
      <c r="I1547" s="392" t="s">
        <v>2662</v>
      </c>
      <c r="J1547" s="392" t="s">
        <v>8714</v>
      </c>
      <c r="K1547" s="392" t="s">
        <v>1506</v>
      </c>
      <c r="L1547" s="392" t="s">
        <v>7411</v>
      </c>
      <c r="M1547" s="392" t="s">
        <v>7273</v>
      </c>
      <c r="N1547" s="392" t="s">
        <v>7273</v>
      </c>
      <c r="O1547" s="392" t="s">
        <v>7273</v>
      </c>
      <c r="P1547"/>
      <c r="Q1547"/>
      <c r="R1547" s="387">
        <f>VLOOKUP(E1547,'[1]NDB Impacted SPRFs 05032013'!$A$2:$A$65536,1,FALSE)</f>
        <v>400009754</v>
      </c>
    </row>
    <row r="1548" spans="1:21" s="159" customFormat="1" ht="45" x14ac:dyDescent="0.25">
      <c r="A1548" s="63">
        <f>MATCH($E1548,'D1 - Master Project Table'!$B$24:$B$7056,0)</f>
        <v>1924</v>
      </c>
      <c r="B1548" s="63" t="b">
        <f t="shared" si="72"/>
        <v>0</v>
      </c>
      <c r="C1548" s="63" t="b">
        <f t="shared" si="73"/>
        <v>1</v>
      </c>
      <c r="D1548" s="63" t="str">
        <f t="shared" si="74"/>
        <v>OK</v>
      </c>
      <c r="E1548" s="393">
        <v>400012686</v>
      </c>
      <c r="F1548" s="392" t="s">
        <v>7995</v>
      </c>
      <c r="G1548" s="392" t="s">
        <v>5324</v>
      </c>
      <c r="H1548" s="392" t="s">
        <v>7418</v>
      </c>
      <c r="I1548" s="392" t="s">
        <v>1756</v>
      </c>
      <c r="J1548" s="392" t="s">
        <v>5473</v>
      </c>
      <c r="K1548" s="392" t="s">
        <v>1506</v>
      </c>
      <c r="L1548" s="392" t="s">
        <v>6435</v>
      </c>
      <c r="M1548" s="392" t="s">
        <v>7273</v>
      </c>
      <c r="N1548" s="392" t="s">
        <v>7273</v>
      </c>
      <c r="O1548" s="392" t="s">
        <v>7273</v>
      </c>
      <c r="P1548"/>
      <c r="Q1548"/>
      <c r="R1548" s="387">
        <f>VLOOKUP(E1548,'[1]NDB Impacted SPRFs 05032013'!$A$2:$A$65536,1,FALSE)</f>
        <v>400012686</v>
      </c>
    </row>
    <row r="1549" spans="1:21" s="159" customFormat="1" ht="45" x14ac:dyDescent="0.25">
      <c r="A1549" s="63">
        <f>MATCH($E1549,'D1 - Master Project Table'!$B$24:$B$7056,0)</f>
        <v>2731</v>
      </c>
      <c r="B1549" s="63" t="b">
        <f t="shared" si="72"/>
        <v>0</v>
      </c>
      <c r="C1549" s="63" t="b">
        <f t="shared" si="73"/>
        <v>1</v>
      </c>
      <c r="D1549" s="63" t="str">
        <f t="shared" si="74"/>
        <v>OK</v>
      </c>
      <c r="E1549" s="393">
        <v>400019755</v>
      </c>
      <c r="F1549" s="392" t="s">
        <v>4706</v>
      </c>
      <c r="G1549" s="392" t="s">
        <v>5324</v>
      </c>
      <c r="H1549" s="392" t="s">
        <v>5314</v>
      </c>
      <c r="I1549" s="392" t="s">
        <v>1763</v>
      </c>
      <c r="J1549" s="392" t="s">
        <v>8406</v>
      </c>
      <c r="K1549" s="392" t="s">
        <v>4698</v>
      </c>
      <c r="L1549" s="392" t="s">
        <v>7743</v>
      </c>
      <c r="M1549" s="392" t="s">
        <v>7273</v>
      </c>
      <c r="N1549" s="392" t="s">
        <v>7273</v>
      </c>
      <c r="O1549" s="392" t="s">
        <v>7273</v>
      </c>
      <c r="P1549"/>
      <c r="Q1549"/>
      <c r="R1549" s="387">
        <f>VLOOKUP(E1549,'[1]NDB Impacted SPRFs 05032013'!$A$2:$A$65536,1,FALSE)</f>
        <v>400019755</v>
      </c>
    </row>
    <row r="1550" spans="1:21" s="159" customFormat="1" ht="30" x14ac:dyDescent="0.25">
      <c r="A1550" s="63">
        <f>MATCH($E1550,'D1 - Master Project Table'!$B$24:$B$7056,0)</f>
        <v>1994</v>
      </c>
      <c r="B1550" s="63" t="b">
        <f t="shared" si="72"/>
        <v>0</v>
      </c>
      <c r="C1550" s="63" t="b">
        <f t="shared" si="73"/>
        <v>1</v>
      </c>
      <c r="D1550" s="63" t="str">
        <f t="shared" si="74"/>
        <v>OK</v>
      </c>
      <c r="E1550" s="393">
        <v>400030274</v>
      </c>
      <c r="F1550" s="392" t="s">
        <v>6069</v>
      </c>
      <c r="G1550" s="392" t="s">
        <v>5001</v>
      </c>
      <c r="H1550" s="392" t="s">
        <v>7418</v>
      </c>
      <c r="I1550" s="392" t="s">
        <v>3540</v>
      </c>
      <c r="J1550" s="392" t="s">
        <v>3220</v>
      </c>
      <c r="K1550" s="392" t="s">
        <v>6885</v>
      </c>
      <c r="L1550" s="392" t="s">
        <v>104</v>
      </c>
      <c r="M1550" s="392" t="s">
        <v>3758</v>
      </c>
      <c r="N1550" s="392" t="s">
        <v>7273</v>
      </c>
      <c r="O1550" s="392" t="s">
        <v>7273</v>
      </c>
      <c r="P1550"/>
      <c r="Q1550"/>
      <c r="R1550" s="387">
        <f>VLOOKUP(E1550,'[1]NDB Impacted SPRFs 05032013'!$A$2:$A$65536,1,FALSE)</f>
        <v>400030274</v>
      </c>
    </row>
    <row r="1551" spans="1:21" s="159" customFormat="1" ht="30" x14ac:dyDescent="0.25">
      <c r="A1551" s="63">
        <f>MATCH($E1551,'D1 - Master Project Table'!$B$24:$B$7056,0)</f>
        <v>3182</v>
      </c>
      <c r="B1551" s="63" t="b">
        <f t="shared" si="72"/>
        <v>0</v>
      </c>
      <c r="C1551" s="63" t="b">
        <f t="shared" si="73"/>
        <v>1</v>
      </c>
      <c r="D1551" s="63" t="str">
        <f t="shared" si="74"/>
        <v>OK</v>
      </c>
      <c r="E1551" s="393">
        <v>400031316</v>
      </c>
      <c r="F1551" s="392" t="s">
        <v>1442</v>
      </c>
      <c r="G1551" s="392" t="s">
        <v>6322</v>
      </c>
      <c r="H1551" s="392" t="s">
        <v>7418</v>
      </c>
      <c r="I1551" s="392" t="s">
        <v>1762</v>
      </c>
      <c r="J1551" s="392" t="s">
        <v>1062</v>
      </c>
      <c r="K1551" s="392" t="s">
        <v>1443</v>
      </c>
      <c r="L1551" s="392" t="s">
        <v>1813</v>
      </c>
      <c r="M1551" s="392" t="s">
        <v>7273</v>
      </c>
      <c r="N1551" s="392" t="s">
        <v>7273</v>
      </c>
      <c r="O1551" s="392" t="s">
        <v>7273</v>
      </c>
      <c r="P1551"/>
      <c r="Q1551"/>
      <c r="R1551" s="387">
        <f>VLOOKUP(E1551,'[1]NDB Impacted SPRFs 05032013'!$A$2:$A$65536,1,FALSE)</f>
        <v>400031316</v>
      </c>
    </row>
    <row r="1552" spans="1:21" s="159" customFormat="1" ht="45" x14ac:dyDescent="0.25">
      <c r="A1552" s="63">
        <f>MATCH($E1552,'D1 - Master Project Table'!$B$24:$B$7056,0)</f>
        <v>2329</v>
      </c>
      <c r="B1552" s="63" t="b">
        <f t="shared" si="72"/>
        <v>0</v>
      </c>
      <c r="C1552" s="63" t="b">
        <f t="shared" si="73"/>
        <v>1</v>
      </c>
      <c r="D1552" s="63" t="str">
        <f t="shared" si="74"/>
        <v>OK</v>
      </c>
      <c r="E1552" s="393">
        <v>400052217</v>
      </c>
      <c r="F1552" s="392" t="s">
        <v>756</v>
      </c>
      <c r="G1552" s="392" t="s">
        <v>5995</v>
      </c>
      <c r="H1552" s="392" t="s">
        <v>5314</v>
      </c>
      <c r="I1552" s="392" t="s">
        <v>6423</v>
      </c>
      <c r="J1552" s="392" t="s">
        <v>8802</v>
      </c>
      <c r="K1552" s="392" t="s">
        <v>1897</v>
      </c>
      <c r="L1552" s="392" t="s">
        <v>282</v>
      </c>
      <c r="M1552" s="392" t="s">
        <v>7273</v>
      </c>
      <c r="N1552" s="392" t="s">
        <v>7273</v>
      </c>
      <c r="O1552" s="392" t="s">
        <v>7273</v>
      </c>
      <c r="P1552"/>
      <c r="Q1552"/>
      <c r="R1552" s="387">
        <f>VLOOKUP(E1552,'[1]NDB Impacted SPRFs 05032013'!$A$2:$A$65536,1,FALSE)</f>
        <v>400052217</v>
      </c>
    </row>
    <row r="1553" spans="1:21" s="159" customFormat="1" ht="45" x14ac:dyDescent="0.25">
      <c r="A1553" s="63">
        <f>MATCH($E1553,'D1 - Master Project Table'!$B$24:$B$7056,0)</f>
        <v>52</v>
      </c>
      <c r="B1553" s="63" t="b">
        <f t="shared" si="72"/>
        <v>0</v>
      </c>
      <c r="C1553" s="63" t="b">
        <f t="shared" si="73"/>
        <v>0</v>
      </c>
      <c r="D1553" s="63" t="str">
        <f t="shared" si="74"/>
        <v>OK</v>
      </c>
      <c r="E1553" s="393">
        <v>400054352</v>
      </c>
      <c r="F1553" s="392" t="s">
        <v>8469</v>
      </c>
      <c r="G1553" s="392" t="s">
        <v>5324</v>
      </c>
      <c r="H1553" s="392" t="s">
        <v>4917</v>
      </c>
      <c r="I1553" s="392" t="s">
        <v>1756</v>
      </c>
      <c r="J1553" s="392" t="s">
        <v>8241</v>
      </c>
      <c r="K1553" s="392" t="s">
        <v>8242</v>
      </c>
      <c r="L1553" s="392" t="s">
        <v>8470</v>
      </c>
      <c r="M1553" s="392" t="s">
        <v>7273</v>
      </c>
      <c r="N1553" s="392" t="s">
        <v>7273</v>
      </c>
      <c r="O1553" s="392" t="s">
        <v>7273</v>
      </c>
      <c r="P1553"/>
      <c r="Q1553"/>
      <c r="R1553" s="387">
        <f>VLOOKUP(E1553,'[1]NDB Impacted SPRFs 05032013'!$A$2:$A$65536,1,FALSE)</f>
        <v>400054352</v>
      </c>
      <c r="S1553" s="128"/>
      <c r="T1553" s="128"/>
      <c r="U1553" s="128"/>
    </row>
    <row r="1554" spans="1:21" s="159" customFormat="1" ht="45" x14ac:dyDescent="0.25">
      <c r="A1554" s="63">
        <f>MATCH($E1554,'D1 - Master Project Table'!$B$24:$B$7056,0)</f>
        <v>221</v>
      </c>
      <c r="B1554" s="63" t="b">
        <f t="shared" si="72"/>
        <v>0</v>
      </c>
      <c r="C1554" s="63" t="b">
        <f t="shared" si="73"/>
        <v>0</v>
      </c>
      <c r="D1554" s="63" t="str">
        <f t="shared" si="74"/>
        <v>OK</v>
      </c>
      <c r="E1554" s="393">
        <v>400054394</v>
      </c>
      <c r="F1554" s="392" t="s">
        <v>7008</v>
      </c>
      <c r="G1554" s="392" t="s">
        <v>5324</v>
      </c>
      <c r="H1554" s="392" t="s">
        <v>8012</v>
      </c>
      <c r="I1554" s="392" t="s">
        <v>1763</v>
      </c>
      <c r="J1554" s="392" t="s">
        <v>2471</v>
      </c>
      <c r="K1554" s="392" t="s">
        <v>7009</v>
      </c>
      <c r="L1554" s="392" t="s">
        <v>9233</v>
      </c>
      <c r="M1554" s="392" t="s">
        <v>7273</v>
      </c>
      <c r="N1554" s="392" t="s">
        <v>7273</v>
      </c>
      <c r="O1554" s="392" t="s">
        <v>7273</v>
      </c>
      <c r="P1554"/>
      <c r="Q1554"/>
      <c r="R1554" s="387">
        <f>VLOOKUP(E1554,'[1]NDB Impacted SPRFs 05032013'!$A$2:$A$65536,1,FALSE)</f>
        <v>400054394</v>
      </c>
      <c r="S1554" s="128"/>
      <c r="T1554" s="128"/>
      <c r="U1554" s="128"/>
    </row>
    <row r="1555" spans="1:21" s="159" customFormat="1" ht="45" x14ac:dyDescent="0.25">
      <c r="A1555" s="63">
        <f>MATCH($E1555,'D1 - Master Project Table'!$B$24:$B$7056,0)</f>
        <v>2582</v>
      </c>
      <c r="B1555" s="63" t="b">
        <f t="shared" si="72"/>
        <v>0</v>
      </c>
      <c r="C1555" s="63" t="b">
        <f t="shared" si="73"/>
        <v>1</v>
      </c>
      <c r="D1555" s="63" t="str">
        <f t="shared" si="74"/>
        <v>OK</v>
      </c>
      <c r="E1555" s="393">
        <v>400010981</v>
      </c>
      <c r="F1555" s="392" t="s">
        <v>2817</v>
      </c>
      <c r="G1555" s="392" t="s">
        <v>5324</v>
      </c>
      <c r="H1555" s="392" t="s">
        <v>7418</v>
      </c>
      <c r="I1555" s="392" t="s">
        <v>1762</v>
      </c>
      <c r="J1555" s="392" t="s">
        <v>2251</v>
      </c>
      <c r="K1555" s="392" t="s">
        <v>5159</v>
      </c>
      <c r="L1555" s="392" t="s">
        <v>5101</v>
      </c>
      <c r="M1555" s="392" t="s">
        <v>7273</v>
      </c>
      <c r="N1555" s="392" t="s">
        <v>7273</v>
      </c>
      <c r="O1555" s="392" t="s">
        <v>7273</v>
      </c>
      <c r="P1555"/>
      <c r="Q1555"/>
      <c r="R1555" s="387">
        <f>VLOOKUP(E1555,'[1]NDB Impacted SPRFs 05032013'!$A$2:$A$65536,1,FALSE)</f>
        <v>400010981</v>
      </c>
    </row>
    <row r="1556" spans="1:21" s="159" customFormat="1" ht="45" x14ac:dyDescent="0.25">
      <c r="A1556" s="63">
        <f>MATCH($E1556,'D1 - Master Project Table'!$B$24:$B$7056,0)</f>
        <v>2766</v>
      </c>
      <c r="B1556" s="63" t="b">
        <f t="shared" si="72"/>
        <v>0</v>
      </c>
      <c r="C1556" s="63" t="b">
        <f t="shared" si="73"/>
        <v>1</v>
      </c>
      <c r="D1556" s="63" t="str">
        <f t="shared" si="74"/>
        <v>OK</v>
      </c>
      <c r="E1556" s="393">
        <v>400021485</v>
      </c>
      <c r="F1556" s="392" t="s">
        <v>3728</v>
      </c>
      <c r="G1556" s="392" t="s">
        <v>5324</v>
      </c>
      <c r="H1556" s="392" t="s">
        <v>5314</v>
      </c>
      <c r="I1556" s="392" t="s">
        <v>1763</v>
      </c>
      <c r="J1556" s="392" t="s">
        <v>4109</v>
      </c>
      <c r="K1556" s="392" t="s">
        <v>7495</v>
      </c>
      <c r="L1556" s="392" t="s">
        <v>4070</v>
      </c>
      <c r="M1556" s="392" t="s">
        <v>3758</v>
      </c>
      <c r="N1556" s="392" t="s">
        <v>7273</v>
      </c>
      <c r="O1556" s="392" t="s">
        <v>7273</v>
      </c>
      <c r="P1556"/>
      <c r="Q1556"/>
      <c r="R1556" s="387">
        <f>VLOOKUP(E1556,'[1]NDB Impacted SPRFs 05032013'!$A$2:$A$65536,1,FALSE)</f>
        <v>400021485</v>
      </c>
    </row>
    <row r="1557" spans="1:21" s="159" customFormat="1" ht="45" x14ac:dyDescent="0.25">
      <c r="A1557" s="63">
        <f>MATCH($E1557,'D1 - Master Project Table'!$B$24:$B$7056,0)</f>
        <v>1090</v>
      </c>
      <c r="B1557" s="63" t="b">
        <f t="shared" si="72"/>
        <v>0</v>
      </c>
      <c r="C1557" s="63" t="b">
        <f t="shared" si="73"/>
        <v>1</v>
      </c>
      <c r="D1557" s="63" t="str">
        <f t="shared" si="74"/>
        <v>OK</v>
      </c>
      <c r="E1557" s="393">
        <v>400029062</v>
      </c>
      <c r="F1557" s="392" t="s">
        <v>7304</v>
      </c>
      <c r="G1557" s="392" t="s">
        <v>5324</v>
      </c>
      <c r="H1557" s="392" t="s">
        <v>7418</v>
      </c>
      <c r="I1557" s="392" t="s">
        <v>1756</v>
      </c>
      <c r="J1557" s="392" t="s">
        <v>4634</v>
      </c>
      <c r="K1557" s="392" t="s">
        <v>1506</v>
      </c>
      <c r="L1557" s="392" t="s">
        <v>5871</v>
      </c>
      <c r="M1557" s="392" t="s">
        <v>7273</v>
      </c>
      <c r="N1557" s="392" t="s">
        <v>7273</v>
      </c>
      <c r="O1557" s="392" t="s">
        <v>7273</v>
      </c>
      <c r="P1557"/>
      <c r="Q1557"/>
      <c r="R1557" s="387">
        <f>VLOOKUP(E1557,'[1]NDB Impacted SPRFs 05032013'!$A$2:$A$65536,1,FALSE)</f>
        <v>400029062</v>
      </c>
      <c r="S1557" s="128"/>
      <c r="T1557" s="128"/>
      <c r="U1557" s="128"/>
    </row>
    <row r="1558" spans="1:21" s="159" customFormat="1" ht="30" x14ac:dyDescent="0.25">
      <c r="A1558" s="63">
        <f>MATCH($E1558,'D1 - Master Project Table'!$B$24:$B$7056,0)</f>
        <v>1373</v>
      </c>
      <c r="B1558" s="63" t="b">
        <f t="shared" si="72"/>
        <v>0</v>
      </c>
      <c r="C1558" s="63" t="b">
        <f t="shared" si="73"/>
        <v>1</v>
      </c>
      <c r="D1558" s="63" t="str">
        <f t="shared" si="74"/>
        <v>OK</v>
      </c>
      <c r="E1558" s="393">
        <v>400037987</v>
      </c>
      <c r="F1558" s="392" t="s">
        <v>4972</v>
      </c>
      <c r="G1558" s="392" t="s">
        <v>5995</v>
      </c>
      <c r="H1558" s="392" t="s">
        <v>7418</v>
      </c>
      <c r="I1558" s="392" t="s">
        <v>6423</v>
      </c>
      <c r="J1558" s="392" t="s">
        <v>8823</v>
      </c>
      <c r="K1558" s="392" t="s">
        <v>4973</v>
      </c>
      <c r="L1558" s="392" t="s">
        <v>4047</v>
      </c>
      <c r="M1558" s="392" t="s">
        <v>7273</v>
      </c>
      <c r="N1558" s="392" t="s">
        <v>7273</v>
      </c>
      <c r="O1558" s="392" t="s">
        <v>3758</v>
      </c>
      <c r="P1558"/>
      <c r="Q1558"/>
      <c r="R1558" s="387">
        <f>VLOOKUP(E1558,'[1]NDB Impacted SPRFs 05032013'!$A$2:$A$65536,1,FALSE)</f>
        <v>400037987</v>
      </c>
    </row>
    <row r="1559" spans="1:21" s="159" customFormat="1" ht="45" x14ac:dyDescent="0.25">
      <c r="A1559" s="63">
        <f>MATCH($E1559,'D1 - Master Project Table'!$B$24:$B$7056,0)</f>
        <v>2038</v>
      </c>
      <c r="B1559" s="63" t="b">
        <f t="shared" si="72"/>
        <v>0</v>
      </c>
      <c r="C1559" s="63" t="b">
        <f t="shared" si="73"/>
        <v>1</v>
      </c>
      <c r="D1559" s="63" t="str">
        <f t="shared" si="74"/>
        <v>OK</v>
      </c>
      <c r="E1559" s="393">
        <v>400050243</v>
      </c>
      <c r="F1559" s="392" t="s">
        <v>2295</v>
      </c>
      <c r="G1559" s="392" t="s">
        <v>9210</v>
      </c>
      <c r="H1559" s="392" t="s">
        <v>7418</v>
      </c>
      <c r="I1559" s="392" t="s">
        <v>2655</v>
      </c>
      <c r="J1559" s="392" t="s">
        <v>2585</v>
      </c>
      <c r="K1559" s="392" t="s">
        <v>2296</v>
      </c>
      <c r="L1559" s="392" t="s">
        <v>2319</v>
      </c>
      <c r="M1559" s="392" t="s">
        <v>7273</v>
      </c>
      <c r="N1559" s="392" t="s">
        <v>7273</v>
      </c>
      <c r="O1559" s="392" t="s">
        <v>7273</v>
      </c>
      <c r="P1559"/>
      <c r="Q1559"/>
      <c r="R1559" s="387">
        <f>VLOOKUP(E1559,'[1]NDB Impacted SPRFs 05032013'!$A$2:$A$65536,1,FALSE)</f>
        <v>400050243</v>
      </c>
    </row>
    <row r="1560" spans="1:21" ht="30" x14ac:dyDescent="0.25">
      <c r="A1560" s="63">
        <f>MATCH($E1560,'D1 - Master Project Table'!$B$24:$B$7056,0)</f>
        <v>3129</v>
      </c>
      <c r="B1560" s="63" t="b">
        <f t="shared" si="72"/>
        <v>0</v>
      </c>
      <c r="C1560" s="63" t="b">
        <f t="shared" si="73"/>
        <v>0</v>
      </c>
      <c r="D1560" s="63" t="str">
        <f t="shared" si="74"/>
        <v>OK</v>
      </c>
      <c r="E1560" s="393">
        <v>400053772</v>
      </c>
      <c r="F1560" s="392" t="s">
        <v>456</v>
      </c>
      <c r="G1560" s="392" t="s">
        <v>6322</v>
      </c>
      <c r="H1560" s="392" t="s">
        <v>7479</v>
      </c>
      <c r="I1560" s="392" t="s">
        <v>1762</v>
      </c>
      <c r="J1560" s="392" t="s">
        <v>3151</v>
      </c>
      <c r="K1560" s="392" t="s">
        <v>3152</v>
      </c>
      <c r="L1560" s="392" t="s">
        <v>565</v>
      </c>
      <c r="M1560" s="392" t="s">
        <v>7273</v>
      </c>
      <c r="N1560" s="392" t="s">
        <v>7273</v>
      </c>
      <c r="O1560" s="392" t="s">
        <v>7273</v>
      </c>
      <c r="P1560"/>
      <c r="Q1560"/>
      <c r="R1560" s="387">
        <f>VLOOKUP(E1560,'[1]NDB Impacted SPRFs 05032013'!$A$2:$A$65536,1,FALSE)</f>
        <v>400053772</v>
      </c>
      <c r="S1560" s="159"/>
      <c r="T1560" s="159"/>
      <c r="U1560" s="159"/>
    </row>
    <row r="1561" spans="1:21" ht="45" x14ac:dyDescent="0.25">
      <c r="A1561" s="63">
        <f>MATCH($E1561,'D1 - Master Project Table'!$B$24:$B$7056,0)</f>
        <v>747</v>
      </c>
      <c r="B1561" s="63" t="b">
        <f t="shared" si="72"/>
        <v>0</v>
      </c>
      <c r="C1561" s="63" t="b">
        <f t="shared" si="73"/>
        <v>1</v>
      </c>
      <c r="D1561" s="63" t="str">
        <f t="shared" si="74"/>
        <v>OK</v>
      </c>
      <c r="E1561" s="393">
        <v>400015544</v>
      </c>
      <c r="F1561" s="392" t="s">
        <v>8131</v>
      </c>
      <c r="G1561" s="392" t="s">
        <v>5324</v>
      </c>
      <c r="H1561" s="392" t="s">
        <v>7418</v>
      </c>
      <c r="I1561" s="392" t="s">
        <v>1759</v>
      </c>
      <c r="J1561" s="392" t="s">
        <v>8383</v>
      </c>
      <c r="K1561" s="392" t="s">
        <v>5184</v>
      </c>
      <c r="L1561" s="392" t="s">
        <v>400</v>
      </c>
      <c r="M1561" s="392" t="s">
        <v>7273</v>
      </c>
      <c r="N1561" s="392" t="s">
        <v>7273</v>
      </c>
      <c r="O1561" s="392" t="s">
        <v>3758</v>
      </c>
      <c r="P1561"/>
      <c r="Q1561"/>
      <c r="R1561" s="387">
        <f>VLOOKUP(E1561,'[1]NDB Impacted SPRFs 05032013'!$A$2:$A$65536,1,FALSE)</f>
        <v>400015544</v>
      </c>
    </row>
    <row r="1562" spans="1:21" s="159" customFormat="1" ht="60" customHeight="1" x14ac:dyDescent="0.25">
      <c r="A1562" s="63">
        <f>MATCH($E1562,'D1 - Master Project Table'!$B$24:$B$7056,0)</f>
        <v>2699</v>
      </c>
      <c r="B1562" s="63" t="b">
        <f t="shared" si="72"/>
        <v>0</v>
      </c>
      <c r="C1562" s="63" t="b">
        <f t="shared" si="73"/>
        <v>1</v>
      </c>
      <c r="D1562" s="63" t="str">
        <f t="shared" si="74"/>
        <v>OK</v>
      </c>
      <c r="E1562" s="393">
        <v>400018457</v>
      </c>
      <c r="F1562" s="392" t="s">
        <v>1651</v>
      </c>
      <c r="G1562" s="392" t="s">
        <v>5324</v>
      </c>
      <c r="H1562" s="392" t="s">
        <v>5314</v>
      </c>
      <c r="I1562" s="392" t="s">
        <v>1762</v>
      </c>
      <c r="J1562" s="392" t="s">
        <v>8401</v>
      </c>
      <c r="K1562" s="392" t="s">
        <v>6371</v>
      </c>
      <c r="L1562" s="392" t="s">
        <v>5105</v>
      </c>
      <c r="M1562" s="392" t="s">
        <v>3758</v>
      </c>
      <c r="N1562" s="392" t="s">
        <v>7273</v>
      </c>
      <c r="O1562" s="392" t="s">
        <v>7273</v>
      </c>
      <c r="P1562"/>
      <c r="Q1562"/>
      <c r="R1562" s="387">
        <f>VLOOKUP(E1562,'[1]NDB Impacted SPRFs 05032013'!$A$2:$A$65536,1,FALSE)</f>
        <v>400018457</v>
      </c>
    </row>
    <row r="1563" spans="1:21" ht="45" x14ac:dyDescent="0.25">
      <c r="A1563" s="63">
        <f>MATCH($E1563,'D1 - Master Project Table'!$B$24:$B$7056,0)</f>
        <v>811</v>
      </c>
      <c r="B1563" s="63" t="b">
        <f t="shared" si="72"/>
        <v>0</v>
      </c>
      <c r="C1563" s="63" t="b">
        <f t="shared" si="73"/>
        <v>1</v>
      </c>
      <c r="D1563" s="63" t="str">
        <f t="shared" si="74"/>
        <v>OK</v>
      </c>
      <c r="E1563" s="393">
        <v>400019587</v>
      </c>
      <c r="F1563" s="392" t="s">
        <v>4014</v>
      </c>
      <c r="G1563" s="392" t="s">
        <v>5324</v>
      </c>
      <c r="H1563" s="392" t="s">
        <v>7418</v>
      </c>
      <c r="I1563" s="392" t="s">
        <v>1763</v>
      </c>
      <c r="J1563" s="392" t="s">
        <v>5168</v>
      </c>
      <c r="K1563" s="392" t="s">
        <v>2874</v>
      </c>
      <c r="L1563" s="392" t="s">
        <v>4262</v>
      </c>
      <c r="M1563" s="392" t="s">
        <v>3758</v>
      </c>
      <c r="N1563" s="392" t="s">
        <v>7273</v>
      </c>
      <c r="O1563" s="392" t="s">
        <v>3758</v>
      </c>
      <c r="P1563"/>
      <c r="Q1563"/>
      <c r="R1563" s="387">
        <f>VLOOKUP(E1563,'[1]NDB Impacted SPRFs 05032013'!$A$2:$A$65536,1,FALSE)</f>
        <v>400019587</v>
      </c>
      <c r="S1563" s="159"/>
      <c r="T1563" s="159"/>
      <c r="U1563" s="159"/>
    </row>
    <row r="1564" spans="1:21" s="159" customFormat="1" ht="45" x14ac:dyDescent="0.25">
      <c r="A1564" s="63">
        <f>MATCH($E1564,'D1 - Master Project Table'!$B$24:$B$7056,0)</f>
        <v>945</v>
      </c>
      <c r="B1564" s="63" t="b">
        <f t="shared" si="72"/>
        <v>0</v>
      </c>
      <c r="C1564" s="63" t="b">
        <f t="shared" si="73"/>
        <v>1</v>
      </c>
      <c r="D1564" s="63" t="str">
        <f t="shared" si="74"/>
        <v>OK</v>
      </c>
      <c r="E1564" s="393">
        <v>400021898</v>
      </c>
      <c r="F1564" s="392" t="s">
        <v>2021</v>
      </c>
      <c r="G1564" s="392" t="s">
        <v>5324</v>
      </c>
      <c r="H1564" s="392" t="s">
        <v>7418</v>
      </c>
      <c r="I1564" s="392" t="s">
        <v>1761</v>
      </c>
      <c r="J1564" s="392" t="s">
        <v>4990</v>
      </c>
      <c r="K1564" s="392" t="s">
        <v>2020</v>
      </c>
      <c r="L1564" s="392" t="s">
        <v>5854</v>
      </c>
      <c r="M1564" s="392" t="s">
        <v>7273</v>
      </c>
      <c r="N1564" s="392" t="s">
        <v>7273</v>
      </c>
      <c r="O1564" s="392" t="s">
        <v>7273</v>
      </c>
      <c r="P1564"/>
      <c r="Q1564"/>
      <c r="R1564" s="387">
        <f>VLOOKUP(E1564,'[1]NDB Impacted SPRFs 05032013'!$A$2:$A$65536,1,FALSE)</f>
        <v>400021898</v>
      </c>
    </row>
    <row r="1565" spans="1:21" s="159" customFormat="1" ht="30" customHeight="1" x14ac:dyDescent="0.25">
      <c r="A1565" s="63">
        <f>MATCH($E1565,'D1 - Master Project Table'!$B$24:$B$7056,0)</f>
        <v>2823</v>
      </c>
      <c r="B1565" s="63" t="b">
        <f t="shared" si="72"/>
        <v>0</v>
      </c>
      <c r="C1565" s="63" t="b">
        <f t="shared" si="73"/>
        <v>1</v>
      </c>
      <c r="D1565" s="63" t="str">
        <f t="shared" si="74"/>
        <v>OK</v>
      </c>
      <c r="E1565" s="393">
        <v>400025030</v>
      </c>
      <c r="F1565" s="392" t="s">
        <v>3830</v>
      </c>
      <c r="G1565" s="392" t="s">
        <v>5324</v>
      </c>
      <c r="H1565" s="392" t="s">
        <v>5314</v>
      </c>
      <c r="I1565" s="392" t="s">
        <v>1756</v>
      </c>
      <c r="J1565" s="392" t="s">
        <v>8496</v>
      </c>
      <c r="K1565" s="392" t="s">
        <v>5184</v>
      </c>
      <c r="L1565" s="392" t="s">
        <v>5170</v>
      </c>
      <c r="M1565" s="392" t="s">
        <v>7273</v>
      </c>
      <c r="N1565" s="392" t="s">
        <v>7273</v>
      </c>
      <c r="O1565" s="392" t="s">
        <v>7273</v>
      </c>
      <c r="P1565"/>
      <c r="Q1565"/>
      <c r="R1565" s="387">
        <f>VLOOKUP(E1565,'[1]NDB Impacted SPRFs 05032013'!$A$2:$A$65536,1,FALSE)</f>
        <v>400025030</v>
      </c>
    </row>
    <row r="1566" spans="1:21" s="159" customFormat="1" ht="30" x14ac:dyDescent="0.25">
      <c r="A1566" s="63">
        <f>MATCH($E1566,'D1 - Master Project Table'!$B$24:$B$7056,0)</f>
        <v>1165</v>
      </c>
      <c r="B1566" s="63" t="b">
        <f t="shared" si="72"/>
        <v>0</v>
      </c>
      <c r="C1566" s="63" t="b">
        <f t="shared" si="73"/>
        <v>1</v>
      </c>
      <c r="D1566" s="63" t="str">
        <f t="shared" si="74"/>
        <v>OK</v>
      </c>
      <c r="E1566" s="393">
        <v>400031646</v>
      </c>
      <c r="F1566" s="392" t="s">
        <v>3767</v>
      </c>
      <c r="G1566" s="392" t="s">
        <v>6322</v>
      </c>
      <c r="H1566" s="392" t="s">
        <v>7418</v>
      </c>
      <c r="I1566" s="392" t="s">
        <v>1812</v>
      </c>
      <c r="J1566" s="392" t="s">
        <v>1062</v>
      </c>
      <c r="K1566" s="392" t="s">
        <v>7164</v>
      </c>
      <c r="L1566" s="392" t="s">
        <v>3997</v>
      </c>
      <c r="M1566" s="392" t="s">
        <v>3758</v>
      </c>
      <c r="N1566" s="392" t="s">
        <v>7273</v>
      </c>
      <c r="O1566" s="392" t="s">
        <v>7273</v>
      </c>
      <c r="P1566"/>
      <c r="Q1566"/>
      <c r="R1566" s="387">
        <f>VLOOKUP(E1566,'[1]NDB Impacted SPRFs 05032013'!$A$2:$A$65536,1,FALSE)</f>
        <v>400031646</v>
      </c>
    </row>
    <row r="1567" spans="1:21" s="159" customFormat="1" ht="45" x14ac:dyDescent="0.25">
      <c r="A1567" s="63">
        <f>MATCH($E1567,'D1 - Master Project Table'!$B$24:$B$7056,0)</f>
        <v>1459</v>
      </c>
      <c r="B1567" s="63" t="b">
        <f t="shared" si="72"/>
        <v>0</v>
      </c>
      <c r="C1567" s="63" t="b">
        <f t="shared" si="73"/>
        <v>1</v>
      </c>
      <c r="D1567" s="63" t="str">
        <f t="shared" si="74"/>
        <v>OK</v>
      </c>
      <c r="E1567" s="393">
        <v>400039476</v>
      </c>
      <c r="F1567" s="392" t="s">
        <v>6938</v>
      </c>
      <c r="G1567" s="392" t="s">
        <v>5325</v>
      </c>
      <c r="H1567" s="392" t="s">
        <v>7418</v>
      </c>
      <c r="I1567" s="392" t="s">
        <v>1804</v>
      </c>
      <c r="J1567" s="392" t="s">
        <v>8281</v>
      </c>
      <c r="K1567" s="392" t="s">
        <v>3224</v>
      </c>
      <c r="L1567" s="392" t="s">
        <v>7923</v>
      </c>
      <c r="M1567" s="392" t="s">
        <v>7273</v>
      </c>
      <c r="N1567" s="392" t="s">
        <v>7273</v>
      </c>
      <c r="O1567" s="392" t="s">
        <v>7273</v>
      </c>
      <c r="P1567"/>
      <c r="Q1567"/>
      <c r="R1567" s="387">
        <f>VLOOKUP(E1567,'[1]NDB Impacted SPRFs 05032013'!$A$2:$A$65536,1,FALSE)</f>
        <v>400039476</v>
      </c>
    </row>
    <row r="1568" spans="1:21" ht="45" x14ac:dyDescent="0.25">
      <c r="A1568" s="63">
        <f>MATCH($E1568,'D1 - Master Project Table'!$B$24:$B$7056,0)</f>
        <v>3010</v>
      </c>
      <c r="B1568" s="63" t="b">
        <f t="shared" si="72"/>
        <v>0</v>
      </c>
      <c r="C1568" s="63" t="b">
        <f t="shared" si="73"/>
        <v>1</v>
      </c>
      <c r="D1568" s="63" t="str">
        <f t="shared" si="74"/>
        <v>OK</v>
      </c>
      <c r="E1568" s="393">
        <v>400039828</v>
      </c>
      <c r="F1568" s="392" t="s">
        <v>1567</v>
      </c>
      <c r="G1568" s="392" t="s">
        <v>5324</v>
      </c>
      <c r="H1568" s="392" t="s">
        <v>5314</v>
      </c>
      <c r="I1568" s="392" t="s">
        <v>1759</v>
      </c>
      <c r="J1568" s="392" t="s">
        <v>7368</v>
      </c>
      <c r="K1568" s="392" t="s">
        <v>7369</v>
      </c>
      <c r="L1568" s="392" t="s">
        <v>1568</v>
      </c>
      <c r="M1568" s="392" t="s">
        <v>7273</v>
      </c>
      <c r="N1568" s="392" t="s">
        <v>7273</v>
      </c>
      <c r="O1568" s="392" t="s">
        <v>7273</v>
      </c>
      <c r="P1568"/>
      <c r="Q1568"/>
      <c r="R1568" s="387">
        <f>VLOOKUP(E1568,'[1]NDB Impacted SPRFs 05032013'!$A$2:$A$65536,1,FALSE)</f>
        <v>400039828</v>
      </c>
    </row>
    <row r="1569" spans="1:21" ht="45" x14ac:dyDescent="0.25">
      <c r="A1569" s="63">
        <f>MATCH($E1569,'D1 - Master Project Table'!$B$24:$B$7056,0)</f>
        <v>3021</v>
      </c>
      <c r="B1569" s="63" t="b">
        <f t="shared" si="72"/>
        <v>0</v>
      </c>
      <c r="C1569" s="63" t="b">
        <f t="shared" si="73"/>
        <v>1</v>
      </c>
      <c r="D1569" s="63" t="str">
        <f t="shared" si="74"/>
        <v>OK</v>
      </c>
      <c r="E1569" s="393">
        <v>400040569</v>
      </c>
      <c r="F1569" s="392" t="s">
        <v>4545</v>
      </c>
      <c r="G1569" s="392" t="s">
        <v>5324</v>
      </c>
      <c r="H1569" s="392" t="s">
        <v>5314</v>
      </c>
      <c r="I1569" s="392" t="s">
        <v>1762</v>
      </c>
      <c r="J1569" s="392" t="s">
        <v>8408</v>
      </c>
      <c r="K1569" s="392" t="s">
        <v>6929</v>
      </c>
      <c r="L1569" s="392" t="s">
        <v>1474</v>
      </c>
      <c r="M1569" s="392" t="s">
        <v>7273</v>
      </c>
      <c r="N1569" s="392" t="s">
        <v>7273</v>
      </c>
      <c r="O1569" s="392" t="s">
        <v>7273</v>
      </c>
      <c r="P1569"/>
      <c r="Q1569"/>
      <c r="R1569" s="387">
        <f>VLOOKUP(E1569,'[1]NDB Impacted SPRFs 05032013'!$A$2:$A$65536,1,FALSE)</f>
        <v>400040569</v>
      </c>
    </row>
    <row r="1570" spans="1:21" ht="30" customHeight="1" x14ac:dyDescent="0.25">
      <c r="A1570" s="63">
        <f>MATCH($E1570,'D1 - Master Project Table'!$B$24:$B$7056,0)</f>
        <v>1966</v>
      </c>
      <c r="B1570" s="63" t="b">
        <f t="shared" si="72"/>
        <v>0</v>
      </c>
      <c r="C1570" s="63" t="b">
        <f t="shared" si="73"/>
        <v>1</v>
      </c>
      <c r="D1570" s="63" t="str">
        <f t="shared" si="74"/>
        <v>OK</v>
      </c>
      <c r="E1570" s="393">
        <v>400024505</v>
      </c>
      <c r="F1570" s="392" t="s">
        <v>3730</v>
      </c>
      <c r="G1570" s="392" t="s">
        <v>5324</v>
      </c>
      <c r="H1570" s="392" t="s">
        <v>7418</v>
      </c>
      <c r="I1570" s="392" t="s">
        <v>1763</v>
      </c>
      <c r="J1570" s="392" t="s">
        <v>8429</v>
      </c>
      <c r="K1570" s="392" t="s">
        <v>6221</v>
      </c>
      <c r="L1570" s="392" t="s">
        <v>812</v>
      </c>
      <c r="M1570" s="392" t="s">
        <v>3758</v>
      </c>
      <c r="N1570" s="392" t="s">
        <v>7273</v>
      </c>
      <c r="O1570" s="392" t="s">
        <v>7273</v>
      </c>
      <c r="P1570"/>
      <c r="Q1570"/>
      <c r="R1570" s="387">
        <f>VLOOKUP(E1570,'[1]NDB Impacted SPRFs 05032013'!$A$2:$A$65536,1,FALSE)</f>
        <v>400024505</v>
      </c>
    </row>
    <row r="1571" spans="1:21" s="159" customFormat="1" ht="30" x14ac:dyDescent="0.25">
      <c r="A1571" s="63">
        <f>MATCH($E1571,'D1 - Master Project Table'!$B$24:$B$7056,0)</f>
        <v>3009</v>
      </c>
      <c r="B1571" s="63" t="b">
        <f t="shared" si="72"/>
        <v>0</v>
      </c>
      <c r="C1571" s="63" t="b">
        <f t="shared" si="73"/>
        <v>1</v>
      </c>
      <c r="D1571" s="63" t="str">
        <f t="shared" si="74"/>
        <v>OK</v>
      </c>
      <c r="E1571" s="393">
        <v>400039666</v>
      </c>
      <c r="F1571" s="392" t="s">
        <v>4057</v>
      </c>
      <c r="G1571" s="392" t="s">
        <v>6322</v>
      </c>
      <c r="H1571" s="392" t="s">
        <v>5314</v>
      </c>
      <c r="I1571" s="392" t="s">
        <v>7594</v>
      </c>
      <c r="J1571" s="392" t="s">
        <v>4688</v>
      </c>
      <c r="K1571" s="392" t="s">
        <v>6600</v>
      </c>
      <c r="L1571" s="392" t="s">
        <v>5385</v>
      </c>
      <c r="M1571" s="392" t="s">
        <v>7273</v>
      </c>
      <c r="N1571" s="392" t="s">
        <v>7273</v>
      </c>
      <c r="O1571" s="392" t="s">
        <v>7273</v>
      </c>
      <c r="P1571"/>
      <c r="Q1571"/>
      <c r="R1571" s="387">
        <f>VLOOKUP(E1571,'[1]NDB Impacted SPRFs 05032013'!$A$2:$A$65536,1,FALSE)</f>
        <v>400039666</v>
      </c>
      <c r="S1571" s="128"/>
      <c r="T1571" s="128"/>
      <c r="U1571" s="128"/>
    </row>
    <row r="1572" spans="1:21" s="159" customFormat="1" ht="30" x14ac:dyDescent="0.25">
      <c r="A1572" s="63">
        <f>MATCH($E1572,'D1 - Master Project Table'!$B$24:$B$7056,0)</f>
        <v>2311</v>
      </c>
      <c r="B1572" s="63" t="b">
        <f t="shared" si="72"/>
        <v>0</v>
      </c>
      <c r="C1572" s="63" t="b">
        <f t="shared" si="73"/>
        <v>1</v>
      </c>
      <c r="D1572" s="63" t="str">
        <f t="shared" si="74"/>
        <v>OK</v>
      </c>
      <c r="E1572" s="393">
        <v>400041460</v>
      </c>
      <c r="F1572" s="392" t="s">
        <v>1480</v>
      </c>
      <c r="G1572" s="392" t="s">
        <v>5001</v>
      </c>
      <c r="H1572" s="392" t="s">
        <v>5314</v>
      </c>
      <c r="I1572" s="392" t="s">
        <v>3540</v>
      </c>
      <c r="J1572" s="392" t="s">
        <v>8780</v>
      </c>
      <c r="K1572" s="392" t="s">
        <v>7043</v>
      </c>
      <c r="L1572" s="392" t="s">
        <v>6314</v>
      </c>
      <c r="M1572" s="392" t="s">
        <v>7273</v>
      </c>
      <c r="N1572" s="392" t="s">
        <v>7273</v>
      </c>
      <c r="O1572" s="392" t="s">
        <v>7273</v>
      </c>
      <c r="P1572"/>
      <c r="Q1572"/>
      <c r="R1572" s="387">
        <f>VLOOKUP(E1572,'[1]NDB Impacted SPRFs 05032013'!$A$2:$A$65536,1,FALSE)</f>
        <v>400041460</v>
      </c>
      <c r="S1572" s="128"/>
      <c r="T1572" s="128"/>
      <c r="U1572" s="128"/>
    </row>
    <row r="1573" spans="1:21" ht="45" x14ac:dyDescent="0.25">
      <c r="A1573" s="63">
        <f>MATCH($E1573,'D1 - Master Project Table'!$B$24:$B$7056,0)</f>
        <v>3075</v>
      </c>
      <c r="B1573" s="63" t="b">
        <f t="shared" si="72"/>
        <v>0</v>
      </c>
      <c r="C1573" s="63" t="b">
        <f t="shared" si="73"/>
        <v>1</v>
      </c>
      <c r="D1573" s="63" t="str">
        <f t="shared" si="74"/>
        <v>OK</v>
      </c>
      <c r="E1573" s="393">
        <v>400046290</v>
      </c>
      <c r="F1573" s="392" t="s">
        <v>2667</v>
      </c>
      <c r="G1573" s="392" t="s">
        <v>5324</v>
      </c>
      <c r="H1573" s="392" t="s">
        <v>5314</v>
      </c>
      <c r="I1573" s="392" t="s">
        <v>1756</v>
      </c>
      <c r="J1573" s="392" t="s">
        <v>8411</v>
      </c>
      <c r="K1573" s="392" t="s">
        <v>1352</v>
      </c>
      <c r="L1573" s="392" t="s">
        <v>1353</v>
      </c>
      <c r="M1573" s="392" t="s">
        <v>7273</v>
      </c>
      <c r="N1573" s="392" t="s">
        <v>7273</v>
      </c>
      <c r="O1573" s="392" t="s">
        <v>7273</v>
      </c>
      <c r="P1573"/>
      <c r="Q1573"/>
      <c r="R1573" s="387">
        <f>VLOOKUP(E1573,'[1]NDB Impacted SPRFs 05032013'!$A$2:$A$65536,1,FALSE)</f>
        <v>400046290</v>
      </c>
      <c r="S1573" s="159"/>
      <c r="T1573" s="159"/>
      <c r="U1573" s="159"/>
    </row>
    <row r="1574" spans="1:21" s="159" customFormat="1" ht="45" x14ac:dyDescent="0.25">
      <c r="A1574" s="63">
        <f>MATCH($E1574,'D1 - Master Project Table'!$B$24:$B$7056,0)</f>
        <v>292</v>
      </c>
      <c r="B1574" s="63" t="b">
        <f t="shared" si="72"/>
        <v>0</v>
      </c>
      <c r="C1574" s="63" t="b">
        <f t="shared" si="73"/>
        <v>1</v>
      </c>
      <c r="D1574" s="63" t="str">
        <f t="shared" si="74"/>
        <v>OK</v>
      </c>
      <c r="E1574" s="393">
        <v>400000652</v>
      </c>
      <c r="F1574" s="392" t="s">
        <v>7994</v>
      </c>
      <c r="G1574" s="392" t="s">
        <v>5324</v>
      </c>
      <c r="H1574" s="392" t="s">
        <v>7418</v>
      </c>
      <c r="I1574" s="392" t="s">
        <v>1765</v>
      </c>
      <c r="J1574" s="392" t="s">
        <v>3843</v>
      </c>
      <c r="K1574" s="392" t="s">
        <v>2579</v>
      </c>
      <c r="L1574" s="392" t="s">
        <v>4723</v>
      </c>
      <c r="M1574" s="392" t="s">
        <v>3758</v>
      </c>
      <c r="N1574" s="392" t="s">
        <v>7273</v>
      </c>
      <c r="O1574" s="392" t="s">
        <v>7273</v>
      </c>
      <c r="P1574"/>
      <c r="Q1574"/>
      <c r="R1574" s="387">
        <f>VLOOKUP(E1574,'[1]NDB Impacted SPRFs 05032013'!$A$2:$A$65536,1,FALSE)</f>
        <v>400000652</v>
      </c>
    </row>
    <row r="1575" spans="1:21" s="159" customFormat="1" ht="45" x14ac:dyDescent="0.25">
      <c r="A1575" s="63">
        <f>MATCH($E1575,'D1 - Master Project Table'!$B$24:$B$7056,0)</f>
        <v>2717</v>
      </c>
      <c r="B1575" s="63" t="b">
        <f t="shared" si="72"/>
        <v>0</v>
      </c>
      <c r="C1575" s="63" t="b">
        <f t="shared" si="73"/>
        <v>1</v>
      </c>
      <c r="D1575" s="63" t="str">
        <f t="shared" si="74"/>
        <v>OK</v>
      </c>
      <c r="E1575" s="393">
        <v>400019061</v>
      </c>
      <c r="F1575" s="392" t="s">
        <v>3495</v>
      </c>
      <c r="G1575" s="392" t="s">
        <v>5324</v>
      </c>
      <c r="H1575" s="392" t="s">
        <v>7418</v>
      </c>
      <c r="I1575" s="392" t="s">
        <v>1758</v>
      </c>
      <c r="J1575" s="392" t="s">
        <v>8603</v>
      </c>
      <c r="K1575" s="392" t="s">
        <v>5572</v>
      </c>
      <c r="L1575" s="392" t="s">
        <v>7796</v>
      </c>
      <c r="M1575" s="392" t="s">
        <v>3758</v>
      </c>
      <c r="N1575" s="392" t="s">
        <v>7273</v>
      </c>
      <c r="O1575" s="392" t="s">
        <v>7273</v>
      </c>
      <c r="P1575"/>
      <c r="Q1575"/>
      <c r="R1575" s="387">
        <f>VLOOKUP(E1575,'[1]NDB Impacted SPRFs 05032013'!$A$2:$A$65536,1,FALSE)</f>
        <v>400019061</v>
      </c>
    </row>
    <row r="1576" spans="1:21" s="159" customFormat="1" ht="45" x14ac:dyDescent="0.25">
      <c r="A1576" s="63">
        <f>MATCH($E1576,'D1 - Master Project Table'!$B$24:$B$7056,0)</f>
        <v>2718</v>
      </c>
      <c r="B1576" s="63" t="b">
        <f t="shared" si="72"/>
        <v>0</v>
      </c>
      <c r="C1576" s="63" t="b">
        <f t="shared" si="73"/>
        <v>1</v>
      </c>
      <c r="D1576" s="63" t="str">
        <f t="shared" si="74"/>
        <v>OK</v>
      </c>
      <c r="E1576" s="393">
        <v>400019062</v>
      </c>
      <c r="F1576" s="392" t="s">
        <v>4348</v>
      </c>
      <c r="G1576" s="392" t="s">
        <v>5324</v>
      </c>
      <c r="H1576" s="392" t="s">
        <v>7418</v>
      </c>
      <c r="I1576" s="392" t="s">
        <v>1758</v>
      </c>
      <c r="J1576" s="392" t="s">
        <v>8603</v>
      </c>
      <c r="K1576" s="392" t="s">
        <v>5572</v>
      </c>
      <c r="L1576" s="392" t="s">
        <v>7796</v>
      </c>
      <c r="M1576" s="392" t="s">
        <v>3758</v>
      </c>
      <c r="N1576" s="392" t="s">
        <v>7273</v>
      </c>
      <c r="O1576" s="392" t="s">
        <v>7273</v>
      </c>
      <c r="P1576"/>
      <c r="Q1576"/>
      <c r="R1576" s="387">
        <f>VLOOKUP(E1576,'[1]NDB Impacted SPRFs 05032013'!$A$2:$A$65536,1,FALSE)</f>
        <v>400019062</v>
      </c>
      <c r="S1576" s="128"/>
      <c r="T1576" s="128"/>
      <c r="U1576" s="128"/>
    </row>
    <row r="1577" spans="1:21" s="160" customFormat="1" ht="30" x14ac:dyDescent="0.25">
      <c r="A1577" s="63">
        <f>MATCH($E1577,'D1 - Master Project Table'!$B$24:$B$7056,0)</f>
        <v>1968</v>
      </c>
      <c r="B1577" s="63" t="b">
        <f t="shared" si="72"/>
        <v>0</v>
      </c>
      <c r="C1577" s="63" t="b">
        <f t="shared" si="73"/>
        <v>1</v>
      </c>
      <c r="D1577" s="63" t="str">
        <f t="shared" si="74"/>
        <v>OK</v>
      </c>
      <c r="E1577" s="393">
        <v>400025370</v>
      </c>
      <c r="F1577" s="392" t="s">
        <v>2567</v>
      </c>
      <c r="G1577" s="392" t="s">
        <v>5001</v>
      </c>
      <c r="H1577" s="392" t="s">
        <v>5314</v>
      </c>
      <c r="I1577" s="392" t="s">
        <v>2657</v>
      </c>
      <c r="J1577" s="392" t="s">
        <v>8766</v>
      </c>
      <c r="K1577" s="392" t="s">
        <v>2568</v>
      </c>
      <c r="L1577" s="392" t="s">
        <v>3002</v>
      </c>
      <c r="M1577" s="392" t="s">
        <v>7273</v>
      </c>
      <c r="N1577" s="392" t="s">
        <v>7273</v>
      </c>
      <c r="O1577" s="392" t="s">
        <v>7273</v>
      </c>
      <c r="P1577"/>
      <c r="Q1577"/>
      <c r="R1577" s="387">
        <f>VLOOKUP(E1577,'[1]NDB Impacted SPRFs 05032013'!$A$2:$A$65536,1,FALSE)</f>
        <v>400025370</v>
      </c>
      <c r="S1577" s="159"/>
      <c r="T1577" s="159"/>
      <c r="U1577" s="159"/>
    </row>
    <row r="1578" spans="1:21" s="159" customFormat="1" ht="45" x14ac:dyDescent="0.25">
      <c r="A1578" s="63">
        <f>MATCH($E1578,'D1 - Master Project Table'!$B$24:$B$7056,0)</f>
        <v>2871</v>
      </c>
      <c r="B1578" s="63" t="b">
        <f t="shared" si="72"/>
        <v>0</v>
      </c>
      <c r="C1578" s="63" t="b">
        <f t="shared" si="73"/>
        <v>1</v>
      </c>
      <c r="D1578" s="63" t="str">
        <f t="shared" si="74"/>
        <v>OK</v>
      </c>
      <c r="E1578" s="393">
        <v>400028187</v>
      </c>
      <c r="F1578" s="392" t="s">
        <v>824</v>
      </c>
      <c r="G1578" s="392" t="s">
        <v>5324</v>
      </c>
      <c r="H1578" s="392" t="s">
        <v>5314</v>
      </c>
      <c r="I1578" s="392" t="s">
        <v>1756</v>
      </c>
      <c r="J1578" s="392" t="s">
        <v>3322</v>
      </c>
      <c r="K1578" s="392" t="s">
        <v>4006</v>
      </c>
      <c r="L1578" s="392" t="s">
        <v>825</v>
      </c>
      <c r="M1578" s="392" t="s">
        <v>7273</v>
      </c>
      <c r="N1578" s="392" t="s">
        <v>7273</v>
      </c>
      <c r="O1578" s="392" t="s">
        <v>7273</v>
      </c>
      <c r="P1578" s="158"/>
      <c r="Q1578" s="128"/>
      <c r="R1578" s="387">
        <f>VLOOKUP(E1578,'[1]NDB Impacted SPRFs 05032013'!$A$2:$A$65536,1,FALSE)</f>
        <v>400028187</v>
      </c>
      <c r="S1578" s="128"/>
      <c r="T1578" s="128"/>
      <c r="U1578" s="128"/>
    </row>
    <row r="1579" spans="1:21" s="159" customFormat="1" ht="45" x14ac:dyDescent="0.25">
      <c r="A1579" s="63">
        <f>MATCH($E1579,'D1 - Master Project Table'!$B$24:$B$7056,0)</f>
        <v>2876</v>
      </c>
      <c r="B1579" s="63" t="b">
        <f t="shared" si="72"/>
        <v>0</v>
      </c>
      <c r="C1579" s="63" t="b">
        <f t="shared" si="73"/>
        <v>1</v>
      </c>
      <c r="D1579" s="63" t="str">
        <f t="shared" si="74"/>
        <v>OK</v>
      </c>
      <c r="E1579" s="393">
        <v>400028636</v>
      </c>
      <c r="F1579" s="392" t="s">
        <v>6839</v>
      </c>
      <c r="G1579" s="392" t="s">
        <v>5324</v>
      </c>
      <c r="H1579" s="392" t="s">
        <v>5314</v>
      </c>
      <c r="I1579" s="392" t="s">
        <v>1759</v>
      </c>
      <c r="J1579" s="392" t="s">
        <v>6840</v>
      </c>
      <c r="K1579" s="392" t="s">
        <v>6005</v>
      </c>
      <c r="L1579" s="392" t="s">
        <v>3017</v>
      </c>
      <c r="M1579" s="392" t="s">
        <v>7273</v>
      </c>
      <c r="N1579" s="392" t="s">
        <v>7273</v>
      </c>
      <c r="O1579" s="392" t="s">
        <v>3758</v>
      </c>
      <c r="P1579" s="212"/>
      <c r="Q1579" s="212"/>
      <c r="R1579" s="387">
        <f>VLOOKUP(E1579,'[1]NDB Impacted SPRFs 05032013'!$A$2:$A$65536,1,FALSE)</f>
        <v>400028636</v>
      </c>
      <c r="S1579" s="128"/>
      <c r="T1579" s="128"/>
      <c r="U1579" s="128"/>
    </row>
    <row r="1580" spans="1:21" s="159" customFormat="1" ht="45" x14ac:dyDescent="0.25">
      <c r="A1580" s="63">
        <f>MATCH($E1580,'D1 - Master Project Table'!$B$24:$B$7056,0)</f>
        <v>1189</v>
      </c>
      <c r="B1580" s="63" t="b">
        <f t="shared" si="72"/>
        <v>0</v>
      </c>
      <c r="C1580" s="63" t="b">
        <f t="shared" si="73"/>
        <v>1</v>
      </c>
      <c r="D1580" s="63" t="str">
        <f t="shared" si="74"/>
        <v>OK</v>
      </c>
      <c r="E1580" s="393">
        <v>400032355</v>
      </c>
      <c r="F1580" s="392" t="s">
        <v>7160</v>
      </c>
      <c r="G1580" s="392" t="s">
        <v>5324</v>
      </c>
      <c r="H1580" s="392" t="s">
        <v>7418</v>
      </c>
      <c r="I1580" s="392" t="s">
        <v>1761</v>
      </c>
      <c r="J1580" s="392" t="s">
        <v>4990</v>
      </c>
      <c r="K1580" s="392" t="s">
        <v>7161</v>
      </c>
      <c r="L1580" s="392" t="s">
        <v>4876</v>
      </c>
      <c r="M1580" s="392" t="s">
        <v>7273</v>
      </c>
      <c r="N1580" s="392" t="s">
        <v>7273</v>
      </c>
      <c r="O1580" s="392" t="s">
        <v>7273</v>
      </c>
      <c r="P1580"/>
      <c r="Q1580"/>
      <c r="R1580" s="387">
        <f>VLOOKUP(E1580,'[1]NDB Impacted SPRFs 05032013'!$A$2:$A$65536,1,FALSE)</f>
        <v>400032355</v>
      </c>
    </row>
    <row r="1581" spans="1:21" ht="45" x14ac:dyDescent="0.25">
      <c r="A1581" s="63">
        <f>MATCH($E1581,'D1 - Master Project Table'!$B$24:$B$7056,0)</f>
        <v>2918</v>
      </c>
      <c r="B1581" s="63" t="b">
        <f t="shared" si="72"/>
        <v>0</v>
      </c>
      <c r="C1581" s="63" t="b">
        <f t="shared" si="73"/>
        <v>1</v>
      </c>
      <c r="D1581" s="63" t="str">
        <f t="shared" si="74"/>
        <v>OK</v>
      </c>
      <c r="E1581" s="393">
        <v>400032368</v>
      </c>
      <c r="F1581" s="392" t="s">
        <v>5291</v>
      </c>
      <c r="G1581" s="392" t="s">
        <v>5324</v>
      </c>
      <c r="H1581" s="392" t="s">
        <v>5314</v>
      </c>
      <c r="I1581" s="392" t="s">
        <v>1761</v>
      </c>
      <c r="J1581" s="392" t="s">
        <v>4990</v>
      </c>
      <c r="K1581" s="392" t="s">
        <v>5292</v>
      </c>
      <c r="L1581" s="392" t="s">
        <v>4876</v>
      </c>
      <c r="M1581" s="392" t="s">
        <v>7273</v>
      </c>
      <c r="N1581" s="392" t="s">
        <v>7273</v>
      </c>
      <c r="O1581" s="392" t="s">
        <v>7273</v>
      </c>
      <c r="P1581"/>
      <c r="Q1581"/>
      <c r="R1581" s="387">
        <f>VLOOKUP(E1581,'[1]NDB Impacted SPRFs 05032013'!$A$2:$A$65536,1,FALSE)</f>
        <v>400032368</v>
      </c>
      <c r="S1581" s="159"/>
      <c r="T1581" s="159"/>
      <c r="U1581" s="159"/>
    </row>
    <row r="1582" spans="1:21" s="159" customFormat="1" ht="45" x14ac:dyDescent="0.25">
      <c r="A1582" s="63">
        <f>MATCH($E1582,'D1 - Master Project Table'!$B$24:$B$7056,0)</f>
        <v>1234</v>
      </c>
      <c r="B1582" s="63" t="b">
        <f t="shared" si="72"/>
        <v>0</v>
      </c>
      <c r="C1582" s="63" t="b">
        <f t="shared" si="73"/>
        <v>1</v>
      </c>
      <c r="D1582" s="63" t="str">
        <f t="shared" si="74"/>
        <v>OK</v>
      </c>
      <c r="E1582" s="393">
        <v>400033837</v>
      </c>
      <c r="F1582" s="392" t="s">
        <v>4021</v>
      </c>
      <c r="G1582" s="392" t="s">
        <v>5324</v>
      </c>
      <c r="H1582" s="392" t="s">
        <v>7418</v>
      </c>
      <c r="I1582" s="392" t="s">
        <v>1761</v>
      </c>
      <c r="J1582" s="392" t="s">
        <v>4990</v>
      </c>
      <c r="K1582" s="392" t="s">
        <v>7161</v>
      </c>
      <c r="L1582" s="392" t="s">
        <v>4876</v>
      </c>
      <c r="M1582" s="392" t="s">
        <v>7273</v>
      </c>
      <c r="N1582" s="392" t="s">
        <v>7273</v>
      </c>
      <c r="O1582" s="392" t="s">
        <v>7273</v>
      </c>
      <c r="P1582"/>
      <c r="Q1582"/>
      <c r="R1582" s="387">
        <f>VLOOKUP(E1582,'[1]NDB Impacted SPRFs 05032013'!$A$2:$A$65536,1,FALSE)</f>
        <v>400033837</v>
      </c>
    </row>
    <row r="1583" spans="1:21" s="159" customFormat="1" ht="30" x14ac:dyDescent="0.25">
      <c r="A1583" s="63">
        <f>MATCH($E1583,'D1 - Master Project Table'!$B$24:$B$7056,0)</f>
        <v>2037</v>
      </c>
      <c r="B1583" s="63" t="b">
        <f t="shared" si="72"/>
        <v>0</v>
      </c>
      <c r="C1583" s="63" t="b">
        <f t="shared" si="73"/>
        <v>1</v>
      </c>
      <c r="D1583" s="63" t="str">
        <f t="shared" si="74"/>
        <v>OK</v>
      </c>
      <c r="E1583" s="393">
        <v>400049870</v>
      </c>
      <c r="F1583" s="392" t="s">
        <v>2763</v>
      </c>
      <c r="G1583" s="392" t="s">
        <v>2041</v>
      </c>
      <c r="H1583" s="392" t="s">
        <v>7418</v>
      </c>
      <c r="I1583" s="392" t="s">
        <v>3629</v>
      </c>
      <c r="J1583" s="392" t="s">
        <v>8789</v>
      </c>
      <c r="K1583" s="392" t="s">
        <v>2764</v>
      </c>
      <c r="L1583" s="392" t="s">
        <v>2142</v>
      </c>
      <c r="M1583" s="392" t="s">
        <v>7273</v>
      </c>
      <c r="N1583" s="392" t="s">
        <v>7273</v>
      </c>
      <c r="O1583" s="392" t="s">
        <v>7273</v>
      </c>
      <c r="P1583"/>
      <c r="Q1583"/>
      <c r="R1583" s="387">
        <f>VLOOKUP(E1583,'[1]NDB Impacted SPRFs 05032013'!$A$2:$A$65536,1,FALSE)</f>
        <v>400049870</v>
      </c>
    </row>
    <row r="1584" spans="1:21" s="159" customFormat="1" ht="60" customHeight="1" x14ac:dyDescent="0.25">
      <c r="A1584" s="63" t="e">
        <f>MATCH($E1584,'D1 - Master Project Table'!$B$24:$B$7056,0)</f>
        <v>#N/A</v>
      </c>
      <c r="B1584" s="63" t="b">
        <f t="shared" ref="B1584:B1647" si="75">ISERROR(A1584)</f>
        <v>1</v>
      </c>
      <c r="C1584" s="63" t="b">
        <f t="shared" si="73"/>
        <v>1</v>
      </c>
      <c r="D1584" s="63" t="str">
        <f t="shared" si="74"/>
        <v>OK</v>
      </c>
      <c r="E1584" s="393">
        <v>201291557</v>
      </c>
      <c r="F1584" s="392" t="s">
        <v>5452</v>
      </c>
      <c r="G1584" s="392" t="s">
        <v>5787</v>
      </c>
      <c r="H1584" s="392" t="s">
        <v>7418</v>
      </c>
      <c r="I1584" s="392" t="s">
        <v>1777</v>
      </c>
      <c r="J1584" s="392" t="s">
        <v>8669</v>
      </c>
      <c r="K1584" s="392" t="s">
        <v>1978</v>
      </c>
      <c r="L1584" s="392" t="s">
        <v>6894</v>
      </c>
      <c r="M1584" s="392" t="s">
        <v>3758</v>
      </c>
      <c r="N1584" s="392" t="s">
        <v>7273</v>
      </c>
      <c r="O1584" s="392" t="s">
        <v>7273</v>
      </c>
      <c r="P1584"/>
      <c r="Q1584"/>
      <c r="R1584" s="387">
        <f>VLOOKUP(E1584,'[1]NDB Impacted SPRFs 05032013'!$A$2:$A$65536,1,FALSE)</f>
        <v>201291557</v>
      </c>
      <c r="S1584" s="128"/>
      <c r="T1584" s="128"/>
      <c r="U1584" s="128"/>
    </row>
    <row r="1585" spans="1:21" s="159" customFormat="1" ht="30" x14ac:dyDescent="0.25">
      <c r="A1585" s="63" t="e">
        <f>MATCH($E1585,'D1 - Master Project Table'!$B$24:$B$7056,0)</f>
        <v>#N/A</v>
      </c>
      <c r="B1585" s="63" t="b">
        <f t="shared" si="75"/>
        <v>1</v>
      </c>
      <c r="C1585" s="63" t="b">
        <f t="shared" si="73"/>
        <v>1</v>
      </c>
      <c r="D1585" s="63" t="str">
        <f t="shared" si="74"/>
        <v>OK</v>
      </c>
      <c r="E1585" s="393">
        <v>400000058</v>
      </c>
      <c r="F1585" s="392" t="s">
        <v>8077</v>
      </c>
      <c r="G1585" s="392" t="s">
        <v>5787</v>
      </c>
      <c r="H1585" s="392" t="s">
        <v>5314</v>
      </c>
      <c r="I1585" s="392" t="s">
        <v>1817</v>
      </c>
      <c r="J1585" s="392" t="s">
        <v>8460</v>
      </c>
      <c r="K1585" s="392" t="s">
        <v>3885</v>
      </c>
      <c r="L1585" s="392" t="s">
        <v>4654</v>
      </c>
      <c r="M1585" s="392" t="s">
        <v>3758</v>
      </c>
      <c r="N1585" s="392" t="s">
        <v>7273</v>
      </c>
      <c r="O1585" s="392" t="s">
        <v>7273</v>
      </c>
      <c r="P1585"/>
      <c r="Q1585"/>
      <c r="R1585" s="387">
        <f>VLOOKUP(E1585,'[1]NDB Impacted SPRFs 05032013'!$A$2:$A$65536,1,FALSE)</f>
        <v>400000058</v>
      </c>
    </row>
    <row r="1586" spans="1:21" s="159" customFormat="1" ht="45" customHeight="1" x14ac:dyDescent="0.25">
      <c r="A1586" s="63" t="e">
        <f>MATCH($E1586,'D1 - Master Project Table'!$B$24:$B$7056,0)</f>
        <v>#N/A</v>
      </c>
      <c r="B1586" s="63" t="b">
        <f t="shared" si="75"/>
        <v>1</v>
      </c>
      <c r="C1586" s="63" t="b">
        <f t="shared" si="73"/>
        <v>1</v>
      </c>
      <c r="D1586" s="63" t="str">
        <f t="shared" si="74"/>
        <v>OK</v>
      </c>
      <c r="E1586" s="393">
        <v>400000282</v>
      </c>
      <c r="F1586" s="392" t="s">
        <v>2876</v>
      </c>
      <c r="G1586" s="392" t="s">
        <v>5787</v>
      </c>
      <c r="H1586" s="392" t="s">
        <v>7418</v>
      </c>
      <c r="I1586" s="392" t="s">
        <v>6903</v>
      </c>
      <c r="J1586" s="392" t="s">
        <v>8670</v>
      </c>
      <c r="K1586" s="392" t="s">
        <v>6941</v>
      </c>
      <c r="L1586" s="392" t="s">
        <v>1965</v>
      </c>
      <c r="M1586" s="392" t="s">
        <v>7273</v>
      </c>
      <c r="N1586" s="392" t="s">
        <v>7273</v>
      </c>
      <c r="O1586" s="392" t="s">
        <v>7273</v>
      </c>
      <c r="P1586"/>
      <c r="Q1586"/>
      <c r="R1586" s="387">
        <f>VLOOKUP(E1586,'[1]NDB Impacted SPRFs 05032013'!$A$2:$A$65536,1,FALSE)</f>
        <v>400000282</v>
      </c>
      <c r="S1586" s="128"/>
      <c r="T1586" s="128"/>
      <c r="U1586" s="128"/>
    </row>
    <row r="1587" spans="1:21" s="159" customFormat="1" ht="45" x14ac:dyDescent="0.25">
      <c r="A1587" s="63">
        <f>MATCH($E1587,'D1 - Master Project Table'!$B$24:$B$7056,0)</f>
        <v>2259</v>
      </c>
      <c r="B1587" s="63" t="b">
        <f t="shared" si="75"/>
        <v>0</v>
      </c>
      <c r="C1587" s="63" t="b">
        <f t="shared" si="73"/>
        <v>1</v>
      </c>
      <c r="D1587" s="63" t="str">
        <f t="shared" si="74"/>
        <v>OK</v>
      </c>
      <c r="E1587" s="393">
        <v>400032480</v>
      </c>
      <c r="F1587" s="392" t="s">
        <v>5495</v>
      </c>
      <c r="G1587" s="392" t="s">
        <v>5324</v>
      </c>
      <c r="H1587" s="392" t="s">
        <v>7418</v>
      </c>
      <c r="I1587" s="392" t="s">
        <v>1758</v>
      </c>
      <c r="J1587" s="392" t="s">
        <v>8277</v>
      </c>
      <c r="K1587" s="392" t="s">
        <v>7459</v>
      </c>
      <c r="L1587" s="392" t="s">
        <v>5207</v>
      </c>
      <c r="M1587" s="392" t="s">
        <v>3758</v>
      </c>
      <c r="N1587" s="392" t="s">
        <v>7273</v>
      </c>
      <c r="O1587" s="392" t="s">
        <v>7273</v>
      </c>
      <c r="P1587"/>
      <c r="Q1587"/>
      <c r="R1587" s="387">
        <f>VLOOKUP(E1587,'[1]NDB Impacted SPRFs 05032013'!$A$2:$A$65536,1,FALSE)</f>
        <v>400032480</v>
      </c>
    </row>
    <row r="1588" spans="1:21" ht="45" x14ac:dyDescent="0.25">
      <c r="A1588" s="63">
        <f>MATCH($E1588,'D1 - Master Project Table'!$B$24:$B$7056,0)</f>
        <v>2946</v>
      </c>
      <c r="B1588" s="63" t="b">
        <f t="shared" si="75"/>
        <v>0</v>
      </c>
      <c r="C1588" s="63" t="b">
        <f t="shared" si="73"/>
        <v>1</v>
      </c>
      <c r="D1588" s="63" t="str">
        <f t="shared" si="74"/>
        <v>OK</v>
      </c>
      <c r="E1588" s="393">
        <v>400034719</v>
      </c>
      <c r="F1588" s="392" t="s">
        <v>655</v>
      </c>
      <c r="G1588" s="392" t="s">
        <v>5324</v>
      </c>
      <c r="H1588" s="392" t="s">
        <v>5314</v>
      </c>
      <c r="I1588" s="392" t="s">
        <v>1759</v>
      </c>
      <c r="J1588" s="392" t="s">
        <v>6840</v>
      </c>
      <c r="K1588" s="392" t="s">
        <v>7111</v>
      </c>
      <c r="L1588" s="392" t="s">
        <v>656</v>
      </c>
      <c r="M1588" s="392" t="s">
        <v>7273</v>
      </c>
      <c r="N1588" s="392" t="s">
        <v>7273</v>
      </c>
      <c r="O1588" s="392" t="s">
        <v>3758</v>
      </c>
      <c r="P1588"/>
      <c r="Q1588"/>
      <c r="R1588" s="387">
        <f>VLOOKUP(E1588,'[1]NDB Impacted SPRFs 05032013'!$A$2:$A$65536,1,FALSE)</f>
        <v>400034719</v>
      </c>
      <c r="S1588" s="159"/>
      <c r="T1588" s="159"/>
      <c r="U1588" s="159"/>
    </row>
    <row r="1589" spans="1:21" s="159" customFormat="1" ht="45" x14ac:dyDescent="0.25">
      <c r="A1589" s="63" t="e">
        <f>MATCH($E1589,'D1 - Master Project Table'!$B$24:$B$7056,0)</f>
        <v>#N/A</v>
      </c>
      <c r="B1589" s="63" t="b">
        <f t="shared" si="75"/>
        <v>1</v>
      </c>
      <c r="C1589" s="63" t="b">
        <f t="shared" si="73"/>
        <v>1</v>
      </c>
      <c r="D1589" s="63" t="str">
        <f t="shared" si="74"/>
        <v>OK</v>
      </c>
      <c r="E1589" s="393">
        <v>400000854</v>
      </c>
      <c r="F1589" s="392" t="s">
        <v>5885</v>
      </c>
      <c r="G1589" s="392" t="s">
        <v>5324</v>
      </c>
      <c r="H1589" s="392" t="s">
        <v>7418</v>
      </c>
      <c r="I1589" s="392" t="s">
        <v>1784</v>
      </c>
      <c r="J1589" s="392" t="s">
        <v>6439</v>
      </c>
      <c r="K1589" s="392" t="s">
        <v>4749</v>
      </c>
      <c r="L1589" s="392" t="s">
        <v>6474</v>
      </c>
      <c r="M1589" s="392" t="s">
        <v>7273</v>
      </c>
      <c r="N1589" s="392" t="s">
        <v>7273</v>
      </c>
      <c r="O1589" s="392" t="s">
        <v>7273</v>
      </c>
      <c r="P1589"/>
      <c r="Q1589"/>
      <c r="R1589" s="387">
        <f>VLOOKUP(E1589,'[1]NDB Impacted SPRFs 05032013'!$A$2:$A$65536,1,FALSE)</f>
        <v>400000854</v>
      </c>
      <c r="S1589" s="128"/>
      <c r="T1589" s="128"/>
      <c r="U1589" s="128"/>
    </row>
    <row r="1590" spans="1:21" s="159" customFormat="1" ht="45" x14ac:dyDescent="0.25">
      <c r="A1590" s="63" t="e">
        <f>MATCH($E1590,'D1 - Master Project Table'!$B$24:$B$7056,0)</f>
        <v>#N/A</v>
      </c>
      <c r="B1590" s="63" t="b">
        <f t="shared" si="75"/>
        <v>1</v>
      </c>
      <c r="C1590" s="63" t="b">
        <f t="shared" si="73"/>
        <v>1</v>
      </c>
      <c r="D1590" s="63" t="str">
        <f t="shared" si="74"/>
        <v>OK</v>
      </c>
      <c r="E1590" s="393">
        <v>400003173</v>
      </c>
      <c r="F1590" s="392" t="s">
        <v>6400</v>
      </c>
      <c r="G1590" s="392" t="s">
        <v>5324</v>
      </c>
      <c r="H1590" s="392" t="s">
        <v>7418</v>
      </c>
      <c r="I1590" s="392" t="s">
        <v>1765</v>
      </c>
      <c r="J1590" s="392" t="s">
        <v>8453</v>
      </c>
      <c r="K1590" s="392" t="s">
        <v>2944</v>
      </c>
      <c r="L1590" s="392" t="s">
        <v>5794</v>
      </c>
      <c r="M1590" s="392" t="s">
        <v>7273</v>
      </c>
      <c r="N1590" s="392" t="s">
        <v>7273</v>
      </c>
      <c r="O1590" s="392" t="s">
        <v>7273</v>
      </c>
      <c r="P1590"/>
      <c r="Q1590"/>
      <c r="R1590" s="387">
        <f>VLOOKUP(E1590,'[1]NDB Impacted SPRFs 05032013'!$A$2:$A$65536,1,FALSE)</f>
        <v>400003173</v>
      </c>
    </row>
    <row r="1591" spans="1:21" s="159" customFormat="1" ht="45" x14ac:dyDescent="0.25">
      <c r="A1591" s="63">
        <f>MATCH($E1591,'D1 - Master Project Table'!$B$24:$B$7056,0)</f>
        <v>2435</v>
      </c>
      <c r="B1591" s="63" t="b">
        <f t="shared" si="75"/>
        <v>0</v>
      </c>
      <c r="C1591" s="63" t="b">
        <f t="shared" si="73"/>
        <v>1</v>
      </c>
      <c r="D1591" s="63" t="str">
        <f t="shared" si="74"/>
        <v>OK</v>
      </c>
      <c r="E1591" s="393">
        <v>400003614</v>
      </c>
      <c r="F1591" s="392" t="s">
        <v>7231</v>
      </c>
      <c r="G1591" s="392" t="s">
        <v>5324</v>
      </c>
      <c r="H1591" s="392" t="s">
        <v>5314</v>
      </c>
      <c r="I1591" s="392" t="s">
        <v>1765</v>
      </c>
      <c r="J1591" s="392" t="s">
        <v>8272</v>
      </c>
      <c r="K1591" s="392" t="s">
        <v>5988</v>
      </c>
      <c r="L1591" s="392" t="s">
        <v>7084</v>
      </c>
      <c r="M1591" s="392" t="s">
        <v>3758</v>
      </c>
      <c r="N1591" s="392" t="s">
        <v>7273</v>
      </c>
      <c r="O1591" s="392" t="s">
        <v>7273</v>
      </c>
      <c r="P1591"/>
      <c r="Q1591"/>
      <c r="R1591" s="387">
        <f>VLOOKUP(E1591,'[1]NDB Impacted SPRFs 05032013'!$A$2:$A$65536,1,FALSE)</f>
        <v>400003614</v>
      </c>
    </row>
    <row r="1592" spans="1:21" ht="30" x14ac:dyDescent="0.25">
      <c r="A1592" s="63">
        <f>MATCH($E1592,'D1 - Master Project Table'!$B$24:$B$7056,0)</f>
        <v>436</v>
      </c>
      <c r="B1592" s="63" t="b">
        <f t="shared" si="75"/>
        <v>0</v>
      </c>
      <c r="C1592" s="63" t="b">
        <f t="shared" si="73"/>
        <v>1</v>
      </c>
      <c r="D1592" s="63" t="str">
        <f t="shared" si="74"/>
        <v>OK</v>
      </c>
      <c r="E1592" s="393">
        <v>400008044</v>
      </c>
      <c r="F1592" s="392" t="s">
        <v>4632</v>
      </c>
      <c r="G1592" s="392" t="s">
        <v>5787</v>
      </c>
      <c r="H1592" s="392" t="s">
        <v>7418</v>
      </c>
      <c r="I1592" s="392" t="s">
        <v>1775</v>
      </c>
      <c r="J1592" s="392" t="s">
        <v>4997</v>
      </c>
      <c r="K1592" s="392" t="s">
        <v>2523</v>
      </c>
      <c r="L1592" s="392" t="s">
        <v>6908</v>
      </c>
      <c r="M1592" s="392" t="s">
        <v>7273</v>
      </c>
      <c r="N1592" s="392" t="s">
        <v>7273</v>
      </c>
      <c r="O1592" s="392" t="s">
        <v>7273</v>
      </c>
      <c r="P1592"/>
      <c r="Q1592"/>
      <c r="R1592" s="387">
        <f>VLOOKUP(E1592,'[1]NDB Impacted SPRFs 05032013'!$A$2:$A$65536,1,FALSE)</f>
        <v>400008044</v>
      </c>
      <c r="S1592" s="159"/>
      <c r="T1592" s="159"/>
      <c r="U1592" s="159"/>
    </row>
    <row r="1593" spans="1:21" s="159" customFormat="1" ht="45" x14ac:dyDescent="0.25">
      <c r="A1593" s="63">
        <f>MATCH($E1593,'D1 - Master Project Table'!$B$24:$B$7056,0)</f>
        <v>669</v>
      </c>
      <c r="B1593" s="63" t="b">
        <f t="shared" si="75"/>
        <v>0</v>
      </c>
      <c r="C1593" s="63" t="b">
        <f t="shared" si="73"/>
        <v>1</v>
      </c>
      <c r="D1593" s="63" t="str">
        <f t="shared" si="74"/>
        <v>OK</v>
      </c>
      <c r="E1593" s="393">
        <v>400010920</v>
      </c>
      <c r="F1593" s="392" t="s">
        <v>7598</v>
      </c>
      <c r="G1593" s="392" t="s">
        <v>5324</v>
      </c>
      <c r="H1593" s="392" t="s">
        <v>7418</v>
      </c>
      <c r="I1593" s="392" t="s">
        <v>1762</v>
      </c>
      <c r="J1593" s="392" t="s">
        <v>2251</v>
      </c>
      <c r="K1593" s="392" t="s">
        <v>5159</v>
      </c>
      <c r="L1593" s="392" t="s">
        <v>6886</v>
      </c>
      <c r="M1593" s="392" t="s">
        <v>3758</v>
      </c>
      <c r="N1593" s="392" t="s">
        <v>7273</v>
      </c>
      <c r="O1593" s="392" t="s">
        <v>7273</v>
      </c>
      <c r="P1593"/>
      <c r="Q1593"/>
      <c r="R1593" s="387">
        <f>VLOOKUP(E1593,'[1]NDB Impacted SPRFs 05032013'!$A$2:$A$65536,1,FALSE)</f>
        <v>400010920</v>
      </c>
    </row>
    <row r="1594" spans="1:21" s="159" customFormat="1" ht="45" x14ac:dyDescent="0.25">
      <c r="A1594" s="63">
        <f>MATCH($E1594,'D1 - Master Project Table'!$B$24:$B$7056,0)</f>
        <v>501</v>
      </c>
      <c r="B1594" s="63" t="b">
        <f t="shared" si="75"/>
        <v>0</v>
      </c>
      <c r="C1594" s="63" t="b">
        <f t="shared" si="73"/>
        <v>1</v>
      </c>
      <c r="D1594" s="63" t="str">
        <f t="shared" si="74"/>
        <v>OK</v>
      </c>
      <c r="E1594" s="393">
        <v>400012117</v>
      </c>
      <c r="F1594" s="392" t="s">
        <v>6075</v>
      </c>
      <c r="G1594" s="392" t="s">
        <v>5324</v>
      </c>
      <c r="H1594" s="392" t="s">
        <v>7418</v>
      </c>
      <c r="I1594" s="392" t="s">
        <v>1756</v>
      </c>
      <c r="J1594" s="392" t="s">
        <v>8394</v>
      </c>
      <c r="K1594" s="392" t="s">
        <v>5004</v>
      </c>
      <c r="L1594" s="392" t="s">
        <v>5251</v>
      </c>
      <c r="M1594" s="392" t="s">
        <v>3758</v>
      </c>
      <c r="N1594" s="392" t="s">
        <v>7273</v>
      </c>
      <c r="O1594" s="392" t="s">
        <v>3758</v>
      </c>
      <c r="P1594"/>
      <c r="Q1594"/>
      <c r="R1594" s="387">
        <f>VLOOKUP(E1594,'[1]NDB Impacted SPRFs 05032013'!$A$2:$A$65536,1,FALSE)</f>
        <v>400012117</v>
      </c>
    </row>
    <row r="1595" spans="1:21" s="159" customFormat="1" ht="45" x14ac:dyDescent="0.25">
      <c r="A1595" s="63">
        <f>MATCH($E1595,'D1 - Master Project Table'!$B$24:$B$7056,0)</f>
        <v>1809</v>
      </c>
      <c r="B1595" s="63" t="b">
        <f t="shared" si="75"/>
        <v>0</v>
      </c>
      <c r="C1595" s="63" t="b">
        <f t="shared" si="73"/>
        <v>0</v>
      </c>
      <c r="D1595" s="63" t="str">
        <f t="shared" si="74"/>
        <v>OK</v>
      </c>
      <c r="E1595" s="393">
        <v>400049913</v>
      </c>
      <c r="F1595" s="392" t="s">
        <v>415</v>
      </c>
      <c r="G1595" s="392" t="s">
        <v>5324</v>
      </c>
      <c r="H1595" s="392" t="s">
        <v>4917</v>
      </c>
      <c r="I1595" s="392" t="s">
        <v>1757</v>
      </c>
      <c r="J1595" s="392" t="s">
        <v>1586</v>
      </c>
      <c r="K1595" s="392" t="s">
        <v>4462</v>
      </c>
      <c r="L1595" s="392" t="s">
        <v>884</v>
      </c>
      <c r="M1595" s="392" t="s">
        <v>7273</v>
      </c>
      <c r="N1595" s="392" t="s">
        <v>7273</v>
      </c>
      <c r="O1595" s="392" t="s">
        <v>7273</v>
      </c>
      <c r="P1595"/>
      <c r="Q1595"/>
      <c r="R1595" s="387">
        <f>VLOOKUP(E1595,'[1]NDB Impacted SPRFs 05032013'!$A$2:$A$65536,1,FALSE)</f>
        <v>400049913</v>
      </c>
    </row>
    <row r="1596" spans="1:21" s="159" customFormat="1" ht="45" x14ac:dyDescent="0.25">
      <c r="A1596" s="63">
        <f>MATCH($E1596,'D1 - Master Project Table'!$B$24:$B$7056,0)</f>
        <v>167</v>
      </c>
      <c r="B1596" s="63" t="b">
        <f t="shared" si="75"/>
        <v>0</v>
      </c>
      <c r="C1596" s="63" t="b">
        <f t="shared" si="73"/>
        <v>0</v>
      </c>
      <c r="D1596" s="63" t="str">
        <f t="shared" si="74"/>
        <v>OK</v>
      </c>
      <c r="E1596" s="393">
        <v>400057529</v>
      </c>
      <c r="F1596" s="392" t="s">
        <v>72</v>
      </c>
      <c r="G1596" s="392" t="s">
        <v>5324</v>
      </c>
      <c r="H1596" s="392" t="s">
        <v>4917</v>
      </c>
      <c r="I1596" s="392" t="s">
        <v>1786</v>
      </c>
      <c r="J1596" s="392" t="s">
        <v>9323</v>
      </c>
      <c r="K1596" s="392" t="s">
        <v>4169</v>
      </c>
      <c r="L1596" s="392" t="s">
        <v>9413</v>
      </c>
      <c r="M1596" s="392" t="s">
        <v>7273</v>
      </c>
      <c r="N1596" s="392" t="s">
        <v>7273</v>
      </c>
      <c r="O1596" s="392" t="s">
        <v>7273</v>
      </c>
      <c r="P1596" s="158"/>
      <c r="Q1596" s="128"/>
      <c r="R1596" s="387">
        <f>VLOOKUP(E1596,'[1]NDB Impacted SPRFs 05032013'!$A$2:$A$65536,1,FALSE)</f>
        <v>400057529</v>
      </c>
      <c r="S1596" s="128"/>
      <c r="T1596" s="128"/>
      <c r="U1596" s="128"/>
    </row>
    <row r="1597" spans="1:21" s="159" customFormat="1" ht="45" x14ac:dyDescent="0.25">
      <c r="A1597" s="63">
        <f>MATCH($E1597,'D1 - Master Project Table'!$B$24:$B$7056,0)</f>
        <v>2366</v>
      </c>
      <c r="B1597" s="63" t="b">
        <f t="shared" si="75"/>
        <v>0</v>
      </c>
      <c r="C1597" s="63" t="b">
        <f t="shared" si="73"/>
        <v>1</v>
      </c>
      <c r="D1597" s="63" t="str">
        <f t="shared" si="74"/>
        <v>OK</v>
      </c>
      <c r="E1597" s="393">
        <v>400000594</v>
      </c>
      <c r="F1597" s="392" t="s">
        <v>2992</v>
      </c>
      <c r="G1597" s="392" t="s">
        <v>5324</v>
      </c>
      <c r="H1597" s="392" t="s">
        <v>5314</v>
      </c>
      <c r="I1597" s="392" t="s">
        <v>1806</v>
      </c>
      <c r="J1597" s="392" t="s">
        <v>8536</v>
      </c>
      <c r="K1597" s="392" t="s">
        <v>2523</v>
      </c>
      <c r="L1597" s="392" t="s">
        <v>3686</v>
      </c>
      <c r="M1597" s="392" t="s">
        <v>7273</v>
      </c>
      <c r="N1597" s="392" t="s">
        <v>7273</v>
      </c>
      <c r="O1597" s="392" t="s">
        <v>7273</v>
      </c>
      <c r="P1597"/>
      <c r="Q1597"/>
      <c r="R1597" s="387">
        <f>VLOOKUP(E1597,'[1]NDB Impacted SPRFs 05032013'!$A$2:$A$65536,1,FALSE)</f>
        <v>400000594</v>
      </c>
    </row>
    <row r="1598" spans="1:21" ht="45" x14ac:dyDescent="0.25">
      <c r="A1598" s="63">
        <f>MATCH($E1598,'D1 - Master Project Table'!$B$24:$B$7056,0)</f>
        <v>2406</v>
      </c>
      <c r="B1598" s="63" t="b">
        <f t="shared" si="75"/>
        <v>0</v>
      </c>
      <c r="C1598" s="63" t="b">
        <f t="shared" si="73"/>
        <v>1</v>
      </c>
      <c r="D1598" s="63" t="str">
        <f t="shared" si="74"/>
        <v>OK</v>
      </c>
      <c r="E1598" s="393">
        <v>400002644</v>
      </c>
      <c r="F1598" s="392" t="s">
        <v>4358</v>
      </c>
      <c r="G1598" s="392" t="s">
        <v>5324</v>
      </c>
      <c r="H1598" s="392" t="s">
        <v>5314</v>
      </c>
      <c r="I1598" s="392" t="s">
        <v>1765</v>
      </c>
      <c r="J1598" s="392" t="s">
        <v>8348</v>
      </c>
      <c r="K1598" s="392" t="s">
        <v>4169</v>
      </c>
      <c r="L1598" s="392" t="s">
        <v>4359</v>
      </c>
      <c r="M1598" s="392" t="s">
        <v>7273</v>
      </c>
      <c r="N1598" s="392" t="s">
        <v>7273</v>
      </c>
      <c r="O1598" s="392" t="s">
        <v>7273</v>
      </c>
      <c r="P1598"/>
      <c r="Q1598"/>
      <c r="R1598" s="387">
        <f>VLOOKUP(E1598,'[1]NDB Impacted SPRFs 05032013'!$A$2:$A$65536,1,FALSE)</f>
        <v>400002644</v>
      </c>
      <c r="S1598" s="159"/>
      <c r="T1598" s="159"/>
      <c r="U1598" s="159"/>
    </row>
    <row r="1599" spans="1:21" ht="45" x14ac:dyDescent="0.25">
      <c r="A1599" s="63">
        <f>MATCH($E1599,'D1 - Master Project Table'!$B$24:$B$7056,0)</f>
        <v>2752</v>
      </c>
      <c r="B1599" s="63" t="b">
        <f t="shared" si="75"/>
        <v>0</v>
      </c>
      <c r="C1599" s="63" t="b">
        <f t="shared" si="73"/>
        <v>1</v>
      </c>
      <c r="D1599" s="63" t="str">
        <f t="shared" si="74"/>
        <v>OK</v>
      </c>
      <c r="E1599" s="393">
        <v>400021175</v>
      </c>
      <c r="F1599" s="392" t="s">
        <v>1509</v>
      </c>
      <c r="G1599" s="392" t="s">
        <v>5324</v>
      </c>
      <c r="H1599" s="392" t="s">
        <v>5314</v>
      </c>
      <c r="I1599" s="392" t="s">
        <v>1757</v>
      </c>
      <c r="J1599" s="392" t="s">
        <v>8384</v>
      </c>
      <c r="K1599" s="392" t="s">
        <v>1510</v>
      </c>
      <c r="L1599" s="392" t="s">
        <v>6660</v>
      </c>
      <c r="M1599" s="392" t="s">
        <v>7273</v>
      </c>
      <c r="N1599" s="392" t="s">
        <v>7273</v>
      </c>
      <c r="O1599" s="392" t="s">
        <v>7273</v>
      </c>
      <c r="P1599"/>
      <c r="Q1599"/>
      <c r="R1599" s="387">
        <f>VLOOKUP(E1599,'[1]NDB Impacted SPRFs 05032013'!$A$2:$A$65536,1,FALSE)</f>
        <v>400021175</v>
      </c>
    </row>
    <row r="1600" spans="1:21" s="159" customFormat="1" ht="45" x14ac:dyDescent="0.25">
      <c r="A1600" s="63">
        <f>MATCH($E1600,'D1 - Master Project Table'!$B$24:$B$7056,0)</f>
        <v>1082</v>
      </c>
      <c r="B1600" s="63" t="b">
        <f t="shared" si="75"/>
        <v>0</v>
      </c>
      <c r="C1600" s="63" t="b">
        <f t="shared" si="73"/>
        <v>1</v>
      </c>
      <c r="D1600" s="63" t="str">
        <f t="shared" si="74"/>
        <v>OK</v>
      </c>
      <c r="E1600" s="393">
        <v>400027694</v>
      </c>
      <c r="F1600" s="392" t="s">
        <v>6184</v>
      </c>
      <c r="G1600" s="392" t="s">
        <v>5324</v>
      </c>
      <c r="H1600" s="392" t="s">
        <v>7418</v>
      </c>
      <c r="I1600" s="392" t="s">
        <v>1761</v>
      </c>
      <c r="J1600" s="392" t="s">
        <v>4822</v>
      </c>
      <c r="K1600" s="392" t="s">
        <v>6185</v>
      </c>
      <c r="L1600" s="392" t="s">
        <v>2120</v>
      </c>
      <c r="M1600" s="392" t="s">
        <v>7273</v>
      </c>
      <c r="N1600" s="392" t="s">
        <v>7273</v>
      </c>
      <c r="O1600" s="392" t="s">
        <v>7273</v>
      </c>
      <c r="P1600"/>
      <c r="Q1600"/>
      <c r="R1600" s="387">
        <f>VLOOKUP(E1600,'[1]NDB Impacted SPRFs 05032013'!$A$2:$A$65536,1,FALSE)</f>
        <v>400027694</v>
      </c>
      <c r="S1600" s="128"/>
      <c r="T1600" s="128"/>
      <c r="U1600" s="128"/>
    </row>
    <row r="1601" spans="1:21" s="159" customFormat="1" ht="45" x14ac:dyDescent="0.25">
      <c r="A1601" s="63">
        <f>MATCH($E1601,'D1 - Master Project Table'!$B$24:$B$7056,0)</f>
        <v>744</v>
      </c>
      <c r="B1601" s="63" t="b">
        <f t="shared" si="75"/>
        <v>0</v>
      </c>
      <c r="C1601" s="63" t="b">
        <f t="shared" si="73"/>
        <v>1</v>
      </c>
      <c r="D1601" s="63" t="str">
        <f t="shared" si="74"/>
        <v>OK</v>
      </c>
      <c r="E1601" s="393">
        <v>400013760</v>
      </c>
      <c r="F1601" s="392" t="s">
        <v>6904</v>
      </c>
      <c r="G1601" s="392" t="s">
        <v>5324</v>
      </c>
      <c r="H1601" s="392" t="s">
        <v>7418</v>
      </c>
      <c r="I1601" s="392" t="s">
        <v>1756</v>
      </c>
      <c r="J1601" s="392" t="s">
        <v>8596</v>
      </c>
      <c r="K1601" s="392" t="s">
        <v>8087</v>
      </c>
      <c r="L1601" s="392" t="s">
        <v>4574</v>
      </c>
      <c r="M1601" s="392" t="s">
        <v>3758</v>
      </c>
      <c r="N1601" s="392" t="s">
        <v>7273</v>
      </c>
      <c r="O1601" s="392" t="s">
        <v>7273</v>
      </c>
      <c r="P1601"/>
      <c r="Q1601"/>
      <c r="R1601" s="387">
        <f>VLOOKUP(E1601,'[1]NDB Impacted SPRFs 05032013'!$A$2:$A$65536,1,FALSE)</f>
        <v>400013760</v>
      </c>
    </row>
    <row r="1602" spans="1:21" s="159" customFormat="1" ht="45" x14ac:dyDescent="0.25">
      <c r="A1602" s="63">
        <f>MATCH($E1602,'D1 - Master Project Table'!$B$24:$B$7056,0)</f>
        <v>1607</v>
      </c>
      <c r="B1602" s="63" t="b">
        <f t="shared" si="75"/>
        <v>0</v>
      </c>
      <c r="C1602" s="63" t="b">
        <f t="shared" si="73"/>
        <v>1</v>
      </c>
      <c r="D1602" s="63" t="str">
        <f t="shared" si="74"/>
        <v>OK</v>
      </c>
      <c r="E1602" s="393">
        <v>400042330</v>
      </c>
      <c r="F1602" s="392" t="s">
        <v>2728</v>
      </c>
      <c r="G1602" s="392" t="s">
        <v>5324</v>
      </c>
      <c r="H1602" s="392" t="s">
        <v>7418</v>
      </c>
      <c r="I1602" s="392" t="s">
        <v>1763</v>
      </c>
      <c r="J1602" s="392" t="s">
        <v>8370</v>
      </c>
      <c r="K1602" s="392" t="s">
        <v>2729</v>
      </c>
      <c r="L1602" s="392" t="s">
        <v>806</v>
      </c>
      <c r="M1602" s="392" t="s">
        <v>3758</v>
      </c>
      <c r="N1602" s="392" t="s">
        <v>7273</v>
      </c>
      <c r="O1602" s="392" t="s">
        <v>7273</v>
      </c>
      <c r="P1602"/>
      <c r="Q1602"/>
      <c r="R1602" s="387">
        <f>VLOOKUP(E1602,'[1]NDB Impacted SPRFs 05032013'!$A$2:$A$65536,1,FALSE)</f>
        <v>400042330</v>
      </c>
    </row>
    <row r="1603" spans="1:21" s="159" customFormat="1" ht="30" x14ac:dyDescent="0.25">
      <c r="A1603" s="63">
        <f>MATCH($E1603,'D1 - Master Project Table'!$B$24:$B$7056,0)</f>
        <v>407</v>
      </c>
      <c r="B1603" s="63" t="b">
        <f t="shared" si="75"/>
        <v>0</v>
      </c>
      <c r="C1603" s="63" t="b">
        <f t="shared" si="73"/>
        <v>1</v>
      </c>
      <c r="D1603" s="63" t="str">
        <f t="shared" si="74"/>
        <v>OK</v>
      </c>
      <c r="E1603" s="393">
        <v>400007802</v>
      </c>
      <c r="F1603" s="392" t="s">
        <v>4636</v>
      </c>
      <c r="G1603" s="392" t="s">
        <v>5787</v>
      </c>
      <c r="H1603" s="392" t="s">
        <v>7418</v>
      </c>
      <c r="I1603" s="392" t="s">
        <v>1776</v>
      </c>
      <c r="J1603" s="392" t="s">
        <v>4110</v>
      </c>
      <c r="K1603" s="392" t="s">
        <v>7341</v>
      </c>
      <c r="L1603" s="392" t="s">
        <v>7027</v>
      </c>
      <c r="M1603" s="392" t="s">
        <v>7273</v>
      </c>
      <c r="N1603" s="392" t="s">
        <v>7273</v>
      </c>
      <c r="O1603" s="392" t="s">
        <v>7273</v>
      </c>
      <c r="P1603"/>
      <c r="Q1603"/>
      <c r="R1603" s="387">
        <f>VLOOKUP(E1603,'[1]NDB Impacted SPRFs 05032013'!$A$2:$A$65536,1,FALSE)</f>
        <v>400007802</v>
      </c>
      <c r="S1603" s="128"/>
      <c r="T1603" s="128"/>
      <c r="U1603" s="128"/>
    </row>
    <row r="1604" spans="1:21" s="159" customFormat="1" ht="45" x14ac:dyDescent="0.25">
      <c r="A1604" s="63">
        <f>MATCH($E1604,'D1 - Master Project Table'!$B$24:$B$7056,0)</f>
        <v>932</v>
      </c>
      <c r="B1604" s="63" t="b">
        <f t="shared" si="75"/>
        <v>0</v>
      </c>
      <c r="C1604" s="63" t="b">
        <f t="shared" si="73"/>
        <v>1</v>
      </c>
      <c r="D1604" s="63" t="str">
        <f t="shared" si="74"/>
        <v>OK</v>
      </c>
      <c r="E1604" s="393">
        <v>400015245</v>
      </c>
      <c r="F1604" s="392" t="s">
        <v>6874</v>
      </c>
      <c r="G1604" s="392" t="s">
        <v>5324</v>
      </c>
      <c r="H1604" s="392" t="s">
        <v>7418</v>
      </c>
      <c r="I1604" s="392" t="s">
        <v>1763</v>
      </c>
      <c r="J1604" s="392" t="s">
        <v>8589</v>
      </c>
      <c r="K1604" s="392" t="s">
        <v>3634</v>
      </c>
      <c r="L1604" s="392" t="s">
        <v>7783</v>
      </c>
      <c r="M1604" s="392" t="s">
        <v>7273</v>
      </c>
      <c r="N1604" s="392" t="s">
        <v>7273</v>
      </c>
      <c r="O1604" s="392" t="s">
        <v>7273</v>
      </c>
      <c r="P1604"/>
      <c r="Q1604"/>
      <c r="R1604" s="387">
        <f>VLOOKUP(E1604,'[1]NDB Impacted SPRFs 05032013'!$A$2:$A$65536,1,FALSE)</f>
        <v>400015245</v>
      </c>
    </row>
    <row r="1605" spans="1:21" s="159" customFormat="1" ht="45" x14ac:dyDescent="0.25">
      <c r="A1605" s="63">
        <f>MATCH($E1605,'D1 - Master Project Table'!$B$24:$B$7056,0)</f>
        <v>771</v>
      </c>
      <c r="B1605" s="63" t="b">
        <f t="shared" si="75"/>
        <v>0</v>
      </c>
      <c r="C1605" s="63" t="b">
        <f t="shared" si="73"/>
        <v>1</v>
      </c>
      <c r="D1605" s="63" t="str">
        <f t="shared" si="74"/>
        <v>OK</v>
      </c>
      <c r="E1605" s="393">
        <v>400016013</v>
      </c>
      <c r="F1605" s="392" t="s">
        <v>2574</v>
      </c>
      <c r="G1605" s="392" t="s">
        <v>5324</v>
      </c>
      <c r="H1605" s="392" t="s">
        <v>7418</v>
      </c>
      <c r="I1605" s="392" t="s">
        <v>1764</v>
      </c>
      <c r="J1605" s="392" t="s">
        <v>8302</v>
      </c>
      <c r="K1605" s="392" t="s">
        <v>6371</v>
      </c>
      <c r="L1605" s="392" t="s">
        <v>8955</v>
      </c>
      <c r="M1605" s="392" t="s">
        <v>7273</v>
      </c>
      <c r="N1605" s="392" t="s">
        <v>7273</v>
      </c>
      <c r="O1605" s="392" t="s">
        <v>7273</v>
      </c>
      <c r="P1605"/>
      <c r="Q1605"/>
      <c r="R1605" s="387">
        <f>VLOOKUP(E1605,'[1]NDB Impacted SPRFs 05032013'!$A$2:$A$65536,1,FALSE)</f>
        <v>400016013</v>
      </c>
    </row>
    <row r="1606" spans="1:21" s="159" customFormat="1" ht="45" x14ac:dyDescent="0.25">
      <c r="A1606" s="63">
        <f>MATCH($E1606,'D1 - Master Project Table'!$B$24:$B$7056,0)</f>
        <v>2727</v>
      </c>
      <c r="B1606" s="63" t="b">
        <f t="shared" si="75"/>
        <v>0</v>
      </c>
      <c r="C1606" s="63" t="b">
        <f t="shared" ref="C1606:C1669" si="76">OR(H1606="Completed",H1606="Cancelled")</f>
        <v>1</v>
      </c>
      <c r="D1606" s="63" t="str">
        <f t="shared" ref="D1606:D1669" si="77">IF(AND(B1606=TRUE,C1606=FALSE),"Add","OK")</f>
        <v>OK</v>
      </c>
      <c r="E1606" s="393">
        <v>400019657</v>
      </c>
      <c r="F1606" s="392" t="s">
        <v>4381</v>
      </c>
      <c r="G1606" s="392" t="s">
        <v>5324</v>
      </c>
      <c r="H1606" s="392" t="s">
        <v>5314</v>
      </c>
      <c r="I1606" s="392" t="s">
        <v>1763</v>
      </c>
      <c r="J1606" s="392" t="s">
        <v>8302</v>
      </c>
      <c r="K1606" s="392" t="s">
        <v>6530</v>
      </c>
      <c r="L1606" s="392" t="s">
        <v>7783</v>
      </c>
      <c r="M1606" s="392" t="s">
        <v>7273</v>
      </c>
      <c r="N1606" s="392" t="s">
        <v>7273</v>
      </c>
      <c r="O1606" s="392" t="s">
        <v>7273</v>
      </c>
      <c r="P1606"/>
      <c r="Q1606"/>
      <c r="R1606" s="387">
        <f>VLOOKUP(E1606,'[1]NDB Impacted SPRFs 05032013'!$A$2:$A$65536,1,FALSE)</f>
        <v>400019657</v>
      </c>
    </row>
    <row r="1607" spans="1:21" ht="60" customHeight="1" x14ac:dyDescent="0.25">
      <c r="A1607" s="63">
        <f>MATCH($E1607,'D1 - Master Project Table'!$B$24:$B$7056,0)</f>
        <v>2837</v>
      </c>
      <c r="B1607" s="63" t="b">
        <f t="shared" si="75"/>
        <v>0</v>
      </c>
      <c r="C1607" s="63" t="b">
        <f t="shared" si="76"/>
        <v>1</v>
      </c>
      <c r="D1607" s="63" t="str">
        <f t="shared" si="77"/>
        <v>OK</v>
      </c>
      <c r="E1607" s="393">
        <v>400025767</v>
      </c>
      <c r="F1607" s="392" t="s">
        <v>5439</v>
      </c>
      <c r="G1607" s="392" t="s">
        <v>5324</v>
      </c>
      <c r="H1607" s="392" t="s">
        <v>5314</v>
      </c>
      <c r="I1607" s="392" t="s">
        <v>1763</v>
      </c>
      <c r="J1607" s="392" t="s">
        <v>4474</v>
      </c>
      <c r="K1607" s="392" t="s">
        <v>7590</v>
      </c>
      <c r="L1607" s="392" t="s">
        <v>6000</v>
      </c>
      <c r="M1607" s="392" t="s">
        <v>3758</v>
      </c>
      <c r="N1607" s="392" t="s">
        <v>7273</v>
      </c>
      <c r="O1607" s="392" t="s">
        <v>7273</v>
      </c>
      <c r="P1607"/>
      <c r="Q1607"/>
      <c r="R1607" s="387">
        <f>VLOOKUP(E1607,'[1]NDB Impacted SPRFs 05032013'!$A$2:$A$65536,1,FALSE)</f>
        <v>400025767</v>
      </c>
      <c r="S1607" s="159"/>
      <c r="T1607" s="159"/>
      <c r="U1607" s="159"/>
    </row>
    <row r="1608" spans="1:21" s="159" customFormat="1" ht="45" x14ac:dyDescent="0.25">
      <c r="A1608" s="63">
        <f>MATCH($E1608,'D1 - Master Project Table'!$B$24:$B$7056,0)</f>
        <v>1065</v>
      </c>
      <c r="B1608" s="63" t="b">
        <f t="shared" si="75"/>
        <v>0</v>
      </c>
      <c r="C1608" s="63" t="b">
        <f t="shared" si="76"/>
        <v>1</v>
      </c>
      <c r="D1608" s="63" t="str">
        <f t="shared" si="77"/>
        <v>OK</v>
      </c>
      <c r="E1608" s="393">
        <v>400028352</v>
      </c>
      <c r="F1608" s="392" t="s">
        <v>7635</v>
      </c>
      <c r="G1608" s="392" t="s">
        <v>5324</v>
      </c>
      <c r="H1608" s="392" t="s">
        <v>7418</v>
      </c>
      <c r="I1608" s="392" t="s">
        <v>1763</v>
      </c>
      <c r="J1608" s="392" t="s">
        <v>8422</v>
      </c>
      <c r="K1608" s="392" t="s">
        <v>3283</v>
      </c>
      <c r="L1608" s="392" t="s">
        <v>2056</v>
      </c>
      <c r="M1608" s="392" t="s">
        <v>7273</v>
      </c>
      <c r="N1608" s="392" t="s">
        <v>7273</v>
      </c>
      <c r="O1608" s="392" t="s">
        <v>7273</v>
      </c>
      <c r="P1608"/>
      <c r="Q1608"/>
      <c r="R1608" s="387">
        <f>VLOOKUP(E1608,'[1]NDB Impacted SPRFs 05032013'!$A$2:$A$65536,1,FALSE)</f>
        <v>400028352</v>
      </c>
    </row>
    <row r="1609" spans="1:21" s="159" customFormat="1" ht="45" x14ac:dyDescent="0.25">
      <c r="A1609" s="63">
        <f>MATCH($E1609,'D1 - Master Project Table'!$B$24:$B$7056,0)</f>
        <v>2323</v>
      </c>
      <c r="B1609" s="63" t="b">
        <f t="shared" si="75"/>
        <v>0</v>
      </c>
      <c r="C1609" s="63" t="b">
        <f t="shared" si="76"/>
        <v>1</v>
      </c>
      <c r="D1609" s="63" t="str">
        <f t="shared" si="77"/>
        <v>OK</v>
      </c>
      <c r="E1609" s="393">
        <v>400051359</v>
      </c>
      <c r="F1609" s="392" t="s">
        <v>2148</v>
      </c>
      <c r="G1609" s="392" t="s">
        <v>5324</v>
      </c>
      <c r="H1609" s="392" t="s">
        <v>5314</v>
      </c>
      <c r="I1609" s="392" t="s">
        <v>1786</v>
      </c>
      <c r="J1609" s="392" t="s">
        <v>8465</v>
      </c>
      <c r="K1609" s="392" t="s">
        <v>2149</v>
      </c>
      <c r="L1609" s="392" t="s">
        <v>681</v>
      </c>
      <c r="M1609" s="392" t="s">
        <v>7273</v>
      </c>
      <c r="N1609" s="392" t="s">
        <v>7273</v>
      </c>
      <c r="O1609" s="392" t="s">
        <v>3758</v>
      </c>
      <c r="P1609"/>
      <c r="Q1609"/>
      <c r="R1609" s="387">
        <f>VLOOKUP(E1609,'[1]NDB Impacted SPRFs 05032013'!$A$2:$A$65536,1,FALSE)</f>
        <v>400051359</v>
      </c>
    </row>
    <row r="1610" spans="1:21" s="159" customFormat="1" ht="60" x14ac:dyDescent="0.25">
      <c r="A1610" s="63">
        <f>MATCH($E1610,'D1 - Master Project Table'!$B$24:$B$7056,0)</f>
        <v>242</v>
      </c>
      <c r="B1610" s="63" t="b">
        <f t="shared" si="75"/>
        <v>0</v>
      </c>
      <c r="C1610" s="63" t="b">
        <f t="shared" si="76"/>
        <v>0</v>
      </c>
      <c r="D1610" s="63" t="str">
        <f t="shared" si="77"/>
        <v>OK</v>
      </c>
      <c r="E1610" s="393">
        <v>400057748</v>
      </c>
      <c r="F1610" s="392" t="s">
        <v>7658</v>
      </c>
      <c r="G1610" s="392" t="s">
        <v>5324</v>
      </c>
      <c r="H1610" s="392" t="s">
        <v>3555</v>
      </c>
      <c r="I1610" s="392" t="s">
        <v>862</v>
      </c>
      <c r="J1610" s="392" t="s">
        <v>8325</v>
      </c>
      <c r="K1610" s="392" t="s">
        <v>5607</v>
      </c>
      <c r="L1610" s="392" t="s">
        <v>7659</v>
      </c>
      <c r="M1610" s="392" t="s">
        <v>7273</v>
      </c>
      <c r="N1610" s="392" t="s">
        <v>7273</v>
      </c>
      <c r="O1610" s="392" t="s">
        <v>7273</v>
      </c>
      <c r="P1610"/>
      <c r="Q1610"/>
      <c r="R1610" s="387">
        <f>VLOOKUP(E1610,'[1]NDB Impacted SPRFs 05032013'!$A$2:$A$65536,1,FALSE)</f>
        <v>400057748</v>
      </c>
    </row>
    <row r="1611" spans="1:21" s="159" customFormat="1" ht="30" customHeight="1" x14ac:dyDescent="0.25">
      <c r="A1611" s="63">
        <f>MATCH($E1611,'D1 - Master Project Table'!$B$24:$B$7056,0)</f>
        <v>284</v>
      </c>
      <c r="B1611" s="63" t="b">
        <f t="shared" si="75"/>
        <v>0</v>
      </c>
      <c r="C1611" s="63" t="b">
        <f t="shared" si="76"/>
        <v>1</v>
      </c>
      <c r="D1611" s="63" t="str">
        <f t="shared" si="77"/>
        <v>OK</v>
      </c>
      <c r="E1611" s="393">
        <v>400000337</v>
      </c>
      <c r="F1611" s="392" t="s">
        <v>7207</v>
      </c>
      <c r="G1611" s="392" t="s">
        <v>5787</v>
      </c>
      <c r="H1611" s="392" t="s">
        <v>7418</v>
      </c>
      <c r="I1611" s="392" t="s">
        <v>1821</v>
      </c>
      <c r="J1611" s="392" t="s">
        <v>8684</v>
      </c>
      <c r="K1611" s="392" t="s">
        <v>1978</v>
      </c>
      <c r="L1611" s="392" t="s">
        <v>4068</v>
      </c>
      <c r="M1611" s="392" t="s">
        <v>7273</v>
      </c>
      <c r="N1611" s="392" t="s">
        <v>7273</v>
      </c>
      <c r="O1611" s="392" t="s">
        <v>7273</v>
      </c>
      <c r="P1611"/>
      <c r="Q1611"/>
      <c r="R1611" s="387">
        <f>VLOOKUP(E1611,'[1]NDB Impacted SPRFs 05032013'!$A$2:$A$65536,1,FALSE)</f>
        <v>400000337</v>
      </c>
    </row>
    <row r="1612" spans="1:21" s="159" customFormat="1" ht="45" x14ac:dyDescent="0.25">
      <c r="A1612" s="63">
        <f>MATCH($E1612,'D1 - Master Project Table'!$B$24:$B$7056,0)</f>
        <v>323</v>
      </c>
      <c r="B1612" s="63" t="b">
        <f t="shared" si="75"/>
        <v>0</v>
      </c>
      <c r="C1612" s="63" t="b">
        <f t="shared" si="76"/>
        <v>1</v>
      </c>
      <c r="D1612" s="63" t="str">
        <f t="shared" si="77"/>
        <v>OK</v>
      </c>
      <c r="E1612" s="393">
        <v>400003960</v>
      </c>
      <c r="F1612" s="392" t="s">
        <v>7788</v>
      </c>
      <c r="G1612" s="392" t="s">
        <v>5787</v>
      </c>
      <c r="H1612" s="392" t="s">
        <v>7418</v>
      </c>
      <c r="I1612" s="392" t="s">
        <v>1774</v>
      </c>
      <c r="J1612" s="392" t="s">
        <v>5865</v>
      </c>
      <c r="K1612" s="392" t="s">
        <v>6860</v>
      </c>
      <c r="L1612" s="392" t="s">
        <v>7333</v>
      </c>
      <c r="M1612" s="392" t="s">
        <v>3758</v>
      </c>
      <c r="N1612" s="392" t="s">
        <v>7273</v>
      </c>
      <c r="O1612" s="392" t="s">
        <v>7273</v>
      </c>
      <c r="P1612"/>
      <c r="Q1612"/>
      <c r="R1612" s="387">
        <f>VLOOKUP(E1612,'[1]NDB Impacted SPRFs 05032013'!$A$2:$A$65536,1,FALSE)</f>
        <v>400003960</v>
      </c>
    </row>
    <row r="1613" spans="1:21" s="159" customFormat="1" ht="45" x14ac:dyDescent="0.25">
      <c r="A1613" s="63">
        <f>MATCH($E1613,'D1 - Master Project Table'!$B$24:$B$7056,0)</f>
        <v>2491</v>
      </c>
      <c r="B1613" s="63" t="b">
        <f t="shared" si="75"/>
        <v>0</v>
      </c>
      <c r="C1613" s="63" t="b">
        <f t="shared" si="76"/>
        <v>1</v>
      </c>
      <c r="D1613" s="63" t="str">
        <f t="shared" si="77"/>
        <v>OK</v>
      </c>
      <c r="E1613" s="393">
        <v>400006132</v>
      </c>
      <c r="F1613" s="392" t="s">
        <v>5782</v>
      </c>
      <c r="G1613" s="392" t="s">
        <v>5787</v>
      </c>
      <c r="H1613" s="392" t="s">
        <v>5314</v>
      </c>
      <c r="I1613" s="392" t="s">
        <v>1772</v>
      </c>
      <c r="J1613" s="392" t="s">
        <v>8711</v>
      </c>
      <c r="K1613" s="392" t="s">
        <v>5024</v>
      </c>
      <c r="L1613" s="392" t="s">
        <v>4080</v>
      </c>
      <c r="M1613" s="392" t="s">
        <v>3758</v>
      </c>
      <c r="N1613" s="392" t="s">
        <v>7273</v>
      </c>
      <c r="O1613" s="392" t="s">
        <v>7273</v>
      </c>
      <c r="P1613"/>
      <c r="Q1613"/>
      <c r="R1613" s="387">
        <f>VLOOKUP(E1613,'[1]NDB Impacted SPRFs 05032013'!$A$2:$A$65536,1,FALSE)</f>
        <v>400006132</v>
      </c>
      <c r="S1613" s="128"/>
      <c r="T1613" s="128"/>
      <c r="U1613" s="128"/>
    </row>
    <row r="1614" spans="1:21" s="159" customFormat="1" ht="45" x14ac:dyDescent="0.25">
      <c r="A1614" s="63">
        <f>MATCH($E1614,'D1 - Master Project Table'!$B$24:$B$7056,0)</f>
        <v>2183</v>
      </c>
      <c r="B1614" s="63" t="b">
        <f t="shared" si="75"/>
        <v>0</v>
      </c>
      <c r="C1614" s="63" t="b">
        <f t="shared" si="76"/>
        <v>1</v>
      </c>
      <c r="D1614" s="63" t="str">
        <f t="shared" si="77"/>
        <v>OK</v>
      </c>
      <c r="E1614" s="393">
        <v>400009763</v>
      </c>
      <c r="F1614" s="392" t="s">
        <v>5053</v>
      </c>
      <c r="G1614" s="392" t="s">
        <v>5324</v>
      </c>
      <c r="H1614" s="392" t="s">
        <v>5314</v>
      </c>
      <c r="I1614" s="392" t="s">
        <v>1764</v>
      </c>
      <c r="J1614" s="392" t="s">
        <v>8300</v>
      </c>
      <c r="K1614" s="392" t="s">
        <v>5713</v>
      </c>
      <c r="L1614" s="392" t="s">
        <v>742</v>
      </c>
      <c r="M1614" s="392" t="s">
        <v>7273</v>
      </c>
      <c r="N1614" s="392" t="s">
        <v>7273</v>
      </c>
      <c r="O1614" s="392" t="s">
        <v>7273</v>
      </c>
      <c r="P1614"/>
      <c r="Q1614"/>
      <c r="R1614" s="387">
        <f>VLOOKUP(E1614,'[1]NDB Impacted SPRFs 05032013'!$A$2:$A$65536,1,FALSE)</f>
        <v>400009763</v>
      </c>
      <c r="S1614" s="128"/>
      <c r="T1614" s="128"/>
      <c r="U1614" s="128"/>
    </row>
    <row r="1615" spans="1:21" s="159" customFormat="1" ht="30" x14ac:dyDescent="0.25">
      <c r="A1615" s="63">
        <f>MATCH($E1615,'D1 - Master Project Table'!$B$24:$B$7056,0)</f>
        <v>523</v>
      </c>
      <c r="B1615" s="63" t="b">
        <f t="shared" si="75"/>
        <v>0</v>
      </c>
      <c r="C1615" s="63" t="b">
        <f t="shared" si="76"/>
        <v>1</v>
      </c>
      <c r="D1615" s="63" t="str">
        <f t="shared" si="77"/>
        <v>OK</v>
      </c>
      <c r="E1615" s="393">
        <v>400010988</v>
      </c>
      <c r="F1615" s="392" t="s">
        <v>6436</v>
      </c>
      <c r="G1615" s="392" t="s">
        <v>3441</v>
      </c>
      <c r="H1615" s="392" t="s">
        <v>7418</v>
      </c>
      <c r="I1615" s="392" t="s">
        <v>1769</v>
      </c>
      <c r="J1615" s="392" t="s">
        <v>8300</v>
      </c>
      <c r="K1615" s="392" t="s">
        <v>6899</v>
      </c>
      <c r="L1615" s="392" t="s">
        <v>3281</v>
      </c>
      <c r="M1615" s="392" t="s">
        <v>7273</v>
      </c>
      <c r="N1615" s="392" t="s">
        <v>7273</v>
      </c>
      <c r="O1615" s="392" t="s">
        <v>7273</v>
      </c>
      <c r="P1615"/>
      <c r="Q1615"/>
      <c r="R1615" s="387">
        <f>VLOOKUP(E1615,'[1]NDB Impacted SPRFs 05032013'!$A$2:$A$65536,1,FALSE)</f>
        <v>400010988</v>
      </c>
    </row>
    <row r="1616" spans="1:21" ht="45" x14ac:dyDescent="0.25">
      <c r="A1616" s="63">
        <f>MATCH($E1616,'D1 - Master Project Table'!$B$24:$B$7056,0)</f>
        <v>1004</v>
      </c>
      <c r="B1616" s="63" t="b">
        <f t="shared" si="75"/>
        <v>0</v>
      </c>
      <c r="C1616" s="63" t="b">
        <f t="shared" si="76"/>
        <v>1</v>
      </c>
      <c r="D1616" s="63" t="str">
        <f t="shared" si="77"/>
        <v>OK</v>
      </c>
      <c r="E1616" s="393">
        <v>400015853</v>
      </c>
      <c r="F1616" s="392" t="s">
        <v>3238</v>
      </c>
      <c r="G1616" s="392" t="s">
        <v>5324</v>
      </c>
      <c r="H1616" s="392" t="s">
        <v>7418</v>
      </c>
      <c r="I1616" s="392" t="s">
        <v>1763</v>
      </c>
      <c r="J1616" s="392" t="s">
        <v>8300</v>
      </c>
      <c r="K1616" s="392" t="s">
        <v>4125</v>
      </c>
      <c r="L1616" s="392" t="s">
        <v>7131</v>
      </c>
      <c r="M1616" s="392" t="s">
        <v>7273</v>
      </c>
      <c r="N1616" s="392" t="s">
        <v>7273</v>
      </c>
      <c r="O1616" s="392" t="s">
        <v>7273</v>
      </c>
      <c r="P1616"/>
      <c r="Q1616"/>
      <c r="R1616" s="387">
        <f>VLOOKUP(E1616,'[1]NDB Impacted SPRFs 05032013'!$A$2:$A$65536,1,FALSE)</f>
        <v>400015853</v>
      </c>
      <c r="S1616" s="159"/>
      <c r="T1616" s="159"/>
      <c r="U1616" s="159"/>
    </row>
    <row r="1617" spans="1:21" s="159" customFormat="1" ht="45" x14ac:dyDescent="0.25">
      <c r="A1617" s="63">
        <f>MATCH($E1617,'D1 - Master Project Table'!$B$24:$B$7056,0)</f>
        <v>2687</v>
      </c>
      <c r="B1617" s="63" t="b">
        <f t="shared" si="75"/>
        <v>0</v>
      </c>
      <c r="C1617" s="63" t="b">
        <f t="shared" si="76"/>
        <v>1</v>
      </c>
      <c r="D1617" s="63" t="str">
        <f t="shared" si="77"/>
        <v>OK</v>
      </c>
      <c r="E1617" s="393">
        <v>400017437</v>
      </c>
      <c r="F1617" s="392" t="s">
        <v>1917</v>
      </c>
      <c r="G1617" s="392" t="s">
        <v>5324</v>
      </c>
      <c r="H1617" s="392" t="s">
        <v>5314</v>
      </c>
      <c r="I1617" s="392" t="s">
        <v>1769</v>
      </c>
      <c r="J1617" s="392" t="s">
        <v>4703</v>
      </c>
      <c r="K1617" s="392" t="s">
        <v>7772</v>
      </c>
      <c r="L1617" s="392" t="s">
        <v>6127</v>
      </c>
      <c r="M1617" s="392" t="s">
        <v>3758</v>
      </c>
      <c r="N1617" s="392" t="s">
        <v>7273</v>
      </c>
      <c r="O1617" s="392" t="s">
        <v>3758</v>
      </c>
      <c r="P1617"/>
      <c r="Q1617"/>
      <c r="R1617" s="387">
        <f>VLOOKUP(E1617,'[1]NDB Impacted SPRFs 05032013'!$A$2:$A$65536,1,FALSE)</f>
        <v>400017437</v>
      </c>
    </row>
    <row r="1618" spans="1:21" s="159" customFormat="1" ht="30" x14ac:dyDescent="0.25">
      <c r="A1618" s="63">
        <f>MATCH($E1618,'D1 - Master Project Table'!$B$24:$B$7056,0)</f>
        <v>1432</v>
      </c>
      <c r="B1618" s="63" t="b">
        <f t="shared" si="75"/>
        <v>0</v>
      </c>
      <c r="C1618" s="63" t="b">
        <f t="shared" si="76"/>
        <v>1</v>
      </c>
      <c r="D1618" s="63" t="str">
        <f t="shared" si="77"/>
        <v>OK</v>
      </c>
      <c r="E1618" s="393">
        <v>400042615</v>
      </c>
      <c r="F1618" s="392" t="s">
        <v>4300</v>
      </c>
      <c r="G1618" s="392" t="s">
        <v>6322</v>
      </c>
      <c r="H1618" s="392" t="s">
        <v>7418</v>
      </c>
      <c r="I1618" s="392" t="s">
        <v>7594</v>
      </c>
      <c r="J1618" s="392" t="s">
        <v>4688</v>
      </c>
      <c r="K1618" s="392" t="s">
        <v>7164</v>
      </c>
      <c r="L1618" s="392" t="s">
        <v>5902</v>
      </c>
      <c r="M1618" s="392" t="s">
        <v>7273</v>
      </c>
      <c r="N1618" s="392" t="s">
        <v>7273</v>
      </c>
      <c r="O1618" s="392" t="s">
        <v>7273</v>
      </c>
      <c r="P1618"/>
      <c r="Q1618"/>
      <c r="R1618" s="387">
        <f>VLOOKUP(E1618,'[1]NDB Impacted SPRFs 05032013'!$A$2:$A$65536,1,FALSE)</f>
        <v>400042615</v>
      </c>
      <c r="S1618" s="128"/>
      <c r="T1618" s="128"/>
      <c r="U1618" s="128"/>
    </row>
    <row r="1619" spans="1:21" s="159" customFormat="1" ht="45" x14ac:dyDescent="0.25">
      <c r="A1619" s="63">
        <f>MATCH($E1619,'D1 - Master Project Table'!$B$24:$B$7056,0)</f>
        <v>3278</v>
      </c>
      <c r="B1619" s="63" t="b">
        <f t="shared" si="75"/>
        <v>0</v>
      </c>
      <c r="C1619" s="63" t="b">
        <f t="shared" si="76"/>
        <v>1</v>
      </c>
      <c r="D1619" s="63" t="str">
        <f t="shared" si="77"/>
        <v>OK</v>
      </c>
      <c r="E1619" s="393">
        <v>400044869</v>
      </c>
      <c r="F1619" s="392" t="s">
        <v>1879</v>
      </c>
      <c r="G1619" s="392" t="s">
        <v>5001</v>
      </c>
      <c r="H1619" s="392" t="s">
        <v>7418</v>
      </c>
      <c r="I1619" s="392" t="s">
        <v>3540</v>
      </c>
      <c r="J1619" s="392" t="s">
        <v>4440</v>
      </c>
      <c r="K1619" s="392" t="s">
        <v>2485</v>
      </c>
      <c r="L1619" s="392" t="s">
        <v>2666</v>
      </c>
      <c r="M1619" s="392" t="s">
        <v>7273</v>
      </c>
      <c r="N1619" s="392" t="s">
        <v>7273</v>
      </c>
      <c r="O1619" s="392" t="s">
        <v>3758</v>
      </c>
      <c r="P1619"/>
      <c r="Q1619"/>
      <c r="R1619" s="387">
        <f>VLOOKUP(E1619,'[1]NDB Impacted SPRFs 05032013'!$A$2:$A$65536,1,FALSE)</f>
        <v>400044869</v>
      </c>
    </row>
    <row r="1620" spans="1:21" ht="60" customHeight="1" x14ac:dyDescent="0.25">
      <c r="A1620" s="63">
        <f>MATCH($E1620,'D1 - Master Project Table'!$B$24:$B$7056,0)</f>
        <v>1826</v>
      </c>
      <c r="B1620" s="63" t="b">
        <f t="shared" si="75"/>
        <v>0</v>
      </c>
      <c r="C1620" s="63" t="b">
        <f t="shared" si="76"/>
        <v>1</v>
      </c>
      <c r="D1620" s="63" t="str">
        <f t="shared" si="77"/>
        <v>OK</v>
      </c>
      <c r="E1620" s="393">
        <v>400047476</v>
      </c>
      <c r="F1620" s="392" t="s">
        <v>1329</v>
      </c>
      <c r="G1620" s="392" t="s">
        <v>5995</v>
      </c>
      <c r="H1620" s="392" t="s">
        <v>7418</v>
      </c>
      <c r="I1620" s="392" t="s">
        <v>6423</v>
      </c>
      <c r="J1620" s="392" t="s">
        <v>5768</v>
      </c>
      <c r="K1620" s="392" t="s">
        <v>2078</v>
      </c>
      <c r="L1620" s="392" t="s">
        <v>2375</v>
      </c>
      <c r="M1620" s="392" t="s">
        <v>3758</v>
      </c>
      <c r="N1620" s="392" t="s">
        <v>7273</v>
      </c>
      <c r="O1620" s="392" t="s">
        <v>7273</v>
      </c>
      <c r="P1620"/>
      <c r="Q1620"/>
      <c r="R1620" s="387">
        <f>VLOOKUP(E1620,'[1]NDB Impacted SPRFs 05032013'!$A$2:$A$65536,1,FALSE)</f>
        <v>400047476</v>
      </c>
    </row>
    <row r="1621" spans="1:21" ht="45" x14ac:dyDescent="0.25">
      <c r="A1621" s="63" t="e">
        <f>MATCH($E1621,'D1 - Master Project Table'!$B$24:$B$7056,0)</f>
        <v>#N/A</v>
      </c>
      <c r="B1621" s="63" t="b">
        <f t="shared" si="75"/>
        <v>1</v>
      </c>
      <c r="C1621" s="63" t="b">
        <f t="shared" si="76"/>
        <v>1</v>
      </c>
      <c r="D1621" s="63" t="str">
        <f t="shared" si="77"/>
        <v>OK</v>
      </c>
      <c r="E1621" s="393">
        <v>202271346</v>
      </c>
      <c r="F1621" s="392" t="s">
        <v>827</v>
      </c>
      <c r="G1621" s="392" t="s">
        <v>5324</v>
      </c>
      <c r="H1621" s="392" t="s">
        <v>7418</v>
      </c>
      <c r="I1621" s="392" t="s">
        <v>1765</v>
      </c>
      <c r="J1621" s="392" t="s">
        <v>828</v>
      </c>
      <c r="K1621" s="392" t="s">
        <v>3341</v>
      </c>
      <c r="L1621" s="392" t="s">
        <v>829</v>
      </c>
      <c r="M1621" s="392" t="s">
        <v>3758</v>
      </c>
      <c r="N1621" s="392" t="s">
        <v>7273</v>
      </c>
      <c r="O1621" s="392" t="s">
        <v>7273</v>
      </c>
      <c r="P1621"/>
      <c r="Q1621"/>
      <c r="R1621" s="387">
        <f>VLOOKUP(E1621,'[1]NDB Impacted SPRFs 05032013'!$A$2:$A$65536,1,FALSE)</f>
        <v>202271346</v>
      </c>
      <c r="S1621" s="159"/>
      <c r="T1621" s="159"/>
      <c r="U1621" s="159"/>
    </row>
    <row r="1622" spans="1:21" s="159" customFormat="1" ht="45" x14ac:dyDescent="0.25">
      <c r="A1622" s="63">
        <f>MATCH($E1622,'D1 - Master Project Table'!$B$24:$B$7056,0)</f>
        <v>2379</v>
      </c>
      <c r="B1622" s="63" t="b">
        <f t="shared" si="75"/>
        <v>0</v>
      </c>
      <c r="C1622" s="63" t="b">
        <f t="shared" si="76"/>
        <v>1</v>
      </c>
      <c r="D1622" s="63" t="str">
        <f t="shared" si="77"/>
        <v>OK</v>
      </c>
      <c r="E1622" s="393">
        <v>400001183</v>
      </c>
      <c r="F1622" s="392" t="s">
        <v>7154</v>
      </c>
      <c r="G1622" s="392" t="s">
        <v>5324</v>
      </c>
      <c r="H1622" s="392" t="s">
        <v>5314</v>
      </c>
      <c r="I1622" s="392" t="s">
        <v>1765</v>
      </c>
      <c r="J1622" s="392" t="s">
        <v>8355</v>
      </c>
      <c r="K1622" s="392" t="s">
        <v>2168</v>
      </c>
      <c r="L1622" s="392" t="s">
        <v>6883</v>
      </c>
      <c r="M1622" s="392" t="s">
        <v>3758</v>
      </c>
      <c r="N1622" s="392" t="s">
        <v>7273</v>
      </c>
      <c r="O1622" s="392" t="s">
        <v>7273</v>
      </c>
      <c r="P1622"/>
      <c r="Q1622"/>
      <c r="R1622" s="387">
        <f>VLOOKUP(E1622,'[1]NDB Impacted SPRFs 05032013'!$A$2:$A$65536,1,FALSE)</f>
        <v>400001183</v>
      </c>
    </row>
    <row r="1623" spans="1:21" s="159" customFormat="1" ht="45" x14ac:dyDescent="0.25">
      <c r="A1623" s="63">
        <f>MATCH($E1623,'D1 - Master Project Table'!$B$24:$B$7056,0)</f>
        <v>2861</v>
      </c>
      <c r="B1623" s="63" t="b">
        <f t="shared" si="75"/>
        <v>0</v>
      </c>
      <c r="C1623" s="63" t="b">
        <f t="shared" si="76"/>
        <v>1</v>
      </c>
      <c r="D1623" s="63" t="str">
        <f t="shared" si="77"/>
        <v>OK</v>
      </c>
      <c r="E1623" s="393">
        <v>400027600</v>
      </c>
      <c r="F1623" s="392" t="s">
        <v>5195</v>
      </c>
      <c r="G1623" s="392" t="s">
        <v>5324</v>
      </c>
      <c r="H1623" s="392" t="s">
        <v>5314</v>
      </c>
      <c r="I1623" s="392" t="s">
        <v>1758</v>
      </c>
      <c r="J1623" s="392" t="s">
        <v>8277</v>
      </c>
      <c r="K1623" s="392" t="s">
        <v>5921</v>
      </c>
      <c r="L1623" s="392" t="s">
        <v>7967</v>
      </c>
      <c r="M1623" s="392" t="s">
        <v>7273</v>
      </c>
      <c r="N1623" s="392" t="s">
        <v>7273</v>
      </c>
      <c r="O1623" s="392" t="s">
        <v>7273</v>
      </c>
      <c r="P1623"/>
      <c r="Q1623"/>
      <c r="R1623" s="387">
        <f>VLOOKUP(E1623,'[1]NDB Impacted SPRFs 05032013'!$A$2:$A$65536,1,FALSE)</f>
        <v>400027600</v>
      </c>
      <c r="S1623" s="128"/>
      <c r="T1623" s="128"/>
      <c r="U1623" s="128"/>
    </row>
    <row r="1624" spans="1:21" s="159" customFormat="1" ht="30" customHeight="1" x14ac:dyDescent="0.25">
      <c r="A1624" s="63">
        <f>MATCH($E1624,'D1 - Master Project Table'!$B$24:$B$7056,0)</f>
        <v>2879</v>
      </c>
      <c r="B1624" s="63" t="b">
        <f t="shared" si="75"/>
        <v>0</v>
      </c>
      <c r="C1624" s="63" t="b">
        <f t="shared" si="76"/>
        <v>1</v>
      </c>
      <c r="D1624" s="63" t="str">
        <f t="shared" si="77"/>
        <v>OK</v>
      </c>
      <c r="E1624" s="393">
        <v>400028641</v>
      </c>
      <c r="F1624" s="392" t="s">
        <v>4814</v>
      </c>
      <c r="G1624" s="392" t="s">
        <v>5324</v>
      </c>
      <c r="H1624" s="392" t="s">
        <v>5314</v>
      </c>
      <c r="I1624" s="392" t="s">
        <v>1759</v>
      </c>
      <c r="J1624" s="392" t="s">
        <v>6840</v>
      </c>
      <c r="K1624" s="392" t="s">
        <v>6005</v>
      </c>
      <c r="L1624" s="392" t="s">
        <v>3813</v>
      </c>
      <c r="M1624" s="392" t="s">
        <v>7273</v>
      </c>
      <c r="N1624" s="392" t="s">
        <v>7273</v>
      </c>
      <c r="O1624" s="392" t="s">
        <v>3758</v>
      </c>
      <c r="P1624"/>
      <c r="Q1624"/>
      <c r="R1624" s="387">
        <f>VLOOKUP(E1624,'[1]NDB Impacted SPRFs 05032013'!$A$2:$A$65536,1,FALSE)</f>
        <v>400028641</v>
      </c>
    </row>
    <row r="1625" spans="1:21" ht="45" customHeight="1" x14ac:dyDescent="0.25">
      <c r="A1625" s="63">
        <f>MATCH($E1625,'D1 - Master Project Table'!$B$24:$B$7056,0)</f>
        <v>3016</v>
      </c>
      <c r="B1625" s="63" t="b">
        <f t="shared" si="75"/>
        <v>0</v>
      </c>
      <c r="C1625" s="63" t="b">
        <f t="shared" si="76"/>
        <v>1</v>
      </c>
      <c r="D1625" s="63" t="str">
        <f t="shared" si="77"/>
        <v>OK</v>
      </c>
      <c r="E1625" s="393">
        <v>400040082</v>
      </c>
      <c r="F1625" s="392" t="s">
        <v>4048</v>
      </c>
      <c r="G1625" s="392" t="s">
        <v>5995</v>
      </c>
      <c r="H1625" s="392" t="s">
        <v>5314</v>
      </c>
      <c r="I1625" s="392" t="s">
        <v>2604</v>
      </c>
      <c r="J1625" s="392" t="s">
        <v>8828</v>
      </c>
      <c r="K1625" s="392" t="s">
        <v>4049</v>
      </c>
      <c r="L1625" s="392" t="s">
        <v>4050</v>
      </c>
      <c r="M1625" s="392" t="s">
        <v>7273</v>
      </c>
      <c r="N1625" s="392" t="s">
        <v>7273</v>
      </c>
      <c r="O1625" s="392" t="s">
        <v>7273</v>
      </c>
      <c r="P1625"/>
      <c r="Q1625"/>
      <c r="R1625" s="387">
        <f>VLOOKUP(E1625,'[1]NDB Impacted SPRFs 05032013'!$A$2:$A$65536,1,FALSE)</f>
        <v>400040082</v>
      </c>
      <c r="S1625" s="159"/>
      <c r="T1625" s="159"/>
      <c r="U1625" s="159"/>
    </row>
    <row r="1626" spans="1:21" s="159" customFormat="1" ht="45" x14ac:dyDescent="0.25">
      <c r="A1626" s="63">
        <f>MATCH($E1626,'D1 - Master Project Table'!$B$24:$B$7056,0)</f>
        <v>2372</v>
      </c>
      <c r="B1626" s="63" t="b">
        <f t="shared" si="75"/>
        <v>0</v>
      </c>
      <c r="C1626" s="63" t="b">
        <f t="shared" si="76"/>
        <v>1</v>
      </c>
      <c r="D1626" s="63" t="str">
        <f t="shared" si="77"/>
        <v>OK</v>
      </c>
      <c r="E1626" s="393">
        <v>400000878</v>
      </c>
      <c r="F1626" s="392" t="s">
        <v>4093</v>
      </c>
      <c r="G1626" s="392" t="s">
        <v>5324</v>
      </c>
      <c r="H1626" s="392" t="s">
        <v>5314</v>
      </c>
      <c r="I1626" s="392" t="s">
        <v>1765</v>
      </c>
      <c r="J1626" s="392" t="s">
        <v>8322</v>
      </c>
      <c r="K1626" s="392" t="s">
        <v>5853</v>
      </c>
      <c r="L1626" s="392" t="s">
        <v>2958</v>
      </c>
      <c r="M1626" s="392" t="s">
        <v>7273</v>
      </c>
      <c r="N1626" s="392" t="s">
        <v>7273</v>
      </c>
      <c r="O1626" s="392" t="s">
        <v>7273</v>
      </c>
      <c r="P1626"/>
      <c r="Q1626"/>
      <c r="R1626" s="387">
        <f>VLOOKUP(E1626,'[1]NDB Impacted SPRFs 05032013'!$A$2:$A$65536,1,FALSE)</f>
        <v>400000878</v>
      </c>
    </row>
    <row r="1627" spans="1:21" s="159" customFormat="1" ht="30" x14ac:dyDescent="0.25">
      <c r="A1627" s="63">
        <f>MATCH($E1627,'D1 - Master Project Table'!$B$24:$B$7056,0)</f>
        <v>646</v>
      </c>
      <c r="B1627" s="63" t="b">
        <f t="shared" si="75"/>
        <v>0</v>
      </c>
      <c r="C1627" s="63" t="b">
        <f t="shared" si="76"/>
        <v>1</v>
      </c>
      <c r="D1627" s="63" t="str">
        <f t="shared" si="77"/>
        <v>OK</v>
      </c>
      <c r="E1627" s="393">
        <v>400013499</v>
      </c>
      <c r="F1627" s="392" t="s">
        <v>4153</v>
      </c>
      <c r="G1627" s="392" t="s">
        <v>3441</v>
      </c>
      <c r="H1627" s="392" t="s">
        <v>7418</v>
      </c>
      <c r="I1627" s="392" t="s">
        <v>1770</v>
      </c>
      <c r="J1627" s="392" t="s">
        <v>8298</v>
      </c>
      <c r="K1627" s="392" t="s">
        <v>5541</v>
      </c>
      <c r="L1627" s="392" t="s">
        <v>2099</v>
      </c>
      <c r="M1627" s="392" t="s">
        <v>7273</v>
      </c>
      <c r="N1627" s="392" t="s">
        <v>7273</v>
      </c>
      <c r="O1627" s="392" t="s">
        <v>7273</v>
      </c>
      <c r="P1627"/>
      <c r="Q1627"/>
      <c r="R1627" s="387">
        <f>VLOOKUP(E1627,'[1]NDB Impacted SPRFs 05032013'!$A$2:$A$65536,1,FALSE)</f>
        <v>400013499</v>
      </c>
    </row>
    <row r="1628" spans="1:21" s="159" customFormat="1" ht="45" x14ac:dyDescent="0.25">
      <c r="A1628" s="63">
        <f>MATCH($E1628,'D1 - Master Project Table'!$B$24:$B$7056,0)</f>
        <v>708</v>
      </c>
      <c r="B1628" s="63" t="b">
        <f t="shared" si="75"/>
        <v>0</v>
      </c>
      <c r="C1628" s="63" t="b">
        <f t="shared" si="76"/>
        <v>1</v>
      </c>
      <c r="D1628" s="63" t="str">
        <f t="shared" si="77"/>
        <v>OK</v>
      </c>
      <c r="E1628" s="393">
        <v>400017138</v>
      </c>
      <c r="F1628" s="392" t="s">
        <v>3845</v>
      </c>
      <c r="G1628" s="392" t="s">
        <v>5324</v>
      </c>
      <c r="H1628" s="392" t="s">
        <v>7418</v>
      </c>
      <c r="I1628" s="392" t="s">
        <v>1759</v>
      </c>
      <c r="J1628" s="392" t="s">
        <v>8317</v>
      </c>
      <c r="K1628" s="392" t="s">
        <v>2819</v>
      </c>
      <c r="L1628" s="392" t="s">
        <v>723</v>
      </c>
      <c r="M1628" s="392" t="s">
        <v>3758</v>
      </c>
      <c r="N1628" s="392" t="s">
        <v>7273</v>
      </c>
      <c r="O1628" s="392" t="s">
        <v>7273</v>
      </c>
      <c r="P1628"/>
      <c r="Q1628"/>
      <c r="R1628" s="387">
        <f>VLOOKUP(E1628,'[1]NDB Impacted SPRFs 05032013'!$A$2:$A$65536,1,FALSE)</f>
        <v>400017138</v>
      </c>
    </row>
    <row r="1629" spans="1:21" s="159" customFormat="1" ht="30" customHeight="1" x14ac:dyDescent="0.25">
      <c r="A1629" s="63">
        <f>MATCH($E1629,'D1 - Master Project Table'!$B$24:$B$7056,0)</f>
        <v>2701</v>
      </c>
      <c r="B1629" s="63" t="b">
        <f t="shared" si="75"/>
        <v>0</v>
      </c>
      <c r="C1629" s="63" t="b">
        <f t="shared" si="76"/>
        <v>1</v>
      </c>
      <c r="D1629" s="63" t="str">
        <f t="shared" si="77"/>
        <v>OK</v>
      </c>
      <c r="E1629" s="393">
        <v>400018558</v>
      </c>
      <c r="F1629" s="392" t="s">
        <v>4464</v>
      </c>
      <c r="G1629" s="392" t="s">
        <v>5324</v>
      </c>
      <c r="H1629" s="392" t="s">
        <v>5314</v>
      </c>
      <c r="I1629" s="392" t="s">
        <v>1756</v>
      </c>
      <c r="J1629" s="392" t="s">
        <v>8402</v>
      </c>
      <c r="K1629" s="392" t="s">
        <v>2555</v>
      </c>
      <c r="L1629" s="392" t="s">
        <v>2099</v>
      </c>
      <c r="M1629" s="392" t="s">
        <v>7273</v>
      </c>
      <c r="N1629" s="392" t="s">
        <v>7273</v>
      </c>
      <c r="O1629" s="392" t="s">
        <v>7273</v>
      </c>
      <c r="P1629"/>
      <c r="Q1629"/>
      <c r="R1629" s="387">
        <f>VLOOKUP(E1629,'[1]NDB Impacted SPRFs 05032013'!$A$2:$A$65536,1,FALSE)</f>
        <v>400018558</v>
      </c>
      <c r="S1629" s="128"/>
      <c r="T1629" s="128"/>
      <c r="U1629" s="128"/>
    </row>
    <row r="1630" spans="1:21" s="159" customFormat="1" ht="15" x14ac:dyDescent="0.25">
      <c r="A1630" s="63">
        <f>MATCH($E1630,'D1 - Master Project Table'!$B$24:$B$7056,0)</f>
        <v>2732</v>
      </c>
      <c r="B1630" s="63" t="b">
        <f t="shared" si="75"/>
        <v>0</v>
      </c>
      <c r="C1630" s="63" t="b">
        <f t="shared" si="76"/>
        <v>1</v>
      </c>
      <c r="D1630" s="63" t="str">
        <f t="shared" si="77"/>
        <v>OK</v>
      </c>
      <c r="E1630" s="393">
        <v>400019860</v>
      </c>
      <c r="F1630" s="392" t="s">
        <v>4317</v>
      </c>
      <c r="G1630" s="392" t="s">
        <v>5787</v>
      </c>
      <c r="H1630" s="392" t="s">
        <v>5314</v>
      </c>
      <c r="I1630" s="392" t="s">
        <v>1772</v>
      </c>
      <c r="J1630" s="392" t="s">
        <v>8667</v>
      </c>
      <c r="K1630" s="392" t="s">
        <v>6273</v>
      </c>
      <c r="L1630" s="392" t="s">
        <v>723</v>
      </c>
      <c r="M1630" s="392" t="s">
        <v>3758</v>
      </c>
      <c r="N1630" s="392" t="s">
        <v>7273</v>
      </c>
      <c r="O1630" s="392" t="s">
        <v>7273</v>
      </c>
      <c r="P1630"/>
      <c r="Q1630"/>
      <c r="R1630" s="387">
        <f>VLOOKUP(E1630,'[1]NDB Impacted SPRFs 05032013'!$A$2:$A$65536,1,FALSE)</f>
        <v>400019860</v>
      </c>
    </row>
    <row r="1631" spans="1:21" ht="45" x14ac:dyDescent="0.25">
      <c r="A1631" s="63">
        <f>MATCH($E1631,'D1 - Master Project Table'!$B$24:$B$7056,0)</f>
        <v>1953</v>
      </c>
      <c r="B1631" s="63" t="b">
        <f t="shared" si="75"/>
        <v>0</v>
      </c>
      <c r="C1631" s="63" t="b">
        <f t="shared" si="76"/>
        <v>1</v>
      </c>
      <c r="D1631" s="63" t="str">
        <f t="shared" si="77"/>
        <v>OK</v>
      </c>
      <c r="E1631" s="393">
        <v>400021162</v>
      </c>
      <c r="F1631" s="392" t="s">
        <v>5169</v>
      </c>
      <c r="G1631" s="392" t="s">
        <v>5324</v>
      </c>
      <c r="H1631" s="392" t="s">
        <v>7418</v>
      </c>
      <c r="I1631" s="392" t="s">
        <v>1757</v>
      </c>
      <c r="J1631" s="392" t="s">
        <v>8357</v>
      </c>
      <c r="K1631" s="392" t="s">
        <v>8075</v>
      </c>
      <c r="L1631" s="392" t="s">
        <v>723</v>
      </c>
      <c r="M1631" s="392" t="s">
        <v>3758</v>
      </c>
      <c r="N1631" s="392" t="s">
        <v>7273</v>
      </c>
      <c r="O1631" s="392" t="s">
        <v>7273</v>
      </c>
      <c r="P1631"/>
      <c r="Q1631"/>
      <c r="R1631" s="387">
        <f>VLOOKUP(E1631,'[1]NDB Impacted SPRFs 05032013'!$A$2:$A$65536,1,FALSE)</f>
        <v>400021162</v>
      </c>
      <c r="S1631" s="159"/>
      <c r="T1631" s="159"/>
      <c r="U1631" s="159"/>
    </row>
    <row r="1632" spans="1:21" s="159" customFormat="1" ht="45" x14ac:dyDescent="0.25">
      <c r="A1632" s="63">
        <f>MATCH($E1632,'D1 - Master Project Table'!$B$24:$B$7056,0)</f>
        <v>2755</v>
      </c>
      <c r="B1632" s="63" t="b">
        <f t="shared" si="75"/>
        <v>0</v>
      </c>
      <c r="C1632" s="63" t="b">
        <f t="shared" si="76"/>
        <v>1</v>
      </c>
      <c r="D1632" s="63" t="str">
        <f t="shared" si="77"/>
        <v>OK</v>
      </c>
      <c r="E1632" s="393">
        <v>400021250</v>
      </c>
      <c r="F1632" s="392" t="s">
        <v>4074</v>
      </c>
      <c r="G1632" s="392" t="s">
        <v>5324</v>
      </c>
      <c r="H1632" s="392" t="s">
        <v>5314</v>
      </c>
      <c r="I1632" s="392" t="s">
        <v>1759</v>
      </c>
      <c r="J1632" s="392" t="s">
        <v>8379</v>
      </c>
      <c r="K1632" s="392" t="s">
        <v>7062</v>
      </c>
      <c r="L1632" s="392" t="s">
        <v>723</v>
      </c>
      <c r="M1632" s="392" t="s">
        <v>3758</v>
      </c>
      <c r="N1632" s="392" t="s">
        <v>7273</v>
      </c>
      <c r="O1632" s="392" t="s">
        <v>7273</v>
      </c>
      <c r="P1632"/>
      <c r="Q1632"/>
      <c r="R1632" s="387">
        <f>VLOOKUP(E1632,'[1]NDB Impacted SPRFs 05032013'!$A$2:$A$65536,1,FALSE)</f>
        <v>400021250</v>
      </c>
    </row>
    <row r="1633" spans="1:21" ht="45" x14ac:dyDescent="0.25">
      <c r="A1633" s="63">
        <f>MATCH($E1633,'D1 - Master Project Table'!$B$24:$B$7056,0)</f>
        <v>2842</v>
      </c>
      <c r="B1633" s="63" t="b">
        <f t="shared" si="75"/>
        <v>0</v>
      </c>
      <c r="C1633" s="63" t="b">
        <f t="shared" si="76"/>
        <v>1</v>
      </c>
      <c r="D1633" s="63" t="str">
        <f t="shared" si="77"/>
        <v>OK</v>
      </c>
      <c r="E1633" s="393">
        <v>400026253</v>
      </c>
      <c r="F1633" s="392" t="s">
        <v>2635</v>
      </c>
      <c r="G1633" s="392" t="s">
        <v>5324</v>
      </c>
      <c r="H1633" s="392" t="s">
        <v>5314</v>
      </c>
      <c r="I1633" s="392" t="s">
        <v>1759</v>
      </c>
      <c r="J1633" s="392" t="s">
        <v>8317</v>
      </c>
      <c r="K1633" s="392" t="s">
        <v>4046</v>
      </c>
      <c r="L1633" s="392" t="s">
        <v>723</v>
      </c>
      <c r="M1633" s="392" t="s">
        <v>3758</v>
      </c>
      <c r="N1633" s="392" t="s">
        <v>7273</v>
      </c>
      <c r="O1633" s="392" t="s">
        <v>7273</v>
      </c>
      <c r="P1633"/>
      <c r="Q1633"/>
      <c r="R1633" s="387">
        <f>VLOOKUP(E1633,'[1]NDB Impacted SPRFs 05032013'!$A$2:$A$65536,1,FALSE)</f>
        <v>400026253</v>
      </c>
      <c r="S1633" s="159"/>
      <c r="T1633" s="159"/>
      <c r="U1633" s="159"/>
    </row>
    <row r="1634" spans="1:21" ht="45" x14ac:dyDescent="0.25">
      <c r="A1634" s="63">
        <f>MATCH($E1634,'D1 - Master Project Table'!$B$24:$B$7056,0)</f>
        <v>2867</v>
      </c>
      <c r="B1634" s="63" t="b">
        <f t="shared" si="75"/>
        <v>0</v>
      </c>
      <c r="C1634" s="63" t="b">
        <f t="shared" si="76"/>
        <v>1</v>
      </c>
      <c r="D1634" s="63" t="str">
        <f t="shared" si="77"/>
        <v>OK</v>
      </c>
      <c r="E1634" s="393">
        <v>400027894</v>
      </c>
      <c r="F1634" s="392" t="s">
        <v>7787</v>
      </c>
      <c r="G1634" s="392" t="s">
        <v>5324</v>
      </c>
      <c r="H1634" s="392" t="s">
        <v>5314</v>
      </c>
      <c r="I1634" s="392" t="s">
        <v>1758</v>
      </c>
      <c r="J1634" s="392" t="s">
        <v>8296</v>
      </c>
      <c r="K1634" s="392" t="s">
        <v>5762</v>
      </c>
      <c r="L1634" s="392" t="s">
        <v>723</v>
      </c>
      <c r="M1634" s="392" t="s">
        <v>3758</v>
      </c>
      <c r="N1634" s="392" t="s">
        <v>7273</v>
      </c>
      <c r="O1634" s="392" t="s">
        <v>7273</v>
      </c>
      <c r="P1634"/>
      <c r="Q1634"/>
      <c r="R1634" s="387">
        <f>VLOOKUP(E1634,'[1]NDB Impacted SPRFs 05032013'!$A$2:$A$65536,1,FALSE)</f>
        <v>400027894</v>
      </c>
      <c r="S1634" s="159"/>
      <c r="T1634" s="159"/>
      <c r="U1634" s="159"/>
    </row>
    <row r="1635" spans="1:21" s="159" customFormat="1" ht="45" x14ac:dyDescent="0.25">
      <c r="A1635" s="63">
        <f>MATCH($E1635,'D1 - Master Project Table'!$B$24:$B$7056,0)</f>
        <v>1552</v>
      </c>
      <c r="B1635" s="63" t="b">
        <f t="shared" si="75"/>
        <v>0</v>
      </c>
      <c r="C1635" s="63" t="b">
        <f t="shared" si="76"/>
        <v>1</v>
      </c>
      <c r="D1635" s="63" t="str">
        <f t="shared" si="77"/>
        <v>OK</v>
      </c>
      <c r="E1635" s="393">
        <v>400039771</v>
      </c>
      <c r="F1635" s="392" t="s">
        <v>1566</v>
      </c>
      <c r="G1635" s="392" t="s">
        <v>5324</v>
      </c>
      <c r="H1635" s="392" t="s">
        <v>7418</v>
      </c>
      <c r="I1635" s="392" t="s">
        <v>1763</v>
      </c>
      <c r="J1635" s="392" t="s">
        <v>8445</v>
      </c>
      <c r="K1635" s="392" t="s">
        <v>7197</v>
      </c>
      <c r="L1635" s="392" t="s">
        <v>2501</v>
      </c>
      <c r="M1635" s="392" t="s">
        <v>7273</v>
      </c>
      <c r="N1635" s="392" t="s">
        <v>7273</v>
      </c>
      <c r="O1635" s="392" t="s">
        <v>7273</v>
      </c>
      <c r="P1635"/>
      <c r="Q1635"/>
      <c r="R1635" s="387">
        <f>VLOOKUP(E1635,'[1]NDB Impacted SPRFs 05032013'!$A$2:$A$65536,1,FALSE)</f>
        <v>400039771</v>
      </c>
    </row>
    <row r="1636" spans="1:21" s="159" customFormat="1" ht="45" x14ac:dyDescent="0.25">
      <c r="A1636" s="63">
        <f>MATCH($E1636,'D1 - Master Project Table'!$B$24:$B$7056,0)</f>
        <v>3035</v>
      </c>
      <c r="B1636" s="63" t="b">
        <f t="shared" si="75"/>
        <v>0</v>
      </c>
      <c r="C1636" s="63" t="b">
        <f t="shared" si="76"/>
        <v>1</v>
      </c>
      <c r="D1636" s="63" t="str">
        <f t="shared" si="77"/>
        <v>OK</v>
      </c>
      <c r="E1636" s="393">
        <v>400041818</v>
      </c>
      <c r="F1636" s="392" t="s">
        <v>4288</v>
      </c>
      <c r="G1636" s="392" t="s">
        <v>5324</v>
      </c>
      <c r="H1636" s="392" t="s">
        <v>7418</v>
      </c>
      <c r="I1636" s="392" t="s">
        <v>1763</v>
      </c>
      <c r="J1636" s="392" t="s">
        <v>8445</v>
      </c>
      <c r="K1636" s="392" t="s">
        <v>7197</v>
      </c>
      <c r="L1636" s="392" t="s">
        <v>2501</v>
      </c>
      <c r="M1636" s="392" t="s">
        <v>7273</v>
      </c>
      <c r="N1636" s="392" t="s">
        <v>7273</v>
      </c>
      <c r="O1636" s="392" t="s">
        <v>7273</v>
      </c>
      <c r="P1636"/>
      <c r="Q1636"/>
      <c r="R1636" s="387">
        <f>VLOOKUP(E1636,'[1]NDB Impacted SPRFs 05032013'!$A$2:$A$65536,1,FALSE)</f>
        <v>400041818</v>
      </c>
      <c r="S1636" s="128"/>
      <c r="T1636" s="128"/>
      <c r="U1636" s="128"/>
    </row>
    <row r="1637" spans="1:21" s="159" customFormat="1" ht="60" x14ac:dyDescent="0.25">
      <c r="A1637" s="63">
        <f>MATCH($E1637,'D1 - Master Project Table'!$B$24:$B$7056,0)</f>
        <v>263</v>
      </c>
      <c r="B1637" s="63" t="b">
        <f t="shared" si="75"/>
        <v>0</v>
      </c>
      <c r="C1637" s="63" t="b">
        <f t="shared" si="76"/>
        <v>0</v>
      </c>
      <c r="D1637" s="63" t="str">
        <f t="shared" si="77"/>
        <v>OK</v>
      </c>
      <c r="E1637" s="393">
        <v>400059062</v>
      </c>
      <c r="F1637" s="392" t="s">
        <v>9235</v>
      </c>
      <c r="G1637" s="392" t="s">
        <v>5325</v>
      </c>
      <c r="H1637" s="392" t="s">
        <v>3555</v>
      </c>
      <c r="I1637" s="392" t="s">
        <v>1786</v>
      </c>
      <c r="J1637" s="392" t="s">
        <v>3493</v>
      </c>
      <c r="K1637" s="392" t="s">
        <v>9236</v>
      </c>
      <c r="L1637" s="392" t="s">
        <v>9237</v>
      </c>
      <c r="M1637" s="392" t="s">
        <v>7273</v>
      </c>
      <c r="N1637" s="392" t="s">
        <v>7273</v>
      </c>
      <c r="O1637" s="392" t="s">
        <v>7273</v>
      </c>
      <c r="P1637"/>
      <c r="Q1637"/>
      <c r="R1637" s="387">
        <f>VLOOKUP(E1637,'[1]NDB Impacted SPRFs 05032013'!$A$2:$A$65536,1,FALSE)</f>
        <v>400059062</v>
      </c>
    </row>
    <row r="1638" spans="1:21" ht="45" x14ac:dyDescent="0.25">
      <c r="A1638" s="63">
        <f>MATCH($E1638,'D1 - Master Project Table'!$B$24:$B$7056,0)</f>
        <v>314</v>
      </c>
      <c r="B1638" s="63" t="b">
        <f t="shared" si="75"/>
        <v>0</v>
      </c>
      <c r="C1638" s="63" t="b">
        <f t="shared" si="76"/>
        <v>1</v>
      </c>
      <c r="D1638" s="63" t="str">
        <f t="shared" si="77"/>
        <v>OK</v>
      </c>
      <c r="E1638" s="393">
        <v>400004805</v>
      </c>
      <c r="F1638" s="392" t="s">
        <v>6528</v>
      </c>
      <c r="G1638" s="392" t="s">
        <v>5324</v>
      </c>
      <c r="H1638" s="392" t="s">
        <v>7418</v>
      </c>
      <c r="I1638" s="392" t="s">
        <v>1765</v>
      </c>
      <c r="J1638" s="392" t="s">
        <v>8452</v>
      </c>
      <c r="K1638" s="392" t="s">
        <v>4169</v>
      </c>
      <c r="L1638" s="392" t="s">
        <v>5039</v>
      </c>
      <c r="M1638" s="392" t="s">
        <v>3758</v>
      </c>
      <c r="N1638" s="392" t="s">
        <v>7273</v>
      </c>
      <c r="O1638" s="392" t="s">
        <v>7273</v>
      </c>
      <c r="P1638"/>
      <c r="Q1638"/>
      <c r="R1638" s="387">
        <f>VLOOKUP(E1638,'[1]NDB Impacted SPRFs 05032013'!$A$2:$A$65536,1,FALSE)</f>
        <v>400004805</v>
      </c>
      <c r="S1638" s="159"/>
      <c r="T1638" s="159"/>
      <c r="U1638" s="159"/>
    </row>
    <row r="1639" spans="1:21" s="160" customFormat="1" ht="45" x14ac:dyDescent="0.25">
      <c r="A1639" s="63">
        <f>MATCH($E1639,'D1 - Master Project Table'!$B$24:$B$7056,0)</f>
        <v>551</v>
      </c>
      <c r="B1639" s="63" t="b">
        <f t="shared" si="75"/>
        <v>0</v>
      </c>
      <c r="C1639" s="63" t="b">
        <f t="shared" si="76"/>
        <v>1</v>
      </c>
      <c r="D1639" s="63" t="str">
        <f t="shared" si="77"/>
        <v>OK</v>
      </c>
      <c r="E1639" s="393">
        <v>400010803</v>
      </c>
      <c r="F1639" s="392" t="s">
        <v>3729</v>
      </c>
      <c r="G1639" s="392" t="s">
        <v>5324</v>
      </c>
      <c r="H1639" s="392" t="s">
        <v>7418</v>
      </c>
      <c r="I1639" s="392" t="s">
        <v>1762</v>
      </c>
      <c r="J1639" s="392" t="s">
        <v>2251</v>
      </c>
      <c r="K1639" s="392" t="s">
        <v>5159</v>
      </c>
      <c r="L1639" s="392" t="s">
        <v>2362</v>
      </c>
      <c r="M1639" s="392" t="s">
        <v>7273</v>
      </c>
      <c r="N1639" s="392" t="s">
        <v>7273</v>
      </c>
      <c r="O1639" s="392" t="s">
        <v>7273</v>
      </c>
      <c r="P1639"/>
      <c r="Q1639"/>
      <c r="R1639" s="387">
        <f>VLOOKUP(E1639,'[1]NDB Impacted SPRFs 05032013'!$A$2:$A$65536,1,FALSE)</f>
        <v>400010803</v>
      </c>
      <c r="S1639" s="159"/>
      <c r="T1639" s="159"/>
      <c r="U1639" s="159"/>
    </row>
    <row r="1640" spans="1:21" ht="60" customHeight="1" x14ac:dyDescent="0.25">
      <c r="A1640" s="63" t="e">
        <f>MATCH($E1640,'D1 - Master Project Table'!$B$24:$B$7056,0)</f>
        <v>#N/A</v>
      </c>
      <c r="B1640" s="63" t="b">
        <f t="shared" si="75"/>
        <v>1</v>
      </c>
      <c r="C1640" s="63" t="b">
        <f t="shared" si="76"/>
        <v>1</v>
      </c>
      <c r="D1640" s="63" t="str">
        <f t="shared" si="77"/>
        <v>OK</v>
      </c>
      <c r="E1640" s="393">
        <v>304021549</v>
      </c>
      <c r="F1640" s="392" t="s">
        <v>1610</v>
      </c>
      <c r="G1640" s="392" t="s">
        <v>5325</v>
      </c>
      <c r="H1640" s="392" t="s">
        <v>5314</v>
      </c>
      <c r="I1640" s="392" t="s">
        <v>1793</v>
      </c>
      <c r="J1640" s="392" t="s">
        <v>8255</v>
      </c>
      <c r="K1640" s="392" t="s">
        <v>1599</v>
      </c>
      <c r="L1640" s="392" t="s">
        <v>5411</v>
      </c>
      <c r="M1640" s="392" t="s">
        <v>3758</v>
      </c>
      <c r="N1640" s="392" t="s">
        <v>7273</v>
      </c>
      <c r="O1640" s="392" t="s">
        <v>7273</v>
      </c>
      <c r="P1640"/>
      <c r="Q1640"/>
      <c r="R1640" s="387">
        <f>VLOOKUP(E1640,'[1]NDB Impacted SPRFs 05032013'!$A$2:$A$65536,1,FALSE)</f>
        <v>304021549</v>
      </c>
      <c r="S1640" s="159"/>
      <c r="T1640" s="159"/>
      <c r="U1640" s="159"/>
    </row>
    <row r="1641" spans="1:21" s="159" customFormat="1" ht="45" x14ac:dyDescent="0.25">
      <c r="A1641" s="63" t="e">
        <f>MATCH($E1641,'D1 - Master Project Table'!$B$24:$B$7056,0)</f>
        <v>#N/A</v>
      </c>
      <c r="B1641" s="63" t="b">
        <f t="shared" si="75"/>
        <v>1</v>
      </c>
      <c r="C1641" s="63" t="b">
        <f t="shared" si="76"/>
        <v>1</v>
      </c>
      <c r="D1641" s="63" t="str">
        <f t="shared" si="77"/>
        <v>OK</v>
      </c>
      <c r="E1641" s="393">
        <v>400000108</v>
      </c>
      <c r="F1641" s="392" t="s">
        <v>6306</v>
      </c>
      <c r="G1641" s="392" t="s">
        <v>5325</v>
      </c>
      <c r="H1641" s="392" t="s">
        <v>7418</v>
      </c>
      <c r="I1641" s="392" t="s">
        <v>1793</v>
      </c>
      <c r="J1641" s="392" t="s">
        <v>8253</v>
      </c>
      <c r="K1641" s="392" t="s">
        <v>3341</v>
      </c>
      <c r="L1641" s="392" t="s">
        <v>6703</v>
      </c>
      <c r="M1641" s="392" t="s">
        <v>7273</v>
      </c>
      <c r="N1641" s="392" t="s">
        <v>7273</v>
      </c>
      <c r="O1641" s="392" t="s">
        <v>7273</v>
      </c>
      <c r="P1641"/>
      <c r="Q1641"/>
      <c r="R1641" s="387">
        <f>VLOOKUP(E1641,'[1]NDB Impacted SPRFs 05032013'!$A$2:$A$65536,1,FALSE)</f>
        <v>400000108</v>
      </c>
    </row>
    <row r="1642" spans="1:21" s="159" customFormat="1" ht="45" x14ac:dyDescent="0.25">
      <c r="A1642" s="63">
        <f>MATCH($E1642,'D1 - Master Project Table'!$B$24:$B$7056,0)</f>
        <v>371</v>
      </c>
      <c r="B1642" s="63" t="b">
        <f t="shared" si="75"/>
        <v>0</v>
      </c>
      <c r="C1642" s="63" t="b">
        <f t="shared" si="76"/>
        <v>1</v>
      </c>
      <c r="D1642" s="63" t="str">
        <f t="shared" si="77"/>
        <v>OK</v>
      </c>
      <c r="E1642" s="393">
        <v>400000207</v>
      </c>
      <c r="F1642" s="392" t="s">
        <v>4315</v>
      </c>
      <c r="G1642" s="392" t="s">
        <v>5324</v>
      </c>
      <c r="H1642" s="392" t="s">
        <v>7418</v>
      </c>
      <c r="I1642" s="392" t="s">
        <v>1765</v>
      </c>
      <c r="J1642" s="392" t="s">
        <v>8350</v>
      </c>
      <c r="K1642" s="392" t="s">
        <v>6547</v>
      </c>
      <c r="L1642" s="392" t="s">
        <v>7388</v>
      </c>
      <c r="M1642" s="392" t="s">
        <v>3758</v>
      </c>
      <c r="N1642" s="392" t="s">
        <v>7273</v>
      </c>
      <c r="O1642" s="392" t="s">
        <v>7273</v>
      </c>
      <c r="P1642"/>
      <c r="Q1642"/>
      <c r="R1642" s="387">
        <f>VLOOKUP(E1642,'[1]NDB Impacted SPRFs 05032013'!$A$2:$A$65536,1,FALSE)</f>
        <v>400000207</v>
      </c>
      <c r="S1642" s="128"/>
      <c r="T1642" s="128"/>
      <c r="U1642" s="128"/>
    </row>
    <row r="1643" spans="1:21" s="159" customFormat="1" ht="45" x14ac:dyDescent="0.25">
      <c r="A1643" s="63">
        <f>MATCH($E1643,'D1 - Master Project Table'!$B$24:$B$7056,0)</f>
        <v>389</v>
      </c>
      <c r="B1643" s="63" t="b">
        <f t="shared" si="75"/>
        <v>0</v>
      </c>
      <c r="C1643" s="63" t="b">
        <f t="shared" si="76"/>
        <v>1</v>
      </c>
      <c r="D1643" s="63" t="str">
        <f t="shared" si="77"/>
        <v>OK</v>
      </c>
      <c r="E1643" s="393">
        <v>400007856</v>
      </c>
      <c r="F1643" s="392" t="s">
        <v>5095</v>
      </c>
      <c r="G1643" s="392" t="s">
        <v>3441</v>
      </c>
      <c r="H1643" s="392" t="s">
        <v>7418</v>
      </c>
      <c r="I1643" s="392" t="s">
        <v>2662</v>
      </c>
      <c r="J1643" s="392" t="s">
        <v>3322</v>
      </c>
      <c r="K1643" s="392" t="s">
        <v>4942</v>
      </c>
      <c r="L1643" s="392" t="s">
        <v>4851</v>
      </c>
      <c r="M1643" s="392" t="s">
        <v>3758</v>
      </c>
      <c r="N1643" s="392" t="s">
        <v>7273</v>
      </c>
      <c r="O1643" s="392" t="s">
        <v>7273</v>
      </c>
      <c r="P1643"/>
      <c r="Q1643"/>
      <c r="R1643" s="387">
        <f>VLOOKUP(E1643,'[1]NDB Impacted SPRFs 05032013'!$A$2:$A$65536,1,FALSE)</f>
        <v>400007856</v>
      </c>
      <c r="S1643" s="128"/>
      <c r="T1643" s="128"/>
      <c r="U1643" s="128"/>
    </row>
    <row r="1644" spans="1:21" s="159" customFormat="1" ht="45" x14ac:dyDescent="0.25">
      <c r="A1644" s="63">
        <f>MATCH($E1644,'D1 - Master Project Table'!$B$24:$B$7056,0)</f>
        <v>754</v>
      </c>
      <c r="B1644" s="63" t="b">
        <f t="shared" si="75"/>
        <v>0</v>
      </c>
      <c r="C1644" s="63" t="b">
        <f t="shared" si="76"/>
        <v>1</v>
      </c>
      <c r="D1644" s="63" t="str">
        <f t="shared" si="77"/>
        <v>OK</v>
      </c>
      <c r="E1644" s="393">
        <v>400017980</v>
      </c>
      <c r="F1644" s="392" t="s">
        <v>3137</v>
      </c>
      <c r="G1644" s="392" t="s">
        <v>5324</v>
      </c>
      <c r="H1644" s="392" t="s">
        <v>7418</v>
      </c>
      <c r="I1644" s="392" t="s">
        <v>1759</v>
      </c>
      <c r="J1644" s="392" t="s">
        <v>8383</v>
      </c>
      <c r="K1644" s="392" t="s">
        <v>5184</v>
      </c>
      <c r="L1644" s="392" t="s">
        <v>987</v>
      </c>
      <c r="M1644" s="392" t="s">
        <v>7273</v>
      </c>
      <c r="N1644" s="392" t="s">
        <v>7273</v>
      </c>
      <c r="O1644" s="392" t="s">
        <v>3758</v>
      </c>
      <c r="P1644"/>
      <c r="Q1644"/>
      <c r="R1644" s="387">
        <f>VLOOKUP(E1644,'[1]NDB Impacted SPRFs 05032013'!$A$2:$A$65536,1,FALSE)</f>
        <v>400017980</v>
      </c>
    </row>
    <row r="1645" spans="1:21" s="159" customFormat="1" ht="45" x14ac:dyDescent="0.25">
      <c r="A1645" s="63">
        <f>MATCH($E1645,'D1 - Master Project Table'!$B$24:$B$7056,0)</f>
        <v>2778</v>
      </c>
      <c r="B1645" s="63" t="b">
        <f t="shared" si="75"/>
        <v>0</v>
      </c>
      <c r="C1645" s="63" t="b">
        <f t="shared" si="76"/>
        <v>1</v>
      </c>
      <c r="D1645" s="63" t="str">
        <f t="shared" si="77"/>
        <v>OK</v>
      </c>
      <c r="E1645" s="393">
        <v>400021877</v>
      </c>
      <c r="F1645" s="392" t="s">
        <v>2989</v>
      </c>
      <c r="G1645" s="392" t="s">
        <v>5324</v>
      </c>
      <c r="H1645" s="392" t="s">
        <v>7418</v>
      </c>
      <c r="I1645" s="392" t="s">
        <v>1761</v>
      </c>
      <c r="J1645" s="392" t="s">
        <v>4990</v>
      </c>
      <c r="K1645" s="392" t="s">
        <v>2020</v>
      </c>
      <c r="L1645" s="392" t="s">
        <v>5174</v>
      </c>
      <c r="M1645" s="392" t="s">
        <v>7273</v>
      </c>
      <c r="N1645" s="392" t="s">
        <v>7273</v>
      </c>
      <c r="O1645" s="392" t="s">
        <v>3758</v>
      </c>
      <c r="P1645"/>
      <c r="Q1645"/>
      <c r="R1645" s="387">
        <f>VLOOKUP(E1645,'[1]NDB Impacted SPRFs 05032013'!$A$2:$A$65536,1,FALSE)</f>
        <v>400021877</v>
      </c>
    </row>
    <row r="1646" spans="1:21" s="159" customFormat="1" ht="45" x14ac:dyDescent="0.25">
      <c r="A1646" s="63">
        <f>MATCH($E1646,'D1 - Master Project Table'!$B$24:$B$7056,0)</f>
        <v>2895</v>
      </c>
      <c r="B1646" s="63" t="b">
        <f t="shared" si="75"/>
        <v>0</v>
      </c>
      <c r="C1646" s="63" t="b">
        <f t="shared" si="76"/>
        <v>1</v>
      </c>
      <c r="D1646" s="63" t="str">
        <f t="shared" si="77"/>
        <v>OK</v>
      </c>
      <c r="E1646" s="393">
        <v>400030031</v>
      </c>
      <c r="F1646" s="392" t="s">
        <v>8097</v>
      </c>
      <c r="G1646" s="392" t="s">
        <v>5324</v>
      </c>
      <c r="H1646" s="392" t="s">
        <v>5314</v>
      </c>
      <c r="I1646" s="392" t="s">
        <v>1763</v>
      </c>
      <c r="J1646" s="392" t="s">
        <v>5168</v>
      </c>
      <c r="K1646" s="392" t="s">
        <v>3283</v>
      </c>
      <c r="L1646" s="392" t="s">
        <v>3175</v>
      </c>
      <c r="M1646" s="392" t="s">
        <v>7273</v>
      </c>
      <c r="N1646" s="392" t="s">
        <v>7273</v>
      </c>
      <c r="O1646" s="392" t="s">
        <v>7273</v>
      </c>
      <c r="P1646"/>
      <c r="Q1646"/>
      <c r="R1646" s="387">
        <f>VLOOKUP(E1646,'[1]NDB Impacted SPRFs 05032013'!$A$2:$A$65536,1,FALSE)</f>
        <v>400030031</v>
      </c>
    </row>
    <row r="1647" spans="1:21" s="159" customFormat="1" ht="30" x14ac:dyDescent="0.25">
      <c r="A1647" s="63">
        <f>MATCH($E1647,'D1 - Master Project Table'!$B$24:$B$7056,0)</f>
        <v>216</v>
      </c>
      <c r="B1647" s="63" t="b">
        <f t="shared" si="75"/>
        <v>0</v>
      </c>
      <c r="C1647" s="63" t="b">
        <f t="shared" si="76"/>
        <v>0</v>
      </c>
      <c r="D1647" s="63" t="str">
        <f t="shared" si="77"/>
        <v>OK</v>
      </c>
      <c r="E1647" s="393">
        <v>400052216</v>
      </c>
      <c r="F1647" s="392" t="s">
        <v>1457</v>
      </c>
      <c r="G1647" s="392" t="s">
        <v>9210</v>
      </c>
      <c r="H1647" s="392" t="s">
        <v>4388</v>
      </c>
      <c r="I1647" s="392" t="s">
        <v>3540</v>
      </c>
      <c r="J1647" s="392" t="s">
        <v>8747</v>
      </c>
      <c r="K1647" s="392" t="s">
        <v>7043</v>
      </c>
      <c r="L1647" s="392" t="s">
        <v>1458</v>
      </c>
      <c r="M1647" s="392" t="s">
        <v>7273</v>
      </c>
      <c r="N1647" s="392" t="s">
        <v>7273</v>
      </c>
      <c r="O1647" s="392" t="s">
        <v>7273</v>
      </c>
      <c r="P1647"/>
      <c r="Q1647"/>
      <c r="R1647" s="387">
        <f>VLOOKUP(E1647,'[1]NDB Impacted SPRFs 05032013'!$A$2:$A$65536,1,FALSE)</f>
        <v>400052216</v>
      </c>
    </row>
    <row r="1648" spans="1:21" s="159" customFormat="1" ht="60" x14ac:dyDescent="0.25">
      <c r="A1648" s="63">
        <f>MATCH($E1648,'D1 - Master Project Table'!$B$24:$B$7056,0)</f>
        <v>262</v>
      </c>
      <c r="B1648" s="63" t="b">
        <f t="shared" ref="B1648:B1711" si="78">ISERROR(A1648)</f>
        <v>0</v>
      </c>
      <c r="C1648" s="63" t="b">
        <f t="shared" si="76"/>
        <v>0</v>
      </c>
      <c r="D1648" s="63" t="str">
        <f t="shared" si="77"/>
        <v>OK</v>
      </c>
      <c r="E1648" s="393">
        <v>400058809</v>
      </c>
      <c r="F1648" s="392" t="s">
        <v>9238</v>
      </c>
      <c r="G1648" s="392" t="s">
        <v>1147</v>
      </c>
      <c r="H1648" s="392" t="s">
        <v>6462</v>
      </c>
      <c r="I1648" s="392" t="s">
        <v>1757</v>
      </c>
      <c r="J1648" s="392" t="s">
        <v>450</v>
      </c>
      <c r="K1648" s="392" t="s">
        <v>5524</v>
      </c>
      <c r="L1648" s="392" t="s">
        <v>9239</v>
      </c>
      <c r="M1648" s="392" t="s">
        <v>7273</v>
      </c>
      <c r="N1648" s="392" t="s">
        <v>7273</v>
      </c>
      <c r="O1648" s="392" t="s">
        <v>7273</v>
      </c>
      <c r="P1648"/>
      <c r="Q1648"/>
      <c r="R1648" s="387">
        <f>VLOOKUP(E1648,'[1]NDB Impacted SPRFs 05032013'!$A$2:$A$65536,1,FALSE)</f>
        <v>400058809</v>
      </c>
    </row>
    <row r="1649" spans="1:21" s="159" customFormat="1" ht="30" x14ac:dyDescent="0.25">
      <c r="A1649" s="63">
        <f>MATCH($E1649,'D1 - Master Project Table'!$B$24:$B$7056,0)</f>
        <v>1204</v>
      </c>
      <c r="B1649" s="63" t="b">
        <f t="shared" si="78"/>
        <v>0</v>
      </c>
      <c r="C1649" s="63" t="b">
        <f t="shared" si="76"/>
        <v>1</v>
      </c>
      <c r="D1649" s="63" t="str">
        <f t="shared" si="77"/>
        <v>OK</v>
      </c>
      <c r="E1649" s="393">
        <v>400031992</v>
      </c>
      <c r="F1649" s="392" t="s">
        <v>1966</v>
      </c>
      <c r="G1649" s="392" t="s">
        <v>5995</v>
      </c>
      <c r="H1649" s="392" t="s">
        <v>7418</v>
      </c>
      <c r="I1649" s="392" t="s">
        <v>6423</v>
      </c>
      <c r="J1649" s="392" t="s">
        <v>8819</v>
      </c>
      <c r="K1649" s="392" t="s">
        <v>7490</v>
      </c>
      <c r="L1649" s="392" t="s">
        <v>4842</v>
      </c>
      <c r="M1649" s="392" t="s">
        <v>7273</v>
      </c>
      <c r="N1649" s="392" t="s">
        <v>7273</v>
      </c>
      <c r="O1649" s="392" t="s">
        <v>3758</v>
      </c>
      <c r="P1649"/>
      <c r="Q1649"/>
      <c r="R1649" s="387">
        <f>VLOOKUP(E1649,'[1]NDB Impacted SPRFs 05032013'!$A$2:$A$65536,1,FALSE)</f>
        <v>400031992</v>
      </c>
      <c r="S1649" s="128"/>
      <c r="T1649" s="128"/>
      <c r="U1649" s="128"/>
    </row>
    <row r="1650" spans="1:21" s="159" customFormat="1" ht="30" x14ac:dyDescent="0.25">
      <c r="A1650" s="63" t="e">
        <f>MATCH($E1650,'D1 - Master Project Table'!$B$24:$B$7056,0)</f>
        <v>#N/A</v>
      </c>
      <c r="B1650" s="63" t="b">
        <f t="shared" si="78"/>
        <v>1</v>
      </c>
      <c r="C1650" s="63" t="b">
        <f t="shared" si="76"/>
        <v>1</v>
      </c>
      <c r="D1650" s="63" t="str">
        <f t="shared" si="77"/>
        <v>OK</v>
      </c>
      <c r="E1650" s="393">
        <v>400002290</v>
      </c>
      <c r="F1650" s="392" t="s">
        <v>6492</v>
      </c>
      <c r="G1650" s="392" t="s">
        <v>5787</v>
      </c>
      <c r="H1650" s="392" t="s">
        <v>5314</v>
      </c>
      <c r="I1650" s="392" t="s">
        <v>1779</v>
      </c>
      <c r="J1650" s="392" t="s">
        <v>2959</v>
      </c>
      <c r="K1650" s="392" t="s">
        <v>2959</v>
      </c>
      <c r="L1650" s="392" t="s">
        <v>1605</v>
      </c>
      <c r="M1650" s="392" t="s">
        <v>7273</v>
      </c>
      <c r="N1650" s="392" t="s">
        <v>7273</v>
      </c>
      <c r="O1650" s="392" t="s">
        <v>7273</v>
      </c>
      <c r="P1650"/>
      <c r="Q1650"/>
      <c r="R1650" s="387">
        <f>VLOOKUP(E1650,'[1]NDB Impacted SPRFs 05032013'!$A$2:$A$65536,1,FALSE)</f>
        <v>400002290</v>
      </c>
    </row>
    <row r="1651" spans="1:21" s="159" customFormat="1" ht="45" x14ac:dyDescent="0.25">
      <c r="A1651" s="63">
        <f>MATCH($E1651,'D1 - Master Project Table'!$B$24:$B$7056,0)</f>
        <v>347</v>
      </c>
      <c r="B1651" s="63" t="b">
        <f t="shared" si="78"/>
        <v>0</v>
      </c>
      <c r="C1651" s="63" t="b">
        <f t="shared" si="76"/>
        <v>1</v>
      </c>
      <c r="D1651" s="63" t="str">
        <f t="shared" si="77"/>
        <v>OK</v>
      </c>
      <c r="E1651" s="393">
        <v>400006324</v>
      </c>
      <c r="F1651" s="392" t="s">
        <v>1224</v>
      </c>
      <c r="G1651" s="392" t="s">
        <v>5324</v>
      </c>
      <c r="H1651" s="392" t="s">
        <v>7418</v>
      </c>
      <c r="I1651" s="392" t="s">
        <v>1765</v>
      </c>
      <c r="J1651" s="392" t="s">
        <v>2467</v>
      </c>
      <c r="K1651" s="392" t="s">
        <v>2523</v>
      </c>
      <c r="L1651" s="392" t="s">
        <v>6145</v>
      </c>
      <c r="M1651" s="392" t="s">
        <v>7273</v>
      </c>
      <c r="N1651" s="392" t="s">
        <v>7273</v>
      </c>
      <c r="O1651" s="392" t="s">
        <v>7273</v>
      </c>
      <c r="P1651"/>
      <c r="Q1651"/>
      <c r="R1651" s="387">
        <f>VLOOKUP(E1651,'[1]NDB Impacted SPRFs 05032013'!$A$2:$A$65536,1,FALSE)</f>
        <v>400006324</v>
      </c>
    </row>
    <row r="1652" spans="1:21" s="159" customFormat="1" ht="45" x14ac:dyDescent="0.25">
      <c r="A1652" s="63">
        <f>MATCH($E1652,'D1 - Master Project Table'!$B$24:$B$7056,0)</f>
        <v>526</v>
      </c>
      <c r="B1652" s="63" t="b">
        <f t="shared" si="78"/>
        <v>0</v>
      </c>
      <c r="C1652" s="63" t="b">
        <f t="shared" si="76"/>
        <v>1</v>
      </c>
      <c r="D1652" s="63" t="str">
        <f t="shared" si="77"/>
        <v>OK</v>
      </c>
      <c r="E1652" s="393">
        <v>400011520</v>
      </c>
      <c r="F1652" s="392" t="s">
        <v>5019</v>
      </c>
      <c r="G1652" s="392" t="s">
        <v>5324</v>
      </c>
      <c r="H1652" s="392" t="s">
        <v>7418</v>
      </c>
      <c r="I1652" s="392" t="s">
        <v>1764</v>
      </c>
      <c r="J1652" s="392" t="s">
        <v>4344</v>
      </c>
      <c r="K1652" s="392" t="s">
        <v>5159</v>
      </c>
      <c r="L1652" s="392" t="s">
        <v>4603</v>
      </c>
      <c r="M1652" s="392" t="s">
        <v>7273</v>
      </c>
      <c r="N1652" s="392" t="s">
        <v>7273</v>
      </c>
      <c r="O1652" s="392" t="s">
        <v>7273</v>
      </c>
      <c r="P1652"/>
      <c r="Q1652"/>
      <c r="R1652" s="387">
        <f>VLOOKUP(E1652,'[1]NDB Impacted SPRFs 05032013'!$A$2:$A$65536,1,FALSE)</f>
        <v>400011520</v>
      </c>
      <c r="S1652" s="128"/>
      <c r="T1652" s="128"/>
      <c r="U1652" s="128"/>
    </row>
    <row r="1653" spans="1:21" s="159" customFormat="1" ht="45" x14ac:dyDescent="0.25">
      <c r="A1653" s="63">
        <f>MATCH($E1653,'D1 - Master Project Table'!$B$24:$B$7056,0)</f>
        <v>2677</v>
      </c>
      <c r="B1653" s="63" t="b">
        <f t="shared" si="78"/>
        <v>0</v>
      </c>
      <c r="C1653" s="63" t="b">
        <f t="shared" si="76"/>
        <v>1</v>
      </c>
      <c r="D1653" s="63" t="str">
        <f t="shared" si="77"/>
        <v>OK</v>
      </c>
      <c r="E1653" s="393">
        <v>400016886</v>
      </c>
      <c r="F1653" s="392" t="s">
        <v>3366</v>
      </c>
      <c r="G1653" s="392" t="s">
        <v>5324</v>
      </c>
      <c r="H1653" s="392" t="s">
        <v>5314</v>
      </c>
      <c r="I1653" s="392" t="s">
        <v>1756</v>
      </c>
      <c r="J1653" s="392" t="s">
        <v>6905</v>
      </c>
      <c r="K1653" s="392" t="s">
        <v>1506</v>
      </c>
      <c r="L1653" s="392" t="s">
        <v>3808</v>
      </c>
      <c r="M1653" s="392" t="s">
        <v>3758</v>
      </c>
      <c r="N1653" s="392" t="s">
        <v>7273</v>
      </c>
      <c r="O1653" s="392" t="s">
        <v>7273</v>
      </c>
      <c r="P1653"/>
      <c r="Q1653"/>
      <c r="R1653" s="387">
        <f>VLOOKUP(E1653,'[1]NDB Impacted SPRFs 05032013'!$A$2:$A$65536,1,FALSE)</f>
        <v>400016886</v>
      </c>
    </row>
    <row r="1654" spans="1:21" s="159" customFormat="1" ht="45" x14ac:dyDescent="0.25">
      <c r="A1654" s="63">
        <f>MATCH($E1654,'D1 - Master Project Table'!$B$24:$B$7056,0)</f>
        <v>2788</v>
      </c>
      <c r="B1654" s="63" t="b">
        <f t="shared" si="78"/>
        <v>0</v>
      </c>
      <c r="C1654" s="63" t="b">
        <f t="shared" si="76"/>
        <v>1</v>
      </c>
      <c r="D1654" s="63" t="str">
        <f t="shared" si="77"/>
        <v>OK</v>
      </c>
      <c r="E1654" s="393">
        <v>400022487</v>
      </c>
      <c r="F1654" s="392" t="s">
        <v>7204</v>
      </c>
      <c r="G1654" s="392" t="s">
        <v>5324</v>
      </c>
      <c r="H1654" s="392" t="s">
        <v>5314</v>
      </c>
      <c r="I1654" s="392" t="s">
        <v>1763</v>
      </c>
      <c r="J1654" s="392" t="s">
        <v>8292</v>
      </c>
      <c r="K1654" s="392" t="s">
        <v>3905</v>
      </c>
      <c r="L1654" s="392" t="s">
        <v>5152</v>
      </c>
      <c r="M1654" s="392" t="s">
        <v>7273</v>
      </c>
      <c r="N1654" s="392" t="s">
        <v>7273</v>
      </c>
      <c r="O1654" s="392" t="s">
        <v>7273</v>
      </c>
      <c r="P1654"/>
      <c r="Q1654"/>
      <c r="R1654" s="387">
        <f>VLOOKUP(E1654,'[1]NDB Impacted SPRFs 05032013'!$A$2:$A$65536,1,FALSE)</f>
        <v>400022487</v>
      </c>
      <c r="S1654" s="128"/>
      <c r="T1654" s="128"/>
      <c r="U1654" s="128"/>
    </row>
    <row r="1655" spans="1:21" s="159" customFormat="1" ht="30" x14ac:dyDescent="0.25">
      <c r="A1655" s="63">
        <f>MATCH($E1655,'D1 - Master Project Table'!$B$24:$B$7056,0)</f>
        <v>2945</v>
      </c>
      <c r="B1655" s="63" t="b">
        <f t="shared" si="78"/>
        <v>0</v>
      </c>
      <c r="C1655" s="63" t="b">
        <f t="shared" si="76"/>
        <v>1</v>
      </c>
      <c r="D1655" s="63" t="str">
        <f t="shared" si="77"/>
        <v>OK</v>
      </c>
      <c r="E1655" s="393">
        <v>400034455</v>
      </c>
      <c r="F1655" s="392" t="s">
        <v>4366</v>
      </c>
      <c r="G1655" s="392" t="s">
        <v>6322</v>
      </c>
      <c r="H1655" s="392" t="s">
        <v>5314</v>
      </c>
      <c r="I1655" s="392" t="s">
        <v>1118</v>
      </c>
      <c r="J1655" s="392" t="s">
        <v>4688</v>
      </c>
      <c r="K1655" s="392" t="s">
        <v>1629</v>
      </c>
      <c r="L1655" s="392" t="s">
        <v>3181</v>
      </c>
      <c r="M1655" s="392" t="s">
        <v>7273</v>
      </c>
      <c r="N1655" s="392" t="s">
        <v>7273</v>
      </c>
      <c r="O1655" s="392" t="s">
        <v>3758</v>
      </c>
      <c r="P1655"/>
      <c r="Q1655"/>
      <c r="R1655" s="387">
        <f>VLOOKUP(E1655,'[1]NDB Impacted SPRFs 05032013'!$A$2:$A$65536,1,FALSE)</f>
        <v>400034455</v>
      </c>
    </row>
    <row r="1656" spans="1:21" s="159" customFormat="1" ht="60" customHeight="1" x14ac:dyDescent="0.25">
      <c r="A1656" s="63">
        <f>MATCH($E1656,'D1 - Master Project Table'!$B$24:$B$7056,0)</f>
        <v>2968</v>
      </c>
      <c r="B1656" s="63" t="b">
        <f t="shared" si="78"/>
        <v>0</v>
      </c>
      <c r="C1656" s="63" t="b">
        <f t="shared" si="76"/>
        <v>1</v>
      </c>
      <c r="D1656" s="63" t="str">
        <f t="shared" si="77"/>
        <v>OK</v>
      </c>
      <c r="E1656" s="393">
        <v>400036446</v>
      </c>
      <c r="F1656" s="392" t="s">
        <v>3862</v>
      </c>
      <c r="G1656" s="392" t="s">
        <v>5324</v>
      </c>
      <c r="H1656" s="392" t="s">
        <v>5314</v>
      </c>
      <c r="I1656" s="392" t="s">
        <v>1757</v>
      </c>
      <c r="J1656" s="392" t="s">
        <v>3679</v>
      </c>
      <c r="K1656" s="392" t="s">
        <v>7197</v>
      </c>
      <c r="L1656" s="392" t="s">
        <v>3181</v>
      </c>
      <c r="M1656" s="392" t="s">
        <v>7273</v>
      </c>
      <c r="N1656" s="392" t="s">
        <v>7273</v>
      </c>
      <c r="O1656" s="392" t="s">
        <v>3758</v>
      </c>
      <c r="P1656"/>
      <c r="Q1656"/>
      <c r="R1656" s="387">
        <f>VLOOKUP(E1656,'[1]NDB Impacted SPRFs 05032013'!$A$2:$A$65536,1,FALSE)</f>
        <v>400036446</v>
      </c>
    </row>
    <row r="1657" spans="1:21" s="159" customFormat="1" ht="45" x14ac:dyDescent="0.25">
      <c r="A1657" s="63">
        <f>MATCH($E1657,'D1 - Master Project Table'!$B$24:$B$7056,0)</f>
        <v>3120</v>
      </c>
      <c r="B1657" s="63" t="b">
        <f t="shared" si="78"/>
        <v>0</v>
      </c>
      <c r="C1657" s="63" t="b">
        <f t="shared" si="76"/>
        <v>1</v>
      </c>
      <c r="D1657" s="63" t="str">
        <f t="shared" si="77"/>
        <v>OK</v>
      </c>
      <c r="E1657" s="393">
        <v>400052607</v>
      </c>
      <c r="F1657" s="392" t="s">
        <v>873</v>
      </c>
      <c r="G1657" s="392" t="s">
        <v>6322</v>
      </c>
      <c r="H1657" s="392" t="s">
        <v>5314</v>
      </c>
      <c r="I1657" s="392" t="s">
        <v>1762</v>
      </c>
      <c r="J1657" s="392" t="s">
        <v>8641</v>
      </c>
      <c r="K1657" s="392" t="s">
        <v>1440</v>
      </c>
      <c r="L1657" s="392" t="s">
        <v>140</v>
      </c>
      <c r="M1657" s="392" t="s">
        <v>7273</v>
      </c>
      <c r="N1657" s="392" t="s">
        <v>7273</v>
      </c>
      <c r="O1657" s="392" t="s">
        <v>7273</v>
      </c>
      <c r="P1657"/>
      <c r="Q1657"/>
      <c r="R1657" s="387">
        <f>VLOOKUP(E1657,'[1]NDB Impacted SPRFs 05032013'!$A$2:$A$65536,1,FALSE)</f>
        <v>400052607</v>
      </c>
    </row>
    <row r="1658" spans="1:21" s="159" customFormat="1" ht="30" x14ac:dyDescent="0.25">
      <c r="A1658" s="63">
        <f>MATCH($E1658,'D1 - Master Project Table'!$B$24:$B$7056,0)</f>
        <v>58</v>
      </c>
      <c r="B1658" s="63" t="b">
        <f t="shared" si="78"/>
        <v>0</v>
      </c>
      <c r="C1658" s="63" t="b">
        <f t="shared" si="76"/>
        <v>0</v>
      </c>
      <c r="D1658" s="63" t="str">
        <f t="shared" si="77"/>
        <v>OK</v>
      </c>
      <c r="E1658" s="393">
        <v>400054948</v>
      </c>
      <c r="F1658" s="392" t="s">
        <v>186</v>
      </c>
      <c r="G1658" s="392" t="s">
        <v>6322</v>
      </c>
      <c r="H1658" s="392" t="s">
        <v>4917</v>
      </c>
      <c r="I1658" s="392" t="s">
        <v>1757</v>
      </c>
      <c r="J1658" s="392" t="s">
        <v>3151</v>
      </c>
      <c r="K1658" s="392" t="s">
        <v>187</v>
      </c>
      <c r="L1658" s="392" t="s">
        <v>140</v>
      </c>
      <c r="M1658" s="392" t="s">
        <v>7273</v>
      </c>
      <c r="N1658" s="392" t="s">
        <v>7273</v>
      </c>
      <c r="O1658" s="392" t="s">
        <v>7273</v>
      </c>
      <c r="P1658"/>
      <c r="Q1658"/>
      <c r="R1658" s="387">
        <f>VLOOKUP(E1658,'[1]NDB Impacted SPRFs 05032013'!$A$2:$A$65536,1,FALSE)</f>
        <v>400054948</v>
      </c>
    </row>
    <row r="1659" spans="1:21" s="159" customFormat="1" ht="30" x14ac:dyDescent="0.25">
      <c r="A1659" s="63">
        <f>MATCH($E1659,'D1 - Master Project Table'!$B$24:$B$7056,0)</f>
        <v>234</v>
      </c>
      <c r="B1659" s="63" t="b">
        <f t="shared" si="78"/>
        <v>0</v>
      </c>
      <c r="C1659" s="63" t="b">
        <f t="shared" si="76"/>
        <v>0</v>
      </c>
      <c r="D1659" s="63" t="str">
        <f t="shared" si="77"/>
        <v>OK</v>
      </c>
      <c r="E1659" s="393">
        <v>400056056</v>
      </c>
      <c r="F1659" s="392" t="s">
        <v>7898</v>
      </c>
      <c r="G1659" s="392" t="s">
        <v>6322</v>
      </c>
      <c r="H1659" s="392" t="s">
        <v>4917</v>
      </c>
      <c r="I1659" s="392" t="s">
        <v>1757</v>
      </c>
      <c r="J1659" s="392" t="s">
        <v>3151</v>
      </c>
      <c r="K1659" s="392" t="s">
        <v>3152</v>
      </c>
      <c r="L1659" s="392" t="s">
        <v>140</v>
      </c>
      <c r="M1659" s="392" t="s">
        <v>7273</v>
      </c>
      <c r="N1659" s="392" t="s">
        <v>7273</v>
      </c>
      <c r="O1659" s="392" t="s">
        <v>7273</v>
      </c>
      <c r="P1659"/>
      <c r="Q1659"/>
      <c r="R1659" s="387">
        <f>VLOOKUP(E1659,'[1]NDB Impacted SPRFs 05032013'!$A$2:$A$65536,1,FALSE)</f>
        <v>400056056</v>
      </c>
    </row>
    <row r="1660" spans="1:21" s="159" customFormat="1" ht="30" x14ac:dyDescent="0.25">
      <c r="A1660" s="63">
        <f>MATCH($E1660,'D1 - Master Project Table'!$B$24:$B$7056,0)</f>
        <v>253</v>
      </c>
      <c r="B1660" s="63" t="b">
        <f t="shared" si="78"/>
        <v>0</v>
      </c>
      <c r="C1660" s="63" t="b">
        <f t="shared" si="76"/>
        <v>0</v>
      </c>
      <c r="D1660" s="63" t="str">
        <f t="shared" si="77"/>
        <v>OK</v>
      </c>
      <c r="E1660" s="393">
        <v>400058424</v>
      </c>
      <c r="F1660" s="392" t="s">
        <v>9274</v>
      </c>
      <c r="G1660" s="392" t="s">
        <v>6322</v>
      </c>
      <c r="H1660" s="392" t="s">
        <v>7479</v>
      </c>
      <c r="I1660" s="392" t="s">
        <v>1762</v>
      </c>
      <c r="J1660" s="392" t="s">
        <v>9275</v>
      </c>
      <c r="K1660" s="392" t="s">
        <v>9276</v>
      </c>
      <c r="L1660" s="392" t="s">
        <v>140</v>
      </c>
      <c r="M1660" s="392" t="s">
        <v>7273</v>
      </c>
      <c r="N1660" s="392" t="s">
        <v>7273</v>
      </c>
      <c r="O1660" s="392" t="s">
        <v>7273</v>
      </c>
      <c r="P1660"/>
      <c r="Q1660"/>
      <c r="R1660" s="387">
        <f>VLOOKUP(E1660,'[1]NDB Impacted SPRFs 05032013'!$A$2:$A$65536,1,FALSE)</f>
        <v>400058424</v>
      </c>
      <c r="S1660" s="128"/>
      <c r="T1660" s="128"/>
      <c r="U1660" s="128"/>
    </row>
    <row r="1661" spans="1:21" s="159" customFormat="1" ht="30" x14ac:dyDescent="0.25">
      <c r="A1661" s="63">
        <f>MATCH($E1661,'D1 - Master Project Table'!$B$24:$B$7056,0)</f>
        <v>254</v>
      </c>
      <c r="B1661" s="63" t="b">
        <f t="shared" si="78"/>
        <v>0</v>
      </c>
      <c r="C1661" s="63" t="b">
        <f t="shared" si="76"/>
        <v>0</v>
      </c>
      <c r="D1661" s="63" t="str">
        <f t="shared" si="77"/>
        <v>OK</v>
      </c>
      <c r="E1661" s="393">
        <v>400058425</v>
      </c>
      <c r="F1661" s="392" t="s">
        <v>9277</v>
      </c>
      <c r="G1661" s="392" t="s">
        <v>6322</v>
      </c>
      <c r="H1661" s="392" t="s">
        <v>8012</v>
      </c>
      <c r="I1661" s="392" t="s">
        <v>1762</v>
      </c>
      <c r="J1661" s="392" t="s">
        <v>9275</v>
      </c>
      <c r="K1661" s="392" t="s">
        <v>9276</v>
      </c>
      <c r="L1661" s="392" t="s">
        <v>140</v>
      </c>
      <c r="M1661" s="392" t="s">
        <v>7273</v>
      </c>
      <c r="N1661" s="392" t="s">
        <v>7273</v>
      </c>
      <c r="O1661" s="392" t="s">
        <v>7273</v>
      </c>
      <c r="P1661"/>
      <c r="Q1661"/>
      <c r="R1661" s="387">
        <f>VLOOKUP(E1661,'[1]NDB Impacted SPRFs 05032013'!$A$2:$A$65536,1,FALSE)</f>
        <v>400058425</v>
      </c>
    </row>
    <row r="1662" spans="1:21" s="159" customFormat="1" ht="45" x14ac:dyDescent="0.25">
      <c r="A1662" s="63">
        <f>MATCH($E1662,'D1 - Master Project Table'!$B$24:$B$7056,0)</f>
        <v>2521</v>
      </c>
      <c r="B1662" s="63" t="b">
        <f t="shared" si="78"/>
        <v>0</v>
      </c>
      <c r="C1662" s="63" t="b">
        <f t="shared" si="76"/>
        <v>1</v>
      </c>
      <c r="D1662" s="63" t="str">
        <f t="shared" si="77"/>
        <v>OK</v>
      </c>
      <c r="E1662" s="393">
        <v>400007796</v>
      </c>
      <c r="F1662" s="392" t="s">
        <v>7143</v>
      </c>
      <c r="G1662" s="392" t="s">
        <v>5324</v>
      </c>
      <c r="H1662" s="392" t="s">
        <v>5314</v>
      </c>
      <c r="I1662" s="392" t="s">
        <v>1765</v>
      </c>
      <c r="J1662" s="392" t="s">
        <v>8334</v>
      </c>
      <c r="K1662" s="392" t="s">
        <v>5755</v>
      </c>
      <c r="L1662" s="392" t="s">
        <v>7399</v>
      </c>
      <c r="M1662" s="392" t="s">
        <v>3758</v>
      </c>
      <c r="N1662" s="392" t="s">
        <v>7273</v>
      </c>
      <c r="O1662" s="392" t="s">
        <v>7273</v>
      </c>
      <c r="P1662"/>
      <c r="Q1662"/>
      <c r="R1662" s="387">
        <f>VLOOKUP(E1662,'[1]NDB Impacted SPRFs 05032013'!$A$2:$A$65536,1,FALSE)</f>
        <v>400007796</v>
      </c>
    </row>
    <row r="1663" spans="1:21" s="159" customFormat="1" ht="45" x14ac:dyDescent="0.25">
      <c r="A1663" s="63">
        <f>MATCH($E1663,'D1 - Master Project Table'!$B$24:$B$7056,0)</f>
        <v>2901</v>
      </c>
      <c r="B1663" s="63" t="b">
        <f t="shared" si="78"/>
        <v>0</v>
      </c>
      <c r="C1663" s="63" t="b">
        <f t="shared" si="76"/>
        <v>1</v>
      </c>
      <c r="D1663" s="63" t="str">
        <f t="shared" si="77"/>
        <v>OK</v>
      </c>
      <c r="E1663" s="393">
        <v>400030595</v>
      </c>
      <c r="F1663" s="392" t="s">
        <v>4604</v>
      </c>
      <c r="G1663" s="392" t="s">
        <v>5324</v>
      </c>
      <c r="H1663" s="392" t="s">
        <v>5314</v>
      </c>
      <c r="I1663" s="392" t="s">
        <v>1758</v>
      </c>
      <c r="J1663" s="392" t="s">
        <v>8381</v>
      </c>
      <c r="K1663" s="392" t="s">
        <v>7586</v>
      </c>
      <c r="L1663" s="392" t="s">
        <v>1520</v>
      </c>
      <c r="M1663" s="392" t="s">
        <v>7273</v>
      </c>
      <c r="N1663" s="392" t="s">
        <v>7273</v>
      </c>
      <c r="O1663" s="392" t="s">
        <v>7273</v>
      </c>
      <c r="P1663"/>
      <c r="Q1663"/>
      <c r="R1663" s="387">
        <f>VLOOKUP(E1663,'[1]NDB Impacted SPRFs 05032013'!$A$2:$A$65536,1,FALSE)</f>
        <v>400030595</v>
      </c>
    </row>
    <row r="1664" spans="1:21" s="159" customFormat="1" ht="45" x14ac:dyDescent="0.25">
      <c r="A1664" s="63">
        <f>MATCH($E1664,'D1 - Master Project Table'!$B$24:$B$7056,0)</f>
        <v>3018</v>
      </c>
      <c r="B1664" s="63" t="b">
        <f t="shared" si="78"/>
        <v>0</v>
      </c>
      <c r="C1664" s="63" t="b">
        <f t="shared" si="76"/>
        <v>1</v>
      </c>
      <c r="D1664" s="63" t="str">
        <f t="shared" si="77"/>
        <v>OK</v>
      </c>
      <c r="E1664" s="393">
        <v>400040283</v>
      </c>
      <c r="F1664" s="392" t="s">
        <v>6027</v>
      </c>
      <c r="G1664" s="392" t="s">
        <v>5324</v>
      </c>
      <c r="H1664" s="392" t="s">
        <v>5314</v>
      </c>
      <c r="I1664" s="392" t="s">
        <v>1757</v>
      </c>
      <c r="J1664" s="392" t="s">
        <v>8614</v>
      </c>
      <c r="K1664" s="392" t="s">
        <v>6028</v>
      </c>
      <c r="L1664" s="392" t="s">
        <v>390</v>
      </c>
      <c r="M1664" s="392" t="s">
        <v>7273</v>
      </c>
      <c r="N1664" s="392" t="s">
        <v>7273</v>
      </c>
      <c r="O1664" s="392" t="s">
        <v>7273</v>
      </c>
      <c r="P1664"/>
      <c r="Q1664"/>
      <c r="R1664" s="387">
        <f>VLOOKUP(E1664,'[1]NDB Impacted SPRFs 05032013'!$A$2:$A$65536,1,FALSE)</f>
        <v>400040283</v>
      </c>
      <c r="S1664" s="128"/>
      <c r="T1664" s="128"/>
      <c r="U1664" s="128"/>
    </row>
    <row r="1665" spans="1:21" s="159" customFormat="1" ht="15" x14ac:dyDescent="0.25">
      <c r="A1665" s="63">
        <f>MATCH($E1665,'D1 - Master Project Table'!$B$24:$B$7056,0)</f>
        <v>3199</v>
      </c>
      <c r="B1665" s="63" t="b">
        <f t="shared" si="78"/>
        <v>0</v>
      </c>
      <c r="C1665" s="63" t="b">
        <f t="shared" si="76"/>
        <v>1</v>
      </c>
      <c r="D1665" s="63" t="str">
        <f t="shared" si="77"/>
        <v>OK</v>
      </c>
      <c r="E1665" s="393">
        <v>400046213</v>
      </c>
      <c r="F1665" s="392" t="s">
        <v>1322</v>
      </c>
      <c r="G1665" s="392" t="s">
        <v>5995</v>
      </c>
      <c r="H1665" s="392" t="s">
        <v>7418</v>
      </c>
      <c r="I1665" s="392" t="s">
        <v>6423</v>
      </c>
      <c r="J1665" s="392" t="s">
        <v>6657</v>
      </c>
      <c r="K1665" s="392" t="s">
        <v>1323</v>
      </c>
      <c r="L1665" s="392" t="s">
        <v>1324</v>
      </c>
      <c r="M1665" s="392" t="s">
        <v>3758</v>
      </c>
      <c r="N1665" s="392" t="s">
        <v>7273</v>
      </c>
      <c r="O1665" s="392" t="s">
        <v>7273</v>
      </c>
      <c r="P1665"/>
      <c r="Q1665"/>
      <c r="R1665" s="387">
        <f>VLOOKUP(E1665,'[1]NDB Impacted SPRFs 05032013'!$A$2:$A$65536,1,FALSE)</f>
        <v>400046213</v>
      </c>
    </row>
    <row r="1666" spans="1:21" s="159" customFormat="1" ht="15" x14ac:dyDescent="0.25">
      <c r="A1666" s="63" t="e">
        <f>MATCH($E1666,'D1 - Master Project Table'!$B$24:$B$7056,0)</f>
        <v>#N/A</v>
      </c>
      <c r="B1666" s="63" t="b">
        <f t="shared" si="78"/>
        <v>1</v>
      </c>
      <c r="C1666" s="63" t="b">
        <f t="shared" si="76"/>
        <v>1</v>
      </c>
      <c r="D1666" s="63" t="str">
        <f t="shared" si="77"/>
        <v>OK</v>
      </c>
      <c r="E1666" s="393">
        <v>206141150</v>
      </c>
      <c r="F1666" s="392" t="s">
        <v>2137</v>
      </c>
      <c r="G1666" s="392" t="s">
        <v>5787</v>
      </c>
      <c r="H1666" s="392" t="s">
        <v>7418</v>
      </c>
      <c r="I1666" s="392" t="s">
        <v>3489</v>
      </c>
      <c r="J1666" s="392" t="s">
        <v>8668</v>
      </c>
      <c r="K1666" s="392" t="s">
        <v>3009</v>
      </c>
      <c r="L1666" s="392" t="s">
        <v>2784</v>
      </c>
      <c r="M1666" s="392" t="s">
        <v>7273</v>
      </c>
      <c r="N1666" s="392" t="s">
        <v>7273</v>
      </c>
      <c r="O1666" s="392" t="s">
        <v>7273</v>
      </c>
      <c r="P1666"/>
      <c r="Q1666"/>
      <c r="R1666" s="387">
        <f>VLOOKUP(E1666,'[1]NDB Impacted SPRFs 05032013'!$A$2:$A$65536,1,FALSE)</f>
        <v>206141150</v>
      </c>
    </row>
    <row r="1667" spans="1:21" s="159" customFormat="1" ht="30" x14ac:dyDescent="0.25">
      <c r="A1667" s="63" t="e">
        <f>MATCH($E1667,'D1 - Master Project Table'!$B$24:$B$7056,0)</f>
        <v>#N/A</v>
      </c>
      <c r="B1667" s="63" t="b">
        <f t="shared" si="78"/>
        <v>1</v>
      </c>
      <c r="C1667" s="63" t="b">
        <f t="shared" si="76"/>
        <v>1</v>
      </c>
      <c r="D1667" s="63" t="str">
        <f t="shared" si="77"/>
        <v>OK</v>
      </c>
      <c r="E1667" s="393">
        <v>212061201</v>
      </c>
      <c r="F1667" s="392" t="s">
        <v>3674</v>
      </c>
      <c r="G1667" s="392" t="s">
        <v>5787</v>
      </c>
      <c r="H1667" s="392" t="s">
        <v>5314</v>
      </c>
      <c r="I1667" s="392" t="s">
        <v>1778</v>
      </c>
      <c r="J1667" s="392" t="s">
        <v>8675</v>
      </c>
      <c r="K1667" s="392" t="s">
        <v>1978</v>
      </c>
      <c r="L1667" s="392" t="s">
        <v>3723</v>
      </c>
      <c r="M1667" s="392" t="s">
        <v>3758</v>
      </c>
      <c r="N1667" s="392" t="s">
        <v>7273</v>
      </c>
      <c r="O1667" s="392" t="s">
        <v>7273</v>
      </c>
      <c r="P1667"/>
      <c r="Q1667"/>
      <c r="R1667" s="387">
        <f>VLOOKUP(E1667,'[1]NDB Impacted SPRFs 05032013'!$A$2:$A$65536,1,FALSE)</f>
        <v>212061201</v>
      </c>
    </row>
    <row r="1668" spans="1:21" s="159" customFormat="1" ht="45" x14ac:dyDescent="0.25">
      <c r="A1668" s="63">
        <f>MATCH($E1668,'D1 - Master Project Table'!$B$24:$B$7056,0)</f>
        <v>2622</v>
      </c>
      <c r="B1668" s="63" t="b">
        <f t="shared" si="78"/>
        <v>0</v>
      </c>
      <c r="C1668" s="63" t="b">
        <f t="shared" si="76"/>
        <v>1</v>
      </c>
      <c r="D1668" s="63" t="str">
        <f t="shared" si="77"/>
        <v>OK</v>
      </c>
      <c r="E1668" s="393">
        <v>400013607</v>
      </c>
      <c r="F1668" s="392" t="s">
        <v>2544</v>
      </c>
      <c r="G1668" s="392" t="s">
        <v>5324</v>
      </c>
      <c r="H1668" s="392" t="s">
        <v>5314</v>
      </c>
      <c r="I1668" s="392" t="s">
        <v>1764</v>
      </c>
      <c r="J1668" s="392" t="s">
        <v>2937</v>
      </c>
      <c r="K1668" s="392" t="s">
        <v>5756</v>
      </c>
      <c r="L1668" s="392" t="s">
        <v>6403</v>
      </c>
      <c r="M1668" s="392" t="s">
        <v>7273</v>
      </c>
      <c r="N1668" s="392" t="s">
        <v>7273</v>
      </c>
      <c r="O1668" s="392" t="s">
        <v>7273</v>
      </c>
      <c r="P1668"/>
      <c r="Q1668"/>
      <c r="R1668" s="387">
        <f>VLOOKUP(E1668,'[1]NDB Impacted SPRFs 05032013'!$A$2:$A$65536,1,FALSE)</f>
        <v>400013607</v>
      </c>
      <c r="S1668" s="128"/>
      <c r="T1668" s="128"/>
      <c r="U1668" s="128"/>
    </row>
    <row r="1669" spans="1:21" s="159" customFormat="1" ht="30" x14ac:dyDescent="0.25">
      <c r="A1669" s="63">
        <f>MATCH($E1669,'D1 - Master Project Table'!$B$24:$B$7056,0)</f>
        <v>1087</v>
      </c>
      <c r="B1669" s="63" t="b">
        <f t="shared" si="78"/>
        <v>0</v>
      </c>
      <c r="C1669" s="63" t="b">
        <f t="shared" si="76"/>
        <v>1</v>
      </c>
      <c r="D1669" s="63" t="str">
        <f t="shared" si="77"/>
        <v>OK</v>
      </c>
      <c r="E1669" s="393">
        <v>400028780</v>
      </c>
      <c r="F1669" s="392" t="s">
        <v>7829</v>
      </c>
      <c r="G1669" s="392" t="s">
        <v>5001</v>
      </c>
      <c r="H1669" s="392" t="s">
        <v>7418</v>
      </c>
      <c r="I1669" s="392" t="s">
        <v>2655</v>
      </c>
      <c r="J1669" s="392" t="s">
        <v>7269</v>
      </c>
      <c r="K1669" s="392" t="s">
        <v>5218</v>
      </c>
      <c r="L1669" s="392" t="s">
        <v>720</v>
      </c>
      <c r="M1669" s="392" t="s">
        <v>7273</v>
      </c>
      <c r="N1669" s="392" t="s">
        <v>7273</v>
      </c>
      <c r="O1669" s="392" t="s">
        <v>7273</v>
      </c>
      <c r="P1669"/>
      <c r="Q1669"/>
      <c r="R1669" s="387">
        <f>VLOOKUP(E1669,'[1]NDB Impacted SPRFs 05032013'!$A$2:$A$65536,1,FALSE)</f>
        <v>400028780</v>
      </c>
    </row>
    <row r="1670" spans="1:21" s="159" customFormat="1" ht="45" x14ac:dyDescent="0.25">
      <c r="A1670" s="63">
        <f>MATCH($E1670,'D1 - Master Project Table'!$B$24:$B$7056,0)</f>
        <v>1088</v>
      </c>
      <c r="B1670" s="63" t="b">
        <f t="shared" si="78"/>
        <v>0</v>
      </c>
      <c r="C1670" s="63" t="b">
        <f t="shared" ref="C1670:C1733" si="79">OR(H1670="Completed",H1670="Cancelled")</f>
        <v>1</v>
      </c>
      <c r="D1670" s="63" t="str">
        <f t="shared" ref="D1670:D1733" si="80">IF(AND(B1670=TRUE,C1670=FALSE),"Add","OK")</f>
        <v>OK</v>
      </c>
      <c r="E1670" s="393">
        <v>400028831</v>
      </c>
      <c r="F1670" s="392" t="s">
        <v>1988</v>
      </c>
      <c r="G1670" s="392" t="s">
        <v>5324</v>
      </c>
      <c r="H1670" s="392" t="s">
        <v>7418</v>
      </c>
      <c r="I1670" s="392" t="s">
        <v>1759</v>
      </c>
      <c r="J1670" s="392" t="s">
        <v>3679</v>
      </c>
      <c r="K1670" s="392" t="s">
        <v>4006</v>
      </c>
      <c r="L1670" s="392" t="s">
        <v>4905</v>
      </c>
      <c r="M1670" s="392" t="s">
        <v>7273</v>
      </c>
      <c r="N1670" s="392" t="s">
        <v>7273</v>
      </c>
      <c r="O1670" s="392" t="s">
        <v>7273</v>
      </c>
      <c r="P1670"/>
      <c r="Q1670"/>
      <c r="R1670" s="387">
        <f>VLOOKUP(E1670,'[1]NDB Impacted SPRFs 05032013'!$A$2:$A$65536,1,FALSE)</f>
        <v>400028831</v>
      </c>
    </row>
    <row r="1671" spans="1:21" s="159" customFormat="1" ht="30" x14ac:dyDescent="0.25">
      <c r="A1671" s="63">
        <f>MATCH($E1671,'D1 - Master Project Table'!$B$24:$B$7056,0)</f>
        <v>3175</v>
      </c>
      <c r="B1671" s="63" t="b">
        <f t="shared" si="78"/>
        <v>0</v>
      </c>
      <c r="C1671" s="63" t="b">
        <f t="shared" si="79"/>
        <v>1</v>
      </c>
      <c r="D1671" s="63" t="str">
        <f t="shared" si="80"/>
        <v>OK</v>
      </c>
      <c r="E1671" s="393">
        <v>400053541</v>
      </c>
      <c r="F1671" s="392" t="s">
        <v>1362</v>
      </c>
      <c r="G1671" s="392" t="s">
        <v>9210</v>
      </c>
      <c r="H1671" s="392" t="s">
        <v>7418</v>
      </c>
      <c r="I1671" s="392" t="s">
        <v>3540</v>
      </c>
      <c r="J1671" s="392" t="s">
        <v>3518</v>
      </c>
      <c r="K1671" s="392" t="s">
        <v>8075</v>
      </c>
      <c r="L1671" s="392" t="s">
        <v>765</v>
      </c>
      <c r="M1671" s="392" t="s">
        <v>7273</v>
      </c>
      <c r="N1671" s="392" t="s">
        <v>7273</v>
      </c>
      <c r="O1671" s="392" t="s">
        <v>7273</v>
      </c>
      <c r="P1671"/>
      <c r="Q1671"/>
      <c r="R1671" s="387">
        <f>VLOOKUP(E1671,'[1]NDB Impacted SPRFs 05032013'!$A$2:$A$65536,1,FALSE)</f>
        <v>400053541</v>
      </c>
    </row>
    <row r="1672" spans="1:21" s="159" customFormat="1" ht="45" x14ac:dyDescent="0.25">
      <c r="A1672" s="63">
        <f>MATCH($E1672,'D1 - Master Project Table'!$B$24:$B$7056,0)</f>
        <v>509</v>
      </c>
      <c r="B1672" s="63" t="b">
        <f t="shared" si="78"/>
        <v>0</v>
      </c>
      <c r="C1672" s="63" t="b">
        <f t="shared" si="79"/>
        <v>1</v>
      </c>
      <c r="D1672" s="63" t="str">
        <f t="shared" si="80"/>
        <v>OK</v>
      </c>
      <c r="E1672" s="393">
        <v>400007822</v>
      </c>
      <c r="F1672" s="392" t="s">
        <v>2957</v>
      </c>
      <c r="G1672" s="392" t="s">
        <v>5324</v>
      </c>
      <c r="H1672" s="392" t="s">
        <v>7418</v>
      </c>
      <c r="I1672" s="392" t="s">
        <v>1768</v>
      </c>
      <c r="J1672" s="392" t="s">
        <v>8420</v>
      </c>
      <c r="K1672" s="392" t="s">
        <v>5641</v>
      </c>
      <c r="L1672" s="392" t="s">
        <v>4119</v>
      </c>
      <c r="M1672" s="392" t="s">
        <v>7273</v>
      </c>
      <c r="N1672" s="392" t="s">
        <v>7273</v>
      </c>
      <c r="O1672" s="392" t="s">
        <v>7273</v>
      </c>
      <c r="P1672"/>
      <c r="Q1672"/>
      <c r="R1672" s="387">
        <f>VLOOKUP(E1672,'[1]NDB Impacted SPRFs 05032013'!$A$2:$A$65536,1,FALSE)</f>
        <v>400007822</v>
      </c>
    </row>
    <row r="1673" spans="1:21" s="159" customFormat="1" ht="45" x14ac:dyDescent="0.25">
      <c r="A1673" s="63">
        <f>MATCH($E1673,'D1 - Master Project Table'!$B$24:$B$7056,0)</f>
        <v>822</v>
      </c>
      <c r="B1673" s="63" t="b">
        <f t="shared" si="78"/>
        <v>0</v>
      </c>
      <c r="C1673" s="63" t="b">
        <f t="shared" si="79"/>
        <v>1</v>
      </c>
      <c r="D1673" s="63" t="str">
        <f t="shared" si="80"/>
        <v>OK</v>
      </c>
      <c r="E1673" s="393">
        <v>400016387</v>
      </c>
      <c r="F1673" s="392" t="s">
        <v>6810</v>
      </c>
      <c r="G1673" s="392" t="s">
        <v>5324</v>
      </c>
      <c r="H1673" s="392" t="s">
        <v>7418</v>
      </c>
      <c r="I1673" s="392" t="s">
        <v>1764</v>
      </c>
      <c r="J1673" s="392" t="s">
        <v>8420</v>
      </c>
      <c r="K1673" s="392" t="s">
        <v>7401</v>
      </c>
      <c r="L1673" s="392" t="s">
        <v>394</v>
      </c>
      <c r="M1673" s="392" t="s">
        <v>7273</v>
      </c>
      <c r="N1673" s="392" t="s">
        <v>7273</v>
      </c>
      <c r="O1673" s="392" t="s">
        <v>7273</v>
      </c>
      <c r="P1673"/>
      <c r="Q1673"/>
      <c r="R1673" s="387">
        <f>VLOOKUP(E1673,'[1]NDB Impacted SPRFs 05032013'!$A$2:$A$65536,1,FALSE)</f>
        <v>400016387</v>
      </c>
    </row>
    <row r="1674" spans="1:21" s="159" customFormat="1" ht="30" x14ac:dyDescent="0.25">
      <c r="A1674" s="63">
        <f>MATCH($E1674,'D1 - Master Project Table'!$B$24:$B$7056,0)</f>
        <v>2339</v>
      </c>
      <c r="B1674" s="63" t="b">
        <f t="shared" si="78"/>
        <v>0</v>
      </c>
      <c r="C1674" s="63" t="b">
        <f t="shared" si="79"/>
        <v>1</v>
      </c>
      <c r="D1674" s="63" t="str">
        <f t="shared" si="80"/>
        <v>OK</v>
      </c>
      <c r="E1674" s="393">
        <v>400056810</v>
      </c>
      <c r="F1674" s="392" t="s">
        <v>7812</v>
      </c>
      <c r="G1674" s="392" t="s">
        <v>5995</v>
      </c>
      <c r="H1674" s="392" t="s">
        <v>5314</v>
      </c>
      <c r="I1674" s="392" t="s">
        <v>6423</v>
      </c>
      <c r="J1674" s="392" t="s">
        <v>8806</v>
      </c>
      <c r="K1674" s="392" t="s">
        <v>8179</v>
      </c>
      <c r="L1674" s="392" t="s">
        <v>577</v>
      </c>
      <c r="M1674" s="392" t="s">
        <v>3758</v>
      </c>
      <c r="N1674" s="392" t="s">
        <v>7273</v>
      </c>
      <c r="O1674" s="392" t="s">
        <v>7273</v>
      </c>
      <c r="P1674"/>
      <c r="Q1674"/>
      <c r="R1674" s="387">
        <f>VLOOKUP(E1674,'[1]NDB Impacted SPRFs 05032013'!$A$2:$A$65536,1,FALSE)</f>
        <v>400056810</v>
      </c>
      <c r="S1674" s="128"/>
      <c r="T1674" s="128"/>
      <c r="U1674" s="128"/>
    </row>
    <row r="1675" spans="1:21" s="159" customFormat="1" ht="30" x14ac:dyDescent="0.25">
      <c r="A1675" s="63">
        <f>MATCH($E1675,'D1 - Master Project Table'!$B$24:$B$7056,0)</f>
        <v>180</v>
      </c>
      <c r="B1675" s="63" t="b">
        <f t="shared" si="78"/>
        <v>0</v>
      </c>
      <c r="C1675" s="63" t="b">
        <f t="shared" si="79"/>
        <v>0</v>
      </c>
      <c r="D1675" s="63" t="str">
        <f t="shared" si="80"/>
        <v>OK</v>
      </c>
      <c r="E1675" s="393">
        <v>400056814</v>
      </c>
      <c r="F1675" s="392" t="s">
        <v>8178</v>
      </c>
      <c r="G1675" s="392" t="s">
        <v>5995</v>
      </c>
      <c r="H1675" s="392" t="s">
        <v>4917</v>
      </c>
      <c r="I1675" s="392" t="s">
        <v>6423</v>
      </c>
      <c r="J1675" s="392" t="s">
        <v>8806</v>
      </c>
      <c r="K1675" s="392" t="s">
        <v>8179</v>
      </c>
      <c r="L1675" s="392" t="s">
        <v>577</v>
      </c>
      <c r="M1675" s="392" t="s">
        <v>3758</v>
      </c>
      <c r="N1675" s="392" t="s">
        <v>7273</v>
      </c>
      <c r="O1675" s="392" t="s">
        <v>7273</v>
      </c>
      <c r="P1675"/>
      <c r="Q1675"/>
      <c r="R1675" s="387">
        <f>VLOOKUP(E1675,'[1]NDB Impacted SPRFs 05032013'!$A$2:$A$65536,1,FALSE)</f>
        <v>400056814</v>
      </c>
      <c r="S1675" s="128"/>
      <c r="T1675" s="128"/>
      <c r="U1675" s="128"/>
    </row>
    <row r="1676" spans="1:21" s="159" customFormat="1" ht="30" x14ac:dyDescent="0.25">
      <c r="A1676" s="63">
        <f>MATCH($E1676,'D1 - Master Project Table'!$B$24:$B$7056,0)</f>
        <v>1884</v>
      </c>
      <c r="B1676" s="63" t="b">
        <f t="shared" si="78"/>
        <v>0</v>
      </c>
      <c r="C1676" s="63" t="b">
        <f t="shared" si="79"/>
        <v>1</v>
      </c>
      <c r="D1676" s="63" t="str">
        <f t="shared" si="80"/>
        <v>OK</v>
      </c>
      <c r="E1676" s="393">
        <v>400004029</v>
      </c>
      <c r="F1676" s="392" t="s">
        <v>4657</v>
      </c>
      <c r="G1676" s="392" t="s">
        <v>3441</v>
      </c>
      <c r="H1676" s="392" t="s">
        <v>7418</v>
      </c>
      <c r="I1676" s="392" t="s">
        <v>2100</v>
      </c>
      <c r="J1676" s="392" t="s">
        <v>8586</v>
      </c>
      <c r="K1676" s="392" t="s">
        <v>1506</v>
      </c>
      <c r="L1676" s="392" t="s">
        <v>5732</v>
      </c>
      <c r="M1676" s="392" t="s">
        <v>3758</v>
      </c>
      <c r="N1676" s="392" t="s">
        <v>7273</v>
      </c>
      <c r="O1676" s="392" t="s">
        <v>7273</v>
      </c>
      <c r="P1676"/>
      <c r="Q1676"/>
      <c r="R1676" s="387">
        <f>VLOOKUP(E1676,'[1]NDB Impacted SPRFs 05032013'!$A$2:$A$65536,1,FALSE)</f>
        <v>400004029</v>
      </c>
      <c r="S1676" s="128"/>
      <c r="T1676" s="128"/>
      <c r="U1676" s="128"/>
    </row>
    <row r="1677" spans="1:21" s="159" customFormat="1" ht="45" x14ac:dyDescent="0.25">
      <c r="A1677" s="63">
        <f>MATCH($E1677,'D1 - Master Project Table'!$B$24:$B$7056,0)</f>
        <v>2496</v>
      </c>
      <c r="B1677" s="63" t="b">
        <f t="shared" si="78"/>
        <v>0</v>
      </c>
      <c r="C1677" s="63" t="b">
        <f t="shared" si="79"/>
        <v>1</v>
      </c>
      <c r="D1677" s="63" t="str">
        <f t="shared" si="80"/>
        <v>OK</v>
      </c>
      <c r="E1677" s="393">
        <v>400006591</v>
      </c>
      <c r="F1677" s="392" t="s">
        <v>6211</v>
      </c>
      <c r="G1677" s="392" t="s">
        <v>5324</v>
      </c>
      <c r="H1677" s="392" t="s">
        <v>5314</v>
      </c>
      <c r="I1677" s="392" t="s">
        <v>1765</v>
      </c>
      <c r="J1677" s="392" t="s">
        <v>2467</v>
      </c>
      <c r="K1677" s="392" t="s">
        <v>2523</v>
      </c>
      <c r="L1677" s="392" t="s">
        <v>4627</v>
      </c>
      <c r="M1677" s="392" t="s">
        <v>7273</v>
      </c>
      <c r="N1677" s="392" t="s">
        <v>7273</v>
      </c>
      <c r="O1677" s="392" t="s">
        <v>7273</v>
      </c>
      <c r="P1677"/>
      <c r="Q1677"/>
      <c r="R1677" s="387">
        <f>VLOOKUP(E1677,'[1]NDB Impacted SPRFs 05032013'!$A$2:$A$65536,1,FALSE)</f>
        <v>400006591</v>
      </c>
    </row>
    <row r="1678" spans="1:21" ht="45" x14ac:dyDescent="0.25">
      <c r="A1678" s="63">
        <f>MATCH($E1678,'D1 - Master Project Table'!$B$24:$B$7056,0)</f>
        <v>463</v>
      </c>
      <c r="B1678" s="63" t="b">
        <f t="shared" si="78"/>
        <v>0</v>
      </c>
      <c r="C1678" s="63" t="b">
        <f t="shared" si="79"/>
        <v>1</v>
      </c>
      <c r="D1678" s="63" t="str">
        <f t="shared" si="80"/>
        <v>OK</v>
      </c>
      <c r="E1678" s="393">
        <v>400012408</v>
      </c>
      <c r="F1678" s="392" t="s">
        <v>4463</v>
      </c>
      <c r="G1678" s="392" t="s">
        <v>5324</v>
      </c>
      <c r="H1678" s="392" t="s">
        <v>7418</v>
      </c>
      <c r="I1678" s="392" t="s">
        <v>1756</v>
      </c>
      <c r="J1678" s="392" t="s">
        <v>8538</v>
      </c>
      <c r="K1678" s="392" t="s">
        <v>5004</v>
      </c>
      <c r="L1678" s="392" t="s">
        <v>4271</v>
      </c>
      <c r="M1678" s="392" t="s">
        <v>3758</v>
      </c>
      <c r="N1678" s="392" t="s">
        <v>7273</v>
      </c>
      <c r="O1678" s="392" t="s">
        <v>3758</v>
      </c>
      <c r="P1678"/>
      <c r="Q1678"/>
      <c r="R1678" s="387">
        <f>VLOOKUP(E1678,'[1]NDB Impacted SPRFs 05032013'!$A$2:$A$65536,1,FALSE)</f>
        <v>400012408</v>
      </c>
      <c r="S1678" s="159"/>
      <c r="T1678" s="159"/>
      <c r="U1678" s="159"/>
    </row>
    <row r="1679" spans="1:21" s="159" customFormat="1" ht="45" x14ac:dyDescent="0.25">
      <c r="A1679" s="63">
        <f>MATCH($E1679,'D1 - Master Project Table'!$B$24:$B$7056,0)</f>
        <v>2723</v>
      </c>
      <c r="B1679" s="63" t="b">
        <f t="shared" si="78"/>
        <v>0</v>
      </c>
      <c r="C1679" s="63" t="b">
        <f t="shared" si="79"/>
        <v>1</v>
      </c>
      <c r="D1679" s="63" t="str">
        <f t="shared" si="80"/>
        <v>OK</v>
      </c>
      <c r="E1679" s="393">
        <v>400019342</v>
      </c>
      <c r="F1679" s="392" t="s">
        <v>2553</v>
      </c>
      <c r="G1679" s="392" t="s">
        <v>5324</v>
      </c>
      <c r="H1679" s="392" t="s">
        <v>5314</v>
      </c>
      <c r="I1679" s="392" t="s">
        <v>1757</v>
      </c>
      <c r="J1679" s="392" t="s">
        <v>8375</v>
      </c>
      <c r="K1679" s="392" t="s">
        <v>4084</v>
      </c>
      <c r="L1679" s="392" t="s">
        <v>5857</v>
      </c>
      <c r="M1679" s="392" t="s">
        <v>7273</v>
      </c>
      <c r="N1679" s="392" t="s">
        <v>7273</v>
      </c>
      <c r="O1679" s="392" t="s">
        <v>7273</v>
      </c>
      <c r="P1679"/>
      <c r="Q1679"/>
      <c r="R1679" s="387">
        <f>VLOOKUP(E1679,'[1]NDB Impacted SPRFs 05032013'!$A$2:$A$65536,1,FALSE)</f>
        <v>400019342</v>
      </c>
    </row>
    <row r="1680" spans="1:21" s="159" customFormat="1" ht="45" x14ac:dyDescent="0.25">
      <c r="A1680" s="63">
        <f>MATCH($E1680,'D1 - Master Project Table'!$B$24:$B$7056,0)</f>
        <v>2198</v>
      </c>
      <c r="B1680" s="63" t="b">
        <f t="shared" si="78"/>
        <v>0</v>
      </c>
      <c r="C1680" s="63" t="b">
        <f t="shared" si="79"/>
        <v>1</v>
      </c>
      <c r="D1680" s="63" t="str">
        <f t="shared" si="80"/>
        <v>OK</v>
      </c>
      <c r="E1680" s="393">
        <v>400022664</v>
      </c>
      <c r="F1680" s="392" t="s">
        <v>2899</v>
      </c>
      <c r="G1680" s="392" t="s">
        <v>5324</v>
      </c>
      <c r="H1680" s="392" t="s">
        <v>5314</v>
      </c>
      <c r="I1680" s="392" t="s">
        <v>1759</v>
      </c>
      <c r="J1680" s="392" t="s">
        <v>8439</v>
      </c>
      <c r="K1680" s="392" t="s">
        <v>7024</v>
      </c>
      <c r="L1680" s="392" t="s">
        <v>5393</v>
      </c>
      <c r="M1680" s="392" t="s">
        <v>7273</v>
      </c>
      <c r="N1680" s="392" t="s">
        <v>7273</v>
      </c>
      <c r="O1680" s="392" t="s">
        <v>7273</v>
      </c>
      <c r="P1680"/>
      <c r="Q1680"/>
      <c r="R1680" s="387">
        <f>VLOOKUP(E1680,'[1]NDB Impacted SPRFs 05032013'!$A$2:$A$65536,1,FALSE)</f>
        <v>400022664</v>
      </c>
      <c r="S1680" s="128"/>
      <c r="T1680" s="128"/>
      <c r="U1680" s="128"/>
    </row>
    <row r="1681" spans="1:21" s="159" customFormat="1" ht="45" x14ac:dyDescent="0.25">
      <c r="A1681" s="63">
        <f>MATCH($E1681,'D1 - Master Project Table'!$B$24:$B$7056,0)</f>
        <v>928</v>
      </c>
      <c r="B1681" s="63" t="b">
        <f t="shared" si="78"/>
        <v>0</v>
      </c>
      <c r="C1681" s="63" t="b">
        <f t="shared" si="79"/>
        <v>1</v>
      </c>
      <c r="D1681" s="63" t="str">
        <f t="shared" si="80"/>
        <v>OK</v>
      </c>
      <c r="E1681" s="393">
        <v>400023438</v>
      </c>
      <c r="F1681" s="392" t="s">
        <v>6182</v>
      </c>
      <c r="G1681" s="392" t="s">
        <v>5324</v>
      </c>
      <c r="H1681" s="392" t="s">
        <v>5314</v>
      </c>
      <c r="I1681" s="392" t="s">
        <v>1758</v>
      </c>
      <c r="J1681" s="392" t="s">
        <v>8433</v>
      </c>
      <c r="K1681" s="392" t="s">
        <v>1265</v>
      </c>
      <c r="L1681" s="392" t="s">
        <v>4759</v>
      </c>
      <c r="M1681" s="392" t="s">
        <v>7273</v>
      </c>
      <c r="N1681" s="392" t="s">
        <v>7273</v>
      </c>
      <c r="O1681" s="392" t="s">
        <v>7273</v>
      </c>
      <c r="P1681"/>
      <c r="Q1681"/>
      <c r="R1681" s="387">
        <f>VLOOKUP(E1681,'[1]NDB Impacted SPRFs 05032013'!$A$2:$A$65536,1,FALSE)</f>
        <v>400023438</v>
      </c>
    </row>
    <row r="1682" spans="1:21" s="159" customFormat="1" ht="45" x14ac:dyDescent="0.25">
      <c r="A1682" s="63">
        <f>MATCH($E1682,'D1 - Master Project Table'!$B$24:$B$7056,0)</f>
        <v>1159</v>
      </c>
      <c r="B1682" s="63" t="b">
        <f t="shared" si="78"/>
        <v>0</v>
      </c>
      <c r="C1682" s="63" t="b">
        <f t="shared" si="79"/>
        <v>1</v>
      </c>
      <c r="D1682" s="63" t="str">
        <f t="shared" si="80"/>
        <v>OK</v>
      </c>
      <c r="E1682" s="393">
        <v>400030891</v>
      </c>
      <c r="F1682" s="392" t="s">
        <v>6605</v>
      </c>
      <c r="G1682" s="392" t="s">
        <v>5324</v>
      </c>
      <c r="H1682" s="392" t="s">
        <v>7418</v>
      </c>
      <c r="I1682" s="392" t="s">
        <v>1763</v>
      </c>
      <c r="J1682" s="392" t="s">
        <v>8422</v>
      </c>
      <c r="K1682" s="392" t="s">
        <v>3283</v>
      </c>
      <c r="L1682" s="392" t="s">
        <v>6577</v>
      </c>
      <c r="M1682" s="392" t="s">
        <v>7273</v>
      </c>
      <c r="N1682" s="392" t="s">
        <v>7273</v>
      </c>
      <c r="O1682" s="392" t="s">
        <v>7273</v>
      </c>
      <c r="P1682"/>
      <c r="Q1682"/>
      <c r="R1682" s="387">
        <f>VLOOKUP(E1682,'[1]NDB Impacted SPRFs 05032013'!$A$2:$A$65536,1,FALSE)</f>
        <v>400030891</v>
      </c>
      <c r="S1682" s="128"/>
      <c r="T1682" s="128"/>
      <c r="U1682" s="128"/>
    </row>
    <row r="1683" spans="1:21" ht="30" x14ac:dyDescent="0.25">
      <c r="A1683" s="63">
        <f>MATCH($E1683,'D1 - Master Project Table'!$B$24:$B$7056,0)</f>
        <v>3276</v>
      </c>
      <c r="B1683" s="63" t="b">
        <f t="shared" si="78"/>
        <v>0</v>
      </c>
      <c r="C1683" s="63" t="b">
        <f t="shared" si="79"/>
        <v>1</v>
      </c>
      <c r="D1683" s="63" t="str">
        <f t="shared" si="80"/>
        <v>OK</v>
      </c>
      <c r="E1683" s="393">
        <v>400041911</v>
      </c>
      <c r="F1683" s="392" t="s">
        <v>1051</v>
      </c>
      <c r="G1683" s="392" t="s">
        <v>9210</v>
      </c>
      <c r="H1683" s="392" t="s">
        <v>7418</v>
      </c>
      <c r="I1683" s="392" t="s">
        <v>2655</v>
      </c>
      <c r="J1683" s="392" t="s">
        <v>2189</v>
      </c>
      <c r="K1683" s="392" t="s">
        <v>2190</v>
      </c>
      <c r="L1683" s="392" t="s">
        <v>2191</v>
      </c>
      <c r="M1683" s="392" t="s">
        <v>7273</v>
      </c>
      <c r="N1683" s="392" t="s">
        <v>7273</v>
      </c>
      <c r="O1683" s="392" t="s">
        <v>3758</v>
      </c>
      <c r="P1683"/>
      <c r="Q1683"/>
      <c r="R1683" s="387">
        <f>VLOOKUP(E1683,'[1]NDB Impacted SPRFs 05032013'!$A$2:$A$65536,1,FALSE)</f>
        <v>400041911</v>
      </c>
      <c r="S1683" s="159"/>
      <c r="T1683" s="159"/>
      <c r="U1683" s="159"/>
    </row>
    <row r="1684" spans="1:21" s="159" customFormat="1" ht="45" x14ac:dyDescent="0.25">
      <c r="A1684" s="63">
        <f>MATCH($E1684,'D1 - Master Project Table'!$B$24:$B$7056,0)</f>
        <v>223</v>
      </c>
      <c r="B1684" s="63" t="b">
        <f t="shared" si="78"/>
        <v>0</v>
      </c>
      <c r="C1684" s="63" t="b">
        <f t="shared" si="79"/>
        <v>0</v>
      </c>
      <c r="D1684" s="63" t="str">
        <f t="shared" si="80"/>
        <v>OK</v>
      </c>
      <c r="E1684" s="393">
        <v>400054884</v>
      </c>
      <c r="F1684" s="392" t="s">
        <v>7180</v>
      </c>
      <c r="G1684" s="392" t="s">
        <v>5324</v>
      </c>
      <c r="H1684" s="392" t="s">
        <v>8012</v>
      </c>
      <c r="I1684" s="392" t="s">
        <v>1758</v>
      </c>
      <c r="J1684" s="392" t="s">
        <v>2471</v>
      </c>
      <c r="K1684" s="392" t="s">
        <v>168</v>
      </c>
      <c r="L1684" s="392" t="s">
        <v>7689</v>
      </c>
      <c r="M1684" s="392" t="s">
        <v>7273</v>
      </c>
      <c r="N1684" s="392" t="s">
        <v>7273</v>
      </c>
      <c r="O1684" s="392" t="s">
        <v>7273</v>
      </c>
      <c r="P1684"/>
      <c r="Q1684"/>
      <c r="R1684" s="387">
        <f>VLOOKUP(E1684,'[1]NDB Impacted SPRFs 05032013'!$A$2:$A$65536,1,FALSE)</f>
        <v>400054884</v>
      </c>
    </row>
    <row r="1685" spans="1:21" s="159" customFormat="1" ht="45" x14ac:dyDescent="0.25">
      <c r="A1685" s="63">
        <f>MATCH($E1685,'D1 - Master Project Table'!$B$24:$B$7056,0)</f>
        <v>179</v>
      </c>
      <c r="B1685" s="63" t="b">
        <f t="shared" si="78"/>
        <v>0</v>
      </c>
      <c r="C1685" s="63" t="b">
        <f t="shared" si="79"/>
        <v>0</v>
      </c>
      <c r="D1685" s="63" t="str">
        <f t="shared" si="80"/>
        <v>OK</v>
      </c>
      <c r="E1685" s="393">
        <v>400056000</v>
      </c>
      <c r="F1685" s="392" t="s">
        <v>6521</v>
      </c>
      <c r="G1685" s="392" t="s">
        <v>5324</v>
      </c>
      <c r="H1685" s="392" t="s">
        <v>8012</v>
      </c>
      <c r="I1685" s="392" t="s">
        <v>1786</v>
      </c>
      <c r="J1685" s="392" t="s">
        <v>4822</v>
      </c>
      <c r="K1685" s="392" t="s">
        <v>4509</v>
      </c>
      <c r="L1685" s="392" t="s">
        <v>8168</v>
      </c>
      <c r="M1685" s="392" t="s">
        <v>3758</v>
      </c>
      <c r="N1685" s="392" t="s">
        <v>7273</v>
      </c>
      <c r="O1685" s="392" t="s">
        <v>7273</v>
      </c>
      <c r="P1685"/>
      <c r="Q1685"/>
      <c r="R1685" s="387">
        <f>VLOOKUP(E1685,'[1]NDB Impacted SPRFs 05032013'!$A$2:$A$65536,1,FALSE)</f>
        <v>400056000</v>
      </c>
    </row>
    <row r="1686" spans="1:21" s="159" customFormat="1" ht="45" x14ac:dyDescent="0.25">
      <c r="A1686" s="63" t="e">
        <f>MATCH($E1686,'D1 - Master Project Table'!$B$24:$B$7056,0)</f>
        <v>#N/A</v>
      </c>
      <c r="B1686" s="63" t="b">
        <f t="shared" si="78"/>
        <v>1</v>
      </c>
      <c r="C1686" s="63" t="b">
        <f t="shared" si="79"/>
        <v>1</v>
      </c>
      <c r="D1686" s="63" t="str">
        <f t="shared" si="80"/>
        <v>OK</v>
      </c>
      <c r="E1686" s="393">
        <v>400001851</v>
      </c>
      <c r="F1686" s="392" t="s">
        <v>3477</v>
      </c>
      <c r="G1686" s="392" t="s">
        <v>5324</v>
      </c>
      <c r="H1686" s="392" t="s">
        <v>7418</v>
      </c>
      <c r="I1686" s="392" t="s">
        <v>1765</v>
      </c>
      <c r="J1686" s="392" t="s">
        <v>8361</v>
      </c>
      <c r="K1686" s="392" t="s">
        <v>5004</v>
      </c>
      <c r="L1686" s="392" t="s">
        <v>3478</v>
      </c>
      <c r="M1686" s="392" t="s">
        <v>7273</v>
      </c>
      <c r="N1686" s="392" t="s">
        <v>7273</v>
      </c>
      <c r="O1686" s="392" t="s">
        <v>7273</v>
      </c>
      <c r="P1686"/>
      <c r="Q1686"/>
      <c r="R1686" s="387">
        <f>VLOOKUP(E1686,'[1]NDB Impacted SPRFs 05032013'!$A$2:$A$65536,1,FALSE)</f>
        <v>400001851</v>
      </c>
      <c r="S1686" s="128"/>
      <c r="T1686" s="128"/>
      <c r="U1686" s="128"/>
    </row>
    <row r="1687" spans="1:21" ht="45" x14ac:dyDescent="0.25">
      <c r="A1687" s="63">
        <f>MATCH($E1687,'D1 - Master Project Table'!$B$24:$B$7056,0)</f>
        <v>2919</v>
      </c>
      <c r="B1687" s="63" t="b">
        <f t="shared" si="78"/>
        <v>0</v>
      </c>
      <c r="C1687" s="63" t="b">
        <f t="shared" si="79"/>
        <v>1</v>
      </c>
      <c r="D1687" s="63" t="str">
        <f t="shared" si="80"/>
        <v>OK</v>
      </c>
      <c r="E1687" s="393">
        <v>400032404</v>
      </c>
      <c r="F1687" s="392" t="s">
        <v>5293</v>
      </c>
      <c r="G1687" s="392" t="s">
        <v>5324</v>
      </c>
      <c r="H1687" s="392" t="s">
        <v>5314</v>
      </c>
      <c r="I1687" s="392" t="s">
        <v>1762</v>
      </c>
      <c r="J1687" s="392" t="s">
        <v>5979</v>
      </c>
      <c r="K1687" s="392" t="s">
        <v>2578</v>
      </c>
      <c r="L1687" s="392" t="s">
        <v>2621</v>
      </c>
      <c r="M1687" s="392" t="s">
        <v>7273</v>
      </c>
      <c r="N1687" s="392" t="s">
        <v>7273</v>
      </c>
      <c r="O1687" s="392" t="s">
        <v>7273</v>
      </c>
      <c r="R1687" s="387">
        <f>VLOOKUP(E1687,'[1]NDB Impacted SPRFs 05032013'!$A$2:$A$65536,1,FALSE)</f>
        <v>400032404</v>
      </c>
    </row>
    <row r="1688" spans="1:21" ht="45" x14ac:dyDescent="0.25">
      <c r="A1688" s="63">
        <f>MATCH($E1688,'D1 - Master Project Table'!$B$24:$B$7056,0)</f>
        <v>3277</v>
      </c>
      <c r="B1688" s="63" t="b">
        <f t="shared" si="78"/>
        <v>0</v>
      </c>
      <c r="C1688" s="63" t="b">
        <f t="shared" si="79"/>
        <v>1</v>
      </c>
      <c r="D1688" s="63" t="str">
        <f t="shared" si="80"/>
        <v>OK</v>
      </c>
      <c r="E1688" s="393">
        <v>400044866</v>
      </c>
      <c r="F1688" s="392" t="s">
        <v>1878</v>
      </c>
      <c r="G1688" s="392" t="s">
        <v>5001</v>
      </c>
      <c r="H1688" s="392" t="s">
        <v>7418</v>
      </c>
      <c r="I1688" s="392" t="s">
        <v>3540</v>
      </c>
      <c r="J1688" s="392" t="s">
        <v>4440</v>
      </c>
      <c r="K1688" s="392" t="s">
        <v>2485</v>
      </c>
      <c r="L1688" s="392" t="s">
        <v>2665</v>
      </c>
      <c r="M1688" s="392" t="s">
        <v>7273</v>
      </c>
      <c r="N1688" s="392" t="s">
        <v>7273</v>
      </c>
      <c r="O1688" s="392" t="s">
        <v>3758</v>
      </c>
      <c r="P1688"/>
      <c r="Q1688"/>
      <c r="R1688" s="387">
        <f>VLOOKUP(E1688,'[1]NDB Impacted SPRFs 05032013'!$A$2:$A$65536,1,FALSE)</f>
        <v>400044866</v>
      </c>
      <c r="S1688" s="159"/>
      <c r="T1688" s="159"/>
      <c r="U1688" s="159"/>
    </row>
    <row r="1689" spans="1:21" s="159" customFormat="1" ht="45" x14ac:dyDescent="0.25">
      <c r="A1689" s="63">
        <f>MATCH($E1689,'D1 - Master Project Table'!$B$24:$B$7056,0)</f>
        <v>59</v>
      </c>
      <c r="B1689" s="63" t="b">
        <f t="shared" si="78"/>
        <v>0</v>
      </c>
      <c r="C1689" s="63" t="b">
        <f t="shared" si="79"/>
        <v>0</v>
      </c>
      <c r="D1689" s="63" t="str">
        <f t="shared" si="80"/>
        <v>OK</v>
      </c>
      <c r="E1689" s="393">
        <v>400055296</v>
      </c>
      <c r="F1689" s="392" t="s">
        <v>453</v>
      </c>
      <c r="G1689" s="392" t="s">
        <v>5324</v>
      </c>
      <c r="H1689" s="392" t="s">
        <v>4917</v>
      </c>
      <c r="I1689" s="392" t="s">
        <v>1763</v>
      </c>
      <c r="J1689" s="392" t="s">
        <v>8567</v>
      </c>
      <c r="K1689" s="392" t="s">
        <v>454</v>
      </c>
      <c r="L1689" s="392" t="s">
        <v>455</v>
      </c>
      <c r="M1689" s="392" t="s">
        <v>7273</v>
      </c>
      <c r="N1689" s="392" t="s">
        <v>7273</v>
      </c>
      <c r="O1689" s="392" t="s">
        <v>7273</v>
      </c>
      <c r="P1689"/>
      <c r="Q1689"/>
      <c r="R1689" s="387">
        <f>VLOOKUP(E1689,'[1]NDB Impacted SPRFs 05032013'!$A$2:$A$65536,1,FALSE)</f>
        <v>400055296</v>
      </c>
    </row>
    <row r="1690" spans="1:21" s="159" customFormat="1" ht="30" x14ac:dyDescent="0.25">
      <c r="A1690" s="63" t="e">
        <f>MATCH($E1690,'D1 - Master Project Table'!$B$24:$B$7056,0)</f>
        <v>#N/A</v>
      </c>
      <c r="B1690" s="63" t="b">
        <f t="shared" si="78"/>
        <v>1</v>
      </c>
      <c r="C1690" s="63" t="b">
        <f t="shared" si="79"/>
        <v>1</v>
      </c>
      <c r="D1690" s="63" t="str">
        <f t="shared" si="80"/>
        <v>OK</v>
      </c>
      <c r="E1690" s="393">
        <v>400002639</v>
      </c>
      <c r="F1690" s="392" t="s">
        <v>3563</v>
      </c>
      <c r="G1690" s="392" t="s">
        <v>5787</v>
      </c>
      <c r="H1690" s="392" t="s">
        <v>5314</v>
      </c>
      <c r="I1690" s="392" t="s">
        <v>6705</v>
      </c>
      <c r="J1690" s="392" t="s">
        <v>8659</v>
      </c>
      <c r="K1690" s="392" t="s">
        <v>1419</v>
      </c>
      <c r="L1690" s="392" t="s">
        <v>4817</v>
      </c>
      <c r="M1690" s="392" t="s">
        <v>3758</v>
      </c>
      <c r="N1690" s="392" t="s">
        <v>7273</v>
      </c>
      <c r="O1690" s="392" t="s">
        <v>7273</v>
      </c>
      <c r="P1690"/>
      <c r="Q1690"/>
      <c r="R1690" s="387">
        <f>VLOOKUP(E1690,'[1]NDB Impacted SPRFs 05032013'!$A$2:$A$65536,1,FALSE)</f>
        <v>400002639</v>
      </c>
      <c r="S1690" s="128"/>
      <c r="T1690" s="128"/>
      <c r="U1690" s="128"/>
    </row>
    <row r="1691" spans="1:21" s="159" customFormat="1" ht="45" x14ac:dyDescent="0.25">
      <c r="A1691" s="63">
        <f>MATCH($E1691,'D1 - Master Project Table'!$B$24:$B$7056,0)</f>
        <v>2405</v>
      </c>
      <c r="B1691" s="63" t="b">
        <f t="shared" si="78"/>
        <v>0</v>
      </c>
      <c r="C1691" s="63" t="b">
        <f t="shared" si="79"/>
        <v>1</v>
      </c>
      <c r="D1691" s="63" t="str">
        <f t="shared" si="80"/>
        <v>OK</v>
      </c>
      <c r="E1691" s="393">
        <v>400002643</v>
      </c>
      <c r="F1691" s="392" t="s">
        <v>4520</v>
      </c>
      <c r="G1691" s="392" t="s">
        <v>5787</v>
      </c>
      <c r="H1691" s="392" t="s">
        <v>5314</v>
      </c>
      <c r="I1691" s="392" t="s">
        <v>1779</v>
      </c>
      <c r="J1691" s="392" t="s">
        <v>8550</v>
      </c>
      <c r="K1691" s="392" t="s">
        <v>3323</v>
      </c>
      <c r="L1691" s="392" t="s">
        <v>6245</v>
      </c>
      <c r="M1691" s="392" t="s">
        <v>3758</v>
      </c>
      <c r="N1691" s="392" t="s">
        <v>7273</v>
      </c>
      <c r="O1691" s="392" t="s">
        <v>7273</v>
      </c>
      <c r="P1691"/>
      <c r="Q1691"/>
      <c r="R1691" s="387">
        <f>VLOOKUP(E1691,'[1]NDB Impacted SPRFs 05032013'!$A$2:$A$65536,1,FALSE)</f>
        <v>400002643</v>
      </c>
      <c r="S1691" s="128"/>
      <c r="T1691" s="128"/>
      <c r="U1691" s="128"/>
    </row>
    <row r="1692" spans="1:21" s="159" customFormat="1" ht="45" x14ac:dyDescent="0.25">
      <c r="A1692" s="63">
        <f>MATCH($E1692,'D1 - Master Project Table'!$B$24:$B$7056,0)</f>
        <v>2479</v>
      </c>
      <c r="B1692" s="63" t="b">
        <f t="shared" si="78"/>
        <v>0</v>
      </c>
      <c r="C1692" s="63" t="b">
        <f t="shared" si="79"/>
        <v>1</v>
      </c>
      <c r="D1692" s="63" t="str">
        <f t="shared" si="80"/>
        <v>OK</v>
      </c>
      <c r="E1692" s="393">
        <v>400005410</v>
      </c>
      <c r="F1692" s="392" t="s">
        <v>644</v>
      </c>
      <c r="G1692" s="392" t="s">
        <v>5324</v>
      </c>
      <c r="H1692" s="392" t="s">
        <v>5314</v>
      </c>
      <c r="I1692" s="392" t="s">
        <v>1768</v>
      </c>
      <c r="J1692" s="392" t="s">
        <v>8419</v>
      </c>
      <c r="K1692" s="392" t="s">
        <v>645</v>
      </c>
      <c r="L1692" s="392" t="s">
        <v>646</v>
      </c>
      <c r="M1692" s="392" t="s">
        <v>7273</v>
      </c>
      <c r="N1692" s="392" t="s">
        <v>7273</v>
      </c>
      <c r="O1692" s="392" t="s">
        <v>7273</v>
      </c>
      <c r="P1692" s="158"/>
      <c r="Q1692" s="128"/>
      <c r="R1692" s="387">
        <f>VLOOKUP(E1692,'[1]NDB Impacted SPRFs 05032013'!$A$2:$A$65536,1,FALSE)</f>
        <v>400005410</v>
      </c>
      <c r="S1692" s="128"/>
      <c r="T1692" s="128"/>
      <c r="U1692" s="128"/>
    </row>
    <row r="1693" spans="1:21" s="159" customFormat="1" ht="30" x14ac:dyDescent="0.25">
      <c r="A1693" s="63">
        <f>MATCH($E1693,'D1 - Master Project Table'!$B$24:$B$7056,0)</f>
        <v>442</v>
      </c>
      <c r="B1693" s="63" t="b">
        <f t="shared" si="78"/>
        <v>0</v>
      </c>
      <c r="C1693" s="63" t="b">
        <f t="shared" si="79"/>
        <v>1</v>
      </c>
      <c r="D1693" s="63" t="str">
        <f t="shared" si="80"/>
        <v>OK</v>
      </c>
      <c r="E1693" s="393">
        <v>400009861</v>
      </c>
      <c r="F1693" s="392" t="s">
        <v>4332</v>
      </c>
      <c r="G1693" s="392" t="s">
        <v>3441</v>
      </c>
      <c r="H1693" s="392" t="s">
        <v>7418</v>
      </c>
      <c r="I1693" s="392" t="s">
        <v>2662</v>
      </c>
      <c r="J1693" s="392" t="s">
        <v>2937</v>
      </c>
      <c r="K1693" s="392" t="s">
        <v>5541</v>
      </c>
      <c r="L1693" s="392" t="s">
        <v>3731</v>
      </c>
      <c r="M1693" s="392" t="s">
        <v>7273</v>
      </c>
      <c r="N1693" s="392" t="s">
        <v>7273</v>
      </c>
      <c r="O1693" s="392" t="s">
        <v>7273</v>
      </c>
      <c r="P1693"/>
      <c r="Q1693"/>
      <c r="R1693" s="387">
        <f>VLOOKUP(E1693,'[1]NDB Impacted SPRFs 05032013'!$A$2:$A$65536,1,FALSE)</f>
        <v>400009861</v>
      </c>
    </row>
    <row r="1694" spans="1:21" s="159" customFormat="1" ht="30" x14ac:dyDescent="0.25">
      <c r="A1694" s="63">
        <f>MATCH($E1694,'D1 - Master Project Table'!$B$24:$B$7056,0)</f>
        <v>615</v>
      </c>
      <c r="B1694" s="63" t="b">
        <f t="shared" si="78"/>
        <v>0</v>
      </c>
      <c r="C1694" s="63" t="b">
        <f t="shared" si="79"/>
        <v>1</v>
      </c>
      <c r="D1694" s="63" t="str">
        <f t="shared" si="80"/>
        <v>OK</v>
      </c>
      <c r="E1694" s="393">
        <v>400012863</v>
      </c>
      <c r="F1694" s="392" t="s">
        <v>5081</v>
      </c>
      <c r="G1694" s="392" t="s">
        <v>3441</v>
      </c>
      <c r="H1694" s="392" t="s">
        <v>7418</v>
      </c>
      <c r="I1694" s="392" t="s">
        <v>2662</v>
      </c>
      <c r="J1694" s="392" t="s">
        <v>8714</v>
      </c>
      <c r="K1694" s="392" t="s">
        <v>1506</v>
      </c>
      <c r="L1694" s="392" t="s">
        <v>5538</v>
      </c>
      <c r="M1694" s="392" t="s">
        <v>3758</v>
      </c>
      <c r="N1694" s="392" t="s">
        <v>7273</v>
      </c>
      <c r="O1694" s="392" t="s">
        <v>7273</v>
      </c>
      <c r="P1694"/>
      <c r="Q1694"/>
      <c r="R1694" s="387">
        <f>VLOOKUP(E1694,'[1]NDB Impacted SPRFs 05032013'!$A$2:$A$65536,1,FALSE)</f>
        <v>400012863</v>
      </c>
    </row>
    <row r="1695" spans="1:21" s="159" customFormat="1" ht="45" x14ac:dyDescent="0.25">
      <c r="A1695" s="63">
        <f>MATCH($E1695,'D1 - Master Project Table'!$B$24:$B$7056,0)</f>
        <v>2692</v>
      </c>
      <c r="B1695" s="63" t="b">
        <f t="shared" si="78"/>
        <v>0</v>
      </c>
      <c r="C1695" s="63" t="b">
        <f t="shared" si="79"/>
        <v>1</v>
      </c>
      <c r="D1695" s="63" t="str">
        <f t="shared" si="80"/>
        <v>OK</v>
      </c>
      <c r="E1695" s="393">
        <v>400017885</v>
      </c>
      <c r="F1695" s="392" t="s">
        <v>5163</v>
      </c>
      <c r="G1695" s="392" t="s">
        <v>5324</v>
      </c>
      <c r="H1695" s="392" t="s">
        <v>5314</v>
      </c>
      <c r="I1695" s="392" t="s">
        <v>1759</v>
      </c>
      <c r="J1695" s="392" t="s">
        <v>5988</v>
      </c>
      <c r="K1695" s="392" t="s">
        <v>7197</v>
      </c>
      <c r="L1695" s="392" t="s">
        <v>4257</v>
      </c>
      <c r="M1695" s="392" t="s">
        <v>7273</v>
      </c>
      <c r="N1695" s="392" t="s">
        <v>7273</v>
      </c>
      <c r="O1695" s="392" t="s">
        <v>3758</v>
      </c>
      <c r="P1695"/>
      <c r="Q1695"/>
      <c r="R1695" s="387">
        <f>VLOOKUP(E1695,'[1]NDB Impacted SPRFs 05032013'!$A$2:$A$65536,1,FALSE)</f>
        <v>400017885</v>
      </c>
    </row>
    <row r="1696" spans="1:21" s="159" customFormat="1" ht="30" x14ac:dyDescent="0.25">
      <c r="A1696" s="63">
        <f>MATCH($E1696,'D1 - Master Project Table'!$B$24:$B$7056,0)</f>
        <v>1253</v>
      </c>
      <c r="B1696" s="63" t="b">
        <f t="shared" si="78"/>
        <v>0</v>
      </c>
      <c r="C1696" s="63" t="b">
        <f t="shared" si="79"/>
        <v>1</v>
      </c>
      <c r="D1696" s="63" t="str">
        <f t="shared" si="80"/>
        <v>OK</v>
      </c>
      <c r="E1696" s="393">
        <v>400031958</v>
      </c>
      <c r="F1696" s="392" t="s">
        <v>3919</v>
      </c>
      <c r="G1696" s="392" t="s">
        <v>5001</v>
      </c>
      <c r="H1696" s="392" t="s">
        <v>7418</v>
      </c>
      <c r="I1696" s="392" t="s">
        <v>3540</v>
      </c>
      <c r="J1696" s="392" t="s">
        <v>4634</v>
      </c>
      <c r="K1696" s="392" t="s">
        <v>6571</v>
      </c>
      <c r="L1696" s="392" t="s">
        <v>100</v>
      </c>
      <c r="M1696" s="392" t="s">
        <v>7273</v>
      </c>
      <c r="N1696" s="392" t="s">
        <v>7273</v>
      </c>
      <c r="O1696" s="392" t="s">
        <v>7273</v>
      </c>
      <c r="P1696"/>
      <c r="Q1696"/>
      <c r="R1696" s="387">
        <f>VLOOKUP(E1696,'[1]NDB Impacted SPRFs 05032013'!$A$2:$A$65536,1,FALSE)</f>
        <v>400031958</v>
      </c>
    </row>
    <row r="1697" spans="1:21" s="159" customFormat="1" ht="45" x14ac:dyDescent="0.25">
      <c r="A1697" s="63">
        <f>MATCH($E1697,'D1 - Master Project Table'!$B$24:$B$7056,0)</f>
        <v>3032</v>
      </c>
      <c r="B1697" s="63" t="b">
        <f t="shared" si="78"/>
        <v>0</v>
      </c>
      <c r="C1697" s="63" t="b">
        <f t="shared" si="79"/>
        <v>1</v>
      </c>
      <c r="D1697" s="63" t="str">
        <f t="shared" si="80"/>
        <v>OK</v>
      </c>
      <c r="E1697" s="393">
        <v>400041515</v>
      </c>
      <c r="F1697" s="392" t="s">
        <v>2499</v>
      </c>
      <c r="G1697" s="392" t="s">
        <v>5324</v>
      </c>
      <c r="H1697" s="392" t="s">
        <v>5314</v>
      </c>
      <c r="I1697" s="392" t="s">
        <v>1757</v>
      </c>
      <c r="J1697" s="392" t="s">
        <v>8410</v>
      </c>
      <c r="K1697" s="392" t="s">
        <v>2500</v>
      </c>
      <c r="L1697" s="392" t="s">
        <v>5911</v>
      </c>
      <c r="M1697" s="392" t="s">
        <v>7273</v>
      </c>
      <c r="N1697" s="392" t="s">
        <v>7273</v>
      </c>
      <c r="O1697" s="392" t="s">
        <v>7273</v>
      </c>
      <c r="P1697"/>
      <c r="Q1697"/>
      <c r="R1697" s="387">
        <f>VLOOKUP(E1697,'[1]NDB Impacted SPRFs 05032013'!$A$2:$A$65536,1,FALSE)</f>
        <v>400041515</v>
      </c>
    </row>
    <row r="1698" spans="1:21" s="159" customFormat="1" ht="45" x14ac:dyDescent="0.25">
      <c r="A1698" s="63">
        <f>MATCH($E1698,'D1 - Master Project Table'!$B$24:$B$7056,0)</f>
        <v>530</v>
      </c>
      <c r="B1698" s="63" t="b">
        <f t="shared" si="78"/>
        <v>0</v>
      </c>
      <c r="C1698" s="63" t="b">
        <f t="shared" si="79"/>
        <v>1</v>
      </c>
      <c r="D1698" s="63" t="str">
        <f t="shared" si="80"/>
        <v>OK</v>
      </c>
      <c r="E1698" s="393">
        <v>400012473</v>
      </c>
      <c r="F1698" s="392" t="s">
        <v>5716</v>
      </c>
      <c r="G1698" s="392" t="s">
        <v>5324</v>
      </c>
      <c r="H1698" s="392" t="s">
        <v>7418</v>
      </c>
      <c r="I1698" s="392" t="s">
        <v>1756</v>
      </c>
      <c r="J1698" s="392" t="s">
        <v>7233</v>
      </c>
      <c r="K1698" s="392" t="s">
        <v>5159</v>
      </c>
      <c r="L1698" s="392" t="s">
        <v>1637</v>
      </c>
      <c r="M1698" s="392" t="s">
        <v>7273</v>
      </c>
      <c r="N1698" s="392" t="s">
        <v>7273</v>
      </c>
      <c r="O1698" s="392" t="s">
        <v>7273</v>
      </c>
      <c r="P1698"/>
      <c r="Q1698"/>
      <c r="R1698" s="387">
        <f>VLOOKUP(E1698,'[1]NDB Impacted SPRFs 05032013'!$A$2:$A$65536,1,FALSE)</f>
        <v>400012473</v>
      </c>
    </row>
    <row r="1699" spans="1:21" s="159" customFormat="1" ht="45" x14ac:dyDescent="0.25">
      <c r="A1699" s="63">
        <f>MATCH($E1699,'D1 - Master Project Table'!$B$24:$B$7056,0)</f>
        <v>620</v>
      </c>
      <c r="B1699" s="63" t="b">
        <f t="shared" si="78"/>
        <v>0</v>
      </c>
      <c r="C1699" s="63" t="b">
        <f t="shared" si="79"/>
        <v>1</v>
      </c>
      <c r="D1699" s="63" t="str">
        <f t="shared" si="80"/>
        <v>OK</v>
      </c>
      <c r="E1699" s="393">
        <v>400013110</v>
      </c>
      <c r="F1699" s="392" t="s">
        <v>5040</v>
      </c>
      <c r="G1699" s="392" t="s">
        <v>5324</v>
      </c>
      <c r="H1699" s="392" t="s">
        <v>7418</v>
      </c>
      <c r="I1699" s="392" t="s">
        <v>1756</v>
      </c>
      <c r="J1699" s="392" t="s">
        <v>7233</v>
      </c>
      <c r="K1699" s="392" t="s">
        <v>8075</v>
      </c>
      <c r="L1699" s="392" t="s">
        <v>1637</v>
      </c>
      <c r="M1699" s="392" t="s">
        <v>7273</v>
      </c>
      <c r="N1699" s="392" t="s">
        <v>7273</v>
      </c>
      <c r="O1699" s="392" t="s">
        <v>7273</v>
      </c>
      <c r="P1699"/>
      <c r="Q1699"/>
      <c r="R1699" s="387">
        <f>VLOOKUP(E1699,'[1]NDB Impacted SPRFs 05032013'!$A$2:$A$65536,1,FALSE)</f>
        <v>400013110</v>
      </c>
    </row>
    <row r="1700" spans="1:21" s="159" customFormat="1" ht="30" customHeight="1" x14ac:dyDescent="0.25">
      <c r="A1700" s="63">
        <f>MATCH($E1700,'D1 - Master Project Table'!$B$24:$B$7056,0)</f>
        <v>1078</v>
      </c>
      <c r="B1700" s="63" t="b">
        <f t="shared" si="78"/>
        <v>0</v>
      </c>
      <c r="C1700" s="63" t="b">
        <f t="shared" si="79"/>
        <v>1</v>
      </c>
      <c r="D1700" s="63" t="str">
        <f t="shared" si="80"/>
        <v>OK</v>
      </c>
      <c r="E1700" s="393">
        <v>400026981</v>
      </c>
      <c r="F1700" s="392" t="s">
        <v>6387</v>
      </c>
      <c r="G1700" s="392" t="s">
        <v>6322</v>
      </c>
      <c r="H1700" s="392" t="s">
        <v>7418</v>
      </c>
      <c r="I1700" s="392" t="s">
        <v>7594</v>
      </c>
      <c r="J1700" s="392" t="s">
        <v>8644</v>
      </c>
      <c r="K1700" s="392" t="s">
        <v>4628</v>
      </c>
      <c r="L1700" s="392" t="s">
        <v>7225</v>
      </c>
      <c r="M1700" s="392" t="s">
        <v>7273</v>
      </c>
      <c r="N1700" s="392" t="s">
        <v>7273</v>
      </c>
      <c r="O1700" s="392" t="s">
        <v>7273</v>
      </c>
      <c r="P1700"/>
      <c r="Q1700"/>
      <c r="R1700" s="387">
        <f>VLOOKUP(E1700,'[1]NDB Impacted SPRFs 05032013'!$A$2:$A$65536,1,FALSE)</f>
        <v>400026981</v>
      </c>
      <c r="S1700" s="128"/>
      <c r="T1700" s="128"/>
      <c r="U1700" s="128"/>
    </row>
    <row r="1701" spans="1:21" s="159" customFormat="1" ht="30" x14ac:dyDescent="0.25">
      <c r="A1701" s="63">
        <f>MATCH($E1701,'D1 - Master Project Table'!$B$24:$B$7056,0)</f>
        <v>1091</v>
      </c>
      <c r="B1701" s="63" t="b">
        <f t="shared" si="78"/>
        <v>0</v>
      </c>
      <c r="C1701" s="63" t="b">
        <f t="shared" si="79"/>
        <v>1</v>
      </c>
      <c r="D1701" s="63" t="str">
        <f t="shared" si="80"/>
        <v>OK</v>
      </c>
      <c r="E1701" s="393">
        <v>400030090</v>
      </c>
      <c r="F1701" s="392" t="s">
        <v>4134</v>
      </c>
      <c r="G1701" s="392" t="s">
        <v>5001</v>
      </c>
      <c r="H1701" s="392" t="s">
        <v>7418</v>
      </c>
      <c r="I1701" s="392" t="s">
        <v>3540</v>
      </c>
      <c r="J1701" s="392" t="s">
        <v>8758</v>
      </c>
      <c r="K1701" s="392" t="s">
        <v>5468</v>
      </c>
      <c r="L1701" s="392" t="s">
        <v>113</v>
      </c>
      <c r="M1701" s="392" t="s">
        <v>7273</v>
      </c>
      <c r="N1701" s="392" t="s">
        <v>7273</v>
      </c>
      <c r="O1701" s="392" t="s">
        <v>7273</v>
      </c>
      <c r="P1701"/>
      <c r="Q1701"/>
      <c r="R1701" s="387">
        <f>VLOOKUP(E1701,'[1]NDB Impacted SPRFs 05032013'!$A$2:$A$65536,1,FALSE)</f>
        <v>400030090</v>
      </c>
    </row>
    <row r="1702" spans="1:21" s="159" customFormat="1" ht="45" x14ac:dyDescent="0.25">
      <c r="A1702" s="63" t="e">
        <f>MATCH($E1702,'D1 - Master Project Table'!$B$24:$B$7056,0)</f>
        <v>#N/A</v>
      </c>
      <c r="B1702" s="63" t="b">
        <f t="shared" si="78"/>
        <v>1</v>
      </c>
      <c r="C1702" s="63" t="b">
        <f t="shared" si="79"/>
        <v>1</v>
      </c>
      <c r="D1702" s="63" t="str">
        <f t="shared" si="80"/>
        <v>OK</v>
      </c>
      <c r="E1702" s="393">
        <v>400000441</v>
      </c>
      <c r="F1702" s="392" t="s">
        <v>6296</v>
      </c>
      <c r="G1702" s="392" t="s">
        <v>5324</v>
      </c>
      <c r="H1702" s="392" t="s">
        <v>7418</v>
      </c>
      <c r="I1702" s="392" t="s">
        <v>1765</v>
      </c>
      <c r="J1702" s="392" t="s">
        <v>8349</v>
      </c>
      <c r="K1702" s="392" t="s">
        <v>3938</v>
      </c>
      <c r="L1702" s="392" t="s">
        <v>5645</v>
      </c>
      <c r="M1702" s="392" t="s">
        <v>3758</v>
      </c>
      <c r="N1702" s="392" t="s">
        <v>7273</v>
      </c>
      <c r="O1702" s="392" t="s">
        <v>7273</v>
      </c>
      <c r="P1702"/>
      <c r="Q1702"/>
      <c r="R1702" s="387">
        <f>VLOOKUP(E1702,'[1]NDB Impacted SPRFs 05032013'!$A$2:$A$65536,1,FALSE)</f>
        <v>400000441</v>
      </c>
    </row>
    <row r="1703" spans="1:21" s="159" customFormat="1" ht="45" x14ac:dyDescent="0.25">
      <c r="A1703" s="63">
        <f>MATCH($E1703,'D1 - Master Project Table'!$B$24:$B$7056,0)</f>
        <v>1703</v>
      </c>
      <c r="B1703" s="63" t="b">
        <f t="shared" si="78"/>
        <v>0</v>
      </c>
      <c r="C1703" s="63" t="b">
        <f t="shared" si="79"/>
        <v>0</v>
      </c>
      <c r="D1703" s="63" t="str">
        <f t="shared" si="80"/>
        <v>OK</v>
      </c>
      <c r="E1703" s="393">
        <v>400049238</v>
      </c>
      <c r="F1703" s="392" t="s">
        <v>1010</v>
      </c>
      <c r="G1703" s="392" t="s">
        <v>5324</v>
      </c>
      <c r="H1703" s="392" t="s">
        <v>4917</v>
      </c>
      <c r="I1703" s="392" t="s">
        <v>1757</v>
      </c>
      <c r="J1703" s="392" t="s">
        <v>1586</v>
      </c>
      <c r="K1703" s="392" t="s">
        <v>4462</v>
      </c>
      <c r="L1703" s="392" t="s">
        <v>538</v>
      </c>
      <c r="M1703" s="392" t="s">
        <v>7273</v>
      </c>
      <c r="N1703" s="392" t="s">
        <v>7273</v>
      </c>
      <c r="O1703" s="392" t="s">
        <v>7273</v>
      </c>
      <c r="P1703"/>
      <c r="Q1703"/>
      <c r="R1703" s="387">
        <f>VLOOKUP(E1703,'[1]NDB Impacted SPRFs 05032013'!$A$2:$A$65536,1,FALSE)</f>
        <v>400049238</v>
      </c>
    </row>
    <row r="1704" spans="1:21" ht="30" x14ac:dyDescent="0.25">
      <c r="A1704" s="63">
        <f>MATCH($E1704,'D1 - Master Project Table'!$B$24:$B$7056,0)</f>
        <v>98</v>
      </c>
      <c r="B1704" s="63" t="b">
        <f t="shared" si="78"/>
        <v>0</v>
      </c>
      <c r="C1704" s="63" t="b">
        <f t="shared" si="79"/>
        <v>0</v>
      </c>
      <c r="D1704" s="63" t="str">
        <f t="shared" si="80"/>
        <v>OK</v>
      </c>
      <c r="E1704" s="393">
        <v>400055843</v>
      </c>
      <c r="F1704" s="392" t="s">
        <v>7899</v>
      </c>
      <c r="G1704" s="392" t="s">
        <v>6322</v>
      </c>
      <c r="H1704" s="392" t="s">
        <v>4917</v>
      </c>
      <c r="I1704" s="392" t="s">
        <v>1762</v>
      </c>
      <c r="J1704" s="392" t="s">
        <v>8642</v>
      </c>
      <c r="K1704" s="392" t="s">
        <v>7900</v>
      </c>
      <c r="L1704" s="392" t="s">
        <v>7805</v>
      </c>
      <c r="M1704" s="392" t="s">
        <v>7273</v>
      </c>
      <c r="N1704" s="392" t="s">
        <v>7273</v>
      </c>
      <c r="O1704" s="392" t="s">
        <v>7273</v>
      </c>
      <c r="P1704"/>
      <c r="Q1704"/>
      <c r="R1704" s="387">
        <f>VLOOKUP(E1704,'[1]NDB Impacted SPRFs 05032013'!$A$2:$A$65536,1,FALSE)</f>
        <v>400055843</v>
      </c>
      <c r="S1704" s="159"/>
      <c r="T1704" s="159"/>
      <c r="U1704" s="159"/>
    </row>
    <row r="1705" spans="1:21" s="159" customFormat="1" ht="45" x14ac:dyDescent="0.25">
      <c r="A1705" s="63">
        <f>MATCH($E1705,'D1 - Master Project Table'!$B$24:$B$7056,0)</f>
        <v>2549</v>
      </c>
      <c r="B1705" s="63" t="b">
        <f t="shared" si="78"/>
        <v>0</v>
      </c>
      <c r="C1705" s="63" t="b">
        <f t="shared" si="79"/>
        <v>1</v>
      </c>
      <c r="D1705" s="63" t="str">
        <f t="shared" si="80"/>
        <v>OK</v>
      </c>
      <c r="E1705" s="393">
        <v>400009371</v>
      </c>
      <c r="F1705" s="392" t="s">
        <v>3243</v>
      </c>
      <c r="G1705" s="392" t="s">
        <v>5324</v>
      </c>
      <c r="H1705" s="392" t="s">
        <v>5314</v>
      </c>
      <c r="I1705" s="392" t="s">
        <v>1765</v>
      </c>
      <c r="J1705" s="392" t="s">
        <v>8556</v>
      </c>
      <c r="K1705" s="392" t="s">
        <v>3622</v>
      </c>
      <c r="L1705" s="392" t="s">
        <v>5724</v>
      </c>
      <c r="M1705" s="392" t="s">
        <v>7273</v>
      </c>
      <c r="N1705" s="392" t="s">
        <v>7273</v>
      </c>
      <c r="O1705" s="392" t="s">
        <v>7273</v>
      </c>
      <c r="P1705"/>
      <c r="Q1705"/>
      <c r="R1705" s="387">
        <f>VLOOKUP(E1705,'[1]NDB Impacted SPRFs 05032013'!$A$2:$A$65536,1,FALSE)</f>
        <v>400009371</v>
      </c>
    </row>
    <row r="1706" spans="1:21" s="159" customFormat="1" ht="30" x14ac:dyDescent="0.25">
      <c r="A1706" s="63">
        <f>MATCH($E1706,'D1 - Master Project Table'!$B$24:$B$7056,0)</f>
        <v>456</v>
      </c>
      <c r="B1706" s="63" t="b">
        <f t="shared" si="78"/>
        <v>0</v>
      </c>
      <c r="C1706" s="63" t="b">
        <f t="shared" si="79"/>
        <v>1</v>
      </c>
      <c r="D1706" s="63" t="str">
        <f t="shared" si="80"/>
        <v>OK</v>
      </c>
      <c r="E1706" s="393">
        <v>400009831</v>
      </c>
      <c r="F1706" s="392" t="s">
        <v>3374</v>
      </c>
      <c r="G1706" s="392" t="s">
        <v>3441</v>
      </c>
      <c r="H1706" s="392" t="s">
        <v>7418</v>
      </c>
      <c r="I1706" s="392" t="s">
        <v>1770</v>
      </c>
      <c r="J1706" s="392" t="s">
        <v>8724</v>
      </c>
      <c r="K1706" s="392" t="s">
        <v>5541</v>
      </c>
      <c r="L1706" s="392" t="s">
        <v>5542</v>
      </c>
      <c r="M1706" s="392" t="s">
        <v>7273</v>
      </c>
      <c r="N1706" s="392" t="s">
        <v>7273</v>
      </c>
      <c r="O1706" s="392" t="s">
        <v>7273</v>
      </c>
      <c r="P1706"/>
      <c r="Q1706"/>
      <c r="R1706" s="387">
        <f>VLOOKUP(E1706,'[1]NDB Impacted SPRFs 05032013'!$A$2:$A$65536,1,FALSE)</f>
        <v>400009831</v>
      </c>
    </row>
    <row r="1707" spans="1:21" s="159" customFormat="1" ht="30" x14ac:dyDescent="0.25">
      <c r="A1707" s="63">
        <f>MATCH($E1707,'D1 - Master Project Table'!$B$24:$B$7056,0)</f>
        <v>2898</v>
      </c>
      <c r="B1707" s="63" t="b">
        <f t="shared" si="78"/>
        <v>0</v>
      </c>
      <c r="C1707" s="63" t="b">
        <f t="shared" si="79"/>
        <v>1</v>
      </c>
      <c r="D1707" s="63" t="str">
        <f t="shared" si="80"/>
        <v>OK</v>
      </c>
      <c r="E1707" s="393">
        <v>400030352</v>
      </c>
      <c r="F1707" s="392" t="s">
        <v>7489</v>
      </c>
      <c r="G1707" s="392" t="s">
        <v>5995</v>
      </c>
      <c r="H1707" s="392" t="s">
        <v>5314</v>
      </c>
      <c r="I1707" s="392" t="s">
        <v>6423</v>
      </c>
      <c r="J1707" s="392" t="s">
        <v>8801</v>
      </c>
      <c r="K1707" s="392" t="s">
        <v>7490</v>
      </c>
      <c r="L1707" s="392" t="s">
        <v>1487</v>
      </c>
      <c r="M1707" s="392" t="s">
        <v>7273</v>
      </c>
      <c r="N1707" s="392" t="s">
        <v>7273</v>
      </c>
      <c r="O1707" s="392" t="s">
        <v>7273</v>
      </c>
      <c r="P1707"/>
      <c r="Q1707"/>
      <c r="R1707" s="387">
        <f>VLOOKUP(E1707,'[1]NDB Impacted SPRFs 05032013'!$A$2:$A$65536,1,FALSE)</f>
        <v>400030352</v>
      </c>
    </row>
    <row r="1708" spans="1:21" s="159" customFormat="1" ht="30" x14ac:dyDescent="0.25">
      <c r="A1708" s="63">
        <f>MATCH($E1708,'D1 - Master Project Table'!$B$24:$B$7056,0)</f>
        <v>1160</v>
      </c>
      <c r="B1708" s="63" t="b">
        <f t="shared" si="78"/>
        <v>0</v>
      </c>
      <c r="C1708" s="63" t="b">
        <f t="shared" si="79"/>
        <v>1</v>
      </c>
      <c r="D1708" s="63" t="str">
        <f t="shared" si="80"/>
        <v>OK</v>
      </c>
      <c r="E1708" s="393">
        <v>400030900</v>
      </c>
      <c r="F1708" s="392" t="s">
        <v>3772</v>
      </c>
      <c r="G1708" s="392" t="s">
        <v>5001</v>
      </c>
      <c r="H1708" s="392" t="s">
        <v>7418</v>
      </c>
      <c r="I1708" s="392" t="s">
        <v>2658</v>
      </c>
      <c r="J1708" s="392" t="s">
        <v>4474</v>
      </c>
      <c r="K1708" s="392" t="s">
        <v>7590</v>
      </c>
      <c r="L1708" s="392" t="s">
        <v>3355</v>
      </c>
      <c r="M1708" s="392" t="s">
        <v>7273</v>
      </c>
      <c r="N1708" s="392" t="s">
        <v>7273</v>
      </c>
      <c r="O1708" s="392" t="s">
        <v>7273</v>
      </c>
      <c r="P1708"/>
      <c r="Q1708"/>
      <c r="R1708" s="387">
        <f>VLOOKUP(E1708,'[1]NDB Impacted SPRFs 05032013'!$A$2:$A$65536,1,FALSE)</f>
        <v>400030900</v>
      </c>
      <c r="S1708" s="128"/>
      <c r="T1708" s="128"/>
      <c r="U1708" s="128"/>
    </row>
    <row r="1709" spans="1:21" s="159" customFormat="1" ht="30" customHeight="1" x14ac:dyDescent="0.25">
      <c r="A1709" s="63">
        <f>MATCH($E1709,'D1 - Master Project Table'!$B$24:$B$7056,0)</f>
        <v>1237</v>
      </c>
      <c r="B1709" s="63" t="b">
        <f t="shared" si="78"/>
        <v>0</v>
      </c>
      <c r="C1709" s="63" t="b">
        <f t="shared" si="79"/>
        <v>1</v>
      </c>
      <c r="D1709" s="63" t="str">
        <f t="shared" si="80"/>
        <v>OK</v>
      </c>
      <c r="E1709" s="393">
        <v>400034486</v>
      </c>
      <c r="F1709" s="392" t="s">
        <v>3643</v>
      </c>
      <c r="G1709" s="392" t="s">
        <v>5001</v>
      </c>
      <c r="H1709" s="392" t="s">
        <v>7418</v>
      </c>
      <c r="I1709" s="392" t="s">
        <v>3540</v>
      </c>
      <c r="J1709" s="392" t="s">
        <v>8638</v>
      </c>
      <c r="K1709" s="392" t="s">
        <v>3644</v>
      </c>
      <c r="L1709" s="392" t="s">
        <v>96</v>
      </c>
      <c r="M1709" s="392" t="s">
        <v>7273</v>
      </c>
      <c r="N1709" s="392" t="s">
        <v>7273</v>
      </c>
      <c r="O1709" s="392" t="s">
        <v>7273</v>
      </c>
      <c r="P1709"/>
      <c r="Q1709"/>
      <c r="R1709" s="387">
        <f>VLOOKUP(E1709,'[1]NDB Impacted SPRFs 05032013'!$A$2:$A$65536,1,FALSE)</f>
        <v>400034486</v>
      </c>
    </row>
    <row r="1710" spans="1:21" s="159" customFormat="1" ht="45" x14ac:dyDescent="0.25">
      <c r="A1710" s="63">
        <f>MATCH($E1710,'D1 - Master Project Table'!$B$24:$B$7056,0)</f>
        <v>3126</v>
      </c>
      <c r="B1710" s="63" t="b">
        <f t="shared" si="78"/>
        <v>0</v>
      </c>
      <c r="C1710" s="63" t="b">
        <f t="shared" si="79"/>
        <v>1</v>
      </c>
      <c r="D1710" s="63" t="str">
        <f t="shared" si="80"/>
        <v>OK</v>
      </c>
      <c r="E1710" s="393">
        <v>400052855</v>
      </c>
      <c r="F1710" s="392" t="s">
        <v>679</v>
      </c>
      <c r="G1710" s="392" t="s">
        <v>5325</v>
      </c>
      <c r="H1710" s="392" t="s">
        <v>5314</v>
      </c>
      <c r="I1710" s="392" t="s">
        <v>1759</v>
      </c>
      <c r="J1710" s="392" t="s">
        <v>517</v>
      </c>
      <c r="K1710" s="392" t="s">
        <v>518</v>
      </c>
      <c r="L1710" s="392" t="s">
        <v>7577</v>
      </c>
      <c r="M1710" s="392" t="s">
        <v>7273</v>
      </c>
      <c r="N1710" s="392" t="s">
        <v>7273</v>
      </c>
      <c r="O1710" s="392" t="s">
        <v>7273</v>
      </c>
      <c r="P1710"/>
      <c r="Q1710"/>
      <c r="R1710" s="387">
        <f>VLOOKUP(E1710,'[1]NDB Impacted SPRFs 05032013'!$A$2:$A$65536,1,FALSE)</f>
        <v>400052855</v>
      </c>
    </row>
    <row r="1711" spans="1:21" s="159" customFormat="1" ht="15" x14ac:dyDescent="0.25">
      <c r="A1711" s="63" t="e">
        <f>MATCH($E1711,'D1 - Master Project Table'!$B$24:$B$7056,0)</f>
        <v>#N/A</v>
      </c>
      <c r="B1711" s="63" t="b">
        <f t="shared" si="78"/>
        <v>1</v>
      </c>
      <c r="C1711" s="63" t="b">
        <f t="shared" si="79"/>
        <v>1</v>
      </c>
      <c r="D1711" s="63" t="str">
        <f t="shared" si="80"/>
        <v>OK</v>
      </c>
      <c r="E1711" s="393">
        <v>400001568</v>
      </c>
      <c r="F1711" s="392" t="s">
        <v>3693</v>
      </c>
      <c r="G1711" s="392" t="s">
        <v>5995</v>
      </c>
      <c r="H1711" s="392" t="s">
        <v>5314</v>
      </c>
      <c r="I1711" s="392" t="s">
        <v>3529</v>
      </c>
      <c r="J1711" s="392" t="s">
        <v>8796</v>
      </c>
      <c r="K1711" s="392" t="s">
        <v>5580</v>
      </c>
      <c r="L1711" s="392" t="s">
        <v>6711</v>
      </c>
      <c r="M1711" s="392" t="s">
        <v>3758</v>
      </c>
      <c r="N1711" s="392" t="s">
        <v>7273</v>
      </c>
      <c r="O1711" s="392" t="s">
        <v>7273</v>
      </c>
      <c r="P1711"/>
      <c r="Q1711"/>
      <c r="R1711" s="387">
        <f>VLOOKUP(E1711,'[1]NDB Impacted SPRFs 05032013'!$A$2:$A$65536,1,FALSE)</f>
        <v>400001568</v>
      </c>
    </row>
    <row r="1712" spans="1:21" s="159" customFormat="1" ht="45" x14ac:dyDescent="0.25">
      <c r="A1712" s="63" t="e">
        <f>MATCH($E1712,'D1 - Master Project Table'!$B$24:$B$7056,0)</f>
        <v>#N/A</v>
      </c>
      <c r="B1712" s="63" t="b">
        <f t="shared" ref="B1712:B1775" si="81">ISERROR(A1712)</f>
        <v>1</v>
      </c>
      <c r="C1712" s="63" t="b">
        <f t="shared" si="79"/>
        <v>1</v>
      </c>
      <c r="D1712" s="63" t="str">
        <f t="shared" si="80"/>
        <v>OK</v>
      </c>
      <c r="E1712" s="393">
        <v>400002197</v>
      </c>
      <c r="F1712" s="392" t="s">
        <v>3141</v>
      </c>
      <c r="G1712" s="392" t="s">
        <v>5324</v>
      </c>
      <c r="H1712" s="392" t="s">
        <v>7418</v>
      </c>
      <c r="I1712" s="392" t="s">
        <v>1765</v>
      </c>
      <c r="J1712" s="392" t="s">
        <v>8348</v>
      </c>
      <c r="K1712" s="392" t="s">
        <v>4169</v>
      </c>
      <c r="L1712" s="392" t="s">
        <v>6791</v>
      </c>
      <c r="M1712" s="392" t="s">
        <v>7273</v>
      </c>
      <c r="N1712" s="392" t="s">
        <v>7273</v>
      </c>
      <c r="O1712" s="392" t="s">
        <v>7273</v>
      </c>
      <c r="P1712"/>
      <c r="Q1712"/>
      <c r="R1712" s="387">
        <f>VLOOKUP(E1712,'[1]NDB Impacted SPRFs 05032013'!$A$2:$A$65536,1,FALSE)</f>
        <v>400002197</v>
      </c>
    </row>
    <row r="1713" spans="1:21" ht="30" x14ac:dyDescent="0.25">
      <c r="A1713" s="63" t="e">
        <f>MATCH($E1713,'D1 - Master Project Table'!$B$24:$B$7056,0)</f>
        <v>#N/A</v>
      </c>
      <c r="B1713" s="63" t="b">
        <f t="shared" si="81"/>
        <v>1</v>
      </c>
      <c r="C1713" s="63" t="b">
        <f t="shared" si="79"/>
        <v>1</v>
      </c>
      <c r="D1713" s="63" t="str">
        <f t="shared" si="80"/>
        <v>OK</v>
      </c>
      <c r="E1713" s="393">
        <v>400002825</v>
      </c>
      <c r="F1713" s="392" t="s">
        <v>7271</v>
      </c>
      <c r="G1713" s="392" t="s">
        <v>5787</v>
      </c>
      <c r="H1713" s="392" t="s">
        <v>7418</v>
      </c>
      <c r="I1713" s="392" t="s">
        <v>1827</v>
      </c>
      <c r="J1713" s="392" t="s">
        <v>8702</v>
      </c>
      <c r="K1713" s="392" t="s">
        <v>1493</v>
      </c>
      <c r="L1713" s="392" t="s">
        <v>6791</v>
      </c>
      <c r="M1713" s="392" t="s">
        <v>7273</v>
      </c>
      <c r="N1713" s="392" t="s">
        <v>7273</v>
      </c>
      <c r="O1713" s="392" t="s">
        <v>7273</v>
      </c>
      <c r="P1713"/>
      <c r="Q1713"/>
      <c r="R1713" s="387">
        <f>VLOOKUP(E1713,'[1]NDB Impacted SPRFs 05032013'!$A$2:$A$65536,1,FALSE)</f>
        <v>400002825</v>
      </c>
      <c r="S1713" s="159"/>
      <c r="T1713" s="159"/>
      <c r="U1713" s="159"/>
    </row>
    <row r="1714" spans="1:21" s="159" customFormat="1" ht="45" x14ac:dyDescent="0.25">
      <c r="A1714" s="63" t="e">
        <f>MATCH($E1714,'D1 - Master Project Table'!$B$24:$B$7056,0)</f>
        <v>#N/A</v>
      </c>
      <c r="B1714" s="63" t="b">
        <f t="shared" si="81"/>
        <v>1</v>
      </c>
      <c r="C1714" s="63" t="b">
        <f t="shared" si="79"/>
        <v>1</v>
      </c>
      <c r="D1714" s="63" t="str">
        <f t="shared" si="80"/>
        <v>OK</v>
      </c>
      <c r="E1714" s="393">
        <v>400003003</v>
      </c>
      <c r="F1714" s="392" t="s">
        <v>8006</v>
      </c>
      <c r="G1714" s="392" t="s">
        <v>5324</v>
      </c>
      <c r="H1714" s="392" t="s">
        <v>7418</v>
      </c>
      <c r="I1714" s="392" t="s">
        <v>1765</v>
      </c>
      <c r="J1714" s="392" t="s">
        <v>4629</v>
      </c>
      <c r="K1714" s="392" t="s">
        <v>1506</v>
      </c>
      <c r="L1714" s="392" t="s">
        <v>6791</v>
      </c>
      <c r="M1714" s="392" t="s">
        <v>7273</v>
      </c>
      <c r="N1714" s="392" t="s">
        <v>7273</v>
      </c>
      <c r="O1714" s="392" t="s">
        <v>7273</v>
      </c>
      <c r="P1714"/>
      <c r="Q1714"/>
      <c r="R1714" s="387">
        <f>VLOOKUP(E1714,'[1]NDB Impacted SPRFs 05032013'!$A$2:$A$65536,1,FALSE)</f>
        <v>400003003</v>
      </c>
    </row>
    <row r="1715" spans="1:21" ht="15" x14ac:dyDescent="0.25">
      <c r="A1715" s="63">
        <f>MATCH($E1715,'D1 - Master Project Table'!$B$24:$B$7056,0)</f>
        <v>376</v>
      </c>
      <c r="B1715" s="63" t="b">
        <f t="shared" si="81"/>
        <v>0</v>
      </c>
      <c r="C1715" s="63" t="b">
        <f t="shared" si="79"/>
        <v>1</v>
      </c>
      <c r="D1715" s="63" t="str">
        <f t="shared" si="80"/>
        <v>OK</v>
      </c>
      <c r="E1715" s="393">
        <v>400003294</v>
      </c>
      <c r="F1715" s="392" t="s">
        <v>3413</v>
      </c>
      <c r="G1715" s="392" t="s">
        <v>5787</v>
      </c>
      <c r="H1715" s="392" t="s">
        <v>7418</v>
      </c>
      <c r="I1715" s="392" t="s">
        <v>1778</v>
      </c>
      <c r="J1715" s="392" t="s">
        <v>5078</v>
      </c>
      <c r="K1715" s="392" t="s">
        <v>3390</v>
      </c>
      <c r="L1715" s="392" t="s">
        <v>7778</v>
      </c>
      <c r="M1715" s="392" t="s">
        <v>3758</v>
      </c>
      <c r="N1715" s="392" t="s">
        <v>7273</v>
      </c>
      <c r="O1715" s="392" t="s">
        <v>7273</v>
      </c>
      <c r="P1715"/>
      <c r="Q1715"/>
      <c r="R1715" s="387">
        <f>VLOOKUP(E1715,'[1]NDB Impacted SPRFs 05032013'!$A$2:$A$65536,1,FALSE)</f>
        <v>400003294</v>
      </c>
      <c r="S1715" s="159"/>
      <c r="T1715" s="159"/>
      <c r="U1715" s="159"/>
    </row>
    <row r="1716" spans="1:21" s="159" customFormat="1" ht="45" x14ac:dyDescent="0.25">
      <c r="A1716" s="63">
        <f>MATCH($E1716,'D1 - Master Project Table'!$B$24:$B$7056,0)</f>
        <v>2078</v>
      </c>
      <c r="B1716" s="63" t="b">
        <f t="shared" si="81"/>
        <v>0</v>
      </c>
      <c r="C1716" s="63" t="b">
        <f t="shared" si="79"/>
        <v>1</v>
      </c>
      <c r="D1716" s="63" t="str">
        <f t="shared" si="80"/>
        <v>OK</v>
      </c>
      <c r="E1716" s="393">
        <v>400010916</v>
      </c>
      <c r="F1716" s="392" t="s">
        <v>6826</v>
      </c>
      <c r="G1716" s="392" t="s">
        <v>5324</v>
      </c>
      <c r="H1716" s="392" t="s">
        <v>5314</v>
      </c>
      <c r="I1716" s="392" t="s">
        <v>1762</v>
      </c>
      <c r="J1716" s="392" t="s">
        <v>2251</v>
      </c>
      <c r="K1716" s="392" t="s">
        <v>5159</v>
      </c>
      <c r="L1716" s="392" t="s">
        <v>4565</v>
      </c>
      <c r="M1716" s="392" t="s">
        <v>3758</v>
      </c>
      <c r="N1716" s="392" t="s">
        <v>7273</v>
      </c>
      <c r="O1716" s="392" t="s">
        <v>7273</v>
      </c>
      <c r="P1716"/>
      <c r="Q1716"/>
      <c r="R1716" s="387">
        <f>VLOOKUP(E1716,'[1]NDB Impacted SPRFs 05032013'!$A$2:$A$65536,1,FALSE)</f>
        <v>400010916</v>
      </c>
    </row>
    <row r="1717" spans="1:21" ht="30" x14ac:dyDescent="0.25">
      <c r="A1717" s="63">
        <f>MATCH($E1717,'D1 - Master Project Table'!$B$24:$B$7056,0)</f>
        <v>726</v>
      </c>
      <c r="B1717" s="63" t="b">
        <f t="shared" si="81"/>
        <v>0</v>
      </c>
      <c r="C1717" s="63" t="b">
        <f t="shared" si="79"/>
        <v>1</v>
      </c>
      <c r="D1717" s="63" t="str">
        <f t="shared" si="80"/>
        <v>OK</v>
      </c>
      <c r="E1717" s="393">
        <v>400014643</v>
      </c>
      <c r="F1717" s="392" t="s">
        <v>6081</v>
      </c>
      <c r="G1717" s="392" t="s">
        <v>5787</v>
      </c>
      <c r="H1717" s="392" t="s">
        <v>7418</v>
      </c>
      <c r="I1717" s="392" t="s">
        <v>1774</v>
      </c>
      <c r="J1717" s="392" t="s">
        <v>5865</v>
      </c>
      <c r="K1717" s="392" t="s">
        <v>4087</v>
      </c>
      <c r="L1717" s="392" t="s">
        <v>725</v>
      </c>
      <c r="M1717" s="392" t="s">
        <v>7273</v>
      </c>
      <c r="N1717" s="392" t="s">
        <v>7273</v>
      </c>
      <c r="O1717" s="392" t="s">
        <v>7273</v>
      </c>
      <c r="P1717" s="212"/>
      <c r="Q1717"/>
      <c r="R1717" s="387">
        <f>VLOOKUP(E1717,'[1]NDB Impacted SPRFs 05032013'!$A$2:$A$65536,1,FALSE)</f>
        <v>400014643</v>
      </c>
    </row>
    <row r="1718" spans="1:21" ht="45" x14ac:dyDescent="0.25">
      <c r="A1718" s="63">
        <f>MATCH($E1718,'D1 - Master Project Table'!$B$24:$B$7056,0)</f>
        <v>699</v>
      </c>
      <c r="B1718" s="63" t="b">
        <f t="shared" si="81"/>
        <v>0</v>
      </c>
      <c r="C1718" s="63" t="b">
        <f t="shared" si="79"/>
        <v>1</v>
      </c>
      <c r="D1718" s="63" t="str">
        <f t="shared" si="80"/>
        <v>OK</v>
      </c>
      <c r="E1718" s="393">
        <v>400015184</v>
      </c>
      <c r="F1718" s="392" t="s">
        <v>4020</v>
      </c>
      <c r="G1718" s="392" t="s">
        <v>5324</v>
      </c>
      <c r="H1718" s="392" t="s">
        <v>7418</v>
      </c>
      <c r="I1718" s="392" t="s">
        <v>1759</v>
      </c>
      <c r="J1718" s="392" t="s">
        <v>8588</v>
      </c>
      <c r="K1718" s="392" t="s">
        <v>2833</v>
      </c>
      <c r="L1718" s="392" t="s">
        <v>8009</v>
      </c>
      <c r="M1718" s="392" t="s">
        <v>7273</v>
      </c>
      <c r="N1718" s="392" t="s">
        <v>7273</v>
      </c>
      <c r="O1718" s="392" t="s">
        <v>3758</v>
      </c>
      <c r="P1718"/>
      <c r="Q1718"/>
      <c r="R1718" s="387">
        <f>VLOOKUP(E1718,'[1]NDB Impacted SPRFs 05032013'!$A$2:$A$65536,1,FALSE)</f>
        <v>400015184</v>
      </c>
      <c r="S1718" s="159"/>
      <c r="T1718" s="159"/>
      <c r="U1718" s="159"/>
    </row>
    <row r="1719" spans="1:21" s="159" customFormat="1" ht="30" customHeight="1" x14ac:dyDescent="0.25">
      <c r="A1719" s="63">
        <f>MATCH($E1719,'D1 - Master Project Table'!$B$24:$B$7056,0)</f>
        <v>819</v>
      </c>
      <c r="B1719" s="63" t="b">
        <f t="shared" si="81"/>
        <v>0</v>
      </c>
      <c r="C1719" s="63" t="b">
        <f t="shared" si="79"/>
        <v>1</v>
      </c>
      <c r="D1719" s="63" t="str">
        <f t="shared" si="80"/>
        <v>OK</v>
      </c>
      <c r="E1719" s="393">
        <v>400015771</v>
      </c>
      <c r="F1719" s="392" t="s">
        <v>2121</v>
      </c>
      <c r="G1719" s="392" t="s">
        <v>5324</v>
      </c>
      <c r="H1719" s="392" t="s">
        <v>7418</v>
      </c>
      <c r="I1719" s="392" t="s">
        <v>1763</v>
      </c>
      <c r="J1719" s="392" t="s">
        <v>8300</v>
      </c>
      <c r="K1719" s="392" t="s">
        <v>2447</v>
      </c>
      <c r="L1719" s="392" t="s">
        <v>725</v>
      </c>
      <c r="M1719" s="392" t="s">
        <v>7273</v>
      </c>
      <c r="N1719" s="392" t="s">
        <v>7273</v>
      </c>
      <c r="O1719" s="392" t="s">
        <v>7273</v>
      </c>
      <c r="P1719"/>
      <c r="Q1719"/>
      <c r="R1719" s="387">
        <f>VLOOKUP(E1719,'[1]NDB Impacted SPRFs 05032013'!$A$2:$A$65536,1,FALSE)</f>
        <v>400015771</v>
      </c>
    </row>
    <row r="1720" spans="1:21" s="159" customFormat="1" ht="30" x14ac:dyDescent="0.25">
      <c r="A1720" s="63">
        <f>MATCH($E1720,'D1 - Master Project Table'!$B$24:$B$7056,0)</f>
        <v>1331</v>
      </c>
      <c r="B1720" s="63" t="b">
        <f t="shared" si="81"/>
        <v>0</v>
      </c>
      <c r="C1720" s="63" t="b">
        <f t="shared" si="79"/>
        <v>1</v>
      </c>
      <c r="D1720" s="63" t="str">
        <f t="shared" si="80"/>
        <v>OK</v>
      </c>
      <c r="E1720" s="393">
        <v>400028213</v>
      </c>
      <c r="F1720" s="392" t="s">
        <v>1640</v>
      </c>
      <c r="G1720" s="392" t="s">
        <v>6322</v>
      </c>
      <c r="H1720" s="392" t="s">
        <v>7418</v>
      </c>
      <c r="I1720" s="392" t="s">
        <v>7594</v>
      </c>
      <c r="J1720" s="392" t="s">
        <v>7233</v>
      </c>
      <c r="K1720" s="392" t="s">
        <v>7164</v>
      </c>
      <c r="L1720" s="392" t="s">
        <v>6692</v>
      </c>
      <c r="M1720" s="392" t="s">
        <v>7273</v>
      </c>
      <c r="N1720" s="392" t="s">
        <v>7273</v>
      </c>
      <c r="O1720" s="392" t="s">
        <v>7273</v>
      </c>
      <c r="P1720"/>
      <c r="Q1720"/>
      <c r="R1720" s="387">
        <f>VLOOKUP(E1720,'[1]NDB Impacted SPRFs 05032013'!$A$2:$A$65536,1,FALSE)</f>
        <v>400028213</v>
      </c>
    </row>
    <row r="1721" spans="1:21" s="159" customFormat="1" ht="30" x14ac:dyDescent="0.25">
      <c r="A1721" s="63">
        <f>MATCH($E1721,'D1 - Master Project Table'!$B$24:$B$7056,0)</f>
        <v>1570</v>
      </c>
      <c r="B1721" s="63" t="b">
        <f t="shared" si="81"/>
        <v>0</v>
      </c>
      <c r="C1721" s="63" t="b">
        <f t="shared" si="79"/>
        <v>1</v>
      </c>
      <c r="D1721" s="63" t="str">
        <f t="shared" si="80"/>
        <v>OK</v>
      </c>
      <c r="E1721" s="393">
        <v>400044755</v>
      </c>
      <c r="F1721" s="392" t="s">
        <v>3524</v>
      </c>
      <c r="G1721" s="392" t="s">
        <v>5001</v>
      </c>
      <c r="H1721" s="392" t="s">
        <v>7418</v>
      </c>
      <c r="I1721" s="392" t="s">
        <v>3540</v>
      </c>
      <c r="J1721" s="392" t="s">
        <v>8549</v>
      </c>
      <c r="K1721" s="392" t="s">
        <v>6885</v>
      </c>
      <c r="L1721" s="392" t="s">
        <v>3606</v>
      </c>
      <c r="M1721" s="392" t="s">
        <v>7273</v>
      </c>
      <c r="N1721" s="392" t="s">
        <v>7273</v>
      </c>
      <c r="O1721" s="392" t="s">
        <v>7273</v>
      </c>
      <c r="P1721" s="158"/>
      <c r="Q1721" s="128"/>
      <c r="R1721" s="387">
        <f>VLOOKUP(E1721,'[1]NDB Impacted SPRFs 05032013'!$A$2:$A$65536,1,FALSE)</f>
        <v>400044755</v>
      </c>
      <c r="S1721" s="128"/>
      <c r="T1721" s="128"/>
      <c r="U1721" s="128"/>
    </row>
    <row r="1722" spans="1:21" s="159" customFormat="1" ht="45" x14ac:dyDescent="0.25">
      <c r="A1722" s="63">
        <f>MATCH($E1722,'D1 - Master Project Table'!$B$24:$B$7056,0)</f>
        <v>251</v>
      </c>
      <c r="B1722" s="63" t="b">
        <f t="shared" si="81"/>
        <v>0</v>
      </c>
      <c r="C1722" s="63" t="b">
        <f t="shared" si="79"/>
        <v>0</v>
      </c>
      <c r="D1722" s="63" t="str">
        <f t="shared" si="80"/>
        <v>OK</v>
      </c>
      <c r="E1722" s="393">
        <v>400058318</v>
      </c>
      <c r="F1722" s="392" t="s">
        <v>8982</v>
      </c>
      <c r="G1722" s="392" t="s">
        <v>5324</v>
      </c>
      <c r="H1722" s="392" t="s">
        <v>8012</v>
      </c>
      <c r="I1722" s="392" t="s">
        <v>1759</v>
      </c>
      <c r="J1722" s="392" t="s">
        <v>4844</v>
      </c>
      <c r="K1722" s="392" t="s">
        <v>8983</v>
      </c>
      <c r="L1722" s="392" t="s">
        <v>9324</v>
      </c>
      <c r="M1722" s="392" t="s">
        <v>7273</v>
      </c>
      <c r="N1722" s="392" t="s">
        <v>7273</v>
      </c>
      <c r="O1722" s="392" t="s">
        <v>7273</v>
      </c>
      <c r="P1722"/>
      <c r="Q1722"/>
      <c r="R1722" s="387">
        <f>VLOOKUP(E1722,'[1]NDB Impacted SPRFs 05032013'!$A$2:$A$65536,1,FALSE)</f>
        <v>400058318</v>
      </c>
    </row>
    <row r="1723" spans="1:21" s="159" customFormat="1" ht="45" x14ac:dyDescent="0.25">
      <c r="A1723" s="63">
        <f>MATCH($E1723,'D1 - Master Project Table'!$B$24:$B$7056,0)</f>
        <v>2362</v>
      </c>
      <c r="B1723" s="63" t="b">
        <f t="shared" si="81"/>
        <v>0</v>
      </c>
      <c r="C1723" s="63" t="b">
        <f t="shared" si="79"/>
        <v>1</v>
      </c>
      <c r="D1723" s="63" t="str">
        <f t="shared" si="80"/>
        <v>OK</v>
      </c>
      <c r="E1723" s="393">
        <v>400000515</v>
      </c>
      <c r="F1723" s="392" t="s">
        <v>6833</v>
      </c>
      <c r="G1723" s="392" t="s">
        <v>5324</v>
      </c>
      <c r="H1723" s="392" t="s">
        <v>5314</v>
      </c>
      <c r="I1723" s="392" t="s">
        <v>1766</v>
      </c>
      <c r="J1723" s="392" t="s">
        <v>8341</v>
      </c>
      <c r="K1723" s="392" t="s">
        <v>5561</v>
      </c>
      <c r="L1723" s="392" t="s">
        <v>3706</v>
      </c>
      <c r="M1723" s="392" t="s">
        <v>7273</v>
      </c>
      <c r="N1723" s="392" t="s">
        <v>7273</v>
      </c>
      <c r="O1723" s="392" t="s">
        <v>7273</v>
      </c>
      <c r="P1723"/>
      <c r="Q1723"/>
      <c r="R1723" s="387">
        <f>VLOOKUP(E1723,'[1]NDB Impacted SPRFs 05032013'!$A$2:$A$65536,1,FALSE)</f>
        <v>400000515</v>
      </c>
    </row>
    <row r="1724" spans="1:21" s="159" customFormat="1" ht="45" x14ac:dyDescent="0.25">
      <c r="A1724" s="63">
        <f>MATCH($E1724,'D1 - Master Project Table'!$B$24:$B$7056,0)</f>
        <v>2369</v>
      </c>
      <c r="B1724" s="63" t="b">
        <f t="shared" si="81"/>
        <v>0</v>
      </c>
      <c r="C1724" s="63" t="b">
        <f t="shared" si="79"/>
        <v>1</v>
      </c>
      <c r="D1724" s="63" t="str">
        <f t="shared" si="80"/>
        <v>OK</v>
      </c>
      <c r="E1724" s="393">
        <v>400000770</v>
      </c>
      <c r="F1724" s="392" t="s">
        <v>1598</v>
      </c>
      <c r="G1724" s="392" t="s">
        <v>5324</v>
      </c>
      <c r="H1724" s="392" t="s">
        <v>5314</v>
      </c>
      <c r="I1724" s="392" t="s">
        <v>1766</v>
      </c>
      <c r="J1724" s="392" t="s">
        <v>8349</v>
      </c>
      <c r="K1724" s="392" t="s">
        <v>5641</v>
      </c>
      <c r="L1724" s="392" t="s">
        <v>5057</v>
      </c>
      <c r="M1724" s="392" t="s">
        <v>7273</v>
      </c>
      <c r="N1724" s="392" t="s">
        <v>7273</v>
      </c>
      <c r="O1724" s="392" t="s">
        <v>7273</v>
      </c>
      <c r="P1724"/>
      <c r="Q1724"/>
      <c r="R1724" s="387">
        <f>VLOOKUP(E1724,'[1]NDB Impacted SPRFs 05032013'!$A$2:$A$65536,1,FALSE)</f>
        <v>400000770</v>
      </c>
      <c r="S1724" s="128"/>
      <c r="T1724" s="128"/>
      <c r="U1724" s="128"/>
    </row>
    <row r="1725" spans="1:21" ht="30" x14ac:dyDescent="0.25">
      <c r="A1725" s="63">
        <f>MATCH($E1725,'D1 - Master Project Table'!$B$24:$B$7056,0)</f>
        <v>1925</v>
      </c>
      <c r="B1725" s="63" t="b">
        <f t="shared" si="81"/>
        <v>0</v>
      </c>
      <c r="C1725" s="63" t="b">
        <f t="shared" si="79"/>
        <v>1</v>
      </c>
      <c r="D1725" s="63" t="str">
        <f t="shared" si="80"/>
        <v>OK</v>
      </c>
      <c r="E1725" s="393">
        <v>400013727</v>
      </c>
      <c r="F1725" s="392" t="s">
        <v>7023</v>
      </c>
      <c r="G1725" s="392" t="s">
        <v>5787</v>
      </c>
      <c r="H1725" s="392" t="s">
        <v>7418</v>
      </c>
      <c r="I1725" s="392" t="s">
        <v>1775</v>
      </c>
      <c r="J1725" s="392" t="s">
        <v>8736</v>
      </c>
      <c r="K1725" s="392" t="s">
        <v>3941</v>
      </c>
      <c r="L1725" s="392" t="s">
        <v>3834</v>
      </c>
      <c r="M1725" s="392" t="s">
        <v>7273</v>
      </c>
      <c r="N1725" s="392" t="s">
        <v>7273</v>
      </c>
      <c r="O1725" s="392" t="s">
        <v>7273</v>
      </c>
      <c r="P1725"/>
      <c r="Q1725"/>
      <c r="R1725" s="387">
        <f>VLOOKUP(E1725,'[1]NDB Impacted SPRFs 05032013'!$A$2:$A$65536,1,FALSE)</f>
        <v>400013727</v>
      </c>
    </row>
    <row r="1726" spans="1:21" s="159" customFormat="1" ht="30" x14ac:dyDescent="0.25">
      <c r="A1726" s="63">
        <f>MATCH($E1726,'D1 - Master Project Table'!$B$24:$B$7056,0)</f>
        <v>901</v>
      </c>
      <c r="B1726" s="63" t="b">
        <f t="shared" si="81"/>
        <v>0</v>
      </c>
      <c r="C1726" s="63" t="b">
        <f t="shared" si="79"/>
        <v>1</v>
      </c>
      <c r="D1726" s="63" t="str">
        <f t="shared" si="80"/>
        <v>OK</v>
      </c>
      <c r="E1726" s="393">
        <v>400020527</v>
      </c>
      <c r="F1726" s="392" t="s">
        <v>1221</v>
      </c>
      <c r="G1726" s="392" t="s">
        <v>5995</v>
      </c>
      <c r="H1726" s="392" t="s">
        <v>7418</v>
      </c>
      <c r="I1726" s="392" t="s">
        <v>6423</v>
      </c>
      <c r="J1726" s="392" t="s">
        <v>8810</v>
      </c>
      <c r="K1726" s="392" t="s">
        <v>4114</v>
      </c>
      <c r="L1726" s="392" t="s">
        <v>3134</v>
      </c>
      <c r="M1726" s="392" t="s">
        <v>7273</v>
      </c>
      <c r="N1726" s="392" t="s">
        <v>7273</v>
      </c>
      <c r="O1726" s="392" t="s">
        <v>7273</v>
      </c>
      <c r="P1726"/>
      <c r="Q1726"/>
      <c r="R1726" s="387">
        <f>VLOOKUP(E1726,'[1]NDB Impacted SPRFs 05032013'!$A$2:$A$65536,1,FALSE)</f>
        <v>400020527</v>
      </c>
      <c r="S1726" s="128"/>
      <c r="T1726" s="128"/>
      <c r="U1726" s="128"/>
    </row>
    <row r="1727" spans="1:21" s="159" customFormat="1" ht="30" x14ac:dyDescent="0.25">
      <c r="A1727" s="63">
        <f>MATCH($E1727,'D1 - Master Project Table'!$B$24:$B$7056,0)</f>
        <v>2019</v>
      </c>
      <c r="B1727" s="63" t="b">
        <f t="shared" si="81"/>
        <v>0</v>
      </c>
      <c r="C1727" s="63" t="b">
        <f t="shared" si="79"/>
        <v>1</v>
      </c>
      <c r="D1727" s="63" t="str">
        <f t="shared" si="80"/>
        <v>OK</v>
      </c>
      <c r="E1727" s="393">
        <v>400036033</v>
      </c>
      <c r="F1727" s="392" t="s">
        <v>4979</v>
      </c>
      <c r="G1727" s="392" t="s">
        <v>6322</v>
      </c>
      <c r="H1727" s="392" t="s">
        <v>7418</v>
      </c>
      <c r="I1727" s="392" t="s">
        <v>1118</v>
      </c>
      <c r="J1727" s="392" t="s">
        <v>4688</v>
      </c>
      <c r="K1727" s="392" t="s">
        <v>1629</v>
      </c>
      <c r="L1727" s="392" t="s">
        <v>3994</v>
      </c>
      <c r="M1727" s="392" t="s">
        <v>7273</v>
      </c>
      <c r="N1727" s="392" t="s">
        <v>7273</v>
      </c>
      <c r="O1727" s="392" t="s">
        <v>3758</v>
      </c>
      <c r="P1727"/>
      <c r="Q1727"/>
      <c r="R1727" s="387">
        <f>VLOOKUP(E1727,'[1]NDB Impacted SPRFs 05032013'!$A$2:$A$65536,1,FALSE)</f>
        <v>400036033</v>
      </c>
    </row>
    <row r="1728" spans="1:21" s="159" customFormat="1" ht="45" x14ac:dyDescent="0.25">
      <c r="A1728" s="63">
        <f>MATCH($E1728,'D1 - Master Project Table'!$B$24:$B$7056,0)</f>
        <v>3189</v>
      </c>
      <c r="B1728" s="63" t="b">
        <f t="shared" si="81"/>
        <v>0</v>
      </c>
      <c r="C1728" s="63" t="b">
        <f t="shared" si="79"/>
        <v>1</v>
      </c>
      <c r="D1728" s="63" t="str">
        <f t="shared" si="80"/>
        <v>OK</v>
      </c>
      <c r="E1728" s="393">
        <v>400043737</v>
      </c>
      <c r="F1728" s="392" t="s">
        <v>3607</v>
      </c>
      <c r="G1728" s="392" t="s">
        <v>5324</v>
      </c>
      <c r="H1728" s="392" t="s">
        <v>7418</v>
      </c>
      <c r="I1728" s="392" t="s">
        <v>1786</v>
      </c>
      <c r="J1728" s="392" t="s">
        <v>2868</v>
      </c>
      <c r="K1728" s="392" t="s">
        <v>3608</v>
      </c>
      <c r="L1728" s="392" t="s">
        <v>527</v>
      </c>
      <c r="M1728" s="392" t="s">
        <v>7273</v>
      </c>
      <c r="N1728" s="392" t="s">
        <v>7273</v>
      </c>
      <c r="O1728" s="392" t="s">
        <v>7273</v>
      </c>
      <c r="P1728"/>
      <c r="Q1728"/>
      <c r="R1728" s="387">
        <f>VLOOKUP(E1728,'[1]NDB Impacted SPRFs 05032013'!$A$2:$A$65536,1,FALSE)</f>
        <v>400043737</v>
      </c>
    </row>
    <row r="1729" spans="1:21" s="159" customFormat="1" ht="15" x14ac:dyDescent="0.25">
      <c r="A1729" s="63">
        <f>MATCH($E1729,'D1 - Master Project Table'!$B$24:$B$7056,0)</f>
        <v>1853</v>
      </c>
      <c r="B1729" s="63" t="b">
        <f t="shared" si="81"/>
        <v>0</v>
      </c>
      <c r="C1729" s="63" t="b">
        <f t="shared" si="79"/>
        <v>1</v>
      </c>
      <c r="D1729" s="63" t="str">
        <f t="shared" si="80"/>
        <v>OK</v>
      </c>
      <c r="E1729" s="393">
        <v>112151316</v>
      </c>
      <c r="F1729" s="392" t="s">
        <v>6188</v>
      </c>
      <c r="G1729" s="392" t="s">
        <v>5787</v>
      </c>
      <c r="H1729" s="392" t="s">
        <v>7418</v>
      </c>
      <c r="I1729" s="392" t="s">
        <v>1772</v>
      </c>
      <c r="J1729" s="392" t="s">
        <v>8272</v>
      </c>
      <c r="K1729" s="392" t="s">
        <v>3323</v>
      </c>
      <c r="L1729" s="392" t="s">
        <v>2080</v>
      </c>
      <c r="M1729" s="392" t="s">
        <v>3758</v>
      </c>
      <c r="N1729" s="392" t="s">
        <v>7273</v>
      </c>
      <c r="O1729" s="392" t="s">
        <v>7273</v>
      </c>
      <c r="P1729"/>
      <c r="Q1729"/>
      <c r="R1729" s="387">
        <f>VLOOKUP(E1729,'[1]NDB Impacted SPRFs 05032013'!$A$2:$A$65536,1,FALSE)</f>
        <v>112151316</v>
      </c>
    </row>
    <row r="1730" spans="1:21" s="159" customFormat="1" ht="45" x14ac:dyDescent="0.25">
      <c r="A1730" s="63" t="e">
        <f>MATCH($E1730,'D1 - Master Project Table'!$B$24:$B$7056,0)</f>
        <v>#N/A</v>
      </c>
      <c r="B1730" s="63" t="b">
        <f t="shared" si="81"/>
        <v>1</v>
      </c>
      <c r="C1730" s="63" t="b">
        <f t="shared" si="79"/>
        <v>1</v>
      </c>
      <c r="D1730" s="63" t="str">
        <f t="shared" si="80"/>
        <v>OK</v>
      </c>
      <c r="E1730" s="393">
        <v>400000566</v>
      </c>
      <c r="F1730" s="392" t="s">
        <v>6399</v>
      </c>
      <c r="G1730" s="392" t="s">
        <v>5324</v>
      </c>
      <c r="H1730" s="392" t="s">
        <v>7418</v>
      </c>
      <c r="I1730" s="392" t="s">
        <v>1765</v>
      </c>
      <c r="J1730" s="392" t="s">
        <v>8348</v>
      </c>
      <c r="K1730" s="392" t="s">
        <v>4169</v>
      </c>
      <c r="L1730" s="392" t="s">
        <v>6224</v>
      </c>
      <c r="M1730" s="392" t="s">
        <v>7273</v>
      </c>
      <c r="N1730" s="392" t="s">
        <v>7273</v>
      </c>
      <c r="O1730" s="392" t="s">
        <v>7273</v>
      </c>
      <c r="P1730"/>
      <c r="Q1730"/>
      <c r="R1730" s="387">
        <f>VLOOKUP(E1730,'[1]NDB Impacted SPRFs 05032013'!$A$2:$A$65536,1,FALSE)</f>
        <v>400000566</v>
      </c>
    </row>
    <row r="1731" spans="1:21" s="159" customFormat="1" ht="45" x14ac:dyDescent="0.25">
      <c r="A1731" s="63">
        <f>MATCH($E1731,'D1 - Master Project Table'!$B$24:$B$7056,0)</f>
        <v>493</v>
      </c>
      <c r="B1731" s="63" t="b">
        <f t="shared" si="81"/>
        <v>0</v>
      </c>
      <c r="C1731" s="63" t="b">
        <f t="shared" si="79"/>
        <v>1</v>
      </c>
      <c r="D1731" s="63" t="str">
        <f t="shared" si="80"/>
        <v>OK</v>
      </c>
      <c r="E1731" s="393">
        <v>400011291</v>
      </c>
      <c r="F1731" s="392" t="s">
        <v>4158</v>
      </c>
      <c r="G1731" s="392" t="s">
        <v>5324</v>
      </c>
      <c r="H1731" s="392" t="s">
        <v>7418</v>
      </c>
      <c r="I1731" s="392" t="s">
        <v>1789</v>
      </c>
      <c r="J1731" s="392" t="s">
        <v>7233</v>
      </c>
      <c r="K1731" s="392" t="s">
        <v>5159</v>
      </c>
      <c r="L1731" s="392" t="s">
        <v>5893</v>
      </c>
      <c r="M1731" s="392" t="s">
        <v>7273</v>
      </c>
      <c r="N1731" s="392" t="s">
        <v>7273</v>
      </c>
      <c r="O1731" s="392" t="s">
        <v>7273</v>
      </c>
      <c r="P1731"/>
      <c r="Q1731"/>
      <c r="R1731" s="387">
        <f>VLOOKUP(E1731,'[1]NDB Impacted SPRFs 05032013'!$A$2:$A$65536,1,FALSE)</f>
        <v>400011291</v>
      </c>
    </row>
    <row r="1732" spans="1:21" s="159" customFormat="1" ht="45" x14ac:dyDescent="0.25">
      <c r="A1732" s="63" t="e">
        <f>MATCH($E1732,'D1 - Master Project Table'!$B$24:$B$7056,0)</f>
        <v>#N/A</v>
      </c>
      <c r="B1732" s="63" t="b">
        <f t="shared" si="81"/>
        <v>1</v>
      </c>
      <c r="C1732" s="63" t="b">
        <f t="shared" si="79"/>
        <v>1</v>
      </c>
      <c r="D1732" s="63" t="str">
        <f t="shared" si="80"/>
        <v>OK</v>
      </c>
      <c r="E1732" s="393">
        <v>400017044</v>
      </c>
      <c r="F1732" s="392" t="s">
        <v>1608</v>
      </c>
      <c r="G1732" s="392" t="s">
        <v>5324</v>
      </c>
      <c r="H1732" s="392" t="s">
        <v>5314</v>
      </c>
      <c r="I1732" s="392" t="s">
        <v>1758</v>
      </c>
      <c r="J1732" s="392" t="s">
        <v>8365</v>
      </c>
      <c r="K1732" s="392" t="s">
        <v>4124</v>
      </c>
      <c r="L1732" s="392" t="s">
        <v>5737</v>
      </c>
      <c r="M1732" s="392" t="s">
        <v>7273</v>
      </c>
      <c r="N1732" s="392" t="s">
        <v>7273</v>
      </c>
      <c r="O1732" s="392" t="s">
        <v>7273</v>
      </c>
      <c r="P1732"/>
      <c r="Q1732"/>
      <c r="R1732" s="387">
        <f>VLOOKUP(E1732,'[1]NDB Impacted SPRFs 05032013'!$A$2:$A$65536,1,FALSE)</f>
        <v>400017044</v>
      </c>
      <c r="S1732" s="128"/>
      <c r="T1732" s="128"/>
      <c r="U1732" s="128"/>
    </row>
    <row r="1733" spans="1:21" s="159" customFormat="1" ht="45" x14ac:dyDescent="0.25">
      <c r="A1733" s="63">
        <f>MATCH($E1733,'D1 - Master Project Table'!$B$24:$B$7056,0)</f>
        <v>2747</v>
      </c>
      <c r="B1733" s="63" t="b">
        <f t="shared" si="81"/>
        <v>0</v>
      </c>
      <c r="C1733" s="63" t="b">
        <f t="shared" si="79"/>
        <v>1</v>
      </c>
      <c r="D1733" s="63" t="str">
        <f t="shared" si="80"/>
        <v>OK</v>
      </c>
      <c r="E1733" s="393">
        <v>400020846</v>
      </c>
      <c r="F1733" s="392" t="s">
        <v>4369</v>
      </c>
      <c r="G1733" s="392" t="s">
        <v>5324</v>
      </c>
      <c r="H1733" s="392" t="s">
        <v>5314</v>
      </c>
      <c r="I1733" s="392" t="s">
        <v>1759</v>
      </c>
      <c r="J1733" s="392" t="s">
        <v>8438</v>
      </c>
      <c r="K1733" s="392" t="s">
        <v>7024</v>
      </c>
      <c r="L1733" s="392" t="s">
        <v>5225</v>
      </c>
      <c r="M1733" s="392" t="s">
        <v>7273</v>
      </c>
      <c r="N1733" s="392" t="s">
        <v>7273</v>
      </c>
      <c r="O1733" s="392" t="s">
        <v>7273</v>
      </c>
      <c r="P1733"/>
      <c r="Q1733"/>
      <c r="R1733" s="387">
        <f>VLOOKUP(E1733,'[1]NDB Impacted SPRFs 05032013'!$A$2:$A$65536,1,FALSE)</f>
        <v>400020846</v>
      </c>
    </row>
    <row r="1734" spans="1:21" s="159" customFormat="1" ht="45" x14ac:dyDescent="0.25">
      <c r="A1734" s="63">
        <f>MATCH($E1734,'D1 - Master Project Table'!$B$24:$B$7056,0)</f>
        <v>1583</v>
      </c>
      <c r="B1734" s="63" t="b">
        <f t="shared" si="81"/>
        <v>0</v>
      </c>
      <c r="C1734" s="63" t="b">
        <f t="shared" ref="C1734:C1797" si="82">OR(H1734="Completed",H1734="Cancelled")</f>
        <v>1</v>
      </c>
      <c r="D1734" s="63" t="str">
        <f t="shared" ref="D1734:D1797" si="83">IF(AND(B1734=TRUE,C1734=FALSE),"Add","OK")</f>
        <v>OK</v>
      </c>
      <c r="E1734" s="393">
        <v>400041517</v>
      </c>
      <c r="F1734" s="392" t="s">
        <v>1581</v>
      </c>
      <c r="G1734" s="392" t="s">
        <v>5324</v>
      </c>
      <c r="H1734" s="392" t="s">
        <v>7418</v>
      </c>
      <c r="I1734" s="392" t="s">
        <v>1762</v>
      </c>
      <c r="J1734" s="392" t="s">
        <v>8413</v>
      </c>
      <c r="K1734" s="392" t="s">
        <v>1582</v>
      </c>
      <c r="L1734" s="392" t="s">
        <v>6410</v>
      </c>
      <c r="M1734" s="392" t="s">
        <v>7273</v>
      </c>
      <c r="N1734" s="392" t="s">
        <v>7273</v>
      </c>
      <c r="O1734" s="392" t="s">
        <v>7273</v>
      </c>
      <c r="P1734"/>
      <c r="Q1734"/>
      <c r="R1734" s="387">
        <f>VLOOKUP(E1734,'[1]NDB Impacted SPRFs 05032013'!$A$2:$A$65536,1,FALSE)</f>
        <v>400041517</v>
      </c>
      <c r="S1734" s="128"/>
      <c r="T1734" s="128"/>
      <c r="U1734" s="128"/>
    </row>
    <row r="1735" spans="1:21" s="159" customFormat="1" ht="45" x14ac:dyDescent="0.25">
      <c r="A1735" s="63">
        <f>MATCH($E1735,'D1 - Master Project Table'!$B$24:$B$7056,0)</f>
        <v>1629</v>
      </c>
      <c r="B1735" s="63" t="b">
        <f t="shared" si="81"/>
        <v>0</v>
      </c>
      <c r="C1735" s="63" t="b">
        <f t="shared" si="82"/>
        <v>1</v>
      </c>
      <c r="D1735" s="63" t="str">
        <f t="shared" si="83"/>
        <v>OK</v>
      </c>
      <c r="E1735" s="393">
        <v>400048115</v>
      </c>
      <c r="F1735" s="392" t="s">
        <v>303</v>
      </c>
      <c r="G1735" s="392" t="s">
        <v>5325</v>
      </c>
      <c r="H1735" s="392" t="s">
        <v>7418</v>
      </c>
      <c r="I1735" s="392" t="s">
        <v>1762</v>
      </c>
      <c r="J1735" s="392" t="s">
        <v>5062</v>
      </c>
      <c r="K1735" s="392" t="s">
        <v>1402</v>
      </c>
      <c r="L1735" s="392" t="s">
        <v>181</v>
      </c>
      <c r="M1735" s="392" t="s">
        <v>7273</v>
      </c>
      <c r="N1735" s="392" t="s">
        <v>7273</v>
      </c>
      <c r="O1735" s="392" t="s">
        <v>3758</v>
      </c>
      <c r="P1735"/>
      <c r="Q1735"/>
      <c r="R1735" s="387">
        <f>VLOOKUP(E1735,'[1]NDB Impacted SPRFs 05032013'!$A$2:$A$65536,1,FALSE)</f>
        <v>400048115</v>
      </c>
      <c r="S1735" s="128"/>
      <c r="T1735" s="128"/>
      <c r="U1735" s="128"/>
    </row>
    <row r="1736" spans="1:21" s="159" customFormat="1" ht="45" x14ac:dyDescent="0.25">
      <c r="A1736" s="63">
        <f>MATCH($E1736,'D1 - Master Project Table'!$B$24:$B$7056,0)</f>
        <v>3093</v>
      </c>
      <c r="B1736" s="63" t="b">
        <f t="shared" si="81"/>
        <v>0</v>
      </c>
      <c r="C1736" s="63" t="b">
        <f t="shared" si="82"/>
        <v>1</v>
      </c>
      <c r="D1736" s="63" t="str">
        <f t="shared" si="83"/>
        <v>OK</v>
      </c>
      <c r="E1736" s="393">
        <v>400049101</v>
      </c>
      <c r="F1736" s="392" t="s">
        <v>356</v>
      </c>
      <c r="G1736" s="392" t="s">
        <v>5325</v>
      </c>
      <c r="H1736" s="392" t="s">
        <v>7418</v>
      </c>
      <c r="I1736" s="392" t="s">
        <v>1763</v>
      </c>
      <c r="J1736" s="392" t="s">
        <v>5062</v>
      </c>
      <c r="K1736" s="392" t="s">
        <v>3224</v>
      </c>
      <c r="L1736" s="392" t="s">
        <v>357</v>
      </c>
      <c r="M1736" s="392" t="s">
        <v>7273</v>
      </c>
      <c r="N1736" s="392" t="s">
        <v>7273</v>
      </c>
      <c r="O1736" s="392" t="s">
        <v>7273</v>
      </c>
      <c r="P1736"/>
      <c r="Q1736"/>
      <c r="R1736" s="387">
        <f>VLOOKUP(E1736,'[1]NDB Impacted SPRFs 05032013'!$A$2:$A$65536,1,FALSE)</f>
        <v>400049101</v>
      </c>
    </row>
    <row r="1737" spans="1:21" s="159" customFormat="1" ht="45" x14ac:dyDescent="0.25">
      <c r="A1737" s="63">
        <f>MATCH($E1737,'D1 - Master Project Table'!$B$24:$B$7056,0)</f>
        <v>6</v>
      </c>
      <c r="B1737" s="63" t="b">
        <f t="shared" si="81"/>
        <v>0</v>
      </c>
      <c r="C1737" s="63" t="b">
        <f t="shared" si="82"/>
        <v>0</v>
      </c>
      <c r="D1737" s="63" t="str">
        <f t="shared" si="83"/>
        <v>OK</v>
      </c>
      <c r="E1737" s="393">
        <v>400054309</v>
      </c>
      <c r="F1737" s="392" t="s">
        <v>350</v>
      </c>
      <c r="G1737" s="392" t="s">
        <v>5325</v>
      </c>
      <c r="H1737" s="392" t="s">
        <v>7479</v>
      </c>
      <c r="I1737" s="392" t="s">
        <v>1762</v>
      </c>
      <c r="J1737" s="392" t="s">
        <v>2160</v>
      </c>
      <c r="K1737" s="392" t="s">
        <v>2161</v>
      </c>
      <c r="L1737" s="392" t="s">
        <v>181</v>
      </c>
      <c r="M1737" s="392" t="s">
        <v>7273</v>
      </c>
      <c r="N1737" s="392" t="s">
        <v>7273</v>
      </c>
      <c r="O1737" s="392" t="s">
        <v>3758</v>
      </c>
      <c r="P1737"/>
      <c r="Q1737"/>
      <c r="R1737" s="387">
        <f>VLOOKUP(E1737,'[1]NDB Impacted SPRFs 05032013'!$A$2:$A$65536,1,FALSE)</f>
        <v>400054309</v>
      </c>
      <c r="S1737" s="128"/>
      <c r="T1737" s="128"/>
      <c r="U1737" s="128"/>
    </row>
    <row r="1738" spans="1:21" s="159" customFormat="1" ht="45" x14ac:dyDescent="0.25">
      <c r="A1738" s="63" t="e">
        <f>MATCH($E1738,'D1 - Master Project Table'!$B$24:$B$7056,0)</f>
        <v>#N/A</v>
      </c>
      <c r="B1738" s="63" t="b">
        <f t="shared" si="81"/>
        <v>1</v>
      </c>
      <c r="C1738" s="63" t="b">
        <f t="shared" si="82"/>
        <v>1</v>
      </c>
      <c r="D1738" s="63" t="str">
        <f t="shared" si="83"/>
        <v>OK</v>
      </c>
      <c r="E1738" s="393">
        <v>303041429</v>
      </c>
      <c r="F1738" s="392" t="s">
        <v>4196</v>
      </c>
      <c r="G1738" s="392" t="s">
        <v>5324</v>
      </c>
      <c r="H1738" s="392" t="s">
        <v>5314</v>
      </c>
      <c r="I1738" s="392" t="s">
        <v>1766</v>
      </c>
      <c r="J1738" s="392" t="s">
        <v>8341</v>
      </c>
      <c r="K1738" s="392" t="s">
        <v>6653</v>
      </c>
      <c r="L1738" s="392" t="s">
        <v>4197</v>
      </c>
      <c r="M1738" s="392" t="s">
        <v>7273</v>
      </c>
      <c r="N1738" s="392" t="s">
        <v>7273</v>
      </c>
      <c r="O1738" s="392" t="s">
        <v>7273</v>
      </c>
      <c r="P1738"/>
      <c r="Q1738"/>
      <c r="R1738" s="387">
        <f>VLOOKUP(E1738,'[1]NDB Impacted SPRFs 05032013'!$A$2:$A$65536,1,FALSE)</f>
        <v>303041429</v>
      </c>
    </row>
    <row r="1739" spans="1:21" s="159" customFormat="1" ht="30" customHeight="1" x14ac:dyDescent="0.25">
      <c r="A1739" s="63" t="e">
        <f>MATCH($E1739,'D1 - Master Project Table'!$B$24:$B$7056,0)</f>
        <v>#N/A</v>
      </c>
      <c r="B1739" s="63" t="b">
        <f t="shared" si="81"/>
        <v>1</v>
      </c>
      <c r="C1739" s="63" t="b">
        <f t="shared" si="82"/>
        <v>1</v>
      </c>
      <c r="D1739" s="63" t="str">
        <f t="shared" si="83"/>
        <v>OK</v>
      </c>
      <c r="E1739" s="393">
        <v>400015249</v>
      </c>
      <c r="F1739" s="392" t="s">
        <v>6350</v>
      </c>
      <c r="G1739" s="392" t="s">
        <v>3441</v>
      </c>
      <c r="H1739" s="392" t="s">
        <v>5314</v>
      </c>
      <c r="I1739" s="392" t="s">
        <v>1769</v>
      </c>
      <c r="J1739" s="392" t="s">
        <v>4990</v>
      </c>
      <c r="K1739" s="392" t="s">
        <v>2447</v>
      </c>
      <c r="L1739" s="392" t="s">
        <v>5334</v>
      </c>
      <c r="M1739" s="392" t="s">
        <v>3758</v>
      </c>
      <c r="N1739" s="392" t="s">
        <v>7273</v>
      </c>
      <c r="O1739" s="392" t="s">
        <v>3758</v>
      </c>
      <c r="P1739"/>
      <c r="Q1739"/>
      <c r="R1739" s="387">
        <f>VLOOKUP(E1739,'[1]NDB Impacted SPRFs 05032013'!$A$2:$A$65536,1,FALSE)</f>
        <v>400015249</v>
      </c>
    </row>
    <row r="1740" spans="1:21" s="159" customFormat="1" ht="30" x14ac:dyDescent="0.25">
      <c r="A1740" s="63">
        <f>MATCH($E1740,'D1 - Master Project Table'!$B$24:$B$7056,0)</f>
        <v>2650</v>
      </c>
      <c r="B1740" s="63" t="b">
        <f t="shared" si="81"/>
        <v>0</v>
      </c>
      <c r="C1740" s="63" t="b">
        <f t="shared" si="82"/>
        <v>1</v>
      </c>
      <c r="D1740" s="63" t="str">
        <f t="shared" si="83"/>
        <v>OK</v>
      </c>
      <c r="E1740" s="393">
        <v>400015270</v>
      </c>
      <c r="F1740" s="392" t="s">
        <v>5431</v>
      </c>
      <c r="G1740" s="392" t="s">
        <v>3441</v>
      </c>
      <c r="H1740" s="392" t="s">
        <v>5314</v>
      </c>
      <c r="I1740" s="392" t="s">
        <v>1769</v>
      </c>
      <c r="J1740" s="392" t="s">
        <v>4990</v>
      </c>
      <c r="K1740" s="392" t="s">
        <v>2447</v>
      </c>
      <c r="L1740" s="392" t="s">
        <v>5334</v>
      </c>
      <c r="M1740" s="392" t="s">
        <v>3758</v>
      </c>
      <c r="N1740" s="392" t="s">
        <v>7273</v>
      </c>
      <c r="O1740" s="392" t="s">
        <v>3758</v>
      </c>
      <c r="P1740"/>
      <c r="Q1740"/>
      <c r="R1740" s="387">
        <f>VLOOKUP(E1740,'[1]NDB Impacted SPRFs 05032013'!$A$2:$A$65536,1,FALSE)</f>
        <v>400015270</v>
      </c>
      <c r="S1740" s="128"/>
      <c r="T1740" s="128"/>
      <c r="U1740" s="128"/>
    </row>
    <row r="1741" spans="1:21" s="159" customFormat="1" ht="45" customHeight="1" x14ac:dyDescent="0.25">
      <c r="A1741" s="63">
        <f>MATCH($E1741,'D1 - Master Project Table'!$B$24:$B$7056,0)</f>
        <v>2664</v>
      </c>
      <c r="B1741" s="63" t="b">
        <f t="shared" si="81"/>
        <v>0</v>
      </c>
      <c r="C1741" s="63" t="b">
        <f t="shared" si="82"/>
        <v>1</v>
      </c>
      <c r="D1741" s="63" t="str">
        <f t="shared" si="83"/>
        <v>OK</v>
      </c>
      <c r="E1741" s="393">
        <v>400015655</v>
      </c>
      <c r="F1741" s="392" t="s">
        <v>6881</v>
      </c>
      <c r="G1741" s="392" t="s">
        <v>3441</v>
      </c>
      <c r="H1741" s="392" t="s">
        <v>5314</v>
      </c>
      <c r="I1741" s="392" t="s">
        <v>2662</v>
      </c>
      <c r="J1741" s="392" t="s">
        <v>8518</v>
      </c>
      <c r="K1741" s="392" t="s">
        <v>5541</v>
      </c>
      <c r="L1741" s="392" t="s">
        <v>4957</v>
      </c>
      <c r="M1741" s="392" t="s">
        <v>3758</v>
      </c>
      <c r="N1741" s="392" t="s">
        <v>7273</v>
      </c>
      <c r="O1741" s="392" t="s">
        <v>7273</v>
      </c>
      <c r="P1741"/>
      <c r="Q1741"/>
      <c r="R1741" s="387">
        <f>VLOOKUP(E1741,'[1]NDB Impacted SPRFs 05032013'!$A$2:$A$65536,1,FALSE)</f>
        <v>400015655</v>
      </c>
    </row>
    <row r="1742" spans="1:21" s="159" customFormat="1" ht="45" x14ac:dyDescent="0.25">
      <c r="A1742" s="63">
        <f>MATCH($E1742,'D1 - Master Project Table'!$B$24:$B$7056,0)</f>
        <v>2733</v>
      </c>
      <c r="B1742" s="63" t="b">
        <f t="shared" si="81"/>
        <v>0</v>
      </c>
      <c r="C1742" s="63" t="b">
        <f t="shared" si="82"/>
        <v>1</v>
      </c>
      <c r="D1742" s="63" t="str">
        <f t="shared" si="83"/>
        <v>OK</v>
      </c>
      <c r="E1742" s="393">
        <v>400019895</v>
      </c>
      <c r="F1742" s="392" t="s">
        <v>7282</v>
      </c>
      <c r="G1742" s="392" t="s">
        <v>5324</v>
      </c>
      <c r="H1742" s="392" t="s">
        <v>5314</v>
      </c>
      <c r="I1742" s="392" t="s">
        <v>1756</v>
      </c>
      <c r="J1742" s="392" t="s">
        <v>8377</v>
      </c>
      <c r="K1742" s="392" t="s">
        <v>2508</v>
      </c>
      <c r="L1742" s="392" t="s">
        <v>4955</v>
      </c>
      <c r="M1742" s="392" t="s">
        <v>7273</v>
      </c>
      <c r="N1742" s="392" t="s">
        <v>7273</v>
      </c>
      <c r="O1742" s="392" t="s">
        <v>7273</v>
      </c>
      <c r="P1742"/>
      <c r="Q1742"/>
      <c r="R1742" s="387">
        <f>VLOOKUP(E1742,'[1]NDB Impacted SPRFs 05032013'!$A$2:$A$65536,1,FALSE)</f>
        <v>400019895</v>
      </c>
    </row>
    <row r="1743" spans="1:21" s="159" customFormat="1" ht="45" x14ac:dyDescent="0.25">
      <c r="A1743" s="63">
        <f>MATCH($E1743,'D1 - Master Project Table'!$B$24:$B$7056,0)</f>
        <v>2819</v>
      </c>
      <c r="B1743" s="63" t="b">
        <f t="shared" si="81"/>
        <v>0</v>
      </c>
      <c r="C1743" s="63" t="b">
        <f t="shared" si="82"/>
        <v>1</v>
      </c>
      <c r="D1743" s="63" t="str">
        <f t="shared" si="83"/>
        <v>OK</v>
      </c>
      <c r="E1743" s="393">
        <v>400024353</v>
      </c>
      <c r="F1743" s="392" t="s">
        <v>2956</v>
      </c>
      <c r="G1743" s="392" t="s">
        <v>5324</v>
      </c>
      <c r="H1743" s="392" t="s">
        <v>5314</v>
      </c>
      <c r="I1743" s="392" t="s">
        <v>1762</v>
      </c>
      <c r="J1743" s="392" t="s">
        <v>8302</v>
      </c>
      <c r="K1743" s="392" t="s">
        <v>2947</v>
      </c>
      <c r="L1743" s="392" t="s">
        <v>8151</v>
      </c>
      <c r="M1743" s="392" t="s">
        <v>7273</v>
      </c>
      <c r="N1743" s="392" t="s">
        <v>7273</v>
      </c>
      <c r="O1743" s="392" t="s">
        <v>7273</v>
      </c>
      <c r="P1743"/>
      <c r="Q1743"/>
      <c r="R1743" s="387">
        <f>VLOOKUP(E1743,'[1]NDB Impacted SPRFs 05032013'!$A$2:$A$65536,1,FALSE)</f>
        <v>400024353</v>
      </c>
    </row>
    <row r="1744" spans="1:21" s="159" customFormat="1" ht="30" x14ac:dyDescent="0.25">
      <c r="A1744" s="63">
        <f>MATCH($E1744,'D1 - Master Project Table'!$B$24:$B$7056,0)</f>
        <v>1277</v>
      </c>
      <c r="B1744" s="63" t="b">
        <f t="shared" si="81"/>
        <v>0</v>
      </c>
      <c r="C1744" s="63" t="b">
        <f t="shared" si="82"/>
        <v>1</v>
      </c>
      <c r="D1744" s="63" t="str">
        <f t="shared" si="83"/>
        <v>OK</v>
      </c>
      <c r="E1744" s="393">
        <v>400033790</v>
      </c>
      <c r="F1744" s="392" t="s">
        <v>7794</v>
      </c>
      <c r="G1744" s="392" t="s">
        <v>5995</v>
      </c>
      <c r="H1744" s="392" t="s">
        <v>7418</v>
      </c>
      <c r="I1744" s="392" t="s">
        <v>6423</v>
      </c>
      <c r="J1744" s="392" t="s">
        <v>8074</v>
      </c>
      <c r="K1744" s="392" t="s">
        <v>5218</v>
      </c>
      <c r="L1744" s="392" t="s">
        <v>3688</v>
      </c>
      <c r="M1744" s="392" t="s">
        <v>7273</v>
      </c>
      <c r="N1744" s="392" t="s">
        <v>7273</v>
      </c>
      <c r="O1744" s="392" t="s">
        <v>7273</v>
      </c>
      <c r="P1744"/>
      <c r="Q1744"/>
      <c r="R1744" s="387">
        <f>VLOOKUP(E1744,'[1]NDB Impacted SPRFs 05032013'!$A$2:$A$65536,1,FALSE)</f>
        <v>400033790</v>
      </c>
    </row>
    <row r="1745" spans="1:21" s="159" customFormat="1" ht="30" x14ac:dyDescent="0.25">
      <c r="A1745" s="63">
        <f>MATCH($E1745,'D1 - Master Project Table'!$B$24:$B$7056,0)</f>
        <v>3226</v>
      </c>
      <c r="B1745" s="63" t="b">
        <f t="shared" si="81"/>
        <v>0</v>
      </c>
      <c r="C1745" s="63" t="b">
        <f t="shared" si="82"/>
        <v>1</v>
      </c>
      <c r="D1745" s="63" t="str">
        <f t="shared" si="83"/>
        <v>OK</v>
      </c>
      <c r="E1745" s="393">
        <v>400050546</v>
      </c>
      <c r="F1745" s="392" t="s">
        <v>1279</v>
      </c>
      <c r="G1745" s="392" t="s">
        <v>6322</v>
      </c>
      <c r="H1745" s="392" t="s">
        <v>5314</v>
      </c>
      <c r="I1745" s="392" t="s">
        <v>1762</v>
      </c>
      <c r="J1745" s="392" t="s">
        <v>8442</v>
      </c>
      <c r="K1745" s="392" t="s">
        <v>1280</v>
      </c>
      <c r="L1745" s="392" t="s">
        <v>1020</v>
      </c>
      <c r="M1745" s="392" t="s">
        <v>7273</v>
      </c>
      <c r="N1745" s="392" t="s">
        <v>7273</v>
      </c>
      <c r="O1745" s="392" t="s">
        <v>7273</v>
      </c>
      <c r="P1745"/>
      <c r="Q1745"/>
      <c r="R1745" s="387">
        <f>VLOOKUP(E1745,'[1]NDB Impacted SPRFs 05032013'!$A$2:$A$65536,1,FALSE)</f>
        <v>400050546</v>
      </c>
    </row>
    <row r="1746" spans="1:21" s="159" customFormat="1" ht="30" customHeight="1" x14ac:dyDescent="0.25">
      <c r="A1746" s="63" t="e">
        <f>MATCH($E1746,'D1 - Master Project Table'!$B$24:$B$7056,0)</f>
        <v>#N/A</v>
      </c>
      <c r="B1746" s="63" t="b">
        <f t="shared" si="81"/>
        <v>1</v>
      </c>
      <c r="C1746" s="63" t="b">
        <f t="shared" si="82"/>
        <v>1</v>
      </c>
      <c r="D1746" s="63" t="str">
        <f t="shared" si="83"/>
        <v>OK</v>
      </c>
      <c r="E1746" s="393">
        <v>207011525</v>
      </c>
      <c r="F1746" s="392" t="s">
        <v>2571</v>
      </c>
      <c r="G1746" s="392" t="s">
        <v>5324</v>
      </c>
      <c r="H1746" s="392" t="s">
        <v>7418</v>
      </c>
      <c r="I1746" s="392" t="s">
        <v>1765</v>
      </c>
      <c r="J1746" s="392" t="s">
        <v>828</v>
      </c>
      <c r="K1746" s="392" t="s">
        <v>828</v>
      </c>
      <c r="L1746" s="392" t="s">
        <v>3294</v>
      </c>
      <c r="M1746" s="392" t="s">
        <v>3758</v>
      </c>
      <c r="N1746" s="392" t="s">
        <v>7273</v>
      </c>
      <c r="O1746" s="392" t="s">
        <v>7273</v>
      </c>
      <c r="P1746"/>
      <c r="Q1746"/>
      <c r="R1746" s="387">
        <f>VLOOKUP(E1746,'[1]NDB Impacted SPRFs 05032013'!$A$2:$A$65536,1,FALSE)</f>
        <v>207011525</v>
      </c>
      <c r="S1746" s="128"/>
      <c r="T1746" s="128"/>
      <c r="U1746" s="128"/>
    </row>
    <row r="1747" spans="1:21" s="159" customFormat="1" ht="45" x14ac:dyDescent="0.25">
      <c r="A1747" s="63">
        <f>MATCH($E1747,'D1 - Master Project Table'!$B$24:$B$7056,0)</f>
        <v>2371</v>
      </c>
      <c r="B1747" s="63" t="b">
        <f t="shared" si="81"/>
        <v>0</v>
      </c>
      <c r="C1747" s="63" t="b">
        <f t="shared" si="82"/>
        <v>1</v>
      </c>
      <c r="D1747" s="63" t="str">
        <f t="shared" si="83"/>
        <v>OK</v>
      </c>
      <c r="E1747" s="393">
        <v>400000866</v>
      </c>
      <c r="F1747" s="392" t="s">
        <v>2981</v>
      </c>
      <c r="G1747" s="392" t="s">
        <v>5324</v>
      </c>
      <c r="H1747" s="392" t="s">
        <v>5314</v>
      </c>
      <c r="I1747" s="392" t="s">
        <v>1766</v>
      </c>
      <c r="J1747" s="392" t="s">
        <v>8341</v>
      </c>
      <c r="K1747" s="392" t="s">
        <v>5561</v>
      </c>
      <c r="L1747" s="392" t="s">
        <v>3633</v>
      </c>
      <c r="M1747" s="392" t="s">
        <v>7273</v>
      </c>
      <c r="N1747" s="392" t="s">
        <v>7273</v>
      </c>
      <c r="O1747" s="392" t="s">
        <v>7273</v>
      </c>
      <c r="P1747"/>
      <c r="Q1747"/>
      <c r="R1747" s="387">
        <f>VLOOKUP(E1747,'[1]NDB Impacted SPRFs 05032013'!$A$2:$A$65536,1,FALSE)</f>
        <v>400000866</v>
      </c>
    </row>
    <row r="1748" spans="1:21" s="159" customFormat="1" ht="60" customHeight="1" x14ac:dyDescent="0.25">
      <c r="A1748" s="63">
        <f>MATCH($E1748,'D1 - Master Project Table'!$B$24:$B$7056,0)</f>
        <v>2661</v>
      </c>
      <c r="B1748" s="63" t="b">
        <f t="shared" si="81"/>
        <v>0</v>
      </c>
      <c r="C1748" s="63" t="b">
        <f t="shared" si="82"/>
        <v>1</v>
      </c>
      <c r="D1748" s="63" t="str">
        <f t="shared" si="83"/>
        <v>OK</v>
      </c>
      <c r="E1748" s="393">
        <v>400015597</v>
      </c>
      <c r="F1748" s="392" t="s">
        <v>4085</v>
      </c>
      <c r="G1748" s="392" t="s">
        <v>5324</v>
      </c>
      <c r="H1748" s="392" t="s">
        <v>5314</v>
      </c>
      <c r="I1748" s="392" t="s">
        <v>1759</v>
      </c>
      <c r="J1748" s="392" t="s">
        <v>8574</v>
      </c>
      <c r="K1748" s="392" t="s">
        <v>7024</v>
      </c>
      <c r="L1748" s="392" t="s">
        <v>7281</v>
      </c>
      <c r="M1748" s="392" t="s">
        <v>7273</v>
      </c>
      <c r="N1748" s="392" t="s">
        <v>7273</v>
      </c>
      <c r="O1748" s="392" t="s">
        <v>7273</v>
      </c>
      <c r="P1748"/>
      <c r="Q1748"/>
      <c r="R1748" s="387">
        <f>VLOOKUP(E1748,'[1]NDB Impacted SPRFs 05032013'!$A$2:$A$65536,1,FALSE)</f>
        <v>400015597</v>
      </c>
    </row>
    <row r="1749" spans="1:21" ht="45" x14ac:dyDescent="0.25">
      <c r="A1749" s="63">
        <f>MATCH($E1749,'D1 - Master Project Table'!$B$24:$B$7056,0)</f>
        <v>904</v>
      </c>
      <c r="B1749" s="63" t="b">
        <f t="shared" si="81"/>
        <v>0</v>
      </c>
      <c r="C1749" s="63" t="b">
        <f t="shared" si="82"/>
        <v>1</v>
      </c>
      <c r="D1749" s="63" t="str">
        <f t="shared" si="83"/>
        <v>OK</v>
      </c>
      <c r="E1749" s="393">
        <v>400021741</v>
      </c>
      <c r="F1749" s="392" t="s">
        <v>7855</v>
      </c>
      <c r="G1749" s="392" t="s">
        <v>5324</v>
      </c>
      <c r="H1749" s="392" t="s">
        <v>7418</v>
      </c>
      <c r="I1749" s="392" t="s">
        <v>1756</v>
      </c>
      <c r="J1749" s="392" t="s">
        <v>3679</v>
      </c>
      <c r="K1749" s="392" t="s">
        <v>7772</v>
      </c>
      <c r="L1749" s="392" t="s">
        <v>4261</v>
      </c>
      <c r="M1749" s="392" t="s">
        <v>7273</v>
      </c>
      <c r="N1749" s="392" t="s">
        <v>7273</v>
      </c>
      <c r="O1749" s="392" t="s">
        <v>3758</v>
      </c>
      <c r="P1749"/>
      <c r="Q1749"/>
      <c r="R1749" s="387">
        <f>VLOOKUP(E1749,'[1]NDB Impacted SPRFs 05032013'!$A$2:$A$65536,1,FALSE)</f>
        <v>400021741</v>
      </c>
      <c r="S1749" s="159"/>
      <c r="T1749" s="159"/>
      <c r="U1749" s="159"/>
    </row>
    <row r="1750" spans="1:21" s="159" customFormat="1" ht="45" customHeight="1" x14ac:dyDescent="0.25">
      <c r="A1750" s="63">
        <f>MATCH($E1750,'D1 - Master Project Table'!$B$24:$B$7056,0)</f>
        <v>905</v>
      </c>
      <c r="B1750" s="63" t="b">
        <f t="shared" si="81"/>
        <v>0</v>
      </c>
      <c r="C1750" s="63" t="b">
        <f t="shared" si="82"/>
        <v>1</v>
      </c>
      <c r="D1750" s="63" t="str">
        <f t="shared" si="83"/>
        <v>OK</v>
      </c>
      <c r="E1750" s="393">
        <v>400021743</v>
      </c>
      <c r="F1750" s="392" t="s">
        <v>7856</v>
      </c>
      <c r="G1750" s="392" t="s">
        <v>5324</v>
      </c>
      <c r="H1750" s="392" t="s">
        <v>7418</v>
      </c>
      <c r="I1750" s="392" t="s">
        <v>1756</v>
      </c>
      <c r="J1750" s="392" t="s">
        <v>3679</v>
      </c>
      <c r="K1750" s="392" t="s">
        <v>7772</v>
      </c>
      <c r="L1750" s="392" t="s">
        <v>4261</v>
      </c>
      <c r="M1750" s="392" t="s">
        <v>7273</v>
      </c>
      <c r="N1750" s="392" t="s">
        <v>7273</v>
      </c>
      <c r="O1750" s="392" t="s">
        <v>3758</v>
      </c>
      <c r="P1750"/>
      <c r="Q1750"/>
      <c r="R1750" s="387">
        <f>VLOOKUP(E1750,'[1]NDB Impacted SPRFs 05032013'!$A$2:$A$65536,1,FALSE)</f>
        <v>400021743</v>
      </c>
    </row>
    <row r="1751" spans="1:21" s="159" customFormat="1" ht="30" x14ac:dyDescent="0.25">
      <c r="A1751" s="63" t="e">
        <f>MATCH($E1751,'D1 - Master Project Table'!$B$24:$B$7056,0)</f>
        <v>#N/A</v>
      </c>
      <c r="B1751" s="63" t="b">
        <f t="shared" si="81"/>
        <v>1</v>
      </c>
      <c r="C1751" s="63" t="b">
        <f t="shared" si="82"/>
        <v>1</v>
      </c>
      <c r="D1751" s="63" t="str">
        <f t="shared" si="83"/>
        <v>OK</v>
      </c>
      <c r="E1751" s="393">
        <v>400000608</v>
      </c>
      <c r="F1751" s="392" t="s">
        <v>5027</v>
      </c>
      <c r="G1751" s="392" t="s">
        <v>5787</v>
      </c>
      <c r="H1751" s="392" t="s">
        <v>7418</v>
      </c>
      <c r="I1751" s="392" t="s">
        <v>1772</v>
      </c>
      <c r="J1751" s="392" t="s">
        <v>8455</v>
      </c>
      <c r="K1751" s="392" t="s">
        <v>3323</v>
      </c>
      <c r="L1751" s="392" t="s">
        <v>5263</v>
      </c>
      <c r="M1751" s="392" t="s">
        <v>3758</v>
      </c>
      <c r="N1751" s="392" t="s">
        <v>7273</v>
      </c>
      <c r="O1751" s="392" t="s">
        <v>7273</v>
      </c>
      <c r="P1751"/>
      <c r="Q1751"/>
      <c r="R1751" s="387">
        <f>VLOOKUP(E1751,'[1]NDB Impacted SPRFs 05032013'!$A$2:$A$65536,1,FALSE)</f>
        <v>400000608</v>
      </c>
    </row>
    <row r="1752" spans="1:21" ht="60" customHeight="1" x14ac:dyDescent="0.25">
      <c r="A1752" s="63">
        <f>MATCH($E1752,'D1 - Master Project Table'!$B$24:$B$7056,0)</f>
        <v>294</v>
      </c>
      <c r="B1752" s="63" t="b">
        <f t="shared" si="81"/>
        <v>0</v>
      </c>
      <c r="C1752" s="63" t="b">
        <f t="shared" si="82"/>
        <v>1</v>
      </c>
      <c r="D1752" s="63" t="str">
        <f t="shared" si="83"/>
        <v>OK</v>
      </c>
      <c r="E1752" s="393">
        <v>400003019</v>
      </c>
      <c r="F1752" s="392" t="s">
        <v>5421</v>
      </c>
      <c r="G1752" s="392" t="s">
        <v>5324</v>
      </c>
      <c r="H1752" s="392" t="s">
        <v>7418</v>
      </c>
      <c r="I1752" s="392" t="s">
        <v>1765</v>
      </c>
      <c r="J1752" s="392" t="s">
        <v>8449</v>
      </c>
      <c r="K1752" s="392" t="s">
        <v>2839</v>
      </c>
      <c r="L1752" s="392" t="s">
        <v>1073</v>
      </c>
      <c r="M1752" s="392" t="s">
        <v>3758</v>
      </c>
      <c r="N1752" s="392" t="s">
        <v>7273</v>
      </c>
      <c r="O1752" s="392" t="s">
        <v>7273</v>
      </c>
      <c r="P1752"/>
      <c r="Q1752"/>
      <c r="R1752" s="387">
        <f>VLOOKUP(E1752,'[1]NDB Impacted SPRFs 05032013'!$A$2:$A$65536,1,FALSE)</f>
        <v>400003019</v>
      </c>
      <c r="S1752" s="159"/>
      <c r="T1752" s="159"/>
      <c r="U1752" s="159"/>
    </row>
    <row r="1753" spans="1:21" s="159" customFormat="1" ht="30" x14ac:dyDescent="0.25">
      <c r="A1753" s="63">
        <f>MATCH($E1753,'D1 - Master Project Table'!$B$24:$B$7056,0)</f>
        <v>2257</v>
      </c>
      <c r="B1753" s="63" t="b">
        <f t="shared" si="81"/>
        <v>0</v>
      </c>
      <c r="C1753" s="63" t="b">
        <f t="shared" si="82"/>
        <v>1</v>
      </c>
      <c r="D1753" s="63" t="str">
        <f t="shared" si="83"/>
        <v>OK</v>
      </c>
      <c r="E1753" s="393">
        <v>400028209</v>
      </c>
      <c r="F1753" s="392" t="s">
        <v>7640</v>
      </c>
      <c r="G1753" s="392" t="s">
        <v>6322</v>
      </c>
      <c r="H1753" s="392" t="s">
        <v>5314</v>
      </c>
      <c r="I1753" s="392" t="s">
        <v>1812</v>
      </c>
      <c r="J1753" s="392" t="s">
        <v>8261</v>
      </c>
      <c r="K1753" s="392" t="s">
        <v>7641</v>
      </c>
      <c r="L1753" s="392" t="s">
        <v>1631</v>
      </c>
      <c r="M1753" s="392" t="s">
        <v>7273</v>
      </c>
      <c r="N1753" s="392" t="s">
        <v>7273</v>
      </c>
      <c r="O1753" s="392" t="s">
        <v>7273</v>
      </c>
      <c r="P1753"/>
      <c r="Q1753"/>
      <c r="R1753" s="387">
        <f>VLOOKUP(E1753,'[1]NDB Impacted SPRFs 05032013'!$A$2:$A$65536,1,FALSE)</f>
        <v>400028209</v>
      </c>
    </row>
    <row r="1754" spans="1:21" s="159" customFormat="1" ht="45" x14ac:dyDescent="0.25">
      <c r="A1754" s="63">
        <f>MATCH($E1754,'D1 - Master Project Table'!$B$24:$B$7056,0)</f>
        <v>2734</v>
      </c>
      <c r="B1754" s="63" t="b">
        <f t="shared" si="81"/>
        <v>0</v>
      </c>
      <c r="C1754" s="63" t="b">
        <f t="shared" si="82"/>
        <v>1</v>
      </c>
      <c r="D1754" s="63" t="str">
        <f t="shared" si="83"/>
        <v>OK</v>
      </c>
      <c r="E1754" s="393">
        <v>400019946</v>
      </c>
      <c r="F1754" s="392" t="s">
        <v>4665</v>
      </c>
      <c r="G1754" s="392" t="s">
        <v>5324</v>
      </c>
      <c r="H1754" s="392" t="s">
        <v>7418</v>
      </c>
      <c r="I1754" s="392" t="s">
        <v>1757</v>
      </c>
      <c r="J1754" s="392" t="s">
        <v>8383</v>
      </c>
      <c r="K1754" s="392" t="s">
        <v>6162</v>
      </c>
      <c r="L1754" s="392" t="s">
        <v>6064</v>
      </c>
      <c r="M1754" s="392" t="s">
        <v>7273</v>
      </c>
      <c r="N1754" s="392" t="s">
        <v>7273</v>
      </c>
      <c r="O1754" s="392" t="s">
        <v>3758</v>
      </c>
      <c r="P1754"/>
      <c r="Q1754"/>
      <c r="R1754" s="387">
        <f>VLOOKUP(E1754,'[1]NDB Impacted SPRFs 05032013'!$A$2:$A$65536,1,FALSE)</f>
        <v>400019946</v>
      </c>
      <c r="S1754" s="128"/>
      <c r="T1754" s="128"/>
      <c r="U1754" s="128"/>
    </row>
    <row r="1755" spans="1:21" s="159" customFormat="1" ht="30" customHeight="1" x14ac:dyDescent="0.25">
      <c r="A1755" s="63">
        <f>MATCH($E1755,'D1 - Master Project Table'!$B$24:$B$7056,0)</f>
        <v>1014</v>
      </c>
      <c r="B1755" s="63" t="b">
        <f t="shared" si="81"/>
        <v>0</v>
      </c>
      <c r="C1755" s="63" t="b">
        <f t="shared" si="82"/>
        <v>1</v>
      </c>
      <c r="D1755" s="63" t="str">
        <f t="shared" si="83"/>
        <v>OK</v>
      </c>
      <c r="E1755" s="393">
        <v>400027224</v>
      </c>
      <c r="F1755" s="392" t="s">
        <v>4561</v>
      </c>
      <c r="G1755" s="392" t="s">
        <v>5995</v>
      </c>
      <c r="H1755" s="392" t="s">
        <v>7418</v>
      </c>
      <c r="I1755" s="392" t="s">
        <v>3534</v>
      </c>
      <c r="J1755" s="392" t="s">
        <v>8822</v>
      </c>
      <c r="K1755" s="392" t="s">
        <v>4562</v>
      </c>
      <c r="L1755" s="392" t="s">
        <v>3920</v>
      </c>
      <c r="M1755" s="392" t="s">
        <v>7273</v>
      </c>
      <c r="N1755" s="392" t="s">
        <v>7273</v>
      </c>
      <c r="O1755" s="392" t="s">
        <v>7273</v>
      </c>
      <c r="P1755"/>
      <c r="Q1755"/>
      <c r="R1755" s="387">
        <f>VLOOKUP(E1755,'[1]NDB Impacted SPRFs 05032013'!$A$2:$A$65536,1,FALSE)</f>
        <v>400027224</v>
      </c>
    </row>
    <row r="1756" spans="1:21" s="159" customFormat="1" ht="45" x14ac:dyDescent="0.25">
      <c r="A1756" s="63">
        <f>MATCH($E1756,'D1 - Master Project Table'!$B$24:$B$7056,0)</f>
        <v>2886</v>
      </c>
      <c r="B1756" s="63" t="b">
        <f t="shared" si="81"/>
        <v>0</v>
      </c>
      <c r="C1756" s="63" t="b">
        <f t="shared" si="82"/>
        <v>1</v>
      </c>
      <c r="D1756" s="63" t="str">
        <f t="shared" si="83"/>
        <v>OK</v>
      </c>
      <c r="E1756" s="393">
        <v>400029450</v>
      </c>
      <c r="F1756" s="392" t="s">
        <v>4529</v>
      </c>
      <c r="G1756" s="392" t="s">
        <v>5324</v>
      </c>
      <c r="H1756" s="392" t="s">
        <v>5314</v>
      </c>
      <c r="I1756" s="392" t="s">
        <v>1763</v>
      </c>
      <c r="J1756" s="392" t="s">
        <v>5168</v>
      </c>
      <c r="K1756" s="392" t="s">
        <v>3695</v>
      </c>
      <c r="L1756" s="392" t="s">
        <v>4805</v>
      </c>
      <c r="M1756" s="392" t="s">
        <v>7273</v>
      </c>
      <c r="N1756" s="392" t="s">
        <v>7273</v>
      </c>
      <c r="O1756" s="392" t="s">
        <v>7273</v>
      </c>
      <c r="P1756"/>
      <c r="Q1756"/>
      <c r="R1756" s="387">
        <f>VLOOKUP(E1756,'[1]NDB Impacted SPRFs 05032013'!$A$2:$A$65536,1,FALSE)</f>
        <v>400029450</v>
      </c>
    </row>
    <row r="1757" spans="1:21" s="159" customFormat="1" ht="45" x14ac:dyDescent="0.25">
      <c r="A1757" s="63">
        <f>MATCH($E1757,'D1 - Master Project Table'!$B$24:$B$7056,0)</f>
        <v>2261</v>
      </c>
      <c r="B1757" s="63" t="b">
        <f t="shared" si="81"/>
        <v>0</v>
      </c>
      <c r="C1757" s="63" t="b">
        <f t="shared" si="82"/>
        <v>1</v>
      </c>
      <c r="D1757" s="63" t="str">
        <f t="shared" si="83"/>
        <v>OK</v>
      </c>
      <c r="E1757" s="393">
        <v>400030998</v>
      </c>
      <c r="F1757" s="392" t="s">
        <v>4416</v>
      </c>
      <c r="G1757" s="392" t="s">
        <v>5325</v>
      </c>
      <c r="H1757" s="392" t="s">
        <v>5314</v>
      </c>
      <c r="I1757" s="392" t="s">
        <v>6414</v>
      </c>
      <c r="J1757" s="392" t="s">
        <v>6011</v>
      </c>
      <c r="K1757" s="392" t="s">
        <v>3234</v>
      </c>
      <c r="L1757" s="392" t="s">
        <v>1631</v>
      </c>
      <c r="M1757" s="392" t="s">
        <v>7273</v>
      </c>
      <c r="N1757" s="392" t="s">
        <v>7273</v>
      </c>
      <c r="O1757" s="392" t="s">
        <v>7273</v>
      </c>
      <c r="P1757"/>
      <c r="Q1757"/>
      <c r="R1757" s="387">
        <f>VLOOKUP(E1757,'[1]NDB Impacted SPRFs 05032013'!$A$2:$A$65536,1,FALSE)</f>
        <v>400030998</v>
      </c>
      <c r="S1757" s="128"/>
      <c r="T1757" s="128"/>
      <c r="U1757" s="128"/>
    </row>
    <row r="1758" spans="1:21" s="159" customFormat="1" ht="60" customHeight="1" x14ac:dyDescent="0.25">
      <c r="A1758" s="63">
        <f>MATCH($E1758,'D1 - Master Project Table'!$B$24:$B$7056,0)</f>
        <v>1163</v>
      </c>
      <c r="B1758" s="63" t="b">
        <f t="shared" si="81"/>
        <v>0</v>
      </c>
      <c r="C1758" s="63" t="b">
        <f t="shared" si="82"/>
        <v>1</v>
      </c>
      <c r="D1758" s="63" t="str">
        <f t="shared" si="83"/>
        <v>OK</v>
      </c>
      <c r="E1758" s="393">
        <v>400031436</v>
      </c>
      <c r="F1758" s="392" t="s">
        <v>1451</v>
      </c>
      <c r="G1758" s="392" t="s">
        <v>5001</v>
      </c>
      <c r="H1758" s="392" t="s">
        <v>7418</v>
      </c>
      <c r="I1758" s="392" t="s">
        <v>3540</v>
      </c>
      <c r="J1758" s="392" t="s">
        <v>8380</v>
      </c>
      <c r="K1758" s="392" t="s">
        <v>6885</v>
      </c>
      <c r="L1758" s="392" t="s">
        <v>1631</v>
      </c>
      <c r="M1758" s="392" t="s">
        <v>7273</v>
      </c>
      <c r="N1758" s="392" t="s">
        <v>7273</v>
      </c>
      <c r="O1758" s="392" t="s">
        <v>7273</v>
      </c>
      <c r="P1758"/>
      <c r="Q1758"/>
      <c r="R1758" s="387">
        <f>VLOOKUP(E1758,'[1]NDB Impacted SPRFs 05032013'!$A$2:$A$65536,1,FALSE)</f>
        <v>400031436</v>
      </c>
      <c r="S1758" s="128"/>
      <c r="T1758" s="128"/>
      <c r="U1758" s="128"/>
    </row>
    <row r="1759" spans="1:21" s="159" customFormat="1" ht="45" x14ac:dyDescent="0.25">
      <c r="A1759" s="63">
        <f>MATCH($E1759,'D1 - Master Project Table'!$B$24:$B$7056,0)</f>
        <v>2930</v>
      </c>
      <c r="B1759" s="63" t="b">
        <f t="shared" si="81"/>
        <v>0</v>
      </c>
      <c r="C1759" s="63" t="b">
        <f t="shared" si="82"/>
        <v>1</v>
      </c>
      <c r="D1759" s="63" t="str">
        <f t="shared" si="83"/>
        <v>OK</v>
      </c>
      <c r="E1759" s="393">
        <v>400033277</v>
      </c>
      <c r="F1759" s="392" t="s">
        <v>4594</v>
      </c>
      <c r="G1759" s="392" t="s">
        <v>5325</v>
      </c>
      <c r="H1759" s="392" t="s">
        <v>5314</v>
      </c>
      <c r="I1759" s="392" t="s">
        <v>6419</v>
      </c>
      <c r="J1759" s="392" t="s">
        <v>6020</v>
      </c>
      <c r="K1759" s="392" t="s">
        <v>4595</v>
      </c>
      <c r="L1759" s="392" t="s">
        <v>8205</v>
      </c>
      <c r="M1759" s="392" t="s">
        <v>3758</v>
      </c>
      <c r="N1759" s="392" t="s">
        <v>7273</v>
      </c>
      <c r="O1759" s="392" t="s">
        <v>7273</v>
      </c>
      <c r="P1759"/>
      <c r="Q1759"/>
      <c r="R1759" s="387">
        <f>VLOOKUP(E1759,'[1]NDB Impacted SPRFs 05032013'!$A$2:$A$65536,1,FALSE)</f>
        <v>400033277</v>
      </c>
    </row>
    <row r="1760" spans="1:21" s="159" customFormat="1" ht="30" customHeight="1" x14ac:dyDescent="0.25">
      <c r="A1760" s="63">
        <f>MATCH($E1760,'D1 - Master Project Table'!$B$24:$B$7056,0)</f>
        <v>1324</v>
      </c>
      <c r="B1760" s="63" t="b">
        <f t="shared" si="81"/>
        <v>0</v>
      </c>
      <c r="C1760" s="63" t="b">
        <f t="shared" si="82"/>
        <v>1</v>
      </c>
      <c r="D1760" s="63" t="str">
        <f t="shared" si="83"/>
        <v>OK</v>
      </c>
      <c r="E1760" s="393">
        <v>400039268</v>
      </c>
      <c r="F1760" s="392" t="s">
        <v>7322</v>
      </c>
      <c r="G1760" s="392" t="s">
        <v>5325</v>
      </c>
      <c r="H1760" s="392" t="s">
        <v>7418</v>
      </c>
      <c r="I1760" s="392" t="s">
        <v>1800</v>
      </c>
      <c r="J1760" s="392" t="s">
        <v>6011</v>
      </c>
      <c r="K1760" s="392" t="s">
        <v>7323</v>
      </c>
      <c r="L1760" s="392" t="s">
        <v>8280</v>
      </c>
      <c r="M1760" s="392" t="s">
        <v>7273</v>
      </c>
      <c r="N1760" s="392" t="s">
        <v>7273</v>
      </c>
      <c r="O1760" s="392" t="s">
        <v>7273</v>
      </c>
      <c r="P1760"/>
      <c r="Q1760"/>
      <c r="R1760" s="387">
        <f>VLOOKUP(E1760,'[1]NDB Impacted SPRFs 05032013'!$A$2:$A$65536,1,FALSE)</f>
        <v>400039268</v>
      </c>
    </row>
    <row r="1761" spans="1:21" s="159" customFormat="1" ht="45" x14ac:dyDescent="0.25">
      <c r="A1761" s="63">
        <f>MATCH($E1761,'D1 - Master Project Table'!$B$24:$B$7056,0)</f>
        <v>1480</v>
      </c>
      <c r="B1761" s="63" t="b">
        <f t="shared" si="81"/>
        <v>0</v>
      </c>
      <c r="C1761" s="63" t="b">
        <f t="shared" si="82"/>
        <v>1</v>
      </c>
      <c r="D1761" s="63" t="str">
        <f t="shared" si="83"/>
        <v>OK</v>
      </c>
      <c r="E1761" s="393">
        <v>400041306</v>
      </c>
      <c r="F1761" s="392" t="s">
        <v>1211</v>
      </c>
      <c r="G1761" s="392" t="s">
        <v>5324</v>
      </c>
      <c r="H1761" s="392" t="s">
        <v>7418</v>
      </c>
      <c r="I1761" s="392" t="s">
        <v>1791</v>
      </c>
      <c r="J1761" s="392" t="s">
        <v>4990</v>
      </c>
      <c r="K1761" s="392" t="s">
        <v>5610</v>
      </c>
      <c r="L1761" s="392" t="s">
        <v>1744</v>
      </c>
      <c r="M1761" s="392" t="s">
        <v>3758</v>
      </c>
      <c r="N1761" s="392" t="s">
        <v>7273</v>
      </c>
      <c r="O1761" s="392" t="s">
        <v>7273</v>
      </c>
      <c r="P1761"/>
      <c r="Q1761"/>
      <c r="R1761" s="387">
        <f>VLOOKUP(E1761,'[1]NDB Impacted SPRFs 05032013'!$A$2:$A$65536,1,FALSE)</f>
        <v>400041306</v>
      </c>
    </row>
    <row r="1762" spans="1:21" s="159" customFormat="1" ht="30" customHeight="1" x14ac:dyDescent="0.25">
      <c r="A1762" s="63" t="e">
        <f>MATCH($E1762,'D1 - Master Project Table'!$B$24:$B$7056,0)</f>
        <v>#N/A</v>
      </c>
      <c r="B1762" s="63" t="b">
        <f t="shared" si="81"/>
        <v>1</v>
      </c>
      <c r="C1762" s="63" t="b">
        <f t="shared" si="82"/>
        <v>1</v>
      </c>
      <c r="D1762" s="63" t="str">
        <f t="shared" si="83"/>
        <v>OK</v>
      </c>
      <c r="E1762" s="393">
        <v>400000436</v>
      </c>
      <c r="F1762" s="392" t="s">
        <v>6943</v>
      </c>
      <c r="G1762" s="392" t="s">
        <v>5324</v>
      </c>
      <c r="H1762" s="392" t="s">
        <v>7418</v>
      </c>
      <c r="I1762" s="392" t="s">
        <v>1765</v>
      </c>
      <c r="J1762" s="392" t="s">
        <v>8349</v>
      </c>
      <c r="K1762" s="392" t="s">
        <v>5561</v>
      </c>
      <c r="L1762" s="392" t="s">
        <v>6559</v>
      </c>
      <c r="M1762" s="392" t="s">
        <v>7273</v>
      </c>
      <c r="N1762" s="392" t="s">
        <v>7273</v>
      </c>
      <c r="O1762" s="392" t="s">
        <v>7273</v>
      </c>
      <c r="P1762"/>
      <c r="Q1762"/>
      <c r="R1762" s="387">
        <f>VLOOKUP(E1762,'[1]NDB Impacted SPRFs 05032013'!$A$2:$A$65536,1,FALSE)</f>
        <v>400000436</v>
      </c>
      <c r="S1762" s="128"/>
      <c r="T1762" s="128"/>
      <c r="U1762" s="128"/>
    </row>
    <row r="1763" spans="1:21" s="159" customFormat="1" ht="30" x14ac:dyDescent="0.25">
      <c r="A1763" s="63">
        <f>MATCH($E1763,'D1 - Master Project Table'!$B$24:$B$7056,0)</f>
        <v>443</v>
      </c>
      <c r="B1763" s="63" t="b">
        <f t="shared" si="81"/>
        <v>0</v>
      </c>
      <c r="C1763" s="63" t="b">
        <f t="shared" si="82"/>
        <v>1</v>
      </c>
      <c r="D1763" s="63" t="str">
        <f t="shared" si="83"/>
        <v>OK</v>
      </c>
      <c r="E1763" s="393">
        <v>400009862</v>
      </c>
      <c r="F1763" s="392" t="s">
        <v>1619</v>
      </c>
      <c r="G1763" s="392" t="s">
        <v>3441</v>
      </c>
      <c r="H1763" s="392" t="s">
        <v>7418</v>
      </c>
      <c r="I1763" s="392" t="s">
        <v>2662</v>
      </c>
      <c r="J1763" s="392" t="s">
        <v>2937</v>
      </c>
      <c r="K1763" s="392" t="s">
        <v>5541</v>
      </c>
      <c r="L1763" s="392" t="s">
        <v>6731</v>
      </c>
      <c r="M1763" s="392" t="s">
        <v>7273</v>
      </c>
      <c r="N1763" s="392" t="s">
        <v>7273</v>
      </c>
      <c r="O1763" s="392" t="s">
        <v>7273</v>
      </c>
      <c r="P1763"/>
      <c r="Q1763"/>
      <c r="R1763" s="387">
        <f>VLOOKUP(E1763,'[1]NDB Impacted SPRFs 05032013'!$A$2:$A$65536,1,FALSE)</f>
        <v>400009862</v>
      </c>
    </row>
    <row r="1764" spans="1:21" s="159" customFormat="1" ht="45" x14ac:dyDescent="0.25">
      <c r="A1764" s="63">
        <f>MATCH($E1764,'D1 - Master Project Table'!$B$24:$B$7056,0)</f>
        <v>2067</v>
      </c>
      <c r="B1764" s="63" t="b">
        <f t="shared" si="81"/>
        <v>0</v>
      </c>
      <c r="C1764" s="63" t="b">
        <f t="shared" si="82"/>
        <v>1</v>
      </c>
      <c r="D1764" s="63" t="str">
        <f t="shared" si="83"/>
        <v>OK</v>
      </c>
      <c r="E1764" s="393">
        <v>400010915</v>
      </c>
      <c r="F1764" s="392" t="s">
        <v>4616</v>
      </c>
      <c r="G1764" s="392" t="s">
        <v>5324</v>
      </c>
      <c r="H1764" s="392" t="s">
        <v>5314</v>
      </c>
      <c r="I1764" s="392" t="s">
        <v>1762</v>
      </c>
      <c r="J1764" s="392" t="s">
        <v>2251</v>
      </c>
      <c r="K1764" s="392" t="s">
        <v>5159</v>
      </c>
      <c r="L1764" s="392" t="s">
        <v>4564</v>
      </c>
      <c r="M1764" s="392" t="s">
        <v>7273</v>
      </c>
      <c r="N1764" s="392" t="s">
        <v>7273</v>
      </c>
      <c r="O1764" s="392" t="s">
        <v>7273</v>
      </c>
      <c r="P1764"/>
      <c r="Q1764"/>
      <c r="R1764" s="387">
        <f>VLOOKUP(E1764,'[1]NDB Impacted SPRFs 05032013'!$A$2:$A$65536,1,FALSE)</f>
        <v>400010915</v>
      </c>
    </row>
    <row r="1765" spans="1:21" ht="30" x14ac:dyDescent="0.25">
      <c r="A1765" s="63">
        <f>MATCH($E1765,'D1 - Master Project Table'!$B$24:$B$7056,0)</f>
        <v>647</v>
      </c>
      <c r="B1765" s="63" t="b">
        <f t="shared" si="81"/>
        <v>0</v>
      </c>
      <c r="C1765" s="63" t="b">
        <f t="shared" si="82"/>
        <v>1</v>
      </c>
      <c r="D1765" s="63" t="str">
        <f t="shared" si="83"/>
        <v>OK</v>
      </c>
      <c r="E1765" s="393">
        <v>400013556</v>
      </c>
      <c r="F1765" s="392" t="s">
        <v>5180</v>
      </c>
      <c r="G1765" s="392" t="s">
        <v>3441</v>
      </c>
      <c r="H1765" s="392" t="s">
        <v>7418</v>
      </c>
      <c r="I1765" s="392" t="s">
        <v>1769</v>
      </c>
      <c r="J1765" s="392" t="s">
        <v>8323</v>
      </c>
      <c r="K1765" s="392" t="s">
        <v>4918</v>
      </c>
      <c r="L1765" s="392" t="s">
        <v>2976</v>
      </c>
      <c r="M1765" s="392" t="s">
        <v>7273</v>
      </c>
      <c r="N1765" s="392" t="s">
        <v>7273</v>
      </c>
      <c r="O1765" s="392" t="s">
        <v>7273</v>
      </c>
      <c r="P1765"/>
      <c r="Q1765"/>
      <c r="R1765" s="387">
        <f>VLOOKUP(E1765,'[1]NDB Impacted SPRFs 05032013'!$A$2:$A$65536,1,FALSE)</f>
        <v>400013556</v>
      </c>
      <c r="S1765" s="159"/>
      <c r="T1765" s="159"/>
      <c r="U1765" s="159"/>
    </row>
    <row r="1766" spans="1:21" s="159" customFormat="1" ht="30" customHeight="1" x14ac:dyDescent="0.25">
      <c r="A1766" s="63">
        <f>MATCH($E1766,'D1 - Master Project Table'!$B$24:$B$7056,0)</f>
        <v>2084</v>
      </c>
      <c r="B1766" s="63" t="b">
        <f t="shared" si="81"/>
        <v>0</v>
      </c>
      <c r="C1766" s="63" t="b">
        <f t="shared" si="82"/>
        <v>1</v>
      </c>
      <c r="D1766" s="63" t="str">
        <f t="shared" si="83"/>
        <v>OK</v>
      </c>
      <c r="E1766" s="393">
        <v>400013949</v>
      </c>
      <c r="F1766" s="392" t="s">
        <v>5217</v>
      </c>
      <c r="G1766" s="392" t="s">
        <v>3441</v>
      </c>
      <c r="H1766" s="392" t="s">
        <v>5314</v>
      </c>
      <c r="I1766" s="392" t="s">
        <v>2662</v>
      </c>
      <c r="J1766" s="392" t="s">
        <v>8298</v>
      </c>
      <c r="K1766" s="392" t="s">
        <v>6056</v>
      </c>
      <c r="L1766" s="392" t="s">
        <v>3873</v>
      </c>
      <c r="M1766" s="392" t="s">
        <v>7273</v>
      </c>
      <c r="N1766" s="392" t="s">
        <v>7273</v>
      </c>
      <c r="O1766" s="392" t="s">
        <v>7273</v>
      </c>
      <c r="P1766"/>
      <c r="Q1766"/>
      <c r="R1766" s="387">
        <f>VLOOKUP(E1766,'[1]NDB Impacted SPRFs 05032013'!$A$2:$A$65536,1,FALSE)</f>
        <v>400013949</v>
      </c>
    </row>
    <row r="1767" spans="1:21" s="159" customFormat="1" ht="45" x14ac:dyDescent="0.25">
      <c r="A1767" s="63">
        <f>MATCH($E1767,'D1 - Master Project Table'!$B$24:$B$7056,0)</f>
        <v>1979</v>
      </c>
      <c r="B1767" s="63" t="b">
        <f t="shared" si="81"/>
        <v>0</v>
      </c>
      <c r="C1767" s="63" t="b">
        <f t="shared" si="82"/>
        <v>1</v>
      </c>
      <c r="D1767" s="63" t="str">
        <f t="shared" si="83"/>
        <v>OK</v>
      </c>
      <c r="E1767" s="393">
        <v>400026903</v>
      </c>
      <c r="F1767" s="392" t="s">
        <v>6269</v>
      </c>
      <c r="G1767" s="392" t="s">
        <v>5325</v>
      </c>
      <c r="H1767" s="392" t="s">
        <v>7418</v>
      </c>
      <c r="I1767" s="392" t="s">
        <v>1797</v>
      </c>
      <c r="J1767" s="392" t="s">
        <v>3158</v>
      </c>
      <c r="K1767" s="392" t="s">
        <v>7589</v>
      </c>
      <c r="L1767" s="392" t="s">
        <v>2520</v>
      </c>
      <c r="M1767" s="392" t="s">
        <v>7273</v>
      </c>
      <c r="N1767" s="392" t="s">
        <v>7273</v>
      </c>
      <c r="O1767" s="392" t="s">
        <v>7273</v>
      </c>
      <c r="P1767"/>
      <c r="Q1767"/>
      <c r="R1767" s="387">
        <f>VLOOKUP(E1767,'[1]NDB Impacted SPRFs 05032013'!$A$2:$A$65536,1,FALSE)</f>
        <v>400026903</v>
      </c>
    </row>
    <row r="1768" spans="1:21" s="159" customFormat="1" ht="45" x14ac:dyDescent="0.25">
      <c r="A1768" s="63">
        <f>MATCH($E1768,'D1 - Master Project Table'!$B$24:$B$7056,0)</f>
        <v>1992</v>
      </c>
      <c r="B1768" s="63" t="b">
        <f t="shared" si="81"/>
        <v>0</v>
      </c>
      <c r="C1768" s="63" t="b">
        <f t="shared" si="82"/>
        <v>1</v>
      </c>
      <c r="D1768" s="63" t="str">
        <f t="shared" si="83"/>
        <v>OK</v>
      </c>
      <c r="E1768" s="393">
        <v>400029382</v>
      </c>
      <c r="F1768" s="392" t="s">
        <v>2172</v>
      </c>
      <c r="G1768" s="392" t="s">
        <v>5324</v>
      </c>
      <c r="H1768" s="392" t="s">
        <v>7418</v>
      </c>
      <c r="I1768" s="392" t="s">
        <v>1758</v>
      </c>
      <c r="J1768" s="392" t="s">
        <v>3679</v>
      </c>
      <c r="K1768" s="392" t="s">
        <v>7498</v>
      </c>
      <c r="L1768" s="392" t="s">
        <v>3349</v>
      </c>
      <c r="M1768" s="392" t="s">
        <v>7273</v>
      </c>
      <c r="N1768" s="392" t="s">
        <v>7273</v>
      </c>
      <c r="O1768" s="392" t="s">
        <v>3758</v>
      </c>
      <c r="P1768"/>
      <c r="Q1768"/>
      <c r="R1768" s="387">
        <f>VLOOKUP(E1768,'[1]NDB Impacted SPRFs 05032013'!$A$2:$A$65536,1,FALSE)</f>
        <v>400029382</v>
      </c>
    </row>
    <row r="1769" spans="1:21" s="159" customFormat="1" ht="45" x14ac:dyDescent="0.25">
      <c r="A1769" s="63">
        <f>MATCH($E1769,'D1 - Master Project Table'!$B$24:$B$7056,0)</f>
        <v>2893</v>
      </c>
      <c r="B1769" s="63" t="b">
        <f t="shared" si="81"/>
        <v>0</v>
      </c>
      <c r="C1769" s="63" t="b">
        <f t="shared" si="82"/>
        <v>1</v>
      </c>
      <c r="D1769" s="63" t="str">
        <f t="shared" si="83"/>
        <v>OK</v>
      </c>
      <c r="E1769" s="393">
        <v>400030016</v>
      </c>
      <c r="F1769" s="392" t="s">
        <v>5837</v>
      </c>
      <c r="G1769" s="392" t="s">
        <v>5325</v>
      </c>
      <c r="H1769" s="392" t="s">
        <v>5314</v>
      </c>
      <c r="I1769" s="392" t="s">
        <v>6419</v>
      </c>
      <c r="J1769" s="392" t="s">
        <v>6584</v>
      </c>
      <c r="K1769" s="392" t="s">
        <v>6585</v>
      </c>
      <c r="L1769" s="392" t="s">
        <v>8089</v>
      </c>
      <c r="M1769" s="392" t="s">
        <v>7273</v>
      </c>
      <c r="N1769" s="392" t="s">
        <v>7273</v>
      </c>
      <c r="O1769" s="392" t="s">
        <v>7273</v>
      </c>
      <c r="P1769"/>
      <c r="Q1769"/>
      <c r="R1769" s="387">
        <f>VLOOKUP(E1769,'[1]NDB Impacted SPRFs 05032013'!$A$2:$A$65536,1,FALSE)</f>
        <v>400030016</v>
      </c>
      <c r="S1769" s="128"/>
      <c r="T1769" s="128"/>
      <c r="U1769" s="128"/>
    </row>
    <row r="1770" spans="1:21" s="159" customFormat="1" ht="45" x14ac:dyDescent="0.25">
      <c r="A1770" s="63">
        <f>MATCH($E1770,'D1 - Master Project Table'!$B$24:$B$7056,0)</f>
        <v>2894</v>
      </c>
      <c r="B1770" s="63" t="b">
        <f t="shared" si="81"/>
        <v>0</v>
      </c>
      <c r="C1770" s="63" t="b">
        <f t="shared" si="82"/>
        <v>1</v>
      </c>
      <c r="D1770" s="63" t="str">
        <f t="shared" si="83"/>
        <v>OK</v>
      </c>
      <c r="E1770" s="393">
        <v>400030018</v>
      </c>
      <c r="F1770" s="392" t="s">
        <v>1653</v>
      </c>
      <c r="G1770" s="392" t="s">
        <v>5325</v>
      </c>
      <c r="H1770" s="392" t="s">
        <v>5314</v>
      </c>
      <c r="I1770" s="392" t="s">
        <v>6419</v>
      </c>
      <c r="J1770" s="392" t="s">
        <v>6584</v>
      </c>
      <c r="K1770" s="392" t="s">
        <v>6585</v>
      </c>
      <c r="L1770" s="392" t="s">
        <v>8089</v>
      </c>
      <c r="M1770" s="392" t="s">
        <v>7273</v>
      </c>
      <c r="N1770" s="392" t="s">
        <v>7273</v>
      </c>
      <c r="O1770" s="392" t="s">
        <v>7273</v>
      </c>
      <c r="P1770"/>
      <c r="Q1770"/>
      <c r="R1770" s="387">
        <f>VLOOKUP(E1770,'[1]NDB Impacted SPRFs 05032013'!$A$2:$A$65536,1,FALSE)</f>
        <v>400030018</v>
      </c>
    </row>
    <row r="1771" spans="1:21" s="159" customFormat="1" ht="45" x14ac:dyDescent="0.25">
      <c r="A1771" s="63">
        <f>MATCH($E1771,'D1 - Master Project Table'!$B$24:$B$7056,0)</f>
        <v>2298</v>
      </c>
      <c r="B1771" s="63" t="b">
        <f t="shared" si="81"/>
        <v>0</v>
      </c>
      <c r="C1771" s="63" t="b">
        <f t="shared" si="82"/>
        <v>1</v>
      </c>
      <c r="D1771" s="63" t="str">
        <f t="shared" si="83"/>
        <v>OK</v>
      </c>
      <c r="E1771" s="393">
        <v>400039652</v>
      </c>
      <c r="F1771" s="392" t="s">
        <v>1557</v>
      </c>
      <c r="G1771" s="392" t="s">
        <v>6322</v>
      </c>
      <c r="H1771" s="392" t="s">
        <v>5314</v>
      </c>
      <c r="I1771" s="392" t="s">
        <v>1812</v>
      </c>
      <c r="J1771" s="392" t="s">
        <v>4688</v>
      </c>
      <c r="K1771" s="392" t="s">
        <v>6600</v>
      </c>
      <c r="L1771" s="392" t="s">
        <v>1558</v>
      </c>
      <c r="M1771" s="392" t="s">
        <v>7273</v>
      </c>
      <c r="N1771" s="392" t="s">
        <v>7273</v>
      </c>
      <c r="O1771" s="392" t="s">
        <v>7273</v>
      </c>
      <c r="P1771"/>
      <c r="Q1771"/>
      <c r="R1771" s="387">
        <f>VLOOKUP(E1771,'[1]NDB Impacted SPRFs 05032013'!$A$2:$A$65536,1,FALSE)</f>
        <v>400039652</v>
      </c>
    </row>
    <row r="1772" spans="1:21" s="159" customFormat="1" ht="45" x14ac:dyDescent="0.25">
      <c r="A1772" s="63">
        <f>MATCH($E1772,'D1 - Master Project Table'!$B$24:$B$7056,0)</f>
        <v>1717</v>
      </c>
      <c r="B1772" s="63" t="b">
        <f t="shared" si="81"/>
        <v>0</v>
      </c>
      <c r="C1772" s="63" t="b">
        <f t="shared" si="82"/>
        <v>1</v>
      </c>
      <c r="D1772" s="63" t="str">
        <f t="shared" si="83"/>
        <v>OK</v>
      </c>
      <c r="E1772" s="393">
        <v>400043996</v>
      </c>
      <c r="F1772" s="392" t="s">
        <v>539</v>
      </c>
      <c r="G1772" s="392" t="s">
        <v>5324</v>
      </c>
      <c r="H1772" s="392" t="s">
        <v>7418</v>
      </c>
      <c r="I1772" s="392" t="s">
        <v>1757</v>
      </c>
      <c r="J1772" s="392" t="s">
        <v>8441</v>
      </c>
      <c r="K1772" s="392" t="s">
        <v>540</v>
      </c>
      <c r="L1772" s="392" t="s">
        <v>541</v>
      </c>
      <c r="M1772" s="392" t="s">
        <v>7273</v>
      </c>
      <c r="N1772" s="392" t="s">
        <v>7273</v>
      </c>
      <c r="O1772" s="392" t="s">
        <v>7273</v>
      </c>
      <c r="P1772"/>
      <c r="Q1772"/>
      <c r="R1772" s="387">
        <f>VLOOKUP(E1772,'[1]NDB Impacted SPRFs 05032013'!$A$2:$A$65536,1,FALSE)</f>
        <v>400043996</v>
      </c>
    </row>
    <row r="1773" spans="1:21" s="159" customFormat="1" ht="45" x14ac:dyDescent="0.25">
      <c r="A1773" s="63">
        <f>MATCH($E1773,'D1 - Master Project Table'!$B$24:$B$7056,0)</f>
        <v>700</v>
      </c>
      <c r="B1773" s="63" t="b">
        <f t="shared" si="81"/>
        <v>0</v>
      </c>
      <c r="C1773" s="63" t="b">
        <f t="shared" si="82"/>
        <v>1</v>
      </c>
      <c r="D1773" s="63" t="str">
        <f t="shared" si="83"/>
        <v>OK</v>
      </c>
      <c r="E1773" s="393">
        <v>400015485</v>
      </c>
      <c r="F1773" s="392" t="s">
        <v>3143</v>
      </c>
      <c r="G1773" s="392" t="s">
        <v>5324</v>
      </c>
      <c r="H1773" s="392" t="s">
        <v>7418</v>
      </c>
      <c r="I1773" s="392" t="s">
        <v>1759</v>
      </c>
      <c r="J1773" s="392" t="s">
        <v>8542</v>
      </c>
      <c r="K1773" s="392" t="s">
        <v>1976</v>
      </c>
      <c r="L1773" s="392" t="s">
        <v>2949</v>
      </c>
      <c r="M1773" s="392" t="s">
        <v>7273</v>
      </c>
      <c r="N1773" s="392" t="s">
        <v>7273</v>
      </c>
      <c r="O1773" s="392" t="s">
        <v>7273</v>
      </c>
      <c r="P1773" s="158"/>
      <c r="Q1773" s="128"/>
      <c r="R1773" s="387">
        <f>VLOOKUP(E1773,'[1]NDB Impacted SPRFs 05032013'!$A$2:$A$65536,1,FALSE)</f>
        <v>400015485</v>
      </c>
      <c r="S1773" s="128"/>
      <c r="T1773" s="128"/>
      <c r="U1773" s="128"/>
    </row>
    <row r="1774" spans="1:21" ht="45" x14ac:dyDescent="0.25">
      <c r="A1774" s="63">
        <f>MATCH($E1774,'D1 - Master Project Table'!$B$24:$B$7056,0)</f>
        <v>2774</v>
      </c>
      <c r="B1774" s="63" t="b">
        <f t="shared" si="81"/>
        <v>0</v>
      </c>
      <c r="C1774" s="63" t="b">
        <f t="shared" si="82"/>
        <v>1</v>
      </c>
      <c r="D1774" s="63" t="str">
        <f t="shared" si="83"/>
        <v>OK</v>
      </c>
      <c r="E1774" s="393">
        <v>400021767</v>
      </c>
      <c r="F1774" s="392" t="s">
        <v>3350</v>
      </c>
      <c r="G1774" s="392" t="s">
        <v>5324</v>
      </c>
      <c r="H1774" s="392" t="s">
        <v>7418</v>
      </c>
      <c r="I1774" s="392" t="s">
        <v>1757</v>
      </c>
      <c r="J1774" s="392" t="s">
        <v>8582</v>
      </c>
      <c r="K1774" s="392" t="s">
        <v>3933</v>
      </c>
      <c r="L1774" s="392" t="s">
        <v>4343</v>
      </c>
      <c r="M1774" s="392" t="s">
        <v>7273</v>
      </c>
      <c r="N1774" s="392" t="s">
        <v>7273</v>
      </c>
      <c r="O1774" s="392" t="s">
        <v>7273</v>
      </c>
      <c r="P1774" s="212"/>
      <c r="Q1774"/>
      <c r="R1774" s="387">
        <f>VLOOKUP(E1774,'[1]NDB Impacted SPRFs 05032013'!$A$2:$A$65536,1,FALSE)</f>
        <v>400021767</v>
      </c>
      <c r="S1774" s="159"/>
      <c r="T1774" s="159"/>
      <c r="U1774" s="159"/>
    </row>
    <row r="1775" spans="1:21" ht="45" x14ac:dyDescent="0.25">
      <c r="A1775" s="63">
        <f>MATCH($E1775,'D1 - Master Project Table'!$B$24:$B$7056,0)</f>
        <v>3011</v>
      </c>
      <c r="B1775" s="63" t="b">
        <f t="shared" si="81"/>
        <v>0</v>
      </c>
      <c r="C1775" s="63" t="b">
        <f t="shared" si="82"/>
        <v>1</v>
      </c>
      <c r="D1775" s="63" t="str">
        <f t="shared" si="83"/>
        <v>OK</v>
      </c>
      <c r="E1775" s="393">
        <v>400039846</v>
      </c>
      <c r="F1775" s="392" t="s">
        <v>5609</v>
      </c>
      <c r="G1775" s="392" t="s">
        <v>5324</v>
      </c>
      <c r="H1775" s="392" t="s">
        <v>5314</v>
      </c>
      <c r="I1775" s="392" t="s">
        <v>1791</v>
      </c>
      <c r="J1775" s="392" t="s">
        <v>4990</v>
      </c>
      <c r="K1775" s="392" t="s">
        <v>5610</v>
      </c>
      <c r="L1775" s="392" t="s">
        <v>5611</v>
      </c>
      <c r="M1775" s="392" t="s">
        <v>3758</v>
      </c>
      <c r="N1775" s="392" t="s">
        <v>7273</v>
      </c>
      <c r="O1775" s="392" t="s">
        <v>7273</v>
      </c>
      <c r="P1775"/>
      <c r="Q1775"/>
      <c r="R1775" s="387">
        <f>VLOOKUP(E1775,'[1]NDB Impacted SPRFs 05032013'!$A$2:$A$65536,1,FALSE)</f>
        <v>400039846</v>
      </c>
      <c r="S1775" s="159"/>
      <c r="T1775" s="159"/>
      <c r="U1775" s="159"/>
    </row>
    <row r="1776" spans="1:21" s="159" customFormat="1" ht="45" customHeight="1" x14ac:dyDescent="0.25">
      <c r="A1776" s="63">
        <f>MATCH($E1776,'D1 - Master Project Table'!$B$24:$B$7056,0)</f>
        <v>3038</v>
      </c>
      <c r="B1776" s="63" t="b">
        <f t="shared" ref="B1776:B1839" si="84">ISERROR(A1776)</f>
        <v>0</v>
      </c>
      <c r="C1776" s="63" t="b">
        <f t="shared" si="82"/>
        <v>1</v>
      </c>
      <c r="D1776" s="63" t="str">
        <f t="shared" si="83"/>
        <v>OK</v>
      </c>
      <c r="E1776" s="393">
        <v>400042325</v>
      </c>
      <c r="F1776" s="392" t="s">
        <v>5257</v>
      </c>
      <c r="G1776" s="392" t="s">
        <v>7182</v>
      </c>
      <c r="H1776" s="392" t="s">
        <v>5314</v>
      </c>
      <c r="I1776" s="392" t="s">
        <v>2606</v>
      </c>
      <c r="J1776" s="392" t="s">
        <v>8837</v>
      </c>
      <c r="K1776" s="392" t="s">
        <v>5258</v>
      </c>
      <c r="L1776" s="392" t="s">
        <v>1151</v>
      </c>
      <c r="M1776" s="392" t="s">
        <v>7273</v>
      </c>
      <c r="N1776" s="392" t="s">
        <v>7273</v>
      </c>
      <c r="O1776" s="392" t="s">
        <v>7273</v>
      </c>
      <c r="P1776"/>
      <c r="Q1776"/>
      <c r="R1776" s="387">
        <f>VLOOKUP(E1776,'[1]NDB Impacted SPRFs 05032013'!$A$2:$A$65536,1,FALSE)</f>
        <v>400042325</v>
      </c>
      <c r="S1776" s="128"/>
      <c r="T1776" s="128"/>
      <c r="U1776" s="128"/>
    </row>
    <row r="1777" spans="1:21" ht="30" x14ac:dyDescent="0.25">
      <c r="A1777" s="63">
        <f>MATCH($E1777,'D1 - Master Project Table'!$B$24:$B$7056,0)</f>
        <v>2367</v>
      </c>
      <c r="B1777" s="63" t="b">
        <f t="shared" si="84"/>
        <v>0</v>
      </c>
      <c r="C1777" s="63" t="b">
        <f t="shared" si="82"/>
        <v>1</v>
      </c>
      <c r="D1777" s="63" t="str">
        <f t="shared" si="83"/>
        <v>OK</v>
      </c>
      <c r="E1777" s="393">
        <v>400000635</v>
      </c>
      <c r="F1777" s="392" t="s">
        <v>3333</v>
      </c>
      <c r="G1777" s="392" t="s">
        <v>5787</v>
      </c>
      <c r="H1777" s="392" t="s">
        <v>5314</v>
      </c>
      <c r="I1777" s="392" t="s">
        <v>1819</v>
      </c>
      <c r="J1777" s="392" t="s">
        <v>8688</v>
      </c>
      <c r="K1777" s="392" t="s">
        <v>6613</v>
      </c>
      <c r="L1777" s="392" t="s">
        <v>3656</v>
      </c>
      <c r="M1777" s="392" t="s">
        <v>7273</v>
      </c>
      <c r="N1777" s="392" t="s">
        <v>7273</v>
      </c>
      <c r="O1777" s="392" t="s">
        <v>7273</v>
      </c>
      <c r="P1777"/>
      <c r="Q1777"/>
      <c r="R1777" s="387">
        <f>VLOOKUP(E1777,'[1]NDB Impacted SPRFs 05032013'!$A$2:$A$65536,1,FALSE)</f>
        <v>400000635</v>
      </c>
      <c r="S1777" s="159"/>
      <c r="T1777" s="159"/>
      <c r="U1777" s="159"/>
    </row>
    <row r="1778" spans="1:21" s="159" customFormat="1" ht="30" x14ac:dyDescent="0.25">
      <c r="A1778" s="63" t="e">
        <f>MATCH($E1778,'D1 - Master Project Table'!$B$24:$B$7056,0)</f>
        <v>#N/A</v>
      </c>
      <c r="B1778" s="63" t="b">
        <f t="shared" si="84"/>
        <v>1</v>
      </c>
      <c r="C1778" s="63" t="b">
        <f t="shared" si="82"/>
        <v>1</v>
      </c>
      <c r="D1778" s="63" t="str">
        <f t="shared" si="83"/>
        <v>OK</v>
      </c>
      <c r="E1778" s="393">
        <v>400002716</v>
      </c>
      <c r="F1778" s="392" t="s">
        <v>4322</v>
      </c>
      <c r="G1778" s="392" t="s">
        <v>7182</v>
      </c>
      <c r="H1778" s="392" t="s">
        <v>7418</v>
      </c>
      <c r="I1778" s="392" t="s">
        <v>7745</v>
      </c>
      <c r="J1778" s="392" t="s">
        <v>8835</v>
      </c>
      <c r="K1778" s="392" t="s">
        <v>6230</v>
      </c>
      <c r="L1778" s="392" t="s">
        <v>7065</v>
      </c>
      <c r="M1778" s="392" t="s">
        <v>7273</v>
      </c>
      <c r="N1778" s="392" t="s">
        <v>7273</v>
      </c>
      <c r="O1778" s="392" t="s">
        <v>7273</v>
      </c>
      <c r="P1778"/>
      <c r="Q1778"/>
      <c r="R1778" s="387">
        <f>VLOOKUP(E1778,'[1]NDB Impacted SPRFs 05032013'!$A$2:$A$65536,1,FALSE)</f>
        <v>400002716</v>
      </c>
    </row>
    <row r="1779" spans="1:21" s="159" customFormat="1" ht="30" x14ac:dyDescent="0.25">
      <c r="A1779" s="63">
        <f>MATCH($E1779,'D1 - Master Project Table'!$B$24:$B$7056,0)</f>
        <v>2653</v>
      </c>
      <c r="B1779" s="63" t="b">
        <f t="shared" si="84"/>
        <v>0</v>
      </c>
      <c r="C1779" s="63" t="b">
        <f t="shared" si="82"/>
        <v>1</v>
      </c>
      <c r="D1779" s="63" t="str">
        <f t="shared" si="83"/>
        <v>OK</v>
      </c>
      <c r="E1779" s="393">
        <v>400015273</v>
      </c>
      <c r="F1779" s="392" t="s">
        <v>4313</v>
      </c>
      <c r="G1779" s="392" t="s">
        <v>3441</v>
      </c>
      <c r="H1779" s="392" t="s">
        <v>5314</v>
      </c>
      <c r="I1779" s="392" t="s">
        <v>1769</v>
      </c>
      <c r="J1779" s="392" t="s">
        <v>4990</v>
      </c>
      <c r="K1779" s="392" t="s">
        <v>2447</v>
      </c>
      <c r="L1779" s="392" t="s">
        <v>6353</v>
      </c>
      <c r="M1779" s="392" t="s">
        <v>7273</v>
      </c>
      <c r="N1779" s="392" t="s">
        <v>7273</v>
      </c>
      <c r="O1779" s="392" t="s">
        <v>7273</v>
      </c>
      <c r="P1779"/>
      <c r="Q1779"/>
      <c r="R1779" s="387">
        <f>VLOOKUP(E1779,'[1]NDB Impacted SPRFs 05032013'!$A$2:$A$65536,1,FALSE)</f>
        <v>400015273</v>
      </c>
      <c r="S1779" s="128"/>
      <c r="T1779" s="128"/>
      <c r="U1779" s="128"/>
    </row>
    <row r="1780" spans="1:21" s="159" customFormat="1" ht="45" x14ac:dyDescent="0.25">
      <c r="A1780" s="63">
        <f>MATCH($E1780,'D1 - Master Project Table'!$B$24:$B$7056,0)</f>
        <v>2654</v>
      </c>
      <c r="B1780" s="63" t="b">
        <f t="shared" si="84"/>
        <v>0</v>
      </c>
      <c r="C1780" s="63" t="b">
        <f t="shared" si="82"/>
        <v>1</v>
      </c>
      <c r="D1780" s="63" t="str">
        <f t="shared" si="83"/>
        <v>OK</v>
      </c>
      <c r="E1780" s="393">
        <v>400015274</v>
      </c>
      <c r="F1780" s="392" t="s">
        <v>7645</v>
      </c>
      <c r="G1780" s="392" t="s">
        <v>3441</v>
      </c>
      <c r="H1780" s="392" t="s">
        <v>5314</v>
      </c>
      <c r="I1780" s="392" t="s">
        <v>1769</v>
      </c>
      <c r="J1780" s="392" t="s">
        <v>4990</v>
      </c>
      <c r="K1780" s="392" t="s">
        <v>2447</v>
      </c>
      <c r="L1780" s="392" t="s">
        <v>6353</v>
      </c>
      <c r="M1780" s="392" t="s">
        <v>7273</v>
      </c>
      <c r="N1780" s="392" t="s">
        <v>7273</v>
      </c>
      <c r="O1780" s="392" t="s">
        <v>7273</v>
      </c>
      <c r="P1780"/>
      <c r="Q1780"/>
      <c r="R1780" s="387">
        <f>VLOOKUP(E1780,'[1]NDB Impacted SPRFs 05032013'!$A$2:$A$65536,1,FALSE)</f>
        <v>400015274</v>
      </c>
      <c r="S1780" s="128"/>
      <c r="T1780" s="128"/>
      <c r="U1780" s="128"/>
    </row>
    <row r="1781" spans="1:21" ht="45" x14ac:dyDescent="0.25">
      <c r="A1781" s="63">
        <f>MATCH($E1781,'D1 - Master Project Table'!$B$24:$B$7056,0)</f>
        <v>2889</v>
      </c>
      <c r="B1781" s="63" t="b">
        <f t="shared" si="84"/>
        <v>0</v>
      </c>
      <c r="C1781" s="63" t="b">
        <f t="shared" si="82"/>
        <v>1</v>
      </c>
      <c r="D1781" s="63" t="str">
        <f t="shared" si="83"/>
        <v>OK</v>
      </c>
      <c r="E1781" s="393">
        <v>400029575</v>
      </c>
      <c r="F1781" s="392" t="s">
        <v>4773</v>
      </c>
      <c r="G1781" s="392" t="s">
        <v>5324</v>
      </c>
      <c r="H1781" s="392" t="s">
        <v>5314</v>
      </c>
      <c r="I1781" s="392" t="s">
        <v>1763</v>
      </c>
      <c r="J1781" s="392" t="s">
        <v>8380</v>
      </c>
      <c r="K1781" s="392" t="s">
        <v>8075</v>
      </c>
      <c r="L1781" s="392" t="s">
        <v>4281</v>
      </c>
      <c r="M1781" s="392" t="s">
        <v>3758</v>
      </c>
      <c r="N1781" s="392" t="s">
        <v>7273</v>
      </c>
      <c r="O1781" s="392" t="s">
        <v>7273</v>
      </c>
      <c r="P1781"/>
      <c r="Q1781"/>
      <c r="R1781" s="387">
        <f>VLOOKUP(E1781,'[1]NDB Impacted SPRFs 05032013'!$A$2:$A$65536,1,FALSE)</f>
        <v>400029575</v>
      </c>
      <c r="S1781" s="159"/>
      <c r="T1781" s="159"/>
      <c r="U1781" s="159"/>
    </row>
    <row r="1782" spans="1:21" s="159" customFormat="1" ht="30" customHeight="1" x14ac:dyDescent="0.25">
      <c r="A1782" s="63">
        <f>MATCH($E1782,'D1 - Master Project Table'!$B$24:$B$7056,0)</f>
        <v>270</v>
      </c>
      <c r="B1782" s="63" t="b">
        <f t="shared" si="84"/>
        <v>0</v>
      </c>
      <c r="C1782" s="63" t="b">
        <f t="shared" si="82"/>
        <v>0</v>
      </c>
      <c r="D1782" s="63" t="str">
        <f t="shared" si="83"/>
        <v>OK</v>
      </c>
      <c r="E1782" s="393">
        <v>400059415</v>
      </c>
      <c r="F1782" s="392" t="s">
        <v>9325</v>
      </c>
      <c r="G1782" s="392" t="s">
        <v>1147</v>
      </c>
      <c r="H1782" s="392" t="s">
        <v>6462</v>
      </c>
      <c r="I1782" s="392" t="s">
        <v>1757</v>
      </c>
      <c r="J1782" s="392" t="s">
        <v>450</v>
      </c>
      <c r="K1782" s="392" t="s">
        <v>5524</v>
      </c>
      <c r="L1782" s="392" t="s">
        <v>9326</v>
      </c>
      <c r="M1782" s="392" t="s">
        <v>7273</v>
      </c>
      <c r="N1782" s="392" t="s">
        <v>7273</v>
      </c>
      <c r="O1782" s="392" t="s">
        <v>7273</v>
      </c>
      <c r="P1782"/>
      <c r="Q1782"/>
      <c r="R1782" s="387">
        <f>VLOOKUP(E1782,'[1]NDB Impacted SPRFs 05032013'!$A$2:$A$65536,1,FALSE)</f>
        <v>400059415</v>
      </c>
      <c r="S1782" s="128"/>
      <c r="T1782" s="128"/>
      <c r="U1782" s="128"/>
    </row>
    <row r="1783" spans="1:21" s="159" customFormat="1" ht="60" customHeight="1" x14ac:dyDescent="0.25">
      <c r="A1783" s="63" t="e">
        <f>MATCH($E1783,'D1 - Master Project Table'!$B$24:$B$7056,0)</f>
        <v>#N/A</v>
      </c>
      <c r="B1783" s="63" t="b">
        <f t="shared" si="84"/>
        <v>1</v>
      </c>
      <c r="C1783" s="63" t="b">
        <f t="shared" si="82"/>
        <v>1</v>
      </c>
      <c r="D1783" s="63" t="str">
        <f t="shared" si="83"/>
        <v>OK</v>
      </c>
      <c r="E1783" s="393">
        <v>400000341</v>
      </c>
      <c r="F1783" s="392" t="s">
        <v>5719</v>
      </c>
      <c r="G1783" s="392" t="s">
        <v>5787</v>
      </c>
      <c r="H1783" s="392" t="s">
        <v>7418</v>
      </c>
      <c r="I1783" s="392" t="s">
        <v>1780</v>
      </c>
      <c r="J1783" s="392" t="s">
        <v>8459</v>
      </c>
      <c r="K1783" s="392" t="s">
        <v>3353</v>
      </c>
      <c r="L1783" s="392" t="s">
        <v>3153</v>
      </c>
      <c r="M1783" s="392" t="s">
        <v>7273</v>
      </c>
      <c r="N1783" s="392" t="s">
        <v>7273</v>
      </c>
      <c r="O1783" s="392" t="s">
        <v>7273</v>
      </c>
      <c r="P1783"/>
      <c r="Q1783"/>
      <c r="R1783" s="387">
        <f>VLOOKUP(E1783,'[1]NDB Impacted SPRFs 05032013'!$A$2:$A$65536,1,FALSE)</f>
        <v>400000341</v>
      </c>
    </row>
    <row r="1784" spans="1:21" s="159" customFormat="1" ht="30" customHeight="1" x14ac:dyDescent="0.25">
      <c r="A1784" s="63">
        <f>MATCH($E1784,'D1 - Master Project Table'!$B$24:$B$7056,0)</f>
        <v>2399</v>
      </c>
      <c r="B1784" s="63" t="b">
        <f t="shared" si="84"/>
        <v>0</v>
      </c>
      <c r="C1784" s="63" t="b">
        <f t="shared" si="82"/>
        <v>1</v>
      </c>
      <c r="D1784" s="63" t="str">
        <f t="shared" si="83"/>
        <v>OK</v>
      </c>
      <c r="E1784" s="393">
        <v>400002461</v>
      </c>
      <c r="F1784" s="392" t="s">
        <v>7997</v>
      </c>
      <c r="G1784" s="392" t="s">
        <v>5324</v>
      </c>
      <c r="H1784" s="392" t="s">
        <v>5314</v>
      </c>
      <c r="I1784" s="392" t="s">
        <v>1765</v>
      </c>
      <c r="J1784" s="392" t="s">
        <v>8334</v>
      </c>
      <c r="K1784" s="392" t="s">
        <v>5641</v>
      </c>
      <c r="L1784" s="392" t="s">
        <v>3435</v>
      </c>
      <c r="M1784" s="392" t="s">
        <v>7273</v>
      </c>
      <c r="N1784" s="392" t="s">
        <v>7273</v>
      </c>
      <c r="O1784" s="392" t="s">
        <v>7273</v>
      </c>
      <c r="P1784"/>
      <c r="Q1784"/>
      <c r="R1784" s="387">
        <f>VLOOKUP(E1784,'[1]NDB Impacted SPRFs 05032013'!$A$2:$A$65536,1,FALSE)</f>
        <v>400002461</v>
      </c>
    </row>
    <row r="1785" spans="1:21" s="159" customFormat="1" ht="30" x14ac:dyDescent="0.25">
      <c r="A1785" s="63">
        <f>MATCH($E1785,'D1 - Master Project Table'!$B$24:$B$7056,0)</f>
        <v>305</v>
      </c>
      <c r="B1785" s="63" t="b">
        <f t="shared" si="84"/>
        <v>0</v>
      </c>
      <c r="C1785" s="63" t="b">
        <f t="shared" si="82"/>
        <v>1</v>
      </c>
      <c r="D1785" s="63" t="str">
        <f t="shared" si="83"/>
        <v>OK</v>
      </c>
      <c r="E1785" s="393">
        <v>400005413</v>
      </c>
      <c r="F1785" s="392" t="s">
        <v>6708</v>
      </c>
      <c r="G1785" s="392" t="s">
        <v>7182</v>
      </c>
      <c r="H1785" s="392" t="s">
        <v>7418</v>
      </c>
      <c r="I1785" s="392" t="s">
        <v>4005</v>
      </c>
      <c r="J1785" s="392" t="s">
        <v>8386</v>
      </c>
      <c r="K1785" s="392" t="s">
        <v>5641</v>
      </c>
      <c r="L1785" s="392" t="s">
        <v>3435</v>
      </c>
      <c r="M1785" s="392" t="s">
        <v>7273</v>
      </c>
      <c r="N1785" s="392" t="s">
        <v>7273</v>
      </c>
      <c r="O1785" s="392" t="s">
        <v>7273</v>
      </c>
      <c r="P1785"/>
      <c r="Q1785"/>
      <c r="R1785" s="387">
        <f>VLOOKUP(E1785,'[1]NDB Impacted SPRFs 05032013'!$A$2:$A$65536,1,FALSE)</f>
        <v>400005413</v>
      </c>
      <c r="S1785" s="128"/>
      <c r="T1785" s="128"/>
      <c r="U1785" s="128"/>
    </row>
    <row r="1786" spans="1:21" s="159" customFormat="1" ht="45" x14ac:dyDescent="0.25">
      <c r="A1786" s="63">
        <f>MATCH($E1786,'D1 - Master Project Table'!$B$24:$B$7056,0)</f>
        <v>2545</v>
      </c>
      <c r="B1786" s="63" t="b">
        <f t="shared" si="84"/>
        <v>0</v>
      </c>
      <c r="C1786" s="63" t="b">
        <f t="shared" si="82"/>
        <v>1</v>
      </c>
      <c r="D1786" s="63" t="str">
        <f t="shared" si="83"/>
        <v>OK</v>
      </c>
      <c r="E1786" s="393">
        <v>400009291</v>
      </c>
      <c r="F1786" s="392" t="s">
        <v>4579</v>
      </c>
      <c r="G1786" s="392" t="s">
        <v>5324</v>
      </c>
      <c r="H1786" s="392" t="s">
        <v>5314</v>
      </c>
      <c r="I1786" s="392" t="s">
        <v>1763</v>
      </c>
      <c r="J1786" s="392" t="s">
        <v>8558</v>
      </c>
      <c r="K1786" s="392" t="s">
        <v>5641</v>
      </c>
      <c r="L1786" s="392" t="s">
        <v>3435</v>
      </c>
      <c r="M1786" s="392" t="s">
        <v>7273</v>
      </c>
      <c r="N1786" s="392" t="s">
        <v>7273</v>
      </c>
      <c r="O1786" s="392" t="s">
        <v>7273</v>
      </c>
      <c r="P1786"/>
      <c r="Q1786"/>
      <c r="R1786" s="387">
        <f>VLOOKUP(E1786,'[1]NDB Impacted SPRFs 05032013'!$A$2:$A$65536,1,FALSE)</f>
        <v>400009291</v>
      </c>
      <c r="S1786" s="128"/>
      <c r="T1786" s="128"/>
      <c r="U1786" s="128"/>
    </row>
    <row r="1787" spans="1:21" s="159" customFormat="1" ht="30" customHeight="1" x14ac:dyDescent="0.25">
      <c r="A1787" s="63">
        <f>MATCH($E1787,'D1 - Master Project Table'!$B$24:$B$7056,0)</f>
        <v>683</v>
      </c>
      <c r="B1787" s="63" t="b">
        <f t="shared" si="84"/>
        <v>0</v>
      </c>
      <c r="C1787" s="63" t="b">
        <f t="shared" si="82"/>
        <v>1</v>
      </c>
      <c r="D1787" s="63" t="str">
        <f t="shared" si="83"/>
        <v>OK</v>
      </c>
      <c r="E1787" s="393">
        <v>400014911</v>
      </c>
      <c r="F1787" s="392" t="s">
        <v>2933</v>
      </c>
      <c r="G1787" s="392" t="s">
        <v>5324</v>
      </c>
      <c r="H1787" s="392" t="s">
        <v>7418</v>
      </c>
      <c r="I1787" s="392" t="s">
        <v>1764</v>
      </c>
      <c r="J1787" s="392" t="s">
        <v>5168</v>
      </c>
      <c r="K1787" s="392" t="s">
        <v>8075</v>
      </c>
      <c r="L1787" s="392" t="s">
        <v>3435</v>
      </c>
      <c r="M1787" s="392" t="s">
        <v>7273</v>
      </c>
      <c r="N1787" s="392" t="s">
        <v>7273</v>
      </c>
      <c r="O1787" s="392" t="s">
        <v>7273</v>
      </c>
      <c r="P1787" s="212"/>
      <c r="Q1787"/>
      <c r="R1787" s="387">
        <f>VLOOKUP(E1787,'[1]NDB Impacted SPRFs 05032013'!$A$2:$A$65536,1,FALSE)</f>
        <v>400014911</v>
      </c>
      <c r="S1787" s="128"/>
      <c r="T1787" s="128"/>
      <c r="U1787" s="128"/>
    </row>
    <row r="1788" spans="1:21" s="159" customFormat="1" ht="45" x14ac:dyDescent="0.25">
      <c r="A1788" s="63">
        <f>MATCH($E1788,'D1 - Master Project Table'!$B$24:$B$7056,0)</f>
        <v>2649</v>
      </c>
      <c r="B1788" s="63" t="b">
        <f t="shared" si="84"/>
        <v>0</v>
      </c>
      <c r="C1788" s="63" t="b">
        <f t="shared" si="82"/>
        <v>1</v>
      </c>
      <c r="D1788" s="63" t="str">
        <f t="shared" si="83"/>
        <v>OK</v>
      </c>
      <c r="E1788" s="393">
        <v>400015254</v>
      </c>
      <c r="F1788" s="392" t="s">
        <v>5007</v>
      </c>
      <c r="G1788" s="392" t="s">
        <v>5324</v>
      </c>
      <c r="H1788" s="392" t="s">
        <v>5314</v>
      </c>
      <c r="I1788" s="392" t="s">
        <v>1757</v>
      </c>
      <c r="J1788" s="392" t="s">
        <v>8455</v>
      </c>
      <c r="K1788" s="392" t="s">
        <v>3736</v>
      </c>
      <c r="L1788" s="392" t="s">
        <v>3435</v>
      </c>
      <c r="M1788" s="392" t="s">
        <v>7273</v>
      </c>
      <c r="N1788" s="392" t="s">
        <v>7273</v>
      </c>
      <c r="O1788" s="392" t="s">
        <v>7273</v>
      </c>
      <c r="P1788"/>
      <c r="Q1788"/>
      <c r="R1788" s="387">
        <f>VLOOKUP(E1788,'[1]NDB Impacted SPRFs 05032013'!$A$2:$A$65536,1,FALSE)</f>
        <v>400015254</v>
      </c>
    </row>
    <row r="1789" spans="1:21" s="159" customFormat="1" ht="45" x14ac:dyDescent="0.25">
      <c r="A1789" s="63">
        <f>MATCH($E1789,'D1 - Master Project Table'!$B$24:$B$7056,0)</f>
        <v>803</v>
      </c>
      <c r="B1789" s="63" t="b">
        <f t="shared" si="84"/>
        <v>0</v>
      </c>
      <c r="C1789" s="63" t="b">
        <f t="shared" si="82"/>
        <v>1</v>
      </c>
      <c r="D1789" s="63" t="str">
        <f t="shared" si="83"/>
        <v>OK</v>
      </c>
      <c r="E1789" s="393">
        <v>400015390</v>
      </c>
      <c r="F1789" s="392" t="s">
        <v>4211</v>
      </c>
      <c r="G1789" s="392" t="s">
        <v>5324</v>
      </c>
      <c r="H1789" s="392" t="s">
        <v>7418</v>
      </c>
      <c r="I1789" s="392" t="s">
        <v>1764</v>
      </c>
      <c r="J1789" s="392" t="s">
        <v>8300</v>
      </c>
      <c r="K1789" s="392" t="s">
        <v>5641</v>
      </c>
      <c r="L1789" s="392" t="s">
        <v>3435</v>
      </c>
      <c r="M1789" s="392" t="s">
        <v>7273</v>
      </c>
      <c r="N1789" s="392" t="s">
        <v>7273</v>
      </c>
      <c r="O1789" s="392" t="s">
        <v>7273</v>
      </c>
      <c r="P1789"/>
      <c r="Q1789"/>
      <c r="R1789" s="387">
        <f>VLOOKUP(E1789,'[1]NDB Impacted SPRFs 05032013'!$A$2:$A$65536,1,FALSE)</f>
        <v>400015390</v>
      </c>
    </row>
    <row r="1790" spans="1:21" s="159" customFormat="1" ht="45" x14ac:dyDescent="0.25">
      <c r="A1790" s="63">
        <f>MATCH($E1790,'D1 - Master Project Table'!$B$24:$B$7056,0)</f>
        <v>690</v>
      </c>
      <c r="B1790" s="63" t="b">
        <f t="shared" si="84"/>
        <v>0</v>
      </c>
      <c r="C1790" s="63" t="b">
        <f t="shared" si="82"/>
        <v>1</v>
      </c>
      <c r="D1790" s="63" t="str">
        <f t="shared" si="83"/>
        <v>OK</v>
      </c>
      <c r="E1790" s="393">
        <v>400017637</v>
      </c>
      <c r="F1790" s="392" t="s">
        <v>5166</v>
      </c>
      <c r="G1790" s="392" t="s">
        <v>5324</v>
      </c>
      <c r="H1790" s="392" t="s">
        <v>7418</v>
      </c>
      <c r="I1790" s="392" t="s">
        <v>1756</v>
      </c>
      <c r="J1790" s="392" t="s">
        <v>1618</v>
      </c>
      <c r="K1790" s="392" t="s">
        <v>5167</v>
      </c>
      <c r="L1790" s="392" t="s">
        <v>4523</v>
      </c>
      <c r="M1790" s="392" t="s">
        <v>3758</v>
      </c>
      <c r="N1790" s="392" t="s">
        <v>7273</v>
      </c>
      <c r="O1790" s="392" t="s">
        <v>7273</v>
      </c>
      <c r="P1790"/>
      <c r="Q1790"/>
      <c r="R1790" s="387">
        <f>VLOOKUP(E1790,'[1]NDB Impacted SPRFs 05032013'!$A$2:$A$65536,1,FALSE)</f>
        <v>400017637</v>
      </c>
    </row>
    <row r="1791" spans="1:21" s="159" customFormat="1" ht="30" customHeight="1" x14ac:dyDescent="0.25">
      <c r="A1791" s="63">
        <f>MATCH($E1791,'D1 - Master Project Table'!$B$24:$B$7056,0)</f>
        <v>858</v>
      </c>
      <c r="B1791" s="63" t="b">
        <f t="shared" si="84"/>
        <v>0</v>
      </c>
      <c r="C1791" s="63" t="b">
        <f t="shared" si="82"/>
        <v>1</v>
      </c>
      <c r="D1791" s="63" t="str">
        <f t="shared" si="83"/>
        <v>OK</v>
      </c>
      <c r="E1791" s="393">
        <v>400017892</v>
      </c>
      <c r="F1791" s="392" t="s">
        <v>6080</v>
      </c>
      <c r="G1791" s="392" t="s">
        <v>5324</v>
      </c>
      <c r="H1791" s="392" t="s">
        <v>7418</v>
      </c>
      <c r="I1791" s="392" t="s">
        <v>1764</v>
      </c>
      <c r="J1791" s="392" t="s">
        <v>8568</v>
      </c>
      <c r="K1791" s="392" t="s">
        <v>5436</v>
      </c>
      <c r="L1791" s="392" t="s">
        <v>3435</v>
      </c>
      <c r="M1791" s="392" t="s">
        <v>7273</v>
      </c>
      <c r="N1791" s="392" t="s">
        <v>7273</v>
      </c>
      <c r="O1791" s="392" t="s">
        <v>7273</v>
      </c>
      <c r="P1791"/>
      <c r="Q1791"/>
      <c r="R1791" s="387">
        <f>VLOOKUP(E1791,'[1]NDB Impacted SPRFs 05032013'!$A$2:$A$65536,1,FALSE)</f>
        <v>400017892</v>
      </c>
    </row>
    <row r="1792" spans="1:21" s="159" customFormat="1" ht="30" customHeight="1" x14ac:dyDescent="0.25">
      <c r="A1792" s="63">
        <f>MATCH($E1792,'D1 - Master Project Table'!$B$24:$B$7056,0)</f>
        <v>859</v>
      </c>
      <c r="B1792" s="63" t="b">
        <f t="shared" si="84"/>
        <v>0</v>
      </c>
      <c r="C1792" s="63" t="b">
        <f t="shared" si="82"/>
        <v>1</v>
      </c>
      <c r="D1792" s="63" t="str">
        <f t="shared" si="83"/>
        <v>OK</v>
      </c>
      <c r="E1792" s="393">
        <v>400019643</v>
      </c>
      <c r="F1792" s="392" t="s">
        <v>1648</v>
      </c>
      <c r="G1792" s="392" t="s">
        <v>5324</v>
      </c>
      <c r="H1792" s="392" t="s">
        <v>7418</v>
      </c>
      <c r="I1792" s="392" t="s">
        <v>1759</v>
      </c>
      <c r="J1792" s="392" t="s">
        <v>8379</v>
      </c>
      <c r="K1792" s="392" t="s">
        <v>7062</v>
      </c>
      <c r="L1792" s="392" t="s">
        <v>3435</v>
      </c>
      <c r="M1792" s="392" t="s">
        <v>7273</v>
      </c>
      <c r="N1792" s="392" t="s">
        <v>7273</v>
      </c>
      <c r="O1792" s="392" t="s">
        <v>7273</v>
      </c>
      <c r="P1792"/>
      <c r="Q1792"/>
      <c r="R1792" s="387">
        <f>VLOOKUP(E1792,'[1]NDB Impacted SPRFs 05032013'!$A$2:$A$65536,1,FALSE)</f>
        <v>400019643</v>
      </c>
    </row>
    <row r="1793" spans="1:21" s="159" customFormat="1" ht="30" x14ac:dyDescent="0.25">
      <c r="A1793" s="63">
        <f>MATCH($E1793,'D1 - Master Project Table'!$B$24:$B$7056,0)</f>
        <v>2767</v>
      </c>
      <c r="B1793" s="63" t="b">
        <f t="shared" si="84"/>
        <v>0</v>
      </c>
      <c r="C1793" s="63" t="b">
        <f t="shared" si="82"/>
        <v>1</v>
      </c>
      <c r="D1793" s="63" t="str">
        <f t="shared" si="83"/>
        <v>OK</v>
      </c>
      <c r="E1793" s="393">
        <v>400021501</v>
      </c>
      <c r="F1793" s="392" t="s">
        <v>3080</v>
      </c>
      <c r="G1793" s="392" t="s">
        <v>5787</v>
      </c>
      <c r="H1793" s="392" t="s">
        <v>5314</v>
      </c>
      <c r="I1793" s="392" t="s">
        <v>1774</v>
      </c>
      <c r="J1793" s="392" t="s">
        <v>5865</v>
      </c>
      <c r="K1793" s="392" t="s">
        <v>5245</v>
      </c>
      <c r="L1793" s="392" t="s">
        <v>3435</v>
      </c>
      <c r="M1793" s="392" t="s">
        <v>7273</v>
      </c>
      <c r="N1793" s="392" t="s">
        <v>7273</v>
      </c>
      <c r="O1793" s="392" t="s">
        <v>7273</v>
      </c>
      <c r="P1793"/>
      <c r="Q1793"/>
      <c r="R1793" s="387">
        <f>VLOOKUP(E1793,'[1]NDB Impacted SPRFs 05032013'!$A$2:$A$65536,1,FALSE)</f>
        <v>400021501</v>
      </c>
    </row>
    <row r="1794" spans="1:21" ht="45" x14ac:dyDescent="0.25">
      <c r="A1794" s="63">
        <f>MATCH($E1794,'D1 - Master Project Table'!$B$24:$B$7056,0)</f>
        <v>2853</v>
      </c>
      <c r="B1794" s="63" t="b">
        <f t="shared" si="84"/>
        <v>0</v>
      </c>
      <c r="C1794" s="63" t="b">
        <f t="shared" si="82"/>
        <v>1</v>
      </c>
      <c r="D1794" s="63" t="str">
        <f t="shared" si="83"/>
        <v>OK</v>
      </c>
      <c r="E1794" s="393">
        <v>400027111</v>
      </c>
      <c r="F1794" s="392" t="s">
        <v>7474</v>
      </c>
      <c r="G1794" s="392" t="s">
        <v>5324</v>
      </c>
      <c r="H1794" s="392" t="s">
        <v>5314</v>
      </c>
      <c r="I1794" s="392" t="s">
        <v>1758</v>
      </c>
      <c r="J1794" s="392" t="s">
        <v>8295</v>
      </c>
      <c r="K1794" s="392" t="s">
        <v>2523</v>
      </c>
      <c r="L1794" s="392" t="s">
        <v>3435</v>
      </c>
      <c r="M1794" s="392" t="s">
        <v>7273</v>
      </c>
      <c r="N1794" s="392" t="s">
        <v>7273</v>
      </c>
      <c r="O1794" s="392" t="s">
        <v>7273</v>
      </c>
      <c r="P1794"/>
      <c r="Q1794"/>
      <c r="R1794" s="387">
        <f>VLOOKUP(E1794,'[1]NDB Impacted SPRFs 05032013'!$A$2:$A$65536,1,FALSE)</f>
        <v>400027111</v>
      </c>
      <c r="S1794" s="159"/>
      <c r="T1794" s="159"/>
      <c r="U1794" s="159"/>
    </row>
    <row r="1795" spans="1:21" s="159" customFormat="1" ht="45" x14ac:dyDescent="0.25">
      <c r="A1795" s="63">
        <f>MATCH($E1795,'D1 - Master Project Table'!$B$24:$B$7056,0)</f>
        <v>162</v>
      </c>
      <c r="B1795" s="63" t="b">
        <f t="shared" si="84"/>
        <v>0</v>
      </c>
      <c r="C1795" s="63" t="b">
        <f t="shared" si="82"/>
        <v>0</v>
      </c>
      <c r="D1795" s="63" t="str">
        <f t="shared" si="83"/>
        <v>OK</v>
      </c>
      <c r="E1795" s="393">
        <v>400055865</v>
      </c>
      <c r="F1795" s="392" t="s">
        <v>1388</v>
      </c>
      <c r="G1795" s="392" t="s">
        <v>5324</v>
      </c>
      <c r="H1795" s="392" t="s">
        <v>4917</v>
      </c>
      <c r="I1795" s="392" t="s">
        <v>1757</v>
      </c>
      <c r="J1795" s="392" t="s">
        <v>8562</v>
      </c>
      <c r="K1795" s="392" t="s">
        <v>7952</v>
      </c>
      <c r="L1795" s="392" t="s">
        <v>1389</v>
      </c>
      <c r="M1795" s="392" t="s">
        <v>7273</v>
      </c>
      <c r="N1795" s="392" t="s">
        <v>7273</v>
      </c>
      <c r="O1795" s="392" t="s">
        <v>7273</v>
      </c>
      <c r="P1795"/>
      <c r="Q1795"/>
      <c r="R1795" s="387">
        <f>VLOOKUP(E1795,'[1]NDB Impacted SPRFs 05032013'!$A$2:$A$65536,1,FALSE)</f>
        <v>400055865</v>
      </c>
    </row>
    <row r="1796" spans="1:21" s="159" customFormat="1" ht="45" x14ac:dyDescent="0.25">
      <c r="A1796" s="63" t="e">
        <f>MATCH($E1796,'D1 - Master Project Table'!$B$24:$B$7056,0)</f>
        <v>#N/A</v>
      </c>
      <c r="B1796" s="63" t="b">
        <f t="shared" si="84"/>
        <v>1</v>
      </c>
      <c r="C1796" s="63" t="b">
        <f t="shared" si="82"/>
        <v>1</v>
      </c>
      <c r="D1796" s="63" t="str">
        <f t="shared" si="83"/>
        <v>OK</v>
      </c>
      <c r="E1796" s="393">
        <v>302261309</v>
      </c>
      <c r="F1796" s="392" t="s">
        <v>4191</v>
      </c>
      <c r="G1796" s="392" t="s">
        <v>5324</v>
      </c>
      <c r="H1796" s="392" t="s">
        <v>7418</v>
      </c>
      <c r="I1796" s="392" t="s">
        <v>1766</v>
      </c>
      <c r="J1796" s="392" t="s">
        <v>8340</v>
      </c>
      <c r="K1796" s="392" t="s">
        <v>4192</v>
      </c>
      <c r="L1796" s="392" t="s">
        <v>4193</v>
      </c>
      <c r="M1796" s="392" t="s">
        <v>3758</v>
      </c>
      <c r="N1796" s="392" t="s">
        <v>7273</v>
      </c>
      <c r="O1796" s="392" t="s">
        <v>7273</v>
      </c>
      <c r="P1796"/>
      <c r="Q1796"/>
      <c r="R1796" s="387">
        <f>VLOOKUP(E1796,'[1]NDB Impacted SPRFs 05032013'!$A$2:$A$65536,1,FALSE)</f>
        <v>302261309</v>
      </c>
    </row>
    <row r="1797" spans="1:21" s="159" customFormat="1" ht="30" x14ac:dyDescent="0.25">
      <c r="A1797" s="63">
        <f>MATCH($E1797,'D1 - Master Project Table'!$B$24:$B$7056,0)</f>
        <v>2358</v>
      </c>
      <c r="B1797" s="63" t="b">
        <f t="shared" si="84"/>
        <v>0</v>
      </c>
      <c r="C1797" s="63" t="b">
        <f t="shared" si="82"/>
        <v>1</v>
      </c>
      <c r="D1797" s="63" t="str">
        <f t="shared" si="83"/>
        <v>OK</v>
      </c>
      <c r="E1797" s="393">
        <v>400000303</v>
      </c>
      <c r="F1797" s="392" t="s">
        <v>6274</v>
      </c>
      <c r="G1797" s="392" t="s">
        <v>5787</v>
      </c>
      <c r="H1797" s="392" t="s">
        <v>5314</v>
      </c>
      <c r="I1797" s="392" t="s">
        <v>1819</v>
      </c>
      <c r="J1797" s="392" t="s">
        <v>8682</v>
      </c>
      <c r="K1797" s="392" t="s">
        <v>6613</v>
      </c>
      <c r="L1797" s="392" t="s">
        <v>4285</v>
      </c>
      <c r="M1797" s="392" t="s">
        <v>7273</v>
      </c>
      <c r="N1797" s="392" t="s">
        <v>7273</v>
      </c>
      <c r="O1797" s="392" t="s">
        <v>7273</v>
      </c>
      <c r="P1797"/>
      <c r="Q1797"/>
      <c r="R1797" s="387">
        <f>VLOOKUP(E1797,'[1]NDB Impacted SPRFs 05032013'!$A$2:$A$65536,1,FALSE)</f>
        <v>400000303</v>
      </c>
    </row>
    <row r="1798" spans="1:21" s="159" customFormat="1" ht="15" x14ac:dyDescent="0.25">
      <c r="A1798" s="63">
        <f>MATCH($E1798,'D1 - Master Project Table'!$B$24:$B$7056,0)</f>
        <v>1856</v>
      </c>
      <c r="B1798" s="63" t="b">
        <f t="shared" si="84"/>
        <v>0</v>
      </c>
      <c r="C1798" s="63" t="b">
        <f t="shared" ref="C1798:C1861" si="85">OR(H1798="Completed",H1798="Cancelled")</f>
        <v>1</v>
      </c>
      <c r="D1798" s="63" t="str">
        <f t="shared" ref="D1798:D1861" si="86">IF(AND(B1798=TRUE,C1798=FALSE),"Add","OK")</f>
        <v>OK</v>
      </c>
      <c r="E1798" s="393">
        <v>400000375</v>
      </c>
      <c r="F1798" s="392" t="s">
        <v>1887</v>
      </c>
      <c r="G1798" s="392" t="s">
        <v>5787</v>
      </c>
      <c r="H1798" s="392" t="s">
        <v>7418</v>
      </c>
      <c r="I1798" s="392" t="s">
        <v>1772</v>
      </c>
      <c r="J1798" s="392" t="s">
        <v>8685</v>
      </c>
      <c r="K1798" s="392" t="s">
        <v>4124</v>
      </c>
      <c r="L1798" s="392" t="s">
        <v>7123</v>
      </c>
      <c r="M1798" s="392" t="s">
        <v>7273</v>
      </c>
      <c r="N1798" s="392" t="s">
        <v>7273</v>
      </c>
      <c r="O1798" s="392" t="s">
        <v>7273</v>
      </c>
      <c r="P1798"/>
      <c r="Q1798"/>
      <c r="R1798" s="387">
        <f>VLOOKUP(E1798,'[1]NDB Impacted SPRFs 05032013'!$A$2:$A$65536,1,FALSE)</f>
        <v>400000375</v>
      </c>
    </row>
    <row r="1799" spans="1:21" s="159" customFormat="1" ht="30" x14ac:dyDescent="0.25">
      <c r="A1799" s="63">
        <f>MATCH($E1799,'D1 - Master Project Table'!$B$24:$B$7056,0)</f>
        <v>2070</v>
      </c>
      <c r="B1799" s="63" t="b">
        <f t="shared" si="84"/>
        <v>0</v>
      </c>
      <c r="C1799" s="63" t="b">
        <f t="shared" si="85"/>
        <v>1</v>
      </c>
      <c r="D1799" s="63" t="str">
        <f t="shared" si="86"/>
        <v>OK</v>
      </c>
      <c r="E1799" s="393">
        <v>400007677</v>
      </c>
      <c r="F1799" s="392" t="s">
        <v>1223</v>
      </c>
      <c r="G1799" s="392" t="s">
        <v>5995</v>
      </c>
      <c r="H1799" s="392" t="s">
        <v>7418</v>
      </c>
      <c r="I1799" s="392" t="s">
        <v>3530</v>
      </c>
      <c r="J1799" s="392" t="s">
        <v>8814</v>
      </c>
      <c r="K1799" s="392" t="s">
        <v>2972</v>
      </c>
      <c r="L1799" s="392" t="s">
        <v>4845</v>
      </c>
      <c r="M1799" s="392" t="s">
        <v>7273</v>
      </c>
      <c r="N1799" s="392" t="s">
        <v>7273</v>
      </c>
      <c r="O1799" s="392" t="s">
        <v>7273</v>
      </c>
      <c r="P1799"/>
      <c r="Q1799"/>
      <c r="R1799" s="387">
        <f>VLOOKUP(E1799,'[1]NDB Impacted SPRFs 05032013'!$A$2:$A$65536,1,FALSE)</f>
        <v>400007677</v>
      </c>
    </row>
    <row r="1800" spans="1:21" ht="30" x14ac:dyDescent="0.25">
      <c r="A1800" s="63">
        <f>MATCH($E1800,'D1 - Master Project Table'!$B$24:$B$7056,0)</f>
        <v>2542</v>
      </c>
      <c r="B1800" s="63" t="b">
        <f t="shared" si="84"/>
        <v>0</v>
      </c>
      <c r="C1800" s="63" t="b">
        <f t="shared" si="85"/>
        <v>1</v>
      </c>
      <c r="D1800" s="63" t="str">
        <f t="shared" si="86"/>
        <v>OK</v>
      </c>
      <c r="E1800" s="393">
        <v>400009166</v>
      </c>
      <c r="F1800" s="392" t="s">
        <v>4987</v>
      </c>
      <c r="G1800" s="392" t="s">
        <v>7182</v>
      </c>
      <c r="H1800" s="392" t="s">
        <v>5314</v>
      </c>
      <c r="I1800" s="392" t="s">
        <v>2605</v>
      </c>
      <c r="J1800" s="392" t="s">
        <v>8725</v>
      </c>
      <c r="K1800" s="392" t="s">
        <v>5541</v>
      </c>
      <c r="L1800" s="392" t="s">
        <v>5333</v>
      </c>
      <c r="M1800" s="392" t="s">
        <v>3758</v>
      </c>
      <c r="N1800" s="392" t="s">
        <v>7273</v>
      </c>
      <c r="O1800" s="392" t="s">
        <v>7273</v>
      </c>
      <c r="P1800"/>
      <c r="Q1800"/>
      <c r="R1800" s="387">
        <f>VLOOKUP(E1800,'[1]NDB Impacted SPRFs 05032013'!$A$2:$A$65536,1,FALSE)</f>
        <v>400009166</v>
      </c>
      <c r="S1800" s="159"/>
      <c r="T1800" s="159"/>
      <c r="U1800" s="159"/>
    </row>
    <row r="1801" spans="1:21" s="159" customFormat="1" ht="30" x14ac:dyDescent="0.25">
      <c r="A1801" s="63">
        <f>MATCH($E1801,'D1 - Master Project Table'!$B$24:$B$7056,0)</f>
        <v>659</v>
      </c>
      <c r="B1801" s="63" t="b">
        <f t="shared" si="84"/>
        <v>0</v>
      </c>
      <c r="C1801" s="63" t="b">
        <f t="shared" si="85"/>
        <v>1</v>
      </c>
      <c r="D1801" s="63" t="str">
        <f t="shared" si="86"/>
        <v>OK</v>
      </c>
      <c r="E1801" s="393">
        <v>400010300</v>
      </c>
      <c r="F1801" s="392" t="s">
        <v>2426</v>
      </c>
      <c r="G1801" s="392" t="s">
        <v>3441</v>
      </c>
      <c r="H1801" s="392" t="s">
        <v>7418</v>
      </c>
      <c r="I1801" s="392" t="s">
        <v>1770</v>
      </c>
      <c r="J1801" s="392" t="s">
        <v>2809</v>
      </c>
      <c r="K1801" s="392" t="s">
        <v>1506</v>
      </c>
      <c r="L1801" s="392" t="s">
        <v>3342</v>
      </c>
      <c r="M1801" s="392" t="s">
        <v>7273</v>
      </c>
      <c r="N1801" s="392" t="s">
        <v>7273</v>
      </c>
      <c r="O1801" s="392" t="s">
        <v>7273</v>
      </c>
      <c r="P1801"/>
      <c r="Q1801"/>
      <c r="R1801" s="387">
        <f>VLOOKUP(E1801,'[1]NDB Impacted SPRFs 05032013'!$A$2:$A$65536,1,FALSE)</f>
        <v>400010300</v>
      </c>
    </row>
    <row r="1802" spans="1:21" s="159" customFormat="1" ht="45" x14ac:dyDescent="0.25">
      <c r="A1802" s="63">
        <f>MATCH($E1802,'D1 - Master Project Table'!$B$24:$B$7056,0)</f>
        <v>2055</v>
      </c>
      <c r="B1802" s="63" t="b">
        <f t="shared" si="84"/>
        <v>0</v>
      </c>
      <c r="C1802" s="63" t="b">
        <f t="shared" si="85"/>
        <v>1</v>
      </c>
      <c r="D1802" s="63" t="str">
        <f t="shared" si="86"/>
        <v>OK</v>
      </c>
      <c r="E1802" s="393">
        <v>400010929</v>
      </c>
      <c r="F1802" s="392" t="s">
        <v>6652</v>
      </c>
      <c r="G1802" s="392" t="s">
        <v>5324</v>
      </c>
      <c r="H1802" s="392" t="s">
        <v>7418</v>
      </c>
      <c r="I1802" s="392" t="s">
        <v>1762</v>
      </c>
      <c r="J1802" s="392" t="s">
        <v>2251</v>
      </c>
      <c r="K1802" s="392" t="s">
        <v>5159</v>
      </c>
      <c r="L1802" s="392" t="s">
        <v>6887</v>
      </c>
      <c r="M1802" s="392" t="s">
        <v>7273</v>
      </c>
      <c r="N1802" s="392" t="s">
        <v>7273</v>
      </c>
      <c r="O1802" s="392" t="s">
        <v>7273</v>
      </c>
      <c r="P1802"/>
      <c r="Q1802"/>
      <c r="R1802" s="387">
        <f>VLOOKUP(E1802,'[1]NDB Impacted SPRFs 05032013'!$A$2:$A$65536,1,FALSE)</f>
        <v>400010929</v>
      </c>
    </row>
    <row r="1803" spans="1:21" s="159" customFormat="1" ht="30" x14ac:dyDescent="0.25">
      <c r="A1803" s="63" t="e">
        <f>MATCH($E1803,'D1 - Master Project Table'!$B$24:$B$7056,0)</f>
        <v>#N/A</v>
      </c>
      <c r="B1803" s="63" t="b">
        <f t="shared" si="84"/>
        <v>1</v>
      </c>
      <c r="C1803" s="63" t="b">
        <f t="shared" si="85"/>
        <v>1</v>
      </c>
      <c r="D1803" s="63" t="str">
        <f t="shared" si="86"/>
        <v>OK</v>
      </c>
      <c r="E1803" s="393">
        <v>400012535</v>
      </c>
      <c r="F1803" s="392" t="s">
        <v>4372</v>
      </c>
      <c r="G1803" s="392" t="s">
        <v>5787</v>
      </c>
      <c r="H1803" s="392" t="s">
        <v>5314</v>
      </c>
      <c r="I1803" s="392" t="s">
        <v>1779</v>
      </c>
      <c r="J1803" s="392" t="s">
        <v>8698</v>
      </c>
      <c r="K1803" s="392" t="s">
        <v>1522</v>
      </c>
      <c r="L1803" s="392" t="s">
        <v>3331</v>
      </c>
      <c r="M1803" s="392" t="s">
        <v>7273</v>
      </c>
      <c r="N1803" s="392" t="s">
        <v>7273</v>
      </c>
      <c r="O1803" s="392" t="s">
        <v>7273</v>
      </c>
      <c r="P1803"/>
      <c r="Q1803"/>
      <c r="R1803" s="387">
        <f>VLOOKUP(E1803,'[1]NDB Impacted SPRFs 05032013'!$A$2:$A$65536,1,FALSE)</f>
        <v>400012535</v>
      </c>
    </row>
    <row r="1804" spans="1:21" s="159" customFormat="1" ht="30" x14ac:dyDescent="0.25">
      <c r="A1804" s="63">
        <f>MATCH($E1804,'D1 - Master Project Table'!$B$24:$B$7056,0)</f>
        <v>2648</v>
      </c>
      <c r="B1804" s="63" t="b">
        <f t="shared" si="84"/>
        <v>0</v>
      </c>
      <c r="C1804" s="63" t="b">
        <f t="shared" si="85"/>
        <v>1</v>
      </c>
      <c r="D1804" s="63" t="str">
        <f t="shared" si="86"/>
        <v>OK</v>
      </c>
      <c r="E1804" s="393">
        <v>400015239</v>
      </c>
      <c r="F1804" s="392" t="s">
        <v>1662</v>
      </c>
      <c r="G1804" s="392" t="s">
        <v>3441</v>
      </c>
      <c r="H1804" s="392" t="s">
        <v>5314</v>
      </c>
      <c r="I1804" s="392" t="s">
        <v>1769</v>
      </c>
      <c r="J1804" s="392" t="s">
        <v>4990</v>
      </c>
      <c r="K1804" s="392" t="s">
        <v>2447</v>
      </c>
      <c r="L1804" s="392" t="s">
        <v>5333</v>
      </c>
      <c r="M1804" s="392" t="s">
        <v>3758</v>
      </c>
      <c r="N1804" s="392" t="s">
        <v>7273</v>
      </c>
      <c r="O1804" s="392" t="s">
        <v>7273</v>
      </c>
      <c r="P1804"/>
      <c r="Q1804"/>
      <c r="R1804" s="387">
        <f>VLOOKUP(E1804,'[1]NDB Impacted SPRFs 05032013'!$A$2:$A$65536,1,FALSE)</f>
        <v>400015239</v>
      </c>
    </row>
    <row r="1805" spans="1:21" ht="45" x14ac:dyDescent="0.25">
      <c r="A1805" s="63">
        <f>MATCH($E1805,'D1 - Master Project Table'!$B$24:$B$7056,0)</f>
        <v>2673</v>
      </c>
      <c r="B1805" s="63" t="b">
        <f t="shared" si="84"/>
        <v>0</v>
      </c>
      <c r="C1805" s="63" t="b">
        <f t="shared" si="85"/>
        <v>1</v>
      </c>
      <c r="D1805" s="63" t="str">
        <f t="shared" si="86"/>
        <v>OK</v>
      </c>
      <c r="E1805" s="393">
        <v>400016611</v>
      </c>
      <c r="F1805" s="392" t="s">
        <v>2126</v>
      </c>
      <c r="G1805" s="392" t="s">
        <v>5325</v>
      </c>
      <c r="H1805" s="392" t="s">
        <v>5314</v>
      </c>
      <c r="I1805" s="392" t="s">
        <v>1801</v>
      </c>
      <c r="J1805" s="392" t="s">
        <v>8269</v>
      </c>
      <c r="K1805" s="392" t="s">
        <v>8121</v>
      </c>
      <c r="L1805" s="392" t="s">
        <v>4577</v>
      </c>
      <c r="M1805" s="392" t="s">
        <v>7273</v>
      </c>
      <c r="N1805" s="392" t="s">
        <v>7273</v>
      </c>
      <c r="O1805" s="392" t="s">
        <v>7273</v>
      </c>
      <c r="P1805"/>
      <c r="Q1805"/>
      <c r="R1805" s="387">
        <f>VLOOKUP(E1805,'[1]NDB Impacted SPRFs 05032013'!$A$2:$A$65536,1,FALSE)</f>
        <v>400016611</v>
      </c>
      <c r="S1805" s="159"/>
      <c r="T1805" s="159"/>
      <c r="U1805" s="159"/>
    </row>
    <row r="1806" spans="1:21" s="159" customFormat="1" ht="30" customHeight="1" x14ac:dyDescent="0.25">
      <c r="A1806" s="63" t="e">
        <f>MATCH($E1806,'D1 - Master Project Table'!$B$24:$B$7056,0)</f>
        <v>#N/A</v>
      </c>
      <c r="B1806" s="63" t="b">
        <f t="shared" si="84"/>
        <v>1</v>
      </c>
      <c r="C1806" s="63" t="b">
        <f t="shared" si="85"/>
        <v>1</v>
      </c>
      <c r="D1806" s="63" t="str">
        <f t="shared" si="86"/>
        <v>OK</v>
      </c>
      <c r="E1806" s="393">
        <v>400019690</v>
      </c>
      <c r="F1806" s="392" t="s">
        <v>2788</v>
      </c>
      <c r="G1806" s="392" t="s">
        <v>5324</v>
      </c>
      <c r="H1806" s="392" t="s">
        <v>5314</v>
      </c>
      <c r="I1806" s="392" t="s">
        <v>1763</v>
      </c>
      <c r="J1806" s="392" t="s">
        <v>8386</v>
      </c>
      <c r="K1806" s="392" t="s">
        <v>8075</v>
      </c>
      <c r="L1806" s="392" t="s">
        <v>2789</v>
      </c>
      <c r="M1806" s="392" t="s">
        <v>7273</v>
      </c>
      <c r="N1806" s="392" t="s">
        <v>7273</v>
      </c>
      <c r="O1806" s="392" t="s">
        <v>3758</v>
      </c>
      <c r="P1806"/>
      <c r="Q1806"/>
      <c r="R1806" s="387">
        <f>VLOOKUP(E1806,'[1]NDB Impacted SPRFs 05032013'!$A$2:$A$65536,1,FALSE)</f>
        <v>400019690</v>
      </c>
    </row>
    <row r="1807" spans="1:21" s="159" customFormat="1" ht="45" x14ac:dyDescent="0.25">
      <c r="A1807" s="63">
        <f>MATCH($E1807,'D1 - Master Project Table'!$B$24:$B$7056,0)</f>
        <v>1974</v>
      </c>
      <c r="B1807" s="63" t="b">
        <f t="shared" si="84"/>
        <v>0</v>
      </c>
      <c r="C1807" s="63" t="b">
        <f t="shared" si="85"/>
        <v>1</v>
      </c>
      <c r="D1807" s="63" t="str">
        <f t="shared" si="86"/>
        <v>OK</v>
      </c>
      <c r="E1807" s="393">
        <v>400026084</v>
      </c>
      <c r="F1807" s="392" t="s">
        <v>2897</v>
      </c>
      <c r="G1807" s="392" t="s">
        <v>5325</v>
      </c>
      <c r="H1807" s="392" t="s">
        <v>7418</v>
      </c>
      <c r="I1807" s="392" t="s">
        <v>6414</v>
      </c>
      <c r="J1807" s="392" t="s">
        <v>8265</v>
      </c>
      <c r="K1807" s="392" t="s">
        <v>2109</v>
      </c>
      <c r="L1807" s="392" t="s">
        <v>7639</v>
      </c>
      <c r="M1807" s="392" t="s">
        <v>7273</v>
      </c>
      <c r="N1807" s="392" t="s">
        <v>7273</v>
      </c>
      <c r="O1807" s="392" t="s">
        <v>7273</v>
      </c>
      <c r="P1807"/>
      <c r="Q1807"/>
      <c r="R1807" s="387">
        <f>VLOOKUP(E1807,'[1]NDB Impacted SPRFs 05032013'!$A$2:$A$65536,1,FALSE)</f>
        <v>400026084</v>
      </c>
    </row>
    <row r="1808" spans="1:21" s="159" customFormat="1" ht="45" x14ac:dyDescent="0.25">
      <c r="A1808" s="63">
        <f>MATCH($E1808,'D1 - Master Project Table'!$B$24:$B$7056,0)</f>
        <v>2857</v>
      </c>
      <c r="B1808" s="63" t="b">
        <f t="shared" si="84"/>
        <v>0</v>
      </c>
      <c r="C1808" s="63" t="b">
        <f t="shared" si="85"/>
        <v>1</v>
      </c>
      <c r="D1808" s="63" t="str">
        <f t="shared" si="86"/>
        <v>OK</v>
      </c>
      <c r="E1808" s="393">
        <v>400027392</v>
      </c>
      <c r="F1808" s="392" t="s">
        <v>4416</v>
      </c>
      <c r="G1808" s="392" t="s">
        <v>5325</v>
      </c>
      <c r="H1808" s="392" t="s">
        <v>5314</v>
      </c>
      <c r="I1808" s="392" t="s">
        <v>6414</v>
      </c>
      <c r="J1808" s="392" t="s">
        <v>8258</v>
      </c>
      <c r="K1808" s="392" t="s">
        <v>3234</v>
      </c>
      <c r="L1808" s="392" t="s">
        <v>7639</v>
      </c>
      <c r="M1808" s="392" t="s">
        <v>7273</v>
      </c>
      <c r="N1808" s="392" t="s">
        <v>7273</v>
      </c>
      <c r="O1808" s="392" t="s">
        <v>7273</v>
      </c>
      <c r="P1808"/>
      <c r="Q1808"/>
      <c r="R1808" s="387">
        <f>VLOOKUP(E1808,'[1]NDB Impacted SPRFs 05032013'!$A$2:$A$65536,1,FALSE)</f>
        <v>400027392</v>
      </c>
      <c r="S1808" s="128"/>
      <c r="T1808" s="128"/>
      <c r="U1808" s="128"/>
    </row>
    <row r="1809" spans="1:21" s="159" customFormat="1" ht="45" x14ac:dyDescent="0.25">
      <c r="A1809" s="63">
        <f>MATCH($E1809,'D1 - Master Project Table'!$B$24:$B$7056,0)</f>
        <v>1987</v>
      </c>
      <c r="B1809" s="63" t="b">
        <f t="shared" si="84"/>
        <v>0</v>
      </c>
      <c r="C1809" s="63" t="b">
        <f t="shared" si="85"/>
        <v>1</v>
      </c>
      <c r="D1809" s="63" t="str">
        <f t="shared" si="86"/>
        <v>OK</v>
      </c>
      <c r="E1809" s="393">
        <v>400028863</v>
      </c>
      <c r="F1809" s="392" t="s">
        <v>1507</v>
      </c>
      <c r="G1809" s="392" t="s">
        <v>5324</v>
      </c>
      <c r="H1809" s="392" t="s">
        <v>7418</v>
      </c>
      <c r="I1809" s="392" t="s">
        <v>1763</v>
      </c>
      <c r="J1809" s="392" t="s">
        <v>8579</v>
      </c>
      <c r="K1809" s="392" t="s">
        <v>3283</v>
      </c>
      <c r="L1809" s="392" t="s">
        <v>7639</v>
      </c>
      <c r="M1809" s="392" t="s">
        <v>7273</v>
      </c>
      <c r="N1809" s="392" t="s">
        <v>7273</v>
      </c>
      <c r="O1809" s="392" t="s">
        <v>7273</v>
      </c>
      <c r="P1809"/>
      <c r="Q1809"/>
      <c r="R1809" s="387">
        <f>VLOOKUP(E1809,'[1]NDB Impacted SPRFs 05032013'!$A$2:$A$65536,1,FALSE)</f>
        <v>400028863</v>
      </c>
    </row>
    <row r="1810" spans="1:21" s="159" customFormat="1" ht="45" x14ac:dyDescent="0.25">
      <c r="A1810" s="63">
        <f>MATCH($E1810,'D1 - Master Project Table'!$B$24:$B$7056,0)</f>
        <v>1310</v>
      </c>
      <c r="B1810" s="63" t="b">
        <f t="shared" si="84"/>
        <v>0</v>
      </c>
      <c r="C1810" s="63" t="b">
        <f t="shared" si="85"/>
        <v>1</v>
      </c>
      <c r="D1810" s="63" t="str">
        <f t="shared" si="86"/>
        <v>OK</v>
      </c>
      <c r="E1810" s="393">
        <v>400032232</v>
      </c>
      <c r="F1810" s="392" t="s">
        <v>5133</v>
      </c>
      <c r="G1810" s="392" t="s">
        <v>5001</v>
      </c>
      <c r="H1810" s="392" t="s">
        <v>7418</v>
      </c>
      <c r="I1810" s="392" t="s">
        <v>1829</v>
      </c>
      <c r="J1810" s="392" t="s">
        <v>8757</v>
      </c>
      <c r="K1810" s="392" t="s">
        <v>2062</v>
      </c>
      <c r="L1810" s="392" t="s">
        <v>7275</v>
      </c>
      <c r="M1810" s="392" t="s">
        <v>7273</v>
      </c>
      <c r="N1810" s="392" t="s">
        <v>7273</v>
      </c>
      <c r="O1810" s="392" t="s">
        <v>7273</v>
      </c>
      <c r="P1810"/>
      <c r="Q1810"/>
      <c r="R1810" s="387">
        <f>VLOOKUP(E1810,'[1]NDB Impacted SPRFs 05032013'!$A$2:$A$65536,1,FALSE)</f>
        <v>400032232</v>
      </c>
    </row>
    <row r="1811" spans="1:21" s="159" customFormat="1" ht="45" x14ac:dyDescent="0.25">
      <c r="A1811" s="63">
        <f>MATCH($E1811,'D1 - Master Project Table'!$B$24:$B$7056,0)</f>
        <v>1303</v>
      </c>
      <c r="B1811" s="63" t="b">
        <f t="shared" si="84"/>
        <v>0</v>
      </c>
      <c r="C1811" s="63" t="b">
        <f t="shared" si="85"/>
        <v>1</v>
      </c>
      <c r="D1811" s="63" t="str">
        <f t="shared" si="86"/>
        <v>OK</v>
      </c>
      <c r="E1811" s="393">
        <v>400037108</v>
      </c>
      <c r="F1811" s="392" t="s">
        <v>5413</v>
      </c>
      <c r="G1811" s="392" t="s">
        <v>5325</v>
      </c>
      <c r="H1811" s="392" t="s">
        <v>7418</v>
      </c>
      <c r="I1811" s="392" t="s">
        <v>1800</v>
      </c>
      <c r="J1811" s="392" t="s">
        <v>6011</v>
      </c>
      <c r="K1811" s="392" t="s">
        <v>3341</v>
      </c>
      <c r="L1811" s="392" t="s">
        <v>7639</v>
      </c>
      <c r="M1811" s="392" t="s">
        <v>7273</v>
      </c>
      <c r="N1811" s="392" t="s">
        <v>7273</v>
      </c>
      <c r="O1811" s="392" t="s">
        <v>7273</v>
      </c>
      <c r="P1811"/>
      <c r="Q1811"/>
      <c r="R1811" s="387">
        <f>VLOOKUP(E1811,'[1]NDB Impacted SPRFs 05032013'!$A$2:$A$65536,1,FALSE)</f>
        <v>400037108</v>
      </c>
    </row>
    <row r="1812" spans="1:21" ht="45" x14ac:dyDescent="0.25">
      <c r="A1812" s="63" t="e">
        <f>MATCH($E1812,'D1 - Master Project Table'!$B$24:$B$7056,0)</f>
        <v>#N/A</v>
      </c>
      <c r="B1812" s="63" t="b">
        <f t="shared" si="84"/>
        <v>1</v>
      </c>
      <c r="C1812" s="63" t="b">
        <f t="shared" si="85"/>
        <v>1</v>
      </c>
      <c r="D1812" s="63" t="str">
        <f t="shared" si="86"/>
        <v>OK</v>
      </c>
      <c r="E1812" s="393">
        <v>400038786</v>
      </c>
      <c r="F1812" s="392" t="s">
        <v>7327</v>
      </c>
      <c r="G1812" s="392" t="s">
        <v>5325</v>
      </c>
      <c r="H1812" s="392" t="s">
        <v>5314</v>
      </c>
      <c r="I1812" s="392" t="s">
        <v>1800</v>
      </c>
      <c r="J1812" s="392" t="s">
        <v>6011</v>
      </c>
      <c r="K1812" s="392" t="s">
        <v>7323</v>
      </c>
      <c r="L1812" s="392" t="s">
        <v>8278</v>
      </c>
      <c r="M1812" s="392" t="s">
        <v>7273</v>
      </c>
      <c r="N1812" s="392" t="s">
        <v>7273</v>
      </c>
      <c r="O1812" s="392" t="s">
        <v>7273</v>
      </c>
      <c r="P1812"/>
      <c r="Q1812"/>
      <c r="R1812" s="387">
        <f>VLOOKUP(E1812,'[1]NDB Impacted SPRFs 05032013'!$A$2:$A$65536,1,FALSE)</f>
        <v>400038786</v>
      </c>
      <c r="S1812" s="159"/>
      <c r="T1812" s="159"/>
      <c r="U1812" s="159"/>
    </row>
    <row r="1813" spans="1:21" s="159" customFormat="1" ht="45" x14ac:dyDescent="0.25">
      <c r="A1813" s="63">
        <f>MATCH($E1813,'D1 - Master Project Table'!$B$24:$B$7056,0)</f>
        <v>1380</v>
      </c>
      <c r="B1813" s="63" t="b">
        <f t="shared" si="84"/>
        <v>0</v>
      </c>
      <c r="C1813" s="63" t="b">
        <f t="shared" si="85"/>
        <v>1</v>
      </c>
      <c r="D1813" s="63" t="str">
        <f t="shared" si="86"/>
        <v>OK</v>
      </c>
      <c r="E1813" s="393">
        <v>400039575</v>
      </c>
      <c r="F1813" s="392" t="s">
        <v>5483</v>
      </c>
      <c r="G1813" s="392" t="s">
        <v>5324</v>
      </c>
      <c r="H1813" s="392" t="s">
        <v>7418</v>
      </c>
      <c r="I1813" s="392" t="s">
        <v>1786</v>
      </c>
      <c r="J1813" s="392" t="s">
        <v>8499</v>
      </c>
      <c r="K1813" s="392" t="s">
        <v>5484</v>
      </c>
      <c r="L1813" s="392" t="s">
        <v>4051</v>
      </c>
      <c r="M1813" s="392" t="s">
        <v>7273</v>
      </c>
      <c r="N1813" s="392" t="s">
        <v>7273</v>
      </c>
      <c r="O1813" s="392" t="s">
        <v>7273</v>
      </c>
      <c r="P1813"/>
      <c r="Q1813"/>
      <c r="R1813" s="387">
        <f>VLOOKUP(E1813,'[1]NDB Impacted SPRFs 05032013'!$A$2:$A$65536,1,FALSE)</f>
        <v>400039575</v>
      </c>
      <c r="S1813" s="128"/>
      <c r="T1813" s="128"/>
      <c r="U1813" s="128"/>
    </row>
    <row r="1814" spans="1:21" s="159" customFormat="1" ht="60" customHeight="1" x14ac:dyDescent="0.25">
      <c r="A1814" s="63">
        <f>MATCH($E1814,'D1 - Master Project Table'!$B$24:$B$7056,0)</f>
        <v>1430</v>
      </c>
      <c r="B1814" s="63" t="b">
        <f t="shared" si="84"/>
        <v>0</v>
      </c>
      <c r="C1814" s="63" t="b">
        <f t="shared" si="85"/>
        <v>1</v>
      </c>
      <c r="D1814" s="63" t="str">
        <f t="shared" si="86"/>
        <v>OK</v>
      </c>
      <c r="E1814" s="393">
        <v>400040350</v>
      </c>
      <c r="F1814" s="392" t="s">
        <v>4547</v>
      </c>
      <c r="G1814" s="392" t="s">
        <v>2041</v>
      </c>
      <c r="H1814" s="392" t="s">
        <v>7418</v>
      </c>
      <c r="I1814" s="392" t="s">
        <v>3629</v>
      </c>
      <c r="J1814" s="392" t="s">
        <v>8606</v>
      </c>
      <c r="K1814" s="392" t="s">
        <v>5353</v>
      </c>
      <c r="L1814" s="392" t="s">
        <v>4051</v>
      </c>
      <c r="M1814" s="392" t="s">
        <v>7273</v>
      </c>
      <c r="N1814" s="392" t="s">
        <v>7273</v>
      </c>
      <c r="O1814" s="392" t="s">
        <v>7273</v>
      </c>
      <c r="P1814"/>
      <c r="Q1814"/>
      <c r="R1814" s="387">
        <f>VLOOKUP(E1814,'[1]NDB Impacted SPRFs 05032013'!$A$2:$A$65536,1,FALSE)</f>
        <v>400040350</v>
      </c>
    </row>
    <row r="1815" spans="1:21" s="159" customFormat="1" ht="60" customHeight="1" x14ac:dyDescent="0.25">
      <c r="A1815" s="63">
        <f>MATCH($E1815,'D1 - Master Project Table'!$B$24:$B$7056,0)</f>
        <v>2359</v>
      </c>
      <c r="B1815" s="63" t="b">
        <f t="shared" si="84"/>
        <v>0</v>
      </c>
      <c r="C1815" s="63" t="b">
        <f t="shared" si="85"/>
        <v>1</v>
      </c>
      <c r="D1815" s="63" t="str">
        <f t="shared" si="86"/>
        <v>OK</v>
      </c>
      <c r="E1815" s="393">
        <v>400000371</v>
      </c>
      <c r="F1815" s="392" t="s">
        <v>2779</v>
      </c>
      <c r="G1815" s="392" t="s">
        <v>5324</v>
      </c>
      <c r="H1815" s="392" t="s">
        <v>5314</v>
      </c>
      <c r="I1815" s="392" t="s">
        <v>1766</v>
      </c>
      <c r="J1815" s="392" t="s">
        <v>8349</v>
      </c>
      <c r="K1815" s="392" t="s">
        <v>5561</v>
      </c>
      <c r="L1815" s="392" t="s">
        <v>5513</v>
      </c>
      <c r="M1815" s="392" t="s">
        <v>7273</v>
      </c>
      <c r="N1815" s="392" t="s">
        <v>7273</v>
      </c>
      <c r="O1815" s="392" t="s">
        <v>7273</v>
      </c>
      <c r="P1815"/>
      <c r="Q1815"/>
      <c r="R1815" s="387">
        <f>VLOOKUP(E1815,'[1]NDB Impacted SPRFs 05032013'!$A$2:$A$65536,1,FALSE)</f>
        <v>400000371</v>
      </c>
    </row>
    <row r="1816" spans="1:21" s="159" customFormat="1" ht="45" x14ac:dyDescent="0.25">
      <c r="A1816" s="63" t="e">
        <f>MATCH($E1816,'D1 - Master Project Table'!$B$24:$B$7056,0)</f>
        <v>#N/A</v>
      </c>
      <c r="B1816" s="63" t="b">
        <f t="shared" si="84"/>
        <v>1</v>
      </c>
      <c r="C1816" s="63" t="b">
        <f t="shared" si="85"/>
        <v>1</v>
      </c>
      <c r="D1816" s="63" t="str">
        <f t="shared" si="86"/>
        <v>OK</v>
      </c>
      <c r="E1816" s="393">
        <v>400003447</v>
      </c>
      <c r="F1816" s="392" t="s">
        <v>7951</v>
      </c>
      <c r="G1816" s="392" t="s">
        <v>5324</v>
      </c>
      <c r="H1816" s="392" t="s">
        <v>7418</v>
      </c>
      <c r="I1816" s="392" t="s">
        <v>1765</v>
      </c>
      <c r="J1816" s="392" t="s">
        <v>8452</v>
      </c>
      <c r="K1816" s="392" t="s">
        <v>4169</v>
      </c>
      <c r="L1816" s="392" t="s">
        <v>6873</v>
      </c>
      <c r="M1816" s="392" t="s">
        <v>3758</v>
      </c>
      <c r="N1816" s="392" t="s">
        <v>7273</v>
      </c>
      <c r="O1816" s="392" t="s">
        <v>7273</v>
      </c>
      <c r="P1816"/>
      <c r="Q1816"/>
      <c r="R1816" s="387">
        <f>VLOOKUP(E1816,'[1]NDB Impacted SPRFs 05032013'!$A$2:$A$65536,1,FALSE)</f>
        <v>400003447</v>
      </c>
      <c r="S1816" s="128"/>
      <c r="T1816" s="128"/>
      <c r="U1816" s="128"/>
    </row>
    <row r="1817" spans="1:21" ht="45" x14ac:dyDescent="0.25">
      <c r="A1817" s="63">
        <f>MATCH($E1817,'D1 - Master Project Table'!$B$24:$B$7056,0)</f>
        <v>570</v>
      </c>
      <c r="B1817" s="63" t="b">
        <f t="shared" si="84"/>
        <v>0</v>
      </c>
      <c r="C1817" s="63" t="b">
        <f t="shared" si="85"/>
        <v>1</v>
      </c>
      <c r="D1817" s="63" t="str">
        <f t="shared" si="86"/>
        <v>OK</v>
      </c>
      <c r="E1817" s="393">
        <v>400006515</v>
      </c>
      <c r="F1817" s="392" t="s">
        <v>3654</v>
      </c>
      <c r="G1817" s="392" t="s">
        <v>5324</v>
      </c>
      <c r="H1817" s="392" t="s">
        <v>7418</v>
      </c>
      <c r="I1817" s="392" t="s">
        <v>1764</v>
      </c>
      <c r="J1817" s="392" t="s">
        <v>8524</v>
      </c>
      <c r="K1817" s="392" t="s">
        <v>5754</v>
      </c>
      <c r="L1817" s="392" t="s">
        <v>3954</v>
      </c>
      <c r="M1817" s="392" t="s">
        <v>3758</v>
      </c>
      <c r="N1817" s="392" t="s">
        <v>7273</v>
      </c>
      <c r="O1817" s="392" t="s">
        <v>7273</v>
      </c>
      <c r="P1817"/>
      <c r="Q1817"/>
      <c r="R1817" s="387">
        <f>VLOOKUP(E1817,'[1]NDB Impacted SPRFs 05032013'!$A$2:$A$65536,1,FALSE)</f>
        <v>400006515</v>
      </c>
    </row>
    <row r="1818" spans="1:21" s="159" customFormat="1" ht="30" x14ac:dyDescent="0.25">
      <c r="A1818" s="63">
        <f>MATCH($E1818,'D1 - Master Project Table'!$B$24:$B$7056,0)</f>
        <v>359</v>
      </c>
      <c r="B1818" s="63" t="b">
        <f t="shared" si="84"/>
        <v>0</v>
      </c>
      <c r="C1818" s="63" t="b">
        <f t="shared" si="85"/>
        <v>1</v>
      </c>
      <c r="D1818" s="63" t="str">
        <f t="shared" si="86"/>
        <v>OK</v>
      </c>
      <c r="E1818" s="393">
        <v>400008063</v>
      </c>
      <c r="F1818" s="392" t="s">
        <v>6465</v>
      </c>
      <c r="G1818" s="392" t="s">
        <v>5787</v>
      </c>
      <c r="H1818" s="392" t="s">
        <v>7418</v>
      </c>
      <c r="I1818" s="392" t="s">
        <v>1776</v>
      </c>
      <c r="J1818" s="392" t="s">
        <v>4110</v>
      </c>
      <c r="K1818" s="392" t="s">
        <v>6161</v>
      </c>
      <c r="L1818" s="392" t="s">
        <v>2950</v>
      </c>
      <c r="M1818" s="392" t="s">
        <v>7273</v>
      </c>
      <c r="N1818" s="392" t="s">
        <v>7273</v>
      </c>
      <c r="O1818" s="392" t="s">
        <v>7273</v>
      </c>
      <c r="P1818"/>
      <c r="Q1818"/>
      <c r="R1818" s="387">
        <f>VLOOKUP(E1818,'[1]NDB Impacted SPRFs 05032013'!$A$2:$A$65536,1,FALSE)</f>
        <v>400008063</v>
      </c>
      <c r="S1818" s="128"/>
      <c r="T1818" s="128"/>
      <c r="U1818" s="128"/>
    </row>
    <row r="1819" spans="1:21" s="159" customFormat="1" ht="60" customHeight="1" x14ac:dyDescent="0.25">
      <c r="A1819" s="63">
        <f>MATCH($E1819,'D1 - Master Project Table'!$B$24:$B$7056,0)</f>
        <v>2628</v>
      </c>
      <c r="B1819" s="63" t="b">
        <f t="shared" si="84"/>
        <v>0</v>
      </c>
      <c r="C1819" s="63" t="b">
        <f t="shared" si="85"/>
        <v>1</v>
      </c>
      <c r="D1819" s="63" t="str">
        <f t="shared" si="86"/>
        <v>OK</v>
      </c>
      <c r="E1819" s="393">
        <v>400013696</v>
      </c>
      <c r="F1819" s="392" t="s">
        <v>6916</v>
      </c>
      <c r="G1819" s="392" t="s">
        <v>5324</v>
      </c>
      <c r="H1819" s="392" t="s">
        <v>5314</v>
      </c>
      <c r="I1819" s="392" t="s">
        <v>1764</v>
      </c>
      <c r="J1819" s="392" t="s">
        <v>8298</v>
      </c>
      <c r="K1819" s="392" t="s">
        <v>5938</v>
      </c>
      <c r="L1819" s="392" t="s">
        <v>3713</v>
      </c>
      <c r="M1819" s="392" t="s">
        <v>7273</v>
      </c>
      <c r="N1819" s="392" t="s">
        <v>7273</v>
      </c>
      <c r="O1819" s="392" t="s">
        <v>7273</v>
      </c>
      <c r="P1819"/>
      <c r="Q1819"/>
      <c r="R1819" s="387">
        <f>VLOOKUP(E1819,'[1]NDB Impacted SPRFs 05032013'!$A$2:$A$65536,1,FALSE)</f>
        <v>400013696</v>
      </c>
      <c r="S1819" s="128"/>
      <c r="T1819" s="128"/>
      <c r="U1819" s="128"/>
    </row>
    <row r="1820" spans="1:21" s="159" customFormat="1" ht="45" x14ac:dyDescent="0.25">
      <c r="A1820" s="63">
        <f>MATCH($E1820,'D1 - Master Project Table'!$B$24:$B$7056,0)</f>
        <v>2629</v>
      </c>
      <c r="B1820" s="63" t="b">
        <f t="shared" si="84"/>
        <v>0</v>
      </c>
      <c r="C1820" s="63" t="b">
        <f t="shared" si="85"/>
        <v>1</v>
      </c>
      <c r="D1820" s="63" t="str">
        <f t="shared" si="86"/>
        <v>OK</v>
      </c>
      <c r="E1820" s="393">
        <v>400013697</v>
      </c>
      <c r="F1820" s="392" t="s">
        <v>7729</v>
      </c>
      <c r="G1820" s="392" t="s">
        <v>5324</v>
      </c>
      <c r="H1820" s="392" t="s">
        <v>5314</v>
      </c>
      <c r="I1820" s="392" t="s">
        <v>1764</v>
      </c>
      <c r="J1820" s="392" t="s">
        <v>8298</v>
      </c>
      <c r="K1820" s="392" t="s">
        <v>5938</v>
      </c>
      <c r="L1820" s="392" t="s">
        <v>3713</v>
      </c>
      <c r="M1820" s="392" t="s">
        <v>7273</v>
      </c>
      <c r="N1820" s="392" t="s">
        <v>7273</v>
      </c>
      <c r="O1820" s="392" t="s">
        <v>7273</v>
      </c>
      <c r="P1820"/>
      <c r="Q1820"/>
      <c r="R1820" s="387">
        <f>VLOOKUP(E1820,'[1]NDB Impacted SPRFs 05032013'!$A$2:$A$65536,1,FALSE)</f>
        <v>400013697</v>
      </c>
    </row>
    <row r="1821" spans="1:21" s="159" customFormat="1" ht="30" x14ac:dyDescent="0.25">
      <c r="A1821" s="63">
        <f>MATCH($E1821,'D1 - Master Project Table'!$B$24:$B$7056,0)</f>
        <v>773</v>
      </c>
      <c r="B1821" s="63" t="b">
        <f t="shared" si="84"/>
        <v>0</v>
      </c>
      <c r="C1821" s="63" t="b">
        <f t="shared" si="85"/>
        <v>1</v>
      </c>
      <c r="D1821" s="63" t="str">
        <f t="shared" si="86"/>
        <v>OK</v>
      </c>
      <c r="E1821" s="393">
        <v>400016500</v>
      </c>
      <c r="F1821" s="392" t="s">
        <v>7831</v>
      </c>
      <c r="G1821" s="392" t="s">
        <v>5787</v>
      </c>
      <c r="H1821" s="392" t="s">
        <v>7418</v>
      </c>
      <c r="I1821" s="392" t="s">
        <v>1774</v>
      </c>
      <c r="J1821" s="392" t="s">
        <v>5865</v>
      </c>
      <c r="K1821" s="392" t="s">
        <v>4087</v>
      </c>
      <c r="L1821" s="392" t="s">
        <v>724</v>
      </c>
      <c r="M1821" s="392" t="s">
        <v>3758</v>
      </c>
      <c r="N1821" s="392" t="s">
        <v>7273</v>
      </c>
      <c r="O1821" s="392" t="s">
        <v>7273</v>
      </c>
      <c r="P1821"/>
      <c r="Q1821"/>
      <c r="R1821" s="387">
        <f>VLOOKUP(E1821,'[1]NDB Impacted SPRFs 05032013'!$A$2:$A$65536,1,FALSE)</f>
        <v>400016500</v>
      </c>
    </row>
    <row r="1822" spans="1:21" s="159" customFormat="1" ht="30" x14ac:dyDescent="0.25">
      <c r="A1822" s="63">
        <f>MATCH($E1822,'D1 - Master Project Table'!$B$24:$B$7056,0)</f>
        <v>2361</v>
      </c>
      <c r="B1822" s="63" t="b">
        <f t="shared" si="84"/>
        <v>0</v>
      </c>
      <c r="C1822" s="63" t="b">
        <f t="shared" si="85"/>
        <v>1</v>
      </c>
      <c r="D1822" s="63" t="str">
        <f t="shared" si="86"/>
        <v>OK</v>
      </c>
      <c r="E1822" s="393">
        <v>400000407</v>
      </c>
      <c r="F1822" s="392" t="s">
        <v>4560</v>
      </c>
      <c r="G1822" s="392" t="s">
        <v>5787</v>
      </c>
      <c r="H1822" s="392" t="s">
        <v>5314</v>
      </c>
      <c r="I1822" s="392" t="s">
        <v>1819</v>
      </c>
      <c r="J1822" s="392" t="s">
        <v>8682</v>
      </c>
      <c r="K1822" s="392" t="s">
        <v>6613</v>
      </c>
      <c r="L1822" s="392" t="s">
        <v>3284</v>
      </c>
      <c r="M1822" s="392" t="s">
        <v>7273</v>
      </c>
      <c r="N1822" s="392" t="s">
        <v>7273</v>
      </c>
      <c r="O1822" s="392" t="s">
        <v>7273</v>
      </c>
      <c r="P1822"/>
      <c r="Q1822"/>
      <c r="R1822" s="387">
        <f>VLOOKUP(E1822,'[1]NDB Impacted SPRFs 05032013'!$A$2:$A$65536,1,FALSE)</f>
        <v>400000407</v>
      </c>
    </row>
    <row r="1823" spans="1:21" s="159" customFormat="1" ht="45" x14ac:dyDescent="0.25">
      <c r="A1823" s="63" t="e">
        <f>MATCH($E1823,'D1 - Master Project Table'!$B$24:$B$7056,0)</f>
        <v>#N/A</v>
      </c>
      <c r="B1823" s="63" t="b">
        <f t="shared" si="84"/>
        <v>1</v>
      </c>
      <c r="C1823" s="63" t="b">
        <f t="shared" si="85"/>
        <v>1</v>
      </c>
      <c r="D1823" s="63" t="str">
        <f t="shared" si="86"/>
        <v>OK</v>
      </c>
      <c r="E1823" s="393">
        <v>400000529</v>
      </c>
      <c r="F1823" s="392" t="s">
        <v>6782</v>
      </c>
      <c r="G1823" s="392" t="s">
        <v>5325</v>
      </c>
      <c r="H1823" s="392" t="s">
        <v>7418</v>
      </c>
      <c r="I1823" s="392" t="s">
        <v>1793</v>
      </c>
      <c r="J1823" s="392" t="s">
        <v>8253</v>
      </c>
      <c r="K1823" s="392" t="s">
        <v>1634</v>
      </c>
      <c r="L1823" s="392" t="s">
        <v>3284</v>
      </c>
      <c r="M1823" s="392" t="s">
        <v>7273</v>
      </c>
      <c r="N1823" s="392" t="s">
        <v>7273</v>
      </c>
      <c r="O1823" s="392" t="s">
        <v>7273</v>
      </c>
      <c r="P1823"/>
      <c r="Q1823"/>
      <c r="R1823" s="387">
        <f>VLOOKUP(E1823,'[1]NDB Impacted SPRFs 05032013'!$A$2:$A$65536,1,FALSE)</f>
        <v>400000529</v>
      </c>
      <c r="S1823" s="128"/>
      <c r="T1823" s="128"/>
      <c r="U1823" s="128"/>
    </row>
    <row r="1824" spans="1:21" s="159" customFormat="1" ht="30" customHeight="1" x14ac:dyDescent="0.25">
      <c r="A1824" s="63">
        <f>MATCH($E1824,'D1 - Master Project Table'!$B$24:$B$7056,0)</f>
        <v>562</v>
      </c>
      <c r="B1824" s="63" t="b">
        <f t="shared" si="84"/>
        <v>0</v>
      </c>
      <c r="C1824" s="63" t="b">
        <f t="shared" si="85"/>
        <v>1</v>
      </c>
      <c r="D1824" s="63" t="str">
        <f t="shared" si="86"/>
        <v>OK</v>
      </c>
      <c r="E1824" s="393">
        <v>400012539</v>
      </c>
      <c r="F1824" s="392" t="s">
        <v>4123</v>
      </c>
      <c r="G1824" s="392" t="s">
        <v>5325</v>
      </c>
      <c r="H1824" s="392" t="s">
        <v>7418</v>
      </c>
      <c r="I1824" s="392" t="s">
        <v>1802</v>
      </c>
      <c r="J1824" s="392" t="s">
        <v>3780</v>
      </c>
      <c r="K1824" s="392" t="s">
        <v>7494</v>
      </c>
      <c r="L1824" s="392" t="s">
        <v>3630</v>
      </c>
      <c r="M1824" s="392" t="s">
        <v>7273</v>
      </c>
      <c r="N1824" s="392" t="s">
        <v>7273</v>
      </c>
      <c r="O1824" s="392" t="s">
        <v>7273</v>
      </c>
      <c r="P1824"/>
      <c r="Q1824"/>
      <c r="R1824" s="387">
        <f>VLOOKUP(E1824,'[1]NDB Impacted SPRFs 05032013'!$A$2:$A$65536,1,FALSE)</f>
        <v>400012539</v>
      </c>
      <c r="S1824" s="128"/>
      <c r="T1824" s="128"/>
      <c r="U1824" s="128"/>
    </row>
    <row r="1825" spans="1:21" s="159" customFormat="1" ht="30" x14ac:dyDescent="0.25">
      <c r="A1825" s="63">
        <f>MATCH($E1825,'D1 - Master Project Table'!$B$24:$B$7056,0)</f>
        <v>617</v>
      </c>
      <c r="B1825" s="63" t="b">
        <f t="shared" si="84"/>
        <v>0</v>
      </c>
      <c r="C1825" s="63" t="b">
        <f t="shared" si="85"/>
        <v>1</v>
      </c>
      <c r="D1825" s="63" t="str">
        <f t="shared" si="86"/>
        <v>OK</v>
      </c>
      <c r="E1825" s="393">
        <v>400012929</v>
      </c>
      <c r="F1825" s="392" t="s">
        <v>6264</v>
      </c>
      <c r="G1825" s="392" t="s">
        <v>3441</v>
      </c>
      <c r="H1825" s="392" t="s">
        <v>7418</v>
      </c>
      <c r="I1825" s="392" t="s">
        <v>2662</v>
      </c>
      <c r="J1825" s="392" t="s">
        <v>8714</v>
      </c>
      <c r="K1825" s="392" t="s">
        <v>1506</v>
      </c>
      <c r="L1825" s="392" t="s">
        <v>3320</v>
      </c>
      <c r="M1825" s="392" t="s">
        <v>7273</v>
      </c>
      <c r="N1825" s="392" t="s">
        <v>7273</v>
      </c>
      <c r="O1825" s="392" t="s">
        <v>7273</v>
      </c>
      <c r="P1825"/>
      <c r="Q1825"/>
      <c r="R1825" s="387">
        <f>VLOOKUP(E1825,'[1]NDB Impacted SPRFs 05032013'!$A$2:$A$65536,1,FALSE)</f>
        <v>400012929</v>
      </c>
    </row>
    <row r="1826" spans="1:21" s="159" customFormat="1" ht="45" x14ac:dyDescent="0.25">
      <c r="A1826" s="63">
        <f>MATCH($E1826,'D1 - Master Project Table'!$B$24:$B$7056,0)</f>
        <v>2900</v>
      </c>
      <c r="B1826" s="63" t="b">
        <f t="shared" si="84"/>
        <v>0</v>
      </c>
      <c r="C1826" s="63" t="b">
        <f t="shared" si="85"/>
        <v>1</v>
      </c>
      <c r="D1826" s="63" t="str">
        <f t="shared" si="86"/>
        <v>OK</v>
      </c>
      <c r="E1826" s="393">
        <v>400030543</v>
      </c>
      <c r="F1826" s="392" t="s">
        <v>5896</v>
      </c>
      <c r="G1826" s="392" t="s">
        <v>5324</v>
      </c>
      <c r="H1826" s="392" t="s">
        <v>5314</v>
      </c>
      <c r="I1826" s="392" t="s">
        <v>1758</v>
      </c>
      <c r="J1826" s="392" t="s">
        <v>8309</v>
      </c>
      <c r="K1826" s="392" t="s">
        <v>3710</v>
      </c>
      <c r="L1826" s="392" t="s">
        <v>7500</v>
      </c>
      <c r="M1826" s="392" t="s">
        <v>3758</v>
      </c>
      <c r="N1826" s="392" t="s">
        <v>7273</v>
      </c>
      <c r="O1826" s="392" t="s">
        <v>7273</v>
      </c>
      <c r="P1826"/>
      <c r="Q1826"/>
      <c r="R1826" s="387">
        <f>VLOOKUP(E1826,'[1]NDB Impacted SPRFs 05032013'!$A$2:$A$65536,1,FALSE)</f>
        <v>400030543</v>
      </c>
      <c r="S1826" s="128"/>
      <c r="T1826" s="128"/>
      <c r="U1826" s="128"/>
    </row>
    <row r="1827" spans="1:21" s="159" customFormat="1" ht="30" x14ac:dyDescent="0.25">
      <c r="A1827" s="63" t="e">
        <f>MATCH($E1827,'D1 - Master Project Table'!$B$24:$B$7056,0)</f>
        <v>#N/A</v>
      </c>
      <c r="B1827" s="63" t="b">
        <f t="shared" si="84"/>
        <v>1</v>
      </c>
      <c r="C1827" s="63" t="b">
        <f t="shared" si="85"/>
        <v>1</v>
      </c>
      <c r="D1827" s="63" t="str">
        <f t="shared" si="86"/>
        <v>OK</v>
      </c>
      <c r="E1827" s="393">
        <v>400031439</v>
      </c>
      <c r="F1827" s="392" t="s">
        <v>6828</v>
      </c>
      <c r="G1827" s="392" t="s">
        <v>5001</v>
      </c>
      <c r="H1827" s="392" t="s">
        <v>5314</v>
      </c>
      <c r="I1827" s="392" t="s">
        <v>3540</v>
      </c>
      <c r="J1827" s="392" t="s">
        <v>8380</v>
      </c>
      <c r="K1827" s="392" t="s">
        <v>6885</v>
      </c>
      <c r="L1827" s="392" t="s">
        <v>7773</v>
      </c>
      <c r="M1827" s="392" t="s">
        <v>7273</v>
      </c>
      <c r="N1827" s="392" t="s">
        <v>7273</v>
      </c>
      <c r="O1827" s="392" t="s">
        <v>7273</v>
      </c>
      <c r="P1827"/>
      <c r="Q1827"/>
      <c r="R1827" s="387">
        <f>VLOOKUP(E1827,'[1]NDB Impacted SPRFs 05032013'!$A$2:$A$65536,1,FALSE)</f>
        <v>400031439</v>
      </c>
    </row>
    <row r="1828" spans="1:21" s="159" customFormat="1" ht="45" x14ac:dyDescent="0.25">
      <c r="A1828" s="63">
        <f>MATCH($E1828,'D1 - Master Project Table'!$B$24:$B$7056,0)</f>
        <v>2289</v>
      </c>
      <c r="B1828" s="63" t="b">
        <f t="shared" si="84"/>
        <v>0</v>
      </c>
      <c r="C1828" s="63" t="b">
        <f t="shared" si="85"/>
        <v>1</v>
      </c>
      <c r="D1828" s="63" t="str">
        <f t="shared" si="86"/>
        <v>OK</v>
      </c>
      <c r="E1828" s="393">
        <v>400041808</v>
      </c>
      <c r="F1828" s="392" t="s">
        <v>1585</v>
      </c>
      <c r="G1828" s="392" t="s">
        <v>5324</v>
      </c>
      <c r="H1828" s="392" t="s">
        <v>7418</v>
      </c>
      <c r="I1828" s="392" t="s">
        <v>1757</v>
      </c>
      <c r="J1828" s="392" t="s">
        <v>1586</v>
      </c>
      <c r="K1828" s="392" t="s">
        <v>1587</v>
      </c>
      <c r="L1828" s="392" t="s">
        <v>1588</v>
      </c>
      <c r="M1828" s="392" t="s">
        <v>7273</v>
      </c>
      <c r="N1828" s="392" t="s">
        <v>7273</v>
      </c>
      <c r="O1828" s="392" t="s">
        <v>7273</v>
      </c>
      <c r="P1828"/>
      <c r="Q1828"/>
      <c r="R1828" s="387">
        <f>VLOOKUP(E1828,'[1]NDB Impacted SPRFs 05032013'!$A$2:$A$65536,1,FALSE)</f>
        <v>400041808</v>
      </c>
    </row>
    <row r="1829" spans="1:21" s="159" customFormat="1" ht="45" x14ac:dyDescent="0.25">
      <c r="A1829" s="63" t="e">
        <f>MATCH($E1829,'D1 - Master Project Table'!$B$24:$B$7056,0)</f>
        <v>#N/A</v>
      </c>
      <c r="B1829" s="63" t="b">
        <f t="shared" si="84"/>
        <v>1</v>
      </c>
      <c r="C1829" s="63" t="b">
        <f t="shared" si="85"/>
        <v>1</v>
      </c>
      <c r="D1829" s="63" t="str">
        <f t="shared" si="86"/>
        <v>OK</v>
      </c>
      <c r="E1829" s="393">
        <v>302261328</v>
      </c>
      <c r="F1829" s="392" t="s">
        <v>4194</v>
      </c>
      <c r="G1829" s="392" t="s">
        <v>5324</v>
      </c>
      <c r="H1829" s="392" t="s">
        <v>7418</v>
      </c>
      <c r="I1829" s="392" t="s">
        <v>1765</v>
      </c>
      <c r="J1829" s="392" t="s">
        <v>8341</v>
      </c>
      <c r="K1829" s="392" t="s">
        <v>6653</v>
      </c>
      <c r="L1829" s="392" t="s">
        <v>4195</v>
      </c>
      <c r="M1829" s="392" t="s">
        <v>3758</v>
      </c>
      <c r="N1829" s="392" t="s">
        <v>7273</v>
      </c>
      <c r="O1829" s="392" t="s">
        <v>7273</v>
      </c>
      <c r="P1829"/>
      <c r="Q1829"/>
      <c r="R1829" s="387">
        <f>VLOOKUP(E1829,'[1]NDB Impacted SPRFs 05032013'!$A$2:$A$65536,1,FALSE)</f>
        <v>302261328</v>
      </c>
    </row>
    <row r="1830" spans="1:21" s="159" customFormat="1" ht="45" x14ac:dyDescent="0.25">
      <c r="A1830" s="63">
        <f>MATCH($E1830,'D1 - Master Project Table'!$B$24:$B$7056,0)</f>
        <v>2464</v>
      </c>
      <c r="B1830" s="63" t="b">
        <f t="shared" si="84"/>
        <v>0</v>
      </c>
      <c r="C1830" s="63" t="b">
        <f t="shared" si="85"/>
        <v>1</v>
      </c>
      <c r="D1830" s="63" t="str">
        <f t="shared" si="86"/>
        <v>OK</v>
      </c>
      <c r="E1830" s="393">
        <v>400004581</v>
      </c>
      <c r="F1830" s="392" t="s">
        <v>6794</v>
      </c>
      <c r="G1830" s="392" t="s">
        <v>5324</v>
      </c>
      <c r="H1830" s="392" t="s">
        <v>5314</v>
      </c>
      <c r="I1830" s="392" t="s">
        <v>1765</v>
      </c>
      <c r="J1830" s="392" t="s">
        <v>8628</v>
      </c>
      <c r="K1830" s="392" t="s">
        <v>3268</v>
      </c>
      <c r="L1830" s="392" t="s">
        <v>5422</v>
      </c>
      <c r="M1830" s="392" t="s">
        <v>7273</v>
      </c>
      <c r="N1830" s="392" t="s">
        <v>7273</v>
      </c>
      <c r="O1830" s="392" t="s">
        <v>7273</v>
      </c>
      <c r="P1830"/>
      <c r="Q1830"/>
      <c r="R1830" s="387">
        <f>VLOOKUP(E1830,'[1]NDB Impacted SPRFs 05032013'!$A$2:$A$65536,1,FALSE)</f>
        <v>400004581</v>
      </c>
    </row>
    <row r="1831" spans="1:21" s="159" customFormat="1" ht="30" x14ac:dyDescent="0.25">
      <c r="A1831" s="63" t="e">
        <f>MATCH($E1831,'D1 - Master Project Table'!$B$24:$B$7056,0)</f>
        <v>#N/A</v>
      </c>
      <c r="B1831" s="63" t="b">
        <f t="shared" si="84"/>
        <v>1</v>
      </c>
      <c r="C1831" s="63" t="b">
        <f t="shared" si="85"/>
        <v>1</v>
      </c>
      <c r="D1831" s="63" t="str">
        <f t="shared" si="86"/>
        <v>OK</v>
      </c>
      <c r="E1831" s="393">
        <v>400008279</v>
      </c>
      <c r="F1831" s="392" t="s">
        <v>2418</v>
      </c>
      <c r="G1831" s="392" t="s">
        <v>3441</v>
      </c>
      <c r="H1831" s="392" t="s">
        <v>7418</v>
      </c>
      <c r="I1831" s="392" t="s">
        <v>1770</v>
      </c>
      <c r="J1831" s="392" t="s">
        <v>8300</v>
      </c>
      <c r="K1831" s="392" t="s">
        <v>5541</v>
      </c>
      <c r="L1831" s="392" t="s">
        <v>5075</v>
      </c>
      <c r="M1831" s="392" t="s">
        <v>3758</v>
      </c>
      <c r="N1831" s="392" t="s">
        <v>7273</v>
      </c>
      <c r="O1831" s="392" t="s">
        <v>7273</v>
      </c>
      <c r="P1831"/>
      <c r="Q1831"/>
      <c r="R1831" s="387">
        <f>VLOOKUP(E1831,'[1]NDB Impacted SPRFs 05032013'!$A$2:$A$65536,1,FALSE)</f>
        <v>400008279</v>
      </c>
      <c r="S1831" s="128"/>
      <c r="T1831" s="128"/>
      <c r="U1831" s="128"/>
    </row>
    <row r="1832" spans="1:21" s="159" customFormat="1" ht="45" x14ac:dyDescent="0.25">
      <c r="A1832" s="63">
        <f>MATCH($E1832,'D1 - Master Project Table'!$B$24:$B$7056,0)</f>
        <v>627</v>
      </c>
      <c r="B1832" s="63" t="b">
        <f t="shared" si="84"/>
        <v>0</v>
      </c>
      <c r="C1832" s="63" t="b">
        <f t="shared" si="85"/>
        <v>1</v>
      </c>
      <c r="D1832" s="63" t="str">
        <f t="shared" si="86"/>
        <v>OK</v>
      </c>
      <c r="E1832" s="393">
        <v>400014852</v>
      </c>
      <c r="F1832" s="392" t="s">
        <v>5859</v>
      </c>
      <c r="G1832" s="392" t="s">
        <v>5324</v>
      </c>
      <c r="H1832" s="392" t="s">
        <v>7418</v>
      </c>
      <c r="I1832" s="392" t="s">
        <v>1756</v>
      </c>
      <c r="J1832" s="392" t="s">
        <v>8394</v>
      </c>
      <c r="K1832" s="392" t="s">
        <v>5641</v>
      </c>
      <c r="L1832" s="392" t="s">
        <v>5396</v>
      </c>
      <c r="M1832" s="392" t="s">
        <v>7273</v>
      </c>
      <c r="N1832" s="392" t="s">
        <v>7273</v>
      </c>
      <c r="O1832" s="392" t="s">
        <v>7273</v>
      </c>
      <c r="P1832"/>
      <c r="Q1832"/>
      <c r="R1832" s="387">
        <f>VLOOKUP(E1832,'[1]NDB Impacted SPRFs 05032013'!$A$2:$A$65536,1,FALSE)</f>
        <v>400014852</v>
      </c>
    </row>
    <row r="1833" spans="1:21" s="159" customFormat="1" ht="45" x14ac:dyDescent="0.25">
      <c r="A1833" s="63">
        <f>MATCH($E1833,'D1 - Master Project Table'!$B$24:$B$7056,0)</f>
        <v>1019</v>
      </c>
      <c r="B1833" s="63" t="b">
        <f t="shared" si="84"/>
        <v>0</v>
      </c>
      <c r="C1833" s="63" t="b">
        <f t="shared" si="85"/>
        <v>1</v>
      </c>
      <c r="D1833" s="63" t="str">
        <f t="shared" si="86"/>
        <v>OK</v>
      </c>
      <c r="E1833" s="393">
        <v>400028161</v>
      </c>
      <c r="F1833" s="392" t="s">
        <v>4886</v>
      </c>
      <c r="G1833" s="392" t="s">
        <v>5324</v>
      </c>
      <c r="H1833" s="392" t="s">
        <v>7418</v>
      </c>
      <c r="I1833" s="392" t="s">
        <v>1758</v>
      </c>
      <c r="J1833" s="392" t="s">
        <v>3679</v>
      </c>
      <c r="K1833" s="392" t="s">
        <v>7498</v>
      </c>
      <c r="L1833" s="392" t="s">
        <v>3025</v>
      </c>
      <c r="M1833" s="392" t="s">
        <v>7273</v>
      </c>
      <c r="N1833" s="392" t="s">
        <v>7273</v>
      </c>
      <c r="O1833" s="392" t="s">
        <v>7273</v>
      </c>
      <c r="P1833"/>
      <c r="Q1833"/>
      <c r="R1833" s="387">
        <f>VLOOKUP(E1833,'[1]NDB Impacted SPRFs 05032013'!$A$2:$A$65536,1,FALSE)</f>
        <v>400028161</v>
      </c>
    </row>
    <row r="1834" spans="1:21" ht="45" x14ac:dyDescent="0.25">
      <c r="A1834" s="63">
        <f>MATCH($E1834,'D1 - Master Project Table'!$B$24:$B$7056,0)</f>
        <v>2258</v>
      </c>
      <c r="B1834" s="63" t="b">
        <f t="shared" si="84"/>
        <v>0</v>
      </c>
      <c r="C1834" s="63" t="b">
        <f t="shared" si="85"/>
        <v>1</v>
      </c>
      <c r="D1834" s="63" t="str">
        <f t="shared" si="86"/>
        <v>OK</v>
      </c>
      <c r="E1834" s="393">
        <v>400029931</v>
      </c>
      <c r="F1834" s="392" t="s">
        <v>4672</v>
      </c>
      <c r="G1834" s="392" t="s">
        <v>5324</v>
      </c>
      <c r="H1834" s="392" t="s">
        <v>5314</v>
      </c>
      <c r="I1834" s="392" t="s">
        <v>1759</v>
      </c>
      <c r="J1834" s="392" t="s">
        <v>3679</v>
      </c>
      <c r="K1834" s="392" t="s">
        <v>4006</v>
      </c>
      <c r="L1834" s="392" t="s">
        <v>3025</v>
      </c>
      <c r="M1834" s="392" t="s">
        <v>7273</v>
      </c>
      <c r="N1834" s="392" t="s">
        <v>7273</v>
      </c>
      <c r="O1834" s="392" t="s">
        <v>7273</v>
      </c>
      <c r="P1834"/>
      <c r="Q1834"/>
      <c r="R1834" s="387">
        <f>VLOOKUP(E1834,'[1]NDB Impacted SPRFs 05032013'!$A$2:$A$65536,1,FALSE)</f>
        <v>400029931</v>
      </c>
      <c r="S1834" s="159"/>
      <c r="T1834" s="159"/>
      <c r="U1834" s="159"/>
    </row>
    <row r="1835" spans="1:21" ht="30" x14ac:dyDescent="0.25">
      <c r="A1835" s="63">
        <f>MATCH($E1835,'D1 - Master Project Table'!$B$24:$B$7056,0)</f>
        <v>1287</v>
      </c>
      <c r="B1835" s="63" t="b">
        <f t="shared" si="84"/>
        <v>0</v>
      </c>
      <c r="C1835" s="63" t="b">
        <f t="shared" si="85"/>
        <v>1</v>
      </c>
      <c r="D1835" s="63" t="str">
        <f t="shared" si="86"/>
        <v>OK</v>
      </c>
      <c r="E1835" s="393">
        <v>400030838</v>
      </c>
      <c r="F1835" s="392" t="s">
        <v>7585</v>
      </c>
      <c r="G1835" s="392" t="s">
        <v>5995</v>
      </c>
      <c r="H1835" s="392" t="s">
        <v>7418</v>
      </c>
      <c r="I1835" s="392" t="s">
        <v>6423</v>
      </c>
      <c r="J1835" s="392" t="s">
        <v>8821</v>
      </c>
      <c r="K1835" s="392" t="s">
        <v>5218</v>
      </c>
      <c r="L1835" s="392" t="s">
        <v>3025</v>
      </c>
      <c r="M1835" s="392" t="s">
        <v>7273</v>
      </c>
      <c r="N1835" s="392" t="s">
        <v>7273</v>
      </c>
      <c r="O1835" s="392" t="s">
        <v>7273</v>
      </c>
      <c r="P1835"/>
      <c r="Q1835"/>
      <c r="R1835" s="387">
        <f>VLOOKUP(E1835,'[1]NDB Impacted SPRFs 05032013'!$A$2:$A$65536,1,FALSE)</f>
        <v>400030838</v>
      </c>
      <c r="S1835" s="159"/>
      <c r="T1835" s="159"/>
      <c r="U1835" s="159"/>
    </row>
    <row r="1836" spans="1:21" s="159" customFormat="1" ht="15" x14ac:dyDescent="0.25">
      <c r="A1836" s="63" t="e">
        <f>MATCH($E1836,'D1 - Master Project Table'!$B$24:$B$7056,0)</f>
        <v>#N/A</v>
      </c>
      <c r="B1836" s="63" t="b">
        <f t="shared" si="84"/>
        <v>1</v>
      </c>
      <c r="C1836" s="63" t="b">
        <f t="shared" si="85"/>
        <v>1</v>
      </c>
      <c r="D1836" s="63" t="str">
        <f t="shared" si="86"/>
        <v>OK</v>
      </c>
      <c r="E1836" s="393">
        <v>400000646</v>
      </c>
      <c r="F1836" s="392" t="s">
        <v>3657</v>
      </c>
      <c r="G1836" s="392" t="s">
        <v>5995</v>
      </c>
      <c r="H1836" s="392" t="s">
        <v>7418</v>
      </c>
      <c r="I1836" s="392" t="s">
        <v>3529</v>
      </c>
      <c r="J1836" s="392" t="s">
        <v>3383</v>
      </c>
      <c r="K1836" s="392" t="s">
        <v>3172</v>
      </c>
      <c r="L1836" s="392" t="s">
        <v>4034</v>
      </c>
      <c r="M1836" s="392" t="s">
        <v>3758</v>
      </c>
      <c r="N1836" s="392" t="s">
        <v>7273</v>
      </c>
      <c r="O1836" s="392" t="s">
        <v>7273</v>
      </c>
      <c r="P1836"/>
      <c r="Q1836"/>
      <c r="R1836" s="387">
        <f>VLOOKUP(E1836,'[1]NDB Impacted SPRFs 05032013'!$A$2:$A$65536,1,FALSE)</f>
        <v>400000646</v>
      </c>
    </row>
    <row r="1837" spans="1:21" s="159" customFormat="1" ht="15" x14ac:dyDescent="0.25">
      <c r="A1837" s="63" t="e">
        <f>MATCH($E1837,'D1 - Master Project Table'!$B$24:$B$7056,0)</f>
        <v>#N/A</v>
      </c>
      <c r="B1837" s="63" t="b">
        <f t="shared" si="84"/>
        <v>1</v>
      </c>
      <c r="C1837" s="63" t="b">
        <f t="shared" si="85"/>
        <v>1</v>
      </c>
      <c r="D1837" s="63" t="str">
        <f t="shared" si="86"/>
        <v>OK</v>
      </c>
      <c r="E1837" s="393">
        <v>400003627</v>
      </c>
      <c r="F1837" s="392" t="s">
        <v>4127</v>
      </c>
      <c r="G1837" s="392" t="s">
        <v>5995</v>
      </c>
      <c r="H1837" s="392" t="s">
        <v>7418</v>
      </c>
      <c r="I1837" s="392" t="s">
        <v>3530</v>
      </c>
      <c r="J1837" s="392" t="s">
        <v>8815</v>
      </c>
      <c r="K1837" s="392" t="s">
        <v>3705</v>
      </c>
      <c r="L1837" s="392" t="s">
        <v>5185</v>
      </c>
      <c r="M1837" s="392" t="s">
        <v>3758</v>
      </c>
      <c r="N1837" s="392" t="s">
        <v>7273</v>
      </c>
      <c r="O1837" s="392" t="s">
        <v>7273</v>
      </c>
      <c r="P1837"/>
      <c r="Q1837"/>
      <c r="R1837" s="387">
        <f>VLOOKUP(E1837,'[1]NDB Impacted SPRFs 05032013'!$A$2:$A$65536,1,FALSE)</f>
        <v>400003627</v>
      </c>
    </row>
    <row r="1838" spans="1:21" s="159" customFormat="1" ht="45" x14ac:dyDescent="0.25">
      <c r="A1838" s="63">
        <f>MATCH($E1838,'D1 - Master Project Table'!$B$24:$B$7056,0)</f>
        <v>2457</v>
      </c>
      <c r="B1838" s="63" t="b">
        <f t="shared" si="84"/>
        <v>0</v>
      </c>
      <c r="C1838" s="63" t="b">
        <f t="shared" si="85"/>
        <v>1</v>
      </c>
      <c r="D1838" s="63" t="str">
        <f t="shared" si="86"/>
        <v>OK</v>
      </c>
      <c r="E1838" s="393">
        <v>400004347</v>
      </c>
      <c r="F1838" s="392" t="s">
        <v>5103</v>
      </c>
      <c r="G1838" s="392" t="s">
        <v>5324</v>
      </c>
      <c r="H1838" s="392" t="s">
        <v>5314</v>
      </c>
      <c r="I1838" s="392" t="s">
        <v>1765</v>
      </c>
      <c r="J1838" s="392" t="s">
        <v>2467</v>
      </c>
      <c r="K1838" s="392" t="s">
        <v>2467</v>
      </c>
      <c r="L1838" s="392" t="s">
        <v>5351</v>
      </c>
      <c r="M1838" s="392" t="s">
        <v>7273</v>
      </c>
      <c r="N1838" s="392" t="s">
        <v>7273</v>
      </c>
      <c r="O1838" s="392" t="s">
        <v>7273</v>
      </c>
      <c r="P1838"/>
      <c r="Q1838"/>
      <c r="R1838" s="387">
        <f>VLOOKUP(E1838,'[1]NDB Impacted SPRFs 05032013'!$A$2:$A$65536,1,FALSE)</f>
        <v>400004347</v>
      </c>
    </row>
    <row r="1839" spans="1:21" s="159" customFormat="1" ht="60" customHeight="1" x14ac:dyDescent="0.25">
      <c r="A1839" s="63">
        <f>MATCH($E1839,'D1 - Master Project Table'!$B$24:$B$7056,0)</f>
        <v>2573</v>
      </c>
      <c r="B1839" s="63" t="b">
        <f t="shared" si="84"/>
        <v>0</v>
      </c>
      <c r="C1839" s="63" t="b">
        <f t="shared" si="85"/>
        <v>1</v>
      </c>
      <c r="D1839" s="63" t="str">
        <f t="shared" si="86"/>
        <v>OK</v>
      </c>
      <c r="E1839" s="393">
        <v>400010297</v>
      </c>
      <c r="F1839" s="392" t="s">
        <v>1974</v>
      </c>
      <c r="G1839" s="392" t="s">
        <v>5324</v>
      </c>
      <c r="H1839" s="392" t="s">
        <v>5314</v>
      </c>
      <c r="I1839" s="392" t="s">
        <v>1757</v>
      </c>
      <c r="J1839" s="392" t="s">
        <v>8550</v>
      </c>
      <c r="K1839" s="392" t="s">
        <v>2951</v>
      </c>
      <c r="L1839" s="392" t="s">
        <v>4248</v>
      </c>
      <c r="M1839" s="392" t="s">
        <v>3758</v>
      </c>
      <c r="N1839" s="392" t="s">
        <v>7273</v>
      </c>
      <c r="O1839" s="392" t="s">
        <v>7273</v>
      </c>
      <c r="P1839" s="198" t="s">
        <v>6416</v>
      </c>
      <c r="Q1839" s="128"/>
      <c r="R1839" s="387">
        <f>VLOOKUP(E1839,'[1]NDB Impacted SPRFs 05032013'!$A$2:$A$65536,1,FALSE)</f>
        <v>400010297</v>
      </c>
      <c r="S1839" s="128"/>
      <c r="T1839" s="128"/>
      <c r="U1839" s="128"/>
    </row>
    <row r="1840" spans="1:21" s="159" customFormat="1" ht="30" x14ac:dyDescent="0.25">
      <c r="A1840" s="63">
        <f>MATCH($E1840,'D1 - Master Project Table'!$B$24:$B$7056,0)</f>
        <v>3052</v>
      </c>
      <c r="B1840" s="63" t="b">
        <f t="shared" ref="B1840:B1903" si="87">ISERROR(A1840)</f>
        <v>0</v>
      </c>
      <c r="C1840" s="63" t="b">
        <f t="shared" si="85"/>
        <v>1</v>
      </c>
      <c r="D1840" s="63" t="str">
        <f t="shared" si="86"/>
        <v>OK</v>
      </c>
      <c r="E1840" s="393">
        <v>400043272</v>
      </c>
      <c r="F1840" s="392" t="s">
        <v>1107</v>
      </c>
      <c r="G1840" s="392" t="s">
        <v>5995</v>
      </c>
      <c r="H1840" s="392" t="s">
        <v>7418</v>
      </c>
      <c r="I1840" s="392" t="s">
        <v>6423</v>
      </c>
      <c r="J1840" s="392" t="s">
        <v>8826</v>
      </c>
      <c r="K1840" s="392" t="s">
        <v>1897</v>
      </c>
      <c r="L1840" s="392" t="s">
        <v>1108</v>
      </c>
      <c r="M1840" s="392" t="s">
        <v>7273</v>
      </c>
      <c r="N1840" s="392" t="s">
        <v>7273</v>
      </c>
      <c r="O1840" s="392" t="s">
        <v>7273</v>
      </c>
      <c r="P1840"/>
      <c r="Q1840"/>
      <c r="R1840" s="387">
        <f>VLOOKUP(E1840,'[1]NDB Impacted SPRFs 05032013'!$A$2:$A$65536,1,FALSE)</f>
        <v>400043272</v>
      </c>
    </row>
    <row r="1841" spans="1:21" s="159" customFormat="1" ht="45" x14ac:dyDescent="0.25">
      <c r="A1841" s="63">
        <f>MATCH($E1841,'D1 - Master Project Table'!$B$24:$B$7056,0)</f>
        <v>1678</v>
      </c>
      <c r="B1841" s="63" t="b">
        <f t="shared" si="87"/>
        <v>0</v>
      </c>
      <c r="C1841" s="63" t="b">
        <f t="shared" si="85"/>
        <v>0</v>
      </c>
      <c r="D1841" s="63" t="str">
        <f t="shared" si="86"/>
        <v>OK</v>
      </c>
      <c r="E1841" s="393">
        <v>400047345</v>
      </c>
      <c r="F1841" s="392" t="s">
        <v>804</v>
      </c>
      <c r="G1841" s="392" t="s">
        <v>5324</v>
      </c>
      <c r="H1841" s="392" t="s">
        <v>4917</v>
      </c>
      <c r="I1841" s="392" t="s">
        <v>1757</v>
      </c>
      <c r="J1841" s="392" t="s">
        <v>8562</v>
      </c>
      <c r="K1841" s="392" t="s">
        <v>7952</v>
      </c>
      <c r="L1841" s="392" t="s">
        <v>906</v>
      </c>
      <c r="M1841" s="392" t="s">
        <v>7273</v>
      </c>
      <c r="N1841" s="392" t="s">
        <v>7273</v>
      </c>
      <c r="O1841" s="392" t="s">
        <v>7273</v>
      </c>
      <c r="P1841"/>
      <c r="Q1841"/>
      <c r="R1841" s="387">
        <f>VLOOKUP(E1841,'[1]NDB Impacted SPRFs 05032013'!$A$2:$A$65536,1,FALSE)</f>
        <v>400047345</v>
      </c>
    </row>
    <row r="1842" spans="1:21" s="159" customFormat="1" ht="45" x14ac:dyDescent="0.25">
      <c r="A1842" s="63">
        <f>MATCH($E1842,'D1 - Master Project Table'!$B$24:$B$7056,0)</f>
        <v>2104</v>
      </c>
      <c r="B1842" s="63" t="b">
        <f t="shared" si="87"/>
        <v>0</v>
      </c>
      <c r="C1842" s="63" t="b">
        <f t="shared" si="85"/>
        <v>1</v>
      </c>
      <c r="D1842" s="63" t="str">
        <f t="shared" si="86"/>
        <v>OK</v>
      </c>
      <c r="E1842" s="393">
        <v>400013211</v>
      </c>
      <c r="F1842" s="392" t="s">
        <v>7992</v>
      </c>
      <c r="G1842" s="392" t="s">
        <v>5324</v>
      </c>
      <c r="H1842" s="392" t="s">
        <v>5314</v>
      </c>
      <c r="I1842" s="392" t="s">
        <v>1764</v>
      </c>
      <c r="J1842" s="392" t="s">
        <v>7233</v>
      </c>
      <c r="K1842" s="392" t="s">
        <v>2639</v>
      </c>
      <c r="L1842" s="392" t="s">
        <v>4004</v>
      </c>
      <c r="M1842" s="392" t="s">
        <v>7273</v>
      </c>
      <c r="N1842" s="392" t="s">
        <v>7273</v>
      </c>
      <c r="O1842" s="392" t="s">
        <v>7273</v>
      </c>
      <c r="P1842"/>
      <c r="Q1842"/>
      <c r="R1842" s="387">
        <f>VLOOKUP(E1842,'[1]NDB Impacted SPRFs 05032013'!$A$2:$A$65536,1,FALSE)</f>
        <v>400013211</v>
      </c>
      <c r="S1842" s="128"/>
      <c r="T1842" s="128"/>
      <c r="U1842" s="128"/>
    </row>
    <row r="1843" spans="1:21" s="159" customFormat="1" ht="45" x14ac:dyDescent="0.25">
      <c r="A1843" s="63">
        <f>MATCH($E1843,'D1 - Master Project Table'!$B$24:$B$7056,0)</f>
        <v>2620</v>
      </c>
      <c r="B1843" s="63" t="b">
        <f t="shared" si="87"/>
        <v>0</v>
      </c>
      <c r="C1843" s="63" t="b">
        <f t="shared" si="85"/>
        <v>1</v>
      </c>
      <c r="D1843" s="63" t="str">
        <f t="shared" si="86"/>
        <v>OK</v>
      </c>
      <c r="E1843" s="393">
        <v>400013500</v>
      </c>
      <c r="F1843" s="392" t="s">
        <v>3667</v>
      </c>
      <c r="G1843" s="392" t="s">
        <v>5324</v>
      </c>
      <c r="H1843" s="392" t="s">
        <v>5314</v>
      </c>
      <c r="I1843" s="392" t="s">
        <v>1764</v>
      </c>
      <c r="J1843" s="392" t="s">
        <v>2937</v>
      </c>
      <c r="K1843" s="392" t="s">
        <v>5756</v>
      </c>
      <c r="L1843" s="392" t="s">
        <v>3861</v>
      </c>
      <c r="M1843" s="392" t="s">
        <v>7273</v>
      </c>
      <c r="N1843" s="392" t="s">
        <v>7273</v>
      </c>
      <c r="O1843" s="392" t="s">
        <v>7273</v>
      </c>
      <c r="P1843"/>
      <c r="Q1843"/>
      <c r="R1843" s="387">
        <f>VLOOKUP(E1843,'[1]NDB Impacted SPRFs 05032013'!$A$2:$A$65536,1,FALSE)</f>
        <v>400013500</v>
      </c>
    </row>
    <row r="1844" spans="1:21" s="159" customFormat="1" ht="45" x14ac:dyDescent="0.25">
      <c r="A1844" s="63">
        <f>MATCH($E1844,'D1 - Master Project Table'!$B$24:$B$7056,0)</f>
        <v>774</v>
      </c>
      <c r="B1844" s="63" t="b">
        <f t="shared" si="87"/>
        <v>0</v>
      </c>
      <c r="C1844" s="63" t="b">
        <f t="shared" si="85"/>
        <v>1</v>
      </c>
      <c r="D1844" s="63" t="str">
        <f t="shared" si="86"/>
        <v>OK</v>
      </c>
      <c r="E1844" s="393">
        <v>400016767</v>
      </c>
      <c r="F1844" s="392" t="s">
        <v>6126</v>
      </c>
      <c r="G1844" s="392" t="s">
        <v>5324</v>
      </c>
      <c r="H1844" s="392" t="s">
        <v>7418</v>
      </c>
      <c r="I1844" s="392" t="s">
        <v>1762</v>
      </c>
      <c r="J1844" s="392" t="s">
        <v>2251</v>
      </c>
      <c r="K1844" s="392" t="s">
        <v>8075</v>
      </c>
      <c r="L1844" s="392" t="s">
        <v>374</v>
      </c>
      <c r="M1844" s="392" t="s">
        <v>7273</v>
      </c>
      <c r="N1844" s="392" t="s">
        <v>7273</v>
      </c>
      <c r="O1844" s="392" t="s">
        <v>7273</v>
      </c>
      <c r="P1844"/>
      <c r="Q1844"/>
      <c r="R1844" s="387">
        <f>VLOOKUP(E1844,'[1]NDB Impacted SPRFs 05032013'!$A$2:$A$65536,1,FALSE)</f>
        <v>400016767</v>
      </c>
      <c r="S1844" s="128"/>
      <c r="T1844" s="128"/>
      <c r="U1844" s="128"/>
    </row>
    <row r="1845" spans="1:21" s="159" customFormat="1" ht="45" x14ac:dyDescent="0.25">
      <c r="A1845" s="63">
        <f>MATCH($E1845,'D1 - Master Project Table'!$B$24:$B$7056,0)</f>
        <v>2746</v>
      </c>
      <c r="B1845" s="63" t="b">
        <f t="shared" si="87"/>
        <v>0</v>
      </c>
      <c r="C1845" s="63" t="b">
        <f t="shared" si="85"/>
        <v>1</v>
      </c>
      <c r="D1845" s="63" t="str">
        <f t="shared" si="86"/>
        <v>OK</v>
      </c>
      <c r="E1845" s="393">
        <v>400020712</v>
      </c>
      <c r="F1845" s="392" t="s">
        <v>6659</v>
      </c>
      <c r="G1845" s="392" t="s">
        <v>5324</v>
      </c>
      <c r="H1845" s="392" t="s">
        <v>5314</v>
      </c>
      <c r="I1845" s="392" t="s">
        <v>1763</v>
      </c>
      <c r="J1845" s="392" t="s">
        <v>8317</v>
      </c>
      <c r="K1845" s="392" t="s">
        <v>2819</v>
      </c>
      <c r="L1845" s="392" t="s">
        <v>6889</v>
      </c>
      <c r="M1845" s="392" t="s">
        <v>3758</v>
      </c>
      <c r="N1845" s="392" t="s">
        <v>7273</v>
      </c>
      <c r="O1845" s="392" t="s">
        <v>7273</v>
      </c>
      <c r="P1845"/>
      <c r="Q1845"/>
      <c r="R1845" s="387">
        <f>VLOOKUP(E1845,'[1]NDB Impacted SPRFs 05032013'!$A$2:$A$65536,1,FALSE)</f>
        <v>400020712</v>
      </c>
    </row>
    <row r="1846" spans="1:21" s="159" customFormat="1" ht="30" x14ac:dyDescent="0.25">
      <c r="A1846" s="63">
        <f>MATCH($E1846,'D1 - Master Project Table'!$B$24:$B$7056,0)</f>
        <v>1721</v>
      </c>
      <c r="B1846" s="63" t="b">
        <f t="shared" si="87"/>
        <v>0</v>
      </c>
      <c r="C1846" s="63" t="b">
        <f t="shared" si="85"/>
        <v>1</v>
      </c>
      <c r="D1846" s="63" t="str">
        <f t="shared" si="86"/>
        <v>OK</v>
      </c>
      <c r="E1846" s="393">
        <v>400046520</v>
      </c>
      <c r="F1846" s="392" t="s">
        <v>533</v>
      </c>
      <c r="G1846" s="392" t="s">
        <v>5001</v>
      </c>
      <c r="H1846" s="392" t="s">
        <v>7418</v>
      </c>
      <c r="I1846" s="392" t="s">
        <v>1829</v>
      </c>
      <c r="J1846" s="392" t="s">
        <v>8720</v>
      </c>
      <c r="K1846" s="392" t="s">
        <v>2062</v>
      </c>
      <c r="L1846" s="392" t="s">
        <v>4004</v>
      </c>
      <c r="M1846" s="392" t="s">
        <v>7273</v>
      </c>
      <c r="N1846" s="392" t="s">
        <v>7273</v>
      </c>
      <c r="O1846" s="392" t="s">
        <v>7273</v>
      </c>
      <c r="P1846"/>
      <c r="Q1846"/>
      <c r="R1846" s="387">
        <f>VLOOKUP(E1846,'[1]NDB Impacted SPRFs 05032013'!$A$2:$A$65536,1,FALSE)</f>
        <v>400046520</v>
      </c>
    </row>
    <row r="1847" spans="1:21" s="159" customFormat="1" ht="45" x14ac:dyDescent="0.25">
      <c r="A1847" s="63">
        <f>MATCH($E1847,'D1 - Master Project Table'!$B$24:$B$7056,0)</f>
        <v>3286</v>
      </c>
      <c r="B1847" s="63" t="b">
        <f t="shared" si="87"/>
        <v>0</v>
      </c>
      <c r="C1847" s="63" t="b">
        <f t="shared" si="85"/>
        <v>1</v>
      </c>
      <c r="D1847" s="63" t="str">
        <f t="shared" si="86"/>
        <v>OK</v>
      </c>
      <c r="E1847" s="393">
        <v>400048849</v>
      </c>
      <c r="F1847" s="392" t="s">
        <v>159</v>
      </c>
      <c r="G1847" s="392" t="s">
        <v>5001</v>
      </c>
      <c r="H1847" s="392" t="s">
        <v>5314</v>
      </c>
      <c r="I1847" s="392" t="s">
        <v>3540</v>
      </c>
      <c r="J1847" s="392" t="s">
        <v>8445</v>
      </c>
      <c r="K1847" s="392" t="s">
        <v>248</v>
      </c>
      <c r="L1847" s="392" t="s">
        <v>1022</v>
      </c>
      <c r="M1847" s="392" t="s">
        <v>7273</v>
      </c>
      <c r="N1847" s="392" t="s">
        <v>7273</v>
      </c>
      <c r="O1847" s="392" t="s">
        <v>7273</v>
      </c>
      <c r="P1847"/>
      <c r="Q1847"/>
      <c r="R1847" s="387">
        <f>VLOOKUP(E1847,'[1]NDB Impacted SPRFs 05032013'!$A$2:$A$65536,1,FALSE)</f>
        <v>400048849</v>
      </c>
      <c r="S1847" s="128"/>
      <c r="T1847" s="128"/>
      <c r="U1847" s="128"/>
    </row>
    <row r="1848" spans="1:21" s="159" customFormat="1" ht="45" x14ac:dyDescent="0.25">
      <c r="A1848" s="63" t="e">
        <f>MATCH($E1848,'D1 - Master Project Table'!$B$24:$B$7056,0)</f>
        <v>#N/A</v>
      </c>
      <c r="B1848" s="63" t="b">
        <f t="shared" si="87"/>
        <v>1</v>
      </c>
      <c r="C1848" s="63" t="b">
        <f t="shared" si="85"/>
        <v>1</v>
      </c>
      <c r="D1848" s="63" t="str">
        <f t="shared" si="86"/>
        <v>OK</v>
      </c>
      <c r="E1848" s="393">
        <v>400000320</v>
      </c>
      <c r="F1848" s="392" t="s">
        <v>1526</v>
      </c>
      <c r="G1848" s="392" t="s">
        <v>5324</v>
      </c>
      <c r="H1848" s="392" t="s">
        <v>7418</v>
      </c>
      <c r="I1848" s="392" t="s">
        <v>1766</v>
      </c>
      <c r="J1848" s="392" t="s">
        <v>8349</v>
      </c>
      <c r="K1848" s="392" t="s">
        <v>5641</v>
      </c>
      <c r="L1848" s="392" t="s">
        <v>5717</v>
      </c>
      <c r="M1848" s="392" t="s">
        <v>7273</v>
      </c>
      <c r="N1848" s="392" t="s">
        <v>7273</v>
      </c>
      <c r="O1848" s="392" t="s">
        <v>7273</v>
      </c>
      <c r="P1848"/>
      <c r="Q1848"/>
      <c r="R1848" s="387">
        <f>VLOOKUP(E1848,'[1]NDB Impacted SPRFs 05032013'!$A$2:$A$65536,1,FALSE)</f>
        <v>400000320</v>
      </c>
      <c r="S1848" s="128"/>
      <c r="T1848" s="128"/>
      <c r="U1848" s="128"/>
    </row>
    <row r="1849" spans="1:21" ht="30" x14ac:dyDescent="0.25">
      <c r="A1849" s="63">
        <f>MATCH($E1849,'D1 - Master Project Table'!$B$24:$B$7056,0)</f>
        <v>1849</v>
      </c>
      <c r="B1849" s="63" t="b">
        <f t="shared" si="87"/>
        <v>0</v>
      </c>
      <c r="C1849" s="63" t="b">
        <f t="shared" si="85"/>
        <v>1</v>
      </c>
      <c r="D1849" s="63" t="str">
        <f t="shared" si="86"/>
        <v>OK</v>
      </c>
      <c r="E1849" s="393">
        <v>400006947</v>
      </c>
      <c r="F1849" s="392" t="s">
        <v>4789</v>
      </c>
      <c r="G1849" s="392" t="s">
        <v>5787</v>
      </c>
      <c r="H1849" s="392" t="s">
        <v>7418</v>
      </c>
      <c r="I1849" s="392" t="s">
        <v>1780</v>
      </c>
      <c r="J1849" s="392" t="s">
        <v>3322</v>
      </c>
      <c r="K1849" s="392" t="s">
        <v>3353</v>
      </c>
      <c r="L1849" s="392" t="s">
        <v>2938</v>
      </c>
      <c r="M1849" s="392" t="s">
        <v>7273</v>
      </c>
      <c r="N1849" s="392" t="s">
        <v>7273</v>
      </c>
      <c r="O1849" s="392" t="s">
        <v>7273</v>
      </c>
      <c r="P1849"/>
      <c r="Q1849"/>
      <c r="R1849" s="387">
        <f>VLOOKUP(E1849,'[1]NDB Impacted SPRFs 05032013'!$A$2:$A$65536,1,FALSE)</f>
        <v>400006947</v>
      </c>
      <c r="S1849" s="159"/>
      <c r="T1849" s="159"/>
      <c r="U1849" s="159"/>
    </row>
    <row r="1850" spans="1:21" s="159" customFormat="1" ht="45" customHeight="1" x14ac:dyDescent="0.25">
      <c r="A1850" s="63">
        <f>MATCH($E1850,'D1 - Master Project Table'!$B$24:$B$7056,0)</f>
        <v>1124</v>
      </c>
      <c r="B1850" s="63" t="b">
        <f t="shared" si="87"/>
        <v>0</v>
      </c>
      <c r="C1850" s="63" t="b">
        <f t="shared" si="85"/>
        <v>1</v>
      </c>
      <c r="D1850" s="63" t="str">
        <f t="shared" si="86"/>
        <v>OK</v>
      </c>
      <c r="E1850" s="393">
        <v>400030423</v>
      </c>
      <c r="F1850" s="392" t="s">
        <v>6542</v>
      </c>
      <c r="G1850" s="392" t="s">
        <v>2041</v>
      </c>
      <c r="H1850" s="392" t="s">
        <v>7418</v>
      </c>
      <c r="I1850" s="392" t="s">
        <v>3629</v>
      </c>
      <c r="J1850" s="392" t="s">
        <v>8793</v>
      </c>
      <c r="K1850" s="392" t="s">
        <v>1976</v>
      </c>
      <c r="L1850" s="392" t="s">
        <v>2079</v>
      </c>
      <c r="M1850" s="392" t="s">
        <v>7273</v>
      </c>
      <c r="N1850" s="392" t="s">
        <v>7273</v>
      </c>
      <c r="O1850" s="392" t="s">
        <v>7273</v>
      </c>
      <c r="P1850"/>
      <c r="Q1850"/>
      <c r="R1850" s="387">
        <f>VLOOKUP(E1850,'[1]NDB Impacted SPRFs 05032013'!$A$2:$A$65536,1,FALSE)</f>
        <v>400030423</v>
      </c>
    </row>
    <row r="1851" spans="1:21" s="159" customFormat="1" ht="45" x14ac:dyDescent="0.25">
      <c r="A1851" s="63">
        <f>MATCH($E1851,'D1 - Master Project Table'!$B$24:$B$7056,0)</f>
        <v>1167</v>
      </c>
      <c r="B1851" s="63" t="b">
        <f t="shared" si="87"/>
        <v>0</v>
      </c>
      <c r="C1851" s="63" t="b">
        <f t="shared" si="85"/>
        <v>1</v>
      </c>
      <c r="D1851" s="63" t="str">
        <f t="shared" si="86"/>
        <v>OK</v>
      </c>
      <c r="E1851" s="393">
        <v>400031908</v>
      </c>
      <c r="F1851" s="392" t="s">
        <v>1958</v>
      </c>
      <c r="G1851" s="392" t="s">
        <v>5324</v>
      </c>
      <c r="H1851" s="392" t="s">
        <v>7418</v>
      </c>
      <c r="I1851" s="392" t="s">
        <v>1757</v>
      </c>
      <c r="J1851" s="392" t="s">
        <v>4796</v>
      </c>
      <c r="K1851" s="392" t="s">
        <v>2578</v>
      </c>
      <c r="L1851" s="392" t="s">
        <v>2079</v>
      </c>
      <c r="M1851" s="392" t="s">
        <v>7273</v>
      </c>
      <c r="N1851" s="392" t="s">
        <v>7273</v>
      </c>
      <c r="O1851" s="392" t="s">
        <v>7273</v>
      </c>
      <c r="P1851"/>
      <c r="Q1851"/>
      <c r="R1851" s="387">
        <f>VLOOKUP(E1851,'[1]NDB Impacted SPRFs 05032013'!$A$2:$A$65536,1,FALSE)</f>
        <v>400031908</v>
      </c>
    </row>
    <row r="1852" spans="1:21" s="159" customFormat="1" ht="45" customHeight="1" x14ac:dyDescent="0.25">
      <c r="A1852" s="63">
        <f>MATCH($E1852,'D1 - Master Project Table'!$B$24:$B$7056,0)</f>
        <v>2937</v>
      </c>
      <c r="B1852" s="63" t="b">
        <f t="shared" si="87"/>
        <v>0</v>
      </c>
      <c r="C1852" s="63" t="b">
        <f t="shared" si="85"/>
        <v>1</v>
      </c>
      <c r="D1852" s="63" t="str">
        <f t="shared" si="86"/>
        <v>OK</v>
      </c>
      <c r="E1852" s="393">
        <v>400033840</v>
      </c>
      <c r="F1852" s="392" t="s">
        <v>3087</v>
      </c>
      <c r="G1852" s="392" t="s">
        <v>6322</v>
      </c>
      <c r="H1852" s="392" t="s">
        <v>5314</v>
      </c>
      <c r="I1852" s="392" t="s">
        <v>7594</v>
      </c>
      <c r="J1852" s="392" t="s">
        <v>1062</v>
      </c>
      <c r="K1852" s="392" t="s">
        <v>7164</v>
      </c>
      <c r="L1852" s="392" t="s">
        <v>2079</v>
      </c>
      <c r="M1852" s="392" t="s">
        <v>7273</v>
      </c>
      <c r="N1852" s="392" t="s">
        <v>7273</v>
      </c>
      <c r="O1852" s="392" t="s">
        <v>7273</v>
      </c>
      <c r="P1852"/>
      <c r="Q1852"/>
      <c r="R1852" s="387">
        <f>VLOOKUP(E1852,'[1]NDB Impacted SPRFs 05032013'!$A$2:$A$65536,1,FALSE)</f>
        <v>400033840</v>
      </c>
    </row>
    <row r="1853" spans="1:21" s="159" customFormat="1" ht="30" x14ac:dyDescent="0.25">
      <c r="A1853" s="63">
        <f>MATCH($E1853,'D1 - Master Project Table'!$B$24:$B$7056,0)</f>
        <v>2939</v>
      </c>
      <c r="B1853" s="63" t="b">
        <f t="shared" si="87"/>
        <v>0</v>
      </c>
      <c r="C1853" s="63" t="b">
        <f t="shared" si="85"/>
        <v>1</v>
      </c>
      <c r="D1853" s="63" t="str">
        <f t="shared" si="86"/>
        <v>OK</v>
      </c>
      <c r="E1853" s="393">
        <v>400033863</v>
      </c>
      <c r="F1853" s="392" t="s">
        <v>2848</v>
      </c>
      <c r="G1853" s="392" t="s">
        <v>6322</v>
      </c>
      <c r="H1853" s="392" t="s">
        <v>5314</v>
      </c>
      <c r="I1853" s="392" t="s">
        <v>7594</v>
      </c>
      <c r="J1853" s="392" t="s">
        <v>1062</v>
      </c>
      <c r="K1853" s="392" t="s">
        <v>7164</v>
      </c>
      <c r="L1853" s="392" t="s">
        <v>2079</v>
      </c>
      <c r="M1853" s="392" t="s">
        <v>7273</v>
      </c>
      <c r="N1853" s="392" t="s">
        <v>7273</v>
      </c>
      <c r="O1853" s="392" t="s">
        <v>7273</v>
      </c>
      <c r="P1853"/>
      <c r="Q1853"/>
      <c r="R1853" s="387">
        <f>VLOOKUP(E1853,'[1]NDB Impacted SPRFs 05032013'!$A$2:$A$65536,1,FALSE)</f>
        <v>400033863</v>
      </c>
    </row>
    <row r="1854" spans="1:21" s="159" customFormat="1" ht="30" x14ac:dyDescent="0.25">
      <c r="A1854" s="63">
        <f>MATCH($E1854,'D1 - Master Project Table'!$B$24:$B$7056,0)</f>
        <v>1128</v>
      </c>
      <c r="B1854" s="63" t="b">
        <f t="shared" si="87"/>
        <v>0</v>
      </c>
      <c r="C1854" s="63" t="b">
        <f t="shared" si="85"/>
        <v>1</v>
      </c>
      <c r="D1854" s="63" t="str">
        <f t="shared" si="86"/>
        <v>OK</v>
      </c>
      <c r="E1854" s="393">
        <v>400031539</v>
      </c>
      <c r="F1854" s="392" t="s">
        <v>4991</v>
      </c>
      <c r="G1854" s="392" t="s">
        <v>2042</v>
      </c>
      <c r="H1854" s="392" t="s">
        <v>7418</v>
      </c>
      <c r="I1854" s="392" t="s">
        <v>4992</v>
      </c>
      <c r="J1854" s="392" t="s">
        <v>8787</v>
      </c>
      <c r="K1854" s="392" t="s">
        <v>7396</v>
      </c>
      <c r="L1854" s="392" t="s">
        <v>3168</v>
      </c>
      <c r="M1854" s="392" t="s">
        <v>7273</v>
      </c>
      <c r="N1854" s="392" t="s">
        <v>7273</v>
      </c>
      <c r="O1854" s="392" t="s">
        <v>7273</v>
      </c>
      <c r="P1854"/>
      <c r="Q1854"/>
      <c r="R1854" s="387">
        <f>VLOOKUP(E1854,'[1]NDB Impacted SPRFs 05032013'!$A$2:$A$65536,1,FALSE)</f>
        <v>400031539</v>
      </c>
    </row>
    <row r="1855" spans="1:21" s="159" customFormat="1" ht="30" x14ac:dyDescent="0.25">
      <c r="A1855" s="63">
        <f>MATCH($E1855,'D1 - Master Project Table'!$B$24:$B$7056,0)</f>
        <v>3083</v>
      </c>
      <c r="B1855" s="63" t="b">
        <f t="shared" si="87"/>
        <v>0</v>
      </c>
      <c r="C1855" s="63" t="b">
        <f t="shared" si="85"/>
        <v>1</v>
      </c>
      <c r="D1855" s="63" t="str">
        <f t="shared" si="86"/>
        <v>OK</v>
      </c>
      <c r="E1855" s="393">
        <v>400047232</v>
      </c>
      <c r="F1855" s="392" t="s">
        <v>119</v>
      </c>
      <c r="G1855" s="392" t="s">
        <v>6322</v>
      </c>
      <c r="H1855" s="392" t="s">
        <v>5314</v>
      </c>
      <c r="I1855" s="392" t="s">
        <v>1119</v>
      </c>
      <c r="J1855" s="392" t="s">
        <v>7233</v>
      </c>
      <c r="K1855" s="392" t="s">
        <v>120</v>
      </c>
      <c r="L1855" s="392" t="s">
        <v>121</v>
      </c>
      <c r="M1855" s="392" t="s">
        <v>7273</v>
      </c>
      <c r="N1855" s="392" t="s">
        <v>7273</v>
      </c>
      <c r="O1855" s="392" t="s">
        <v>7273</v>
      </c>
      <c r="P1855"/>
      <c r="Q1855"/>
      <c r="R1855" s="387">
        <f>VLOOKUP(E1855,'[1]NDB Impacted SPRFs 05032013'!$A$2:$A$65536,1,FALSE)</f>
        <v>400047232</v>
      </c>
    </row>
    <row r="1856" spans="1:21" s="159" customFormat="1" ht="30" customHeight="1" x14ac:dyDescent="0.25">
      <c r="A1856" s="63" t="e">
        <f>MATCH($E1856,'D1 - Master Project Table'!$B$24:$B$7056,0)</f>
        <v>#N/A</v>
      </c>
      <c r="B1856" s="63" t="b">
        <f t="shared" si="87"/>
        <v>1</v>
      </c>
      <c r="C1856" s="63" t="b">
        <f t="shared" si="85"/>
        <v>1</v>
      </c>
      <c r="D1856" s="63" t="str">
        <f t="shared" si="86"/>
        <v>OK</v>
      </c>
      <c r="E1856" s="393">
        <v>212261327</v>
      </c>
      <c r="F1856" s="392" t="s">
        <v>8100</v>
      </c>
      <c r="G1856" s="392" t="s">
        <v>5787</v>
      </c>
      <c r="H1856" s="392" t="s">
        <v>5314</v>
      </c>
      <c r="I1856" s="392" t="s">
        <v>6903</v>
      </c>
      <c r="J1856" s="392" t="s">
        <v>8670</v>
      </c>
      <c r="K1856" s="392" t="s">
        <v>6941</v>
      </c>
      <c r="L1856" s="392" t="s">
        <v>7144</v>
      </c>
      <c r="M1856" s="392" t="s">
        <v>7273</v>
      </c>
      <c r="N1856" s="392" t="s">
        <v>7273</v>
      </c>
      <c r="O1856" s="392" t="s">
        <v>7273</v>
      </c>
      <c r="P1856"/>
      <c r="Q1856"/>
      <c r="R1856" s="387">
        <f>VLOOKUP(E1856,'[1]NDB Impacted SPRFs 05032013'!$A$2:$A$65536,1,FALSE)</f>
        <v>212261327</v>
      </c>
    </row>
    <row r="1857" spans="1:21" s="159" customFormat="1" ht="30" customHeight="1" x14ac:dyDescent="0.25">
      <c r="A1857" s="63" t="e">
        <f>MATCH($E1857,'D1 - Master Project Table'!$B$24:$B$7056,0)</f>
        <v>#N/A</v>
      </c>
      <c r="B1857" s="63" t="b">
        <f t="shared" si="87"/>
        <v>1</v>
      </c>
      <c r="C1857" s="63" t="b">
        <f t="shared" si="85"/>
        <v>1</v>
      </c>
      <c r="D1857" s="63" t="str">
        <f t="shared" si="86"/>
        <v>OK</v>
      </c>
      <c r="E1857" s="393">
        <v>400000342</v>
      </c>
      <c r="F1857" s="392" t="s">
        <v>1058</v>
      </c>
      <c r="G1857" s="392" t="s">
        <v>5787</v>
      </c>
      <c r="H1857" s="392" t="s">
        <v>5314</v>
      </c>
      <c r="I1857" s="392" t="s">
        <v>1814</v>
      </c>
      <c r="J1857" s="392" t="s">
        <v>8459</v>
      </c>
      <c r="K1857" s="392" t="s">
        <v>4678</v>
      </c>
      <c r="L1857" s="392" t="s">
        <v>4679</v>
      </c>
      <c r="M1857" s="392" t="s">
        <v>7273</v>
      </c>
      <c r="N1857" s="392" t="s">
        <v>7273</v>
      </c>
      <c r="O1857" s="392" t="s">
        <v>7273</v>
      </c>
      <c r="P1857"/>
      <c r="Q1857"/>
      <c r="R1857" s="387">
        <f>VLOOKUP(E1857,'[1]NDB Impacted SPRFs 05032013'!$A$2:$A$65536,1,FALSE)</f>
        <v>400000342</v>
      </c>
    </row>
    <row r="1858" spans="1:21" s="159" customFormat="1" ht="30" customHeight="1" x14ac:dyDescent="0.25">
      <c r="A1858" s="63" t="e">
        <f>MATCH($E1858,'D1 - Master Project Table'!$B$24:$B$7056,0)</f>
        <v>#N/A</v>
      </c>
      <c r="B1858" s="63" t="b">
        <f t="shared" si="87"/>
        <v>1</v>
      </c>
      <c r="C1858" s="63" t="b">
        <f t="shared" si="85"/>
        <v>1</v>
      </c>
      <c r="D1858" s="63" t="str">
        <f t="shared" si="86"/>
        <v>OK</v>
      </c>
      <c r="E1858" s="393">
        <v>400000477</v>
      </c>
      <c r="F1858" s="392" t="s">
        <v>4733</v>
      </c>
      <c r="G1858" s="392" t="s">
        <v>5324</v>
      </c>
      <c r="H1858" s="392" t="s">
        <v>7418</v>
      </c>
      <c r="I1858" s="392" t="s">
        <v>1766</v>
      </c>
      <c r="J1858" s="392" t="s">
        <v>8349</v>
      </c>
      <c r="K1858" s="392" t="s">
        <v>5853</v>
      </c>
      <c r="L1858" s="392" t="s">
        <v>4679</v>
      </c>
      <c r="M1858" s="392" t="s">
        <v>7273</v>
      </c>
      <c r="N1858" s="392" t="s">
        <v>7273</v>
      </c>
      <c r="O1858" s="392" t="s">
        <v>7273</v>
      </c>
      <c r="P1858"/>
      <c r="Q1858"/>
      <c r="R1858" s="387">
        <f>VLOOKUP(E1858,'[1]NDB Impacted SPRFs 05032013'!$A$2:$A$65536,1,FALSE)</f>
        <v>400000477</v>
      </c>
      <c r="S1858" s="128"/>
      <c r="T1858" s="128"/>
      <c r="U1858" s="128"/>
    </row>
    <row r="1859" spans="1:21" ht="45" x14ac:dyDescent="0.25">
      <c r="A1859" s="63">
        <f>MATCH($E1859,'D1 - Master Project Table'!$B$24:$B$7056,0)</f>
        <v>2376</v>
      </c>
      <c r="B1859" s="63" t="b">
        <f t="shared" si="87"/>
        <v>0</v>
      </c>
      <c r="C1859" s="63" t="b">
        <f t="shared" si="85"/>
        <v>1</v>
      </c>
      <c r="D1859" s="63" t="str">
        <f t="shared" si="86"/>
        <v>OK</v>
      </c>
      <c r="E1859" s="393">
        <v>400000974</v>
      </c>
      <c r="F1859" s="392" t="s">
        <v>3903</v>
      </c>
      <c r="G1859" s="392" t="s">
        <v>5324</v>
      </c>
      <c r="H1859" s="392" t="s">
        <v>5314</v>
      </c>
      <c r="I1859" s="392" t="s">
        <v>1765</v>
      </c>
      <c r="J1859" s="392" t="s">
        <v>8341</v>
      </c>
      <c r="K1859" s="392" t="s">
        <v>5561</v>
      </c>
      <c r="L1859" s="392" t="s">
        <v>4679</v>
      </c>
      <c r="M1859" s="392" t="s">
        <v>7273</v>
      </c>
      <c r="N1859" s="392" t="s">
        <v>7273</v>
      </c>
      <c r="O1859" s="392" t="s">
        <v>7273</v>
      </c>
      <c r="P1859"/>
      <c r="Q1859"/>
      <c r="R1859" s="387">
        <f>VLOOKUP(E1859,'[1]NDB Impacted SPRFs 05032013'!$A$2:$A$65536,1,FALSE)</f>
        <v>400000974</v>
      </c>
      <c r="S1859" s="159"/>
      <c r="T1859" s="159"/>
      <c r="U1859" s="159"/>
    </row>
    <row r="1860" spans="1:21" s="159" customFormat="1" ht="45" x14ac:dyDescent="0.25">
      <c r="A1860" s="63">
        <f>MATCH($E1860,'D1 - Master Project Table'!$B$24:$B$7056,0)</f>
        <v>2417</v>
      </c>
      <c r="B1860" s="63" t="b">
        <f t="shared" si="87"/>
        <v>0</v>
      </c>
      <c r="C1860" s="63" t="b">
        <f t="shared" si="85"/>
        <v>1</v>
      </c>
      <c r="D1860" s="63" t="str">
        <f t="shared" si="86"/>
        <v>OK</v>
      </c>
      <c r="E1860" s="393">
        <v>400002934</v>
      </c>
      <c r="F1860" s="392" t="s">
        <v>3317</v>
      </c>
      <c r="G1860" s="392" t="s">
        <v>5324</v>
      </c>
      <c r="H1860" s="392" t="s">
        <v>5314</v>
      </c>
      <c r="I1860" s="392" t="s">
        <v>1765</v>
      </c>
      <c r="J1860" s="392" t="s">
        <v>8415</v>
      </c>
      <c r="K1860" s="392" t="s">
        <v>5641</v>
      </c>
      <c r="L1860" s="392" t="s">
        <v>3318</v>
      </c>
      <c r="M1860" s="392" t="s">
        <v>7273</v>
      </c>
      <c r="N1860" s="392" t="s">
        <v>7273</v>
      </c>
      <c r="O1860" s="392" t="s">
        <v>7273</v>
      </c>
      <c r="P1860"/>
      <c r="Q1860"/>
      <c r="R1860" s="387">
        <f>VLOOKUP(E1860,'[1]NDB Impacted SPRFs 05032013'!$A$2:$A$65536,1,FALSE)</f>
        <v>400002934</v>
      </c>
      <c r="S1860" s="128"/>
      <c r="T1860" s="128"/>
      <c r="U1860" s="128"/>
    </row>
    <row r="1861" spans="1:21" ht="45" x14ac:dyDescent="0.25">
      <c r="A1861" s="63">
        <f>MATCH($E1861,'D1 - Master Project Table'!$B$24:$B$7056,0)</f>
        <v>1005</v>
      </c>
      <c r="B1861" s="63" t="b">
        <f t="shared" si="87"/>
        <v>0</v>
      </c>
      <c r="C1861" s="63" t="b">
        <f t="shared" si="85"/>
        <v>1</v>
      </c>
      <c r="D1861" s="63" t="str">
        <f t="shared" si="86"/>
        <v>OK</v>
      </c>
      <c r="E1861" s="393">
        <v>400014754</v>
      </c>
      <c r="F1861" s="392" t="s">
        <v>4986</v>
      </c>
      <c r="G1861" s="392" t="s">
        <v>5324</v>
      </c>
      <c r="H1861" s="392" t="s">
        <v>7418</v>
      </c>
      <c r="I1861" s="392" t="s">
        <v>1763</v>
      </c>
      <c r="J1861" s="392" t="s">
        <v>5168</v>
      </c>
      <c r="K1861" s="392" t="s">
        <v>8075</v>
      </c>
      <c r="L1861" s="392" t="s">
        <v>2079</v>
      </c>
      <c r="M1861" s="392" t="s">
        <v>7273</v>
      </c>
      <c r="N1861" s="392" t="s">
        <v>7273</v>
      </c>
      <c r="O1861" s="392" t="s">
        <v>7273</v>
      </c>
      <c r="P1861"/>
      <c r="Q1861"/>
      <c r="R1861" s="387">
        <f>VLOOKUP(E1861,'[1]NDB Impacted SPRFs 05032013'!$A$2:$A$65536,1,FALSE)</f>
        <v>400014754</v>
      </c>
      <c r="S1861" s="159"/>
      <c r="T1861" s="159"/>
      <c r="U1861" s="159"/>
    </row>
    <row r="1862" spans="1:21" s="159" customFormat="1" ht="45" x14ac:dyDescent="0.25">
      <c r="A1862" s="63">
        <f>MATCH($E1862,'D1 - Master Project Table'!$B$24:$B$7056,0)</f>
        <v>1009</v>
      </c>
      <c r="B1862" s="63" t="b">
        <f t="shared" si="87"/>
        <v>0</v>
      </c>
      <c r="C1862" s="63" t="b">
        <f t="shared" ref="C1862:C1925" si="88">OR(H1862="Completed",H1862="Cancelled")</f>
        <v>1</v>
      </c>
      <c r="D1862" s="63" t="str">
        <f t="shared" ref="D1862:D1925" si="89">IF(AND(B1862=TRUE,C1862=FALSE),"Add","OK")</f>
        <v>OK</v>
      </c>
      <c r="E1862" s="393">
        <v>400020538</v>
      </c>
      <c r="F1862" s="392" t="s">
        <v>3494</v>
      </c>
      <c r="G1862" s="392" t="s">
        <v>5324</v>
      </c>
      <c r="H1862" s="392" t="s">
        <v>7418</v>
      </c>
      <c r="I1862" s="392" t="s">
        <v>1757</v>
      </c>
      <c r="J1862" s="392" t="s">
        <v>8490</v>
      </c>
      <c r="K1862" s="392" t="s">
        <v>6286</v>
      </c>
      <c r="L1862" s="392" t="s">
        <v>2079</v>
      </c>
      <c r="M1862" s="392" t="s">
        <v>7273</v>
      </c>
      <c r="N1862" s="392" t="s">
        <v>7273</v>
      </c>
      <c r="O1862" s="392" t="s">
        <v>7273</v>
      </c>
      <c r="P1862"/>
      <c r="Q1862"/>
      <c r="R1862" s="387">
        <f>VLOOKUP(E1862,'[1]NDB Impacted SPRFs 05032013'!$A$2:$A$65536,1,FALSE)</f>
        <v>400020538</v>
      </c>
    </row>
    <row r="1863" spans="1:21" s="159" customFormat="1" ht="45" x14ac:dyDescent="0.25">
      <c r="A1863" s="63">
        <f>MATCH($E1863,'D1 - Master Project Table'!$B$24:$B$7056,0)</f>
        <v>1076</v>
      </c>
      <c r="B1863" s="63" t="b">
        <f t="shared" si="87"/>
        <v>0</v>
      </c>
      <c r="C1863" s="63" t="b">
        <f t="shared" si="88"/>
        <v>1</v>
      </c>
      <c r="D1863" s="63" t="str">
        <f t="shared" si="89"/>
        <v>OK</v>
      </c>
      <c r="E1863" s="393">
        <v>400025531</v>
      </c>
      <c r="F1863" s="392" t="s">
        <v>1524</v>
      </c>
      <c r="G1863" s="392" t="s">
        <v>5324</v>
      </c>
      <c r="H1863" s="392" t="s">
        <v>7418</v>
      </c>
      <c r="I1863" s="392" t="s">
        <v>1757</v>
      </c>
      <c r="J1863" s="392" t="s">
        <v>8388</v>
      </c>
      <c r="K1863" s="392" t="s">
        <v>3283</v>
      </c>
      <c r="L1863" s="392" t="s">
        <v>2079</v>
      </c>
      <c r="M1863" s="392" t="s">
        <v>7273</v>
      </c>
      <c r="N1863" s="392" t="s">
        <v>7273</v>
      </c>
      <c r="O1863" s="392" t="s">
        <v>7273</v>
      </c>
      <c r="P1863"/>
      <c r="Q1863"/>
      <c r="R1863" s="387">
        <f>VLOOKUP(E1863,'[1]NDB Impacted SPRFs 05032013'!$A$2:$A$65536,1,FALSE)</f>
        <v>400025531</v>
      </c>
      <c r="S1863" s="128"/>
      <c r="T1863" s="128"/>
      <c r="U1863" s="128"/>
    </row>
    <row r="1864" spans="1:21" s="159" customFormat="1" ht="45" x14ac:dyDescent="0.25">
      <c r="A1864" s="63">
        <f>MATCH($E1864,'D1 - Master Project Table'!$B$24:$B$7056,0)</f>
        <v>1976</v>
      </c>
      <c r="B1864" s="63" t="b">
        <f t="shared" si="87"/>
        <v>0</v>
      </c>
      <c r="C1864" s="63" t="b">
        <f t="shared" si="88"/>
        <v>1</v>
      </c>
      <c r="D1864" s="63" t="str">
        <f t="shared" si="89"/>
        <v>OK</v>
      </c>
      <c r="E1864" s="393">
        <v>400026400</v>
      </c>
      <c r="F1864" s="392" t="s">
        <v>4170</v>
      </c>
      <c r="G1864" s="392" t="s">
        <v>5324</v>
      </c>
      <c r="H1864" s="392" t="s">
        <v>7418</v>
      </c>
      <c r="I1864" s="392" t="s">
        <v>1757</v>
      </c>
      <c r="J1864" s="392" t="s">
        <v>8405</v>
      </c>
      <c r="K1864" s="392" t="s">
        <v>2017</v>
      </c>
      <c r="L1864" s="392" t="s">
        <v>2079</v>
      </c>
      <c r="M1864" s="392" t="s">
        <v>7273</v>
      </c>
      <c r="N1864" s="392" t="s">
        <v>7273</v>
      </c>
      <c r="O1864" s="392" t="s">
        <v>7273</v>
      </c>
      <c r="P1864"/>
      <c r="Q1864"/>
      <c r="R1864" s="387">
        <f>VLOOKUP(E1864,'[1]NDB Impacted SPRFs 05032013'!$A$2:$A$65536,1,FALSE)</f>
        <v>400026400</v>
      </c>
    </row>
    <row r="1865" spans="1:21" s="159" customFormat="1" ht="45" x14ac:dyDescent="0.25">
      <c r="A1865" s="63">
        <f>MATCH($E1865,'D1 - Master Project Table'!$B$24:$B$7056,0)</f>
        <v>1034</v>
      </c>
      <c r="B1865" s="63" t="b">
        <f t="shared" si="87"/>
        <v>0</v>
      </c>
      <c r="C1865" s="63" t="b">
        <f t="shared" si="88"/>
        <v>1</v>
      </c>
      <c r="D1865" s="63" t="str">
        <f t="shared" si="89"/>
        <v>OK</v>
      </c>
      <c r="E1865" s="393">
        <v>400026716</v>
      </c>
      <c r="F1865" s="392" t="s">
        <v>6231</v>
      </c>
      <c r="G1865" s="392" t="s">
        <v>5324</v>
      </c>
      <c r="H1865" s="392" t="s">
        <v>7418</v>
      </c>
      <c r="I1865" s="392" t="s">
        <v>1757</v>
      </c>
      <c r="J1865" s="392" t="s">
        <v>5168</v>
      </c>
      <c r="K1865" s="392" t="s">
        <v>3843</v>
      </c>
      <c r="L1865" s="392" t="s">
        <v>2079</v>
      </c>
      <c r="M1865" s="392" t="s">
        <v>7273</v>
      </c>
      <c r="N1865" s="392" t="s">
        <v>7273</v>
      </c>
      <c r="O1865" s="392" t="s">
        <v>7273</v>
      </c>
      <c r="P1865"/>
      <c r="Q1865"/>
      <c r="R1865" s="387">
        <f>VLOOKUP(E1865,'[1]NDB Impacted SPRFs 05032013'!$A$2:$A$65536,1,FALSE)</f>
        <v>400026716</v>
      </c>
      <c r="S1865" s="128"/>
      <c r="T1865" s="128"/>
      <c r="U1865" s="128"/>
    </row>
    <row r="1866" spans="1:21" s="159" customFormat="1" ht="30" x14ac:dyDescent="0.25">
      <c r="A1866" s="63">
        <f>MATCH($E1866,'D1 - Master Project Table'!$B$24:$B$7056,0)</f>
        <v>1016</v>
      </c>
      <c r="B1866" s="63" t="b">
        <f t="shared" si="87"/>
        <v>0</v>
      </c>
      <c r="C1866" s="63" t="b">
        <f t="shared" si="88"/>
        <v>1</v>
      </c>
      <c r="D1866" s="63" t="str">
        <f t="shared" si="89"/>
        <v>OK</v>
      </c>
      <c r="E1866" s="393">
        <v>400027648</v>
      </c>
      <c r="F1866" s="392" t="s">
        <v>5235</v>
      </c>
      <c r="G1866" s="392" t="s">
        <v>5995</v>
      </c>
      <c r="H1866" s="392" t="s">
        <v>7418</v>
      </c>
      <c r="I1866" s="392" t="s">
        <v>6423</v>
      </c>
      <c r="J1866" s="392" t="s">
        <v>4424</v>
      </c>
      <c r="K1866" s="392" t="s">
        <v>3383</v>
      </c>
      <c r="L1866" s="392" t="s">
        <v>2079</v>
      </c>
      <c r="M1866" s="392" t="s">
        <v>7273</v>
      </c>
      <c r="N1866" s="392" t="s">
        <v>7273</v>
      </c>
      <c r="O1866" s="392" t="s">
        <v>7273</v>
      </c>
      <c r="P1866"/>
      <c r="Q1866"/>
      <c r="R1866" s="387">
        <f>VLOOKUP(E1866,'[1]NDB Impacted SPRFs 05032013'!$A$2:$A$65536,1,FALSE)</f>
        <v>400027648</v>
      </c>
    </row>
    <row r="1867" spans="1:21" s="159" customFormat="1" ht="45" x14ac:dyDescent="0.25">
      <c r="A1867" s="63">
        <f>MATCH($E1867,'D1 - Master Project Table'!$B$24:$B$7056,0)</f>
        <v>1140</v>
      </c>
      <c r="B1867" s="63" t="b">
        <f t="shared" si="87"/>
        <v>0</v>
      </c>
      <c r="C1867" s="63" t="b">
        <f t="shared" si="88"/>
        <v>1</v>
      </c>
      <c r="D1867" s="63" t="str">
        <f t="shared" si="89"/>
        <v>OK</v>
      </c>
      <c r="E1867" s="393">
        <v>400028030</v>
      </c>
      <c r="F1867" s="392" t="s">
        <v>3155</v>
      </c>
      <c r="G1867" s="392" t="s">
        <v>5324</v>
      </c>
      <c r="H1867" s="392" t="s">
        <v>7418</v>
      </c>
      <c r="I1867" s="392" t="s">
        <v>1757</v>
      </c>
      <c r="J1867" s="392" t="s">
        <v>7233</v>
      </c>
      <c r="K1867" s="392" t="s">
        <v>8075</v>
      </c>
      <c r="L1867" s="392" t="s">
        <v>2079</v>
      </c>
      <c r="M1867" s="392" t="s">
        <v>7273</v>
      </c>
      <c r="N1867" s="392" t="s">
        <v>7273</v>
      </c>
      <c r="O1867" s="392" t="s">
        <v>7273</v>
      </c>
      <c r="P1867"/>
      <c r="Q1867"/>
      <c r="R1867" s="387">
        <f>VLOOKUP(E1867,'[1]NDB Impacted SPRFs 05032013'!$A$2:$A$65536,1,FALSE)</f>
        <v>400028030</v>
      </c>
    </row>
    <row r="1868" spans="1:21" s="159" customFormat="1" ht="45" x14ac:dyDescent="0.25">
      <c r="A1868" s="63">
        <f>MATCH($E1868,'D1 - Master Project Table'!$B$24:$B$7056,0)</f>
        <v>1039</v>
      </c>
      <c r="B1868" s="63" t="b">
        <f t="shared" si="87"/>
        <v>0</v>
      </c>
      <c r="C1868" s="63" t="b">
        <f t="shared" si="88"/>
        <v>1</v>
      </c>
      <c r="D1868" s="63" t="str">
        <f t="shared" si="89"/>
        <v>OK</v>
      </c>
      <c r="E1868" s="393">
        <v>400028305</v>
      </c>
      <c r="F1868" s="392" t="s">
        <v>7642</v>
      </c>
      <c r="G1868" s="392" t="s">
        <v>5325</v>
      </c>
      <c r="H1868" s="392" t="s">
        <v>7418</v>
      </c>
      <c r="I1868" s="392" t="s">
        <v>1797</v>
      </c>
      <c r="J1868" s="392" t="s">
        <v>6011</v>
      </c>
      <c r="K1868" s="392" t="s">
        <v>7643</v>
      </c>
      <c r="L1868" s="392" t="s">
        <v>2079</v>
      </c>
      <c r="M1868" s="392" t="s">
        <v>7273</v>
      </c>
      <c r="N1868" s="392" t="s">
        <v>7273</v>
      </c>
      <c r="O1868" s="392" t="s">
        <v>7273</v>
      </c>
      <c r="P1868"/>
      <c r="Q1868"/>
      <c r="R1868" s="387">
        <f>VLOOKUP(E1868,'[1]NDB Impacted SPRFs 05032013'!$A$2:$A$65536,1,FALSE)</f>
        <v>400028305</v>
      </c>
      <c r="S1868" s="128"/>
      <c r="T1868" s="128"/>
      <c r="U1868" s="128"/>
    </row>
    <row r="1869" spans="1:21" s="159" customFormat="1" ht="45" x14ac:dyDescent="0.25">
      <c r="A1869" s="63">
        <f>MATCH($E1869,'D1 - Master Project Table'!$B$24:$B$7056,0)</f>
        <v>2952</v>
      </c>
      <c r="B1869" s="63" t="b">
        <f t="shared" si="87"/>
        <v>0</v>
      </c>
      <c r="C1869" s="63" t="b">
        <f t="shared" si="88"/>
        <v>1</v>
      </c>
      <c r="D1869" s="63" t="str">
        <f t="shared" si="89"/>
        <v>OK</v>
      </c>
      <c r="E1869" s="393">
        <v>400035298</v>
      </c>
      <c r="F1869" s="392" t="s">
        <v>657</v>
      </c>
      <c r="G1869" s="392" t="s">
        <v>5324</v>
      </c>
      <c r="H1869" s="392" t="s">
        <v>5314</v>
      </c>
      <c r="I1869" s="392" t="s">
        <v>1758</v>
      </c>
      <c r="J1869" s="392" t="s">
        <v>6087</v>
      </c>
      <c r="K1869" s="392" t="s">
        <v>5617</v>
      </c>
      <c r="L1869" s="392" t="s">
        <v>2079</v>
      </c>
      <c r="M1869" s="392" t="s">
        <v>7273</v>
      </c>
      <c r="N1869" s="392" t="s">
        <v>7273</v>
      </c>
      <c r="O1869" s="392" t="s">
        <v>7273</v>
      </c>
      <c r="P1869"/>
      <c r="Q1869"/>
      <c r="R1869" s="387">
        <f>VLOOKUP(E1869,'[1]NDB Impacted SPRFs 05032013'!$A$2:$A$65536,1,FALSE)</f>
        <v>400035298</v>
      </c>
    </row>
    <row r="1870" spans="1:21" s="160" customFormat="1" ht="30" x14ac:dyDescent="0.25">
      <c r="A1870" s="63">
        <f>MATCH($E1870,'D1 - Master Project Table'!$B$24:$B$7056,0)</f>
        <v>1935</v>
      </c>
      <c r="B1870" s="63" t="b">
        <f t="shared" si="87"/>
        <v>0</v>
      </c>
      <c r="C1870" s="63" t="b">
        <f t="shared" si="88"/>
        <v>1</v>
      </c>
      <c r="D1870" s="63" t="str">
        <f t="shared" si="89"/>
        <v>OK</v>
      </c>
      <c r="E1870" s="393">
        <v>400017329</v>
      </c>
      <c r="F1870" s="392" t="s">
        <v>5021</v>
      </c>
      <c r="G1870" s="392" t="s">
        <v>5787</v>
      </c>
      <c r="H1870" s="392" t="s">
        <v>7418</v>
      </c>
      <c r="I1870" s="392" t="s">
        <v>1775</v>
      </c>
      <c r="J1870" s="392" t="s">
        <v>8731</v>
      </c>
      <c r="K1870" s="392" t="s">
        <v>2795</v>
      </c>
      <c r="L1870" s="392" t="s">
        <v>5981</v>
      </c>
      <c r="M1870" s="392" t="s">
        <v>7273</v>
      </c>
      <c r="N1870" s="392" t="s">
        <v>7273</v>
      </c>
      <c r="O1870" s="392" t="s">
        <v>7273</v>
      </c>
      <c r="P1870" s="212"/>
      <c r="Q1870"/>
      <c r="R1870" s="387">
        <f>VLOOKUP(E1870,'[1]NDB Impacted SPRFs 05032013'!$A$2:$A$65536,1,FALSE)</f>
        <v>400017329</v>
      </c>
      <c r="S1870" s="159"/>
      <c r="T1870" s="159"/>
      <c r="U1870" s="159"/>
    </row>
    <row r="1871" spans="1:21" s="159" customFormat="1" ht="45" x14ac:dyDescent="0.25">
      <c r="A1871" s="63">
        <f>MATCH($E1871,'D1 - Master Project Table'!$B$24:$B$7056,0)</f>
        <v>2983</v>
      </c>
      <c r="B1871" s="63" t="b">
        <f t="shared" si="87"/>
        <v>0</v>
      </c>
      <c r="C1871" s="63" t="b">
        <f t="shared" si="88"/>
        <v>1</v>
      </c>
      <c r="D1871" s="63" t="str">
        <f t="shared" si="89"/>
        <v>OK</v>
      </c>
      <c r="E1871" s="393">
        <v>400037801</v>
      </c>
      <c r="F1871" s="392" t="s">
        <v>2102</v>
      </c>
      <c r="G1871" s="392" t="s">
        <v>6322</v>
      </c>
      <c r="H1871" s="392" t="s">
        <v>5314</v>
      </c>
      <c r="I1871" s="392" t="s">
        <v>7594</v>
      </c>
      <c r="J1871" s="392" t="s">
        <v>1062</v>
      </c>
      <c r="K1871" s="392" t="s">
        <v>7164</v>
      </c>
      <c r="L1871" s="392" t="s">
        <v>2079</v>
      </c>
      <c r="M1871" s="392" t="s">
        <v>7273</v>
      </c>
      <c r="N1871" s="392" t="s">
        <v>7273</v>
      </c>
      <c r="O1871" s="392" t="s">
        <v>7273</v>
      </c>
      <c r="P1871"/>
      <c r="Q1871"/>
      <c r="R1871" s="387">
        <f>VLOOKUP(E1871,'[1]NDB Impacted SPRFs 05032013'!$A$2:$A$65536,1,FALSE)</f>
        <v>400037801</v>
      </c>
    </row>
    <row r="1872" spans="1:21" s="159" customFormat="1" ht="30" x14ac:dyDescent="0.25">
      <c r="A1872" s="63">
        <f>MATCH($E1872,'D1 - Master Project Table'!$B$24:$B$7056,0)</f>
        <v>3144</v>
      </c>
      <c r="B1872" s="63" t="b">
        <f t="shared" si="87"/>
        <v>0</v>
      </c>
      <c r="C1872" s="63" t="b">
        <f t="shared" si="88"/>
        <v>1</v>
      </c>
      <c r="D1872" s="63" t="str">
        <f t="shared" si="89"/>
        <v>OK</v>
      </c>
      <c r="E1872" s="393">
        <v>400056997</v>
      </c>
      <c r="F1872" s="392" t="s">
        <v>7708</v>
      </c>
      <c r="G1872" s="392" t="s">
        <v>5995</v>
      </c>
      <c r="H1872" s="392" t="s">
        <v>5314</v>
      </c>
      <c r="I1872" s="392" t="s">
        <v>6423</v>
      </c>
      <c r="J1872" s="392" t="s">
        <v>1852</v>
      </c>
      <c r="K1872" s="392" t="s">
        <v>1709</v>
      </c>
      <c r="L1872" s="392" t="s">
        <v>7183</v>
      </c>
      <c r="M1872" s="392" t="s">
        <v>7273</v>
      </c>
      <c r="N1872" s="392" t="s">
        <v>7273</v>
      </c>
      <c r="O1872" s="392" t="s">
        <v>7273</v>
      </c>
      <c r="P1872"/>
      <c r="Q1872"/>
      <c r="R1872" s="387">
        <f>VLOOKUP(E1872,'[1]NDB Impacted SPRFs 05032013'!$A$2:$A$65536,1,FALSE)</f>
        <v>400056997</v>
      </c>
      <c r="S1872" s="128"/>
      <c r="T1872" s="128"/>
      <c r="U1872" s="128"/>
    </row>
    <row r="1873" spans="1:21" s="159" customFormat="1" ht="30" x14ac:dyDescent="0.25">
      <c r="A1873" s="63">
        <f>MATCH($E1873,'D1 - Master Project Table'!$B$24:$B$7056,0)</f>
        <v>3153</v>
      </c>
      <c r="B1873" s="63" t="b">
        <f t="shared" si="87"/>
        <v>0</v>
      </c>
      <c r="C1873" s="63" t="b">
        <f t="shared" si="88"/>
        <v>1</v>
      </c>
      <c r="D1873" s="63" t="str">
        <f t="shared" si="89"/>
        <v>OK</v>
      </c>
      <c r="E1873" s="393">
        <v>400058699</v>
      </c>
      <c r="F1873" s="392" t="s">
        <v>9080</v>
      </c>
      <c r="G1873" s="392" t="s">
        <v>6322</v>
      </c>
      <c r="H1873" s="392" t="s">
        <v>5314</v>
      </c>
      <c r="I1873" s="392" t="s">
        <v>1756</v>
      </c>
      <c r="J1873" s="392" t="s">
        <v>499</v>
      </c>
      <c r="K1873" s="392" t="s">
        <v>499</v>
      </c>
      <c r="L1873" s="392" t="s">
        <v>9081</v>
      </c>
      <c r="M1873" s="392" t="s">
        <v>7273</v>
      </c>
      <c r="N1873" s="392" t="s">
        <v>7273</v>
      </c>
      <c r="O1873" s="392" t="s">
        <v>7273</v>
      </c>
      <c r="P1873"/>
      <c r="Q1873"/>
      <c r="R1873" s="387">
        <f>VLOOKUP(E1873,'[1]NDB Impacted SPRFs 05032013'!$A$2:$A$65536,1,FALSE)</f>
        <v>400058699</v>
      </c>
      <c r="S1873" s="128"/>
      <c r="T1873" s="128"/>
      <c r="U1873" s="128"/>
    </row>
    <row r="1874" spans="1:21" ht="30" x14ac:dyDescent="0.25">
      <c r="A1874" s="63" t="e">
        <f>MATCH($E1874,'D1 - Master Project Table'!$B$24:$B$7056,0)</f>
        <v>#N/A</v>
      </c>
      <c r="B1874" s="63" t="b">
        <f t="shared" si="87"/>
        <v>1</v>
      </c>
      <c r="C1874" s="63" t="b">
        <f t="shared" si="88"/>
        <v>1</v>
      </c>
      <c r="D1874" s="63" t="str">
        <f t="shared" si="89"/>
        <v>OK</v>
      </c>
      <c r="E1874" s="393">
        <v>400002072</v>
      </c>
      <c r="F1874" s="392" t="s">
        <v>1263</v>
      </c>
      <c r="G1874" s="392" t="s">
        <v>5995</v>
      </c>
      <c r="H1874" s="392" t="s">
        <v>7418</v>
      </c>
      <c r="I1874" s="392" t="s">
        <v>3529</v>
      </c>
      <c r="J1874" s="392" t="s">
        <v>8797</v>
      </c>
      <c r="K1874" s="392" t="s">
        <v>3794</v>
      </c>
      <c r="L1874" s="392" t="s">
        <v>4865</v>
      </c>
      <c r="M1874" s="392" t="s">
        <v>7273</v>
      </c>
      <c r="N1874" s="392" t="s">
        <v>7273</v>
      </c>
      <c r="O1874" s="392" t="s">
        <v>7273</v>
      </c>
      <c r="P1874"/>
      <c r="Q1874"/>
      <c r="R1874" s="387">
        <f>VLOOKUP(E1874,'[1]NDB Impacted SPRFs 05032013'!$A$2:$A$65536,1,FALSE)</f>
        <v>400002072</v>
      </c>
      <c r="S1874" s="159"/>
      <c r="T1874" s="159"/>
      <c r="U1874" s="159"/>
    </row>
    <row r="1875" spans="1:21" s="159" customFormat="1" ht="45" x14ac:dyDescent="0.25">
      <c r="A1875" s="63">
        <f>MATCH($E1875,'D1 - Master Project Table'!$B$24:$B$7056,0)</f>
        <v>2484</v>
      </c>
      <c r="B1875" s="63" t="b">
        <f t="shared" si="87"/>
        <v>0</v>
      </c>
      <c r="C1875" s="63" t="b">
        <f t="shared" si="88"/>
        <v>1</v>
      </c>
      <c r="D1875" s="63" t="str">
        <f t="shared" si="89"/>
        <v>OK</v>
      </c>
      <c r="E1875" s="393">
        <v>400005873</v>
      </c>
      <c r="F1875" s="392" t="s">
        <v>5579</v>
      </c>
      <c r="G1875" s="392" t="s">
        <v>5324</v>
      </c>
      <c r="H1875" s="392" t="s">
        <v>5314</v>
      </c>
      <c r="I1875" s="392" t="s">
        <v>1765</v>
      </c>
      <c r="J1875" s="392" t="s">
        <v>5580</v>
      </c>
      <c r="K1875" s="392" t="s">
        <v>2953</v>
      </c>
      <c r="L1875" s="392" t="s">
        <v>5981</v>
      </c>
      <c r="M1875" s="392" t="s">
        <v>7273</v>
      </c>
      <c r="N1875" s="392" t="s">
        <v>7273</v>
      </c>
      <c r="O1875" s="392" t="s">
        <v>7273</v>
      </c>
      <c r="P1875"/>
      <c r="Q1875"/>
      <c r="R1875" s="387">
        <f>VLOOKUP(E1875,'[1]NDB Impacted SPRFs 05032013'!$A$2:$A$65536,1,FALSE)</f>
        <v>400005873</v>
      </c>
    </row>
    <row r="1876" spans="1:21" s="159" customFormat="1" ht="30" x14ac:dyDescent="0.25">
      <c r="A1876" s="63">
        <f>MATCH($E1876,'D1 - Master Project Table'!$B$24:$B$7056,0)</f>
        <v>485</v>
      </c>
      <c r="B1876" s="63" t="b">
        <f t="shared" si="87"/>
        <v>0</v>
      </c>
      <c r="C1876" s="63" t="b">
        <f t="shared" si="88"/>
        <v>1</v>
      </c>
      <c r="D1876" s="63" t="str">
        <f t="shared" si="89"/>
        <v>OK</v>
      </c>
      <c r="E1876" s="393">
        <v>400010204</v>
      </c>
      <c r="F1876" s="392" t="s">
        <v>5628</v>
      </c>
      <c r="G1876" s="392" t="s">
        <v>5787</v>
      </c>
      <c r="H1876" s="392" t="s">
        <v>7418</v>
      </c>
      <c r="I1876" s="392" t="s">
        <v>1775</v>
      </c>
      <c r="J1876" s="392" t="s">
        <v>8719</v>
      </c>
      <c r="K1876" s="392" t="s">
        <v>7952</v>
      </c>
      <c r="L1876" s="392" t="s">
        <v>5700</v>
      </c>
      <c r="M1876" s="392" t="s">
        <v>7273</v>
      </c>
      <c r="N1876" s="392" t="s">
        <v>7273</v>
      </c>
      <c r="O1876" s="392" t="s">
        <v>7273</v>
      </c>
      <c r="P1876"/>
      <c r="Q1876"/>
      <c r="R1876" s="387">
        <f>VLOOKUP(E1876,'[1]NDB Impacted SPRFs 05032013'!$A$2:$A$65536,1,FALSE)</f>
        <v>400010204</v>
      </c>
    </row>
    <row r="1877" spans="1:21" s="159" customFormat="1" ht="30" x14ac:dyDescent="0.25">
      <c r="A1877" s="63" t="e">
        <f>MATCH($E1877,'D1 - Master Project Table'!$B$24:$B$7056,0)</f>
        <v>#N/A</v>
      </c>
      <c r="B1877" s="63" t="b">
        <f t="shared" si="87"/>
        <v>1</v>
      </c>
      <c r="C1877" s="63" t="b">
        <f t="shared" si="88"/>
        <v>1</v>
      </c>
      <c r="D1877" s="63" t="str">
        <f t="shared" si="89"/>
        <v>OK</v>
      </c>
      <c r="E1877" s="393">
        <v>400014868</v>
      </c>
      <c r="F1877" s="392" t="s">
        <v>4148</v>
      </c>
      <c r="G1877" s="392" t="s">
        <v>5787</v>
      </c>
      <c r="H1877" s="392" t="s">
        <v>7418</v>
      </c>
      <c r="I1877" s="392" t="s">
        <v>1772</v>
      </c>
      <c r="J1877" s="392" t="s">
        <v>8573</v>
      </c>
      <c r="K1877" s="392" t="s">
        <v>7952</v>
      </c>
      <c r="L1877" s="392" t="s">
        <v>5981</v>
      </c>
      <c r="M1877" s="392" t="s">
        <v>7273</v>
      </c>
      <c r="N1877" s="392" t="s">
        <v>7273</v>
      </c>
      <c r="O1877" s="392" t="s">
        <v>7273</v>
      </c>
      <c r="P1877"/>
      <c r="Q1877"/>
      <c r="R1877" s="387">
        <f>VLOOKUP(E1877,'[1]NDB Impacted SPRFs 05032013'!$A$2:$A$65536,1,FALSE)</f>
        <v>400014868</v>
      </c>
    </row>
    <row r="1878" spans="1:21" s="159" customFormat="1" ht="45" customHeight="1" x14ac:dyDescent="0.25">
      <c r="A1878" s="63" t="e">
        <f>MATCH($E1878,'D1 - Master Project Table'!$B$24:$B$7056,0)</f>
        <v>#N/A</v>
      </c>
      <c r="B1878" s="63" t="b">
        <f t="shared" si="87"/>
        <v>1</v>
      </c>
      <c r="C1878" s="63" t="b">
        <f t="shared" si="88"/>
        <v>1</v>
      </c>
      <c r="D1878" s="63" t="str">
        <f t="shared" si="89"/>
        <v>OK</v>
      </c>
      <c r="E1878" s="393">
        <v>400022941</v>
      </c>
      <c r="F1878" s="392" t="s">
        <v>5026</v>
      </c>
      <c r="G1878" s="392" t="s">
        <v>5324</v>
      </c>
      <c r="H1878" s="392" t="s">
        <v>5314</v>
      </c>
      <c r="I1878" s="392" t="s">
        <v>1760</v>
      </c>
      <c r="J1878" s="392" t="s">
        <v>8293</v>
      </c>
      <c r="K1878" s="392" t="s">
        <v>3353</v>
      </c>
      <c r="L1878" s="392" t="s">
        <v>1959</v>
      </c>
      <c r="M1878" s="392" t="s">
        <v>7273</v>
      </c>
      <c r="N1878" s="392" t="s">
        <v>7273</v>
      </c>
      <c r="O1878" s="392" t="s">
        <v>7273</v>
      </c>
      <c r="P1878"/>
      <c r="Q1878"/>
      <c r="R1878" s="387">
        <f>VLOOKUP(E1878,'[1]NDB Impacted SPRFs 05032013'!$A$2:$A$65536,1,FALSE)</f>
        <v>400022941</v>
      </c>
      <c r="S1878" s="128"/>
      <c r="T1878" s="128"/>
      <c r="U1878" s="128"/>
    </row>
    <row r="1879" spans="1:21" s="159" customFormat="1" ht="45" x14ac:dyDescent="0.25">
      <c r="A1879" s="63">
        <f>MATCH($E1879,'D1 - Master Project Table'!$B$24:$B$7056,0)</f>
        <v>2799</v>
      </c>
      <c r="B1879" s="63" t="b">
        <f t="shared" si="87"/>
        <v>0</v>
      </c>
      <c r="C1879" s="63" t="b">
        <f t="shared" si="88"/>
        <v>1</v>
      </c>
      <c r="D1879" s="63" t="str">
        <f t="shared" si="89"/>
        <v>OK</v>
      </c>
      <c r="E1879" s="393">
        <v>400023260</v>
      </c>
      <c r="F1879" s="392" t="s">
        <v>6124</v>
      </c>
      <c r="G1879" s="392" t="s">
        <v>5324</v>
      </c>
      <c r="H1879" s="392" t="s">
        <v>5314</v>
      </c>
      <c r="I1879" s="392" t="s">
        <v>1757</v>
      </c>
      <c r="J1879" s="392" t="s">
        <v>3936</v>
      </c>
      <c r="K1879" s="392" t="s">
        <v>4176</v>
      </c>
      <c r="L1879" s="392" t="s">
        <v>5981</v>
      </c>
      <c r="M1879" s="392" t="s">
        <v>7273</v>
      </c>
      <c r="N1879" s="392" t="s">
        <v>7273</v>
      </c>
      <c r="O1879" s="392" t="s">
        <v>7273</v>
      </c>
      <c r="P1879"/>
      <c r="Q1879"/>
      <c r="R1879" s="387">
        <f>VLOOKUP(E1879,'[1]NDB Impacted SPRFs 05032013'!$A$2:$A$65536,1,FALSE)</f>
        <v>400023260</v>
      </c>
    </row>
    <row r="1880" spans="1:21" s="159" customFormat="1" ht="45" x14ac:dyDescent="0.25">
      <c r="A1880" s="63" t="e">
        <f>MATCH($E1880,'D1 - Master Project Table'!$B$24:$B$7056,0)</f>
        <v>#N/A</v>
      </c>
      <c r="B1880" s="63" t="b">
        <f t="shared" si="87"/>
        <v>1</v>
      </c>
      <c r="C1880" s="63" t="b">
        <f t="shared" si="88"/>
        <v>1</v>
      </c>
      <c r="D1880" s="63" t="str">
        <f t="shared" si="89"/>
        <v>OK</v>
      </c>
      <c r="E1880" s="393">
        <v>400000747</v>
      </c>
      <c r="F1880" s="392" t="s">
        <v>6823</v>
      </c>
      <c r="G1880" s="392" t="s">
        <v>5324</v>
      </c>
      <c r="H1880" s="392" t="s">
        <v>5314</v>
      </c>
      <c r="I1880" s="392" t="s">
        <v>1765</v>
      </c>
      <c r="J1880" s="392" t="s">
        <v>5184</v>
      </c>
      <c r="K1880" s="392" t="s">
        <v>5641</v>
      </c>
      <c r="L1880" s="392" t="s">
        <v>8004</v>
      </c>
      <c r="M1880" s="392" t="s">
        <v>7273</v>
      </c>
      <c r="N1880" s="392" t="s">
        <v>7273</v>
      </c>
      <c r="O1880" s="392" t="s">
        <v>7273</v>
      </c>
      <c r="P1880"/>
      <c r="Q1880"/>
      <c r="R1880" s="387">
        <f>VLOOKUP(E1880,'[1]NDB Impacted SPRFs 05032013'!$A$2:$A$65536,1,FALSE)</f>
        <v>400000747</v>
      </c>
    </row>
    <row r="1881" spans="1:21" s="159" customFormat="1" ht="45" x14ac:dyDescent="0.25">
      <c r="A1881" s="63" t="e">
        <f>MATCH($E1881,'D1 - Master Project Table'!$B$24:$B$7056,0)</f>
        <v>#N/A</v>
      </c>
      <c r="B1881" s="63" t="b">
        <f t="shared" si="87"/>
        <v>1</v>
      </c>
      <c r="C1881" s="63" t="b">
        <f t="shared" si="88"/>
        <v>1</v>
      </c>
      <c r="D1881" s="63" t="str">
        <f t="shared" si="89"/>
        <v>OK</v>
      </c>
      <c r="E1881" s="393">
        <v>400000859</v>
      </c>
      <c r="F1881" s="392" t="s">
        <v>3359</v>
      </c>
      <c r="G1881" s="392" t="s">
        <v>5324</v>
      </c>
      <c r="H1881" s="392" t="s">
        <v>7418</v>
      </c>
      <c r="I1881" s="392" t="s">
        <v>1766</v>
      </c>
      <c r="J1881" s="392" t="s">
        <v>8352</v>
      </c>
      <c r="K1881" s="392" t="s">
        <v>5573</v>
      </c>
      <c r="L1881" s="392" t="s">
        <v>8004</v>
      </c>
      <c r="M1881" s="392" t="s">
        <v>7273</v>
      </c>
      <c r="N1881" s="392" t="s">
        <v>7273</v>
      </c>
      <c r="O1881" s="392" t="s">
        <v>7273</v>
      </c>
      <c r="P1881"/>
      <c r="Q1881"/>
      <c r="R1881" s="387">
        <f>VLOOKUP(E1881,'[1]NDB Impacted SPRFs 05032013'!$A$2:$A$65536,1,FALSE)</f>
        <v>400000859</v>
      </c>
    </row>
    <row r="1882" spans="1:21" s="159" customFormat="1" ht="30" customHeight="1" x14ac:dyDescent="0.25">
      <c r="A1882" s="63" t="e">
        <f>MATCH($E1882,'D1 - Master Project Table'!$B$24:$B$7056,0)</f>
        <v>#N/A</v>
      </c>
      <c r="B1882" s="63" t="b">
        <f t="shared" si="87"/>
        <v>1</v>
      </c>
      <c r="C1882" s="63" t="b">
        <f t="shared" si="88"/>
        <v>1</v>
      </c>
      <c r="D1882" s="63" t="str">
        <f t="shared" si="89"/>
        <v>OK</v>
      </c>
      <c r="E1882" s="393">
        <v>400001000</v>
      </c>
      <c r="F1882" s="392" t="s">
        <v>4067</v>
      </c>
      <c r="G1882" s="392" t="s">
        <v>5324</v>
      </c>
      <c r="H1882" s="392" t="s">
        <v>7418</v>
      </c>
      <c r="I1882" s="392" t="s">
        <v>1806</v>
      </c>
      <c r="J1882" s="392" t="s">
        <v>8535</v>
      </c>
      <c r="K1882" s="392" t="s">
        <v>4076</v>
      </c>
      <c r="L1882" s="392" t="s">
        <v>8004</v>
      </c>
      <c r="M1882" s="392" t="s">
        <v>7273</v>
      </c>
      <c r="N1882" s="392" t="s">
        <v>7273</v>
      </c>
      <c r="O1882" s="392" t="s">
        <v>7273</v>
      </c>
      <c r="P1882"/>
      <c r="Q1882"/>
      <c r="R1882" s="387">
        <f>VLOOKUP(E1882,'[1]NDB Impacted SPRFs 05032013'!$A$2:$A$65536,1,FALSE)</f>
        <v>400001000</v>
      </c>
    </row>
    <row r="1883" spans="1:21" s="159" customFormat="1" ht="45" x14ac:dyDescent="0.25">
      <c r="A1883" s="63" t="e">
        <f>MATCH($E1883,'D1 - Master Project Table'!$B$24:$B$7056,0)</f>
        <v>#N/A</v>
      </c>
      <c r="B1883" s="63" t="b">
        <f t="shared" si="87"/>
        <v>1</v>
      </c>
      <c r="C1883" s="63" t="b">
        <f t="shared" si="88"/>
        <v>1</v>
      </c>
      <c r="D1883" s="63" t="str">
        <f t="shared" si="89"/>
        <v>OK</v>
      </c>
      <c r="E1883" s="393">
        <v>400001032</v>
      </c>
      <c r="F1883" s="392" t="s">
        <v>2701</v>
      </c>
      <c r="G1883" s="392" t="s">
        <v>5324</v>
      </c>
      <c r="H1883" s="392" t="s">
        <v>7418</v>
      </c>
      <c r="I1883" s="392" t="s">
        <v>1766</v>
      </c>
      <c r="J1883" s="392" t="s">
        <v>8352</v>
      </c>
      <c r="K1883" s="392" t="s">
        <v>5573</v>
      </c>
      <c r="L1883" s="392" t="s">
        <v>8004</v>
      </c>
      <c r="M1883" s="392" t="s">
        <v>7273</v>
      </c>
      <c r="N1883" s="392" t="s">
        <v>7273</v>
      </c>
      <c r="O1883" s="392" t="s">
        <v>7273</v>
      </c>
      <c r="P1883"/>
      <c r="Q1883"/>
      <c r="R1883" s="387">
        <f>VLOOKUP(E1883,'[1]NDB Impacted SPRFs 05032013'!$A$2:$A$65536,1,FALSE)</f>
        <v>400001032</v>
      </c>
    </row>
    <row r="1884" spans="1:21" s="159" customFormat="1" ht="45" x14ac:dyDescent="0.25">
      <c r="A1884" s="63">
        <f>MATCH($E1884,'D1 - Master Project Table'!$B$24:$B$7056,0)</f>
        <v>2927</v>
      </c>
      <c r="B1884" s="63" t="b">
        <f t="shared" si="87"/>
        <v>0</v>
      </c>
      <c r="C1884" s="63" t="b">
        <f t="shared" si="88"/>
        <v>1</v>
      </c>
      <c r="D1884" s="63" t="str">
        <f t="shared" si="89"/>
        <v>OK</v>
      </c>
      <c r="E1884" s="393">
        <v>400033029</v>
      </c>
      <c r="F1884" s="392" t="s">
        <v>649</v>
      </c>
      <c r="G1884" s="392" t="s">
        <v>5324</v>
      </c>
      <c r="H1884" s="392" t="s">
        <v>5314</v>
      </c>
      <c r="I1884" s="392" t="s">
        <v>1760</v>
      </c>
      <c r="J1884" s="392" t="s">
        <v>8312</v>
      </c>
      <c r="K1884" s="392" t="s">
        <v>3353</v>
      </c>
      <c r="L1884" s="392" t="s">
        <v>1959</v>
      </c>
      <c r="M1884" s="392" t="s">
        <v>7273</v>
      </c>
      <c r="N1884" s="392" t="s">
        <v>7273</v>
      </c>
      <c r="O1884" s="392" t="s">
        <v>7273</v>
      </c>
      <c r="P1884"/>
      <c r="Q1884"/>
      <c r="R1884" s="387">
        <f>VLOOKUP(E1884,'[1]NDB Impacted SPRFs 05032013'!$A$2:$A$65536,1,FALSE)</f>
        <v>400033029</v>
      </c>
    </row>
    <row r="1885" spans="1:21" ht="45" x14ac:dyDescent="0.25">
      <c r="A1885" s="63">
        <f>MATCH($E1885,'D1 - Master Project Table'!$B$24:$B$7056,0)</f>
        <v>504</v>
      </c>
      <c r="B1885" s="63" t="b">
        <f t="shared" si="87"/>
        <v>0</v>
      </c>
      <c r="C1885" s="63" t="b">
        <f t="shared" si="88"/>
        <v>1</v>
      </c>
      <c r="D1885" s="63" t="str">
        <f t="shared" si="89"/>
        <v>OK</v>
      </c>
      <c r="E1885" s="393">
        <v>400012718</v>
      </c>
      <c r="F1885" s="392" t="s">
        <v>3754</v>
      </c>
      <c r="G1885" s="392" t="s">
        <v>5324</v>
      </c>
      <c r="H1885" s="392" t="s">
        <v>7418</v>
      </c>
      <c r="I1885" s="392" t="s">
        <v>1764</v>
      </c>
      <c r="J1885" s="392" t="s">
        <v>8599</v>
      </c>
      <c r="K1885" s="392" t="s">
        <v>5864</v>
      </c>
      <c r="L1885" s="392" t="s">
        <v>3145</v>
      </c>
      <c r="M1885" s="392" t="s">
        <v>7273</v>
      </c>
      <c r="N1885" s="392" t="s">
        <v>7273</v>
      </c>
      <c r="O1885" s="392" t="s">
        <v>7273</v>
      </c>
      <c r="R1885" s="387">
        <f>VLOOKUP(E1885,'[1]NDB Impacted SPRFs 05032013'!$A$2:$A$65536,1,FALSE)</f>
        <v>400012718</v>
      </c>
    </row>
    <row r="1886" spans="1:21" s="159" customFormat="1" ht="60" customHeight="1" x14ac:dyDescent="0.25">
      <c r="A1886" s="63">
        <f>MATCH($E1886,'D1 - Master Project Table'!$B$24:$B$7056,0)</f>
        <v>821</v>
      </c>
      <c r="B1886" s="63" t="b">
        <f t="shared" si="87"/>
        <v>0</v>
      </c>
      <c r="C1886" s="63" t="b">
        <f t="shared" si="88"/>
        <v>1</v>
      </c>
      <c r="D1886" s="63" t="str">
        <f t="shared" si="89"/>
        <v>OK</v>
      </c>
      <c r="E1886" s="393">
        <v>400016125</v>
      </c>
      <c r="F1886" s="392" t="s">
        <v>4128</v>
      </c>
      <c r="G1886" s="392" t="s">
        <v>5324</v>
      </c>
      <c r="H1886" s="392" t="s">
        <v>7418</v>
      </c>
      <c r="I1886" s="392" t="s">
        <v>1764</v>
      </c>
      <c r="J1886" s="392" t="s">
        <v>8420</v>
      </c>
      <c r="K1886" s="392" t="s">
        <v>7401</v>
      </c>
      <c r="L1886" s="392" t="s">
        <v>398</v>
      </c>
      <c r="M1886" s="392" t="s">
        <v>7273</v>
      </c>
      <c r="N1886" s="392" t="s">
        <v>7273</v>
      </c>
      <c r="O1886" s="392" t="s">
        <v>7273</v>
      </c>
      <c r="P1886"/>
      <c r="Q1886"/>
      <c r="R1886" s="387">
        <f>VLOOKUP(E1886,'[1]NDB Impacted SPRFs 05032013'!$A$2:$A$65536,1,FALSE)</f>
        <v>400016125</v>
      </c>
    </row>
    <row r="1887" spans="1:21" s="159" customFormat="1" ht="30" customHeight="1" x14ac:dyDescent="0.25">
      <c r="A1887" s="63">
        <f>MATCH($E1887,'D1 - Master Project Table'!$B$24:$B$7056,0)</f>
        <v>828</v>
      </c>
      <c r="B1887" s="63" t="b">
        <f t="shared" si="87"/>
        <v>0</v>
      </c>
      <c r="C1887" s="63" t="b">
        <f t="shared" si="88"/>
        <v>1</v>
      </c>
      <c r="D1887" s="63" t="str">
        <f t="shared" si="89"/>
        <v>OK</v>
      </c>
      <c r="E1887" s="393">
        <v>400017788</v>
      </c>
      <c r="F1887" s="392" t="s">
        <v>7913</v>
      </c>
      <c r="G1887" s="392" t="s">
        <v>5324</v>
      </c>
      <c r="H1887" s="392" t="s">
        <v>7418</v>
      </c>
      <c r="I1887" s="392" t="s">
        <v>1757</v>
      </c>
      <c r="J1887" s="392" t="s">
        <v>8388</v>
      </c>
      <c r="K1887" s="392" t="s">
        <v>8075</v>
      </c>
      <c r="L1887" s="392" t="s">
        <v>990</v>
      </c>
      <c r="M1887" s="392" t="s">
        <v>7273</v>
      </c>
      <c r="N1887" s="392" t="s">
        <v>7273</v>
      </c>
      <c r="O1887" s="392" t="s">
        <v>7273</v>
      </c>
      <c r="P1887"/>
      <c r="Q1887"/>
      <c r="R1887" s="387">
        <f>VLOOKUP(E1887,'[1]NDB Impacted SPRFs 05032013'!$A$2:$A$65536,1,FALSE)</f>
        <v>400017788</v>
      </c>
      <c r="S1887" s="128"/>
      <c r="T1887" s="128"/>
      <c r="U1887" s="128"/>
    </row>
    <row r="1888" spans="1:21" s="159" customFormat="1" ht="30" x14ac:dyDescent="0.25">
      <c r="A1888" s="63">
        <f>MATCH($E1888,'D1 - Master Project Table'!$B$24:$B$7056,0)</f>
        <v>1483</v>
      </c>
      <c r="B1888" s="63" t="b">
        <f t="shared" si="87"/>
        <v>0</v>
      </c>
      <c r="C1888" s="63" t="b">
        <f t="shared" si="88"/>
        <v>1</v>
      </c>
      <c r="D1888" s="63" t="str">
        <f t="shared" si="89"/>
        <v>OK</v>
      </c>
      <c r="E1888" s="393">
        <v>400041530</v>
      </c>
      <c r="F1888" s="392" t="s">
        <v>1174</v>
      </c>
      <c r="G1888" s="392" t="s">
        <v>5001</v>
      </c>
      <c r="H1888" s="392" t="s">
        <v>7418</v>
      </c>
      <c r="I1888" s="392" t="s">
        <v>1829</v>
      </c>
      <c r="J1888" s="392" t="s">
        <v>8757</v>
      </c>
      <c r="K1888" s="392" t="s">
        <v>2062</v>
      </c>
      <c r="L1888" s="392" t="s">
        <v>2594</v>
      </c>
      <c r="M1888" s="392" t="s">
        <v>3758</v>
      </c>
      <c r="N1888" s="392" t="s">
        <v>7273</v>
      </c>
      <c r="O1888" s="392" t="s">
        <v>7273</v>
      </c>
      <c r="P1888"/>
      <c r="Q1888"/>
      <c r="R1888" s="387">
        <f>VLOOKUP(E1888,'[1]NDB Impacted SPRFs 05032013'!$A$2:$A$65536,1,FALSE)</f>
        <v>400041530</v>
      </c>
      <c r="S1888" s="160"/>
      <c r="T1888" s="160"/>
      <c r="U1888" s="160"/>
    </row>
    <row r="1889" spans="1:21" s="159" customFormat="1" ht="45" x14ac:dyDescent="0.25">
      <c r="A1889" s="63">
        <f>MATCH($E1889,'D1 - Master Project Table'!$B$24:$B$7056,0)</f>
        <v>1387</v>
      </c>
      <c r="B1889" s="63" t="b">
        <f t="shared" si="87"/>
        <v>0</v>
      </c>
      <c r="C1889" s="63" t="b">
        <f t="shared" si="88"/>
        <v>1</v>
      </c>
      <c r="D1889" s="63" t="str">
        <f t="shared" si="89"/>
        <v>OK</v>
      </c>
      <c r="E1889" s="393">
        <v>400032936</v>
      </c>
      <c r="F1889" s="392" t="s">
        <v>7126</v>
      </c>
      <c r="G1889" s="392" t="s">
        <v>5324</v>
      </c>
      <c r="H1889" s="392" t="s">
        <v>7418</v>
      </c>
      <c r="I1889" s="392" t="s">
        <v>1763</v>
      </c>
      <c r="J1889" s="392" t="s">
        <v>5168</v>
      </c>
      <c r="K1889" s="392" t="s">
        <v>3283</v>
      </c>
      <c r="L1889" s="392" t="s">
        <v>7451</v>
      </c>
      <c r="M1889" s="392" t="s">
        <v>7273</v>
      </c>
      <c r="N1889" s="392" t="s">
        <v>7273</v>
      </c>
      <c r="O1889" s="392" t="s">
        <v>7273</v>
      </c>
      <c r="P1889"/>
      <c r="Q1889"/>
      <c r="R1889" s="387">
        <f>VLOOKUP(E1889,'[1]NDB Impacted SPRFs 05032013'!$A$2:$A$65536,1,FALSE)</f>
        <v>400032936</v>
      </c>
    </row>
    <row r="1890" spans="1:21" s="159" customFormat="1" ht="30" customHeight="1" x14ac:dyDescent="0.25">
      <c r="A1890" s="63" t="e">
        <f>MATCH($E1890,'D1 - Master Project Table'!$B$24:$B$7056,0)</f>
        <v>#N/A</v>
      </c>
      <c r="B1890" s="63" t="b">
        <f t="shared" si="87"/>
        <v>1</v>
      </c>
      <c r="C1890" s="63" t="b">
        <f t="shared" si="88"/>
        <v>1</v>
      </c>
      <c r="D1890" s="63" t="str">
        <f t="shared" si="89"/>
        <v>OK</v>
      </c>
      <c r="E1890" s="393">
        <v>400001279</v>
      </c>
      <c r="F1890" s="392" t="s">
        <v>7064</v>
      </c>
      <c r="G1890" s="392" t="s">
        <v>5324</v>
      </c>
      <c r="H1890" s="392" t="s">
        <v>7418</v>
      </c>
      <c r="I1890" s="392" t="s">
        <v>1765</v>
      </c>
      <c r="J1890" s="392" t="s">
        <v>8353</v>
      </c>
      <c r="K1890" s="392" t="s">
        <v>2523</v>
      </c>
      <c r="L1890" s="392" t="s">
        <v>8008</v>
      </c>
      <c r="M1890" s="392" t="s">
        <v>7273</v>
      </c>
      <c r="N1890" s="392" t="s">
        <v>7273</v>
      </c>
      <c r="O1890" s="392" t="s">
        <v>7273</v>
      </c>
      <c r="P1890"/>
      <c r="Q1890"/>
      <c r="R1890" s="387">
        <f>VLOOKUP(E1890,'[1]NDB Impacted SPRFs 05032013'!$A$2:$A$65536,1,FALSE)</f>
        <v>400001279</v>
      </c>
    </row>
    <row r="1891" spans="1:21" ht="30" x14ac:dyDescent="0.25">
      <c r="A1891" s="63" t="e">
        <f>MATCH($E1891,'D1 - Master Project Table'!$B$24:$B$7056,0)</f>
        <v>#N/A</v>
      </c>
      <c r="B1891" s="63" t="b">
        <f t="shared" si="87"/>
        <v>1</v>
      </c>
      <c r="C1891" s="63" t="b">
        <f t="shared" si="88"/>
        <v>1</v>
      </c>
      <c r="D1891" s="63" t="str">
        <f t="shared" si="89"/>
        <v>OK</v>
      </c>
      <c r="E1891" s="393">
        <v>400001291</v>
      </c>
      <c r="F1891" s="392" t="s">
        <v>5600</v>
      </c>
      <c r="G1891" s="392" t="s">
        <v>5787</v>
      </c>
      <c r="H1891" s="392" t="s">
        <v>7418</v>
      </c>
      <c r="I1891" s="392" t="s">
        <v>1783</v>
      </c>
      <c r="J1891" s="392" t="s">
        <v>8348</v>
      </c>
      <c r="K1891" s="392" t="s">
        <v>3307</v>
      </c>
      <c r="L1891" s="392" t="s">
        <v>6651</v>
      </c>
      <c r="M1891" s="392" t="s">
        <v>7273</v>
      </c>
      <c r="N1891" s="392" t="s">
        <v>7273</v>
      </c>
      <c r="O1891" s="392" t="s">
        <v>7273</v>
      </c>
      <c r="P1891"/>
      <c r="Q1891"/>
      <c r="R1891" s="387">
        <f>VLOOKUP(E1891,'[1]NDB Impacted SPRFs 05032013'!$A$2:$A$65536,1,FALSE)</f>
        <v>400001291</v>
      </c>
      <c r="S1891" s="159"/>
      <c r="T1891" s="159"/>
      <c r="U1891" s="159"/>
    </row>
    <row r="1892" spans="1:21" ht="45" x14ac:dyDescent="0.25">
      <c r="A1892" s="63">
        <f>MATCH($E1892,'D1 - Master Project Table'!$B$24:$B$7056,0)</f>
        <v>1867</v>
      </c>
      <c r="B1892" s="63" t="b">
        <f t="shared" si="87"/>
        <v>0</v>
      </c>
      <c r="C1892" s="63" t="b">
        <f t="shared" si="88"/>
        <v>1</v>
      </c>
      <c r="D1892" s="63" t="str">
        <f t="shared" si="89"/>
        <v>OK</v>
      </c>
      <c r="E1892" s="393">
        <v>400002008</v>
      </c>
      <c r="F1892" s="392" t="s">
        <v>4355</v>
      </c>
      <c r="G1892" s="392" t="s">
        <v>5324</v>
      </c>
      <c r="H1892" s="392" t="s">
        <v>7418</v>
      </c>
      <c r="I1892" s="392" t="s">
        <v>1765</v>
      </c>
      <c r="J1892" s="392" t="s">
        <v>8348</v>
      </c>
      <c r="K1892" s="392" t="s">
        <v>4169</v>
      </c>
      <c r="L1892" s="392" t="s">
        <v>6651</v>
      </c>
      <c r="M1892" s="392" t="s">
        <v>7273</v>
      </c>
      <c r="N1892" s="392" t="s">
        <v>7273</v>
      </c>
      <c r="O1892" s="392" t="s">
        <v>7273</v>
      </c>
      <c r="P1892"/>
      <c r="Q1892"/>
      <c r="R1892" s="387">
        <f>VLOOKUP(E1892,'[1]NDB Impacted SPRFs 05032013'!$A$2:$A$65536,1,FALSE)</f>
        <v>400002008</v>
      </c>
    </row>
    <row r="1893" spans="1:21" ht="60" customHeight="1" x14ac:dyDescent="0.25">
      <c r="A1893" s="63">
        <f>MATCH($E1893,'D1 - Master Project Table'!$B$24:$B$7056,0)</f>
        <v>1876</v>
      </c>
      <c r="B1893" s="63" t="b">
        <f t="shared" si="87"/>
        <v>0</v>
      </c>
      <c r="C1893" s="63" t="b">
        <f t="shared" si="88"/>
        <v>1</v>
      </c>
      <c r="D1893" s="63" t="str">
        <f t="shared" si="89"/>
        <v>OK</v>
      </c>
      <c r="E1893" s="393">
        <v>400002955</v>
      </c>
      <c r="F1893" s="392" t="s">
        <v>1233</v>
      </c>
      <c r="G1893" s="392" t="s">
        <v>5787</v>
      </c>
      <c r="H1893" s="392" t="s">
        <v>7418</v>
      </c>
      <c r="I1893" s="392" t="s">
        <v>1772</v>
      </c>
      <c r="J1893" s="392" t="s">
        <v>7029</v>
      </c>
      <c r="K1893" s="392" t="s">
        <v>3390</v>
      </c>
      <c r="L1893" s="392" t="s">
        <v>5099</v>
      </c>
      <c r="M1893" s="392" t="s">
        <v>3758</v>
      </c>
      <c r="N1893" s="392" t="s">
        <v>7273</v>
      </c>
      <c r="O1893" s="392" t="s">
        <v>7273</v>
      </c>
      <c r="P1893"/>
      <c r="Q1893"/>
      <c r="R1893" s="387">
        <f>VLOOKUP(E1893,'[1]NDB Impacted SPRFs 05032013'!$A$2:$A$65536,1,FALSE)</f>
        <v>400002955</v>
      </c>
      <c r="S1893" s="159"/>
      <c r="T1893" s="159"/>
      <c r="U1893" s="159"/>
    </row>
    <row r="1894" spans="1:21" ht="45" x14ac:dyDescent="0.25">
      <c r="A1894" s="63" t="e">
        <f>MATCH($E1894,'D1 - Master Project Table'!$B$24:$B$7056,0)</f>
        <v>#N/A</v>
      </c>
      <c r="B1894" s="63" t="b">
        <f t="shared" si="87"/>
        <v>1</v>
      </c>
      <c r="C1894" s="63" t="b">
        <f t="shared" si="88"/>
        <v>1</v>
      </c>
      <c r="D1894" s="63" t="str">
        <f t="shared" si="89"/>
        <v>OK</v>
      </c>
      <c r="E1894" s="393">
        <v>400003711</v>
      </c>
      <c r="F1894" s="392" t="s">
        <v>6684</v>
      </c>
      <c r="G1894" s="392" t="s">
        <v>5324</v>
      </c>
      <c r="H1894" s="392" t="s">
        <v>7418</v>
      </c>
      <c r="I1894" s="392" t="s">
        <v>1765</v>
      </c>
      <c r="J1894" s="392" t="s">
        <v>2412</v>
      </c>
      <c r="K1894" s="392" t="s">
        <v>8075</v>
      </c>
      <c r="L1894" s="392" t="s">
        <v>3265</v>
      </c>
      <c r="M1894" s="392" t="s">
        <v>7273</v>
      </c>
      <c r="N1894" s="392" t="s">
        <v>7273</v>
      </c>
      <c r="O1894" s="392" t="s">
        <v>7273</v>
      </c>
      <c r="P1894"/>
      <c r="Q1894"/>
      <c r="R1894" s="387">
        <f>VLOOKUP(E1894,'[1]NDB Impacted SPRFs 05032013'!$A$2:$A$65536,1,FALSE)</f>
        <v>400003711</v>
      </c>
    </row>
    <row r="1895" spans="1:21" ht="45" x14ac:dyDescent="0.25">
      <c r="A1895" s="63">
        <f>MATCH($E1895,'D1 - Master Project Table'!$B$24:$B$7056,0)</f>
        <v>324</v>
      </c>
      <c r="B1895" s="63" t="b">
        <f t="shared" si="87"/>
        <v>0</v>
      </c>
      <c r="C1895" s="63" t="b">
        <f t="shared" si="88"/>
        <v>1</v>
      </c>
      <c r="D1895" s="63" t="str">
        <f t="shared" si="89"/>
        <v>OK</v>
      </c>
      <c r="E1895" s="393">
        <v>400003961</v>
      </c>
      <c r="F1895" s="392" t="s">
        <v>1600</v>
      </c>
      <c r="G1895" s="392" t="s">
        <v>5787</v>
      </c>
      <c r="H1895" s="392" t="s">
        <v>7418</v>
      </c>
      <c r="I1895" s="392" t="s">
        <v>1774</v>
      </c>
      <c r="J1895" s="392" t="s">
        <v>5865</v>
      </c>
      <c r="K1895" s="392" t="s">
        <v>6860</v>
      </c>
      <c r="L1895" s="392" t="s">
        <v>7112</v>
      </c>
      <c r="M1895" s="392" t="s">
        <v>3758</v>
      </c>
      <c r="N1895" s="392" t="s">
        <v>7273</v>
      </c>
      <c r="O1895" s="392" t="s">
        <v>7273</v>
      </c>
      <c r="P1895"/>
      <c r="Q1895"/>
      <c r="R1895" s="387">
        <f>VLOOKUP(E1895,'[1]NDB Impacted SPRFs 05032013'!$A$2:$A$65536,1,FALSE)</f>
        <v>400003961</v>
      </c>
    </row>
    <row r="1896" spans="1:21" ht="30" x14ac:dyDescent="0.25">
      <c r="A1896" s="63">
        <f>MATCH($E1896,'D1 - Master Project Table'!$B$24:$B$7056,0)</f>
        <v>424</v>
      </c>
      <c r="B1896" s="63" t="b">
        <f t="shared" si="87"/>
        <v>0</v>
      </c>
      <c r="C1896" s="63" t="b">
        <f t="shared" si="88"/>
        <v>1</v>
      </c>
      <c r="D1896" s="63" t="str">
        <f t="shared" si="89"/>
        <v>OK</v>
      </c>
      <c r="E1896" s="393">
        <v>400004030</v>
      </c>
      <c r="F1896" s="392" t="s">
        <v>7876</v>
      </c>
      <c r="G1896" s="392" t="s">
        <v>3441</v>
      </c>
      <c r="H1896" s="392" t="s">
        <v>7418</v>
      </c>
      <c r="I1896" s="392" t="s">
        <v>2100</v>
      </c>
      <c r="J1896" s="392" t="s">
        <v>8376</v>
      </c>
      <c r="K1896" s="392" t="s">
        <v>1506</v>
      </c>
      <c r="L1896" s="392" t="s">
        <v>4326</v>
      </c>
      <c r="M1896" s="392" t="s">
        <v>7273</v>
      </c>
      <c r="N1896" s="392" t="s">
        <v>7273</v>
      </c>
      <c r="O1896" s="392" t="s">
        <v>7273</v>
      </c>
      <c r="P1896"/>
      <c r="Q1896"/>
      <c r="R1896" s="387">
        <f>VLOOKUP(E1896,'[1]NDB Impacted SPRFs 05032013'!$A$2:$A$65536,1,FALSE)</f>
        <v>400004030</v>
      </c>
    </row>
    <row r="1897" spans="1:21" ht="45" x14ac:dyDescent="0.25">
      <c r="A1897" s="63">
        <f>MATCH($E1897,'D1 - Master Project Table'!$B$24:$B$7056,0)</f>
        <v>2641</v>
      </c>
      <c r="B1897" s="63" t="b">
        <f t="shared" si="87"/>
        <v>0</v>
      </c>
      <c r="C1897" s="63" t="b">
        <f t="shared" si="88"/>
        <v>1</v>
      </c>
      <c r="D1897" s="63" t="str">
        <f t="shared" si="89"/>
        <v>OK</v>
      </c>
      <c r="E1897" s="393">
        <v>400014885</v>
      </c>
      <c r="F1897" s="392" t="s">
        <v>1518</v>
      </c>
      <c r="G1897" s="392" t="s">
        <v>5324</v>
      </c>
      <c r="H1897" s="392" t="s">
        <v>5314</v>
      </c>
      <c r="I1897" s="392" t="s">
        <v>1764</v>
      </c>
      <c r="J1897" s="392" t="s">
        <v>8400</v>
      </c>
      <c r="K1897" s="392" t="s">
        <v>3078</v>
      </c>
      <c r="L1897" s="392" t="s">
        <v>2806</v>
      </c>
      <c r="M1897" s="392" t="s">
        <v>7273</v>
      </c>
      <c r="N1897" s="392" t="s">
        <v>7273</v>
      </c>
      <c r="O1897" s="392" t="s">
        <v>7273</v>
      </c>
      <c r="P1897"/>
      <c r="Q1897"/>
      <c r="R1897" s="387">
        <f>VLOOKUP(E1897,'[1]NDB Impacted SPRFs 05032013'!$A$2:$A$65536,1,FALSE)</f>
        <v>400014885</v>
      </c>
      <c r="S1897" s="159"/>
      <c r="T1897" s="159"/>
      <c r="U1897" s="159"/>
    </row>
    <row r="1898" spans="1:21" ht="45" x14ac:dyDescent="0.25">
      <c r="A1898" s="63">
        <f>MATCH($E1898,'D1 - Master Project Table'!$B$24:$B$7056,0)</f>
        <v>1322</v>
      </c>
      <c r="B1898" s="63" t="b">
        <f t="shared" si="87"/>
        <v>0</v>
      </c>
      <c r="C1898" s="63" t="b">
        <f t="shared" si="88"/>
        <v>1</v>
      </c>
      <c r="D1898" s="63" t="str">
        <f t="shared" si="89"/>
        <v>OK</v>
      </c>
      <c r="E1898" s="393">
        <v>400037752</v>
      </c>
      <c r="F1898" s="392" t="s">
        <v>4250</v>
      </c>
      <c r="G1898" s="392" t="s">
        <v>5324</v>
      </c>
      <c r="H1898" s="392" t="s">
        <v>7418</v>
      </c>
      <c r="I1898" s="392" t="s">
        <v>1758</v>
      </c>
      <c r="J1898" s="392" t="s">
        <v>4634</v>
      </c>
      <c r="K1898" s="392" t="s">
        <v>2127</v>
      </c>
      <c r="L1898" s="392" t="s">
        <v>7451</v>
      </c>
      <c r="M1898" s="392" t="s">
        <v>7273</v>
      </c>
      <c r="N1898" s="392" t="s">
        <v>7273</v>
      </c>
      <c r="O1898" s="392" t="s">
        <v>7273</v>
      </c>
      <c r="P1898"/>
      <c r="Q1898"/>
      <c r="R1898" s="387">
        <f>VLOOKUP(E1898,'[1]NDB Impacted SPRFs 05032013'!$A$2:$A$65536,1,FALSE)</f>
        <v>400037752</v>
      </c>
      <c r="S1898" s="159"/>
      <c r="T1898" s="159"/>
      <c r="U1898" s="159"/>
    </row>
    <row r="1899" spans="1:21" ht="45" x14ac:dyDescent="0.25">
      <c r="A1899" s="63">
        <f>MATCH($E1899,'D1 - Master Project Table'!$B$24:$B$7056,0)</f>
        <v>1523</v>
      </c>
      <c r="B1899" s="63" t="b">
        <f t="shared" si="87"/>
        <v>0</v>
      </c>
      <c r="C1899" s="63" t="b">
        <f t="shared" si="88"/>
        <v>1</v>
      </c>
      <c r="D1899" s="63" t="str">
        <f t="shared" si="89"/>
        <v>OK</v>
      </c>
      <c r="E1899" s="393">
        <v>400039719</v>
      </c>
      <c r="F1899" s="392" t="s">
        <v>5487</v>
      </c>
      <c r="G1899" s="392" t="s">
        <v>5324</v>
      </c>
      <c r="H1899" s="392" t="s">
        <v>7418</v>
      </c>
      <c r="I1899" s="392" t="s">
        <v>1763</v>
      </c>
      <c r="J1899" s="392" t="s">
        <v>8615</v>
      </c>
      <c r="K1899" s="392" t="s">
        <v>7197</v>
      </c>
      <c r="L1899" s="392" t="s">
        <v>7451</v>
      </c>
      <c r="M1899" s="392" t="s">
        <v>7273</v>
      </c>
      <c r="N1899" s="392" t="s">
        <v>7273</v>
      </c>
      <c r="O1899" s="392" t="s">
        <v>7273</v>
      </c>
      <c r="P1899"/>
      <c r="Q1899"/>
      <c r="R1899" s="387">
        <f>VLOOKUP(E1899,'[1]NDB Impacted SPRFs 05032013'!$A$2:$A$65536,1,FALSE)</f>
        <v>400039719</v>
      </c>
      <c r="S1899" s="159"/>
      <c r="T1899" s="159"/>
      <c r="U1899" s="159"/>
    </row>
    <row r="1900" spans="1:21" ht="45" x14ac:dyDescent="0.25">
      <c r="A1900" s="63">
        <f>MATCH($E1900,'D1 - Master Project Table'!$B$24:$B$7056,0)</f>
        <v>3069</v>
      </c>
      <c r="B1900" s="63" t="b">
        <f t="shared" si="87"/>
        <v>0</v>
      </c>
      <c r="C1900" s="63" t="b">
        <f t="shared" si="88"/>
        <v>1</v>
      </c>
      <c r="D1900" s="63" t="str">
        <f t="shared" si="89"/>
        <v>OK</v>
      </c>
      <c r="E1900" s="393">
        <v>400045714</v>
      </c>
      <c r="F1900" s="392" t="s">
        <v>1047</v>
      </c>
      <c r="G1900" s="392" t="s">
        <v>5324</v>
      </c>
      <c r="H1900" s="392" t="s">
        <v>5314</v>
      </c>
      <c r="I1900" s="392" t="s">
        <v>1786</v>
      </c>
      <c r="J1900" s="392" t="s">
        <v>8499</v>
      </c>
      <c r="K1900" s="392" t="s">
        <v>5484</v>
      </c>
      <c r="L1900" s="392" t="s">
        <v>7451</v>
      </c>
      <c r="M1900" s="392" t="s">
        <v>7273</v>
      </c>
      <c r="N1900" s="392" t="s">
        <v>7273</v>
      </c>
      <c r="O1900" s="392" t="s">
        <v>7273</v>
      </c>
      <c r="P1900"/>
      <c r="Q1900"/>
      <c r="R1900" s="387">
        <f>VLOOKUP(E1900,'[1]NDB Impacted SPRFs 05032013'!$A$2:$A$65536,1,FALSE)</f>
        <v>400045714</v>
      </c>
    </row>
    <row r="1901" spans="1:21" ht="30" customHeight="1" x14ac:dyDescent="0.25">
      <c r="A1901" s="63">
        <f>MATCH($E1901,'D1 - Master Project Table'!$B$24:$B$7056,0)</f>
        <v>2034</v>
      </c>
      <c r="B1901" s="63" t="b">
        <f t="shared" si="87"/>
        <v>0</v>
      </c>
      <c r="C1901" s="63" t="b">
        <f t="shared" si="88"/>
        <v>1</v>
      </c>
      <c r="D1901" s="63" t="str">
        <f t="shared" si="89"/>
        <v>OK</v>
      </c>
      <c r="E1901" s="393">
        <v>400046988</v>
      </c>
      <c r="F1901" s="392" t="s">
        <v>1460</v>
      </c>
      <c r="G1901" s="392" t="s">
        <v>5995</v>
      </c>
      <c r="H1901" s="392" t="s">
        <v>7418</v>
      </c>
      <c r="I1901" s="392" t="s">
        <v>6423</v>
      </c>
      <c r="J1901" s="392" t="s">
        <v>8831</v>
      </c>
      <c r="K1901" s="392" t="s">
        <v>1461</v>
      </c>
      <c r="L1901" s="392" t="s">
        <v>1462</v>
      </c>
      <c r="M1901" s="392" t="s">
        <v>7273</v>
      </c>
      <c r="N1901" s="392" t="s">
        <v>7273</v>
      </c>
      <c r="O1901" s="392" t="s">
        <v>7273</v>
      </c>
      <c r="P1901"/>
      <c r="Q1901"/>
      <c r="R1901" s="387">
        <f>VLOOKUP(E1901,'[1]NDB Impacted SPRFs 05032013'!$A$2:$A$65536,1,FALSE)</f>
        <v>400046988</v>
      </c>
      <c r="S1901" s="159"/>
      <c r="T1901" s="159"/>
      <c r="U1901" s="159"/>
    </row>
    <row r="1902" spans="1:21" ht="30" customHeight="1" x14ac:dyDescent="0.25">
      <c r="A1902" s="63">
        <f>MATCH($E1902,'D1 - Master Project Table'!$B$24:$B$7056,0)</f>
        <v>1630</v>
      </c>
      <c r="B1902" s="63" t="b">
        <f t="shared" si="87"/>
        <v>0</v>
      </c>
      <c r="C1902" s="63" t="b">
        <f t="shared" si="88"/>
        <v>1</v>
      </c>
      <c r="D1902" s="63" t="str">
        <f t="shared" si="89"/>
        <v>OK</v>
      </c>
      <c r="E1902" s="393">
        <v>400048227</v>
      </c>
      <c r="F1902" s="392" t="s">
        <v>2671</v>
      </c>
      <c r="G1902" s="392" t="s">
        <v>5324</v>
      </c>
      <c r="H1902" s="392" t="s">
        <v>7418</v>
      </c>
      <c r="I1902" s="392" t="s">
        <v>1757</v>
      </c>
      <c r="J1902" s="392" t="s">
        <v>1586</v>
      </c>
      <c r="K1902" s="392" t="s">
        <v>8075</v>
      </c>
      <c r="L1902" s="392" t="s">
        <v>7451</v>
      </c>
      <c r="M1902" s="392" t="s">
        <v>7273</v>
      </c>
      <c r="N1902" s="392" t="s">
        <v>7273</v>
      </c>
      <c r="O1902" s="392" t="s">
        <v>7273</v>
      </c>
      <c r="P1902"/>
      <c r="Q1902"/>
      <c r="R1902" s="387">
        <f>VLOOKUP(E1902,'[1]NDB Impacted SPRFs 05032013'!$A$2:$A$65536,1,FALSE)</f>
        <v>400048227</v>
      </c>
    </row>
    <row r="1903" spans="1:21" ht="30" customHeight="1" x14ac:dyDescent="0.25">
      <c r="A1903" s="63">
        <f>MATCH($E1903,'D1 - Master Project Table'!$B$24:$B$7056,0)</f>
        <v>1633</v>
      </c>
      <c r="B1903" s="63" t="b">
        <f t="shared" si="87"/>
        <v>0</v>
      </c>
      <c r="C1903" s="63" t="b">
        <f t="shared" si="88"/>
        <v>1</v>
      </c>
      <c r="D1903" s="63" t="str">
        <f t="shared" si="89"/>
        <v>OK</v>
      </c>
      <c r="E1903" s="393">
        <v>400048981</v>
      </c>
      <c r="F1903" s="392" t="s">
        <v>153</v>
      </c>
      <c r="G1903" s="392" t="s">
        <v>5324</v>
      </c>
      <c r="H1903" s="392" t="s">
        <v>7418</v>
      </c>
      <c r="I1903" s="392" t="s">
        <v>1757</v>
      </c>
      <c r="J1903" s="392" t="s">
        <v>1586</v>
      </c>
      <c r="K1903" s="392" t="s">
        <v>4462</v>
      </c>
      <c r="L1903" s="392" t="s">
        <v>7451</v>
      </c>
      <c r="M1903" s="392" t="s">
        <v>7273</v>
      </c>
      <c r="N1903" s="392" t="s">
        <v>7273</v>
      </c>
      <c r="O1903" s="392" t="s">
        <v>7273</v>
      </c>
      <c r="P1903"/>
      <c r="Q1903"/>
      <c r="R1903" s="387">
        <f>VLOOKUP(E1903,'[1]NDB Impacted SPRFs 05032013'!$A$2:$A$65536,1,FALSE)</f>
        <v>400048981</v>
      </c>
      <c r="S1903" s="159"/>
      <c r="T1903" s="159"/>
      <c r="U1903" s="159"/>
    </row>
    <row r="1904" spans="1:21" ht="30" customHeight="1" x14ac:dyDescent="0.25">
      <c r="A1904" s="63">
        <f>MATCH($E1904,'D1 - Master Project Table'!$B$24:$B$7056,0)</f>
        <v>1634</v>
      </c>
      <c r="B1904" s="63" t="b">
        <f t="shared" ref="B1904:B1967" si="90">ISERROR(A1904)</f>
        <v>0</v>
      </c>
      <c r="C1904" s="63" t="b">
        <f t="shared" si="88"/>
        <v>1</v>
      </c>
      <c r="D1904" s="63" t="str">
        <f t="shared" si="89"/>
        <v>OK</v>
      </c>
      <c r="E1904" s="393">
        <v>400048983</v>
      </c>
      <c r="F1904" s="392" t="s">
        <v>154</v>
      </c>
      <c r="G1904" s="392" t="s">
        <v>5324</v>
      </c>
      <c r="H1904" s="392" t="s">
        <v>7418</v>
      </c>
      <c r="I1904" s="392" t="s">
        <v>1757</v>
      </c>
      <c r="J1904" s="392" t="s">
        <v>1586</v>
      </c>
      <c r="K1904" s="392" t="s">
        <v>4462</v>
      </c>
      <c r="L1904" s="392" t="s">
        <v>7451</v>
      </c>
      <c r="M1904" s="392" t="s">
        <v>7273</v>
      </c>
      <c r="N1904" s="392" t="s">
        <v>7273</v>
      </c>
      <c r="O1904" s="392" t="s">
        <v>7273</v>
      </c>
      <c r="P1904"/>
      <c r="Q1904"/>
      <c r="R1904" s="387">
        <f>VLOOKUP(E1904,'[1]NDB Impacted SPRFs 05032013'!$A$2:$A$65536,1,FALSE)</f>
        <v>400048983</v>
      </c>
      <c r="S1904" s="159"/>
      <c r="T1904" s="159"/>
      <c r="U1904" s="159"/>
    </row>
    <row r="1905" spans="1:21" ht="30" customHeight="1" x14ac:dyDescent="0.25">
      <c r="A1905" s="63">
        <f>MATCH($E1905,'D1 - Master Project Table'!$B$24:$B$7056,0)</f>
        <v>1649</v>
      </c>
      <c r="B1905" s="63" t="b">
        <f t="shared" si="90"/>
        <v>0</v>
      </c>
      <c r="C1905" s="63" t="b">
        <f t="shared" si="88"/>
        <v>1</v>
      </c>
      <c r="D1905" s="63" t="str">
        <f t="shared" si="89"/>
        <v>OK</v>
      </c>
      <c r="E1905" s="393">
        <v>400048984</v>
      </c>
      <c r="F1905" s="392" t="s">
        <v>155</v>
      </c>
      <c r="G1905" s="392" t="s">
        <v>5324</v>
      </c>
      <c r="H1905" s="392" t="s">
        <v>7418</v>
      </c>
      <c r="I1905" s="392" t="s">
        <v>1757</v>
      </c>
      <c r="J1905" s="392" t="s">
        <v>1586</v>
      </c>
      <c r="K1905" s="392" t="s">
        <v>4462</v>
      </c>
      <c r="L1905" s="392" t="s">
        <v>7451</v>
      </c>
      <c r="M1905" s="392" t="s">
        <v>7273</v>
      </c>
      <c r="N1905" s="392" t="s">
        <v>7273</v>
      </c>
      <c r="O1905" s="392" t="s">
        <v>7273</v>
      </c>
      <c r="P1905"/>
      <c r="Q1905"/>
      <c r="R1905" s="387">
        <f>VLOOKUP(E1905,'[1]NDB Impacted SPRFs 05032013'!$A$2:$A$65536,1,FALSE)</f>
        <v>400048984</v>
      </c>
    </row>
    <row r="1906" spans="1:21" ht="30" customHeight="1" x14ac:dyDescent="0.25">
      <c r="A1906" s="63">
        <f>MATCH($E1906,'D1 - Master Project Table'!$B$24:$B$7056,0)</f>
        <v>1650</v>
      </c>
      <c r="B1906" s="63" t="b">
        <f t="shared" si="90"/>
        <v>0</v>
      </c>
      <c r="C1906" s="63" t="b">
        <f t="shared" si="88"/>
        <v>1</v>
      </c>
      <c r="D1906" s="63" t="str">
        <f t="shared" si="89"/>
        <v>OK</v>
      </c>
      <c r="E1906" s="393">
        <v>400048985</v>
      </c>
      <c r="F1906" s="392" t="s">
        <v>156</v>
      </c>
      <c r="G1906" s="392" t="s">
        <v>5324</v>
      </c>
      <c r="H1906" s="392" t="s">
        <v>7418</v>
      </c>
      <c r="I1906" s="392" t="s">
        <v>1757</v>
      </c>
      <c r="J1906" s="392" t="s">
        <v>1586</v>
      </c>
      <c r="K1906" s="392" t="s">
        <v>4462</v>
      </c>
      <c r="L1906" s="392" t="s">
        <v>7451</v>
      </c>
      <c r="M1906" s="392" t="s">
        <v>7273</v>
      </c>
      <c r="N1906" s="392" t="s">
        <v>7273</v>
      </c>
      <c r="O1906" s="392" t="s">
        <v>7273</v>
      </c>
      <c r="P1906"/>
      <c r="Q1906"/>
      <c r="R1906" s="387">
        <f>VLOOKUP(E1906,'[1]NDB Impacted SPRFs 05032013'!$A$2:$A$65536,1,FALSE)</f>
        <v>400048985</v>
      </c>
      <c r="S1906" s="159"/>
      <c r="T1906" s="159"/>
      <c r="U1906" s="159"/>
    </row>
    <row r="1907" spans="1:21" ht="30" customHeight="1" x14ac:dyDescent="0.25">
      <c r="A1907" s="63">
        <f>MATCH($E1907,'D1 - Master Project Table'!$B$24:$B$7056,0)</f>
        <v>1686</v>
      </c>
      <c r="B1907" s="63" t="b">
        <f t="shared" si="90"/>
        <v>0</v>
      </c>
      <c r="C1907" s="63" t="b">
        <f t="shared" si="88"/>
        <v>1</v>
      </c>
      <c r="D1907" s="63" t="str">
        <f t="shared" si="89"/>
        <v>OK</v>
      </c>
      <c r="E1907" s="393">
        <v>400049041</v>
      </c>
      <c r="F1907" s="392" t="s">
        <v>182</v>
      </c>
      <c r="G1907" s="392" t="s">
        <v>5324</v>
      </c>
      <c r="H1907" s="392" t="s">
        <v>7418</v>
      </c>
      <c r="I1907" s="392" t="s">
        <v>1757</v>
      </c>
      <c r="J1907" s="392" t="s">
        <v>1586</v>
      </c>
      <c r="K1907" s="392" t="s">
        <v>4462</v>
      </c>
      <c r="L1907" s="392" t="s">
        <v>7451</v>
      </c>
      <c r="M1907" s="392" t="s">
        <v>7273</v>
      </c>
      <c r="N1907" s="392" t="s">
        <v>7273</v>
      </c>
      <c r="O1907" s="392" t="s">
        <v>7273</v>
      </c>
      <c r="P1907"/>
      <c r="Q1907"/>
      <c r="R1907" s="387">
        <f>VLOOKUP(E1907,'[1]NDB Impacted SPRFs 05032013'!$A$2:$A$65536,1,FALSE)</f>
        <v>400049041</v>
      </c>
      <c r="S1907" s="159"/>
      <c r="T1907" s="159"/>
      <c r="U1907" s="159"/>
    </row>
    <row r="1908" spans="1:21" ht="30" customHeight="1" x14ac:dyDescent="0.25">
      <c r="A1908" s="63">
        <f>MATCH($E1908,'D1 - Master Project Table'!$B$24:$B$7056,0)</f>
        <v>1635</v>
      </c>
      <c r="B1908" s="63" t="b">
        <f t="shared" si="90"/>
        <v>0</v>
      </c>
      <c r="C1908" s="63" t="b">
        <f t="shared" si="88"/>
        <v>0</v>
      </c>
      <c r="D1908" s="63" t="str">
        <f t="shared" si="89"/>
        <v>OK</v>
      </c>
      <c r="E1908" s="393">
        <v>400049163</v>
      </c>
      <c r="F1908" s="392" t="s">
        <v>170</v>
      </c>
      <c r="G1908" s="392" t="s">
        <v>5324</v>
      </c>
      <c r="H1908" s="392" t="s">
        <v>4917</v>
      </c>
      <c r="I1908" s="392" t="s">
        <v>1757</v>
      </c>
      <c r="J1908" s="392" t="s">
        <v>1586</v>
      </c>
      <c r="K1908" s="392" t="s">
        <v>4462</v>
      </c>
      <c r="L1908" s="392" t="s">
        <v>7451</v>
      </c>
      <c r="M1908" s="392" t="s">
        <v>7273</v>
      </c>
      <c r="N1908" s="392" t="s">
        <v>7273</v>
      </c>
      <c r="O1908" s="392" t="s">
        <v>7273</v>
      </c>
      <c r="P1908"/>
      <c r="Q1908"/>
      <c r="R1908" s="387">
        <f>VLOOKUP(E1908,'[1]NDB Impacted SPRFs 05032013'!$A$2:$A$65536,1,FALSE)</f>
        <v>400049163</v>
      </c>
      <c r="S1908" s="159"/>
      <c r="T1908" s="159"/>
      <c r="U1908" s="159"/>
    </row>
    <row r="1909" spans="1:21" ht="30" customHeight="1" x14ac:dyDescent="0.25">
      <c r="A1909" s="63">
        <f>MATCH($E1909,'D1 - Master Project Table'!$B$24:$B$7056,0)</f>
        <v>1709</v>
      </c>
      <c r="B1909" s="63" t="b">
        <f t="shared" si="90"/>
        <v>0</v>
      </c>
      <c r="C1909" s="63" t="b">
        <f t="shared" si="88"/>
        <v>0</v>
      </c>
      <c r="D1909" s="63" t="str">
        <f t="shared" si="89"/>
        <v>OK</v>
      </c>
      <c r="E1909" s="393">
        <v>400049235</v>
      </c>
      <c r="F1909" s="392" t="s">
        <v>1008</v>
      </c>
      <c r="G1909" s="392" t="s">
        <v>5324</v>
      </c>
      <c r="H1909" s="392" t="s">
        <v>4917</v>
      </c>
      <c r="I1909" s="392" t="s">
        <v>1757</v>
      </c>
      <c r="J1909" s="392" t="s">
        <v>1586</v>
      </c>
      <c r="K1909" s="392" t="s">
        <v>4462</v>
      </c>
      <c r="L1909" s="392" t="s">
        <v>7451</v>
      </c>
      <c r="M1909" s="392" t="s">
        <v>7273</v>
      </c>
      <c r="N1909" s="392" t="s">
        <v>7273</v>
      </c>
      <c r="O1909" s="392" t="s">
        <v>7273</v>
      </c>
      <c r="P1909"/>
      <c r="Q1909"/>
      <c r="R1909" s="387">
        <f>VLOOKUP(E1909,'[1]NDB Impacted SPRFs 05032013'!$A$2:$A$65536,1,FALSE)</f>
        <v>400049235</v>
      </c>
      <c r="S1909" s="159"/>
      <c r="T1909" s="159"/>
      <c r="U1909" s="159"/>
    </row>
    <row r="1910" spans="1:21" ht="30" customHeight="1" x14ac:dyDescent="0.25">
      <c r="A1910" s="63">
        <f>MATCH($E1910,'D1 - Master Project Table'!$B$24:$B$7056,0)</f>
        <v>2316</v>
      </c>
      <c r="B1910" s="63" t="b">
        <f t="shared" si="90"/>
        <v>0</v>
      </c>
      <c r="C1910" s="63" t="b">
        <f t="shared" si="88"/>
        <v>1</v>
      </c>
      <c r="D1910" s="63" t="str">
        <f t="shared" si="89"/>
        <v>OK</v>
      </c>
      <c r="E1910" s="393">
        <v>400049239</v>
      </c>
      <c r="F1910" s="392" t="s">
        <v>2731</v>
      </c>
      <c r="G1910" s="392" t="s">
        <v>5324</v>
      </c>
      <c r="H1910" s="392" t="s">
        <v>5314</v>
      </c>
      <c r="I1910" s="392" t="s">
        <v>1757</v>
      </c>
      <c r="J1910" s="392" t="s">
        <v>1586</v>
      </c>
      <c r="K1910" s="392" t="s">
        <v>4462</v>
      </c>
      <c r="L1910" s="392" t="s">
        <v>7451</v>
      </c>
      <c r="M1910" s="392" t="s">
        <v>7273</v>
      </c>
      <c r="N1910" s="392" t="s">
        <v>7273</v>
      </c>
      <c r="O1910" s="392" t="s">
        <v>7273</v>
      </c>
      <c r="P1910"/>
      <c r="Q1910"/>
      <c r="R1910" s="387">
        <f>VLOOKUP(E1910,'[1]NDB Impacted SPRFs 05032013'!$A$2:$A$65536,1,FALSE)</f>
        <v>400049239</v>
      </c>
    </row>
    <row r="1911" spans="1:21" ht="30" customHeight="1" x14ac:dyDescent="0.25">
      <c r="A1911" s="63">
        <f>MATCH($E1911,'D1 - Master Project Table'!$B$24:$B$7056,0)</f>
        <v>1687</v>
      </c>
      <c r="B1911" s="63" t="b">
        <f t="shared" si="90"/>
        <v>0</v>
      </c>
      <c r="C1911" s="63" t="b">
        <f t="shared" si="88"/>
        <v>1</v>
      </c>
      <c r="D1911" s="63" t="str">
        <f t="shared" si="89"/>
        <v>OK</v>
      </c>
      <c r="E1911" s="393">
        <v>400049240</v>
      </c>
      <c r="F1911" s="392" t="s">
        <v>2732</v>
      </c>
      <c r="G1911" s="392" t="s">
        <v>5324</v>
      </c>
      <c r="H1911" s="392" t="s">
        <v>7418</v>
      </c>
      <c r="I1911" s="392" t="s">
        <v>1757</v>
      </c>
      <c r="J1911" s="392" t="s">
        <v>1586</v>
      </c>
      <c r="K1911" s="392" t="s">
        <v>4462</v>
      </c>
      <c r="L1911" s="392" t="s">
        <v>7451</v>
      </c>
      <c r="M1911" s="392" t="s">
        <v>7273</v>
      </c>
      <c r="N1911" s="392" t="s">
        <v>7273</v>
      </c>
      <c r="O1911" s="392" t="s">
        <v>7273</v>
      </c>
      <c r="P1911"/>
      <c r="Q1911"/>
      <c r="R1911" s="387">
        <f>VLOOKUP(E1911,'[1]NDB Impacted SPRFs 05032013'!$A$2:$A$65536,1,FALSE)</f>
        <v>400049240</v>
      </c>
      <c r="S1911" s="159"/>
      <c r="T1911" s="159"/>
      <c r="U1911" s="159"/>
    </row>
    <row r="1912" spans="1:21" ht="30" customHeight="1" x14ac:dyDescent="0.25">
      <c r="A1912" s="63">
        <f>MATCH($E1912,'D1 - Master Project Table'!$B$24:$B$7056,0)</f>
        <v>1704</v>
      </c>
      <c r="B1912" s="63" t="b">
        <f t="shared" si="90"/>
        <v>0</v>
      </c>
      <c r="C1912" s="63" t="b">
        <f t="shared" si="88"/>
        <v>1</v>
      </c>
      <c r="D1912" s="63" t="str">
        <f t="shared" si="89"/>
        <v>OK</v>
      </c>
      <c r="E1912" s="393">
        <v>400049241</v>
      </c>
      <c r="F1912" s="392" t="s">
        <v>2733</v>
      </c>
      <c r="G1912" s="392" t="s">
        <v>5324</v>
      </c>
      <c r="H1912" s="392" t="s">
        <v>7418</v>
      </c>
      <c r="I1912" s="392" t="s">
        <v>1757</v>
      </c>
      <c r="J1912" s="392" t="s">
        <v>1586</v>
      </c>
      <c r="K1912" s="392" t="s">
        <v>4462</v>
      </c>
      <c r="L1912" s="392" t="s">
        <v>7451</v>
      </c>
      <c r="M1912" s="392" t="s">
        <v>7273</v>
      </c>
      <c r="N1912" s="392" t="s">
        <v>7273</v>
      </c>
      <c r="O1912" s="392" t="s">
        <v>7273</v>
      </c>
      <c r="P1912"/>
      <c r="Q1912"/>
      <c r="R1912" s="387">
        <f>VLOOKUP(E1912,'[1]NDB Impacted SPRFs 05032013'!$A$2:$A$65536,1,FALSE)</f>
        <v>400049241</v>
      </c>
      <c r="S1912" s="159"/>
      <c r="T1912" s="159"/>
      <c r="U1912" s="159"/>
    </row>
    <row r="1913" spans="1:21" ht="30" customHeight="1" x14ac:dyDescent="0.25">
      <c r="A1913" s="63">
        <f>MATCH($E1913,'D1 - Master Project Table'!$B$24:$B$7056,0)</f>
        <v>2319</v>
      </c>
      <c r="B1913" s="63" t="b">
        <f t="shared" si="90"/>
        <v>0</v>
      </c>
      <c r="C1913" s="63" t="b">
        <f t="shared" si="88"/>
        <v>1</v>
      </c>
      <c r="D1913" s="63" t="str">
        <f t="shared" si="89"/>
        <v>OK</v>
      </c>
      <c r="E1913" s="393">
        <v>400049243</v>
      </c>
      <c r="F1913" s="392" t="s">
        <v>4445</v>
      </c>
      <c r="G1913" s="392" t="s">
        <v>5324</v>
      </c>
      <c r="H1913" s="392" t="s">
        <v>5314</v>
      </c>
      <c r="I1913" s="392" t="s">
        <v>1757</v>
      </c>
      <c r="J1913" s="392" t="s">
        <v>1586</v>
      </c>
      <c r="K1913" s="392" t="s">
        <v>4462</v>
      </c>
      <c r="L1913" s="392" t="s">
        <v>7451</v>
      </c>
      <c r="M1913" s="392" t="s">
        <v>7273</v>
      </c>
      <c r="N1913" s="392" t="s">
        <v>7273</v>
      </c>
      <c r="O1913" s="392" t="s">
        <v>7273</v>
      </c>
      <c r="P1913"/>
      <c r="Q1913"/>
      <c r="R1913" s="387">
        <f>VLOOKUP(E1913,'[1]NDB Impacted SPRFs 05032013'!$A$2:$A$65536,1,FALSE)</f>
        <v>400049243</v>
      </c>
      <c r="S1913" s="159"/>
      <c r="T1913" s="159"/>
      <c r="U1913" s="159"/>
    </row>
    <row r="1914" spans="1:21" ht="30" customHeight="1" x14ac:dyDescent="0.25">
      <c r="A1914" s="63">
        <f>MATCH($E1914,'D1 - Master Project Table'!$B$24:$B$7056,0)</f>
        <v>1710</v>
      </c>
      <c r="B1914" s="63" t="b">
        <f t="shared" si="90"/>
        <v>0</v>
      </c>
      <c r="C1914" s="63" t="b">
        <f t="shared" si="88"/>
        <v>0</v>
      </c>
      <c r="D1914" s="63" t="str">
        <f t="shared" si="89"/>
        <v>OK</v>
      </c>
      <c r="E1914" s="393">
        <v>400049435</v>
      </c>
      <c r="F1914" s="392" t="s">
        <v>1693</v>
      </c>
      <c r="G1914" s="392" t="s">
        <v>5324</v>
      </c>
      <c r="H1914" s="392" t="s">
        <v>4917</v>
      </c>
      <c r="I1914" s="392" t="s">
        <v>1757</v>
      </c>
      <c r="J1914" s="392" t="s">
        <v>1586</v>
      </c>
      <c r="K1914" s="392" t="s">
        <v>4462</v>
      </c>
      <c r="L1914" s="392" t="s">
        <v>7451</v>
      </c>
      <c r="M1914" s="392" t="s">
        <v>7273</v>
      </c>
      <c r="N1914" s="392" t="s">
        <v>7273</v>
      </c>
      <c r="O1914" s="392" t="s">
        <v>7273</v>
      </c>
      <c r="P1914"/>
      <c r="Q1914"/>
      <c r="R1914" s="387">
        <f>VLOOKUP(E1914,'[1]NDB Impacted SPRFs 05032013'!$A$2:$A$65536,1,FALSE)</f>
        <v>400049435</v>
      </c>
      <c r="S1914" s="159"/>
      <c r="T1914" s="159"/>
      <c r="U1914" s="159"/>
    </row>
    <row r="1915" spans="1:21" ht="30" customHeight="1" x14ac:dyDescent="0.25">
      <c r="A1915" s="63">
        <f>MATCH($E1915,'D1 - Master Project Table'!$B$24:$B$7056,0)</f>
        <v>1711</v>
      </c>
      <c r="B1915" s="63" t="b">
        <f t="shared" si="90"/>
        <v>0</v>
      </c>
      <c r="C1915" s="63" t="b">
        <f t="shared" si="88"/>
        <v>0</v>
      </c>
      <c r="D1915" s="63" t="str">
        <f t="shared" si="89"/>
        <v>OK</v>
      </c>
      <c r="E1915" s="393">
        <v>400049436</v>
      </c>
      <c r="F1915" s="392" t="s">
        <v>1694</v>
      </c>
      <c r="G1915" s="392" t="s">
        <v>5324</v>
      </c>
      <c r="H1915" s="392" t="s">
        <v>4917</v>
      </c>
      <c r="I1915" s="392" t="s">
        <v>1757</v>
      </c>
      <c r="J1915" s="392" t="s">
        <v>1586</v>
      </c>
      <c r="K1915" s="392" t="s">
        <v>4462</v>
      </c>
      <c r="L1915" s="392" t="s">
        <v>7451</v>
      </c>
      <c r="M1915" s="392" t="s">
        <v>7273</v>
      </c>
      <c r="N1915" s="392" t="s">
        <v>7273</v>
      </c>
      <c r="O1915" s="392" t="s">
        <v>7273</v>
      </c>
      <c r="P1915"/>
      <c r="Q1915"/>
      <c r="R1915" s="387">
        <f>VLOOKUP(E1915,'[1]NDB Impacted SPRFs 05032013'!$A$2:$A$65536,1,FALSE)</f>
        <v>400049436</v>
      </c>
      <c r="S1915" s="159"/>
      <c r="T1915" s="159"/>
      <c r="U1915" s="159"/>
    </row>
    <row r="1916" spans="1:21" ht="30" customHeight="1" x14ac:dyDescent="0.25">
      <c r="A1916" s="63">
        <f>MATCH($E1916,'D1 - Master Project Table'!$B$24:$B$7056,0)</f>
        <v>2626</v>
      </c>
      <c r="B1916" s="63" t="b">
        <f t="shared" si="90"/>
        <v>0</v>
      </c>
      <c r="C1916" s="63" t="b">
        <f t="shared" si="88"/>
        <v>1</v>
      </c>
      <c r="D1916" s="63" t="str">
        <f t="shared" si="89"/>
        <v>OK</v>
      </c>
      <c r="E1916" s="393">
        <v>400013686</v>
      </c>
      <c r="F1916" s="392" t="s">
        <v>5448</v>
      </c>
      <c r="G1916" s="392" t="s">
        <v>5324</v>
      </c>
      <c r="H1916" s="392" t="s">
        <v>5314</v>
      </c>
      <c r="I1916" s="392" t="s">
        <v>1789</v>
      </c>
      <c r="J1916" s="392" t="s">
        <v>5473</v>
      </c>
      <c r="K1916" s="392" t="s">
        <v>1506</v>
      </c>
      <c r="L1916" s="392" t="s">
        <v>7387</v>
      </c>
      <c r="M1916" s="392" t="s">
        <v>3758</v>
      </c>
      <c r="N1916" s="392" t="s">
        <v>7273</v>
      </c>
      <c r="O1916" s="392" t="s">
        <v>7273</v>
      </c>
      <c r="P1916"/>
      <c r="Q1916"/>
      <c r="R1916" s="387">
        <f>VLOOKUP(E1916,'[1]NDB Impacted SPRFs 05032013'!$A$2:$A$65536,1,FALSE)</f>
        <v>400013686</v>
      </c>
      <c r="S1916" s="159"/>
      <c r="T1916" s="159"/>
      <c r="U1916" s="159"/>
    </row>
    <row r="1917" spans="1:21" ht="30" customHeight="1" x14ac:dyDescent="0.25">
      <c r="A1917" s="63">
        <f>MATCH($E1917,'D1 - Master Project Table'!$B$24:$B$7056,0)</f>
        <v>568</v>
      </c>
      <c r="B1917" s="63" t="b">
        <f t="shared" si="90"/>
        <v>0</v>
      </c>
      <c r="C1917" s="63" t="b">
        <f t="shared" si="88"/>
        <v>1</v>
      </c>
      <c r="D1917" s="63" t="str">
        <f t="shared" si="89"/>
        <v>OK</v>
      </c>
      <c r="E1917" s="393">
        <v>400013769</v>
      </c>
      <c r="F1917" s="392" t="s">
        <v>5984</v>
      </c>
      <c r="G1917" s="392" t="s">
        <v>5324</v>
      </c>
      <c r="H1917" s="392" t="s">
        <v>7418</v>
      </c>
      <c r="I1917" s="392" t="s">
        <v>1756</v>
      </c>
      <c r="J1917" s="392" t="s">
        <v>8388</v>
      </c>
      <c r="K1917" s="392" t="s">
        <v>8075</v>
      </c>
      <c r="L1917" s="392" t="s">
        <v>4145</v>
      </c>
      <c r="M1917" s="392" t="s">
        <v>7273</v>
      </c>
      <c r="N1917" s="392" t="s">
        <v>7273</v>
      </c>
      <c r="O1917" s="392" t="s">
        <v>7273</v>
      </c>
      <c r="P1917"/>
      <c r="Q1917"/>
      <c r="R1917" s="387">
        <f>VLOOKUP(E1917,'[1]NDB Impacted SPRFs 05032013'!$A$2:$A$65536,1,FALSE)</f>
        <v>400013769</v>
      </c>
      <c r="S1917" s="159"/>
      <c r="T1917" s="159"/>
      <c r="U1917" s="159"/>
    </row>
    <row r="1918" spans="1:21" ht="30" customHeight="1" x14ac:dyDescent="0.25">
      <c r="A1918" s="63">
        <f>MATCH($E1918,'D1 - Master Project Table'!$B$24:$B$7056,0)</f>
        <v>2633</v>
      </c>
      <c r="B1918" s="63" t="b">
        <f t="shared" si="90"/>
        <v>0</v>
      </c>
      <c r="C1918" s="63" t="b">
        <f t="shared" si="88"/>
        <v>1</v>
      </c>
      <c r="D1918" s="63" t="str">
        <f t="shared" si="89"/>
        <v>OK</v>
      </c>
      <c r="E1918" s="393">
        <v>400014470</v>
      </c>
      <c r="F1918" s="392" t="s">
        <v>1623</v>
      </c>
      <c r="G1918" s="392" t="s">
        <v>3441</v>
      </c>
      <c r="H1918" s="392" t="s">
        <v>7418</v>
      </c>
      <c r="I1918" s="392" t="s">
        <v>1769</v>
      </c>
      <c r="J1918" s="392" t="s">
        <v>4703</v>
      </c>
      <c r="K1918" s="392" t="s">
        <v>7772</v>
      </c>
      <c r="L1918" s="392" t="s">
        <v>5897</v>
      </c>
      <c r="M1918" s="392" t="s">
        <v>3758</v>
      </c>
      <c r="N1918" s="392" t="s">
        <v>7273</v>
      </c>
      <c r="O1918" s="392" t="s">
        <v>3758</v>
      </c>
      <c r="P1918"/>
      <c r="Q1918"/>
      <c r="R1918" s="387">
        <f>VLOOKUP(E1918,'[1]NDB Impacted SPRFs 05032013'!$A$2:$A$65536,1,FALSE)</f>
        <v>400014470</v>
      </c>
    </row>
    <row r="1919" spans="1:21" ht="30" customHeight="1" x14ac:dyDescent="0.25">
      <c r="A1919" s="63">
        <f>MATCH($E1919,'D1 - Master Project Table'!$B$24:$B$7056,0)</f>
        <v>166</v>
      </c>
      <c r="B1919" s="63" t="b">
        <f t="shared" si="90"/>
        <v>0</v>
      </c>
      <c r="C1919" s="63" t="b">
        <f t="shared" si="88"/>
        <v>0</v>
      </c>
      <c r="D1919" s="63" t="str">
        <f t="shared" si="89"/>
        <v>OK</v>
      </c>
      <c r="E1919" s="393">
        <v>400057151</v>
      </c>
      <c r="F1919" s="392" t="s">
        <v>12</v>
      </c>
      <c r="G1919" s="392" t="s">
        <v>5324</v>
      </c>
      <c r="H1919" s="392" t="s">
        <v>4917</v>
      </c>
      <c r="I1919" s="392" t="s">
        <v>1757</v>
      </c>
      <c r="J1919" s="392" t="s">
        <v>8559</v>
      </c>
      <c r="K1919" s="392" t="s">
        <v>8075</v>
      </c>
      <c r="L1919" s="392" t="s">
        <v>7451</v>
      </c>
      <c r="M1919" s="392" t="s">
        <v>7273</v>
      </c>
      <c r="N1919" s="392" t="s">
        <v>7273</v>
      </c>
      <c r="O1919" s="392" t="s">
        <v>7273</v>
      </c>
      <c r="P1919"/>
      <c r="Q1919"/>
      <c r="R1919" s="387">
        <f>VLOOKUP(E1919,'[1]NDB Impacted SPRFs 05032013'!$A$2:$A$65536,1,FALSE)</f>
        <v>400057151</v>
      </c>
      <c r="S1919" s="159"/>
      <c r="T1919" s="159"/>
      <c r="U1919" s="159"/>
    </row>
    <row r="1920" spans="1:21" ht="30" customHeight="1" x14ac:dyDescent="0.25">
      <c r="A1920" s="63">
        <f>MATCH($E1920,'D1 - Master Project Table'!$B$24:$B$7056,0)</f>
        <v>2355</v>
      </c>
      <c r="B1920" s="63" t="b">
        <f t="shared" si="90"/>
        <v>0</v>
      </c>
      <c r="C1920" s="63" t="b">
        <f t="shared" si="88"/>
        <v>1</v>
      </c>
      <c r="D1920" s="63" t="str">
        <f t="shared" si="89"/>
        <v>OK</v>
      </c>
      <c r="E1920" s="393">
        <v>400000163</v>
      </c>
      <c r="F1920" s="392" t="s">
        <v>4397</v>
      </c>
      <c r="G1920" s="392" t="s">
        <v>5324</v>
      </c>
      <c r="H1920" s="392" t="s">
        <v>5314</v>
      </c>
      <c r="I1920" s="392" t="s">
        <v>1766</v>
      </c>
      <c r="J1920" s="392" t="s">
        <v>8347</v>
      </c>
      <c r="K1920" s="392" t="s">
        <v>5641</v>
      </c>
      <c r="L1920" s="392" t="s">
        <v>1997</v>
      </c>
      <c r="M1920" s="392" t="s">
        <v>7273</v>
      </c>
      <c r="N1920" s="392" t="s">
        <v>7273</v>
      </c>
      <c r="O1920" s="392" t="s">
        <v>7273</v>
      </c>
      <c r="P1920"/>
      <c r="Q1920"/>
      <c r="R1920" s="387">
        <f>VLOOKUP(E1920,'[1]NDB Impacted SPRFs 05032013'!$A$2:$A$65536,1,FALSE)</f>
        <v>400000163</v>
      </c>
    </row>
    <row r="1921" spans="1:21" ht="30" customHeight="1" x14ac:dyDescent="0.25">
      <c r="A1921" s="63" t="e">
        <f>MATCH($E1921,'D1 - Master Project Table'!$B$24:$B$7056,0)</f>
        <v>#N/A</v>
      </c>
      <c r="B1921" s="63" t="b">
        <f t="shared" si="90"/>
        <v>1</v>
      </c>
      <c r="C1921" s="63" t="b">
        <f t="shared" si="88"/>
        <v>1</v>
      </c>
      <c r="D1921" s="63" t="str">
        <f t="shared" si="89"/>
        <v>OK</v>
      </c>
      <c r="E1921" s="393">
        <v>400001154</v>
      </c>
      <c r="F1921" s="392" t="s">
        <v>5469</v>
      </c>
      <c r="G1921" s="392" t="s">
        <v>5324</v>
      </c>
      <c r="H1921" s="392" t="s">
        <v>7418</v>
      </c>
      <c r="I1921" s="392" t="s">
        <v>1765</v>
      </c>
      <c r="J1921" s="392" t="s">
        <v>8354</v>
      </c>
      <c r="K1921" s="392" t="s">
        <v>2953</v>
      </c>
      <c r="L1921" s="392" t="s">
        <v>1997</v>
      </c>
      <c r="M1921" s="392" t="s">
        <v>7273</v>
      </c>
      <c r="N1921" s="392" t="s">
        <v>7273</v>
      </c>
      <c r="O1921" s="392" t="s">
        <v>7273</v>
      </c>
      <c r="P1921"/>
      <c r="Q1921"/>
      <c r="R1921" s="387">
        <f>VLOOKUP(E1921,'[1]NDB Impacted SPRFs 05032013'!$A$2:$A$65536,1,FALSE)</f>
        <v>400001154</v>
      </c>
      <c r="S1921" s="159"/>
      <c r="T1921" s="159"/>
      <c r="U1921" s="159"/>
    </row>
    <row r="1922" spans="1:21" ht="30" customHeight="1" x14ac:dyDescent="0.25">
      <c r="A1922" s="63" t="e">
        <f>MATCH($E1922,'D1 - Master Project Table'!$B$24:$B$7056,0)</f>
        <v>#N/A</v>
      </c>
      <c r="B1922" s="63" t="b">
        <f t="shared" si="90"/>
        <v>1</v>
      </c>
      <c r="C1922" s="63" t="b">
        <f t="shared" si="88"/>
        <v>1</v>
      </c>
      <c r="D1922" s="63" t="str">
        <f t="shared" si="89"/>
        <v>OK</v>
      </c>
      <c r="E1922" s="393">
        <v>400001192</v>
      </c>
      <c r="F1922" s="392" t="s">
        <v>6918</v>
      </c>
      <c r="G1922" s="392" t="s">
        <v>5324</v>
      </c>
      <c r="H1922" s="392" t="s">
        <v>7418</v>
      </c>
      <c r="I1922" s="392" t="s">
        <v>1765</v>
      </c>
      <c r="J1922" s="392" t="s">
        <v>8354</v>
      </c>
      <c r="K1922" s="392" t="s">
        <v>2953</v>
      </c>
      <c r="L1922" s="392" t="s">
        <v>1997</v>
      </c>
      <c r="M1922" s="392" t="s">
        <v>7273</v>
      </c>
      <c r="N1922" s="392" t="s">
        <v>7273</v>
      </c>
      <c r="O1922" s="392" t="s">
        <v>7273</v>
      </c>
      <c r="P1922"/>
      <c r="Q1922"/>
      <c r="R1922" s="387">
        <f>VLOOKUP(E1922,'[1]NDB Impacted SPRFs 05032013'!$A$2:$A$65536,1,FALSE)</f>
        <v>400001192</v>
      </c>
    </row>
    <row r="1923" spans="1:21" ht="30" customHeight="1" x14ac:dyDescent="0.25">
      <c r="A1923" s="63">
        <f>MATCH($E1923,'D1 - Master Project Table'!$B$24:$B$7056,0)</f>
        <v>2790</v>
      </c>
      <c r="B1923" s="63" t="b">
        <f t="shared" si="90"/>
        <v>0</v>
      </c>
      <c r="C1923" s="63" t="b">
        <f t="shared" si="88"/>
        <v>1</v>
      </c>
      <c r="D1923" s="63" t="str">
        <f t="shared" si="89"/>
        <v>OK</v>
      </c>
      <c r="E1923" s="393">
        <v>400022748</v>
      </c>
      <c r="F1923" s="392" t="s">
        <v>6023</v>
      </c>
      <c r="G1923" s="392" t="s">
        <v>5324</v>
      </c>
      <c r="H1923" s="392" t="s">
        <v>5314</v>
      </c>
      <c r="I1923" s="392" t="s">
        <v>1758</v>
      </c>
      <c r="J1923" s="392" t="s">
        <v>7496</v>
      </c>
      <c r="K1923" s="392" t="s">
        <v>8054</v>
      </c>
      <c r="L1923" s="392" t="s">
        <v>5153</v>
      </c>
      <c r="M1923" s="392" t="s">
        <v>7273</v>
      </c>
      <c r="N1923" s="392" t="s">
        <v>7273</v>
      </c>
      <c r="O1923" s="392" t="s">
        <v>7273</v>
      </c>
      <c r="P1923"/>
      <c r="Q1923"/>
      <c r="R1923" s="387">
        <f>VLOOKUP(E1923,'[1]NDB Impacted SPRFs 05032013'!$A$2:$A$65536,1,FALSE)</f>
        <v>400022748</v>
      </c>
    </row>
    <row r="1924" spans="1:21" ht="30" customHeight="1" x14ac:dyDescent="0.25">
      <c r="A1924" s="63">
        <f>MATCH($E1924,'D1 - Master Project Table'!$B$24:$B$7056,0)</f>
        <v>3020</v>
      </c>
      <c r="B1924" s="63" t="b">
        <f t="shared" si="90"/>
        <v>0</v>
      </c>
      <c r="C1924" s="63" t="b">
        <f t="shared" si="88"/>
        <v>1</v>
      </c>
      <c r="D1924" s="63" t="str">
        <f t="shared" si="89"/>
        <v>OK</v>
      </c>
      <c r="E1924" s="393">
        <v>400040444</v>
      </c>
      <c r="F1924" s="392" t="s">
        <v>1573</v>
      </c>
      <c r="G1924" s="392" t="s">
        <v>5324</v>
      </c>
      <c r="H1924" s="392" t="s">
        <v>5314</v>
      </c>
      <c r="I1924" s="392" t="s">
        <v>1762</v>
      </c>
      <c r="J1924" s="392" t="s">
        <v>8407</v>
      </c>
      <c r="K1924" s="392" t="s">
        <v>1574</v>
      </c>
      <c r="L1924" s="392" t="s">
        <v>6029</v>
      </c>
      <c r="M1924" s="392" t="s">
        <v>7273</v>
      </c>
      <c r="N1924" s="392" t="s">
        <v>7273</v>
      </c>
      <c r="O1924" s="392" t="s">
        <v>7273</v>
      </c>
      <c r="P1924"/>
      <c r="Q1924"/>
      <c r="R1924" s="387">
        <f>VLOOKUP(E1924,'[1]NDB Impacted SPRFs 05032013'!$A$2:$A$65536,1,FALSE)</f>
        <v>400040444</v>
      </c>
    </row>
    <row r="1925" spans="1:21" ht="30" customHeight="1" x14ac:dyDescent="0.25">
      <c r="A1925" s="63">
        <f>MATCH($E1925,'D1 - Master Project Table'!$B$24:$B$7056,0)</f>
        <v>2373</v>
      </c>
      <c r="B1925" s="63" t="b">
        <f t="shared" si="90"/>
        <v>0</v>
      </c>
      <c r="C1925" s="63" t="b">
        <f t="shared" si="88"/>
        <v>1</v>
      </c>
      <c r="D1925" s="63" t="str">
        <f t="shared" si="89"/>
        <v>OK</v>
      </c>
      <c r="E1925" s="393">
        <v>400000896</v>
      </c>
      <c r="F1925" s="392" t="s">
        <v>7331</v>
      </c>
      <c r="G1925" s="392" t="s">
        <v>5787</v>
      </c>
      <c r="H1925" s="392" t="s">
        <v>5314</v>
      </c>
      <c r="I1925" s="392" t="s">
        <v>1819</v>
      </c>
      <c r="J1925" s="392" t="s">
        <v>8690</v>
      </c>
      <c r="K1925" s="392" t="s">
        <v>6613</v>
      </c>
      <c r="L1925" s="392" t="s">
        <v>8132</v>
      </c>
      <c r="M1925" s="392" t="s">
        <v>7273</v>
      </c>
      <c r="N1925" s="392" t="s">
        <v>7273</v>
      </c>
      <c r="O1925" s="392" t="s">
        <v>7273</v>
      </c>
      <c r="P1925"/>
      <c r="Q1925"/>
      <c r="R1925" s="387">
        <f>VLOOKUP(E1925,'[1]NDB Impacted SPRFs 05032013'!$A$2:$A$65536,1,FALSE)</f>
        <v>400000896</v>
      </c>
      <c r="S1925" s="159"/>
      <c r="T1925" s="159"/>
      <c r="U1925" s="159"/>
    </row>
    <row r="1926" spans="1:21" ht="30" customHeight="1" x14ac:dyDescent="0.25">
      <c r="A1926" s="63" t="e">
        <f>MATCH($E1926,'D1 - Master Project Table'!$B$24:$B$7056,0)</f>
        <v>#N/A</v>
      </c>
      <c r="B1926" s="63" t="b">
        <f t="shared" si="90"/>
        <v>1</v>
      </c>
      <c r="C1926" s="63" t="b">
        <f t="shared" ref="C1926:C1989" si="91">OR(H1926="Completed",H1926="Cancelled")</f>
        <v>1</v>
      </c>
      <c r="D1926" s="63" t="str">
        <f t="shared" ref="D1926:D1989" si="92">IF(AND(B1926=TRUE,C1926=FALSE),"Add","OK")</f>
        <v>OK</v>
      </c>
      <c r="E1926" s="393">
        <v>400000902</v>
      </c>
      <c r="F1926" s="392" t="s">
        <v>2346</v>
      </c>
      <c r="G1926" s="392" t="s">
        <v>5787</v>
      </c>
      <c r="H1926" s="392" t="s">
        <v>7418</v>
      </c>
      <c r="I1926" s="392" t="s">
        <v>1822</v>
      </c>
      <c r="J1926" s="392" t="s">
        <v>8690</v>
      </c>
      <c r="K1926" s="392" t="s">
        <v>6613</v>
      </c>
      <c r="L1926" s="392" t="s">
        <v>8132</v>
      </c>
      <c r="M1926" s="392" t="s">
        <v>7273</v>
      </c>
      <c r="N1926" s="392" t="s">
        <v>7273</v>
      </c>
      <c r="O1926" s="392" t="s">
        <v>7273</v>
      </c>
      <c r="P1926"/>
      <c r="Q1926"/>
      <c r="R1926" s="387">
        <f>VLOOKUP(E1926,'[1]NDB Impacted SPRFs 05032013'!$A$2:$A$65536,1,FALSE)</f>
        <v>400000902</v>
      </c>
    </row>
    <row r="1927" spans="1:21" ht="30" customHeight="1" x14ac:dyDescent="0.25">
      <c r="A1927" s="63" t="e">
        <f>MATCH($E1927,'D1 - Master Project Table'!$B$24:$B$7056,0)</f>
        <v>#N/A</v>
      </c>
      <c r="B1927" s="63" t="b">
        <f t="shared" si="90"/>
        <v>1</v>
      </c>
      <c r="C1927" s="63" t="b">
        <f t="shared" si="91"/>
        <v>1</v>
      </c>
      <c r="D1927" s="63" t="str">
        <f t="shared" si="92"/>
        <v>OK</v>
      </c>
      <c r="E1927" s="393">
        <v>400000977</v>
      </c>
      <c r="F1927" s="392" t="s">
        <v>5623</v>
      </c>
      <c r="G1927" s="392" t="s">
        <v>5787</v>
      </c>
      <c r="H1927" s="392" t="s">
        <v>7418</v>
      </c>
      <c r="I1927" s="392" t="s">
        <v>1822</v>
      </c>
      <c r="J1927" s="392" t="s">
        <v>8693</v>
      </c>
      <c r="K1927" s="392" t="s">
        <v>6613</v>
      </c>
      <c r="L1927" s="392" t="s">
        <v>8132</v>
      </c>
      <c r="M1927" s="392" t="s">
        <v>7273</v>
      </c>
      <c r="N1927" s="392" t="s">
        <v>7273</v>
      </c>
      <c r="O1927" s="392" t="s">
        <v>7273</v>
      </c>
      <c r="P1927"/>
      <c r="Q1927"/>
      <c r="R1927" s="387">
        <f>VLOOKUP(E1927,'[1]NDB Impacted SPRFs 05032013'!$A$2:$A$65536,1,FALSE)</f>
        <v>400000977</v>
      </c>
      <c r="S1927" s="159"/>
      <c r="T1927" s="159"/>
      <c r="U1927" s="159"/>
    </row>
    <row r="1928" spans="1:21" ht="30" customHeight="1" x14ac:dyDescent="0.25">
      <c r="A1928" s="63">
        <f>MATCH($E1928,'D1 - Master Project Table'!$B$24:$B$7056,0)</f>
        <v>2384</v>
      </c>
      <c r="B1928" s="63" t="b">
        <f t="shared" si="90"/>
        <v>0</v>
      </c>
      <c r="C1928" s="63" t="b">
        <f t="shared" si="91"/>
        <v>1</v>
      </c>
      <c r="D1928" s="63" t="str">
        <f t="shared" si="92"/>
        <v>OK</v>
      </c>
      <c r="E1928" s="393">
        <v>400001489</v>
      </c>
      <c r="F1928" s="392" t="s">
        <v>2861</v>
      </c>
      <c r="G1928" s="392" t="s">
        <v>6322</v>
      </c>
      <c r="H1928" s="392" t="s">
        <v>5314</v>
      </c>
      <c r="I1928" s="392" t="s">
        <v>7594</v>
      </c>
      <c r="J1928" s="392" t="s">
        <v>4133</v>
      </c>
      <c r="K1928" s="392" t="s">
        <v>7403</v>
      </c>
      <c r="L1928" s="392" t="s">
        <v>5937</v>
      </c>
      <c r="M1928" s="392" t="s">
        <v>7273</v>
      </c>
      <c r="N1928" s="392" t="s">
        <v>7273</v>
      </c>
      <c r="O1928" s="392" t="s">
        <v>7273</v>
      </c>
      <c r="P1928"/>
      <c r="Q1928"/>
      <c r="R1928" s="387">
        <f>VLOOKUP(E1928,'[1]NDB Impacted SPRFs 05032013'!$A$2:$A$65536,1,FALSE)</f>
        <v>400001489</v>
      </c>
      <c r="S1928" s="159"/>
      <c r="T1928" s="159"/>
      <c r="U1928" s="159"/>
    </row>
    <row r="1929" spans="1:21" ht="30" customHeight="1" x14ac:dyDescent="0.25">
      <c r="A1929" s="63">
        <f>MATCH($E1929,'D1 - Master Project Table'!$B$24:$B$7056,0)</f>
        <v>2441</v>
      </c>
      <c r="B1929" s="63" t="b">
        <f t="shared" si="90"/>
        <v>0</v>
      </c>
      <c r="C1929" s="63" t="b">
        <f t="shared" si="91"/>
        <v>1</v>
      </c>
      <c r="D1929" s="63" t="str">
        <f t="shared" si="92"/>
        <v>OK</v>
      </c>
      <c r="E1929" s="393">
        <v>400003749</v>
      </c>
      <c r="F1929" s="392" t="s">
        <v>1645</v>
      </c>
      <c r="G1929" s="392" t="s">
        <v>5324</v>
      </c>
      <c r="H1929" s="392" t="s">
        <v>5314</v>
      </c>
      <c r="I1929" s="392" t="s">
        <v>1765</v>
      </c>
      <c r="J1929" s="392" t="s">
        <v>2467</v>
      </c>
      <c r="K1929" s="392" t="s">
        <v>2467</v>
      </c>
      <c r="L1929" s="392" t="s">
        <v>6446</v>
      </c>
      <c r="M1929" s="392" t="s">
        <v>7273</v>
      </c>
      <c r="N1929" s="392" t="s">
        <v>7273</v>
      </c>
      <c r="O1929" s="392" t="s">
        <v>7273</v>
      </c>
      <c r="P1929"/>
      <c r="Q1929"/>
      <c r="R1929" s="387">
        <f>VLOOKUP(E1929,'[1]NDB Impacted SPRFs 05032013'!$A$2:$A$65536,1,FALSE)</f>
        <v>400003749</v>
      </c>
      <c r="S1929" s="159"/>
      <c r="T1929" s="159"/>
      <c r="U1929" s="159"/>
    </row>
    <row r="1930" spans="1:21" ht="30" customHeight="1" x14ac:dyDescent="0.25">
      <c r="A1930" s="63">
        <f>MATCH($E1930,'D1 - Master Project Table'!$B$24:$B$7056,0)</f>
        <v>2492</v>
      </c>
      <c r="B1930" s="63" t="b">
        <f t="shared" si="90"/>
        <v>0</v>
      </c>
      <c r="C1930" s="63" t="b">
        <f t="shared" si="91"/>
        <v>1</v>
      </c>
      <c r="D1930" s="63" t="str">
        <f t="shared" si="92"/>
        <v>OK</v>
      </c>
      <c r="E1930" s="393">
        <v>400006288</v>
      </c>
      <c r="F1930" s="392" t="s">
        <v>6234</v>
      </c>
      <c r="G1930" s="392" t="s">
        <v>5324</v>
      </c>
      <c r="H1930" s="392" t="s">
        <v>5314</v>
      </c>
      <c r="I1930" s="392" t="s">
        <v>1765</v>
      </c>
      <c r="J1930" s="392" t="s">
        <v>8528</v>
      </c>
      <c r="K1930" s="392" t="s">
        <v>4010</v>
      </c>
      <c r="L1930" s="392" t="s">
        <v>4711</v>
      </c>
      <c r="M1930" s="392" t="s">
        <v>3758</v>
      </c>
      <c r="N1930" s="392" t="s">
        <v>7273</v>
      </c>
      <c r="O1930" s="392" t="s">
        <v>7273</v>
      </c>
      <c r="P1930"/>
      <c r="Q1930"/>
      <c r="R1930" s="387">
        <f>VLOOKUP(E1930,'[1]NDB Impacted SPRFs 05032013'!$A$2:$A$65536,1,FALSE)</f>
        <v>400006288</v>
      </c>
      <c r="S1930" s="159"/>
      <c r="T1930" s="159"/>
      <c r="U1930" s="159"/>
    </row>
    <row r="1931" spans="1:21" ht="30" customHeight="1" x14ac:dyDescent="0.25">
      <c r="A1931" s="63" t="e">
        <f>MATCH($E1931,'D1 - Master Project Table'!$B$24:$B$7056,0)</f>
        <v>#N/A</v>
      </c>
      <c r="B1931" s="63" t="b">
        <f t="shared" si="90"/>
        <v>1</v>
      </c>
      <c r="C1931" s="63" t="b">
        <f t="shared" si="91"/>
        <v>1</v>
      </c>
      <c r="D1931" s="63" t="str">
        <f t="shared" si="92"/>
        <v>OK</v>
      </c>
      <c r="E1931" s="393">
        <v>400008110</v>
      </c>
      <c r="F1931" s="392" t="s">
        <v>2569</v>
      </c>
      <c r="G1931" s="392" t="s">
        <v>5787</v>
      </c>
      <c r="H1931" s="392" t="s">
        <v>7418</v>
      </c>
      <c r="I1931" s="392" t="s">
        <v>1817</v>
      </c>
      <c r="J1931" s="392" t="s">
        <v>8460</v>
      </c>
      <c r="K1931" s="392" t="s">
        <v>4920</v>
      </c>
      <c r="L1931" s="392" t="s">
        <v>7484</v>
      </c>
      <c r="M1931" s="392" t="s">
        <v>7273</v>
      </c>
      <c r="N1931" s="392" t="s">
        <v>7273</v>
      </c>
      <c r="O1931" s="392" t="s">
        <v>7273</v>
      </c>
      <c r="P1931"/>
      <c r="Q1931"/>
      <c r="R1931" s="387">
        <f>VLOOKUP(E1931,'[1]NDB Impacted SPRFs 05032013'!$A$2:$A$65536,1,FALSE)</f>
        <v>400008110</v>
      </c>
      <c r="S1931" s="159"/>
      <c r="T1931" s="159"/>
      <c r="U1931" s="159"/>
    </row>
    <row r="1932" spans="1:21" ht="30" customHeight="1" x14ac:dyDescent="0.25">
      <c r="A1932" s="63">
        <f>MATCH($E1932,'D1 - Master Project Table'!$B$24:$B$7056,0)</f>
        <v>393</v>
      </c>
      <c r="B1932" s="63" t="b">
        <f t="shared" si="90"/>
        <v>0</v>
      </c>
      <c r="C1932" s="63" t="b">
        <f t="shared" si="91"/>
        <v>1</v>
      </c>
      <c r="D1932" s="63" t="str">
        <f t="shared" si="92"/>
        <v>OK</v>
      </c>
      <c r="E1932" s="393">
        <v>400008835</v>
      </c>
      <c r="F1932" s="392" t="s">
        <v>3668</v>
      </c>
      <c r="G1932" s="392" t="s">
        <v>5995</v>
      </c>
      <c r="H1932" s="392" t="s">
        <v>7418</v>
      </c>
      <c r="I1932" s="392" t="s">
        <v>3530</v>
      </c>
      <c r="J1932" s="392" t="s">
        <v>8797</v>
      </c>
      <c r="K1932" s="392" t="s">
        <v>4008</v>
      </c>
      <c r="L1932" s="392" t="s">
        <v>2408</v>
      </c>
      <c r="M1932" s="392" t="s">
        <v>7273</v>
      </c>
      <c r="N1932" s="392" t="s">
        <v>7273</v>
      </c>
      <c r="O1932" s="392" t="s">
        <v>7273</v>
      </c>
      <c r="P1932"/>
      <c r="Q1932"/>
      <c r="R1932" s="387">
        <f>VLOOKUP(E1932,'[1]NDB Impacted SPRFs 05032013'!$A$2:$A$65536,1,FALSE)</f>
        <v>400008835</v>
      </c>
    </row>
    <row r="1933" spans="1:21" ht="30" customHeight="1" x14ac:dyDescent="0.25">
      <c r="A1933" s="63">
        <f>MATCH($E1933,'D1 - Master Project Table'!$B$24:$B$7056,0)</f>
        <v>2651</v>
      </c>
      <c r="B1933" s="63" t="b">
        <f t="shared" si="90"/>
        <v>0</v>
      </c>
      <c r="C1933" s="63" t="b">
        <f t="shared" si="91"/>
        <v>1</v>
      </c>
      <c r="D1933" s="63" t="str">
        <f t="shared" si="92"/>
        <v>OK</v>
      </c>
      <c r="E1933" s="393">
        <v>400015271</v>
      </c>
      <c r="F1933" s="392" t="s">
        <v>7740</v>
      </c>
      <c r="G1933" s="392" t="s">
        <v>3441</v>
      </c>
      <c r="H1933" s="392" t="s">
        <v>5314</v>
      </c>
      <c r="I1933" s="392" t="s">
        <v>1769</v>
      </c>
      <c r="J1933" s="392" t="s">
        <v>4990</v>
      </c>
      <c r="K1933" s="392" t="s">
        <v>2447</v>
      </c>
      <c r="L1933" s="392" t="s">
        <v>5335</v>
      </c>
      <c r="M1933" s="392" t="s">
        <v>3758</v>
      </c>
      <c r="N1933" s="392" t="s">
        <v>7273</v>
      </c>
      <c r="O1933" s="392" t="s">
        <v>3758</v>
      </c>
      <c r="R1933" s="387">
        <f>VLOOKUP(E1933,'[1]NDB Impacted SPRFs 05032013'!$A$2:$A$65536,1,FALSE)</f>
        <v>400015271</v>
      </c>
    </row>
    <row r="1934" spans="1:21" ht="30" customHeight="1" x14ac:dyDescent="0.25">
      <c r="A1934" s="63">
        <f>MATCH($E1934,'D1 - Master Project Table'!$B$24:$B$7056,0)</f>
        <v>842</v>
      </c>
      <c r="B1934" s="63" t="b">
        <f t="shared" si="90"/>
        <v>0</v>
      </c>
      <c r="C1934" s="63" t="b">
        <f t="shared" si="91"/>
        <v>1</v>
      </c>
      <c r="D1934" s="63" t="str">
        <f t="shared" si="92"/>
        <v>OK</v>
      </c>
      <c r="E1934" s="393">
        <v>400021936</v>
      </c>
      <c r="F1934" s="392" t="s">
        <v>2423</v>
      </c>
      <c r="G1934" s="392" t="s">
        <v>5324</v>
      </c>
      <c r="H1934" s="392" t="s">
        <v>7418</v>
      </c>
      <c r="I1934" s="392" t="s">
        <v>1770</v>
      </c>
      <c r="J1934" s="392" t="s">
        <v>8389</v>
      </c>
      <c r="K1934" s="392" t="s">
        <v>7772</v>
      </c>
      <c r="L1934" s="392" t="s">
        <v>6171</v>
      </c>
      <c r="M1934" s="392" t="s">
        <v>7273</v>
      </c>
      <c r="N1934" s="392" t="s">
        <v>7273</v>
      </c>
      <c r="O1934" s="392" t="s">
        <v>3758</v>
      </c>
      <c r="P1934"/>
      <c r="Q1934"/>
      <c r="R1934" s="387">
        <f>VLOOKUP(E1934,'[1]NDB Impacted SPRFs 05032013'!$A$2:$A$65536,1,FALSE)</f>
        <v>400021936</v>
      </c>
      <c r="S1934" s="159"/>
      <c r="T1934" s="159"/>
      <c r="U1934" s="159"/>
    </row>
    <row r="1935" spans="1:21" ht="30" customHeight="1" x14ac:dyDescent="0.25">
      <c r="A1935" s="63">
        <f>MATCH($E1935,'D1 - Master Project Table'!$B$24:$B$7056,0)</f>
        <v>2540</v>
      </c>
      <c r="B1935" s="63" t="b">
        <f t="shared" si="90"/>
        <v>0</v>
      </c>
      <c r="C1935" s="63" t="b">
        <f t="shared" si="91"/>
        <v>1</v>
      </c>
      <c r="D1935" s="63" t="str">
        <f t="shared" si="92"/>
        <v>OK</v>
      </c>
      <c r="E1935" s="393">
        <v>400008950</v>
      </c>
      <c r="F1935" s="392" t="s">
        <v>3178</v>
      </c>
      <c r="G1935" s="392" t="s">
        <v>5324</v>
      </c>
      <c r="H1935" s="392" t="s">
        <v>5314</v>
      </c>
      <c r="I1935" s="392" t="s">
        <v>1759</v>
      </c>
      <c r="J1935" s="392" t="s">
        <v>6851</v>
      </c>
      <c r="K1935" s="392" t="s">
        <v>8075</v>
      </c>
      <c r="L1935" s="392" t="s">
        <v>6172</v>
      </c>
      <c r="M1935" s="392" t="s">
        <v>3758</v>
      </c>
      <c r="N1935" s="392" t="s">
        <v>7273</v>
      </c>
      <c r="O1935" s="392" t="s">
        <v>7273</v>
      </c>
      <c r="P1935"/>
      <c r="Q1935"/>
      <c r="R1935" s="387">
        <f>VLOOKUP(E1935,'[1]NDB Impacted SPRFs 05032013'!$A$2:$A$65536,1,FALSE)</f>
        <v>400008950</v>
      </c>
    </row>
    <row r="1936" spans="1:21" ht="30" customHeight="1" x14ac:dyDescent="0.25">
      <c r="A1936" s="63">
        <f>MATCH($E1936,'D1 - Master Project Table'!$B$24:$B$7056,0)</f>
        <v>535</v>
      </c>
      <c r="B1936" s="63" t="b">
        <f t="shared" si="90"/>
        <v>0</v>
      </c>
      <c r="C1936" s="63" t="b">
        <f t="shared" si="91"/>
        <v>1</v>
      </c>
      <c r="D1936" s="63" t="str">
        <f t="shared" si="92"/>
        <v>OK</v>
      </c>
      <c r="E1936" s="393">
        <v>400012823</v>
      </c>
      <c r="F1936" s="392" t="s">
        <v>3839</v>
      </c>
      <c r="G1936" s="392" t="s">
        <v>5324</v>
      </c>
      <c r="H1936" s="392" t="s">
        <v>7418</v>
      </c>
      <c r="I1936" s="392" t="s">
        <v>1765</v>
      </c>
      <c r="J1936" s="392" t="s">
        <v>8587</v>
      </c>
      <c r="K1936" s="392" t="s">
        <v>5004</v>
      </c>
      <c r="L1936" s="392" t="s">
        <v>4270</v>
      </c>
      <c r="M1936" s="392" t="s">
        <v>7273</v>
      </c>
      <c r="N1936" s="392" t="s">
        <v>7273</v>
      </c>
      <c r="O1936" s="392" t="s">
        <v>3758</v>
      </c>
      <c r="P1936"/>
      <c r="Q1936"/>
      <c r="R1936" s="387">
        <f>VLOOKUP(E1936,'[1]NDB Impacted SPRFs 05032013'!$A$2:$A$65536,1,FALSE)</f>
        <v>400012823</v>
      </c>
      <c r="S1936" s="159"/>
      <c r="T1936" s="159"/>
      <c r="U1936" s="159"/>
    </row>
    <row r="1937" spans="1:21" ht="30" customHeight="1" x14ac:dyDescent="0.25">
      <c r="A1937" s="63">
        <f>MATCH($E1937,'D1 - Master Project Table'!$B$24:$B$7056,0)</f>
        <v>592</v>
      </c>
      <c r="B1937" s="63" t="b">
        <f t="shared" si="90"/>
        <v>0</v>
      </c>
      <c r="C1937" s="63" t="b">
        <f t="shared" si="91"/>
        <v>1</v>
      </c>
      <c r="D1937" s="63" t="str">
        <f t="shared" si="92"/>
        <v>OK</v>
      </c>
      <c r="E1937" s="393">
        <v>400013282</v>
      </c>
      <c r="F1937" s="392" t="s">
        <v>3677</v>
      </c>
      <c r="G1937" s="392" t="s">
        <v>5324</v>
      </c>
      <c r="H1937" s="392" t="s">
        <v>7418</v>
      </c>
      <c r="I1937" s="392" t="s">
        <v>1756</v>
      </c>
      <c r="J1937" s="392" t="s">
        <v>8587</v>
      </c>
      <c r="K1937" s="392" t="s">
        <v>7197</v>
      </c>
      <c r="L1937" s="392" t="s">
        <v>4270</v>
      </c>
      <c r="M1937" s="392" t="s">
        <v>7273</v>
      </c>
      <c r="N1937" s="392" t="s">
        <v>7273</v>
      </c>
      <c r="O1937" s="392" t="s">
        <v>3758</v>
      </c>
      <c r="P1937"/>
      <c r="Q1937"/>
      <c r="R1937" s="387">
        <f>VLOOKUP(E1937,'[1]NDB Impacted SPRFs 05032013'!$A$2:$A$65536,1,FALSE)</f>
        <v>400013282</v>
      </c>
    </row>
    <row r="1938" spans="1:21" ht="30" customHeight="1" x14ac:dyDescent="0.25">
      <c r="A1938" s="63">
        <f>MATCH($E1938,'D1 - Master Project Table'!$B$24:$B$7056,0)</f>
        <v>2642</v>
      </c>
      <c r="B1938" s="63" t="b">
        <f t="shared" si="90"/>
        <v>0</v>
      </c>
      <c r="C1938" s="63" t="b">
        <f t="shared" si="91"/>
        <v>1</v>
      </c>
      <c r="D1938" s="63" t="str">
        <f t="shared" si="92"/>
        <v>OK</v>
      </c>
      <c r="E1938" s="393">
        <v>400014892</v>
      </c>
      <c r="F1938" s="392" t="s">
        <v>6168</v>
      </c>
      <c r="G1938" s="392" t="s">
        <v>5324</v>
      </c>
      <c r="H1938" s="392" t="s">
        <v>5314</v>
      </c>
      <c r="I1938" s="392" t="s">
        <v>1763</v>
      </c>
      <c r="J1938" s="392" t="s">
        <v>8393</v>
      </c>
      <c r="K1938" s="392" t="s">
        <v>5988</v>
      </c>
      <c r="L1938" s="392" t="s">
        <v>6132</v>
      </c>
      <c r="M1938" s="392" t="s">
        <v>3758</v>
      </c>
      <c r="N1938" s="392" t="s">
        <v>7273</v>
      </c>
      <c r="O1938" s="392" t="s">
        <v>3758</v>
      </c>
      <c r="P1938"/>
      <c r="Q1938"/>
      <c r="R1938" s="387">
        <f>VLOOKUP(E1938,'[1]NDB Impacted SPRFs 05032013'!$A$2:$A$65536,1,FALSE)</f>
        <v>400014892</v>
      </c>
      <c r="S1938" s="159"/>
      <c r="T1938" s="159"/>
      <c r="U1938" s="159"/>
    </row>
    <row r="1939" spans="1:21" ht="30" customHeight="1" x14ac:dyDescent="0.25">
      <c r="A1939" s="63">
        <f>MATCH($E1939,'D1 - Master Project Table'!$B$24:$B$7056,0)</f>
        <v>750</v>
      </c>
      <c r="B1939" s="63" t="b">
        <f t="shared" si="90"/>
        <v>0</v>
      </c>
      <c r="C1939" s="63" t="b">
        <f t="shared" si="91"/>
        <v>1</v>
      </c>
      <c r="D1939" s="63" t="str">
        <f t="shared" si="92"/>
        <v>OK</v>
      </c>
      <c r="E1939" s="393">
        <v>400017088</v>
      </c>
      <c r="F1939" s="392" t="s">
        <v>5839</v>
      </c>
      <c r="G1939" s="392" t="s">
        <v>5324</v>
      </c>
      <c r="H1939" s="392" t="s">
        <v>7418</v>
      </c>
      <c r="I1939" s="392" t="s">
        <v>1756</v>
      </c>
      <c r="J1939" s="392" t="s">
        <v>8389</v>
      </c>
      <c r="K1939" s="392" t="s">
        <v>5988</v>
      </c>
      <c r="L1939" s="392" t="s">
        <v>4270</v>
      </c>
      <c r="M1939" s="392" t="s">
        <v>7273</v>
      </c>
      <c r="N1939" s="392" t="s">
        <v>7273</v>
      </c>
      <c r="O1939" s="392" t="s">
        <v>3758</v>
      </c>
      <c r="P1939"/>
      <c r="Q1939"/>
      <c r="R1939" s="387">
        <f>VLOOKUP(E1939,'[1]NDB Impacted SPRFs 05032013'!$A$2:$A$65536,1,FALSE)</f>
        <v>400017088</v>
      </c>
    </row>
    <row r="1940" spans="1:21" ht="30" customHeight="1" x14ac:dyDescent="0.25">
      <c r="A1940" s="63">
        <f>MATCH($E1940,'D1 - Master Project Table'!$B$24:$B$7056,0)</f>
        <v>752</v>
      </c>
      <c r="B1940" s="63" t="b">
        <f t="shared" si="90"/>
        <v>0</v>
      </c>
      <c r="C1940" s="63" t="b">
        <f t="shared" si="91"/>
        <v>1</v>
      </c>
      <c r="D1940" s="63" t="str">
        <f t="shared" si="92"/>
        <v>OK</v>
      </c>
      <c r="E1940" s="393">
        <v>400017091</v>
      </c>
      <c r="F1940" s="392" t="s">
        <v>5922</v>
      </c>
      <c r="G1940" s="392" t="s">
        <v>5324</v>
      </c>
      <c r="H1940" s="392" t="s">
        <v>7418</v>
      </c>
      <c r="I1940" s="392" t="s">
        <v>1756</v>
      </c>
      <c r="J1940" s="392" t="s">
        <v>8389</v>
      </c>
      <c r="K1940" s="392" t="s">
        <v>5988</v>
      </c>
      <c r="L1940" s="392" t="s">
        <v>4270</v>
      </c>
      <c r="M1940" s="392" t="s">
        <v>7273</v>
      </c>
      <c r="N1940" s="392" t="s">
        <v>7273</v>
      </c>
      <c r="O1940" s="392" t="s">
        <v>3758</v>
      </c>
      <c r="P1940" s="212"/>
      <c r="Q1940" s="212"/>
      <c r="R1940" s="387">
        <f>VLOOKUP(E1940,'[1]NDB Impacted SPRFs 05032013'!$A$2:$A$65536,1,FALSE)</f>
        <v>400017091</v>
      </c>
      <c r="S1940" s="159"/>
      <c r="T1940" s="159"/>
      <c r="U1940" s="159"/>
    </row>
    <row r="1941" spans="1:21" ht="30" customHeight="1" x14ac:dyDescent="0.25">
      <c r="A1941" s="63">
        <f>MATCH($E1941,'D1 - Master Project Table'!$B$24:$B$7056,0)</f>
        <v>710</v>
      </c>
      <c r="B1941" s="63" t="b">
        <f t="shared" si="90"/>
        <v>0</v>
      </c>
      <c r="C1941" s="63" t="b">
        <f t="shared" si="91"/>
        <v>1</v>
      </c>
      <c r="D1941" s="63" t="str">
        <f t="shared" si="92"/>
        <v>OK</v>
      </c>
      <c r="E1941" s="393">
        <v>400018270</v>
      </c>
      <c r="F1941" s="392" t="s">
        <v>5290</v>
      </c>
      <c r="G1941" s="392" t="s">
        <v>5324</v>
      </c>
      <c r="H1941" s="392" t="s">
        <v>7418</v>
      </c>
      <c r="I1941" s="392" t="s">
        <v>1764</v>
      </c>
      <c r="J1941" s="392" t="s">
        <v>4708</v>
      </c>
      <c r="K1941" s="392" t="s">
        <v>4006</v>
      </c>
      <c r="L1941" s="392" t="s">
        <v>4270</v>
      </c>
      <c r="M1941" s="392" t="s">
        <v>7273</v>
      </c>
      <c r="N1941" s="392" t="s">
        <v>7273</v>
      </c>
      <c r="O1941" s="392" t="s">
        <v>3758</v>
      </c>
      <c r="P1941"/>
      <c r="Q1941"/>
      <c r="R1941" s="387">
        <f>VLOOKUP(E1941,'[1]NDB Impacted SPRFs 05032013'!$A$2:$A$65536,1,FALSE)</f>
        <v>400018270</v>
      </c>
      <c r="S1941" s="159"/>
      <c r="T1941" s="159"/>
      <c r="U1941" s="159"/>
    </row>
    <row r="1942" spans="1:21" ht="30" customHeight="1" x14ac:dyDescent="0.25">
      <c r="A1942" s="63">
        <f>MATCH($E1942,'D1 - Master Project Table'!$B$24:$B$7056,0)</f>
        <v>2702</v>
      </c>
      <c r="B1942" s="63" t="b">
        <f t="shared" si="90"/>
        <v>0</v>
      </c>
      <c r="C1942" s="63" t="b">
        <f t="shared" si="91"/>
        <v>1</v>
      </c>
      <c r="D1942" s="63" t="str">
        <f t="shared" si="92"/>
        <v>OK</v>
      </c>
      <c r="E1942" s="393">
        <v>400018593</v>
      </c>
      <c r="F1942" s="392" t="s">
        <v>6123</v>
      </c>
      <c r="G1942" s="392" t="s">
        <v>5787</v>
      </c>
      <c r="H1942" s="392" t="s">
        <v>5314</v>
      </c>
      <c r="I1942" s="392" t="s">
        <v>1772</v>
      </c>
      <c r="J1942" s="392" t="s">
        <v>3904</v>
      </c>
      <c r="K1942" s="392" t="s">
        <v>3905</v>
      </c>
      <c r="L1942" s="392" t="s">
        <v>2995</v>
      </c>
      <c r="M1942" s="392" t="s">
        <v>3758</v>
      </c>
      <c r="N1942" s="392" t="s">
        <v>7273</v>
      </c>
      <c r="O1942" s="392" t="s">
        <v>7273</v>
      </c>
      <c r="P1942"/>
      <c r="Q1942"/>
      <c r="R1942" s="387">
        <f>VLOOKUP(E1942,'[1]NDB Impacted SPRFs 05032013'!$A$2:$A$65536,1,FALSE)</f>
        <v>400018593</v>
      </c>
      <c r="S1942" s="159"/>
      <c r="T1942" s="159"/>
      <c r="U1942" s="159"/>
    </row>
    <row r="1943" spans="1:21" ht="30" customHeight="1" x14ac:dyDescent="0.25">
      <c r="A1943" s="63">
        <f>MATCH($E1943,'D1 - Master Project Table'!$B$24:$B$7056,0)</f>
        <v>1946</v>
      </c>
      <c r="B1943" s="63" t="b">
        <f t="shared" si="90"/>
        <v>0</v>
      </c>
      <c r="C1943" s="63" t="b">
        <f t="shared" si="91"/>
        <v>1</v>
      </c>
      <c r="D1943" s="63" t="str">
        <f t="shared" si="92"/>
        <v>OK</v>
      </c>
      <c r="E1943" s="393">
        <v>400020127</v>
      </c>
      <c r="F1943" s="392" t="s">
        <v>7828</v>
      </c>
      <c r="G1943" s="392" t="s">
        <v>5787</v>
      </c>
      <c r="H1943" s="392" t="s">
        <v>7418</v>
      </c>
      <c r="I1943" s="392" t="s">
        <v>1775</v>
      </c>
      <c r="J1943" s="392" t="s">
        <v>3725</v>
      </c>
      <c r="K1943" s="392" t="s">
        <v>7629</v>
      </c>
      <c r="L1943" s="392" t="s">
        <v>3795</v>
      </c>
      <c r="M1943" s="392" t="s">
        <v>7273</v>
      </c>
      <c r="N1943" s="392" t="s">
        <v>7273</v>
      </c>
      <c r="O1943" s="392" t="s">
        <v>7273</v>
      </c>
      <c r="P1943"/>
      <c r="Q1943"/>
      <c r="R1943" s="387">
        <f>VLOOKUP(E1943,'[1]NDB Impacted SPRFs 05032013'!$A$2:$A$65536,1,FALSE)</f>
        <v>400020127</v>
      </c>
      <c r="S1943" s="159"/>
      <c r="T1943" s="159"/>
      <c r="U1943" s="159"/>
    </row>
    <row r="1944" spans="1:21" ht="30" x14ac:dyDescent="0.25">
      <c r="A1944" s="63">
        <f>MATCH($E1944,'D1 - Master Project Table'!$B$24:$B$7056,0)</f>
        <v>2394</v>
      </c>
      <c r="B1944" s="63" t="b">
        <f t="shared" si="90"/>
        <v>0</v>
      </c>
      <c r="C1944" s="63" t="b">
        <f t="shared" si="91"/>
        <v>1</v>
      </c>
      <c r="D1944" s="63" t="str">
        <f t="shared" si="92"/>
        <v>OK</v>
      </c>
      <c r="E1944" s="393">
        <v>400002074</v>
      </c>
      <c r="F1944" s="392" t="s">
        <v>6628</v>
      </c>
      <c r="G1944" s="392" t="s">
        <v>5995</v>
      </c>
      <c r="H1944" s="392" t="s">
        <v>5314</v>
      </c>
      <c r="I1944" s="392" t="s">
        <v>3530</v>
      </c>
      <c r="J1944" s="392" t="s">
        <v>8797</v>
      </c>
      <c r="K1944" s="392" t="s">
        <v>3794</v>
      </c>
      <c r="L1944" s="392" t="s">
        <v>7285</v>
      </c>
      <c r="M1944" s="392" t="s">
        <v>7273</v>
      </c>
      <c r="N1944" s="392" t="s">
        <v>7273</v>
      </c>
      <c r="O1944" s="392" t="s">
        <v>7273</v>
      </c>
      <c r="P1944"/>
      <c r="Q1944"/>
      <c r="R1944" s="387">
        <f>VLOOKUP(E1944,'[1]NDB Impacted SPRFs 05032013'!$A$2:$A$65536,1,FALSE)</f>
        <v>400002074</v>
      </c>
      <c r="S1944" s="159"/>
      <c r="T1944" s="159"/>
      <c r="U1944" s="159"/>
    </row>
    <row r="1945" spans="1:21" ht="30" x14ac:dyDescent="0.25">
      <c r="A1945" s="63" t="e">
        <f>MATCH($E1945,'D1 - Master Project Table'!$B$24:$B$7056,0)</f>
        <v>#N/A</v>
      </c>
      <c r="B1945" s="63" t="b">
        <f t="shared" si="90"/>
        <v>1</v>
      </c>
      <c r="C1945" s="63" t="b">
        <f t="shared" si="91"/>
        <v>1</v>
      </c>
      <c r="D1945" s="63" t="str">
        <f t="shared" si="92"/>
        <v>OK</v>
      </c>
      <c r="E1945" s="393">
        <v>400008390</v>
      </c>
      <c r="F1945" s="392" t="s">
        <v>4098</v>
      </c>
      <c r="G1945" s="392" t="s">
        <v>5787</v>
      </c>
      <c r="H1945" s="392" t="s">
        <v>5314</v>
      </c>
      <c r="I1945" s="392" t="s">
        <v>1772</v>
      </c>
      <c r="J1945" s="392" t="s">
        <v>3904</v>
      </c>
      <c r="K1945" s="392" t="s">
        <v>6630</v>
      </c>
      <c r="L1945" s="392" t="s">
        <v>2995</v>
      </c>
      <c r="M1945" s="392" t="s">
        <v>3758</v>
      </c>
      <c r="N1945" s="392" t="s">
        <v>7273</v>
      </c>
      <c r="O1945" s="392" t="s">
        <v>7273</v>
      </c>
      <c r="P1945"/>
      <c r="Q1945"/>
      <c r="R1945" s="387">
        <f>VLOOKUP(E1945,'[1]NDB Impacted SPRFs 05032013'!$A$2:$A$65536,1,FALSE)</f>
        <v>400008390</v>
      </c>
      <c r="S1945" s="159"/>
      <c r="T1945" s="159"/>
      <c r="U1945" s="159"/>
    </row>
    <row r="1946" spans="1:21" ht="30" x14ac:dyDescent="0.25">
      <c r="A1946" s="63" t="e">
        <f>MATCH($E1946,'D1 - Master Project Table'!$B$24:$B$7056,0)</f>
        <v>#N/A</v>
      </c>
      <c r="B1946" s="63" t="b">
        <f t="shared" si="90"/>
        <v>1</v>
      </c>
      <c r="C1946" s="63" t="b">
        <f t="shared" si="91"/>
        <v>1</v>
      </c>
      <c r="D1946" s="63" t="str">
        <f t="shared" si="92"/>
        <v>OK</v>
      </c>
      <c r="E1946" s="393">
        <v>400035310</v>
      </c>
      <c r="F1946" s="392" t="s">
        <v>4055</v>
      </c>
      <c r="G1946" s="392" t="s">
        <v>6322</v>
      </c>
      <c r="H1946" s="392" t="s">
        <v>5314</v>
      </c>
      <c r="I1946" s="392" t="s">
        <v>7594</v>
      </c>
      <c r="J1946" s="392" t="s">
        <v>8631</v>
      </c>
      <c r="K1946" s="392" t="s">
        <v>4056</v>
      </c>
      <c r="L1946" s="392" t="s">
        <v>726</v>
      </c>
      <c r="M1946" s="392" t="s">
        <v>7273</v>
      </c>
      <c r="N1946" s="392" t="s">
        <v>7273</v>
      </c>
      <c r="O1946" s="392" t="s">
        <v>7273</v>
      </c>
      <c r="P1946"/>
      <c r="Q1946"/>
      <c r="R1946" s="387">
        <f>VLOOKUP(E1946,'[1]NDB Impacted SPRFs 05032013'!$A$2:$A$65536,1,FALSE)</f>
        <v>400035310</v>
      </c>
      <c r="S1946" s="159"/>
      <c r="T1946" s="159"/>
      <c r="U1946" s="159"/>
    </row>
    <row r="1947" spans="1:21" ht="30" x14ac:dyDescent="0.25">
      <c r="A1947" s="63">
        <f>MATCH($E1947,'D1 - Master Project Table'!$B$24:$B$7056,0)</f>
        <v>3008</v>
      </c>
      <c r="B1947" s="63" t="b">
        <f t="shared" si="90"/>
        <v>0</v>
      </c>
      <c r="C1947" s="63" t="b">
        <f t="shared" si="91"/>
        <v>1</v>
      </c>
      <c r="D1947" s="63" t="str">
        <f t="shared" si="92"/>
        <v>OK</v>
      </c>
      <c r="E1947" s="393">
        <v>400039648</v>
      </c>
      <c r="F1947" s="392" t="s">
        <v>6989</v>
      </c>
      <c r="G1947" s="392" t="s">
        <v>6322</v>
      </c>
      <c r="H1947" s="392" t="s">
        <v>5314</v>
      </c>
      <c r="I1947" s="392" t="s">
        <v>1812</v>
      </c>
      <c r="J1947" s="392" t="s">
        <v>4688</v>
      </c>
      <c r="K1947" s="392" t="s">
        <v>6600</v>
      </c>
      <c r="L1947" s="392" t="s">
        <v>726</v>
      </c>
      <c r="M1947" s="392" t="s">
        <v>7273</v>
      </c>
      <c r="N1947" s="392" t="s">
        <v>7273</v>
      </c>
      <c r="O1947" s="392" t="s">
        <v>7273</v>
      </c>
      <c r="P1947"/>
      <c r="Q1947"/>
      <c r="R1947" s="387">
        <f>VLOOKUP(E1947,'[1]NDB Impacted SPRFs 05032013'!$A$2:$A$65536,1,FALSE)</f>
        <v>400039648</v>
      </c>
    </row>
    <row r="1948" spans="1:21" ht="30" customHeight="1" x14ac:dyDescent="0.25">
      <c r="A1948" s="63" t="e">
        <f>MATCH($E1948,'D1 - Master Project Table'!$B$24:$B$7056,0)</f>
        <v>#N/A</v>
      </c>
      <c r="B1948" s="63" t="b">
        <f t="shared" si="90"/>
        <v>1</v>
      </c>
      <c r="C1948" s="63" t="b">
        <f t="shared" si="91"/>
        <v>1</v>
      </c>
      <c r="D1948" s="63" t="str">
        <f t="shared" si="92"/>
        <v>OK</v>
      </c>
      <c r="E1948" s="393">
        <v>400001287</v>
      </c>
      <c r="F1948" s="392" t="s">
        <v>5895</v>
      </c>
      <c r="G1948" s="392" t="s">
        <v>5324</v>
      </c>
      <c r="H1948" s="392" t="s">
        <v>7418</v>
      </c>
      <c r="I1948" s="392" t="s">
        <v>1765</v>
      </c>
      <c r="J1948" s="392" t="s">
        <v>5894</v>
      </c>
      <c r="K1948" s="392" t="s">
        <v>5641</v>
      </c>
      <c r="L1948" s="392" t="s">
        <v>7470</v>
      </c>
      <c r="M1948" s="392" t="s">
        <v>7273</v>
      </c>
      <c r="N1948" s="392" t="s">
        <v>7273</v>
      </c>
      <c r="O1948" s="392" t="s">
        <v>7273</v>
      </c>
      <c r="P1948" s="212"/>
      <c r="Q1948" s="212"/>
      <c r="R1948" s="387">
        <f>VLOOKUP(E1948,'[1]NDB Impacted SPRFs 05032013'!$A$2:$A$65536,1,FALSE)</f>
        <v>400001287</v>
      </c>
    </row>
    <row r="1949" spans="1:21" ht="45" x14ac:dyDescent="0.25">
      <c r="A1949" s="63" t="e">
        <f>MATCH($E1949,'D1 - Master Project Table'!$B$24:$B$7056,0)</f>
        <v>#N/A</v>
      </c>
      <c r="B1949" s="63" t="b">
        <f t="shared" si="90"/>
        <v>1</v>
      </c>
      <c r="C1949" s="63" t="b">
        <f t="shared" si="91"/>
        <v>1</v>
      </c>
      <c r="D1949" s="63" t="str">
        <f t="shared" si="92"/>
        <v>OK</v>
      </c>
      <c r="E1949" s="393">
        <v>400004071</v>
      </c>
      <c r="F1949" s="392" t="s">
        <v>6196</v>
      </c>
      <c r="G1949" s="392" t="s">
        <v>5324</v>
      </c>
      <c r="H1949" s="392" t="s">
        <v>7418</v>
      </c>
      <c r="I1949" s="392" t="s">
        <v>1765</v>
      </c>
      <c r="J1949" s="392" t="s">
        <v>8417</v>
      </c>
      <c r="K1949" s="392" t="s">
        <v>2829</v>
      </c>
      <c r="L1949" s="392" t="s">
        <v>1977</v>
      </c>
      <c r="M1949" s="392" t="s">
        <v>7273</v>
      </c>
      <c r="N1949" s="392" t="s">
        <v>7273</v>
      </c>
      <c r="O1949" s="392" t="s">
        <v>7273</v>
      </c>
      <c r="P1949"/>
      <c r="Q1949"/>
      <c r="R1949" s="387">
        <f>VLOOKUP(E1949,'[1]NDB Impacted SPRFs 05032013'!$A$2:$A$65536,1,FALSE)</f>
        <v>400004071</v>
      </c>
      <c r="S1949" s="159"/>
      <c r="T1949" s="159"/>
      <c r="U1949" s="159"/>
    </row>
    <row r="1950" spans="1:21" ht="45" x14ac:dyDescent="0.25">
      <c r="A1950" s="63">
        <f>MATCH($E1950,'D1 - Master Project Table'!$B$24:$B$7056,0)</f>
        <v>2113</v>
      </c>
      <c r="B1950" s="63" t="b">
        <f t="shared" si="90"/>
        <v>0</v>
      </c>
      <c r="C1950" s="63" t="b">
        <f t="shared" si="91"/>
        <v>1</v>
      </c>
      <c r="D1950" s="63" t="str">
        <f t="shared" si="92"/>
        <v>OK</v>
      </c>
      <c r="E1950" s="393">
        <v>400013075</v>
      </c>
      <c r="F1950" s="392" t="s">
        <v>7656</v>
      </c>
      <c r="G1950" s="392" t="s">
        <v>5324</v>
      </c>
      <c r="H1950" s="392" t="s">
        <v>5314</v>
      </c>
      <c r="I1950" s="392" t="s">
        <v>1756</v>
      </c>
      <c r="J1950" s="392" t="s">
        <v>8394</v>
      </c>
      <c r="K1950" s="392" t="s">
        <v>5988</v>
      </c>
      <c r="L1950" s="392" t="s">
        <v>5519</v>
      </c>
      <c r="M1950" s="392" t="s">
        <v>7273</v>
      </c>
      <c r="N1950" s="392" t="s">
        <v>7273</v>
      </c>
      <c r="O1950" s="392" t="s">
        <v>3758</v>
      </c>
      <c r="P1950"/>
      <c r="Q1950"/>
      <c r="R1950" s="387">
        <f>VLOOKUP(E1950,'[1]NDB Impacted SPRFs 05032013'!$A$2:$A$65536,1,FALSE)</f>
        <v>400013075</v>
      </c>
      <c r="S1950" s="159"/>
      <c r="T1950" s="159"/>
      <c r="U1950" s="159"/>
    </row>
    <row r="1951" spans="1:21" ht="45" x14ac:dyDescent="0.25">
      <c r="A1951" s="63">
        <f>MATCH($E1951,'D1 - Master Project Table'!$B$24:$B$7056,0)</f>
        <v>2775</v>
      </c>
      <c r="B1951" s="63" t="b">
        <f t="shared" si="90"/>
        <v>0</v>
      </c>
      <c r="C1951" s="63" t="b">
        <f t="shared" si="91"/>
        <v>1</v>
      </c>
      <c r="D1951" s="63" t="str">
        <f t="shared" si="92"/>
        <v>OK</v>
      </c>
      <c r="E1951" s="393">
        <v>400021816</v>
      </c>
      <c r="F1951" s="392" t="s">
        <v>6222</v>
      </c>
      <c r="G1951" s="392" t="s">
        <v>5324</v>
      </c>
      <c r="H1951" s="392" t="s">
        <v>5314</v>
      </c>
      <c r="I1951" s="392" t="s">
        <v>1763</v>
      </c>
      <c r="J1951" s="392" t="s">
        <v>8292</v>
      </c>
      <c r="K1951" s="392" t="s">
        <v>3905</v>
      </c>
      <c r="L1951" s="392" t="s">
        <v>6175</v>
      </c>
      <c r="M1951" s="392" t="s">
        <v>7273</v>
      </c>
      <c r="N1951" s="392" t="s">
        <v>7273</v>
      </c>
      <c r="O1951" s="392" t="s">
        <v>7273</v>
      </c>
      <c r="P1951"/>
      <c r="Q1951"/>
      <c r="R1951" s="387">
        <f>VLOOKUP(E1951,'[1]NDB Impacted SPRFs 05032013'!$A$2:$A$65536,1,FALSE)</f>
        <v>400021816</v>
      </c>
      <c r="S1951" s="159"/>
      <c r="T1951" s="159"/>
      <c r="U1951" s="159"/>
    </row>
    <row r="1952" spans="1:21" ht="45" x14ac:dyDescent="0.25">
      <c r="A1952" s="63">
        <f>MATCH($E1952,'D1 - Master Project Table'!$B$24:$B$7056,0)</f>
        <v>2792</v>
      </c>
      <c r="B1952" s="63" t="b">
        <f t="shared" si="90"/>
        <v>0</v>
      </c>
      <c r="C1952" s="63" t="b">
        <f t="shared" si="91"/>
        <v>1</v>
      </c>
      <c r="D1952" s="63" t="str">
        <f t="shared" si="92"/>
        <v>OK</v>
      </c>
      <c r="E1952" s="393">
        <v>400022851</v>
      </c>
      <c r="F1952" s="392" t="s">
        <v>5154</v>
      </c>
      <c r="G1952" s="392" t="s">
        <v>5324</v>
      </c>
      <c r="H1952" s="392" t="s">
        <v>5314</v>
      </c>
      <c r="I1952" s="392" t="s">
        <v>1763</v>
      </c>
      <c r="J1952" s="392" t="s">
        <v>8292</v>
      </c>
      <c r="K1952" s="392" t="s">
        <v>3905</v>
      </c>
      <c r="L1952" s="392" t="s">
        <v>4038</v>
      </c>
      <c r="M1952" s="392" t="s">
        <v>7273</v>
      </c>
      <c r="N1952" s="392" t="s">
        <v>7273</v>
      </c>
      <c r="O1952" s="392" t="s">
        <v>7273</v>
      </c>
      <c r="P1952"/>
      <c r="Q1952"/>
      <c r="R1952" s="387">
        <f>VLOOKUP(E1952,'[1]NDB Impacted SPRFs 05032013'!$A$2:$A$65536,1,FALSE)</f>
        <v>400022851</v>
      </c>
      <c r="S1952" s="159"/>
      <c r="T1952" s="159"/>
      <c r="U1952" s="159"/>
    </row>
    <row r="1953" spans="1:21" ht="45" x14ac:dyDescent="0.25">
      <c r="A1953" s="63">
        <f>MATCH($E1953,'D1 - Master Project Table'!$B$24:$B$7056,0)</f>
        <v>1511</v>
      </c>
      <c r="B1953" s="63" t="b">
        <f t="shared" si="90"/>
        <v>0</v>
      </c>
      <c r="C1953" s="63" t="b">
        <f t="shared" si="91"/>
        <v>1</v>
      </c>
      <c r="D1953" s="63" t="str">
        <f t="shared" si="92"/>
        <v>OK</v>
      </c>
      <c r="E1953" s="393">
        <v>400042633</v>
      </c>
      <c r="F1953" s="392" t="s">
        <v>1208</v>
      </c>
      <c r="G1953" s="392" t="s">
        <v>5324</v>
      </c>
      <c r="H1953" s="392" t="s">
        <v>7418</v>
      </c>
      <c r="I1953" s="392" t="s">
        <v>1756</v>
      </c>
      <c r="J1953" s="392" t="s">
        <v>8508</v>
      </c>
      <c r="K1953" s="392" t="s">
        <v>1209</v>
      </c>
      <c r="L1953" s="392" t="s">
        <v>819</v>
      </c>
      <c r="M1953" s="392" t="s">
        <v>7273</v>
      </c>
      <c r="N1953" s="392" t="s">
        <v>7273</v>
      </c>
      <c r="O1953" s="392" t="s">
        <v>7273</v>
      </c>
      <c r="P1953"/>
      <c r="Q1953"/>
      <c r="R1953" s="387">
        <f>VLOOKUP(E1953,'[1]NDB Impacted SPRFs 05032013'!$A$2:$A$65536,1,FALSE)</f>
        <v>400042633</v>
      </c>
    </row>
    <row r="1954" spans="1:21" ht="30" x14ac:dyDescent="0.25">
      <c r="A1954" s="63" t="e">
        <f>MATCH($E1954,'D1 - Master Project Table'!$B$24:$B$7056,0)</f>
        <v>#N/A</v>
      </c>
      <c r="B1954" s="63" t="b">
        <f t="shared" si="90"/>
        <v>1</v>
      </c>
      <c r="C1954" s="63" t="b">
        <f t="shared" si="91"/>
        <v>1</v>
      </c>
      <c r="D1954" s="63" t="str">
        <f t="shared" si="92"/>
        <v>OK</v>
      </c>
      <c r="E1954" s="393">
        <v>400000948</v>
      </c>
      <c r="F1954" s="392" t="s">
        <v>1914</v>
      </c>
      <c r="G1954" s="392" t="s">
        <v>5787</v>
      </c>
      <c r="H1954" s="392" t="s">
        <v>7418</v>
      </c>
      <c r="I1954" s="392" t="s">
        <v>1823</v>
      </c>
      <c r="J1954" s="392" t="s">
        <v>8692</v>
      </c>
      <c r="K1954" s="392" t="s">
        <v>1915</v>
      </c>
      <c r="L1954" s="392" t="s">
        <v>5199</v>
      </c>
      <c r="M1954" s="392" t="s">
        <v>7273</v>
      </c>
      <c r="N1954" s="392" t="s">
        <v>7273</v>
      </c>
      <c r="O1954" s="392" t="s">
        <v>7273</v>
      </c>
      <c r="P1954"/>
      <c r="Q1954"/>
      <c r="R1954" s="387">
        <f>VLOOKUP(E1954,'[1]NDB Impacted SPRFs 05032013'!$A$2:$A$65536,1,FALSE)</f>
        <v>400000948</v>
      </c>
      <c r="S1954" s="159"/>
      <c r="T1954" s="159"/>
      <c r="U1954" s="159"/>
    </row>
    <row r="1955" spans="1:21" ht="30" x14ac:dyDescent="0.25">
      <c r="A1955" s="63">
        <f>MATCH($E1955,'D1 - Master Project Table'!$B$24:$B$7056,0)</f>
        <v>117</v>
      </c>
      <c r="B1955" s="63" t="b">
        <f t="shared" si="90"/>
        <v>0</v>
      </c>
      <c r="C1955" s="63" t="b">
        <f t="shared" si="91"/>
        <v>0</v>
      </c>
      <c r="D1955" s="63" t="str">
        <f t="shared" si="92"/>
        <v>OK</v>
      </c>
      <c r="E1955" s="393">
        <v>400052595</v>
      </c>
      <c r="F1955" s="392" t="s">
        <v>9327</v>
      </c>
      <c r="G1955" s="392" t="s">
        <v>6322</v>
      </c>
      <c r="H1955" s="392" t="s">
        <v>4917</v>
      </c>
      <c r="I1955" s="392" t="s">
        <v>1757</v>
      </c>
      <c r="J1955" s="392" t="s">
        <v>9241</v>
      </c>
      <c r="K1955" s="392" t="s">
        <v>9328</v>
      </c>
      <c r="L1955" s="392" t="s">
        <v>1019</v>
      </c>
      <c r="M1955" s="392" t="s">
        <v>7273</v>
      </c>
      <c r="N1955" s="392" t="s">
        <v>7273</v>
      </c>
      <c r="O1955" s="392" t="s">
        <v>7273</v>
      </c>
      <c r="P1955"/>
      <c r="Q1955"/>
      <c r="R1955" s="387">
        <f>VLOOKUP(E1955,'[1]NDB Impacted SPRFs 05032013'!$A$2:$A$65536,1,FALSE)</f>
        <v>400052595</v>
      </c>
    </row>
    <row r="1956" spans="1:21" ht="30" x14ac:dyDescent="0.25">
      <c r="A1956" s="63" t="e">
        <f>MATCH($E1956,'D1 - Master Project Table'!$B$24:$B$7056,0)</f>
        <v>#N/A</v>
      </c>
      <c r="B1956" s="63" t="b">
        <f t="shared" si="90"/>
        <v>1</v>
      </c>
      <c r="C1956" s="63" t="b">
        <f t="shared" si="91"/>
        <v>1</v>
      </c>
      <c r="D1956" s="63" t="str">
        <f t="shared" si="92"/>
        <v>OK</v>
      </c>
      <c r="E1956" s="393">
        <v>400002231</v>
      </c>
      <c r="F1956" s="392" t="s">
        <v>2954</v>
      </c>
      <c r="G1956" s="392" t="s">
        <v>5787</v>
      </c>
      <c r="H1956" s="392" t="s">
        <v>5314</v>
      </c>
      <c r="I1956" s="392" t="s">
        <v>1816</v>
      </c>
      <c r="J1956" s="392" t="s">
        <v>5865</v>
      </c>
      <c r="K1956" s="392" t="s">
        <v>6860</v>
      </c>
      <c r="L1956" s="392" t="s">
        <v>4937</v>
      </c>
      <c r="M1956" s="392" t="s">
        <v>7273</v>
      </c>
      <c r="N1956" s="392" t="s">
        <v>7273</v>
      </c>
      <c r="O1956" s="392" t="s">
        <v>7273</v>
      </c>
      <c r="P1956"/>
      <c r="Q1956"/>
      <c r="R1956" s="387">
        <f>VLOOKUP(E1956,'[1]NDB Impacted SPRFs 05032013'!$A$2:$A$65536,1,FALSE)</f>
        <v>400002231</v>
      </c>
      <c r="S1956" s="159"/>
      <c r="T1956" s="159"/>
      <c r="U1956" s="159"/>
    </row>
    <row r="1957" spans="1:21" ht="30" x14ac:dyDescent="0.25">
      <c r="A1957" s="63" t="e">
        <f>MATCH($E1957,'D1 - Master Project Table'!$B$24:$B$7056,0)</f>
        <v>#N/A</v>
      </c>
      <c r="B1957" s="63" t="b">
        <f t="shared" si="90"/>
        <v>1</v>
      </c>
      <c r="C1957" s="63" t="b">
        <f t="shared" si="91"/>
        <v>1</v>
      </c>
      <c r="D1957" s="63" t="str">
        <f t="shared" si="92"/>
        <v>OK</v>
      </c>
      <c r="E1957" s="393">
        <v>400002289</v>
      </c>
      <c r="F1957" s="392" t="s">
        <v>6491</v>
      </c>
      <c r="G1957" s="392" t="s">
        <v>5787</v>
      </c>
      <c r="H1957" s="392" t="s">
        <v>7418</v>
      </c>
      <c r="I1957" s="392" t="s">
        <v>1774</v>
      </c>
      <c r="J1957" s="392" t="s">
        <v>5865</v>
      </c>
      <c r="K1957" s="392" t="s">
        <v>6860</v>
      </c>
      <c r="L1957" s="392" t="s">
        <v>4937</v>
      </c>
      <c r="M1957" s="392" t="s">
        <v>7273</v>
      </c>
      <c r="N1957" s="392" t="s">
        <v>7273</v>
      </c>
      <c r="O1957" s="392" t="s">
        <v>7273</v>
      </c>
      <c r="P1957"/>
      <c r="Q1957"/>
      <c r="R1957" s="387">
        <f>VLOOKUP(E1957,'[1]NDB Impacted SPRFs 05032013'!$A$2:$A$65536,1,FALSE)</f>
        <v>400002289</v>
      </c>
      <c r="S1957" s="159"/>
      <c r="T1957" s="159"/>
      <c r="U1957" s="159"/>
    </row>
    <row r="1958" spans="1:21" ht="60" customHeight="1" x14ac:dyDescent="0.25">
      <c r="A1958" s="63" t="e">
        <f>MATCH($E1958,'D1 - Master Project Table'!$B$24:$B$7056,0)</f>
        <v>#N/A</v>
      </c>
      <c r="B1958" s="63" t="b">
        <f t="shared" si="90"/>
        <v>1</v>
      </c>
      <c r="C1958" s="63" t="b">
        <f t="shared" si="91"/>
        <v>1</v>
      </c>
      <c r="D1958" s="63" t="str">
        <f t="shared" si="92"/>
        <v>OK</v>
      </c>
      <c r="E1958" s="393">
        <v>400002539</v>
      </c>
      <c r="F1958" s="392" t="s">
        <v>5018</v>
      </c>
      <c r="G1958" s="392" t="s">
        <v>5324</v>
      </c>
      <c r="H1958" s="392" t="s">
        <v>7418</v>
      </c>
      <c r="I1958" s="392" t="s">
        <v>1765</v>
      </c>
      <c r="J1958" s="392" t="s">
        <v>8414</v>
      </c>
      <c r="K1958" s="392" t="s">
        <v>5641</v>
      </c>
      <c r="L1958" s="392" t="s">
        <v>4937</v>
      </c>
      <c r="M1958" s="392" t="s">
        <v>7273</v>
      </c>
      <c r="N1958" s="392" t="s">
        <v>7273</v>
      </c>
      <c r="O1958" s="392" t="s">
        <v>7273</v>
      </c>
      <c r="P1958"/>
      <c r="Q1958"/>
      <c r="R1958" s="387">
        <f>VLOOKUP(E1958,'[1]NDB Impacted SPRFs 05032013'!$A$2:$A$65536,1,FALSE)</f>
        <v>400002539</v>
      </c>
      <c r="S1958" s="159"/>
      <c r="T1958" s="159"/>
      <c r="U1958" s="159"/>
    </row>
    <row r="1959" spans="1:21" ht="45" x14ac:dyDescent="0.25">
      <c r="A1959" s="63">
        <f>MATCH($E1959,'D1 - Master Project Table'!$B$24:$B$7056,0)</f>
        <v>2411</v>
      </c>
      <c r="B1959" s="63" t="b">
        <f t="shared" si="90"/>
        <v>0</v>
      </c>
      <c r="C1959" s="63" t="b">
        <f t="shared" si="91"/>
        <v>1</v>
      </c>
      <c r="D1959" s="63" t="str">
        <f t="shared" si="92"/>
        <v>OK</v>
      </c>
      <c r="E1959" s="393">
        <v>400002886</v>
      </c>
      <c r="F1959" s="392" t="s">
        <v>2460</v>
      </c>
      <c r="G1959" s="392" t="s">
        <v>5324</v>
      </c>
      <c r="H1959" s="392" t="s">
        <v>5314</v>
      </c>
      <c r="I1959" s="392" t="s">
        <v>1765</v>
      </c>
      <c r="J1959" s="392" t="s">
        <v>8352</v>
      </c>
      <c r="K1959" s="392" t="s">
        <v>4090</v>
      </c>
      <c r="L1959" s="392" t="s">
        <v>4937</v>
      </c>
      <c r="M1959" s="392" t="s">
        <v>7273</v>
      </c>
      <c r="N1959" s="392" t="s">
        <v>7273</v>
      </c>
      <c r="O1959" s="392" t="s">
        <v>7273</v>
      </c>
      <c r="P1959"/>
      <c r="Q1959"/>
      <c r="R1959" s="387">
        <f>VLOOKUP(E1959,'[1]NDB Impacted SPRFs 05032013'!$A$2:$A$65536,1,FALSE)</f>
        <v>400002886</v>
      </c>
      <c r="S1959" s="159"/>
      <c r="T1959" s="159"/>
      <c r="U1959" s="159"/>
    </row>
    <row r="1960" spans="1:21" ht="45" x14ac:dyDescent="0.25">
      <c r="A1960" s="63">
        <f>MATCH($E1960,'D1 - Master Project Table'!$B$24:$B$7056,0)</f>
        <v>2412</v>
      </c>
      <c r="B1960" s="63" t="b">
        <f t="shared" si="90"/>
        <v>0</v>
      </c>
      <c r="C1960" s="63" t="b">
        <f t="shared" si="91"/>
        <v>1</v>
      </c>
      <c r="D1960" s="63" t="str">
        <f t="shared" si="92"/>
        <v>OK</v>
      </c>
      <c r="E1960" s="393">
        <v>400002893</v>
      </c>
      <c r="F1960" s="392" t="s">
        <v>1235</v>
      </c>
      <c r="G1960" s="392" t="s">
        <v>5324</v>
      </c>
      <c r="H1960" s="392" t="s">
        <v>5314</v>
      </c>
      <c r="I1960" s="392" t="s">
        <v>1765</v>
      </c>
      <c r="J1960" s="392" t="s">
        <v>8352</v>
      </c>
      <c r="K1960" s="392" t="s">
        <v>4090</v>
      </c>
      <c r="L1960" s="392" t="s">
        <v>4937</v>
      </c>
      <c r="M1960" s="392" t="s">
        <v>7273</v>
      </c>
      <c r="N1960" s="392" t="s">
        <v>7273</v>
      </c>
      <c r="O1960" s="392" t="s">
        <v>7273</v>
      </c>
      <c r="P1960"/>
      <c r="Q1960"/>
      <c r="R1960" s="387">
        <f>VLOOKUP(E1960,'[1]NDB Impacted SPRFs 05032013'!$A$2:$A$65536,1,FALSE)</f>
        <v>400002893</v>
      </c>
      <c r="S1960" s="159"/>
      <c r="T1960" s="159"/>
      <c r="U1960" s="159"/>
    </row>
    <row r="1961" spans="1:21" ht="45" x14ac:dyDescent="0.25">
      <c r="A1961" s="63">
        <f>MATCH($E1961,'D1 - Master Project Table'!$B$24:$B$7056,0)</f>
        <v>2414</v>
      </c>
      <c r="B1961" s="63" t="b">
        <f t="shared" si="90"/>
        <v>0</v>
      </c>
      <c r="C1961" s="63" t="b">
        <f t="shared" si="91"/>
        <v>1</v>
      </c>
      <c r="D1961" s="63" t="str">
        <f t="shared" si="92"/>
        <v>OK</v>
      </c>
      <c r="E1961" s="393">
        <v>400002907</v>
      </c>
      <c r="F1961" s="392" t="s">
        <v>5858</v>
      </c>
      <c r="G1961" s="392" t="s">
        <v>5324</v>
      </c>
      <c r="H1961" s="392" t="s">
        <v>5314</v>
      </c>
      <c r="I1961" s="392" t="s">
        <v>1765</v>
      </c>
      <c r="J1961" s="392" t="s">
        <v>8415</v>
      </c>
      <c r="K1961" s="392" t="s">
        <v>5641</v>
      </c>
      <c r="L1961" s="392" t="s">
        <v>4937</v>
      </c>
      <c r="M1961" s="392" t="s">
        <v>7273</v>
      </c>
      <c r="N1961" s="392" t="s">
        <v>7273</v>
      </c>
      <c r="O1961" s="392" t="s">
        <v>7273</v>
      </c>
      <c r="P1961"/>
      <c r="Q1961"/>
      <c r="R1961" s="387">
        <f>VLOOKUP(E1961,'[1]NDB Impacted SPRFs 05032013'!$A$2:$A$65536,1,FALSE)</f>
        <v>400002907</v>
      </c>
    </row>
    <row r="1962" spans="1:21" ht="45" customHeight="1" x14ac:dyDescent="0.25">
      <c r="A1962" s="63">
        <f>MATCH($E1962,'D1 - Master Project Table'!$B$24:$B$7056,0)</f>
        <v>2415</v>
      </c>
      <c r="B1962" s="63" t="b">
        <f t="shared" si="90"/>
        <v>0</v>
      </c>
      <c r="C1962" s="63" t="b">
        <f t="shared" si="91"/>
        <v>1</v>
      </c>
      <c r="D1962" s="63" t="str">
        <f t="shared" si="92"/>
        <v>OK</v>
      </c>
      <c r="E1962" s="393">
        <v>400002917</v>
      </c>
      <c r="F1962" s="392" t="s">
        <v>6193</v>
      </c>
      <c r="G1962" s="392" t="s">
        <v>5324</v>
      </c>
      <c r="H1962" s="392" t="s">
        <v>5314</v>
      </c>
      <c r="I1962" s="392" t="s">
        <v>1765</v>
      </c>
      <c r="J1962" s="392" t="s">
        <v>8415</v>
      </c>
      <c r="K1962" s="392" t="s">
        <v>5641</v>
      </c>
      <c r="L1962" s="392" t="s">
        <v>4937</v>
      </c>
      <c r="M1962" s="392" t="s">
        <v>7273</v>
      </c>
      <c r="N1962" s="392" t="s">
        <v>7273</v>
      </c>
      <c r="O1962" s="392" t="s">
        <v>7273</v>
      </c>
      <c r="P1962"/>
      <c r="Q1962"/>
      <c r="R1962" s="387">
        <f>VLOOKUP(E1962,'[1]NDB Impacted SPRFs 05032013'!$A$2:$A$65536,1,FALSE)</f>
        <v>400002917</v>
      </c>
      <c r="S1962" s="159"/>
      <c r="T1962" s="159"/>
      <c r="U1962" s="159"/>
    </row>
    <row r="1963" spans="1:21" ht="45" x14ac:dyDescent="0.25">
      <c r="A1963" s="63">
        <f>MATCH($E1963,'D1 - Master Project Table'!$B$24:$B$7056,0)</f>
        <v>2416</v>
      </c>
      <c r="B1963" s="63" t="b">
        <f t="shared" si="90"/>
        <v>0</v>
      </c>
      <c r="C1963" s="63" t="b">
        <f t="shared" si="91"/>
        <v>1</v>
      </c>
      <c r="D1963" s="63" t="str">
        <f t="shared" si="92"/>
        <v>OK</v>
      </c>
      <c r="E1963" s="393">
        <v>400002932</v>
      </c>
      <c r="F1963" s="392" t="s">
        <v>4761</v>
      </c>
      <c r="G1963" s="392" t="s">
        <v>5324</v>
      </c>
      <c r="H1963" s="392" t="s">
        <v>5314</v>
      </c>
      <c r="I1963" s="392" t="s">
        <v>1765</v>
      </c>
      <c r="J1963" s="392" t="s">
        <v>8415</v>
      </c>
      <c r="K1963" s="392" t="s">
        <v>5641</v>
      </c>
      <c r="L1963" s="392" t="s">
        <v>4937</v>
      </c>
      <c r="M1963" s="392" t="s">
        <v>7273</v>
      </c>
      <c r="N1963" s="392" t="s">
        <v>7273</v>
      </c>
      <c r="O1963" s="392" t="s">
        <v>7273</v>
      </c>
      <c r="P1963"/>
      <c r="Q1963"/>
      <c r="R1963" s="387">
        <f>VLOOKUP(E1963,'[1]NDB Impacted SPRFs 05032013'!$A$2:$A$65536,1,FALSE)</f>
        <v>400002932</v>
      </c>
    </row>
    <row r="1964" spans="1:21" ht="45" x14ac:dyDescent="0.25">
      <c r="A1964" s="63">
        <f>MATCH($E1964,'D1 - Master Project Table'!$B$24:$B$7056,0)</f>
        <v>2419</v>
      </c>
      <c r="B1964" s="63" t="b">
        <f t="shared" si="90"/>
        <v>0</v>
      </c>
      <c r="C1964" s="63" t="b">
        <f t="shared" si="91"/>
        <v>1</v>
      </c>
      <c r="D1964" s="63" t="str">
        <f t="shared" si="92"/>
        <v>OK</v>
      </c>
      <c r="E1964" s="393">
        <v>400003028</v>
      </c>
      <c r="F1964" s="392" t="s">
        <v>5056</v>
      </c>
      <c r="G1964" s="392" t="s">
        <v>5324</v>
      </c>
      <c r="H1964" s="392" t="s">
        <v>5314</v>
      </c>
      <c r="I1964" s="392" t="s">
        <v>1765</v>
      </c>
      <c r="J1964" s="392" t="s">
        <v>8352</v>
      </c>
      <c r="K1964" s="392" t="s">
        <v>4090</v>
      </c>
      <c r="L1964" s="392" t="s">
        <v>4937</v>
      </c>
      <c r="M1964" s="392" t="s">
        <v>7273</v>
      </c>
      <c r="N1964" s="392" t="s">
        <v>7273</v>
      </c>
      <c r="O1964" s="392" t="s">
        <v>7273</v>
      </c>
      <c r="P1964" s="212"/>
      <c r="Q1964" s="212"/>
      <c r="R1964" s="387">
        <f>VLOOKUP(E1964,'[1]NDB Impacted SPRFs 05032013'!$A$2:$A$65536,1,FALSE)</f>
        <v>400003028</v>
      </c>
      <c r="S1964" s="159"/>
      <c r="T1964" s="159"/>
      <c r="U1964" s="159"/>
    </row>
    <row r="1965" spans="1:21" ht="45" x14ac:dyDescent="0.25">
      <c r="A1965" s="63" t="e">
        <f>MATCH($E1965,'D1 - Master Project Table'!$B$24:$B$7056,0)</f>
        <v>#N/A</v>
      </c>
      <c r="B1965" s="63" t="b">
        <f t="shared" si="90"/>
        <v>1</v>
      </c>
      <c r="C1965" s="63" t="b">
        <f t="shared" si="91"/>
        <v>1</v>
      </c>
      <c r="D1965" s="63" t="str">
        <f t="shared" si="92"/>
        <v>OK</v>
      </c>
      <c r="E1965" s="393">
        <v>400003037</v>
      </c>
      <c r="F1965" s="392" t="s">
        <v>2840</v>
      </c>
      <c r="G1965" s="392" t="s">
        <v>5324</v>
      </c>
      <c r="H1965" s="392" t="s">
        <v>5314</v>
      </c>
      <c r="I1965" s="392" t="s">
        <v>1765</v>
      </c>
      <c r="J1965" s="392" t="s">
        <v>8334</v>
      </c>
      <c r="K1965" s="392" t="s">
        <v>5641</v>
      </c>
      <c r="L1965" s="392" t="s">
        <v>4937</v>
      </c>
      <c r="M1965" s="392" t="s">
        <v>7273</v>
      </c>
      <c r="N1965" s="392" t="s">
        <v>7273</v>
      </c>
      <c r="O1965" s="392" t="s">
        <v>7273</v>
      </c>
      <c r="P1965"/>
      <c r="Q1965"/>
      <c r="R1965" s="387">
        <f>VLOOKUP(E1965,'[1]NDB Impacted SPRFs 05032013'!$A$2:$A$65536,1,FALSE)</f>
        <v>400003037</v>
      </c>
      <c r="S1965" s="159"/>
      <c r="T1965" s="159"/>
      <c r="U1965" s="159"/>
    </row>
    <row r="1966" spans="1:21" ht="45" x14ac:dyDescent="0.25">
      <c r="A1966" s="63" t="e">
        <f>MATCH($E1966,'D1 - Master Project Table'!$B$24:$B$7056,0)</f>
        <v>#N/A</v>
      </c>
      <c r="B1966" s="63" t="b">
        <f t="shared" si="90"/>
        <v>1</v>
      </c>
      <c r="C1966" s="63" t="b">
        <f t="shared" si="91"/>
        <v>1</v>
      </c>
      <c r="D1966" s="63" t="str">
        <f t="shared" si="92"/>
        <v>OK</v>
      </c>
      <c r="E1966" s="393">
        <v>400003046</v>
      </c>
      <c r="F1966" s="392" t="s">
        <v>3881</v>
      </c>
      <c r="G1966" s="392" t="s">
        <v>5324</v>
      </c>
      <c r="H1966" s="392" t="s">
        <v>7418</v>
      </c>
      <c r="I1966" s="392" t="s">
        <v>1765</v>
      </c>
      <c r="J1966" s="392" t="s">
        <v>8352</v>
      </c>
      <c r="K1966" s="392" t="s">
        <v>4090</v>
      </c>
      <c r="L1966" s="392" t="s">
        <v>4937</v>
      </c>
      <c r="M1966" s="392" t="s">
        <v>7273</v>
      </c>
      <c r="N1966" s="392" t="s">
        <v>7273</v>
      </c>
      <c r="O1966" s="392" t="s">
        <v>7273</v>
      </c>
      <c r="P1966"/>
      <c r="Q1966"/>
      <c r="R1966" s="387">
        <f>VLOOKUP(E1966,'[1]NDB Impacted SPRFs 05032013'!$A$2:$A$65536,1,FALSE)</f>
        <v>400003046</v>
      </c>
      <c r="S1966" s="159"/>
      <c r="T1966" s="159"/>
      <c r="U1966" s="159"/>
    </row>
    <row r="1967" spans="1:21" ht="45" x14ac:dyDescent="0.25">
      <c r="A1967" s="63">
        <f>MATCH($E1967,'D1 - Master Project Table'!$B$24:$B$7056,0)</f>
        <v>2421</v>
      </c>
      <c r="B1967" s="63" t="b">
        <f t="shared" si="90"/>
        <v>0</v>
      </c>
      <c r="C1967" s="63" t="b">
        <f t="shared" si="91"/>
        <v>1</v>
      </c>
      <c r="D1967" s="63" t="str">
        <f t="shared" si="92"/>
        <v>OK</v>
      </c>
      <c r="E1967" s="393">
        <v>400003074</v>
      </c>
      <c r="F1967" s="392" t="s">
        <v>6308</v>
      </c>
      <c r="G1967" s="392" t="s">
        <v>5324</v>
      </c>
      <c r="H1967" s="392" t="s">
        <v>5314</v>
      </c>
      <c r="I1967" s="392" t="s">
        <v>1765</v>
      </c>
      <c r="J1967" s="392" t="s">
        <v>8415</v>
      </c>
      <c r="K1967" s="392" t="s">
        <v>5641</v>
      </c>
      <c r="L1967" s="392" t="s">
        <v>4937</v>
      </c>
      <c r="M1967" s="392" t="s">
        <v>7273</v>
      </c>
      <c r="N1967" s="392" t="s">
        <v>7273</v>
      </c>
      <c r="O1967" s="392" t="s">
        <v>7273</v>
      </c>
      <c r="P1967"/>
      <c r="Q1967"/>
      <c r="R1967" s="387">
        <f>VLOOKUP(E1967,'[1]NDB Impacted SPRFs 05032013'!$A$2:$A$65536,1,FALSE)</f>
        <v>400003074</v>
      </c>
      <c r="S1967" s="159"/>
      <c r="T1967" s="159"/>
      <c r="U1967" s="159"/>
    </row>
    <row r="1968" spans="1:21" ht="45" x14ac:dyDescent="0.25">
      <c r="A1968" s="63">
        <f>MATCH($E1968,'D1 - Master Project Table'!$B$24:$B$7056,0)</f>
        <v>2426</v>
      </c>
      <c r="B1968" s="63" t="b">
        <f t="shared" ref="B1968:B2031" si="93">ISERROR(A1968)</f>
        <v>0</v>
      </c>
      <c r="C1968" s="63" t="b">
        <f t="shared" si="91"/>
        <v>1</v>
      </c>
      <c r="D1968" s="63" t="str">
        <f t="shared" si="92"/>
        <v>OK</v>
      </c>
      <c r="E1968" s="393">
        <v>400003326</v>
      </c>
      <c r="F1968" s="392" t="s">
        <v>975</v>
      </c>
      <c r="G1968" s="392" t="s">
        <v>5324</v>
      </c>
      <c r="H1968" s="392" t="s">
        <v>5314</v>
      </c>
      <c r="I1968" s="392" t="s">
        <v>1765</v>
      </c>
      <c r="J1968" s="392" t="s">
        <v>8352</v>
      </c>
      <c r="K1968" s="392" t="s">
        <v>5641</v>
      </c>
      <c r="L1968" s="392" t="s">
        <v>4937</v>
      </c>
      <c r="M1968" s="392" t="s">
        <v>7273</v>
      </c>
      <c r="N1968" s="392" t="s">
        <v>7273</v>
      </c>
      <c r="O1968" s="392" t="s">
        <v>7273</v>
      </c>
      <c r="P1968"/>
      <c r="Q1968"/>
      <c r="R1968" s="387">
        <f>VLOOKUP(E1968,'[1]NDB Impacted SPRFs 05032013'!$A$2:$A$65536,1,FALSE)</f>
        <v>400003326</v>
      </c>
      <c r="S1968" s="159"/>
      <c r="T1968" s="159"/>
      <c r="U1968" s="159"/>
    </row>
    <row r="1969" spans="1:21" ht="30" customHeight="1" x14ac:dyDescent="0.25">
      <c r="A1969" s="63" t="e">
        <f>MATCH($E1969,'D1 - Master Project Table'!$B$24:$B$7056,0)</f>
        <v>#N/A</v>
      </c>
      <c r="B1969" s="63" t="b">
        <f t="shared" si="93"/>
        <v>1</v>
      </c>
      <c r="C1969" s="63" t="b">
        <f t="shared" si="91"/>
        <v>1</v>
      </c>
      <c r="D1969" s="63" t="str">
        <f t="shared" si="92"/>
        <v>OK</v>
      </c>
      <c r="E1969" s="393">
        <v>400003374</v>
      </c>
      <c r="F1969" s="392" t="s">
        <v>2644</v>
      </c>
      <c r="G1969" s="392" t="s">
        <v>5324</v>
      </c>
      <c r="H1969" s="392" t="s">
        <v>7418</v>
      </c>
      <c r="I1969" s="392" t="s">
        <v>1765</v>
      </c>
      <c r="J1969" s="392" t="s">
        <v>8334</v>
      </c>
      <c r="K1969" s="392" t="s">
        <v>5641</v>
      </c>
      <c r="L1969" s="392" t="s">
        <v>4937</v>
      </c>
      <c r="M1969" s="392" t="s">
        <v>7273</v>
      </c>
      <c r="N1969" s="392" t="s">
        <v>7273</v>
      </c>
      <c r="O1969" s="392" t="s">
        <v>7273</v>
      </c>
      <c r="P1969"/>
      <c r="Q1969"/>
      <c r="R1969" s="387">
        <f>VLOOKUP(E1969,'[1]NDB Impacted SPRFs 05032013'!$A$2:$A$65536,1,FALSE)</f>
        <v>400003374</v>
      </c>
      <c r="S1969" s="159"/>
      <c r="T1969" s="159"/>
      <c r="U1969" s="159"/>
    </row>
    <row r="1970" spans="1:21" ht="45" x14ac:dyDescent="0.25">
      <c r="A1970" s="63" t="e">
        <f>MATCH($E1970,'D1 - Master Project Table'!$B$24:$B$7056,0)</f>
        <v>#N/A</v>
      </c>
      <c r="B1970" s="63" t="b">
        <f t="shared" si="93"/>
        <v>1</v>
      </c>
      <c r="C1970" s="63" t="b">
        <f t="shared" si="91"/>
        <v>1</v>
      </c>
      <c r="D1970" s="63" t="str">
        <f t="shared" si="92"/>
        <v>OK</v>
      </c>
      <c r="E1970" s="393">
        <v>400003397</v>
      </c>
      <c r="F1970" s="392" t="s">
        <v>976</v>
      </c>
      <c r="G1970" s="392" t="s">
        <v>5324</v>
      </c>
      <c r="H1970" s="392" t="s">
        <v>5314</v>
      </c>
      <c r="I1970" s="392" t="s">
        <v>1765</v>
      </c>
      <c r="J1970" s="392" t="s">
        <v>8415</v>
      </c>
      <c r="K1970" s="392" t="s">
        <v>5641</v>
      </c>
      <c r="L1970" s="392" t="s">
        <v>4937</v>
      </c>
      <c r="M1970" s="392" t="s">
        <v>7273</v>
      </c>
      <c r="N1970" s="392" t="s">
        <v>7273</v>
      </c>
      <c r="O1970" s="392" t="s">
        <v>7273</v>
      </c>
      <c r="P1970"/>
      <c r="Q1970"/>
      <c r="R1970" s="387">
        <f>VLOOKUP(E1970,'[1]NDB Impacted SPRFs 05032013'!$A$2:$A$65536,1,FALSE)</f>
        <v>400003397</v>
      </c>
      <c r="S1970" s="159"/>
      <c r="T1970" s="159"/>
      <c r="U1970" s="159"/>
    </row>
    <row r="1971" spans="1:21" ht="60" customHeight="1" x14ac:dyDescent="0.25">
      <c r="A1971" s="63">
        <f>MATCH($E1971,'D1 - Master Project Table'!$B$24:$B$7056,0)</f>
        <v>2427</v>
      </c>
      <c r="B1971" s="63" t="b">
        <f t="shared" si="93"/>
        <v>0</v>
      </c>
      <c r="C1971" s="63" t="b">
        <f t="shared" si="91"/>
        <v>1</v>
      </c>
      <c r="D1971" s="63" t="str">
        <f t="shared" si="92"/>
        <v>OK</v>
      </c>
      <c r="E1971" s="393">
        <v>400003402</v>
      </c>
      <c r="F1971" s="392" t="s">
        <v>977</v>
      </c>
      <c r="G1971" s="392" t="s">
        <v>5324</v>
      </c>
      <c r="H1971" s="392" t="s">
        <v>5314</v>
      </c>
      <c r="I1971" s="392" t="s">
        <v>1765</v>
      </c>
      <c r="J1971" s="392" t="s">
        <v>8415</v>
      </c>
      <c r="K1971" s="392" t="s">
        <v>5641</v>
      </c>
      <c r="L1971" s="392" t="s">
        <v>4937</v>
      </c>
      <c r="M1971" s="392" t="s">
        <v>7273</v>
      </c>
      <c r="N1971" s="392" t="s">
        <v>7273</v>
      </c>
      <c r="O1971" s="392" t="s">
        <v>7273</v>
      </c>
      <c r="P1971"/>
      <c r="Q1971"/>
      <c r="R1971" s="387">
        <f>VLOOKUP(E1971,'[1]NDB Impacted SPRFs 05032013'!$A$2:$A$65536,1,FALSE)</f>
        <v>400003402</v>
      </c>
    </row>
    <row r="1972" spans="1:21" ht="45" x14ac:dyDescent="0.25">
      <c r="A1972" s="63">
        <f>MATCH($E1972,'D1 - Master Project Table'!$B$24:$B$7056,0)</f>
        <v>2428</v>
      </c>
      <c r="B1972" s="63" t="b">
        <f t="shared" si="93"/>
        <v>0</v>
      </c>
      <c r="C1972" s="63" t="b">
        <f t="shared" si="91"/>
        <v>1</v>
      </c>
      <c r="D1972" s="63" t="str">
        <f t="shared" si="92"/>
        <v>OK</v>
      </c>
      <c r="E1972" s="393">
        <v>400003414</v>
      </c>
      <c r="F1972" s="392" t="s">
        <v>978</v>
      </c>
      <c r="G1972" s="392" t="s">
        <v>5324</v>
      </c>
      <c r="H1972" s="392" t="s">
        <v>5314</v>
      </c>
      <c r="I1972" s="392" t="s">
        <v>1765</v>
      </c>
      <c r="J1972" s="392" t="s">
        <v>8415</v>
      </c>
      <c r="K1972" s="392" t="s">
        <v>5641</v>
      </c>
      <c r="L1972" s="392" t="s">
        <v>4937</v>
      </c>
      <c r="M1972" s="392" t="s">
        <v>7273</v>
      </c>
      <c r="N1972" s="392" t="s">
        <v>7273</v>
      </c>
      <c r="O1972" s="392" t="s">
        <v>7273</v>
      </c>
      <c r="P1972"/>
      <c r="Q1972"/>
      <c r="R1972" s="387">
        <f>VLOOKUP(E1972,'[1]NDB Impacted SPRFs 05032013'!$A$2:$A$65536,1,FALSE)</f>
        <v>400003414</v>
      </c>
      <c r="S1972" s="159"/>
      <c r="T1972" s="159"/>
      <c r="U1972" s="159"/>
    </row>
    <row r="1973" spans="1:21" ht="45" customHeight="1" x14ac:dyDescent="0.25">
      <c r="A1973" s="63">
        <f>MATCH($E1973,'D1 - Master Project Table'!$B$24:$B$7056,0)</f>
        <v>2429</v>
      </c>
      <c r="B1973" s="63" t="b">
        <f t="shared" si="93"/>
        <v>0</v>
      </c>
      <c r="C1973" s="63" t="b">
        <f t="shared" si="91"/>
        <v>1</v>
      </c>
      <c r="D1973" s="63" t="str">
        <f t="shared" si="92"/>
        <v>OK</v>
      </c>
      <c r="E1973" s="393">
        <v>400003460</v>
      </c>
      <c r="F1973" s="392" t="s">
        <v>979</v>
      </c>
      <c r="G1973" s="392" t="s">
        <v>5324</v>
      </c>
      <c r="H1973" s="392" t="s">
        <v>5314</v>
      </c>
      <c r="I1973" s="392" t="s">
        <v>1765</v>
      </c>
      <c r="J1973" s="392" t="s">
        <v>8352</v>
      </c>
      <c r="K1973" s="392" t="s">
        <v>5641</v>
      </c>
      <c r="L1973" s="392" t="s">
        <v>4937</v>
      </c>
      <c r="M1973" s="392" t="s">
        <v>7273</v>
      </c>
      <c r="N1973" s="392" t="s">
        <v>7273</v>
      </c>
      <c r="O1973" s="392" t="s">
        <v>7273</v>
      </c>
      <c r="P1973"/>
      <c r="Q1973"/>
      <c r="R1973" s="387">
        <f>VLOOKUP(E1973,'[1]NDB Impacted SPRFs 05032013'!$A$2:$A$65536,1,FALSE)</f>
        <v>400003460</v>
      </c>
    </row>
    <row r="1974" spans="1:21" ht="45" x14ac:dyDescent="0.25">
      <c r="A1974" s="63">
        <f>MATCH($E1974,'D1 - Master Project Table'!$B$24:$B$7056,0)</f>
        <v>2430</v>
      </c>
      <c r="B1974" s="63" t="b">
        <f t="shared" si="93"/>
        <v>0</v>
      </c>
      <c r="C1974" s="63" t="b">
        <f t="shared" si="91"/>
        <v>1</v>
      </c>
      <c r="D1974" s="63" t="str">
        <f t="shared" si="92"/>
        <v>OK</v>
      </c>
      <c r="E1974" s="393">
        <v>400003461</v>
      </c>
      <c r="F1974" s="392" t="s">
        <v>980</v>
      </c>
      <c r="G1974" s="392" t="s">
        <v>5324</v>
      </c>
      <c r="H1974" s="392" t="s">
        <v>5314</v>
      </c>
      <c r="I1974" s="392" t="s">
        <v>1765</v>
      </c>
      <c r="J1974" s="392" t="s">
        <v>8352</v>
      </c>
      <c r="K1974" s="392" t="s">
        <v>5641</v>
      </c>
      <c r="L1974" s="392" t="s">
        <v>4937</v>
      </c>
      <c r="M1974" s="392" t="s">
        <v>7273</v>
      </c>
      <c r="N1974" s="392" t="s">
        <v>7273</v>
      </c>
      <c r="O1974" s="392" t="s">
        <v>7273</v>
      </c>
      <c r="P1974"/>
      <c r="Q1974"/>
      <c r="R1974" s="387">
        <f>VLOOKUP(E1974,'[1]NDB Impacted SPRFs 05032013'!$A$2:$A$65536,1,FALSE)</f>
        <v>400003461</v>
      </c>
    </row>
    <row r="1975" spans="1:21" ht="30" customHeight="1" x14ac:dyDescent="0.25">
      <c r="A1975" s="63">
        <f>MATCH($E1975,'D1 - Master Project Table'!$B$24:$B$7056,0)</f>
        <v>2431</v>
      </c>
      <c r="B1975" s="63" t="b">
        <f t="shared" si="93"/>
        <v>0</v>
      </c>
      <c r="C1975" s="63" t="b">
        <f t="shared" si="91"/>
        <v>1</v>
      </c>
      <c r="D1975" s="63" t="str">
        <f t="shared" si="92"/>
        <v>OK</v>
      </c>
      <c r="E1975" s="393">
        <v>400003462</v>
      </c>
      <c r="F1975" s="392" t="s">
        <v>5567</v>
      </c>
      <c r="G1975" s="392" t="s">
        <v>5324</v>
      </c>
      <c r="H1975" s="392" t="s">
        <v>5314</v>
      </c>
      <c r="I1975" s="392" t="s">
        <v>1765</v>
      </c>
      <c r="J1975" s="392" t="s">
        <v>8352</v>
      </c>
      <c r="K1975" s="392" t="s">
        <v>5641</v>
      </c>
      <c r="L1975" s="392" t="s">
        <v>4937</v>
      </c>
      <c r="M1975" s="392" t="s">
        <v>7273</v>
      </c>
      <c r="N1975" s="392" t="s">
        <v>7273</v>
      </c>
      <c r="O1975" s="392" t="s">
        <v>7273</v>
      </c>
      <c r="P1975"/>
      <c r="Q1975"/>
      <c r="R1975" s="387">
        <f>VLOOKUP(E1975,'[1]NDB Impacted SPRFs 05032013'!$A$2:$A$65536,1,FALSE)</f>
        <v>400003462</v>
      </c>
      <c r="S1975" s="159"/>
      <c r="T1975" s="159"/>
      <c r="U1975" s="159"/>
    </row>
    <row r="1976" spans="1:21" ht="45" x14ac:dyDescent="0.25">
      <c r="A1976" s="63">
        <f>MATCH($E1976,'D1 - Master Project Table'!$B$24:$B$7056,0)</f>
        <v>2432</v>
      </c>
      <c r="B1976" s="63" t="b">
        <f t="shared" si="93"/>
        <v>0</v>
      </c>
      <c r="C1976" s="63" t="b">
        <f t="shared" si="91"/>
        <v>1</v>
      </c>
      <c r="D1976" s="63" t="str">
        <f t="shared" si="92"/>
        <v>OK</v>
      </c>
      <c r="E1976" s="393">
        <v>400003463</v>
      </c>
      <c r="F1976" s="392" t="s">
        <v>981</v>
      </c>
      <c r="G1976" s="392" t="s">
        <v>5324</v>
      </c>
      <c r="H1976" s="392" t="s">
        <v>5314</v>
      </c>
      <c r="I1976" s="392" t="s">
        <v>1765</v>
      </c>
      <c r="J1976" s="392" t="s">
        <v>8352</v>
      </c>
      <c r="K1976" s="392" t="s">
        <v>5641</v>
      </c>
      <c r="L1976" s="392" t="s">
        <v>4937</v>
      </c>
      <c r="M1976" s="392" t="s">
        <v>7273</v>
      </c>
      <c r="N1976" s="392" t="s">
        <v>7273</v>
      </c>
      <c r="O1976" s="392" t="s">
        <v>7273</v>
      </c>
      <c r="P1976"/>
      <c r="Q1976"/>
      <c r="R1976" s="387">
        <f>VLOOKUP(E1976,'[1]NDB Impacted SPRFs 05032013'!$A$2:$A$65536,1,FALSE)</f>
        <v>400003463</v>
      </c>
      <c r="S1976" s="159"/>
      <c r="T1976" s="159"/>
      <c r="U1976" s="159"/>
    </row>
    <row r="1977" spans="1:21" ht="30" customHeight="1" x14ac:dyDescent="0.25">
      <c r="A1977" s="63">
        <f>MATCH($E1977,'D1 - Master Project Table'!$B$24:$B$7056,0)</f>
        <v>2433</v>
      </c>
      <c r="B1977" s="63" t="b">
        <f t="shared" si="93"/>
        <v>0</v>
      </c>
      <c r="C1977" s="63" t="b">
        <f t="shared" si="91"/>
        <v>1</v>
      </c>
      <c r="D1977" s="63" t="str">
        <f t="shared" si="92"/>
        <v>OK</v>
      </c>
      <c r="E1977" s="393">
        <v>400003464</v>
      </c>
      <c r="F1977" s="392" t="s">
        <v>982</v>
      </c>
      <c r="G1977" s="392" t="s">
        <v>5324</v>
      </c>
      <c r="H1977" s="392" t="s">
        <v>5314</v>
      </c>
      <c r="I1977" s="392" t="s">
        <v>1765</v>
      </c>
      <c r="J1977" s="392" t="s">
        <v>8352</v>
      </c>
      <c r="K1977" s="392" t="s">
        <v>5641</v>
      </c>
      <c r="L1977" s="392" t="s">
        <v>4937</v>
      </c>
      <c r="M1977" s="392" t="s">
        <v>7273</v>
      </c>
      <c r="N1977" s="392" t="s">
        <v>7273</v>
      </c>
      <c r="O1977" s="392" t="s">
        <v>7273</v>
      </c>
      <c r="P1977"/>
      <c r="Q1977"/>
      <c r="R1977" s="387">
        <f>VLOOKUP(E1977,'[1]NDB Impacted SPRFs 05032013'!$A$2:$A$65536,1,FALSE)</f>
        <v>400003464</v>
      </c>
      <c r="S1977" s="159"/>
      <c r="T1977" s="159"/>
      <c r="U1977" s="159"/>
    </row>
    <row r="1978" spans="1:21" ht="45" x14ac:dyDescent="0.25">
      <c r="A1978" s="63">
        <f>MATCH($E1978,'D1 - Master Project Table'!$B$24:$B$7056,0)</f>
        <v>2437</v>
      </c>
      <c r="B1978" s="63" t="b">
        <f t="shared" si="93"/>
        <v>0</v>
      </c>
      <c r="C1978" s="63" t="b">
        <f t="shared" si="91"/>
        <v>1</v>
      </c>
      <c r="D1978" s="63" t="str">
        <f t="shared" si="92"/>
        <v>OK</v>
      </c>
      <c r="E1978" s="393">
        <v>400003616</v>
      </c>
      <c r="F1978" s="392" t="s">
        <v>5092</v>
      </c>
      <c r="G1978" s="392" t="s">
        <v>5324</v>
      </c>
      <c r="H1978" s="392" t="s">
        <v>5314</v>
      </c>
      <c r="I1978" s="392" t="s">
        <v>1765</v>
      </c>
      <c r="J1978" s="392" t="s">
        <v>2467</v>
      </c>
      <c r="K1978" s="392" t="s">
        <v>2467</v>
      </c>
      <c r="L1978" s="392" t="s">
        <v>4937</v>
      </c>
      <c r="M1978" s="392" t="s">
        <v>7273</v>
      </c>
      <c r="N1978" s="392" t="s">
        <v>7273</v>
      </c>
      <c r="O1978" s="392" t="s">
        <v>7273</v>
      </c>
      <c r="P1978"/>
      <c r="Q1978"/>
      <c r="R1978" s="387">
        <f>VLOOKUP(E1978,'[1]NDB Impacted SPRFs 05032013'!$A$2:$A$65536,1,FALSE)</f>
        <v>400003616</v>
      </c>
      <c r="S1978" s="159"/>
      <c r="T1978" s="159"/>
      <c r="U1978" s="159"/>
    </row>
    <row r="1979" spans="1:21" ht="45" customHeight="1" x14ac:dyDescent="0.25">
      <c r="A1979" s="63" t="e">
        <f>MATCH($E1979,'D1 - Master Project Table'!$B$24:$B$7056,0)</f>
        <v>#N/A</v>
      </c>
      <c r="B1979" s="63" t="b">
        <f t="shared" si="93"/>
        <v>1</v>
      </c>
      <c r="C1979" s="63" t="b">
        <f t="shared" si="91"/>
        <v>1</v>
      </c>
      <c r="D1979" s="63" t="str">
        <f t="shared" si="92"/>
        <v>OK</v>
      </c>
      <c r="E1979" s="393">
        <v>400003713</v>
      </c>
      <c r="F1979" s="392" t="s">
        <v>2058</v>
      </c>
      <c r="G1979" s="392" t="s">
        <v>5787</v>
      </c>
      <c r="H1979" s="392" t="s">
        <v>7418</v>
      </c>
      <c r="I1979" s="392" t="s">
        <v>1774</v>
      </c>
      <c r="J1979" s="392" t="s">
        <v>5865</v>
      </c>
      <c r="K1979" s="392" t="s">
        <v>6860</v>
      </c>
      <c r="L1979" s="392" t="s">
        <v>4937</v>
      </c>
      <c r="M1979" s="392" t="s">
        <v>7273</v>
      </c>
      <c r="N1979" s="392" t="s">
        <v>7273</v>
      </c>
      <c r="O1979" s="392" t="s">
        <v>7273</v>
      </c>
      <c r="P1979"/>
      <c r="Q1979"/>
      <c r="R1979" s="387">
        <f>VLOOKUP(E1979,'[1]NDB Impacted SPRFs 05032013'!$A$2:$A$65536,1,FALSE)</f>
        <v>400003713</v>
      </c>
      <c r="S1979" s="159"/>
      <c r="T1979" s="159"/>
      <c r="U1979" s="159"/>
    </row>
    <row r="1980" spans="1:21" ht="60" customHeight="1" x14ac:dyDescent="0.25">
      <c r="A1980" s="63" t="e">
        <f>MATCH($E1980,'D1 - Master Project Table'!$B$24:$B$7056,0)</f>
        <v>#N/A</v>
      </c>
      <c r="B1980" s="63" t="b">
        <f t="shared" si="93"/>
        <v>1</v>
      </c>
      <c r="C1980" s="63" t="b">
        <f t="shared" si="91"/>
        <v>1</v>
      </c>
      <c r="D1980" s="63" t="str">
        <f t="shared" si="92"/>
        <v>OK</v>
      </c>
      <c r="E1980" s="393">
        <v>400003872</v>
      </c>
      <c r="F1980" s="392" t="s">
        <v>984</v>
      </c>
      <c r="G1980" s="392" t="s">
        <v>5324</v>
      </c>
      <c r="H1980" s="392" t="s">
        <v>5314</v>
      </c>
      <c r="I1980" s="392" t="s">
        <v>1765</v>
      </c>
      <c r="J1980" s="392" t="s">
        <v>7420</v>
      </c>
      <c r="K1980" s="392" t="s">
        <v>5756</v>
      </c>
      <c r="L1980" s="392" t="s">
        <v>4937</v>
      </c>
      <c r="M1980" s="392" t="s">
        <v>7273</v>
      </c>
      <c r="N1980" s="392" t="s">
        <v>7273</v>
      </c>
      <c r="O1980" s="392" t="s">
        <v>7273</v>
      </c>
      <c r="P1980"/>
      <c r="Q1980"/>
      <c r="R1980" s="387">
        <f>VLOOKUP(E1980,'[1]NDB Impacted SPRFs 05032013'!$A$2:$A$65536,1,FALSE)</f>
        <v>400003872</v>
      </c>
      <c r="S1980" s="159"/>
      <c r="T1980" s="159"/>
      <c r="U1980" s="159"/>
    </row>
    <row r="1981" spans="1:21" ht="45" x14ac:dyDescent="0.25">
      <c r="A1981" s="63">
        <f>MATCH($E1981,'D1 - Master Project Table'!$B$24:$B$7056,0)</f>
        <v>2456</v>
      </c>
      <c r="B1981" s="63" t="b">
        <f t="shared" si="93"/>
        <v>0</v>
      </c>
      <c r="C1981" s="63" t="b">
        <f t="shared" si="91"/>
        <v>1</v>
      </c>
      <c r="D1981" s="63" t="str">
        <f t="shared" si="92"/>
        <v>OK</v>
      </c>
      <c r="E1981" s="393">
        <v>400004311</v>
      </c>
      <c r="F1981" s="392" t="s">
        <v>7769</v>
      </c>
      <c r="G1981" s="392" t="s">
        <v>5324</v>
      </c>
      <c r="H1981" s="392" t="s">
        <v>5314</v>
      </c>
      <c r="I1981" s="392" t="s">
        <v>1765</v>
      </c>
      <c r="J1981" s="392" t="s">
        <v>8300</v>
      </c>
      <c r="K1981" s="392" t="s">
        <v>5641</v>
      </c>
      <c r="L1981" s="392" t="s">
        <v>4937</v>
      </c>
      <c r="M1981" s="392" t="s">
        <v>7273</v>
      </c>
      <c r="N1981" s="392" t="s">
        <v>7273</v>
      </c>
      <c r="O1981" s="392" t="s">
        <v>7273</v>
      </c>
      <c r="P1981"/>
      <c r="Q1981"/>
      <c r="R1981" s="387">
        <f>VLOOKUP(E1981,'[1]NDB Impacted SPRFs 05032013'!$A$2:$A$65536,1,FALSE)</f>
        <v>400004311</v>
      </c>
      <c r="S1981" s="159"/>
      <c r="T1981" s="159"/>
      <c r="U1981" s="159"/>
    </row>
    <row r="1982" spans="1:21" ht="60" customHeight="1" x14ac:dyDescent="0.25">
      <c r="A1982" s="63">
        <f>MATCH($E1982,'D1 - Master Project Table'!$B$24:$B$7056,0)</f>
        <v>2477</v>
      </c>
      <c r="B1982" s="63" t="b">
        <f t="shared" si="93"/>
        <v>0</v>
      </c>
      <c r="C1982" s="63" t="b">
        <f t="shared" si="91"/>
        <v>1</v>
      </c>
      <c r="D1982" s="63" t="str">
        <f t="shared" si="92"/>
        <v>OK</v>
      </c>
      <c r="E1982" s="393">
        <v>400005337</v>
      </c>
      <c r="F1982" s="392" t="s">
        <v>642</v>
      </c>
      <c r="G1982" s="392" t="s">
        <v>5324</v>
      </c>
      <c r="H1982" s="392" t="s">
        <v>5314</v>
      </c>
      <c r="I1982" s="392" t="s">
        <v>1765</v>
      </c>
      <c r="J1982" s="392" t="s">
        <v>8418</v>
      </c>
      <c r="K1982" s="392" t="s">
        <v>643</v>
      </c>
      <c r="L1982" s="392" t="s">
        <v>4937</v>
      </c>
      <c r="M1982" s="392" t="s">
        <v>7273</v>
      </c>
      <c r="N1982" s="392" t="s">
        <v>7273</v>
      </c>
      <c r="O1982" s="392" t="s">
        <v>7273</v>
      </c>
      <c r="P1982"/>
      <c r="Q1982"/>
      <c r="R1982" s="387">
        <f>VLOOKUP(E1982,'[1]NDB Impacted SPRFs 05032013'!$A$2:$A$65536,1,FALSE)</f>
        <v>400005337</v>
      </c>
      <c r="S1982" s="159"/>
      <c r="T1982" s="159"/>
      <c r="U1982" s="159"/>
    </row>
    <row r="1983" spans="1:21" ht="60" customHeight="1" x14ac:dyDescent="0.25">
      <c r="A1983" s="63">
        <f>MATCH($E1983,'D1 - Master Project Table'!$B$24:$B$7056,0)</f>
        <v>2520</v>
      </c>
      <c r="B1983" s="63" t="b">
        <f t="shared" si="93"/>
        <v>0</v>
      </c>
      <c r="C1983" s="63" t="b">
        <f t="shared" si="91"/>
        <v>1</v>
      </c>
      <c r="D1983" s="63" t="str">
        <f t="shared" si="92"/>
        <v>OK</v>
      </c>
      <c r="E1983" s="393">
        <v>400007745</v>
      </c>
      <c r="F1983" s="392" t="s">
        <v>7400</v>
      </c>
      <c r="G1983" s="392" t="s">
        <v>5324</v>
      </c>
      <c r="H1983" s="392" t="s">
        <v>5314</v>
      </c>
      <c r="I1983" s="392" t="s">
        <v>1765</v>
      </c>
      <c r="J1983" s="392" t="s">
        <v>2937</v>
      </c>
      <c r="K1983" s="392" t="s">
        <v>5641</v>
      </c>
      <c r="L1983" s="392" t="s">
        <v>4937</v>
      </c>
      <c r="M1983" s="392" t="s">
        <v>7273</v>
      </c>
      <c r="N1983" s="392" t="s">
        <v>7273</v>
      </c>
      <c r="O1983" s="392" t="s">
        <v>7273</v>
      </c>
      <c r="P1983"/>
      <c r="Q1983"/>
      <c r="R1983" s="387">
        <f>VLOOKUP(E1983,'[1]NDB Impacted SPRFs 05032013'!$A$2:$A$65536,1,FALSE)</f>
        <v>400007745</v>
      </c>
    </row>
    <row r="1984" spans="1:21" ht="60" customHeight="1" x14ac:dyDescent="0.25">
      <c r="A1984" s="63">
        <f>MATCH($E1984,'D1 - Master Project Table'!$B$24:$B$7056,0)</f>
        <v>488</v>
      </c>
      <c r="B1984" s="63" t="b">
        <f t="shared" si="93"/>
        <v>0</v>
      </c>
      <c r="C1984" s="63" t="b">
        <f t="shared" si="91"/>
        <v>1</v>
      </c>
      <c r="D1984" s="63" t="str">
        <f t="shared" si="92"/>
        <v>OK</v>
      </c>
      <c r="E1984" s="393">
        <v>400010809</v>
      </c>
      <c r="F1984" s="392" t="s">
        <v>6909</v>
      </c>
      <c r="G1984" s="392" t="s">
        <v>5324</v>
      </c>
      <c r="H1984" s="392" t="s">
        <v>7418</v>
      </c>
      <c r="I1984" s="392" t="s">
        <v>1765</v>
      </c>
      <c r="J1984" s="392" t="s">
        <v>8546</v>
      </c>
      <c r="K1984" s="392" t="s">
        <v>4043</v>
      </c>
      <c r="L1984" s="392" t="s">
        <v>4937</v>
      </c>
      <c r="M1984" s="392" t="s">
        <v>7273</v>
      </c>
      <c r="N1984" s="392" t="s">
        <v>7273</v>
      </c>
      <c r="O1984" s="392" t="s">
        <v>7273</v>
      </c>
      <c r="P1984"/>
      <c r="Q1984"/>
      <c r="R1984" s="387">
        <f>VLOOKUP(E1984,'[1]NDB Impacted SPRFs 05032013'!$A$2:$A$65536,1,FALSE)</f>
        <v>400010809</v>
      </c>
      <c r="S1984" s="159"/>
      <c r="T1984" s="159"/>
      <c r="U1984" s="159"/>
    </row>
    <row r="1985" spans="1:21" ht="60" customHeight="1" x14ac:dyDescent="0.25">
      <c r="A1985" s="63">
        <f>MATCH($E1985,'D1 - Master Project Table'!$B$24:$B$7056,0)</f>
        <v>2056</v>
      </c>
      <c r="B1985" s="63" t="b">
        <f t="shared" si="93"/>
        <v>0</v>
      </c>
      <c r="C1985" s="63" t="b">
        <f t="shared" si="91"/>
        <v>1</v>
      </c>
      <c r="D1985" s="63" t="str">
        <f t="shared" si="92"/>
        <v>OK</v>
      </c>
      <c r="E1985" s="393">
        <v>400011122</v>
      </c>
      <c r="F1985" s="392" t="s">
        <v>5045</v>
      </c>
      <c r="G1985" s="392" t="s">
        <v>5787</v>
      </c>
      <c r="H1985" s="392" t="s">
        <v>5314</v>
      </c>
      <c r="I1985" s="392" t="s">
        <v>1775</v>
      </c>
      <c r="J1985" s="392" t="s">
        <v>8696</v>
      </c>
      <c r="K1985" s="392" t="s">
        <v>4717</v>
      </c>
      <c r="L1985" s="392" t="s">
        <v>4937</v>
      </c>
      <c r="M1985" s="392" t="s">
        <v>7273</v>
      </c>
      <c r="N1985" s="392" t="s">
        <v>7273</v>
      </c>
      <c r="O1985" s="392" t="s">
        <v>7273</v>
      </c>
      <c r="P1985"/>
      <c r="Q1985"/>
      <c r="R1985" s="387">
        <f>VLOOKUP(E1985,'[1]NDB Impacted SPRFs 05032013'!$A$2:$A$65536,1,FALSE)</f>
        <v>400011122</v>
      </c>
      <c r="S1985" s="159"/>
      <c r="T1985" s="159"/>
      <c r="U1985" s="159"/>
    </row>
    <row r="1986" spans="1:21" ht="60" customHeight="1" x14ac:dyDescent="0.25">
      <c r="A1986" s="63">
        <f>MATCH($E1986,'D1 - Master Project Table'!$B$24:$B$7056,0)</f>
        <v>586</v>
      </c>
      <c r="B1986" s="63" t="b">
        <f t="shared" si="93"/>
        <v>0</v>
      </c>
      <c r="C1986" s="63" t="b">
        <f t="shared" si="91"/>
        <v>1</v>
      </c>
      <c r="D1986" s="63" t="str">
        <f t="shared" si="92"/>
        <v>OK</v>
      </c>
      <c r="E1986" s="393">
        <v>400011444</v>
      </c>
      <c r="F1986" s="392" t="s">
        <v>4460</v>
      </c>
      <c r="G1986" s="392" t="s">
        <v>5324</v>
      </c>
      <c r="H1986" s="392" t="s">
        <v>7418</v>
      </c>
      <c r="I1986" s="392" t="s">
        <v>1762</v>
      </c>
      <c r="J1986" s="392" t="s">
        <v>8541</v>
      </c>
      <c r="K1986" s="392" t="s">
        <v>4043</v>
      </c>
      <c r="L1986" s="392" t="s">
        <v>4937</v>
      </c>
      <c r="M1986" s="392" t="s">
        <v>7273</v>
      </c>
      <c r="N1986" s="392" t="s">
        <v>7273</v>
      </c>
      <c r="O1986" s="392" t="s">
        <v>7273</v>
      </c>
      <c r="P1986"/>
      <c r="Q1986"/>
      <c r="R1986" s="387">
        <f>VLOOKUP(E1986,'[1]NDB Impacted SPRFs 05032013'!$A$2:$A$65536,1,FALSE)</f>
        <v>400011444</v>
      </c>
      <c r="S1986" s="159"/>
      <c r="T1986" s="159"/>
      <c r="U1986" s="159"/>
    </row>
    <row r="1987" spans="1:21" ht="60" customHeight="1" x14ac:dyDescent="0.25">
      <c r="A1987" s="63">
        <f>MATCH($E1987,'D1 - Master Project Table'!$B$24:$B$7056,0)</f>
        <v>673</v>
      </c>
      <c r="B1987" s="63" t="b">
        <f t="shared" si="93"/>
        <v>0</v>
      </c>
      <c r="C1987" s="63" t="b">
        <f t="shared" si="91"/>
        <v>1</v>
      </c>
      <c r="D1987" s="63" t="str">
        <f t="shared" si="92"/>
        <v>OK</v>
      </c>
      <c r="E1987" s="393">
        <v>400011899</v>
      </c>
      <c r="F1987" s="392" t="s">
        <v>4504</v>
      </c>
      <c r="G1987" s="392" t="s">
        <v>5324</v>
      </c>
      <c r="H1987" s="392" t="s">
        <v>7418</v>
      </c>
      <c r="I1987" s="392" t="s">
        <v>1759</v>
      </c>
      <c r="J1987" s="392" t="s">
        <v>8383</v>
      </c>
      <c r="K1987" s="392" t="s">
        <v>2833</v>
      </c>
      <c r="L1987" s="392" t="s">
        <v>4937</v>
      </c>
      <c r="M1987" s="392" t="s">
        <v>7273</v>
      </c>
      <c r="N1987" s="392" t="s">
        <v>7273</v>
      </c>
      <c r="O1987" s="392" t="s">
        <v>7273</v>
      </c>
      <c r="P1987"/>
      <c r="Q1987"/>
      <c r="R1987" s="387">
        <f>VLOOKUP(E1987,'[1]NDB Impacted SPRFs 05032013'!$A$2:$A$65536,1,FALSE)</f>
        <v>400011899</v>
      </c>
      <c r="S1987" s="159"/>
      <c r="T1987" s="159"/>
      <c r="U1987" s="159"/>
    </row>
    <row r="1988" spans="1:21" ht="60" customHeight="1" x14ac:dyDescent="0.25">
      <c r="A1988" s="63">
        <f>MATCH($E1988,'D1 - Master Project Table'!$B$24:$B$7056,0)</f>
        <v>693</v>
      </c>
      <c r="B1988" s="63" t="b">
        <f t="shared" si="93"/>
        <v>0</v>
      </c>
      <c r="C1988" s="63" t="b">
        <f t="shared" si="91"/>
        <v>1</v>
      </c>
      <c r="D1988" s="63" t="str">
        <f t="shared" si="92"/>
        <v>OK</v>
      </c>
      <c r="E1988" s="393">
        <v>400011900</v>
      </c>
      <c r="F1988" s="392" t="s">
        <v>3832</v>
      </c>
      <c r="G1988" s="392" t="s">
        <v>5324</v>
      </c>
      <c r="H1988" s="392" t="s">
        <v>7418</v>
      </c>
      <c r="I1988" s="392" t="s">
        <v>1759</v>
      </c>
      <c r="J1988" s="392" t="s">
        <v>8383</v>
      </c>
      <c r="K1988" s="392" t="s">
        <v>2833</v>
      </c>
      <c r="L1988" s="392" t="s">
        <v>4937</v>
      </c>
      <c r="M1988" s="392" t="s">
        <v>7273</v>
      </c>
      <c r="N1988" s="392" t="s">
        <v>7273</v>
      </c>
      <c r="O1988" s="392" t="s">
        <v>7273</v>
      </c>
      <c r="P1988"/>
      <c r="Q1988"/>
      <c r="R1988" s="387">
        <f>VLOOKUP(E1988,'[1]NDB Impacted SPRFs 05032013'!$A$2:$A$65536,1,FALSE)</f>
        <v>400011900</v>
      </c>
    </row>
    <row r="1989" spans="1:21" ht="60" customHeight="1" x14ac:dyDescent="0.25">
      <c r="A1989" s="63" t="e">
        <f>MATCH($E1989,'D1 - Master Project Table'!$B$24:$B$7056,0)</f>
        <v>#N/A</v>
      </c>
      <c r="B1989" s="63" t="b">
        <f t="shared" si="93"/>
        <v>1</v>
      </c>
      <c r="C1989" s="63" t="b">
        <f t="shared" si="91"/>
        <v>1</v>
      </c>
      <c r="D1989" s="63" t="str">
        <f t="shared" si="92"/>
        <v>OK</v>
      </c>
      <c r="E1989" s="393">
        <v>400012721</v>
      </c>
      <c r="F1989" s="392" t="s">
        <v>4461</v>
      </c>
      <c r="G1989" s="392" t="s">
        <v>5324</v>
      </c>
      <c r="H1989" s="392" t="s">
        <v>5314</v>
      </c>
      <c r="I1989" s="392" t="s">
        <v>1768</v>
      </c>
      <c r="J1989" s="392" t="s">
        <v>8571</v>
      </c>
      <c r="K1989" s="392" t="s">
        <v>5159</v>
      </c>
      <c r="L1989" s="392" t="s">
        <v>4937</v>
      </c>
      <c r="M1989" s="392" t="s">
        <v>7273</v>
      </c>
      <c r="N1989" s="392" t="s">
        <v>7273</v>
      </c>
      <c r="O1989" s="392" t="s">
        <v>7273</v>
      </c>
      <c r="P1989"/>
      <c r="Q1989"/>
      <c r="R1989" s="387">
        <f>VLOOKUP(E1989,'[1]NDB Impacted SPRFs 05032013'!$A$2:$A$65536,1,FALSE)</f>
        <v>400012721</v>
      </c>
      <c r="S1989" s="159"/>
      <c r="T1989" s="159"/>
      <c r="U1989" s="159"/>
    </row>
    <row r="1990" spans="1:21" ht="60" customHeight="1" x14ac:dyDescent="0.25">
      <c r="A1990" s="63" t="e">
        <f>MATCH($E1990,'D1 - Master Project Table'!$B$24:$B$7056,0)</f>
        <v>#N/A</v>
      </c>
      <c r="B1990" s="63" t="b">
        <f t="shared" si="93"/>
        <v>1</v>
      </c>
      <c r="C1990" s="63" t="b">
        <f t="shared" ref="C1990:C2053" si="94">OR(H1990="Completed",H1990="Cancelled")</f>
        <v>1</v>
      </c>
      <c r="D1990" s="63" t="str">
        <f t="shared" ref="D1990:D2053" si="95">IF(AND(B1990=TRUE,C1990=FALSE),"Add","OK")</f>
        <v>OK</v>
      </c>
      <c r="E1990" s="393">
        <v>400012834</v>
      </c>
      <c r="F1990" s="392" t="s">
        <v>2068</v>
      </c>
      <c r="G1990" s="392" t="s">
        <v>5324</v>
      </c>
      <c r="H1990" s="392" t="s">
        <v>5314</v>
      </c>
      <c r="I1990" s="392" t="s">
        <v>1768</v>
      </c>
      <c r="J1990" s="392" t="s">
        <v>8571</v>
      </c>
      <c r="K1990" s="392" t="s">
        <v>5159</v>
      </c>
      <c r="L1990" s="392" t="s">
        <v>4937</v>
      </c>
      <c r="M1990" s="392" t="s">
        <v>7273</v>
      </c>
      <c r="N1990" s="392" t="s">
        <v>7273</v>
      </c>
      <c r="O1990" s="392" t="s">
        <v>7273</v>
      </c>
      <c r="R1990" s="387">
        <f>VLOOKUP(E1990,'[1]NDB Impacted SPRFs 05032013'!$A$2:$A$65536,1,FALSE)</f>
        <v>400012834</v>
      </c>
    </row>
    <row r="1991" spans="1:21" ht="45" x14ac:dyDescent="0.25">
      <c r="A1991" s="63">
        <f>MATCH($E1991,'D1 - Master Project Table'!$B$24:$B$7056,0)</f>
        <v>2114</v>
      </c>
      <c r="B1991" s="63" t="b">
        <f t="shared" si="93"/>
        <v>0</v>
      </c>
      <c r="C1991" s="63" t="b">
        <f t="shared" si="94"/>
        <v>1</v>
      </c>
      <c r="D1991" s="63" t="str">
        <f t="shared" si="95"/>
        <v>OK</v>
      </c>
      <c r="E1991" s="393">
        <v>400013076</v>
      </c>
      <c r="F1991" s="392" t="s">
        <v>4744</v>
      </c>
      <c r="G1991" s="392" t="s">
        <v>5324</v>
      </c>
      <c r="H1991" s="392" t="s">
        <v>5314</v>
      </c>
      <c r="I1991" s="392" t="s">
        <v>1756</v>
      </c>
      <c r="J1991" s="392" t="s">
        <v>8394</v>
      </c>
      <c r="K1991" s="392" t="s">
        <v>5988</v>
      </c>
      <c r="L1991" s="392" t="s">
        <v>1955</v>
      </c>
      <c r="M1991" s="392" t="s">
        <v>7273</v>
      </c>
      <c r="N1991" s="392" t="s">
        <v>7273</v>
      </c>
      <c r="O1991" s="392" t="s">
        <v>3758</v>
      </c>
      <c r="P1991"/>
      <c r="Q1991"/>
      <c r="R1991" s="387">
        <f>VLOOKUP(E1991,'[1]NDB Impacted SPRFs 05032013'!$A$2:$A$65536,1,FALSE)</f>
        <v>400013076</v>
      </c>
      <c r="S1991" s="159"/>
      <c r="T1991" s="159"/>
      <c r="U1991" s="159"/>
    </row>
    <row r="1992" spans="1:21" ht="60" customHeight="1" x14ac:dyDescent="0.25">
      <c r="A1992" s="63">
        <f>MATCH($E1992,'D1 - Master Project Table'!$B$24:$B$7056,0)</f>
        <v>2728</v>
      </c>
      <c r="B1992" s="63" t="b">
        <f t="shared" si="93"/>
        <v>0</v>
      </c>
      <c r="C1992" s="63" t="b">
        <f t="shared" si="94"/>
        <v>1</v>
      </c>
      <c r="D1992" s="63" t="str">
        <f t="shared" si="95"/>
        <v>OK</v>
      </c>
      <c r="E1992" s="393">
        <v>400019703</v>
      </c>
      <c r="F1992" s="392" t="s">
        <v>2113</v>
      </c>
      <c r="G1992" s="392" t="s">
        <v>5324</v>
      </c>
      <c r="H1992" s="392" t="s">
        <v>5314</v>
      </c>
      <c r="I1992" s="392" t="s">
        <v>1756</v>
      </c>
      <c r="J1992" s="392" t="s">
        <v>8377</v>
      </c>
      <c r="K1992" s="392" t="s">
        <v>2508</v>
      </c>
      <c r="L1992" s="392" t="s">
        <v>4954</v>
      </c>
      <c r="M1992" s="392" t="s">
        <v>7273</v>
      </c>
      <c r="N1992" s="392" t="s">
        <v>7273</v>
      </c>
      <c r="O1992" s="392" t="s">
        <v>7273</v>
      </c>
      <c r="P1992"/>
      <c r="Q1992"/>
      <c r="R1992" s="387">
        <f>VLOOKUP(E1992,'[1]NDB Impacted SPRFs 05032013'!$A$2:$A$65536,1,FALSE)</f>
        <v>400019703</v>
      </c>
      <c r="S1992" s="159"/>
      <c r="T1992" s="159"/>
      <c r="U1992" s="159"/>
    </row>
    <row r="1993" spans="1:21" ht="45" x14ac:dyDescent="0.25">
      <c r="A1993" s="63">
        <f>MATCH($E1993,'D1 - Master Project Table'!$B$24:$B$7056,0)</f>
        <v>2212</v>
      </c>
      <c r="B1993" s="63" t="b">
        <f t="shared" si="93"/>
        <v>0</v>
      </c>
      <c r="C1993" s="63" t="b">
        <f t="shared" si="94"/>
        <v>1</v>
      </c>
      <c r="D1993" s="63" t="str">
        <f t="shared" si="95"/>
        <v>OK</v>
      </c>
      <c r="E1993" s="393">
        <v>400019886</v>
      </c>
      <c r="F1993" s="392" t="s">
        <v>3170</v>
      </c>
      <c r="G1993" s="392" t="s">
        <v>5324</v>
      </c>
      <c r="H1993" s="392" t="s">
        <v>5314</v>
      </c>
      <c r="I1993" s="392" t="s">
        <v>1756</v>
      </c>
      <c r="J1993" s="392" t="s">
        <v>8377</v>
      </c>
      <c r="K1993" s="392" t="s">
        <v>2508</v>
      </c>
      <c r="L1993" s="392" t="s">
        <v>4954</v>
      </c>
      <c r="M1993" s="392" t="s">
        <v>7273</v>
      </c>
      <c r="N1993" s="392" t="s">
        <v>7273</v>
      </c>
      <c r="O1993" s="392" t="s">
        <v>7273</v>
      </c>
      <c r="P1993"/>
      <c r="Q1993"/>
      <c r="R1993" s="387">
        <f>VLOOKUP(E1993,'[1]NDB Impacted SPRFs 05032013'!$A$2:$A$65536,1,FALSE)</f>
        <v>400019886</v>
      </c>
    </row>
    <row r="1994" spans="1:21" ht="45" x14ac:dyDescent="0.25">
      <c r="A1994" s="63">
        <f>MATCH($E1994,'D1 - Master Project Table'!$B$24:$B$7056,0)</f>
        <v>920</v>
      </c>
      <c r="B1994" s="63" t="b">
        <f t="shared" si="93"/>
        <v>0</v>
      </c>
      <c r="C1994" s="63" t="b">
        <f t="shared" si="94"/>
        <v>1</v>
      </c>
      <c r="D1994" s="63" t="str">
        <f t="shared" si="95"/>
        <v>OK</v>
      </c>
      <c r="E1994" s="393">
        <v>400020494</v>
      </c>
      <c r="F1994" s="392" t="s">
        <v>3088</v>
      </c>
      <c r="G1994" s="392" t="s">
        <v>5324</v>
      </c>
      <c r="H1994" s="392" t="s">
        <v>7418</v>
      </c>
      <c r="I1994" s="392" t="s">
        <v>1756</v>
      </c>
      <c r="J1994" s="392" t="s">
        <v>3679</v>
      </c>
      <c r="K1994" s="392" t="s">
        <v>3250</v>
      </c>
      <c r="L1994" s="392" t="s">
        <v>7245</v>
      </c>
      <c r="M1994" s="392" t="s">
        <v>7273</v>
      </c>
      <c r="N1994" s="392" t="s">
        <v>7273</v>
      </c>
      <c r="O1994" s="392" t="s">
        <v>3758</v>
      </c>
      <c r="P1994"/>
      <c r="Q1994"/>
      <c r="R1994" s="387">
        <f>VLOOKUP(E1994,'[1]NDB Impacted SPRFs 05032013'!$A$2:$A$65536,1,FALSE)</f>
        <v>400020494</v>
      </c>
    </row>
    <row r="1995" spans="1:21" ht="45" x14ac:dyDescent="0.25">
      <c r="A1995" s="63">
        <f>MATCH($E1995,'D1 - Master Project Table'!$B$24:$B$7056,0)</f>
        <v>922</v>
      </c>
      <c r="B1995" s="63" t="b">
        <f t="shared" si="93"/>
        <v>0</v>
      </c>
      <c r="C1995" s="63" t="b">
        <f t="shared" si="94"/>
        <v>1</v>
      </c>
      <c r="D1995" s="63" t="str">
        <f t="shared" si="95"/>
        <v>OK</v>
      </c>
      <c r="E1995" s="393">
        <v>400021620</v>
      </c>
      <c r="F1995" s="392" t="s">
        <v>7159</v>
      </c>
      <c r="G1995" s="392" t="s">
        <v>5324</v>
      </c>
      <c r="H1995" s="392" t="s">
        <v>7418</v>
      </c>
      <c r="I1995" s="392" t="s">
        <v>1759</v>
      </c>
      <c r="J1995" s="392" t="s">
        <v>8379</v>
      </c>
      <c r="K1995" s="392" t="s">
        <v>7062</v>
      </c>
      <c r="L1995" s="392" t="s">
        <v>4937</v>
      </c>
      <c r="M1995" s="392" t="s">
        <v>7273</v>
      </c>
      <c r="N1995" s="392" t="s">
        <v>7273</v>
      </c>
      <c r="O1995" s="392" t="s">
        <v>7273</v>
      </c>
      <c r="P1995"/>
      <c r="Q1995"/>
      <c r="R1995" s="387">
        <f>VLOOKUP(E1995,'[1]NDB Impacted SPRFs 05032013'!$A$2:$A$65536,1,FALSE)</f>
        <v>400021620</v>
      </c>
      <c r="S1995" s="159"/>
      <c r="T1995" s="159"/>
      <c r="U1995" s="159"/>
    </row>
    <row r="1996" spans="1:21" ht="30" customHeight="1" x14ac:dyDescent="0.25">
      <c r="A1996" s="63">
        <f>MATCH($E1996,'D1 - Master Project Table'!$B$24:$B$7056,0)</f>
        <v>3085</v>
      </c>
      <c r="B1996" s="63" t="b">
        <f t="shared" si="93"/>
        <v>0</v>
      </c>
      <c r="C1996" s="63" t="b">
        <f t="shared" si="94"/>
        <v>1</v>
      </c>
      <c r="D1996" s="63" t="str">
        <f t="shared" si="95"/>
        <v>OK</v>
      </c>
      <c r="E1996" s="393">
        <v>400047927</v>
      </c>
      <c r="F1996" s="392" t="s">
        <v>136</v>
      </c>
      <c r="G1996" s="392" t="s">
        <v>6322</v>
      </c>
      <c r="H1996" s="392" t="s">
        <v>5314</v>
      </c>
      <c r="I1996" s="392" t="s">
        <v>1763</v>
      </c>
      <c r="J1996" s="392" t="s">
        <v>8637</v>
      </c>
      <c r="K1996" s="392" t="s">
        <v>137</v>
      </c>
      <c r="L1996" s="392" t="s">
        <v>2025</v>
      </c>
      <c r="M1996" s="392" t="s">
        <v>7273</v>
      </c>
      <c r="N1996" s="392" t="s">
        <v>7273</v>
      </c>
      <c r="O1996" s="392" t="s">
        <v>7273</v>
      </c>
      <c r="P1996"/>
      <c r="Q1996"/>
      <c r="R1996" s="387">
        <f>VLOOKUP(E1996,'[1]NDB Impacted SPRFs 05032013'!$A$2:$A$65536,1,FALSE)</f>
        <v>400047927</v>
      </c>
      <c r="S1996" s="159"/>
      <c r="T1996" s="159"/>
      <c r="U1996" s="159"/>
    </row>
    <row r="1997" spans="1:21" ht="30" x14ac:dyDescent="0.25">
      <c r="A1997" s="63">
        <f>MATCH($E1997,'D1 - Master Project Table'!$B$24:$B$7056,0)</f>
        <v>3091</v>
      </c>
      <c r="B1997" s="63" t="b">
        <f t="shared" si="93"/>
        <v>0</v>
      </c>
      <c r="C1997" s="63" t="b">
        <f t="shared" si="94"/>
        <v>1</v>
      </c>
      <c r="D1997" s="63" t="str">
        <f t="shared" si="95"/>
        <v>OK</v>
      </c>
      <c r="E1997" s="393">
        <v>400048601</v>
      </c>
      <c r="F1997" s="392" t="s">
        <v>498</v>
      </c>
      <c r="G1997" s="392" t="s">
        <v>6322</v>
      </c>
      <c r="H1997" s="392" t="s">
        <v>5314</v>
      </c>
      <c r="I1997" s="392" t="s">
        <v>1757</v>
      </c>
      <c r="J1997" s="392" t="s">
        <v>499</v>
      </c>
      <c r="K1997" s="392" t="s">
        <v>4978</v>
      </c>
      <c r="L1997" s="392" t="s">
        <v>1019</v>
      </c>
      <c r="M1997" s="392" t="s">
        <v>7273</v>
      </c>
      <c r="N1997" s="392" t="s">
        <v>7273</v>
      </c>
      <c r="O1997" s="392" t="s">
        <v>7273</v>
      </c>
      <c r="P1997"/>
      <c r="Q1997"/>
      <c r="R1997" s="387">
        <f>VLOOKUP(E1997,'[1]NDB Impacted SPRFs 05032013'!$A$2:$A$65536,1,FALSE)</f>
        <v>400048601</v>
      </c>
      <c r="S1997" s="159"/>
      <c r="T1997" s="159"/>
      <c r="U1997" s="159"/>
    </row>
    <row r="1998" spans="1:21" ht="45" x14ac:dyDescent="0.25">
      <c r="A1998" s="63">
        <f>MATCH($E1998,'D1 - Master Project Table'!$B$24:$B$7056,0)</f>
        <v>2377</v>
      </c>
      <c r="B1998" s="63" t="b">
        <f t="shared" si="93"/>
        <v>0</v>
      </c>
      <c r="C1998" s="63" t="b">
        <f t="shared" si="94"/>
        <v>1</v>
      </c>
      <c r="D1998" s="63" t="str">
        <f t="shared" si="95"/>
        <v>OK</v>
      </c>
      <c r="E1998" s="393">
        <v>400001084</v>
      </c>
      <c r="F1998" s="392" t="s">
        <v>5108</v>
      </c>
      <c r="G1998" s="392" t="s">
        <v>5324</v>
      </c>
      <c r="H1998" s="392" t="s">
        <v>5314</v>
      </c>
      <c r="I1998" s="392" t="s">
        <v>1765</v>
      </c>
      <c r="J1998" s="392" t="s">
        <v>8341</v>
      </c>
      <c r="K1998" s="392" t="s">
        <v>2953</v>
      </c>
      <c r="L1998" s="392" t="s">
        <v>4040</v>
      </c>
      <c r="M1998" s="392" t="s">
        <v>7273</v>
      </c>
      <c r="N1998" s="392" t="s">
        <v>7273</v>
      </c>
      <c r="O1998" s="392" t="s">
        <v>7273</v>
      </c>
      <c r="P1998"/>
      <c r="Q1998"/>
      <c r="R1998" s="387">
        <f>VLOOKUP(E1998,'[1]NDB Impacted SPRFs 05032013'!$A$2:$A$65536,1,FALSE)</f>
        <v>400001084</v>
      </c>
      <c r="S1998" s="159"/>
      <c r="T1998" s="159"/>
      <c r="U1998" s="159"/>
    </row>
    <row r="1999" spans="1:21" ht="30" x14ac:dyDescent="0.25">
      <c r="A1999" s="63">
        <f>MATCH($E1999,'D1 - Master Project Table'!$B$24:$B$7056,0)</f>
        <v>3151</v>
      </c>
      <c r="B1999" s="63" t="b">
        <f t="shared" si="93"/>
        <v>0</v>
      </c>
      <c r="C1999" s="63" t="b">
        <f t="shared" si="94"/>
        <v>1</v>
      </c>
      <c r="D1999" s="63" t="str">
        <f t="shared" si="95"/>
        <v>OK</v>
      </c>
      <c r="E1999" s="393">
        <v>400058375</v>
      </c>
      <c r="F1999" s="392" t="s">
        <v>9109</v>
      </c>
      <c r="G1999" s="392" t="s">
        <v>6322</v>
      </c>
      <c r="H1999" s="392" t="s">
        <v>5314</v>
      </c>
      <c r="I1999" s="392" t="s">
        <v>1757</v>
      </c>
      <c r="J1999" s="392" t="s">
        <v>9110</v>
      </c>
      <c r="K1999" s="392" t="s">
        <v>9111</v>
      </c>
      <c r="L1999" s="392" t="s">
        <v>1019</v>
      </c>
      <c r="M1999" s="392" t="s">
        <v>7273</v>
      </c>
      <c r="N1999" s="392" t="s">
        <v>7273</v>
      </c>
      <c r="O1999" s="392" t="s">
        <v>7273</v>
      </c>
      <c r="P1999"/>
      <c r="Q1999"/>
      <c r="R1999" s="387">
        <f>VLOOKUP(E1999,'[1]NDB Impacted SPRFs 05032013'!$A$2:$A$65536,1,FALSE)</f>
        <v>400058375</v>
      </c>
      <c r="S1999" s="159"/>
      <c r="T1999" s="159"/>
      <c r="U1999" s="159"/>
    </row>
    <row r="2000" spans="1:21" ht="30" x14ac:dyDescent="0.25">
      <c r="A2000" s="63">
        <f>MATCH($E2000,'D1 - Master Project Table'!$B$24:$B$7056,0)</f>
        <v>3152</v>
      </c>
      <c r="B2000" s="63" t="b">
        <f t="shared" si="93"/>
        <v>0</v>
      </c>
      <c r="C2000" s="63" t="b">
        <f t="shared" si="94"/>
        <v>1</v>
      </c>
      <c r="D2000" s="63" t="str">
        <f t="shared" si="95"/>
        <v>OK</v>
      </c>
      <c r="E2000" s="393">
        <v>400058376</v>
      </c>
      <c r="F2000" s="392" t="s">
        <v>9112</v>
      </c>
      <c r="G2000" s="392" t="s">
        <v>6322</v>
      </c>
      <c r="H2000" s="392" t="s">
        <v>5314</v>
      </c>
      <c r="I2000" s="392" t="s">
        <v>1757</v>
      </c>
      <c r="J2000" s="392" t="s">
        <v>9110</v>
      </c>
      <c r="K2000" s="392" t="s">
        <v>9111</v>
      </c>
      <c r="L2000" s="392" t="s">
        <v>1019</v>
      </c>
      <c r="M2000" s="392" t="s">
        <v>7273</v>
      </c>
      <c r="N2000" s="392" t="s">
        <v>7273</v>
      </c>
      <c r="O2000" s="392" t="s">
        <v>7273</v>
      </c>
      <c r="P2000"/>
      <c r="Q2000"/>
      <c r="R2000" s="387">
        <f>VLOOKUP(E2000,'[1]NDB Impacted SPRFs 05032013'!$A$2:$A$65536,1,FALSE)</f>
        <v>400058376</v>
      </c>
      <c r="S2000" s="159"/>
      <c r="T2000" s="159"/>
      <c r="U2000" s="159"/>
    </row>
    <row r="2001" spans="1:21" ht="30" x14ac:dyDescent="0.25">
      <c r="A2001" s="63">
        <f>MATCH($E2001,'D1 - Master Project Table'!$B$24:$B$7056,0)</f>
        <v>256</v>
      </c>
      <c r="B2001" s="63" t="b">
        <f t="shared" si="93"/>
        <v>0</v>
      </c>
      <c r="C2001" s="63" t="b">
        <f t="shared" si="94"/>
        <v>0</v>
      </c>
      <c r="D2001" s="63" t="str">
        <f t="shared" si="95"/>
        <v>OK</v>
      </c>
      <c r="E2001" s="393">
        <v>400058600</v>
      </c>
      <c r="F2001" s="392" t="s">
        <v>8999</v>
      </c>
      <c r="G2001" s="392" t="s">
        <v>6322</v>
      </c>
      <c r="H2001" s="392" t="s">
        <v>8012</v>
      </c>
      <c r="I2001" s="392" t="s">
        <v>1756</v>
      </c>
      <c r="J2001" s="392" t="s">
        <v>3151</v>
      </c>
      <c r="K2001" s="392" t="s">
        <v>187</v>
      </c>
      <c r="L2001" s="392" t="s">
        <v>1019</v>
      </c>
      <c r="M2001" s="392" t="s">
        <v>7273</v>
      </c>
      <c r="N2001" s="392" t="s">
        <v>7273</v>
      </c>
      <c r="O2001" s="392" t="s">
        <v>7273</v>
      </c>
      <c r="P2001"/>
      <c r="Q2001"/>
      <c r="R2001" s="387">
        <f>VLOOKUP(E2001,'[1]NDB Impacted SPRFs 05032013'!$A$2:$A$65536,1,FALSE)</f>
        <v>400058600</v>
      </c>
    </row>
    <row r="2002" spans="1:21" ht="45" x14ac:dyDescent="0.25">
      <c r="A2002" s="63" t="e">
        <f>MATCH($E2002,'D1 - Master Project Table'!$B$24:$B$7056,0)</f>
        <v>#N/A</v>
      </c>
      <c r="B2002" s="63" t="b">
        <f t="shared" si="93"/>
        <v>1</v>
      </c>
      <c r="C2002" s="63" t="b">
        <f t="shared" si="94"/>
        <v>1</v>
      </c>
      <c r="D2002" s="63" t="str">
        <f t="shared" si="95"/>
        <v>OK</v>
      </c>
      <c r="E2002" s="393">
        <v>400000552</v>
      </c>
      <c r="F2002" s="392" t="s">
        <v>2549</v>
      </c>
      <c r="G2002" s="392" t="s">
        <v>5324</v>
      </c>
      <c r="H2002" s="392" t="s">
        <v>7418</v>
      </c>
      <c r="I2002" s="392" t="s">
        <v>1765</v>
      </c>
      <c r="J2002" s="392" t="s">
        <v>8341</v>
      </c>
      <c r="K2002" s="392" t="s">
        <v>5561</v>
      </c>
      <c r="L2002" s="392" t="s">
        <v>5943</v>
      </c>
      <c r="M2002" s="392" t="s">
        <v>7273</v>
      </c>
      <c r="N2002" s="392" t="s">
        <v>7273</v>
      </c>
      <c r="O2002" s="392" t="s">
        <v>7273</v>
      </c>
      <c r="P2002"/>
      <c r="Q2002"/>
      <c r="R2002" s="387">
        <f>VLOOKUP(E2002,'[1]NDB Impacted SPRFs 05032013'!$A$2:$A$65536,1,FALSE)</f>
        <v>400000552</v>
      </c>
      <c r="S2002" s="159"/>
      <c r="T2002" s="159"/>
      <c r="U2002" s="159"/>
    </row>
    <row r="2003" spans="1:21" ht="30" x14ac:dyDescent="0.25">
      <c r="A2003" s="63">
        <f>MATCH($E2003,'D1 - Master Project Table'!$B$24:$B$7056,0)</f>
        <v>343</v>
      </c>
      <c r="B2003" s="63" t="b">
        <f t="shared" si="93"/>
        <v>0</v>
      </c>
      <c r="C2003" s="63" t="b">
        <f t="shared" si="94"/>
        <v>1</v>
      </c>
      <c r="D2003" s="63" t="str">
        <f t="shared" si="95"/>
        <v>OK</v>
      </c>
      <c r="E2003" s="393">
        <v>400004594</v>
      </c>
      <c r="F2003" s="392" t="s">
        <v>6811</v>
      </c>
      <c r="G2003" s="392" t="s">
        <v>5787</v>
      </c>
      <c r="H2003" s="392" t="s">
        <v>7418</v>
      </c>
      <c r="I2003" s="392" t="s">
        <v>1782</v>
      </c>
      <c r="J2003" s="392" t="s">
        <v>5025</v>
      </c>
      <c r="K2003" s="392" t="s">
        <v>3353</v>
      </c>
      <c r="L2003" s="392" t="s">
        <v>4551</v>
      </c>
      <c r="M2003" s="392" t="s">
        <v>7273</v>
      </c>
      <c r="N2003" s="392" t="s">
        <v>7273</v>
      </c>
      <c r="O2003" s="392" t="s">
        <v>7273</v>
      </c>
      <c r="P2003"/>
      <c r="Q2003"/>
      <c r="R2003" s="387">
        <f>VLOOKUP(E2003,'[1]NDB Impacted SPRFs 05032013'!$A$2:$A$65536,1,FALSE)</f>
        <v>400004594</v>
      </c>
    </row>
    <row r="2004" spans="1:21" ht="30" x14ac:dyDescent="0.25">
      <c r="A2004" s="63">
        <f>MATCH($E2004,'D1 - Master Project Table'!$B$24:$B$7056,0)</f>
        <v>2468</v>
      </c>
      <c r="B2004" s="63" t="b">
        <f t="shared" si="93"/>
        <v>0</v>
      </c>
      <c r="C2004" s="63" t="b">
        <f t="shared" si="94"/>
        <v>1</v>
      </c>
      <c r="D2004" s="63" t="str">
        <f t="shared" si="95"/>
        <v>OK</v>
      </c>
      <c r="E2004" s="393">
        <v>400004788</v>
      </c>
      <c r="F2004" s="392" t="s">
        <v>7230</v>
      </c>
      <c r="G2004" s="392" t="s">
        <v>5787</v>
      </c>
      <c r="H2004" s="392" t="s">
        <v>5314</v>
      </c>
      <c r="I2004" s="392" t="s">
        <v>1781</v>
      </c>
      <c r="J2004" s="392" t="s">
        <v>8461</v>
      </c>
      <c r="K2004" s="392" t="s">
        <v>6613</v>
      </c>
      <c r="L2004" s="392" t="s">
        <v>4364</v>
      </c>
      <c r="M2004" s="392" t="s">
        <v>7273</v>
      </c>
      <c r="N2004" s="392" t="s">
        <v>7273</v>
      </c>
      <c r="O2004" s="392" t="s">
        <v>7273</v>
      </c>
      <c r="P2004"/>
      <c r="Q2004"/>
      <c r="R2004" s="387">
        <f>VLOOKUP(E2004,'[1]NDB Impacted SPRFs 05032013'!$A$2:$A$65536,1,FALSE)</f>
        <v>400004788</v>
      </c>
    </row>
    <row r="2005" spans="1:21" ht="15" x14ac:dyDescent="0.25">
      <c r="A2005" s="63">
        <f>MATCH($E2005,'D1 - Master Project Table'!$B$24:$B$7056,0)</f>
        <v>2550</v>
      </c>
      <c r="B2005" s="63" t="b">
        <f t="shared" si="93"/>
        <v>0</v>
      </c>
      <c r="C2005" s="63" t="b">
        <f t="shared" si="94"/>
        <v>1</v>
      </c>
      <c r="D2005" s="63" t="str">
        <f t="shared" si="95"/>
        <v>OK</v>
      </c>
      <c r="E2005" s="393">
        <v>400009419</v>
      </c>
      <c r="F2005" s="392" t="s">
        <v>5633</v>
      </c>
      <c r="G2005" s="392" t="s">
        <v>5787</v>
      </c>
      <c r="H2005" s="392" t="s">
        <v>5314</v>
      </c>
      <c r="I2005" s="392" t="s">
        <v>1775</v>
      </c>
      <c r="J2005" s="392" t="s">
        <v>8728</v>
      </c>
      <c r="K2005" s="392" t="s">
        <v>6213</v>
      </c>
      <c r="L2005" s="392" t="s">
        <v>4364</v>
      </c>
      <c r="M2005" s="392" t="s">
        <v>7273</v>
      </c>
      <c r="N2005" s="392" t="s">
        <v>7273</v>
      </c>
      <c r="O2005" s="392" t="s">
        <v>7273</v>
      </c>
      <c r="P2005"/>
      <c r="Q2005"/>
      <c r="R2005" s="387">
        <f>VLOOKUP(E2005,'[1]NDB Impacted SPRFs 05032013'!$A$2:$A$65536,1,FALSE)</f>
        <v>400009419</v>
      </c>
      <c r="S2005" s="159"/>
      <c r="T2005" s="159"/>
      <c r="U2005" s="159"/>
    </row>
    <row r="2006" spans="1:21" ht="30" x14ac:dyDescent="0.25">
      <c r="A2006" s="63">
        <f>MATCH($E2006,'D1 - Master Project Table'!$B$24:$B$7056,0)</f>
        <v>495</v>
      </c>
      <c r="B2006" s="63" t="b">
        <f t="shared" si="93"/>
        <v>0</v>
      </c>
      <c r="C2006" s="63" t="b">
        <f t="shared" si="94"/>
        <v>1</v>
      </c>
      <c r="D2006" s="63" t="str">
        <f t="shared" si="95"/>
        <v>OK</v>
      </c>
      <c r="E2006" s="393">
        <v>400011841</v>
      </c>
      <c r="F2006" s="392" t="s">
        <v>3006</v>
      </c>
      <c r="G2006" s="392" t="s">
        <v>5787</v>
      </c>
      <c r="H2006" s="392" t="s">
        <v>7418</v>
      </c>
      <c r="I2006" s="392" t="s">
        <v>1779</v>
      </c>
      <c r="J2006" s="392" t="s">
        <v>8730</v>
      </c>
      <c r="K2006" s="392" t="s">
        <v>2951</v>
      </c>
      <c r="L2006" s="392" t="s">
        <v>4364</v>
      </c>
      <c r="M2006" s="392" t="s">
        <v>7273</v>
      </c>
      <c r="N2006" s="392" t="s">
        <v>7273</v>
      </c>
      <c r="O2006" s="392" t="s">
        <v>7273</v>
      </c>
      <c r="P2006"/>
      <c r="Q2006"/>
      <c r="R2006" s="387">
        <f>VLOOKUP(E2006,'[1]NDB Impacted SPRFs 05032013'!$A$2:$A$65536,1,FALSE)</f>
        <v>400011841</v>
      </c>
      <c r="S2006" s="159"/>
      <c r="T2006" s="159"/>
      <c r="U2006" s="159"/>
    </row>
    <row r="2007" spans="1:21" ht="30" x14ac:dyDescent="0.25">
      <c r="A2007" s="63">
        <f>MATCH($E2007,'D1 - Master Project Table'!$B$24:$B$7056,0)</f>
        <v>756</v>
      </c>
      <c r="B2007" s="63" t="b">
        <f t="shared" si="93"/>
        <v>0</v>
      </c>
      <c r="C2007" s="63" t="b">
        <f t="shared" si="94"/>
        <v>1</v>
      </c>
      <c r="D2007" s="63" t="str">
        <f t="shared" si="95"/>
        <v>OK</v>
      </c>
      <c r="E2007" s="393">
        <v>400019767</v>
      </c>
      <c r="F2007" s="392" t="s">
        <v>6225</v>
      </c>
      <c r="G2007" s="392" t="s">
        <v>5787</v>
      </c>
      <c r="H2007" s="392" t="s">
        <v>7418</v>
      </c>
      <c r="I2007" s="392" t="s">
        <v>1823</v>
      </c>
      <c r="J2007" s="392" t="s">
        <v>8585</v>
      </c>
      <c r="K2007" s="392" t="s">
        <v>7737</v>
      </c>
      <c r="L2007" s="392" t="s">
        <v>4364</v>
      </c>
      <c r="M2007" s="392" t="s">
        <v>7273</v>
      </c>
      <c r="N2007" s="392" t="s">
        <v>7273</v>
      </c>
      <c r="O2007" s="392" t="s">
        <v>7273</v>
      </c>
      <c r="P2007"/>
      <c r="Q2007"/>
      <c r="R2007" s="387">
        <f>VLOOKUP(E2007,'[1]NDB Impacted SPRFs 05032013'!$A$2:$A$65536,1,FALSE)</f>
        <v>400019767</v>
      </c>
    </row>
    <row r="2008" spans="1:21" ht="45" x14ac:dyDescent="0.25">
      <c r="A2008" s="63">
        <f>MATCH($E2008,'D1 - Master Project Table'!$B$24:$B$7056,0)</f>
        <v>1084</v>
      </c>
      <c r="B2008" s="63" t="b">
        <f t="shared" si="93"/>
        <v>0</v>
      </c>
      <c r="C2008" s="63" t="b">
        <f t="shared" si="94"/>
        <v>1</v>
      </c>
      <c r="D2008" s="63" t="str">
        <f t="shared" si="95"/>
        <v>OK</v>
      </c>
      <c r="E2008" s="393">
        <v>400028439</v>
      </c>
      <c r="F2008" s="392" t="s">
        <v>7203</v>
      </c>
      <c r="G2008" s="392" t="s">
        <v>5324</v>
      </c>
      <c r="H2008" s="392" t="s">
        <v>7418</v>
      </c>
      <c r="I2008" s="392" t="s">
        <v>1760</v>
      </c>
      <c r="J2008" s="392" t="s">
        <v>8421</v>
      </c>
      <c r="K2008" s="392" t="s">
        <v>5433</v>
      </c>
      <c r="L2008" s="392" t="s">
        <v>3357</v>
      </c>
      <c r="M2008" s="392" t="s">
        <v>7273</v>
      </c>
      <c r="N2008" s="392" t="s">
        <v>7273</v>
      </c>
      <c r="O2008" s="392" t="s">
        <v>7273</v>
      </c>
      <c r="P2008"/>
      <c r="Q2008"/>
      <c r="R2008" s="387">
        <f>VLOOKUP(E2008,'[1]NDB Impacted SPRFs 05032013'!$A$2:$A$65536,1,FALSE)</f>
        <v>400028439</v>
      </c>
      <c r="S2008" s="159"/>
      <c r="T2008" s="159"/>
      <c r="U2008" s="159"/>
    </row>
    <row r="2009" spans="1:21" ht="30" x14ac:dyDescent="0.25">
      <c r="A2009" s="63">
        <f>MATCH($E2009,'D1 - Master Project Table'!$B$24:$B$7056,0)</f>
        <v>1049</v>
      </c>
      <c r="B2009" s="63" t="b">
        <f t="shared" si="93"/>
        <v>0</v>
      </c>
      <c r="C2009" s="63" t="b">
        <f t="shared" si="94"/>
        <v>1</v>
      </c>
      <c r="D2009" s="63" t="str">
        <f t="shared" si="95"/>
        <v>OK</v>
      </c>
      <c r="E2009" s="393">
        <v>400028571</v>
      </c>
      <c r="F2009" s="392" t="s">
        <v>6569</v>
      </c>
      <c r="G2009" s="392" t="s">
        <v>5995</v>
      </c>
      <c r="H2009" s="392" t="s">
        <v>7418</v>
      </c>
      <c r="I2009" s="392" t="s">
        <v>6423</v>
      </c>
      <c r="J2009" s="392" t="s">
        <v>5768</v>
      </c>
      <c r="K2009" s="392" t="s">
        <v>6570</v>
      </c>
      <c r="L2009" s="392" t="s">
        <v>4364</v>
      </c>
      <c r="M2009" s="392" t="s">
        <v>7273</v>
      </c>
      <c r="N2009" s="392" t="s">
        <v>7273</v>
      </c>
      <c r="O2009" s="392" t="s">
        <v>7273</v>
      </c>
      <c r="P2009"/>
      <c r="Q2009"/>
      <c r="R2009" s="387">
        <f>VLOOKUP(E2009,'[1]NDB Impacted SPRFs 05032013'!$A$2:$A$65536,1,FALSE)</f>
        <v>400028571</v>
      </c>
      <c r="S2009" s="159"/>
      <c r="T2009" s="159"/>
      <c r="U2009" s="159"/>
    </row>
    <row r="2010" spans="1:21" ht="45" x14ac:dyDescent="0.25">
      <c r="A2010" s="63">
        <f>MATCH($E2010,'D1 - Master Project Table'!$B$24:$B$7056,0)</f>
        <v>2969</v>
      </c>
      <c r="B2010" s="63" t="b">
        <f t="shared" si="93"/>
        <v>0</v>
      </c>
      <c r="C2010" s="63" t="b">
        <f t="shared" si="94"/>
        <v>1</v>
      </c>
      <c r="D2010" s="63" t="str">
        <f t="shared" si="95"/>
        <v>OK</v>
      </c>
      <c r="E2010" s="393">
        <v>400036604</v>
      </c>
      <c r="F2010" s="392" t="s">
        <v>7911</v>
      </c>
      <c r="G2010" s="392" t="s">
        <v>5995</v>
      </c>
      <c r="H2010" s="392" t="s">
        <v>5314</v>
      </c>
      <c r="I2010" s="392" t="s">
        <v>6423</v>
      </c>
      <c r="J2010" s="392" t="s">
        <v>8825</v>
      </c>
      <c r="K2010" s="392" t="s">
        <v>3786</v>
      </c>
      <c r="L2010" s="392" t="s">
        <v>3255</v>
      </c>
      <c r="M2010" s="392" t="s">
        <v>7273</v>
      </c>
      <c r="N2010" s="392" t="s">
        <v>7273</v>
      </c>
      <c r="O2010" s="392" t="s">
        <v>7273</v>
      </c>
      <c r="P2010"/>
      <c r="Q2010"/>
      <c r="R2010" s="387">
        <f>VLOOKUP(E2010,'[1]NDB Impacted SPRFs 05032013'!$A$2:$A$65536,1,FALSE)</f>
        <v>400036604</v>
      </c>
      <c r="S2010" s="159"/>
      <c r="T2010" s="159"/>
      <c r="U2010" s="159"/>
    </row>
    <row r="2011" spans="1:21" ht="45" x14ac:dyDescent="0.25">
      <c r="A2011" s="63">
        <f>MATCH($E2011,'D1 - Master Project Table'!$B$24:$B$7056,0)</f>
        <v>1279</v>
      </c>
      <c r="B2011" s="63" t="b">
        <f t="shared" si="93"/>
        <v>0</v>
      </c>
      <c r="C2011" s="63" t="b">
        <f t="shared" si="94"/>
        <v>1</v>
      </c>
      <c r="D2011" s="63" t="str">
        <f t="shared" si="95"/>
        <v>OK</v>
      </c>
      <c r="E2011" s="393">
        <v>400037069</v>
      </c>
      <c r="F2011" s="392" t="s">
        <v>4396</v>
      </c>
      <c r="G2011" s="392" t="s">
        <v>5324</v>
      </c>
      <c r="H2011" s="392" t="s">
        <v>7418</v>
      </c>
      <c r="I2011" s="392" t="s">
        <v>1760</v>
      </c>
      <c r="J2011" s="392" t="s">
        <v>8503</v>
      </c>
      <c r="K2011" s="392" t="s">
        <v>1957</v>
      </c>
      <c r="L2011" s="392" t="s">
        <v>4364</v>
      </c>
      <c r="M2011" s="392" t="s">
        <v>7273</v>
      </c>
      <c r="N2011" s="392" t="s">
        <v>7273</v>
      </c>
      <c r="O2011" s="392" t="s">
        <v>7273</v>
      </c>
      <c r="P2011"/>
      <c r="Q2011"/>
      <c r="R2011" s="387">
        <f>VLOOKUP(E2011,'[1]NDB Impacted SPRFs 05032013'!$A$2:$A$65536,1,FALSE)</f>
        <v>400037069</v>
      </c>
      <c r="S2011" s="159"/>
      <c r="T2011" s="159"/>
      <c r="U2011" s="159"/>
    </row>
    <row r="2012" spans="1:21" ht="45" x14ac:dyDescent="0.25">
      <c r="A2012" s="63">
        <f>MATCH($E2012,'D1 - Master Project Table'!$B$24:$B$7056,0)</f>
        <v>2987</v>
      </c>
      <c r="B2012" s="63" t="b">
        <f t="shared" si="93"/>
        <v>0</v>
      </c>
      <c r="C2012" s="63" t="b">
        <f t="shared" si="94"/>
        <v>1</v>
      </c>
      <c r="D2012" s="63" t="str">
        <f t="shared" si="95"/>
        <v>OK</v>
      </c>
      <c r="E2012" s="393">
        <v>400038063</v>
      </c>
      <c r="F2012" s="392" t="s">
        <v>5648</v>
      </c>
      <c r="G2012" s="392" t="s">
        <v>5324</v>
      </c>
      <c r="H2012" s="392" t="s">
        <v>5314</v>
      </c>
      <c r="I2012" s="392" t="s">
        <v>1758</v>
      </c>
      <c r="J2012" s="392" t="s">
        <v>8499</v>
      </c>
      <c r="K2012" s="392" t="s">
        <v>5649</v>
      </c>
      <c r="L2012" s="392" t="s">
        <v>4364</v>
      </c>
      <c r="M2012" s="392" t="s">
        <v>7273</v>
      </c>
      <c r="N2012" s="392" t="s">
        <v>7273</v>
      </c>
      <c r="O2012" s="392" t="s">
        <v>7273</v>
      </c>
      <c r="P2012"/>
      <c r="Q2012"/>
      <c r="R2012" s="387">
        <f>VLOOKUP(E2012,'[1]NDB Impacted SPRFs 05032013'!$A$2:$A$65536,1,FALSE)</f>
        <v>400038063</v>
      </c>
      <c r="S2012" s="159"/>
      <c r="T2012" s="159"/>
      <c r="U2012" s="159"/>
    </row>
    <row r="2013" spans="1:21" ht="45" x14ac:dyDescent="0.25">
      <c r="A2013" s="63">
        <f>MATCH($E2013,'D1 - Master Project Table'!$B$24:$B$7056,0)</f>
        <v>1487</v>
      </c>
      <c r="B2013" s="63" t="b">
        <f t="shared" si="93"/>
        <v>0</v>
      </c>
      <c r="C2013" s="63" t="b">
        <f t="shared" si="94"/>
        <v>1</v>
      </c>
      <c r="D2013" s="63" t="str">
        <f t="shared" si="95"/>
        <v>OK</v>
      </c>
      <c r="E2013" s="393">
        <v>400045120</v>
      </c>
      <c r="F2013" s="392" t="s">
        <v>2722</v>
      </c>
      <c r="G2013" s="392" t="s">
        <v>5324</v>
      </c>
      <c r="H2013" s="392" t="s">
        <v>7418</v>
      </c>
      <c r="I2013" s="392" t="s">
        <v>1808</v>
      </c>
      <c r="J2013" s="392" t="s">
        <v>8621</v>
      </c>
      <c r="K2013" s="392" t="s">
        <v>1987</v>
      </c>
      <c r="L2013" s="392" t="s">
        <v>4364</v>
      </c>
      <c r="M2013" s="392" t="s">
        <v>7273</v>
      </c>
      <c r="N2013" s="392" t="s">
        <v>7273</v>
      </c>
      <c r="O2013" s="392" t="s">
        <v>7273</v>
      </c>
      <c r="P2013"/>
      <c r="Q2013"/>
      <c r="R2013" s="387">
        <f>VLOOKUP(E2013,'[1]NDB Impacted SPRFs 05032013'!$A$2:$A$65536,1,FALSE)</f>
        <v>400045120</v>
      </c>
      <c r="S2013" s="159"/>
      <c r="T2013" s="159"/>
      <c r="U2013" s="159"/>
    </row>
    <row r="2014" spans="1:21" ht="45" x14ac:dyDescent="0.25">
      <c r="A2014" s="63">
        <f>MATCH($E2014,'D1 - Master Project Table'!$B$24:$B$7056,0)</f>
        <v>1631</v>
      </c>
      <c r="B2014" s="63" t="b">
        <f t="shared" si="93"/>
        <v>0</v>
      </c>
      <c r="C2014" s="63" t="b">
        <f t="shared" si="94"/>
        <v>1</v>
      </c>
      <c r="D2014" s="63" t="str">
        <f t="shared" si="95"/>
        <v>OK</v>
      </c>
      <c r="E2014" s="393">
        <v>400048304</v>
      </c>
      <c r="F2014" s="392" t="s">
        <v>3528</v>
      </c>
      <c r="G2014" s="392" t="s">
        <v>5324</v>
      </c>
      <c r="H2014" s="392" t="s">
        <v>7418</v>
      </c>
      <c r="I2014" s="392" t="s">
        <v>1757</v>
      </c>
      <c r="J2014" s="392" t="s">
        <v>5078</v>
      </c>
      <c r="K2014" s="392" t="s">
        <v>3377</v>
      </c>
      <c r="L2014" s="392" t="s">
        <v>4364</v>
      </c>
      <c r="M2014" s="392" t="s">
        <v>7273</v>
      </c>
      <c r="N2014" s="392" t="s">
        <v>7273</v>
      </c>
      <c r="O2014" s="392" t="s">
        <v>7273</v>
      </c>
      <c r="P2014"/>
      <c r="Q2014"/>
      <c r="R2014" s="387">
        <f>VLOOKUP(E2014,'[1]NDB Impacted SPRFs 05032013'!$A$2:$A$65536,1,FALSE)</f>
        <v>400048304</v>
      </c>
      <c r="S2014" s="159"/>
      <c r="T2014" s="159"/>
      <c r="U2014" s="159"/>
    </row>
    <row r="2015" spans="1:21" ht="45" x14ac:dyDescent="0.25">
      <c r="A2015" s="63">
        <f>MATCH($E2015,'D1 - Master Project Table'!$B$24:$B$7056,0)</f>
        <v>3092</v>
      </c>
      <c r="B2015" s="63" t="b">
        <f t="shared" si="93"/>
        <v>0</v>
      </c>
      <c r="C2015" s="63" t="b">
        <f t="shared" si="94"/>
        <v>1</v>
      </c>
      <c r="D2015" s="63" t="str">
        <f t="shared" si="95"/>
        <v>OK</v>
      </c>
      <c r="E2015" s="393">
        <v>400048794</v>
      </c>
      <c r="F2015" s="392" t="s">
        <v>243</v>
      </c>
      <c r="G2015" s="392" t="s">
        <v>5324</v>
      </c>
      <c r="H2015" s="392" t="s">
        <v>5314</v>
      </c>
      <c r="I2015" s="392" t="s">
        <v>1757</v>
      </c>
      <c r="J2015" s="392" t="s">
        <v>1586</v>
      </c>
      <c r="K2015" s="392" t="s">
        <v>4462</v>
      </c>
      <c r="L2015" s="392" t="s">
        <v>3587</v>
      </c>
      <c r="M2015" s="392" t="s">
        <v>7273</v>
      </c>
      <c r="N2015" s="392" t="s">
        <v>7273</v>
      </c>
      <c r="O2015" s="392" t="s">
        <v>7273</v>
      </c>
      <c r="P2015"/>
      <c r="Q2015"/>
      <c r="R2015" s="387">
        <f>VLOOKUP(E2015,'[1]NDB Impacted SPRFs 05032013'!$A$2:$A$65536,1,FALSE)</f>
        <v>400048794</v>
      </c>
    </row>
    <row r="2016" spans="1:21" ht="45" x14ac:dyDescent="0.25">
      <c r="A2016" s="63">
        <f>MATCH($E2016,'D1 - Master Project Table'!$B$24:$B$7056,0)</f>
        <v>2340</v>
      </c>
      <c r="B2016" s="63" t="b">
        <f t="shared" si="93"/>
        <v>0</v>
      </c>
      <c r="C2016" s="63" t="b">
        <f t="shared" si="94"/>
        <v>1</v>
      </c>
      <c r="D2016" s="63" t="str">
        <f t="shared" si="95"/>
        <v>OK</v>
      </c>
      <c r="E2016" s="393">
        <v>400058001</v>
      </c>
      <c r="F2016" s="392" t="s">
        <v>8515</v>
      </c>
      <c r="G2016" s="392" t="s">
        <v>5324</v>
      </c>
      <c r="H2016" s="392" t="s">
        <v>5314</v>
      </c>
      <c r="I2016" s="392" t="s">
        <v>1786</v>
      </c>
      <c r="J2016" s="392" t="s">
        <v>8516</v>
      </c>
      <c r="K2016" s="392" t="s">
        <v>8517</v>
      </c>
      <c r="L2016" s="392" t="s">
        <v>4364</v>
      </c>
      <c r="M2016" s="392" t="s">
        <v>7273</v>
      </c>
      <c r="N2016" s="392" t="s">
        <v>7273</v>
      </c>
      <c r="O2016" s="392" t="s">
        <v>7273</v>
      </c>
      <c r="P2016"/>
      <c r="Q2016"/>
      <c r="R2016" s="387">
        <f>VLOOKUP(E2016,'[1]NDB Impacted SPRFs 05032013'!$A$2:$A$65536,1,FALSE)</f>
        <v>400058001</v>
      </c>
    </row>
    <row r="2017" spans="1:21" ht="30" x14ac:dyDescent="0.25">
      <c r="A2017" s="63" t="e">
        <f>MATCH($E2017,'D1 - Master Project Table'!$B$24:$B$7056,0)</f>
        <v>#N/A</v>
      </c>
      <c r="B2017" s="63" t="b">
        <f t="shared" si="93"/>
        <v>1</v>
      </c>
      <c r="C2017" s="63" t="b">
        <f t="shared" si="94"/>
        <v>1</v>
      </c>
      <c r="D2017" s="63" t="str">
        <f t="shared" si="95"/>
        <v>OK</v>
      </c>
      <c r="E2017" s="393">
        <v>400000940</v>
      </c>
      <c r="F2017" s="392" t="s">
        <v>2416</v>
      </c>
      <c r="G2017" s="392" t="s">
        <v>5787</v>
      </c>
      <c r="H2017" s="392" t="s">
        <v>5314</v>
      </c>
      <c r="I2017" s="392" t="s">
        <v>6903</v>
      </c>
      <c r="J2017" s="392" t="s">
        <v>8691</v>
      </c>
      <c r="K2017" s="392" t="s">
        <v>3766</v>
      </c>
      <c r="L2017" s="392" t="s">
        <v>5695</v>
      </c>
      <c r="M2017" s="392" t="s">
        <v>7273</v>
      </c>
      <c r="N2017" s="392" t="s">
        <v>7273</v>
      </c>
      <c r="O2017" s="392" t="s">
        <v>7273</v>
      </c>
      <c r="P2017"/>
      <c r="Q2017"/>
      <c r="R2017" s="387">
        <f>VLOOKUP(E2017,'[1]NDB Impacted SPRFs 05032013'!$A$2:$A$65536,1,FALSE)</f>
        <v>400000940</v>
      </c>
      <c r="S2017" s="159"/>
      <c r="T2017" s="159"/>
      <c r="U2017" s="159"/>
    </row>
    <row r="2018" spans="1:21" ht="45" x14ac:dyDescent="0.25">
      <c r="A2018" s="63">
        <f>MATCH($E2018,'D1 - Master Project Table'!$B$24:$B$7056,0)</f>
        <v>2386</v>
      </c>
      <c r="B2018" s="63" t="b">
        <f t="shared" si="93"/>
        <v>0</v>
      </c>
      <c r="C2018" s="63" t="b">
        <f t="shared" si="94"/>
        <v>1</v>
      </c>
      <c r="D2018" s="63" t="str">
        <f t="shared" si="95"/>
        <v>OK</v>
      </c>
      <c r="E2018" s="393">
        <v>400001692</v>
      </c>
      <c r="F2018" s="392" t="s">
        <v>3329</v>
      </c>
      <c r="G2018" s="392" t="s">
        <v>5324</v>
      </c>
      <c r="H2018" s="392" t="s">
        <v>5314</v>
      </c>
      <c r="I2018" s="392" t="s">
        <v>1765</v>
      </c>
      <c r="J2018" s="392" t="s">
        <v>8359</v>
      </c>
      <c r="K2018" s="392" t="s">
        <v>5641</v>
      </c>
      <c r="L2018" s="392" t="s">
        <v>3330</v>
      </c>
      <c r="M2018" s="392" t="s">
        <v>7273</v>
      </c>
      <c r="N2018" s="392" t="s">
        <v>7273</v>
      </c>
      <c r="O2018" s="392" t="s">
        <v>7273</v>
      </c>
      <c r="P2018"/>
      <c r="Q2018"/>
      <c r="R2018" s="387">
        <f>VLOOKUP(E2018,'[1]NDB Impacted SPRFs 05032013'!$A$2:$A$65536,1,FALSE)</f>
        <v>400001692</v>
      </c>
      <c r="S2018" s="159"/>
      <c r="T2018" s="159"/>
      <c r="U2018" s="159"/>
    </row>
    <row r="2019" spans="1:21" ht="45" x14ac:dyDescent="0.25">
      <c r="A2019" s="63">
        <f>MATCH($E2019,'D1 - Master Project Table'!$B$24:$B$7056,0)</f>
        <v>553</v>
      </c>
      <c r="B2019" s="63" t="b">
        <f t="shared" si="93"/>
        <v>0</v>
      </c>
      <c r="C2019" s="63" t="b">
        <f t="shared" si="94"/>
        <v>1</v>
      </c>
      <c r="D2019" s="63" t="str">
        <f t="shared" si="95"/>
        <v>OK</v>
      </c>
      <c r="E2019" s="393">
        <v>400010881</v>
      </c>
      <c r="F2019" s="392" t="s">
        <v>5597</v>
      </c>
      <c r="G2019" s="392" t="s">
        <v>5324</v>
      </c>
      <c r="H2019" s="392" t="s">
        <v>7418</v>
      </c>
      <c r="I2019" s="392" t="s">
        <v>1764</v>
      </c>
      <c r="J2019" s="392" t="s">
        <v>4344</v>
      </c>
      <c r="K2019" s="392" t="s">
        <v>5641</v>
      </c>
      <c r="L2019" s="392" t="s">
        <v>2588</v>
      </c>
      <c r="M2019" s="392" t="s">
        <v>3758</v>
      </c>
      <c r="N2019" s="392" t="s">
        <v>7273</v>
      </c>
      <c r="O2019" s="392" t="s">
        <v>7273</v>
      </c>
      <c r="P2019"/>
      <c r="Q2019"/>
      <c r="R2019" s="387">
        <f>VLOOKUP(E2019,'[1]NDB Impacted SPRFs 05032013'!$A$2:$A$65536,1,FALSE)</f>
        <v>400010881</v>
      </c>
      <c r="S2019" s="159"/>
      <c r="T2019" s="159"/>
      <c r="U2019" s="159"/>
    </row>
    <row r="2020" spans="1:21" ht="45" x14ac:dyDescent="0.25">
      <c r="A2020" s="63">
        <f>MATCH($E2020,'D1 - Master Project Table'!$B$24:$B$7056,0)</f>
        <v>496</v>
      </c>
      <c r="B2020" s="63" t="b">
        <f t="shared" si="93"/>
        <v>0</v>
      </c>
      <c r="C2020" s="63" t="b">
        <f t="shared" si="94"/>
        <v>1</v>
      </c>
      <c r="D2020" s="63" t="str">
        <f t="shared" si="95"/>
        <v>OK</v>
      </c>
      <c r="E2020" s="393">
        <v>400011863</v>
      </c>
      <c r="F2020" s="392" t="s">
        <v>5841</v>
      </c>
      <c r="G2020" s="392" t="s">
        <v>5324</v>
      </c>
      <c r="H2020" s="392" t="s">
        <v>7418</v>
      </c>
      <c r="I2020" s="392" t="s">
        <v>1756</v>
      </c>
      <c r="J2020" s="392" t="s">
        <v>7233</v>
      </c>
      <c r="K2020" s="392" t="s">
        <v>5159</v>
      </c>
      <c r="L2020" s="392" t="s">
        <v>7734</v>
      </c>
      <c r="M2020" s="392" t="s">
        <v>7273</v>
      </c>
      <c r="N2020" s="392" t="s">
        <v>7273</v>
      </c>
      <c r="O2020" s="392" t="s">
        <v>7273</v>
      </c>
      <c r="P2020"/>
      <c r="Q2020"/>
      <c r="R2020" s="387">
        <f>VLOOKUP(E2020,'[1]NDB Impacted SPRFs 05032013'!$A$2:$A$65536,1,FALSE)</f>
        <v>400011863</v>
      </c>
    </row>
    <row r="2021" spans="1:21" ht="30" x14ac:dyDescent="0.25">
      <c r="A2021" s="63">
        <f>MATCH($E2021,'D1 - Master Project Table'!$B$24:$B$7056,0)</f>
        <v>3063</v>
      </c>
      <c r="B2021" s="63" t="b">
        <f t="shared" si="93"/>
        <v>0</v>
      </c>
      <c r="C2021" s="63" t="b">
        <f t="shared" si="94"/>
        <v>1</v>
      </c>
      <c r="D2021" s="63" t="str">
        <f t="shared" si="95"/>
        <v>OK</v>
      </c>
      <c r="E2021" s="393">
        <v>400044782</v>
      </c>
      <c r="F2021" s="392" t="s">
        <v>6425</v>
      </c>
      <c r="G2021" s="392" t="s">
        <v>5995</v>
      </c>
      <c r="H2021" s="392" t="s">
        <v>5314</v>
      </c>
      <c r="I2021" s="392" t="s">
        <v>6423</v>
      </c>
      <c r="J2021" s="392" t="s">
        <v>1852</v>
      </c>
      <c r="K2021" s="392" t="s">
        <v>1897</v>
      </c>
      <c r="L2021" s="392" t="s">
        <v>1023</v>
      </c>
      <c r="M2021" s="392" t="s">
        <v>7273</v>
      </c>
      <c r="N2021" s="392" t="s">
        <v>7273</v>
      </c>
      <c r="O2021" s="392" t="s">
        <v>7273</v>
      </c>
      <c r="P2021"/>
      <c r="Q2021"/>
      <c r="R2021" s="387">
        <f>VLOOKUP(E2021,'[1]NDB Impacted SPRFs 05032013'!$A$2:$A$65536,1,FALSE)</f>
        <v>400044782</v>
      </c>
      <c r="S2021" s="159"/>
      <c r="T2021" s="159"/>
      <c r="U2021" s="159"/>
    </row>
    <row r="2022" spans="1:21" ht="30" x14ac:dyDescent="0.25">
      <c r="A2022" s="63">
        <f>MATCH($E2022,'D1 - Master Project Table'!$B$24:$B$7056,0)</f>
        <v>95</v>
      </c>
      <c r="B2022" s="63" t="b">
        <f t="shared" si="93"/>
        <v>0</v>
      </c>
      <c r="C2022" s="63" t="b">
        <f t="shared" si="94"/>
        <v>0</v>
      </c>
      <c r="D2022" s="63" t="str">
        <f t="shared" si="95"/>
        <v>OK</v>
      </c>
      <c r="E2022" s="393">
        <v>400054152</v>
      </c>
      <c r="F2022" s="392" t="s">
        <v>905</v>
      </c>
      <c r="G2022" s="392" t="s">
        <v>9210</v>
      </c>
      <c r="H2022" s="392" t="s">
        <v>4917</v>
      </c>
      <c r="I2022" s="392" t="s">
        <v>7669</v>
      </c>
      <c r="J2022" s="392" t="s">
        <v>4822</v>
      </c>
      <c r="K2022" s="392" t="s">
        <v>6170</v>
      </c>
      <c r="L2022" s="392" t="s">
        <v>5688</v>
      </c>
      <c r="M2022" s="392" t="s">
        <v>7273</v>
      </c>
      <c r="N2022" s="392" t="s">
        <v>7273</v>
      </c>
      <c r="O2022" s="392" t="s">
        <v>7273</v>
      </c>
      <c r="P2022"/>
      <c r="Q2022"/>
      <c r="R2022" s="387">
        <f>VLOOKUP(E2022,'[1]NDB Impacted SPRFs 05032013'!$A$2:$A$65536,1,FALSE)</f>
        <v>400054152</v>
      </c>
      <c r="S2022" s="159"/>
      <c r="T2022" s="159"/>
      <c r="U2022" s="159"/>
    </row>
    <row r="2023" spans="1:21" ht="30" x14ac:dyDescent="0.25">
      <c r="A2023" s="63" t="e">
        <f>MATCH($E2023,'D1 - Master Project Table'!$B$24:$B$7056,0)</f>
        <v>#N/A</v>
      </c>
      <c r="B2023" s="63" t="b">
        <f t="shared" si="93"/>
        <v>1</v>
      </c>
      <c r="C2023" s="63" t="b">
        <f t="shared" si="94"/>
        <v>1</v>
      </c>
      <c r="D2023" s="63" t="str">
        <f t="shared" si="95"/>
        <v>OK</v>
      </c>
      <c r="E2023" s="393">
        <v>400003432</v>
      </c>
      <c r="F2023" s="392" t="s">
        <v>7039</v>
      </c>
      <c r="G2023" s="392" t="s">
        <v>5787</v>
      </c>
      <c r="H2023" s="392" t="s">
        <v>7418</v>
      </c>
      <c r="I2023" s="392" t="s">
        <v>1827</v>
      </c>
      <c r="J2023" s="392" t="s">
        <v>8703</v>
      </c>
      <c r="K2023" s="392" t="s">
        <v>6613</v>
      </c>
      <c r="L2023" s="392" t="s">
        <v>5963</v>
      </c>
      <c r="M2023" s="392" t="s">
        <v>7273</v>
      </c>
      <c r="N2023" s="392" t="s">
        <v>7273</v>
      </c>
      <c r="O2023" s="392" t="s">
        <v>7273</v>
      </c>
      <c r="P2023"/>
      <c r="Q2023"/>
      <c r="R2023" s="387">
        <f>VLOOKUP(E2023,'[1]NDB Impacted SPRFs 05032013'!$A$2:$A$65536,1,FALSE)</f>
        <v>400003432</v>
      </c>
      <c r="S2023" s="159"/>
      <c r="T2023" s="159"/>
      <c r="U2023" s="159"/>
    </row>
    <row r="2024" spans="1:21" ht="30" x14ac:dyDescent="0.25">
      <c r="A2024" s="63">
        <f>MATCH($E2024,'D1 - Master Project Table'!$B$24:$B$7056,0)</f>
        <v>2450</v>
      </c>
      <c r="B2024" s="63" t="b">
        <f t="shared" si="93"/>
        <v>0</v>
      </c>
      <c r="C2024" s="63" t="b">
        <f t="shared" si="94"/>
        <v>1</v>
      </c>
      <c r="D2024" s="63" t="str">
        <f t="shared" si="95"/>
        <v>OK</v>
      </c>
      <c r="E2024" s="393">
        <v>400004112</v>
      </c>
      <c r="F2024" s="392" t="s">
        <v>7297</v>
      </c>
      <c r="G2024" s="392" t="s">
        <v>5787</v>
      </c>
      <c r="H2024" s="392" t="s">
        <v>5314</v>
      </c>
      <c r="I2024" s="392" t="s">
        <v>1820</v>
      </c>
      <c r="J2024" s="392" t="s">
        <v>8694</v>
      </c>
      <c r="K2024" s="392" t="s">
        <v>3353</v>
      </c>
      <c r="L2024" s="392" t="s">
        <v>3771</v>
      </c>
      <c r="M2024" s="392" t="s">
        <v>7273</v>
      </c>
      <c r="N2024" s="392" t="s">
        <v>7273</v>
      </c>
      <c r="O2024" s="392" t="s">
        <v>7273</v>
      </c>
      <c r="P2024"/>
      <c r="Q2024"/>
      <c r="R2024" s="387">
        <f>VLOOKUP(E2024,'[1]NDB Impacted SPRFs 05032013'!$A$2:$A$65536,1,FALSE)</f>
        <v>400004112</v>
      </c>
      <c r="S2024" s="159"/>
      <c r="T2024" s="159"/>
      <c r="U2024" s="159"/>
    </row>
    <row r="2025" spans="1:21" ht="30" x14ac:dyDescent="0.25">
      <c r="A2025" s="63">
        <f>MATCH($E2025,'D1 - Master Project Table'!$B$24:$B$7056,0)</f>
        <v>2465</v>
      </c>
      <c r="B2025" s="63" t="b">
        <f t="shared" si="93"/>
        <v>0</v>
      </c>
      <c r="C2025" s="63" t="b">
        <f t="shared" si="94"/>
        <v>1</v>
      </c>
      <c r="D2025" s="63" t="str">
        <f t="shared" si="95"/>
        <v>OK</v>
      </c>
      <c r="E2025" s="393">
        <v>400004590</v>
      </c>
      <c r="F2025" s="392" t="s">
        <v>3650</v>
      </c>
      <c r="G2025" s="392" t="s">
        <v>5787</v>
      </c>
      <c r="H2025" s="392" t="s">
        <v>5314</v>
      </c>
      <c r="I2025" s="392" t="s">
        <v>1774</v>
      </c>
      <c r="J2025" s="392" t="s">
        <v>5865</v>
      </c>
      <c r="K2025" s="392" t="s">
        <v>6860</v>
      </c>
      <c r="L2025" s="392" t="s">
        <v>6099</v>
      </c>
      <c r="M2025" s="392" t="s">
        <v>3758</v>
      </c>
      <c r="N2025" s="392" t="s">
        <v>7273</v>
      </c>
      <c r="O2025" s="392" t="s">
        <v>7273</v>
      </c>
      <c r="P2025"/>
      <c r="Q2025"/>
      <c r="R2025" s="387">
        <f>VLOOKUP(E2025,'[1]NDB Impacted SPRFs 05032013'!$A$2:$A$65536,1,FALSE)</f>
        <v>400004590</v>
      </c>
      <c r="S2025" s="159"/>
      <c r="T2025" s="159"/>
      <c r="U2025" s="159"/>
    </row>
    <row r="2026" spans="1:21" ht="45" x14ac:dyDescent="0.25">
      <c r="A2026" s="63">
        <f>MATCH($E2026,'D1 - Master Project Table'!$B$24:$B$7056,0)</f>
        <v>480</v>
      </c>
      <c r="B2026" s="63" t="b">
        <f t="shared" si="93"/>
        <v>0</v>
      </c>
      <c r="C2026" s="63" t="b">
        <f t="shared" si="94"/>
        <v>1</v>
      </c>
      <c r="D2026" s="63" t="str">
        <f t="shared" si="95"/>
        <v>OK</v>
      </c>
      <c r="E2026" s="393">
        <v>400009838</v>
      </c>
      <c r="F2026" s="392" t="s">
        <v>7481</v>
      </c>
      <c r="G2026" s="392" t="s">
        <v>5325</v>
      </c>
      <c r="H2026" s="392" t="s">
        <v>7418</v>
      </c>
      <c r="I2026" s="392" t="s">
        <v>1794</v>
      </c>
      <c r="J2026" s="392" t="s">
        <v>8273</v>
      </c>
      <c r="K2026" s="392" t="s">
        <v>5555</v>
      </c>
      <c r="L2026" s="392" t="s">
        <v>3804</v>
      </c>
      <c r="M2026" s="392" t="s">
        <v>7273</v>
      </c>
      <c r="N2026" s="392" t="s">
        <v>7273</v>
      </c>
      <c r="O2026" s="392" t="s">
        <v>7273</v>
      </c>
      <c r="P2026"/>
      <c r="Q2026"/>
      <c r="R2026" s="387">
        <f>VLOOKUP(E2026,'[1]NDB Impacted SPRFs 05032013'!$A$2:$A$65536,1,FALSE)</f>
        <v>400009838</v>
      </c>
    </row>
    <row r="2027" spans="1:21" ht="45" x14ac:dyDescent="0.25">
      <c r="A2027" s="63">
        <f>MATCH($E2027,'D1 - Master Project Table'!$B$24:$B$7056,0)</f>
        <v>494</v>
      </c>
      <c r="B2027" s="63" t="b">
        <f t="shared" si="93"/>
        <v>0</v>
      </c>
      <c r="C2027" s="63" t="b">
        <f t="shared" si="94"/>
        <v>1</v>
      </c>
      <c r="D2027" s="63" t="str">
        <f t="shared" si="95"/>
        <v>OK</v>
      </c>
      <c r="E2027" s="393">
        <v>400011736</v>
      </c>
      <c r="F2027" s="392" t="s">
        <v>6691</v>
      </c>
      <c r="G2027" s="392" t="s">
        <v>5324</v>
      </c>
      <c r="H2027" s="392" t="s">
        <v>5314</v>
      </c>
      <c r="I2027" s="392" t="s">
        <v>1765</v>
      </c>
      <c r="J2027" s="392" t="s">
        <v>8539</v>
      </c>
      <c r="K2027" s="392" t="s">
        <v>6162</v>
      </c>
      <c r="L2027" s="392" t="s">
        <v>4260</v>
      </c>
      <c r="M2027" s="392" t="s">
        <v>7273</v>
      </c>
      <c r="N2027" s="392" t="s">
        <v>7273</v>
      </c>
      <c r="O2027" s="392" t="s">
        <v>3758</v>
      </c>
      <c r="P2027"/>
      <c r="Q2027"/>
      <c r="R2027" s="387">
        <f>VLOOKUP(E2027,'[1]NDB Impacted SPRFs 05032013'!$A$2:$A$65536,1,FALSE)</f>
        <v>400011736</v>
      </c>
      <c r="S2027" s="159"/>
      <c r="T2027" s="159"/>
      <c r="U2027" s="159"/>
    </row>
    <row r="2028" spans="1:21" ht="45" x14ac:dyDescent="0.25">
      <c r="A2028" s="63">
        <f>MATCH($E2028,'D1 - Master Project Table'!$B$24:$B$7056,0)</f>
        <v>2606</v>
      </c>
      <c r="B2028" s="63" t="b">
        <f t="shared" si="93"/>
        <v>0</v>
      </c>
      <c r="C2028" s="63" t="b">
        <f t="shared" si="94"/>
        <v>1</v>
      </c>
      <c r="D2028" s="63" t="str">
        <f t="shared" si="95"/>
        <v>OK</v>
      </c>
      <c r="E2028" s="393">
        <v>400012921</v>
      </c>
      <c r="F2028" s="392" t="s">
        <v>3842</v>
      </c>
      <c r="G2028" s="392" t="s">
        <v>5324</v>
      </c>
      <c r="H2028" s="392" t="s">
        <v>5314</v>
      </c>
      <c r="I2028" s="392" t="s">
        <v>1768</v>
      </c>
      <c r="J2028" s="392" t="s">
        <v>4110</v>
      </c>
      <c r="K2028" s="392" t="s">
        <v>5004</v>
      </c>
      <c r="L2028" s="392" t="s">
        <v>4260</v>
      </c>
      <c r="M2028" s="392" t="s">
        <v>7273</v>
      </c>
      <c r="N2028" s="392" t="s">
        <v>7273</v>
      </c>
      <c r="O2028" s="392" t="s">
        <v>3758</v>
      </c>
      <c r="P2028"/>
      <c r="Q2028"/>
      <c r="R2028" s="387">
        <f>VLOOKUP(E2028,'[1]NDB Impacted SPRFs 05032013'!$A$2:$A$65536,1,FALSE)</f>
        <v>400012921</v>
      </c>
      <c r="S2028" s="159"/>
      <c r="T2028" s="159"/>
      <c r="U2028" s="159"/>
    </row>
    <row r="2029" spans="1:21" ht="30" x14ac:dyDescent="0.25">
      <c r="A2029" s="63" t="e">
        <f>MATCH($E2029,'D1 - Master Project Table'!$B$24:$B$7056,0)</f>
        <v>#N/A</v>
      </c>
      <c r="B2029" s="63" t="b">
        <f t="shared" si="93"/>
        <v>1</v>
      </c>
      <c r="C2029" s="63" t="b">
        <f t="shared" si="94"/>
        <v>1</v>
      </c>
      <c r="D2029" s="63" t="str">
        <f t="shared" si="95"/>
        <v>OK</v>
      </c>
      <c r="E2029" s="393">
        <v>400012960</v>
      </c>
      <c r="F2029" s="392" t="s">
        <v>6608</v>
      </c>
      <c r="G2029" s="392" t="s">
        <v>5787</v>
      </c>
      <c r="H2029" s="392" t="s">
        <v>5314</v>
      </c>
      <c r="I2029" s="392" t="s">
        <v>1774</v>
      </c>
      <c r="J2029" s="392" t="s">
        <v>8700</v>
      </c>
      <c r="K2029" s="392" t="s">
        <v>4169</v>
      </c>
      <c r="L2029" s="392" t="s">
        <v>7026</v>
      </c>
      <c r="M2029" s="392" t="s">
        <v>7273</v>
      </c>
      <c r="N2029" s="392" t="s">
        <v>7273</v>
      </c>
      <c r="O2029" s="392" t="s">
        <v>7273</v>
      </c>
      <c r="P2029"/>
      <c r="Q2029"/>
      <c r="R2029" s="387">
        <f>VLOOKUP(E2029,'[1]NDB Impacted SPRFs 05032013'!$A$2:$A$65536,1,FALSE)</f>
        <v>400012960</v>
      </c>
    </row>
    <row r="2030" spans="1:21" ht="30" x14ac:dyDescent="0.25">
      <c r="A2030" s="63">
        <f>MATCH($E2030,'D1 - Master Project Table'!$B$24:$B$7056,0)</f>
        <v>2090</v>
      </c>
      <c r="B2030" s="63" t="b">
        <f t="shared" si="93"/>
        <v>0</v>
      </c>
      <c r="C2030" s="63" t="b">
        <f t="shared" si="94"/>
        <v>1</v>
      </c>
      <c r="D2030" s="63" t="str">
        <f t="shared" si="95"/>
        <v>OK</v>
      </c>
      <c r="E2030" s="393">
        <v>400014177</v>
      </c>
      <c r="F2030" s="392" t="s">
        <v>4983</v>
      </c>
      <c r="G2030" s="392" t="s">
        <v>5787</v>
      </c>
      <c r="H2030" s="392" t="s">
        <v>5314</v>
      </c>
      <c r="I2030" s="392" t="s">
        <v>1780</v>
      </c>
      <c r="J2030" s="392" t="s">
        <v>8587</v>
      </c>
      <c r="K2030" s="392" t="s">
        <v>7197</v>
      </c>
      <c r="L2030" s="392" t="s">
        <v>4260</v>
      </c>
      <c r="M2030" s="392" t="s">
        <v>7273</v>
      </c>
      <c r="N2030" s="392" t="s">
        <v>7273</v>
      </c>
      <c r="O2030" s="392" t="s">
        <v>3758</v>
      </c>
      <c r="P2030"/>
      <c r="Q2030"/>
      <c r="R2030" s="387">
        <f>VLOOKUP(E2030,'[1]NDB Impacted SPRFs 05032013'!$A$2:$A$65536,1,FALSE)</f>
        <v>400014177</v>
      </c>
    </row>
    <row r="2031" spans="1:21" ht="30" x14ac:dyDescent="0.25">
      <c r="A2031" s="63">
        <f>MATCH($E2031,'D1 - Master Project Table'!$B$24:$B$7056,0)</f>
        <v>3263</v>
      </c>
      <c r="B2031" s="63" t="b">
        <f t="shared" si="93"/>
        <v>0</v>
      </c>
      <c r="C2031" s="63" t="b">
        <f t="shared" si="94"/>
        <v>1</v>
      </c>
      <c r="D2031" s="63" t="str">
        <f t="shared" si="95"/>
        <v>OK</v>
      </c>
      <c r="E2031" s="393">
        <v>400044865</v>
      </c>
      <c r="F2031" s="392" t="s">
        <v>1877</v>
      </c>
      <c r="G2031" s="392" t="s">
        <v>5001</v>
      </c>
      <c r="H2031" s="392" t="s">
        <v>7418</v>
      </c>
      <c r="I2031" s="392" t="s">
        <v>3540</v>
      </c>
      <c r="J2031" s="392" t="s">
        <v>4440</v>
      </c>
      <c r="K2031" s="392" t="s">
        <v>2485</v>
      </c>
      <c r="L2031" s="392" t="s">
        <v>2531</v>
      </c>
      <c r="M2031" s="392" t="s">
        <v>7273</v>
      </c>
      <c r="N2031" s="392" t="s">
        <v>7273</v>
      </c>
      <c r="O2031" s="392" t="s">
        <v>3758</v>
      </c>
      <c r="P2031"/>
      <c r="Q2031"/>
      <c r="R2031" s="387">
        <f>VLOOKUP(E2031,'[1]NDB Impacted SPRFs 05032013'!$A$2:$A$65536,1,FALSE)</f>
        <v>400044865</v>
      </c>
      <c r="S2031" s="159"/>
      <c r="T2031" s="159"/>
      <c r="U2031" s="159"/>
    </row>
    <row r="2032" spans="1:21" ht="30" x14ac:dyDescent="0.25">
      <c r="A2032" s="63" t="e">
        <f>MATCH($E2032,'D1 - Master Project Table'!$B$24:$B$7056,0)</f>
        <v>#N/A</v>
      </c>
      <c r="B2032" s="63" t="b">
        <f t="shared" ref="B2032:B2095" si="96">ISERROR(A2032)</f>
        <v>1</v>
      </c>
      <c r="C2032" s="63" t="b">
        <f t="shared" si="94"/>
        <v>1</v>
      </c>
      <c r="D2032" s="63" t="str">
        <f t="shared" si="95"/>
        <v>OK</v>
      </c>
      <c r="E2032" s="393">
        <v>400000379</v>
      </c>
      <c r="F2032" s="392" t="s">
        <v>6157</v>
      </c>
      <c r="G2032" s="392" t="s">
        <v>5787</v>
      </c>
      <c r="H2032" s="392" t="s">
        <v>7418</v>
      </c>
      <c r="I2032" s="392" t="s">
        <v>1819</v>
      </c>
      <c r="J2032" s="392" t="s">
        <v>8686</v>
      </c>
      <c r="K2032" s="392" t="s">
        <v>6613</v>
      </c>
      <c r="L2032" s="392" t="s">
        <v>2559</v>
      </c>
      <c r="M2032" s="392" t="s">
        <v>7273</v>
      </c>
      <c r="N2032" s="392" t="s">
        <v>7273</v>
      </c>
      <c r="O2032" s="392" t="s">
        <v>7273</v>
      </c>
      <c r="P2032"/>
      <c r="Q2032"/>
      <c r="R2032" s="387">
        <f>VLOOKUP(E2032,'[1]NDB Impacted SPRFs 05032013'!$A$2:$A$65536,1,FALSE)</f>
        <v>400000379</v>
      </c>
      <c r="S2032" s="159"/>
      <c r="T2032" s="159"/>
      <c r="U2032" s="159"/>
    </row>
    <row r="2033" spans="1:21" ht="30" x14ac:dyDescent="0.25">
      <c r="A2033" s="63">
        <f>MATCH($E2033,'D1 - Master Project Table'!$B$24:$B$7056,0)</f>
        <v>2360</v>
      </c>
      <c r="B2033" s="63" t="b">
        <f t="shared" si="96"/>
        <v>0</v>
      </c>
      <c r="C2033" s="63" t="b">
        <f t="shared" si="94"/>
        <v>1</v>
      </c>
      <c r="D2033" s="63" t="str">
        <f t="shared" si="95"/>
        <v>OK</v>
      </c>
      <c r="E2033" s="393">
        <v>400000406</v>
      </c>
      <c r="F2033" s="392" t="s">
        <v>6347</v>
      </c>
      <c r="G2033" s="392" t="s">
        <v>5787</v>
      </c>
      <c r="H2033" s="392" t="s">
        <v>5314</v>
      </c>
      <c r="I2033" s="392" t="s">
        <v>1819</v>
      </c>
      <c r="J2033" s="392" t="s">
        <v>8682</v>
      </c>
      <c r="K2033" s="392" t="s">
        <v>6613</v>
      </c>
      <c r="L2033" s="392" t="s">
        <v>2559</v>
      </c>
      <c r="M2033" s="392" t="s">
        <v>7273</v>
      </c>
      <c r="N2033" s="392" t="s">
        <v>7273</v>
      </c>
      <c r="O2033" s="392" t="s">
        <v>7273</v>
      </c>
      <c r="P2033"/>
      <c r="Q2033"/>
      <c r="R2033" s="387">
        <f>VLOOKUP(E2033,'[1]NDB Impacted SPRFs 05032013'!$A$2:$A$65536,1,FALSE)</f>
        <v>400000406</v>
      </c>
    </row>
    <row r="2034" spans="1:21" ht="30" x14ac:dyDescent="0.25">
      <c r="A2034" s="63">
        <f>MATCH($E2034,'D1 - Master Project Table'!$B$24:$B$7056,0)</f>
        <v>2364</v>
      </c>
      <c r="B2034" s="63" t="b">
        <f t="shared" si="96"/>
        <v>0</v>
      </c>
      <c r="C2034" s="63" t="b">
        <f t="shared" si="94"/>
        <v>1</v>
      </c>
      <c r="D2034" s="63" t="str">
        <f t="shared" si="95"/>
        <v>OK</v>
      </c>
      <c r="E2034" s="393">
        <v>400000528</v>
      </c>
      <c r="F2034" s="392" t="s">
        <v>5504</v>
      </c>
      <c r="G2034" s="392" t="s">
        <v>5787</v>
      </c>
      <c r="H2034" s="392" t="s">
        <v>5314</v>
      </c>
      <c r="I2034" s="392" t="s">
        <v>1819</v>
      </c>
      <c r="J2034" s="392" t="s">
        <v>8682</v>
      </c>
      <c r="K2034" s="392" t="s">
        <v>1493</v>
      </c>
      <c r="L2034" s="392" t="s">
        <v>2559</v>
      </c>
      <c r="M2034" s="392" t="s">
        <v>7273</v>
      </c>
      <c r="N2034" s="392" t="s">
        <v>7273</v>
      </c>
      <c r="O2034" s="392" t="s">
        <v>7273</v>
      </c>
      <c r="P2034"/>
      <c r="Q2034"/>
      <c r="R2034" s="387">
        <f>VLOOKUP(E2034,'[1]NDB Impacted SPRFs 05032013'!$A$2:$A$65536,1,FALSE)</f>
        <v>400000528</v>
      </c>
      <c r="S2034" s="159"/>
      <c r="T2034" s="159"/>
      <c r="U2034" s="159"/>
    </row>
    <row r="2035" spans="1:21" ht="45" x14ac:dyDescent="0.25">
      <c r="A2035" s="63">
        <f>MATCH($E2035,'D1 - Master Project Table'!$B$24:$B$7056,0)</f>
        <v>2440</v>
      </c>
      <c r="B2035" s="63" t="b">
        <f t="shared" si="96"/>
        <v>0</v>
      </c>
      <c r="C2035" s="63" t="b">
        <f t="shared" si="94"/>
        <v>1</v>
      </c>
      <c r="D2035" s="63" t="str">
        <f t="shared" si="95"/>
        <v>OK</v>
      </c>
      <c r="E2035" s="393">
        <v>400003731</v>
      </c>
      <c r="F2035" s="392" t="s">
        <v>3696</v>
      </c>
      <c r="G2035" s="392" t="s">
        <v>5324</v>
      </c>
      <c r="H2035" s="392" t="s">
        <v>5314</v>
      </c>
      <c r="I2035" s="392" t="s">
        <v>1765</v>
      </c>
      <c r="J2035" s="392" t="s">
        <v>8447</v>
      </c>
      <c r="K2035" s="392" t="s">
        <v>4169</v>
      </c>
      <c r="L2035" s="392" t="s">
        <v>6235</v>
      </c>
      <c r="M2035" s="392" t="s">
        <v>7273</v>
      </c>
      <c r="N2035" s="392" t="s">
        <v>7273</v>
      </c>
      <c r="O2035" s="392" t="s">
        <v>7273</v>
      </c>
      <c r="P2035"/>
      <c r="Q2035"/>
      <c r="R2035" s="387">
        <f>VLOOKUP(E2035,'[1]NDB Impacted SPRFs 05032013'!$A$2:$A$65536,1,FALSE)</f>
        <v>400003731</v>
      </c>
      <c r="S2035" s="159"/>
      <c r="T2035" s="159"/>
      <c r="U2035" s="159"/>
    </row>
    <row r="2036" spans="1:21" ht="60" customHeight="1" x14ac:dyDescent="0.25">
      <c r="A2036" s="63" t="e">
        <f>MATCH($E2036,'D1 - Master Project Table'!$B$24:$B$7056,0)</f>
        <v>#N/A</v>
      </c>
      <c r="B2036" s="63" t="b">
        <f t="shared" si="96"/>
        <v>1</v>
      </c>
      <c r="C2036" s="63" t="b">
        <f t="shared" si="94"/>
        <v>1</v>
      </c>
      <c r="D2036" s="63" t="str">
        <f t="shared" si="95"/>
        <v>OK</v>
      </c>
      <c r="E2036" s="393">
        <v>400004310</v>
      </c>
      <c r="F2036" s="392" t="s">
        <v>2860</v>
      </c>
      <c r="G2036" s="392" t="s">
        <v>7182</v>
      </c>
      <c r="H2036" s="392" t="s">
        <v>7418</v>
      </c>
      <c r="I2036" s="392" t="s">
        <v>4005</v>
      </c>
      <c r="J2036" s="392" t="s">
        <v>8335</v>
      </c>
      <c r="K2036" s="392" t="s">
        <v>5641</v>
      </c>
      <c r="L2036" s="392" t="s">
        <v>6235</v>
      </c>
      <c r="M2036" s="392" t="s">
        <v>7273</v>
      </c>
      <c r="N2036" s="392" t="s">
        <v>7273</v>
      </c>
      <c r="O2036" s="392" t="s">
        <v>7273</v>
      </c>
      <c r="P2036" s="212"/>
      <c r="Q2036"/>
      <c r="R2036" s="387">
        <f>VLOOKUP(E2036,'[1]NDB Impacted SPRFs 05032013'!$A$2:$A$65536,1,FALSE)</f>
        <v>400004310</v>
      </c>
      <c r="S2036" s="159"/>
      <c r="T2036" s="159"/>
      <c r="U2036" s="159"/>
    </row>
    <row r="2037" spans="1:21" ht="30" x14ac:dyDescent="0.25">
      <c r="A2037" s="63">
        <f>MATCH($E2037,'D1 - Master Project Table'!$B$24:$B$7056,0)</f>
        <v>2611</v>
      </c>
      <c r="B2037" s="63" t="b">
        <f t="shared" si="96"/>
        <v>0</v>
      </c>
      <c r="C2037" s="63" t="b">
        <f t="shared" si="94"/>
        <v>1</v>
      </c>
      <c r="D2037" s="63" t="str">
        <f t="shared" si="95"/>
        <v>OK</v>
      </c>
      <c r="E2037" s="393">
        <v>400013061</v>
      </c>
      <c r="F2037" s="392" t="s">
        <v>6716</v>
      </c>
      <c r="G2037" s="392" t="s">
        <v>3441</v>
      </c>
      <c r="H2037" s="392" t="s">
        <v>5314</v>
      </c>
      <c r="I2037" s="392" t="s">
        <v>2662</v>
      </c>
      <c r="J2037" s="392" t="s">
        <v>8621</v>
      </c>
      <c r="K2037" s="392" t="s">
        <v>1506</v>
      </c>
      <c r="L2037" s="392" t="s">
        <v>5958</v>
      </c>
      <c r="M2037" s="392" t="s">
        <v>3758</v>
      </c>
      <c r="N2037" s="392" t="s">
        <v>7273</v>
      </c>
      <c r="O2037" s="392" t="s">
        <v>7273</v>
      </c>
      <c r="P2037"/>
      <c r="Q2037"/>
      <c r="R2037" s="387">
        <f>VLOOKUP(E2037,'[1]NDB Impacted SPRFs 05032013'!$A$2:$A$65536,1,FALSE)</f>
        <v>400013061</v>
      </c>
      <c r="S2037" s="159"/>
      <c r="T2037" s="159"/>
      <c r="U2037" s="159"/>
    </row>
    <row r="2038" spans="1:21" ht="30" x14ac:dyDescent="0.25">
      <c r="A2038" s="63">
        <f>MATCH($E2038,'D1 - Master Project Table'!$B$24:$B$7056,0)</f>
        <v>813</v>
      </c>
      <c r="B2038" s="63" t="b">
        <f t="shared" si="96"/>
        <v>0</v>
      </c>
      <c r="C2038" s="63" t="b">
        <f t="shared" si="94"/>
        <v>1</v>
      </c>
      <c r="D2038" s="63" t="str">
        <f t="shared" si="95"/>
        <v>OK</v>
      </c>
      <c r="E2038" s="393">
        <v>400014699</v>
      </c>
      <c r="F2038" s="392" t="s">
        <v>5932</v>
      </c>
      <c r="G2038" s="392" t="s">
        <v>5995</v>
      </c>
      <c r="H2038" s="392" t="s">
        <v>7418</v>
      </c>
      <c r="I2038" s="392" t="s">
        <v>6423</v>
      </c>
      <c r="J2038" s="392" t="s">
        <v>8388</v>
      </c>
      <c r="K2038" s="392" t="s">
        <v>8075</v>
      </c>
      <c r="L2038" s="392" t="s">
        <v>2922</v>
      </c>
      <c r="M2038" s="392" t="s">
        <v>7273</v>
      </c>
      <c r="N2038" s="392" t="s">
        <v>7273</v>
      </c>
      <c r="O2038" s="392" t="s">
        <v>7273</v>
      </c>
      <c r="P2038"/>
      <c r="Q2038"/>
      <c r="R2038" s="387">
        <f>VLOOKUP(E2038,'[1]NDB Impacted SPRFs 05032013'!$A$2:$A$65536,1,FALSE)</f>
        <v>400014699</v>
      </c>
      <c r="S2038" s="159"/>
      <c r="T2038" s="159"/>
      <c r="U2038" s="159"/>
    </row>
    <row r="2039" spans="1:21" ht="45" x14ac:dyDescent="0.25">
      <c r="A2039" s="63">
        <f>MATCH($E2039,'D1 - Master Project Table'!$B$24:$B$7056,0)</f>
        <v>2193</v>
      </c>
      <c r="B2039" s="63" t="b">
        <f t="shared" si="96"/>
        <v>0</v>
      </c>
      <c r="C2039" s="63" t="b">
        <f t="shared" si="94"/>
        <v>1</v>
      </c>
      <c r="D2039" s="63" t="str">
        <f t="shared" si="95"/>
        <v>OK</v>
      </c>
      <c r="E2039" s="393">
        <v>400014751</v>
      </c>
      <c r="F2039" s="392" t="s">
        <v>3414</v>
      </c>
      <c r="G2039" s="392" t="s">
        <v>5324</v>
      </c>
      <c r="H2039" s="392" t="s">
        <v>5314</v>
      </c>
      <c r="I2039" s="392" t="s">
        <v>1788</v>
      </c>
      <c r="J2039" s="392" t="s">
        <v>3322</v>
      </c>
      <c r="K2039" s="392" t="s">
        <v>1506</v>
      </c>
      <c r="L2039" s="392" t="s">
        <v>5958</v>
      </c>
      <c r="M2039" s="392" t="s">
        <v>3758</v>
      </c>
      <c r="N2039" s="392" t="s">
        <v>7273</v>
      </c>
      <c r="O2039" s="392" t="s">
        <v>7273</v>
      </c>
      <c r="P2039"/>
      <c r="Q2039"/>
      <c r="R2039" s="387">
        <f>VLOOKUP(E2039,'[1]NDB Impacted SPRFs 05032013'!$A$2:$A$65536,1,FALSE)</f>
        <v>400014751</v>
      </c>
      <c r="S2039" s="159"/>
      <c r="T2039" s="159"/>
      <c r="U2039" s="159"/>
    </row>
    <row r="2040" spans="1:21" ht="45" x14ac:dyDescent="0.25">
      <c r="A2040" s="63">
        <f>MATCH($E2040,'D1 - Master Project Table'!$B$24:$B$7056,0)</f>
        <v>745</v>
      </c>
      <c r="B2040" s="63" t="b">
        <f t="shared" si="96"/>
        <v>0</v>
      </c>
      <c r="C2040" s="63" t="b">
        <f t="shared" si="94"/>
        <v>1</v>
      </c>
      <c r="D2040" s="63" t="str">
        <f t="shared" si="95"/>
        <v>OK</v>
      </c>
      <c r="E2040" s="393">
        <v>400015096</v>
      </c>
      <c r="F2040" s="392" t="s">
        <v>3875</v>
      </c>
      <c r="G2040" s="392" t="s">
        <v>5324</v>
      </c>
      <c r="H2040" s="392" t="s">
        <v>7418</v>
      </c>
      <c r="I2040" s="392" t="s">
        <v>1756</v>
      </c>
      <c r="J2040" s="392" t="s">
        <v>8587</v>
      </c>
      <c r="K2040" s="392" t="s">
        <v>7197</v>
      </c>
      <c r="L2040" s="392" t="s">
        <v>2922</v>
      </c>
      <c r="M2040" s="392" t="s">
        <v>7273</v>
      </c>
      <c r="N2040" s="392" t="s">
        <v>7273</v>
      </c>
      <c r="O2040" s="392" t="s">
        <v>7273</v>
      </c>
      <c r="P2040"/>
      <c r="Q2040"/>
      <c r="R2040" s="387">
        <f>VLOOKUP(E2040,'[1]NDB Impacted SPRFs 05032013'!$A$2:$A$65536,1,FALSE)</f>
        <v>400015096</v>
      </c>
      <c r="S2040" s="159"/>
      <c r="T2040" s="159"/>
      <c r="U2040" s="159"/>
    </row>
    <row r="2041" spans="1:21" ht="45" x14ac:dyDescent="0.25">
      <c r="A2041" s="63">
        <f>MATCH($E2041,'D1 - Master Project Table'!$B$24:$B$7056,0)</f>
        <v>823</v>
      </c>
      <c r="B2041" s="63" t="b">
        <f t="shared" si="96"/>
        <v>0</v>
      </c>
      <c r="C2041" s="63" t="b">
        <f t="shared" si="94"/>
        <v>1</v>
      </c>
      <c r="D2041" s="63" t="str">
        <f t="shared" si="95"/>
        <v>OK</v>
      </c>
      <c r="E2041" s="393">
        <v>400016516</v>
      </c>
      <c r="F2041" s="392" t="s">
        <v>5198</v>
      </c>
      <c r="G2041" s="392" t="s">
        <v>5324</v>
      </c>
      <c r="H2041" s="392" t="s">
        <v>7418</v>
      </c>
      <c r="I2041" s="392" t="s">
        <v>1762</v>
      </c>
      <c r="J2041" s="392" t="s">
        <v>8405</v>
      </c>
      <c r="K2041" s="392" t="s">
        <v>4572</v>
      </c>
      <c r="L2041" s="392" t="s">
        <v>2922</v>
      </c>
      <c r="M2041" s="392" t="s">
        <v>7273</v>
      </c>
      <c r="N2041" s="392" t="s">
        <v>7273</v>
      </c>
      <c r="O2041" s="392" t="s">
        <v>7273</v>
      </c>
      <c r="P2041"/>
      <c r="Q2041"/>
      <c r="R2041" s="387">
        <f>VLOOKUP(E2041,'[1]NDB Impacted SPRFs 05032013'!$A$2:$A$65536,1,FALSE)</f>
        <v>400016516</v>
      </c>
      <c r="S2041" s="159"/>
      <c r="T2041" s="159"/>
      <c r="U2041" s="159"/>
    </row>
    <row r="2042" spans="1:21" ht="45" x14ac:dyDescent="0.25">
      <c r="A2042" s="63">
        <f>MATCH($E2042,'D1 - Master Project Table'!$B$24:$B$7056,0)</f>
        <v>751</v>
      </c>
      <c r="B2042" s="63" t="b">
        <f t="shared" si="96"/>
        <v>0</v>
      </c>
      <c r="C2042" s="63" t="b">
        <f t="shared" si="94"/>
        <v>1</v>
      </c>
      <c r="D2042" s="63" t="str">
        <f t="shared" si="95"/>
        <v>OK</v>
      </c>
      <c r="E2042" s="393">
        <v>400017089</v>
      </c>
      <c r="F2042" s="392" t="s">
        <v>4700</v>
      </c>
      <c r="G2042" s="392" t="s">
        <v>5324</v>
      </c>
      <c r="H2042" s="392" t="s">
        <v>7418</v>
      </c>
      <c r="I2042" s="392" t="s">
        <v>1764</v>
      </c>
      <c r="J2042" s="392" t="s">
        <v>8388</v>
      </c>
      <c r="K2042" s="392" t="s">
        <v>8075</v>
      </c>
      <c r="L2042" s="392" t="s">
        <v>2922</v>
      </c>
      <c r="M2042" s="392" t="s">
        <v>7273</v>
      </c>
      <c r="N2042" s="392" t="s">
        <v>7273</v>
      </c>
      <c r="O2042" s="392" t="s">
        <v>7273</v>
      </c>
      <c r="P2042"/>
      <c r="Q2042"/>
      <c r="R2042" s="387">
        <f>VLOOKUP(E2042,'[1]NDB Impacted SPRFs 05032013'!$A$2:$A$65536,1,FALSE)</f>
        <v>400017089</v>
      </c>
    </row>
    <row r="2043" spans="1:21" ht="45" x14ac:dyDescent="0.25">
      <c r="A2043" s="63">
        <f>MATCH($E2043,'D1 - Master Project Table'!$B$24:$B$7056,0)</f>
        <v>2128</v>
      </c>
      <c r="B2043" s="63" t="b">
        <f t="shared" si="96"/>
        <v>0</v>
      </c>
      <c r="C2043" s="63" t="b">
        <f t="shared" si="94"/>
        <v>1</v>
      </c>
      <c r="D2043" s="63" t="str">
        <f t="shared" si="95"/>
        <v>OK</v>
      </c>
      <c r="E2043" s="393">
        <v>400017578</v>
      </c>
      <c r="F2043" s="392" t="s">
        <v>6804</v>
      </c>
      <c r="G2043" s="392" t="s">
        <v>5324</v>
      </c>
      <c r="H2043" s="392" t="s">
        <v>5314</v>
      </c>
      <c r="I2043" s="392" t="s">
        <v>1756</v>
      </c>
      <c r="J2043" s="392" t="s">
        <v>8388</v>
      </c>
      <c r="K2043" s="392" t="s">
        <v>8075</v>
      </c>
      <c r="L2043" s="392" t="s">
        <v>2922</v>
      </c>
      <c r="M2043" s="392" t="s">
        <v>7273</v>
      </c>
      <c r="N2043" s="392" t="s">
        <v>7273</v>
      </c>
      <c r="O2043" s="392" t="s">
        <v>7273</v>
      </c>
      <c r="P2043"/>
      <c r="Q2043"/>
      <c r="R2043" s="387">
        <f>VLOOKUP(E2043,'[1]NDB Impacted SPRFs 05032013'!$A$2:$A$65536,1,FALSE)</f>
        <v>400017578</v>
      </c>
    </row>
    <row r="2044" spans="1:21" ht="45" x14ac:dyDescent="0.25">
      <c r="A2044" s="63">
        <f>MATCH($E2044,'D1 - Master Project Table'!$B$24:$B$7056,0)</f>
        <v>1125</v>
      </c>
      <c r="B2044" s="63" t="b">
        <f t="shared" si="96"/>
        <v>0</v>
      </c>
      <c r="C2044" s="63" t="b">
        <f t="shared" si="94"/>
        <v>1</v>
      </c>
      <c r="D2044" s="63" t="str">
        <f t="shared" si="95"/>
        <v>OK</v>
      </c>
      <c r="E2044" s="393">
        <v>400030951</v>
      </c>
      <c r="F2044" s="392" t="s">
        <v>4481</v>
      </c>
      <c r="G2044" s="392" t="s">
        <v>5324</v>
      </c>
      <c r="H2044" s="392" t="s">
        <v>7418</v>
      </c>
      <c r="I2044" s="392" t="s">
        <v>1759</v>
      </c>
      <c r="J2044" s="392" t="s">
        <v>3493</v>
      </c>
      <c r="K2044" s="392" t="s">
        <v>7062</v>
      </c>
      <c r="L2044" s="392" t="s">
        <v>2922</v>
      </c>
      <c r="M2044" s="392" t="s">
        <v>7273</v>
      </c>
      <c r="N2044" s="392" t="s">
        <v>7273</v>
      </c>
      <c r="O2044" s="392" t="s">
        <v>7273</v>
      </c>
      <c r="P2044"/>
      <c r="Q2044"/>
      <c r="R2044" s="387">
        <f>VLOOKUP(E2044,'[1]NDB Impacted SPRFs 05032013'!$A$2:$A$65536,1,FALSE)</f>
        <v>400030951</v>
      </c>
      <c r="S2044" s="159"/>
      <c r="T2044" s="159"/>
      <c r="U2044" s="159"/>
    </row>
    <row r="2045" spans="1:21" ht="45" x14ac:dyDescent="0.25">
      <c r="A2045" s="63">
        <f>MATCH($E2045,'D1 - Master Project Table'!$B$24:$B$7056,0)</f>
        <v>3081</v>
      </c>
      <c r="B2045" s="63" t="b">
        <f t="shared" si="96"/>
        <v>0</v>
      </c>
      <c r="C2045" s="63" t="b">
        <f t="shared" si="94"/>
        <v>1</v>
      </c>
      <c r="D2045" s="63" t="str">
        <f t="shared" si="95"/>
        <v>OK</v>
      </c>
      <c r="E2045" s="393">
        <v>400047030</v>
      </c>
      <c r="F2045" s="392" t="s">
        <v>732</v>
      </c>
      <c r="G2045" s="392" t="s">
        <v>5324</v>
      </c>
      <c r="H2045" s="392" t="s">
        <v>5314</v>
      </c>
      <c r="I2045" s="392" t="s">
        <v>1763</v>
      </c>
      <c r="J2045" s="392" t="s">
        <v>8413</v>
      </c>
      <c r="K2045" s="392" t="s">
        <v>7062</v>
      </c>
      <c r="L2045" s="392" t="s">
        <v>870</v>
      </c>
      <c r="M2045" s="392" t="s">
        <v>7273</v>
      </c>
      <c r="N2045" s="392" t="s">
        <v>7273</v>
      </c>
      <c r="O2045" s="392" t="s">
        <v>7273</v>
      </c>
      <c r="P2045"/>
      <c r="Q2045"/>
      <c r="R2045" s="387">
        <f>VLOOKUP(E2045,'[1]NDB Impacted SPRFs 05032013'!$A$2:$A$65536,1,FALSE)</f>
        <v>400047030</v>
      </c>
    </row>
    <row r="2046" spans="1:21" ht="45" x14ac:dyDescent="0.25">
      <c r="A2046" s="63">
        <f>MATCH($E2046,'D1 - Master Project Table'!$B$24:$B$7056,0)</f>
        <v>301</v>
      </c>
      <c r="B2046" s="63" t="b">
        <f t="shared" si="96"/>
        <v>0</v>
      </c>
      <c r="C2046" s="63" t="b">
        <f t="shared" si="94"/>
        <v>1</v>
      </c>
      <c r="D2046" s="63" t="str">
        <f t="shared" si="95"/>
        <v>OK</v>
      </c>
      <c r="E2046" s="393">
        <v>210220934</v>
      </c>
      <c r="F2046" s="392" t="s">
        <v>3298</v>
      </c>
      <c r="G2046" s="392" t="s">
        <v>5324</v>
      </c>
      <c r="H2046" s="392" t="s">
        <v>7418</v>
      </c>
      <c r="I2046" s="392" t="s">
        <v>1765</v>
      </c>
      <c r="J2046" s="392" t="s">
        <v>8338</v>
      </c>
      <c r="K2046" s="392" t="s">
        <v>5641</v>
      </c>
      <c r="L2046" s="392" t="s">
        <v>6980</v>
      </c>
      <c r="M2046" s="392" t="s">
        <v>7273</v>
      </c>
      <c r="N2046" s="392" t="s">
        <v>7273</v>
      </c>
      <c r="O2046" s="392" t="s">
        <v>7273</v>
      </c>
      <c r="P2046"/>
      <c r="Q2046"/>
      <c r="R2046" s="387">
        <f>VLOOKUP(E2046,'[1]NDB Impacted SPRFs 05032013'!$A$2:$A$65536,1,FALSE)</f>
        <v>210220934</v>
      </c>
      <c r="S2046" s="159"/>
      <c r="T2046" s="159"/>
      <c r="U2046" s="159"/>
    </row>
    <row r="2047" spans="1:21" ht="60" x14ac:dyDescent="0.25">
      <c r="A2047" s="63" t="e">
        <f>MATCH($E2047,'D1 - Master Project Table'!$B$24:$B$7056,0)</f>
        <v>#N/A</v>
      </c>
      <c r="B2047" s="63" t="b">
        <f t="shared" si="96"/>
        <v>1</v>
      </c>
      <c r="C2047" s="63" t="b">
        <f t="shared" si="94"/>
        <v>1</v>
      </c>
      <c r="D2047" s="63" t="str">
        <f t="shared" si="95"/>
        <v>OK</v>
      </c>
      <c r="E2047" s="393">
        <v>212110943</v>
      </c>
      <c r="F2047" s="392" t="s">
        <v>4753</v>
      </c>
      <c r="G2047" s="392" t="s">
        <v>5324</v>
      </c>
      <c r="H2047" s="392" t="s">
        <v>7418</v>
      </c>
      <c r="I2047" s="392" t="s">
        <v>1765</v>
      </c>
      <c r="J2047" s="392" t="s">
        <v>8343</v>
      </c>
      <c r="K2047" s="392" t="s">
        <v>5641</v>
      </c>
      <c r="L2047" s="392" t="s">
        <v>6980</v>
      </c>
      <c r="M2047" s="392" t="s">
        <v>7273</v>
      </c>
      <c r="N2047" s="392" t="s">
        <v>7273</v>
      </c>
      <c r="O2047" s="392" t="s">
        <v>7273</v>
      </c>
      <c r="P2047"/>
      <c r="Q2047"/>
      <c r="R2047" s="387">
        <f>VLOOKUP(E2047,'[1]NDB Impacted SPRFs 05032013'!$A$2:$A$65536,1,FALSE)</f>
        <v>212110943</v>
      </c>
    </row>
    <row r="2048" spans="1:21" ht="45" x14ac:dyDescent="0.25">
      <c r="A2048" s="63" t="e">
        <f>MATCH($E2048,'D1 - Master Project Table'!$B$24:$B$7056,0)</f>
        <v>#N/A</v>
      </c>
      <c r="B2048" s="63" t="b">
        <f t="shared" si="96"/>
        <v>1</v>
      </c>
      <c r="C2048" s="63" t="b">
        <f t="shared" si="94"/>
        <v>1</v>
      </c>
      <c r="D2048" s="63" t="str">
        <f t="shared" si="95"/>
        <v>OK</v>
      </c>
      <c r="E2048" s="393">
        <v>400002437</v>
      </c>
      <c r="F2048" s="392" t="s">
        <v>5745</v>
      </c>
      <c r="G2048" s="392" t="s">
        <v>5324</v>
      </c>
      <c r="H2048" s="392" t="s">
        <v>7418</v>
      </c>
      <c r="I2048" s="392" t="s">
        <v>1765</v>
      </c>
      <c r="J2048" s="392" t="s">
        <v>8344</v>
      </c>
      <c r="K2048" s="392" t="s">
        <v>6348</v>
      </c>
      <c r="L2048" s="392" t="s">
        <v>6820</v>
      </c>
      <c r="M2048" s="392" t="s">
        <v>3758</v>
      </c>
      <c r="N2048" s="392" t="s">
        <v>7273</v>
      </c>
      <c r="O2048" s="392" t="s">
        <v>7273</v>
      </c>
      <c r="P2048"/>
      <c r="Q2048"/>
      <c r="R2048" s="387">
        <f>VLOOKUP(E2048,'[1]NDB Impacted SPRFs 05032013'!$A$2:$A$65536,1,FALSE)</f>
        <v>400002437</v>
      </c>
      <c r="S2048" s="159"/>
      <c r="T2048" s="159"/>
      <c r="U2048" s="159"/>
    </row>
    <row r="2049" spans="1:21" ht="30" x14ac:dyDescent="0.25">
      <c r="A2049" s="63">
        <f>MATCH($E2049,'D1 - Master Project Table'!$B$24:$B$7056,0)</f>
        <v>336</v>
      </c>
      <c r="B2049" s="63" t="b">
        <f t="shared" si="96"/>
        <v>0</v>
      </c>
      <c r="C2049" s="63" t="b">
        <f t="shared" si="94"/>
        <v>1</v>
      </c>
      <c r="D2049" s="63" t="str">
        <f t="shared" si="95"/>
        <v>OK</v>
      </c>
      <c r="E2049" s="393">
        <v>400006180</v>
      </c>
      <c r="F2049" s="392" t="s">
        <v>4846</v>
      </c>
      <c r="G2049" s="392" t="s">
        <v>5787</v>
      </c>
      <c r="H2049" s="392" t="s">
        <v>7418</v>
      </c>
      <c r="I2049" s="392" t="s">
        <v>1776</v>
      </c>
      <c r="J2049" s="392" t="s">
        <v>8418</v>
      </c>
      <c r="K2049" s="392" t="s">
        <v>7341</v>
      </c>
      <c r="L2049" s="392" t="s">
        <v>2936</v>
      </c>
      <c r="M2049" s="392" t="s">
        <v>7273</v>
      </c>
      <c r="N2049" s="392" t="s">
        <v>7273</v>
      </c>
      <c r="O2049" s="392" t="s">
        <v>7273</v>
      </c>
      <c r="P2049"/>
      <c r="Q2049"/>
      <c r="R2049" s="387">
        <f>VLOOKUP(E2049,'[1]NDB Impacted SPRFs 05032013'!$A$2:$A$65536,1,FALSE)</f>
        <v>400006180</v>
      </c>
    </row>
    <row r="2050" spans="1:21" ht="30" customHeight="1" x14ac:dyDescent="0.25">
      <c r="A2050" s="63">
        <f>MATCH($E2050,'D1 - Master Project Table'!$B$24:$B$7056,0)</f>
        <v>2493</v>
      </c>
      <c r="B2050" s="63" t="b">
        <f t="shared" si="96"/>
        <v>0</v>
      </c>
      <c r="C2050" s="63" t="b">
        <f t="shared" si="94"/>
        <v>1</v>
      </c>
      <c r="D2050" s="63" t="str">
        <f t="shared" si="95"/>
        <v>OK</v>
      </c>
      <c r="E2050" s="393">
        <v>400006365</v>
      </c>
      <c r="F2050" s="392" t="s">
        <v>6228</v>
      </c>
      <c r="G2050" s="392" t="s">
        <v>5324</v>
      </c>
      <c r="H2050" s="392" t="s">
        <v>5314</v>
      </c>
      <c r="I2050" s="392" t="s">
        <v>1765</v>
      </c>
      <c r="J2050" s="392" t="s">
        <v>8333</v>
      </c>
      <c r="K2050" s="392" t="s">
        <v>3721</v>
      </c>
      <c r="L2050" s="392" t="s">
        <v>7738</v>
      </c>
      <c r="M2050" s="392" t="s">
        <v>7273</v>
      </c>
      <c r="N2050" s="392" t="s">
        <v>7273</v>
      </c>
      <c r="O2050" s="392" t="s">
        <v>7273</v>
      </c>
      <c r="P2050"/>
      <c r="Q2050"/>
      <c r="R2050" s="387">
        <f>VLOOKUP(E2050,'[1]NDB Impacted SPRFs 05032013'!$A$2:$A$65536,1,FALSE)</f>
        <v>400006365</v>
      </c>
      <c r="S2050" s="159"/>
      <c r="T2050" s="159"/>
      <c r="U2050" s="159"/>
    </row>
    <row r="2051" spans="1:21" ht="45" x14ac:dyDescent="0.25">
      <c r="A2051" s="63">
        <f>MATCH($E2051,'D1 - Master Project Table'!$B$24:$B$7056,0)</f>
        <v>2134</v>
      </c>
      <c r="B2051" s="63" t="b">
        <f t="shared" si="96"/>
        <v>0</v>
      </c>
      <c r="C2051" s="63" t="b">
        <f t="shared" si="94"/>
        <v>1</v>
      </c>
      <c r="D2051" s="63" t="str">
        <f t="shared" si="95"/>
        <v>OK</v>
      </c>
      <c r="E2051" s="393">
        <v>400008602</v>
      </c>
      <c r="F2051" s="392" t="s">
        <v>4380</v>
      </c>
      <c r="G2051" s="392" t="s">
        <v>5324</v>
      </c>
      <c r="H2051" s="392" t="s">
        <v>5314</v>
      </c>
      <c r="I2051" s="392" t="s">
        <v>1768</v>
      </c>
      <c r="J2051" s="392" t="s">
        <v>8520</v>
      </c>
      <c r="K2051" s="392" t="s">
        <v>5184</v>
      </c>
      <c r="L2051" s="392" t="s">
        <v>2123</v>
      </c>
      <c r="M2051" s="392" t="s">
        <v>7273</v>
      </c>
      <c r="N2051" s="392" t="s">
        <v>7273</v>
      </c>
      <c r="O2051" s="392" t="s">
        <v>7273</v>
      </c>
      <c r="P2051"/>
      <c r="Q2051"/>
      <c r="R2051" s="387">
        <f>VLOOKUP(E2051,'[1]NDB Impacted SPRFs 05032013'!$A$2:$A$65536,1,FALSE)</f>
        <v>400008602</v>
      </c>
      <c r="S2051" s="159"/>
      <c r="T2051" s="159"/>
      <c r="U2051" s="159"/>
    </row>
    <row r="2052" spans="1:21" ht="30" x14ac:dyDescent="0.25">
      <c r="A2052" s="63">
        <f>MATCH($E2052,'D1 - Master Project Table'!$B$24:$B$7056,0)</f>
        <v>2072</v>
      </c>
      <c r="B2052" s="63" t="b">
        <f t="shared" si="96"/>
        <v>0</v>
      </c>
      <c r="C2052" s="63" t="b">
        <f t="shared" si="94"/>
        <v>1</v>
      </c>
      <c r="D2052" s="63" t="str">
        <f t="shared" si="95"/>
        <v>OK</v>
      </c>
      <c r="E2052" s="393">
        <v>400009120</v>
      </c>
      <c r="F2052" s="392" t="s">
        <v>2108</v>
      </c>
      <c r="G2052" s="392" t="s">
        <v>3441</v>
      </c>
      <c r="H2052" s="392" t="s">
        <v>5314</v>
      </c>
      <c r="I2052" s="392" t="s">
        <v>1770</v>
      </c>
      <c r="J2052" s="392" t="s">
        <v>8540</v>
      </c>
      <c r="K2052" s="392" t="s">
        <v>5004</v>
      </c>
      <c r="L2052" s="392" t="s">
        <v>3430</v>
      </c>
      <c r="M2052" s="392" t="s">
        <v>3758</v>
      </c>
      <c r="N2052" s="392" t="s">
        <v>7273</v>
      </c>
      <c r="O2052" s="392" t="s">
        <v>7273</v>
      </c>
      <c r="P2052"/>
      <c r="Q2052"/>
      <c r="R2052" s="387">
        <f>VLOOKUP(E2052,'[1]NDB Impacted SPRFs 05032013'!$A$2:$A$65536,1,FALSE)</f>
        <v>400009120</v>
      </c>
      <c r="S2052" s="159"/>
      <c r="T2052" s="159"/>
      <c r="U2052" s="159"/>
    </row>
    <row r="2053" spans="1:21" ht="45" x14ac:dyDescent="0.25">
      <c r="A2053" s="63">
        <f>MATCH($E2053,'D1 - Master Project Table'!$B$24:$B$7056,0)</f>
        <v>925</v>
      </c>
      <c r="B2053" s="63" t="b">
        <f t="shared" si="96"/>
        <v>0</v>
      </c>
      <c r="C2053" s="63" t="b">
        <f t="shared" si="94"/>
        <v>1</v>
      </c>
      <c r="D2053" s="63" t="str">
        <f t="shared" si="95"/>
        <v>OK</v>
      </c>
      <c r="E2053" s="393">
        <v>400022981</v>
      </c>
      <c r="F2053" s="392" t="s">
        <v>6835</v>
      </c>
      <c r="G2053" s="392" t="s">
        <v>5324</v>
      </c>
      <c r="H2053" s="392" t="s">
        <v>7418</v>
      </c>
      <c r="I2053" s="392" t="s">
        <v>1756</v>
      </c>
      <c r="J2053" s="392" t="s">
        <v>3679</v>
      </c>
      <c r="K2053" s="392" t="s">
        <v>7197</v>
      </c>
      <c r="L2053" s="392" t="s">
        <v>2936</v>
      </c>
      <c r="M2053" s="392" t="s">
        <v>7273</v>
      </c>
      <c r="N2053" s="392" t="s">
        <v>7273</v>
      </c>
      <c r="O2053" s="392" t="s">
        <v>7273</v>
      </c>
      <c r="P2053"/>
      <c r="Q2053"/>
      <c r="R2053" s="387">
        <f>VLOOKUP(E2053,'[1]NDB Impacted SPRFs 05032013'!$A$2:$A$65536,1,FALSE)</f>
        <v>400022981</v>
      </c>
      <c r="S2053" s="159"/>
      <c r="T2053" s="159"/>
      <c r="U2053" s="159"/>
    </row>
    <row r="2054" spans="1:21" ht="45" x14ac:dyDescent="0.25">
      <c r="A2054" s="63">
        <f>MATCH($E2054,'D1 - Master Project Table'!$B$24:$B$7056,0)</f>
        <v>926</v>
      </c>
      <c r="B2054" s="63" t="b">
        <f t="shared" si="96"/>
        <v>0</v>
      </c>
      <c r="C2054" s="63" t="b">
        <f t="shared" ref="C2054:C2117" si="97">OR(H2054="Completed",H2054="Cancelled")</f>
        <v>1</v>
      </c>
      <c r="D2054" s="63" t="str">
        <f t="shared" ref="D2054:D2117" si="98">IF(AND(B2054=TRUE,C2054=FALSE),"Add","OK")</f>
        <v>OK</v>
      </c>
      <c r="E2054" s="393">
        <v>400022982</v>
      </c>
      <c r="F2054" s="392" t="s">
        <v>6836</v>
      </c>
      <c r="G2054" s="392" t="s">
        <v>5324</v>
      </c>
      <c r="H2054" s="392" t="s">
        <v>7418</v>
      </c>
      <c r="I2054" s="392" t="s">
        <v>1756</v>
      </c>
      <c r="J2054" s="392" t="s">
        <v>3679</v>
      </c>
      <c r="K2054" s="392" t="s">
        <v>7197</v>
      </c>
      <c r="L2054" s="392" t="s">
        <v>2936</v>
      </c>
      <c r="M2054" s="392" t="s">
        <v>7273</v>
      </c>
      <c r="N2054" s="392" t="s">
        <v>7273</v>
      </c>
      <c r="O2054" s="392" t="s">
        <v>7273</v>
      </c>
      <c r="P2054"/>
      <c r="Q2054"/>
      <c r="R2054" s="387">
        <f>VLOOKUP(E2054,'[1]NDB Impacted SPRFs 05032013'!$A$2:$A$65536,1,FALSE)</f>
        <v>400022982</v>
      </c>
      <c r="S2054" s="159"/>
      <c r="T2054" s="159"/>
      <c r="U2054" s="159"/>
    </row>
    <row r="2055" spans="1:21" ht="45" x14ac:dyDescent="0.25">
      <c r="A2055" s="63">
        <f>MATCH($E2055,'D1 - Master Project Table'!$B$24:$B$7056,0)</f>
        <v>77</v>
      </c>
      <c r="B2055" s="63" t="b">
        <f t="shared" si="96"/>
        <v>0</v>
      </c>
      <c r="C2055" s="63" t="b">
        <f t="shared" si="97"/>
        <v>0</v>
      </c>
      <c r="D2055" s="63" t="str">
        <f t="shared" si="98"/>
        <v>OK</v>
      </c>
      <c r="E2055" s="393">
        <v>400051116</v>
      </c>
      <c r="F2055" s="392" t="s">
        <v>682</v>
      </c>
      <c r="G2055" s="392" t="s">
        <v>5324</v>
      </c>
      <c r="H2055" s="392" t="s">
        <v>4917</v>
      </c>
      <c r="I2055" s="392" t="s">
        <v>1757</v>
      </c>
      <c r="J2055" s="392" t="s">
        <v>8307</v>
      </c>
      <c r="K2055" s="392" t="s">
        <v>3972</v>
      </c>
      <c r="L2055" s="392" t="s">
        <v>7660</v>
      </c>
      <c r="M2055" s="392" t="s">
        <v>7273</v>
      </c>
      <c r="N2055" s="392" t="s">
        <v>7273</v>
      </c>
      <c r="O2055" s="392" t="s">
        <v>3758</v>
      </c>
      <c r="P2055" s="212"/>
      <c r="Q2055" s="212"/>
      <c r="R2055" s="387">
        <f>VLOOKUP(E2055,'[1]NDB Impacted SPRFs 05032013'!$A$2:$A$65536,1,FALSE)</f>
        <v>400051116</v>
      </c>
      <c r="S2055" s="159"/>
      <c r="T2055" s="159"/>
      <c r="U2055" s="159"/>
    </row>
    <row r="2056" spans="1:21" ht="30" x14ac:dyDescent="0.25">
      <c r="A2056" s="63" t="e">
        <f>MATCH($E2056,'D1 - Master Project Table'!$B$24:$B$7056,0)</f>
        <v>#N/A</v>
      </c>
      <c r="B2056" s="63" t="b">
        <f t="shared" si="96"/>
        <v>1</v>
      </c>
      <c r="C2056" s="63" t="b">
        <f t="shared" si="97"/>
        <v>1</v>
      </c>
      <c r="D2056" s="63" t="str">
        <f t="shared" si="98"/>
        <v>OK</v>
      </c>
      <c r="E2056" s="393">
        <v>206241108</v>
      </c>
      <c r="F2056" s="392" t="s">
        <v>6882</v>
      </c>
      <c r="G2056" s="392" t="s">
        <v>5787</v>
      </c>
      <c r="H2056" s="392" t="s">
        <v>7418</v>
      </c>
      <c r="I2056" s="392" t="s">
        <v>1814</v>
      </c>
      <c r="J2056" s="392" t="s">
        <v>3353</v>
      </c>
      <c r="K2056" s="392" t="s">
        <v>2133</v>
      </c>
      <c r="L2056" s="392" t="s">
        <v>1513</v>
      </c>
      <c r="M2056" s="392" t="s">
        <v>7273</v>
      </c>
      <c r="N2056" s="392" t="s">
        <v>7273</v>
      </c>
      <c r="O2056" s="392" t="s">
        <v>7273</v>
      </c>
      <c r="P2056"/>
      <c r="Q2056"/>
      <c r="R2056" s="387">
        <f>VLOOKUP(E2056,'[1]NDB Impacted SPRFs 05032013'!$A$2:$A$65536,1,FALSE)</f>
        <v>206241108</v>
      </c>
      <c r="S2056" s="159"/>
      <c r="T2056" s="159"/>
      <c r="U2056" s="159"/>
    </row>
    <row r="2057" spans="1:21" ht="45" x14ac:dyDescent="0.25">
      <c r="A2057" s="63" t="e">
        <f>MATCH($E2057,'D1 - Master Project Table'!$B$24:$B$7056,0)</f>
        <v>#N/A</v>
      </c>
      <c r="B2057" s="63" t="b">
        <f t="shared" si="96"/>
        <v>1</v>
      </c>
      <c r="C2057" s="63" t="b">
        <f t="shared" si="97"/>
        <v>1</v>
      </c>
      <c r="D2057" s="63" t="str">
        <f t="shared" si="98"/>
        <v>OK</v>
      </c>
      <c r="E2057" s="393">
        <v>212111026</v>
      </c>
      <c r="F2057" s="392" t="s">
        <v>3959</v>
      </c>
      <c r="G2057" s="392" t="s">
        <v>5787</v>
      </c>
      <c r="H2057" s="392" t="s">
        <v>7418</v>
      </c>
      <c r="I2057" s="392" t="s">
        <v>1815</v>
      </c>
      <c r="J2057" s="392" t="s">
        <v>8457</v>
      </c>
      <c r="K2057" s="392" t="s">
        <v>5477</v>
      </c>
      <c r="L2057" s="392" t="s">
        <v>3863</v>
      </c>
      <c r="M2057" s="392" t="s">
        <v>7273</v>
      </c>
      <c r="N2057" s="392" t="s">
        <v>7273</v>
      </c>
      <c r="O2057" s="392" t="s">
        <v>7273</v>
      </c>
      <c r="P2057"/>
      <c r="Q2057"/>
      <c r="R2057" s="387">
        <f>VLOOKUP(E2057,'[1]NDB Impacted SPRFs 05032013'!$A$2:$A$65536,1,FALSE)</f>
        <v>212111026</v>
      </c>
      <c r="S2057" s="159"/>
      <c r="T2057" s="159"/>
      <c r="U2057" s="159"/>
    </row>
    <row r="2058" spans="1:21" ht="45" x14ac:dyDescent="0.25">
      <c r="A2058" s="63" t="e">
        <f>MATCH($E2058,'D1 - Master Project Table'!$B$24:$B$7056,0)</f>
        <v>#N/A</v>
      </c>
      <c r="B2058" s="63" t="b">
        <f t="shared" si="96"/>
        <v>1</v>
      </c>
      <c r="C2058" s="63" t="b">
        <f t="shared" si="97"/>
        <v>1</v>
      </c>
      <c r="D2058" s="63" t="str">
        <f t="shared" si="98"/>
        <v>OK</v>
      </c>
      <c r="E2058" s="393">
        <v>400001321</v>
      </c>
      <c r="F2058" s="392" t="s">
        <v>5076</v>
      </c>
      <c r="G2058" s="392" t="s">
        <v>5324</v>
      </c>
      <c r="H2058" s="392" t="s">
        <v>5314</v>
      </c>
      <c r="I2058" s="392" t="s">
        <v>1766</v>
      </c>
      <c r="J2058" s="392" t="s">
        <v>8334</v>
      </c>
      <c r="K2058" s="392" t="s">
        <v>5641</v>
      </c>
      <c r="L2058" s="392" t="s">
        <v>5774</v>
      </c>
      <c r="M2058" s="392" t="s">
        <v>7273</v>
      </c>
      <c r="N2058" s="392" t="s">
        <v>7273</v>
      </c>
      <c r="O2058" s="392" t="s">
        <v>7273</v>
      </c>
      <c r="P2058"/>
      <c r="Q2058"/>
      <c r="R2058" s="387">
        <f>VLOOKUP(E2058,'[1]NDB Impacted SPRFs 05032013'!$A$2:$A$65536,1,FALSE)</f>
        <v>400001321</v>
      </c>
    </row>
    <row r="2059" spans="1:21" ht="45" x14ac:dyDescent="0.25">
      <c r="A2059" s="63">
        <f>MATCH($E2059,'D1 - Master Project Table'!$B$24:$B$7056,0)</f>
        <v>2382</v>
      </c>
      <c r="B2059" s="63" t="b">
        <f t="shared" si="96"/>
        <v>0</v>
      </c>
      <c r="C2059" s="63" t="b">
        <f t="shared" si="97"/>
        <v>1</v>
      </c>
      <c r="D2059" s="63" t="str">
        <f t="shared" si="98"/>
        <v>OK</v>
      </c>
      <c r="E2059" s="393">
        <v>400001444</v>
      </c>
      <c r="F2059" s="392" t="s">
        <v>7771</v>
      </c>
      <c r="G2059" s="392" t="s">
        <v>5324</v>
      </c>
      <c r="H2059" s="392" t="s">
        <v>5314</v>
      </c>
      <c r="I2059" s="392" t="s">
        <v>1765</v>
      </c>
      <c r="J2059" s="392" t="s">
        <v>8334</v>
      </c>
      <c r="K2059" s="392" t="s">
        <v>5641</v>
      </c>
      <c r="L2059" s="392" t="s">
        <v>5774</v>
      </c>
      <c r="M2059" s="392" t="s">
        <v>7273</v>
      </c>
      <c r="N2059" s="392" t="s">
        <v>7273</v>
      </c>
      <c r="O2059" s="392" t="s">
        <v>7273</v>
      </c>
      <c r="P2059"/>
      <c r="Q2059"/>
      <c r="R2059" s="387">
        <f>VLOOKUP(E2059,'[1]NDB Impacted SPRFs 05032013'!$A$2:$A$65536,1,FALSE)</f>
        <v>400001444</v>
      </c>
      <c r="S2059" s="159"/>
      <c r="T2059" s="159"/>
      <c r="U2059" s="159"/>
    </row>
    <row r="2060" spans="1:21" ht="45" x14ac:dyDescent="0.25">
      <c r="A2060" s="63">
        <f>MATCH($E2060,'D1 - Master Project Table'!$B$24:$B$7056,0)</f>
        <v>2390</v>
      </c>
      <c r="B2060" s="63" t="b">
        <f t="shared" si="96"/>
        <v>0</v>
      </c>
      <c r="C2060" s="63" t="b">
        <f t="shared" si="97"/>
        <v>1</v>
      </c>
      <c r="D2060" s="63" t="str">
        <f t="shared" si="98"/>
        <v>OK</v>
      </c>
      <c r="E2060" s="393">
        <v>400001764</v>
      </c>
      <c r="F2060" s="392" t="s">
        <v>4354</v>
      </c>
      <c r="G2060" s="392" t="s">
        <v>5324</v>
      </c>
      <c r="H2060" s="392" t="s">
        <v>5314</v>
      </c>
      <c r="I2060" s="392" t="s">
        <v>1765</v>
      </c>
      <c r="J2060" s="392" t="s">
        <v>8334</v>
      </c>
      <c r="K2060" s="392" t="s">
        <v>5580</v>
      </c>
      <c r="L2060" s="392" t="s">
        <v>5774</v>
      </c>
      <c r="M2060" s="392" t="s">
        <v>7273</v>
      </c>
      <c r="N2060" s="392" t="s">
        <v>7273</v>
      </c>
      <c r="O2060" s="392" t="s">
        <v>7273</v>
      </c>
      <c r="P2060"/>
      <c r="Q2060"/>
      <c r="R2060" s="387">
        <f>VLOOKUP(E2060,'[1]NDB Impacted SPRFs 05032013'!$A$2:$A$65536,1,FALSE)</f>
        <v>400001764</v>
      </c>
      <c r="S2060" s="159"/>
      <c r="T2060" s="159"/>
      <c r="U2060" s="159"/>
    </row>
    <row r="2061" spans="1:21" ht="30" x14ac:dyDescent="0.25">
      <c r="A2061" s="63" t="e">
        <f>MATCH($E2061,'D1 - Master Project Table'!$B$24:$B$7056,0)</f>
        <v>#N/A</v>
      </c>
      <c r="B2061" s="63" t="b">
        <f t="shared" si="96"/>
        <v>1</v>
      </c>
      <c r="C2061" s="63" t="b">
        <f t="shared" si="97"/>
        <v>1</v>
      </c>
      <c r="D2061" s="63" t="str">
        <f t="shared" si="98"/>
        <v>OK</v>
      </c>
      <c r="E2061" s="393">
        <v>400001792</v>
      </c>
      <c r="F2061" s="392" t="s">
        <v>1881</v>
      </c>
      <c r="G2061" s="392" t="s">
        <v>5995</v>
      </c>
      <c r="H2061" s="392" t="s">
        <v>7418</v>
      </c>
      <c r="I2061" s="392" t="s">
        <v>3529</v>
      </c>
      <c r="J2061" s="392" t="s">
        <v>8797</v>
      </c>
      <c r="K2061" s="392" t="s">
        <v>2393</v>
      </c>
      <c r="L2061" s="392" t="s">
        <v>5774</v>
      </c>
      <c r="M2061" s="392" t="s">
        <v>7273</v>
      </c>
      <c r="N2061" s="392" t="s">
        <v>7273</v>
      </c>
      <c r="O2061" s="392" t="s">
        <v>7273</v>
      </c>
      <c r="P2061"/>
      <c r="Q2061"/>
      <c r="R2061" s="387">
        <f>VLOOKUP(E2061,'[1]NDB Impacted SPRFs 05032013'!$A$2:$A$65536,1,FALSE)</f>
        <v>400001792</v>
      </c>
    </row>
    <row r="2062" spans="1:21" ht="30" x14ac:dyDescent="0.25">
      <c r="A2062" s="63">
        <f>MATCH($E2062,'D1 - Master Project Table'!$B$24:$B$7056,0)</f>
        <v>2395</v>
      </c>
      <c r="B2062" s="63" t="b">
        <f t="shared" si="96"/>
        <v>0</v>
      </c>
      <c r="C2062" s="63" t="b">
        <f t="shared" si="97"/>
        <v>1</v>
      </c>
      <c r="D2062" s="63" t="str">
        <f t="shared" si="98"/>
        <v>OK</v>
      </c>
      <c r="E2062" s="393">
        <v>400002075</v>
      </c>
      <c r="F2062" s="392" t="s">
        <v>2985</v>
      </c>
      <c r="G2062" s="392" t="s">
        <v>5995</v>
      </c>
      <c r="H2062" s="392" t="s">
        <v>5314</v>
      </c>
      <c r="I2062" s="392" t="s">
        <v>3529</v>
      </c>
      <c r="J2062" s="392" t="s">
        <v>8797</v>
      </c>
      <c r="K2062" s="392" t="s">
        <v>3794</v>
      </c>
      <c r="L2062" s="392" t="s">
        <v>5774</v>
      </c>
      <c r="M2062" s="392" t="s">
        <v>7273</v>
      </c>
      <c r="N2062" s="392" t="s">
        <v>7273</v>
      </c>
      <c r="O2062" s="392" t="s">
        <v>7273</v>
      </c>
      <c r="P2062"/>
      <c r="Q2062"/>
      <c r="R2062" s="387">
        <f>VLOOKUP(E2062,'[1]NDB Impacted SPRFs 05032013'!$A$2:$A$65536,1,FALSE)</f>
        <v>400002075</v>
      </c>
      <c r="S2062" s="159"/>
      <c r="T2062" s="159"/>
      <c r="U2062" s="159"/>
    </row>
    <row r="2063" spans="1:21" ht="30" x14ac:dyDescent="0.25">
      <c r="A2063" s="63">
        <f>MATCH($E2063,'D1 - Master Project Table'!$B$24:$B$7056,0)</f>
        <v>2603</v>
      </c>
      <c r="B2063" s="63" t="b">
        <f t="shared" si="96"/>
        <v>0</v>
      </c>
      <c r="C2063" s="63" t="b">
        <f t="shared" si="97"/>
        <v>1</v>
      </c>
      <c r="D2063" s="63" t="str">
        <f t="shared" si="98"/>
        <v>OK</v>
      </c>
      <c r="E2063" s="393">
        <v>400012811</v>
      </c>
      <c r="F2063" s="392" t="s">
        <v>4661</v>
      </c>
      <c r="G2063" s="392" t="s">
        <v>3441</v>
      </c>
      <c r="H2063" s="392" t="s">
        <v>5314</v>
      </c>
      <c r="I2063" s="392" t="s">
        <v>2662</v>
      </c>
      <c r="J2063" s="392" t="s">
        <v>8298</v>
      </c>
      <c r="K2063" s="392" t="s">
        <v>5541</v>
      </c>
      <c r="L2063" s="392" t="s">
        <v>4404</v>
      </c>
      <c r="M2063" s="392" t="s">
        <v>3758</v>
      </c>
      <c r="N2063" s="392" t="s">
        <v>7273</v>
      </c>
      <c r="O2063" s="392" t="s">
        <v>7273</v>
      </c>
      <c r="P2063"/>
      <c r="Q2063"/>
      <c r="R2063" s="387">
        <f>VLOOKUP(E2063,'[1]NDB Impacted SPRFs 05032013'!$A$2:$A$65536,1,FALSE)</f>
        <v>400012811</v>
      </c>
      <c r="S2063" s="159"/>
      <c r="T2063" s="159"/>
      <c r="U2063" s="159"/>
    </row>
    <row r="2064" spans="1:21" ht="30" x14ac:dyDescent="0.25">
      <c r="A2064" s="63">
        <f>MATCH($E2064,'D1 - Master Project Table'!$B$24:$B$7056,0)</f>
        <v>1340</v>
      </c>
      <c r="B2064" s="63" t="b">
        <f t="shared" si="96"/>
        <v>0</v>
      </c>
      <c r="C2064" s="63" t="b">
        <f t="shared" si="97"/>
        <v>1</v>
      </c>
      <c r="D2064" s="63" t="str">
        <f t="shared" si="98"/>
        <v>OK</v>
      </c>
      <c r="E2064" s="393">
        <v>400032086</v>
      </c>
      <c r="F2064" s="392" t="s">
        <v>7317</v>
      </c>
      <c r="G2064" s="392" t="s">
        <v>2041</v>
      </c>
      <c r="H2064" s="392" t="s">
        <v>7418</v>
      </c>
      <c r="I2064" s="392" t="s">
        <v>3629</v>
      </c>
      <c r="J2064" s="392" t="s">
        <v>8792</v>
      </c>
      <c r="K2064" s="392" t="s">
        <v>1976</v>
      </c>
      <c r="L2064" s="392" t="s">
        <v>7318</v>
      </c>
      <c r="M2064" s="392" t="s">
        <v>7273</v>
      </c>
      <c r="N2064" s="392" t="s">
        <v>7273</v>
      </c>
      <c r="O2064" s="392" t="s">
        <v>7273</v>
      </c>
      <c r="P2064"/>
      <c r="Q2064"/>
      <c r="R2064" s="387">
        <f>VLOOKUP(E2064,'[1]NDB Impacted SPRFs 05032013'!$A$2:$A$65536,1,FALSE)</f>
        <v>400032086</v>
      </c>
      <c r="S2064" s="159"/>
      <c r="T2064" s="159"/>
      <c r="U2064" s="159"/>
    </row>
    <row r="2065" spans="1:21" ht="30" x14ac:dyDescent="0.25">
      <c r="A2065" s="63">
        <f>MATCH($E2065,'D1 - Master Project Table'!$B$24:$B$7056,0)</f>
        <v>3001</v>
      </c>
      <c r="B2065" s="63" t="b">
        <f t="shared" si="96"/>
        <v>0</v>
      </c>
      <c r="C2065" s="63" t="b">
        <f t="shared" si="97"/>
        <v>1</v>
      </c>
      <c r="D2065" s="63" t="str">
        <f t="shared" si="98"/>
        <v>OK</v>
      </c>
      <c r="E2065" s="393">
        <v>400039301</v>
      </c>
      <c r="F2065" s="392" t="s">
        <v>7376</v>
      </c>
      <c r="G2065" s="392" t="s">
        <v>6322</v>
      </c>
      <c r="H2065" s="392" t="s">
        <v>5314</v>
      </c>
      <c r="I2065" s="392" t="s">
        <v>7594</v>
      </c>
      <c r="J2065" s="392" t="s">
        <v>1062</v>
      </c>
      <c r="K2065" s="392" t="s">
        <v>7377</v>
      </c>
      <c r="L2065" s="392" t="s">
        <v>2263</v>
      </c>
      <c r="M2065" s="392" t="s">
        <v>7273</v>
      </c>
      <c r="N2065" s="392" t="s">
        <v>7273</v>
      </c>
      <c r="O2065" s="392" t="s">
        <v>7273</v>
      </c>
      <c r="P2065"/>
      <c r="Q2065"/>
      <c r="R2065" s="387">
        <f>VLOOKUP(E2065,'[1]NDB Impacted SPRFs 05032013'!$A$2:$A$65536,1,FALSE)</f>
        <v>400039301</v>
      </c>
      <c r="S2065" s="159"/>
      <c r="T2065" s="159"/>
      <c r="U2065" s="159"/>
    </row>
    <row r="2066" spans="1:21" ht="30" x14ac:dyDescent="0.25">
      <c r="A2066" s="63">
        <f>MATCH($E2066,'D1 - Master Project Table'!$B$24:$B$7056,0)</f>
        <v>2031</v>
      </c>
      <c r="B2066" s="63" t="b">
        <f t="shared" si="96"/>
        <v>0</v>
      </c>
      <c r="C2066" s="63" t="b">
        <f t="shared" si="97"/>
        <v>1</v>
      </c>
      <c r="D2066" s="63" t="str">
        <f t="shared" si="98"/>
        <v>OK</v>
      </c>
      <c r="E2066" s="393">
        <v>400043122</v>
      </c>
      <c r="F2066" s="392" t="s">
        <v>1393</v>
      </c>
      <c r="G2066" s="392" t="s">
        <v>5001</v>
      </c>
      <c r="H2066" s="392" t="s">
        <v>7418</v>
      </c>
      <c r="I2066" s="392" t="s">
        <v>2655</v>
      </c>
      <c r="J2066" s="392" t="s">
        <v>8776</v>
      </c>
      <c r="K2066" s="392" t="s">
        <v>5468</v>
      </c>
      <c r="L2066" s="392" t="s">
        <v>1394</v>
      </c>
      <c r="M2066" s="392" t="s">
        <v>7273</v>
      </c>
      <c r="N2066" s="392" t="s">
        <v>7273</v>
      </c>
      <c r="O2066" s="392" t="s">
        <v>7273</v>
      </c>
      <c r="P2066"/>
      <c r="Q2066"/>
      <c r="R2066" s="387">
        <f>VLOOKUP(E2066,'[1]NDB Impacted SPRFs 05032013'!$A$2:$A$65536,1,FALSE)</f>
        <v>400043122</v>
      </c>
      <c r="S2066" s="159"/>
      <c r="T2066" s="159"/>
      <c r="U2066" s="159"/>
    </row>
    <row r="2067" spans="1:21" ht="45" x14ac:dyDescent="0.25">
      <c r="A2067" s="63">
        <f>MATCH($E2067,'D1 - Master Project Table'!$B$24:$B$7056,0)</f>
        <v>3094</v>
      </c>
      <c r="B2067" s="63" t="b">
        <f t="shared" si="96"/>
        <v>0</v>
      </c>
      <c r="C2067" s="63" t="b">
        <f t="shared" si="97"/>
        <v>1</v>
      </c>
      <c r="D2067" s="63" t="str">
        <f t="shared" si="98"/>
        <v>OK</v>
      </c>
      <c r="E2067" s="393">
        <v>400049157</v>
      </c>
      <c r="F2067" s="392" t="s">
        <v>183</v>
      </c>
      <c r="G2067" s="392" t="s">
        <v>5325</v>
      </c>
      <c r="H2067" s="392" t="s">
        <v>5314</v>
      </c>
      <c r="I2067" s="392" t="s">
        <v>1763</v>
      </c>
      <c r="J2067" s="392" t="s">
        <v>3158</v>
      </c>
      <c r="K2067" s="392" t="s">
        <v>3224</v>
      </c>
      <c r="L2067" s="392" t="s">
        <v>1394</v>
      </c>
      <c r="M2067" s="392" t="s">
        <v>7273</v>
      </c>
      <c r="N2067" s="392" t="s">
        <v>7273</v>
      </c>
      <c r="O2067" s="392" t="s">
        <v>7273</v>
      </c>
      <c r="P2067"/>
      <c r="Q2067"/>
      <c r="R2067" s="387">
        <f>VLOOKUP(E2067,'[1]NDB Impacted SPRFs 05032013'!$A$2:$A$65536,1,FALSE)</f>
        <v>400049157</v>
      </c>
      <c r="S2067" s="159"/>
      <c r="T2067" s="159"/>
      <c r="U2067" s="159"/>
    </row>
    <row r="2068" spans="1:21" ht="45" x14ac:dyDescent="0.25">
      <c r="A2068" s="63">
        <f>MATCH($E2068,'D1 - Master Project Table'!$B$24:$B$7056,0)</f>
        <v>3097</v>
      </c>
      <c r="B2068" s="147" t="b">
        <f t="shared" si="96"/>
        <v>0</v>
      </c>
      <c r="C2068" s="147" t="b">
        <f t="shared" si="97"/>
        <v>1</v>
      </c>
      <c r="D2068" s="147" t="str">
        <f t="shared" si="98"/>
        <v>OK</v>
      </c>
      <c r="E2068" s="393">
        <v>400050081</v>
      </c>
      <c r="F2068" s="392" t="s">
        <v>522</v>
      </c>
      <c r="G2068" s="392" t="s">
        <v>5324</v>
      </c>
      <c r="H2068" s="392" t="s">
        <v>7418</v>
      </c>
      <c r="I2068" s="392" t="s">
        <v>1757</v>
      </c>
      <c r="J2068" s="392" t="s">
        <v>8303</v>
      </c>
      <c r="K2068" s="392" t="s">
        <v>5436</v>
      </c>
      <c r="L2068" s="392" t="s">
        <v>1394</v>
      </c>
      <c r="M2068" s="392" t="s">
        <v>7273</v>
      </c>
      <c r="N2068" s="392" t="s">
        <v>7273</v>
      </c>
      <c r="O2068" s="392" t="s">
        <v>7273</v>
      </c>
      <c r="P2068"/>
      <c r="Q2068"/>
      <c r="R2068" s="387">
        <f>VLOOKUP(E2068,'[1]NDB Impacted SPRFs 05032013'!$A$2:$A$65536,1,FALSE)</f>
        <v>400050081</v>
      </c>
      <c r="S2068" s="159"/>
      <c r="T2068" s="159"/>
      <c r="U2068" s="159"/>
    </row>
    <row r="2069" spans="1:21" ht="60" x14ac:dyDescent="0.25">
      <c r="A2069" s="63">
        <f>MATCH($E2069,'D1 - Master Project Table'!$B$24:$B$7056,0)</f>
        <v>214</v>
      </c>
      <c r="B2069" s="63" t="b">
        <f t="shared" si="96"/>
        <v>0</v>
      </c>
      <c r="C2069" s="63" t="b">
        <f t="shared" si="97"/>
        <v>0</v>
      </c>
      <c r="D2069" s="63" t="str">
        <f t="shared" si="98"/>
        <v>OK</v>
      </c>
      <c r="E2069" s="393">
        <v>400051999</v>
      </c>
      <c r="F2069" s="392" t="s">
        <v>735</v>
      </c>
      <c r="G2069" s="392" t="s">
        <v>9210</v>
      </c>
      <c r="H2069" s="392" t="s">
        <v>6462</v>
      </c>
      <c r="I2069" s="392" t="s">
        <v>3540</v>
      </c>
      <c r="J2069" s="392" t="s">
        <v>8747</v>
      </c>
      <c r="K2069" s="392" t="s">
        <v>7043</v>
      </c>
      <c r="L2069" s="392" t="s">
        <v>7318</v>
      </c>
      <c r="M2069" s="392" t="s">
        <v>7273</v>
      </c>
      <c r="N2069" s="392" t="s">
        <v>7273</v>
      </c>
      <c r="O2069" s="392" t="s">
        <v>7273</v>
      </c>
      <c r="P2069"/>
      <c r="Q2069"/>
      <c r="R2069" s="387">
        <f>VLOOKUP(E2069,'[1]NDB Impacted SPRFs 05032013'!$A$2:$A$65536,1,FALSE)</f>
        <v>400051999</v>
      </c>
      <c r="S2069" s="159"/>
      <c r="T2069" s="159"/>
      <c r="U2069" s="159"/>
    </row>
    <row r="2070" spans="1:21" ht="30" x14ac:dyDescent="0.25">
      <c r="A2070" s="63">
        <f>MATCH($E2070,'D1 - Master Project Table'!$B$24:$B$7056,0)</f>
        <v>695</v>
      </c>
      <c r="B2070" s="63" t="b">
        <f t="shared" si="96"/>
        <v>0</v>
      </c>
      <c r="C2070" s="63" t="b">
        <f t="shared" si="97"/>
        <v>1</v>
      </c>
      <c r="D2070" s="63" t="str">
        <f t="shared" si="98"/>
        <v>OK</v>
      </c>
      <c r="E2070" s="393">
        <v>400013039</v>
      </c>
      <c r="F2070" s="392" t="s">
        <v>4995</v>
      </c>
      <c r="G2070" s="392" t="s">
        <v>3441</v>
      </c>
      <c r="H2070" s="392" t="s">
        <v>7418</v>
      </c>
      <c r="I2070" s="392" t="s">
        <v>2662</v>
      </c>
      <c r="J2070" s="392" t="s">
        <v>8388</v>
      </c>
      <c r="K2070" s="392" t="s">
        <v>8075</v>
      </c>
      <c r="L2070" s="392" t="s">
        <v>2977</v>
      </c>
      <c r="M2070" s="392" t="s">
        <v>7273</v>
      </c>
      <c r="N2070" s="392" t="s">
        <v>7273</v>
      </c>
      <c r="O2070" s="392" t="s">
        <v>7273</v>
      </c>
      <c r="P2070"/>
      <c r="Q2070"/>
      <c r="R2070" s="387">
        <f>VLOOKUP(E2070,'[1]NDB Impacted SPRFs 05032013'!$A$2:$A$65536,1,FALSE)</f>
        <v>400013039</v>
      </c>
      <c r="S2070" s="159"/>
      <c r="T2070" s="159"/>
      <c r="U2070" s="159"/>
    </row>
    <row r="2071" spans="1:21" ht="45" x14ac:dyDescent="0.25">
      <c r="A2071" s="63">
        <f>MATCH($E2071,'D1 - Master Project Table'!$B$24:$B$7056,0)</f>
        <v>2758</v>
      </c>
      <c r="B2071" s="63" t="b">
        <f t="shared" si="96"/>
        <v>0</v>
      </c>
      <c r="C2071" s="63" t="b">
        <f t="shared" si="97"/>
        <v>1</v>
      </c>
      <c r="D2071" s="63" t="str">
        <f t="shared" si="98"/>
        <v>OK</v>
      </c>
      <c r="E2071" s="393">
        <v>400021263</v>
      </c>
      <c r="F2071" s="392" t="s">
        <v>6529</v>
      </c>
      <c r="G2071" s="392" t="s">
        <v>5324</v>
      </c>
      <c r="H2071" s="392" t="s">
        <v>5314</v>
      </c>
      <c r="I2071" s="392" t="s">
        <v>1757</v>
      </c>
      <c r="J2071" s="392" t="s">
        <v>8375</v>
      </c>
      <c r="K2071" s="392" t="s">
        <v>4176</v>
      </c>
      <c r="L2071" s="392" t="s">
        <v>2977</v>
      </c>
      <c r="M2071" s="392" t="s">
        <v>7273</v>
      </c>
      <c r="N2071" s="392" t="s">
        <v>7273</v>
      </c>
      <c r="O2071" s="392" t="s">
        <v>7273</v>
      </c>
      <c r="P2071"/>
      <c r="Q2071"/>
      <c r="R2071" s="387">
        <f>VLOOKUP(E2071,'[1]NDB Impacted SPRFs 05032013'!$A$2:$A$65536,1,FALSE)</f>
        <v>400021263</v>
      </c>
      <c r="S2071" s="159"/>
      <c r="T2071" s="159"/>
      <c r="U2071" s="159"/>
    </row>
    <row r="2072" spans="1:21" ht="45" x14ac:dyDescent="0.25">
      <c r="A2072" s="63">
        <f>MATCH($E2072,'D1 - Master Project Table'!$B$24:$B$7056,0)</f>
        <v>2818</v>
      </c>
      <c r="B2072" s="63" t="b">
        <f t="shared" si="96"/>
        <v>0</v>
      </c>
      <c r="C2072" s="63" t="b">
        <f t="shared" si="97"/>
        <v>1</v>
      </c>
      <c r="D2072" s="63" t="str">
        <f t="shared" si="98"/>
        <v>OK</v>
      </c>
      <c r="E2072" s="393">
        <v>400024224</v>
      </c>
      <c r="F2072" s="392" t="s">
        <v>7336</v>
      </c>
      <c r="G2072" s="392" t="s">
        <v>5324</v>
      </c>
      <c r="H2072" s="392" t="s">
        <v>5314</v>
      </c>
      <c r="I2072" s="392" t="s">
        <v>1759</v>
      </c>
      <c r="J2072" s="392" t="s">
        <v>8431</v>
      </c>
      <c r="K2072" s="392" t="s">
        <v>3791</v>
      </c>
      <c r="L2072" s="392" t="s">
        <v>7284</v>
      </c>
      <c r="M2072" s="392" t="s">
        <v>7273</v>
      </c>
      <c r="N2072" s="392" t="s">
        <v>7273</v>
      </c>
      <c r="O2072" s="392" t="s">
        <v>7273</v>
      </c>
      <c r="P2072"/>
      <c r="Q2072"/>
      <c r="R2072" s="387">
        <f>VLOOKUP(E2072,'[1]NDB Impacted SPRFs 05032013'!$A$2:$A$65536,1,FALSE)</f>
        <v>400024224</v>
      </c>
      <c r="S2072" s="159"/>
      <c r="T2072" s="159"/>
      <c r="U2072" s="159"/>
    </row>
    <row r="2073" spans="1:21" ht="30" x14ac:dyDescent="0.25">
      <c r="A2073" s="63">
        <f>MATCH($E2073,'D1 - Master Project Table'!$B$24:$B$7056,0)</f>
        <v>468</v>
      </c>
      <c r="B2073" s="63" t="b">
        <f t="shared" si="96"/>
        <v>0</v>
      </c>
      <c r="C2073" s="63" t="b">
        <f t="shared" si="97"/>
        <v>1</v>
      </c>
      <c r="D2073" s="63" t="str">
        <f t="shared" si="98"/>
        <v>OK</v>
      </c>
      <c r="E2073" s="393">
        <v>400007792</v>
      </c>
      <c r="F2073" s="392" t="s">
        <v>6156</v>
      </c>
      <c r="G2073" s="392" t="s">
        <v>3441</v>
      </c>
      <c r="H2073" s="392" t="s">
        <v>7418</v>
      </c>
      <c r="I2073" s="392" t="s">
        <v>1770</v>
      </c>
      <c r="J2073" s="392" t="s">
        <v>8386</v>
      </c>
      <c r="K2073" s="392" t="s">
        <v>5641</v>
      </c>
      <c r="L2073" s="392" t="s">
        <v>7758</v>
      </c>
      <c r="M2073" s="392" t="s">
        <v>3758</v>
      </c>
      <c r="N2073" s="392" t="s">
        <v>7273</v>
      </c>
      <c r="O2073" s="392" t="s">
        <v>7273</v>
      </c>
      <c r="P2073"/>
      <c r="Q2073"/>
      <c r="R2073" s="387">
        <f>VLOOKUP(E2073,'[1]NDB Impacted SPRFs 05032013'!$A$2:$A$65536,1,FALSE)</f>
        <v>400007792</v>
      </c>
      <c r="S2073" s="159"/>
      <c r="T2073" s="159"/>
      <c r="U2073" s="159"/>
    </row>
    <row r="2074" spans="1:21" ht="45" x14ac:dyDescent="0.25">
      <c r="A2074" s="63">
        <f>MATCH($E2074,'D1 - Master Project Table'!$B$24:$B$7056,0)</f>
        <v>1601</v>
      </c>
      <c r="B2074" s="63" t="b">
        <f t="shared" si="96"/>
        <v>0</v>
      </c>
      <c r="C2074" s="63" t="b">
        <f t="shared" si="97"/>
        <v>1</v>
      </c>
      <c r="D2074" s="63" t="str">
        <f t="shared" si="98"/>
        <v>OK</v>
      </c>
      <c r="E2074" s="393">
        <v>400045720</v>
      </c>
      <c r="F2074" s="392" t="s">
        <v>1550</v>
      </c>
      <c r="G2074" s="392" t="s">
        <v>5324</v>
      </c>
      <c r="H2074" s="392" t="s">
        <v>7418</v>
      </c>
      <c r="I2074" s="392" t="s">
        <v>1762</v>
      </c>
      <c r="J2074" s="392" t="s">
        <v>8620</v>
      </c>
      <c r="K2074" s="392" t="s">
        <v>7784</v>
      </c>
      <c r="L2074" s="392" t="s">
        <v>1551</v>
      </c>
      <c r="M2074" s="392" t="s">
        <v>3758</v>
      </c>
      <c r="N2074" s="392" t="s">
        <v>7273</v>
      </c>
      <c r="O2074" s="392" t="s">
        <v>7273</v>
      </c>
      <c r="P2074"/>
      <c r="Q2074"/>
      <c r="R2074" s="387">
        <f>VLOOKUP(E2074,'[1]NDB Impacted SPRFs 05032013'!$A$2:$A$65536,1,FALSE)</f>
        <v>400045720</v>
      </c>
      <c r="S2074" s="159"/>
      <c r="T2074" s="159"/>
      <c r="U2074" s="159"/>
    </row>
    <row r="2075" spans="1:21" ht="45" x14ac:dyDescent="0.25">
      <c r="A2075" s="63">
        <f>MATCH($E2075,'D1 - Master Project Table'!$B$24:$B$7056,0)</f>
        <v>3101</v>
      </c>
      <c r="B2075" s="63" t="b">
        <f t="shared" si="96"/>
        <v>0</v>
      </c>
      <c r="C2075" s="63" t="b">
        <f t="shared" si="97"/>
        <v>1</v>
      </c>
      <c r="D2075" s="63" t="str">
        <f t="shared" si="98"/>
        <v>OK</v>
      </c>
      <c r="E2075" s="393">
        <v>400050809</v>
      </c>
      <c r="F2075" s="392" t="s">
        <v>2034</v>
      </c>
      <c r="G2075" s="392" t="s">
        <v>5324</v>
      </c>
      <c r="H2075" s="392" t="s">
        <v>5314</v>
      </c>
      <c r="I2075" s="392" t="s">
        <v>1759</v>
      </c>
      <c r="J2075" s="392" t="s">
        <v>8306</v>
      </c>
      <c r="K2075" s="392" t="s">
        <v>7111</v>
      </c>
      <c r="L2075" s="392" t="s">
        <v>1551</v>
      </c>
      <c r="M2075" s="392" t="s">
        <v>3758</v>
      </c>
      <c r="N2075" s="392" t="s">
        <v>7273</v>
      </c>
      <c r="O2075" s="392" t="s">
        <v>7273</v>
      </c>
      <c r="P2075"/>
      <c r="Q2075"/>
      <c r="R2075" s="387">
        <f>VLOOKUP(E2075,'[1]NDB Impacted SPRFs 05032013'!$A$2:$A$65536,1,FALSE)</f>
        <v>400050809</v>
      </c>
    </row>
    <row r="2076" spans="1:21" ht="30" customHeight="1" x14ac:dyDescent="0.25">
      <c r="A2076" s="63">
        <f>MATCH($E2076,'D1 - Master Project Table'!$B$24:$B$7056,0)</f>
        <v>271</v>
      </c>
      <c r="B2076" s="63" t="b">
        <f t="shared" si="96"/>
        <v>0</v>
      </c>
      <c r="C2076" s="63" t="b">
        <f t="shared" si="97"/>
        <v>0</v>
      </c>
      <c r="D2076" s="63" t="str">
        <f t="shared" si="98"/>
        <v>OK</v>
      </c>
      <c r="E2076" s="393">
        <v>400059529</v>
      </c>
      <c r="F2076" s="392" t="s">
        <v>9415</v>
      </c>
      <c r="G2076" s="392" t="s">
        <v>5324</v>
      </c>
      <c r="H2076" s="392" t="s">
        <v>8012</v>
      </c>
      <c r="I2076" s="392" t="s">
        <v>1759</v>
      </c>
      <c r="J2076" s="392" t="s">
        <v>4844</v>
      </c>
      <c r="K2076" s="392" t="s">
        <v>5086</v>
      </c>
      <c r="L2076" s="392" t="s">
        <v>9416</v>
      </c>
      <c r="M2076" s="392" t="s">
        <v>7273</v>
      </c>
      <c r="N2076" s="392" t="s">
        <v>7273</v>
      </c>
      <c r="O2076" s="392" t="s">
        <v>7273</v>
      </c>
      <c r="P2076"/>
      <c r="Q2076"/>
      <c r="R2076" s="387">
        <f>VLOOKUP(E2076,'[1]NDB Impacted SPRFs 05032013'!$A$2:$A$65536,1,FALSE)</f>
        <v>400059529</v>
      </c>
      <c r="S2076" s="159"/>
      <c r="T2076" s="159"/>
      <c r="U2076" s="159"/>
    </row>
    <row r="2077" spans="1:21" ht="15" x14ac:dyDescent="0.25">
      <c r="A2077" s="63" t="e">
        <f>MATCH($E2077,'D1 - Master Project Table'!$B$24:$B$7056,0)</f>
        <v>#N/A</v>
      </c>
      <c r="B2077" s="63" t="b">
        <f t="shared" si="96"/>
        <v>1</v>
      </c>
      <c r="C2077" s="63" t="b">
        <f t="shared" si="97"/>
        <v>1</v>
      </c>
      <c r="D2077" s="63" t="str">
        <f t="shared" si="98"/>
        <v>OK</v>
      </c>
      <c r="E2077" s="393">
        <v>211191153</v>
      </c>
      <c r="F2077" s="392" t="s">
        <v>4423</v>
      </c>
      <c r="G2077" s="392" t="s">
        <v>5787</v>
      </c>
      <c r="H2077" s="392" t="s">
        <v>5314</v>
      </c>
      <c r="I2077" s="392" t="s">
        <v>1814</v>
      </c>
      <c r="J2077" s="392" t="s">
        <v>8674</v>
      </c>
      <c r="K2077" s="392" t="s">
        <v>3353</v>
      </c>
      <c r="L2077" s="392" t="s">
        <v>4885</v>
      </c>
      <c r="M2077" s="392" t="s">
        <v>7273</v>
      </c>
      <c r="N2077" s="392" t="s">
        <v>7273</v>
      </c>
      <c r="O2077" s="392" t="s">
        <v>7273</v>
      </c>
      <c r="P2077"/>
      <c r="Q2077"/>
      <c r="R2077" s="387">
        <f>VLOOKUP(E2077,'[1]NDB Impacted SPRFs 05032013'!$A$2:$A$65536,1,FALSE)</f>
        <v>211191153</v>
      </c>
      <c r="S2077" s="159"/>
      <c r="T2077" s="159"/>
      <c r="U2077" s="159"/>
    </row>
    <row r="2078" spans="1:21" ht="45" x14ac:dyDescent="0.25">
      <c r="A2078" s="63" t="e">
        <f>MATCH($E2078,'D1 - Master Project Table'!$B$24:$B$7056,0)</f>
        <v>#N/A</v>
      </c>
      <c r="B2078" s="63" t="b">
        <f t="shared" si="96"/>
        <v>1</v>
      </c>
      <c r="C2078" s="63" t="b">
        <f t="shared" si="97"/>
        <v>1</v>
      </c>
      <c r="D2078" s="63" t="str">
        <f t="shared" si="98"/>
        <v>OK</v>
      </c>
      <c r="E2078" s="393">
        <v>400000319</v>
      </c>
      <c r="F2078" s="392" t="s">
        <v>4526</v>
      </c>
      <c r="G2078" s="392" t="s">
        <v>5787</v>
      </c>
      <c r="H2078" s="392" t="s">
        <v>5314</v>
      </c>
      <c r="I2078" s="392" t="s">
        <v>5161</v>
      </c>
      <c r="J2078" s="392" t="s">
        <v>8683</v>
      </c>
      <c r="K2078" s="392" t="s">
        <v>2135</v>
      </c>
      <c r="L2078" s="392" t="s">
        <v>6772</v>
      </c>
      <c r="M2078" s="392" t="s">
        <v>3758</v>
      </c>
      <c r="N2078" s="392" t="s">
        <v>7273</v>
      </c>
      <c r="O2078" s="392" t="s">
        <v>7273</v>
      </c>
      <c r="P2078"/>
      <c r="Q2078"/>
      <c r="R2078" s="387">
        <f>VLOOKUP(E2078,'[1]NDB Impacted SPRFs 05032013'!$A$2:$A$65536,1,FALSE)</f>
        <v>400000319</v>
      </c>
    </row>
    <row r="2079" spans="1:21" ht="30" x14ac:dyDescent="0.25">
      <c r="A2079" s="63">
        <f>MATCH($E2079,'D1 - Master Project Table'!$B$24:$B$7056,0)</f>
        <v>2000</v>
      </c>
      <c r="B2079" s="63" t="b">
        <f t="shared" si="96"/>
        <v>0</v>
      </c>
      <c r="C2079" s="63" t="b">
        <f t="shared" si="97"/>
        <v>1</v>
      </c>
      <c r="D2079" s="63" t="str">
        <f t="shared" si="98"/>
        <v>OK</v>
      </c>
      <c r="E2079" s="393">
        <v>400031091</v>
      </c>
      <c r="F2079" s="392" t="s">
        <v>2105</v>
      </c>
      <c r="G2079" s="392" t="s">
        <v>6322</v>
      </c>
      <c r="H2079" s="392" t="s">
        <v>7418</v>
      </c>
      <c r="I2079" s="392" t="s">
        <v>7594</v>
      </c>
      <c r="J2079" s="392" t="s">
        <v>1062</v>
      </c>
      <c r="K2079" s="392" t="s">
        <v>2106</v>
      </c>
      <c r="L2079" s="392" t="s">
        <v>3996</v>
      </c>
      <c r="M2079" s="392" t="s">
        <v>7273</v>
      </c>
      <c r="N2079" s="392" t="s">
        <v>7273</v>
      </c>
      <c r="O2079" s="392" t="s">
        <v>7273</v>
      </c>
      <c r="P2079"/>
      <c r="Q2079"/>
      <c r="R2079" s="387">
        <f>VLOOKUP(E2079,'[1]NDB Impacted SPRFs 05032013'!$A$2:$A$65536,1,FALSE)</f>
        <v>400031091</v>
      </c>
      <c r="S2079" s="159"/>
      <c r="T2079" s="159"/>
      <c r="U2079" s="159"/>
    </row>
    <row r="2080" spans="1:21" ht="45" x14ac:dyDescent="0.25">
      <c r="A2080" s="63">
        <f>MATCH($E2080,'D1 - Master Project Table'!$B$24:$B$7056,0)</f>
        <v>2424</v>
      </c>
      <c r="B2080" s="63" t="b">
        <f t="shared" si="96"/>
        <v>0</v>
      </c>
      <c r="C2080" s="63" t="b">
        <f t="shared" si="97"/>
        <v>1</v>
      </c>
      <c r="D2080" s="63" t="str">
        <f t="shared" si="98"/>
        <v>OK</v>
      </c>
      <c r="E2080" s="393">
        <v>400003265</v>
      </c>
      <c r="F2080" s="392" t="s">
        <v>3266</v>
      </c>
      <c r="G2080" s="392" t="s">
        <v>5324</v>
      </c>
      <c r="H2080" s="392" t="s">
        <v>5314</v>
      </c>
      <c r="I2080" s="392" t="s">
        <v>1765</v>
      </c>
      <c r="J2080" s="392" t="s">
        <v>8446</v>
      </c>
      <c r="K2080" s="392" t="s">
        <v>2467</v>
      </c>
      <c r="L2080" s="392" t="s">
        <v>5899</v>
      </c>
      <c r="M2080" s="392" t="s">
        <v>7273</v>
      </c>
      <c r="N2080" s="392" t="s">
        <v>7273</v>
      </c>
      <c r="O2080" s="392" t="s">
        <v>7273</v>
      </c>
      <c r="P2080"/>
      <c r="Q2080"/>
      <c r="R2080" s="387">
        <f>VLOOKUP(E2080,'[1]NDB Impacted SPRFs 05032013'!$A$2:$A$65536,1,FALSE)</f>
        <v>400003265</v>
      </c>
      <c r="S2080" s="159"/>
      <c r="T2080" s="159"/>
      <c r="U2080" s="159"/>
    </row>
    <row r="2081" spans="1:21" ht="45" x14ac:dyDescent="0.25">
      <c r="A2081" s="63">
        <f>MATCH($E2081,'D1 - Master Project Table'!$B$24:$B$7056,0)</f>
        <v>2425</v>
      </c>
      <c r="B2081" s="63" t="b">
        <f t="shared" si="96"/>
        <v>0</v>
      </c>
      <c r="C2081" s="63" t="b">
        <f t="shared" si="97"/>
        <v>1</v>
      </c>
      <c r="D2081" s="63" t="str">
        <f t="shared" si="98"/>
        <v>OK</v>
      </c>
      <c r="E2081" s="393">
        <v>400003272</v>
      </c>
      <c r="F2081" s="392" t="s">
        <v>1970</v>
      </c>
      <c r="G2081" s="392" t="s">
        <v>5995</v>
      </c>
      <c r="H2081" s="392" t="s">
        <v>5314</v>
      </c>
      <c r="I2081" s="392" t="s">
        <v>3529</v>
      </c>
      <c r="J2081" s="392" t="s">
        <v>8797</v>
      </c>
      <c r="K2081" s="392" t="s">
        <v>6657</v>
      </c>
      <c r="L2081" s="392" t="s">
        <v>5899</v>
      </c>
      <c r="M2081" s="392" t="s">
        <v>7273</v>
      </c>
      <c r="N2081" s="392" t="s">
        <v>7273</v>
      </c>
      <c r="O2081" s="392" t="s">
        <v>7273</v>
      </c>
      <c r="P2081"/>
      <c r="Q2081"/>
      <c r="R2081" s="387">
        <f>VLOOKUP(E2081,'[1]NDB Impacted SPRFs 05032013'!$A$2:$A$65536,1,FALSE)</f>
        <v>400003272</v>
      </c>
    </row>
    <row r="2082" spans="1:21" ht="45" x14ac:dyDescent="0.25">
      <c r="A2082" s="63" t="e">
        <f>MATCH($E2082,'D1 - Master Project Table'!$B$24:$B$7056,0)</f>
        <v>#N/A</v>
      </c>
      <c r="B2082" s="63" t="b">
        <f t="shared" si="96"/>
        <v>1</v>
      </c>
      <c r="C2082" s="63" t="b">
        <f t="shared" si="97"/>
        <v>1</v>
      </c>
      <c r="D2082" s="63" t="str">
        <f t="shared" si="98"/>
        <v>OK</v>
      </c>
      <c r="E2082" s="393">
        <v>400003358</v>
      </c>
      <c r="F2082" s="392" t="s">
        <v>6898</v>
      </c>
      <c r="G2082" s="392" t="s">
        <v>5324</v>
      </c>
      <c r="H2082" s="392" t="s">
        <v>7418</v>
      </c>
      <c r="I2082" s="392" t="s">
        <v>1765</v>
      </c>
      <c r="J2082" s="392" t="s">
        <v>2467</v>
      </c>
      <c r="K2082" s="392" t="s">
        <v>5580</v>
      </c>
      <c r="L2082" s="392" t="s">
        <v>5899</v>
      </c>
      <c r="M2082" s="392" t="s">
        <v>7273</v>
      </c>
      <c r="N2082" s="392" t="s">
        <v>7273</v>
      </c>
      <c r="O2082" s="392" t="s">
        <v>7273</v>
      </c>
      <c r="P2082"/>
      <c r="Q2082"/>
      <c r="R2082" s="387">
        <f>VLOOKUP(E2082,'[1]NDB Impacted SPRFs 05032013'!$A$2:$A$65536,1,FALSE)</f>
        <v>400003358</v>
      </c>
    </row>
    <row r="2083" spans="1:21" ht="45" x14ac:dyDescent="0.25">
      <c r="A2083" s="63">
        <f>MATCH($E2083,'D1 - Master Project Table'!$B$24:$B$7056,0)</f>
        <v>2438</v>
      </c>
      <c r="B2083" s="63" t="b">
        <f t="shared" si="96"/>
        <v>0</v>
      </c>
      <c r="C2083" s="63" t="b">
        <f t="shared" si="97"/>
        <v>1</v>
      </c>
      <c r="D2083" s="63" t="str">
        <f t="shared" si="98"/>
        <v>OK</v>
      </c>
      <c r="E2083" s="393">
        <v>400003669</v>
      </c>
      <c r="F2083" s="392" t="s">
        <v>7611</v>
      </c>
      <c r="G2083" s="392" t="s">
        <v>5324</v>
      </c>
      <c r="H2083" s="392" t="s">
        <v>5314</v>
      </c>
      <c r="I2083" s="392" t="s">
        <v>1765</v>
      </c>
      <c r="J2083" s="392" t="s">
        <v>8446</v>
      </c>
      <c r="K2083" s="392" t="s">
        <v>2467</v>
      </c>
      <c r="L2083" s="392" t="s">
        <v>5899</v>
      </c>
      <c r="M2083" s="392" t="s">
        <v>7273</v>
      </c>
      <c r="N2083" s="392" t="s">
        <v>7273</v>
      </c>
      <c r="O2083" s="392" t="s">
        <v>7273</v>
      </c>
      <c r="P2083"/>
      <c r="Q2083"/>
      <c r="R2083" s="387">
        <f>VLOOKUP(E2083,'[1]NDB Impacted SPRFs 05032013'!$A$2:$A$65536,1,FALSE)</f>
        <v>400003669</v>
      </c>
    </row>
    <row r="2084" spans="1:21" ht="45" x14ac:dyDescent="0.25">
      <c r="A2084" s="63">
        <f>MATCH($E2084,'D1 - Master Project Table'!$B$24:$B$7056,0)</f>
        <v>2451</v>
      </c>
      <c r="B2084" s="63" t="b">
        <f t="shared" si="96"/>
        <v>0</v>
      </c>
      <c r="C2084" s="63" t="b">
        <f t="shared" si="97"/>
        <v>1</v>
      </c>
      <c r="D2084" s="63" t="str">
        <f t="shared" si="98"/>
        <v>OK</v>
      </c>
      <c r="E2084" s="393">
        <v>400004129</v>
      </c>
      <c r="F2084" s="392" t="s">
        <v>3316</v>
      </c>
      <c r="G2084" s="392" t="s">
        <v>5324</v>
      </c>
      <c r="H2084" s="392" t="s">
        <v>5314</v>
      </c>
      <c r="I2084" s="392" t="s">
        <v>1765</v>
      </c>
      <c r="J2084" s="392" t="s">
        <v>2467</v>
      </c>
      <c r="K2084" s="392" t="s">
        <v>2467</v>
      </c>
      <c r="L2084" s="392" t="s">
        <v>5899</v>
      </c>
      <c r="M2084" s="392" t="s">
        <v>7273</v>
      </c>
      <c r="N2084" s="392" t="s">
        <v>7273</v>
      </c>
      <c r="O2084" s="392" t="s">
        <v>7273</v>
      </c>
      <c r="P2084"/>
      <c r="Q2084"/>
      <c r="R2084" s="387">
        <f>VLOOKUP(E2084,'[1]NDB Impacted SPRFs 05032013'!$A$2:$A$65536,1,FALSE)</f>
        <v>400004129</v>
      </c>
      <c r="S2084" s="159"/>
      <c r="T2084" s="159"/>
      <c r="U2084" s="159"/>
    </row>
    <row r="2085" spans="1:21" ht="30" x14ac:dyDescent="0.25">
      <c r="A2085" s="63" t="e">
        <f>MATCH($E2085,'D1 - Master Project Table'!$B$24:$B$7056,0)</f>
        <v>#N/A</v>
      </c>
      <c r="B2085" s="63" t="b">
        <f t="shared" si="96"/>
        <v>1</v>
      </c>
      <c r="C2085" s="63" t="b">
        <f t="shared" si="97"/>
        <v>1</v>
      </c>
      <c r="D2085" s="63" t="str">
        <f t="shared" si="98"/>
        <v>OK</v>
      </c>
      <c r="E2085" s="393">
        <v>400028533</v>
      </c>
      <c r="F2085" s="392" t="s">
        <v>6568</v>
      </c>
      <c r="G2085" s="392" t="s">
        <v>6065</v>
      </c>
      <c r="H2085" s="392" t="s">
        <v>5314</v>
      </c>
      <c r="I2085" s="392" t="s">
        <v>2855</v>
      </c>
      <c r="J2085" s="392" t="s">
        <v>8310</v>
      </c>
      <c r="K2085" s="392" t="s">
        <v>7278</v>
      </c>
      <c r="L2085" s="392" t="s">
        <v>7279</v>
      </c>
      <c r="M2085" s="392" t="s">
        <v>3758</v>
      </c>
      <c r="N2085" s="392" t="s">
        <v>7273</v>
      </c>
      <c r="O2085" s="392" t="s">
        <v>7273</v>
      </c>
      <c r="P2085"/>
      <c r="Q2085"/>
      <c r="R2085" s="387">
        <f>VLOOKUP(E2085,'[1]NDB Impacted SPRFs 05032013'!$A$2:$A$65536,1,FALSE)</f>
        <v>400028533</v>
      </c>
      <c r="S2085" s="159"/>
      <c r="T2085" s="159"/>
      <c r="U2085" s="159"/>
    </row>
    <row r="2086" spans="1:21" ht="45" x14ac:dyDescent="0.25">
      <c r="A2086" s="63">
        <f>MATCH($E2086,'D1 - Master Project Table'!$B$24:$B$7056,0)</f>
        <v>1068</v>
      </c>
      <c r="B2086" s="63" t="b">
        <f t="shared" si="96"/>
        <v>0</v>
      </c>
      <c r="C2086" s="63" t="b">
        <f t="shared" si="97"/>
        <v>1</v>
      </c>
      <c r="D2086" s="63" t="str">
        <f t="shared" si="98"/>
        <v>OK</v>
      </c>
      <c r="E2086" s="393">
        <v>400029397</v>
      </c>
      <c r="F2086" s="392" t="s">
        <v>6124</v>
      </c>
      <c r="G2086" s="392" t="s">
        <v>5324</v>
      </c>
      <c r="H2086" s="392" t="s">
        <v>7418</v>
      </c>
      <c r="I2086" s="392" t="s">
        <v>1763</v>
      </c>
      <c r="J2086" s="392" t="s">
        <v>6851</v>
      </c>
      <c r="K2086" s="392" t="s">
        <v>8075</v>
      </c>
      <c r="L2086" s="392" t="s">
        <v>5899</v>
      </c>
      <c r="M2086" s="392" t="s">
        <v>7273</v>
      </c>
      <c r="N2086" s="392" t="s">
        <v>7273</v>
      </c>
      <c r="O2086" s="392" t="s">
        <v>7273</v>
      </c>
      <c r="P2086"/>
      <c r="Q2086"/>
      <c r="R2086" s="387">
        <f>VLOOKUP(E2086,'[1]NDB Impacted SPRFs 05032013'!$A$2:$A$65536,1,FALSE)</f>
        <v>400029397</v>
      </c>
      <c r="S2086" s="159"/>
      <c r="T2086" s="159"/>
      <c r="U2086" s="159"/>
    </row>
    <row r="2087" spans="1:21" ht="45" x14ac:dyDescent="0.25">
      <c r="A2087" s="63">
        <f>MATCH($E2087,'D1 - Master Project Table'!$B$24:$B$7056,0)</f>
        <v>1369</v>
      </c>
      <c r="B2087" s="63" t="b">
        <f t="shared" si="96"/>
        <v>0</v>
      </c>
      <c r="C2087" s="63" t="b">
        <f t="shared" si="97"/>
        <v>1</v>
      </c>
      <c r="D2087" s="63" t="str">
        <f t="shared" si="98"/>
        <v>OK</v>
      </c>
      <c r="E2087" s="393">
        <v>400036792</v>
      </c>
      <c r="F2087" s="392" t="s">
        <v>3422</v>
      </c>
      <c r="G2087" s="392" t="s">
        <v>2041</v>
      </c>
      <c r="H2087" s="392" t="s">
        <v>7418</v>
      </c>
      <c r="I2087" s="392" t="s">
        <v>3629</v>
      </c>
      <c r="J2087" s="392" t="s">
        <v>8606</v>
      </c>
      <c r="K2087" s="392" t="s">
        <v>5353</v>
      </c>
      <c r="L2087" s="392" t="s">
        <v>4548</v>
      </c>
      <c r="M2087" s="392" t="s">
        <v>7273</v>
      </c>
      <c r="N2087" s="392" t="s">
        <v>7273</v>
      </c>
      <c r="O2087" s="392" t="s">
        <v>7273</v>
      </c>
      <c r="P2087"/>
      <c r="Q2087"/>
      <c r="R2087" s="387">
        <f>VLOOKUP(E2087,'[1]NDB Impacted SPRFs 05032013'!$A$2:$A$65536,1,FALSE)</f>
        <v>400036792</v>
      </c>
      <c r="S2087" s="159"/>
      <c r="T2087" s="159"/>
      <c r="U2087" s="159"/>
    </row>
    <row r="2088" spans="1:21" ht="15" x14ac:dyDescent="0.25">
      <c r="A2088" s="63">
        <f>MATCH($E2088,'D1 - Master Project Table'!$B$24:$B$7056,0)</f>
        <v>1632</v>
      </c>
      <c r="B2088" s="63" t="b">
        <f t="shared" si="96"/>
        <v>0</v>
      </c>
      <c r="C2088" s="63" t="b">
        <f t="shared" si="97"/>
        <v>1</v>
      </c>
      <c r="D2088" s="63" t="str">
        <f t="shared" si="98"/>
        <v>OK</v>
      </c>
      <c r="E2088" s="393">
        <v>400048978</v>
      </c>
      <c r="F2088" s="392" t="s">
        <v>2738</v>
      </c>
      <c r="G2088" s="392" t="s">
        <v>5995</v>
      </c>
      <c r="H2088" s="392" t="s">
        <v>5314</v>
      </c>
      <c r="I2088" s="392" t="s">
        <v>3533</v>
      </c>
      <c r="J2088" s="392" t="s">
        <v>2471</v>
      </c>
      <c r="K2088" s="392" t="s">
        <v>2739</v>
      </c>
      <c r="L2088" s="392" t="s">
        <v>2765</v>
      </c>
      <c r="M2088" s="392" t="s">
        <v>7273</v>
      </c>
      <c r="N2088" s="392" t="s">
        <v>7273</v>
      </c>
      <c r="O2088" s="392" t="s">
        <v>7273</v>
      </c>
      <c r="P2088"/>
      <c r="Q2088"/>
      <c r="R2088" s="387">
        <f>VLOOKUP(E2088,'[1]NDB Impacted SPRFs 05032013'!$A$2:$A$65536,1,FALSE)</f>
        <v>400048978</v>
      </c>
    </row>
    <row r="2089" spans="1:21" ht="45" x14ac:dyDescent="0.25">
      <c r="A2089" s="63" t="e">
        <f>MATCH($E2089,'D1 - Master Project Table'!$B$24:$B$7056,0)</f>
        <v>#N/A</v>
      </c>
      <c r="B2089" s="63" t="b">
        <f t="shared" si="96"/>
        <v>1</v>
      </c>
      <c r="C2089" s="63" t="b">
        <f t="shared" si="97"/>
        <v>1</v>
      </c>
      <c r="D2089" s="63" t="str">
        <f t="shared" si="98"/>
        <v>OK</v>
      </c>
      <c r="E2089" s="393">
        <v>303071453</v>
      </c>
      <c r="F2089" s="392" t="s">
        <v>4198</v>
      </c>
      <c r="G2089" s="392" t="s">
        <v>5324</v>
      </c>
      <c r="H2089" s="392" t="s">
        <v>7418</v>
      </c>
      <c r="I2089" s="392" t="s">
        <v>1765</v>
      </c>
      <c r="J2089" s="392" t="s">
        <v>5580</v>
      </c>
      <c r="K2089" s="392" t="s">
        <v>5561</v>
      </c>
      <c r="L2089" s="392" t="s">
        <v>4199</v>
      </c>
      <c r="M2089" s="392" t="s">
        <v>7273</v>
      </c>
      <c r="N2089" s="392" t="s">
        <v>7273</v>
      </c>
      <c r="O2089" s="392" t="s">
        <v>7273</v>
      </c>
      <c r="P2089"/>
      <c r="Q2089"/>
      <c r="R2089" s="387">
        <f>VLOOKUP(E2089,'[1]NDB Impacted SPRFs 05032013'!$A$2:$A$65536,1,FALSE)</f>
        <v>303071453</v>
      </c>
      <c r="S2089" s="159"/>
      <c r="T2089" s="159"/>
      <c r="U2089" s="159"/>
    </row>
    <row r="2090" spans="1:21" ht="30" x14ac:dyDescent="0.25">
      <c r="A2090" s="63">
        <f>MATCH($E2090,'D1 - Master Project Table'!$B$24:$B$7056,0)</f>
        <v>1890</v>
      </c>
      <c r="B2090" s="63" t="b">
        <f t="shared" si="96"/>
        <v>0</v>
      </c>
      <c r="C2090" s="63" t="b">
        <f t="shared" si="97"/>
        <v>1</v>
      </c>
      <c r="D2090" s="63" t="str">
        <f t="shared" si="98"/>
        <v>OK</v>
      </c>
      <c r="E2090" s="393">
        <v>400004717</v>
      </c>
      <c r="F2090" s="392" t="s">
        <v>4403</v>
      </c>
      <c r="G2090" s="392" t="s">
        <v>5787</v>
      </c>
      <c r="H2090" s="392" t="s">
        <v>7418</v>
      </c>
      <c r="I2090" s="392" t="s">
        <v>1780</v>
      </c>
      <c r="J2090" s="392" t="s">
        <v>5025</v>
      </c>
      <c r="K2090" s="392" t="s">
        <v>3353</v>
      </c>
      <c r="L2090" s="392" t="s">
        <v>4241</v>
      </c>
      <c r="M2090" s="392" t="s">
        <v>7273</v>
      </c>
      <c r="N2090" s="392" t="s">
        <v>7273</v>
      </c>
      <c r="O2090" s="392" t="s">
        <v>7273</v>
      </c>
      <c r="P2090"/>
      <c r="Q2090"/>
      <c r="R2090" s="387">
        <f>VLOOKUP(E2090,'[1]NDB Impacted SPRFs 05032013'!$A$2:$A$65536,1,FALSE)</f>
        <v>400004717</v>
      </c>
    </row>
    <row r="2091" spans="1:21" ht="45" x14ac:dyDescent="0.25">
      <c r="A2091" s="63">
        <f>MATCH($E2091,'D1 - Master Project Table'!$B$24:$B$7056,0)</f>
        <v>2647</v>
      </c>
      <c r="B2091" s="63" t="b">
        <f t="shared" si="96"/>
        <v>0</v>
      </c>
      <c r="C2091" s="63" t="b">
        <f t="shared" si="97"/>
        <v>1</v>
      </c>
      <c r="D2091" s="63" t="str">
        <f t="shared" si="98"/>
        <v>OK</v>
      </c>
      <c r="E2091" s="393">
        <v>400015137</v>
      </c>
      <c r="F2091" s="392" t="s">
        <v>3276</v>
      </c>
      <c r="G2091" s="392" t="s">
        <v>5325</v>
      </c>
      <c r="H2091" s="392" t="s">
        <v>5314</v>
      </c>
      <c r="I2091" s="392" t="s">
        <v>1794</v>
      </c>
      <c r="J2091" s="392" t="s">
        <v>8256</v>
      </c>
      <c r="K2091" s="392" t="s">
        <v>3818</v>
      </c>
      <c r="L2091" s="392" t="s">
        <v>4915</v>
      </c>
      <c r="M2091" s="392" t="s">
        <v>7273</v>
      </c>
      <c r="N2091" s="392" t="s">
        <v>7273</v>
      </c>
      <c r="O2091" s="392" t="s">
        <v>7273</v>
      </c>
      <c r="P2091"/>
      <c r="Q2091"/>
      <c r="R2091" s="387">
        <f>VLOOKUP(E2091,'[1]NDB Impacted SPRFs 05032013'!$A$2:$A$65536,1,FALSE)</f>
        <v>400015137</v>
      </c>
      <c r="S2091" s="159"/>
      <c r="T2091" s="159"/>
      <c r="U2091" s="159"/>
    </row>
    <row r="2092" spans="1:21" ht="45" x14ac:dyDescent="0.25">
      <c r="A2092" s="63">
        <f>MATCH($E2092,'D1 - Master Project Table'!$B$24:$B$7056,0)</f>
        <v>3123</v>
      </c>
      <c r="B2092" s="63" t="b">
        <f t="shared" si="96"/>
        <v>0</v>
      </c>
      <c r="C2092" s="63" t="b">
        <f t="shared" si="97"/>
        <v>1</v>
      </c>
      <c r="D2092" s="63" t="str">
        <f t="shared" si="98"/>
        <v>OK</v>
      </c>
      <c r="E2092" s="393">
        <v>400052785</v>
      </c>
      <c r="F2092" s="392" t="s">
        <v>1836</v>
      </c>
      <c r="G2092" s="392" t="s">
        <v>5324</v>
      </c>
      <c r="H2092" s="392" t="s">
        <v>5314</v>
      </c>
      <c r="I2092" s="392" t="s">
        <v>1786</v>
      </c>
      <c r="J2092" s="392" t="s">
        <v>8481</v>
      </c>
      <c r="K2092" s="392" t="s">
        <v>207</v>
      </c>
      <c r="L2092" s="392" t="s">
        <v>3040</v>
      </c>
      <c r="M2092" s="392" t="s">
        <v>7273</v>
      </c>
      <c r="N2092" s="392" t="s">
        <v>7273</v>
      </c>
      <c r="O2092" s="392" t="s">
        <v>7273</v>
      </c>
      <c r="P2092"/>
      <c r="Q2092"/>
      <c r="R2092" s="387">
        <f>VLOOKUP(E2092,'[1]NDB Impacted SPRFs 05032013'!$A$2:$A$65536,1,FALSE)</f>
        <v>400052785</v>
      </c>
      <c r="S2092" s="159"/>
      <c r="T2092" s="159"/>
      <c r="U2092" s="159"/>
    </row>
    <row r="2093" spans="1:21" ht="45" x14ac:dyDescent="0.25">
      <c r="A2093" s="63">
        <f>MATCH($E2093,'D1 - Master Project Table'!$B$24:$B$7056,0)</f>
        <v>249</v>
      </c>
      <c r="B2093" s="63" t="b">
        <f t="shared" si="96"/>
        <v>0</v>
      </c>
      <c r="C2093" s="63" t="b">
        <f t="shared" si="97"/>
        <v>0</v>
      </c>
      <c r="D2093" s="63" t="str">
        <f t="shared" si="98"/>
        <v>OK</v>
      </c>
      <c r="E2093" s="393">
        <v>400058206</v>
      </c>
      <c r="F2093" s="392" t="s">
        <v>9442</v>
      </c>
      <c r="G2093" s="392" t="s">
        <v>5324</v>
      </c>
      <c r="H2093" s="392" t="s">
        <v>8012</v>
      </c>
      <c r="I2093" s="392" t="s">
        <v>1763</v>
      </c>
      <c r="J2093" s="392" t="s">
        <v>9443</v>
      </c>
      <c r="K2093" s="392" t="s">
        <v>9444</v>
      </c>
      <c r="L2093" s="392" t="s">
        <v>9445</v>
      </c>
      <c r="M2093" s="392" t="s">
        <v>7273</v>
      </c>
      <c r="N2093" s="392" t="s">
        <v>7273</v>
      </c>
      <c r="O2093" s="392" t="s">
        <v>3758</v>
      </c>
      <c r="P2093"/>
      <c r="Q2093"/>
      <c r="R2093" s="387">
        <f>VLOOKUP(E2093,'[1]NDB Impacted SPRFs 05032013'!$A$2:$A$65536,1,FALSE)</f>
        <v>400058206</v>
      </c>
      <c r="S2093" s="159"/>
      <c r="T2093" s="159"/>
      <c r="U2093" s="159"/>
    </row>
    <row r="2094" spans="1:21" ht="45" x14ac:dyDescent="0.25">
      <c r="A2094" s="63" t="e">
        <f>MATCH($E2094,'D1 - Master Project Table'!$B$24:$B$7056,0)</f>
        <v>#N/A</v>
      </c>
      <c r="B2094" s="63" t="b">
        <f t="shared" si="96"/>
        <v>1</v>
      </c>
      <c r="C2094" s="63" t="b">
        <f t="shared" si="97"/>
        <v>1</v>
      </c>
      <c r="D2094" s="63" t="str">
        <f t="shared" si="98"/>
        <v>OK</v>
      </c>
      <c r="E2094" s="393">
        <v>400000495</v>
      </c>
      <c r="F2094" s="392" t="s">
        <v>3850</v>
      </c>
      <c r="G2094" s="392" t="s">
        <v>5324</v>
      </c>
      <c r="H2094" s="392" t="s">
        <v>5314</v>
      </c>
      <c r="I2094" s="392" t="s">
        <v>1766</v>
      </c>
      <c r="J2094" s="392" t="s">
        <v>8349</v>
      </c>
      <c r="K2094" s="392" t="s">
        <v>5853</v>
      </c>
      <c r="L2094" s="392" t="s">
        <v>6875</v>
      </c>
      <c r="M2094" s="392" t="s">
        <v>7273</v>
      </c>
      <c r="N2094" s="392" t="s">
        <v>7273</v>
      </c>
      <c r="O2094" s="392" t="s">
        <v>7273</v>
      </c>
      <c r="P2094"/>
      <c r="Q2094"/>
      <c r="R2094" s="387">
        <f>VLOOKUP(E2094,'[1]NDB Impacted SPRFs 05032013'!$A$2:$A$65536,1,FALSE)</f>
        <v>400000495</v>
      </c>
      <c r="S2094" s="159"/>
      <c r="T2094" s="159"/>
      <c r="U2094" s="159"/>
    </row>
    <row r="2095" spans="1:21" ht="45" x14ac:dyDescent="0.25">
      <c r="A2095" s="63" t="e">
        <f>MATCH($E2095,'D1 - Master Project Table'!$B$24:$B$7056,0)</f>
        <v>#N/A</v>
      </c>
      <c r="B2095" s="63" t="b">
        <f t="shared" si="96"/>
        <v>1</v>
      </c>
      <c r="C2095" s="63" t="b">
        <f t="shared" si="97"/>
        <v>1</v>
      </c>
      <c r="D2095" s="63" t="str">
        <f t="shared" si="98"/>
        <v>OK</v>
      </c>
      <c r="E2095" s="393">
        <v>400000684</v>
      </c>
      <c r="F2095" s="392" t="s">
        <v>4139</v>
      </c>
      <c r="G2095" s="392" t="s">
        <v>5324</v>
      </c>
      <c r="H2095" s="392" t="s">
        <v>7418</v>
      </c>
      <c r="I2095" s="392" t="s">
        <v>1765</v>
      </c>
      <c r="J2095" s="392" t="s">
        <v>7935</v>
      </c>
      <c r="K2095" s="392" t="s">
        <v>5853</v>
      </c>
      <c r="L2095" s="392" t="s">
        <v>6875</v>
      </c>
      <c r="M2095" s="392" t="s">
        <v>7273</v>
      </c>
      <c r="N2095" s="392" t="s">
        <v>7273</v>
      </c>
      <c r="O2095" s="392" t="s">
        <v>7273</v>
      </c>
      <c r="P2095"/>
      <c r="Q2095"/>
      <c r="R2095" s="387">
        <f>VLOOKUP(E2095,'[1]NDB Impacted SPRFs 05032013'!$A$2:$A$65536,1,FALSE)</f>
        <v>400000684</v>
      </c>
      <c r="S2095" s="159"/>
      <c r="T2095" s="159"/>
      <c r="U2095" s="159"/>
    </row>
    <row r="2096" spans="1:21" ht="45" x14ac:dyDescent="0.25">
      <c r="A2096" s="63" t="e">
        <f>MATCH($E2096,'D1 - Master Project Table'!$B$24:$B$7056,0)</f>
        <v>#N/A</v>
      </c>
      <c r="B2096" s="63" t="b">
        <f t="shared" ref="B2096:B2159" si="99">ISERROR(A2096)</f>
        <v>1</v>
      </c>
      <c r="C2096" s="63" t="b">
        <f t="shared" si="97"/>
        <v>1</v>
      </c>
      <c r="D2096" s="63" t="str">
        <f t="shared" si="98"/>
        <v>OK</v>
      </c>
      <c r="E2096" s="393">
        <v>400003628</v>
      </c>
      <c r="F2096" s="392" t="s">
        <v>4615</v>
      </c>
      <c r="G2096" s="392" t="s">
        <v>5325</v>
      </c>
      <c r="H2096" s="392" t="s">
        <v>7418</v>
      </c>
      <c r="I2096" s="392" t="s">
        <v>1794</v>
      </c>
      <c r="J2096" s="392" t="s">
        <v>3780</v>
      </c>
      <c r="K2096" s="392" t="s">
        <v>1599</v>
      </c>
      <c r="L2096" s="392" t="s">
        <v>3223</v>
      </c>
      <c r="M2096" s="392" t="s">
        <v>7273</v>
      </c>
      <c r="N2096" s="392" t="s">
        <v>7273</v>
      </c>
      <c r="O2096" s="392" t="s">
        <v>7273</v>
      </c>
      <c r="P2096"/>
      <c r="Q2096"/>
      <c r="R2096" s="387">
        <f>VLOOKUP(E2096,'[1]NDB Impacted SPRFs 05032013'!$A$2:$A$65536,1,FALSE)</f>
        <v>400003628</v>
      </c>
      <c r="S2096" s="159"/>
      <c r="T2096" s="159"/>
      <c r="U2096" s="159"/>
    </row>
    <row r="2097" spans="1:21" ht="45" x14ac:dyDescent="0.25">
      <c r="A2097" s="63">
        <f>MATCH($E2097,'D1 - Master Project Table'!$B$24:$B$7056,0)</f>
        <v>222</v>
      </c>
      <c r="B2097" s="63" t="b">
        <f t="shared" si="99"/>
        <v>0</v>
      </c>
      <c r="C2097" s="63" t="b">
        <f t="shared" si="97"/>
        <v>0</v>
      </c>
      <c r="D2097" s="63" t="str">
        <f t="shared" si="98"/>
        <v>OK</v>
      </c>
      <c r="E2097" s="393">
        <v>400054593</v>
      </c>
      <c r="F2097" s="392" t="s">
        <v>8984</v>
      </c>
      <c r="G2097" s="392" t="s">
        <v>5324</v>
      </c>
      <c r="H2097" s="392" t="s">
        <v>8012</v>
      </c>
      <c r="I2097" s="392" t="s">
        <v>1758</v>
      </c>
      <c r="J2097" s="392" t="s">
        <v>8985</v>
      </c>
      <c r="K2097" s="392" t="s">
        <v>168</v>
      </c>
      <c r="L2097" s="392" t="s">
        <v>8986</v>
      </c>
      <c r="M2097" s="392" t="s">
        <v>7273</v>
      </c>
      <c r="N2097" s="392" t="s">
        <v>7273</v>
      </c>
      <c r="O2097" s="392" t="s">
        <v>7273</v>
      </c>
      <c r="P2097"/>
      <c r="Q2097"/>
      <c r="R2097" s="387">
        <f>VLOOKUP(E2097,'[1]NDB Impacted SPRFs 05032013'!$A$2:$A$65536,1,FALSE)</f>
        <v>400054593</v>
      </c>
      <c r="S2097" s="159"/>
      <c r="T2097" s="159"/>
      <c r="U2097" s="159"/>
    </row>
    <row r="2098" spans="1:21" ht="45" x14ac:dyDescent="0.25">
      <c r="A2098" s="63">
        <f>MATCH($E2098,'D1 - Master Project Table'!$B$24:$B$7056,0)</f>
        <v>2356</v>
      </c>
      <c r="B2098" s="63" t="b">
        <f t="shared" si="99"/>
        <v>0</v>
      </c>
      <c r="C2098" s="63" t="b">
        <f t="shared" si="97"/>
        <v>1</v>
      </c>
      <c r="D2098" s="63" t="str">
        <f t="shared" si="98"/>
        <v>OK</v>
      </c>
      <c r="E2098" s="393">
        <v>400000171</v>
      </c>
      <c r="F2098" s="392" t="s">
        <v>7644</v>
      </c>
      <c r="G2098" s="392" t="s">
        <v>5324</v>
      </c>
      <c r="H2098" s="392" t="s">
        <v>5314</v>
      </c>
      <c r="I2098" s="392" t="s">
        <v>1768</v>
      </c>
      <c r="J2098" s="392" t="s">
        <v>8272</v>
      </c>
      <c r="K2098" s="392" t="s">
        <v>7224</v>
      </c>
      <c r="L2098" s="392" t="s">
        <v>7486</v>
      </c>
      <c r="M2098" s="392" t="s">
        <v>3758</v>
      </c>
      <c r="N2098" s="392" t="s">
        <v>7273</v>
      </c>
      <c r="O2098" s="392" t="s">
        <v>7273</v>
      </c>
      <c r="P2098"/>
      <c r="Q2098"/>
      <c r="R2098" s="387">
        <f>VLOOKUP(E2098,'[1]NDB Impacted SPRFs 05032013'!$A$2:$A$65536,1,FALSE)</f>
        <v>400000171</v>
      </c>
      <c r="S2098" s="159"/>
      <c r="T2098" s="159"/>
      <c r="U2098" s="159"/>
    </row>
    <row r="2099" spans="1:21" ht="45" x14ac:dyDescent="0.25">
      <c r="A2099" s="63">
        <f>MATCH($E2099,'D1 - Master Project Table'!$B$24:$B$7056,0)</f>
        <v>2445</v>
      </c>
      <c r="B2099" s="147" t="b">
        <f t="shared" si="99"/>
        <v>0</v>
      </c>
      <c r="C2099" s="147" t="b">
        <f t="shared" si="97"/>
        <v>1</v>
      </c>
      <c r="D2099" s="147" t="str">
        <f t="shared" si="98"/>
        <v>OK</v>
      </c>
      <c r="E2099" s="393">
        <v>400003876</v>
      </c>
      <c r="F2099" s="392" t="s">
        <v>986</v>
      </c>
      <c r="G2099" s="392" t="s">
        <v>5324</v>
      </c>
      <c r="H2099" s="392" t="s">
        <v>5314</v>
      </c>
      <c r="I2099" s="392" t="s">
        <v>1765</v>
      </c>
      <c r="J2099" s="392" t="s">
        <v>2937</v>
      </c>
      <c r="K2099" s="392" t="s">
        <v>5641</v>
      </c>
      <c r="L2099" s="392" t="s">
        <v>7149</v>
      </c>
      <c r="M2099" s="392" t="s">
        <v>7273</v>
      </c>
      <c r="N2099" s="392" t="s">
        <v>7273</v>
      </c>
      <c r="O2099" s="392" t="s">
        <v>7273</v>
      </c>
      <c r="P2099"/>
      <c r="Q2099"/>
      <c r="R2099" s="387">
        <f>VLOOKUP(E2099,'[1]NDB Impacted SPRFs 05032013'!$A$2:$A$65536,1,FALSE)</f>
        <v>400003876</v>
      </c>
      <c r="S2099" s="159"/>
      <c r="T2099" s="159"/>
      <c r="U2099" s="159"/>
    </row>
    <row r="2100" spans="1:21" ht="45" x14ac:dyDescent="0.25">
      <c r="A2100" s="63">
        <f>MATCH($E2100,'D1 - Master Project Table'!$B$24:$B$7056,0)</f>
        <v>2466</v>
      </c>
      <c r="B2100" s="63" t="b">
        <f t="shared" si="99"/>
        <v>0</v>
      </c>
      <c r="C2100" s="63" t="b">
        <f t="shared" si="97"/>
        <v>1</v>
      </c>
      <c r="D2100" s="63" t="str">
        <f t="shared" si="98"/>
        <v>OK</v>
      </c>
      <c r="E2100" s="393">
        <v>400004603</v>
      </c>
      <c r="F2100" s="392" t="s">
        <v>2691</v>
      </c>
      <c r="G2100" s="392" t="s">
        <v>5324</v>
      </c>
      <c r="H2100" s="392" t="s">
        <v>5314</v>
      </c>
      <c r="I2100" s="392" t="s">
        <v>1765</v>
      </c>
      <c r="J2100" s="392" t="s">
        <v>8416</v>
      </c>
      <c r="K2100" s="392" t="s">
        <v>2692</v>
      </c>
      <c r="L2100" s="392" t="s">
        <v>2693</v>
      </c>
      <c r="M2100" s="392" t="s">
        <v>7273</v>
      </c>
      <c r="N2100" s="392" t="s">
        <v>7273</v>
      </c>
      <c r="O2100" s="392" t="s">
        <v>7273</v>
      </c>
      <c r="P2100"/>
      <c r="Q2100"/>
      <c r="R2100" s="387">
        <f>VLOOKUP(E2100,'[1]NDB Impacted SPRFs 05032013'!$A$2:$A$65536,1,FALSE)</f>
        <v>400004603</v>
      </c>
    </row>
    <row r="2101" spans="1:21" ht="45" x14ac:dyDescent="0.25">
      <c r="A2101" s="63">
        <f>MATCH($E2101,'D1 - Master Project Table'!$B$24:$B$7056,0)</f>
        <v>2474</v>
      </c>
      <c r="B2101" s="63" t="b">
        <f t="shared" si="99"/>
        <v>0</v>
      </c>
      <c r="C2101" s="63" t="b">
        <f t="shared" si="97"/>
        <v>1</v>
      </c>
      <c r="D2101" s="63" t="str">
        <f t="shared" si="98"/>
        <v>OK</v>
      </c>
      <c r="E2101" s="393">
        <v>400005051</v>
      </c>
      <c r="F2101" s="392" t="s">
        <v>4405</v>
      </c>
      <c r="G2101" s="392" t="s">
        <v>5324</v>
      </c>
      <c r="H2101" s="392" t="s">
        <v>5314</v>
      </c>
      <c r="I2101" s="392" t="s">
        <v>1765</v>
      </c>
      <c r="J2101" s="392" t="s">
        <v>8357</v>
      </c>
      <c r="K2101" s="392" t="s">
        <v>5641</v>
      </c>
      <c r="L2101" s="392" t="s">
        <v>7149</v>
      </c>
      <c r="M2101" s="392" t="s">
        <v>7273</v>
      </c>
      <c r="N2101" s="392" t="s">
        <v>7273</v>
      </c>
      <c r="O2101" s="392" t="s">
        <v>7273</v>
      </c>
      <c r="P2101"/>
      <c r="Q2101"/>
      <c r="R2101" s="387">
        <f>VLOOKUP(E2101,'[1]NDB Impacted SPRFs 05032013'!$A$2:$A$65536,1,FALSE)</f>
        <v>400005051</v>
      </c>
      <c r="S2101" s="159"/>
      <c r="T2101" s="159"/>
      <c r="U2101" s="159"/>
    </row>
    <row r="2102" spans="1:21" ht="45" x14ac:dyDescent="0.25">
      <c r="A2102" s="63">
        <f>MATCH($E2102,'D1 - Master Project Table'!$B$24:$B$7056,0)</f>
        <v>425</v>
      </c>
      <c r="B2102" s="63" t="b">
        <f t="shared" si="99"/>
        <v>0</v>
      </c>
      <c r="C2102" s="63" t="b">
        <f t="shared" si="97"/>
        <v>1</v>
      </c>
      <c r="D2102" s="63" t="str">
        <f t="shared" si="98"/>
        <v>OK</v>
      </c>
      <c r="E2102" s="393">
        <v>400005210</v>
      </c>
      <c r="F2102" s="392" t="s">
        <v>1632</v>
      </c>
      <c r="G2102" s="392" t="s">
        <v>5324</v>
      </c>
      <c r="H2102" s="392" t="s">
        <v>7418</v>
      </c>
      <c r="I2102" s="392" t="s">
        <v>1765</v>
      </c>
      <c r="J2102" s="392" t="s">
        <v>5473</v>
      </c>
      <c r="K2102" s="392" t="s">
        <v>6348</v>
      </c>
      <c r="L2102" s="392" t="s">
        <v>7149</v>
      </c>
      <c r="M2102" s="392" t="s">
        <v>7273</v>
      </c>
      <c r="N2102" s="392" t="s">
        <v>7273</v>
      </c>
      <c r="O2102" s="392" t="s">
        <v>7273</v>
      </c>
      <c r="P2102"/>
      <c r="Q2102"/>
      <c r="R2102" s="387">
        <f>VLOOKUP(E2102,'[1]NDB Impacted SPRFs 05032013'!$A$2:$A$65536,1,FALSE)</f>
        <v>400005210</v>
      </c>
      <c r="S2102" s="159"/>
      <c r="T2102" s="159"/>
      <c r="U2102" s="159"/>
    </row>
    <row r="2103" spans="1:21" ht="45" x14ac:dyDescent="0.25">
      <c r="A2103" s="63">
        <f>MATCH($E2103,'D1 - Master Project Table'!$B$24:$B$7056,0)</f>
        <v>381</v>
      </c>
      <c r="B2103" s="63" t="b">
        <f t="shared" si="99"/>
        <v>0</v>
      </c>
      <c r="C2103" s="63" t="b">
        <f t="shared" si="97"/>
        <v>1</v>
      </c>
      <c r="D2103" s="63" t="str">
        <f t="shared" si="98"/>
        <v>OK</v>
      </c>
      <c r="E2103" s="393">
        <v>400005798</v>
      </c>
      <c r="F2103" s="392" t="s">
        <v>1613</v>
      </c>
      <c r="G2103" s="392" t="s">
        <v>5324</v>
      </c>
      <c r="H2103" s="392" t="s">
        <v>7418</v>
      </c>
      <c r="I2103" s="392" t="s">
        <v>1768</v>
      </c>
      <c r="J2103" s="392" t="s">
        <v>8420</v>
      </c>
      <c r="K2103" s="392" t="s">
        <v>5641</v>
      </c>
      <c r="L2103" s="392" t="s">
        <v>7149</v>
      </c>
      <c r="M2103" s="392" t="s">
        <v>7273</v>
      </c>
      <c r="N2103" s="392" t="s">
        <v>7273</v>
      </c>
      <c r="O2103" s="392" t="s">
        <v>7273</v>
      </c>
      <c r="P2103"/>
      <c r="Q2103"/>
      <c r="R2103" s="387">
        <f>VLOOKUP(E2103,'[1]NDB Impacted SPRFs 05032013'!$A$2:$A$65536,1,FALSE)</f>
        <v>400005798</v>
      </c>
      <c r="S2103" s="159"/>
      <c r="T2103" s="159"/>
      <c r="U2103" s="159"/>
    </row>
    <row r="2104" spans="1:21" ht="45" customHeight="1" x14ac:dyDescent="0.25">
      <c r="A2104" s="63">
        <f>MATCH($E2104,'D1 - Master Project Table'!$B$24:$B$7056,0)</f>
        <v>2523</v>
      </c>
      <c r="B2104" s="63" t="b">
        <f t="shared" si="99"/>
        <v>0</v>
      </c>
      <c r="C2104" s="63" t="b">
        <f t="shared" si="97"/>
        <v>1</v>
      </c>
      <c r="D2104" s="63" t="str">
        <f t="shared" si="98"/>
        <v>OK</v>
      </c>
      <c r="E2104" s="393">
        <v>400007836</v>
      </c>
      <c r="F2104" s="392" t="s">
        <v>5681</v>
      </c>
      <c r="G2104" s="392" t="s">
        <v>5324</v>
      </c>
      <c r="H2104" s="392" t="s">
        <v>5314</v>
      </c>
      <c r="I2104" s="392" t="s">
        <v>1765</v>
      </c>
      <c r="J2104" s="392" t="s">
        <v>8335</v>
      </c>
      <c r="K2104" s="392" t="s">
        <v>5641</v>
      </c>
      <c r="L2104" s="392" t="s">
        <v>7149</v>
      </c>
      <c r="M2104" s="392" t="s">
        <v>7273</v>
      </c>
      <c r="N2104" s="392" t="s">
        <v>7273</v>
      </c>
      <c r="O2104" s="392" t="s">
        <v>7273</v>
      </c>
      <c r="P2104"/>
      <c r="Q2104"/>
      <c r="R2104" s="387">
        <f>VLOOKUP(E2104,'[1]NDB Impacted SPRFs 05032013'!$A$2:$A$65536,1,FALSE)</f>
        <v>400007836</v>
      </c>
    </row>
    <row r="2105" spans="1:21" ht="45" x14ac:dyDescent="0.25">
      <c r="A2105" s="63">
        <f>MATCH($E2105,'D1 - Master Project Table'!$B$24:$B$7056,0)</f>
        <v>413</v>
      </c>
      <c r="B2105" s="63" t="b">
        <f t="shared" si="99"/>
        <v>0</v>
      </c>
      <c r="C2105" s="63" t="b">
        <f t="shared" si="97"/>
        <v>1</v>
      </c>
      <c r="D2105" s="63" t="str">
        <f t="shared" si="98"/>
        <v>OK</v>
      </c>
      <c r="E2105" s="393">
        <v>400009621</v>
      </c>
      <c r="F2105" s="392" t="s">
        <v>4228</v>
      </c>
      <c r="G2105" s="392" t="s">
        <v>5324</v>
      </c>
      <c r="H2105" s="392" t="s">
        <v>7418</v>
      </c>
      <c r="I2105" s="392" t="s">
        <v>1765</v>
      </c>
      <c r="J2105" s="392" t="s">
        <v>7233</v>
      </c>
      <c r="K2105" s="392" t="s">
        <v>5210</v>
      </c>
      <c r="L2105" s="392" t="s">
        <v>7149</v>
      </c>
      <c r="M2105" s="392" t="s">
        <v>7273</v>
      </c>
      <c r="N2105" s="392" t="s">
        <v>7273</v>
      </c>
      <c r="O2105" s="392" t="s">
        <v>7273</v>
      </c>
      <c r="P2105"/>
      <c r="Q2105"/>
      <c r="R2105" s="387">
        <f>VLOOKUP(E2105,'[1]NDB Impacted SPRFs 05032013'!$A$2:$A$65536,1,FALSE)</f>
        <v>400009621</v>
      </c>
    </row>
    <row r="2106" spans="1:21" ht="45" x14ac:dyDescent="0.25">
      <c r="A2106" s="63" t="e">
        <f>MATCH($E2106,'D1 - Master Project Table'!$B$24:$B$7056,0)</f>
        <v>#N/A</v>
      </c>
      <c r="B2106" s="63" t="b">
        <f t="shared" si="99"/>
        <v>1</v>
      </c>
      <c r="C2106" s="63" t="b">
        <f t="shared" si="97"/>
        <v>1</v>
      </c>
      <c r="D2106" s="63" t="str">
        <f t="shared" si="98"/>
        <v>OK</v>
      </c>
      <c r="E2106" s="393">
        <v>400009625</v>
      </c>
      <c r="F2106" s="392" t="s">
        <v>5160</v>
      </c>
      <c r="G2106" s="392" t="s">
        <v>5324</v>
      </c>
      <c r="H2106" s="392" t="s">
        <v>5314</v>
      </c>
      <c r="I2106" s="392" t="s">
        <v>1765</v>
      </c>
      <c r="J2106" s="392" t="s">
        <v>8553</v>
      </c>
      <c r="K2106" s="392" t="s">
        <v>5580</v>
      </c>
      <c r="L2106" s="392" t="s">
        <v>7149</v>
      </c>
      <c r="M2106" s="392" t="s">
        <v>7273</v>
      </c>
      <c r="N2106" s="392" t="s">
        <v>7273</v>
      </c>
      <c r="O2106" s="392" t="s">
        <v>7273</v>
      </c>
      <c r="P2106"/>
      <c r="Q2106"/>
      <c r="R2106" s="387">
        <f>VLOOKUP(E2106,'[1]NDB Impacted SPRFs 05032013'!$A$2:$A$65536,1,FALSE)</f>
        <v>400009625</v>
      </c>
      <c r="S2106" s="159"/>
      <c r="T2106" s="159"/>
      <c r="U2106" s="159"/>
    </row>
    <row r="2107" spans="1:21" ht="45" x14ac:dyDescent="0.25">
      <c r="A2107" s="63">
        <f>MATCH($E2107,'D1 - Master Project Table'!$B$24:$B$7056,0)</f>
        <v>2561</v>
      </c>
      <c r="B2107" s="63" t="b">
        <f t="shared" si="99"/>
        <v>0</v>
      </c>
      <c r="C2107" s="63" t="b">
        <f t="shared" si="97"/>
        <v>1</v>
      </c>
      <c r="D2107" s="63" t="str">
        <f t="shared" si="98"/>
        <v>OK</v>
      </c>
      <c r="E2107" s="393">
        <v>400009678</v>
      </c>
      <c r="F2107" s="392" t="s">
        <v>2813</v>
      </c>
      <c r="G2107" s="392" t="s">
        <v>5324</v>
      </c>
      <c r="H2107" s="392" t="s">
        <v>5314</v>
      </c>
      <c r="I2107" s="392" t="s">
        <v>1765</v>
      </c>
      <c r="J2107" s="392" t="s">
        <v>7233</v>
      </c>
      <c r="K2107" s="392" t="s">
        <v>5641</v>
      </c>
      <c r="L2107" s="392" t="s">
        <v>7149</v>
      </c>
      <c r="M2107" s="392" t="s">
        <v>7273</v>
      </c>
      <c r="N2107" s="392" t="s">
        <v>7273</v>
      </c>
      <c r="O2107" s="392" t="s">
        <v>7273</v>
      </c>
      <c r="P2107"/>
      <c r="Q2107"/>
      <c r="R2107" s="387">
        <f>VLOOKUP(E2107,'[1]NDB Impacted SPRFs 05032013'!$A$2:$A$65536,1,FALSE)</f>
        <v>400009678</v>
      </c>
      <c r="S2107" s="159"/>
      <c r="T2107" s="159"/>
      <c r="U2107" s="159"/>
    </row>
    <row r="2108" spans="1:21" ht="30" x14ac:dyDescent="0.25">
      <c r="A2108" s="63">
        <f>MATCH($E2108,'D1 - Master Project Table'!$B$24:$B$7056,0)</f>
        <v>2936</v>
      </c>
      <c r="B2108" s="63" t="b">
        <f t="shared" si="99"/>
        <v>0</v>
      </c>
      <c r="C2108" s="63" t="b">
        <f t="shared" si="97"/>
        <v>1</v>
      </c>
      <c r="D2108" s="63" t="str">
        <f t="shared" si="98"/>
        <v>OK</v>
      </c>
      <c r="E2108" s="393">
        <v>400033792</v>
      </c>
      <c r="F2108" s="392" t="s">
        <v>6480</v>
      </c>
      <c r="G2108" s="392" t="s">
        <v>5995</v>
      </c>
      <c r="H2108" s="392" t="s">
        <v>5314</v>
      </c>
      <c r="I2108" s="392" t="s">
        <v>6423</v>
      </c>
      <c r="J2108" s="392" t="s">
        <v>8074</v>
      </c>
      <c r="K2108" s="392" t="s">
        <v>5218</v>
      </c>
      <c r="L2108" s="392" t="s">
        <v>1899</v>
      </c>
      <c r="M2108" s="392" t="s">
        <v>7273</v>
      </c>
      <c r="N2108" s="392" t="s">
        <v>7273</v>
      </c>
      <c r="O2108" s="392" t="s">
        <v>7273</v>
      </c>
      <c r="P2108"/>
      <c r="Q2108"/>
      <c r="R2108" s="387">
        <f>VLOOKUP(E2108,'[1]NDB Impacted SPRFs 05032013'!$A$2:$A$65536,1,FALSE)</f>
        <v>400033792</v>
      </c>
      <c r="S2108" s="159"/>
      <c r="T2108" s="159"/>
      <c r="U2108" s="159"/>
    </row>
    <row r="2109" spans="1:21" ht="45" x14ac:dyDescent="0.25">
      <c r="A2109" s="63">
        <f>MATCH($E2109,'D1 - Master Project Table'!$B$24:$B$7056,0)</f>
        <v>1780</v>
      </c>
      <c r="B2109" s="63" t="b">
        <f t="shared" si="99"/>
        <v>0</v>
      </c>
      <c r="C2109" s="63" t="b">
        <f t="shared" si="97"/>
        <v>1</v>
      </c>
      <c r="D2109" s="63" t="str">
        <f t="shared" si="98"/>
        <v>OK</v>
      </c>
      <c r="E2109" s="393">
        <v>400052852</v>
      </c>
      <c r="F2109" s="392" t="s">
        <v>675</v>
      </c>
      <c r="G2109" s="392" t="s">
        <v>5324</v>
      </c>
      <c r="H2109" s="392" t="s">
        <v>7418</v>
      </c>
      <c r="I2109" s="392" t="s">
        <v>1759</v>
      </c>
      <c r="J2109" s="392" t="s">
        <v>517</v>
      </c>
      <c r="K2109" s="392" t="s">
        <v>518</v>
      </c>
      <c r="L2109" s="392" t="s">
        <v>7908</v>
      </c>
      <c r="M2109" s="392" t="s">
        <v>7273</v>
      </c>
      <c r="N2109" s="392" t="s">
        <v>7273</v>
      </c>
      <c r="O2109" s="392" t="s">
        <v>7273</v>
      </c>
      <c r="P2109"/>
      <c r="Q2109"/>
      <c r="R2109" s="387">
        <f>VLOOKUP(E2109,'[1]NDB Impacted SPRFs 05032013'!$A$2:$A$65536,1,FALSE)</f>
        <v>400052852</v>
      </c>
      <c r="S2109" s="159"/>
      <c r="T2109" s="159"/>
      <c r="U2109" s="159"/>
    </row>
    <row r="2110" spans="1:21" ht="45" x14ac:dyDescent="0.25">
      <c r="A2110" s="63">
        <f>MATCH($E2110,'D1 - Master Project Table'!$B$24:$B$7056,0)</f>
        <v>2481</v>
      </c>
      <c r="B2110" s="63" t="b">
        <f t="shared" si="99"/>
        <v>0</v>
      </c>
      <c r="C2110" s="63" t="b">
        <f t="shared" si="97"/>
        <v>1</v>
      </c>
      <c r="D2110" s="63" t="str">
        <f t="shared" si="98"/>
        <v>OK</v>
      </c>
      <c r="E2110" s="393">
        <v>400005534</v>
      </c>
      <c r="F2110" s="392" t="s">
        <v>4135</v>
      </c>
      <c r="G2110" s="392" t="s">
        <v>5324</v>
      </c>
      <c r="H2110" s="392" t="s">
        <v>7418</v>
      </c>
      <c r="I2110" s="392" t="s">
        <v>1759</v>
      </c>
      <c r="J2110" s="392" t="s">
        <v>8383</v>
      </c>
      <c r="K2110" s="392" t="s">
        <v>2833</v>
      </c>
      <c r="L2110" s="392" t="s">
        <v>3010</v>
      </c>
      <c r="M2110" s="392" t="s">
        <v>7273</v>
      </c>
      <c r="N2110" s="392" t="s">
        <v>7273</v>
      </c>
      <c r="O2110" s="392" t="s">
        <v>3758</v>
      </c>
      <c r="P2110"/>
      <c r="Q2110"/>
      <c r="R2110" s="387">
        <f>VLOOKUP(E2110,'[1]NDB Impacted SPRFs 05032013'!$A$2:$A$65536,1,FALSE)</f>
        <v>400005534</v>
      </c>
    </row>
    <row r="2111" spans="1:21" ht="45" x14ac:dyDescent="0.25">
      <c r="A2111" s="63">
        <f>MATCH($E2111,'D1 - Master Project Table'!$B$24:$B$7056,0)</f>
        <v>2060</v>
      </c>
      <c r="B2111" s="63" t="b">
        <f t="shared" si="99"/>
        <v>0</v>
      </c>
      <c r="C2111" s="63" t="b">
        <f t="shared" si="97"/>
        <v>1</v>
      </c>
      <c r="D2111" s="63" t="str">
        <f t="shared" si="98"/>
        <v>OK</v>
      </c>
      <c r="E2111" s="393">
        <v>400014029</v>
      </c>
      <c r="F2111" s="392" t="s">
        <v>6624</v>
      </c>
      <c r="G2111" s="392" t="s">
        <v>5324</v>
      </c>
      <c r="H2111" s="392" t="s">
        <v>5314</v>
      </c>
      <c r="I2111" s="392" t="s">
        <v>1759</v>
      </c>
      <c r="J2111" s="392" t="s">
        <v>8357</v>
      </c>
      <c r="K2111" s="392" t="s">
        <v>5184</v>
      </c>
      <c r="L2111" s="392" t="s">
        <v>4875</v>
      </c>
      <c r="M2111" s="392" t="s">
        <v>7273</v>
      </c>
      <c r="N2111" s="392" t="s">
        <v>7273</v>
      </c>
      <c r="O2111" s="392" t="s">
        <v>7273</v>
      </c>
      <c r="P2111"/>
      <c r="Q2111"/>
      <c r="R2111" s="387">
        <f>VLOOKUP(E2111,'[1]NDB Impacted SPRFs 05032013'!$A$2:$A$65536,1,FALSE)</f>
        <v>400014029</v>
      </c>
    </row>
    <row r="2112" spans="1:21" ht="45" x14ac:dyDescent="0.25">
      <c r="A2112" s="63">
        <f>MATCH($E2112,'D1 - Master Project Table'!$B$24:$B$7056,0)</f>
        <v>883</v>
      </c>
      <c r="B2112" s="63" t="b">
        <f t="shared" si="99"/>
        <v>0</v>
      </c>
      <c r="C2112" s="63" t="b">
        <f t="shared" si="97"/>
        <v>1</v>
      </c>
      <c r="D2112" s="63" t="str">
        <f t="shared" si="98"/>
        <v>OK</v>
      </c>
      <c r="E2112" s="393">
        <v>400021582</v>
      </c>
      <c r="F2112" s="392" t="s">
        <v>6438</v>
      </c>
      <c r="G2112" s="392" t="s">
        <v>5324</v>
      </c>
      <c r="H2112" s="392" t="s">
        <v>7418</v>
      </c>
      <c r="I2112" s="392" t="s">
        <v>1763</v>
      </c>
      <c r="J2112" s="392" t="s">
        <v>8584</v>
      </c>
      <c r="K2112" s="392" t="s">
        <v>5848</v>
      </c>
      <c r="L2112" s="392" t="s">
        <v>4907</v>
      </c>
      <c r="M2112" s="392" t="s">
        <v>7273</v>
      </c>
      <c r="N2112" s="392" t="s">
        <v>7273</v>
      </c>
      <c r="O2112" s="392" t="s">
        <v>7273</v>
      </c>
      <c r="P2112"/>
      <c r="Q2112"/>
      <c r="R2112" s="387">
        <f>VLOOKUP(E2112,'[1]NDB Impacted SPRFs 05032013'!$A$2:$A$65536,1,FALSE)</f>
        <v>400021582</v>
      </c>
    </row>
    <row r="2113" spans="1:21" ht="45" x14ac:dyDescent="0.25">
      <c r="A2113" s="63">
        <f>MATCH($E2113,'D1 - Master Project Table'!$B$24:$B$7056,0)</f>
        <v>2015</v>
      </c>
      <c r="B2113" s="63" t="b">
        <f t="shared" si="99"/>
        <v>0</v>
      </c>
      <c r="C2113" s="63" t="b">
        <f t="shared" si="97"/>
        <v>1</v>
      </c>
      <c r="D2113" s="63" t="str">
        <f t="shared" si="98"/>
        <v>OK</v>
      </c>
      <c r="E2113" s="393">
        <v>400033762</v>
      </c>
      <c r="F2113" s="392" t="s">
        <v>4597</v>
      </c>
      <c r="G2113" s="392" t="s">
        <v>5325</v>
      </c>
      <c r="H2113" s="392" t="s">
        <v>7418</v>
      </c>
      <c r="I2113" s="392" t="s">
        <v>1800</v>
      </c>
      <c r="J2113" s="392" t="s">
        <v>6240</v>
      </c>
      <c r="K2113" s="392" t="s">
        <v>7791</v>
      </c>
      <c r="L2113" s="392" t="s">
        <v>7792</v>
      </c>
      <c r="M2113" s="392" t="s">
        <v>7273</v>
      </c>
      <c r="N2113" s="392" t="s">
        <v>7273</v>
      </c>
      <c r="O2113" s="392" t="s">
        <v>7273</v>
      </c>
      <c r="P2113"/>
      <c r="Q2113"/>
      <c r="R2113" s="387">
        <f>VLOOKUP(E2113,'[1]NDB Impacted SPRFs 05032013'!$A$2:$A$65536,1,FALSE)</f>
        <v>400033762</v>
      </c>
      <c r="S2113" s="159"/>
      <c r="T2113" s="159"/>
      <c r="U2113" s="159"/>
    </row>
    <row r="2114" spans="1:21" ht="45" x14ac:dyDescent="0.25">
      <c r="A2114" s="63">
        <f>MATCH($E2114,'D1 - Master Project Table'!$B$24:$B$7056,0)</f>
        <v>1238</v>
      </c>
      <c r="B2114" s="63" t="b">
        <f t="shared" si="99"/>
        <v>0</v>
      </c>
      <c r="C2114" s="63" t="b">
        <f t="shared" si="97"/>
        <v>1</v>
      </c>
      <c r="D2114" s="63" t="str">
        <f t="shared" si="98"/>
        <v>OK</v>
      </c>
      <c r="E2114" s="393">
        <v>400035760</v>
      </c>
      <c r="F2114" s="392" t="s">
        <v>1244</v>
      </c>
      <c r="G2114" s="392" t="s">
        <v>5325</v>
      </c>
      <c r="H2114" s="392" t="s">
        <v>7418</v>
      </c>
      <c r="I2114" s="392" t="s">
        <v>1800</v>
      </c>
      <c r="J2114" s="392" t="s">
        <v>6240</v>
      </c>
      <c r="K2114" s="392" t="s">
        <v>7791</v>
      </c>
      <c r="L2114" s="392" t="s">
        <v>7792</v>
      </c>
      <c r="M2114" s="392" t="s">
        <v>7273</v>
      </c>
      <c r="N2114" s="392" t="s">
        <v>7273</v>
      </c>
      <c r="O2114" s="392" t="s">
        <v>7273</v>
      </c>
      <c r="P2114"/>
      <c r="Q2114"/>
      <c r="R2114" s="387">
        <f>VLOOKUP(E2114,'[1]NDB Impacted SPRFs 05032013'!$A$2:$A$65536,1,FALSE)</f>
        <v>400035760</v>
      </c>
      <c r="S2114" s="159"/>
      <c r="T2114" s="159"/>
      <c r="U2114" s="159"/>
    </row>
    <row r="2115" spans="1:21" ht="45" x14ac:dyDescent="0.25">
      <c r="A2115" s="63">
        <f>MATCH($E2115,'D1 - Master Project Table'!$B$24:$B$7056,0)</f>
        <v>16</v>
      </c>
      <c r="B2115" s="63" t="b">
        <f t="shared" si="99"/>
        <v>0</v>
      </c>
      <c r="C2115" s="63" t="b">
        <f t="shared" si="97"/>
        <v>1</v>
      </c>
      <c r="D2115" s="63" t="str">
        <f t="shared" si="98"/>
        <v>OK</v>
      </c>
      <c r="E2115" s="393">
        <v>400055275</v>
      </c>
      <c r="F2115" s="392" t="s">
        <v>7447</v>
      </c>
      <c r="G2115" s="392" t="s">
        <v>5324</v>
      </c>
      <c r="H2115" s="392" t="s">
        <v>7418</v>
      </c>
      <c r="I2115" s="392" t="s">
        <v>1757</v>
      </c>
      <c r="J2115" s="392" t="s">
        <v>8566</v>
      </c>
      <c r="K2115" s="392" t="s">
        <v>7448</v>
      </c>
      <c r="L2115" s="392" t="s">
        <v>4875</v>
      </c>
      <c r="M2115" s="392" t="s">
        <v>7273</v>
      </c>
      <c r="N2115" s="392" t="s">
        <v>7273</v>
      </c>
      <c r="O2115" s="392" t="s">
        <v>7273</v>
      </c>
      <c r="P2115"/>
      <c r="Q2115"/>
      <c r="R2115" s="387">
        <f>VLOOKUP(E2115,'[1]NDB Impacted SPRFs 05032013'!$A$2:$A$65536,1,FALSE)</f>
        <v>400055275</v>
      </c>
    </row>
    <row r="2116" spans="1:21" ht="45" x14ac:dyDescent="0.25">
      <c r="A2116" s="63" t="e">
        <f>MATCH($E2116,'D1 - Master Project Table'!$B$24:$B$7056,0)</f>
        <v>#N/A</v>
      </c>
      <c r="B2116" s="63" t="b">
        <f t="shared" si="99"/>
        <v>1</v>
      </c>
      <c r="C2116" s="63" t="b">
        <f t="shared" si="97"/>
        <v>1</v>
      </c>
      <c r="D2116" s="63" t="str">
        <f t="shared" si="98"/>
        <v>OK</v>
      </c>
      <c r="E2116" s="393">
        <v>303271335</v>
      </c>
      <c r="F2116" s="392" t="s">
        <v>3726</v>
      </c>
      <c r="G2116" s="392" t="s">
        <v>5324</v>
      </c>
      <c r="H2116" s="392" t="s">
        <v>5314</v>
      </c>
      <c r="I2116" s="392" t="s">
        <v>1767</v>
      </c>
      <c r="J2116" s="392" t="s">
        <v>8342</v>
      </c>
      <c r="K2116" s="392" t="s">
        <v>1506</v>
      </c>
      <c r="L2116" s="392" t="s">
        <v>6479</v>
      </c>
      <c r="M2116" s="392" t="s">
        <v>3758</v>
      </c>
      <c r="N2116" s="392" t="s">
        <v>7273</v>
      </c>
      <c r="O2116" s="392" t="s">
        <v>7273</v>
      </c>
      <c r="P2116"/>
      <c r="Q2116"/>
      <c r="R2116" s="387">
        <f>VLOOKUP(E2116,'[1]NDB Impacted SPRFs 05032013'!$A$2:$A$65536,1,FALSE)</f>
        <v>303271335</v>
      </c>
    </row>
    <row r="2117" spans="1:21" ht="45" x14ac:dyDescent="0.25">
      <c r="A2117" s="63">
        <f>MATCH($E2117,'D1 - Master Project Table'!$B$24:$B$7056,0)</f>
        <v>469</v>
      </c>
      <c r="B2117" s="63" t="b">
        <f t="shared" si="99"/>
        <v>0</v>
      </c>
      <c r="C2117" s="63" t="b">
        <f t="shared" si="97"/>
        <v>1</v>
      </c>
      <c r="D2117" s="63" t="str">
        <f t="shared" si="98"/>
        <v>OK</v>
      </c>
      <c r="E2117" s="393">
        <v>400007821</v>
      </c>
      <c r="F2117" s="392" t="s">
        <v>3225</v>
      </c>
      <c r="G2117" s="392" t="s">
        <v>5324</v>
      </c>
      <c r="H2117" s="392" t="s">
        <v>7418</v>
      </c>
      <c r="I2117" s="392" t="s">
        <v>1768</v>
      </c>
      <c r="J2117" s="392" t="s">
        <v>8420</v>
      </c>
      <c r="K2117" s="392" t="s">
        <v>5641</v>
      </c>
      <c r="L2117" s="392" t="s">
        <v>5194</v>
      </c>
      <c r="M2117" s="392" t="s">
        <v>7273</v>
      </c>
      <c r="N2117" s="392" t="s">
        <v>7273</v>
      </c>
      <c r="O2117" s="392" t="s">
        <v>7273</v>
      </c>
      <c r="P2117"/>
      <c r="Q2117"/>
      <c r="R2117" s="387">
        <f>VLOOKUP(E2117,'[1]NDB Impacted SPRFs 05032013'!$A$2:$A$65536,1,FALSE)</f>
        <v>400007821</v>
      </c>
      <c r="S2117" s="159"/>
      <c r="T2117" s="159"/>
      <c r="U2117" s="159"/>
    </row>
    <row r="2118" spans="1:21" ht="45" x14ac:dyDescent="0.25">
      <c r="A2118" s="63">
        <f>MATCH($E2118,'D1 - Master Project Table'!$B$24:$B$7056,0)</f>
        <v>409</v>
      </c>
      <c r="B2118" s="63" t="b">
        <f t="shared" si="99"/>
        <v>0</v>
      </c>
      <c r="C2118" s="63" t="b">
        <f t="shared" ref="C2118:C2181" si="100">OR(H2118="Completed",H2118="Cancelled")</f>
        <v>1</v>
      </c>
      <c r="D2118" s="63" t="str">
        <f t="shared" ref="D2118:D2181" si="101">IF(AND(B2118=TRUE,C2118=FALSE),"Add","OK")</f>
        <v>OK</v>
      </c>
      <c r="E2118" s="393">
        <v>400008295</v>
      </c>
      <c r="F2118" s="392" t="s">
        <v>1261</v>
      </c>
      <c r="G2118" s="392" t="s">
        <v>5324</v>
      </c>
      <c r="H2118" s="392" t="s">
        <v>7418</v>
      </c>
      <c r="I2118" s="392" t="s">
        <v>1768</v>
      </c>
      <c r="J2118" s="392" t="s">
        <v>8521</v>
      </c>
      <c r="K2118" s="392" t="s">
        <v>2862</v>
      </c>
      <c r="L2118" s="392" t="s">
        <v>8149</v>
      </c>
      <c r="M2118" s="392" t="s">
        <v>7273</v>
      </c>
      <c r="N2118" s="392" t="s">
        <v>7273</v>
      </c>
      <c r="O2118" s="392" t="s">
        <v>7273</v>
      </c>
      <c r="P2118"/>
      <c r="Q2118"/>
      <c r="R2118" s="387">
        <f>VLOOKUP(E2118,'[1]NDB Impacted SPRFs 05032013'!$A$2:$A$65536,1,FALSE)</f>
        <v>400008295</v>
      </c>
      <c r="S2118" s="159"/>
      <c r="T2118" s="159"/>
      <c r="U2118" s="159"/>
    </row>
    <row r="2119" spans="1:21" ht="30" x14ac:dyDescent="0.25">
      <c r="A2119" s="63" t="e">
        <f>MATCH($E2119,'D1 - Master Project Table'!$B$24:$B$7056,0)</f>
        <v>#N/A</v>
      </c>
      <c r="B2119" s="63" t="b">
        <f t="shared" si="99"/>
        <v>1</v>
      </c>
      <c r="C2119" s="63" t="b">
        <f t="shared" si="100"/>
        <v>1</v>
      </c>
      <c r="D2119" s="63" t="str">
        <f t="shared" si="101"/>
        <v>OK</v>
      </c>
      <c r="E2119" s="393">
        <v>400016899</v>
      </c>
      <c r="F2119" s="392" t="s">
        <v>7857</v>
      </c>
      <c r="G2119" s="392" t="s">
        <v>5787</v>
      </c>
      <c r="H2119" s="392" t="s">
        <v>5314</v>
      </c>
      <c r="I2119" s="392" t="s">
        <v>1824</v>
      </c>
      <c r="J2119" s="392" t="s">
        <v>8732</v>
      </c>
      <c r="K2119" s="392" t="s">
        <v>4124</v>
      </c>
      <c r="L2119" s="392" t="s">
        <v>3874</v>
      </c>
      <c r="M2119" s="392" t="s">
        <v>7273</v>
      </c>
      <c r="N2119" s="392" t="s">
        <v>7273</v>
      </c>
      <c r="O2119" s="392" t="s">
        <v>7273</v>
      </c>
      <c r="P2119"/>
      <c r="Q2119"/>
      <c r="R2119" s="387">
        <f>VLOOKUP(E2119,'[1]NDB Impacted SPRFs 05032013'!$A$2:$A$65536,1,FALSE)</f>
        <v>400016899</v>
      </c>
      <c r="S2119" s="159"/>
      <c r="T2119" s="159"/>
      <c r="U2119" s="159"/>
    </row>
    <row r="2120" spans="1:21" ht="15" x14ac:dyDescent="0.25">
      <c r="A2120" s="63">
        <f>MATCH($E2120,'D1 - Master Project Table'!$B$24:$B$7056,0)</f>
        <v>1945</v>
      </c>
      <c r="B2120" s="63" t="b">
        <f t="shared" si="99"/>
        <v>0</v>
      </c>
      <c r="C2120" s="63" t="b">
        <f t="shared" si="100"/>
        <v>1</v>
      </c>
      <c r="D2120" s="63" t="str">
        <f t="shared" si="101"/>
        <v>OK</v>
      </c>
      <c r="E2120" s="393">
        <v>400019927</v>
      </c>
      <c r="F2120" s="392" t="s">
        <v>6226</v>
      </c>
      <c r="G2120" s="392" t="s">
        <v>5787</v>
      </c>
      <c r="H2120" s="392" t="s">
        <v>7418</v>
      </c>
      <c r="I2120" s="392" t="s">
        <v>1776</v>
      </c>
      <c r="J2120" s="392" t="s">
        <v>8708</v>
      </c>
      <c r="K2120" s="392" t="s">
        <v>3424</v>
      </c>
      <c r="L2120" s="392" t="s">
        <v>7350</v>
      </c>
      <c r="M2120" s="392" t="s">
        <v>7273</v>
      </c>
      <c r="N2120" s="392" t="s">
        <v>7273</v>
      </c>
      <c r="O2120" s="392" t="s">
        <v>7273</v>
      </c>
      <c r="P2120"/>
      <c r="Q2120"/>
      <c r="R2120" s="387">
        <f>VLOOKUP(E2120,'[1]NDB Impacted SPRFs 05032013'!$A$2:$A$65536,1,FALSE)</f>
        <v>400019927</v>
      </c>
      <c r="S2120" s="159"/>
      <c r="T2120" s="159"/>
      <c r="U2120" s="159"/>
    </row>
    <row r="2121" spans="1:21" ht="45" x14ac:dyDescent="0.25">
      <c r="A2121" s="63" t="e">
        <f>MATCH($E2121,'D1 - Master Project Table'!$B$24:$B$7056,0)</f>
        <v>#N/A</v>
      </c>
      <c r="B2121" s="63" t="b">
        <f t="shared" si="99"/>
        <v>1</v>
      </c>
      <c r="C2121" s="63" t="b">
        <f t="shared" si="100"/>
        <v>1</v>
      </c>
      <c r="D2121" s="63" t="str">
        <f t="shared" si="101"/>
        <v>OK</v>
      </c>
      <c r="E2121" s="393">
        <v>400029468</v>
      </c>
      <c r="F2121" s="392" t="s">
        <v>4600</v>
      </c>
      <c r="G2121" s="392" t="s">
        <v>5325</v>
      </c>
      <c r="H2121" s="392" t="s">
        <v>5314</v>
      </c>
      <c r="I2121" s="392" t="s">
        <v>6419</v>
      </c>
      <c r="J2121" s="392" t="s">
        <v>4601</v>
      </c>
      <c r="K2121" s="392" t="s">
        <v>6960</v>
      </c>
      <c r="L2121" s="392" t="s">
        <v>1921</v>
      </c>
      <c r="M2121" s="392" t="s">
        <v>3758</v>
      </c>
      <c r="N2121" s="392" t="s">
        <v>7273</v>
      </c>
      <c r="O2121" s="392" t="s">
        <v>7273</v>
      </c>
      <c r="P2121"/>
      <c r="Q2121"/>
      <c r="R2121" s="387">
        <f>VLOOKUP(E2121,'[1]NDB Impacted SPRFs 05032013'!$A$2:$A$65536,1,FALSE)</f>
        <v>400029468</v>
      </c>
      <c r="S2121" s="159"/>
      <c r="T2121" s="159"/>
      <c r="U2121" s="159"/>
    </row>
    <row r="2122" spans="1:21" ht="45" x14ac:dyDescent="0.25">
      <c r="A2122" s="63">
        <f>MATCH($E2122,'D1 - Master Project Table'!$B$24:$B$7056,0)</f>
        <v>2398</v>
      </c>
      <c r="B2122" s="63" t="b">
        <f t="shared" si="99"/>
        <v>0</v>
      </c>
      <c r="C2122" s="63" t="b">
        <f t="shared" si="100"/>
        <v>1</v>
      </c>
      <c r="D2122" s="63" t="str">
        <f t="shared" si="101"/>
        <v>OK</v>
      </c>
      <c r="E2122" s="393">
        <v>400002454</v>
      </c>
      <c r="F2122" s="392" t="s">
        <v>6676</v>
      </c>
      <c r="G2122" s="392" t="s">
        <v>5324</v>
      </c>
      <c r="H2122" s="392" t="s">
        <v>5314</v>
      </c>
      <c r="I2122" s="392" t="s">
        <v>1765</v>
      </c>
      <c r="J2122" s="392" t="s">
        <v>8359</v>
      </c>
      <c r="K2122" s="392" t="s">
        <v>5641</v>
      </c>
      <c r="L2122" s="392" t="s">
        <v>6913</v>
      </c>
      <c r="M2122" s="392" t="s">
        <v>7273</v>
      </c>
      <c r="N2122" s="392" t="s">
        <v>7273</v>
      </c>
      <c r="O2122" s="392" t="s">
        <v>7273</v>
      </c>
      <c r="P2122"/>
      <c r="Q2122"/>
      <c r="R2122" s="387">
        <f>VLOOKUP(E2122,'[1]NDB Impacted SPRFs 05032013'!$A$2:$A$65536,1,FALSE)</f>
        <v>400002454</v>
      </c>
    </row>
    <row r="2123" spans="1:21" ht="30" x14ac:dyDescent="0.25">
      <c r="A2123" s="63" t="e">
        <f>MATCH($E2123,'D1 - Master Project Table'!$B$24:$B$7056,0)</f>
        <v>#N/A</v>
      </c>
      <c r="B2123" s="63" t="b">
        <f t="shared" si="99"/>
        <v>1</v>
      </c>
      <c r="C2123" s="63" t="b">
        <f t="shared" si="100"/>
        <v>1</v>
      </c>
      <c r="D2123" s="63" t="str">
        <f t="shared" si="101"/>
        <v>OK</v>
      </c>
      <c r="E2123" s="393">
        <v>400047170</v>
      </c>
      <c r="F2123" s="392" t="s">
        <v>7259</v>
      </c>
      <c r="G2123" s="392" t="s">
        <v>6322</v>
      </c>
      <c r="H2123" s="392" t="s">
        <v>5314</v>
      </c>
      <c r="I2123" s="392" t="s">
        <v>1118</v>
      </c>
      <c r="J2123" s="392" t="s">
        <v>7257</v>
      </c>
      <c r="K2123" s="392" t="s">
        <v>7403</v>
      </c>
      <c r="L2123" s="392" t="s">
        <v>7260</v>
      </c>
      <c r="M2123" s="392" t="s">
        <v>7273</v>
      </c>
      <c r="N2123" s="392" t="s">
        <v>7273</v>
      </c>
      <c r="O2123" s="392" t="s">
        <v>7273</v>
      </c>
      <c r="P2123"/>
      <c r="Q2123"/>
      <c r="R2123" s="387">
        <f>VLOOKUP(E2123,'[1]NDB Impacted SPRFs 05032013'!$A$2:$A$65536,1,FALSE)</f>
        <v>400047170</v>
      </c>
      <c r="S2123" s="159"/>
      <c r="T2123" s="159"/>
      <c r="U2123" s="159"/>
    </row>
    <row r="2124" spans="1:21" ht="30" x14ac:dyDescent="0.25">
      <c r="A2124" s="63" t="e">
        <f>MATCH($E2124,'D1 - Master Project Table'!$B$24:$B$7056,0)</f>
        <v>#N/A</v>
      </c>
      <c r="B2124" s="63" t="b">
        <f t="shared" si="99"/>
        <v>1</v>
      </c>
      <c r="C2124" s="63" t="b">
        <f t="shared" si="100"/>
        <v>1</v>
      </c>
      <c r="D2124" s="63" t="str">
        <f t="shared" si="101"/>
        <v>OK</v>
      </c>
      <c r="E2124" s="393">
        <v>301101219</v>
      </c>
      <c r="F2124" s="392" t="s">
        <v>4441</v>
      </c>
      <c r="G2124" s="392" t="s">
        <v>5787</v>
      </c>
      <c r="H2124" s="392" t="s">
        <v>7418</v>
      </c>
      <c r="I2124" s="392" t="s">
        <v>1816</v>
      </c>
      <c r="J2124" s="392" t="s">
        <v>8671</v>
      </c>
      <c r="K2124" s="392" t="s">
        <v>5997</v>
      </c>
      <c r="L2124" s="392" t="s">
        <v>5998</v>
      </c>
      <c r="M2124" s="392" t="s">
        <v>7273</v>
      </c>
      <c r="N2124" s="392" t="s">
        <v>7273</v>
      </c>
      <c r="O2124" s="392" t="s">
        <v>7273</v>
      </c>
      <c r="P2124"/>
      <c r="Q2124"/>
      <c r="R2124" s="387">
        <f>VLOOKUP(E2124,'[1]NDB Impacted SPRFs 05032013'!$A$2:$A$65536,1,FALSE)</f>
        <v>301101219</v>
      </c>
      <c r="S2124" s="159"/>
      <c r="T2124" s="159"/>
      <c r="U2124" s="159"/>
    </row>
    <row r="2125" spans="1:21" ht="15" x14ac:dyDescent="0.25">
      <c r="A2125" s="63">
        <f>MATCH($E2125,'D1 - Master Project Table'!$B$24:$B$7056,0)</f>
        <v>2524</v>
      </c>
      <c r="B2125" s="63" t="b">
        <f t="shared" si="99"/>
        <v>0</v>
      </c>
      <c r="C2125" s="63" t="b">
        <f t="shared" si="100"/>
        <v>1</v>
      </c>
      <c r="D2125" s="63" t="str">
        <f t="shared" si="101"/>
        <v>OK</v>
      </c>
      <c r="E2125" s="393">
        <v>400007994</v>
      </c>
      <c r="F2125" s="392" t="s">
        <v>3675</v>
      </c>
      <c r="G2125" s="392" t="s">
        <v>5787</v>
      </c>
      <c r="H2125" s="392" t="s">
        <v>5314</v>
      </c>
      <c r="I2125" s="392" t="s">
        <v>1780</v>
      </c>
      <c r="J2125" s="392" t="s">
        <v>5025</v>
      </c>
      <c r="K2125" s="392" t="s">
        <v>3353</v>
      </c>
      <c r="L2125" s="392" t="s">
        <v>1633</v>
      </c>
      <c r="M2125" s="392" t="s">
        <v>7273</v>
      </c>
      <c r="N2125" s="392" t="s">
        <v>7273</v>
      </c>
      <c r="O2125" s="392" t="s">
        <v>7273</v>
      </c>
      <c r="P2125"/>
      <c r="Q2125"/>
      <c r="R2125" s="387">
        <f>VLOOKUP(E2125,'[1]NDB Impacted SPRFs 05032013'!$A$2:$A$65536,1,FALSE)</f>
        <v>400007994</v>
      </c>
      <c r="S2125" s="159"/>
      <c r="T2125" s="159"/>
      <c r="U2125" s="159"/>
    </row>
    <row r="2126" spans="1:21" ht="45" x14ac:dyDescent="0.25">
      <c r="A2126" s="63">
        <f>MATCH($E2126,'D1 - Master Project Table'!$B$24:$B$7056,0)</f>
        <v>552</v>
      </c>
      <c r="B2126" s="63" t="b">
        <f t="shared" si="99"/>
        <v>0</v>
      </c>
      <c r="C2126" s="63" t="b">
        <f t="shared" si="100"/>
        <v>1</v>
      </c>
      <c r="D2126" s="63" t="str">
        <f t="shared" si="101"/>
        <v>OK</v>
      </c>
      <c r="E2126" s="393">
        <v>400010863</v>
      </c>
      <c r="F2126" s="392" t="s">
        <v>6911</v>
      </c>
      <c r="G2126" s="392" t="s">
        <v>5324</v>
      </c>
      <c r="H2126" s="392" t="s">
        <v>7418</v>
      </c>
      <c r="I2126" s="392" t="s">
        <v>1762</v>
      </c>
      <c r="J2126" s="392" t="s">
        <v>2251</v>
      </c>
      <c r="K2126" s="392" t="s">
        <v>5159</v>
      </c>
      <c r="L2126" s="392" t="s">
        <v>6107</v>
      </c>
      <c r="M2126" s="392" t="s">
        <v>7273</v>
      </c>
      <c r="N2126" s="392" t="s">
        <v>7273</v>
      </c>
      <c r="O2126" s="392" t="s">
        <v>7273</v>
      </c>
      <c r="P2126"/>
      <c r="Q2126"/>
      <c r="R2126" s="387">
        <f>VLOOKUP(E2126,'[1]NDB Impacted SPRFs 05032013'!$A$2:$A$65536,1,FALSE)</f>
        <v>400010863</v>
      </c>
      <c r="S2126" s="159"/>
      <c r="T2126" s="159"/>
      <c r="U2126" s="159"/>
    </row>
    <row r="2127" spans="1:21" ht="45" x14ac:dyDescent="0.25">
      <c r="A2127" s="63">
        <f>MATCH($E2127,'D1 - Master Project Table'!$B$24:$B$7056,0)</f>
        <v>536</v>
      </c>
      <c r="B2127" s="63" t="b">
        <f t="shared" si="99"/>
        <v>0</v>
      </c>
      <c r="C2127" s="63" t="b">
        <f t="shared" si="100"/>
        <v>1</v>
      </c>
      <c r="D2127" s="63" t="str">
        <f t="shared" si="101"/>
        <v>OK</v>
      </c>
      <c r="E2127" s="393">
        <v>400012839</v>
      </c>
      <c r="F2127" s="392" t="s">
        <v>3788</v>
      </c>
      <c r="G2127" s="392" t="s">
        <v>5324</v>
      </c>
      <c r="H2127" s="392" t="s">
        <v>7418</v>
      </c>
      <c r="I2127" s="392" t="s">
        <v>1765</v>
      </c>
      <c r="J2127" s="392" t="s">
        <v>8587</v>
      </c>
      <c r="K2127" s="392" t="s">
        <v>5004</v>
      </c>
      <c r="L2127" s="392" t="s">
        <v>5012</v>
      </c>
      <c r="M2127" s="392" t="s">
        <v>7273</v>
      </c>
      <c r="N2127" s="392" t="s">
        <v>7273</v>
      </c>
      <c r="O2127" s="392" t="s">
        <v>3758</v>
      </c>
      <c r="P2127"/>
      <c r="Q2127"/>
      <c r="R2127" s="387">
        <f>VLOOKUP(E2127,'[1]NDB Impacted SPRFs 05032013'!$A$2:$A$65536,1,FALSE)</f>
        <v>400012839</v>
      </c>
      <c r="S2127" s="159"/>
      <c r="T2127" s="159"/>
      <c r="U2127" s="159"/>
    </row>
    <row r="2128" spans="1:21" ht="45" x14ac:dyDescent="0.25">
      <c r="A2128" s="63">
        <f>MATCH($E2128,'D1 - Master Project Table'!$B$24:$B$7056,0)</f>
        <v>2607</v>
      </c>
      <c r="B2128" s="63" t="b">
        <f t="shared" si="99"/>
        <v>0</v>
      </c>
      <c r="C2128" s="63" t="b">
        <f t="shared" si="100"/>
        <v>1</v>
      </c>
      <c r="D2128" s="63" t="str">
        <f t="shared" si="101"/>
        <v>OK</v>
      </c>
      <c r="E2128" s="393">
        <v>400012980</v>
      </c>
      <c r="F2128" s="392" t="s">
        <v>5775</v>
      </c>
      <c r="G2128" s="392" t="s">
        <v>5325</v>
      </c>
      <c r="H2128" s="392" t="s">
        <v>5314</v>
      </c>
      <c r="I2128" s="392" t="s">
        <v>6008</v>
      </c>
      <c r="J2128" s="392" t="s">
        <v>8271</v>
      </c>
      <c r="K2128" s="392" t="s">
        <v>4131</v>
      </c>
      <c r="L2128" s="392" t="s">
        <v>1641</v>
      </c>
      <c r="M2128" s="392" t="s">
        <v>7273</v>
      </c>
      <c r="N2128" s="392" t="s">
        <v>7273</v>
      </c>
      <c r="O2128" s="392" t="s">
        <v>7273</v>
      </c>
      <c r="P2128"/>
      <c r="Q2128"/>
      <c r="R2128" s="387">
        <f>VLOOKUP(E2128,'[1]NDB Impacted SPRFs 05032013'!$A$2:$A$65536,1,FALSE)</f>
        <v>400012980</v>
      </c>
      <c r="S2128" s="159"/>
      <c r="T2128" s="159"/>
      <c r="U2128" s="159"/>
    </row>
    <row r="2129" spans="1:21" ht="45" x14ac:dyDescent="0.25">
      <c r="A2129" s="63">
        <f>MATCH($E2129,'D1 - Master Project Table'!$B$24:$B$7056,0)</f>
        <v>566</v>
      </c>
      <c r="B2129" s="63" t="b">
        <f t="shared" si="99"/>
        <v>0</v>
      </c>
      <c r="C2129" s="63" t="b">
        <f t="shared" si="100"/>
        <v>1</v>
      </c>
      <c r="D2129" s="63" t="str">
        <f t="shared" si="101"/>
        <v>OK</v>
      </c>
      <c r="E2129" s="393">
        <v>400013289</v>
      </c>
      <c r="F2129" s="392" t="s">
        <v>3081</v>
      </c>
      <c r="G2129" s="392" t="s">
        <v>5324</v>
      </c>
      <c r="H2129" s="392" t="s">
        <v>7418</v>
      </c>
      <c r="I2129" s="392" t="s">
        <v>1756</v>
      </c>
      <c r="J2129" s="392" t="s">
        <v>8587</v>
      </c>
      <c r="K2129" s="392" t="s">
        <v>7197</v>
      </c>
      <c r="L2129" s="392" t="s">
        <v>5012</v>
      </c>
      <c r="M2129" s="392" t="s">
        <v>7273</v>
      </c>
      <c r="N2129" s="392" t="s">
        <v>7273</v>
      </c>
      <c r="O2129" s="392" t="s">
        <v>3758</v>
      </c>
      <c r="P2129"/>
      <c r="Q2129"/>
      <c r="R2129" s="387">
        <f>VLOOKUP(E2129,'[1]NDB Impacted SPRFs 05032013'!$A$2:$A$65536,1,FALSE)</f>
        <v>400013289</v>
      </c>
      <c r="S2129" s="159"/>
      <c r="T2129" s="159"/>
      <c r="U2129" s="159"/>
    </row>
    <row r="2130" spans="1:21" ht="30" x14ac:dyDescent="0.25">
      <c r="A2130" s="63">
        <f>MATCH($E2130,'D1 - Master Project Table'!$B$24:$B$7056,0)</f>
        <v>681</v>
      </c>
      <c r="B2130" s="63" t="b">
        <f t="shared" si="99"/>
        <v>0</v>
      </c>
      <c r="C2130" s="63" t="b">
        <f t="shared" si="100"/>
        <v>1</v>
      </c>
      <c r="D2130" s="63" t="str">
        <f t="shared" si="101"/>
        <v>OK</v>
      </c>
      <c r="E2130" s="393">
        <v>400014307</v>
      </c>
      <c r="F2130" s="392" t="s">
        <v>4982</v>
      </c>
      <c r="G2130" s="392" t="s">
        <v>5787</v>
      </c>
      <c r="H2130" s="392" t="s">
        <v>7418</v>
      </c>
      <c r="I2130" s="392" t="s">
        <v>1780</v>
      </c>
      <c r="J2130" s="392" t="s">
        <v>3322</v>
      </c>
      <c r="K2130" s="392" t="s">
        <v>3353</v>
      </c>
      <c r="L2130" s="392" t="s">
        <v>1633</v>
      </c>
      <c r="M2130" s="392" t="s">
        <v>7273</v>
      </c>
      <c r="N2130" s="392" t="s">
        <v>7273</v>
      </c>
      <c r="O2130" s="392" t="s">
        <v>7273</v>
      </c>
      <c r="P2130"/>
      <c r="Q2130"/>
      <c r="R2130" s="387">
        <f>VLOOKUP(E2130,'[1]NDB Impacted SPRFs 05032013'!$A$2:$A$65536,1,FALSE)</f>
        <v>400014307</v>
      </c>
    </row>
    <row r="2131" spans="1:21" ht="30" x14ac:dyDescent="0.25">
      <c r="A2131" s="63">
        <f>MATCH($E2131,'D1 - Master Project Table'!$B$24:$B$7056,0)</f>
        <v>2670</v>
      </c>
      <c r="B2131" s="63" t="b">
        <f t="shared" si="99"/>
        <v>0</v>
      </c>
      <c r="C2131" s="63" t="b">
        <f t="shared" si="100"/>
        <v>1</v>
      </c>
      <c r="D2131" s="63" t="str">
        <f t="shared" si="101"/>
        <v>OK</v>
      </c>
      <c r="E2131" s="393">
        <v>400016378</v>
      </c>
      <c r="F2131" s="392" t="s">
        <v>3939</v>
      </c>
      <c r="G2131" s="392" t="s">
        <v>5787</v>
      </c>
      <c r="H2131" s="392" t="s">
        <v>5314</v>
      </c>
      <c r="I2131" s="392" t="s">
        <v>1780</v>
      </c>
      <c r="J2131" s="392" t="s">
        <v>3322</v>
      </c>
      <c r="K2131" s="392" t="s">
        <v>3353</v>
      </c>
      <c r="L2131" s="392" t="s">
        <v>1633</v>
      </c>
      <c r="M2131" s="392" t="s">
        <v>7273</v>
      </c>
      <c r="N2131" s="392" t="s">
        <v>7273</v>
      </c>
      <c r="O2131" s="392" t="s">
        <v>7273</v>
      </c>
      <c r="P2131"/>
      <c r="Q2131"/>
      <c r="R2131" s="387">
        <f>VLOOKUP(E2131,'[1]NDB Impacted SPRFs 05032013'!$A$2:$A$65536,1,FALSE)</f>
        <v>400016378</v>
      </c>
      <c r="S2131" s="159"/>
      <c r="T2131" s="159"/>
      <c r="U2131" s="159"/>
    </row>
    <row r="2132" spans="1:21" ht="45" x14ac:dyDescent="0.25">
      <c r="A2132" s="63">
        <f>MATCH($E2132,'D1 - Master Project Table'!$B$24:$B$7056,0)</f>
        <v>711</v>
      </c>
      <c r="B2132" s="63" t="b">
        <f t="shared" si="99"/>
        <v>0</v>
      </c>
      <c r="C2132" s="63" t="b">
        <f t="shared" si="100"/>
        <v>1</v>
      </c>
      <c r="D2132" s="63" t="str">
        <f t="shared" si="101"/>
        <v>OK</v>
      </c>
      <c r="E2132" s="393">
        <v>400018272</v>
      </c>
      <c r="F2132" s="392" t="s">
        <v>5849</v>
      </c>
      <c r="G2132" s="392" t="s">
        <v>5324</v>
      </c>
      <c r="H2132" s="392" t="s">
        <v>7418</v>
      </c>
      <c r="I2132" s="392" t="s">
        <v>1764</v>
      </c>
      <c r="J2132" s="392" t="s">
        <v>4708</v>
      </c>
      <c r="K2132" s="392" t="s">
        <v>4006</v>
      </c>
      <c r="L2132" s="392" t="s">
        <v>5012</v>
      </c>
      <c r="M2132" s="392" t="s">
        <v>7273</v>
      </c>
      <c r="N2132" s="392" t="s">
        <v>7273</v>
      </c>
      <c r="O2132" s="392" t="s">
        <v>3758</v>
      </c>
      <c r="P2132"/>
      <c r="Q2132"/>
      <c r="R2132" s="387">
        <f>VLOOKUP(E2132,'[1]NDB Impacted SPRFs 05032013'!$A$2:$A$65536,1,FALSE)</f>
        <v>400018272</v>
      </c>
      <c r="S2132" s="159"/>
      <c r="T2132" s="159"/>
      <c r="U2132" s="159"/>
    </row>
    <row r="2133" spans="1:21" ht="45" x14ac:dyDescent="0.25">
      <c r="A2133" s="63">
        <f>MATCH($E2133,'D1 - Master Project Table'!$B$24:$B$7056,0)</f>
        <v>880</v>
      </c>
      <c r="B2133" s="63" t="b">
        <f t="shared" si="99"/>
        <v>0</v>
      </c>
      <c r="C2133" s="63" t="b">
        <f t="shared" si="100"/>
        <v>1</v>
      </c>
      <c r="D2133" s="63" t="str">
        <f t="shared" si="101"/>
        <v>OK</v>
      </c>
      <c r="E2133" s="393">
        <v>400020686</v>
      </c>
      <c r="F2133" s="392" t="s">
        <v>1626</v>
      </c>
      <c r="G2133" s="392" t="s">
        <v>5324</v>
      </c>
      <c r="H2133" s="392" t="s">
        <v>7418</v>
      </c>
      <c r="I2133" s="392" t="s">
        <v>1756</v>
      </c>
      <c r="J2133" s="392" t="s">
        <v>8586</v>
      </c>
      <c r="K2133" s="392" t="s">
        <v>1506</v>
      </c>
      <c r="L2133" s="392" t="s">
        <v>5128</v>
      </c>
      <c r="M2133" s="392" t="s">
        <v>7273</v>
      </c>
      <c r="N2133" s="392" t="s">
        <v>7273</v>
      </c>
      <c r="O2133" s="392" t="s">
        <v>7273</v>
      </c>
      <c r="P2133"/>
      <c r="Q2133"/>
      <c r="R2133" s="387">
        <f>VLOOKUP(E2133,'[1]NDB Impacted SPRFs 05032013'!$A$2:$A$65536,1,FALSE)</f>
        <v>400020686</v>
      </c>
      <c r="S2133" s="159"/>
      <c r="T2133" s="159"/>
      <c r="U2133" s="159"/>
    </row>
    <row r="2134" spans="1:21" ht="45" x14ac:dyDescent="0.25">
      <c r="A2134" s="63">
        <f>MATCH($E2134,'D1 - Master Project Table'!$B$24:$B$7056,0)</f>
        <v>923</v>
      </c>
      <c r="B2134" s="63" t="b">
        <f t="shared" si="99"/>
        <v>0</v>
      </c>
      <c r="C2134" s="63" t="b">
        <f t="shared" si="100"/>
        <v>1</v>
      </c>
      <c r="D2134" s="63" t="str">
        <f t="shared" si="101"/>
        <v>OK</v>
      </c>
      <c r="E2134" s="393">
        <v>400022108</v>
      </c>
      <c r="F2134" s="392" t="s">
        <v>7198</v>
      </c>
      <c r="G2134" s="392" t="s">
        <v>5324</v>
      </c>
      <c r="H2134" s="392" t="s">
        <v>7418</v>
      </c>
      <c r="I2134" s="392" t="s">
        <v>1757</v>
      </c>
      <c r="J2134" s="392" t="s">
        <v>8394</v>
      </c>
      <c r="K2134" s="392" t="s">
        <v>7772</v>
      </c>
      <c r="L2134" s="392" t="s">
        <v>5012</v>
      </c>
      <c r="M2134" s="392" t="s">
        <v>7273</v>
      </c>
      <c r="N2134" s="392" t="s">
        <v>7273</v>
      </c>
      <c r="O2134" s="392" t="s">
        <v>3758</v>
      </c>
      <c r="P2134"/>
      <c r="Q2134"/>
      <c r="R2134" s="387">
        <f>VLOOKUP(E2134,'[1]NDB Impacted SPRFs 05032013'!$A$2:$A$65536,1,FALSE)</f>
        <v>400022108</v>
      </c>
      <c r="S2134" s="159"/>
      <c r="T2134" s="159"/>
      <c r="U2134" s="159"/>
    </row>
    <row r="2135" spans="1:21" ht="45" x14ac:dyDescent="0.25">
      <c r="A2135" s="63">
        <f>MATCH($E2135,'D1 - Master Project Table'!$B$24:$B$7056,0)</f>
        <v>2785</v>
      </c>
      <c r="B2135" s="63" t="b">
        <f t="shared" si="99"/>
        <v>0</v>
      </c>
      <c r="C2135" s="63" t="b">
        <f t="shared" si="100"/>
        <v>1</v>
      </c>
      <c r="D2135" s="63" t="str">
        <f t="shared" si="101"/>
        <v>OK</v>
      </c>
      <c r="E2135" s="393">
        <v>400022116</v>
      </c>
      <c r="F2135" s="392" t="s">
        <v>7199</v>
      </c>
      <c r="G2135" s="392" t="s">
        <v>5324</v>
      </c>
      <c r="H2135" s="392" t="s">
        <v>5314</v>
      </c>
      <c r="I2135" s="392" t="s">
        <v>1764</v>
      </c>
      <c r="J2135" s="392" t="s">
        <v>8394</v>
      </c>
      <c r="K2135" s="392" t="s">
        <v>7197</v>
      </c>
      <c r="L2135" s="392" t="s">
        <v>5012</v>
      </c>
      <c r="M2135" s="392" t="s">
        <v>7273</v>
      </c>
      <c r="N2135" s="392" t="s">
        <v>7273</v>
      </c>
      <c r="O2135" s="392" t="s">
        <v>3758</v>
      </c>
      <c r="P2135"/>
      <c r="Q2135"/>
      <c r="R2135" s="387">
        <f>VLOOKUP(E2135,'[1]NDB Impacted SPRFs 05032013'!$A$2:$A$65536,1,FALSE)</f>
        <v>400022116</v>
      </c>
      <c r="S2135" s="160"/>
      <c r="T2135" s="160"/>
      <c r="U2135" s="160"/>
    </row>
    <row r="2136" spans="1:21" ht="30" x14ac:dyDescent="0.25">
      <c r="A2136" s="63" t="e">
        <f>MATCH($E2136,'D1 - Master Project Table'!$B$24:$B$7056,0)</f>
        <v>#N/A</v>
      </c>
      <c r="B2136" s="63" t="b">
        <f t="shared" si="99"/>
        <v>1</v>
      </c>
      <c r="C2136" s="63" t="b">
        <f t="shared" si="100"/>
        <v>1</v>
      </c>
      <c r="D2136" s="63" t="str">
        <f t="shared" si="101"/>
        <v>OK</v>
      </c>
      <c r="E2136" s="393">
        <v>400023728</v>
      </c>
      <c r="F2136" s="392" t="s">
        <v>2064</v>
      </c>
      <c r="G2136" s="392" t="s">
        <v>6322</v>
      </c>
      <c r="H2136" s="392" t="s">
        <v>5314</v>
      </c>
      <c r="I2136" s="392" t="s">
        <v>7594</v>
      </c>
      <c r="J2136" s="392" t="s">
        <v>8646</v>
      </c>
      <c r="K2136" s="392" t="s">
        <v>2856</v>
      </c>
      <c r="L2136" s="392" t="s">
        <v>1641</v>
      </c>
      <c r="M2136" s="392" t="s">
        <v>7273</v>
      </c>
      <c r="N2136" s="392" t="s">
        <v>7273</v>
      </c>
      <c r="O2136" s="392" t="s">
        <v>7273</v>
      </c>
      <c r="P2136"/>
      <c r="Q2136"/>
      <c r="R2136" s="387">
        <f>VLOOKUP(E2136,'[1]NDB Impacted SPRFs 05032013'!$A$2:$A$65536,1,FALSE)</f>
        <v>400023728</v>
      </c>
      <c r="S2136" s="159"/>
      <c r="T2136" s="159"/>
      <c r="U2136" s="159"/>
    </row>
    <row r="2137" spans="1:21" ht="45" x14ac:dyDescent="0.25">
      <c r="A2137" s="63">
        <f>MATCH($E2137,'D1 - Master Project Table'!$B$24:$B$7056,0)</f>
        <v>2806</v>
      </c>
      <c r="B2137" s="63" t="b">
        <f t="shared" si="99"/>
        <v>0</v>
      </c>
      <c r="C2137" s="63" t="b">
        <f t="shared" si="100"/>
        <v>1</v>
      </c>
      <c r="D2137" s="63" t="str">
        <f t="shared" si="101"/>
        <v>OK</v>
      </c>
      <c r="E2137" s="393">
        <v>400023754</v>
      </c>
      <c r="F2137" s="392" t="s">
        <v>3694</v>
      </c>
      <c r="G2137" s="392" t="s">
        <v>6322</v>
      </c>
      <c r="H2137" s="392" t="s">
        <v>5314</v>
      </c>
      <c r="I2137" s="392" t="s">
        <v>7594</v>
      </c>
      <c r="J2137" s="392" t="s">
        <v>8646</v>
      </c>
      <c r="K2137" s="392" t="s">
        <v>2856</v>
      </c>
      <c r="L2137" s="392" t="s">
        <v>1641</v>
      </c>
      <c r="M2137" s="392" t="s">
        <v>7273</v>
      </c>
      <c r="N2137" s="392" t="s">
        <v>7273</v>
      </c>
      <c r="O2137" s="392" t="s">
        <v>7273</v>
      </c>
      <c r="P2137"/>
      <c r="Q2137"/>
      <c r="R2137" s="387">
        <f>VLOOKUP(E2137,'[1]NDB Impacted SPRFs 05032013'!$A$2:$A$65536,1,FALSE)</f>
        <v>400023754</v>
      </c>
      <c r="S2137" s="159"/>
      <c r="T2137" s="159"/>
      <c r="U2137" s="159"/>
    </row>
    <row r="2138" spans="1:21" ht="30" x14ac:dyDescent="0.25">
      <c r="A2138" s="63">
        <f>MATCH($E2138,'D1 - Master Project Table'!$B$24:$B$7056,0)</f>
        <v>2220</v>
      </c>
      <c r="B2138" s="63" t="b">
        <f t="shared" si="99"/>
        <v>0</v>
      </c>
      <c r="C2138" s="63" t="b">
        <f t="shared" si="100"/>
        <v>1</v>
      </c>
      <c r="D2138" s="63" t="str">
        <f t="shared" si="101"/>
        <v>OK</v>
      </c>
      <c r="E2138" s="393">
        <v>400025075</v>
      </c>
      <c r="F2138" s="392" t="s">
        <v>6051</v>
      </c>
      <c r="G2138" s="392" t="s">
        <v>5995</v>
      </c>
      <c r="H2138" s="392" t="s">
        <v>5314</v>
      </c>
      <c r="I2138" s="392" t="s">
        <v>6423</v>
      </c>
      <c r="J2138" s="392" t="s">
        <v>8807</v>
      </c>
      <c r="K2138" s="392" t="s">
        <v>4114</v>
      </c>
      <c r="L2138" s="392" t="s">
        <v>1633</v>
      </c>
      <c r="M2138" s="392" t="s">
        <v>7273</v>
      </c>
      <c r="N2138" s="392" t="s">
        <v>7273</v>
      </c>
      <c r="O2138" s="392" t="s">
        <v>7273</v>
      </c>
      <c r="P2138"/>
      <c r="Q2138"/>
      <c r="R2138" s="387">
        <f>VLOOKUP(E2138,'[1]NDB Impacted SPRFs 05032013'!$A$2:$A$65536,1,FALSE)</f>
        <v>400025075</v>
      </c>
    </row>
    <row r="2139" spans="1:21" ht="45" x14ac:dyDescent="0.25">
      <c r="A2139" s="63" t="e">
        <f>MATCH($E2139,'D1 - Master Project Table'!$B$24:$B$7056,0)</f>
        <v>#N/A</v>
      </c>
      <c r="B2139" s="63" t="b">
        <f t="shared" si="99"/>
        <v>1</v>
      </c>
      <c r="C2139" s="63" t="b">
        <f t="shared" si="100"/>
        <v>1</v>
      </c>
      <c r="D2139" s="63" t="str">
        <f t="shared" si="101"/>
        <v>OK</v>
      </c>
      <c r="E2139" s="393">
        <v>303191420</v>
      </c>
      <c r="F2139" s="392" t="s">
        <v>3412</v>
      </c>
      <c r="G2139" s="392" t="s">
        <v>5324</v>
      </c>
      <c r="H2139" s="392" t="s">
        <v>7418</v>
      </c>
      <c r="I2139" s="392" t="s">
        <v>1766</v>
      </c>
      <c r="J2139" s="392" t="s">
        <v>5894</v>
      </c>
      <c r="K2139" s="392" t="s">
        <v>5641</v>
      </c>
      <c r="L2139" s="392" t="s">
        <v>6139</v>
      </c>
      <c r="M2139" s="392" t="s">
        <v>7273</v>
      </c>
      <c r="N2139" s="392" t="s">
        <v>7273</v>
      </c>
      <c r="O2139" s="392" t="s">
        <v>7273</v>
      </c>
      <c r="P2139"/>
      <c r="Q2139"/>
      <c r="R2139" s="387">
        <f>VLOOKUP(E2139,'[1]NDB Impacted SPRFs 05032013'!$A$2:$A$65536,1,FALSE)</f>
        <v>303191420</v>
      </c>
      <c r="S2139" s="159"/>
      <c r="T2139" s="159"/>
      <c r="U2139" s="159"/>
    </row>
    <row r="2140" spans="1:21" ht="45" x14ac:dyDescent="0.25">
      <c r="A2140" s="63">
        <f>MATCH($E2140,'D1 - Master Project Table'!$B$24:$B$7056,0)</f>
        <v>2541</v>
      </c>
      <c r="B2140" s="63" t="b">
        <f t="shared" si="99"/>
        <v>0</v>
      </c>
      <c r="C2140" s="63" t="b">
        <f t="shared" si="100"/>
        <v>1</v>
      </c>
      <c r="D2140" s="63" t="str">
        <f t="shared" si="101"/>
        <v>OK</v>
      </c>
      <c r="E2140" s="393">
        <v>400009019</v>
      </c>
      <c r="F2140" s="392" t="s">
        <v>7280</v>
      </c>
      <c r="G2140" s="392" t="s">
        <v>5324</v>
      </c>
      <c r="H2140" s="392" t="s">
        <v>5314</v>
      </c>
      <c r="I2140" s="392" t="s">
        <v>1765</v>
      </c>
      <c r="J2140" s="392" t="s">
        <v>8336</v>
      </c>
      <c r="K2140" s="392" t="s">
        <v>6057</v>
      </c>
      <c r="L2140" s="392" t="s">
        <v>2466</v>
      </c>
      <c r="M2140" s="392" t="s">
        <v>7273</v>
      </c>
      <c r="N2140" s="392" t="s">
        <v>7273</v>
      </c>
      <c r="O2140" s="392" t="s">
        <v>7273</v>
      </c>
      <c r="P2140"/>
      <c r="Q2140"/>
      <c r="R2140" s="387">
        <f>VLOOKUP(E2140,'[1]NDB Impacted SPRFs 05032013'!$A$2:$A$65536,1,FALSE)</f>
        <v>400009019</v>
      </c>
      <c r="S2140" s="159"/>
      <c r="T2140" s="159"/>
      <c r="U2140" s="159"/>
    </row>
    <row r="2141" spans="1:21" ht="45" x14ac:dyDescent="0.25">
      <c r="A2141" s="63">
        <f>MATCH($E2141,'D1 - Master Project Table'!$B$24:$B$7056,0)</f>
        <v>2721</v>
      </c>
      <c r="B2141" s="63" t="b">
        <f t="shared" si="99"/>
        <v>0</v>
      </c>
      <c r="C2141" s="63" t="b">
        <f t="shared" si="100"/>
        <v>1</v>
      </c>
      <c r="D2141" s="63" t="str">
        <f t="shared" si="101"/>
        <v>OK</v>
      </c>
      <c r="E2141" s="393">
        <v>400019278</v>
      </c>
      <c r="F2141" s="392" t="s">
        <v>4172</v>
      </c>
      <c r="G2141" s="392" t="s">
        <v>5324</v>
      </c>
      <c r="H2141" s="392" t="s">
        <v>5314</v>
      </c>
      <c r="I2141" s="392" t="s">
        <v>1759</v>
      </c>
      <c r="J2141" s="392" t="s">
        <v>8404</v>
      </c>
      <c r="K2141" s="392" t="s">
        <v>2098</v>
      </c>
      <c r="L2141" s="392" t="s">
        <v>5013</v>
      </c>
      <c r="M2141" s="392" t="s">
        <v>3758</v>
      </c>
      <c r="N2141" s="392" t="s">
        <v>7273</v>
      </c>
      <c r="O2141" s="392" t="s">
        <v>7273</v>
      </c>
      <c r="P2141"/>
      <c r="Q2141"/>
      <c r="R2141" s="387">
        <f>VLOOKUP(E2141,'[1]NDB Impacted SPRFs 05032013'!$A$2:$A$65536,1,FALSE)</f>
        <v>400019278</v>
      </c>
      <c r="S2141" s="159"/>
      <c r="T2141" s="159"/>
      <c r="U2141" s="159"/>
    </row>
    <row r="2142" spans="1:21" ht="45" x14ac:dyDescent="0.25">
      <c r="A2142" s="63">
        <f>MATCH($E2142,'D1 - Master Project Table'!$B$24:$B$7056,0)</f>
        <v>2997</v>
      </c>
      <c r="B2142" s="63" t="b">
        <f t="shared" si="99"/>
        <v>0</v>
      </c>
      <c r="C2142" s="63" t="b">
        <f t="shared" si="100"/>
        <v>1</v>
      </c>
      <c r="D2142" s="63" t="str">
        <f t="shared" si="101"/>
        <v>OK</v>
      </c>
      <c r="E2142" s="393">
        <v>400038704</v>
      </c>
      <c r="F2142" s="392" t="s">
        <v>7452</v>
      </c>
      <c r="G2142" s="392" t="s">
        <v>5324</v>
      </c>
      <c r="H2142" s="392" t="s">
        <v>5314</v>
      </c>
      <c r="I2142" s="392" t="s">
        <v>1759</v>
      </c>
      <c r="J2142" s="392" t="s">
        <v>7453</v>
      </c>
      <c r="K2142" s="392" t="s">
        <v>1265</v>
      </c>
      <c r="L2142" s="392" t="s">
        <v>6932</v>
      </c>
      <c r="M2142" s="392" t="s">
        <v>7273</v>
      </c>
      <c r="N2142" s="392" t="s">
        <v>7273</v>
      </c>
      <c r="O2142" s="392" t="s">
        <v>7273</v>
      </c>
      <c r="P2142"/>
      <c r="Q2142"/>
      <c r="R2142" s="387">
        <f>VLOOKUP(E2142,'[1]NDB Impacted SPRFs 05032013'!$A$2:$A$65536,1,FALSE)</f>
        <v>400038704</v>
      </c>
    </row>
    <row r="2143" spans="1:21" ht="45" x14ac:dyDescent="0.25">
      <c r="A2143" s="63">
        <f>MATCH($E2143,'D1 - Master Project Table'!$B$24:$B$7056,0)</f>
        <v>1840</v>
      </c>
      <c r="B2143" s="63" t="b">
        <f t="shared" si="99"/>
        <v>0</v>
      </c>
      <c r="C2143" s="63" t="b">
        <f t="shared" si="100"/>
        <v>0</v>
      </c>
      <c r="D2143" s="63" t="str">
        <f t="shared" si="101"/>
        <v>OK</v>
      </c>
      <c r="E2143" s="393">
        <v>400057081</v>
      </c>
      <c r="F2143" s="392" t="s">
        <v>7688</v>
      </c>
      <c r="G2143" s="392" t="s">
        <v>5324</v>
      </c>
      <c r="H2143" s="392" t="s">
        <v>8012</v>
      </c>
      <c r="I2143" s="392" t="s">
        <v>1758</v>
      </c>
      <c r="J2143" s="392" t="s">
        <v>2471</v>
      </c>
      <c r="K2143" s="392" t="s">
        <v>168</v>
      </c>
      <c r="L2143" s="392" t="s">
        <v>9500</v>
      </c>
      <c r="M2143" s="392" t="s">
        <v>7273</v>
      </c>
      <c r="N2143" s="392" t="s">
        <v>7273</v>
      </c>
      <c r="O2143" s="392" t="s">
        <v>7273</v>
      </c>
      <c r="P2143"/>
      <c r="Q2143"/>
      <c r="R2143" s="387">
        <f>VLOOKUP(E2143,'[1]NDB Impacted SPRFs 05032013'!$A$2:$A$65536,1,FALSE)</f>
        <v>400057081</v>
      </c>
    </row>
    <row r="2144" spans="1:21" ht="15" x14ac:dyDescent="0.25">
      <c r="A2144" s="63" t="e">
        <f>MATCH($E2144,'D1 - Master Project Table'!$B$24:$B$7056,0)</f>
        <v>#N/A</v>
      </c>
      <c r="B2144" s="63" t="b">
        <f t="shared" si="99"/>
        <v>1</v>
      </c>
      <c r="C2144" s="63" t="b">
        <f t="shared" si="100"/>
        <v>1</v>
      </c>
      <c r="D2144" s="63" t="str">
        <f t="shared" si="101"/>
        <v>OK</v>
      </c>
      <c r="E2144" s="393">
        <v>400005631</v>
      </c>
      <c r="F2144" s="392" t="s">
        <v>2088</v>
      </c>
      <c r="G2144" s="392" t="s">
        <v>5995</v>
      </c>
      <c r="H2144" s="392" t="s">
        <v>7418</v>
      </c>
      <c r="I2144" s="392" t="s">
        <v>4527</v>
      </c>
      <c r="J2144" s="392" t="s">
        <v>8074</v>
      </c>
      <c r="K2144" s="392" t="s">
        <v>8116</v>
      </c>
      <c r="L2144" s="392" t="s">
        <v>3902</v>
      </c>
      <c r="M2144" s="392" t="s">
        <v>3758</v>
      </c>
      <c r="N2144" s="392" t="s">
        <v>7273</v>
      </c>
      <c r="O2144" s="392" t="s">
        <v>7273</v>
      </c>
      <c r="P2144"/>
      <c r="Q2144"/>
      <c r="R2144" s="387">
        <f>VLOOKUP(E2144,'[1]NDB Impacted SPRFs 05032013'!$A$2:$A$65536,1,FALSE)</f>
        <v>400005631</v>
      </c>
    </row>
    <row r="2145" spans="1:21" ht="45" x14ac:dyDescent="0.25">
      <c r="A2145" s="63">
        <f>MATCH($E2145,'D1 - Master Project Table'!$B$24:$B$7056,0)</f>
        <v>2513</v>
      </c>
      <c r="B2145" s="63" t="b">
        <f t="shared" si="99"/>
        <v>0</v>
      </c>
      <c r="C2145" s="63" t="b">
        <f t="shared" si="100"/>
        <v>1</v>
      </c>
      <c r="D2145" s="63" t="str">
        <f t="shared" si="101"/>
        <v>OK</v>
      </c>
      <c r="E2145" s="393">
        <v>400007554</v>
      </c>
      <c r="F2145" s="392" t="s">
        <v>6268</v>
      </c>
      <c r="G2145" s="392" t="s">
        <v>5324</v>
      </c>
      <c r="H2145" s="392" t="s">
        <v>5314</v>
      </c>
      <c r="I2145" s="392" t="s">
        <v>1765</v>
      </c>
      <c r="J2145" s="392" t="s">
        <v>8523</v>
      </c>
      <c r="K2145" s="392" t="s">
        <v>3004</v>
      </c>
      <c r="L2145" s="392" t="s">
        <v>6437</v>
      </c>
      <c r="M2145" s="392" t="s">
        <v>7273</v>
      </c>
      <c r="N2145" s="392" t="s">
        <v>7273</v>
      </c>
      <c r="O2145" s="392" t="s">
        <v>7273</v>
      </c>
      <c r="P2145"/>
      <c r="Q2145"/>
      <c r="R2145" s="387">
        <f>VLOOKUP(E2145,'[1]NDB Impacted SPRFs 05032013'!$A$2:$A$65536,1,FALSE)</f>
        <v>400007554</v>
      </c>
      <c r="S2145" s="159"/>
      <c r="T2145" s="159"/>
      <c r="U2145" s="159"/>
    </row>
    <row r="2146" spans="1:21" ht="30" x14ac:dyDescent="0.25">
      <c r="A2146" s="63">
        <f>MATCH($E2146,'D1 - Master Project Table'!$B$24:$B$7056,0)</f>
        <v>392</v>
      </c>
      <c r="B2146" s="63" t="b">
        <f t="shared" si="99"/>
        <v>0</v>
      </c>
      <c r="C2146" s="63" t="b">
        <f t="shared" si="100"/>
        <v>1</v>
      </c>
      <c r="D2146" s="63" t="str">
        <f t="shared" si="101"/>
        <v>OK</v>
      </c>
      <c r="E2146" s="393">
        <v>400008262</v>
      </c>
      <c r="F2146" s="392" t="s">
        <v>6876</v>
      </c>
      <c r="G2146" s="392" t="s">
        <v>3441</v>
      </c>
      <c r="H2146" s="392" t="s">
        <v>7418</v>
      </c>
      <c r="I2146" s="392" t="s">
        <v>2115</v>
      </c>
      <c r="J2146" s="392" t="s">
        <v>4110</v>
      </c>
      <c r="K2146" s="392" t="s">
        <v>5004</v>
      </c>
      <c r="L2146" s="392" t="s">
        <v>2864</v>
      </c>
      <c r="M2146" s="392" t="s">
        <v>3758</v>
      </c>
      <c r="N2146" s="392" t="s">
        <v>7273</v>
      </c>
      <c r="O2146" s="392" t="s">
        <v>7273</v>
      </c>
      <c r="P2146"/>
      <c r="Q2146"/>
      <c r="R2146" s="387">
        <f>VLOOKUP(E2146,'[1]NDB Impacted SPRFs 05032013'!$A$2:$A$65536,1,FALSE)</f>
        <v>400008262</v>
      </c>
    </row>
    <row r="2147" spans="1:21" ht="45" x14ac:dyDescent="0.25">
      <c r="A2147" s="63">
        <f>MATCH($E2147,'D1 - Master Project Table'!$B$24:$B$7056,0)</f>
        <v>2065</v>
      </c>
      <c r="B2147" s="63" t="b">
        <f t="shared" si="99"/>
        <v>0</v>
      </c>
      <c r="C2147" s="63" t="b">
        <f t="shared" si="100"/>
        <v>1</v>
      </c>
      <c r="D2147" s="63" t="str">
        <f t="shared" si="101"/>
        <v>OK</v>
      </c>
      <c r="E2147" s="393">
        <v>400008441</v>
      </c>
      <c r="F2147" s="392" t="s">
        <v>5766</v>
      </c>
      <c r="G2147" s="392" t="s">
        <v>5324</v>
      </c>
      <c r="H2147" s="392" t="s">
        <v>5314</v>
      </c>
      <c r="I2147" s="392" t="s">
        <v>1768</v>
      </c>
      <c r="J2147" s="392" t="s">
        <v>8521</v>
      </c>
      <c r="K2147" s="392" t="s">
        <v>2862</v>
      </c>
      <c r="L2147" s="392" t="s">
        <v>6437</v>
      </c>
      <c r="M2147" s="392" t="s">
        <v>7273</v>
      </c>
      <c r="N2147" s="392" t="s">
        <v>7273</v>
      </c>
      <c r="O2147" s="392" t="s">
        <v>7273</v>
      </c>
      <c r="P2147"/>
      <c r="Q2147"/>
      <c r="R2147" s="387">
        <f>VLOOKUP(E2147,'[1]NDB Impacted SPRFs 05032013'!$A$2:$A$65536,1,FALSE)</f>
        <v>400008441</v>
      </c>
      <c r="S2147" s="159"/>
      <c r="T2147" s="159"/>
      <c r="U2147" s="159"/>
    </row>
    <row r="2148" spans="1:21" ht="30" x14ac:dyDescent="0.25">
      <c r="A2148" s="63">
        <f>MATCH($E2148,'D1 - Master Project Table'!$B$24:$B$7056,0)</f>
        <v>497</v>
      </c>
      <c r="B2148" s="63" t="b">
        <f t="shared" si="99"/>
        <v>0</v>
      </c>
      <c r="C2148" s="63" t="b">
        <f t="shared" si="100"/>
        <v>1</v>
      </c>
      <c r="D2148" s="63" t="str">
        <f t="shared" si="101"/>
        <v>OK</v>
      </c>
      <c r="E2148" s="393">
        <v>400011866</v>
      </c>
      <c r="F2148" s="392" t="s">
        <v>7139</v>
      </c>
      <c r="G2148" s="392" t="s">
        <v>3441</v>
      </c>
      <c r="H2148" s="392" t="s">
        <v>7418</v>
      </c>
      <c r="I2148" s="392" t="s">
        <v>2662</v>
      </c>
      <c r="J2148" s="392" t="s">
        <v>2937</v>
      </c>
      <c r="K2148" s="392" t="s">
        <v>5541</v>
      </c>
      <c r="L2148" s="392" t="s">
        <v>6437</v>
      </c>
      <c r="M2148" s="392" t="s">
        <v>7273</v>
      </c>
      <c r="N2148" s="392" t="s">
        <v>7273</v>
      </c>
      <c r="O2148" s="392" t="s">
        <v>7273</v>
      </c>
      <c r="P2148"/>
      <c r="Q2148"/>
      <c r="R2148" s="387">
        <f>VLOOKUP(E2148,'[1]NDB Impacted SPRFs 05032013'!$A$2:$A$65536,1,FALSE)</f>
        <v>400011866</v>
      </c>
    </row>
    <row r="2149" spans="1:21" ht="30" x14ac:dyDescent="0.25">
      <c r="A2149" s="63">
        <f>MATCH($E2149,'D1 - Master Project Table'!$B$24:$B$7056,0)</f>
        <v>498</v>
      </c>
      <c r="B2149" s="63" t="b">
        <f t="shared" si="99"/>
        <v>0</v>
      </c>
      <c r="C2149" s="63" t="b">
        <f t="shared" si="100"/>
        <v>1</v>
      </c>
      <c r="D2149" s="63" t="str">
        <f t="shared" si="101"/>
        <v>OK</v>
      </c>
      <c r="E2149" s="393">
        <v>400011867</v>
      </c>
      <c r="F2149" s="392" t="s">
        <v>2863</v>
      </c>
      <c r="G2149" s="392" t="s">
        <v>3441</v>
      </c>
      <c r="H2149" s="392" t="s">
        <v>7418</v>
      </c>
      <c r="I2149" s="392" t="s">
        <v>2662</v>
      </c>
      <c r="J2149" s="392" t="s">
        <v>2937</v>
      </c>
      <c r="K2149" s="392" t="s">
        <v>5541</v>
      </c>
      <c r="L2149" s="392" t="s">
        <v>6437</v>
      </c>
      <c r="M2149" s="392" t="s">
        <v>7273</v>
      </c>
      <c r="N2149" s="392" t="s">
        <v>7273</v>
      </c>
      <c r="O2149" s="392" t="s">
        <v>7273</v>
      </c>
      <c r="P2149" s="212"/>
      <c r="Q2149" s="212"/>
      <c r="R2149" s="387">
        <f>VLOOKUP(E2149,'[1]NDB Impacted SPRFs 05032013'!$A$2:$A$65536,1,FALSE)</f>
        <v>400011867</v>
      </c>
      <c r="S2149" s="159"/>
      <c r="T2149" s="159"/>
      <c r="U2149" s="159"/>
    </row>
    <row r="2150" spans="1:21" ht="45" x14ac:dyDescent="0.25">
      <c r="A2150" s="63">
        <f>MATCH($E2150,'D1 - Master Project Table'!$B$24:$B$7056,0)</f>
        <v>2672</v>
      </c>
      <c r="B2150" s="63" t="b">
        <f t="shared" si="99"/>
        <v>0</v>
      </c>
      <c r="C2150" s="63" t="b">
        <f t="shared" si="100"/>
        <v>1</v>
      </c>
      <c r="D2150" s="63" t="str">
        <f t="shared" si="101"/>
        <v>OK</v>
      </c>
      <c r="E2150" s="393">
        <v>400016535</v>
      </c>
      <c r="F2150" s="392" t="s">
        <v>3231</v>
      </c>
      <c r="G2150" s="392" t="s">
        <v>5324</v>
      </c>
      <c r="H2150" s="392" t="s">
        <v>5314</v>
      </c>
      <c r="I2150" s="392" t="s">
        <v>1764</v>
      </c>
      <c r="J2150" s="392" t="s">
        <v>8298</v>
      </c>
      <c r="K2150" s="392" t="s">
        <v>5756</v>
      </c>
      <c r="L2150" s="392" t="s">
        <v>6437</v>
      </c>
      <c r="M2150" s="392" t="s">
        <v>7273</v>
      </c>
      <c r="N2150" s="392" t="s">
        <v>7273</v>
      </c>
      <c r="O2150" s="392" t="s">
        <v>7273</v>
      </c>
      <c r="P2150" s="212"/>
      <c r="Q2150"/>
      <c r="R2150" s="387">
        <f>VLOOKUP(E2150,'[1]NDB Impacted SPRFs 05032013'!$A$2:$A$65536,1,FALSE)</f>
        <v>400016535</v>
      </c>
      <c r="S2150" s="159"/>
      <c r="T2150" s="159"/>
      <c r="U2150" s="159"/>
    </row>
    <row r="2151" spans="1:21" ht="30" x14ac:dyDescent="0.25">
      <c r="A2151" s="63">
        <f>MATCH($E2151,'D1 - Master Project Table'!$B$24:$B$7056,0)</f>
        <v>2709</v>
      </c>
      <c r="B2151" s="63" t="b">
        <f t="shared" si="99"/>
        <v>0</v>
      </c>
      <c r="C2151" s="63" t="b">
        <f t="shared" si="100"/>
        <v>1</v>
      </c>
      <c r="D2151" s="63" t="str">
        <f t="shared" si="101"/>
        <v>OK</v>
      </c>
      <c r="E2151" s="393">
        <v>400018936</v>
      </c>
      <c r="F2151" s="392" t="s">
        <v>4458</v>
      </c>
      <c r="G2151" s="392" t="s">
        <v>5787</v>
      </c>
      <c r="H2151" s="392" t="s">
        <v>5314</v>
      </c>
      <c r="I2151" s="392" t="s">
        <v>1824</v>
      </c>
      <c r="J2151" s="392" t="s">
        <v>8600</v>
      </c>
      <c r="K2151" s="392" t="s">
        <v>7766</v>
      </c>
      <c r="L2151" s="392" t="s">
        <v>6437</v>
      </c>
      <c r="M2151" s="392" t="s">
        <v>7273</v>
      </c>
      <c r="N2151" s="392" t="s">
        <v>7273</v>
      </c>
      <c r="O2151" s="392" t="s">
        <v>7273</v>
      </c>
      <c r="P2151"/>
      <c r="Q2151"/>
      <c r="R2151" s="387">
        <f>VLOOKUP(E2151,'[1]NDB Impacted SPRFs 05032013'!$A$2:$A$65536,1,FALSE)</f>
        <v>400018936</v>
      </c>
    </row>
    <row r="2152" spans="1:21" ht="45" x14ac:dyDescent="0.25">
      <c r="A2152" s="63">
        <f>MATCH($E2152,'D1 - Master Project Table'!$B$24:$B$7056,0)</f>
        <v>2868</v>
      </c>
      <c r="B2152" s="63" t="b">
        <f t="shared" si="99"/>
        <v>0</v>
      </c>
      <c r="C2152" s="63" t="b">
        <f t="shared" si="100"/>
        <v>1</v>
      </c>
      <c r="D2152" s="63" t="str">
        <f t="shared" si="101"/>
        <v>OK</v>
      </c>
      <c r="E2152" s="393">
        <v>400027967</v>
      </c>
      <c r="F2152" s="392" t="s">
        <v>5671</v>
      </c>
      <c r="G2152" s="392" t="s">
        <v>5324</v>
      </c>
      <c r="H2152" s="392" t="s">
        <v>7418</v>
      </c>
      <c r="I2152" s="392" t="s">
        <v>1758</v>
      </c>
      <c r="J2152" s="392" t="s">
        <v>8310</v>
      </c>
      <c r="K2152" s="392" t="s">
        <v>5672</v>
      </c>
      <c r="L2152" s="392" t="s">
        <v>6437</v>
      </c>
      <c r="M2152" s="392" t="s">
        <v>7273</v>
      </c>
      <c r="N2152" s="392" t="s">
        <v>7273</v>
      </c>
      <c r="O2152" s="392" t="s">
        <v>7273</v>
      </c>
      <c r="P2152"/>
      <c r="Q2152"/>
      <c r="R2152" s="387">
        <f>VLOOKUP(E2152,'[1]NDB Impacted SPRFs 05032013'!$A$2:$A$65536,1,FALSE)</f>
        <v>400027967</v>
      </c>
    </row>
    <row r="2153" spans="1:21" ht="45" x14ac:dyDescent="0.25">
      <c r="A2153" s="63" t="e">
        <f>MATCH($E2153,'D1 - Master Project Table'!$B$24:$B$7056,0)</f>
        <v>#N/A</v>
      </c>
      <c r="B2153" s="63" t="b">
        <f t="shared" si="99"/>
        <v>1</v>
      </c>
      <c r="C2153" s="63" t="b">
        <f t="shared" si="100"/>
        <v>1</v>
      </c>
      <c r="D2153" s="63" t="str">
        <f t="shared" si="101"/>
        <v>OK</v>
      </c>
      <c r="E2153" s="393">
        <v>112191328</v>
      </c>
      <c r="F2153" s="392" t="s">
        <v>826</v>
      </c>
      <c r="G2153" s="392" t="s">
        <v>5324</v>
      </c>
      <c r="H2153" s="392" t="s">
        <v>7418</v>
      </c>
      <c r="I2153" s="392" t="s">
        <v>1765</v>
      </c>
      <c r="J2153" s="392" t="s">
        <v>8337</v>
      </c>
      <c r="K2153" s="392" t="s">
        <v>6736</v>
      </c>
      <c r="L2153" s="392" t="s">
        <v>6728</v>
      </c>
      <c r="M2153" s="392" t="s">
        <v>3758</v>
      </c>
      <c r="N2153" s="392" t="s">
        <v>7273</v>
      </c>
      <c r="O2153" s="392" t="s">
        <v>7273</v>
      </c>
      <c r="P2153"/>
      <c r="Q2153"/>
      <c r="R2153" s="387">
        <f>VLOOKUP(E2153,'[1]NDB Impacted SPRFs 05032013'!$A$2:$A$65536,1,FALSE)</f>
        <v>112191328</v>
      </c>
      <c r="S2153" s="159"/>
      <c r="T2153" s="159"/>
      <c r="U2153" s="159"/>
    </row>
    <row r="2154" spans="1:21" ht="45" x14ac:dyDescent="0.25">
      <c r="A2154" s="63" t="e">
        <f>MATCH($E2154,'D1 - Master Project Table'!$B$24:$B$7056,0)</f>
        <v>#N/A</v>
      </c>
      <c r="B2154" s="63" t="b">
        <f t="shared" si="99"/>
        <v>1</v>
      </c>
      <c r="C2154" s="63" t="b">
        <f t="shared" si="100"/>
        <v>1</v>
      </c>
      <c r="D2154" s="63" t="str">
        <f t="shared" si="101"/>
        <v>OK</v>
      </c>
      <c r="E2154" s="393">
        <v>303271454</v>
      </c>
      <c r="F2154" s="392" t="s">
        <v>4501</v>
      </c>
      <c r="G2154" s="392" t="s">
        <v>5324</v>
      </c>
      <c r="H2154" s="392" t="s">
        <v>5314</v>
      </c>
      <c r="I2154" s="392" t="s">
        <v>1767</v>
      </c>
      <c r="J2154" s="392" t="s">
        <v>8342</v>
      </c>
      <c r="K2154" s="392" t="s">
        <v>1506</v>
      </c>
      <c r="L2154" s="392" t="s">
        <v>6728</v>
      </c>
      <c r="M2154" s="392" t="s">
        <v>3758</v>
      </c>
      <c r="N2154" s="392" t="s">
        <v>7273</v>
      </c>
      <c r="O2154" s="392" t="s">
        <v>7273</v>
      </c>
      <c r="P2154" s="212"/>
      <c r="Q2154"/>
      <c r="R2154" s="387">
        <f>VLOOKUP(E2154,'[1]NDB Impacted SPRFs 05032013'!$A$2:$A$65536,1,FALSE)</f>
        <v>303271454</v>
      </c>
      <c r="S2154" s="159"/>
      <c r="T2154" s="159"/>
      <c r="U2154" s="159"/>
    </row>
    <row r="2155" spans="1:21" ht="45" x14ac:dyDescent="0.25">
      <c r="A2155" s="63" t="e">
        <f>MATCH($E2155,'D1 - Master Project Table'!$B$24:$B$7056,0)</f>
        <v>#N/A</v>
      </c>
      <c r="B2155" s="63" t="b">
        <f t="shared" si="99"/>
        <v>1</v>
      </c>
      <c r="C2155" s="63" t="b">
        <f t="shared" si="100"/>
        <v>1</v>
      </c>
      <c r="D2155" s="63" t="str">
        <f t="shared" si="101"/>
        <v>OK</v>
      </c>
      <c r="E2155" s="393">
        <v>400000366</v>
      </c>
      <c r="F2155" s="392" t="s">
        <v>2963</v>
      </c>
      <c r="G2155" s="392" t="s">
        <v>5324</v>
      </c>
      <c r="H2155" s="392" t="s">
        <v>7418</v>
      </c>
      <c r="I2155" s="392" t="s">
        <v>1765</v>
      </c>
      <c r="J2155" s="392" t="s">
        <v>8349</v>
      </c>
      <c r="K2155" s="392" t="s">
        <v>8075</v>
      </c>
      <c r="L2155" s="392" t="s">
        <v>6728</v>
      </c>
      <c r="M2155" s="392" t="s">
        <v>3758</v>
      </c>
      <c r="N2155" s="392" t="s">
        <v>7273</v>
      </c>
      <c r="O2155" s="392" t="s">
        <v>7273</v>
      </c>
      <c r="P2155" s="212"/>
      <c r="Q2155"/>
      <c r="R2155" s="387">
        <f>VLOOKUP(E2155,'[1]NDB Impacted SPRFs 05032013'!$A$2:$A$65536,1,FALSE)</f>
        <v>400000366</v>
      </c>
      <c r="S2155" s="159"/>
      <c r="T2155" s="159"/>
      <c r="U2155" s="159"/>
    </row>
    <row r="2156" spans="1:21" ht="45" x14ac:dyDescent="0.25">
      <c r="A2156" s="63" t="e">
        <f>MATCH($E2156,'D1 - Master Project Table'!$B$24:$B$7056,0)</f>
        <v>#N/A</v>
      </c>
      <c r="B2156" s="63" t="b">
        <f t="shared" si="99"/>
        <v>1</v>
      </c>
      <c r="C2156" s="63" t="b">
        <f t="shared" si="100"/>
        <v>1</v>
      </c>
      <c r="D2156" s="63" t="str">
        <f t="shared" si="101"/>
        <v>OK</v>
      </c>
      <c r="E2156" s="393">
        <v>400001281</v>
      </c>
      <c r="F2156" s="392" t="s">
        <v>8115</v>
      </c>
      <c r="G2156" s="392" t="s">
        <v>5324</v>
      </c>
      <c r="H2156" s="392" t="s">
        <v>7418</v>
      </c>
      <c r="I2156" s="392" t="s">
        <v>1765</v>
      </c>
      <c r="J2156" s="392" t="s">
        <v>5894</v>
      </c>
      <c r="K2156" s="392" t="s">
        <v>5641</v>
      </c>
      <c r="L2156" s="392" t="s">
        <v>6728</v>
      </c>
      <c r="M2156" s="392" t="s">
        <v>3758</v>
      </c>
      <c r="N2156" s="392" t="s">
        <v>7273</v>
      </c>
      <c r="O2156" s="392" t="s">
        <v>7273</v>
      </c>
      <c r="P2156"/>
      <c r="Q2156"/>
      <c r="R2156" s="387">
        <f>VLOOKUP(E2156,'[1]NDB Impacted SPRFs 05032013'!$A$2:$A$65536,1,FALSE)</f>
        <v>400001281</v>
      </c>
      <c r="S2156" s="159"/>
      <c r="T2156" s="159"/>
      <c r="U2156" s="159"/>
    </row>
    <row r="2157" spans="1:21" ht="45" x14ac:dyDescent="0.25">
      <c r="A2157" s="63" t="e">
        <f>MATCH($E2157,'D1 - Master Project Table'!$B$24:$B$7056,0)</f>
        <v>#N/A</v>
      </c>
      <c r="B2157" s="63" t="b">
        <f t="shared" si="99"/>
        <v>1</v>
      </c>
      <c r="C2157" s="63" t="b">
        <f t="shared" si="100"/>
        <v>1</v>
      </c>
      <c r="D2157" s="63" t="str">
        <f t="shared" si="101"/>
        <v>OK</v>
      </c>
      <c r="E2157" s="393">
        <v>400001929</v>
      </c>
      <c r="F2157" s="392" t="s">
        <v>3482</v>
      </c>
      <c r="G2157" s="392" t="s">
        <v>5324</v>
      </c>
      <c r="H2157" s="392" t="s">
        <v>7418</v>
      </c>
      <c r="I2157" s="392" t="s">
        <v>1765</v>
      </c>
      <c r="J2157" s="392" t="s">
        <v>5473</v>
      </c>
      <c r="K2157" s="392" t="s">
        <v>2579</v>
      </c>
      <c r="L2157" s="392" t="s">
        <v>3483</v>
      </c>
      <c r="M2157" s="392" t="s">
        <v>7273</v>
      </c>
      <c r="N2157" s="392" t="s">
        <v>7273</v>
      </c>
      <c r="O2157" s="392" t="s">
        <v>7273</v>
      </c>
      <c r="P2157"/>
      <c r="Q2157"/>
      <c r="R2157" s="387">
        <f>VLOOKUP(E2157,'[1]NDB Impacted SPRFs 05032013'!$A$2:$A$65536,1,FALSE)</f>
        <v>400001929</v>
      </c>
    </row>
    <row r="2158" spans="1:21" ht="45" x14ac:dyDescent="0.25">
      <c r="A2158" s="63">
        <f>MATCH($E2158,'D1 - Master Project Table'!$B$24:$B$7056,0)</f>
        <v>408</v>
      </c>
      <c r="B2158" s="63" t="b">
        <f t="shared" si="99"/>
        <v>0</v>
      </c>
      <c r="C2158" s="63" t="b">
        <f t="shared" si="100"/>
        <v>1</v>
      </c>
      <c r="D2158" s="63" t="str">
        <f t="shared" si="101"/>
        <v>OK</v>
      </c>
      <c r="E2158" s="393">
        <v>400007964</v>
      </c>
      <c r="F2158" s="392" t="s">
        <v>6845</v>
      </c>
      <c r="G2158" s="392" t="s">
        <v>5324</v>
      </c>
      <c r="H2158" s="392" t="s">
        <v>7418</v>
      </c>
      <c r="I2158" s="392" t="s">
        <v>1768</v>
      </c>
      <c r="J2158" s="392" t="s">
        <v>8521</v>
      </c>
      <c r="K2158" s="392" t="s">
        <v>2862</v>
      </c>
      <c r="L2158" s="392" t="s">
        <v>6098</v>
      </c>
      <c r="M2158" s="392" t="s">
        <v>7273</v>
      </c>
      <c r="N2158" s="392" t="s">
        <v>7273</v>
      </c>
      <c r="O2158" s="392" t="s">
        <v>7273</v>
      </c>
      <c r="P2158"/>
      <c r="Q2158"/>
      <c r="R2158" s="387">
        <f>VLOOKUP(E2158,'[1]NDB Impacted SPRFs 05032013'!$A$2:$A$65536,1,FALSE)</f>
        <v>400007964</v>
      </c>
    </row>
    <row r="2159" spans="1:21" ht="45" x14ac:dyDescent="0.25">
      <c r="A2159" s="63">
        <f>MATCH($E2159,'D1 - Master Project Table'!$B$24:$B$7056,0)</f>
        <v>560</v>
      </c>
      <c r="B2159" s="63" t="b">
        <f t="shared" si="99"/>
        <v>0</v>
      </c>
      <c r="C2159" s="63" t="b">
        <f t="shared" si="100"/>
        <v>1</v>
      </c>
      <c r="D2159" s="63" t="str">
        <f t="shared" si="101"/>
        <v>OK</v>
      </c>
      <c r="E2159" s="393">
        <v>400011795</v>
      </c>
      <c r="F2159" s="392" t="s">
        <v>6212</v>
      </c>
      <c r="G2159" s="392" t="s">
        <v>5324</v>
      </c>
      <c r="H2159" s="392" t="s">
        <v>7418</v>
      </c>
      <c r="I2159" s="392" t="s">
        <v>1764</v>
      </c>
      <c r="J2159" s="392" t="s">
        <v>8520</v>
      </c>
      <c r="K2159" s="392" t="s">
        <v>5184</v>
      </c>
      <c r="L2159" s="392" t="s">
        <v>6098</v>
      </c>
      <c r="M2159" s="392" t="s">
        <v>7273</v>
      </c>
      <c r="N2159" s="392" t="s">
        <v>7273</v>
      </c>
      <c r="O2159" s="392" t="s">
        <v>7273</v>
      </c>
      <c r="P2159" s="212"/>
      <c r="Q2159"/>
      <c r="R2159" s="387">
        <f>VLOOKUP(E2159,'[1]NDB Impacted SPRFs 05032013'!$A$2:$A$65536,1,FALSE)</f>
        <v>400011795</v>
      </c>
      <c r="S2159" s="159"/>
      <c r="T2159" s="159"/>
      <c r="U2159" s="159"/>
    </row>
    <row r="2160" spans="1:21" ht="45" x14ac:dyDescent="0.25">
      <c r="A2160" s="63" t="e">
        <f>MATCH($E2160,'D1 - Master Project Table'!$B$24:$B$7056,0)</f>
        <v>#N/A</v>
      </c>
      <c r="B2160" s="63" t="b">
        <f t="shared" ref="B2160:B2223" si="102">ISERROR(A2160)</f>
        <v>1</v>
      </c>
      <c r="C2160" s="63" t="b">
        <f t="shared" si="100"/>
        <v>1</v>
      </c>
      <c r="D2160" s="63" t="str">
        <f t="shared" si="101"/>
        <v>OK</v>
      </c>
      <c r="E2160" s="393">
        <v>400012042</v>
      </c>
      <c r="F2160" s="392" t="s">
        <v>5131</v>
      </c>
      <c r="G2160" s="392" t="s">
        <v>5324</v>
      </c>
      <c r="H2160" s="392" t="s">
        <v>5314</v>
      </c>
      <c r="I2160" s="392" t="s">
        <v>1768</v>
      </c>
      <c r="J2160" s="392" t="s">
        <v>8298</v>
      </c>
      <c r="K2160" s="392" t="s">
        <v>5641</v>
      </c>
      <c r="L2160" s="392" t="s">
        <v>6098</v>
      </c>
      <c r="M2160" s="392" t="s">
        <v>7273</v>
      </c>
      <c r="N2160" s="392" t="s">
        <v>7273</v>
      </c>
      <c r="O2160" s="392" t="s">
        <v>7273</v>
      </c>
      <c r="P2160"/>
      <c r="Q2160"/>
      <c r="R2160" s="387">
        <f>VLOOKUP(E2160,'[1]NDB Impacted SPRFs 05032013'!$A$2:$A$65536,1,FALSE)</f>
        <v>400012042</v>
      </c>
    </row>
    <row r="2161" spans="1:21" ht="45" x14ac:dyDescent="0.25">
      <c r="A2161" s="63">
        <f>MATCH($E2161,'D1 - Master Project Table'!$B$24:$B$7056,0)</f>
        <v>2657</v>
      </c>
      <c r="B2161" s="63" t="b">
        <f t="shared" si="102"/>
        <v>0</v>
      </c>
      <c r="C2161" s="63" t="b">
        <f t="shared" si="100"/>
        <v>1</v>
      </c>
      <c r="D2161" s="63" t="str">
        <f t="shared" si="101"/>
        <v>OK</v>
      </c>
      <c r="E2161" s="393">
        <v>400015442</v>
      </c>
      <c r="F2161" s="392" t="s">
        <v>7958</v>
      </c>
      <c r="G2161" s="392" t="s">
        <v>5995</v>
      </c>
      <c r="H2161" s="392" t="s">
        <v>5314</v>
      </c>
      <c r="I2161" s="392" t="s">
        <v>3531</v>
      </c>
      <c r="J2161" s="392" t="s">
        <v>8420</v>
      </c>
      <c r="K2161" s="392" t="s">
        <v>3940</v>
      </c>
      <c r="L2161" s="392" t="s">
        <v>6098</v>
      </c>
      <c r="M2161" s="392" t="s">
        <v>7273</v>
      </c>
      <c r="N2161" s="392" t="s">
        <v>7273</v>
      </c>
      <c r="O2161" s="392" t="s">
        <v>7273</v>
      </c>
      <c r="P2161"/>
      <c r="Q2161"/>
      <c r="R2161" s="387">
        <f>VLOOKUP(E2161,'[1]NDB Impacted SPRFs 05032013'!$A$2:$A$65536,1,FALSE)</f>
        <v>400015442</v>
      </c>
      <c r="S2161" s="159"/>
      <c r="T2161" s="159"/>
      <c r="U2161" s="159"/>
    </row>
    <row r="2162" spans="1:21" ht="45" x14ac:dyDescent="0.25">
      <c r="A2162" s="63">
        <f>MATCH($E2162,'D1 - Master Project Table'!$B$24:$B$7056,0)</f>
        <v>702</v>
      </c>
      <c r="B2162" s="63" t="b">
        <f t="shared" si="102"/>
        <v>0</v>
      </c>
      <c r="C2162" s="63" t="b">
        <f t="shared" si="100"/>
        <v>1</v>
      </c>
      <c r="D2162" s="63" t="str">
        <f t="shared" si="101"/>
        <v>OK</v>
      </c>
      <c r="E2162" s="393">
        <v>400015793</v>
      </c>
      <c r="F2162" s="392" t="s">
        <v>7352</v>
      </c>
      <c r="G2162" s="392" t="s">
        <v>5324</v>
      </c>
      <c r="H2162" s="392" t="s">
        <v>7418</v>
      </c>
      <c r="I2162" s="392" t="s">
        <v>1764</v>
      </c>
      <c r="J2162" s="392" t="s">
        <v>8420</v>
      </c>
      <c r="K2162" s="392" t="s">
        <v>7401</v>
      </c>
      <c r="L2162" s="392" t="s">
        <v>6098</v>
      </c>
      <c r="M2162" s="392" t="s">
        <v>7273</v>
      </c>
      <c r="N2162" s="392" t="s">
        <v>7273</v>
      </c>
      <c r="O2162" s="392" t="s">
        <v>7273</v>
      </c>
      <c r="P2162"/>
      <c r="Q2162"/>
      <c r="R2162" s="387">
        <f>VLOOKUP(E2162,'[1]NDB Impacted SPRFs 05032013'!$A$2:$A$65536,1,FALSE)</f>
        <v>400015793</v>
      </c>
      <c r="S2162" s="159"/>
      <c r="T2162" s="159"/>
      <c r="U2162" s="159"/>
    </row>
    <row r="2163" spans="1:21" ht="45" x14ac:dyDescent="0.25">
      <c r="A2163" s="63" t="e">
        <f>MATCH($E2163,'D1 - Master Project Table'!$B$24:$B$7056,0)</f>
        <v>#N/A</v>
      </c>
      <c r="B2163" s="63" t="b">
        <f t="shared" si="102"/>
        <v>1</v>
      </c>
      <c r="C2163" s="63" t="b">
        <f t="shared" si="100"/>
        <v>1</v>
      </c>
      <c r="D2163" s="63" t="str">
        <f t="shared" si="101"/>
        <v>OK</v>
      </c>
      <c r="E2163" s="393">
        <v>400000597</v>
      </c>
      <c r="F2163" s="392" t="s">
        <v>3491</v>
      </c>
      <c r="G2163" s="392" t="s">
        <v>5325</v>
      </c>
      <c r="H2163" s="392" t="s">
        <v>7418</v>
      </c>
      <c r="I2163" s="392" t="s">
        <v>1793</v>
      </c>
      <c r="J2163" s="392" t="s">
        <v>8254</v>
      </c>
      <c r="K2163" s="392" t="s">
        <v>1634</v>
      </c>
      <c r="L2163" s="392" t="s">
        <v>6083</v>
      </c>
      <c r="M2163" s="392" t="s">
        <v>7273</v>
      </c>
      <c r="N2163" s="392" t="s">
        <v>7273</v>
      </c>
      <c r="O2163" s="392" t="s">
        <v>7273</v>
      </c>
      <c r="P2163"/>
      <c r="Q2163"/>
      <c r="R2163" s="387">
        <f>VLOOKUP(E2163,'[1]NDB Impacted SPRFs 05032013'!$A$2:$A$65536,1,FALSE)</f>
        <v>400000597</v>
      </c>
      <c r="S2163" s="159"/>
      <c r="T2163" s="159"/>
      <c r="U2163" s="159"/>
    </row>
    <row r="2164" spans="1:21" ht="45" x14ac:dyDescent="0.25">
      <c r="A2164" s="63" t="e">
        <f>MATCH($E2164,'D1 - Master Project Table'!$B$24:$B$7056,0)</f>
        <v>#N/A</v>
      </c>
      <c r="B2164" s="63" t="b">
        <f t="shared" si="102"/>
        <v>1</v>
      </c>
      <c r="C2164" s="63" t="b">
        <f t="shared" si="100"/>
        <v>1</v>
      </c>
      <c r="D2164" s="63" t="str">
        <f t="shared" si="101"/>
        <v>OK</v>
      </c>
      <c r="E2164" s="393">
        <v>400001231</v>
      </c>
      <c r="F2164" s="392" t="s">
        <v>7107</v>
      </c>
      <c r="G2164" s="392" t="s">
        <v>5325</v>
      </c>
      <c r="H2164" s="392" t="s">
        <v>7418</v>
      </c>
      <c r="I2164" s="392" t="s">
        <v>1793</v>
      </c>
      <c r="J2164" s="392" t="s">
        <v>6965</v>
      </c>
      <c r="K2164" s="392" t="s">
        <v>7762</v>
      </c>
      <c r="L2164" s="392" t="s">
        <v>7108</v>
      </c>
      <c r="M2164" s="392" t="s">
        <v>7273</v>
      </c>
      <c r="N2164" s="392" t="s">
        <v>7273</v>
      </c>
      <c r="O2164" s="392" t="s">
        <v>7273</v>
      </c>
      <c r="P2164"/>
      <c r="Q2164"/>
      <c r="R2164" s="387">
        <f>VLOOKUP(E2164,'[1]NDB Impacted SPRFs 05032013'!$A$2:$A$65536,1,FALSE)</f>
        <v>400001231</v>
      </c>
    </row>
    <row r="2165" spans="1:21" ht="45" x14ac:dyDescent="0.25">
      <c r="A2165" s="63">
        <f>MATCH($E2165,'D1 - Master Project Table'!$B$24:$B$7056,0)</f>
        <v>2385</v>
      </c>
      <c r="B2165" s="63" t="b">
        <f t="shared" si="102"/>
        <v>0</v>
      </c>
      <c r="C2165" s="63" t="b">
        <f t="shared" si="100"/>
        <v>1</v>
      </c>
      <c r="D2165" s="63" t="str">
        <f t="shared" si="101"/>
        <v>OK</v>
      </c>
      <c r="E2165" s="393">
        <v>400001531</v>
      </c>
      <c r="F2165" s="392" t="s">
        <v>2865</v>
      </c>
      <c r="G2165" s="392" t="s">
        <v>5324</v>
      </c>
      <c r="H2165" s="392" t="s">
        <v>5314</v>
      </c>
      <c r="I2165" s="392" t="s">
        <v>1765</v>
      </c>
      <c r="J2165" s="392" t="s">
        <v>8447</v>
      </c>
      <c r="K2165" s="392" t="s">
        <v>4169</v>
      </c>
      <c r="L2165" s="392" t="s">
        <v>7108</v>
      </c>
      <c r="M2165" s="392" t="s">
        <v>7273</v>
      </c>
      <c r="N2165" s="392" t="s">
        <v>7273</v>
      </c>
      <c r="O2165" s="392" t="s">
        <v>7273</v>
      </c>
      <c r="P2165"/>
      <c r="Q2165"/>
      <c r="R2165" s="387">
        <f>VLOOKUP(E2165,'[1]NDB Impacted SPRFs 05032013'!$A$2:$A$65536,1,FALSE)</f>
        <v>400001531</v>
      </c>
      <c r="S2165" s="159"/>
      <c r="T2165" s="159"/>
      <c r="U2165" s="159"/>
    </row>
    <row r="2166" spans="1:21" ht="45" x14ac:dyDescent="0.25">
      <c r="A2166" s="63">
        <f>MATCH($E2166,'D1 - Master Project Table'!$B$24:$B$7056,0)</f>
        <v>2388</v>
      </c>
      <c r="B2166" s="63" t="b">
        <f t="shared" si="102"/>
        <v>0</v>
      </c>
      <c r="C2166" s="63" t="b">
        <f t="shared" si="100"/>
        <v>1</v>
      </c>
      <c r="D2166" s="63" t="str">
        <f t="shared" si="101"/>
        <v>OK</v>
      </c>
      <c r="E2166" s="393">
        <v>400001696</v>
      </c>
      <c r="F2166" s="392" t="s">
        <v>3471</v>
      </c>
      <c r="G2166" s="392" t="s">
        <v>5324</v>
      </c>
      <c r="H2166" s="392" t="s">
        <v>5314</v>
      </c>
      <c r="I2166" s="392" t="s">
        <v>1765</v>
      </c>
      <c r="J2166" s="392" t="s">
        <v>8359</v>
      </c>
      <c r="K2166" s="392" t="s">
        <v>5641</v>
      </c>
      <c r="L2166" s="392" t="s">
        <v>6083</v>
      </c>
      <c r="M2166" s="392" t="s">
        <v>7273</v>
      </c>
      <c r="N2166" s="392" t="s">
        <v>7273</v>
      </c>
      <c r="O2166" s="392" t="s">
        <v>7273</v>
      </c>
      <c r="P2166"/>
      <c r="Q2166"/>
      <c r="R2166" s="387">
        <f>VLOOKUP(E2166,'[1]NDB Impacted SPRFs 05032013'!$A$2:$A$65536,1,FALSE)</f>
        <v>400001696</v>
      </c>
    </row>
    <row r="2167" spans="1:21" ht="45" x14ac:dyDescent="0.25">
      <c r="A2167" s="63">
        <f>MATCH($E2167,'D1 - Master Project Table'!$B$24:$B$7056,0)</f>
        <v>2392</v>
      </c>
      <c r="B2167" s="63" t="b">
        <f t="shared" si="102"/>
        <v>0</v>
      </c>
      <c r="C2167" s="63" t="b">
        <f t="shared" si="100"/>
        <v>1</v>
      </c>
      <c r="D2167" s="63" t="str">
        <f t="shared" si="101"/>
        <v>OK</v>
      </c>
      <c r="E2167" s="393">
        <v>400001970</v>
      </c>
      <c r="F2167" s="392" t="s">
        <v>3485</v>
      </c>
      <c r="G2167" s="392" t="s">
        <v>5324</v>
      </c>
      <c r="H2167" s="392" t="s">
        <v>5314</v>
      </c>
      <c r="I2167" s="392" t="s">
        <v>1765</v>
      </c>
      <c r="J2167" s="392" t="s">
        <v>8360</v>
      </c>
      <c r="K2167" s="392" t="s">
        <v>3486</v>
      </c>
      <c r="L2167" s="392" t="s">
        <v>7108</v>
      </c>
      <c r="M2167" s="392" t="s">
        <v>7273</v>
      </c>
      <c r="N2167" s="392" t="s">
        <v>7273</v>
      </c>
      <c r="O2167" s="392" t="s">
        <v>7273</v>
      </c>
      <c r="P2167"/>
      <c r="Q2167"/>
      <c r="R2167" s="387">
        <f>VLOOKUP(E2167,'[1]NDB Impacted SPRFs 05032013'!$A$2:$A$65536,1,FALSE)</f>
        <v>400001970</v>
      </c>
      <c r="S2167" s="159"/>
      <c r="T2167" s="159"/>
      <c r="U2167" s="159"/>
    </row>
    <row r="2168" spans="1:21" ht="45" x14ac:dyDescent="0.25">
      <c r="A2168" s="63">
        <f>MATCH($E2168,'D1 - Master Project Table'!$B$24:$B$7056,0)</f>
        <v>2836</v>
      </c>
      <c r="B2168" s="63" t="b">
        <f t="shared" si="102"/>
        <v>0</v>
      </c>
      <c r="C2168" s="63" t="b">
        <f t="shared" si="100"/>
        <v>1</v>
      </c>
      <c r="D2168" s="63" t="str">
        <f t="shared" si="101"/>
        <v>OK</v>
      </c>
      <c r="E2168" s="393">
        <v>400025663</v>
      </c>
      <c r="F2168" s="392" t="s">
        <v>3254</v>
      </c>
      <c r="G2168" s="392" t="s">
        <v>5325</v>
      </c>
      <c r="H2168" s="392" t="s">
        <v>5314</v>
      </c>
      <c r="I2168" s="392" t="s">
        <v>1795</v>
      </c>
      <c r="J2168" s="392" t="s">
        <v>8260</v>
      </c>
      <c r="K2168" s="392" t="s">
        <v>6585</v>
      </c>
      <c r="L2168" s="392" t="s">
        <v>1922</v>
      </c>
      <c r="M2168" s="392" t="s">
        <v>7273</v>
      </c>
      <c r="N2168" s="392" t="s">
        <v>7273</v>
      </c>
      <c r="O2168" s="392" t="s">
        <v>7273</v>
      </c>
      <c r="P2168"/>
      <c r="Q2168"/>
      <c r="R2168" s="387">
        <f>VLOOKUP(E2168,'[1]NDB Impacted SPRFs 05032013'!$A$2:$A$65536,1,FALSE)</f>
        <v>400025663</v>
      </c>
      <c r="S2168" s="159"/>
      <c r="T2168" s="159"/>
      <c r="U2168" s="159"/>
    </row>
    <row r="2169" spans="1:21" ht="60" x14ac:dyDescent="0.25">
      <c r="A2169" s="63">
        <f>MATCH($E2169,'D1 - Master Project Table'!$B$24:$B$7056,0)</f>
        <v>224</v>
      </c>
      <c r="B2169" s="63" t="b">
        <f t="shared" si="102"/>
        <v>0</v>
      </c>
      <c r="C2169" s="63" t="b">
        <f t="shared" si="100"/>
        <v>0</v>
      </c>
      <c r="D2169" s="63" t="str">
        <f t="shared" si="101"/>
        <v>OK</v>
      </c>
      <c r="E2169" s="393">
        <v>400055586</v>
      </c>
      <c r="F2169" s="392" t="s">
        <v>6666</v>
      </c>
      <c r="G2169" s="392" t="s">
        <v>5324</v>
      </c>
      <c r="H2169" s="392" t="s">
        <v>6462</v>
      </c>
      <c r="I2169" s="392" t="s">
        <v>1762</v>
      </c>
      <c r="J2169" s="392" t="s">
        <v>8838</v>
      </c>
      <c r="K2169" s="392" t="s">
        <v>6667</v>
      </c>
      <c r="L2169" s="392" t="s">
        <v>6668</v>
      </c>
      <c r="M2169" s="392" t="s">
        <v>7273</v>
      </c>
      <c r="N2169" s="392" t="s">
        <v>7273</v>
      </c>
      <c r="O2169" s="392" t="s">
        <v>7273</v>
      </c>
      <c r="P2169"/>
      <c r="Q2169"/>
      <c r="R2169" s="387">
        <f>VLOOKUP(E2169,'[1]NDB Impacted SPRFs 05032013'!$A$2:$A$65536,1,FALSE)</f>
        <v>400055586</v>
      </c>
      <c r="S2169" s="159"/>
      <c r="T2169" s="159"/>
      <c r="U2169" s="159"/>
    </row>
    <row r="2170" spans="1:21" ht="45" x14ac:dyDescent="0.25">
      <c r="A2170" s="63">
        <f>MATCH($E2170,'D1 - Master Project Table'!$B$24:$B$7056,0)</f>
        <v>2452</v>
      </c>
      <c r="B2170" s="63" t="b">
        <f t="shared" si="102"/>
        <v>0</v>
      </c>
      <c r="C2170" s="63" t="b">
        <f t="shared" si="100"/>
        <v>1</v>
      </c>
      <c r="D2170" s="63" t="str">
        <f t="shared" si="101"/>
        <v>OK</v>
      </c>
      <c r="E2170" s="393">
        <v>400004188</v>
      </c>
      <c r="F2170" s="392" t="s">
        <v>5745</v>
      </c>
      <c r="G2170" s="392" t="s">
        <v>5324</v>
      </c>
      <c r="H2170" s="392" t="s">
        <v>5314</v>
      </c>
      <c r="I2170" s="392" t="s">
        <v>1765</v>
      </c>
      <c r="J2170" s="392" t="s">
        <v>5473</v>
      </c>
      <c r="K2170" s="392" t="s">
        <v>6348</v>
      </c>
      <c r="L2170" s="392" t="s">
        <v>4643</v>
      </c>
      <c r="M2170" s="392" t="s">
        <v>7273</v>
      </c>
      <c r="N2170" s="392" t="s">
        <v>7273</v>
      </c>
      <c r="O2170" s="392" t="s">
        <v>7273</v>
      </c>
      <c r="P2170"/>
      <c r="Q2170"/>
      <c r="R2170" s="387">
        <f>VLOOKUP(E2170,'[1]NDB Impacted SPRFs 05032013'!$A$2:$A$65536,1,FALSE)</f>
        <v>400004188</v>
      </c>
    </row>
    <row r="2171" spans="1:21" ht="30" x14ac:dyDescent="0.25">
      <c r="A2171" s="63">
        <f>MATCH($E2171,'D1 - Master Project Table'!$B$24:$B$7056,0)</f>
        <v>335</v>
      </c>
      <c r="B2171" s="63" t="b">
        <f t="shared" si="102"/>
        <v>0</v>
      </c>
      <c r="C2171" s="63" t="b">
        <f t="shared" si="100"/>
        <v>1</v>
      </c>
      <c r="D2171" s="63" t="str">
        <f t="shared" si="101"/>
        <v>OK</v>
      </c>
      <c r="E2171" s="393">
        <v>400004971</v>
      </c>
      <c r="F2171" s="392" t="s">
        <v>2942</v>
      </c>
      <c r="G2171" s="392" t="s">
        <v>5787</v>
      </c>
      <c r="H2171" s="392" t="s">
        <v>7418</v>
      </c>
      <c r="I2171" s="392" t="s">
        <v>1779</v>
      </c>
      <c r="J2171" s="392" t="s">
        <v>8457</v>
      </c>
      <c r="K2171" s="392" t="s">
        <v>3323</v>
      </c>
      <c r="L2171" s="392" t="s">
        <v>4489</v>
      </c>
      <c r="M2171" s="392" t="s">
        <v>7273</v>
      </c>
      <c r="N2171" s="392" t="s">
        <v>7273</v>
      </c>
      <c r="O2171" s="392" t="s">
        <v>7273</v>
      </c>
      <c r="P2171"/>
      <c r="Q2171"/>
      <c r="R2171" s="387">
        <f>VLOOKUP(E2171,'[1]NDB Impacted SPRFs 05032013'!$A$2:$A$65536,1,FALSE)</f>
        <v>400004971</v>
      </c>
      <c r="S2171" s="159"/>
      <c r="T2171" s="159"/>
      <c r="U2171" s="159"/>
    </row>
    <row r="2172" spans="1:21" ht="45" x14ac:dyDescent="0.25">
      <c r="A2172" s="63">
        <f>MATCH($E2172,'D1 - Master Project Table'!$B$24:$B$7056,0)</f>
        <v>345</v>
      </c>
      <c r="B2172" s="63" t="b">
        <f t="shared" si="102"/>
        <v>0</v>
      </c>
      <c r="C2172" s="63" t="b">
        <f t="shared" si="100"/>
        <v>1</v>
      </c>
      <c r="D2172" s="63" t="str">
        <f t="shared" si="101"/>
        <v>OK</v>
      </c>
      <c r="E2172" s="393">
        <v>400005799</v>
      </c>
      <c r="F2172" s="392" t="s">
        <v>6089</v>
      </c>
      <c r="G2172" s="392" t="s">
        <v>5324</v>
      </c>
      <c r="H2172" s="392" t="s">
        <v>7418</v>
      </c>
      <c r="I2172" s="392" t="s">
        <v>1768</v>
      </c>
      <c r="J2172" s="392" t="s">
        <v>8420</v>
      </c>
      <c r="K2172" s="392" t="s">
        <v>5641</v>
      </c>
      <c r="L2172" s="392" t="s">
        <v>4489</v>
      </c>
      <c r="M2172" s="392" t="s">
        <v>7273</v>
      </c>
      <c r="N2172" s="392" t="s">
        <v>7273</v>
      </c>
      <c r="O2172" s="392" t="s">
        <v>7273</v>
      </c>
      <c r="P2172"/>
      <c r="Q2172"/>
      <c r="R2172" s="387">
        <f>VLOOKUP(E2172,'[1]NDB Impacted SPRFs 05032013'!$A$2:$A$65536,1,FALSE)</f>
        <v>400005799</v>
      </c>
      <c r="S2172" s="159"/>
      <c r="T2172" s="159"/>
      <c r="U2172" s="159"/>
    </row>
    <row r="2173" spans="1:21" ht="45" x14ac:dyDescent="0.25">
      <c r="A2173" s="63">
        <f>MATCH($E2173,'D1 - Master Project Table'!$B$24:$B$7056,0)</f>
        <v>2537</v>
      </c>
      <c r="B2173" s="63" t="b">
        <f t="shared" si="102"/>
        <v>0</v>
      </c>
      <c r="C2173" s="63" t="b">
        <f t="shared" si="100"/>
        <v>1</v>
      </c>
      <c r="D2173" s="63" t="str">
        <f t="shared" si="101"/>
        <v>OK</v>
      </c>
      <c r="E2173" s="393">
        <v>400008727</v>
      </c>
      <c r="F2173" s="392" t="s">
        <v>5748</v>
      </c>
      <c r="G2173" s="392" t="s">
        <v>5324</v>
      </c>
      <c r="H2173" s="392" t="s">
        <v>5314</v>
      </c>
      <c r="I2173" s="392" t="s">
        <v>1765</v>
      </c>
      <c r="J2173" s="392" t="s">
        <v>2937</v>
      </c>
      <c r="K2173" s="392" t="s">
        <v>5641</v>
      </c>
      <c r="L2173" s="392" t="s">
        <v>4489</v>
      </c>
      <c r="M2173" s="392" t="s">
        <v>7273</v>
      </c>
      <c r="N2173" s="392" t="s">
        <v>7273</v>
      </c>
      <c r="O2173" s="392" t="s">
        <v>7273</v>
      </c>
      <c r="P2173"/>
      <c r="Q2173"/>
      <c r="R2173" s="387">
        <f>VLOOKUP(E2173,'[1]NDB Impacted SPRFs 05032013'!$A$2:$A$65536,1,FALSE)</f>
        <v>400008727</v>
      </c>
      <c r="S2173" s="159"/>
      <c r="T2173" s="159"/>
      <c r="U2173" s="159"/>
    </row>
    <row r="2174" spans="1:21" ht="45" x14ac:dyDescent="0.25">
      <c r="A2174" s="63">
        <f>MATCH($E2174,'D1 - Master Project Table'!$B$24:$B$7056,0)</f>
        <v>448</v>
      </c>
      <c r="B2174" s="63" t="b">
        <f t="shared" si="102"/>
        <v>0</v>
      </c>
      <c r="C2174" s="63" t="b">
        <f t="shared" si="100"/>
        <v>1</v>
      </c>
      <c r="D2174" s="63" t="str">
        <f t="shared" si="101"/>
        <v>OK</v>
      </c>
      <c r="E2174" s="393">
        <v>400011266</v>
      </c>
      <c r="F2174" s="392" t="s">
        <v>4210</v>
      </c>
      <c r="G2174" s="392" t="s">
        <v>5324</v>
      </c>
      <c r="H2174" s="392" t="s">
        <v>7418</v>
      </c>
      <c r="I2174" s="392" t="s">
        <v>1764</v>
      </c>
      <c r="J2174" s="392" t="s">
        <v>4344</v>
      </c>
      <c r="K2174" s="392" t="s">
        <v>5159</v>
      </c>
      <c r="L2174" s="392" t="s">
        <v>4489</v>
      </c>
      <c r="M2174" s="392" t="s">
        <v>7273</v>
      </c>
      <c r="N2174" s="392" t="s">
        <v>7273</v>
      </c>
      <c r="O2174" s="392" t="s">
        <v>7273</v>
      </c>
      <c r="P2174"/>
      <c r="Q2174"/>
      <c r="R2174" s="387">
        <f>VLOOKUP(E2174,'[1]NDB Impacted SPRFs 05032013'!$A$2:$A$65536,1,FALSE)</f>
        <v>400011266</v>
      </c>
      <c r="S2174" s="159"/>
      <c r="T2174" s="159"/>
      <c r="U2174" s="159"/>
    </row>
    <row r="2175" spans="1:21" ht="45" x14ac:dyDescent="0.25">
      <c r="A2175" s="63">
        <f>MATCH($E2175,'D1 - Master Project Table'!$B$24:$B$7056,0)</f>
        <v>557</v>
      </c>
      <c r="B2175" s="63" t="b">
        <f t="shared" si="102"/>
        <v>0</v>
      </c>
      <c r="C2175" s="63" t="b">
        <f t="shared" si="100"/>
        <v>1</v>
      </c>
      <c r="D2175" s="63" t="str">
        <f t="shared" si="101"/>
        <v>OK</v>
      </c>
      <c r="E2175" s="393">
        <v>400011320</v>
      </c>
      <c r="F2175" s="392" t="s">
        <v>5930</v>
      </c>
      <c r="G2175" s="392" t="s">
        <v>5324</v>
      </c>
      <c r="H2175" s="392" t="s">
        <v>7418</v>
      </c>
      <c r="I2175" s="392" t="s">
        <v>1759</v>
      </c>
      <c r="J2175" s="392" t="s">
        <v>8543</v>
      </c>
      <c r="K2175" s="392" t="s">
        <v>2833</v>
      </c>
      <c r="L2175" s="392" t="s">
        <v>8090</v>
      </c>
      <c r="M2175" s="392" t="s">
        <v>7273</v>
      </c>
      <c r="N2175" s="392" t="s">
        <v>7273</v>
      </c>
      <c r="O2175" s="392" t="s">
        <v>3758</v>
      </c>
      <c r="P2175"/>
      <c r="Q2175"/>
      <c r="R2175" s="387">
        <f>VLOOKUP(E2175,'[1]NDB Impacted SPRFs 05032013'!$A$2:$A$65536,1,FALSE)</f>
        <v>400011320</v>
      </c>
      <c r="S2175" s="159"/>
      <c r="T2175" s="159"/>
      <c r="U2175" s="159"/>
    </row>
    <row r="2176" spans="1:21" ht="45" x14ac:dyDescent="0.25">
      <c r="A2176" s="63">
        <f>MATCH($E2176,'D1 - Master Project Table'!$B$24:$B$7056,0)</f>
        <v>593</v>
      </c>
      <c r="B2176" s="63" t="b">
        <f t="shared" si="102"/>
        <v>0</v>
      </c>
      <c r="C2176" s="63" t="b">
        <f t="shared" si="100"/>
        <v>1</v>
      </c>
      <c r="D2176" s="63" t="str">
        <f t="shared" si="101"/>
        <v>OK</v>
      </c>
      <c r="E2176" s="393">
        <v>400013738</v>
      </c>
      <c r="F2176" s="392" t="s">
        <v>2451</v>
      </c>
      <c r="G2176" s="392" t="s">
        <v>5324</v>
      </c>
      <c r="H2176" s="392" t="s">
        <v>7418</v>
      </c>
      <c r="I2176" s="392" t="s">
        <v>1759</v>
      </c>
      <c r="J2176" s="392" t="s">
        <v>8543</v>
      </c>
      <c r="K2176" s="392" t="s">
        <v>2833</v>
      </c>
      <c r="L2176" s="392" t="s">
        <v>8090</v>
      </c>
      <c r="M2176" s="392" t="s">
        <v>7273</v>
      </c>
      <c r="N2176" s="392" t="s">
        <v>7273</v>
      </c>
      <c r="O2176" s="392" t="s">
        <v>3758</v>
      </c>
      <c r="P2176"/>
      <c r="Q2176"/>
      <c r="R2176" s="387">
        <f>VLOOKUP(E2176,'[1]NDB Impacted SPRFs 05032013'!$A$2:$A$65536,1,FALSE)</f>
        <v>400013738</v>
      </c>
      <c r="S2176" s="159"/>
      <c r="T2176" s="159"/>
      <c r="U2176" s="159"/>
    </row>
    <row r="2177" spans="1:21" ht="45" x14ac:dyDescent="0.25">
      <c r="A2177" s="63">
        <f>MATCH($E2177,'D1 - Master Project Table'!$B$24:$B$7056,0)</f>
        <v>595</v>
      </c>
      <c r="B2177" s="63" t="b">
        <f t="shared" si="102"/>
        <v>0</v>
      </c>
      <c r="C2177" s="63" t="b">
        <f t="shared" si="100"/>
        <v>1</v>
      </c>
      <c r="D2177" s="63" t="str">
        <f t="shared" si="101"/>
        <v>OK</v>
      </c>
      <c r="E2177" s="393">
        <v>400014350</v>
      </c>
      <c r="F2177" s="392" t="s">
        <v>3310</v>
      </c>
      <c r="G2177" s="392" t="s">
        <v>5324</v>
      </c>
      <c r="H2177" s="392" t="s">
        <v>7418</v>
      </c>
      <c r="I2177" s="392" t="s">
        <v>1764</v>
      </c>
      <c r="J2177" s="392" t="s">
        <v>4344</v>
      </c>
      <c r="K2177" s="392" t="s">
        <v>7960</v>
      </c>
      <c r="L2177" s="392" t="s">
        <v>8090</v>
      </c>
      <c r="M2177" s="392" t="s">
        <v>7273</v>
      </c>
      <c r="N2177" s="392" t="s">
        <v>7273</v>
      </c>
      <c r="O2177" s="392" t="s">
        <v>3758</v>
      </c>
      <c r="P2177"/>
      <c r="Q2177"/>
      <c r="R2177" s="387">
        <f>VLOOKUP(E2177,'[1]NDB Impacted SPRFs 05032013'!$A$2:$A$65536,1,FALSE)</f>
        <v>400014350</v>
      </c>
      <c r="S2177" s="159"/>
      <c r="T2177" s="159"/>
      <c r="U2177" s="159"/>
    </row>
    <row r="2178" spans="1:21" ht="30" x14ac:dyDescent="0.25">
      <c r="A2178" s="63">
        <f>MATCH($E2178,'D1 - Master Project Table'!$B$24:$B$7056,0)</f>
        <v>2091</v>
      </c>
      <c r="B2178" s="63" t="b">
        <f t="shared" si="102"/>
        <v>0</v>
      </c>
      <c r="C2178" s="63" t="b">
        <f t="shared" si="100"/>
        <v>1</v>
      </c>
      <c r="D2178" s="63" t="str">
        <f t="shared" si="101"/>
        <v>OK</v>
      </c>
      <c r="E2178" s="393">
        <v>400014461</v>
      </c>
      <c r="F2178" s="392" t="s">
        <v>3229</v>
      </c>
      <c r="G2178" s="392" t="s">
        <v>5787</v>
      </c>
      <c r="H2178" s="392" t="s">
        <v>5314</v>
      </c>
      <c r="I2178" s="392" t="s">
        <v>1780</v>
      </c>
      <c r="J2178" s="392" t="s">
        <v>8587</v>
      </c>
      <c r="K2178" s="392" t="s">
        <v>7772</v>
      </c>
      <c r="L2178" s="392" t="s">
        <v>8090</v>
      </c>
      <c r="M2178" s="392" t="s">
        <v>7273</v>
      </c>
      <c r="N2178" s="392" t="s">
        <v>7273</v>
      </c>
      <c r="O2178" s="392" t="s">
        <v>3758</v>
      </c>
      <c r="P2178"/>
      <c r="Q2178"/>
      <c r="R2178" s="387">
        <f>VLOOKUP(E2178,'[1]NDB Impacted SPRFs 05032013'!$A$2:$A$65536,1,FALSE)</f>
        <v>400014461</v>
      </c>
      <c r="S2178" s="159"/>
      <c r="T2178" s="159"/>
      <c r="U2178" s="159"/>
    </row>
    <row r="2179" spans="1:21" ht="45" x14ac:dyDescent="0.25">
      <c r="A2179" s="63">
        <f>MATCH($E2179,'D1 - Master Project Table'!$B$24:$B$7056,0)</f>
        <v>2636</v>
      </c>
      <c r="B2179" s="63" t="b">
        <f t="shared" si="102"/>
        <v>0</v>
      </c>
      <c r="C2179" s="63" t="b">
        <f t="shared" si="100"/>
        <v>1</v>
      </c>
      <c r="D2179" s="63" t="str">
        <f t="shared" si="101"/>
        <v>OK</v>
      </c>
      <c r="E2179" s="393">
        <v>400014556</v>
      </c>
      <c r="F2179" s="392" t="s">
        <v>4856</v>
      </c>
      <c r="G2179" s="392" t="s">
        <v>5324</v>
      </c>
      <c r="H2179" s="392" t="s">
        <v>5314</v>
      </c>
      <c r="I2179" s="392" t="s">
        <v>1764</v>
      </c>
      <c r="J2179" s="392" t="s">
        <v>8397</v>
      </c>
      <c r="K2179" s="392" t="s">
        <v>3912</v>
      </c>
      <c r="L2179" s="392" t="s">
        <v>4643</v>
      </c>
      <c r="M2179" s="392" t="s">
        <v>7273</v>
      </c>
      <c r="N2179" s="392" t="s">
        <v>7273</v>
      </c>
      <c r="O2179" s="392" t="s">
        <v>7273</v>
      </c>
      <c r="P2179"/>
      <c r="Q2179"/>
      <c r="R2179" s="387">
        <f>VLOOKUP(E2179,'[1]NDB Impacted SPRFs 05032013'!$A$2:$A$65536,1,FALSE)</f>
        <v>400014556</v>
      </c>
      <c r="S2179" s="159"/>
      <c r="T2179" s="159"/>
      <c r="U2179" s="159"/>
    </row>
    <row r="2180" spans="1:21" ht="45" x14ac:dyDescent="0.25">
      <c r="A2180" s="63">
        <f>MATCH($E2180,'D1 - Master Project Table'!$B$24:$B$7056,0)</f>
        <v>705</v>
      </c>
      <c r="B2180" s="63" t="b">
        <f t="shared" si="102"/>
        <v>0</v>
      </c>
      <c r="C2180" s="63" t="b">
        <f t="shared" si="100"/>
        <v>1</v>
      </c>
      <c r="D2180" s="63" t="str">
        <f t="shared" si="101"/>
        <v>OK</v>
      </c>
      <c r="E2180" s="393">
        <v>400016847</v>
      </c>
      <c r="F2180" s="392" t="s">
        <v>7048</v>
      </c>
      <c r="G2180" s="392" t="s">
        <v>5324</v>
      </c>
      <c r="H2180" s="392" t="s">
        <v>7418</v>
      </c>
      <c r="I2180" s="392" t="s">
        <v>1764</v>
      </c>
      <c r="J2180" s="392" t="s">
        <v>5168</v>
      </c>
      <c r="K2180" s="392" t="s">
        <v>2874</v>
      </c>
      <c r="L2180" s="392" t="s">
        <v>8090</v>
      </c>
      <c r="M2180" s="392" t="s">
        <v>7273</v>
      </c>
      <c r="N2180" s="392" t="s">
        <v>7273</v>
      </c>
      <c r="O2180" s="392" t="s">
        <v>3758</v>
      </c>
      <c r="P2180"/>
      <c r="Q2180"/>
      <c r="R2180" s="387">
        <f>VLOOKUP(E2180,'[1]NDB Impacted SPRFs 05032013'!$A$2:$A$65536,1,FALSE)</f>
        <v>400016847</v>
      </c>
      <c r="S2180" s="159"/>
      <c r="T2180" s="159"/>
      <c r="U2180" s="159"/>
    </row>
    <row r="2181" spans="1:21" ht="45" x14ac:dyDescent="0.25">
      <c r="A2181" s="63" t="e">
        <f>MATCH($E2181,'D1 - Master Project Table'!$B$24:$B$7056,0)</f>
        <v>#N/A</v>
      </c>
      <c r="B2181" s="63" t="b">
        <f t="shared" si="102"/>
        <v>1</v>
      </c>
      <c r="C2181" s="63" t="b">
        <f t="shared" si="100"/>
        <v>1</v>
      </c>
      <c r="D2181" s="63" t="str">
        <f t="shared" si="101"/>
        <v>OK</v>
      </c>
      <c r="E2181" s="393">
        <v>400021457</v>
      </c>
      <c r="F2181" s="392" t="s">
        <v>4108</v>
      </c>
      <c r="G2181" s="392" t="s">
        <v>5324</v>
      </c>
      <c r="H2181" s="392" t="s">
        <v>5314</v>
      </c>
      <c r="I2181" s="392" t="s">
        <v>1763</v>
      </c>
      <c r="J2181" s="392" t="s">
        <v>4109</v>
      </c>
      <c r="K2181" s="392" t="s">
        <v>2005</v>
      </c>
      <c r="L2181" s="392" t="s">
        <v>4489</v>
      </c>
      <c r="M2181" s="392" t="s">
        <v>7273</v>
      </c>
      <c r="N2181" s="392" t="s">
        <v>7273</v>
      </c>
      <c r="O2181" s="392" t="s">
        <v>7273</v>
      </c>
      <c r="P2181"/>
      <c r="Q2181"/>
      <c r="R2181" s="387">
        <f>VLOOKUP(E2181,'[1]NDB Impacted SPRFs 05032013'!$A$2:$A$65536,1,FALSE)</f>
        <v>400021457</v>
      </c>
    </row>
    <row r="2182" spans="1:21" ht="45" x14ac:dyDescent="0.25">
      <c r="A2182" s="63" t="e">
        <f>MATCH($E2182,'D1 - Master Project Table'!$B$24:$B$7056,0)</f>
        <v>#N/A</v>
      </c>
      <c r="B2182" s="63" t="b">
        <f t="shared" si="102"/>
        <v>1</v>
      </c>
      <c r="C2182" s="63" t="b">
        <f t="shared" ref="C2182:C2245" si="103">OR(H2182="Completed",H2182="Cancelled")</f>
        <v>1</v>
      </c>
      <c r="D2182" s="63" t="str">
        <f t="shared" ref="D2182:D2245" si="104">IF(AND(B2182=TRUE,C2182=FALSE),"Add","OK")</f>
        <v>OK</v>
      </c>
      <c r="E2182" s="393">
        <v>400021837</v>
      </c>
      <c r="F2182" s="392" t="s">
        <v>4741</v>
      </c>
      <c r="G2182" s="392" t="s">
        <v>5324</v>
      </c>
      <c r="H2182" s="392" t="s">
        <v>5314</v>
      </c>
      <c r="I2182" s="392" t="s">
        <v>1759</v>
      </c>
      <c r="J2182" s="392" t="s">
        <v>8389</v>
      </c>
      <c r="K2182" s="392" t="s">
        <v>7772</v>
      </c>
      <c r="L2182" s="392" t="s">
        <v>8090</v>
      </c>
      <c r="M2182" s="392" t="s">
        <v>7273</v>
      </c>
      <c r="N2182" s="392" t="s">
        <v>7273</v>
      </c>
      <c r="O2182" s="392" t="s">
        <v>3758</v>
      </c>
      <c r="P2182"/>
      <c r="Q2182"/>
      <c r="R2182" s="387">
        <f>VLOOKUP(E2182,'[1]NDB Impacted SPRFs 05032013'!$A$2:$A$65536,1,FALSE)</f>
        <v>400021837</v>
      </c>
    </row>
    <row r="2183" spans="1:21" ht="45" x14ac:dyDescent="0.25">
      <c r="A2183" s="63">
        <f>MATCH($E2183,'D1 - Master Project Table'!$B$24:$B$7056,0)</f>
        <v>985</v>
      </c>
      <c r="B2183" s="63" t="b">
        <f t="shared" si="102"/>
        <v>0</v>
      </c>
      <c r="C2183" s="63" t="b">
        <f t="shared" si="103"/>
        <v>1</v>
      </c>
      <c r="D2183" s="63" t="str">
        <f t="shared" si="104"/>
        <v>OK</v>
      </c>
      <c r="E2183" s="393">
        <v>400023869</v>
      </c>
      <c r="F2183" s="392" t="s">
        <v>7648</v>
      </c>
      <c r="G2183" s="392" t="s">
        <v>5325</v>
      </c>
      <c r="H2183" s="392" t="s">
        <v>7418</v>
      </c>
      <c r="I2183" s="392" t="s">
        <v>6008</v>
      </c>
      <c r="J2183" s="392" t="s">
        <v>3725</v>
      </c>
      <c r="K2183" s="392" t="s">
        <v>3818</v>
      </c>
      <c r="L2183" s="392" t="s">
        <v>4489</v>
      </c>
      <c r="M2183" s="392" t="s">
        <v>7273</v>
      </c>
      <c r="N2183" s="392" t="s">
        <v>7273</v>
      </c>
      <c r="O2183" s="392" t="s">
        <v>7273</v>
      </c>
      <c r="P2183"/>
      <c r="Q2183"/>
      <c r="R2183" s="387">
        <f>VLOOKUP(E2183,'[1]NDB Impacted SPRFs 05032013'!$A$2:$A$65536,1,FALSE)</f>
        <v>400023869</v>
      </c>
      <c r="S2183" s="159"/>
      <c r="T2183" s="159"/>
      <c r="U2183" s="159"/>
    </row>
    <row r="2184" spans="1:21" ht="30" x14ac:dyDescent="0.25">
      <c r="A2184" s="63">
        <f>MATCH($E2184,'D1 - Master Project Table'!$B$24:$B$7056,0)</f>
        <v>931</v>
      </c>
      <c r="B2184" s="63" t="b">
        <f t="shared" si="102"/>
        <v>0</v>
      </c>
      <c r="C2184" s="63" t="b">
        <f t="shared" si="103"/>
        <v>1</v>
      </c>
      <c r="D2184" s="63" t="str">
        <f t="shared" si="104"/>
        <v>OK</v>
      </c>
      <c r="E2184" s="393">
        <v>400025422</v>
      </c>
      <c r="F2184" s="392" t="s">
        <v>4541</v>
      </c>
      <c r="G2184" s="392" t="s">
        <v>6322</v>
      </c>
      <c r="H2184" s="392" t="s">
        <v>7418</v>
      </c>
      <c r="I2184" s="392" t="s">
        <v>7594</v>
      </c>
      <c r="J2184" s="392" t="s">
        <v>7233</v>
      </c>
      <c r="K2184" s="392" t="s">
        <v>1515</v>
      </c>
      <c r="L2184" s="392" t="s">
        <v>8090</v>
      </c>
      <c r="M2184" s="392" t="s">
        <v>7273</v>
      </c>
      <c r="N2184" s="392" t="s">
        <v>7273</v>
      </c>
      <c r="O2184" s="392" t="s">
        <v>3758</v>
      </c>
      <c r="P2184"/>
      <c r="Q2184"/>
      <c r="R2184" s="387">
        <f>VLOOKUP(E2184,'[1]NDB Impacted SPRFs 05032013'!$A$2:$A$65536,1,FALSE)</f>
        <v>400025422</v>
      </c>
      <c r="S2184" s="159"/>
      <c r="T2184" s="159"/>
      <c r="U2184" s="159"/>
    </row>
    <row r="2185" spans="1:21" ht="45" x14ac:dyDescent="0.25">
      <c r="A2185" s="63">
        <f>MATCH($E2185,'D1 - Master Project Table'!$B$24:$B$7056,0)</f>
        <v>2844</v>
      </c>
      <c r="B2185" s="63" t="b">
        <f t="shared" si="102"/>
        <v>0</v>
      </c>
      <c r="C2185" s="63" t="b">
        <f t="shared" si="103"/>
        <v>1</v>
      </c>
      <c r="D2185" s="63" t="str">
        <f t="shared" si="104"/>
        <v>OK</v>
      </c>
      <c r="E2185" s="393">
        <v>400026495</v>
      </c>
      <c r="F2185" s="392" t="s">
        <v>3733</v>
      </c>
      <c r="G2185" s="392" t="s">
        <v>5324</v>
      </c>
      <c r="H2185" s="392" t="s">
        <v>5314</v>
      </c>
      <c r="I2185" s="392" t="s">
        <v>1761</v>
      </c>
      <c r="J2185" s="392" t="s">
        <v>8317</v>
      </c>
      <c r="K2185" s="392" t="s">
        <v>5986</v>
      </c>
      <c r="L2185" s="392" t="s">
        <v>8090</v>
      </c>
      <c r="M2185" s="392" t="s">
        <v>7273</v>
      </c>
      <c r="N2185" s="392" t="s">
        <v>7273</v>
      </c>
      <c r="O2185" s="392" t="s">
        <v>3758</v>
      </c>
      <c r="P2185"/>
      <c r="Q2185"/>
      <c r="R2185" s="387">
        <f>VLOOKUP(E2185,'[1]NDB Impacted SPRFs 05032013'!$A$2:$A$65536,1,FALSE)</f>
        <v>400026495</v>
      </c>
      <c r="S2185" s="159"/>
      <c r="T2185" s="159"/>
      <c r="U2185" s="159"/>
    </row>
    <row r="2186" spans="1:21" ht="45" x14ac:dyDescent="0.25">
      <c r="A2186" s="63">
        <f>MATCH($E2186,'D1 - Master Project Table'!$B$24:$B$7056,0)</f>
        <v>2891</v>
      </c>
      <c r="B2186" s="63" t="b">
        <f t="shared" si="102"/>
        <v>0</v>
      </c>
      <c r="C2186" s="63" t="b">
        <f t="shared" si="103"/>
        <v>1</v>
      </c>
      <c r="D2186" s="63" t="str">
        <f t="shared" si="104"/>
        <v>OK</v>
      </c>
      <c r="E2186" s="393">
        <v>400029829</v>
      </c>
      <c r="F2186" s="392" t="s">
        <v>4223</v>
      </c>
      <c r="G2186" s="392" t="s">
        <v>5324</v>
      </c>
      <c r="H2186" s="392" t="s">
        <v>5314</v>
      </c>
      <c r="I2186" s="392" t="s">
        <v>1763</v>
      </c>
      <c r="J2186" s="392" t="s">
        <v>8317</v>
      </c>
      <c r="K2186" s="392" t="s">
        <v>2017</v>
      </c>
      <c r="L2186" s="392" t="s">
        <v>8090</v>
      </c>
      <c r="M2186" s="392" t="s">
        <v>7273</v>
      </c>
      <c r="N2186" s="392" t="s">
        <v>7273</v>
      </c>
      <c r="O2186" s="392" t="s">
        <v>3758</v>
      </c>
      <c r="P2186"/>
      <c r="Q2186"/>
      <c r="R2186" s="387">
        <f>VLOOKUP(E2186,'[1]NDB Impacted SPRFs 05032013'!$A$2:$A$65536,1,FALSE)</f>
        <v>400029829</v>
      </c>
    </row>
    <row r="2187" spans="1:21" ht="30" x14ac:dyDescent="0.25">
      <c r="A2187" s="63" t="e">
        <f>MATCH($E2187,'D1 - Master Project Table'!$B$24:$B$7056,0)</f>
        <v>#N/A</v>
      </c>
      <c r="B2187" s="63" t="b">
        <f t="shared" si="102"/>
        <v>1</v>
      </c>
      <c r="C2187" s="63" t="b">
        <f t="shared" si="103"/>
        <v>1</v>
      </c>
      <c r="D2187" s="63" t="str">
        <f t="shared" si="104"/>
        <v>OK</v>
      </c>
      <c r="E2187" s="393">
        <v>211061321</v>
      </c>
      <c r="F2187" s="392" t="s">
        <v>5557</v>
      </c>
      <c r="G2187" s="392" t="s">
        <v>5787</v>
      </c>
      <c r="H2187" s="392" t="s">
        <v>5314</v>
      </c>
      <c r="I2187" s="392" t="s">
        <v>6903</v>
      </c>
      <c r="J2187" s="392" t="s">
        <v>8673</v>
      </c>
      <c r="K2187" s="392" t="s">
        <v>7332</v>
      </c>
      <c r="L2187" s="392" t="s">
        <v>4338</v>
      </c>
      <c r="M2187" s="392" t="s">
        <v>7273</v>
      </c>
      <c r="N2187" s="392" t="s">
        <v>7273</v>
      </c>
      <c r="O2187" s="392" t="s">
        <v>7273</v>
      </c>
      <c r="P2187"/>
      <c r="Q2187"/>
      <c r="R2187" s="387">
        <f>VLOOKUP(E2187,'[1]NDB Impacted SPRFs 05032013'!$A$2:$A$65536,1,FALSE)</f>
        <v>211061321</v>
      </c>
      <c r="S2187" s="159"/>
      <c r="T2187" s="159"/>
      <c r="U2187" s="159"/>
    </row>
    <row r="2188" spans="1:21" ht="30" x14ac:dyDescent="0.25">
      <c r="A2188" s="63">
        <f>MATCH($E2188,'D1 - Master Project Table'!$B$24:$B$7056,0)</f>
        <v>344</v>
      </c>
      <c r="B2188" s="63" t="b">
        <f t="shared" si="102"/>
        <v>0</v>
      </c>
      <c r="C2188" s="63" t="b">
        <f t="shared" si="103"/>
        <v>1</v>
      </c>
      <c r="D2188" s="63" t="str">
        <f t="shared" si="104"/>
        <v>OK</v>
      </c>
      <c r="E2188" s="393">
        <v>400004790</v>
      </c>
      <c r="F2188" s="392" t="s">
        <v>4402</v>
      </c>
      <c r="G2188" s="392" t="s">
        <v>5787</v>
      </c>
      <c r="H2188" s="392" t="s">
        <v>7418</v>
      </c>
      <c r="I2188" s="392" t="s">
        <v>1774</v>
      </c>
      <c r="J2188" s="392" t="s">
        <v>5865</v>
      </c>
      <c r="K2188" s="392" t="s">
        <v>6860</v>
      </c>
      <c r="L2188" s="392" t="s">
        <v>4365</v>
      </c>
      <c r="M2188" s="392" t="s">
        <v>3758</v>
      </c>
      <c r="N2188" s="392" t="s">
        <v>7273</v>
      </c>
      <c r="O2188" s="392" t="s">
        <v>7273</v>
      </c>
      <c r="P2188" s="212"/>
      <c r="Q2188"/>
      <c r="R2188" s="387">
        <f>VLOOKUP(E2188,'[1]NDB Impacted SPRFs 05032013'!$A$2:$A$65536,1,FALSE)</f>
        <v>400004790</v>
      </c>
      <c r="S2188" s="159"/>
      <c r="T2188" s="159"/>
      <c r="U2188" s="159"/>
    </row>
    <row r="2189" spans="1:21" ht="30" x14ac:dyDescent="0.25">
      <c r="A2189" s="63">
        <f>MATCH($E2189,'D1 - Master Project Table'!$B$24:$B$7056,0)</f>
        <v>282</v>
      </c>
      <c r="B2189" s="63" t="b">
        <f t="shared" si="102"/>
        <v>0</v>
      </c>
      <c r="C2189" s="63" t="b">
        <f t="shared" si="103"/>
        <v>1</v>
      </c>
      <c r="D2189" s="63" t="str">
        <f t="shared" si="104"/>
        <v>OK</v>
      </c>
      <c r="E2189" s="393">
        <v>400004893</v>
      </c>
      <c r="F2189" s="392" t="s">
        <v>7153</v>
      </c>
      <c r="G2189" s="392" t="s">
        <v>7182</v>
      </c>
      <c r="H2189" s="392" t="s">
        <v>7418</v>
      </c>
      <c r="I2189" s="392" t="s">
        <v>4005</v>
      </c>
      <c r="J2189" s="392" t="s">
        <v>8359</v>
      </c>
      <c r="K2189" s="392" t="s">
        <v>5641</v>
      </c>
      <c r="L2189" s="392" t="s">
        <v>4365</v>
      </c>
      <c r="M2189" s="392" t="s">
        <v>3758</v>
      </c>
      <c r="N2189" s="392" t="s">
        <v>7273</v>
      </c>
      <c r="O2189" s="392" t="s">
        <v>7273</v>
      </c>
      <c r="P2189"/>
      <c r="Q2189"/>
      <c r="R2189" s="387">
        <f>VLOOKUP(E2189,'[1]NDB Impacted SPRFs 05032013'!$A$2:$A$65536,1,FALSE)</f>
        <v>400004893</v>
      </c>
      <c r="S2189" s="159"/>
      <c r="T2189" s="159"/>
      <c r="U2189" s="159"/>
    </row>
    <row r="2190" spans="1:21" ht="30" x14ac:dyDescent="0.25">
      <c r="A2190" s="63">
        <f>MATCH($E2190,'D1 - Master Project Table'!$B$24:$B$7056,0)</f>
        <v>1891</v>
      </c>
      <c r="B2190" s="63" t="b">
        <f t="shared" si="102"/>
        <v>0</v>
      </c>
      <c r="C2190" s="63" t="b">
        <f t="shared" si="103"/>
        <v>1</v>
      </c>
      <c r="D2190" s="63" t="str">
        <f t="shared" si="104"/>
        <v>OK</v>
      </c>
      <c r="E2190" s="393">
        <v>400005315</v>
      </c>
      <c r="F2190" s="392" t="s">
        <v>1907</v>
      </c>
      <c r="G2190" s="392" t="s">
        <v>5787</v>
      </c>
      <c r="H2190" s="392" t="s">
        <v>7418</v>
      </c>
      <c r="I2190" s="392" t="s">
        <v>1779</v>
      </c>
      <c r="J2190" s="392" t="s">
        <v>8455</v>
      </c>
      <c r="K2190" s="392" t="s">
        <v>1249</v>
      </c>
      <c r="L2190" s="392" t="s">
        <v>4365</v>
      </c>
      <c r="M2190" s="392" t="s">
        <v>3758</v>
      </c>
      <c r="N2190" s="392" t="s">
        <v>7273</v>
      </c>
      <c r="O2190" s="392" t="s">
        <v>7273</v>
      </c>
      <c r="P2190"/>
      <c r="Q2190"/>
      <c r="R2190" s="387">
        <f>VLOOKUP(E2190,'[1]NDB Impacted SPRFs 05032013'!$A$2:$A$65536,1,FALSE)</f>
        <v>400005315</v>
      </c>
      <c r="S2190" s="159"/>
      <c r="T2190" s="159"/>
      <c r="U2190" s="159"/>
    </row>
    <row r="2191" spans="1:21" ht="45" x14ac:dyDescent="0.25">
      <c r="A2191" s="63">
        <f>MATCH($E2191,'D1 - Master Project Table'!$B$24:$B$7056,0)</f>
        <v>1893</v>
      </c>
      <c r="B2191" s="63" t="b">
        <f t="shared" si="102"/>
        <v>0</v>
      </c>
      <c r="C2191" s="63" t="b">
        <f t="shared" si="103"/>
        <v>1</v>
      </c>
      <c r="D2191" s="63" t="str">
        <f t="shared" si="104"/>
        <v>OK</v>
      </c>
      <c r="E2191" s="393">
        <v>400005861</v>
      </c>
      <c r="F2191" s="392" t="s">
        <v>1950</v>
      </c>
      <c r="G2191" s="392" t="s">
        <v>5324</v>
      </c>
      <c r="H2191" s="392" t="s">
        <v>7418</v>
      </c>
      <c r="I2191" s="392" t="s">
        <v>1765</v>
      </c>
      <c r="J2191" s="392" t="s">
        <v>8334</v>
      </c>
      <c r="K2191" s="392" t="s">
        <v>5755</v>
      </c>
      <c r="L2191" s="392" t="s">
        <v>4365</v>
      </c>
      <c r="M2191" s="392" t="s">
        <v>3758</v>
      </c>
      <c r="N2191" s="392" t="s">
        <v>7273</v>
      </c>
      <c r="O2191" s="392" t="s">
        <v>7273</v>
      </c>
      <c r="P2191"/>
      <c r="Q2191"/>
      <c r="R2191" s="387">
        <f>VLOOKUP(E2191,'[1]NDB Impacted SPRFs 05032013'!$A$2:$A$65536,1,FALSE)</f>
        <v>400005861</v>
      </c>
    </row>
    <row r="2192" spans="1:21" ht="45" x14ac:dyDescent="0.25">
      <c r="A2192" s="63">
        <f>MATCH($E2192,'D1 - Master Project Table'!$B$24:$B$7056,0)</f>
        <v>2485</v>
      </c>
      <c r="B2192" s="63" t="b">
        <f t="shared" si="102"/>
        <v>0</v>
      </c>
      <c r="C2192" s="63" t="b">
        <f t="shared" si="103"/>
        <v>1</v>
      </c>
      <c r="D2192" s="63" t="str">
        <f t="shared" si="104"/>
        <v>OK</v>
      </c>
      <c r="E2192" s="393">
        <v>400006063</v>
      </c>
      <c r="F2192" s="392" t="s">
        <v>7464</v>
      </c>
      <c r="G2192" s="392" t="s">
        <v>5324</v>
      </c>
      <c r="H2192" s="392" t="s">
        <v>5314</v>
      </c>
      <c r="I2192" s="392" t="s">
        <v>1765</v>
      </c>
      <c r="J2192" s="392" t="s">
        <v>8530</v>
      </c>
      <c r="K2192" s="392" t="s">
        <v>8075</v>
      </c>
      <c r="L2192" s="392" t="s">
        <v>4365</v>
      </c>
      <c r="M2192" s="392" t="s">
        <v>3758</v>
      </c>
      <c r="N2192" s="392" t="s">
        <v>7273</v>
      </c>
      <c r="O2192" s="392" t="s">
        <v>7273</v>
      </c>
      <c r="P2192"/>
      <c r="Q2192"/>
      <c r="R2192" s="387">
        <f>VLOOKUP(E2192,'[1]NDB Impacted SPRFs 05032013'!$A$2:$A$65536,1,FALSE)</f>
        <v>400006063</v>
      </c>
      <c r="S2192" s="159"/>
      <c r="T2192" s="159"/>
      <c r="U2192" s="159"/>
    </row>
    <row r="2193" spans="1:21" ht="45" x14ac:dyDescent="0.25">
      <c r="A2193" s="63">
        <f>MATCH($E2193,'D1 - Master Project Table'!$B$24:$B$7056,0)</f>
        <v>2486</v>
      </c>
      <c r="B2193" s="63" t="b">
        <f t="shared" si="102"/>
        <v>0</v>
      </c>
      <c r="C2193" s="63" t="b">
        <f t="shared" si="103"/>
        <v>1</v>
      </c>
      <c r="D2193" s="63" t="str">
        <f t="shared" si="104"/>
        <v>OK</v>
      </c>
      <c r="E2193" s="393">
        <v>400006064</v>
      </c>
      <c r="F2193" s="392" t="s">
        <v>1905</v>
      </c>
      <c r="G2193" s="392" t="s">
        <v>5324</v>
      </c>
      <c r="H2193" s="392" t="s">
        <v>5314</v>
      </c>
      <c r="I2193" s="392" t="s">
        <v>1765</v>
      </c>
      <c r="J2193" s="392" t="s">
        <v>8530</v>
      </c>
      <c r="K2193" s="392" t="s">
        <v>8075</v>
      </c>
      <c r="L2193" s="392" t="s">
        <v>4365</v>
      </c>
      <c r="M2193" s="392" t="s">
        <v>3758</v>
      </c>
      <c r="N2193" s="392" t="s">
        <v>7273</v>
      </c>
      <c r="O2193" s="392" t="s">
        <v>7273</v>
      </c>
      <c r="P2193"/>
      <c r="Q2193"/>
      <c r="R2193" s="387">
        <f>VLOOKUP(E2193,'[1]NDB Impacted SPRFs 05032013'!$A$2:$A$65536,1,FALSE)</f>
        <v>400006064</v>
      </c>
    </row>
    <row r="2194" spans="1:21" ht="45" x14ac:dyDescent="0.25">
      <c r="A2194" s="63">
        <f>MATCH($E2194,'D1 - Master Project Table'!$B$24:$B$7056,0)</f>
        <v>2487</v>
      </c>
      <c r="B2194" s="63" t="b">
        <f t="shared" si="102"/>
        <v>0</v>
      </c>
      <c r="C2194" s="63" t="b">
        <f t="shared" si="103"/>
        <v>1</v>
      </c>
      <c r="D2194" s="63" t="str">
        <f t="shared" si="104"/>
        <v>OK</v>
      </c>
      <c r="E2194" s="393">
        <v>400006065</v>
      </c>
      <c r="F2194" s="392" t="s">
        <v>2124</v>
      </c>
      <c r="G2194" s="392" t="s">
        <v>5324</v>
      </c>
      <c r="H2194" s="392" t="s">
        <v>5314</v>
      </c>
      <c r="I2194" s="392" t="s">
        <v>1765</v>
      </c>
      <c r="J2194" s="392" t="s">
        <v>8530</v>
      </c>
      <c r="K2194" s="392" t="s">
        <v>8075</v>
      </c>
      <c r="L2194" s="392" t="s">
        <v>4365</v>
      </c>
      <c r="M2194" s="392" t="s">
        <v>3758</v>
      </c>
      <c r="N2194" s="392" t="s">
        <v>7273</v>
      </c>
      <c r="O2194" s="392" t="s">
        <v>7273</v>
      </c>
      <c r="R2194" s="387">
        <f>VLOOKUP(E2194,'[1]NDB Impacted SPRFs 05032013'!$A$2:$A$65536,1,FALSE)</f>
        <v>400006065</v>
      </c>
    </row>
    <row r="2195" spans="1:21" ht="45" x14ac:dyDescent="0.25">
      <c r="A2195" s="63">
        <f>MATCH($E2195,'D1 - Master Project Table'!$B$24:$B$7056,0)</f>
        <v>2488</v>
      </c>
      <c r="B2195" s="63" t="b">
        <f t="shared" si="102"/>
        <v>0</v>
      </c>
      <c r="C2195" s="63" t="b">
        <f t="shared" si="103"/>
        <v>1</v>
      </c>
      <c r="D2195" s="63" t="str">
        <f t="shared" si="104"/>
        <v>OK</v>
      </c>
      <c r="E2195" s="393">
        <v>400006066</v>
      </c>
      <c r="F2195" s="392" t="s">
        <v>5815</v>
      </c>
      <c r="G2195" s="392" t="s">
        <v>5324</v>
      </c>
      <c r="H2195" s="392" t="s">
        <v>5314</v>
      </c>
      <c r="I2195" s="392" t="s">
        <v>1765</v>
      </c>
      <c r="J2195" s="392" t="s">
        <v>8530</v>
      </c>
      <c r="K2195" s="392" t="s">
        <v>8075</v>
      </c>
      <c r="L2195" s="392" t="s">
        <v>4365</v>
      </c>
      <c r="M2195" s="392" t="s">
        <v>3758</v>
      </c>
      <c r="N2195" s="392" t="s">
        <v>7273</v>
      </c>
      <c r="O2195" s="392" t="s">
        <v>7273</v>
      </c>
      <c r="P2195"/>
      <c r="Q2195"/>
      <c r="R2195" s="387">
        <f>VLOOKUP(E2195,'[1]NDB Impacted SPRFs 05032013'!$A$2:$A$65536,1,FALSE)</f>
        <v>400006066</v>
      </c>
      <c r="S2195" s="159"/>
      <c r="T2195" s="159"/>
      <c r="U2195" s="159"/>
    </row>
    <row r="2196" spans="1:21" ht="45" x14ac:dyDescent="0.25">
      <c r="A2196" s="63">
        <f>MATCH($E2196,'D1 - Master Project Table'!$B$24:$B$7056,0)</f>
        <v>2489</v>
      </c>
      <c r="B2196" s="63" t="b">
        <f t="shared" si="102"/>
        <v>0</v>
      </c>
      <c r="C2196" s="63" t="b">
        <f t="shared" si="103"/>
        <v>1</v>
      </c>
      <c r="D2196" s="63" t="str">
        <f t="shared" si="104"/>
        <v>OK</v>
      </c>
      <c r="E2196" s="393">
        <v>400006067</v>
      </c>
      <c r="F2196" s="392" t="s">
        <v>6478</v>
      </c>
      <c r="G2196" s="392" t="s">
        <v>5324</v>
      </c>
      <c r="H2196" s="392" t="s">
        <v>5314</v>
      </c>
      <c r="I2196" s="392" t="s">
        <v>1765</v>
      </c>
      <c r="J2196" s="392" t="s">
        <v>8530</v>
      </c>
      <c r="K2196" s="392" t="s">
        <v>8075</v>
      </c>
      <c r="L2196" s="392" t="s">
        <v>4365</v>
      </c>
      <c r="M2196" s="392" t="s">
        <v>3758</v>
      </c>
      <c r="N2196" s="392" t="s">
        <v>7273</v>
      </c>
      <c r="O2196" s="392" t="s">
        <v>7273</v>
      </c>
      <c r="P2196"/>
      <c r="Q2196"/>
      <c r="R2196" s="387">
        <f>VLOOKUP(E2196,'[1]NDB Impacted SPRFs 05032013'!$A$2:$A$65536,1,FALSE)</f>
        <v>400006067</v>
      </c>
      <c r="S2196" s="159"/>
      <c r="T2196" s="159"/>
      <c r="U2196" s="159"/>
    </row>
    <row r="2197" spans="1:21" ht="45" x14ac:dyDescent="0.25">
      <c r="A2197" s="63">
        <f>MATCH($E2197,'D1 - Master Project Table'!$B$24:$B$7056,0)</f>
        <v>2490</v>
      </c>
      <c r="B2197" s="63" t="b">
        <f t="shared" si="102"/>
        <v>0</v>
      </c>
      <c r="C2197" s="63" t="b">
        <f t="shared" si="103"/>
        <v>1</v>
      </c>
      <c r="D2197" s="63" t="str">
        <f t="shared" si="104"/>
        <v>OK</v>
      </c>
      <c r="E2197" s="393">
        <v>400006077</v>
      </c>
      <c r="F2197" s="392" t="s">
        <v>6466</v>
      </c>
      <c r="G2197" s="392" t="s">
        <v>5324</v>
      </c>
      <c r="H2197" s="392" t="s">
        <v>5314</v>
      </c>
      <c r="I2197" s="392" t="s">
        <v>1765</v>
      </c>
      <c r="J2197" s="392" t="s">
        <v>8530</v>
      </c>
      <c r="K2197" s="392" t="s">
        <v>8075</v>
      </c>
      <c r="L2197" s="392" t="s">
        <v>4365</v>
      </c>
      <c r="M2197" s="392" t="s">
        <v>3758</v>
      </c>
      <c r="N2197" s="392" t="s">
        <v>7273</v>
      </c>
      <c r="O2197" s="392" t="s">
        <v>7273</v>
      </c>
      <c r="P2197"/>
      <c r="Q2197"/>
      <c r="R2197" s="387">
        <f>VLOOKUP(E2197,'[1]NDB Impacted SPRFs 05032013'!$A$2:$A$65536,1,FALSE)</f>
        <v>400006077</v>
      </c>
      <c r="S2197" s="159"/>
      <c r="T2197" s="159"/>
      <c r="U2197" s="159"/>
    </row>
    <row r="2198" spans="1:21" ht="45" x14ac:dyDescent="0.25">
      <c r="A2198" s="63">
        <f>MATCH($E2198,'D1 - Master Project Table'!$B$24:$B$7056,0)</f>
        <v>2062</v>
      </c>
      <c r="B2198" s="63" t="b">
        <f t="shared" si="102"/>
        <v>0</v>
      </c>
      <c r="C2198" s="63" t="b">
        <f t="shared" si="103"/>
        <v>1</v>
      </c>
      <c r="D2198" s="63" t="str">
        <f t="shared" si="104"/>
        <v>OK</v>
      </c>
      <c r="E2198" s="393">
        <v>400006375</v>
      </c>
      <c r="F2198" s="392" t="s">
        <v>5721</v>
      </c>
      <c r="G2198" s="392" t="s">
        <v>3441</v>
      </c>
      <c r="H2198" s="392" t="s">
        <v>5314</v>
      </c>
      <c r="I2198" s="392" t="s">
        <v>1770</v>
      </c>
      <c r="J2198" s="392" t="s">
        <v>4110</v>
      </c>
      <c r="K2198" s="392" t="s">
        <v>5004</v>
      </c>
      <c r="L2198" s="392" t="s">
        <v>4365</v>
      </c>
      <c r="M2198" s="392" t="s">
        <v>3758</v>
      </c>
      <c r="N2198" s="392" t="s">
        <v>7273</v>
      </c>
      <c r="O2198" s="392" t="s">
        <v>7273</v>
      </c>
      <c r="P2198"/>
      <c r="Q2198"/>
      <c r="R2198" s="387">
        <f>VLOOKUP(E2198,'[1]NDB Impacted SPRFs 05032013'!$A$2:$A$65536,1,FALSE)</f>
        <v>400006375</v>
      </c>
      <c r="S2198" s="159"/>
      <c r="T2198" s="159"/>
      <c r="U2198" s="159"/>
    </row>
    <row r="2199" spans="1:21" ht="45" x14ac:dyDescent="0.25">
      <c r="A2199" s="63">
        <f>MATCH($E2199,'D1 - Master Project Table'!$B$24:$B$7056,0)</f>
        <v>384</v>
      </c>
      <c r="B2199" s="63" t="b">
        <f t="shared" si="102"/>
        <v>0</v>
      </c>
      <c r="C2199" s="63" t="b">
        <f t="shared" si="103"/>
        <v>1</v>
      </c>
      <c r="D2199" s="63" t="str">
        <f t="shared" si="104"/>
        <v>OK</v>
      </c>
      <c r="E2199" s="393">
        <v>400006429</v>
      </c>
      <c r="F2199" s="392" t="s">
        <v>4167</v>
      </c>
      <c r="G2199" s="392" t="s">
        <v>5324</v>
      </c>
      <c r="H2199" s="392" t="s">
        <v>7418</v>
      </c>
      <c r="I2199" s="392" t="s">
        <v>1768</v>
      </c>
      <c r="J2199" s="392" t="s">
        <v>8334</v>
      </c>
      <c r="K2199" s="392" t="s">
        <v>5755</v>
      </c>
      <c r="L2199" s="392" t="s">
        <v>4365</v>
      </c>
      <c r="M2199" s="392" t="s">
        <v>3758</v>
      </c>
      <c r="N2199" s="392" t="s">
        <v>7273</v>
      </c>
      <c r="O2199" s="392" t="s">
        <v>7273</v>
      </c>
      <c r="P2199"/>
      <c r="Q2199"/>
      <c r="R2199" s="387">
        <f>VLOOKUP(E2199,'[1]NDB Impacted SPRFs 05032013'!$A$2:$A$65536,1,FALSE)</f>
        <v>400006429</v>
      </c>
      <c r="S2199" s="159"/>
      <c r="T2199" s="159"/>
      <c r="U2199" s="159"/>
    </row>
    <row r="2200" spans="1:21" ht="45" x14ac:dyDescent="0.25">
      <c r="A2200" s="63">
        <f>MATCH($E2200,'D1 - Master Project Table'!$B$24:$B$7056,0)</f>
        <v>2498</v>
      </c>
      <c r="B2200" s="63" t="b">
        <f t="shared" si="102"/>
        <v>0</v>
      </c>
      <c r="C2200" s="63" t="b">
        <f t="shared" si="103"/>
        <v>1</v>
      </c>
      <c r="D2200" s="63" t="str">
        <f t="shared" si="104"/>
        <v>OK</v>
      </c>
      <c r="E2200" s="393">
        <v>400006775</v>
      </c>
      <c r="F2200" s="392" t="s">
        <v>5467</v>
      </c>
      <c r="G2200" s="392" t="s">
        <v>5787</v>
      </c>
      <c r="H2200" s="392" t="s">
        <v>5314</v>
      </c>
      <c r="I2200" s="392" t="s">
        <v>1772</v>
      </c>
      <c r="J2200" s="392" t="s">
        <v>8663</v>
      </c>
      <c r="K2200" s="392" t="s">
        <v>7742</v>
      </c>
      <c r="L2200" s="392" t="s">
        <v>4567</v>
      </c>
      <c r="M2200" s="392" t="s">
        <v>7273</v>
      </c>
      <c r="N2200" s="392" t="s">
        <v>7273</v>
      </c>
      <c r="O2200" s="392" t="s">
        <v>7273</v>
      </c>
      <c r="P2200"/>
      <c r="Q2200"/>
      <c r="R2200" s="387">
        <f>VLOOKUP(E2200,'[1]NDB Impacted SPRFs 05032013'!$A$2:$A$65536,1,FALSE)</f>
        <v>400006775</v>
      </c>
    </row>
    <row r="2201" spans="1:21" ht="45" x14ac:dyDescent="0.25">
      <c r="A2201" s="63">
        <f>MATCH($E2201,'D1 - Master Project Table'!$B$24:$B$7056,0)</f>
        <v>571</v>
      </c>
      <c r="B2201" s="63" t="b">
        <f t="shared" si="102"/>
        <v>0</v>
      </c>
      <c r="C2201" s="63" t="b">
        <f t="shared" si="103"/>
        <v>1</v>
      </c>
      <c r="D2201" s="63" t="str">
        <f t="shared" si="104"/>
        <v>OK</v>
      </c>
      <c r="E2201" s="393">
        <v>400006965</v>
      </c>
      <c r="F2201" s="392" t="s">
        <v>7790</v>
      </c>
      <c r="G2201" s="392" t="s">
        <v>5324</v>
      </c>
      <c r="H2201" s="392" t="s">
        <v>7418</v>
      </c>
      <c r="I2201" s="392" t="s">
        <v>1764</v>
      </c>
      <c r="J2201" s="392" t="s">
        <v>8524</v>
      </c>
      <c r="K2201" s="392" t="s">
        <v>5754</v>
      </c>
      <c r="L2201" s="392" t="s">
        <v>4365</v>
      </c>
      <c r="M2201" s="392" t="s">
        <v>3758</v>
      </c>
      <c r="N2201" s="392" t="s">
        <v>7273</v>
      </c>
      <c r="O2201" s="392" t="s">
        <v>7273</v>
      </c>
      <c r="P2201"/>
      <c r="Q2201"/>
      <c r="R2201" s="387">
        <f>VLOOKUP(E2201,'[1]NDB Impacted SPRFs 05032013'!$A$2:$A$65536,1,FALSE)</f>
        <v>400006965</v>
      </c>
      <c r="S2201" s="159"/>
      <c r="T2201" s="159"/>
      <c r="U2201" s="159"/>
    </row>
    <row r="2202" spans="1:21" ht="15" x14ac:dyDescent="0.25">
      <c r="A2202" s="63">
        <f>MATCH($E2202,'D1 - Master Project Table'!$B$24:$B$7056,0)</f>
        <v>2511</v>
      </c>
      <c r="B2202" s="63" t="b">
        <f t="shared" si="102"/>
        <v>0</v>
      </c>
      <c r="C2202" s="63" t="b">
        <f t="shared" si="103"/>
        <v>1</v>
      </c>
      <c r="D2202" s="63" t="str">
        <f t="shared" si="104"/>
        <v>OK</v>
      </c>
      <c r="E2202" s="393">
        <v>400007459</v>
      </c>
      <c r="F2202" s="392" t="s">
        <v>6393</v>
      </c>
      <c r="G2202" s="392" t="s">
        <v>5787</v>
      </c>
      <c r="H2202" s="392" t="s">
        <v>5314</v>
      </c>
      <c r="I2202" s="392" t="s">
        <v>1774</v>
      </c>
      <c r="J2202" s="392" t="s">
        <v>8665</v>
      </c>
      <c r="K2202" s="392" t="s">
        <v>4305</v>
      </c>
      <c r="L2202" s="392" t="s">
        <v>4365</v>
      </c>
      <c r="M2202" s="392" t="s">
        <v>3758</v>
      </c>
      <c r="N2202" s="392" t="s">
        <v>7273</v>
      </c>
      <c r="O2202" s="392" t="s">
        <v>7273</v>
      </c>
      <c r="P2202"/>
      <c r="Q2202"/>
      <c r="R2202" s="387">
        <f>VLOOKUP(E2202,'[1]NDB Impacted SPRFs 05032013'!$A$2:$A$65536,1,FALSE)</f>
        <v>400007459</v>
      </c>
      <c r="S2202" s="159"/>
      <c r="T2202" s="159"/>
      <c r="U2202" s="159"/>
    </row>
    <row r="2203" spans="1:21" ht="15" customHeight="1" x14ac:dyDescent="0.25">
      <c r="A2203" s="63">
        <f>MATCH($E2203,'D1 - Master Project Table'!$B$24:$B$7056,0)</f>
        <v>2517</v>
      </c>
      <c r="B2203" s="63" t="b">
        <f t="shared" si="102"/>
        <v>0</v>
      </c>
      <c r="C2203" s="63" t="b">
        <f t="shared" si="103"/>
        <v>1</v>
      </c>
      <c r="D2203" s="63" t="str">
        <f t="shared" si="104"/>
        <v>OK</v>
      </c>
      <c r="E2203" s="393">
        <v>400007650</v>
      </c>
      <c r="F2203" s="392" t="s">
        <v>5812</v>
      </c>
      <c r="G2203" s="392" t="s">
        <v>7182</v>
      </c>
      <c r="H2203" s="392" t="s">
        <v>5314</v>
      </c>
      <c r="I2203" s="392" t="s">
        <v>7022</v>
      </c>
      <c r="J2203" s="392" t="s">
        <v>8386</v>
      </c>
      <c r="K2203" s="392" t="s">
        <v>5641</v>
      </c>
      <c r="L2203" s="392" t="s">
        <v>4365</v>
      </c>
      <c r="M2203" s="392" t="s">
        <v>3758</v>
      </c>
      <c r="N2203" s="392" t="s">
        <v>7273</v>
      </c>
      <c r="O2203" s="392" t="s">
        <v>7273</v>
      </c>
      <c r="P2203"/>
      <c r="Q2203"/>
      <c r="R2203" s="387">
        <f>VLOOKUP(E2203,'[1]NDB Impacted SPRFs 05032013'!$A$2:$A$65536,1,FALSE)</f>
        <v>400007650</v>
      </c>
      <c r="S2203" s="159"/>
      <c r="T2203" s="159"/>
      <c r="U2203" s="159"/>
    </row>
    <row r="2204" spans="1:21" ht="45" x14ac:dyDescent="0.25">
      <c r="A2204" s="63">
        <f>MATCH($E2204,'D1 - Master Project Table'!$B$24:$B$7056,0)</f>
        <v>395</v>
      </c>
      <c r="B2204" s="63" t="b">
        <f t="shared" si="102"/>
        <v>0</v>
      </c>
      <c r="C2204" s="63" t="b">
        <f t="shared" si="103"/>
        <v>1</v>
      </c>
      <c r="D2204" s="63" t="str">
        <f t="shared" si="104"/>
        <v>OK</v>
      </c>
      <c r="E2204" s="393">
        <v>400009024</v>
      </c>
      <c r="F2204" s="392" t="s">
        <v>4386</v>
      </c>
      <c r="G2204" s="392" t="s">
        <v>5324</v>
      </c>
      <c r="H2204" s="392" t="s">
        <v>7418</v>
      </c>
      <c r="I2204" s="392" t="s">
        <v>1756</v>
      </c>
      <c r="J2204" s="392" t="s">
        <v>8396</v>
      </c>
      <c r="K2204" s="392" t="s">
        <v>5004</v>
      </c>
      <c r="L2204" s="392" t="s">
        <v>1227</v>
      </c>
      <c r="M2204" s="392" t="s">
        <v>7273</v>
      </c>
      <c r="N2204" s="392" t="s">
        <v>7273</v>
      </c>
      <c r="O2204" s="392" t="s">
        <v>7273</v>
      </c>
      <c r="P2204"/>
      <c r="Q2204"/>
      <c r="R2204" s="387">
        <f>VLOOKUP(E2204,'[1]NDB Impacted SPRFs 05032013'!$A$2:$A$65536,1,FALSE)</f>
        <v>400009024</v>
      </c>
      <c r="S2204" s="159"/>
      <c r="T2204" s="159"/>
      <c r="U2204" s="159"/>
    </row>
    <row r="2205" spans="1:21" ht="45" x14ac:dyDescent="0.25">
      <c r="A2205" s="63">
        <f>MATCH($E2205,'D1 - Master Project Table'!$B$24:$B$7056,0)</f>
        <v>415</v>
      </c>
      <c r="B2205" s="63" t="b">
        <f t="shared" si="102"/>
        <v>0</v>
      </c>
      <c r="C2205" s="63" t="b">
        <f t="shared" si="103"/>
        <v>1</v>
      </c>
      <c r="D2205" s="63" t="str">
        <f t="shared" si="104"/>
        <v>OK</v>
      </c>
      <c r="E2205" s="393">
        <v>400009739</v>
      </c>
      <c r="F2205" s="392" t="s">
        <v>8003</v>
      </c>
      <c r="G2205" s="392" t="s">
        <v>5324</v>
      </c>
      <c r="H2205" s="392" t="s">
        <v>7418</v>
      </c>
      <c r="I2205" s="392" t="s">
        <v>1765</v>
      </c>
      <c r="J2205" s="392" t="s">
        <v>8317</v>
      </c>
      <c r="K2205" s="392" t="s">
        <v>5641</v>
      </c>
      <c r="L2205" s="392" t="s">
        <v>4365</v>
      </c>
      <c r="M2205" s="392" t="s">
        <v>3758</v>
      </c>
      <c r="N2205" s="392" t="s">
        <v>7273</v>
      </c>
      <c r="O2205" s="392" t="s">
        <v>7273</v>
      </c>
      <c r="P2205"/>
      <c r="Q2205"/>
      <c r="R2205" s="387">
        <f>VLOOKUP(E2205,'[1]NDB Impacted SPRFs 05032013'!$A$2:$A$65536,1,FALSE)</f>
        <v>400009739</v>
      </c>
    </row>
    <row r="2206" spans="1:21" ht="45" x14ac:dyDescent="0.25">
      <c r="A2206" s="63">
        <f>MATCH($E2206,'D1 - Master Project Table'!$B$24:$B$7056,0)</f>
        <v>1918</v>
      </c>
      <c r="B2206" s="63" t="b">
        <f t="shared" si="102"/>
        <v>0</v>
      </c>
      <c r="C2206" s="63" t="b">
        <f t="shared" si="103"/>
        <v>1</v>
      </c>
      <c r="D2206" s="63" t="str">
        <f t="shared" si="104"/>
        <v>OK</v>
      </c>
      <c r="E2206" s="393">
        <v>400010540</v>
      </c>
      <c r="F2206" s="392" t="s">
        <v>6200</v>
      </c>
      <c r="G2206" s="392" t="s">
        <v>5324</v>
      </c>
      <c r="H2206" s="392" t="s">
        <v>7418</v>
      </c>
      <c r="I2206" s="392" t="s">
        <v>1759</v>
      </c>
      <c r="J2206" s="392" t="s">
        <v>8450</v>
      </c>
      <c r="K2206" s="392" t="s">
        <v>5184</v>
      </c>
      <c r="L2206" s="392" t="s">
        <v>4365</v>
      </c>
      <c r="M2206" s="392" t="s">
        <v>3758</v>
      </c>
      <c r="N2206" s="392" t="s">
        <v>7273</v>
      </c>
      <c r="O2206" s="392" t="s">
        <v>7273</v>
      </c>
      <c r="P2206"/>
      <c r="Q2206"/>
      <c r="R2206" s="387">
        <f>VLOOKUP(E2206,'[1]NDB Impacted SPRFs 05032013'!$A$2:$A$65536,1,FALSE)</f>
        <v>400010540</v>
      </c>
      <c r="S2206" s="159"/>
      <c r="T2206" s="159"/>
      <c r="U2206" s="159"/>
    </row>
    <row r="2207" spans="1:21" ht="45" x14ac:dyDescent="0.25">
      <c r="A2207" s="63">
        <f>MATCH($E2207,'D1 - Master Project Table'!$B$24:$B$7056,0)</f>
        <v>527</v>
      </c>
      <c r="B2207" s="63" t="b">
        <f t="shared" si="102"/>
        <v>0</v>
      </c>
      <c r="C2207" s="63" t="b">
        <f t="shared" si="103"/>
        <v>1</v>
      </c>
      <c r="D2207" s="63" t="str">
        <f t="shared" si="104"/>
        <v>OK</v>
      </c>
      <c r="E2207" s="393">
        <v>400011653</v>
      </c>
      <c r="F2207" s="392" t="s">
        <v>6890</v>
      </c>
      <c r="G2207" s="392" t="s">
        <v>5324</v>
      </c>
      <c r="H2207" s="392" t="s">
        <v>7418</v>
      </c>
      <c r="I2207" s="392" t="s">
        <v>1756</v>
      </c>
      <c r="J2207" s="392" t="s">
        <v>8420</v>
      </c>
      <c r="K2207" s="392" t="s">
        <v>5641</v>
      </c>
      <c r="L2207" s="392" t="s">
        <v>1227</v>
      </c>
      <c r="M2207" s="392" t="s">
        <v>7273</v>
      </c>
      <c r="N2207" s="392" t="s">
        <v>7273</v>
      </c>
      <c r="O2207" s="392" t="s">
        <v>7273</v>
      </c>
      <c r="P2207"/>
      <c r="Q2207"/>
      <c r="R2207" s="387">
        <f>VLOOKUP(E2207,'[1]NDB Impacted SPRFs 05032013'!$A$2:$A$65536,1,FALSE)</f>
        <v>400011653</v>
      </c>
    </row>
    <row r="2208" spans="1:21" ht="15" x14ac:dyDescent="0.25">
      <c r="A2208" s="63">
        <f>MATCH($E2208,'D1 - Master Project Table'!$B$24:$B$7056,0)</f>
        <v>2604</v>
      </c>
      <c r="B2208" s="63" t="b">
        <f t="shared" si="102"/>
        <v>0</v>
      </c>
      <c r="C2208" s="63" t="b">
        <f t="shared" si="103"/>
        <v>1</v>
      </c>
      <c r="D2208" s="63" t="str">
        <f t="shared" si="104"/>
        <v>OK</v>
      </c>
      <c r="E2208" s="393">
        <v>400012847</v>
      </c>
      <c r="F2208" s="392" t="s">
        <v>4498</v>
      </c>
      <c r="G2208" s="392" t="s">
        <v>5787</v>
      </c>
      <c r="H2208" s="392" t="s">
        <v>5314</v>
      </c>
      <c r="I2208" s="392" t="s">
        <v>1779</v>
      </c>
      <c r="J2208" s="392" t="s">
        <v>8699</v>
      </c>
      <c r="K2208" s="392" t="s">
        <v>7061</v>
      </c>
      <c r="L2208" s="392" t="s">
        <v>4365</v>
      </c>
      <c r="M2208" s="392" t="s">
        <v>3758</v>
      </c>
      <c r="N2208" s="392" t="s">
        <v>7273</v>
      </c>
      <c r="O2208" s="392" t="s">
        <v>7273</v>
      </c>
      <c r="P2208"/>
      <c r="Q2208"/>
      <c r="R2208" s="387">
        <f>VLOOKUP(E2208,'[1]NDB Impacted SPRFs 05032013'!$A$2:$A$65536,1,FALSE)</f>
        <v>400012847</v>
      </c>
      <c r="S2208" s="159"/>
      <c r="T2208" s="159"/>
      <c r="U2208" s="159"/>
    </row>
    <row r="2209" spans="1:21" ht="45" x14ac:dyDescent="0.25">
      <c r="A2209" s="63">
        <f>MATCH($E2209,'D1 - Master Project Table'!$B$24:$B$7056,0)</f>
        <v>590</v>
      </c>
      <c r="B2209" s="63" t="b">
        <f t="shared" si="102"/>
        <v>0</v>
      </c>
      <c r="C2209" s="63" t="b">
        <f t="shared" si="103"/>
        <v>1</v>
      </c>
      <c r="D2209" s="63" t="str">
        <f t="shared" si="104"/>
        <v>OK</v>
      </c>
      <c r="E2209" s="393">
        <v>400013051</v>
      </c>
      <c r="F2209" s="392" t="s">
        <v>4640</v>
      </c>
      <c r="G2209" s="392" t="s">
        <v>3441</v>
      </c>
      <c r="H2209" s="392" t="s">
        <v>7418</v>
      </c>
      <c r="I2209" s="392" t="s">
        <v>2662</v>
      </c>
      <c r="J2209" s="392" t="s">
        <v>5168</v>
      </c>
      <c r="K2209" s="392" t="s">
        <v>5541</v>
      </c>
      <c r="L2209" s="392" t="s">
        <v>4365</v>
      </c>
      <c r="M2209" s="392" t="s">
        <v>3758</v>
      </c>
      <c r="N2209" s="392" t="s">
        <v>7273</v>
      </c>
      <c r="O2209" s="392" t="s">
        <v>7273</v>
      </c>
      <c r="P2209"/>
      <c r="Q2209"/>
      <c r="R2209" s="387">
        <f>VLOOKUP(E2209,'[1]NDB Impacted SPRFs 05032013'!$A$2:$A$65536,1,FALSE)</f>
        <v>400013051</v>
      </c>
      <c r="S2209" s="159"/>
      <c r="T2209" s="159"/>
      <c r="U2209" s="159"/>
    </row>
    <row r="2210" spans="1:21" ht="45" x14ac:dyDescent="0.25">
      <c r="A2210" s="63">
        <f>MATCH($E2210,'D1 - Master Project Table'!$B$24:$B$7056,0)</f>
        <v>2106</v>
      </c>
      <c r="B2210" s="63" t="b">
        <f t="shared" si="102"/>
        <v>0</v>
      </c>
      <c r="C2210" s="63" t="b">
        <f t="shared" si="103"/>
        <v>1</v>
      </c>
      <c r="D2210" s="63" t="str">
        <f t="shared" si="104"/>
        <v>OK</v>
      </c>
      <c r="E2210" s="393">
        <v>400013212</v>
      </c>
      <c r="F2210" s="392" t="s">
        <v>6187</v>
      </c>
      <c r="G2210" s="392" t="s">
        <v>5324</v>
      </c>
      <c r="H2210" s="392" t="s">
        <v>5314</v>
      </c>
      <c r="I2210" s="392" t="s">
        <v>1764</v>
      </c>
      <c r="J2210" s="392" t="s">
        <v>7233</v>
      </c>
      <c r="K2210" s="392" t="s">
        <v>2862</v>
      </c>
      <c r="L2210" s="392" t="s">
        <v>1227</v>
      </c>
      <c r="M2210" s="392" t="s">
        <v>7273</v>
      </c>
      <c r="N2210" s="392" t="s">
        <v>7273</v>
      </c>
      <c r="O2210" s="392" t="s">
        <v>7273</v>
      </c>
      <c r="P2210"/>
      <c r="Q2210"/>
      <c r="R2210" s="387">
        <f>VLOOKUP(E2210,'[1]NDB Impacted SPRFs 05032013'!$A$2:$A$65536,1,FALSE)</f>
        <v>400013212</v>
      </c>
    </row>
    <row r="2211" spans="1:21" ht="45" x14ac:dyDescent="0.25">
      <c r="A2211" s="63" t="e">
        <f>MATCH($E2211,'D1 - Master Project Table'!$B$24:$B$7056,0)</f>
        <v>#N/A</v>
      </c>
      <c r="B2211" s="63" t="b">
        <f t="shared" si="102"/>
        <v>1</v>
      </c>
      <c r="C2211" s="63" t="b">
        <f t="shared" si="103"/>
        <v>1</v>
      </c>
      <c r="D2211" s="63" t="str">
        <f t="shared" si="104"/>
        <v>OK</v>
      </c>
      <c r="E2211" s="393">
        <v>400013357</v>
      </c>
      <c r="F2211" s="392" t="s">
        <v>7588</v>
      </c>
      <c r="G2211" s="392" t="s">
        <v>5324</v>
      </c>
      <c r="H2211" s="392" t="s">
        <v>5314</v>
      </c>
      <c r="I2211" s="392" t="s">
        <v>1765</v>
      </c>
      <c r="J2211" s="392" t="s">
        <v>2425</v>
      </c>
      <c r="K2211" s="392" t="s">
        <v>8075</v>
      </c>
      <c r="L2211" s="392" t="s">
        <v>4365</v>
      </c>
      <c r="M2211" s="392" t="s">
        <v>3758</v>
      </c>
      <c r="N2211" s="392" t="s">
        <v>7273</v>
      </c>
      <c r="O2211" s="392" t="s">
        <v>7273</v>
      </c>
      <c r="P2211"/>
      <c r="Q2211"/>
      <c r="R2211" s="387">
        <f>VLOOKUP(E2211,'[1]NDB Impacted SPRFs 05032013'!$A$2:$A$65536,1,FALSE)</f>
        <v>400013357</v>
      </c>
      <c r="S2211" s="159"/>
      <c r="T2211" s="159"/>
      <c r="U2211" s="159"/>
    </row>
    <row r="2212" spans="1:21" ht="45" x14ac:dyDescent="0.25">
      <c r="A2212" s="63" t="e">
        <f>MATCH($E2212,'D1 - Master Project Table'!$B$24:$B$7056,0)</f>
        <v>#N/A</v>
      </c>
      <c r="B2212" s="63" t="b">
        <f t="shared" si="102"/>
        <v>1</v>
      </c>
      <c r="C2212" s="63" t="b">
        <f t="shared" si="103"/>
        <v>1</v>
      </c>
      <c r="D2212" s="63" t="str">
        <f t="shared" si="104"/>
        <v>OK</v>
      </c>
      <c r="E2212" s="393">
        <v>400013370</v>
      </c>
      <c r="F2212" s="392" t="s">
        <v>3160</v>
      </c>
      <c r="G2212" s="392" t="s">
        <v>5324</v>
      </c>
      <c r="H2212" s="392" t="s">
        <v>5314</v>
      </c>
      <c r="I2212" s="392" t="s">
        <v>1759</v>
      </c>
      <c r="J2212" s="392" t="s">
        <v>2425</v>
      </c>
      <c r="K2212" s="392" t="s">
        <v>8075</v>
      </c>
      <c r="L2212" s="392" t="s">
        <v>4365</v>
      </c>
      <c r="M2212" s="392" t="s">
        <v>3758</v>
      </c>
      <c r="N2212" s="392" t="s">
        <v>7273</v>
      </c>
      <c r="O2212" s="392" t="s">
        <v>7273</v>
      </c>
      <c r="P2212"/>
      <c r="Q2212"/>
      <c r="R2212" s="387">
        <f>VLOOKUP(E2212,'[1]NDB Impacted SPRFs 05032013'!$A$2:$A$65536,1,FALSE)</f>
        <v>400013370</v>
      </c>
      <c r="S2212" s="159"/>
      <c r="T2212" s="159"/>
      <c r="U2212" s="159"/>
    </row>
    <row r="2213" spans="1:21" ht="45" x14ac:dyDescent="0.25">
      <c r="A2213" s="63">
        <f>MATCH($E2213,'D1 - Master Project Table'!$B$24:$B$7056,0)</f>
        <v>623</v>
      </c>
      <c r="B2213" s="63" t="b">
        <f t="shared" si="102"/>
        <v>0</v>
      </c>
      <c r="C2213" s="63" t="b">
        <f t="shared" si="103"/>
        <v>1</v>
      </c>
      <c r="D2213" s="63" t="str">
        <f t="shared" si="104"/>
        <v>OK</v>
      </c>
      <c r="E2213" s="393">
        <v>400013604</v>
      </c>
      <c r="F2213" s="392" t="s">
        <v>6815</v>
      </c>
      <c r="G2213" s="392" t="s">
        <v>5324</v>
      </c>
      <c r="H2213" s="392" t="s">
        <v>7418</v>
      </c>
      <c r="I2213" s="392" t="s">
        <v>1764</v>
      </c>
      <c r="J2213" s="392" t="s">
        <v>5168</v>
      </c>
      <c r="K2213" s="392" t="s">
        <v>5756</v>
      </c>
      <c r="L2213" s="392" t="s">
        <v>4365</v>
      </c>
      <c r="M2213" s="392" t="s">
        <v>3758</v>
      </c>
      <c r="N2213" s="392" t="s">
        <v>7273</v>
      </c>
      <c r="O2213" s="392" t="s">
        <v>7273</v>
      </c>
      <c r="P2213"/>
      <c r="Q2213"/>
      <c r="R2213" s="387">
        <f>VLOOKUP(E2213,'[1]NDB Impacted SPRFs 05032013'!$A$2:$A$65536,1,FALSE)</f>
        <v>400013604</v>
      </c>
      <c r="S2213" s="159"/>
      <c r="T2213" s="159"/>
      <c r="U2213" s="159"/>
    </row>
    <row r="2214" spans="1:21" ht="45" x14ac:dyDescent="0.25">
      <c r="A2214" s="63">
        <f>MATCH($E2214,'D1 - Master Project Table'!$B$24:$B$7056,0)</f>
        <v>917</v>
      </c>
      <c r="B2214" s="63" t="b">
        <f t="shared" si="102"/>
        <v>0</v>
      </c>
      <c r="C2214" s="63" t="b">
        <f t="shared" si="103"/>
        <v>1</v>
      </c>
      <c r="D2214" s="63" t="str">
        <f t="shared" si="104"/>
        <v>OK</v>
      </c>
      <c r="E2214" s="393">
        <v>400019686</v>
      </c>
      <c r="F2214" s="392" t="s">
        <v>5923</v>
      </c>
      <c r="G2214" s="392" t="s">
        <v>5324</v>
      </c>
      <c r="H2214" s="392" t="s">
        <v>7418</v>
      </c>
      <c r="I2214" s="392" t="s">
        <v>1756</v>
      </c>
      <c r="J2214" s="392" t="s">
        <v>8377</v>
      </c>
      <c r="K2214" s="392" t="s">
        <v>2508</v>
      </c>
      <c r="L2214" s="392" t="s">
        <v>4956</v>
      </c>
      <c r="M2214" s="392" t="s">
        <v>7273</v>
      </c>
      <c r="N2214" s="392" t="s">
        <v>7273</v>
      </c>
      <c r="O2214" s="392" t="s">
        <v>7273</v>
      </c>
      <c r="P2214"/>
      <c r="Q2214"/>
      <c r="R2214" s="387">
        <f>VLOOKUP(E2214,'[1]NDB Impacted SPRFs 05032013'!$A$2:$A$65536,1,FALSE)</f>
        <v>400019686</v>
      </c>
      <c r="S2214" s="159"/>
      <c r="T2214" s="159"/>
      <c r="U2214" s="159"/>
    </row>
    <row r="2215" spans="1:21" ht="60" customHeight="1" x14ac:dyDescent="0.25">
      <c r="A2215" s="63">
        <f>MATCH($E2215,'D1 - Master Project Table'!$B$24:$B$7056,0)</f>
        <v>903</v>
      </c>
      <c r="B2215" s="63" t="b">
        <f t="shared" si="102"/>
        <v>0</v>
      </c>
      <c r="C2215" s="63" t="b">
        <f t="shared" si="103"/>
        <v>1</v>
      </c>
      <c r="D2215" s="63" t="str">
        <f t="shared" si="104"/>
        <v>OK</v>
      </c>
      <c r="E2215" s="393">
        <v>400021601</v>
      </c>
      <c r="F2215" s="392" t="s">
        <v>5295</v>
      </c>
      <c r="G2215" s="392" t="s">
        <v>5324</v>
      </c>
      <c r="H2215" s="392" t="s">
        <v>7418</v>
      </c>
      <c r="I2215" s="392" t="s">
        <v>1756</v>
      </c>
      <c r="J2215" s="392" t="s">
        <v>8377</v>
      </c>
      <c r="K2215" s="392" t="s">
        <v>2508</v>
      </c>
      <c r="L2215" s="392" t="s">
        <v>4956</v>
      </c>
      <c r="M2215" s="392" t="s">
        <v>7273</v>
      </c>
      <c r="N2215" s="392" t="s">
        <v>7273</v>
      </c>
      <c r="O2215" s="392" t="s">
        <v>7273</v>
      </c>
      <c r="P2215"/>
      <c r="Q2215"/>
      <c r="R2215" s="387">
        <f>VLOOKUP(E2215,'[1]NDB Impacted SPRFs 05032013'!$A$2:$A$65536,1,FALSE)</f>
        <v>400021601</v>
      </c>
      <c r="S2215" s="159"/>
      <c r="T2215" s="159"/>
      <c r="U2215" s="159"/>
    </row>
    <row r="2216" spans="1:21" ht="30" x14ac:dyDescent="0.25">
      <c r="A2216" s="63">
        <f>MATCH($E2216,'D1 - Master Project Table'!$B$24:$B$7056,0)</f>
        <v>2773</v>
      </c>
      <c r="B2216" s="63" t="b">
        <f t="shared" si="102"/>
        <v>0</v>
      </c>
      <c r="C2216" s="63" t="b">
        <f t="shared" si="103"/>
        <v>1</v>
      </c>
      <c r="D2216" s="63" t="str">
        <f t="shared" si="104"/>
        <v>OK</v>
      </c>
      <c r="E2216" s="393">
        <v>400021650</v>
      </c>
      <c r="F2216" s="392" t="s">
        <v>5714</v>
      </c>
      <c r="G2216" s="392" t="s">
        <v>5995</v>
      </c>
      <c r="H2216" s="392" t="s">
        <v>5314</v>
      </c>
      <c r="I2216" s="392" t="s">
        <v>3534</v>
      </c>
      <c r="J2216" s="392" t="s">
        <v>8808</v>
      </c>
      <c r="K2216" s="392" t="s">
        <v>3008</v>
      </c>
      <c r="L2216" s="392" t="s">
        <v>4365</v>
      </c>
      <c r="M2216" s="392" t="s">
        <v>3758</v>
      </c>
      <c r="N2216" s="392" t="s">
        <v>7273</v>
      </c>
      <c r="O2216" s="392" t="s">
        <v>7273</v>
      </c>
      <c r="P2216"/>
      <c r="Q2216"/>
      <c r="R2216" s="387">
        <f>VLOOKUP(E2216,'[1]NDB Impacted SPRFs 05032013'!$A$2:$A$65536,1,FALSE)</f>
        <v>400021650</v>
      </c>
      <c r="S2216" s="159"/>
      <c r="T2216" s="159"/>
      <c r="U2216" s="159"/>
    </row>
    <row r="2217" spans="1:21" ht="30" customHeight="1" x14ac:dyDescent="0.25">
      <c r="A2217" s="63">
        <f>MATCH($E2217,'D1 - Master Project Table'!$B$24:$B$7056,0)</f>
        <v>2847</v>
      </c>
      <c r="B2217" s="63" t="b">
        <f t="shared" si="102"/>
        <v>0</v>
      </c>
      <c r="C2217" s="63" t="b">
        <f t="shared" si="103"/>
        <v>1</v>
      </c>
      <c r="D2217" s="63" t="str">
        <f t="shared" si="104"/>
        <v>OK</v>
      </c>
      <c r="E2217" s="393">
        <v>400026594</v>
      </c>
      <c r="F2217" s="392" t="s">
        <v>6243</v>
      </c>
      <c r="G2217" s="392" t="s">
        <v>5324</v>
      </c>
      <c r="H2217" s="392" t="s">
        <v>5314</v>
      </c>
      <c r="I2217" s="392" t="s">
        <v>1759</v>
      </c>
      <c r="J2217" s="392" t="s">
        <v>8317</v>
      </c>
      <c r="K2217" s="392" t="s">
        <v>3283</v>
      </c>
      <c r="L2217" s="392" t="s">
        <v>4365</v>
      </c>
      <c r="M2217" s="392" t="s">
        <v>3758</v>
      </c>
      <c r="N2217" s="392" t="s">
        <v>7273</v>
      </c>
      <c r="O2217" s="392" t="s">
        <v>7273</v>
      </c>
      <c r="P2217"/>
      <c r="Q2217"/>
      <c r="R2217" s="387">
        <f>VLOOKUP(E2217,'[1]NDB Impacted SPRFs 05032013'!$A$2:$A$65536,1,FALSE)</f>
        <v>400026594</v>
      </c>
      <c r="S2217" s="159"/>
      <c r="T2217" s="159"/>
      <c r="U2217" s="159"/>
    </row>
    <row r="2218" spans="1:21" ht="30" customHeight="1" x14ac:dyDescent="0.25">
      <c r="A2218" s="63" t="e">
        <f>MATCH($E2218,'D1 - Master Project Table'!$B$24:$B$7056,0)</f>
        <v>#N/A</v>
      </c>
      <c r="B2218" s="63" t="b">
        <f t="shared" si="102"/>
        <v>1</v>
      </c>
      <c r="C2218" s="63" t="b">
        <f t="shared" si="103"/>
        <v>1</v>
      </c>
      <c r="D2218" s="63" t="str">
        <f t="shared" si="104"/>
        <v>OK</v>
      </c>
      <c r="E2218" s="393">
        <v>400027001</v>
      </c>
      <c r="F2218" s="392" t="s">
        <v>6281</v>
      </c>
      <c r="G2218" s="392" t="s">
        <v>5324</v>
      </c>
      <c r="H2218" s="392" t="s">
        <v>5314</v>
      </c>
      <c r="I2218" s="392" t="s">
        <v>1757</v>
      </c>
      <c r="J2218" s="392" t="s">
        <v>8294</v>
      </c>
      <c r="K2218" s="392" t="s">
        <v>6312</v>
      </c>
      <c r="L2218" s="392" t="s">
        <v>4365</v>
      </c>
      <c r="M2218" s="392" t="s">
        <v>3758</v>
      </c>
      <c r="N2218" s="392" t="s">
        <v>7273</v>
      </c>
      <c r="O2218" s="392" t="s">
        <v>7273</v>
      </c>
      <c r="P2218"/>
      <c r="Q2218"/>
      <c r="R2218" s="387">
        <f>VLOOKUP(E2218,'[1]NDB Impacted SPRFs 05032013'!$A$2:$A$65536,1,FALSE)</f>
        <v>400027001</v>
      </c>
    </row>
    <row r="2219" spans="1:21" ht="30" customHeight="1" x14ac:dyDescent="0.25">
      <c r="A2219" s="63">
        <f>MATCH($E2219,'D1 - Master Project Table'!$B$24:$B$7056,0)</f>
        <v>1343</v>
      </c>
      <c r="B2219" s="63" t="b">
        <f t="shared" si="102"/>
        <v>0</v>
      </c>
      <c r="C2219" s="63" t="b">
        <f t="shared" si="103"/>
        <v>1</v>
      </c>
      <c r="D2219" s="63" t="str">
        <f t="shared" si="104"/>
        <v>OK</v>
      </c>
      <c r="E2219" s="393">
        <v>400032939</v>
      </c>
      <c r="F2219" s="392" t="s">
        <v>7127</v>
      </c>
      <c r="G2219" s="392" t="s">
        <v>5324</v>
      </c>
      <c r="H2219" s="392" t="s">
        <v>7418</v>
      </c>
      <c r="I2219" s="392" t="s">
        <v>1757</v>
      </c>
      <c r="J2219" s="392" t="s">
        <v>8488</v>
      </c>
      <c r="K2219" s="392" t="s">
        <v>8075</v>
      </c>
      <c r="L2219" s="392" t="s">
        <v>1227</v>
      </c>
      <c r="M2219" s="392" t="s">
        <v>7273</v>
      </c>
      <c r="N2219" s="392" t="s">
        <v>7273</v>
      </c>
      <c r="O2219" s="392" t="s">
        <v>7273</v>
      </c>
      <c r="P2219"/>
      <c r="Q2219"/>
      <c r="R2219" s="387">
        <f>VLOOKUP(E2219,'[1]NDB Impacted SPRFs 05032013'!$A$2:$A$65536,1,FALSE)</f>
        <v>400032939</v>
      </c>
    </row>
    <row r="2220" spans="1:21" ht="30" customHeight="1" x14ac:dyDescent="0.25">
      <c r="A2220" s="63">
        <f>MATCH($E2220,'D1 - Master Project Table'!$B$24:$B$7056,0)</f>
        <v>1235</v>
      </c>
      <c r="B2220" s="63" t="b">
        <f t="shared" si="102"/>
        <v>0</v>
      </c>
      <c r="C2220" s="63" t="b">
        <f t="shared" si="103"/>
        <v>1</v>
      </c>
      <c r="D2220" s="63" t="str">
        <f t="shared" si="104"/>
        <v>OK</v>
      </c>
      <c r="E2220" s="393">
        <v>400035919</v>
      </c>
      <c r="F2220" s="392" t="s">
        <v>2885</v>
      </c>
      <c r="G2220" s="392" t="s">
        <v>5324</v>
      </c>
      <c r="H2220" s="392" t="s">
        <v>7418</v>
      </c>
      <c r="I2220" s="392" t="s">
        <v>1756</v>
      </c>
      <c r="J2220" s="392" t="s">
        <v>8489</v>
      </c>
      <c r="K2220" s="392" t="s">
        <v>7024</v>
      </c>
      <c r="L2220" s="392" t="s">
        <v>4956</v>
      </c>
      <c r="M2220" s="392" t="s">
        <v>7273</v>
      </c>
      <c r="N2220" s="392" t="s">
        <v>7273</v>
      </c>
      <c r="O2220" s="392" t="s">
        <v>7273</v>
      </c>
      <c r="P2220"/>
      <c r="Q2220"/>
      <c r="R2220" s="387">
        <f>VLOOKUP(E2220,'[1]NDB Impacted SPRFs 05032013'!$A$2:$A$65536,1,FALSE)</f>
        <v>400035919</v>
      </c>
      <c r="S2220" s="159"/>
      <c r="T2220" s="159"/>
      <c r="U2220" s="159"/>
    </row>
    <row r="2221" spans="1:21" ht="30" customHeight="1" x14ac:dyDescent="0.25">
      <c r="A2221" s="63">
        <f>MATCH($E2221,'D1 - Master Project Table'!$B$24:$B$7056,0)</f>
        <v>1590</v>
      </c>
      <c r="B2221" s="63" t="b">
        <f t="shared" si="102"/>
        <v>0</v>
      </c>
      <c r="C2221" s="63" t="b">
        <f t="shared" si="103"/>
        <v>1</v>
      </c>
      <c r="D2221" s="63" t="str">
        <f t="shared" si="104"/>
        <v>OK</v>
      </c>
      <c r="E2221" s="393">
        <v>400038502</v>
      </c>
      <c r="F2221" s="392" t="s">
        <v>91</v>
      </c>
      <c r="G2221" s="392" t="s">
        <v>5324</v>
      </c>
      <c r="H2221" s="392" t="s">
        <v>7418</v>
      </c>
      <c r="I2221" s="392" t="s">
        <v>1757</v>
      </c>
      <c r="J2221" s="392" t="s">
        <v>8304</v>
      </c>
      <c r="K2221" s="392" t="s">
        <v>1939</v>
      </c>
      <c r="L2221" s="392" t="s">
        <v>1227</v>
      </c>
      <c r="M2221" s="392" t="s">
        <v>7273</v>
      </c>
      <c r="N2221" s="392" t="s">
        <v>7273</v>
      </c>
      <c r="O2221" s="392" t="s">
        <v>7273</v>
      </c>
      <c r="P2221"/>
      <c r="Q2221"/>
      <c r="R2221" s="387">
        <f>VLOOKUP(E2221,'[1]NDB Impacted SPRFs 05032013'!$A$2:$A$65536,1,FALSE)</f>
        <v>400038502</v>
      </c>
      <c r="S2221" s="159"/>
      <c r="T2221" s="159"/>
      <c r="U2221" s="159"/>
    </row>
    <row r="2222" spans="1:21" ht="30" customHeight="1" x14ac:dyDescent="0.25">
      <c r="A2222" s="63">
        <f>MATCH($E2222,'D1 - Master Project Table'!$B$24:$B$7056,0)</f>
        <v>1595</v>
      </c>
      <c r="B2222" s="63" t="b">
        <f t="shared" si="102"/>
        <v>0</v>
      </c>
      <c r="C2222" s="63" t="b">
        <f t="shared" si="103"/>
        <v>1</v>
      </c>
      <c r="D2222" s="63" t="str">
        <f t="shared" si="104"/>
        <v>OK</v>
      </c>
      <c r="E2222" s="393">
        <v>400042058</v>
      </c>
      <c r="F2222" s="392" t="s">
        <v>658</v>
      </c>
      <c r="G2222" s="392" t="s">
        <v>5324</v>
      </c>
      <c r="H2222" s="392" t="s">
        <v>7418</v>
      </c>
      <c r="I2222" s="392" t="s">
        <v>1757</v>
      </c>
      <c r="J2222" s="392" t="s">
        <v>8380</v>
      </c>
      <c r="K2222" s="392" t="s">
        <v>4691</v>
      </c>
      <c r="L2222" s="392" t="s">
        <v>1227</v>
      </c>
      <c r="M2222" s="392" t="s">
        <v>7273</v>
      </c>
      <c r="N2222" s="392" t="s">
        <v>7273</v>
      </c>
      <c r="O2222" s="392" t="s">
        <v>7273</v>
      </c>
      <c r="P2222"/>
      <c r="Q2222"/>
      <c r="R2222" s="387">
        <f>VLOOKUP(E2222,'[1]NDB Impacted SPRFs 05032013'!$A$2:$A$65536,1,FALSE)</f>
        <v>400042058</v>
      </c>
      <c r="S2222" s="159"/>
      <c r="T2222" s="159"/>
      <c r="U2222" s="159"/>
    </row>
    <row r="2223" spans="1:21" ht="30" customHeight="1" x14ac:dyDescent="0.25">
      <c r="A2223" s="63">
        <f>MATCH($E2223,'D1 - Master Project Table'!$B$24:$B$7056,0)</f>
        <v>202</v>
      </c>
      <c r="B2223" s="63" t="b">
        <f t="shared" si="102"/>
        <v>0</v>
      </c>
      <c r="C2223" s="63" t="b">
        <f t="shared" si="103"/>
        <v>1</v>
      </c>
      <c r="D2223" s="63" t="str">
        <f t="shared" si="104"/>
        <v>OK</v>
      </c>
      <c r="E2223" s="393">
        <v>400042216</v>
      </c>
      <c r="F2223" s="392" t="s">
        <v>389</v>
      </c>
      <c r="G2223" s="392" t="s">
        <v>5324</v>
      </c>
      <c r="H2223" s="392" t="s">
        <v>7418</v>
      </c>
      <c r="I2223" s="392" t="s">
        <v>1757</v>
      </c>
      <c r="J2223" s="392" t="s">
        <v>8445</v>
      </c>
      <c r="K2223" s="392" t="s">
        <v>8075</v>
      </c>
      <c r="L2223" s="392" t="s">
        <v>1227</v>
      </c>
      <c r="M2223" s="392" t="s">
        <v>7273</v>
      </c>
      <c r="N2223" s="392" t="s">
        <v>7273</v>
      </c>
      <c r="O2223" s="392" t="s">
        <v>7273</v>
      </c>
      <c r="P2223"/>
      <c r="Q2223"/>
      <c r="R2223" s="387">
        <f>VLOOKUP(E2223,'[1]NDB Impacted SPRFs 05032013'!$A$2:$A$65536,1,FALSE)</f>
        <v>400042216</v>
      </c>
      <c r="S2223" s="159"/>
      <c r="T2223" s="159"/>
      <c r="U2223" s="159"/>
    </row>
    <row r="2224" spans="1:21" ht="30" customHeight="1" x14ac:dyDescent="0.25">
      <c r="A2224" s="63">
        <f>MATCH($E2224,'D1 - Master Project Table'!$B$24:$B$7056,0)</f>
        <v>3099</v>
      </c>
      <c r="B2224" s="63" t="b">
        <f t="shared" ref="B2224:B2287" si="105">ISERROR(A2224)</f>
        <v>0</v>
      </c>
      <c r="C2224" s="63" t="b">
        <f t="shared" si="103"/>
        <v>1</v>
      </c>
      <c r="D2224" s="63" t="str">
        <f t="shared" si="104"/>
        <v>OK</v>
      </c>
      <c r="E2224" s="393">
        <v>400050304</v>
      </c>
      <c r="F2224" s="392" t="s">
        <v>520</v>
      </c>
      <c r="G2224" s="392" t="s">
        <v>5324</v>
      </c>
      <c r="H2224" s="392" t="s">
        <v>5314</v>
      </c>
      <c r="I2224" s="392" t="s">
        <v>1757</v>
      </c>
      <c r="J2224" s="392" t="s">
        <v>8304</v>
      </c>
      <c r="K2224" s="392" t="s">
        <v>1939</v>
      </c>
      <c r="L2224" s="392" t="s">
        <v>1227</v>
      </c>
      <c r="M2224" s="392" t="s">
        <v>7273</v>
      </c>
      <c r="N2224" s="392" t="s">
        <v>7273</v>
      </c>
      <c r="O2224" s="392" t="s">
        <v>7273</v>
      </c>
      <c r="P2224"/>
      <c r="Q2224"/>
      <c r="R2224" s="387">
        <f>VLOOKUP(E2224,'[1]NDB Impacted SPRFs 05032013'!$A$2:$A$65536,1,FALSE)</f>
        <v>400050304</v>
      </c>
      <c r="S2224" s="159"/>
      <c r="T2224" s="159"/>
      <c r="U2224" s="159"/>
    </row>
    <row r="2225" spans="1:21" ht="30" customHeight="1" x14ac:dyDescent="0.25">
      <c r="A2225" s="63">
        <f>MATCH($E2225,'D1 - Master Project Table'!$B$24:$B$7056,0)</f>
        <v>3135</v>
      </c>
      <c r="B2225" s="63" t="b">
        <f t="shared" si="105"/>
        <v>0</v>
      </c>
      <c r="C2225" s="63" t="b">
        <f t="shared" si="103"/>
        <v>1</v>
      </c>
      <c r="D2225" s="63" t="str">
        <f t="shared" si="104"/>
        <v>OK</v>
      </c>
      <c r="E2225" s="393">
        <v>400054513</v>
      </c>
      <c r="F2225" s="392" t="s">
        <v>945</v>
      </c>
      <c r="G2225" s="392" t="s">
        <v>6322</v>
      </c>
      <c r="H2225" s="392" t="s">
        <v>5314</v>
      </c>
      <c r="I2225" s="392" t="s">
        <v>1756</v>
      </c>
      <c r="J2225" s="392" t="s">
        <v>7233</v>
      </c>
      <c r="K2225" s="392" t="s">
        <v>4978</v>
      </c>
      <c r="L2225" s="392" t="s">
        <v>1227</v>
      </c>
      <c r="M2225" s="392" t="s">
        <v>7273</v>
      </c>
      <c r="N2225" s="392" t="s">
        <v>7273</v>
      </c>
      <c r="O2225" s="392" t="s">
        <v>7273</v>
      </c>
      <c r="P2225"/>
      <c r="Q2225"/>
      <c r="R2225" s="387">
        <f>VLOOKUP(E2225,'[1]NDB Impacted SPRFs 05032013'!$A$2:$A$65536,1,FALSE)</f>
        <v>400054513</v>
      </c>
      <c r="S2225" s="159"/>
      <c r="T2225" s="159"/>
      <c r="U2225" s="159"/>
    </row>
    <row r="2226" spans="1:21" ht="30" customHeight="1" x14ac:dyDescent="0.25">
      <c r="A2226" s="63">
        <f>MATCH($E2226,'D1 - Master Project Table'!$B$24:$B$7056,0)</f>
        <v>63</v>
      </c>
      <c r="B2226" s="63" t="b">
        <f t="shared" si="105"/>
        <v>0</v>
      </c>
      <c r="C2226" s="63" t="b">
        <f t="shared" si="103"/>
        <v>0</v>
      </c>
      <c r="D2226" s="63" t="str">
        <f t="shared" si="104"/>
        <v>OK</v>
      </c>
      <c r="E2226" s="393">
        <v>400057678</v>
      </c>
      <c r="F2226" s="392" t="s">
        <v>9113</v>
      </c>
      <c r="G2226" s="392" t="s">
        <v>9210</v>
      </c>
      <c r="H2226" s="392" t="s">
        <v>4917</v>
      </c>
      <c r="I2226" s="392" t="s">
        <v>3540</v>
      </c>
      <c r="J2226" s="392" t="s">
        <v>8239</v>
      </c>
      <c r="K2226" s="392" t="s">
        <v>8240</v>
      </c>
      <c r="L2226" s="392" t="s">
        <v>1227</v>
      </c>
      <c r="M2226" s="392" t="s">
        <v>7273</v>
      </c>
      <c r="N2226" s="392" t="s">
        <v>7273</v>
      </c>
      <c r="O2226" s="392" t="s">
        <v>7273</v>
      </c>
      <c r="P2226"/>
      <c r="Q2226"/>
      <c r="R2226" s="387">
        <f>VLOOKUP(E2226,'[1]NDB Impacted SPRFs 05032013'!$A$2:$A$65536,1,FALSE)</f>
        <v>400057678</v>
      </c>
      <c r="S2226" s="159"/>
      <c r="T2226" s="159"/>
      <c r="U2226" s="159"/>
    </row>
    <row r="2227" spans="1:21" ht="30" customHeight="1" x14ac:dyDescent="0.25">
      <c r="A2227" s="63">
        <f>MATCH($E2227,'D1 - Master Project Table'!$B$24:$B$7056,0)</f>
        <v>3154</v>
      </c>
      <c r="B2227" s="63" t="b">
        <f t="shared" si="105"/>
        <v>0</v>
      </c>
      <c r="C2227" s="63" t="b">
        <f t="shared" si="103"/>
        <v>1</v>
      </c>
      <c r="D2227" s="63" t="str">
        <f t="shared" si="104"/>
        <v>OK</v>
      </c>
      <c r="E2227" s="393">
        <v>400058982</v>
      </c>
      <c r="F2227" s="392" t="s">
        <v>9240</v>
      </c>
      <c r="G2227" s="392" t="s">
        <v>6322</v>
      </c>
      <c r="H2227" s="392" t="s">
        <v>5314</v>
      </c>
      <c r="I2227" s="392" t="s">
        <v>1757</v>
      </c>
      <c r="J2227" s="392" t="s">
        <v>9241</v>
      </c>
      <c r="K2227" s="392" t="s">
        <v>9242</v>
      </c>
      <c r="L2227" s="392" t="s">
        <v>1227</v>
      </c>
      <c r="M2227" s="392" t="s">
        <v>7273</v>
      </c>
      <c r="N2227" s="392" t="s">
        <v>7273</v>
      </c>
      <c r="O2227" s="392" t="s">
        <v>7273</v>
      </c>
      <c r="P2227"/>
      <c r="Q2227"/>
      <c r="R2227" s="387">
        <f>VLOOKUP(E2227,'[1]NDB Impacted SPRFs 05032013'!$A$2:$A$65536,1,FALSE)</f>
        <v>400058982</v>
      </c>
      <c r="S2227" s="159"/>
      <c r="T2227" s="159"/>
      <c r="U2227" s="159"/>
    </row>
    <row r="2228" spans="1:21" ht="30" customHeight="1" x14ac:dyDescent="0.25">
      <c r="A2228" s="63">
        <f>MATCH($E2228,'D1 - Master Project Table'!$B$24:$B$7056,0)</f>
        <v>276</v>
      </c>
      <c r="B2228" s="63" t="b">
        <f t="shared" si="105"/>
        <v>0</v>
      </c>
      <c r="C2228" s="63" t="b">
        <f t="shared" si="103"/>
        <v>0</v>
      </c>
      <c r="D2228" s="63" t="str">
        <f t="shared" si="104"/>
        <v>OK</v>
      </c>
      <c r="E2228" s="393">
        <v>400059824</v>
      </c>
      <c r="F2228" s="392" t="s">
        <v>9501</v>
      </c>
      <c r="G2228" s="392" t="s">
        <v>6065</v>
      </c>
      <c r="H2228" s="392" t="s">
        <v>4388</v>
      </c>
      <c r="I2228" s="392" t="s">
        <v>2855</v>
      </c>
      <c r="J2228" s="392" t="s">
        <v>8559</v>
      </c>
      <c r="K2228" s="392" t="s">
        <v>4462</v>
      </c>
      <c r="L2228" s="392" t="s">
        <v>1227</v>
      </c>
      <c r="M2228" s="392" t="s">
        <v>7273</v>
      </c>
      <c r="N2228" s="392" t="s">
        <v>7273</v>
      </c>
      <c r="O2228" s="392" t="s">
        <v>7273</v>
      </c>
      <c r="P2228"/>
      <c r="Q2228"/>
      <c r="R2228" s="387">
        <f>VLOOKUP(E2228,'[1]NDB Impacted SPRFs 05032013'!$A$2:$A$65536,1,FALSE)</f>
        <v>400059824</v>
      </c>
    </row>
    <row r="2229" spans="1:21" ht="30" customHeight="1" x14ac:dyDescent="0.25">
      <c r="A2229" s="63" t="e">
        <f>MATCH($E2229,'D1 - Master Project Table'!$B$24:$B$7056,0)</f>
        <v>#N/A</v>
      </c>
      <c r="B2229" s="147" t="b">
        <f t="shared" si="105"/>
        <v>1</v>
      </c>
      <c r="C2229" s="147" t="b">
        <f t="shared" si="103"/>
        <v>1</v>
      </c>
      <c r="D2229" s="147" t="str">
        <f t="shared" si="104"/>
        <v>OK</v>
      </c>
      <c r="E2229" s="393">
        <v>302191328</v>
      </c>
      <c r="F2229" s="392" t="s">
        <v>4189</v>
      </c>
      <c r="G2229" s="392" t="s">
        <v>5324</v>
      </c>
      <c r="H2229" s="392" t="s">
        <v>7418</v>
      </c>
      <c r="I2229" s="392" t="s">
        <v>1766</v>
      </c>
      <c r="J2229" s="392" t="s">
        <v>8339</v>
      </c>
      <c r="K2229" s="392" t="s">
        <v>5641</v>
      </c>
      <c r="L2229" s="392" t="s">
        <v>4190</v>
      </c>
      <c r="M2229" s="392" t="s">
        <v>7273</v>
      </c>
      <c r="N2229" s="392" t="s">
        <v>7273</v>
      </c>
      <c r="O2229" s="392" t="s">
        <v>7273</v>
      </c>
      <c r="P2229"/>
      <c r="Q2229"/>
      <c r="R2229" s="387">
        <f>VLOOKUP(E2229,'[1]NDB Impacted SPRFs 05032013'!$A$2:$A$65536,1,FALSE)</f>
        <v>302191328</v>
      </c>
    </row>
    <row r="2230" spans="1:21" ht="30" customHeight="1" x14ac:dyDescent="0.25">
      <c r="A2230" s="63" t="e">
        <f>MATCH($E2230,'D1 - Master Project Table'!$B$24:$B$7056,0)</f>
        <v>#N/A</v>
      </c>
      <c r="B2230" s="63" t="b">
        <f t="shared" si="105"/>
        <v>1</v>
      </c>
      <c r="C2230" s="63" t="b">
        <f t="shared" si="103"/>
        <v>1</v>
      </c>
      <c r="D2230" s="63" t="str">
        <f t="shared" si="104"/>
        <v>OK</v>
      </c>
      <c r="E2230" s="393">
        <v>400002684</v>
      </c>
      <c r="F2230" s="392" t="s">
        <v>7381</v>
      </c>
      <c r="G2230" s="392" t="s">
        <v>5324</v>
      </c>
      <c r="H2230" s="392" t="s">
        <v>7418</v>
      </c>
      <c r="I2230" s="392" t="s">
        <v>1765</v>
      </c>
      <c r="J2230" s="392" t="s">
        <v>8417</v>
      </c>
      <c r="K2230" s="392" t="s">
        <v>2447</v>
      </c>
      <c r="L2230" s="392" t="s">
        <v>7385</v>
      </c>
      <c r="M2230" s="392" t="s">
        <v>7273</v>
      </c>
      <c r="N2230" s="392" t="s">
        <v>7273</v>
      </c>
      <c r="O2230" s="392" t="s">
        <v>7273</v>
      </c>
      <c r="P2230"/>
      <c r="Q2230"/>
      <c r="R2230" s="387">
        <f>VLOOKUP(E2230,'[1]NDB Impacted SPRFs 05032013'!$A$2:$A$65536,1,FALSE)</f>
        <v>400002684</v>
      </c>
    </row>
    <row r="2231" spans="1:21" ht="30" customHeight="1" x14ac:dyDescent="0.25">
      <c r="A2231" s="63">
        <f>MATCH($E2231,'D1 - Master Project Table'!$B$24:$B$7056,0)</f>
        <v>325</v>
      </c>
      <c r="B2231" s="63" t="b">
        <f t="shared" si="105"/>
        <v>0</v>
      </c>
      <c r="C2231" s="63" t="b">
        <f t="shared" si="103"/>
        <v>1</v>
      </c>
      <c r="D2231" s="63" t="str">
        <f t="shared" si="104"/>
        <v>OK</v>
      </c>
      <c r="E2231" s="393">
        <v>400004124</v>
      </c>
      <c r="F2231" s="392" t="s">
        <v>7244</v>
      </c>
      <c r="G2231" s="392" t="s">
        <v>5787</v>
      </c>
      <c r="H2231" s="392" t="s">
        <v>7418</v>
      </c>
      <c r="I2231" s="392" t="s">
        <v>1779</v>
      </c>
      <c r="J2231" s="392" t="s">
        <v>8464</v>
      </c>
      <c r="K2231" s="392" t="s">
        <v>6312</v>
      </c>
      <c r="L2231" s="392" t="s">
        <v>7385</v>
      </c>
      <c r="M2231" s="392" t="s">
        <v>7273</v>
      </c>
      <c r="N2231" s="392" t="s">
        <v>7273</v>
      </c>
      <c r="O2231" s="392" t="s">
        <v>7273</v>
      </c>
      <c r="P2231"/>
      <c r="Q2231"/>
      <c r="R2231" s="387">
        <f>VLOOKUP(E2231,'[1]NDB Impacted SPRFs 05032013'!$A$2:$A$65536,1,FALSE)</f>
        <v>400004124</v>
      </c>
      <c r="S2231" s="159"/>
      <c r="T2231" s="159"/>
      <c r="U2231" s="159"/>
    </row>
    <row r="2232" spans="1:21" ht="30" customHeight="1" x14ac:dyDescent="0.25">
      <c r="A2232" s="63">
        <f>MATCH($E2232,'D1 - Master Project Table'!$B$24:$B$7056,0)</f>
        <v>736</v>
      </c>
      <c r="B2232" s="63" t="b">
        <f t="shared" si="105"/>
        <v>0</v>
      </c>
      <c r="C2232" s="63" t="b">
        <f t="shared" si="103"/>
        <v>1</v>
      </c>
      <c r="D2232" s="63" t="str">
        <f t="shared" si="104"/>
        <v>OK</v>
      </c>
      <c r="E2232" s="393">
        <v>400004925</v>
      </c>
      <c r="F2232" s="392" t="s">
        <v>6256</v>
      </c>
      <c r="G2232" s="392" t="s">
        <v>5324</v>
      </c>
      <c r="H2232" s="392" t="s">
        <v>7418</v>
      </c>
      <c r="I2232" s="392" t="s">
        <v>1759</v>
      </c>
      <c r="J2232" s="392" t="s">
        <v>8626</v>
      </c>
      <c r="K2232" s="392" t="s">
        <v>6257</v>
      </c>
      <c r="L2232" s="392" t="s">
        <v>3871</v>
      </c>
      <c r="M2232" s="392" t="s">
        <v>7273</v>
      </c>
      <c r="N2232" s="392" t="s">
        <v>7273</v>
      </c>
      <c r="O2232" s="392" t="s">
        <v>7273</v>
      </c>
      <c r="P2232"/>
      <c r="Q2232"/>
      <c r="R2232" s="387">
        <f>VLOOKUP(E2232,'[1]NDB Impacted SPRFs 05032013'!$A$2:$A$65536,1,FALSE)</f>
        <v>400004925</v>
      </c>
    </row>
    <row r="2233" spans="1:21" ht="30" customHeight="1" x14ac:dyDescent="0.25">
      <c r="A2233" s="63">
        <f>MATCH($E2233,'D1 - Master Project Table'!$B$24:$B$7056,0)</f>
        <v>2473</v>
      </c>
      <c r="B2233" s="63" t="b">
        <f t="shared" si="105"/>
        <v>0</v>
      </c>
      <c r="C2233" s="63" t="b">
        <f t="shared" si="103"/>
        <v>1</v>
      </c>
      <c r="D2233" s="63" t="str">
        <f t="shared" si="104"/>
        <v>OK</v>
      </c>
      <c r="E2233" s="393">
        <v>400004982</v>
      </c>
      <c r="F2233" s="392" t="s">
        <v>1860</v>
      </c>
      <c r="G2233" s="392" t="s">
        <v>5324</v>
      </c>
      <c r="H2233" s="392" t="s">
        <v>5314</v>
      </c>
      <c r="I2233" s="392" t="s">
        <v>1765</v>
      </c>
      <c r="J2233" s="392" t="s">
        <v>8417</v>
      </c>
      <c r="K2233" s="392" t="s">
        <v>5004</v>
      </c>
      <c r="L2233" s="392" t="s">
        <v>7385</v>
      </c>
      <c r="M2233" s="392" t="s">
        <v>7273</v>
      </c>
      <c r="N2233" s="392" t="s">
        <v>7273</v>
      </c>
      <c r="O2233" s="392" t="s">
        <v>7273</v>
      </c>
      <c r="P2233"/>
      <c r="Q2233"/>
      <c r="R2233" s="387">
        <f>VLOOKUP(E2233,'[1]NDB Impacted SPRFs 05032013'!$A$2:$A$65536,1,FALSE)</f>
        <v>400004982</v>
      </c>
    </row>
    <row r="2234" spans="1:21" ht="30" customHeight="1" x14ac:dyDescent="0.25">
      <c r="A2234" s="63">
        <f>MATCH($E2234,'D1 - Master Project Table'!$B$24:$B$7056,0)</f>
        <v>309</v>
      </c>
      <c r="B2234" s="63" t="b">
        <f t="shared" si="105"/>
        <v>0</v>
      </c>
      <c r="C2234" s="63" t="b">
        <f t="shared" si="103"/>
        <v>1</v>
      </c>
      <c r="D2234" s="63" t="str">
        <f t="shared" si="104"/>
        <v>OK</v>
      </c>
      <c r="E2234" s="393">
        <v>400006181</v>
      </c>
      <c r="F2234" s="392" t="s">
        <v>1519</v>
      </c>
      <c r="G2234" s="392" t="s">
        <v>5324</v>
      </c>
      <c r="H2234" s="392" t="s">
        <v>7418</v>
      </c>
      <c r="I2234" s="392" t="s">
        <v>1765</v>
      </c>
      <c r="J2234" s="392" t="s">
        <v>8418</v>
      </c>
      <c r="K2234" s="392" t="s">
        <v>5004</v>
      </c>
      <c r="L2234" s="392" t="s">
        <v>7385</v>
      </c>
      <c r="M2234" s="392" t="s">
        <v>7273</v>
      </c>
      <c r="N2234" s="392" t="s">
        <v>7273</v>
      </c>
      <c r="O2234" s="392" t="s">
        <v>7273</v>
      </c>
      <c r="P2234"/>
      <c r="Q2234"/>
      <c r="R2234" s="387">
        <f>VLOOKUP(E2234,'[1]NDB Impacted SPRFs 05032013'!$A$2:$A$65536,1,FALSE)</f>
        <v>400006181</v>
      </c>
      <c r="S2234" s="159"/>
      <c r="T2234" s="159"/>
      <c r="U2234" s="159"/>
    </row>
    <row r="2235" spans="1:21" ht="30" customHeight="1" x14ac:dyDescent="0.25">
      <c r="A2235" s="63">
        <f>MATCH($E2235,'D1 - Master Project Table'!$B$24:$B$7056,0)</f>
        <v>364</v>
      </c>
      <c r="B2235" s="63" t="b">
        <f t="shared" si="105"/>
        <v>0</v>
      </c>
      <c r="C2235" s="63" t="b">
        <f t="shared" si="103"/>
        <v>1</v>
      </c>
      <c r="D2235" s="63" t="str">
        <f t="shared" si="104"/>
        <v>OK</v>
      </c>
      <c r="E2235" s="393">
        <v>400007541</v>
      </c>
      <c r="F2235" s="392" t="s">
        <v>6783</v>
      </c>
      <c r="G2235" s="392" t="s">
        <v>5324</v>
      </c>
      <c r="H2235" s="392" t="s">
        <v>7418</v>
      </c>
      <c r="I2235" s="392" t="s">
        <v>1768</v>
      </c>
      <c r="J2235" s="392" t="s">
        <v>8418</v>
      </c>
      <c r="K2235" s="392" t="s">
        <v>5004</v>
      </c>
      <c r="L2235" s="392" t="s">
        <v>7385</v>
      </c>
      <c r="M2235" s="392" t="s">
        <v>7273</v>
      </c>
      <c r="N2235" s="392" t="s">
        <v>7273</v>
      </c>
      <c r="O2235" s="392" t="s">
        <v>7273</v>
      </c>
      <c r="P2235"/>
      <c r="Q2235"/>
      <c r="R2235" s="387">
        <f>VLOOKUP(E2235,'[1]NDB Impacted SPRFs 05032013'!$A$2:$A$65536,1,FALSE)</f>
        <v>400007541</v>
      </c>
      <c r="S2235" s="159"/>
      <c r="T2235" s="159"/>
      <c r="U2235" s="159"/>
    </row>
    <row r="2236" spans="1:21" ht="30" customHeight="1" x14ac:dyDescent="0.25">
      <c r="A2236" s="63">
        <f>MATCH($E2236,'D1 - Master Project Table'!$B$24:$B$7056,0)</f>
        <v>427</v>
      </c>
      <c r="B2236" s="63" t="b">
        <f t="shared" si="105"/>
        <v>0</v>
      </c>
      <c r="C2236" s="63" t="b">
        <f t="shared" si="103"/>
        <v>1</v>
      </c>
      <c r="D2236" s="63" t="str">
        <f t="shared" si="104"/>
        <v>OK</v>
      </c>
      <c r="E2236" s="393">
        <v>400007542</v>
      </c>
      <c r="F2236" s="392" t="s">
        <v>6174</v>
      </c>
      <c r="G2236" s="392" t="s">
        <v>5324</v>
      </c>
      <c r="H2236" s="392" t="s">
        <v>7418</v>
      </c>
      <c r="I2236" s="392" t="s">
        <v>1759</v>
      </c>
      <c r="J2236" s="392" t="s">
        <v>8396</v>
      </c>
      <c r="K2236" s="392" t="s">
        <v>5004</v>
      </c>
      <c r="L2236" s="392" t="s">
        <v>7385</v>
      </c>
      <c r="M2236" s="392" t="s">
        <v>7273</v>
      </c>
      <c r="N2236" s="392" t="s">
        <v>7273</v>
      </c>
      <c r="O2236" s="392" t="s">
        <v>7273</v>
      </c>
      <c r="P2236" s="212"/>
      <c r="Q2236" s="212"/>
      <c r="R2236" s="387">
        <f>VLOOKUP(E2236,'[1]NDB Impacted SPRFs 05032013'!$A$2:$A$65536,1,FALSE)</f>
        <v>400007542</v>
      </c>
    </row>
    <row r="2237" spans="1:21" ht="30" customHeight="1" x14ac:dyDescent="0.25">
      <c r="A2237" s="63">
        <f>MATCH($E2237,'D1 - Master Project Table'!$B$24:$B$7056,0)</f>
        <v>348</v>
      </c>
      <c r="B2237" s="63" t="b">
        <f t="shared" si="105"/>
        <v>0</v>
      </c>
      <c r="C2237" s="63" t="b">
        <f t="shared" si="103"/>
        <v>1</v>
      </c>
      <c r="D2237" s="63" t="str">
        <f t="shared" si="104"/>
        <v>OK</v>
      </c>
      <c r="E2237" s="393">
        <v>400007543</v>
      </c>
      <c r="F2237" s="392" t="s">
        <v>6076</v>
      </c>
      <c r="G2237" s="392" t="s">
        <v>5324</v>
      </c>
      <c r="H2237" s="392" t="s">
        <v>7418</v>
      </c>
      <c r="I2237" s="392" t="s">
        <v>1768</v>
      </c>
      <c r="J2237" s="392" t="s">
        <v>8418</v>
      </c>
      <c r="K2237" s="392" t="s">
        <v>5004</v>
      </c>
      <c r="L2237" s="392" t="s">
        <v>7385</v>
      </c>
      <c r="M2237" s="392" t="s">
        <v>7273</v>
      </c>
      <c r="N2237" s="392" t="s">
        <v>7273</v>
      </c>
      <c r="O2237" s="392" t="s">
        <v>7273</v>
      </c>
      <c r="P2237"/>
      <c r="Q2237"/>
      <c r="R2237" s="387">
        <f>VLOOKUP(E2237,'[1]NDB Impacted SPRFs 05032013'!$A$2:$A$65536,1,FALSE)</f>
        <v>400007543</v>
      </c>
      <c r="S2237" s="159"/>
      <c r="T2237" s="159"/>
      <c r="U2237" s="159"/>
    </row>
    <row r="2238" spans="1:21" ht="30" customHeight="1" x14ac:dyDescent="0.25">
      <c r="A2238" s="63">
        <f>MATCH($E2238,'D1 - Master Project Table'!$B$24:$B$7056,0)</f>
        <v>508</v>
      </c>
      <c r="B2238" s="63" t="b">
        <f t="shared" si="105"/>
        <v>0</v>
      </c>
      <c r="C2238" s="63" t="b">
        <f t="shared" si="103"/>
        <v>1</v>
      </c>
      <c r="D2238" s="63" t="str">
        <f t="shared" si="104"/>
        <v>OK</v>
      </c>
      <c r="E2238" s="393">
        <v>400007544</v>
      </c>
      <c r="F2238" s="392" t="s">
        <v>5512</v>
      </c>
      <c r="G2238" s="392" t="s">
        <v>5324</v>
      </c>
      <c r="H2238" s="392" t="s">
        <v>7418</v>
      </c>
      <c r="I2238" s="392" t="s">
        <v>1759</v>
      </c>
      <c r="J2238" s="392" t="s">
        <v>8396</v>
      </c>
      <c r="K2238" s="392" t="s">
        <v>5004</v>
      </c>
      <c r="L2238" s="392" t="s">
        <v>7385</v>
      </c>
      <c r="M2238" s="392" t="s">
        <v>7273</v>
      </c>
      <c r="N2238" s="392" t="s">
        <v>7273</v>
      </c>
      <c r="O2238" s="392" t="s">
        <v>7273</v>
      </c>
      <c r="P2238"/>
      <c r="Q2238"/>
      <c r="R2238" s="387">
        <f>VLOOKUP(E2238,'[1]NDB Impacted SPRFs 05032013'!$A$2:$A$65536,1,FALSE)</f>
        <v>400007544</v>
      </c>
    </row>
    <row r="2239" spans="1:21" ht="30" customHeight="1" x14ac:dyDescent="0.25">
      <c r="A2239" s="63">
        <f>MATCH($E2239,'D1 - Master Project Table'!$B$24:$B$7056,0)</f>
        <v>428</v>
      </c>
      <c r="B2239" s="63" t="b">
        <f t="shared" si="105"/>
        <v>0</v>
      </c>
      <c r="C2239" s="63" t="b">
        <f t="shared" si="103"/>
        <v>1</v>
      </c>
      <c r="D2239" s="63" t="str">
        <f t="shared" si="104"/>
        <v>OK</v>
      </c>
      <c r="E2239" s="393">
        <v>400007545</v>
      </c>
      <c r="F2239" s="392" t="s">
        <v>2841</v>
      </c>
      <c r="G2239" s="392" t="s">
        <v>5324</v>
      </c>
      <c r="H2239" s="392" t="s">
        <v>7418</v>
      </c>
      <c r="I2239" s="392" t="s">
        <v>1759</v>
      </c>
      <c r="J2239" s="392" t="s">
        <v>8396</v>
      </c>
      <c r="K2239" s="392" t="s">
        <v>5004</v>
      </c>
      <c r="L2239" s="392" t="s">
        <v>7385</v>
      </c>
      <c r="M2239" s="392" t="s">
        <v>7273</v>
      </c>
      <c r="N2239" s="392" t="s">
        <v>7273</v>
      </c>
      <c r="O2239" s="392" t="s">
        <v>7273</v>
      </c>
      <c r="P2239"/>
      <c r="Q2239"/>
      <c r="R2239" s="387">
        <f>VLOOKUP(E2239,'[1]NDB Impacted SPRFs 05032013'!$A$2:$A$65536,1,FALSE)</f>
        <v>400007545</v>
      </c>
      <c r="S2239" s="159"/>
      <c r="T2239" s="159"/>
      <c r="U2239" s="159"/>
    </row>
    <row r="2240" spans="1:21" ht="30" customHeight="1" x14ac:dyDescent="0.25">
      <c r="A2240" s="63">
        <f>MATCH($E2240,'D1 - Master Project Table'!$B$24:$B$7056,0)</f>
        <v>429</v>
      </c>
      <c r="B2240" s="63" t="b">
        <f t="shared" si="105"/>
        <v>0</v>
      </c>
      <c r="C2240" s="63" t="b">
        <f t="shared" si="103"/>
        <v>1</v>
      </c>
      <c r="D2240" s="63" t="str">
        <f t="shared" si="104"/>
        <v>OK</v>
      </c>
      <c r="E2240" s="393">
        <v>400007546</v>
      </c>
      <c r="F2240" s="392" t="s">
        <v>5744</v>
      </c>
      <c r="G2240" s="392" t="s">
        <v>5324</v>
      </c>
      <c r="H2240" s="392" t="s">
        <v>7418</v>
      </c>
      <c r="I2240" s="392" t="s">
        <v>1759</v>
      </c>
      <c r="J2240" s="392" t="s">
        <v>8396</v>
      </c>
      <c r="K2240" s="392" t="s">
        <v>5004</v>
      </c>
      <c r="L2240" s="392" t="s">
        <v>7385</v>
      </c>
      <c r="M2240" s="392" t="s">
        <v>7273</v>
      </c>
      <c r="N2240" s="392" t="s">
        <v>7273</v>
      </c>
      <c r="O2240" s="392" t="s">
        <v>7273</v>
      </c>
      <c r="P2240"/>
      <c r="Q2240"/>
      <c r="R2240" s="387">
        <f>VLOOKUP(E2240,'[1]NDB Impacted SPRFs 05032013'!$A$2:$A$65536,1,FALSE)</f>
        <v>400007546</v>
      </c>
    </row>
    <row r="2241" spans="1:21" ht="45" x14ac:dyDescent="0.25">
      <c r="A2241" s="63">
        <f>MATCH($E2241,'D1 - Master Project Table'!$B$24:$B$7056,0)</f>
        <v>2087</v>
      </c>
      <c r="B2241" s="63" t="b">
        <f t="shared" si="105"/>
        <v>0</v>
      </c>
      <c r="C2241" s="63" t="b">
        <f t="shared" si="103"/>
        <v>1</v>
      </c>
      <c r="D2241" s="63" t="str">
        <f t="shared" si="104"/>
        <v>OK</v>
      </c>
      <c r="E2241" s="393">
        <v>400007963</v>
      </c>
      <c r="F2241" s="392" t="s">
        <v>2974</v>
      </c>
      <c r="G2241" s="392" t="s">
        <v>5324</v>
      </c>
      <c r="H2241" s="392" t="s">
        <v>5314</v>
      </c>
      <c r="I2241" s="392" t="s">
        <v>1768</v>
      </c>
      <c r="J2241" s="392" t="s">
        <v>8521</v>
      </c>
      <c r="K2241" s="392" t="s">
        <v>2862</v>
      </c>
      <c r="L2241" s="392" t="s">
        <v>7385</v>
      </c>
      <c r="M2241" s="392" t="s">
        <v>7273</v>
      </c>
      <c r="N2241" s="392" t="s">
        <v>7273</v>
      </c>
      <c r="O2241" s="392" t="s">
        <v>7273</v>
      </c>
      <c r="P2241"/>
      <c r="Q2241"/>
      <c r="R2241" s="387">
        <f>VLOOKUP(E2241,'[1]NDB Impacted SPRFs 05032013'!$A$2:$A$65536,1,FALSE)</f>
        <v>400007963</v>
      </c>
    </row>
    <row r="2242" spans="1:21" ht="45" x14ac:dyDescent="0.25">
      <c r="A2242" s="63">
        <f>MATCH($E2242,'D1 - Master Project Table'!$B$24:$B$7056,0)</f>
        <v>394</v>
      </c>
      <c r="B2242" s="63" t="b">
        <f t="shared" si="105"/>
        <v>0</v>
      </c>
      <c r="C2242" s="63" t="b">
        <f t="shared" si="103"/>
        <v>1</v>
      </c>
      <c r="D2242" s="63" t="str">
        <f t="shared" si="104"/>
        <v>OK</v>
      </c>
      <c r="E2242" s="393">
        <v>400009021</v>
      </c>
      <c r="F2242" s="392" t="s">
        <v>5503</v>
      </c>
      <c r="G2242" s="392" t="s">
        <v>5324</v>
      </c>
      <c r="H2242" s="392" t="s">
        <v>7418</v>
      </c>
      <c r="I2242" s="392" t="s">
        <v>1756</v>
      </c>
      <c r="J2242" s="392" t="s">
        <v>8396</v>
      </c>
      <c r="K2242" s="392" t="s">
        <v>5004</v>
      </c>
      <c r="L2242" s="392" t="s">
        <v>7385</v>
      </c>
      <c r="M2242" s="392" t="s">
        <v>7273</v>
      </c>
      <c r="N2242" s="392" t="s">
        <v>7273</v>
      </c>
      <c r="O2242" s="392" t="s">
        <v>7273</v>
      </c>
      <c r="P2242"/>
      <c r="Q2242"/>
      <c r="R2242" s="387">
        <f>VLOOKUP(E2242,'[1]NDB Impacted SPRFs 05032013'!$A$2:$A$65536,1,FALSE)</f>
        <v>400009021</v>
      </c>
      <c r="S2242" s="159"/>
      <c r="T2242" s="159"/>
      <c r="U2242" s="159"/>
    </row>
    <row r="2243" spans="1:21" ht="45" x14ac:dyDescent="0.25">
      <c r="A2243" s="63">
        <f>MATCH($E2243,'D1 - Master Project Table'!$B$24:$B$7056,0)</f>
        <v>654</v>
      </c>
      <c r="B2243" s="63" t="b">
        <f t="shared" si="105"/>
        <v>0</v>
      </c>
      <c r="C2243" s="63" t="b">
        <f t="shared" si="103"/>
        <v>1</v>
      </c>
      <c r="D2243" s="63" t="str">
        <f t="shared" si="104"/>
        <v>OK</v>
      </c>
      <c r="E2243" s="393">
        <v>400009165</v>
      </c>
      <c r="F2243" s="392" t="s">
        <v>7472</v>
      </c>
      <c r="G2243" s="392" t="s">
        <v>5324</v>
      </c>
      <c r="H2243" s="392" t="s">
        <v>7418</v>
      </c>
      <c r="I2243" s="392" t="s">
        <v>1759</v>
      </c>
      <c r="J2243" s="392" t="s">
        <v>4703</v>
      </c>
      <c r="K2243" s="392" t="s">
        <v>5004</v>
      </c>
      <c r="L2243" s="392" t="s">
        <v>7385</v>
      </c>
      <c r="M2243" s="392" t="s">
        <v>7273</v>
      </c>
      <c r="N2243" s="392" t="s">
        <v>7273</v>
      </c>
      <c r="O2243" s="392" t="s">
        <v>7273</v>
      </c>
      <c r="P2243"/>
      <c r="Q2243"/>
      <c r="R2243" s="387">
        <f>VLOOKUP(E2243,'[1]NDB Impacted SPRFs 05032013'!$A$2:$A$65536,1,FALSE)</f>
        <v>400009165</v>
      </c>
      <c r="S2243" s="159"/>
      <c r="T2243" s="159"/>
      <c r="U2243" s="159"/>
    </row>
    <row r="2244" spans="1:21" ht="45" x14ac:dyDescent="0.25">
      <c r="A2244" s="63">
        <f>MATCH($E2244,'D1 - Master Project Table'!$B$24:$B$7056,0)</f>
        <v>412</v>
      </c>
      <c r="B2244" s="63" t="b">
        <f t="shared" si="105"/>
        <v>0</v>
      </c>
      <c r="C2244" s="63" t="b">
        <f t="shared" si="103"/>
        <v>1</v>
      </c>
      <c r="D2244" s="63" t="str">
        <f t="shared" si="104"/>
        <v>OK</v>
      </c>
      <c r="E2244" s="393">
        <v>400009197</v>
      </c>
      <c r="F2244" s="392" t="s">
        <v>1266</v>
      </c>
      <c r="G2244" s="392" t="s">
        <v>5324</v>
      </c>
      <c r="H2244" s="392" t="s">
        <v>7418</v>
      </c>
      <c r="I2244" s="392" t="s">
        <v>1756</v>
      </c>
      <c r="J2244" s="392" t="s">
        <v>8396</v>
      </c>
      <c r="K2244" s="392" t="s">
        <v>5598</v>
      </c>
      <c r="L2244" s="392" t="s">
        <v>7385</v>
      </c>
      <c r="M2244" s="392" t="s">
        <v>7273</v>
      </c>
      <c r="N2244" s="392" t="s">
        <v>7273</v>
      </c>
      <c r="O2244" s="392" t="s">
        <v>7273</v>
      </c>
      <c r="P2244"/>
      <c r="Q2244"/>
      <c r="R2244" s="387">
        <f>VLOOKUP(E2244,'[1]NDB Impacted SPRFs 05032013'!$A$2:$A$65536,1,FALSE)</f>
        <v>400009197</v>
      </c>
      <c r="S2244" s="159"/>
      <c r="T2244" s="159"/>
      <c r="U2244" s="159"/>
    </row>
    <row r="2245" spans="1:21" ht="45" x14ac:dyDescent="0.25">
      <c r="A2245" s="63" t="e">
        <f>MATCH($E2245,'D1 - Master Project Table'!$B$24:$B$7056,0)</f>
        <v>#N/A</v>
      </c>
      <c r="B2245" s="63" t="b">
        <f t="shared" si="105"/>
        <v>1</v>
      </c>
      <c r="C2245" s="63" t="b">
        <f t="shared" si="103"/>
        <v>1</v>
      </c>
      <c r="D2245" s="63" t="str">
        <f t="shared" si="104"/>
        <v>OK</v>
      </c>
      <c r="E2245" s="393">
        <v>400011714</v>
      </c>
      <c r="F2245" s="392" t="s">
        <v>2964</v>
      </c>
      <c r="G2245" s="392" t="s">
        <v>5324</v>
      </c>
      <c r="H2245" s="392" t="s">
        <v>5314</v>
      </c>
      <c r="I2245" s="392" t="s">
        <v>1765</v>
      </c>
      <c r="J2245" s="392" t="s">
        <v>2937</v>
      </c>
      <c r="K2245" s="392" t="s">
        <v>4462</v>
      </c>
      <c r="L2245" s="392" t="s">
        <v>2965</v>
      </c>
      <c r="M2245" s="392" t="s">
        <v>7273</v>
      </c>
      <c r="N2245" s="392" t="s">
        <v>7273</v>
      </c>
      <c r="O2245" s="392" t="s">
        <v>7273</v>
      </c>
      <c r="P2245"/>
      <c r="Q2245"/>
      <c r="R2245" s="387">
        <f>VLOOKUP(E2245,'[1]NDB Impacted SPRFs 05032013'!$A$2:$A$65536,1,FALSE)</f>
        <v>400011714</v>
      </c>
      <c r="S2245" s="159"/>
      <c r="T2245" s="159"/>
      <c r="U2245" s="159"/>
    </row>
    <row r="2246" spans="1:21" s="159" customFormat="1" ht="30" x14ac:dyDescent="0.25">
      <c r="A2246" s="63">
        <f>MATCH($E2246,'D1 - Master Project Table'!$B$24:$B$7056,0)</f>
        <v>2605</v>
      </c>
      <c r="B2246" s="63" t="b">
        <f t="shared" si="105"/>
        <v>0</v>
      </c>
      <c r="C2246" s="63" t="b">
        <f t="shared" ref="C2246:C2309" si="106">OR(H2246="Completed",H2246="Cancelled")</f>
        <v>1</v>
      </c>
      <c r="D2246" s="63" t="str">
        <f t="shared" ref="D2246:D2309" si="107">IF(AND(B2246=TRUE,C2246=FALSE),"Add","OK")</f>
        <v>OK</v>
      </c>
      <c r="E2246" s="393">
        <v>400012869</v>
      </c>
      <c r="F2246" s="392" t="s">
        <v>1913</v>
      </c>
      <c r="G2246" s="392" t="s">
        <v>5787</v>
      </c>
      <c r="H2246" s="392" t="s">
        <v>5314</v>
      </c>
      <c r="I2246" s="392" t="s">
        <v>1779</v>
      </c>
      <c r="J2246" s="392" t="s">
        <v>8304</v>
      </c>
      <c r="K2246" s="392" t="s">
        <v>3232</v>
      </c>
      <c r="L2246" s="392" t="s">
        <v>3233</v>
      </c>
      <c r="M2246" s="392" t="s">
        <v>7273</v>
      </c>
      <c r="N2246" s="392" t="s">
        <v>7273</v>
      </c>
      <c r="O2246" s="392" t="s">
        <v>7273</v>
      </c>
      <c r="P2246"/>
      <c r="Q2246"/>
      <c r="R2246" s="387">
        <f>VLOOKUP(E2246,'[1]NDB Impacted SPRFs 05032013'!$A$2:$A$65536,1,FALSE)</f>
        <v>400012869</v>
      </c>
    </row>
    <row r="2247" spans="1:21" s="159" customFormat="1" ht="30" x14ac:dyDescent="0.25">
      <c r="A2247" s="63">
        <f>MATCH($E2247,'D1 - Master Project Table'!$B$24:$B$7056,0)</f>
        <v>678</v>
      </c>
      <c r="B2247" s="63" t="b">
        <f t="shared" si="105"/>
        <v>0</v>
      </c>
      <c r="C2247" s="63" t="b">
        <f t="shared" si="106"/>
        <v>1</v>
      </c>
      <c r="D2247" s="63" t="str">
        <f t="shared" si="107"/>
        <v>OK</v>
      </c>
      <c r="E2247" s="393">
        <v>400013640</v>
      </c>
      <c r="F2247" s="392" t="s">
        <v>5215</v>
      </c>
      <c r="G2247" s="392" t="s">
        <v>3441</v>
      </c>
      <c r="H2247" s="392" t="s">
        <v>7418</v>
      </c>
      <c r="I2247" s="392" t="s">
        <v>1769</v>
      </c>
      <c r="J2247" s="392" t="s">
        <v>8291</v>
      </c>
      <c r="K2247" s="392" t="s">
        <v>1989</v>
      </c>
      <c r="L2247" s="392" t="s">
        <v>7461</v>
      </c>
      <c r="M2247" s="392" t="s">
        <v>7273</v>
      </c>
      <c r="N2247" s="392" t="s">
        <v>7273</v>
      </c>
      <c r="O2247" s="392" t="s">
        <v>7273</v>
      </c>
      <c r="P2247"/>
      <c r="Q2247"/>
      <c r="R2247" s="387">
        <f>VLOOKUP(E2247,'[1]NDB Impacted SPRFs 05032013'!$A$2:$A$65536,1,FALSE)</f>
        <v>400013640</v>
      </c>
      <c r="S2247" s="128"/>
      <c r="T2247" s="128"/>
      <c r="U2247" s="128"/>
    </row>
    <row r="2248" spans="1:21" s="159" customFormat="1" ht="45" x14ac:dyDescent="0.25">
      <c r="A2248" s="63" t="e">
        <f>MATCH($E2248,'D1 - Master Project Table'!$B$24:$B$7056,0)</f>
        <v>#N/A</v>
      </c>
      <c r="B2248" s="63" t="b">
        <f t="shared" si="105"/>
        <v>1</v>
      </c>
      <c r="C2248" s="63" t="b">
        <f t="shared" si="106"/>
        <v>1</v>
      </c>
      <c r="D2248" s="63" t="str">
        <f t="shared" si="107"/>
        <v>OK</v>
      </c>
      <c r="E2248" s="393">
        <v>400014186</v>
      </c>
      <c r="F2248" s="392" t="s">
        <v>4469</v>
      </c>
      <c r="G2248" s="392" t="s">
        <v>5324</v>
      </c>
      <c r="H2248" s="392" t="s">
        <v>5314</v>
      </c>
      <c r="I2248" s="392" t="s">
        <v>1765</v>
      </c>
      <c r="J2248" s="392" t="s">
        <v>8396</v>
      </c>
      <c r="K2248" s="392" t="s">
        <v>7197</v>
      </c>
      <c r="L2248" s="392" t="s">
        <v>7385</v>
      </c>
      <c r="M2248" s="392" t="s">
        <v>7273</v>
      </c>
      <c r="N2248" s="392" t="s">
        <v>7273</v>
      </c>
      <c r="O2248" s="392" t="s">
        <v>7273</v>
      </c>
      <c r="P2248"/>
      <c r="Q2248"/>
      <c r="R2248" s="387">
        <f>VLOOKUP(E2248,'[1]NDB Impacted SPRFs 05032013'!$A$2:$A$65536,1,FALSE)</f>
        <v>400014186</v>
      </c>
    </row>
    <row r="2249" spans="1:21" s="159" customFormat="1" ht="30" x14ac:dyDescent="0.25">
      <c r="A2249" s="63">
        <f>MATCH($E2249,'D1 - Master Project Table'!$B$24:$B$7056,0)</f>
        <v>856</v>
      </c>
      <c r="B2249" s="63" t="b">
        <f t="shared" si="105"/>
        <v>0</v>
      </c>
      <c r="C2249" s="63" t="b">
        <f t="shared" si="106"/>
        <v>1</v>
      </c>
      <c r="D2249" s="63" t="str">
        <f t="shared" si="107"/>
        <v>OK</v>
      </c>
      <c r="E2249" s="393">
        <v>400020867</v>
      </c>
      <c r="F2249" s="392" t="s">
        <v>4224</v>
      </c>
      <c r="G2249" s="392" t="s">
        <v>5995</v>
      </c>
      <c r="H2249" s="392" t="s">
        <v>7418</v>
      </c>
      <c r="I2249" s="392" t="s">
        <v>6423</v>
      </c>
      <c r="J2249" s="392" t="s">
        <v>8809</v>
      </c>
      <c r="K2249" s="392" t="s">
        <v>6939</v>
      </c>
      <c r="L2249" s="392" t="s">
        <v>7385</v>
      </c>
      <c r="M2249" s="392" t="s">
        <v>7273</v>
      </c>
      <c r="N2249" s="392" t="s">
        <v>7273</v>
      </c>
      <c r="O2249" s="392" t="s">
        <v>7273</v>
      </c>
      <c r="P2249"/>
      <c r="Q2249"/>
      <c r="R2249" s="387">
        <f>VLOOKUP(E2249,'[1]NDB Impacted SPRFs 05032013'!$A$2:$A$65536,1,FALSE)</f>
        <v>400020867</v>
      </c>
      <c r="S2249" s="128"/>
      <c r="T2249" s="128"/>
      <c r="U2249" s="128"/>
    </row>
    <row r="2250" spans="1:21" s="159" customFormat="1" ht="45" x14ac:dyDescent="0.25">
      <c r="A2250" s="63">
        <f>MATCH($E2250,'D1 - Master Project Table'!$B$24:$B$7056,0)</f>
        <v>840</v>
      </c>
      <c r="B2250" s="63" t="b">
        <f t="shared" si="105"/>
        <v>0</v>
      </c>
      <c r="C2250" s="63" t="b">
        <f t="shared" si="106"/>
        <v>1</v>
      </c>
      <c r="D2250" s="63" t="str">
        <f t="shared" si="107"/>
        <v>OK</v>
      </c>
      <c r="E2250" s="393">
        <v>400021224</v>
      </c>
      <c r="F2250" s="392" t="s">
        <v>3554</v>
      </c>
      <c r="G2250" s="392" t="s">
        <v>5324</v>
      </c>
      <c r="H2250" s="392" t="s">
        <v>7418</v>
      </c>
      <c r="I2250" s="392" t="s">
        <v>1759</v>
      </c>
      <c r="J2250" s="392" t="s">
        <v>4708</v>
      </c>
      <c r="K2250" s="392" t="s">
        <v>6017</v>
      </c>
      <c r="L2250" s="392" t="s">
        <v>7385</v>
      </c>
      <c r="M2250" s="392" t="s">
        <v>7273</v>
      </c>
      <c r="N2250" s="392" t="s">
        <v>7273</v>
      </c>
      <c r="O2250" s="392" t="s">
        <v>7273</v>
      </c>
      <c r="P2250" s="212"/>
      <c r="Q2250"/>
      <c r="R2250" s="387">
        <f>VLOOKUP(E2250,'[1]NDB Impacted SPRFs 05032013'!$A$2:$A$65536,1,FALSE)</f>
        <v>400021224</v>
      </c>
    </row>
    <row r="2251" spans="1:21" s="159" customFormat="1" ht="60" customHeight="1" x14ac:dyDescent="0.25">
      <c r="A2251" s="63">
        <f>MATCH($E2251,'D1 - Master Project Table'!$B$24:$B$7056,0)</f>
        <v>2814</v>
      </c>
      <c r="B2251" s="63" t="b">
        <f t="shared" si="105"/>
        <v>0</v>
      </c>
      <c r="C2251" s="63" t="b">
        <f t="shared" si="106"/>
        <v>1</v>
      </c>
      <c r="D2251" s="63" t="str">
        <f t="shared" si="107"/>
        <v>OK</v>
      </c>
      <c r="E2251" s="393">
        <v>400023964</v>
      </c>
      <c r="F2251" s="392" t="s">
        <v>3620</v>
      </c>
      <c r="G2251" s="392" t="s">
        <v>5324</v>
      </c>
      <c r="H2251" s="392" t="s">
        <v>5314</v>
      </c>
      <c r="I2251" s="392" t="s">
        <v>1756</v>
      </c>
      <c r="J2251" s="392" t="s">
        <v>3679</v>
      </c>
      <c r="K2251" s="392" t="s">
        <v>7197</v>
      </c>
      <c r="L2251" s="392" t="s">
        <v>7385</v>
      </c>
      <c r="M2251" s="392" t="s">
        <v>7273</v>
      </c>
      <c r="N2251" s="392" t="s">
        <v>7273</v>
      </c>
      <c r="O2251" s="392" t="s">
        <v>7273</v>
      </c>
      <c r="P2251"/>
      <c r="Q2251"/>
      <c r="R2251" s="387">
        <f>VLOOKUP(E2251,'[1]NDB Impacted SPRFs 05032013'!$A$2:$A$65536,1,FALSE)</f>
        <v>400023964</v>
      </c>
    </row>
    <row r="2252" spans="1:21" s="159" customFormat="1" ht="45" x14ac:dyDescent="0.25">
      <c r="A2252" s="63">
        <f>MATCH($E2252,'D1 - Master Project Table'!$B$24:$B$7056,0)</f>
        <v>995</v>
      </c>
      <c r="B2252" s="63" t="b">
        <f t="shared" si="105"/>
        <v>0</v>
      </c>
      <c r="C2252" s="63" t="b">
        <f t="shared" si="106"/>
        <v>1</v>
      </c>
      <c r="D2252" s="63" t="str">
        <f t="shared" si="107"/>
        <v>OK</v>
      </c>
      <c r="E2252" s="393">
        <v>400025844</v>
      </c>
      <c r="F2252" s="392" t="s">
        <v>7497</v>
      </c>
      <c r="G2252" s="392" t="s">
        <v>5324</v>
      </c>
      <c r="H2252" s="392" t="s">
        <v>7418</v>
      </c>
      <c r="I2252" s="392" t="s">
        <v>1756</v>
      </c>
      <c r="J2252" s="392" t="s">
        <v>3679</v>
      </c>
      <c r="K2252" s="392" t="s">
        <v>7498</v>
      </c>
      <c r="L2252" s="392" t="s">
        <v>7385</v>
      </c>
      <c r="M2252" s="392" t="s">
        <v>7273</v>
      </c>
      <c r="N2252" s="392" t="s">
        <v>7273</v>
      </c>
      <c r="O2252" s="392" t="s">
        <v>7273</v>
      </c>
      <c r="P2252"/>
      <c r="Q2252"/>
      <c r="R2252" s="387">
        <f>VLOOKUP(E2252,'[1]NDB Impacted SPRFs 05032013'!$A$2:$A$65536,1,FALSE)</f>
        <v>400025844</v>
      </c>
    </row>
    <row r="2253" spans="1:21" s="159" customFormat="1" ht="45" x14ac:dyDescent="0.25">
      <c r="A2253" s="63">
        <f>MATCH($E2253,'D1 - Master Project Table'!$B$24:$B$7056,0)</f>
        <v>2854</v>
      </c>
      <c r="B2253" s="63" t="b">
        <f t="shared" si="105"/>
        <v>0</v>
      </c>
      <c r="C2253" s="63" t="b">
        <f t="shared" si="106"/>
        <v>1</v>
      </c>
      <c r="D2253" s="63" t="str">
        <f t="shared" si="107"/>
        <v>OK</v>
      </c>
      <c r="E2253" s="393">
        <v>400027287</v>
      </c>
      <c r="F2253" s="392" t="s">
        <v>3230</v>
      </c>
      <c r="G2253" s="392" t="s">
        <v>5324</v>
      </c>
      <c r="H2253" s="392" t="s">
        <v>5314</v>
      </c>
      <c r="I2253" s="392" t="s">
        <v>1763</v>
      </c>
      <c r="J2253" s="392" t="s">
        <v>8291</v>
      </c>
      <c r="K2253" s="392" t="s">
        <v>4819</v>
      </c>
      <c r="L2253" s="392" t="s">
        <v>7461</v>
      </c>
      <c r="M2253" s="392" t="s">
        <v>7273</v>
      </c>
      <c r="N2253" s="392" t="s">
        <v>7273</v>
      </c>
      <c r="O2253" s="392" t="s">
        <v>7273</v>
      </c>
      <c r="P2253" s="158"/>
      <c r="R2253" s="387">
        <f>VLOOKUP(E2253,'[1]NDB Impacted SPRFs 05032013'!$A$2:$A$65536,1,FALSE)</f>
        <v>400027287</v>
      </c>
      <c r="S2253" s="128"/>
      <c r="T2253" s="128"/>
      <c r="U2253" s="128"/>
    </row>
    <row r="2254" spans="1:21" s="159" customFormat="1" ht="45" x14ac:dyDescent="0.25">
      <c r="A2254" s="63" t="e">
        <f>MATCH($E2254,'D1 - Master Project Table'!$B$24:$B$7056,0)</f>
        <v>#N/A</v>
      </c>
      <c r="B2254" s="63" t="b">
        <f t="shared" si="105"/>
        <v>1</v>
      </c>
      <c r="C2254" s="63" t="b">
        <f t="shared" si="106"/>
        <v>1</v>
      </c>
      <c r="D2254" s="63" t="str">
        <f t="shared" si="107"/>
        <v>OK</v>
      </c>
      <c r="E2254" s="393">
        <v>302191010</v>
      </c>
      <c r="F2254" s="392" t="s">
        <v>4188</v>
      </c>
      <c r="G2254" s="392" t="s">
        <v>5324</v>
      </c>
      <c r="H2254" s="392" t="s">
        <v>7418</v>
      </c>
      <c r="I2254" s="392" t="s">
        <v>1766</v>
      </c>
      <c r="J2254" s="392" t="s">
        <v>7935</v>
      </c>
      <c r="K2254" s="392" t="s">
        <v>6653</v>
      </c>
      <c r="L2254" s="392" t="s">
        <v>2637</v>
      </c>
      <c r="M2254" s="392" t="s">
        <v>7273</v>
      </c>
      <c r="N2254" s="392" t="s">
        <v>7273</v>
      </c>
      <c r="O2254" s="392" t="s">
        <v>7273</v>
      </c>
      <c r="P2254"/>
      <c r="Q2254"/>
      <c r="R2254" s="387">
        <f>VLOOKUP(E2254,'[1]NDB Impacted SPRFs 05032013'!$A$2:$A$65536,1,FALSE)</f>
        <v>302191010</v>
      </c>
    </row>
    <row r="2255" spans="1:21" ht="15" x14ac:dyDescent="0.25">
      <c r="A2255" s="63" t="e">
        <f>MATCH($E2255,'D1 - Master Project Table'!$B$24:$B$7056,0)</f>
        <v>#N/A</v>
      </c>
      <c r="B2255" s="63" t="b">
        <f t="shared" si="105"/>
        <v>1</v>
      </c>
      <c r="C2255" s="63" t="b">
        <f t="shared" si="106"/>
        <v>1</v>
      </c>
      <c r="D2255" s="63" t="str">
        <f t="shared" si="107"/>
        <v>OK</v>
      </c>
      <c r="E2255" s="393">
        <v>302271207</v>
      </c>
      <c r="F2255" s="392" t="s">
        <v>6821</v>
      </c>
      <c r="G2255" s="392" t="s">
        <v>5787</v>
      </c>
      <c r="H2255" s="392" t="s">
        <v>7418</v>
      </c>
      <c r="I2255" s="392" t="s">
        <v>6896</v>
      </c>
      <c r="J2255" s="392" t="s">
        <v>8676</v>
      </c>
      <c r="K2255" s="392" t="s">
        <v>3886</v>
      </c>
      <c r="L2255" s="392" t="s">
        <v>2637</v>
      </c>
      <c r="M2255" s="392" t="s">
        <v>7273</v>
      </c>
      <c r="N2255" s="392" t="s">
        <v>7273</v>
      </c>
      <c r="O2255" s="392" t="s">
        <v>7273</v>
      </c>
      <c r="P2255"/>
      <c r="Q2255"/>
      <c r="R2255" s="387">
        <f>VLOOKUP(E2255,'[1]NDB Impacted SPRFs 05032013'!$A$2:$A$65536,1,FALSE)</f>
        <v>302271207</v>
      </c>
      <c r="S2255" s="159"/>
      <c r="T2255" s="159"/>
      <c r="U2255" s="159"/>
    </row>
    <row r="2256" spans="1:21" s="159" customFormat="1" ht="45" x14ac:dyDescent="0.25">
      <c r="A2256" s="63" t="e">
        <f>MATCH($E2256,'D1 - Master Project Table'!$B$24:$B$7056,0)</f>
        <v>#N/A</v>
      </c>
      <c r="B2256" s="63" t="b">
        <f t="shared" si="105"/>
        <v>1</v>
      </c>
      <c r="C2256" s="63" t="b">
        <f t="shared" si="106"/>
        <v>1</v>
      </c>
      <c r="D2256" s="63" t="str">
        <f t="shared" si="107"/>
        <v>OK</v>
      </c>
      <c r="E2256" s="393">
        <v>303141559</v>
      </c>
      <c r="F2256" s="392" t="s">
        <v>5843</v>
      </c>
      <c r="G2256" s="392" t="s">
        <v>5325</v>
      </c>
      <c r="H2256" s="392" t="s">
        <v>5314</v>
      </c>
      <c r="I2256" s="392" t="s">
        <v>1793</v>
      </c>
      <c r="J2256" s="392" t="s">
        <v>3341</v>
      </c>
      <c r="K2256" s="392" t="s">
        <v>2780</v>
      </c>
      <c r="L2256" s="392" t="s">
        <v>2637</v>
      </c>
      <c r="M2256" s="392" t="s">
        <v>7273</v>
      </c>
      <c r="N2256" s="392" t="s">
        <v>7273</v>
      </c>
      <c r="O2256" s="392" t="s">
        <v>7273</v>
      </c>
      <c r="P2256"/>
      <c r="Q2256"/>
      <c r="R2256" s="387">
        <f>VLOOKUP(E2256,'[1]NDB Impacted SPRFs 05032013'!$A$2:$A$65536,1,FALSE)</f>
        <v>303141559</v>
      </c>
      <c r="S2256" s="128"/>
      <c r="T2256" s="128"/>
      <c r="U2256" s="128"/>
    </row>
    <row r="2257" spans="1:21" s="159" customFormat="1" ht="45" x14ac:dyDescent="0.25">
      <c r="A2257" s="63" t="e">
        <f>MATCH($E2257,'D1 - Master Project Table'!$B$24:$B$7056,0)</f>
        <v>#N/A</v>
      </c>
      <c r="B2257" s="63" t="b">
        <f t="shared" si="105"/>
        <v>1</v>
      </c>
      <c r="C2257" s="63" t="b">
        <f t="shared" si="106"/>
        <v>1</v>
      </c>
      <c r="D2257" s="63" t="str">
        <f t="shared" si="107"/>
        <v>OK</v>
      </c>
      <c r="E2257" s="393">
        <v>303181610</v>
      </c>
      <c r="F2257" s="392" t="s">
        <v>4200</v>
      </c>
      <c r="G2257" s="392" t="s">
        <v>5324</v>
      </c>
      <c r="H2257" s="392" t="s">
        <v>7418</v>
      </c>
      <c r="I2257" s="392" t="s">
        <v>1766</v>
      </c>
      <c r="J2257" s="392" t="s">
        <v>8339</v>
      </c>
      <c r="K2257" s="392" t="s">
        <v>5641</v>
      </c>
      <c r="L2257" s="392" t="s">
        <v>2637</v>
      </c>
      <c r="M2257" s="392" t="s">
        <v>7273</v>
      </c>
      <c r="N2257" s="392" t="s">
        <v>7273</v>
      </c>
      <c r="O2257" s="392" t="s">
        <v>7273</v>
      </c>
      <c r="P2257"/>
      <c r="Q2257"/>
      <c r="R2257" s="387">
        <f>VLOOKUP(E2257,'[1]NDB Impacted SPRFs 05032013'!$A$2:$A$65536,1,FALSE)</f>
        <v>303181610</v>
      </c>
    </row>
    <row r="2258" spans="1:21" s="159" customFormat="1" ht="30" x14ac:dyDescent="0.25">
      <c r="A2258" s="63" t="e">
        <f>MATCH($E2258,'D1 - Master Project Table'!$B$24:$B$7056,0)</f>
        <v>#N/A</v>
      </c>
      <c r="B2258" s="63" t="b">
        <f t="shared" si="105"/>
        <v>1</v>
      </c>
      <c r="C2258" s="63" t="b">
        <f t="shared" si="106"/>
        <v>1</v>
      </c>
      <c r="D2258" s="63" t="str">
        <f t="shared" si="107"/>
        <v>OK</v>
      </c>
      <c r="E2258" s="393">
        <v>303271502</v>
      </c>
      <c r="F2258" s="392" t="s">
        <v>3956</v>
      </c>
      <c r="G2258" s="392" t="s">
        <v>6322</v>
      </c>
      <c r="H2258" s="392" t="s">
        <v>7418</v>
      </c>
      <c r="I2258" s="392" t="s">
        <v>7594</v>
      </c>
      <c r="J2258" s="392" t="s">
        <v>8631</v>
      </c>
      <c r="K2258" s="392" t="s">
        <v>4578</v>
      </c>
      <c r="L2258" s="392" t="s">
        <v>2637</v>
      </c>
      <c r="M2258" s="392" t="s">
        <v>7273</v>
      </c>
      <c r="N2258" s="392" t="s">
        <v>7273</v>
      </c>
      <c r="O2258" s="392" t="s">
        <v>7273</v>
      </c>
      <c r="P2258"/>
      <c r="Q2258"/>
      <c r="R2258" s="387">
        <f>VLOOKUP(E2258,'[1]NDB Impacted SPRFs 05032013'!$A$2:$A$65536,1,FALSE)</f>
        <v>303271502</v>
      </c>
    </row>
    <row r="2259" spans="1:21" s="159" customFormat="1" ht="45" x14ac:dyDescent="0.25">
      <c r="A2259" s="63" t="e">
        <f>MATCH($E2259,'D1 - Master Project Table'!$B$24:$B$7056,0)</f>
        <v>#N/A</v>
      </c>
      <c r="B2259" s="63" t="b">
        <f t="shared" si="105"/>
        <v>1</v>
      </c>
      <c r="C2259" s="63" t="b">
        <f t="shared" si="106"/>
        <v>1</v>
      </c>
      <c r="D2259" s="63" t="str">
        <f t="shared" si="107"/>
        <v>OK</v>
      </c>
      <c r="E2259" s="393">
        <v>303271643</v>
      </c>
      <c r="F2259" s="392" t="s">
        <v>4231</v>
      </c>
      <c r="G2259" s="392" t="s">
        <v>5325</v>
      </c>
      <c r="H2259" s="392" t="s">
        <v>7418</v>
      </c>
      <c r="I2259" s="392" t="s">
        <v>1793</v>
      </c>
      <c r="J2259" s="392" t="s">
        <v>3341</v>
      </c>
      <c r="K2259" s="392" t="s">
        <v>4232</v>
      </c>
      <c r="L2259" s="392" t="s">
        <v>2637</v>
      </c>
      <c r="M2259" s="392" t="s">
        <v>7273</v>
      </c>
      <c r="N2259" s="392" t="s">
        <v>7273</v>
      </c>
      <c r="O2259" s="392" t="s">
        <v>7273</v>
      </c>
      <c r="P2259"/>
      <c r="Q2259"/>
      <c r="R2259" s="387">
        <f>VLOOKUP(E2259,'[1]NDB Impacted SPRFs 05032013'!$A$2:$A$65536,1,FALSE)</f>
        <v>303271643</v>
      </c>
      <c r="S2259" s="128"/>
      <c r="T2259" s="128"/>
      <c r="U2259" s="128"/>
    </row>
    <row r="2260" spans="1:21" s="159" customFormat="1" ht="45" x14ac:dyDescent="0.25">
      <c r="A2260" s="63" t="e">
        <f>MATCH($E2260,'D1 - Master Project Table'!$B$24:$B$7056,0)</f>
        <v>#N/A</v>
      </c>
      <c r="B2260" s="63" t="b">
        <f t="shared" si="105"/>
        <v>1</v>
      </c>
      <c r="C2260" s="63" t="b">
        <f t="shared" si="106"/>
        <v>1</v>
      </c>
      <c r="D2260" s="63" t="str">
        <f t="shared" si="107"/>
        <v>OK</v>
      </c>
      <c r="E2260" s="393">
        <v>304041448</v>
      </c>
      <c r="F2260" s="392" t="s">
        <v>4434</v>
      </c>
      <c r="G2260" s="392" t="s">
        <v>5324</v>
      </c>
      <c r="H2260" s="392" t="s">
        <v>7418</v>
      </c>
      <c r="I2260" s="392" t="s">
        <v>1766</v>
      </c>
      <c r="J2260" s="392" t="s">
        <v>5894</v>
      </c>
      <c r="K2260" s="392" t="s">
        <v>5641</v>
      </c>
      <c r="L2260" s="392" t="s">
        <v>2637</v>
      </c>
      <c r="M2260" s="392" t="s">
        <v>7273</v>
      </c>
      <c r="N2260" s="392" t="s">
        <v>7273</v>
      </c>
      <c r="O2260" s="392" t="s">
        <v>7273</v>
      </c>
      <c r="P2260"/>
      <c r="Q2260"/>
      <c r="R2260" s="387">
        <f>VLOOKUP(E2260,'[1]NDB Impacted SPRFs 05032013'!$A$2:$A$65536,1,FALSE)</f>
        <v>304041448</v>
      </c>
    </row>
    <row r="2261" spans="1:21" s="159" customFormat="1" ht="45" x14ac:dyDescent="0.25">
      <c r="A2261" s="63" t="e">
        <f>MATCH($E2261,'D1 - Master Project Table'!$B$24:$B$7056,0)</f>
        <v>#N/A</v>
      </c>
      <c r="B2261" s="63" t="b">
        <f t="shared" si="105"/>
        <v>1</v>
      </c>
      <c r="C2261" s="63" t="b">
        <f t="shared" si="106"/>
        <v>1</v>
      </c>
      <c r="D2261" s="63" t="str">
        <f t="shared" si="107"/>
        <v>OK</v>
      </c>
      <c r="E2261" s="393">
        <v>400000100</v>
      </c>
      <c r="F2261" s="392" t="s">
        <v>7386</v>
      </c>
      <c r="G2261" s="392" t="s">
        <v>5324</v>
      </c>
      <c r="H2261" s="392" t="s">
        <v>5314</v>
      </c>
      <c r="I2261" s="392" t="s">
        <v>1766</v>
      </c>
      <c r="J2261" s="392" t="s">
        <v>8339</v>
      </c>
      <c r="K2261" s="392" t="s">
        <v>7401</v>
      </c>
      <c r="L2261" s="392" t="s">
        <v>2637</v>
      </c>
      <c r="M2261" s="392" t="s">
        <v>7273</v>
      </c>
      <c r="N2261" s="392" t="s">
        <v>7273</v>
      </c>
      <c r="O2261" s="392" t="s">
        <v>7273</v>
      </c>
      <c r="P2261"/>
      <c r="Q2261"/>
      <c r="R2261" s="387">
        <f>VLOOKUP(E2261,'[1]NDB Impacted SPRFs 05032013'!$A$2:$A$65536,1,FALSE)</f>
        <v>400000100</v>
      </c>
    </row>
    <row r="2262" spans="1:21" s="159" customFormat="1" ht="45" x14ac:dyDescent="0.25">
      <c r="A2262" s="63">
        <f>MATCH($E2262,'D1 - Master Project Table'!$B$24:$B$7056,0)</f>
        <v>2354</v>
      </c>
      <c r="B2262" s="63" t="b">
        <f t="shared" si="105"/>
        <v>0</v>
      </c>
      <c r="C2262" s="63" t="b">
        <f t="shared" si="106"/>
        <v>1</v>
      </c>
      <c r="D2262" s="63" t="str">
        <f t="shared" si="107"/>
        <v>OK</v>
      </c>
      <c r="E2262" s="393">
        <v>400000143</v>
      </c>
      <c r="F2262" s="392" t="s">
        <v>5346</v>
      </c>
      <c r="G2262" s="392" t="s">
        <v>5324</v>
      </c>
      <c r="H2262" s="392" t="s">
        <v>5314</v>
      </c>
      <c r="I2262" s="392" t="s">
        <v>1765</v>
      </c>
      <c r="J2262" s="392" t="s">
        <v>8347</v>
      </c>
      <c r="K2262" s="392" t="s">
        <v>5853</v>
      </c>
      <c r="L2262" s="392" t="s">
        <v>2637</v>
      </c>
      <c r="M2262" s="392" t="s">
        <v>7273</v>
      </c>
      <c r="N2262" s="392" t="s">
        <v>7273</v>
      </c>
      <c r="O2262" s="392" t="s">
        <v>7273</v>
      </c>
      <c r="P2262" s="212"/>
      <c r="Q2262"/>
      <c r="R2262" s="387">
        <f>VLOOKUP(E2262,'[1]NDB Impacted SPRFs 05032013'!$A$2:$A$65536,1,FALSE)</f>
        <v>400000143</v>
      </c>
    </row>
    <row r="2263" spans="1:21" s="159" customFormat="1" ht="30" x14ac:dyDescent="0.25">
      <c r="A2263" s="63" t="e">
        <f>MATCH($E2263,'D1 - Master Project Table'!$B$24:$B$7056,0)</f>
        <v>#N/A</v>
      </c>
      <c r="B2263" s="63" t="b">
        <f t="shared" si="105"/>
        <v>1</v>
      </c>
      <c r="C2263" s="63" t="b">
        <f t="shared" si="106"/>
        <v>1</v>
      </c>
      <c r="D2263" s="63" t="str">
        <f t="shared" si="107"/>
        <v>OK</v>
      </c>
      <c r="E2263" s="393">
        <v>400000176</v>
      </c>
      <c r="F2263" s="392" t="s">
        <v>8147</v>
      </c>
      <c r="G2263" s="392" t="s">
        <v>5787</v>
      </c>
      <c r="H2263" s="392" t="s">
        <v>5314</v>
      </c>
      <c r="I2263" s="392" t="s">
        <v>1816</v>
      </c>
      <c r="J2263" s="392" t="s">
        <v>8678</v>
      </c>
      <c r="K2263" s="392" t="s">
        <v>5550</v>
      </c>
      <c r="L2263" s="392" t="s">
        <v>2637</v>
      </c>
      <c r="M2263" s="392" t="s">
        <v>7273</v>
      </c>
      <c r="N2263" s="392" t="s">
        <v>7273</v>
      </c>
      <c r="O2263" s="392" t="s">
        <v>7273</v>
      </c>
      <c r="P2263"/>
      <c r="Q2263"/>
      <c r="R2263" s="387">
        <f>VLOOKUP(E2263,'[1]NDB Impacted SPRFs 05032013'!$A$2:$A$65536,1,FALSE)</f>
        <v>400000176</v>
      </c>
      <c r="S2263" s="128"/>
      <c r="T2263" s="128"/>
      <c r="U2263" s="128"/>
    </row>
    <row r="2264" spans="1:21" s="159" customFormat="1" ht="45" x14ac:dyDescent="0.25">
      <c r="A2264" s="63">
        <f>MATCH($E2264,'D1 - Master Project Table'!$B$24:$B$7056,0)</f>
        <v>2357</v>
      </c>
      <c r="B2264" s="63" t="b">
        <f t="shared" si="105"/>
        <v>0</v>
      </c>
      <c r="C2264" s="63" t="b">
        <f t="shared" si="106"/>
        <v>1</v>
      </c>
      <c r="D2264" s="63" t="str">
        <f t="shared" si="107"/>
        <v>OK</v>
      </c>
      <c r="E2264" s="393">
        <v>400000234</v>
      </c>
      <c r="F2264" s="392" t="s">
        <v>2940</v>
      </c>
      <c r="G2264" s="392" t="s">
        <v>5324</v>
      </c>
      <c r="H2264" s="392" t="s">
        <v>5314</v>
      </c>
      <c r="I2264" s="392" t="s">
        <v>1765</v>
      </c>
      <c r="J2264" s="392" t="s">
        <v>8349</v>
      </c>
      <c r="K2264" s="392" t="s">
        <v>5853</v>
      </c>
      <c r="L2264" s="392" t="s">
        <v>2637</v>
      </c>
      <c r="M2264" s="392" t="s">
        <v>7273</v>
      </c>
      <c r="N2264" s="392" t="s">
        <v>7273</v>
      </c>
      <c r="O2264" s="392" t="s">
        <v>7273</v>
      </c>
      <c r="P2264"/>
      <c r="Q2264"/>
      <c r="R2264" s="387">
        <f>VLOOKUP(E2264,'[1]NDB Impacted SPRFs 05032013'!$A$2:$A$65536,1,FALSE)</f>
        <v>400000234</v>
      </c>
    </row>
    <row r="2265" spans="1:21" s="159" customFormat="1" ht="30" x14ac:dyDescent="0.25">
      <c r="A2265" s="63" t="e">
        <f>MATCH($E2265,'D1 - Master Project Table'!$B$24:$B$7056,0)</f>
        <v>#N/A</v>
      </c>
      <c r="B2265" s="63" t="b">
        <f t="shared" si="105"/>
        <v>1</v>
      </c>
      <c r="C2265" s="63" t="b">
        <f t="shared" si="106"/>
        <v>1</v>
      </c>
      <c r="D2265" s="63" t="str">
        <f t="shared" si="107"/>
        <v>OK</v>
      </c>
      <c r="E2265" s="393">
        <v>400000265</v>
      </c>
      <c r="F2265" s="392" t="s">
        <v>1498</v>
      </c>
      <c r="G2265" s="392" t="s">
        <v>5787</v>
      </c>
      <c r="H2265" s="392" t="s">
        <v>7418</v>
      </c>
      <c r="I2265" s="392" t="s">
        <v>1816</v>
      </c>
      <c r="J2265" s="392" t="s">
        <v>8681</v>
      </c>
      <c r="K2265" s="392" t="s">
        <v>4726</v>
      </c>
      <c r="L2265" s="392" t="s">
        <v>2637</v>
      </c>
      <c r="M2265" s="392" t="s">
        <v>7273</v>
      </c>
      <c r="N2265" s="392" t="s">
        <v>7273</v>
      </c>
      <c r="O2265" s="392" t="s">
        <v>7273</v>
      </c>
      <c r="P2265"/>
      <c r="Q2265"/>
      <c r="R2265" s="387">
        <f>VLOOKUP(E2265,'[1]NDB Impacted SPRFs 05032013'!$A$2:$A$65536,1,FALSE)</f>
        <v>400000265</v>
      </c>
      <c r="S2265" s="128"/>
      <c r="T2265" s="128"/>
      <c r="U2265" s="128"/>
    </row>
    <row r="2266" spans="1:21" s="159" customFormat="1" ht="30" x14ac:dyDescent="0.25">
      <c r="A2266" s="63" t="e">
        <f>MATCH($E2266,'D1 - Master Project Table'!$B$24:$B$7056,0)</f>
        <v>#N/A</v>
      </c>
      <c r="B2266" s="63" t="b">
        <f t="shared" si="105"/>
        <v>1</v>
      </c>
      <c r="C2266" s="63" t="b">
        <f t="shared" si="106"/>
        <v>1</v>
      </c>
      <c r="D2266" s="63" t="str">
        <f t="shared" si="107"/>
        <v>OK</v>
      </c>
      <c r="E2266" s="393">
        <v>400000357</v>
      </c>
      <c r="F2266" s="392" t="s">
        <v>2794</v>
      </c>
      <c r="G2266" s="392" t="s">
        <v>5787</v>
      </c>
      <c r="H2266" s="392" t="s">
        <v>7418</v>
      </c>
      <c r="I2266" s="392" t="s">
        <v>1822</v>
      </c>
      <c r="J2266" s="392" t="s">
        <v>8682</v>
      </c>
      <c r="K2266" s="392" t="s">
        <v>6613</v>
      </c>
      <c r="L2266" s="392" t="s">
        <v>2637</v>
      </c>
      <c r="M2266" s="392" t="s">
        <v>7273</v>
      </c>
      <c r="N2266" s="392" t="s">
        <v>7273</v>
      </c>
      <c r="O2266" s="392" t="s">
        <v>7273</v>
      </c>
      <c r="P2266"/>
      <c r="Q2266"/>
      <c r="R2266" s="387">
        <f>VLOOKUP(E2266,'[1]NDB Impacted SPRFs 05032013'!$A$2:$A$65536,1,FALSE)</f>
        <v>400000357</v>
      </c>
    </row>
    <row r="2267" spans="1:21" s="159" customFormat="1" ht="30" x14ac:dyDescent="0.25">
      <c r="A2267" s="63" t="e">
        <f>MATCH($E2267,'D1 - Master Project Table'!$B$24:$B$7056,0)</f>
        <v>#N/A</v>
      </c>
      <c r="B2267" s="63" t="b">
        <f t="shared" si="105"/>
        <v>1</v>
      </c>
      <c r="C2267" s="63" t="b">
        <f t="shared" si="106"/>
        <v>1</v>
      </c>
      <c r="D2267" s="63" t="str">
        <f t="shared" si="107"/>
        <v>OK</v>
      </c>
      <c r="E2267" s="393">
        <v>400000443</v>
      </c>
      <c r="F2267" s="392" t="s">
        <v>5795</v>
      </c>
      <c r="G2267" s="392" t="s">
        <v>5995</v>
      </c>
      <c r="H2267" s="392" t="s">
        <v>5314</v>
      </c>
      <c r="I2267" s="392" t="s">
        <v>3529</v>
      </c>
      <c r="J2267" s="392" t="s">
        <v>8074</v>
      </c>
      <c r="K2267" s="392" t="s">
        <v>2341</v>
      </c>
      <c r="L2267" s="392" t="s">
        <v>2637</v>
      </c>
      <c r="M2267" s="392" t="s">
        <v>7273</v>
      </c>
      <c r="N2267" s="392" t="s">
        <v>7273</v>
      </c>
      <c r="O2267" s="392" t="s">
        <v>7273</v>
      </c>
      <c r="P2267"/>
      <c r="Q2267"/>
      <c r="R2267" s="387">
        <f>VLOOKUP(E2267,'[1]NDB Impacted SPRFs 05032013'!$A$2:$A$65536,1,FALSE)</f>
        <v>400000443</v>
      </c>
    </row>
    <row r="2268" spans="1:21" s="159" customFormat="1" ht="60" customHeight="1" x14ac:dyDescent="0.25">
      <c r="A2268" s="63" t="e">
        <f>MATCH($E2268,'D1 - Master Project Table'!$B$24:$B$7056,0)</f>
        <v>#N/A</v>
      </c>
      <c r="B2268" s="63" t="b">
        <f t="shared" si="105"/>
        <v>1</v>
      </c>
      <c r="C2268" s="63" t="b">
        <f t="shared" si="106"/>
        <v>1</v>
      </c>
      <c r="D2268" s="63" t="str">
        <f t="shared" si="107"/>
        <v>OK</v>
      </c>
      <c r="E2268" s="393">
        <v>400000447</v>
      </c>
      <c r="F2268" s="392" t="s">
        <v>5455</v>
      </c>
      <c r="G2268" s="392" t="s">
        <v>5324</v>
      </c>
      <c r="H2268" s="392" t="s">
        <v>7418</v>
      </c>
      <c r="I2268" s="392" t="s">
        <v>1765</v>
      </c>
      <c r="J2268" s="392" t="s">
        <v>8349</v>
      </c>
      <c r="K2268" s="392" t="s">
        <v>5853</v>
      </c>
      <c r="L2268" s="392" t="s">
        <v>2637</v>
      </c>
      <c r="M2268" s="392" t="s">
        <v>7273</v>
      </c>
      <c r="N2268" s="392" t="s">
        <v>7273</v>
      </c>
      <c r="O2268" s="392" t="s">
        <v>7273</v>
      </c>
      <c r="P2268"/>
      <c r="Q2268"/>
      <c r="R2268" s="387">
        <f>VLOOKUP(E2268,'[1]NDB Impacted SPRFs 05032013'!$A$2:$A$65536,1,FALSE)</f>
        <v>400000447</v>
      </c>
    </row>
    <row r="2269" spans="1:21" s="159" customFormat="1" ht="60" customHeight="1" x14ac:dyDescent="0.25">
      <c r="A2269" s="63" t="e">
        <f>MATCH($E2269,'D1 - Master Project Table'!$B$24:$B$7056,0)</f>
        <v>#N/A</v>
      </c>
      <c r="B2269" s="63" t="b">
        <f t="shared" si="105"/>
        <v>1</v>
      </c>
      <c r="C2269" s="63" t="b">
        <f t="shared" si="106"/>
        <v>1</v>
      </c>
      <c r="D2269" s="63" t="str">
        <f t="shared" si="107"/>
        <v>OK</v>
      </c>
      <c r="E2269" s="393">
        <v>400000613</v>
      </c>
      <c r="F2269" s="392" t="s">
        <v>6372</v>
      </c>
      <c r="G2269" s="392" t="s">
        <v>5324</v>
      </c>
      <c r="H2269" s="392" t="s">
        <v>5314</v>
      </c>
      <c r="I2269" s="392" t="s">
        <v>1766</v>
      </c>
      <c r="J2269" s="392" t="s">
        <v>7935</v>
      </c>
      <c r="K2269" s="392" t="s">
        <v>5853</v>
      </c>
      <c r="L2269" s="392" t="s">
        <v>2637</v>
      </c>
      <c r="M2269" s="392" t="s">
        <v>7273</v>
      </c>
      <c r="N2269" s="392" t="s">
        <v>7273</v>
      </c>
      <c r="O2269" s="392" t="s">
        <v>7273</v>
      </c>
      <c r="P2269"/>
      <c r="Q2269"/>
      <c r="R2269" s="387">
        <f>VLOOKUP(E2269,'[1]NDB Impacted SPRFs 05032013'!$A$2:$A$65536,1,FALSE)</f>
        <v>400000613</v>
      </c>
    </row>
    <row r="2270" spans="1:21" s="159" customFormat="1" ht="45" x14ac:dyDescent="0.25">
      <c r="A2270" s="63">
        <f>MATCH($E2270,'D1 - Master Project Table'!$B$24:$B$7056,0)</f>
        <v>2368</v>
      </c>
      <c r="B2270" s="63" t="b">
        <f t="shared" si="105"/>
        <v>0</v>
      </c>
      <c r="C2270" s="63" t="b">
        <f t="shared" si="106"/>
        <v>1</v>
      </c>
      <c r="D2270" s="63" t="str">
        <f t="shared" si="107"/>
        <v>OK</v>
      </c>
      <c r="E2270" s="393">
        <v>400000639</v>
      </c>
      <c r="F2270" s="392" t="s">
        <v>3837</v>
      </c>
      <c r="G2270" s="392" t="s">
        <v>6322</v>
      </c>
      <c r="H2270" s="392" t="s">
        <v>5314</v>
      </c>
      <c r="I2270" s="392" t="s">
        <v>7594</v>
      </c>
      <c r="J2270" s="392" t="s">
        <v>8631</v>
      </c>
      <c r="K2270" s="392" t="s">
        <v>4578</v>
      </c>
      <c r="L2270" s="392" t="s">
        <v>2637</v>
      </c>
      <c r="M2270" s="392" t="s">
        <v>7273</v>
      </c>
      <c r="N2270" s="392" t="s">
        <v>7273</v>
      </c>
      <c r="O2270" s="392" t="s">
        <v>7273</v>
      </c>
      <c r="P2270"/>
      <c r="Q2270"/>
      <c r="R2270" s="387">
        <f>VLOOKUP(E2270,'[1]NDB Impacted SPRFs 05032013'!$A$2:$A$65536,1,FALSE)</f>
        <v>400000639</v>
      </c>
      <c r="S2270" s="128"/>
      <c r="T2270" s="128"/>
      <c r="U2270" s="128"/>
    </row>
    <row r="2271" spans="1:21" s="159" customFormat="1" ht="45" x14ac:dyDescent="0.25">
      <c r="A2271" s="63" t="e">
        <f>MATCH($E2271,'D1 - Master Project Table'!$B$24:$B$7056,0)</f>
        <v>#N/A</v>
      </c>
      <c r="B2271" s="63" t="b">
        <f t="shared" si="105"/>
        <v>1</v>
      </c>
      <c r="C2271" s="63" t="b">
        <f t="shared" si="106"/>
        <v>1</v>
      </c>
      <c r="D2271" s="63" t="str">
        <f t="shared" si="107"/>
        <v>OK</v>
      </c>
      <c r="E2271" s="393">
        <v>400000682</v>
      </c>
      <c r="F2271" s="392" t="s">
        <v>4803</v>
      </c>
      <c r="G2271" s="392" t="s">
        <v>5324</v>
      </c>
      <c r="H2271" s="392" t="s">
        <v>7418</v>
      </c>
      <c r="I2271" s="392" t="s">
        <v>1766</v>
      </c>
      <c r="J2271" s="392" t="s">
        <v>5894</v>
      </c>
      <c r="K2271" s="392" t="s">
        <v>5641</v>
      </c>
      <c r="L2271" s="392" t="s">
        <v>2637</v>
      </c>
      <c r="M2271" s="392" t="s">
        <v>7273</v>
      </c>
      <c r="N2271" s="392" t="s">
        <v>7273</v>
      </c>
      <c r="O2271" s="392" t="s">
        <v>7273</v>
      </c>
      <c r="P2271"/>
      <c r="Q2271"/>
      <c r="R2271" s="387">
        <f>VLOOKUP(E2271,'[1]NDB Impacted SPRFs 05032013'!$A$2:$A$65536,1,FALSE)</f>
        <v>400000682</v>
      </c>
    </row>
    <row r="2272" spans="1:21" ht="60" customHeight="1" x14ac:dyDescent="0.25">
      <c r="A2272" s="63" t="e">
        <f>MATCH($E2272,'D1 - Master Project Table'!$B$24:$B$7056,0)</f>
        <v>#N/A</v>
      </c>
      <c r="B2272" s="63" t="b">
        <f t="shared" si="105"/>
        <v>1</v>
      </c>
      <c r="C2272" s="63" t="b">
        <f t="shared" si="106"/>
        <v>1</v>
      </c>
      <c r="D2272" s="63" t="str">
        <f t="shared" si="107"/>
        <v>OK</v>
      </c>
      <c r="E2272" s="393">
        <v>400000746</v>
      </c>
      <c r="F2272" s="392" t="s">
        <v>5780</v>
      </c>
      <c r="G2272" s="392" t="s">
        <v>5324</v>
      </c>
      <c r="H2272" s="392" t="s">
        <v>7418</v>
      </c>
      <c r="I2272" s="392" t="s">
        <v>1766</v>
      </c>
      <c r="J2272" s="392" t="s">
        <v>8349</v>
      </c>
      <c r="K2272" s="392" t="s">
        <v>5641</v>
      </c>
      <c r="L2272" s="392" t="s">
        <v>2637</v>
      </c>
      <c r="M2272" s="392" t="s">
        <v>7273</v>
      </c>
      <c r="N2272" s="392" t="s">
        <v>7273</v>
      </c>
      <c r="O2272" s="392" t="s">
        <v>7273</v>
      </c>
      <c r="P2272"/>
      <c r="Q2272"/>
      <c r="R2272" s="387">
        <f>VLOOKUP(E2272,'[1]NDB Impacted SPRFs 05032013'!$A$2:$A$65536,1,FALSE)</f>
        <v>400000746</v>
      </c>
      <c r="S2272" s="159"/>
      <c r="T2272" s="159"/>
      <c r="U2272" s="159"/>
    </row>
    <row r="2273" spans="1:21" ht="45" x14ac:dyDescent="0.25">
      <c r="A2273" s="63" t="e">
        <f>MATCH($E2273,'D1 - Master Project Table'!$B$24:$B$7056,0)</f>
        <v>#N/A</v>
      </c>
      <c r="B2273" s="63" t="b">
        <f t="shared" si="105"/>
        <v>1</v>
      </c>
      <c r="C2273" s="63" t="b">
        <f t="shared" si="106"/>
        <v>1</v>
      </c>
      <c r="D2273" s="63" t="str">
        <f t="shared" si="107"/>
        <v>OK</v>
      </c>
      <c r="E2273" s="393">
        <v>400000752</v>
      </c>
      <c r="F2273" s="392" t="s">
        <v>8005</v>
      </c>
      <c r="G2273" s="392" t="s">
        <v>5324</v>
      </c>
      <c r="H2273" s="392" t="s">
        <v>7418</v>
      </c>
      <c r="I2273" s="392" t="s">
        <v>1766</v>
      </c>
      <c r="J2273" s="392" t="s">
        <v>8334</v>
      </c>
      <c r="K2273" s="392" t="s">
        <v>5641</v>
      </c>
      <c r="L2273" s="392" t="s">
        <v>2637</v>
      </c>
      <c r="M2273" s="392" t="s">
        <v>7273</v>
      </c>
      <c r="N2273" s="392" t="s">
        <v>7273</v>
      </c>
      <c r="O2273" s="392" t="s">
        <v>7273</v>
      </c>
      <c r="P2273"/>
      <c r="Q2273"/>
      <c r="R2273" s="387">
        <f>VLOOKUP(E2273,'[1]NDB Impacted SPRFs 05032013'!$A$2:$A$65536,1,FALSE)</f>
        <v>400000752</v>
      </c>
    </row>
    <row r="2274" spans="1:21" ht="30" x14ac:dyDescent="0.25">
      <c r="A2274" s="63" t="e">
        <f>MATCH($E2274,'D1 - Master Project Table'!$B$24:$B$7056,0)</f>
        <v>#N/A</v>
      </c>
      <c r="B2274" s="63" t="b">
        <f t="shared" si="105"/>
        <v>1</v>
      </c>
      <c r="C2274" s="63" t="b">
        <f t="shared" si="106"/>
        <v>1</v>
      </c>
      <c r="D2274" s="63" t="str">
        <f t="shared" si="107"/>
        <v>OK</v>
      </c>
      <c r="E2274" s="393">
        <v>400000787</v>
      </c>
      <c r="F2274" s="392" t="s">
        <v>6238</v>
      </c>
      <c r="G2274" s="392" t="s">
        <v>7182</v>
      </c>
      <c r="H2274" s="392" t="s">
        <v>5314</v>
      </c>
      <c r="I2274" s="392" t="s">
        <v>7745</v>
      </c>
      <c r="J2274" s="392" t="s">
        <v>8835</v>
      </c>
      <c r="K2274" s="392" t="s">
        <v>1511</v>
      </c>
      <c r="L2274" s="392" t="s">
        <v>2637</v>
      </c>
      <c r="M2274" s="392" t="s">
        <v>7273</v>
      </c>
      <c r="N2274" s="392" t="s">
        <v>7273</v>
      </c>
      <c r="O2274" s="392" t="s">
        <v>7273</v>
      </c>
      <c r="P2274"/>
      <c r="Q2274"/>
      <c r="R2274" s="387">
        <f>VLOOKUP(E2274,'[1]NDB Impacted SPRFs 05032013'!$A$2:$A$65536,1,FALSE)</f>
        <v>400000787</v>
      </c>
      <c r="S2274" s="159"/>
      <c r="T2274" s="159"/>
      <c r="U2274" s="159"/>
    </row>
    <row r="2275" spans="1:21" ht="45" x14ac:dyDescent="0.25">
      <c r="A2275" s="63">
        <f>MATCH($E2275,'D1 - Master Project Table'!$B$24:$B$7056,0)</f>
        <v>2370</v>
      </c>
      <c r="B2275" s="63" t="b">
        <f t="shared" si="105"/>
        <v>0</v>
      </c>
      <c r="C2275" s="63" t="b">
        <f t="shared" si="106"/>
        <v>1</v>
      </c>
      <c r="D2275" s="63" t="str">
        <f t="shared" si="107"/>
        <v>OK</v>
      </c>
      <c r="E2275" s="393">
        <v>400000805</v>
      </c>
      <c r="F2275" s="392" t="s">
        <v>5434</v>
      </c>
      <c r="G2275" s="392" t="s">
        <v>5324</v>
      </c>
      <c r="H2275" s="392" t="s">
        <v>5314</v>
      </c>
      <c r="I2275" s="392" t="s">
        <v>1766</v>
      </c>
      <c r="J2275" s="392" t="s">
        <v>5894</v>
      </c>
      <c r="K2275" s="392" t="s">
        <v>5641</v>
      </c>
      <c r="L2275" s="392" t="s">
        <v>2637</v>
      </c>
      <c r="M2275" s="392" t="s">
        <v>7273</v>
      </c>
      <c r="N2275" s="392" t="s">
        <v>7273</v>
      </c>
      <c r="O2275" s="392" t="s">
        <v>7273</v>
      </c>
      <c r="P2275"/>
      <c r="Q2275"/>
      <c r="R2275" s="387">
        <f>VLOOKUP(E2275,'[1]NDB Impacted SPRFs 05032013'!$A$2:$A$65536,1,FALSE)</f>
        <v>400000805</v>
      </c>
      <c r="S2275" s="159"/>
      <c r="T2275" s="159"/>
      <c r="U2275" s="159"/>
    </row>
    <row r="2276" spans="1:21" ht="45" x14ac:dyDescent="0.25">
      <c r="A2276" s="63">
        <f>MATCH($E2276,'D1 - Master Project Table'!$B$24:$B$7056,0)</f>
        <v>2375</v>
      </c>
      <c r="B2276" s="63" t="b">
        <f t="shared" si="105"/>
        <v>0</v>
      </c>
      <c r="C2276" s="63" t="b">
        <f t="shared" si="106"/>
        <v>1</v>
      </c>
      <c r="D2276" s="63" t="str">
        <f t="shared" si="107"/>
        <v>OK</v>
      </c>
      <c r="E2276" s="393">
        <v>400000944</v>
      </c>
      <c r="F2276" s="392" t="s">
        <v>1236</v>
      </c>
      <c r="G2276" s="392" t="s">
        <v>5324</v>
      </c>
      <c r="H2276" s="392" t="s">
        <v>5314</v>
      </c>
      <c r="I2276" s="392" t="s">
        <v>1766</v>
      </c>
      <c r="J2276" s="392" t="s">
        <v>4006</v>
      </c>
      <c r="K2276" s="392" t="s">
        <v>4006</v>
      </c>
      <c r="L2276" s="392" t="s">
        <v>2637</v>
      </c>
      <c r="M2276" s="392" t="s">
        <v>7273</v>
      </c>
      <c r="N2276" s="392" t="s">
        <v>7273</v>
      </c>
      <c r="O2276" s="392" t="s">
        <v>7273</v>
      </c>
      <c r="P2276" s="212"/>
      <c r="Q2276"/>
      <c r="R2276" s="387">
        <f>VLOOKUP(E2276,'[1]NDB Impacted SPRFs 05032013'!$A$2:$A$65536,1,FALSE)</f>
        <v>400000944</v>
      </c>
    </row>
    <row r="2277" spans="1:21" ht="45" x14ac:dyDescent="0.25">
      <c r="A2277" s="63" t="e">
        <f>MATCH($E2277,'D1 - Master Project Table'!$B$24:$B$7056,0)</f>
        <v>#N/A</v>
      </c>
      <c r="B2277" s="63" t="b">
        <f t="shared" si="105"/>
        <v>1</v>
      </c>
      <c r="C2277" s="63" t="b">
        <f t="shared" si="106"/>
        <v>1</v>
      </c>
      <c r="D2277" s="63" t="str">
        <f t="shared" si="107"/>
        <v>OK</v>
      </c>
      <c r="E2277" s="393">
        <v>400000963</v>
      </c>
      <c r="F2277" s="392" t="s">
        <v>2509</v>
      </c>
      <c r="G2277" s="392" t="s">
        <v>5324</v>
      </c>
      <c r="H2277" s="392" t="s">
        <v>7418</v>
      </c>
      <c r="I2277" s="392" t="s">
        <v>1765</v>
      </c>
      <c r="J2277" s="392" t="s">
        <v>8334</v>
      </c>
      <c r="K2277" s="392" t="s">
        <v>5641</v>
      </c>
      <c r="L2277" s="392" t="s">
        <v>2637</v>
      </c>
      <c r="M2277" s="392" t="s">
        <v>7273</v>
      </c>
      <c r="N2277" s="392" t="s">
        <v>7273</v>
      </c>
      <c r="O2277" s="392" t="s">
        <v>7273</v>
      </c>
      <c r="P2277"/>
      <c r="Q2277"/>
      <c r="R2277" s="387">
        <f>VLOOKUP(E2277,'[1]NDB Impacted SPRFs 05032013'!$A$2:$A$65536,1,FALSE)</f>
        <v>400000963</v>
      </c>
      <c r="S2277" s="159"/>
      <c r="T2277" s="159"/>
      <c r="U2277" s="159"/>
    </row>
    <row r="2278" spans="1:21" ht="45" x14ac:dyDescent="0.25">
      <c r="A2278" s="63" t="e">
        <f>MATCH($E2278,'D1 - Master Project Table'!$B$24:$B$7056,0)</f>
        <v>#N/A</v>
      </c>
      <c r="B2278" s="63" t="b">
        <f t="shared" si="105"/>
        <v>1</v>
      </c>
      <c r="C2278" s="63" t="b">
        <f t="shared" si="106"/>
        <v>1</v>
      </c>
      <c r="D2278" s="63" t="str">
        <f t="shared" si="107"/>
        <v>OK</v>
      </c>
      <c r="E2278" s="393">
        <v>400001039</v>
      </c>
      <c r="F2278" s="392" t="s">
        <v>7105</v>
      </c>
      <c r="G2278" s="392" t="s">
        <v>5324</v>
      </c>
      <c r="H2278" s="392" t="s">
        <v>7418</v>
      </c>
      <c r="I2278" s="392" t="s">
        <v>1766</v>
      </c>
      <c r="J2278" s="392" t="s">
        <v>8349</v>
      </c>
      <c r="K2278" s="392" t="s">
        <v>5641</v>
      </c>
      <c r="L2278" s="392" t="s">
        <v>2637</v>
      </c>
      <c r="M2278" s="392" t="s">
        <v>7273</v>
      </c>
      <c r="N2278" s="392" t="s">
        <v>7273</v>
      </c>
      <c r="O2278" s="392" t="s">
        <v>7273</v>
      </c>
      <c r="P2278"/>
      <c r="Q2278"/>
      <c r="R2278" s="387">
        <f>VLOOKUP(E2278,'[1]NDB Impacted SPRFs 05032013'!$A$2:$A$65536,1,FALSE)</f>
        <v>400001039</v>
      </c>
    </row>
    <row r="2279" spans="1:21" ht="45" x14ac:dyDescent="0.25">
      <c r="A2279" s="63" t="e">
        <f>MATCH($E2279,'D1 - Master Project Table'!$B$24:$B$7056,0)</f>
        <v>#N/A</v>
      </c>
      <c r="B2279" s="63" t="b">
        <f t="shared" si="105"/>
        <v>1</v>
      </c>
      <c r="C2279" s="63" t="b">
        <f t="shared" si="106"/>
        <v>1</v>
      </c>
      <c r="D2279" s="63" t="str">
        <f t="shared" si="107"/>
        <v>OK</v>
      </c>
      <c r="E2279" s="393">
        <v>400001057</v>
      </c>
      <c r="F2279" s="392" t="s">
        <v>7340</v>
      </c>
      <c r="G2279" s="392" t="s">
        <v>5324</v>
      </c>
      <c r="H2279" s="392" t="s">
        <v>7418</v>
      </c>
      <c r="I2279" s="392" t="s">
        <v>1765</v>
      </c>
      <c r="J2279" s="392" t="s">
        <v>8353</v>
      </c>
      <c r="K2279" s="392" t="s">
        <v>5300</v>
      </c>
      <c r="L2279" s="392" t="s">
        <v>2637</v>
      </c>
      <c r="M2279" s="392" t="s">
        <v>7273</v>
      </c>
      <c r="N2279" s="392" t="s">
        <v>7273</v>
      </c>
      <c r="O2279" s="392" t="s">
        <v>7273</v>
      </c>
      <c r="P2279"/>
      <c r="Q2279"/>
      <c r="R2279" s="387">
        <f>VLOOKUP(E2279,'[1]NDB Impacted SPRFs 05032013'!$A$2:$A$65536,1,FALSE)</f>
        <v>400001057</v>
      </c>
      <c r="S2279" s="159"/>
      <c r="T2279" s="159"/>
      <c r="U2279" s="159"/>
    </row>
    <row r="2280" spans="1:21" ht="45" x14ac:dyDescent="0.25">
      <c r="A2280" s="63">
        <f>MATCH($E2280,'D1 - Master Project Table'!$B$24:$B$7056,0)</f>
        <v>2378</v>
      </c>
      <c r="B2280" s="63" t="b">
        <f t="shared" si="105"/>
        <v>0</v>
      </c>
      <c r="C2280" s="63" t="b">
        <f t="shared" si="106"/>
        <v>1</v>
      </c>
      <c r="D2280" s="63" t="str">
        <f t="shared" si="107"/>
        <v>OK</v>
      </c>
      <c r="E2280" s="393">
        <v>400001165</v>
      </c>
      <c r="F2280" s="392" t="s">
        <v>5806</v>
      </c>
      <c r="G2280" s="392" t="s">
        <v>5324</v>
      </c>
      <c r="H2280" s="392" t="s">
        <v>5314</v>
      </c>
      <c r="I2280" s="392" t="s">
        <v>1766</v>
      </c>
      <c r="J2280" s="392" t="s">
        <v>8352</v>
      </c>
      <c r="K2280" s="392" t="s">
        <v>5573</v>
      </c>
      <c r="L2280" s="392" t="s">
        <v>2637</v>
      </c>
      <c r="M2280" s="392" t="s">
        <v>7273</v>
      </c>
      <c r="N2280" s="392" t="s">
        <v>7273</v>
      </c>
      <c r="O2280" s="392" t="s">
        <v>7273</v>
      </c>
      <c r="P2280"/>
      <c r="Q2280"/>
      <c r="R2280" s="387">
        <f>VLOOKUP(E2280,'[1]NDB Impacted SPRFs 05032013'!$A$2:$A$65536,1,FALSE)</f>
        <v>400001165</v>
      </c>
    </row>
    <row r="2281" spans="1:21" ht="45" x14ac:dyDescent="0.25">
      <c r="A2281" s="63" t="e">
        <f>MATCH($E2281,'D1 - Master Project Table'!$B$24:$B$7056,0)</f>
        <v>#N/A</v>
      </c>
      <c r="B2281" s="63" t="b">
        <f t="shared" si="105"/>
        <v>1</v>
      </c>
      <c r="C2281" s="63" t="b">
        <f t="shared" si="106"/>
        <v>1</v>
      </c>
      <c r="D2281" s="63" t="str">
        <f t="shared" si="107"/>
        <v>OK</v>
      </c>
      <c r="E2281" s="393">
        <v>400001201</v>
      </c>
      <c r="F2281" s="392" t="s">
        <v>4459</v>
      </c>
      <c r="G2281" s="392" t="s">
        <v>5324</v>
      </c>
      <c r="H2281" s="392" t="s">
        <v>5314</v>
      </c>
      <c r="I2281" s="392" t="s">
        <v>1784</v>
      </c>
      <c r="J2281" s="392" t="s">
        <v>8356</v>
      </c>
      <c r="K2281" s="392" t="s">
        <v>5020</v>
      </c>
      <c r="L2281" s="392" t="s">
        <v>2637</v>
      </c>
      <c r="M2281" s="392" t="s">
        <v>7273</v>
      </c>
      <c r="N2281" s="392" t="s">
        <v>7273</v>
      </c>
      <c r="O2281" s="392" t="s">
        <v>7273</v>
      </c>
      <c r="P2281"/>
      <c r="Q2281"/>
      <c r="R2281" s="387">
        <f>VLOOKUP(E2281,'[1]NDB Impacted SPRFs 05032013'!$A$2:$A$65536,1,FALSE)</f>
        <v>400001201</v>
      </c>
    </row>
    <row r="2282" spans="1:21" ht="45" x14ac:dyDescent="0.25">
      <c r="A2282" s="63" t="e">
        <f>MATCH($E2282,'D1 - Master Project Table'!$B$24:$B$7056,0)</f>
        <v>#N/A</v>
      </c>
      <c r="B2282" s="63" t="b">
        <f t="shared" si="105"/>
        <v>1</v>
      </c>
      <c r="C2282" s="63" t="b">
        <f t="shared" si="106"/>
        <v>1</v>
      </c>
      <c r="D2282" s="63" t="str">
        <f t="shared" si="107"/>
        <v>OK</v>
      </c>
      <c r="E2282" s="393">
        <v>400001224</v>
      </c>
      <c r="F2282" s="392" t="s">
        <v>5114</v>
      </c>
      <c r="G2282" s="392" t="s">
        <v>5324</v>
      </c>
      <c r="H2282" s="392" t="s">
        <v>7418</v>
      </c>
      <c r="I2282" s="392" t="s">
        <v>1765</v>
      </c>
      <c r="J2282" s="392" t="s">
        <v>5894</v>
      </c>
      <c r="K2282" s="392" t="s">
        <v>5641</v>
      </c>
      <c r="L2282" s="392" t="s">
        <v>2637</v>
      </c>
      <c r="M2282" s="392" t="s">
        <v>7273</v>
      </c>
      <c r="N2282" s="392" t="s">
        <v>7273</v>
      </c>
      <c r="O2282" s="392" t="s">
        <v>7273</v>
      </c>
      <c r="P2282"/>
      <c r="Q2282"/>
      <c r="R2282" s="387">
        <f>VLOOKUP(E2282,'[1]NDB Impacted SPRFs 05032013'!$A$2:$A$65536,1,FALSE)</f>
        <v>400001224</v>
      </c>
    </row>
    <row r="2283" spans="1:21" ht="45" x14ac:dyDescent="0.25">
      <c r="A2283" s="63">
        <f>MATCH($E2283,'D1 - Master Project Table'!$B$24:$B$7056,0)</f>
        <v>2381</v>
      </c>
      <c r="B2283" s="63" t="b">
        <f t="shared" si="105"/>
        <v>0</v>
      </c>
      <c r="C2283" s="63" t="b">
        <f t="shared" si="106"/>
        <v>1</v>
      </c>
      <c r="D2283" s="63" t="str">
        <f t="shared" si="107"/>
        <v>OK</v>
      </c>
      <c r="E2283" s="393">
        <v>400001413</v>
      </c>
      <c r="F2283" s="392" t="s">
        <v>1630</v>
      </c>
      <c r="G2283" s="392" t="s">
        <v>5324</v>
      </c>
      <c r="H2283" s="392" t="s">
        <v>5314</v>
      </c>
      <c r="I2283" s="392" t="s">
        <v>1765</v>
      </c>
      <c r="J2283" s="392" t="s">
        <v>5894</v>
      </c>
      <c r="K2283" s="392" t="s">
        <v>5641</v>
      </c>
      <c r="L2283" s="392" t="s">
        <v>2637</v>
      </c>
      <c r="M2283" s="392" t="s">
        <v>7273</v>
      </c>
      <c r="N2283" s="392" t="s">
        <v>7273</v>
      </c>
      <c r="O2283" s="392" t="s">
        <v>7273</v>
      </c>
      <c r="P2283"/>
      <c r="Q2283"/>
      <c r="R2283" s="387">
        <f>VLOOKUP(E2283,'[1]NDB Impacted SPRFs 05032013'!$A$2:$A$65536,1,FALSE)</f>
        <v>400001413</v>
      </c>
      <c r="S2283" s="159"/>
      <c r="T2283" s="159"/>
      <c r="U2283" s="159"/>
    </row>
    <row r="2284" spans="1:21" ht="45" x14ac:dyDescent="0.25">
      <c r="A2284" s="63">
        <f>MATCH($E2284,'D1 - Master Project Table'!$B$24:$B$7056,0)</f>
        <v>2383</v>
      </c>
      <c r="B2284" s="63" t="b">
        <f t="shared" si="105"/>
        <v>0</v>
      </c>
      <c r="C2284" s="63" t="b">
        <f t="shared" si="106"/>
        <v>1</v>
      </c>
      <c r="D2284" s="63" t="str">
        <f t="shared" si="107"/>
        <v>OK</v>
      </c>
      <c r="E2284" s="393">
        <v>400001451</v>
      </c>
      <c r="F2284" s="392" t="s">
        <v>6620</v>
      </c>
      <c r="G2284" s="392" t="s">
        <v>5324</v>
      </c>
      <c r="H2284" s="392" t="s">
        <v>5314</v>
      </c>
      <c r="I2284" s="392" t="s">
        <v>1765</v>
      </c>
      <c r="J2284" s="392" t="s">
        <v>8357</v>
      </c>
      <c r="K2284" s="392" t="s">
        <v>5641</v>
      </c>
      <c r="L2284" s="392" t="s">
        <v>2637</v>
      </c>
      <c r="M2284" s="392" t="s">
        <v>7273</v>
      </c>
      <c r="N2284" s="392" t="s">
        <v>7273</v>
      </c>
      <c r="O2284" s="392" t="s">
        <v>7273</v>
      </c>
      <c r="P2284"/>
      <c r="Q2284"/>
      <c r="R2284" s="387">
        <f>VLOOKUP(E2284,'[1]NDB Impacted SPRFs 05032013'!$A$2:$A$65536,1,FALSE)</f>
        <v>400001451</v>
      </c>
      <c r="S2284" s="159"/>
      <c r="T2284" s="159"/>
      <c r="U2284" s="159"/>
    </row>
    <row r="2285" spans="1:21" ht="45" x14ac:dyDescent="0.25">
      <c r="A2285" s="63">
        <f>MATCH($E2285,'D1 - Master Project Table'!$B$24:$B$7056,0)</f>
        <v>2389</v>
      </c>
      <c r="B2285" s="63" t="b">
        <f t="shared" si="105"/>
        <v>0</v>
      </c>
      <c r="C2285" s="63" t="b">
        <f t="shared" si="106"/>
        <v>1</v>
      </c>
      <c r="D2285" s="63" t="str">
        <f t="shared" si="107"/>
        <v>OK</v>
      </c>
      <c r="E2285" s="393">
        <v>400001697</v>
      </c>
      <c r="F2285" s="392" t="s">
        <v>3472</v>
      </c>
      <c r="G2285" s="392" t="s">
        <v>5324</v>
      </c>
      <c r="H2285" s="392" t="s">
        <v>5314</v>
      </c>
      <c r="I2285" s="392" t="s">
        <v>1765</v>
      </c>
      <c r="J2285" s="392" t="s">
        <v>8359</v>
      </c>
      <c r="K2285" s="392" t="s">
        <v>5641</v>
      </c>
      <c r="L2285" s="392" t="s">
        <v>2637</v>
      </c>
      <c r="M2285" s="392" t="s">
        <v>7273</v>
      </c>
      <c r="N2285" s="392" t="s">
        <v>7273</v>
      </c>
      <c r="O2285" s="392" t="s">
        <v>7273</v>
      </c>
      <c r="P2285"/>
      <c r="Q2285"/>
      <c r="R2285" s="387">
        <f>VLOOKUP(E2285,'[1]NDB Impacted SPRFs 05032013'!$A$2:$A$65536,1,FALSE)</f>
        <v>400001697</v>
      </c>
    </row>
    <row r="2286" spans="1:21" ht="45" x14ac:dyDescent="0.25">
      <c r="A2286" s="63" t="e">
        <f>MATCH($E2286,'D1 - Master Project Table'!$B$24:$B$7056,0)</f>
        <v>#N/A</v>
      </c>
      <c r="B2286" s="63" t="b">
        <f t="shared" si="105"/>
        <v>1</v>
      </c>
      <c r="C2286" s="63" t="b">
        <f t="shared" si="106"/>
        <v>1</v>
      </c>
      <c r="D2286" s="63" t="str">
        <f t="shared" si="107"/>
        <v>OK</v>
      </c>
      <c r="E2286" s="393">
        <v>400001717</v>
      </c>
      <c r="F2286" s="392" t="s">
        <v>3473</v>
      </c>
      <c r="G2286" s="392" t="s">
        <v>5324</v>
      </c>
      <c r="H2286" s="392" t="s">
        <v>5314</v>
      </c>
      <c r="I2286" s="392" t="s">
        <v>1765</v>
      </c>
      <c r="J2286" s="392" t="s">
        <v>8360</v>
      </c>
      <c r="K2286" s="392" t="s">
        <v>3474</v>
      </c>
      <c r="L2286" s="392" t="s">
        <v>2637</v>
      </c>
      <c r="M2286" s="392" t="s">
        <v>7273</v>
      </c>
      <c r="N2286" s="392" t="s">
        <v>7273</v>
      </c>
      <c r="O2286" s="392" t="s">
        <v>7273</v>
      </c>
      <c r="P2286"/>
      <c r="Q2286"/>
      <c r="R2286" s="387">
        <f>VLOOKUP(E2286,'[1]NDB Impacted SPRFs 05032013'!$A$2:$A$65536,1,FALSE)</f>
        <v>400001717</v>
      </c>
    </row>
    <row r="2287" spans="1:21" ht="45" x14ac:dyDescent="0.25">
      <c r="A2287" s="63">
        <f>MATCH($E2287,'D1 - Master Project Table'!$B$24:$B$7056,0)</f>
        <v>2391</v>
      </c>
      <c r="B2287" s="63" t="b">
        <f t="shared" si="105"/>
        <v>0</v>
      </c>
      <c r="C2287" s="63" t="b">
        <f t="shared" si="106"/>
        <v>1</v>
      </c>
      <c r="D2287" s="63" t="str">
        <f t="shared" si="107"/>
        <v>OK</v>
      </c>
      <c r="E2287" s="393">
        <v>400001839</v>
      </c>
      <c r="F2287" s="392" t="s">
        <v>3475</v>
      </c>
      <c r="G2287" s="392" t="s">
        <v>5324</v>
      </c>
      <c r="H2287" s="392" t="s">
        <v>5314</v>
      </c>
      <c r="I2287" s="392" t="s">
        <v>1766</v>
      </c>
      <c r="J2287" s="392" t="s">
        <v>8334</v>
      </c>
      <c r="K2287" s="392" t="s">
        <v>3476</v>
      </c>
      <c r="L2287" s="392" t="s">
        <v>2637</v>
      </c>
      <c r="M2287" s="392" t="s">
        <v>7273</v>
      </c>
      <c r="N2287" s="392" t="s">
        <v>7273</v>
      </c>
      <c r="O2287" s="392" t="s">
        <v>7273</v>
      </c>
      <c r="P2287"/>
      <c r="Q2287"/>
      <c r="R2287" s="387">
        <f>VLOOKUP(E2287,'[1]NDB Impacted SPRFs 05032013'!$A$2:$A$65536,1,FALSE)</f>
        <v>400001839</v>
      </c>
      <c r="S2287" s="159"/>
      <c r="T2287" s="159"/>
      <c r="U2287" s="159"/>
    </row>
    <row r="2288" spans="1:21" ht="45" x14ac:dyDescent="0.25">
      <c r="A2288" s="63" t="e">
        <f>MATCH($E2288,'D1 - Master Project Table'!$B$24:$B$7056,0)</f>
        <v>#N/A</v>
      </c>
      <c r="B2288" s="63" t="b">
        <f t="shared" ref="B2288:B2351" si="108">ISERROR(A2288)</f>
        <v>1</v>
      </c>
      <c r="C2288" s="63" t="b">
        <f t="shared" si="106"/>
        <v>1</v>
      </c>
      <c r="D2288" s="63" t="str">
        <f t="shared" si="107"/>
        <v>OK</v>
      </c>
      <c r="E2288" s="393">
        <v>400001959</v>
      </c>
      <c r="F2288" s="392" t="s">
        <v>3484</v>
      </c>
      <c r="G2288" s="392" t="s">
        <v>5324</v>
      </c>
      <c r="H2288" s="392" t="s">
        <v>5314</v>
      </c>
      <c r="I2288" s="392" t="s">
        <v>1765</v>
      </c>
      <c r="J2288" s="392" t="s">
        <v>8335</v>
      </c>
      <c r="K2288" s="392" t="s">
        <v>5641</v>
      </c>
      <c r="L2288" s="392" t="s">
        <v>2637</v>
      </c>
      <c r="M2288" s="392" t="s">
        <v>7273</v>
      </c>
      <c r="N2288" s="392" t="s">
        <v>7273</v>
      </c>
      <c r="O2288" s="392" t="s">
        <v>7273</v>
      </c>
      <c r="P2288"/>
      <c r="Q2288"/>
      <c r="R2288" s="387">
        <f>VLOOKUP(E2288,'[1]NDB Impacted SPRFs 05032013'!$A$2:$A$65536,1,FALSE)</f>
        <v>400001959</v>
      </c>
      <c r="S2288" s="159"/>
      <c r="T2288" s="159"/>
      <c r="U2288" s="159"/>
    </row>
    <row r="2289" spans="1:21" ht="45" x14ac:dyDescent="0.25">
      <c r="A2289" s="63">
        <f>MATCH($E2289,'D1 - Master Project Table'!$B$24:$B$7056,0)</f>
        <v>2393</v>
      </c>
      <c r="B2289" s="63" t="b">
        <f t="shared" si="108"/>
        <v>0</v>
      </c>
      <c r="C2289" s="63" t="b">
        <f t="shared" si="106"/>
        <v>1</v>
      </c>
      <c r="D2289" s="63" t="str">
        <f t="shared" si="107"/>
        <v>OK</v>
      </c>
      <c r="E2289" s="393">
        <v>400002029</v>
      </c>
      <c r="F2289" s="392" t="s">
        <v>4356</v>
      </c>
      <c r="G2289" s="392" t="s">
        <v>5324</v>
      </c>
      <c r="H2289" s="392" t="s">
        <v>5314</v>
      </c>
      <c r="I2289" s="392" t="s">
        <v>1765</v>
      </c>
      <c r="J2289" s="392" t="s">
        <v>8352</v>
      </c>
      <c r="K2289" s="392" t="s">
        <v>3938</v>
      </c>
      <c r="L2289" s="392" t="s">
        <v>2637</v>
      </c>
      <c r="M2289" s="392" t="s">
        <v>7273</v>
      </c>
      <c r="N2289" s="392" t="s">
        <v>7273</v>
      </c>
      <c r="O2289" s="392" t="s">
        <v>7273</v>
      </c>
      <c r="P2289"/>
      <c r="Q2289"/>
      <c r="R2289" s="387">
        <f>VLOOKUP(E2289,'[1]NDB Impacted SPRFs 05032013'!$A$2:$A$65536,1,FALSE)</f>
        <v>400002029</v>
      </c>
    </row>
    <row r="2290" spans="1:21" ht="45" x14ac:dyDescent="0.25">
      <c r="A2290" s="63" t="e">
        <f>MATCH($E2290,'D1 - Master Project Table'!$B$24:$B$7056,0)</f>
        <v>#N/A</v>
      </c>
      <c r="B2290" s="63" t="b">
        <f t="shared" si="108"/>
        <v>1</v>
      </c>
      <c r="C2290" s="63" t="b">
        <f t="shared" si="106"/>
        <v>1</v>
      </c>
      <c r="D2290" s="63" t="str">
        <f t="shared" si="107"/>
        <v>OK</v>
      </c>
      <c r="E2290" s="393">
        <v>400002296</v>
      </c>
      <c r="F2290" s="392" t="s">
        <v>2844</v>
      </c>
      <c r="G2290" s="392" t="s">
        <v>5324</v>
      </c>
      <c r="H2290" s="392" t="s">
        <v>7418</v>
      </c>
      <c r="I2290" s="392" t="s">
        <v>1765</v>
      </c>
      <c r="J2290" s="392" t="s">
        <v>8417</v>
      </c>
      <c r="K2290" s="392" t="s">
        <v>2447</v>
      </c>
      <c r="L2290" s="392" t="s">
        <v>2845</v>
      </c>
      <c r="M2290" s="392" t="s">
        <v>7273</v>
      </c>
      <c r="N2290" s="392" t="s">
        <v>7273</v>
      </c>
      <c r="O2290" s="392" t="s">
        <v>7273</v>
      </c>
      <c r="P2290"/>
      <c r="Q2290"/>
      <c r="R2290" s="387">
        <f>VLOOKUP(E2290,'[1]NDB Impacted SPRFs 05032013'!$A$2:$A$65536,1,FALSE)</f>
        <v>400002296</v>
      </c>
      <c r="S2290" s="159"/>
      <c r="T2290" s="159"/>
      <c r="U2290" s="159"/>
    </row>
    <row r="2291" spans="1:21" ht="30" x14ac:dyDescent="0.25">
      <c r="A2291" s="63" t="e">
        <f>MATCH($E2291,'D1 - Master Project Table'!$B$24:$B$7056,0)</f>
        <v>#N/A</v>
      </c>
      <c r="B2291" s="63" t="b">
        <f t="shared" si="108"/>
        <v>1</v>
      </c>
      <c r="C2291" s="63" t="b">
        <f t="shared" si="106"/>
        <v>1</v>
      </c>
      <c r="D2291" s="63" t="str">
        <f t="shared" si="107"/>
        <v>OK</v>
      </c>
      <c r="E2291" s="393">
        <v>400002340</v>
      </c>
      <c r="F2291" s="392" t="s">
        <v>3870</v>
      </c>
      <c r="G2291" s="392" t="s">
        <v>5995</v>
      </c>
      <c r="H2291" s="392" t="s">
        <v>7418</v>
      </c>
      <c r="I2291" s="392" t="s">
        <v>3529</v>
      </c>
      <c r="J2291" s="392" t="s">
        <v>8074</v>
      </c>
      <c r="K2291" s="392" t="s">
        <v>3815</v>
      </c>
      <c r="L2291" s="392" t="s">
        <v>2845</v>
      </c>
      <c r="M2291" s="392" t="s">
        <v>7273</v>
      </c>
      <c r="N2291" s="392" t="s">
        <v>7273</v>
      </c>
      <c r="O2291" s="392" t="s">
        <v>7273</v>
      </c>
      <c r="P2291"/>
      <c r="Q2291"/>
      <c r="R2291" s="387">
        <f>VLOOKUP(E2291,'[1]NDB Impacted SPRFs 05032013'!$A$2:$A$65536,1,FALSE)</f>
        <v>400002340</v>
      </c>
      <c r="S2291" s="159"/>
      <c r="T2291" s="159"/>
      <c r="U2291" s="159"/>
    </row>
    <row r="2292" spans="1:21" ht="45" x14ac:dyDescent="0.25">
      <c r="A2292" s="63" t="e">
        <f>MATCH($E2292,'D1 - Master Project Table'!$B$24:$B$7056,0)</f>
        <v>#N/A</v>
      </c>
      <c r="B2292" s="63" t="b">
        <f t="shared" si="108"/>
        <v>1</v>
      </c>
      <c r="C2292" s="63" t="b">
        <f t="shared" si="106"/>
        <v>1</v>
      </c>
      <c r="D2292" s="63" t="str">
        <f t="shared" si="107"/>
        <v>OK</v>
      </c>
      <c r="E2292" s="393">
        <v>400002383</v>
      </c>
      <c r="F2292" s="392" t="s">
        <v>5679</v>
      </c>
      <c r="G2292" s="392" t="s">
        <v>5324</v>
      </c>
      <c r="H2292" s="392" t="s">
        <v>7418</v>
      </c>
      <c r="I2292" s="392" t="s">
        <v>1765</v>
      </c>
      <c r="J2292" s="392" t="s">
        <v>8417</v>
      </c>
      <c r="K2292" s="392" t="s">
        <v>5680</v>
      </c>
      <c r="L2292" s="392" t="s">
        <v>2845</v>
      </c>
      <c r="M2292" s="392" t="s">
        <v>7273</v>
      </c>
      <c r="N2292" s="392" t="s">
        <v>7273</v>
      </c>
      <c r="O2292" s="392" t="s">
        <v>7273</v>
      </c>
      <c r="P2292"/>
      <c r="Q2292"/>
      <c r="R2292" s="387">
        <f>VLOOKUP(E2292,'[1]NDB Impacted SPRFs 05032013'!$A$2:$A$65536,1,FALSE)</f>
        <v>400002383</v>
      </c>
    </row>
    <row r="2293" spans="1:21" ht="45" x14ac:dyDescent="0.25">
      <c r="A2293" s="63" t="e">
        <f>MATCH($E2293,'D1 - Master Project Table'!$B$24:$B$7056,0)</f>
        <v>#N/A</v>
      </c>
      <c r="B2293" s="63" t="b">
        <f t="shared" si="108"/>
        <v>1</v>
      </c>
      <c r="C2293" s="63" t="b">
        <f t="shared" si="106"/>
        <v>1</v>
      </c>
      <c r="D2293" s="63" t="str">
        <f t="shared" si="107"/>
        <v>OK</v>
      </c>
      <c r="E2293" s="393">
        <v>400002392</v>
      </c>
      <c r="F2293" s="392" t="s">
        <v>5002</v>
      </c>
      <c r="G2293" s="392" t="s">
        <v>5324</v>
      </c>
      <c r="H2293" s="392" t="s">
        <v>7418</v>
      </c>
      <c r="I2293" s="392" t="s">
        <v>1765</v>
      </c>
      <c r="J2293" s="392" t="s">
        <v>8414</v>
      </c>
      <c r="K2293" s="392" t="s">
        <v>5641</v>
      </c>
      <c r="L2293" s="392" t="s">
        <v>2845</v>
      </c>
      <c r="M2293" s="392" t="s">
        <v>7273</v>
      </c>
      <c r="N2293" s="392" t="s">
        <v>7273</v>
      </c>
      <c r="O2293" s="392" t="s">
        <v>7273</v>
      </c>
      <c r="P2293"/>
      <c r="Q2293"/>
      <c r="R2293" s="387">
        <f>VLOOKUP(E2293,'[1]NDB Impacted SPRFs 05032013'!$A$2:$A$65536,1,FALSE)</f>
        <v>400002392</v>
      </c>
    </row>
    <row r="2294" spans="1:21" ht="45" x14ac:dyDescent="0.25">
      <c r="A2294" s="63">
        <f>MATCH($E2294,'D1 - Master Project Table'!$B$24:$B$7056,0)</f>
        <v>2396</v>
      </c>
      <c r="B2294" s="63" t="b">
        <f t="shared" si="108"/>
        <v>0</v>
      </c>
      <c r="C2294" s="63" t="b">
        <f t="shared" si="106"/>
        <v>1</v>
      </c>
      <c r="D2294" s="63" t="str">
        <f t="shared" si="107"/>
        <v>OK</v>
      </c>
      <c r="E2294" s="393">
        <v>400002407</v>
      </c>
      <c r="F2294" s="392" t="s">
        <v>6974</v>
      </c>
      <c r="G2294" s="392" t="s">
        <v>5324</v>
      </c>
      <c r="H2294" s="392" t="s">
        <v>5314</v>
      </c>
      <c r="I2294" s="392" t="s">
        <v>1766</v>
      </c>
      <c r="J2294" s="392" t="s">
        <v>8531</v>
      </c>
      <c r="K2294" s="392" t="s">
        <v>5661</v>
      </c>
      <c r="L2294" s="392" t="s">
        <v>2845</v>
      </c>
      <c r="M2294" s="392" t="s">
        <v>7273</v>
      </c>
      <c r="N2294" s="392" t="s">
        <v>7273</v>
      </c>
      <c r="O2294" s="392" t="s">
        <v>7273</v>
      </c>
      <c r="P2294"/>
      <c r="Q2294"/>
      <c r="R2294" s="387">
        <f>VLOOKUP(E2294,'[1]NDB Impacted SPRFs 05032013'!$A$2:$A$65536,1,FALSE)</f>
        <v>400002407</v>
      </c>
      <c r="S2294" s="159"/>
      <c r="T2294" s="159"/>
      <c r="U2294" s="159"/>
    </row>
    <row r="2295" spans="1:21" ht="45" x14ac:dyDescent="0.25">
      <c r="A2295" s="63" t="e">
        <f>MATCH($E2295,'D1 - Master Project Table'!$B$24:$B$7056,0)</f>
        <v>#N/A</v>
      </c>
      <c r="B2295" s="63" t="b">
        <f t="shared" si="108"/>
        <v>1</v>
      </c>
      <c r="C2295" s="63" t="b">
        <f t="shared" si="106"/>
        <v>1</v>
      </c>
      <c r="D2295" s="63" t="str">
        <f t="shared" si="107"/>
        <v>OK</v>
      </c>
      <c r="E2295" s="393">
        <v>400002431</v>
      </c>
      <c r="F2295" s="392" t="s">
        <v>5783</v>
      </c>
      <c r="G2295" s="392" t="s">
        <v>5324</v>
      </c>
      <c r="H2295" s="392" t="s">
        <v>7418</v>
      </c>
      <c r="I2295" s="392" t="s">
        <v>1765</v>
      </c>
      <c r="J2295" s="392" t="s">
        <v>8359</v>
      </c>
      <c r="K2295" s="392" t="s">
        <v>5641</v>
      </c>
      <c r="L2295" s="392" t="s">
        <v>2845</v>
      </c>
      <c r="M2295" s="392" t="s">
        <v>7273</v>
      </c>
      <c r="N2295" s="392" t="s">
        <v>7273</v>
      </c>
      <c r="O2295" s="392" t="s">
        <v>7273</v>
      </c>
      <c r="P2295"/>
      <c r="Q2295"/>
      <c r="R2295" s="387">
        <f>VLOOKUP(E2295,'[1]NDB Impacted SPRFs 05032013'!$A$2:$A$65536,1,FALSE)</f>
        <v>400002431</v>
      </c>
      <c r="S2295" s="159"/>
      <c r="T2295" s="159"/>
      <c r="U2295" s="159"/>
    </row>
    <row r="2296" spans="1:21" ht="45" x14ac:dyDescent="0.25">
      <c r="A2296" s="63" t="e">
        <f>MATCH($E2296,'D1 - Master Project Table'!$B$24:$B$7056,0)</f>
        <v>#N/A</v>
      </c>
      <c r="B2296" s="63" t="b">
        <f t="shared" si="108"/>
        <v>1</v>
      </c>
      <c r="C2296" s="63" t="b">
        <f t="shared" si="106"/>
        <v>1</v>
      </c>
      <c r="D2296" s="63" t="str">
        <f t="shared" si="107"/>
        <v>OK</v>
      </c>
      <c r="E2296" s="393">
        <v>400002464</v>
      </c>
      <c r="F2296" s="392" t="s">
        <v>5347</v>
      </c>
      <c r="G2296" s="392" t="s">
        <v>5324</v>
      </c>
      <c r="H2296" s="392" t="s">
        <v>7418</v>
      </c>
      <c r="I2296" s="392" t="s">
        <v>1765</v>
      </c>
      <c r="J2296" s="392" t="s">
        <v>8414</v>
      </c>
      <c r="K2296" s="392" t="s">
        <v>5641</v>
      </c>
      <c r="L2296" s="392" t="s">
        <v>2845</v>
      </c>
      <c r="M2296" s="392" t="s">
        <v>7273</v>
      </c>
      <c r="N2296" s="392" t="s">
        <v>7273</v>
      </c>
      <c r="O2296" s="392" t="s">
        <v>7273</v>
      </c>
      <c r="P2296"/>
      <c r="Q2296"/>
      <c r="R2296" s="387">
        <f>VLOOKUP(E2296,'[1]NDB Impacted SPRFs 05032013'!$A$2:$A$65536,1,FALSE)</f>
        <v>400002464</v>
      </c>
      <c r="S2296" s="159"/>
      <c r="T2296" s="159"/>
      <c r="U2296" s="159"/>
    </row>
    <row r="2297" spans="1:21" ht="45" x14ac:dyDescent="0.25">
      <c r="A2297" s="63" t="e">
        <f>MATCH($E2297,'D1 - Master Project Table'!$B$24:$B$7056,0)</f>
        <v>#N/A</v>
      </c>
      <c r="B2297" s="63" t="b">
        <f t="shared" si="108"/>
        <v>1</v>
      </c>
      <c r="C2297" s="63" t="b">
        <f t="shared" si="106"/>
        <v>1</v>
      </c>
      <c r="D2297" s="63" t="str">
        <f t="shared" si="107"/>
        <v>OK</v>
      </c>
      <c r="E2297" s="393">
        <v>400002466</v>
      </c>
      <c r="F2297" s="392" t="s">
        <v>5348</v>
      </c>
      <c r="G2297" s="392" t="s">
        <v>5324</v>
      </c>
      <c r="H2297" s="392" t="s">
        <v>7418</v>
      </c>
      <c r="I2297" s="392" t="s">
        <v>1765</v>
      </c>
      <c r="J2297" s="392" t="s">
        <v>8414</v>
      </c>
      <c r="K2297" s="392" t="s">
        <v>5641</v>
      </c>
      <c r="L2297" s="392" t="s">
        <v>2845</v>
      </c>
      <c r="M2297" s="392" t="s">
        <v>7273</v>
      </c>
      <c r="N2297" s="392" t="s">
        <v>7273</v>
      </c>
      <c r="O2297" s="392" t="s">
        <v>7273</v>
      </c>
      <c r="P2297"/>
      <c r="Q2297"/>
      <c r="R2297" s="387">
        <f>VLOOKUP(E2297,'[1]NDB Impacted SPRFs 05032013'!$A$2:$A$65536,1,FALSE)</f>
        <v>400002466</v>
      </c>
    </row>
    <row r="2298" spans="1:21" ht="45" x14ac:dyDescent="0.25">
      <c r="A2298" s="63">
        <f>MATCH($E2298,'D1 - Master Project Table'!$B$24:$B$7056,0)</f>
        <v>2400</v>
      </c>
      <c r="B2298" s="63" t="b">
        <f t="shared" si="108"/>
        <v>0</v>
      </c>
      <c r="C2298" s="63" t="b">
        <f t="shared" si="106"/>
        <v>1</v>
      </c>
      <c r="D2298" s="63" t="str">
        <f t="shared" si="107"/>
        <v>OK</v>
      </c>
      <c r="E2298" s="393">
        <v>400002467</v>
      </c>
      <c r="F2298" s="392" t="s">
        <v>4436</v>
      </c>
      <c r="G2298" s="392" t="s">
        <v>5324</v>
      </c>
      <c r="H2298" s="392" t="s">
        <v>5314</v>
      </c>
      <c r="I2298" s="392" t="s">
        <v>1765</v>
      </c>
      <c r="J2298" s="392" t="s">
        <v>8414</v>
      </c>
      <c r="K2298" s="392" t="s">
        <v>5641</v>
      </c>
      <c r="L2298" s="392" t="s">
        <v>2845</v>
      </c>
      <c r="M2298" s="392" t="s">
        <v>7273</v>
      </c>
      <c r="N2298" s="392" t="s">
        <v>7273</v>
      </c>
      <c r="O2298" s="392" t="s">
        <v>7273</v>
      </c>
      <c r="P2298"/>
      <c r="Q2298"/>
      <c r="R2298" s="387">
        <f>VLOOKUP(E2298,'[1]NDB Impacted SPRFs 05032013'!$A$2:$A$65536,1,FALSE)</f>
        <v>400002467</v>
      </c>
      <c r="S2298" s="159"/>
      <c r="T2298" s="159"/>
      <c r="U2298" s="159"/>
    </row>
    <row r="2299" spans="1:21" ht="45" x14ac:dyDescent="0.25">
      <c r="A2299" s="63">
        <f>MATCH($E2299,'D1 - Master Project Table'!$B$24:$B$7056,0)</f>
        <v>2401</v>
      </c>
      <c r="B2299" s="63" t="b">
        <f t="shared" si="108"/>
        <v>0</v>
      </c>
      <c r="C2299" s="63" t="b">
        <f t="shared" si="106"/>
        <v>1</v>
      </c>
      <c r="D2299" s="63" t="str">
        <f t="shared" si="107"/>
        <v>OK</v>
      </c>
      <c r="E2299" s="393">
        <v>400002468</v>
      </c>
      <c r="F2299" s="392" t="s">
        <v>5559</v>
      </c>
      <c r="G2299" s="392" t="s">
        <v>5324</v>
      </c>
      <c r="H2299" s="392" t="s">
        <v>5314</v>
      </c>
      <c r="I2299" s="392" t="s">
        <v>1765</v>
      </c>
      <c r="J2299" s="392" t="s">
        <v>8414</v>
      </c>
      <c r="K2299" s="392" t="s">
        <v>5641</v>
      </c>
      <c r="L2299" s="392" t="s">
        <v>2845</v>
      </c>
      <c r="M2299" s="392" t="s">
        <v>7273</v>
      </c>
      <c r="N2299" s="392" t="s">
        <v>7273</v>
      </c>
      <c r="O2299" s="392" t="s">
        <v>7273</v>
      </c>
      <c r="P2299"/>
      <c r="Q2299"/>
      <c r="R2299" s="387">
        <f>VLOOKUP(E2299,'[1]NDB Impacted SPRFs 05032013'!$A$2:$A$65536,1,FALSE)</f>
        <v>400002468</v>
      </c>
    </row>
    <row r="2300" spans="1:21" ht="45" x14ac:dyDescent="0.25">
      <c r="A2300" s="63">
        <f>MATCH($E2300,'D1 - Master Project Table'!$B$24:$B$7056,0)</f>
        <v>2403</v>
      </c>
      <c r="B2300" s="63" t="b">
        <f t="shared" si="108"/>
        <v>0</v>
      </c>
      <c r="C2300" s="63" t="b">
        <f t="shared" si="106"/>
        <v>1</v>
      </c>
      <c r="D2300" s="63" t="str">
        <f t="shared" si="107"/>
        <v>OK</v>
      </c>
      <c r="E2300" s="393">
        <v>400002497</v>
      </c>
      <c r="F2300" s="392" t="s">
        <v>4923</v>
      </c>
      <c r="G2300" s="392" t="s">
        <v>5324</v>
      </c>
      <c r="H2300" s="392" t="s">
        <v>5314</v>
      </c>
      <c r="I2300" s="392" t="s">
        <v>1765</v>
      </c>
      <c r="J2300" s="392" t="s">
        <v>8334</v>
      </c>
      <c r="K2300" s="392" t="s">
        <v>5641</v>
      </c>
      <c r="L2300" s="392" t="s">
        <v>2845</v>
      </c>
      <c r="M2300" s="392" t="s">
        <v>7273</v>
      </c>
      <c r="N2300" s="392" t="s">
        <v>7273</v>
      </c>
      <c r="O2300" s="392" t="s">
        <v>7273</v>
      </c>
      <c r="P2300"/>
      <c r="Q2300"/>
      <c r="R2300" s="387">
        <f>VLOOKUP(E2300,'[1]NDB Impacted SPRFs 05032013'!$A$2:$A$65536,1,FALSE)</f>
        <v>400002497</v>
      </c>
    </row>
    <row r="2301" spans="1:21" ht="45" x14ac:dyDescent="0.25">
      <c r="A2301" s="63" t="e">
        <f>MATCH($E2301,'D1 - Master Project Table'!$B$24:$B$7056,0)</f>
        <v>#N/A</v>
      </c>
      <c r="B2301" s="63" t="b">
        <f t="shared" si="108"/>
        <v>1</v>
      </c>
      <c r="C2301" s="63" t="b">
        <f t="shared" si="106"/>
        <v>1</v>
      </c>
      <c r="D2301" s="63" t="str">
        <f t="shared" si="107"/>
        <v>OK</v>
      </c>
      <c r="E2301" s="393">
        <v>400002505</v>
      </c>
      <c r="F2301" s="392" t="s">
        <v>3328</v>
      </c>
      <c r="G2301" s="392" t="s">
        <v>5324</v>
      </c>
      <c r="H2301" s="392" t="s">
        <v>5314</v>
      </c>
      <c r="I2301" s="392" t="s">
        <v>1765</v>
      </c>
      <c r="J2301" s="392" t="s">
        <v>8335</v>
      </c>
      <c r="K2301" s="392" t="s">
        <v>5641</v>
      </c>
      <c r="L2301" s="392" t="s">
        <v>2845</v>
      </c>
      <c r="M2301" s="392" t="s">
        <v>7273</v>
      </c>
      <c r="N2301" s="392" t="s">
        <v>7273</v>
      </c>
      <c r="O2301" s="392" t="s">
        <v>7273</v>
      </c>
      <c r="P2301"/>
      <c r="Q2301"/>
      <c r="R2301" s="387">
        <f>VLOOKUP(E2301,'[1]NDB Impacted SPRFs 05032013'!$A$2:$A$65536,1,FALSE)</f>
        <v>400002505</v>
      </c>
      <c r="S2301" s="159"/>
      <c r="T2301" s="159"/>
      <c r="U2301" s="159"/>
    </row>
    <row r="2302" spans="1:21" ht="45" x14ac:dyDescent="0.25">
      <c r="A2302" s="63" t="e">
        <f>MATCH($E2302,'D1 - Master Project Table'!$B$24:$B$7056,0)</f>
        <v>#N/A</v>
      </c>
      <c r="B2302" s="63" t="b">
        <f t="shared" si="108"/>
        <v>1</v>
      </c>
      <c r="C2302" s="63" t="b">
        <f t="shared" si="106"/>
        <v>1</v>
      </c>
      <c r="D2302" s="63" t="str">
        <f t="shared" si="107"/>
        <v>OK</v>
      </c>
      <c r="E2302" s="393">
        <v>400002536</v>
      </c>
      <c r="F2302" s="392" t="s">
        <v>7458</v>
      </c>
      <c r="G2302" s="392" t="s">
        <v>5324</v>
      </c>
      <c r="H2302" s="392" t="s">
        <v>5314</v>
      </c>
      <c r="I2302" s="392" t="s">
        <v>1766</v>
      </c>
      <c r="J2302" s="392" t="s">
        <v>8531</v>
      </c>
      <c r="K2302" s="392" t="s">
        <v>5662</v>
      </c>
      <c r="L2302" s="392" t="s">
        <v>2845</v>
      </c>
      <c r="M2302" s="392" t="s">
        <v>7273</v>
      </c>
      <c r="N2302" s="392" t="s">
        <v>7273</v>
      </c>
      <c r="O2302" s="392" t="s">
        <v>7273</v>
      </c>
      <c r="P2302"/>
      <c r="Q2302"/>
      <c r="R2302" s="387">
        <f>VLOOKUP(E2302,'[1]NDB Impacted SPRFs 05032013'!$A$2:$A$65536,1,FALSE)</f>
        <v>400002536</v>
      </c>
      <c r="S2302" s="159"/>
      <c r="T2302" s="159"/>
      <c r="U2302" s="159"/>
    </row>
    <row r="2303" spans="1:21" ht="45" x14ac:dyDescent="0.25">
      <c r="A2303" s="63" t="e">
        <f>MATCH($E2303,'D1 - Master Project Table'!$B$24:$B$7056,0)</f>
        <v>#N/A</v>
      </c>
      <c r="B2303" s="63" t="b">
        <f t="shared" si="108"/>
        <v>1</v>
      </c>
      <c r="C2303" s="63" t="b">
        <f t="shared" si="106"/>
        <v>1</v>
      </c>
      <c r="D2303" s="63" t="str">
        <f t="shared" si="107"/>
        <v>OK</v>
      </c>
      <c r="E2303" s="393">
        <v>400002537</v>
      </c>
      <c r="F2303" s="392" t="s">
        <v>6623</v>
      </c>
      <c r="G2303" s="392" t="s">
        <v>5324</v>
      </c>
      <c r="H2303" s="392" t="s">
        <v>5314</v>
      </c>
      <c r="I2303" s="392" t="s">
        <v>1766</v>
      </c>
      <c r="J2303" s="392" t="s">
        <v>8531</v>
      </c>
      <c r="K2303" s="392" t="s">
        <v>3933</v>
      </c>
      <c r="L2303" s="392" t="s">
        <v>2845</v>
      </c>
      <c r="M2303" s="392" t="s">
        <v>7273</v>
      </c>
      <c r="N2303" s="392" t="s">
        <v>7273</v>
      </c>
      <c r="O2303" s="392" t="s">
        <v>7273</v>
      </c>
      <c r="P2303"/>
      <c r="Q2303"/>
      <c r="R2303" s="387">
        <f>VLOOKUP(E2303,'[1]NDB Impacted SPRFs 05032013'!$A$2:$A$65536,1,FALSE)</f>
        <v>400002537</v>
      </c>
      <c r="S2303" s="159"/>
      <c r="T2303" s="159"/>
      <c r="U2303" s="159"/>
    </row>
    <row r="2304" spans="1:21" ht="45" x14ac:dyDescent="0.25">
      <c r="A2304" s="63">
        <f>MATCH($E2304,'D1 - Master Project Table'!$B$24:$B$7056,0)</f>
        <v>303</v>
      </c>
      <c r="B2304" s="63" t="b">
        <f t="shared" si="108"/>
        <v>0</v>
      </c>
      <c r="C2304" s="63" t="b">
        <f t="shared" si="106"/>
        <v>1</v>
      </c>
      <c r="D2304" s="63" t="str">
        <f t="shared" si="107"/>
        <v>OK</v>
      </c>
      <c r="E2304" s="393">
        <v>400002540</v>
      </c>
      <c r="F2304" s="392" t="s">
        <v>4112</v>
      </c>
      <c r="G2304" s="392" t="s">
        <v>5324</v>
      </c>
      <c r="H2304" s="392" t="s">
        <v>7418</v>
      </c>
      <c r="I2304" s="392" t="s">
        <v>1765</v>
      </c>
      <c r="J2304" s="392" t="s">
        <v>8414</v>
      </c>
      <c r="K2304" s="392" t="s">
        <v>5641</v>
      </c>
      <c r="L2304" s="392" t="s">
        <v>2845</v>
      </c>
      <c r="M2304" s="392" t="s">
        <v>7273</v>
      </c>
      <c r="N2304" s="392" t="s">
        <v>7273</v>
      </c>
      <c r="O2304" s="392" t="s">
        <v>7273</v>
      </c>
      <c r="P2304"/>
      <c r="Q2304"/>
      <c r="R2304" s="387">
        <f>VLOOKUP(E2304,'[1]NDB Impacted SPRFs 05032013'!$A$2:$A$65536,1,FALSE)</f>
        <v>400002540</v>
      </c>
      <c r="S2304" s="159"/>
      <c r="T2304" s="159"/>
      <c r="U2304" s="159"/>
    </row>
    <row r="2305" spans="1:21" ht="45" x14ac:dyDescent="0.25">
      <c r="A2305" s="63" t="e">
        <f>MATCH($E2305,'D1 - Master Project Table'!$B$24:$B$7056,0)</f>
        <v>#N/A</v>
      </c>
      <c r="B2305" s="63" t="b">
        <f t="shared" si="108"/>
        <v>1</v>
      </c>
      <c r="C2305" s="63" t="b">
        <f t="shared" si="106"/>
        <v>1</v>
      </c>
      <c r="D2305" s="63" t="str">
        <f t="shared" si="107"/>
        <v>OK</v>
      </c>
      <c r="E2305" s="393">
        <v>400002567</v>
      </c>
      <c r="F2305" s="392" t="s">
        <v>1500</v>
      </c>
      <c r="G2305" s="392" t="s">
        <v>5324</v>
      </c>
      <c r="H2305" s="392" t="s">
        <v>7418</v>
      </c>
      <c r="I2305" s="392" t="s">
        <v>1765</v>
      </c>
      <c r="J2305" s="392" t="s">
        <v>8334</v>
      </c>
      <c r="K2305" s="392" t="s">
        <v>5641</v>
      </c>
      <c r="L2305" s="392" t="s">
        <v>2845</v>
      </c>
      <c r="M2305" s="392" t="s">
        <v>7273</v>
      </c>
      <c r="N2305" s="392" t="s">
        <v>7273</v>
      </c>
      <c r="O2305" s="392" t="s">
        <v>7273</v>
      </c>
      <c r="P2305"/>
      <c r="Q2305"/>
      <c r="R2305" s="387">
        <f>VLOOKUP(E2305,'[1]NDB Impacted SPRFs 05032013'!$A$2:$A$65536,1,FALSE)</f>
        <v>400002567</v>
      </c>
      <c r="S2305" s="159"/>
      <c r="T2305" s="159"/>
      <c r="U2305" s="159"/>
    </row>
    <row r="2306" spans="1:21" ht="45" x14ac:dyDescent="0.25">
      <c r="A2306" s="63" t="e">
        <f>MATCH($E2306,'D1 - Master Project Table'!$B$24:$B$7056,0)</f>
        <v>#N/A</v>
      </c>
      <c r="B2306" s="63" t="b">
        <f t="shared" si="108"/>
        <v>1</v>
      </c>
      <c r="C2306" s="63" t="b">
        <f t="shared" si="106"/>
        <v>1</v>
      </c>
      <c r="D2306" s="63" t="str">
        <f t="shared" si="107"/>
        <v>OK</v>
      </c>
      <c r="E2306" s="393">
        <v>400002591</v>
      </c>
      <c r="F2306" s="392" t="s">
        <v>6982</v>
      </c>
      <c r="G2306" s="392" t="s">
        <v>5324</v>
      </c>
      <c r="H2306" s="392" t="s">
        <v>7418</v>
      </c>
      <c r="I2306" s="392" t="s">
        <v>1765</v>
      </c>
      <c r="J2306" s="392" t="s">
        <v>8335</v>
      </c>
      <c r="K2306" s="392" t="s">
        <v>5641</v>
      </c>
      <c r="L2306" s="392" t="s">
        <v>2845</v>
      </c>
      <c r="M2306" s="392" t="s">
        <v>7273</v>
      </c>
      <c r="N2306" s="392" t="s">
        <v>7273</v>
      </c>
      <c r="O2306" s="392" t="s">
        <v>7273</v>
      </c>
      <c r="P2306"/>
      <c r="Q2306"/>
      <c r="R2306" s="387">
        <f>VLOOKUP(E2306,'[1]NDB Impacted SPRFs 05032013'!$A$2:$A$65536,1,FALSE)</f>
        <v>400002591</v>
      </c>
      <c r="S2306" s="159"/>
      <c r="T2306" s="159"/>
      <c r="U2306" s="159"/>
    </row>
    <row r="2307" spans="1:21" ht="45" x14ac:dyDescent="0.25">
      <c r="A2307" s="63" t="e">
        <f>MATCH($E2307,'D1 - Master Project Table'!$B$24:$B$7056,0)</f>
        <v>#N/A</v>
      </c>
      <c r="B2307" s="63" t="b">
        <f t="shared" si="108"/>
        <v>1</v>
      </c>
      <c r="C2307" s="63" t="b">
        <f t="shared" si="106"/>
        <v>1</v>
      </c>
      <c r="D2307" s="63" t="str">
        <f t="shared" si="107"/>
        <v>OK</v>
      </c>
      <c r="E2307" s="393">
        <v>400002592</v>
      </c>
      <c r="F2307" s="392" t="s">
        <v>3348</v>
      </c>
      <c r="G2307" s="392" t="s">
        <v>5324</v>
      </c>
      <c r="H2307" s="392" t="s">
        <v>7418</v>
      </c>
      <c r="I2307" s="392" t="s">
        <v>1765</v>
      </c>
      <c r="J2307" s="392" t="s">
        <v>8417</v>
      </c>
      <c r="K2307" s="392" t="s">
        <v>2447</v>
      </c>
      <c r="L2307" s="392" t="s">
        <v>2845</v>
      </c>
      <c r="M2307" s="392" t="s">
        <v>7273</v>
      </c>
      <c r="N2307" s="392" t="s">
        <v>7273</v>
      </c>
      <c r="O2307" s="392" t="s">
        <v>7273</v>
      </c>
      <c r="P2307"/>
      <c r="Q2307"/>
      <c r="R2307" s="387">
        <f>VLOOKUP(E2307,'[1]NDB Impacted SPRFs 05032013'!$A$2:$A$65536,1,FALSE)</f>
        <v>400002592</v>
      </c>
    </row>
    <row r="2308" spans="1:21" ht="45" x14ac:dyDescent="0.25">
      <c r="A2308" s="63" t="e">
        <f>MATCH($E2308,'D1 - Master Project Table'!$B$24:$B$7056,0)</f>
        <v>#N/A</v>
      </c>
      <c r="B2308" s="63" t="b">
        <f t="shared" si="108"/>
        <v>1</v>
      </c>
      <c r="C2308" s="63" t="b">
        <f t="shared" si="106"/>
        <v>1</v>
      </c>
      <c r="D2308" s="63" t="str">
        <f t="shared" si="107"/>
        <v>OK</v>
      </c>
      <c r="E2308" s="393">
        <v>400002648</v>
      </c>
      <c r="F2308" s="392" t="s">
        <v>4357</v>
      </c>
      <c r="G2308" s="392" t="s">
        <v>5324</v>
      </c>
      <c r="H2308" s="392" t="s">
        <v>5314</v>
      </c>
      <c r="I2308" s="392" t="s">
        <v>1765</v>
      </c>
      <c r="J2308" s="392" t="s">
        <v>8335</v>
      </c>
      <c r="K2308" s="392" t="s">
        <v>5641</v>
      </c>
      <c r="L2308" s="392" t="s">
        <v>2845</v>
      </c>
      <c r="M2308" s="392" t="s">
        <v>7273</v>
      </c>
      <c r="N2308" s="392" t="s">
        <v>7273</v>
      </c>
      <c r="O2308" s="392" t="s">
        <v>7273</v>
      </c>
      <c r="P2308"/>
      <c r="Q2308"/>
      <c r="R2308" s="387">
        <f>VLOOKUP(E2308,'[1]NDB Impacted SPRFs 05032013'!$A$2:$A$65536,1,FALSE)</f>
        <v>400002648</v>
      </c>
      <c r="S2308" s="159"/>
      <c r="T2308" s="159"/>
      <c r="U2308" s="159"/>
    </row>
    <row r="2309" spans="1:21" ht="45" x14ac:dyDescent="0.25">
      <c r="A2309" s="63" t="e">
        <f>MATCH($E2309,'D1 - Master Project Table'!$B$24:$B$7056,0)</f>
        <v>#N/A</v>
      </c>
      <c r="B2309" s="63" t="b">
        <f t="shared" si="108"/>
        <v>1</v>
      </c>
      <c r="C2309" s="63" t="b">
        <f t="shared" si="106"/>
        <v>1</v>
      </c>
      <c r="D2309" s="63" t="str">
        <f t="shared" si="107"/>
        <v>OK</v>
      </c>
      <c r="E2309" s="393">
        <v>400002653</v>
      </c>
      <c r="F2309" s="392" t="s">
        <v>6469</v>
      </c>
      <c r="G2309" s="392" t="s">
        <v>5324</v>
      </c>
      <c r="H2309" s="392" t="s">
        <v>7418</v>
      </c>
      <c r="I2309" s="392" t="s">
        <v>1765</v>
      </c>
      <c r="J2309" s="392" t="s">
        <v>8335</v>
      </c>
      <c r="K2309" s="392" t="s">
        <v>5641</v>
      </c>
      <c r="L2309" s="392" t="s">
        <v>2845</v>
      </c>
      <c r="M2309" s="392" t="s">
        <v>7273</v>
      </c>
      <c r="N2309" s="392" t="s">
        <v>7273</v>
      </c>
      <c r="O2309" s="392" t="s">
        <v>7273</v>
      </c>
      <c r="P2309"/>
      <c r="Q2309"/>
      <c r="R2309" s="387">
        <f>VLOOKUP(E2309,'[1]NDB Impacted SPRFs 05032013'!$A$2:$A$65536,1,FALSE)</f>
        <v>400002653</v>
      </c>
      <c r="S2309" s="159"/>
      <c r="T2309" s="159"/>
      <c r="U2309" s="159"/>
    </row>
    <row r="2310" spans="1:21" ht="45" x14ac:dyDescent="0.25">
      <c r="A2310" s="63" t="e">
        <f>MATCH($E2310,'D1 - Master Project Table'!$B$24:$B$7056,0)</f>
        <v>#N/A</v>
      </c>
      <c r="B2310" s="63" t="b">
        <f t="shared" si="108"/>
        <v>1</v>
      </c>
      <c r="C2310" s="63" t="b">
        <f t="shared" ref="C2310:C2373" si="109">OR(H2310="Completed",H2310="Cancelled")</f>
        <v>1</v>
      </c>
      <c r="D2310" s="63" t="str">
        <f t="shared" ref="D2310:D2373" si="110">IF(AND(B2310=TRUE,C2310=FALSE),"Add","OK")</f>
        <v>OK</v>
      </c>
      <c r="E2310" s="393">
        <v>400002691</v>
      </c>
      <c r="F2310" s="392" t="s">
        <v>5720</v>
      </c>
      <c r="G2310" s="392" t="s">
        <v>5324</v>
      </c>
      <c r="H2310" s="392" t="s">
        <v>7418</v>
      </c>
      <c r="I2310" s="392" t="s">
        <v>1765</v>
      </c>
      <c r="J2310" s="392" t="s">
        <v>8415</v>
      </c>
      <c r="K2310" s="392" t="s">
        <v>5641</v>
      </c>
      <c r="L2310" s="392" t="s">
        <v>2845</v>
      </c>
      <c r="M2310" s="392" t="s">
        <v>7273</v>
      </c>
      <c r="N2310" s="392" t="s">
        <v>7273</v>
      </c>
      <c r="O2310" s="392" t="s">
        <v>7273</v>
      </c>
      <c r="P2310"/>
      <c r="Q2310"/>
      <c r="R2310" s="387">
        <f>VLOOKUP(E2310,'[1]NDB Impacted SPRFs 05032013'!$A$2:$A$65536,1,FALSE)</f>
        <v>400002691</v>
      </c>
      <c r="S2310" s="159"/>
      <c r="T2310" s="159"/>
      <c r="U2310" s="159"/>
    </row>
    <row r="2311" spans="1:21" ht="45" x14ac:dyDescent="0.25">
      <c r="A2311" s="63">
        <f>MATCH($E2311,'D1 - Master Project Table'!$B$24:$B$7056,0)</f>
        <v>2408</v>
      </c>
      <c r="B2311" s="63" t="b">
        <f t="shared" si="108"/>
        <v>0</v>
      </c>
      <c r="C2311" s="63" t="b">
        <f t="shared" si="109"/>
        <v>1</v>
      </c>
      <c r="D2311" s="63" t="str">
        <f t="shared" si="110"/>
        <v>OK</v>
      </c>
      <c r="E2311" s="393">
        <v>400002737</v>
      </c>
      <c r="F2311" s="392" t="s">
        <v>3306</v>
      </c>
      <c r="G2311" s="392" t="s">
        <v>5324</v>
      </c>
      <c r="H2311" s="392" t="s">
        <v>5314</v>
      </c>
      <c r="I2311" s="392" t="s">
        <v>1765</v>
      </c>
      <c r="J2311" s="392" t="s">
        <v>8352</v>
      </c>
      <c r="K2311" s="392" t="s">
        <v>5641</v>
      </c>
      <c r="L2311" s="392" t="s">
        <v>2845</v>
      </c>
      <c r="M2311" s="392" t="s">
        <v>7273</v>
      </c>
      <c r="N2311" s="392" t="s">
        <v>7273</v>
      </c>
      <c r="O2311" s="392" t="s">
        <v>7273</v>
      </c>
      <c r="P2311"/>
      <c r="Q2311"/>
      <c r="R2311" s="387">
        <f>VLOOKUP(E2311,'[1]NDB Impacted SPRFs 05032013'!$A$2:$A$65536,1,FALSE)</f>
        <v>400002737</v>
      </c>
      <c r="S2311" s="159"/>
      <c r="T2311" s="159"/>
      <c r="U2311" s="159"/>
    </row>
    <row r="2312" spans="1:21" ht="45" x14ac:dyDescent="0.25">
      <c r="A2312" s="63" t="e">
        <f>MATCH($E2312,'D1 - Master Project Table'!$B$24:$B$7056,0)</f>
        <v>#N/A</v>
      </c>
      <c r="B2312" s="63" t="b">
        <f t="shared" si="108"/>
        <v>1</v>
      </c>
      <c r="C2312" s="63" t="b">
        <f t="shared" si="109"/>
        <v>1</v>
      </c>
      <c r="D2312" s="63" t="str">
        <f t="shared" si="110"/>
        <v>OK</v>
      </c>
      <c r="E2312" s="393">
        <v>400002744</v>
      </c>
      <c r="F2312" s="392" t="s">
        <v>5982</v>
      </c>
      <c r="G2312" s="392" t="s">
        <v>5324</v>
      </c>
      <c r="H2312" s="392" t="s">
        <v>7418</v>
      </c>
      <c r="I2312" s="392" t="s">
        <v>1765</v>
      </c>
      <c r="J2312" s="392" t="s">
        <v>8352</v>
      </c>
      <c r="K2312" s="392" t="s">
        <v>5641</v>
      </c>
      <c r="L2312" s="392" t="s">
        <v>2845</v>
      </c>
      <c r="M2312" s="392" t="s">
        <v>7273</v>
      </c>
      <c r="N2312" s="392" t="s">
        <v>7273</v>
      </c>
      <c r="O2312" s="392" t="s">
        <v>7273</v>
      </c>
      <c r="P2312"/>
      <c r="Q2312"/>
      <c r="R2312" s="387">
        <f>VLOOKUP(E2312,'[1]NDB Impacted SPRFs 05032013'!$A$2:$A$65536,1,FALSE)</f>
        <v>400002744</v>
      </c>
      <c r="S2312" s="159"/>
      <c r="T2312" s="159"/>
      <c r="U2312" s="159"/>
    </row>
    <row r="2313" spans="1:21" ht="45" x14ac:dyDescent="0.25">
      <c r="A2313" s="63">
        <f>MATCH($E2313,'D1 - Master Project Table'!$B$24:$B$7056,0)</f>
        <v>2409</v>
      </c>
      <c r="B2313" s="63" t="b">
        <f t="shared" si="108"/>
        <v>0</v>
      </c>
      <c r="C2313" s="63" t="b">
        <f t="shared" si="109"/>
        <v>1</v>
      </c>
      <c r="D2313" s="63" t="str">
        <f t="shared" si="110"/>
        <v>OK</v>
      </c>
      <c r="E2313" s="393">
        <v>400002762</v>
      </c>
      <c r="F2313" s="392" t="s">
        <v>7033</v>
      </c>
      <c r="G2313" s="392" t="s">
        <v>5325</v>
      </c>
      <c r="H2313" s="392" t="s">
        <v>5314</v>
      </c>
      <c r="I2313" s="392" t="s">
        <v>1794</v>
      </c>
      <c r="J2313" s="392" t="s">
        <v>8276</v>
      </c>
      <c r="K2313" s="392" t="s">
        <v>7762</v>
      </c>
      <c r="L2313" s="392" t="s">
        <v>2845</v>
      </c>
      <c r="M2313" s="392" t="s">
        <v>7273</v>
      </c>
      <c r="N2313" s="392" t="s">
        <v>7273</v>
      </c>
      <c r="O2313" s="392" t="s">
        <v>7273</v>
      </c>
      <c r="P2313"/>
      <c r="Q2313"/>
      <c r="R2313" s="387">
        <f>VLOOKUP(E2313,'[1]NDB Impacted SPRFs 05032013'!$A$2:$A$65536,1,FALSE)</f>
        <v>400002762</v>
      </c>
      <c r="S2313" s="159"/>
      <c r="T2313" s="159"/>
      <c r="U2313" s="159"/>
    </row>
    <row r="2314" spans="1:21" ht="30" x14ac:dyDescent="0.25">
      <c r="A2314" s="63" t="e">
        <f>MATCH($E2314,'D1 - Master Project Table'!$B$24:$B$7056,0)</f>
        <v>#N/A</v>
      </c>
      <c r="B2314" s="63" t="b">
        <f t="shared" si="108"/>
        <v>1</v>
      </c>
      <c r="C2314" s="63" t="b">
        <f t="shared" si="109"/>
        <v>1</v>
      </c>
      <c r="D2314" s="63" t="str">
        <f t="shared" si="110"/>
        <v>OK</v>
      </c>
      <c r="E2314" s="393">
        <v>400002799</v>
      </c>
      <c r="F2314" s="392" t="s">
        <v>3311</v>
      </c>
      <c r="G2314" s="392" t="s">
        <v>5787</v>
      </c>
      <c r="H2314" s="392" t="s">
        <v>5314</v>
      </c>
      <c r="I2314" s="392" t="s">
        <v>1816</v>
      </c>
      <c r="J2314" s="392" t="s">
        <v>8660</v>
      </c>
      <c r="K2314" s="392" t="s">
        <v>5218</v>
      </c>
      <c r="L2314" s="392" t="s">
        <v>2845</v>
      </c>
      <c r="M2314" s="392" t="s">
        <v>7273</v>
      </c>
      <c r="N2314" s="392" t="s">
        <v>7273</v>
      </c>
      <c r="O2314" s="392" t="s">
        <v>7273</v>
      </c>
      <c r="P2314"/>
      <c r="Q2314"/>
      <c r="R2314" s="387">
        <f>VLOOKUP(E2314,'[1]NDB Impacted SPRFs 05032013'!$A$2:$A$65536,1,FALSE)</f>
        <v>400002799</v>
      </c>
      <c r="S2314" s="159"/>
      <c r="T2314" s="159"/>
      <c r="U2314" s="159"/>
    </row>
    <row r="2315" spans="1:21" ht="45" x14ac:dyDescent="0.25">
      <c r="A2315" s="63">
        <f>MATCH($E2315,'D1 - Master Project Table'!$B$24:$B$7056,0)</f>
        <v>1875</v>
      </c>
      <c r="B2315" s="63" t="b">
        <f t="shared" si="108"/>
        <v>0</v>
      </c>
      <c r="C2315" s="63" t="b">
        <f t="shared" si="109"/>
        <v>1</v>
      </c>
      <c r="D2315" s="63" t="str">
        <f t="shared" si="110"/>
        <v>OK</v>
      </c>
      <c r="E2315" s="393">
        <v>400002827</v>
      </c>
      <c r="F2315" s="392" t="s">
        <v>5545</v>
      </c>
      <c r="G2315" s="392" t="s">
        <v>5324</v>
      </c>
      <c r="H2315" s="392" t="s">
        <v>7418</v>
      </c>
      <c r="I2315" s="392" t="s">
        <v>1765</v>
      </c>
      <c r="J2315" s="392" t="s">
        <v>8335</v>
      </c>
      <c r="K2315" s="392" t="s">
        <v>5641</v>
      </c>
      <c r="L2315" s="392" t="s">
        <v>2845</v>
      </c>
      <c r="M2315" s="392" t="s">
        <v>7273</v>
      </c>
      <c r="N2315" s="392" t="s">
        <v>7273</v>
      </c>
      <c r="O2315" s="392" t="s">
        <v>7273</v>
      </c>
      <c r="P2315"/>
      <c r="Q2315"/>
      <c r="R2315" s="387">
        <f>VLOOKUP(E2315,'[1]NDB Impacted SPRFs 05032013'!$A$2:$A$65536,1,FALSE)</f>
        <v>400002827</v>
      </c>
      <c r="S2315" s="159"/>
      <c r="T2315" s="159"/>
      <c r="U2315" s="159"/>
    </row>
    <row r="2316" spans="1:21" ht="45" x14ac:dyDescent="0.25">
      <c r="A2316" s="63" t="e">
        <f>MATCH($E2316,'D1 - Master Project Table'!$B$24:$B$7056,0)</f>
        <v>#N/A</v>
      </c>
      <c r="B2316" s="63" t="b">
        <f t="shared" si="108"/>
        <v>1</v>
      </c>
      <c r="C2316" s="63" t="b">
        <f t="shared" si="109"/>
        <v>1</v>
      </c>
      <c r="D2316" s="63" t="str">
        <f t="shared" si="110"/>
        <v>OK</v>
      </c>
      <c r="E2316" s="393">
        <v>400002828</v>
      </c>
      <c r="F2316" s="392" t="s">
        <v>4813</v>
      </c>
      <c r="G2316" s="392" t="s">
        <v>5324</v>
      </c>
      <c r="H2316" s="392" t="s">
        <v>7418</v>
      </c>
      <c r="I2316" s="392" t="s">
        <v>1765</v>
      </c>
      <c r="J2316" s="392" t="s">
        <v>8520</v>
      </c>
      <c r="K2316" s="392" t="s">
        <v>5641</v>
      </c>
      <c r="L2316" s="392" t="s">
        <v>2845</v>
      </c>
      <c r="M2316" s="392" t="s">
        <v>7273</v>
      </c>
      <c r="N2316" s="392" t="s">
        <v>7273</v>
      </c>
      <c r="O2316" s="392" t="s">
        <v>7273</v>
      </c>
      <c r="P2316"/>
      <c r="Q2316"/>
      <c r="R2316" s="387">
        <f>VLOOKUP(E2316,'[1]NDB Impacted SPRFs 05032013'!$A$2:$A$65536,1,FALSE)</f>
        <v>400002828</v>
      </c>
    </row>
    <row r="2317" spans="1:21" ht="15" customHeight="1" x14ac:dyDescent="0.25">
      <c r="A2317" s="63">
        <f>MATCH($E2317,'D1 - Master Project Table'!$B$24:$B$7056,0)</f>
        <v>2410</v>
      </c>
      <c r="B2317" s="63" t="b">
        <f t="shared" si="108"/>
        <v>0</v>
      </c>
      <c r="C2317" s="63" t="b">
        <f t="shared" si="109"/>
        <v>1</v>
      </c>
      <c r="D2317" s="63" t="str">
        <f t="shared" si="110"/>
        <v>OK</v>
      </c>
      <c r="E2317" s="393">
        <v>400002843</v>
      </c>
      <c r="F2317" s="392" t="s">
        <v>2699</v>
      </c>
      <c r="G2317" s="392" t="s">
        <v>5324</v>
      </c>
      <c r="H2317" s="392" t="s">
        <v>5314</v>
      </c>
      <c r="I2317" s="392" t="s">
        <v>1765</v>
      </c>
      <c r="J2317" s="392" t="s">
        <v>8414</v>
      </c>
      <c r="K2317" s="392" t="s">
        <v>5641</v>
      </c>
      <c r="L2317" s="392" t="s">
        <v>2845</v>
      </c>
      <c r="M2317" s="392" t="s">
        <v>7273</v>
      </c>
      <c r="N2317" s="392" t="s">
        <v>7273</v>
      </c>
      <c r="O2317" s="392" t="s">
        <v>7273</v>
      </c>
      <c r="P2317"/>
      <c r="Q2317"/>
      <c r="R2317" s="387">
        <f>VLOOKUP(E2317,'[1]NDB Impacted SPRFs 05032013'!$A$2:$A$65536,1,FALSE)</f>
        <v>400002843</v>
      </c>
      <c r="S2317" s="159"/>
      <c r="T2317" s="159"/>
      <c r="U2317" s="159"/>
    </row>
    <row r="2318" spans="1:21" ht="60" customHeight="1" x14ac:dyDescent="0.25">
      <c r="A2318" s="63" t="e">
        <f>MATCH($E2318,'D1 - Master Project Table'!$B$24:$B$7056,0)</f>
        <v>#N/A</v>
      </c>
      <c r="B2318" s="63" t="b">
        <f t="shared" si="108"/>
        <v>1</v>
      </c>
      <c r="C2318" s="63" t="b">
        <f t="shared" si="109"/>
        <v>1</v>
      </c>
      <c r="D2318" s="63" t="str">
        <f t="shared" si="110"/>
        <v>OK</v>
      </c>
      <c r="E2318" s="393">
        <v>400002849</v>
      </c>
      <c r="F2318" s="392" t="s">
        <v>2838</v>
      </c>
      <c r="G2318" s="392" t="s">
        <v>5324</v>
      </c>
      <c r="H2318" s="392" t="s">
        <v>7418</v>
      </c>
      <c r="I2318" s="392" t="s">
        <v>1765</v>
      </c>
      <c r="J2318" s="392" t="s">
        <v>8530</v>
      </c>
      <c r="K2318" s="392" t="s">
        <v>7401</v>
      </c>
      <c r="L2318" s="392" t="s">
        <v>2845</v>
      </c>
      <c r="M2318" s="392" t="s">
        <v>7273</v>
      </c>
      <c r="N2318" s="392" t="s">
        <v>7273</v>
      </c>
      <c r="O2318" s="392" t="s">
        <v>7273</v>
      </c>
      <c r="P2318"/>
      <c r="Q2318"/>
      <c r="R2318" s="387">
        <f>VLOOKUP(E2318,'[1]NDB Impacted SPRFs 05032013'!$A$2:$A$65536,1,FALSE)</f>
        <v>400002849</v>
      </c>
    </row>
    <row r="2319" spans="1:21" ht="15" customHeight="1" x14ac:dyDescent="0.25">
      <c r="A2319" s="63">
        <f>MATCH($E2319,'D1 - Master Project Table'!$B$24:$B$7056,0)</f>
        <v>2413</v>
      </c>
      <c r="B2319" s="63" t="b">
        <f t="shared" si="108"/>
        <v>0</v>
      </c>
      <c r="C2319" s="63" t="b">
        <f t="shared" si="109"/>
        <v>1</v>
      </c>
      <c r="D2319" s="63" t="str">
        <f t="shared" si="110"/>
        <v>OK</v>
      </c>
      <c r="E2319" s="393">
        <v>400002904</v>
      </c>
      <c r="F2319" s="392" t="s">
        <v>2993</v>
      </c>
      <c r="G2319" s="392" t="s">
        <v>5324</v>
      </c>
      <c r="H2319" s="392" t="s">
        <v>5314</v>
      </c>
      <c r="I2319" s="392" t="s">
        <v>1765</v>
      </c>
      <c r="J2319" s="392" t="s">
        <v>8335</v>
      </c>
      <c r="K2319" s="392" t="s">
        <v>5641</v>
      </c>
      <c r="L2319" s="392" t="s">
        <v>2845</v>
      </c>
      <c r="M2319" s="392" t="s">
        <v>7273</v>
      </c>
      <c r="N2319" s="392" t="s">
        <v>7273</v>
      </c>
      <c r="O2319" s="392" t="s">
        <v>7273</v>
      </c>
      <c r="P2319"/>
      <c r="Q2319"/>
      <c r="R2319" s="387">
        <f>VLOOKUP(E2319,'[1]NDB Impacted SPRFs 05032013'!$A$2:$A$65536,1,FALSE)</f>
        <v>400002904</v>
      </c>
      <c r="S2319" s="159"/>
      <c r="T2319" s="159"/>
      <c r="U2319" s="159"/>
    </row>
    <row r="2320" spans="1:21" ht="45" x14ac:dyDescent="0.25">
      <c r="A2320" s="63">
        <f>MATCH($E2320,'D1 - Master Project Table'!$B$24:$B$7056,0)</f>
        <v>2418</v>
      </c>
      <c r="B2320" s="63" t="b">
        <f t="shared" si="108"/>
        <v>0</v>
      </c>
      <c r="C2320" s="63" t="b">
        <f t="shared" si="109"/>
        <v>1</v>
      </c>
      <c r="D2320" s="63" t="str">
        <f t="shared" si="110"/>
        <v>OK</v>
      </c>
      <c r="E2320" s="393">
        <v>400002977</v>
      </c>
      <c r="F2320" s="392" t="s">
        <v>2525</v>
      </c>
      <c r="G2320" s="392" t="s">
        <v>5324</v>
      </c>
      <c r="H2320" s="392" t="s">
        <v>5314</v>
      </c>
      <c r="I2320" s="392" t="s">
        <v>1765</v>
      </c>
      <c r="J2320" s="392" t="s">
        <v>8334</v>
      </c>
      <c r="K2320" s="392" t="s">
        <v>5641</v>
      </c>
      <c r="L2320" s="392" t="s">
        <v>2845</v>
      </c>
      <c r="M2320" s="392" t="s">
        <v>7273</v>
      </c>
      <c r="N2320" s="392" t="s">
        <v>7273</v>
      </c>
      <c r="O2320" s="392" t="s">
        <v>7273</v>
      </c>
      <c r="P2320"/>
      <c r="Q2320"/>
      <c r="R2320" s="387">
        <f>VLOOKUP(E2320,'[1]NDB Impacted SPRFs 05032013'!$A$2:$A$65536,1,FALSE)</f>
        <v>400002977</v>
      </c>
    </row>
    <row r="2321" spans="1:21" ht="15" customHeight="1" x14ac:dyDescent="0.25">
      <c r="A2321" s="63">
        <f>MATCH($E2321,'D1 - Master Project Table'!$B$24:$B$7056,0)</f>
        <v>2182</v>
      </c>
      <c r="B2321" s="63" t="b">
        <f t="shared" si="108"/>
        <v>0</v>
      </c>
      <c r="C2321" s="63" t="b">
        <f t="shared" si="109"/>
        <v>1</v>
      </c>
      <c r="D2321" s="63" t="str">
        <f t="shared" si="110"/>
        <v>OK</v>
      </c>
      <c r="E2321" s="393">
        <v>400003044</v>
      </c>
      <c r="F2321" s="392" t="s">
        <v>7827</v>
      </c>
      <c r="G2321" s="392" t="s">
        <v>5324</v>
      </c>
      <c r="H2321" s="392" t="s">
        <v>5314</v>
      </c>
      <c r="I2321" s="392" t="s">
        <v>1764</v>
      </c>
      <c r="J2321" s="392" t="s">
        <v>8448</v>
      </c>
      <c r="K2321" s="392" t="s">
        <v>5641</v>
      </c>
      <c r="L2321" s="392" t="s">
        <v>2845</v>
      </c>
      <c r="M2321" s="392" t="s">
        <v>7273</v>
      </c>
      <c r="N2321" s="392" t="s">
        <v>7273</v>
      </c>
      <c r="O2321" s="392" t="s">
        <v>7273</v>
      </c>
      <c r="P2321"/>
      <c r="Q2321"/>
      <c r="R2321" s="387">
        <f>VLOOKUP(E2321,'[1]NDB Impacted SPRFs 05032013'!$A$2:$A$65536,1,FALSE)</f>
        <v>400003044</v>
      </c>
    </row>
    <row r="2322" spans="1:21" ht="15" customHeight="1" x14ac:dyDescent="0.25">
      <c r="A2322" s="63" t="e">
        <f>MATCH($E2322,'D1 - Master Project Table'!$B$24:$B$7056,0)</f>
        <v>#N/A</v>
      </c>
      <c r="B2322" s="63" t="b">
        <f t="shared" si="108"/>
        <v>1</v>
      </c>
      <c r="C2322" s="63" t="b">
        <f t="shared" si="109"/>
        <v>1</v>
      </c>
      <c r="D2322" s="63" t="str">
        <f t="shared" si="110"/>
        <v>OK</v>
      </c>
      <c r="E2322" s="393">
        <v>400003045</v>
      </c>
      <c r="F2322" s="392" t="s">
        <v>4361</v>
      </c>
      <c r="G2322" s="392" t="s">
        <v>5324</v>
      </c>
      <c r="H2322" s="392" t="s">
        <v>5314</v>
      </c>
      <c r="I2322" s="392" t="s">
        <v>1765</v>
      </c>
      <c r="J2322" s="392" t="s">
        <v>8352</v>
      </c>
      <c r="K2322" s="392" t="s">
        <v>4090</v>
      </c>
      <c r="L2322" s="392" t="s">
        <v>2845</v>
      </c>
      <c r="M2322" s="392" t="s">
        <v>7273</v>
      </c>
      <c r="N2322" s="392" t="s">
        <v>7273</v>
      </c>
      <c r="O2322" s="392" t="s">
        <v>7273</v>
      </c>
      <c r="P2322"/>
      <c r="Q2322"/>
      <c r="R2322" s="387">
        <f>VLOOKUP(E2322,'[1]NDB Impacted SPRFs 05032013'!$A$2:$A$65536,1,FALSE)</f>
        <v>400003045</v>
      </c>
      <c r="S2322" s="159"/>
      <c r="T2322" s="159"/>
      <c r="U2322" s="159"/>
    </row>
    <row r="2323" spans="1:21" ht="15" x14ac:dyDescent="0.25">
      <c r="A2323" s="63">
        <f>MATCH($E2323,'D1 - Master Project Table'!$B$24:$B$7056,0)</f>
        <v>2420</v>
      </c>
      <c r="B2323" s="63" t="b">
        <f t="shared" si="108"/>
        <v>0</v>
      </c>
      <c r="C2323" s="63" t="b">
        <f t="shared" si="109"/>
        <v>1</v>
      </c>
      <c r="D2323" s="63" t="str">
        <f t="shared" si="110"/>
        <v>OK</v>
      </c>
      <c r="E2323" s="393">
        <v>400003061</v>
      </c>
      <c r="F2323" s="392" t="s">
        <v>2407</v>
      </c>
      <c r="G2323" s="392" t="s">
        <v>5787</v>
      </c>
      <c r="H2323" s="392" t="s">
        <v>5314</v>
      </c>
      <c r="I2323" s="392" t="s">
        <v>1783</v>
      </c>
      <c r="J2323" s="392" t="s">
        <v>8701</v>
      </c>
      <c r="K2323" s="392" t="s">
        <v>4559</v>
      </c>
      <c r="L2323" s="392" t="s">
        <v>2845</v>
      </c>
      <c r="M2323" s="392" t="s">
        <v>7273</v>
      </c>
      <c r="N2323" s="392" t="s">
        <v>7273</v>
      </c>
      <c r="O2323" s="392" t="s">
        <v>7273</v>
      </c>
      <c r="P2323"/>
      <c r="Q2323"/>
      <c r="R2323" s="387">
        <f>VLOOKUP(E2323,'[1]NDB Impacted SPRFs 05032013'!$A$2:$A$65536,1,FALSE)</f>
        <v>400003061</v>
      </c>
      <c r="S2323" s="159"/>
      <c r="T2323" s="159"/>
      <c r="U2323" s="159"/>
    </row>
    <row r="2324" spans="1:21" ht="45" x14ac:dyDescent="0.25">
      <c r="A2324" s="63">
        <f>MATCH($E2324,'D1 - Master Project Table'!$B$24:$B$7056,0)</f>
        <v>2423</v>
      </c>
      <c r="B2324" s="63" t="b">
        <f t="shared" si="108"/>
        <v>0</v>
      </c>
      <c r="C2324" s="63" t="b">
        <f t="shared" si="109"/>
        <v>1</v>
      </c>
      <c r="D2324" s="63" t="str">
        <f t="shared" si="110"/>
        <v>OK</v>
      </c>
      <c r="E2324" s="393">
        <v>400003239</v>
      </c>
      <c r="F2324" s="392" t="s">
        <v>6101</v>
      </c>
      <c r="G2324" s="392" t="s">
        <v>5324</v>
      </c>
      <c r="H2324" s="392" t="s">
        <v>5314</v>
      </c>
      <c r="I2324" s="392" t="s">
        <v>1765</v>
      </c>
      <c r="J2324" s="392" t="s">
        <v>8334</v>
      </c>
      <c r="K2324" s="392" t="s">
        <v>5641</v>
      </c>
      <c r="L2324" s="392" t="s">
        <v>2845</v>
      </c>
      <c r="M2324" s="392" t="s">
        <v>7273</v>
      </c>
      <c r="N2324" s="392" t="s">
        <v>7273</v>
      </c>
      <c r="O2324" s="392" t="s">
        <v>7273</v>
      </c>
      <c r="P2324"/>
      <c r="Q2324"/>
      <c r="R2324" s="387">
        <f>VLOOKUP(E2324,'[1]NDB Impacted SPRFs 05032013'!$A$2:$A$65536,1,FALSE)</f>
        <v>400003239</v>
      </c>
    </row>
    <row r="2325" spans="1:21" ht="15" customHeight="1" x14ac:dyDescent="0.25">
      <c r="A2325" s="63">
        <f>MATCH($E2325,'D1 - Master Project Table'!$B$24:$B$7056,0)</f>
        <v>296</v>
      </c>
      <c r="B2325" s="63" t="b">
        <f t="shared" si="108"/>
        <v>0</v>
      </c>
      <c r="C2325" s="63" t="b">
        <f t="shared" si="109"/>
        <v>1</v>
      </c>
      <c r="D2325" s="63" t="str">
        <f t="shared" si="110"/>
        <v>OK</v>
      </c>
      <c r="E2325" s="393">
        <v>400003298</v>
      </c>
      <c r="F2325" s="392" t="s">
        <v>6583</v>
      </c>
      <c r="G2325" s="392" t="s">
        <v>5325</v>
      </c>
      <c r="H2325" s="392" t="s">
        <v>7418</v>
      </c>
      <c r="I2325" s="392" t="s">
        <v>1794</v>
      </c>
      <c r="J2325" s="392" t="s">
        <v>3780</v>
      </c>
      <c r="K2325" s="392" t="s">
        <v>3224</v>
      </c>
      <c r="L2325" s="392" t="s">
        <v>2845</v>
      </c>
      <c r="M2325" s="392" t="s">
        <v>7273</v>
      </c>
      <c r="N2325" s="392" t="s">
        <v>7273</v>
      </c>
      <c r="O2325" s="392" t="s">
        <v>7273</v>
      </c>
      <c r="P2325"/>
      <c r="Q2325"/>
      <c r="R2325" s="387">
        <f>VLOOKUP(E2325,'[1]NDB Impacted SPRFs 05032013'!$A$2:$A$65536,1,FALSE)</f>
        <v>400003298</v>
      </c>
      <c r="S2325" s="159"/>
      <c r="T2325" s="159"/>
      <c r="U2325" s="159"/>
    </row>
    <row r="2326" spans="1:21" ht="45" x14ac:dyDescent="0.25">
      <c r="A2326" s="63" t="e">
        <f>MATCH($E2326,'D1 - Master Project Table'!$B$24:$B$7056,0)</f>
        <v>#N/A</v>
      </c>
      <c r="B2326" s="63" t="b">
        <f t="shared" si="108"/>
        <v>1</v>
      </c>
      <c r="C2326" s="63" t="b">
        <f t="shared" si="109"/>
        <v>1</v>
      </c>
      <c r="D2326" s="63" t="str">
        <f t="shared" si="110"/>
        <v>OK</v>
      </c>
      <c r="E2326" s="393">
        <v>400003350</v>
      </c>
      <c r="F2326" s="392" t="s">
        <v>7870</v>
      </c>
      <c r="G2326" s="392" t="s">
        <v>5324</v>
      </c>
      <c r="H2326" s="392" t="s">
        <v>7418</v>
      </c>
      <c r="I2326" s="392" t="s">
        <v>1765</v>
      </c>
      <c r="J2326" s="392" t="s">
        <v>8335</v>
      </c>
      <c r="K2326" s="392" t="s">
        <v>2829</v>
      </c>
      <c r="L2326" s="392" t="s">
        <v>2845</v>
      </c>
      <c r="M2326" s="392" t="s">
        <v>7273</v>
      </c>
      <c r="N2326" s="392" t="s">
        <v>7273</v>
      </c>
      <c r="O2326" s="392" t="s">
        <v>7273</v>
      </c>
      <c r="P2326"/>
      <c r="Q2326"/>
      <c r="R2326" s="387">
        <f>VLOOKUP(E2326,'[1]NDB Impacted SPRFs 05032013'!$A$2:$A$65536,1,FALSE)</f>
        <v>400003350</v>
      </c>
      <c r="S2326" s="159"/>
      <c r="T2326" s="159"/>
      <c r="U2326" s="159"/>
    </row>
    <row r="2327" spans="1:21" ht="45" x14ac:dyDescent="0.25">
      <c r="A2327" s="63" t="e">
        <f>MATCH($E2327,'D1 - Master Project Table'!$B$24:$B$7056,0)</f>
        <v>#N/A</v>
      </c>
      <c r="B2327" s="63" t="b">
        <f t="shared" si="108"/>
        <v>1</v>
      </c>
      <c r="C2327" s="63" t="b">
        <f t="shared" si="109"/>
        <v>1</v>
      </c>
      <c r="D2327" s="63" t="str">
        <f t="shared" si="110"/>
        <v>OK</v>
      </c>
      <c r="E2327" s="393">
        <v>400003351</v>
      </c>
      <c r="F2327" s="392" t="s">
        <v>3898</v>
      </c>
      <c r="G2327" s="392" t="s">
        <v>5324</v>
      </c>
      <c r="H2327" s="392" t="s">
        <v>7418</v>
      </c>
      <c r="I2327" s="392" t="s">
        <v>1765</v>
      </c>
      <c r="J2327" s="392" t="s">
        <v>8335</v>
      </c>
      <c r="K2327" s="392" t="s">
        <v>2829</v>
      </c>
      <c r="L2327" s="392" t="s">
        <v>2845</v>
      </c>
      <c r="M2327" s="392" t="s">
        <v>7273</v>
      </c>
      <c r="N2327" s="392" t="s">
        <v>7273</v>
      </c>
      <c r="O2327" s="392" t="s">
        <v>7273</v>
      </c>
      <c r="P2327"/>
      <c r="Q2327"/>
      <c r="R2327" s="387">
        <f>VLOOKUP(E2327,'[1]NDB Impacted SPRFs 05032013'!$A$2:$A$65536,1,FALSE)</f>
        <v>400003351</v>
      </c>
    </row>
    <row r="2328" spans="1:21" ht="45" x14ac:dyDescent="0.25">
      <c r="A2328" s="63" t="e">
        <f>MATCH($E2328,'D1 - Master Project Table'!$B$24:$B$7056,0)</f>
        <v>#N/A</v>
      </c>
      <c r="B2328" s="63" t="b">
        <f t="shared" si="108"/>
        <v>1</v>
      </c>
      <c r="C2328" s="63" t="b">
        <f t="shared" si="109"/>
        <v>1</v>
      </c>
      <c r="D2328" s="63" t="str">
        <f t="shared" si="110"/>
        <v>OK</v>
      </c>
      <c r="E2328" s="393">
        <v>400003352</v>
      </c>
      <c r="F2328" s="392" t="s">
        <v>1470</v>
      </c>
      <c r="G2328" s="392" t="s">
        <v>5324</v>
      </c>
      <c r="H2328" s="392" t="s">
        <v>7418</v>
      </c>
      <c r="I2328" s="392" t="s">
        <v>1765</v>
      </c>
      <c r="J2328" s="392" t="s">
        <v>8335</v>
      </c>
      <c r="K2328" s="392" t="s">
        <v>2829</v>
      </c>
      <c r="L2328" s="392" t="s">
        <v>2845</v>
      </c>
      <c r="M2328" s="392" t="s">
        <v>7273</v>
      </c>
      <c r="N2328" s="392" t="s">
        <v>7273</v>
      </c>
      <c r="O2328" s="392" t="s">
        <v>7273</v>
      </c>
      <c r="P2328"/>
      <c r="Q2328"/>
      <c r="R2328" s="387">
        <f>VLOOKUP(E2328,'[1]NDB Impacted SPRFs 05032013'!$A$2:$A$65536,1,FALSE)</f>
        <v>400003352</v>
      </c>
      <c r="S2328" s="159"/>
      <c r="T2328" s="159"/>
      <c r="U2328" s="159"/>
    </row>
    <row r="2329" spans="1:21" ht="45" x14ac:dyDescent="0.25">
      <c r="A2329" s="63" t="e">
        <f>MATCH($E2329,'D1 - Master Project Table'!$B$24:$B$7056,0)</f>
        <v>#N/A</v>
      </c>
      <c r="B2329" s="63" t="b">
        <f t="shared" si="108"/>
        <v>1</v>
      </c>
      <c r="C2329" s="63" t="b">
        <f t="shared" si="109"/>
        <v>1</v>
      </c>
      <c r="D2329" s="63" t="str">
        <f t="shared" si="110"/>
        <v>OK</v>
      </c>
      <c r="E2329" s="393">
        <v>400003359</v>
      </c>
      <c r="F2329" s="392" t="s">
        <v>7988</v>
      </c>
      <c r="G2329" s="392" t="s">
        <v>5324</v>
      </c>
      <c r="H2329" s="392" t="s">
        <v>7418</v>
      </c>
      <c r="I2329" s="392" t="s">
        <v>1765</v>
      </c>
      <c r="J2329" s="392" t="s">
        <v>8348</v>
      </c>
      <c r="K2329" s="392" t="s">
        <v>4169</v>
      </c>
      <c r="L2329" s="392" t="s">
        <v>2845</v>
      </c>
      <c r="M2329" s="392" t="s">
        <v>7273</v>
      </c>
      <c r="N2329" s="392" t="s">
        <v>7273</v>
      </c>
      <c r="O2329" s="392" t="s">
        <v>7273</v>
      </c>
      <c r="P2329"/>
      <c r="Q2329"/>
      <c r="R2329" s="387">
        <f>VLOOKUP(E2329,'[1]NDB Impacted SPRFs 05032013'!$A$2:$A$65536,1,FALSE)</f>
        <v>400003359</v>
      </c>
      <c r="S2329" s="159"/>
      <c r="T2329" s="159"/>
      <c r="U2329" s="159"/>
    </row>
    <row r="2330" spans="1:21" ht="45" x14ac:dyDescent="0.25">
      <c r="A2330" s="63">
        <f>MATCH($E2330,'D1 - Master Project Table'!$B$24:$B$7056,0)</f>
        <v>569</v>
      </c>
      <c r="B2330" s="63" t="b">
        <f t="shared" si="108"/>
        <v>0</v>
      </c>
      <c r="C2330" s="63" t="b">
        <f t="shared" si="109"/>
        <v>1</v>
      </c>
      <c r="D2330" s="63" t="str">
        <f t="shared" si="110"/>
        <v>OK</v>
      </c>
      <c r="E2330" s="393">
        <v>400003395</v>
      </c>
      <c r="F2330" s="392" t="s">
        <v>4243</v>
      </c>
      <c r="G2330" s="392" t="s">
        <v>5324</v>
      </c>
      <c r="H2330" s="392" t="s">
        <v>7418</v>
      </c>
      <c r="I2330" s="392" t="s">
        <v>1764</v>
      </c>
      <c r="J2330" s="392" t="s">
        <v>8298</v>
      </c>
      <c r="K2330" s="392" t="s">
        <v>4222</v>
      </c>
      <c r="L2330" s="392" t="s">
        <v>2845</v>
      </c>
      <c r="M2330" s="392" t="s">
        <v>7273</v>
      </c>
      <c r="N2330" s="392" t="s">
        <v>7273</v>
      </c>
      <c r="O2330" s="392" t="s">
        <v>7273</v>
      </c>
      <c r="P2330"/>
      <c r="Q2330"/>
      <c r="R2330" s="387">
        <f>VLOOKUP(E2330,'[1]NDB Impacted SPRFs 05032013'!$A$2:$A$65536,1,FALSE)</f>
        <v>400003395</v>
      </c>
      <c r="S2330" s="159"/>
      <c r="T2330" s="159"/>
      <c r="U2330" s="159"/>
    </row>
    <row r="2331" spans="1:21" ht="45" x14ac:dyDescent="0.25">
      <c r="A2331" s="63">
        <f>MATCH($E2331,'D1 - Master Project Table'!$B$24:$B$7056,0)</f>
        <v>2439</v>
      </c>
      <c r="B2331" s="63" t="b">
        <f t="shared" si="108"/>
        <v>0</v>
      </c>
      <c r="C2331" s="63" t="b">
        <f t="shared" si="109"/>
        <v>1</v>
      </c>
      <c r="D2331" s="63" t="str">
        <f t="shared" si="110"/>
        <v>OK</v>
      </c>
      <c r="E2331" s="393">
        <v>400003683</v>
      </c>
      <c r="F2331" s="392" t="s">
        <v>7355</v>
      </c>
      <c r="G2331" s="392" t="s">
        <v>5324</v>
      </c>
      <c r="H2331" s="392" t="s">
        <v>5314</v>
      </c>
      <c r="I2331" s="392" t="s">
        <v>1765</v>
      </c>
      <c r="J2331" s="392" t="s">
        <v>8335</v>
      </c>
      <c r="K2331" s="392" t="s">
        <v>5641</v>
      </c>
      <c r="L2331" s="392" t="s">
        <v>2845</v>
      </c>
      <c r="M2331" s="392" t="s">
        <v>7273</v>
      </c>
      <c r="N2331" s="392" t="s">
        <v>7273</v>
      </c>
      <c r="O2331" s="392" t="s">
        <v>7273</v>
      </c>
      <c r="P2331"/>
      <c r="Q2331"/>
      <c r="R2331" s="387">
        <f>VLOOKUP(E2331,'[1]NDB Impacted SPRFs 05032013'!$A$2:$A$65536,1,FALSE)</f>
        <v>400003683</v>
      </c>
      <c r="S2331" s="159"/>
      <c r="T2331" s="159"/>
      <c r="U2331" s="159"/>
    </row>
    <row r="2332" spans="1:21" ht="15" customHeight="1" x14ac:dyDescent="0.25">
      <c r="A2332" s="63" t="e">
        <f>MATCH($E2332,'D1 - Master Project Table'!$B$24:$B$7056,0)</f>
        <v>#N/A</v>
      </c>
      <c r="B2332" s="63" t="b">
        <f t="shared" si="108"/>
        <v>1</v>
      </c>
      <c r="C2332" s="63" t="b">
        <f t="shared" si="109"/>
        <v>1</v>
      </c>
      <c r="D2332" s="63" t="str">
        <f t="shared" si="110"/>
        <v>OK</v>
      </c>
      <c r="E2332" s="393">
        <v>400003707</v>
      </c>
      <c r="F2332" s="392" t="s">
        <v>1602</v>
      </c>
      <c r="G2332" s="392" t="s">
        <v>5787</v>
      </c>
      <c r="H2332" s="392" t="s">
        <v>7418</v>
      </c>
      <c r="I2332" s="392" t="s">
        <v>1780</v>
      </c>
      <c r="J2332" s="392" t="s">
        <v>8459</v>
      </c>
      <c r="K2332" s="392" t="s">
        <v>3353</v>
      </c>
      <c r="L2332" s="392" t="s">
        <v>2845</v>
      </c>
      <c r="M2332" s="392" t="s">
        <v>7273</v>
      </c>
      <c r="N2332" s="392" t="s">
        <v>7273</v>
      </c>
      <c r="O2332" s="392" t="s">
        <v>7273</v>
      </c>
      <c r="P2332"/>
      <c r="Q2332"/>
      <c r="R2332" s="387">
        <f>VLOOKUP(E2332,'[1]NDB Impacted SPRFs 05032013'!$A$2:$A$65536,1,FALSE)</f>
        <v>400003707</v>
      </c>
      <c r="S2332" s="159"/>
      <c r="T2332" s="159"/>
      <c r="U2332" s="159"/>
    </row>
    <row r="2333" spans="1:21" ht="45" x14ac:dyDescent="0.25">
      <c r="A2333" s="63" t="e">
        <f>MATCH($E2333,'D1 - Master Project Table'!$B$24:$B$7056,0)</f>
        <v>#N/A</v>
      </c>
      <c r="B2333" s="63" t="b">
        <f t="shared" si="108"/>
        <v>1</v>
      </c>
      <c r="C2333" s="63" t="b">
        <f t="shared" si="109"/>
        <v>1</v>
      </c>
      <c r="D2333" s="63" t="str">
        <f t="shared" si="110"/>
        <v>OK</v>
      </c>
      <c r="E2333" s="393">
        <v>400003817</v>
      </c>
      <c r="F2333" s="392" t="s">
        <v>7630</v>
      </c>
      <c r="G2333" s="392" t="s">
        <v>5324</v>
      </c>
      <c r="H2333" s="392" t="s">
        <v>7418</v>
      </c>
      <c r="I2333" s="392" t="s">
        <v>1765</v>
      </c>
      <c r="J2333" s="392" t="s">
        <v>8334</v>
      </c>
      <c r="K2333" s="392" t="s">
        <v>5755</v>
      </c>
      <c r="L2333" s="392" t="s">
        <v>2845</v>
      </c>
      <c r="M2333" s="392" t="s">
        <v>7273</v>
      </c>
      <c r="N2333" s="392" t="s">
        <v>7273</v>
      </c>
      <c r="O2333" s="392" t="s">
        <v>7273</v>
      </c>
      <c r="P2333"/>
      <c r="Q2333"/>
      <c r="R2333" s="387">
        <f>VLOOKUP(E2333,'[1]NDB Impacted SPRFs 05032013'!$A$2:$A$65536,1,FALSE)</f>
        <v>400003817</v>
      </c>
      <c r="S2333" s="159"/>
      <c r="T2333" s="159"/>
      <c r="U2333" s="159"/>
    </row>
    <row r="2334" spans="1:21" ht="45" x14ac:dyDescent="0.25">
      <c r="A2334" s="63" t="e">
        <f>MATCH($E2334,'D1 - Master Project Table'!$B$24:$B$7056,0)</f>
        <v>#N/A</v>
      </c>
      <c r="B2334" s="63" t="b">
        <f t="shared" si="108"/>
        <v>1</v>
      </c>
      <c r="C2334" s="63" t="b">
        <f t="shared" si="109"/>
        <v>1</v>
      </c>
      <c r="D2334" s="63" t="str">
        <f t="shared" si="110"/>
        <v>OK</v>
      </c>
      <c r="E2334" s="393">
        <v>400003870</v>
      </c>
      <c r="F2334" s="392" t="s">
        <v>983</v>
      </c>
      <c r="G2334" s="392" t="s">
        <v>5324</v>
      </c>
      <c r="H2334" s="392" t="s">
        <v>5314</v>
      </c>
      <c r="I2334" s="392" t="s">
        <v>1765</v>
      </c>
      <c r="J2334" s="392" t="s">
        <v>8415</v>
      </c>
      <c r="K2334" s="392" t="s">
        <v>5641</v>
      </c>
      <c r="L2334" s="392" t="s">
        <v>2845</v>
      </c>
      <c r="M2334" s="392" t="s">
        <v>7273</v>
      </c>
      <c r="N2334" s="392" t="s">
        <v>7273</v>
      </c>
      <c r="O2334" s="392" t="s">
        <v>7273</v>
      </c>
      <c r="P2334"/>
      <c r="Q2334"/>
      <c r="R2334" s="387">
        <f>VLOOKUP(E2334,'[1]NDB Impacted SPRFs 05032013'!$A$2:$A$65536,1,FALSE)</f>
        <v>400003870</v>
      </c>
    </row>
    <row r="2335" spans="1:21" ht="45" x14ac:dyDescent="0.25">
      <c r="A2335" s="63">
        <f>MATCH($E2335,'D1 - Master Project Table'!$B$24:$B$7056,0)</f>
        <v>2444</v>
      </c>
      <c r="B2335" s="63" t="b">
        <f t="shared" si="108"/>
        <v>0</v>
      </c>
      <c r="C2335" s="63" t="b">
        <f t="shared" si="109"/>
        <v>1</v>
      </c>
      <c r="D2335" s="63" t="str">
        <f t="shared" si="110"/>
        <v>OK</v>
      </c>
      <c r="E2335" s="393">
        <v>400003873</v>
      </c>
      <c r="F2335" s="392" t="s">
        <v>985</v>
      </c>
      <c r="G2335" s="392" t="s">
        <v>5324</v>
      </c>
      <c r="H2335" s="392" t="s">
        <v>5314</v>
      </c>
      <c r="I2335" s="392" t="s">
        <v>1765</v>
      </c>
      <c r="J2335" s="392" t="s">
        <v>2937</v>
      </c>
      <c r="K2335" s="392" t="s">
        <v>5641</v>
      </c>
      <c r="L2335" s="392" t="s">
        <v>2845</v>
      </c>
      <c r="M2335" s="392" t="s">
        <v>7273</v>
      </c>
      <c r="N2335" s="392" t="s">
        <v>7273</v>
      </c>
      <c r="O2335" s="392" t="s">
        <v>7273</v>
      </c>
      <c r="P2335"/>
      <c r="Q2335"/>
      <c r="R2335" s="387">
        <f>VLOOKUP(E2335,'[1]NDB Impacted SPRFs 05032013'!$A$2:$A$65536,1,FALSE)</f>
        <v>400003873</v>
      </c>
      <c r="S2335" s="159"/>
      <c r="T2335" s="159"/>
      <c r="U2335" s="159"/>
    </row>
    <row r="2336" spans="1:21" ht="45" x14ac:dyDescent="0.25">
      <c r="A2336" s="63" t="e">
        <f>MATCH($E2336,'D1 - Master Project Table'!$B$24:$B$7056,0)</f>
        <v>#N/A</v>
      </c>
      <c r="B2336" s="63" t="b">
        <f t="shared" si="108"/>
        <v>1</v>
      </c>
      <c r="C2336" s="63" t="b">
        <f t="shared" si="109"/>
        <v>1</v>
      </c>
      <c r="D2336" s="63" t="str">
        <f t="shared" si="110"/>
        <v>OK</v>
      </c>
      <c r="E2336" s="393">
        <v>400003878</v>
      </c>
      <c r="F2336" s="392" t="s">
        <v>2687</v>
      </c>
      <c r="G2336" s="392" t="s">
        <v>5324</v>
      </c>
      <c r="H2336" s="392" t="s">
        <v>5314</v>
      </c>
      <c r="I2336" s="392" t="s">
        <v>1765</v>
      </c>
      <c r="J2336" s="392" t="s">
        <v>8415</v>
      </c>
      <c r="K2336" s="392" t="s">
        <v>5641</v>
      </c>
      <c r="L2336" s="392" t="s">
        <v>2845</v>
      </c>
      <c r="M2336" s="392" t="s">
        <v>7273</v>
      </c>
      <c r="N2336" s="392" t="s">
        <v>7273</v>
      </c>
      <c r="O2336" s="392" t="s">
        <v>7273</v>
      </c>
      <c r="P2336"/>
      <c r="Q2336"/>
      <c r="R2336" s="387">
        <f>VLOOKUP(E2336,'[1]NDB Impacted SPRFs 05032013'!$A$2:$A$65536,1,FALSE)</f>
        <v>400003878</v>
      </c>
    </row>
    <row r="2337" spans="1:21" ht="45" x14ac:dyDescent="0.25">
      <c r="A2337" s="63">
        <f>MATCH($E2337,'D1 - Master Project Table'!$B$24:$B$7056,0)</f>
        <v>2447</v>
      </c>
      <c r="B2337" s="63" t="b">
        <f t="shared" si="108"/>
        <v>0</v>
      </c>
      <c r="C2337" s="63" t="b">
        <f t="shared" si="109"/>
        <v>1</v>
      </c>
      <c r="D2337" s="63" t="str">
        <f t="shared" si="110"/>
        <v>OK</v>
      </c>
      <c r="E2337" s="393">
        <v>400004049</v>
      </c>
      <c r="F2337" s="392" t="s">
        <v>2688</v>
      </c>
      <c r="G2337" s="392" t="s">
        <v>5324</v>
      </c>
      <c r="H2337" s="392" t="s">
        <v>5314</v>
      </c>
      <c r="I2337" s="392" t="s">
        <v>1765</v>
      </c>
      <c r="J2337" s="392" t="s">
        <v>7935</v>
      </c>
      <c r="K2337" s="392" t="s">
        <v>6271</v>
      </c>
      <c r="L2337" s="392" t="s">
        <v>2845</v>
      </c>
      <c r="M2337" s="392" t="s">
        <v>7273</v>
      </c>
      <c r="N2337" s="392" t="s">
        <v>7273</v>
      </c>
      <c r="O2337" s="392" t="s">
        <v>7273</v>
      </c>
      <c r="P2337"/>
      <c r="Q2337"/>
      <c r="R2337" s="387">
        <f>VLOOKUP(E2337,'[1]NDB Impacted SPRFs 05032013'!$A$2:$A$65536,1,FALSE)</f>
        <v>400004049</v>
      </c>
    </row>
    <row r="2338" spans="1:21" ht="45" x14ac:dyDescent="0.25">
      <c r="A2338" s="63" t="e">
        <f>MATCH($E2338,'D1 - Master Project Table'!$B$24:$B$7056,0)</f>
        <v>#N/A</v>
      </c>
      <c r="B2338" s="63" t="b">
        <f t="shared" si="108"/>
        <v>1</v>
      </c>
      <c r="C2338" s="63" t="b">
        <f t="shared" si="109"/>
        <v>1</v>
      </c>
      <c r="D2338" s="63" t="str">
        <f t="shared" si="110"/>
        <v>OK</v>
      </c>
      <c r="E2338" s="393">
        <v>400004098</v>
      </c>
      <c r="F2338" s="392" t="s">
        <v>2689</v>
      </c>
      <c r="G2338" s="392" t="s">
        <v>5324</v>
      </c>
      <c r="H2338" s="392" t="s">
        <v>5314</v>
      </c>
      <c r="I2338" s="392" t="s">
        <v>1765</v>
      </c>
      <c r="J2338" s="392" t="s">
        <v>8352</v>
      </c>
      <c r="K2338" s="392" t="s">
        <v>5641</v>
      </c>
      <c r="L2338" s="392" t="s">
        <v>2845</v>
      </c>
      <c r="M2338" s="392" t="s">
        <v>7273</v>
      </c>
      <c r="N2338" s="392" t="s">
        <v>7273</v>
      </c>
      <c r="O2338" s="392" t="s">
        <v>7273</v>
      </c>
      <c r="P2338"/>
      <c r="Q2338"/>
      <c r="R2338" s="387">
        <f>VLOOKUP(E2338,'[1]NDB Impacted SPRFs 05032013'!$A$2:$A$65536,1,FALSE)</f>
        <v>400004098</v>
      </c>
      <c r="S2338" s="159"/>
      <c r="T2338" s="159"/>
      <c r="U2338" s="159"/>
    </row>
    <row r="2339" spans="1:21" ht="45" x14ac:dyDescent="0.25">
      <c r="A2339" s="63" t="e">
        <f>MATCH($E2339,'D1 - Master Project Table'!$B$24:$B$7056,0)</f>
        <v>#N/A</v>
      </c>
      <c r="B2339" s="63" t="b">
        <f t="shared" si="108"/>
        <v>1</v>
      </c>
      <c r="C2339" s="63" t="b">
        <f t="shared" si="109"/>
        <v>1</v>
      </c>
      <c r="D2339" s="63" t="str">
        <f t="shared" si="110"/>
        <v>OK</v>
      </c>
      <c r="E2339" s="393">
        <v>400004115</v>
      </c>
      <c r="F2339" s="392" t="s">
        <v>2690</v>
      </c>
      <c r="G2339" s="392" t="s">
        <v>5324</v>
      </c>
      <c r="H2339" s="392" t="s">
        <v>5314</v>
      </c>
      <c r="I2339" s="392" t="s">
        <v>1765</v>
      </c>
      <c r="J2339" s="392" t="s">
        <v>2412</v>
      </c>
      <c r="K2339" s="392" t="s">
        <v>2829</v>
      </c>
      <c r="L2339" s="392" t="s">
        <v>2845</v>
      </c>
      <c r="M2339" s="392" t="s">
        <v>7273</v>
      </c>
      <c r="N2339" s="392" t="s">
        <v>7273</v>
      </c>
      <c r="O2339" s="392" t="s">
        <v>7273</v>
      </c>
      <c r="P2339"/>
      <c r="Q2339"/>
      <c r="R2339" s="387">
        <f>VLOOKUP(E2339,'[1]NDB Impacted SPRFs 05032013'!$A$2:$A$65536,1,FALSE)</f>
        <v>400004115</v>
      </c>
      <c r="S2339" s="159"/>
      <c r="T2339" s="159"/>
      <c r="U2339" s="159"/>
    </row>
    <row r="2340" spans="1:21" ht="30" x14ac:dyDescent="0.25">
      <c r="A2340" s="63">
        <f>MATCH($E2340,'D1 - Master Project Table'!$B$24:$B$7056,0)</f>
        <v>2453</v>
      </c>
      <c r="B2340" s="63" t="b">
        <f t="shared" si="108"/>
        <v>0</v>
      </c>
      <c r="C2340" s="63" t="b">
        <f t="shared" si="109"/>
        <v>1</v>
      </c>
      <c r="D2340" s="63" t="str">
        <f t="shared" si="110"/>
        <v>OK</v>
      </c>
      <c r="E2340" s="393">
        <v>400004240</v>
      </c>
      <c r="F2340" s="392" t="s">
        <v>5667</v>
      </c>
      <c r="G2340" s="392" t="s">
        <v>5995</v>
      </c>
      <c r="H2340" s="392" t="s">
        <v>5314</v>
      </c>
      <c r="I2340" s="392" t="s">
        <v>3529</v>
      </c>
      <c r="J2340" s="392" t="s">
        <v>8815</v>
      </c>
      <c r="K2340" s="392" t="s">
        <v>5639</v>
      </c>
      <c r="L2340" s="392" t="s">
        <v>2845</v>
      </c>
      <c r="M2340" s="392" t="s">
        <v>7273</v>
      </c>
      <c r="N2340" s="392" t="s">
        <v>7273</v>
      </c>
      <c r="O2340" s="392" t="s">
        <v>7273</v>
      </c>
      <c r="P2340"/>
      <c r="Q2340"/>
      <c r="R2340" s="387">
        <f>VLOOKUP(E2340,'[1]NDB Impacted SPRFs 05032013'!$A$2:$A$65536,1,FALSE)</f>
        <v>400004240</v>
      </c>
      <c r="S2340" s="159"/>
      <c r="T2340" s="159"/>
      <c r="U2340" s="159"/>
    </row>
    <row r="2341" spans="1:21" ht="45" x14ac:dyDescent="0.25">
      <c r="A2341" s="63">
        <f>MATCH($E2341,'D1 - Master Project Table'!$B$24:$B$7056,0)</f>
        <v>2454</v>
      </c>
      <c r="B2341" s="63" t="b">
        <f t="shared" si="108"/>
        <v>0</v>
      </c>
      <c r="C2341" s="63" t="b">
        <f t="shared" si="109"/>
        <v>1</v>
      </c>
      <c r="D2341" s="63" t="str">
        <f t="shared" si="110"/>
        <v>OK</v>
      </c>
      <c r="E2341" s="393">
        <v>400004283</v>
      </c>
      <c r="F2341" s="392" t="s">
        <v>6900</v>
      </c>
      <c r="G2341" s="392" t="s">
        <v>5324</v>
      </c>
      <c r="H2341" s="392" t="s">
        <v>5314</v>
      </c>
      <c r="I2341" s="392" t="s">
        <v>1763</v>
      </c>
      <c r="J2341" s="392" t="s">
        <v>8589</v>
      </c>
      <c r="K2341" s="392" t="s">
        <v>5641</v>
      </c>
      <c r="L2341" s="392" t="s">
        <v>2845</v>
      </c>
      <c r="M2341" s="392" t="s">
        <v>7273</v>
      </c>
      <c r="N2341" s="392" t="s">
        <v>7273</v>
      </c>
      <c r="O2341" s="392" t="s">
        <v>7273</v>
      </c>
      <c r="P2341"/>
      <c r="Q2341"/>
      <c r="R2341" s="387">
        <f>VLOOKUP(E2341,'[1]NDB Impacted SPRFs 05032013'!$A$2:$A$65536,1,FALSE)</f>
        <v>400004283</v>
      </c>
      <c r="S2341" s="159"/>
      <c r="T2341" s="159"/>
      <c r="U2341" s="159"/>
    </row>
    <row r="2342" spans="1:21" ht="30" x14ac:dyDescent="0.25">
      <c r="A2342" s="63">
        <f>MATCH($E2342,'D1 - Master Project Table'!$B$24:$B$7056,0)</f>
        <v>2455</v>
      </c>
      <c r="B2342" s="147" t="b">
        <f t="shared" si="108"/>
        <v>0</v>
      </c>
      <c r="C2342" s="147" t="b">
        <f t="shared" si="109"/>
        <v>1</v>
      </c>
      <c r="D2342" s="147" t="str">
        <f t="shared" si="110"/>
        <v>OK</v>
      </c>
      <c r="E2342" s="393">
        <v>400004294</v>
      </c>
      <c r="F2342" s="392" t="s">
        <v>3651</v>
      </c>
      <c r="G2342" s="392" t="s">
        <v>5787</v>
      </c>
      <c r="H2342" s="392" t="s">
        <v>5314</v>
      </c>
      <c r="I2342" s="392" t="s">
        <v>6869</v>
      </c>
      <c r="J2342" s="392" t="s">
        <v>8463</v>
      </c>
      <c r="K2342" s="392" t="s">
        <v>6976</v>
      </c>
      <c r="L2342" s="392" t="s">
        <v>2845</v>
      </c>
      <c r="M2342" s="392" t="s">
        <v>7273</v>
      </c>
      <c r="N2342" s="392" t="s">
        <v>7273</v>
      </c>
      <c r="O2342" s="392" t="s">
        <v>7273</v>
      </c>
      <c r="P2342"/>
      <c r="Q2342"/>
      <c r="R2342" s="387">
        <f>VLOOKUP(E2342,'[1]NDB Impacted SPRFs 05032013'!$A$2:$A$65536,1,FALSE)</f>
        <v>400004294</v>
      </c>
    </row>
    <row r="2343" spans="1:21" ht="45" x14ac:dyDescent="0.25">
      <c r="A2343" s="63">
        <f>MATCH($E2343,'D1 - Master Project Table'!$B$24:$B$7056,0)</f>
        <v>2462</v>
      </c>
      <c r="B2343" s="63" t="b">
        <f t="shared" si="108"/>
        <v>0</v>
      </c>
      <c r="C2343" s="63" t="b">
        <f t="shared" si="109"/>
        <v>1</v>
      </c>
      <c r="D2343" s="63" t="str">
        <f t="shared" si="110"/>
        <v>OK</v>
      </c>
      <c r="E2343" s="393">
        <v>400004407</v>
      </c>
      <c r="F2343" s="392" t="s">
        <v>4360</v>
      </c>
      <c r="G2343" s="392" t="s">
        <v>5324</v>
      </c>
      <c r="H2343" s="392" t="s">
        <v>5314</v>
      </c>
      <c r="I2343" s="392" t="s">
        <v>1765</v>
      </c>
      <c r="J2343" s="392" t="s">
        <v>4708</v>
      </c>
      <c r="K2343" s="392" t="s">
        <v>4006</v>
      </c>
      <c r="L2343" s="392" t="s">
        <v>2845</v>
      </c>
      <c r="M2343" s="392" t="s">
        <v>7273</v>
      </c>
      <c r="N2343" s="392" t="s">
        <v>7273</v>
      </c>
      <c r="O2343" s="392" t="s">
        <v>7273</v>
      </c>
      <c r="P2343"/>
      <c r="Q2343"/>
      <c r="R2343" s="387">
        <f>VLOOKUP(E2343,'[1]NDB Impacted SPRFs 05032013'!$A$2:$A$65536,1,FALSE)</f>
        <v>400004407</v>
      </c>
      <c r="S2343" s="159"/>
      <c r="T2343" s="159"/>
      <c r="U2343" s="159"/>
    </row>
    <row r="2344" spans="1:21" ht="45" x14ac:dyDescent="0.25">
      <c r="A2344" s="63">
        <f>MATCH($E2344,'D1 - Master Project Table'!$B$24:$B$7056,0)</f>
        <v>2463</v>
      </c>
      <c r="B2344" s="63" t="b">
        <f t="shared" si="108"/>
        <v>0</v>
      </c>
      <c r="C2344" s="63" t="b">
        <f t="shared" si="109"/>
        <v>1</v>
      </c>
      <c r="D2344" s="63" t="str">
        <f t="shared" si="110"/>
        <v>OK</v>
      </c>
      <c r="E2344" s="393">
        <v>400004412</v>
      </c>
      <c r="F2344" s="392" t="s">
        <v>3014</v>
      </c>
      <c r="G2344" s="392" t="s">
        <v>5324</v>
      </c>
      <c r="H2344" s="392" t="s">
        <v>5314</v>
      </c>
      <c r="I2344" s="392" t="s">
        <v>1765</v>
      </c>
      <c r="J2344" s="392" t="s">
        <v>8322</v>
      </c>
      <c r="K2344" s="392" t="s">
        <v>4010</v>
      </c>
      <c r="L2344" s="392" t="s">
        <v>2845</v>
      </c>
      <c r="M2344" s="392" t="s">
        <v>7273</v>
      </c>
      <c r="N2344" s="392" t="s">
        <v>7273</v>
      </c>
      <c r="O2344" s="392" t="s">
        <v>7273</v>
      </c>
      <c r="R2344" s="387">
        <f>VLOOKUP(E2344,'[1]NDB Impacted SPRFs 05032013'!$A$2:$A$65536,1,FALSE)</f>
        <v>400004412</v>
      </c>
    </row>
    <row r="2345" spans="1:21" ht="45" x14ac:dyDescent="0.25">
      <c r="A2345" s="63" t="e">
        <f>MATCH($E2345,'D1 - Master Project Table'!$B$24:$B$7056,0)</f>
        <v>#N/A</v>
      </c>
      <c r="B2345" s="63" t="b">
        <f t="shared" si="108"/>
        <v>1</v>
      </c>
      <c r="C2345" s="63" t="b">
        <f t="shared" si="109"/>
        <v>1</v>
      </c>
      <c r="D2345" s="63" t="str">
        <f t="shared" si="110"/>
        <v>OK</v>
      </c>
      <c r="E2345" s="393">
        <v>400004547</v>
      </c>
      <c r="F2345" s="392" t="s">
        <v>6879</v>
      </c>
      <c r="G2345" s="392" t="s">
        <v>5324</v>
      </c>
      <c r="H2345" s="392" t="s">
        <v>7418</v>
      </c>
      <c r="I2345" s="392" t="s">
        <v>1765</v>
      </c>
      <c r="J2345" s="392" t="s">
        <v>8335</v>
      </c>
      <c r="K2345" s="392" t="s">
        <v>2829</v>
      </c>
      <c r="L2345" s="392" t="s">
        <v>2845</v>
      </c>
      <c r="M2345" s="392" t="s">
        <v>7273</v>
      </c>
      <c r="N2345" s="392" t="s">
        <v>7273</v>
      </c>
      <c r="O2345" s="392" t="s">
        <v>7273</v>
      </c>
      <c r="P2345"/>
      <c r="Q2345"/>
      <c r="R2345" s="387">
        <f>VLOOKUP(E2345,'[1]NDB Impacted SPRFs 05032013'!$A$2:$A$65536,1,FALSE)</f>
        <v>400004547</v>
      </c>
      <c r="S2345" s="159"/>
      <c r="T2345" s="159"/>
      <c r="U2345" s="159"/>
    </row>
    <row r="2346" spans="1:21" ht="45" x14ac:dyDescent="0.25">
      <c r="A2346" s="63" t="e">
        <f>MATCH($E2346,'D1 - Master Project Table'!$B$24:$B$7056,0)</f>
        <v>#N/A</v>
      </c>
      <c r="B2346" s="63" t="b">
        <f t="shared" si="108"/>
        <v>1</v>
      </c>
      <c r="C2346" s="63" t="b">
        <f t="shared" si="109"/>
        <v>1</v>
      </c>
      <c r="D2346" s="63" t="str">
        <f t="shared" si="110"/>
        <v>OK</v>
      </c>
      <c r="E2346" s="393">
        <v>400004613</v>
      </c>
      <c r="F2346" s="392" t="s">
        <v>6472</v>
      </c>
      <c r="G2346" s="392" t="s">
        <v>5324</v>
      </c>
      <c r="H2346" s="392" t="s">
        <v>7418</v>
      </c>
      <c r="I2346" s="392" t="s">
        <v>1765</v>
      </c>
      <c r="J2346" s="392" t="s">
        <v>8335</v>
      </c>
      <c r="K2346" s="392" t="s">
        <v>2829</v>
      </c>
      <c r="L2346" s="392" t="s">
        <v>2845</v>
      </c>
      <c r="M2346" s="392" t="s">
        <v>7273</v>
      </c>
      <c r="N2346" s="392" t="s">
        <v>7273</v>
      </c>
      <c r="O2346" s="392" t="s">
        <v>7273</v>
      </c>
      <c r="P2346"/>
      <c r="Q2346"/>
      <c r="R2346" s="387">
        <f>VLOOKUP(E2346,'[1]NDB Impacted SPRFs 05032013'!$A$2:$A$65536,1,FALSE)</f>
        <v>400004613</v>
      </c>
      <c r="S2346" s="159"/>
      <c r="T2346" s="159"/>
      <c r="U2346" s="159"/>
    </row>
    <row r="2347" spans="1:21" ht="45" x14ac:dyDescent="0.25">
      <c r="A2347" s="63">
        <f>MATCH($E2347,'D1 - Master Project Table'!$B$24:$B$7056,0)</f>
        <v>2467</v>
      </c>
      <c r="B2347" s="63" t="b">
        <f t="shared" si="108"/>
        <v>0</v>
      </c>
      <c r="C2347" s="63" t="b">
        <f t="shared" si="109"/>
        <v>1</v>
      </c>
      <c r="D2347" s="63" t="str">
        <f t="shared" si="110"/>
        <v>OK</v>
      </c>
      <c r="E2347" s="393">
        <v>400004641</v>
      </c>
      <c r="F2347" s="392" t="s">
        <v>4105</v>
      </c>
      <c r="G2347" s="392" t="s">
        <v>5324</v>
      </c>
      <c r="H2347" s="392" t="s">
        <v>5314</v>
      </c>
      <c r="I2347" s="392" t="s">
        <v>1765</v>
      </c>
      <c r="J2347" s="392" t="s">
        <v>8627</v>
      </c>
      <c r="K2347" s="392" t="s">
        <v>7401</v>
      </c>
      <c r="L2347" s="392" t="s">
        <v>2845</v>
      </c>
      <c r="M2347" s="392" t="s">
        <v>7273</v>
      </c>
      <c r="N2347" s="392" t="s">
        <v>7273</v>
      </c>
      <c r="O2347" s="392" t="s">
        <v>7273</v>
      </c>
      <c r="P2347"/>
      <c r="Q2347"/>
      <c r="R2347" s="387">
        <f>VLOOKUP(E2347,'[1]NDB Impacted SPRFs 05032013'!$A$2:$A$65536,1,FALSE)</f>
        <v>400004641</v>
      </c>
    </row>
    <row r="2348" spans="1:21" ht="30" x14ac:dyDescent="0.25">
      <c r="A2348" s="63" t="e">
        <f>MATCH($E2348,'D1 - Master Project Table'!$B$24:$B$7056,0)</f>
        <v>#N/A</v>
      </c>
      <c r="B2348" s="63" t="b">
        <f t="shared" si="108"/>
        <v>1</v>
      </c>
      <c r="C2348" s="63" t="b">
        <f t="shared" si="109"/>
        <v>1</v>
      </c>
      <c r="D2348" s="63" t="str">
        <f t="shared" si="110"/>
        <v>OK</v>
      </c>
      <c r="E2348" s="393">
        <v>400004643</v>
      </c>
      <c r="F2348" s="392" t="s">
        <v>4610</v>
      </c>
      <c r="G2348" s="392" t="s">
        <v>7182</v>
      </c>
      <c r="H2348" s="392" t="s">
        <v>7418</v>
      </c>
      <c r="I2348" s="392" t="s">
        <v>4005</v>
      </c>
      <c r="J2348" s="392" t="s">
        <v>8335</v>
      </c>
      <c r="K2348" s="392" t="s">
        <v>2829</v>
      </c>
      <c r="L2348" s="392" t="s">
        <v>2845</v>
      </c>
      <c r="M2348" s="392" t="s">
        <v>7273</v>
      </c>
      <c r="N2348" s="392" t="s">
        <v>7273</v>
      </c>
      <c r="O2348" s="392" t="s">
        <v>7273</v>
      </c>
      <c r="P2348"/>
      <c r="Q2348"/>
      <c r="R2348" s="387">
        <f>VLOOKUP(E2348,'[1]NDB Impacted SPRFs 05032013'!$A$2:$A$65536,1,FALSE)</f>
        <v>400004643</v>
      </c>
      <c r="S2348" s="159"/>
      <c r="T2348" s="159"/>
      <c r="U2348" s="159"/>
    </row>
    <row r="2349" spans="1:21" ht="45" x14ac:dyDescent="0.25">
      <c r="A2349" s="63">
        <f>MATCH($E2349,'D1 - Master Project Table'!$B$24:$B$7056,0)</f>
        <v>308</v>
      </c>
      <c r="B2349" s="63" t="b">
        <f t="shared" si="108"/>
        <v>0</v>
      </c>
      <c r="C2349" s="63" t="b">
        <f t="shared" si="109"/>
        <v>1</v>
      </c>
      <c r="D2349" s="63" t="str">
        <f t="shared" si="110"/>
        <v>OK</v>
      </c>
      <c r="E2349" s="393">
        <v>400004839</v>
      </c>
      <c r="F2349" s="392" t="s">
        <v>4036</v>
      </c>
      <c r="G2349" s="392" t="s">
        <v>5324</v>
      </c>
      <c r="H2349" s="392" t="s">
        <v>7418</v>
      </c>
      <c r="I2349" s="392" t="s">
        <v>1765</v>
      </c>
      <c r="J2349" s="392" t="s">
        <v>8490</v>
      </c>
      <c r="K2349" s="392" t="s">
        <v>6286</v>
      </c>
      <c r="L2349" s="392" t="s">
        <v>2845</v>
      </c>
      <c r="M2349" s="392" t="s">
        <v>7273</v>
      </c>
      <c r="N2349" s="392" t="s">
        <v>7273</v>
      </c>
      <c r="O2349" s="392" t="s">
        <v>7273</v>
      </c>
      <c r="P2349"/>
      <c r="Q2349"/>
      <c r="R2349" s="387">
        <f>VLOOKUP(E2349,'[1]NDB Impacted SPRFs 05032013'!$A$2:$A$65536,1,FALSE)</f>
        <v>400004839</v>
      </c>
      <c r="S2349" s="159"/>
      <c r="T2349" s="159"/>
      <c r="U2349" s="159"/>
    </row>
    <row r="2350" spans="1:21" ht="15" x14ac:dyDescent="0.25">
      <c r="A2350" s="63">
        <f>MATCH($E2350,'D1 - Master Project Table'!$B$24:$B$7056,0)</f>
        <v>2469</v>
      </c>
      <c r="B2350" s="63" t="b">
        <f t="shared" si="108"/>
        <v>0</v>
      </c>
      <c r="C2350" s="63" t="b">
        <f t="shared" si="109"/>
        <v>1</v>
      </c>
      <c r="D2350" s="63" t="str">
        <f t="shared" si="110"/>
        <v>OK</v>
      </c>
      <c r="E2350" s="393">
        <v>400004856</v>
      </c>
      <c r="F2350" s="392" t="s">
        <v>7229</v>
      </c>
      <c r="G2350" s="392" t="s">
        <v>5787</v>
      </c>
      <c r="H2350" s="392" t="s">
        <v>5314</v>
      </c>
      <c r="I2350" s="392" t="s">
        <v>1780</v>
      </c>
      <c r="J2350" s="392" t="s">
        <v>8458</v>
      </c>
      <c r="K2350" s="392" t="s">
        <v>3353</v>
      </c>
      <c r="L2350" s="392" t="s">
        <v>2845</v>
      </c>
      <c r="M2350" s="392" t="s">
        <v>7273</v>
      </c>
      <c r="N2350" s="392" t="s">
        <v>7273</v>
      </c>
      <c r="O2350" s="392" t="s">
        <v>7273</v>
      </c>
      <c r="P2350"/>
      <c r="Q2350"/>
      <c r="R2350" s="387">
        <f>VLOOKUP(E2350,'[1]NDB Impacted SPRFs 05032013'!$A$2:$A$65536,1,FALSE)</f>
        <v>400004856</v>
      </c>
    </row>
    <row r="2351" spans="1:21" ht="45" x14ac:dyDescent="0.25">
      <c r="A2351" s="63" t="e">
        <f>MATCH($E2351,'D1 - Master Project Table'!$B$24:$B$7056,0)</f>
        <v>#N/A</v>
      </c>
      <c r="B2351" s="63" t="b">
        <f t="shared" si="108"/>
        <v>1</v>
      </c>
      <c r="C2351" s="63" t="b">
        <f t="shared" si="109"/>
        <v>1</v>
      </c>
      <c r="D2351" s="63" t="str">
        <f t="shared" si="110"/>
        <v>OK</v>
      </c>
      <c r="E2351" s="393">
        <v>400004924</v>
      </c>
      <c r="F2351" s="392" t="s">
        <v>1859</v>
      </c>
      <c r="G2351" s="392" t="s">
        <v>5324</v>
      </c>
      <c r="H2351" s="392" t="s">
        <v>5314</v>
      </c>
      <c r="I2351" s="392" t="s">
        <v>1765</v>
      </c>
      <c r="J2351" s="392" t="s">
        <v>8414</v>
      </c>
      <c r="K2351" s="392" t="s">
        <v>5641</v>
      </c>
      <c r="L2351" s="392" t="s">
        <v>2845</v>
      </c>
      <c r="M2351" s="392" t="s">
        <v>7273</v>
      </c>
      <c r="N2351" s="392" t="s">
        <v>7273</v>
      </c>
      <c r="O2351" s="392" t="s">
        <v>7273</v>
      </c>
      <c r="P2351"/>
      <c r="Q2351"/>
      <c r="R2351" s="387">
        <f>VLOOKUP(E2351,'[1]NDB Impacted SPRFs 05032013'!$A$2:$A$65536,1,FALSE)</f>
        <v>400004924</v>
      </c>
    </row>
    <row r="2352" spans="1:21" ht="45" x14ac:dyDescent="0.25">
      <c r="A2352" s="63">
        <f>MATCH($E2352,'D1 - Master Project Table'!$B$24:$B$7056,0)</f>
        <v>1892</v>
      </c>
      <c r="B2352" s="63" t="b">
        <f t="shared" ref="B2352:B2415" si="111">ISERROR(A2352)</f>
        <v>0</v>
      </c>
      <c r="C2352" s="63" t="b">
        <f t="shared" si="109"/>
        <v>1</v>
      </c>
      <c r="D2352" s="63" t="str">
        <f t="shared" si="110"/>
        <v>OK</v>
      </c>
      <c r="E2352" s="393">
        <v>400005373</v>
      </c>
      <c r="F2352" s="392" t="s">
        <v>3664</v>
      </c>
      <c r="G2352" s="392" t="s">
        <v>5324</v>
      </c>
      <c r="H2352" s="392" t="s">
        <v>7418</v>
      </c>
      <c r="I2352" s="392" t="s">
        <v>1765</v>
      </c>
      <c r="J2352" s="392" t="s">
        <v>8522</v>
      </c>
      <c r="K2352" s="392" t="s">
        <v>3347</v>
      </c>
      <c r="L2352" s="392" t="s">
        <v>2845</v>
      </c>
      <c r="M2352" s="392" t="s">
        <v>7273</v>
      </c>
      <c r="N2352" s="392" t="s">
        <v>7273</v>
      </c>
      <c r="O2352" s="392" t="s">
        <v>7273</v>
      </c>
      <c r="P2352"/>
      <c r="Q2352"/>
      <c r="R2352" s="387">
        <f>VLOOKUP(E2352,'[1]NDB Impacted SPRFs 05032013'!$A$2:$A$65536,1,FALSE)</f>
        <v>400005373</v>
      </c>
      <c r="S2352" s="159"/>
      <c r="T2352" s="159"/>
      <c r="U2352" s="159"/>
    </row>
    <row r="2353" spans="1:21" ht="30" x14ac:dyDescent="0.25">
      <c r="A2353" s="63">
        <f>MATCH($E2353,'D1 - Master Project Table'!$B$24:$B$7056,0)</f>
        <v>289</v>
      </c>
      <c r="B2353" s="63" t="b">
        <f t="shared" si="111"/>
        <v>0</v>
      </c>
      <c r="C2353" s="63" t="b">
        <f t="shared" si="109"/>
        <v>1</v>
      </c>
      <c r="D2353" s="63" t="str">
        <f t="shared" si="110"/>
        <v>OK</v>
      </c>
      <c r="E2353" s="393">
        <v>400005398</v>
      </c>
      <c r="F2353" s="392" t="s">
        <v>6842</v>
      </c>
      <c r="G2353" s="392" t="s">
        <v>7182</v>
      </c>
      <c r="H2353" s="392" t="s">
        <v>7418</v>
      </c>
      <c r="I2353" s="392" t="s">
        <v>4005</v>
      </c>
      <c r="J2353" s="392" t="s">
        <v>8841</v>
      </c>
      <c r="K2353" s="392" t="s">
        <v>2134</v>
      </c>
      <c r="L2353" s="392" t="s">
        <v>2845</v>
      </c>
      <c r="M2353" s="392" t="s">
        <v>7273</v>
      </c>
      <c r="N2353" s="392" t="s">
        <v>7273</v>
      </c>
      <c r="O2353" s="392" t="s">
        <v>7273</v>
      </c>
      <c r="P2353"/>
      <c r="Q2353"/>
      <c r="R2353" s="387">
        <f>VLOOKUP(E2353,'[1]NDB Impacted SPRFs 05032013'!$A$2:$A$65536,1,FALSE)</f>
        <v>400005398</v>
      </c>
      <c r="S2353" s="159"/>
      <c r="T2353" s="159"/>
      <c r="U2353" s="159"/>
    </row>
    <row r="2354" spans="1:21" ht="45" x14ac:dyDescent="0.25">
      <c r="A2354" s="63">
        <f>MATCH($E2354,'D1 - Master Project Table'!$B$24:$B$7056,0)</f>
        <v>2480</v>
      </c>
      <c r="B2354" s="63" t="b">
        <f t="shared" si="111"/>
        <v>0</v>
      </c>
      <c r="C2354" s="63" t="b">
        <f t="shared" si="109"/>
        <v>1</v>
      </c>
      <c r="D2354" s="63" t="str">
        <f t="shared" si="110"/>
        <v>OK</v>
      </c>
      <c r="E2354" s="393">
        <v>400005461</v>
      </c>
      <c r="F2354" s="392" t="s">
        <v>2781</v>
      </c>
      <c r="G2354" s="392" t="s">
        <v>5324</v>
      </c>
      <c r="H2354" s="392" t="s">
        <v>5314</v>
      </c>
      <c r="I2354" s="392" t="s">
        <v>1758</v>
      </c>
      <c r="J2354" s="392" t="s">
        <v>8291</v>
      </c>
      <c r="K2354" s="392" t="s">
        <v>2169</v>
      </c>
      <c r="L2354" s="392" t="s">
        <v>2845</v>
      </c>
      <c r="M2354" s="392" t="s">
        <v>7273</v>
      </c>
      <c r="N2354" s="392" t="s">
        <v>7273</v>
      </c>
      <c r="O2354" s="392" t="s">
        <v>7273</v>
      </c>
      <c r="P2354" s="212"/>
      <c r="Q2354"/>
      <c r="R2354" s="387">
        <f>VLOOKUP(E2354,'[1]NDB Impacted SPRFs 05032013'!$A$2:$A$65536,1,FALSE)</f>
        <v>400005461</v>
      </c>
      <c r="S2354" s="159"/>
      <c r="T2354" s="159"/>
      <c r="U2354" s="159"/>
    </row>
    <row r="2355" spans="1:21" ht="45" x14ac:dyDescent="0.25">
      <c r="A2355" s="63">
        <f>MATCH($E2355,'D1 - Master Project Table'!$B$24:$B$7056,0)</f>
        <v>290</v>
      </c>
      <c r="B2355" s="63" t="b">
        <f t="shared" si="111"/>
        <v>0</v>
      </c>
      <c r="C2355" s="63" t="b">
        <f t="shared" si="109"/>
        <v>1</v>
      </c>
      <c r="D2355" s="63" t="str">
        <f t="shared" si="110"/>
        <v>OK</v>
      </c>
      <c r="E2355" s="393">
        <v>400005565</v>
      </c>
      <c r="F2355" s="392" t="s">
        <v>6819</v>
      </c>
      <c r="G2355" s="392" t="s">
        <v>5324</v>
      </c>
      <c r="H2355" s="392" t="s">
        <v>7418</v>
      </c>
      <c r="I2355" s="392" t="s">
        <v>1765</v>
      </c>
      <c r="J2355" s="392" t="s">
        <v>8417</v>
      </c>
      <c r="K2355" s="392" t="s">
        <v>2447</v>
      </c>
      <c r="L2355" s="392" t="s">
        <v>2845</v>
      </c>
      <c r="M2355" s="392" t="s">
        <v>7273</v>
      </c>
      <c r="N2355" s="392" t="s">
        <v>7273</v>
      </c>
      <c r="O2355" s="392" t="s">
        <v>7273</v>
      </c>
      <c r="P2355"/>
      <c r="Q2355"/>
      <c r="R2355" s="387">
        <f>VLOOKUP(E2355,'[1]NDB Impacted SPRFs 05032013'!$A$2:$A$65536,1,FALSE)</f>
        <v>400005565</v>
      </c>
    </row>
    <row r="2356" spans="1:21" ht="45" x14ac:dyDescent="0.25">
      <c r="A2356" s="63" t="e">
        <f>MATCH($E2356,'D1 - Master Project Table'!$B$24:$B$7056,0)</f>
        <v>#N/A</v>
      </c>
      <c r="B2356" s="63" t="b">
        <f t="shared" si="111"/>
        <v>1</v>
      </c>
      <c r="C2356" s="63" t="b">
        <f t="shared" si="109"/>
        <v>1</v>
      </c>
      <c r="D2356" s="63" t="str">
        <f t="shared" si="110"/>
        <v>OK</v>
      </c>
      <c r="E2356" s="393">
        <v>400005740</v>
      </c>
      <c r="F2356" s="392" t="s">
        <v>4566</v>
      </c>
      <c r="G2356" s="392" t="s">
        <v>5324</v>
      </c>
      <c r="H2356" s="392" t="s">
        <v>7418</v>
      </c>
      <c r="I2356" s="392" t="s">
        <v>1765</v>
      </c>
      <c r="J2356" s="392" t="s">
        <v>8334</v>
      </c>
      <c r="K2356" s="392" t="s">
        <v>5755</v>
      </c>
      <c r="L2356" s="392" t="s">
        <v>2845</v>
      </c>
      <c r="M2356" s="392" t="s">
        <v>7273</v>
      </c>
      <c r="N2356" s="392" t="s">
        <v>7273</v>
      </c>
      <c r="O2356" s="392" t="s">
        <v>7273</v>
      </c>
      <c r="P2356"/>
      <c r="Q2356"/>
      <c r="R2356" s="387">
        <f>VLOOKUP(E2356,'[1]NDB Impacted SPRFs 05032013'!$A$2:$A$65536,1,FALSE)</f>
        <v>400005740</v>
      </c>
      <c r="S2356" s="160"/>
      <c r="T2356" s="160"/>
      <c r="U2356" s="160"/>
    </row>
    <row r="2357" spans="1:21" ht="45" x14ac:dyDescent="0.25">
      <c r="A2357" s="63">
        <f>MATCH($E2357,'D1 - Master Project Table'!$B$24:$B$7056,0)</f>
        <v>2482</v>
      </c>
      <c r="B2357" s="63" t="b">
        <f t="shared" si="111"/>
        <v>0</v>
      </c>
      <c r="C2357" s="63" t="b">
        <f t="shared" si="109"/>
        <v>1</v>
      </c>
      <c r="D2357" s="63" t="str">
        <f t="shared" si="110"/>
        <v>OK</v>
      </c>
      <c r="E2357" s="393">
        <v>400005741</v>
      </c>
      <c r="F2357" s="392" t="s">
        <v>6382</v>
      </c>
      <c r="G2357" s="392" t="s">
        <v>5324</v>
      </c>
      <c r="H2357" s="392" t="s">
        <v>5314</v>
      </c>
      <c r="I2357" s="392" t="s">
        <v>1765</v>
      </c>
      <c r="J2357" s="392" t="s">
        <v>8624</v>
      </c>
      <c r="K2357" s="392" t="s">
        <v>2435</v>
      </c>
      <c r="L2357" s="392" t="s">
        <v>2845</v>
      </c>
      <c r="M2357" s="392" t="s">
        <v>7273</v>
      </c>
      <c r="N2357" s="392" t="s">
        <v>7273</v>
      </c>
      <c r="O2357" s="392" t="s">
        <v>7273</v>
      </c>
      <c r="P2357"/>
      <c r="Q2357"/>
      <c r="R2357" s="387">
        <f>VLOOKUP(E2357,'[1]NDB Impacted SPRFs 05032013'!$A$2:$A$65536,1,FALSE)</f>
        <v>400005741</v>
      </c>
      <c r="S2357" s="159"/>
      <c r="T2357" s="159"/>
      <c r="U2357" s="159"/>
    </row>
    <row r="2358" spans="1:21" ht="45" x14ac:dyDescent="0.25">
      <c r="A2358" s="63">
        <f>MATCH($E2358,'D1 - Master Project Table'!$B$24:$B$7056,0)</f>
        <v>2483</v>
      </c>
      <c r="B2358" s="63" t="b">
        <f t="shared" si="111"/>
        <v>0</v>
      </c>
      <c r="C2358" s="63" t="b">
        <f t="shared" si="109"/>
        <v>1</v>
      </c>
      <c r="D2358" s="63" t="str">
        <f t="shared" si="110"/>
        <v>OK</v>
      </c>
      <c r="E2358" s="393">
        <v>400005800</v>
      </c>
      <c r="F2358" s="392" t="s">
        <v>647</v>
      </c>
      <c r="G2358" s="392" t="s">
        <v>5324</v>
      </c>
      <c r="H2358" s="392" t="s">
        <v>5314</v>
      </c>
      <c r="I2358" s="392" t="s">
        <v>1765</v>
      </c>
      <c r="J2358" s="392" t="s">
        <v>8420</v>
      </c>
      <c r="K2358" s="392" t="s">
        <v>5641</v>
      </c>
      <c r="L2358" s="392" t="s">
        <v>2845</v>
      </c>
      <c r="M2358" s="392" t="s">
        <v>7273</v>
      </c>
      <c r="N2358" s="392" t="s">
        <v>7273</v>
      </c>
      <c r="O2358" s="392" t="s">
        <v>7273</v>
      </c>
      <c r="P2358"/>
      <c r="Q2358"/>
      <c r="R2358" s="387">
        <f>VLOOKUP(E2358,'[1]NDB Impacted SPRFs 05032013'!$A$2:$A$65536,1,FALSE)</f>
        <v>400005800</v>
      </c>
      <c r="S2358" s="159"/>
      <c r="T2358" s="159"/>
      <c r="U2358" s="159"/>
    </row>
    <row r="2359" spans="1:21" ht="45" x14ac:dyDescent="0.25">
      <c r="A2359" s="63">
        <f>MATCH($E2359,'D1 - Master Project Table'!$B$24:$B$7056,0)</f>
        <v>287</v>
      </c>
      <c r="B2359" s="63" t="b">
        <f t="shared" si="111"/>
        <v>0</v>
      </c>
      <c r="C2359" s="63" t="b">
        <f t="shared" si="109"/>
        <v>1</v>
      </c>
      <c r="D2359" s="63" t="str">
        <f t="shared" si="110"/>
        <v>OK</v>
      </c>
      <c r="E2359" s="393">
        <v>400005828</v>
      </c>
      <c r="F2359" s="392" t="s">
        <v>5665</v>
      </c>
      <c r="G2359" s="392" t="s">
        <v>5324</v>
      </c>
      <c r="H2359" s="392" t="s">
        <v>7418</v>
      </c>
      <c r="I2359" s="392" t="s">
        <v>1765</v>
      </c>
      <c r="J2359" s="392" t="s">
        <v>8623</v>
      </c>
      <c r="K2359" s="392" t="s">
        <v>6629</v>
      </c>
      <c r="L2359" s="392" t="s">
        <v>2845</v>
      </c>
      <c r="M2359" s="392" t="s">
        <v>7273</v>
      </c>
      <c r="N2359" s="392" t="s">
        <v>7273</v>
      </c>
      <c r="O2359" s="392" t="s">
        <v>7273</v>
      </c>
      <c r="P2359"/>
      <c r="Q2359"/>
      <c r="R2359" s="387">
        <f>VLOOKUP(E2359,'[1]NDB Impacted SPRFs 05032013'!$A$2:$A$65536,1,FALSE)</f>
        <v>400005828</v>
      </c>
      <c r="S2359" s="159"/>
      <c r="T2359" s="159"/>
      <c r="U2359" s="159"/>
    </row>
    <row r="2360" spans="1:21" ht="45" x14ac:dyDescent="0.25">
      <c r="A2360" s="63">
        <f>MATCH($E2360,'D1 - Master Project Table'!$B$24:$B$7056,0)</f>
        <v>317</v>
      </c>
      <c r="B2360" s="63" t="b">
        <f t="shared" si="111"/>
        <v>0</v>
      </c>
      <c r="C2360" s="63" t="b">
        <f t="shared" si="109"/>
        <v>1</v>
      </c>
      <c r="D2360" s="63" t="str">
        <f t="shared" si="110"/>
        <v>OK</v>
      </c>
      <c r="E2360" s="393">
        <v>400005930</v>
      </c>
      <c r="F2360" s="392" t="s">
        <v>7478</v>
      </c>
      <c r="G2360" s="392" t="s">
        <v>5324</v>
      </c>
      <c r="H2360" s="392" t="s">
        <v>7418</v>
      </c>
      <c r="I2360" s="392" t="s">
        <v>1765</v>
      </c>
      <c r="J2360" s="392" t="s">
        <v>8335</v>
      </c>
      <c r="K2360" s="392" t="s">
        <v>2829</v>
      </c>
      <c r="L2360" s="392" t="s">
        <v>2845</v>
      </c>
      <c r="M2360" s="392" t="s">
        <v>7273</v>
      </c>
      <c r="N2360" s="392" t="s">
        <v>7273</v>
      </c>
      <c r="O2360" s="392" t="s">
        <v>7273</v>
      </c>
      <c r="P2360"/>
      <c r="Q2360"/>
      <c r="R2360" s="387">
        <f>VLOOKUP(E2360,'[1]NDB Impacted SPRFs 05032013'!$A$2:$A$65536,1,FALSE)</f>
        <v>400005930</v>
      </c>
      <c r="S2360" s="159"/>
      <c r="T2360" s="159"/>
      <c r="U2360" s="159"/>
    </row>
    <row r="2361" spans="1:21" ht="45" x14ac:dyDescent="0.25">
      <c r="A2361" s="63" t="e">
        <f>MATCH($E2361,'D1 - Master Project Table'!$B$24:$B$7056,0)</f>
        <v>#N/A</v>
      </c>
      <c r="B2361" s="63" t="b">
        <f t="shared" si="111"/>
        <v>1</v>
      </c>
      <c r="C2361" s="63" t="b">
        <f t="shared" si="109"/>
        <v>1</v>
      </c>
      <c r="D2361" s="63" t="str">
        <f t="shared" si="110"/>
        <v>OK</v>
      </c>
      <c r="E2361" s="393">
        <v>400005935</v>
      </c>
      <c r="F2361" s="392" t="s">
        <v>7851</v>
      </c>
      <c r="G2361" s="392" t="s">
        <v>5324</v>
      </c>
      <c r="H2361" s="392" t="s">
        <v>5314</v>
      </c>
      <c r="I2361" s="392" t="s">
        <v>1765</v>
      </c>
      <c r="J2361" s="392" t="s">
        <v>8527</v>
      </c>
      <c r="K2361" s="392" t="s">
        <v>2441</v>
      </c>
      <c r="L2361" s="392" t="s">
        <v>2845</v>
      </c>
      <c r="M2361" s="392" t="s">
        <v>7273</v>
      </c>
      <c r="N2361" s="392" t="s">
        <v>7273</v>
      </c>
      <c r="O2361" s="392" t="s">
        <v>7273</v>
      </c>
      <c r="P2361"/>
      <c r="Q2361"/>
      <c r="R2361" s="387">
        <f>VLOOKUP(E2361,'[1]NDB Impacted SPRFs 05032013'!$A$2:$A$65536,1,FALSE)</f>
        <v>400005935</v>
      </c>
      <c r="S2361" s="159"/>
      <c r="T2361" s="159"/>
      <c r="U2361" s="159"/>
    </row>
    <row r="2362" spans="1:21" ht="45" x14ac:dyDescent="0.25">
      <c r="A2362" s="63">
        <f>MATCH($E2362,'D1 - Master Project Table'!$B$24:$B$7056,0)</f>
        <v>300</v>
      </c>
      <c r="B2362" s="63" t="b">
        <f t="shared" si="111"/>
        <v>0</v>
      </c>
      <c r="C2362" s="63" t="b">
        <f t="shared" si="109"/>
        <v>1</v>
      </c>
      <c r="D2362" s="63" t="str">
        <f t="shared" si="110"/>
        <v>OK</v>
      </c>
      <c r="E2362" s="393">
        <v>400006055</v>
      </c>
      <c r="F2362" s="392" t="s">
        <v>4587</v>
      </c>
      <c r="G2362" s="392" t="s">
        <v>5787</v>
      </c>
      <c r="H2362" s="392" t="s">
        <v>7418</v>
      </c>
      <c r="I2362" s="392" t="s">
        <v>1825</v>
      </c>
      <c r="J2362" s="392" t="s">
        <v>8662</v>
      </c>
      <c r="K2362" s="392" t="s">
        <v>1419</v>
      </c>
      <c r="L2362" s="392" t="s">
        <v>2845</v>
      </c>
      <c r="M2362" s="392" t="s">
        <v>7273</v>
      </c>
      <c r="N2362" s="392" t="s">
        <v>7273</v>
      </c>
      <c r="O2362" s="392" t="s">
        <v>7273</v>
      </c>
      <c r="P2362"/>
      <c r="Q2362"/>
      <c r="R2362" s="387">
        <f>VLOOKUP(E2362,'[1]NDB Impacted SPRFs 05032013'!$A$2:$A$65536,1,FALSE)</f>
        <v>400006055</v>
      </c>
      <c r="S2362" s="159"/>
      <c r="T2362" s="159"/>
      <c r="U2362" s="159"/>
    </row>
    <row r="2363" spans="1:21" ht="45" x14ac:dyDescent="0.25">
      <c r="A2363" s="63">
        <f>MATCH($E2363,'D1 - Master Project Table'!$B$24:$B$7056,0)</f>
        <v>318</v>
      </c>
      <c r="B2363" s="63" t="b">
        <f t="shared" si="111"/>
        <v>0</v>
      </c>
      <c r="C2363" s="63" t="b">
        <f t="shared" si="109"/>
        <v>1</v>
      </c>
      <c r="D2363" s="63" t="str">
        <f t="shared" si="110"/>
        <v>OK</v>
      </c>
      <c r="E2363" s="393">
        <v>400006062</v>
      </c>
      <c r="F2363" s="392" t="s">
        <v>3676</v>
      </c>
      <c r="G2363" s="392" t="s">
        <v>5324</v>
      </c>
      <c r="H2363" s="392" t="s">
        <v>7418</v>
      </c>
      <c r="I2363" s="392" t="s">
        <v>1765</v>
      </c>
      <c r="J2363" s="392" t="s">
        <v>8530</v>
      </c>
      <c r="K2363" s="392" t="s">
        <v>8075</v>
      </c>
      <c r="L2363" s="392" t="s">
        <v>2845</v>
      </c>
      <c r="M2363" s="392" t="s">
        <v>7273</v>
      </c>
      <c r="N2363" s="392" t="s">
        <v>7273</v>
      </c>
      <c r="O2363" s="392" t="s">
        <v>7273</v>
      </c>
      <c r="P2363"/>
      <c r="Q2363"/>
      <c r="R2363" s="387">
        <f>VLOOKUP(E2363,'[1]NDB Impacted SPRFs 05032013'!$A$2:$A$65536,1,FALSE)</f>
        <v>400006062</v>
      </c>
    </row>
    <row r="2364" spans="1:21" ht="45" x14ac:dyDescent="0.25">
      <c r="A2364" s="63" t="e">
        <f>MATCH($E2364,'D1 - Master Project Table'!$B$24:$B$7056,0)</f>
        <v>#N/A</v>
      </c>
      <c r="B2364" s="63" t="b">
        <f t="shared" si="111"/>
        <v>1</v>
      </c>
      <c r="C2364" s="63" t="b">
        <f t="shared" si="109"/>
        <v>1</v>
      </c>
      <c r="D2364" s="63" t="str">
        <f t="shared" si="110"/>
        <v>OK</v>
      </c>
      <c r="E2364" s="393">
        <v>400006142</v>
      </c>
      <c r="F2364" s="392" t="s">
        <v>1239</v>
      </c>
      <c r="G2364" s="392" t="s">
        <v>5324</v>
      </c>
      <c r="H2364" s="392" t="s">
        <v>7418</v>
      </c>
      <c r="I2364" s="392" t="s">
        <v>1765</v>
      </c>
      <c r="J2364" s="392" t="s">
        <v>8529</v>
      </c>
      <c r="K2364" s="392" t="s">
        <v>7401</v>
      </c>
      <c r="L2364" s="392" t="s">
        <v>2845</v>
      </c>
      <c r="M2364" s="392" t="s">
        <v>7273</v>
      </c>
      <c r="N2364" s="392" t="s">
        <v>7273</v>
      </c>
      <c r="O2364" s="392" t="s">
        <v>7273</v>
      </c>
      <c r="P2364"/>
      <c r="Q2364"/>
      <c r="R2364" s="387">
        <f>VLOOKUP(E2364,'[1]NDB Impacted SPRFs 05032013'!$A$2:$A$65536,1,FALSE)</f>
        <v>400006142</v>
      </c>
    </row>
    <row r="2365" spans="1:21" ht="45" x14ac:dyDescent="0.25">
      <c r="A2365" s="63">
        <f>MATCH($E2365,'D1 - Master Project Table'!$B$24:$B$7056,0)</f>
        <v>320</v>
      </c>
      <c r="B2365" s="63" t="b">
        <f t="shared" si="111"/>
        <v>0</v>
      </c>
      <c r="C2365" s="63" t="b">
        <f t="shared" si="109"/>
        <v>1</v>
      </c>
      <c r="D2365" s="63" t="str">
        <f t="shared" si="110"/>
        <v>OK</v>
      </c>
      <c r="E2365" s="393">
        <v>400006282</v>
      </c>
      <c r="F2365" s="392" t="s">
        <v>4692</v>
      </c>
      <c r="G2365" s="392" t="s">
        <v>5324</v>
      </c>
      <c r="H2365" s="392" t="s">
        <v>7418</v>
      </c>
      <c r="I2365" s="392" t="s">
        <v>1765</v>
      </c>
      <c r="J2365" s="392" t="s">
        <v>8335</v>
      </c>
      <c r="K2365" s="392" t="s">
        <v>5210</v>
      </c>
      <c r="L2365" s="392" t="s">
        <v>2845</v>
      </c>
      <c r="M2365" s="392" t="s">
        <v>7273</v>
      </c>
      <c r="N2365" s="392" t="s">
        <v>7273</v>
      </c>
      <c r="O2365" s="392" t="s">
        <v>7273</v>
      </c>
      <c r="P2365"/>
      <c r="Q2365"/>
      <c r="R2365" s="387">
        <f>VLOOKUP(E2365,'[1]NDB Impacted SPRFs 05032013'!$A$2:$A$65536,1,FALSE)</f>
        <v>400006282</v>
      </c>
      <c r="S2365" s="159"/>
      <c r="T2365" s="159"/>
      <c r="U2365" s="159"/>
    </row>
    <row r="2366" spans="1:21" ht="45" x14ac:dyDescent="0.25">
      <c r="A2366" s="63">
        <f>MATCH($E2366,'D1 - Master Project Table'!$B$24:$B$7056,0)</f>
        <v>291</v>
      </c>
      <c r="B2366" s="63" t="b">
        <f t="shared" si="111"/>
        <v>0</v>
      </c>
      <c r="C2366" s="63" t="b">
        <f t="shared" si="109"/>
        <v>1</v>
      </c>
      <c r="D2366" s="63" t="str">
        <f t="shared" si="110"/>
        <v>OK</v>
      </c>
      <c r="E2366" s="393">
        <v>400006295</v>
      </c>
      <c r="F2366" s="392" t="s">
        <v>4132</v>
      </c>
      <c r="G2366" s="392" t="s">
        <v>5325</v>
      </c>
      <c r="H2366" s="392" t="s">
        <v>7418</v>
      </c>
      <c r="I2366" s="392" t="s">
        <v>1794</v>
      </c>
      <c r="J2366" s="392" t="s">
        <v>3780</v>
      </c>
      <c r="K2366" s="392" t="s">
        <v>2780</v>
      </c>
      <c r="L2366" s="392" t="s">
        <v>2845</v>
      </c>
      <c r="M2366" s="392" t="s">
        <v>7273</v>
      </c>
      <c r="N2366" s="392" t="s">
        <v>7273</v>
      </c>
      <c r="O2366" s="392" t="s">
        <v>7273</v>
      </c>
      <c r="P2366"/>
      <c r="Q2366"/>
      <c r="R2366" s="387">
        <f>VLOOKUP(E2366,'[1]NDB Impacted SPRFs 05032013'!$A$2:$A$65536,1,FALSE)</f>
        <v>400006295</v>
      </c>
      <c r="S2366" s="159"/>
      <c r="T2366" s="159"/>
      <c r="U2366" s="159"/>
    </row>
    <row r="2367" spans="1:21" ht="30" x14ac:dyDescent="0.25">
      <c r="A2367" s="63">
        <f>MATCH($E2367,'D1 - Master Project Table'!$B$24:$B$7056,0)</f>
        <v>310</v>
      </c>
      <c r="B2367" s="63" t="b">
        <f t="shared" si="111"/>
        <v>0</v>
      </c>
      <c r="C2367" s="63" t="b">
        <f t="shared" si="109"/>
        <v>1</v>
      </c>
      <c r="D2367" s="63" t="str">
        <f t="shared" si="110"/>
        <v>OK</v>
      </c>
      <c r="E2367" s="393">
        <v>400006397</v>
      </c>
      <c r="F2367" s="392" t="s">
        <v>5238</v>
      </c>
      <c r="G2367" s="392" t="s">
        <v>5787</v>
      </c>
      <c r="H2367" s="392" t="s">
        <v>7418</v>
      </c>
      <c r="I2367" s="392" t="s">
        <v>1825</v>
      </c>
      <c r="J2367" s="392" t="s">
        <v>5865</v>
      </c>
      <c r="K2367" s="392" t="s">
        <v>4087</v>
      </c>
      <c r="L2367" s="392" t="s">
        <v>2845</v>
      </c>
      <c r="M2367" s="392" t="s">
        <v>7273</v>
      </c>
      <c r="N2367" s="392" t="s">
        <v>7273</v>
      </c>
      <c r="O2367" s="392" t="s">
        <v>7273</v>
      </c>
      <c r="P2367"/>
      <c r="Q2367"/>
      <c r="R2367" s="387">
        <f>VLOOKUP(E2367,'[1]NDB Impacted SPRFs 05032013'!$A$2:$A$65536,1,FALSE)</f>
        <v>400006397</v>
      </c>
      <c r="S2367" s="159"/>
      <c r="T2367" s="159"/>
      <c r="U2367" s="159"/>
    </row>
    <row r="2368" spans="1:21" ht="45" x14ac:dyDescent="0.25">
      <c r="A2368" s="63">
        <f>MATCH($E2368,'D1 - Master Project Table'!$B$24:$B$7056,0)</f>
        <v>2495</v>
      </c>
      <c r="B2368" s="63" t="b">
        <f t="shared" si="111"/>
        <v>0</v>
      </c>
      <c r="C2368" s="63" t="b">
        <f t="shared" si="109"/>
        <v>1</v>
      </c>
      <c r="D2368" s="63" t="str">
        <f t="shared" si="110"/>
        <v>OK</v>
      </c>
      <c r="E2368" s="393">
        <v>400006511</v>
      </c>
      <c r="F2368" s="392" t="s">
        <v>3425</v>
      </c>
      <c r="G2368" s="392" t="s">
        <v>5324</v>
      </c>
      <c r="H2368" s="392" t="s">
        <v>5314</v>
      </c>
      <c r="I2368" s="392" t="s">
        <v>1765</v>
      </c>
      <c r="J2368" s="392" t="s">
        <v>8526</v>
      </c>
      <c r="K2368" s="392" t="s">
        <v>2467</v>
      </c>
      <c r="L2368" s="392" t="s">
        <v>2845</v>
      </c>
      <c r="M2368" s="392" t="s">
        <v>7273</v>
      </c>
      <c r="N2368" s="392" t="s">
        <v>7273</v>
      </c>
      <c r="O2368" s="392" t="s">
        <v>7273</v>
      </c>
      <c r="P2368"/>
      <c r="Q2368"/>
      <c r="R2368" s="387">
        <f>VLOOKUP(E2368,'[1]NDB Impacted SPRFs 05032013'!$A$2:$A$65536,1,FALSE)</f>
        <v>400006511</v>
      </c>
    </row>
    <row r="2369" spans="1:21" ht="45" x14ac:dyDescent="0.25">
      <c r="A2369" s="63">
        <f>MATCH($E2369,'D1 - Master Project Table'!$B$24:$B$7056,0)</f>
        <v>311</v>
      </c>
      <c r="B2369" s="63" t="b">
        <f t="shared" si="111"/>
        <v>0</v>
      </c>
      <c r="C2369" s="63" t="b">
        <f t="shared" si="109"/>
        <v>1</v>
      </c>
      <c r="D2369" s="63" t="str">
        <f t="shared" si="110"/>
        <v>OK</v>
      </c>
      <c r="E2369" s="393">
        <v>400006518</v>
      </c>
      <c r="F2369" s="392" t="s">
        <v>4946</v>
      </c>
      <c r="G2369" s="392" t="s">
        <v>5324</v>
      </c>
      <c r="H2369" s="392" t="s">
        <v>7418</v>
      </c>
      <c r="I2369" s="392" t="s">
        <v>1765</v>
      </c>
      <c r="J2369" s="392" t="s">
        <v>8522</v>
      </c>
      <c r="K2369" s="392" t="s">
        <v>5754</v>
      </c>
      <c r="L2369" s="392" t="s">
        <v>2845</v>
      </c>
      <c r="M2369" s="392" t="s">
        <v>7273</v>
      </c>
      <c r="N2369" s="392" t="s">
        <v>7273</v>
      </c>
      <c r="O2369" s="392" t="s">
        <v>7273</v>
      </c>
      <c r="P2369"/>
      <c r="Q2369"/>
      <c r="R2369" s="387">
        <f>VLOOKUP(E2369,'[1]NDB Impacted SPRFs 05032013'!$A$2:$A$65536,1,FALSE)</f>
        <v>400006518</v>
      </c>
      <c r="S2369" s="159"/>
      <c r="T2369" s="159"/>
      <c r="U2369" s="159"/>
    </row>
    <row r="2370" spans="1:21" ht="15" x14ac:dyDescent="0.25">
      <c r="A2370" s="63">
        <f>MATCH($E2370,'D1 - Master Project Table'!$B$24:$B$7056,0)</f>
        <v>358</v>
      </c>
      <c r="B2370" s="63" t="b">
        <f t="shared" si="111"/>
        <v>0</v>
      </c>
      <c r="C2370" s="63" t="b">
        <f t="shared" si="109"/>
        <v>1</v>
      </c>
      <c r="D2370" s="63" t="str">
        <f t="shared" si="110"/>
        <v>OK</v>
      </c>
      <c r="E2370" s="393">
        <v>400006641</v>
      </c>
      <c r="F2370" s="392" t="s">
        <v>4668</v>
      </c>
      <c r="G2370" s="392" t="s">
        <v>5787</v>
      </c>
      <c r="H2370" s="392" t="s">
        <v>7418</v>
      </c>
      <c r="I2370" s="392" t="s">
        <v>1773</v>
      </c>
      <c r="J2370" s="392" t="s">
        <v>8664</v>
      </c>
      <c r="K2370" s="392" t="s">
        <v>5685</v>
      </c>
      <c r="L2370" s="392" t="s">
        <v>2845</v>
      </c>
      <c r="M2370" s="392" t="s">
        <v>7273</v>
      </c>
      <c r="N2370" s="392" t="s">
        <v>7273</v>
      </c>
      <c r="O2370" s="392" t="s">
        <v>7273</v>
      </c>
      <c r="P2370"/>
      <c r="Q2370"/>
      <c r="R2370" s="387">
        <f>VLOOKUP(E2370,'[1]NDB Impacted SPRFs 05032013'!$A$2:$A$65536,1,FALSE)</f>
        <v>400006641</v>
      </c>
      <c r="S2370" s="159"/>
      <c r="T2370" s="159"/>
      <c r="U2370" s="159"/>
    </row>
    <row r="2371" spans="1:21" ht="15" x14ac:dyDescent="0.25">
      <c r="A2371" s="63">
        <f>MATCH($E2371,'D1 - Master Project Table'!$B$24:$B$7056,0)</f>
        <v>2497</v>
      </c>
      <c r="B2371" s="63" t="b">
        <f t="shared" si="111"/>
        <v>0</v>
      </c>
      <c r="C2371" s="63" t="b">
        <f t="shared" si="109"/>
        <v>1</v>
      </c>
      <c r="D2371" s="63" t="str">
        <f t="shared" si="110"/>
        <v>OK</v>
      </c>
      <c r="E2371" s="393">
        <v>400006738</v>
      </c>
      <c r="F2371" s="392" t="s">
        <v>6151</v>
      </c>
      <c r="G2371" s="392" t="s">
        <v>5787</v>
      </c>
      <c r="H2371" s="392" t="s">
        <v>5314</v>
      </c>
      <c r="I2371" s="392" t="s">
        <v>1773</v>
      </c>
      <c r="J2371" s="392" t="s">
        <v>8664</v>
      </c>
      <c r="K2371" s="392" t="s">
        <v>5685</v>
      </c>
      <c r="L2371" s="392" t="s">
        <v>2845</v>
      </c>
      <c r="M2371" s="392" t="s">
        <v>7273</v>
      </c>
      <c r="N2371" s="392" t="s">
        <v>7273</v>
      </c>
      <c r="O2371" s="392" t="s">
        <v>7273</v>
      </c>
      <c r="P2371"/>
      <c r="Q2371"/>
      <c r="R2371" s="387">
        <f>VLOOKUP(E2371,'[1]NDB Impacted SPRFs 05032013'!$A$2:$A$65536,1,FALSE)</f>
        <v>400006738</v>
      </c>
      <c r="S2371" s="159"/>
      <c r="T2371" s="159"/>
      <c r="U2371" s="159"/>
    </row>
    <row r="2372" spans="1:21" ht="45" x14ac:dyDescent="0.25">
      <c r="A2372" s="63" t="e">
        <f>MATCH($E2372,'D1 - Master Project Table'!$B$24:$B$7056,0)</f>
        <v>#N/A</v>
      </c>
      <c r="B2372" s="63" t="b">
        <f t="shared" si="111"/>
        <v>1</v>
      </c>
      <c r="C2372" s="63" t="b">
        <f t="shared" si="109"/>
        <v>1</v>
      </c>
      <c r="D2372" s="63" t="str">
        <f t="shared" si="110"/>
        <v>OK</v>
      </c>
      <c r="E2372" s="393">
        <v>400006744</v>
      </c>
      <c r="F2372" s="392" t="s">
        <v>4484</v>
      </c>
      <c r="G2372" s="392" t="s">
        <v>5324</v>
      </c>
      <c r="H2372" s="392" t="s">
        <v>7418</v>
      </c>
      <c r="I2372" s="392" t="s">
        <v>1768</v>
      </c>
      <c r="J2372" s="392" t="s">
        <v>8525</v>
      </c>
      <c r="K2372" s="392" t="s">
        <v>2169</v>
      </c>
      <c r="L2372" s="392" t="s">
        <v>2845</v>
      </c>
      <c r="M2372" s="392" t="s">
        <v>7273</v>
      </c>
      <c r="N2372" s="392" t="s">
        <v>7273</v>
      </c>
      <c r="O2372" s="392" t="s">
        <v>7273</v>
      </c>
      <c r="P2372"/>
      <c r="Q2372"/>
      <c r="R2372" s="387">
        <f>VLOOKUP(E2372,'[1]NDB Impacted SPRFs 05032013'!$A$2:$A$65536,1,FALSE)</f>
        <v>400006744</v>
      </c>
      <c r="S2372" s="159"/>
      <c r="T2372" s="159"/>
      <c r="U2372" s="159"/>
    </row>
    <row r="2373" spans="1:21" ht="30" x14ac:dyDescent="0.25">
      <c r="A2373" s="63">
        <f>MATCH($E2373,'D1 - Master Project Table'!$B$24:$B$7056,0)</f>
        <v>451</v>
      </c>
      <c r="B2373" s="63" t="b">
        <f t="shared" si="111"/>
        <v>0</v>
      </c>
      <c r="C2373" s="63" t="b">
        <f t="shared" si="109"/>
        <v>1</v>
      </c>
      <c r="D2373" s="63" t="str">
        <f t="shared" si="110"/>
        <v>OK</v>
      </c>
      <c r="E2373" s="393">
        <v>400006819</v>
      </c>
      <c r="F2373" s="392" t="s">
        <v>6150</v>
      </c>
      <c r="G2373" s="392" t="s">
        <v>5787</v>
      </c>
      <c r="H2373" s="392" t="s">
        <v>7418</v>
      </c>
      <c r="I2373" s="392" t="s">
        <v>1779</v>
      </c>
      <c r="J2373" s="392" t="s">
        <v>8304</v>
      </c>
      <c r="K2373" s="392" t="s">
        <v>6312</v>
      </c>
      <c r="L2373" s="392" t="s">
        <v>2845</v>
      </c>
      <c r="M2373" s="392" t="s">
        <v>7273</v>
      </c>
      <c r="N2373" s="392" t="s">
        <v>7273</v>
      </c>
      <c r="O2373" s="392" t="s">
        <v>7273</v>
      </c>
      <c r="P2373"/>
      <c r="Q2373"/>
      <c r="R2373" s="387">
        <f>VLOOKUP(E2373,'[1]NDB Impacted SPRFs 05032013'!$A$2:$A$65536,1,FALSE)</f>
        <v>400006819</v>
      </c>
      <c r="S2373" s="159"/>
      <c r="T2373" s="159"/>
      <c r="U2373" s="159"/>
    </row>
    <row r="2374" spans="1:21" ht="30" x14ac:dyDescent="0.25">
      <c r="A2374" s="63">
        <f>MATCH($E2374,'D1 - Master Project Table'!$B$24:$B$7056,0)</f>
        <v>2063</v>
      </c>
      <c r="B2374" s="63" t="b">
        <f t="shared" si="111"/>
        <v>0</v>
      </c>
      <c r="C2374" s="63" t="b">
        <f t="shared" ref="C2374:C2437" si="112">OR(H2374="Completed",H2374="Cancelled")</f>
        <v>1</v>
      </c>
      <c r="D2374" s="63" t="str">
        <f t="shared" ref="D2374:D2437" si="113">IF(AND(B2374=TRUE,C2374=FALSE),"Add","OK")</f>
        <v>OK</v>
      </c>
      <c r="E2374" s="393">
        <v>400006849</v>
      </c>
      <c r="F2374" s="392" t="s">
        <v>4790</v>
      </c>
      <c r="G2374" s="392" t="s">
        <v>5787</v>
      </c>
      <c r="H2374" s="392" t="s">
        <v>5314</v>
      </c>
      <c r="I2374" s="392" t="s">
        <v>1773</v>
      </c>
      <c r="J2374" s="392" t="s">
        <v>8664</v>
      </c>
      <c r="K2374" s="392" t="s">
        <v>5685</v>
      </c>
      <c r="L2374" s="392" t="s">
        <v>2845</v>
      </c>
      <c r="M2374" s="392" t="s">
        <v>7273</v>
      </c>
      <c r="N2374" s="392" t="s">
        <v>7273</v>
      </c>
      <c r="O2374" s="392" t="s">
        <v>7273</v>
      </c>
      <c r="P2374"/>
      <c r="Q2374"/>
      <c r="R2374" s="387">
        <f>VLOOKUP(E2374,'[1]NDB Impacted SPRFs 05032013'!$A$2:$A$65536,1,FALSE)</f>
        <v>400006849</v>
      </c>
    </row>
    <row r="2375" spans="1:21" ht="45" x14ac:dyDescent="0.25">
      <c r="A2375" s="63">
        <f>MATCH($E2375,'D1 - Master Project Table'!$B$24:$B$7056,0)</f>
        <v>306</v>
      </c>
      <c r="B2375" s="63" t="b">
        <f t="shared" si="111"/>
        <v>0</v>
      </c>
      <c r="C2375" s="63" t="b">
        <f t="shared" si="112"/>
        <v>1</v>
      </c>
      <c r="D2375" s="63" t="str">
        <f t="shared" si="113"/>
        <v>OK</v>
      </c>
      <c r="E2375" s="393">
        <v>400006907</v>
      </c>
      <c r="F2375" s="392" t="s">
        <v>2812</v>
      </c>
      <c r="G2375" s="392" t="s">
        <v>5324</v>
      </c>
      <c r="H2375" s="392" t="s">
        <v>7418</v>
      </c>
      <c r="I2375" s="392" t="s">
        <v>1765</v>
      </c>
      <c r="J2375" s="392" t="s">
        <v>8335</v>
      </c>
      <c r="K2375" s="392" t="s">
        <v>2953</v>
      </c>
      <c r="L2375" s="392" t="s">
        <v>2845</v>
      </c>
      <c r="M2375" s="392" t="s">
        <v>7273</v>
      </c>
      <c r="N2375" s="392" t="s">
        <v>7273</v>
      </c>
      <c r="O2375" s="392" t="s">
        <v>7273</v>
      </c>
      <c r="P2375"/>
      <c r="Q2375"/>
      <c r="R2375" s="387">
        <f>VLOOKUP(E2375,'[1]NDB Impacted SPRFs 05032013'!$A$2:$A$65536,1,FALSE)</f>
        <v>400006907</v>
      </c>
      <c r="S2375" s="159"/>
      <c r="T2375" s="159"/>
      <c r="U2375" s="159"/>
    </row>
    <row r="2376" spans="1:21" ht="45" x14ac:dyDescent="0.25">
      <c r="A2376" s="63">
        <f>MATCH($E2376,'D1 - Master Project Table'!$B$24:$B$7056,0)</f>
        <v>319</v>
      </c>
      <c r="B2376" s="63" t="b">
        <f t="shared" si="111"/>
        <v>0</v>
      </c>
      <c r="C2376" s="63" t="b">
        <f t="shared" si="112"/>
        <v>1</v>
      </c>
      <c r="D2376" s="63" t="str">
        <f t="shared" si="113"/>
        <v>OK</v>
      </c>
      <c r="E2376" s="393">
        <v>400006943</v>
      </c>
      <c r="F2376" s="392" t="s">
        <v>5953</v>
      </c>
      <c r="G2376" s="392" t="s">
        <v>5325</v>
      </c>
      <c r="H2376" s="392" t="s">
        <v>7418</v>
      </c>
      <c r="I2376" s="392" t="s">
        <v>1794</v>
      </c>
      <c r="J2376" s="392" t="s">
        <v>8275</v>
      </c>
      <c r="K2376" s="392" t="s">
        <v>6247</v>
      </c>
      <c r="L2376" s="392" t="s">
        <v>2845</v>
      </c>
      <c r="M2376" s="392" t="s">
        <v>7273</v>
      </c>
      <c r="N2376" s="392" t="s">
        <v>7273</v>
      </c>
      <c r="O2376" s="392" t="s">
        <v>7273</v>
      </c>
      <c r="P2376"/>
      <c r="Q2376"/>
      <c r="R2376" s="387">
        <f>VLOOKUP(E2376,'[1]NDB Impacted SPRFs 05032013'!$A$2:$A$65536,1,FALSE)</f>
        <v>400006943</v>
      </c>
      <c r="S2376" s="159"/>
      <c r="T2376" s="159"/>
      <c r="U2376" s="159"/>
    </row>
    <row r="2377" spans="1:21" ht="45" x14ac:dyDescent="0.25">
      <c r="A2377" s="63">
        <f>MATCH($E2377,'D1 - Master Project Table'!$B$24:$B$7056,0)</f>
        <v>2501</v>
      </c>
      <c r="B2377" s="63" t="b">
        <f t="shared" si="111"/>
        <v>0</v>
      </c>
      <c r="C2377" s="63" t="b">
        <f t="shared" si="112"/>
        <v>1</v>
      </c>
      <c r="D2377" s="63" t="str">
        <f t="shared" si="113"/>
        <v>OK</v>
      </c>
      <c r="E2377" s="393">
        <v>400007031</v>
      </c>
      <c r="F2377" s="392" t="s">
        <v>4852</v>
      </c>
      <c r="G2377" s="392" t="s">
        <v>5324</v>
      </c>
      <c r="H2377" s="392" t="s">
        <v>5314</v>
      </c>
      <c r="I2377" s="392" t="s">
        <v>1764</v>
      </c>
      <c r="J2377" s="392" t="s">
        <v>2937</v>
      </c>
      <c r="K2377" s="392" t="s">
        <v>5641</v>
      </c>
      <c r="L2377" s="392" t="s">
        <v>2845</v>
      </c>
      <c r="M2377" s="392" t="s">
        <v>7273</v>
      </c>
      <c r="N2377" s="392" t="s">
        <v>7273</v>
      </c>
      <c r="O2377" s="392" t="s">
        <v>7273</v>
      </c>
      <c r="P2377"/>
      <c r="Q2377"/>
      <c r="R2377" s="387">
        <f>VLOOKUP(E2377,'[1]NDB Impacted SPRFs 05032013'!$A$2:$A$65536,1,FALSE)</f>
        <v>400007031</v>
      </c>
    </row>
    <row r="2378" spans="1:21" ht="45" x14ac:dyDescent="0.25">
      <c r="A2378" s="63">
        <f>MATCH($E2378,'D1 - Master Project Table'!$B$24:$B$7056,0)</f>
        <v>329</v>
      </c>
      <c r="B2378" s="63" t="b">
        <f t="shared" si="111"/>
        <v>0</v>
      </c>
      <c r="C2378" s="63" t="b">
        <f t="shared" si="112"/>
        <v>1</v>
      </c>
      <c r="D2378" s="63" t="str">
        <f t="shared" si="113"/>
        <v>OK</v>
      </c>
      <c r="E2378" s="393">
        <v>400007060</v>
      </c>
      <c r="F2378" s="392" t="s">
        <v>4788</v>
      </c>
      <c r="G2378" s="392" t="s">
        <v>5787</v>
      </c>
      <c r="H2378" s="392" t="s">
        <v>7418</v>
      </c>
      <c r="I2378" s="392" t="s">
        <v>1776</v>
      </c>
      <c r="J2378" s="392" t="s">
        <v>8475</v>
      </c>
      <c r="K2378" s="392" t="s">
        <v>2411</v>
      </c>
      <c r="L2378" s="392" t="s">
        <v>2845</v>
      </c>
      <c r="M2378" s="392" t="s">
        <v>7273</v>
      </c>
      <c r="N2378" s="392" t="s">
        <v>7273</v>
      </c>
      <c r="O2378" s="392" t="s">
        <v>7273</v>
      </c>
      <c r="P2378"/>
      <c r="Q2378"/>
      <c r="R2378" s="387">
        <f>VLOOKUP(E2378,'[1]NDB Impacted SPRFs 05032013'!$A$2:$A$65536,1,FALSE)</f>
        <v>400007060</v>
      </c>
      <c r="S2378" s="159"/>
      <c r="T2378" s="159"/>
      <c r="U2378" s="159"/>
    </row>
    <row r="2379" spans="1:21" ht="45" x14ac:dyDescent="0.25">
      <c r="A2379" s="63">
        <f>MATCH($E2379,'D1 - Master Project Table'!$B$24:$B$7056,0)</f>
        <v>2502</v>
      </c>
      <c r="B2379" s="63" t="b">
        <f t="shared" si="111"/>
        <v>0</v>
      </c>
      <c r="C2379" s="63" t="b">
        <f t="shared" si="112"/>
        <v>1</v>
      </c>
      <c r="D2379" s="63" t="str">
        <f t="shared" si="113"/>
        <v>OK</v>
      </c>
      <c r="E2379" s="393">
        <v>400007077</v>
      </c>
      <c r="F2379" s="392" t="s">
        <v>4473</v>
      </c>
      <c r="G2379" s="392" t="s">
        <v>5324</v>
      </c>
      <c r="H2379" s="392" t="s">
        <v>5314</v>
      </c>
      <c r="I2379" s="392" t="s">
        <v>1765</v>
      </c>
      <c r="J2379" s="392" t="s">
        <v>8323</v>
      </c>
      <c r="K2379" s="392" t="s">
        <v>3722</v>
      </c>
      <c r="L2379" s="392" t="s">
        <v>2845</v>
      </c>
      <c r="M2379" s="392" t="s">
        <v>7273</v>
      </c>
      <c r="N2379" s="392" t="s">
        <v>7273</v>
      </c>
      <c r="O2379" s="392" t="s">
        <v>7273</v>
      </c>
      <c r="P2379"/>
      <c r="Q2379"/>
      <c r="R2379" s="387">
        <f>VLOOKUP(E2379,'[1]NDB Impacted SPRFs 05032013'!$A$2:$A$65536,1,FALSE)</f>
        <v>400007077</v>
      </c>
      <c r="S2379" s="159"/>
      <c r="T2379" s="159"/>
      <c r="U2379" s="159"/>
    </row>
    <row r="2380" spans="1:21" ht="45" x14ac:dyDescent="0.25">
      <c r="A2380" s="63">
        <f>MATCH($E2380,'D1 - Master Project Table'!$B$24:$B$7056,0)</f>
        <v>312</v>
      </c>
      <c r="B2380" s="63" t="b">
        <f t="shared" si="111"/>
        <v>0</v>
      </c>
      <c r="C2380" s="63" t="b">
        <f t="shared" si="112"/>
        <v>1</v>
      </c>
      <c r="D2380" s="63" t="str">
        <f t="shared" si="113"/>
        <v>OK</v>
      </c>
      <c r="E2380" s="393">
        <v>400007106</v>
      </c>
      <c r="F2380" s="392" t="s">
        <v>6544</v>
      </c>
      <c r="G2380" s="392" t="s">
        <v>5324</v>
      </c>
      <c r="H2380" s="392" t="s">
        <v>7418</v>
      </c>
      <c r="I2380" s="392" t="s">
        <v>1765</v>
      </c>
      <c r="J2380" s="392" t="s">
        <v>8334</v>
      </c>
      <c r="K2380" s="392" t="s">
        <v>5755</v>
      </c>
      <c r="L2380" s="392" t="s">
        <v>2845</v>
      </c>
      <c r="M2380" s="392" t="s">
        <v>7273</v>
      </c>
      <c r="N2380" s="392" t="s">
        <v>7273</v>
      </c>
      <c r="O2380" s="392" t="s">
        <v>7273</v>
      </c>
      <c r="P2380"/>
      <c r="Q2380"/>
      <c r="R2380" s="387">
        <f>VLOOKUP(E2380,'[1]NDB Impacted SPRFs 05032013'!$A$2:$A$65536,1,FALSE)</f>
        <v>400007106</v>
      </c>
    </row>
    <row r="2381" spans="1:21" ht="30" x14ac:dyDescent="0.25">
      <c r="A2381" s="63">
        <f>MATCH($E2381,'D1 - Master Project Table'!$B$24:$B$7056,0)</f>
        <v>2504</v>
      </c>
      <c r="B2381" s="63" t="b">
        <f t="shared" si="111"/>
        <v>0</v>
      </c>
      <c r="C2381" s="63" t="b">
        <f t="shared" si="112"/>
        <v>1</v>
      </c>
      <c r="D2381" s="63" t="str">
        <f t="shared" si="113"/>
        <v>OK</v>
      </c>
      <c r="E2381" s="393">
        <v>400007182</v>
      </c>
      <c r="F2381" s="392" t="s">
        <v>2836</v>
      </c>
      <c r="G2381" s="392" t="s">
        <v>5787</v>
      </c>
      <c r="H2381" s="392" t="s">
        <v>5314</v>
      </c>
      <c r="I2381" s="392" t="s">
        <v>1773</v>
      </c>
      <c r="J2381" s="392" t="s">
        <v>8664</v>
      </c>
      <c r="K2381" s="392" t="s">
        <v>5685</v>
      </c>
      <c r="L2381" s="392" t="s">
        <v>2845</v>
      </c>
      <c r="M2381" s="392" t="s">
        <v>7273</v>
      </c>
      <c r="N2381" s="392" t="s">
        <v>7273</v>
      </c>
      <c r="O2381" s="392" t="s">
        <v>7273</v>
      </c>
      <c r="P2381"/>
      <c r="Q2381"/>
      <c r="R2381" s="387">
        <f>VLOOKUP(E2381,'[1]NDB Impacted SPRFs 05032013'!$A$2:$A$65536,1,FALSE)</f>
        <v>400007182</v>
      </c>
    </row>
    <row r="2382" spans="1:21" ht="45" x14ac:dyDescent="0.25">
      <c r="A2382" s="63">
        <f>MATCH($E2382,'D1 - Master Project Table'!$B$24:$B$7056,0)</f>
        <v>330</v>
      </c>
      <c r="B2382" s="63" t="b">
        <f t="shared" si="111"/>
        <v>0</v>
      </c>
      <c r="C2382" s="63" t="b">
        <f t="shared" si="112"/>
        <v>1</v>
      </c>
      <c r="D2382" s="63" t="str">
        <f t="shared" si="113"/>
        <v>OK</v>
      </c>
      <c r="E2382" s="393">
        <v>400007445</v>
      </c>
      <c r="F2382" s="392" t="s">
        <v>3420</v>
      </c>
      <c r="G2382" s="392" t="s">
        <v>5324</v>
      </c>
      <c r="H2382" s="392" t="s">
        <v>7418</v>
      </c>
      <c r="I2382" s="392" t="s">
        <v>1765</v>
      </c>
      <c r="J2382" s="392" t="s">
        <v>2937</v>
      </c>
      <c r="K2382" s="392" t="s">
        <v>7401</v>
      </c>
      <c r="L2382" s="392" t="s">
        <v>2845</v>
      </c>
      <c r="M2382" s="392" t="s">
        <v>7273</v>
      </c>
      <c r="N2382" s="392" t="s">
        <v>7273</v>
      </c>
      <c r="O2382" s="392" t="s">
        <v>7273</v>
      </c>
      <c r="P2382"/>
      <c r="Q2382"/>
      <c r="R2382" s="387">
        <f>VLOOKUP(E2382,'[1]NDB Impacted SPRFs 05032013'!$A$2:$A$65536,1,FALSE)</f>
        <v>400007445</v>
      </c>
      <c r="S2382" s="159"/>
      <c r="T2382" s="159"/>
      <c r="U2382" s="159"/>
    </row>
    <row r="2383" spans="1:21" ht="30" x14ac:dyDescent="0.25">
      <c r="A2383" s="63">
        <f>MATCH($E2383,'D1 - Master Project Table'!$B$24:$B$7056,0)</f>
        <v>337</v>
      </c>
      <c r="B2383" s="63" t="b">
        <f t="shared" si="111"/>
        <v>0</v>
      </c>
      <c r="C2383" s="63" t="b">
        <f t="shared" si="112"/>
        <v>1</v>
      </c>
      <c r="D2383" s="63" t="str">
        <f t="shared" si="113"/>
        <v>OK</v>
      </c>
      <c r="E2383" s="393">
        <v>400007538</v>
      </c>
      <c r="F2383" s="392" t="s">
        <v>4330</v>
      </c>
      <c r="G2383" s="392" t="s">
        <v>5787</v>
      </c>
      <c r="H2383" s="392" t="s">
        <v>7418</v>
      </c>
      <c r="I2383" s="392" t="s">
        <v>1825</v>
      </c>
      <c r="J2383" s="392" t="s">
        <v>8304</v>
      </c>
      <c r="K2383" s="392" t="s">
        <v>6312</v>
      </c>
      <c r="L2383" s="392" t="s">
        <v>2845</v>
      </c>
      <c r="M2383" s="392" t="s">
        <v>7273</v>
      </c>
      <c r="N2383" s="392" t="s">
        <v>7273</v>
      </c>
      <c r="O2383" s="392" t="s">
        <v>7273</v>
      </c>
      <c r="P2383"/>
      <c r="Q2383"/>
      <c r="R2383" s="387">
        <f>VLOOKUP(E2383,'[1]NDB Impacted SPRFs 05032013'!$A$2:$A$65536,1,FALSE)</f>
        <v>400007538</v>
      </c>
      <c r="S2383" s="159"/>
      <c r="T2383" s="159"/>
      <c r="U2383" s="159"/>
    </row>
    <row r="2384" spans="1:21" ht="45" x14ac:dyDescent="0.25">
      <c r="A2384" s="63">
        <f>MATCH($E2384,'D1 - Master Project Table'!$B$24:$B$7056,0)</f>
        <v>349</v>
      </c>
      <c r="B2384" s="63" t="b">
        <f t="shared" si="111"/>
        <v>0</v>
      </c>
      <c r="C2384" s="63" t="b">
        <f t="shared" si="112"/>
        <v>1</v>
      </c>
      <c r="D2384" s="63" t="str">
        <f t="shared" si="113"/>
        <v>OK</v>
      </c>
      <c r="E2384" s="393">
        <v>400007601</v>
      </c>
      <c r="F2384" s="392" t="s">
        <v>2543</v>
      </c>
      <c r="G2384" s="392" t="s">
        <v>5324</v>
      </c>
      <c r="H2384" s="392" t="s">
        <v>7418</v>
      </c>
      <c r="I2384" s="392" t="s">
        <v>1765</v>
      </c>
      <c r="J2384" s="392" t="s">
        <v>8335</v>
      </c>
      <c r="K2384" s="392" t="s">
        <v>5641</v>
      </c>
      <c r="L2384" s="392" t="s">
        <v>2845</v>
      </c>
      <c r="M2384" s="392" t="s">
        <v>7273</v>
      </c>
      <c r="N2384" s="392" t="s">
        <v>7273</v>
      </c>
      <c r="O2384" s="392" t="s">
        <v>7273</v>
      </c>
      <c r="P2384"/>
      <c r="Q2384"/>
      <c r="R2384" s="387">
        <f>VLOOKUP(E2384,'[1]NDB Impacted SPRFs 05032013'!$A$2:$A$65536,1,FALSE)</f>
        <v>400007601</v>
      </c>
      <c r="S2384" s="159"/>
      <c r="T2384" s="159"/>
      <c r="U2384" s="159"/>
    </row>
    <row r="2385" spans="1:21" ht="45" x14ac:dyDescent="0.25">
      <c r="A2385" s="63">
        <f>MATCH($E2385,'D1 - Master Project Table'!$B$24:$B$7056,0)</f>
        <v>388</v>
      </c>
      <c r="B2385" s="63" t="b">
        <f t="shared" si="111"/>
        <v>0</v>
      </c>
      <c r="C2385" s="63" t="b">
        <f t="shared" si="112"/>
        <v>1</v>
      </c>
      <c r="D2385" s="63" t="str">
        <f t="shared" si="113"/>
        <v>OK</v>
      </c>
      <c r="E2385" s="393">
        <v>400007613</v>
      </c>
      <c r="F2385" s="392" t="s">
        <v>4743</v>
      </c>
      <c r="G2385" s="392" t="s">
        <v>5324</v>
      </c>
      <c r="H2385" s="392" t="s">
        <v>7418</v>
      </c>
      <c r="I2385" s="392" t="s">
        <v>1765</v>
      </c>
      <c r="J2385" s="392" t="s">
        <v>8519</v>
      </c>
      <c r="K2385" s="392" t="s">
        <v>6017</v>
      </c>
      <c r="L2385" s="392" t="s">
        <v>2845</v>
      </c>
      <c r="M2385" s="392" t="s">
        <v>7273</v>
      </c>
      <c r="N2385" s="392" t="s">
        <v>7273</v>
      </c>
      <c r="O2385" s="392" t="s">
        <v>7273</v>
      </c>
      <c r="P2385"/>
      <c r="Q2385"/>
      <c r="R2385" s="387">
        <f>VLOOKUP(E2385,'[1]NDB Impacted SPRFs 05032013'!$A$2:$A$65536,1,FALSE)</f>
        <v>400007613</v>
      </c>
    </row>
    <row r="2386" spans="1:21" ht="30" x14ac:dyDescent="0.25">
      <c r="A2386" s="63">
        <f>MATCH($E2386,'D1 - Master Project Table'!$B$24:$B$7056,0)</f>
        <v>350</v>
      </c>
      <c r="B2386" s="63" t="b">
        <f t="shared" si="111"/>
        <v>0</v>
      </c>
      <c r="C2386" s="63" t="b">
        <f t="shared" si="112"/>
        <v>1</v>
      </c>
      <c r="D2386" s="63" t="str">
        <f t="shared" si="113"/>
        <v>OK</v>
      </c>
      <c r="E2386" s="393">
        <v>400007615</v>
      </c>
      <c r="F2386" s="392" t="s">
        <v>5445</v>
      </c>
      <c r="G2386" s="392" t="s">
        <v>7182</v>
      </c>
      <c r="H2386" s="392" t="s">
        <v>7418</v>
      </c>
      <c r="I2386" s="392" t="s">
        <v>7022</v>
      </c>
      <c r="J2386" s="392" t="s">
        <v>8335</v>
      </c>
      <c r="K2386" s="392" t="s">
        <v>5541</v>
      </c>
      <c r="L2386" s="392" t="s">
        <v>2845</v>
      </c>
      <c r="M2386" s="392" t="s">
        <v>7273</v>
      </c>
      <c r="N2386" s="392" t="s">
        <v>7273</v>
      </c>
      <c r="O2386" s="392" t="s">
        <v>7273</v>
      </c>
      <c r="P2386"/>
      <c r="Q2386"/>
      <c r="R2386" s="387">
        <f>VLOOKUP(E2386,'[1]NDB Impacted SPRFs 05032013'!$A$2:$A$65536,1,FALSE)</f>
        <v>400007615</v>
      </c>
    </row>
    <row r="2387" spans="1:21" ht="45" x14ac:dyDescent="0.25">
      <c r="A2387" s="63">
        <f>MATCH($E2387,'D1 - Master Project Table'!$B$24:$B$7056,0)</f>
        <v>467</v>
      </c>
      <c r="B2387" s="63" t="b">
        <f t="shared" si="111"/>
        <v>0</v>
      </c>
      <c r="C2387" s="63" t="b">
        <f t="shared" si="112"/>
        <v>1</v>
      </c>
      <c r="D2387" s="63" t="str">
        <f t="shared" si="113"/>
        <v>OK</v>
      </c>
      <c r="E2387" s="393">
        <v>400007616</v>
      </c>
      <c r="F2387" s="392" t="s">
        <v>5811</v>
      </c>
      <c r="G2387" s="392" t="s">
        <v>5324</v>
      </c>
      <c r="H2387" s="392" t="s">
        <v>7418</v>
      </c>
      <c r="I2387" s="392" t="s">
        <v>1765</v>
      </c>
      <c r="J2387" s="392" t="s">
        <v>8522</v>
      </c>
      <c r="K2387" s="392" t="s">
        <v>3347</v>
      </c>
      <c r="L2387" s="392" t="s">
        <v>2845</v>
      </c>
      <c r="M2387" s="392" t="s">
        <v>7273</v>
      </c>
      <c r="N2387" s="392" t="s">
        <v>7273</v>
      </c>
      <c r="O2387" s="392" t="s">
        <v>7273</v>
      </c>
      <c r="P2387"/>
      <c r="Q2387"/>
      <c r="R2387" s="387">
        <f>VLOOKUP(E2387,'[1]NDB Impacted SPRFs 05032013'!$A$2:$A$65536,1,FALSE)</f>
        <v>400007616</v>
      </c>
      <c r="S2387" s="159"/>
      <c r="T2387" s="159"/>
      <c r="U2387" s="159"/>
    </row>
    <row r="2388" spans="1:21" ht="45" x14ac:dyDescent="0.25">
      <c r="A2388" s="63">
        <f>MATCH($E2388,'D1 - Master Project Table'!$B$24:$B$7056,0)</f>
        <v>542</v>
      </c>
      <c r="B2388" s="63" t="b">
        <f t="shared" si="111"/>
        <v>0</v>
      </c>
      <c r="C2388" s="63" t="b">
        <f t="shared" si="112"/>
        <v>1</v>
      </c>
      <c r="D2388" s="63" t="str">
        <f t="shared" si="113"/>
        <v>OK</v>
      </c>
      <c r="E2388" s="393">
        <v>400007659</v>
      </c>
      <c r="F2388" s="392" t="s">
        <v>2791</v>
      </c>
      <c r="G2388" s="392" t="s">
        <v>5325</v>
      </c>
      <c r="H2388" s="392" t="s">
        <v>7418</v>
      </c>
      <c r="I2388" s="392" t="s">
        <v>1794</v>
      </c>
      <c r="J2388" s="392" t="s">
        <v>8275</v>
      </c>
      <c r="K2388" s="392" t="s">
        <v>6247</v>
      </c>
      <c r="L2388" s="392" t="s">
        <v>2845</v>
      </c>
      <c r="M2388" s="392" t="s">
        <v>7273</v>
      </c>
      <c r="N2388" s="392" t="s">
        <v>7273</v>
      </c>
      <c r="O2388" s="392" t="s">
        <v>7273</v>
      </c>
      <c r="P2388" s="212"/>
      <c r="Q2388" s="212"/>
      <c r="R2388" s="387">
        <f>VLOOKUP(E2388,'[1]NDB Impacted SPRFs 05032013'!$A$2:$A$65536,1,FALSE)</f>
        <v>400007659</v>
      </c>
    </row>
    <row r="2389" spans="1:21" ht="60" customHeight="1" x14ac:dyDescent="0.25">
      <c r="A2389" s="63">
        <f>MATCH($E2389,'D1 - Master Project Table'!$B$24:$B$7056,0)</f>
        <v>352</v>
      </c>
      <c r="B2389" s="63" t="b">
        <f t="shared" si="111"/>
        <v>0</v>
      </c>
      <c r="C2389" s="63" t="b">
        <f t="shared" si="112"/>
        <v>1</v>
      </c>
      <c r="D2389" s="63" t="str">
        <f t="shared" si="113"/>
        <v>OK</v>
      </c>
      <c r="E2389" s="393">
        <v>400007932</v>
      </c>
      <c r="F2389" s="392" t="s">
        <v>4998</v>
      </c>
      <c r="G2389" s="392" t="s">
        <v>7182</v>
      </c>
      <c r="H2389" s="392" t="s">
        <v>7418</v>
      </c>
      <c r="I2389" s="392" t="s">
        <v>7022</v>
      </c>
      <c r="J2389" s="392" t="s">
        <v>8386</v>
      </c>
      <c r="K2389" s="392" t="s">
        <v>5641</v>
      </c>
      <c r="L2389" s="392" t="s">
        <v>2845</v>
      </c>
      <c r="M2389" s="392" t="s">
        <v>7273</v>
      </c>
      <c r="N2389" s="392" t="s">
        <v>7273</v>
      </c>
      <c r="O2389" s="392" t="s">
        <v>7273</v>
      </c>
      <c r="P2389"/>
      <c r="Q2389"/>
      <c r="R2389" s="387">
        <f>VLOOKUP(E2389,'[1]NDB Impacted SPRFs 05032013'!$A$2:$A$65536,1,FALSE)</f>
        <v>400007932</v>
      </c>
      <c r="S2389" s="159"/>
      <c r="T2389" s="159"/>
      <c r="U2389" s="159"/>
    </row>
    <row r="2390" spans="1:21" ht="45" x14ac:dyDescent="0.25">
      <c r="A2390" s="63">
        <f>MATCH($E2390,'D1 - Master Project Table'!$B$24:$B$7056,0)</f>
        <v>353</v>
      </c>
      <c r="B2390" s="63" t="b">
        <f t="shared" si="111"/>
        <v>0</v>
      </c>
      <c r="C2390" s="63" t="b">
        <f t="shared" si="112"/>
        <v>1</v>
      </c>
      <c r="D2390" s="63" t="str">
        <f t="shared" si="113"/>
        <v>OK</v>
      </c>
      <c r="E2390" s="393">
        <v>400008229</v>
      </c>
      <c r="F2390" s="392" t="s">
        <v>5829</v>
      </c>
      <c r="G2390" s="392" t="s">
        <v>6322</v>
      </c>
      <c r="H2390" s="392" t="s">
        <v>7418</v>
      </c>
      <c r="I2390" s="392" t="s">
        <v>7594</v>
      </c>
      <c r="J2390" s="392" t="s">
        <v>8335</v>
      </c>
      <c r="K2390" s="392" t="s">
        <v>2953</v>
      </c>
      <c r="L2390" s="392" t="s">
        <v>2845</v>
      </c>
      <c r="M2390" s="392" t="s">
        <v>7273</v>
      </c>
      <c r="N2390" s="392" t="s">
        <v>7273</v>
      </c>
      <c r="O2390" s="392" t="s">
        <v>7273</v>
      </c>
      <c r="P2390"/>
      <c r="Q2390"/>
      <c r="R2390" s="387">
        <f>VLOOKUP(E2390,'[1]NDB Impacted SPRFs 05032013'!$A$2:$A$65536,1,FALSE)</f>
        <v>400008229</v>
      </c>
      <c r="S2390" s="159"/>
      <c r="T2390" s="159"/>
      <c r="U2390" s="159"/>
    </row>
    <row r="2391" spans="1:21" ht="60" customHeight="1" x14ac:dyDescent="0.25">
      <c r="A2391" s="63">
        <f>MATCH($E2391,'D1 - Master Project Table'!$B$24:$B$7056,0)</f>
        <v>1851</v>
      </c>
      <c r="B2391" s="63" t="b">
        <f t="shared" si="111"/>
        <v>0</v>
      </c>
      <c r="C2391" s="63" t="b">
        <f t="shared" si="112"/>
        <v>1</v>
      </c>
      <c r="D2391" s="63" t="str">
        <f t="shared" si="113"/>
        <v>OK</v>
      </c>
      <c r="E2391" s="393">
        <v>400008376</v>
      </c>
      <c r="F2391" s="392" t="s">
        <v>7397</v>
      </c>
      <c r="G2391" s="392" t="s">
        <v>5787</v>
      </c>
      <c r="H2391" s="392" t="s">
        <v>7418</v>
      </c>
      <c r="I2391" s="392" t="s">
        <v>1780</v>
      </c>
      <c r="J2391" s="392" t="s">
        <v>5025</v>
      </c>
      <c r="K2391" s="392" t="s">
        <v>3353</v>
      </c>
      <c r="L2391" s="392" t="s">
        <v>2845</v>
      </c>
      <c r="M2391" s="392" t="s">
        <v>7273</v>
      </c>
      <c r="N2391" s="392" t="s">
        <v>7273</v>
      </c>
      <c r="O2391" s="392" t="s">
        <v>7273</v>
      </c>
      <c r="P2391"/>
      <c r="Q2391"/>
      <c r="R2391" s="387">
        <f>VLOOKUP(E2391,'[1]NDB Impacted SPRFs 05032013'!$A$2:$A$65536,1,FALSE)</f>
        <v>400008376</v>
      </c>
      <c r="S2391" s="159"/>
      <c r="T2391" s="159"/>
      <c r="U2391" s="159"/>
    </row>
    <row r="2392" spans="1:21" ht="45" x14ac:dyDescent="0.25">
      <c r="A2392" s="63">
        <f>MATCH($E2392,'D1 - Master Project Table'!$B$24:$B$7056,0)</f>
        <v>2533</v>
      </c>
      <c r="B2392" s="63" t="b">
        <f t="shared" si="111"/>
        <v>0</v>
      </c>
      <c r="C2392" s="63" t="b">
        <f t="shared" si="112"/>
        <v>1</v>
      </c>
      <c r="D2392" s="63" t="str">
        <f t="shared" si="113"/>
        <v>OK</v>
      </c>
      <c r="E2392" s="393">
        <v>400008380</v>
      </c>
      <c r="F2392" s="392" t="s">
        <v>7785</v>
      </c>
      <c r="G2392" s="392" t="s">
        <v>5325</v>
      </c>
      <c r="H2392" s="392" t="s">
        <v>5314</v>
      </c>
      <c r="I2392" s="392" t="s">
        <v>1794</v>
      </c>
      <c r="J2392" s="392" t="s">
        <v>3780</v>
      </c>
      <c r="K2392" s="392" t="s">
        <v>2780</v>
      </c>
      <c r="L2392" s="392" t="s">
        <v>2845</v>
      </c>
      <c r="M2392" s="392" t="s">
        <v>7273</v>
      </c>
      <c r="N2392" s="392" t="s">
        <v>7273</v>
      </c>
      <c r="O2392" s="392" t="s">
        <v>7273</v>
      </c>
      <c r="P2392"/>
      <c r="Q2392"/>
      <c r="R2392" s="387">
        <f>VLOOKUP(E2392,'[1]NDB Impacted SPRFs 05032013'!$A$2:$A$65536,1,FALSE)</f>
        <v>400008380</v>
      </c>
    </row>
    <row r="2393" spans="1:21" ht="60" customHeight="1" x14ac:dyDescent="0.25">
      <c r="A2393" s="63">
        <f>MATCH($E2393,'D1 - Master Project Table'!$B$24:$B$7056,0)</f>
        <v>2534</v>
      </c>
      <c r="B2393" s="63" t="b">
        <f t="shared" si="111"/>
        <v>0</v>
      </c>
      <c r="C2393" s="63" t="b">
        <f t="shared" si="112"/>
        <v>1</v>
      </c>
      <c r="D2393" s="63" t="str">
        <f t="shared" si="113"/>
        <v>OK</v>
      </c>
      <c r="E2393" s="393">
        <v>400008422</v>
      </c>
      <c r="F2393" s="392" t="s">
        <v>4472</v>
      </c>
      <c r="G2393" s="392" t="s">
        <v>5324</v>
      </c>
      <c r="H2393" s="392" t="s">
        <v>5314</v>
      </c>
      <c r="I2393" s="392" t="s">
        <v>1768</v>
      </c>
      <c r="J2393" s="392" t="s">
        <v>8521</v>
      </c>
      <c r="K2393" s="392" t="s">
        <v>2862</v>
      </c>
      <c r="L2393" s="392" t="s">
        <v>2845</v>
      </c>
      <c r="M2393" s="392" t="s">
        <v>7273</v>
      </c>
      <c r="N2393" s="392" t="s">
        <v>7273</v>
      </c>
      <c r="O2393" s="392" t="s">
        <v>7273</v>
      </c>
      <c r="P2393"/>
      <c r="Q2393"/>
      <c r="R2393" s="387">
        <f>VLOOKUP(E2393,'[1]NDB Impacted SPRFs 05032013'!$A$2:$A$65536,1,FALSE)</f>
        <v>400008422</v>
      </c>
      <c r="S2393" s="159"/>
      <c r="T2393" s="159"/>
      <c r="U2393" s="159"/>
    </row>
    <row r="2394" spans="1:21" ht="60" customHeight="1" x14ac:dyDescent="0.25">
      <c r="A2394" s="63">
        <f>MATCH($E2394,'D1 - Master Project Table'!$B$24:$B$7056,0)</f>
        <v>366</v>
      </c>
      <c r="B2394" s="63" t="b">
        <f t="shared" si="111"/>
        <v>0</v>
      </c>
      <c r="C2394" s="63" t="b">
        <f t="shared" si="112"/>
        <v>1</v>
      </c>
      <c r="D2394" s="63" t="str">
        <f t="shared" si="113"/>
        <v>OK</v>
      </c>
      <c r="E2394" s="393">
        <v>400008428</v>
      </c>
      <c r="F2394" s="392" t="s">
        <v>4860</v>
      </c>
      <c r="G2394" s="392" t="s">
        <v>6322</v>
      </c>
      <c r="H2394" s="392" t="s">
        <v>7418</v>
      </c>
      <c r="I2394" s="392" t="s">
        <v>7594</v>
      </c>
      <c r="J2394" s="392" t="s">
        <v>8335</v>
      </c>
      <c r="K2394" s="392" t="s">
        <v>2953</v>
      </c>
      <c r="L2394" s="392" t="s">
        <v>2845</v>
      </c>
      <c r="M2394" s="392" t="s">
        <v>7273</v>
      </c>
      <c r="N2394" s="392" t="s">
        <v>7273</v>
      </c>
      <c r="O2394" s="392" t="s">
        <v>7273</v>
      </c>
      <c r="P2394"/>
      <c r="Q2394"/>
      <c r="R2394" s="387">
        <f>VLOOKUP(E2394,'[1]NDB Impacted SPRFs 05032013'!$A$2:$A$65536,1,FALSE)</f>
        <v>400008428</v>
      </c>
      <c r="S2394" s="159"/>
      <c r="T2394" s="159"/>
      <c r="U2394" s="159"/>
    </row>
    <row r="2395" spans="1:21" ht="45" x14ac:dyDescent="0.25">
      <c r="A2395" s="63">
        <f>MATCH($E2395,'D1 - Master Project Table'!$B$24:$B$7056,0)</f>
        <v>2536</v>
      </c>
      <c r="B2395" s="63" t="b">
        <f t="shared" si="111"/>
        <v>0</v>
      </c>
      <c r="C2395" s="63" t="b">
        <f t="shared" si="112"/>
        <v>1</v>
      </c>
      <c r="D2395" s="63" t="str">
        <f t="shared" si="113"/>
        <v>OK</v>
      </c>
      <c r="E2395" s="393">
        <v>400008551</v>
      </c>
      <c r="F2395" s="392" t="s">
        <v>5767</v>
      </c>
      <c r="G2395" s="392" t="s">
        <v>5324</v>
      </c>
      <c r="H2395" s="392" t="s">
        <v>5314</v>
      </c>
      <c r="I2395" s="392" t="s">
        <v>1765</v>
      </c>
      <c r="J2395" s="392" t="s">
        <v>8519</v>
      </c>
      <c r="K2395" s="392" t="s">
        <v>6017</v>
      </c>
      <c r="L2395" s="392" t="s">
        <v>2845</v>
      </c>
      <c r="M2395" s="392" t="s">
        <v>7273</v>
      </c>
      <c r="N2395" s="392" t="s">
        <v>7273</v>
      </c>
      <c r="O2395" s="392" t="s">
        <v>7273</v>
      </c>
      <c r="P2395"/>
      <c r="Q2395"/>
      <c r="R2395" s="387">
        <f>VLOOKUP(E2395,'[1]NDB Impacted SPRFs 05032013'!$A$2:$A$65536,1,FALSE)</f>
        <v>400008551</v>
      </c>
      <c r="S2395" s="159"/>
      <c r="T2395" s="159"/>
      <c r="U2395" s="159"/>
    </row>
    <row r="2396" spans="1:21" ht="30" x14ac:dyDescent="0.25">
      <c r="A2396" s="63">
        <f>MATCH($E2396,'D1 - Master Project Table'!$B$24:$B$7056,0)</f>
        <v>2054</v>
      </c>
      <c r="B2396" s="63" t="b">
        <f t="shared" si="111"/>
        <v>0</v>
      </c>
      <c r="C2396" s="63" t="b">
        <f t="shared" si="112"/>
        <v>1</v>
      </c>
      <c r="D2396" s="63" t="str">
        <f t="shared" si="113"/>
        <v>OK</v>
      </c>
      <c r="E2396" s="393">
        <v>400008656</v>
      </c>
      <c r="F2396" s="392" t="s">
        <v>4378</v>
      </c>
      <c r="G2396" s="392" t="s">
        <v>5787</v>
      </c>
      <c r="H2396" s="392" t="s">
        <v>5314</v>
      </c>
      <c r="I2396" s="392" t="s">
        <v>1775</v>
      </c>
      <c r="J2396" s="392" t="s">
        <v>7935</v>
      </c>
      <c r="K2396" s="392" t="s">
        <v>6271</v>
      </c>
      <c r="L2396" s="392" t="s">
        <v>2845</v>
      </c>
      <c r="M2396" s="392" t="s">
        <v>7273</v>
      </c>
      <c r="N2396" s="392" t="s">
        <v>7273</v>
      </c>
      <c r="O2396" s="392" t="s">
        <v>7273</v>
      </c>
      <c r="P2396" s="212"/>
      <c r="Q2396" s="212"/>
      <c r="R2396" s="387">
        <f>VLOOKUP(E2396,'[1]NDB Impacted SPRFs 05032013'!$A$2:$A$65536,1,FALSE)</f>
        <v>400008656</v>
      </c>
      <c r="S2396" s="159"/>
      <c r="T2396" s="159"/>
      <c r="U2396" s="159"/>
    </row>
    <row r="2397" spans="1:21" ht="60" customHeight="1" x14ac:dyDescent="0.25">
      <c r="A2397" s="63">
        <f>MATCH($E2397,'D1 - Master Project Table'!$B$24:$B$7056,0)</f>
        <v>354</v>
      </c>
      <c r="B2397" s="63" t="b">
        <f t="shared" si="111"/>
        <v>0</v>
      </c>
      <c r="C2397" s="63" t="b">
        <f t="shared" si="112"/>
        <v>1</v>
      </c>
      <c r="D2397" s="63" t="str">
        <f t="shared" si="113"/>
        <v>OK</v>
      </c>
      <c r="E2397" s="393">
        <v>400008738</v>
      </c>
      <c r="F2397" s="392" t="s">
        <v>2335</v>
      </c>
      <c r="G2397" s="392" t="s">
        <v>5324</v>
      </c>
      <c r="H2397" s="392" t="s">
        <v>7418</v>
      </c>
      <c r="I2397" s="392" t="s">
        <v>1765</v>
      </c>
      <c r="J2397" s="392" t="s">
        <v>8518</v>
      </c>
      <c r="K2397" s="392" t="s">
        <v>5210</v>
      </c>
      <c r="L2397" s="392" t="s">
        <v>2845</v>
      </c>
      <c r="M2397" s="392" t="s">
        <v>7273</v>
      </c>
      <c r="N2397" s="392" t="s">
        <v>7273</v>
      </c>
      <c r="O2397" s="392" t="s">
        <v>7273</v>
      </c>
      <c r="P2397"/>
      <c r="Q2397"/>
      <c r="R2397" s="387">
        <f>VLOOKUP(E2397,'[1]NDB Impacted SPRFs 05032013'!$A$2:$A$65536,1,FALSE)</f>
        <v>400008738</v>
      </c>
    </row>
    <row r="2398" spans="1:21" ht="45" x14ac:dyDescent="0.25">
      <c r="A2398" s="63">
        <f>MATCH($E2398,'D1 - Master Project Table'!$B$24:$B$7056,0)</f>
        <v>2538</v>
      </c>
      <c r="B2398" s="63" t="b">
        <f t="shared" si="111"/>
        <v>0</v>
      </c>
      <c r="C2398" s="63" t="b">
        <f t="shared" si="112"/>
        <v>1</v>
      </c>
      <c r="D2398" s="63" t="str">
        <f t="shared" si="113"/>
        <v>OK</v>
      </c>
      <c r="E2398" s="393">
        <v>400008776</v>
      </c>
      <c r="F2398" s="392" t="s">
        <v>7359</v>
      </c>
      <c r="G2398" s="392" t="s">
        <v>5324</v>
      </c>
      <c r="H2398" s="392" t="s">
        <v>5314</v>
      </c>
      <c r="I2398" s="392" t="s">
        <v>1764</v>
      </c>
      <c r="J2398" s="392" t="s">
        <v>8509</v>
      </c>
      <c r="K2398" s="392" t="s">
        <v>4462</v>
      </c>
      <c r="L2398" s="392" t="s">
        <v>2845</v>
      </c>
      <c r="M2398" s="392" t="s">
        <v>7273</v>
      </c>
      <c r="N2398" s="392" t="s">
        <v>7273</v>
      </c>
      <c r="O2398" s="392" t="s">
        <v>7273</v>
      </c>
      <c r="P2398"/>
      <c r="Q2398"/>
      <c r="R2398" s="387">
        <f>VLOOKUP(E2398,'[1]NDB Impacted SPRFs 05032013'!$A$2:$A$65536,1,FALSE)</f>
        <v>400008776</v>
      </c>
      <c r="S2398" s="159"/>
      <c r="T2398" s="159"/>
      <c r="U2398" s="159"/>
    </row>
    <row r="2399" spans="1:21" ht="45" x14ac:dyDescent="0.25">
      <c r="A2399" s="63">
        <f>MATCH($E2399,'D1 - Master Project Table'!$B$24:$B$7056,0)</f>
        <v>338</v>
      </c>
      <c r="B2399" s="63" t="b">
        <f t="shared" si="111"/>
        <v>0</v>
      </c>
      <c r="C2399" s="63" t="b">
        <f t="shared" si="112"/>
        <v>1</v>
      </c>
      <c r="D2399" s="63" t="str">
        <f t="shared" si="113"/>
        <v>OK</v>
      </c>
      <c r="E2399" s="393">
        <v>400008789</v>
      </c>
      <c r="F2399" s="392" t="s">
        <v>3707</v>
      </c>
      <c r="G2399" s="392" t="s">
        <v>5324</v>
      </c>
      <c r="H2399" s="392" t="s">
        <v>7418</v>
      </c>
      <c r="I2399" s="392" t="s">
        <v>1768</v>
      </c>
      <c r="J2399" s="392" t="s">
        <v>8510</v>
      </c>
      <c r="K2399" s="392" t="s">
        <v>1593</v>
      </c>
      <c r="L2399" s="392" t="s">
        <v>2845</v>
      </c>
      <c r="M2399" s="392" t="s">
        <v>7273</v>
      </c>
      <c r="N2399" s="392" t="s">
        <v>7273</v>
      </c>
      <c r="O2399" s="392" t="s">
        <v>7273</v>
      </c>
      <c r="P2399"/>
      <c r="Q2399"/>
      <c r="R2399" s="387">
        <f>VLOOKUP(E2399,'[1]NDB Impacted SPRFs 05032013'!$A$2:$A$65536,1,FALSE)</f>
        <v>400008789</v>
      </c>
    </row>
    <row r="2400" spans="1:21" ht="45" x14ac:dyDescent="0.25">
      <c r="A2400" s="63">
        <f>MATCH($E2400,'D1 - Master Project Table'!$B$24:$B$7056,0)</f>
        <v>339</v>
      </c>
      <c r="B2400" s="63" t="b">
        <f t="shared" si="111"/>
        <v>0</v>
      </c>
      <c r="C2400" s="63" t="b">
        <f t="shared" si="112"/>
        <v>1</v>
      </c>
      <c r="D2400" s="63" t="str">
        <f t="shared" si="113"/>
        <v>OK</v>
      </c>
      <c r="E2400" s="393">
        <v>400008790</v>
      </c>
      <c r="F2400" s="392" t="s">
        <v>4118</v>
      </c>
      <c r="G2400" s="392" t="s">
        <v>5324</v>
      </c>
      <c r="H2400" s="392" t="s">
        <v>7418</v>
      </c>
      <c r="I2400" s="392" t="s">
        <v>1768</v>
      </c>
      <c r="J2400" s="392" t="s">
        <v>8510</v>
      </c>
      <c r="K2400" s="392" t="s">
        <v>1593</v>
      </c>
      <c r="L2400" s="392" t="s">
        <v>2845</v>
      </c>
      <c r="M2400" s="392" t="s">
        <v>7273</v>
      </c>
      <c r="N2400" s="392" t="s">
        <v>7273</v>
      </c>
      <c r="O2400" s="392" t="s">
        <v>7273</v>
      </c>
      <c r="P2400"/>
      <c r="Q2400"/>
      <c r="R2400" s="387">
        <f>VLOOKUP(E2400,'[1]NDB Impacted SPRFs 05032013'!$A$2:$A$65536,1,FALSE)</f>
        <v>400008790</v>
      </c>
    </row>
    <row r="2401" spans="1:21" ht="45" x14ac:dyDescent="0.25">
      <c r="A2401" s="63">
        <f>MATCH($E2401,'D1 - Master Project Table'!$B$24:$B$7056,0)</f>
        <v>653</v>
      </c>
      <c r="B2401" s="63" t="b">
        <f t="shared" si="111"/>
        <v>0</v>
      </c>
      <c r="C2401" s="63" t="b">
        <f t="shared" si="112"/>
        <v>1</v>
      </c>
      <c r="D2401" s="63" t="str">
        <f t="shared" si="113"/>
        <v>OK</v>
      </c>
      <c r="E2401" s="393">
        <v>400009001</v>
      </c>
      <c r="F2401" s="392" t="s">
        <v>6677</v>
      </c>
      <c r="G2401" s="392" t="s">
        <v>5324</v>
      </c>
      <c r="H2401" s="392" t="s">
        <v>7418</v>
      </c>
      <c r="I2401" s="392" t="s">
        <v>1764</v>
      </c>
      <c r="J2401" s="392" t="s">
        <v>8298</v>
      </c>
      <c r="K2401" s="392" t="s">
        <v>7401</v>
      </c>
      <c r="L2401" s="392" t="s">
        <v>2845</v>
      </c>
      <c r="M2401" s="392" t="s">
        <v>7273</v>
      </c>
      <c r="N2401" s="392" t="s">
        <v>7273</v>
      </c>
      <c r="O2401" s="392" t="s">
        <v>7273</v>
      </c>
      <c r="P2401"/>
      <c r="Q2401"/>
      <c r="R2401" s="387">
        <f>VLOOKUP(E2401,'[1]NDB Impacted SPRFs 05032013'!$A$2:$A$65536,1,FALSE)</f>
        <v>400009001</v>
      </c>
    </row>
    <row r="2402" spans="1:21" ht="45" x14ac:dyDescent="0.25">
      <c r="A2402" s="63">
        <f>MATCH($E2402,'D1 - Master Project Table'!$B$24:$B$7056,0)</f>
        <v>396</v>
      </c>
      <c r="B2402" s="63" t="b">
        <f t="shared" si="111"/>
        <v>0</v>
      </c>
      <c r="C2402" s="63" t="b">
        <f t="shared" si="112"/>
        <v>1</v>
      </c>
      <c r="D2402" s="63" t="str">
        <f t="shared" si="113"/>
        <v>OK</v>
      </c>
      <c r="E2402" s="393">
        <v>400009124</v>
      </c>
      <c r="F2402" s="392" t="s">
        <v>3817</v>
      </c>
      <c r="G2402" s="392" t="s">
        <v>5324</v>
      </c>
      <c r="H2402" s="392" t="s">
        <v>7418</v>
      </c>
      <c r="I2402" s="392" t="s">
        <v>1765</v>
      </c>
      <c r="J2402" s="392" t="s">
        <v>7233</v>
      </c>
      <c r="K2402" s="392" t="s">
        <v>5004</v>
      </c>
      <c r="L2402" s="392" t="s">
        <v>2845</v>
      </c>
      <c r="M2402" s="392" t="s">
        <v>7273</v>
      </c>
      <c r="N2402" s="392" t="s">
        <v>7273</v>
      </c>
      <c r="O2402" s="392" t="s">
        <v>7273</v>
      </c>
      <c r="P2402"/>
      <c r="Q2402"/>
      <c r="R2402" s="387">
        <f>VLOOKUP(E2402,'[1]NDB Impacted SPRFs 05032013'!$A$2:$A$65536,1,FALSE)</f>
        <v>400009124</v>
      </c>
      <c r="S2402" s="159"/>
      <c r="T2402" s="159"/>
      <c r="U2402" s="159"/>
    </row>
    <row r="2403" spans="1:21" ht="45" x14ac:dyDescent="0.25">
      <c r="A2403" s="63">
        <f>MATCH($E2403,'D1 - Master Project Table'!$B$24:$B$7056,0)</f>
        <v>411</v>
      </c>
      <c r="B2403" s="63" t="b">
        <f t="shared" si="111"/>
        <v>0</v>
      </c>
      <c r="C2403" s="63" t="b">
        <f t="shared" si="112"/>
        <v>1</v>
      </c>
      <c r="D2403" s="63" t="str">
        <f t="shared" si="113"/>
        <v>OK</v>
      </c>
      <c r="E2403" s="393">
        <v>400009164</v>
      </c>
      <c r="F2403" s="392" t="s">
        <v>4857</v>
      </c>
      <c r="G2403" s="392" t="s">
        <v>5324</v>
      </c>
      <c r="H2403" s="392" t="s">
        <v>7418</v>
      </c>
      <c r="I2403" s="392" t="s">
        <v>1765</v>
      </c>
      <c r="J2403" s="392" t="s">
        <v>8335</v>
      </c>
      <c r="K2403" s="392" t="s">
        <v>2953</v>
      </c>
      <c r="L2403" s="392" t="s">
        <v>2845</v>
      </c>
      <c r="M2403" s="392" t="s">
        <v>7273</v>
      </c>
      <c r="N2403" s="392" t="s">
        <v>7273</v>
      </c>
      <c r="O2403" s="392" t="s">
        <v>7273</v>
      </c>
      <c r="P2403"/>
      <c r="Q2403"/>
      <c r="R2403" s="387">
        <f>VLOOKUP(E2403,'[1]NDB Impacted SPRFs 05032013'!$A$2:$A$65536,1,FALSE)</f>
        <v>400009164</v>
      </c>
      <c r="S2403" s="159"/>
      <c r="T2403" s="159"/>
      <c r="U2403" s="159"/>
    </row>
    <row r="2404" spans="1:21" ht="30" x14ac:dyDescent="0.25">
      <c r="A2404" s="63">
        <f>MATCH($E2404,'D1 - Master Project Table'!$B$24:$B$7056,0)</f>
        <v>367</v>
      </c>
      <c r="B2404" s="63" t="b">
        <f t="shared" si="111"/>
        <v>0</v>
      </c>
      <c r="C2404" s="63" t="b">
        <f t="shared" si="112"/>
        <v>1</v>
      </c>
      <c r="D2404" s="63" t="str">
        <f t="shared" si="113"/>
        <v>OK</v>
      </c>
      <c r="E2404" s="393">
        <v>400009168</v>
      </c>
      <c r="F2404" s="392" t="s">
        <v>3910</v>
      </c>
      <c r="G2404" s="392" t="s">
        <v>3441</v>
      </c>
      <c r="H2404" s="392" t="s">
        <v>7418</v>
      </c>
      <c r="I2404" s="392" t="s">
        <v>1769</v>
      </c>
      <c r="J2404" s="392" t="s">
        <v>7233</v>
      </c>
      <c r="K2404" s="392" t="s">
        <v>6136</v>
      </c>
      <c r="L2404" s="392" t="s">
        <v>2845</v>
      </c>
      <c r="M2404" s="392" t="s">
        <v>7273</v>
      </c>
      <c r="N2404" s="392" t="s">
        <v>7273</v>
      </c>
      <c r="O2404" s="392" t="s">
        <v>7273</v>
      </c>
      <c r="R2404" s="387">
        <f>VLOOKUP(E2404,'[1]NDB Impacted SPRFs 05032013'!$A$2:$A$65536,1,FALSE)</f>
        <v>400009168</v>
      </c>
    </row>
    <row r="2405" spans="1:21" ht="45" x14ac:dyDescent="0.25">
      <c r="A2405" s="63">
        <f>MATCH($E2405,'D1 - Master Project Table'!$B$24:$B$7056,0)</f>
        <v>397</v>
      </c>
      <c r="B2405" s="63" t="b">
        <f t="shared" si="111"/>
        <v>0</v>
      </c>
      <c r="C2405" s="63" t="b">
        <f t="shared" si="112"/>
        <v>1</v>
      </c>
      <c r="D2405" s="63" t="str">
        <f t="shared" si="113"/>
        <v>OK</v>
      </c>
      <c r="E2405" s="393">
        <v>400009196</v>
      </c>
      <c r="F2405" s="392" t="s">
        <v>1951</v>
      </c>
      <c r="G2405" s="392" t="s">
        <v>5324</v>
      </c>
      <c r="H2405" s="392" t="s">
        <v>7418</v>
      </c>
      <c r="I2405" s="392" t="s">
        <v>1765</v>
      </c>
      <c r="J2405" s="392" t="s">
        <v>8335</v>
      </c>
      <c r="K2405" s="392" t="s">
        <v>5004</v>
      </c>
      <c r="L2405" s="392" t="s">
        <v>2845</v>
      </c>
      <c r="M2405" s="392" t="s">
        <v>7273</v>
      </c>
      <c r="N2405" s="392" t="s">
        <v>7273</v>
      </c>
      <c r="O2405" s="392" t="s">
        <v>7273</v>
      </c>
      <c r="P2405"/>
      <c r="Q2405"/>
      <c r="R2405" s="387">
        <f>VLOOKUP(E2405,'[1]NDB Impacted SPRFs 05032013'!$A$2:$A$65536,1,FALSE)</f>
        <v>400009196</v>
      </c>
    </row>
    <row r="2406" spans="1:21" ht="45" x14ac:dyDescent="0.25">
      <c r="A2406" s="63">
        <f>MATCH($E2406,'D1 - Master Project Table'!$B$24:$B$7056,0)</f>
        <v>398</v>
      </c>
      <c r="B2406" s="63" t="b">
        <f t="shared" si="111"/>
        <v>0</v>
      </c>
      <c r="C2406" s="63" t="b">
        <f t="shared" si="112"/>
        <v>1</v>
      </c>
      <c r="D2406" s="63" t="str">
        <f t="shared" si="113"/>
        <v>OK</v>
      </c>
      <c r="E2406" s="393">
        <v>400009251</v>
      </c>
      <c r="F2406" s="392" t="s">
        <v>2793</v>
      </c>
      <c r="G2406" s="392" t="s">
        <v>5324</v>
      </c>
      <c r="H2406" s="392" t="s">
        <v>7418</v>
      </c>
      <c r="I2406" s="392" t="s">
        <v>1768</v>
      </c>
      <c r="J2406" s="392" t="s">
        <v>8406</v>
      </c>
      <c r="K2406" s="392" t="s">
        <v>5641</v>
      </c>
      <c r="L2406" s="392" t="s">
        <v>2845</v>
      </c>
      <c r="M2406" s="392" t="s">
        <v>7273</v>
      </c>
      <c r="N2406" s="392" t="s">
        <v>7273</v>
      </c>
      <c r="O2406" s="392" t="s">
        <v>7273</v>
      </c>
      <c r="P2406"/>
      <c r="Q2406"/>
      <c r="R2406" s="387">
        <f>VLOOKUP(E2406,'[1]NDB Impacted SPRFs 05032013'!$A$2:$A$65536,1,FALSE)</f>
        <v>400009251</v>
      </c>
      <c r="S2406" s="159"/>
      <c r="T2406" s="159"/>
      <c r="U2406" s="159"/>
    </row>
    <row r="2407" spans="1:21" ht="45" x14ac:dyDescent="0.25">
      <c r="A2407" s="63">
        <f>MATCH($E2407,'D1 - Master Project Table'!$B$24:$B$7056,0)</f>
        <v>2546</v>
      </c>
      <c r="B2407" s="63" t="b">
        <f t="shared" si="111"/>
        <v>0</v>
      </c>
      <c r="C2407" s="63" t="b">
        <f t="shared" si="112"/>
        <v>1</v>
      </c>
      <c r="D2407" s="63" t="str">
        <f t="shared" si="113"/>
        <v>OK</v>
      </c>
      <c r="E2407" s="393">
        <v>400009316</v>
      </c>
      <c r="F2407" s="392" t="s">
        <v>2006</v>
      </c>
      <c r="G2407" s="392" t="s">
        <v>5324</v>
      </c>
      <c r="H2407" s="392" t="s">
        <v>5314</v>
      </c>
      <c r="I2407" s="392" t="s">
        <v>1765</v>
      </c>
      <c r="J2407" s="392" t="s">
        <v>8540</v>
      </c>
      <c r="K2407" s="392" t="s">
        <v>5004</v>
      </c>
      <c r="L2407" s="392" t="s">
        <v>2845</v>
      </c>
      <c r="M2407" s="392" t="s">
        <v>7273</v>
      </c>
      <c r="N2407" s="392" t="s">
        <v>7273</v>
      </c>
      <c r="O2407" s="392" t="s">
        <v>7273</v>
      </c>
      <c r="P2407"/>
      <c r="Q2407"/>
      <c r="R2407" s="387">
        <f>VLOOKUP(E2407,'[1]NDB Impacted SPRFs 05032013'!$A$2:$A$65536,1,FALSE)</f>
        <v>400009316</v>
      </c>
      <c r="S2407" s="159"/>
      <c r="T2407" s="159"/>
      <c r="U2407" s="159"/>
    </row>
    <row r="2408" spans="1:21" ht="45" x14ac:dyDescent="0.25">
      <c r="A2408" s="63">
        <f>MATCH($E2408,'D1 - Master Project Table'!$B$24:$B$7056,0)</f>
        <v>2548</v>
      </c>
      <c r="B2408" s="63" t="b">
        <f t="shared" si="111"/>
        <v>0</v>
      </c>
      <c r="C2408" s="63" t="b">
        <f t="shared" si="112"/>
        <v>1</v>
      </c>
      <c r="D2408" s="63" t="str">
        <f t="shared" si="113"/>
        <v>OK</v>
      </c>
      <c r="E2408" s="393">
        <v>400009362</v>
      </c>
      <c r="F2408" s="392" t="s">
        <v>6493</v>
      </c>
      <c r="G2408" s="392" t="s">
        <v>5324</v>
      </c>
      <c r="H2408" s="392" t="s">
        <v>5314</v>
      </c>
      <c r="I2408" s="392" t="s">
        <v>1765</v>
      </c>
      <c r="J2408" s="392" t="s">
        <v>7085</v>
      </c>
      <c r="K2408" s="392" t="s">
        <v>6494</v>
      </c>
      <c r="L2408" s="392" t="s">
        <v>2845</v>
      </c>
      <c r="M2408" s="392" t="s">
        <v>7273</v>
      </c>
      <c r="N2408" s="392" t="s">
        <v>7273</v>
      </c>
      <c r="O2408" s="392" t="s">
        <v>7273</v>
      </c>
      <c r="P2408"/>
      <c r="Q2408"/>
      <c r="R2408" s="387">
        <f>VLOOKUP(E2408,'[1]NDB Impacted SPRFs 05032013'!$A$2:$A$65536,1,FALSE)</f>
        <v>400009362</v>
      </c>
      <c r="S2408" s="159"/>
      <c r="T2408" s="159"/>
      <c r="U2408" s="159"/>
    </row>
    <row r="2409" spans="1:21" ht="45" x14ac:dyDescent="0.25">
      <c r="A2409" s="63">
        <f>MATCH($E2409,'D1 - Master Project Table'!$B$24:$B$7056,0)</f>
        <v>360</v>
      </c>
      <c r="B2409" s="63" t="b">
        <f t="shared" si="111"/>
        <v>0</v>
      </c>
      <c r="C2409" s="63" t="b">
        <f t="shared" si="112"/>
        <v>1</v>
      </c>
      <c r="D2409" s="63" t="str">
        <f t="shared" si="113"/>
        <v>OK</v>
      </c>
      <c r="E2409" s="393">
        <v>400009481</v>
      </c>
      <c r="F2409" s="392" t="s">
        <v>4666</v>
      </c>
      <c r="G2409" s="392" t="s">
        <v>5324</v>
      </c>
      <c r="H2409" s="392" t="s">
        <v>7418</v>
      </c>
      <c r="I2409" s="392" t="s">
        <v>1765</v>
      </c>
      <c r="J2409" s="392" t="s">
        <v>8335</v>
      </c>
      <c r="K2409" s="392" t="s">
        <v>5210</v>
      </c>
      <c r="L2409" s="392" t="s">
        <v>2845</v>
      </c>
      <c r="M2409" s="392" t="s">
        <v>7273</v>
      </c>
      <c r="N2409" s="392" t="s">
        <v>7273</v>
      </c>
      <c r="O2409" s="392" t="s">
        <v>7273</v>
      </c>
      <c r="P2409"/>
      <c r="Q2409"/>
      <c r="R2409" s="387">
        <f>VLOOKUP(E2409,'[1]NDB Impacted SPRFs 05032013'!$A$2:$A$65536,1,FALSE)</f>
        <v>400009481</v>
      </c>
    </row>
    <row r="2410" spans="1:21" ht="45" x14ac:dyDescent="0.25">
      <c r="A2410" s="63">
        <f>MATCH($E2410,'D1 - Master Project Table'!$B$24:$B$7056,0)</f>
        <v>455</v>
      </c>
      <c r="B2410" s="63" t="b">
        <f t="shared" si="111"/>
        <v>0</v>
      </c>
      <c r="C2410" s="63" t="b">
        <f t="shared" si="112"/>
        <v>1</v>
      </c>
      <c r="D2410" s="63" t="str">
        <f t="shared" si="113"/>
        <v>OK</v>
      </c>
      <c r="E2410" s="393">
        <v>400009672</v>
      </c>
      <c r="F2410" s="392" t="s">
        <v>5631</v>
      </c>
      <c r="G2410" s="392" t="s">
        <v>5787</v>
      </c>
      <c r="H2410" s="392" t="s">
        <v>7418</v>
      </c>
      <c r="I2410" s="392" t="s">
        <v>1774</v>
      </c>
      <c r="J2410" s="392" t="s">
        <v>5865</v>
      </c>
      <c r="K2410" s="392" t="s">
        <v>4087</v>
      </c>
      <c r="L2410" s="392" t="s">
        <v>2845</v>
      </c>
      <c r="M2410" s="392" t="s">
        <v>7273</v>
      </c>
      <c r="N2410" s="392" t="s">
        <v>7273</v>
      </c>
      <c r="O2410" s="392" t="s">
        <v>7273</v>
      </c>
      <c r="P2410"/>
      <c r="Q2410"/>
      <c r="R2410" s="387">
        <f>VLOOKUP(E2410,'[1]NDB Impacted SPRFs 05032013'!$A$2:$A$65536,1,FALSE)</f>
        <v>400009672</v>
      </c>
    </row>
    <row r="2411" spans="1:21" ht="45" x14ac:dyDescent="0.25">
      <c r="A2411" s="63">
        <f>MATCH($E2411,'D1 - Master Project Table'!$B$24:$B$7056,0)</f>
        <v>414</v>
      </c>
      <c r="B2411" s="63" t="b">
        <f t="shared" si="111"/>
        <v>0</v>
      </c>
      <c r="C2411" s="63" t="b">
        <f t="shared" si="112"/>
        <v>1</v>
      </c>
      <c r="D2411" s="63" t="str">
        <f t="shared" si="113"/>
        <v>OK</v>
      </c>
      <c r="E2411" s="393">
        <v>400009715</v>
      </c>
      <c r="F2411" s="392" t="s">
        <v>4667</v>
      </c>
      <c r="G2411" s="392" t="s">
        <v>5325</v>
      </c>
      <c r="H2411" s="392" t="s">
        <v>7418</v>
      </c>
      <c r="I2411" s="392" t="s">
        <v>1794</v>
      </c>
      <c r="J2411" s="392" t="s">
        <v>3780</v>
      </c>
      <c r="K2411" s="392" t="s">
        <v>5792</v>
      </c>
      <c r="L2411" s="392" t="s">
        <v>2845</v>
      </c>
      <c r="M2411" s="392" t="s">
        <v>7273</v>
      </c>
      <c r="N2411" s="392" t="s">
        <v>7273</v>
      </c>
      <c r="O2411" s="392" t="s">
        <v>7273</v>
      </c>
      <c r="P2411"/>
      <c r="Q2411"/>
      <c r="R2411" s="387">
        <f>VLOOKUP(E2411,'[1]NDB Impacted SPRFs 05032013'!$A$2:$A$65536,1,FALSE)</f>
        <v>400009715</v>
      </c>
      <c r="S2411" s="159"/>
      <c r="T2411" s="159"/>
      <c r="U2411" s="159"/>
    </row>
    <row r="2412" spans="1:21" ht="30" x14ac:dyDescent="0.25">
      <c r="A2412" s="63">
        <f>MATCH($E2412,'D1 - Master Project Table'!$B$24:$B$7056,0)</f>
        <v>369</v>
      </c>
      <c r="B2412" s="63" t="b">
        <f t="shared" si="111"/>
        <v>0</v>
      </c>
      <c r="C2412" s="63" t="b">
        <f t="shared" si="112"/>
        <v>1</v>
      </c>
      <c r="D2412" s="63" t="str">
        <f t="shared" si="113"/>
        <v>OK</v>
      </c>
      <c r="E2412" s="393">
        <v>400009771</v>
      </c>
      <c r="F2412" s="392" t="s">
        <v>4178</v>
      </c>
      <c r="G2412" s="392" t="s">
        <v>3441</v>
      </c>
      <c r="H2412" s="392" t="s">
        <v>7418</v>
      </c>
      <c r="I2412" s="392" t="s">
        <v>2662</v>
      </c>
      <c r="J2412" s="392" t="s">
        <v>8518</v>
      </c>
      <c r="K2412" s="392" t="s">
        <v>5541</v>
      </c>
      <c r="L2412" s="392" t="s">
        <v>2845</v>
      </c>
      <c r="M2412" s="392" t="s">
        <v>7273</v>
      </c>
      <c r="N2412" s="392" t="s">
        <v>7273</v>
      </c>
      <c r="O2412" s="392" t="s">
        <v>7273</v>
      </c>
      <c r="P2412"/>
      <c r="Q2412"/>
      <c r="R2412" s="387">
        <f>VLOOKUP(E2412,'[1]NDB Impacted SPRFs 05032013'!$A$2:$A$65536,1,FALSE)</f>
        <v>400009771</v>
      </c>
      <c r="S2412" s="159"/>
      <c r="T2412" s="159"/>
      <c r="U2412" s="159"/>
    </row>
    <row r="2413" spans="1:21" ht="45" x14ac:dyDescent="0.25">
      <c r="A2413" s="63">
        <f>MATCH($E2413,'D1 - Master Project Table'!$B$24:$B$7056,0)</f>
        <v>518</v>
      </c>
      <c r="B2413" s="63" t="b">
        <f t="shared" si="111"/>
        <v>0</v>
      </c>
      <c r="C2413" s="63" t="b">
        <f t="shared" si="112"/>
        <v>1</v>
      </c>
      <c r="D2413" s="63" t="str">
        <f t="shared" si="113"/>
        <v>OK</v>
      </c>
      <c r="E2413" s="393">
        <v>400009901</v>
      </c>
      <c r="F2413" s="392" t="s">
        <v>6696</v>
      </c>
      <c r="G2413" s="392" t="s">
        <v>5324</v>
      </c>
      <c r="H2413" s="392" t="s">
        <v>7418</v>
      </c>
      <c r="I2413" s="392" t="s">
        <v>1765</v>
      </c>
      <c r="J2413" s="392" t="s">
        <v>8552</v>
      </c>
      <c r="K2413" s="392" t="s">
        <v>2517</v>
      </c>
      <c r="L2413" s="392" t="s">
        <v>2845</v>
      </c>
      <c r="M2413" s="392" t="s">
        <v>7273</v>
      </c>
      <c r="N2413" s="392" t="s">
        <v>7273</v>
      </c>
      <c r="O2413" s="392" t="s">
        <v>7273</v>
      </c>
      <c r="P2413"/>
      <c r="Q2413"/>
      <c r="R2413" s="387">
        <f>VLOOKUP(E2413,'[1]NDB Impacted SPRFs 05032013'!$A$2:$A$65536,1,FALSE)</f>
        <v>400009901</v>
      </c>
      <c r="S2413" s="159"/>
      <c r="T2413" s="159"/>
      <c r="U2413" s="159"/>
    </row>
    <row r="2414" spans="1:21" ht="45" x14ac:dyDescent="0.25">
      <c r="A2414" s="63">
        <f>MATCH($E2414,'D1 - Master Project Table'!$B$24:$B$7056,0)</f>
        <v>458</v>
      </c>
      <c r="B2414" s="63" t="b">
        <f t="shared" si="111"/>
        <v>0</v>
      </c>
      <c r="C2414" s="63" t="b">
        <f t="shared" si="112"/>
        <v>1</v>
      </c>
      <c r="D2414" s="63" t="str">
        <f t="shared" si="113"/>
        <v>OK</v>
      </c>
      <c r="E2414" s="393">
        <v>400009909</v>
      </c>
      <c r="F2414" s="392" t="s">
        <v>6534</v>
      </c>
      <c r="G2414" s="392" t="s">
        <v>5324</v>
      </c>
      <c r="H2414" s="392" t="s">
        <v>7418</v>
      </c>
      <c r="I2414" s="392" t="s">
        <v>1765</v>
      </c>
      <c r="J2414" s="392" t="s">
        <v>8546</v>
      </c>
      <c r="K2414" s="392" t="s">
        <v>5638</v>
      </c>
      <c r="L2414" s="392" t="s">
        <v>2845</v>
      </c>
      <c r="M2414" s="392" t="s">
        <v>7273</v>
      </c>
      <c r="N2414" s="392" t="s">
        <v>7273</v>
      </c>
      <c r="O2414" s="392" t="s">
        <v>7273</v>
      </c>
      <c r="P2414"/>
      <c r="Q2414"/>
      <c r="R2414" s="387">
        <f>VLOOKUP(E2414,'[1]NDB Impacted SPRFs 05032013'!$A$2:$A$65536,1,FALSE)</f>
        <v>400009909</v>
      </c>
      <c r="S2414" s="159"/>
      <c r="T2414" s="159"/>
      <c r="U2414" s="159"/>
    </row>
    <row r="2415" spans="1:21" ht="45" x14ac:dyDescent="0.25">
      <c r="A2415" s="63">
        <f>MATCH($E2415,'D1 - Master Project Table'!$B$24:$B$7056,0)</f>
        <v>416</v>
      </c>
      <c r="B2415" s="63" t="b">
        <f t="shared" si="111"/>
        <v>0</v>
      </c>
      <c r="C2415" s="63" t="b">
        <f t="shared" si="112"/>
        <v>1</v>
      </c>
      <c r="D2415" s="63" t="str">
        <f t="shared" si="113"/>
        <v>OK</v>
      </c>
      <c r="E2415" s="393">
        <v>400010021</v>
      </c>
      <c r="F2415" s="392" t="s">
        <v>4950</v>
      </c>
      <c r="G2415" s="392" t="s">
        <v>5324</v>
      </c>
      <c r="H2415" s="392" t="s">
        <v>7418</v>
      </c>
      <c r="I2415" s="392" t="s">
        <v>1765</v>
      </c>
      <c r="J2415" s="392" t="s">
        <v>8551</v>
      </c>
      <c r="K2415" s="392" t="s">
        <v>3268</v>
      </c>
      <c r="L2415" s="392" t="s">
        <v>2845</v>
      </c>
      <c r="M2415" s="392" t="s">
        <v>7273</v>
      </c>
      <c r="N2415" s="392" t="s">
        <v>7273</v>
      </c>
      <c r="O2415" s="392" t="s">
        <v>7273</v>
      </c>
      <c r="P2415"/>
      <c r="Q2415"/>
      <c r="R2415" s="387">
        <f>VLOOKUP(E2415,'[1]NDB Impacted SPRFs 05032013'!$A$2:$A$65536,1,FALSE)</f>
        <v>400010021</v>
      </c>
      <c r="S2415" s="159"/>
      <c r="T2415" s="159"/>
      <c r="U2415" s="159"/>
    </row>
    <row r="2416" spans="1:21" ht="45" x14ac:dyDescent="0.25">
      <c r="A2416" s="63">
        <f>MATCH($E2416,'D1 - Master Project Table'!$B$24:$B$7056,0)</f>
        <v>278</v>
      </c>
      <c r="B2416" s="63" t="b">
        <f t="shared" ref="B2416:B2479" si="114">ISERROR(A2416)</f>
        <v>0</v>
      </c>
      <c r="C2416" s="63" t="b">
        <f t="shared" si="112"/>
        <v>1</v>
      </c>
      <c r="D2416" s="63" t="str">
        <f t="shared" si="113"/>
        <v>OK</v>
      </c>
      <c r="E2416" s="393">
        <v>400010048</v>
      </c>
      <c r="F2416" s="392" t="s">
        <v>4007</v>
      </c>
      <c r="G2416" s="392" t="s">
        <v>5324</v>
      </c>
      <c r="H2416" s="392" t="s">
        <v>7418</v>
      </c>
      <c r="I2416" s="392" t="s">
        <v>1764</v>
      </c>
      <c r="J2416" s="392" t="s">
        <v>7233</v>
      </c>
      <c r="K2416" s="392" t="s">
        <v>5641</v>
      </c>
      <c r="L2416" s="392" t="s">
        <v>2845</v>
      </c>
      <c r="M2416" s="392" t="s">
        <v>7273</v>
      </c>
      <c r="N2416" s="392" t="s">
        <v>7273</v>
      </c>
      <c r="O2416" s="392" t="s">
        <v>7273</v>
      </c>
      <c r="P2416"/>
      <c r="Q2416"/>
      <c r="R2416" s="387">
        <f>VLOOKUP(E2416,'[1]NDB Impacted SPRFs 05032013'!$A$2:$A$65536,1,FALSE)</f>
        <v>400010048</v>
      </c>
      <c r="S2416" s="159"/>
      <c r="T2416" s="159"/>
      <c r="U2416" s="159"/>
    </row>
    <row r="2417" spans="1:21" ht="45" x14ac:dyDescent="0.25">
      <c r="A2417" s="63">
        <f>MATCH($E2417,'D1 - Master Project Table'!$B$24:$B$7056,0)</f>
        <v>417</v>
      </c>
      <c r="B2417" s="63" t="b">
        <f t="shared" si="114"/>
        <v>0</v>
      </c>
      <c r="C2417" s="63" t="b">
        <f t="shared" si="112"/>
        <v>1</v>
      </c>
      <c r="D2417" s="63" t="str">
        <f t="shared" si="113"/>
        <v>OK</v>
      </c>
      <c r="E2417" s="393">
        <v>400010136</v>
      </c>
      <c r="F2417" s="392" t="s">
        <v>4503</v>
      </c>
      <c r="G2417" s="392" t="s">
        <v>5324</v>
      </c>
      <c r="H2417" s="392" t="s">
        <v>7418</v>
      </c>
      <c r="I2417" s="392" t="s">
        <v>1765</v>
      </c>
      <c r="J2417" s="392" t="s">
        <v>8490</v>
      </c>
      <c r="K2417" s="392" t="s">
        <v>6286</v>
      </c>
      <c r="L2417" s="392" t="s">
        <v>2845</v>
      </c>
      <c r="M2417" s="392" t="s">
        <v>7273</v>
      </c>
      <c r="N2417" s="392" t="s">
        <v>7273</v>
      </c>
      <c r="O2417" s="392" t="s">
        <v>7273</v>
      </c>
      <c r="P2417"/>
      <c r="Q2417"/>
      <c r="R2417" s="387">
        <f>VLOOKUP(E2417,'[1]NDB Impacted SPRFs 05032013'!$A$2:$A$65536,1,FALSE)</f>
        <v>400010136</v>
      </c>
    </row>
    <row r="2418" spans="1:21" ht="30" x14ac:dyDescent="0.25">
      <c r="A2418" s="63">
        <f>MATCH($E2418,'D1 - Master Project Table'!$B$24:$B$7056,0)</f>
        <v>418</v>
      </c>
      <c r="B2418" s="63" t="b">
        <f t="shared" si="114"/>
        <v>0</v>
      </c>
      <c r="C2418" s="63" t="b">
        <f t="shared" si="112"/>
        <v>1</v>
      </c>
      <c r="D2418" s="63" t="str">
        <f t="shared" si="113"/>
        <v>OK</v>
      </c>
      <c r="E2418" s="393">
        <v>400010280</v>
      </c>
      <c r="F2418" s="392" t="s">
        <v>6834</v>
      </c>
      <c r="G2418" s="392" t="s">
        <v>5787</v>
      </c>
      <c r="H2418" s="392" t="s">
        <v>7418</v>
      </c>
      <c r="I2418" s="392" t="s">
        <v>1774</v>
      </c>
      <c r="J2418" s="392" t="s">
        <v>5865</v>
      </c>
      <c r="K2418" s="392" t="s">
        <v>6769</v>
      </c>
      <c r="L2418" s="392" t="s">
        <v>2845</v>
      </c>
      <c r="M2418" s="392" t="s">
        <v>7273</v>
      </c>
      <c r="N2418" s="392" t="s">
        <v>7273</v>
      </c>
      <c r="O2418" s="392" t="s">
        <v>7273</v>
      </c>
      <c r="P2418"/>
      <c r="Q2418"/>
      <c r="R2418" s="387">
        <f>VLOOKUP(E2418,'[1]NDB Impacted SPRFs 05032013'!$A$2:$A$65536,1,FALSE)</f>
        <v>400010280</v>
      </c>
      <c r="S2418" s="159"/>
      <c r="T2418" s="159"/>
      <c r="U2418" s="159"/>
    </row>
    <row r="2419" spans="1:21" ht="60" customHeight="1" x14ac:dyDescent="0.25">
      <c r="A2419" s="63">
        <f>MATCH($E2419,'D1 - Master Project Table'!$B$24:$B$7056,0)</f>
        <v>486</v>
      </c>
      <c r="B2419" s="63" t="b">
        <f t="shared" si="114"/>
        <v>0</v>
      </c>
      <c r="C2419" s="63" t="b">
        <f t="shared" si="112"/>
        <v>1</v>
      </c>
      <c r="D2419" s="63" t="str">
        <f t="shared" si="113"/>
        <v>OK</v>
      </c>
      <c r="E2419" s="393">
        <v>400010406</v>
      </c>
      <c r="F2419" s="392" t="s">
        <v>6344</v>
      </c>
      <c r="G2419" s="392" t="s">
        <v>3441</v>
      </c>
      <c r="H2419" s="392" t="s">
        <v>7418</v>
      </c>
      <c r="I2419" s="392" t="s">
        <v>2662</v>
      </c>
      <c r="J2419" s="392" t="s">
        <v>2937</v>
      </c>
      <c r="K2419" s="392" t="s">
        <v>5541</v>
      </c>
      <c r="L2419" s="392" t="s">
        <v>2845</v>
      </c>
      <c r="M2419" s="392" t="s">
        <v>7273</v>
      </c>
      <c r="N2419" s="392" t="s">
        <v>7273</v>
      </c>
      <c r="O2419" s="392" t="s">
        <v>7273</v>
      </c>
      <c r="P2419"/>
      <c r="Q2419"/>
      <c r="R2419" s="387">
        <f>VLOOKUP(E2419,'[1]NDB Impacted SPRFs 05032013'!$A$2:$A$65536,1,FALSE)</f>
        <v>400010406</v>
      </c>
      <c r="S2419" s="159"/>
      <c r="T2419" s="159"/>
      <c r="U2419" s="159"/>
    </row>
    <row r="2420" spans="1:21" ht="45" x14ac:dyDescent="0.25">
      <c r="A2420" s="63">
        <f>MATCH($E2420,'D1 - Master Project Table'!$B$24:$B$7056,0)</f>
        <v>2075</v>
      </c>
      <c r="B2420" s="63" t="b">
        <f t="shared" si="114"/>
        <v>0</v>
      </c>
      <c r="C2420" s="63" t="b">
        <f t="shared" si="112"/>
        <v>1</v>
      </c>
      <c r="D2420" s="63" t="str">
        <f t="shared" si="113"/>
        <v>OK</v>
      </c>
      <c r="E2420" s="393">
        <v>400010528</v>
      </c>
      <c r="F2420" s="392" t="s">
        <v>6189</v>
      </c>
      <c r="G2420" s="392" t="s">
        <v>5324</v>
      </c>
      <c r="H2420" s="392" t="s">
        <v>5314</v>
      </c>
      <c r="I2420" s="392" t="s">
        <v>1765</v>
      </c>
      <c r="J2420" s="392" t="s">
        <v>8298</v>
      </c>
      <c r="K2420" s="392" t="s">
        <v>7066</v>
      </c>
      <c r="L2420" s="392" t="s">
        <v>2845</v>
      </c>
      <c r="M2420" s="392" t="s">
        <v>7273</v>
      </c>
      <c r="N2420" s="392" t="s">
        <v>7273</v>
      </c>
      <c r="O2420" s="392" t="s">
        <v>7273</v>
      </c>
      <c r="P2420"/>
      <c r="Q2420"/>
      <c r="R2420" s="387">
        <f>VLOOKUP(E2420,'[1]NDB Impacted SPRFs 05032013'!$A$2:$A$65536,1,FALSE)</f>
        <v>400010528</v>
      </c>
      <c r="S2420" s="159"/>
      <c r="T2420" s="159"/>
      <c r="U2420" s="159"/>
    </row>
    <row r="2421" spans="1:21" ht="45" x14ac:dyDescent="0.25">
      <c r="A2421" s="63">
        <f>MATCH($E2421,'D1 - Master Project Table'!$B$24:$B$7056,0)</f>
        <v>2076</v>
      </c>
      <c r="B2421" s="63" t="b">
        <f t="shared" si="114"/>
        <v>0</v>
      </c>
      <c r="C2421" s="63" t="b">
        <f t="shared" si="112"/>
        <v>1</v>
      </c>
      <c r="D2421" s="63" t="str">
        <f t="shared" si="113"/>
        <v>OK</v>
      </c>
      <c r="E2421" s="393">
        <v>400010533</v>
      </c>
      <c r="F2421" s="392" t="s">
        <v>4543</v>
      </c>
      <c r="G2421" s="392" t="s">
        <v>5324</v>
      </c>
      <c r="H2421" s="392" t="s">
        <v>5314</v>
      </c>
      <c r="I2421" s="392" t="s">
        <v>1765</v>
      </c>
      <c r="J2421" s="392" t="s">
        <v>8298</v>
      </c>
      <c r="K2421" s="392" t="s">
        <v>7066</v>
      </c>
      <c r="L2421" s="392" t="s">
        <v>2845</v>
      </c>
      <c r="M2421" s="392" t="s">
        <v>7273</v>
      </c>
      <c r="N2421" s="392" t="s">
        <v>7273</v>
      </c>
      <c r="O2421" s="392" t="s">
        <v>7273</v>
      </c>
      <c r="R2421" s="387">
        <f>VLOOKUP(E2421,'[1]NDB Impacted SPRFs 05032013'!$A$2:$A$65536,1,FALSE)</f>
        <v>400010533</v>
      </c>
    </row>
    <row r="2422" spans="1:21" ht="45" x14ac:dyDescent="0.25">
      <c r="A2422" s="63" t="e">
        <f>MATCH($E2422,'D1 - Master Project Table'!$B$24:$B$7056,0)</f>
        <v>#N/A</v>
      </c>
      <c r="B2422" s="63" t="b">
        <f t="shared" si="114"/>
        <v>1</v>
      </c>
      <c r="C2422" s="63" t="b">
        <f t="shared" si="112"/>
        <v>1</v>
      </c>
      <c r="D2422" s="63" t="str">
        <f t="shared" si="113"/>
        <v>OK</v>
      </c>
      <c r="E2422" s="393">
        <v>400010562</v>
      </c>
      <c r="F2422" s="392" t="s">
        <v>1420</v>
      </c>
      <c r="G2422" s="392" t="s">
        <v>5324</v>
      </c>
      <c r="H2422" s="392" t="s">
        <v>5314</v>
      </c>
      <c r="I2422" s="392" t="s">
        <v>1768</v>
      </c>
      <c r="J2422" s="392" t="s">
        <v>2425</v>
      </c>
      <c r="K2422" s="392" t="s">
        <v>5159</v>
      </c>
      <c r="L2422" s="392" t="s">
        <v>2845</v>
      </c>
      <c r="M2422" s="392" t="s">
        <v>7273</v>
      </c>
      <c r="N2422" s="392" t="s">
        <v>7273</v>
      </c>
      <c r="O2422" s="392" t="s">
        <v>7273</v>
      </c>
      <c r="P2422"/>
      <c r="Q2422"/>
      <c r="R2422" s="387">
        <f>VLOOKUP(E2422,'[1]NDB Impacted SPRFs 05032013'!$A$2:$A$65536,1,FALSE)</f>
        <v>400010562</v>
      </c>
    </row>
    <row r="2423" spans="1:21" ht="45" x14ac:dyDescent="0.25">
      <c r="A2423" s="63">
        <f>MATCH($E2423,'D1 - Master Project Table'!$B$24:$B$7056,0)</f>
        <v>419</v>
      </c>
      <c r="B2423" s="63" t="b">
        <f t="shared" si="114"/>
        <v>0</v>
      </c>
      <c r="C2423" s="63" t="b">
        <f t="shared" si="112"/>
        <v>1</v>
      </c>
      <c r="D2423" s="63" t="str">
        <f t="shared" si="113"/>
        <v>OK</v>
      </c>
      <c r="E2423" s="393">
        <v>400010573</v>
      </c>
      <c r="F2423" s="392" t="s">
        <v>4373</v>
      </c>
      <c r="G2423" s="392" t="s">
        <v>5324</v>
      </c>
      <c r="H2423" s="392" t="s">
        <v>7418</v>
      </c>
      <c r="I2423" s="392" t="s">
        <v>1765</v>
      </c>
      <c r="J2423" s="392" t="s">
        <v>8545</v>
      </c>
      <c r="K2423" s="392" t="s">
        <v>5004</v>
      </c>
      <c r="L2423" s="392" t="s">
        <v>2845</v>
      </c>
      <c r="M2423" s="392" t="s">
        <v>7273</v>
      </c>
      <c r="N2423" s="392" t="s">
        <v>7273</v>
      </c>
      <c r="O2423" s="392" t="s">
        <v>7273</v>
      </c>
      <c r="R2423" s="387">
        <f>VLOOKUP(E2423,'[1]NDB Impacted SPRFs 05032013'!$A$2:$A$65536,1,FALSE)</f>
        <v>400010573</v>
      </c>
    </row>
    <row r="2424" spans="1:21" ht="45" x14ac:dyDescent="0.25">
      <c r="A2424" s="63">
        <f>MATCH($E2424,'D1 - Master Project Table'!$B$24:$B$7056,0)</f>
        <v>2576</v>
      </c>
      <c r="B2424" s="63" t="b">
        <f t="shared" si="114"/>
        <v>0</v>
      </c>
      <c r="C2424" s="63" t="b">
        <f t="shared" si="112"/>
        <v>1</v>
      </c>
      <c r="D2424" s="63" t="str">
        <f t="shared" si="113"/>
        <v>OK</v>
      </c>
      <c r="E2424" s="393">
        <v>400010619</v>
      </c>
      <c r="F2424" s="392" t="s">
        <v>7137</v>
      </c>
      <c r="G2424" s="392" t="s">
        <v>5324</v>
      </c>
      <c r="H2424" s="392" t="s">
        <v>5314</v>
      </c>
      <c r="I2424" s="392" t="s">
        <v>1765</v>
      </c>
      <c r="J2424" s="392" t="s">
        <v>8548</v>
      </c>
      <c r="K2424" s="392" t="s">
        <v>5641</v>
      </c>
      <c r="L2424" s="392" t="s">
        <v>2845</v>
      </c>
      <c r="M2424" s="392" t="s">
        <v>7273</v>
      </c>
      <c r="N2424" s="392" t="s">
        <v>7273</v>
      </c>
      <c r="O2424" s="392" t="s">
        <v>7273</v>
      </c>
      <c r="P2424"/>
      <c r="Q2424"/>
      <c r="R2424" s="387">
        <f>VLOOKUP(E2424,'[1]NDB Impacted SPRFs 05032013'!$A$2:$A$65536,1,FALSE)</f>
        <v>400010619</v>
      </c>
      <c r="S2424" s="159"/>
      <c r="T2424" s="159"/>
      <c r="U2424" s="159"/>
    </row>
    <row r="2425" spans="1:21" ht="30" x14ac:dyDescent="0.25">
      <c r="A2425" s="63">
        <f>MATCH($E2425,'D1 - Master Project Table'!$B$24:$B$7056,0)</f>
        <v>420</v>
      </c>
      <c r="B2425" s="63" t="b">
        <f t="shared" si="114"/>
        <v>0</v>
      </c>
      <c r="C2425" s="63" t="b">
        <f t="shared" si="112"/>
        <v>1</v>
      </c>
      <c r="D2425" s="63" t="str">
        <f t="shared" si="113"/>
        <v>OK</v>
      </c>
      <c r="E2425" s="393">
        <v>400010653</v>
      </c>
      <c r="F2425" s="392" t="s">
        <v>5177</v>
      </c>
      <c r="G2425" s="392" t="s">
        <v>5787</v>
      </c>
      <c r="H2425" s="392" t="s">
        <v>7418</v>
      </c>
      <c r="I2425" s="392" t="s">
        <v>1781</v>
      </c>
      <c r="J2425" s="392" t="s">
        <v>8718</v>
      </c>
      <c r="K2425" s="392" t="s">
        <v>2411</v>
      </c>
      <c r="L2425" s="392" t="s">
        <v>2845</v>
      </c>
      <c r="M2425" s="392" t="s">
        <v>7273</v>
      </c>
      <c r="N2425" s="392" t="s">
        <v>7273</v>
      </c>
      <c r="O2425" s="392" t="s">
        <v>7273</v>
      </c>
      <c r="P2425"/>
      <c r="Q2425"/>
      <c r="R2425" s="387">
        <f>VLOOKUP(E2425,'[1]NDB Impacted SPRFs 05032013'!$A$2:$A$65536,1,FALSE)</f>
        <v>400010653</v>
      </c>
      <c r="S2425" s="159"/>
      <c r="T2425" s="159"/>
      <c r="U2425" s="159"/>
    </row>
    <row r="2426" spans="1:21" ht="45" x14ac:dyDescent="0.25">
      <c r="A2426" s="63">
        <f>MATCH($E2426,'D1 - Master Project Table'!$B$24:$B$7056,0)</f>
        <v>520</v>
      </c>
      <c r="B2426" s="63" t="b">
        <f t="shared" si="114"/>
        <v>0</v>
      </c>
      <c r="C2426" s="63" t="b">
        <f t="shared" si="112"/>
        <v>1</v>
      </c>
      <c r="D2426" s="63" t="str">
        <f t="shared" si="113"/>
        <v>OK</v>
      </c>
      <c r="E2426" s="393">
        <v>400010660</v>
      </c>
      <c r="F2426" s="392" t="s">
        <v>3433</v>
      </c>
      <c r="G2426" s="392" t="s">
        <v>5324</v>
      </c>
      <c r="H2426" s="392" t="s">
        <v>7418</v>
      </c>
      <c r="I2426" s="392" t="s">
        <v>1756</v>
      </c>
      <c r="J2426" s="392" t="s">
        <v>8549</v>
      </c>
      <c r="K2426" s="392" t="s">
        <v>1506</v>
      </c>
      <c r="L2426" s="392" t="s">
        <v>2845</v>
      </c>
      <c r="M2426" s="392" t="s">
        <v>7273</v>
      </c>
      <c r="N2426" s="392" t="s">
        <v>7273</v>
      </c>
      <c r="O2426" s="392" t="s">
        <v>7273</v>
      </c>
      <c r="P2426"/>
      <c r="Q2426"/>
      <c r="R2426" s="387">
        <f>VLOOKUP(E2426,'[1]NDB Impacted SPRFs 05032013'!$A$2:$A$65536,1,FALSE)</f>
        <v>400010660</v>
      </c>
      <c r="S2426" s="159"/>
      <c r="T2426" s="159"/>
      <c r="U2426" s="159"/>
    </row>
    <row r="2427" spans="1:21" ht="45" x14ac:dyDescent="0.25">
      <c r="A2427" s="63">
        <f>MATCH($E2427,'D1 - Master Project Table'!$B$24:$B$7056,0)</f>
        <v>459</v>
      </c>
      <c r="B2427" s="63" t="b">
        <f t="shared" si="114"/>
        <v>0</v>
      </c>
      <c r="C2427" s="63" t="b">
        <f t="shared" si="112"/>
        <v>1</v>
      </c>
      <c r="D2427" s="63" t="str">
        <f t="shared" si="113"/>
        <v>OK</v>
      </c>
      <c r="E2427" s="393">
        <v>400010672</v>
      </c>
      <c r="F2427" s="392" t="s">
        <v>5999</v>
      </c>
      <c r="G2427" s="392" t="s">
        <v>5324</v>
      </c>
      <c r="H2427" s="392" t="s">
        <v>7418</v>
      </c>
      <c r="I2427" s="392" t="s">
        <v>1765</v>
      </c>
      <c r="J2427" s="392" t="s">
        <v>8547</v>
      </c>
      <c r="K2427" s="392" t="s">
        <v>4736</v>
      </c>
      <c r="L2427" s="392" t="s">
        <v>2845</v>
      </c>
      <c r="M2427" s="392" t="s">
        <v>7273</v>
      </c>
      <c r="N2427" s="392" t="s">
        <v>7273</v>
      </c>
      <c r="O2427" s="392" t="s">
        <v>7273</v>
      </c>
      <c r="P2427"/>
      <c r="Q2427"/>
      <c r="R2427" s="387">
        <f>VLOOKUP(E2427,'[1]NDB Impacted SPRFs 05032013'!$A$2:$A$65536,1,FALSE)</f>
        <v>400010672</v>
      </c>
    </row>
    <row r="2428" spans="1:21" ht="45" x14ac:dyDescent="0.25">
      <c r="A2428" s="63">
        <f>MATCH($E2428,'D1 - Master Project Table'!$B$24:$B$7056,0)</f>
        <v>506</v>
      </c>
      <c r="B2428" s="63" t="b">
        <f t="shared" si="114"/>
        <v>0</v>
      </c>
      <c r="C2428" s="63" t="b">
        <f t="shared" si="112"/>
        <v>1</v>
      </c>
      <c r="D2428" s="63" t="str">
        <f t="shared" si="113"/>
        <v>OK</v>
      </c>
      <c r="E2428" s="393">
        <v>400010807</v>
      </c>
      <c r="F2428" s="392" t="s">
        <v>4794</v>
      </c>
      <c r="G2428" s="392" t="s">
        <v>5324</v>
      </c>
      <c r="H2428" s="392" t="s">
        <v>7418</v>
      </c>
      <c r="I2428" s="392" t="s">
        <v>1765</v>
      </c>
      <c r="J2428" s="392" t="s">
        <v>8414</v>
      </c>
      <c r="K2428" s="392" t="s">
        <v>6530</v>
      </c>
      <c r="L2428" s="392" t="s">
        <v>2845</v>
      </c>
      <c r="M2428" s="392" t="s">
        <v>7273</v>
      </c>
      <c r="N2428" s="392" t="s">
        <v>7273</v>
      </c>
      <c r="O2428" s="392" t="s">
        <v>7273</v>
      </c>
      <c r="P2428"/>
      <c r="Q2428"/>
      <c r="R2428" s="387">
        <f>VLOOKUP(E2428,'[1]NDB Impacted SPRFs 05032013'!$A$2:$A$65536,1,FALSE)</f>
        <v>400010807</v>
      </c>
      <c r="S2428" s="159"/>
      <c r="T2428" s="159"/>
      <c r="U2428" s="159"/>
    </row>
    <row r="2429" spans="1:21" ht="45" x14ac:dyDescent="0.25">
      <c r="A2429" s="63">
        <f>MATCH($E2429,'D1 - Master Project Table'!$B$24:$B$7056,0)</f>
        <v>522</v>
      </c>
      <c r="B2429" s="63" t="b">
        <f t="shared" si="114"/>
        <v>0</v>
      </c>
      <c r="C2429" s="63" t="b">
        <f t="shared" si="112"/>
        <v>1</v>
      </c>
      <c r="D2429" s="63" t="str">
        <f t="shared" si="113"/>
        <v>OK</v>
      </c>
      <c r="E2429" s="393">
        <v>400010849</v>
      </c>
      <c r="F2429" s="392" t="s">
        <v>7456</v>
      </c>
      <c r="G2429" s="392" t="s">
        <v>5324</v>
      </c>
      <c r="H2429" s="392" t="s">
        <v>7418</v>
      </c>
      <c r="I2429" s="392" t="s">
        <v>1765</v>
      </c>
      <c r="J2429" s="392" t="s">
        <v>8544</v>
      </c>
      <c r="K2429" s="392" t="s">
        <v>3887</v>
      </c>
      <c r="L2429" s="392" t="s">
        <v>2845</v>
      </c>
      <c r="M2429" s="392" t="s">
        <v>7273</v>
      </c>
      <c r="N2429" s="392" t="s">
        <v>7273</v>
      </c>
      <c r="O2429" s="392" t="s">
        <v>7273</v>
      </c>
      <c r="P2429"/>
      <c r="Q2429"/>
      <c r="R2429" s="387">
        <f>VLOOKUP(E2429,'[1]NDB Impacted SPRFs 05032013'!$A$2:$A$65536,1,FALSE)</f>
        <v>400010849</v>
      </c>
      <c r="S2429" s="159"/>
      <c r="T2429" s="159"/>
      <c r="U2429" s="159"/>
    </row>
    <row r="2430" spans="1:21" ht="45" x14ac:dyDescent="0.25">
      <c r="A2430" s="63">
        <f>MATCH($E2430,'D1 - Master Project Table'!$B$24:$B$7056,0)</f>
        <v>489</v>
      </c>
      <c r="B2430" s="63" t="b">
        <f t="shared" si="114"/>
        <v>0</v>
      </c>
      <c r="C2430" s="63" t="b">
        <f t="shared" si="112"/>
        <v>1</v>
      </c>
      <c r="D2430" s="63" t="str">
        <f t="shared" si="113"/>
        <v>OK</v>
      </c>
      <c r="E2430" s="393">
        <v>400010869</v>
      </c>
      <c r="F2430" s="392" t="s">
        <v>2971</v>
      </c>
      <c r="G2430" s="392" t="s">
        <v>5324</v>
      </c>
      <c r="H2430" s="392" t="s">
        <v>7418</v>
      </c>
      <c r="I2430" s="392" t="s">
        <v>1756</v>
      </c>
      <c r="J2430" s="392" t="s">
        <v>8545</v>
      </c>
      <c r="K2430" s="392" t="s">
        <v>5004</v>
      </c>
      <c r="L2430" s="392" t="s">
        <v>2845</v>
      </c>
      <c r="M2430" s="392" t="s">
        <v>7273</v>
      </c>
      <c r="N2430" s="392" t="s">
        <v>7273</v>
      </c>
      <c r="O2430" s="392" t="s">
        <v>7273</v>
      </c>
      <c r="P2430"/>
      <c r="Q2430"/>
      <c r="R2430" s="387">
        <f>VLOOKUP(E2430,'[1]NDB Impacted SPRFs 05032013'!$A$2:$A$65536,1,FALSE)</f>
        <v>400010869</v>
      </c>
      <c r="S2430" s="159"/>
      <c r="T2430" s="159"/>
      <c r="U2430" s="159"/>
    </row>
    <row r="2431" spans="1:21" ht="45" x14ac:dyDescent="0.25">
      <c r="A2431" s="63">
        <f>MATCH($E2431,'D1 - Master Project Table'!$B$24:$B$7056,0)</f>
        <v>421</v>
      </c>
      <c r="B2431" s="63" t="b">
        <f t="shared" si="114"/>
        <v>0</v>
      </c>
      <c r="C2431" s="63" t="b">
        <f t="shared" si="112"/>
        <v>1</v>
      </c>
      <c r="D2431" s="63" t="str">
        <f t="shared" si="113"/>
        <v>OK</v>
      </c>
      <c r="E2431" s="393">
        <v>400010898</v>
      </c>
      <c r="F2431" s="392" t="s">
        <v>1597</v>
      </c>
      <c r="G2431" s="392" t="s">
        <v>5324</v>
      </c>
      <c r="H2431" s="392" t="s">
        <v>7418</v>
      </c>
      <c r="I2431" s="392" t="s">
        <v>1765</v>
      </c>
      <c r="J2431" s="392" t="s">
        <v>8317</v>
      </c>
      <c r="K2431" s="392" t="s">
        <v>5641</v>
      </c>
      <c r="L2431" s="392" t="s">
        <v>2845</v>
      </c>
      <c r="M2431" s="392" t="s">
        <v>7273</v>
      </c>
      <c r="N2431" s="392" t="s">
        <v>7273</v>
      </c>
      <c r="O2431" s="392" t="s">
        <v>7273</v>
      </c>
      <c r="P2431"/>
      <c r="Q2431"/>
      <c r="R2431" s="387">
        <f>VLOOKUP(E2431,'[1]NDB Impacted SPRFs 05032013'!$A$2:$A$65536,1,FALSE)</f>
        <v>400010898</v>
      </c>
    </row>
    <row r="2432" spans="1:21" ht="45" x14ac:dyDescent="0.25">
      <c r="A2432" s="63">
        <f>MATCH($E2432,'D1 - Master Project Table'!$B$24:$B$7056,0)</f>
        <v>460</v>
      </c>
      <c r="B2432" s="63" t="b">
        <f t="shared" si="114"/>
        <v>0</v>
      </c>
      <c r="C2432" s="63" t="b">
        <f t="shared" si="112"/>
        <v>1</v>
      </c>
      <c r="D2432" s="63" t="str">
        <f t="shared" si="113"/>
        <v>OK</v>
      </c>
      <c r="E2432" s="393">
        <v>400011106</v>
      </c>
      <c r="F2432" s="392" t="s">
        <v>1660</v>
      </c>
      <c r="G2432" s="392" t="s">
        <v>5324</v>
      </c>
      <c r="H2432" s="392" t="s">
        <v>7418</v>
      </c>
      <c r="I2432" s="392" t="s">
        <v>1756</v>
      </c>
      <c r="J2432" s="392" t="s">
        <v>4110</v>
      </c>
      <c r="K2432" s="392" t="s">
        <v>5004</v>
      </c>
      <c r="L2432" s="392" t="s">
        <v>2845</v>
      </c>
      <c r="M2432" s="392" t="s">
        <v>7273</v>
      </c>
      <c r="N2432" s="392" t="s">
        <v>7273</v>
      </c>
      <c r="O2432" s="392" t="s">
        <v>7273</v>
      </c>
      <c r="P2432"/>
      <c r="Q2432"/>
      <c r="R2432" s="387">
        <f>VLOOKUP(E2432,'[1]NDB Impacted SPRFs 05032013'!$A$2:$A$65536,1,FALSE)</f>
        <v>400011106</v>
      </c>
      <c r="S2432" s="159"/>
      <c r="T2432" s="159"/>
      <c r="U2432" s="159"/>
    </row>
    <row r="2433" spans="1:21" ht="15.75" customHeight="1" x14ac:dyDescent="0.25">
      <c r="A2433" s="63">
        <f>MATCH($E2433,'D1 - Master Project Table'!$B$24:$B$7056,0)</f>
        <v>490</v>
      </c>
      <c r="B2433" s="63" t="b">
        <f t="shared" si="114"/>
        <v>0</v>
      </c>
      <c r="C2433" s="63" t="b">
        <f t="shared" si="112"/>
        <v>1</v>
      </c>
      <c r="D2433" s="63" t="str">
        <f t="shared" si="113"/>
        <v>OK</v>
      </c>
      <c r="E2433" s="393">
        <v>400011137</v>
      </c>
      <c r="F2433" s="392" t="s">
        <v>3431</v>
      </c>
      <c r="G2433" s="392" t="s">
        <v>5324</v>
      </c>
      <c r="H2433" s="392" t="s">
        <v>7418</v>
      </c>
      <c r="I2433" s="392" t="s">
        <v>1756</v>
      </c>
      <c r="J2433" s="392" t="s">
        <v>8540</v>
      </c>
      <c r="K2433" s="392" t="s">
        <v>5004</v>
      </c>
      <c r="L2433" s="392" t="s">
        <v>2845</v>
      </c>
      <c r="M2433" s="392" t="s">
        <v>7273</v>
      </c>
      <c r="N2433" s="392" t="s">
        <v>7273</v>
      </c>
      <c r="O2433" s="392" t="s">
        <v>7273</v>
      </c>
      <c r="P2433"/>
      <c r="Q2433"/>
      <c r="R2433" s="387">
        <f>VLOOKUP(E2433,'[1]NDB Impacted SPRFs 05032013'!$A$2:$A$65536,1,FALSE)</f>
        <v>400011137</v>
      </c>
    </row>
    <row r="2434" spans="1:21" ht="45" x14ac:dyDescent="0.25">
      <c r="A2434" s="63">
        <f>MATCH($E2434,'D1 - Master Project Table'!$B$24:$B$7056,0)</f>
        <v>491</v>
      </c>
      <c r="B2434" s="63" t="b">
        <f t="shared" si="114"/>
        <v>0</v>
      </c>
      <c r="C2434" s="63" t="b">
        <f t="shared" si="112"/>
        <v>1</v>
      </c>
      <c r="D2434" s="63" t="str">
        <f t="shared" si="113"/>
        <v>OK</v>
      </c>
      <c r="E2434" s="393">
        <v>400011175</v>
      </c>
      <c r="F2434" s="392" t="s">
        <v>3564</v>
      </c>
      <c r="G2434" s="392" t="s">
        <v>5325</v>
      </c>
      <c r="H2434" s="392" t="s">
        <v>7418</v>
      </c>
      <c r="I2434" s="392" t="s">
        <v>1794</v>
      </c>
      <c r="J2434" s="392" t="s">
        <v>3780</v>
      </c>
      <c r="K2434" s="392" t="s">
        <v>3239</v>
      </c>
      <c r="L2434" s="392" t="s">
        <v>2845</v>
      </c>
      <c r="M2434" s="392" t="s">
        <v>7273</v>
      </c>
      <c r="N2434" s="392" t="s">
        <v>7273</v>
      </c>
      <c r="O2434" s="392" t="s">
        <v>7273</v>
      </c>
      <c r="P2434"/>
      <c r="Q2434"/>
      <c r="R2434" s="387">
        <f>VLOOKUP(E2434,'[1]NDB Impacted SPRFs 05032013'!$A$2:$A$65536,1,FALSE)</f>
        <v>400011175</v>
      </c>
      <c r="S2434" s="159"/>
      <c r="T2434" s="159"/>
      <c r="U2434" s="159"/>
    </row>
    <row r="2435" spans="1:21" ht="30" x14ac:dyDescent="0.25">
      <c r="A2435" s="63">
        <f>MATCH($E2435,'D1 - Master Project Table'!$B$24:$B$7056,0)</f>
        <v>447</v>
      </c>
      <c r="B2435" s="63" t="b">
        <f t="shared" si="114"/>
        <v>0</v>
      </c>
      <c r="C2435" s="63" t="b">
        <f t="shared" si="112"/>
        <v>1</v>
      </c>
      <c r="D2435" s="63" t="str">
        <f t="shared" si="113"/>
        <v>OK</v>
      </c>
      <c r="E2435" s="393">
        <v>400011248</v>
      </c>
      <c r="F2435" s="392" t="s">
        <v>5711</v>
      </c>
      <c r="G2435" s="392" t="s">
        <v>6322</v>
      </c>
      <c r="H2435" s="392" t="s">
        <v>7418</v>
      </c>
      <c r="I2435" s="392" t="s">
        <v>7594</v>
      </c>
      <c r="J2435" s="392" t="s">
        <v>8647</v>
      </c>
      <c r="K2435" s="392" t="s">
        <v>1515</v>
      </c>
      <c r="L2435" s="392" t="s">
        <v>2845</v>
      </c>
      <c r="M2435" s="392" t="s">
        <v>7273</v>
      </c>
      <c r="N2435" s="392" t="s">
        <v>7273</v>
      </c>
      <c r="O2435" s="392" t="s">
        <v>7273</v>
      </c>
      <c r="P2435"/>
      <c r="Q2435"/>
      <c r="R2435" s="387">
        <f>VLOOKUP(E2435,'[1]NDB Impacted SPRFs 05032013'!$A$2:$A$65536,1,FALSE)</f>
        <v>400011248</v>
      </c>
      <c r="S2435" s="159"/>
      <c r="T2435" s="159"/>
      <c r="U2435" s="159"/>
    </row>
    <row r="2436" spans="1:21" ht="30" x14ac:dyDescent="0.25">
      <c r="A2436" s="63">
        <f>MATCH($E2436,'D1 - Master Project Table'!$B$24:$B$7056,0)</f>
        <v>492</v>
      </c>
      <c r="B2436" s="63" t="b">
        <f t="shared" si="114"/>
        <v>0</v>
      </c>
      <c r="C2436" s="63" t="b">
        <f t="shared" si="112"/>
        <v>1</v>
      </c>
      <c r="D2436" s="63" t="str">
        <f t="shared" si="113"/>
        <v>OK</v>
      </c>
      <c r="E2436" s="393">
        <v>400011271</v>
      </c>
      <c r="F2436" s="392" t="s">
        <v>4848</v>
      </c>
      <c r="G2436" s="392" t="s">
        <v>3441</v>
      </c>
      <c r="H2436" s="392" t="s">
        <v>5314</v>
      </c>
      <c r="I2436" s="392" t="s">
        <v>1769</v>
      </c>
      <c r="J2436" s="392" t="s">
        <v>8849</v>
      </c>
      <c r="K2436" s="392" t="s">
        <v>6371</v>
      </c>
      <c r="L2436" s="392" t="s">
        <v>2845</v>
      </c>
      <c r="M2436" s="392" t="s">
        <v>7273</v>
      </c>
      <c r="N2436" s="392" t="s">
        <v>7273</v>
      </c>
      <c r="O2436" s="392" t="s">
        <v>7273</v>
      </c>
      <c r="P2436"/>
      <c r="Q2436"/>
      <c r="R2436" s="387">
        <f>VLOOKUP(E2436,'[1]NDB Impacted SPRFs 05032013'!$A$2:$A$65536,1,FALSE)</f>
        <v>400011271</v>
      </c>
      <c r="S2436" s="159"/>
      <c r="T2436" s="159"/>
      <c r="U2436" s="159"/>
    </row>
    <row r="2437" spans="1:21" ht="45" x14ac:dyDescent="0.25">
      <c r="A2437" s="63">
        <f>MATCH($E2437,'D1 - Master Project Table'!$B$24:$B$7056,0)</f>
        <v>461</v>
      </c>
      <c r="B2437" s="63" t="b">
        <f t="shared" si="114"/>
        <v>0</v>
      </c>
      <c r="C2437" s="63" t="b">
        <f t="shared" si="112"/>
        <v>1</v>
      </c>
      <c r="D2437" s="63" t="str">
        <f t="shared" si="113"/>
        <v>OK</v>
      </c>
      <c r="E2437" s="393">
        <v>400011501</v>
      </c>
      <c r="F2437" s="392" t="s">
        <v>3395</v>
      </c>
      <c r="G2437" s="392" t="s">
        <v>5787</v>
      </c>
      <c r="H2437" s="392" t="s">
        <v>7418</v>
      </c>
      <c r="I2437" s="392" t="s">
        <v>1775</v>
      </c>
      <c r="J2437" s="392" t="s">
        <v>4997</v>
      </c>
      <c r="K2437" s="392" t="s">
        <v>5554</v>
      </c>
      <c r="L2437" s="392" t="s">
        <v>2845</v>
      </c>
      <c r="M2437" s="392" t="s">
        <v>7273</v>
      </c>
      <c r="N2437" s="392" t="s">
        <v>7273</v>
      </c>
      <c r="O2437" s="392" t="s">
        <v>7273</v>
      </c>
      <c r="P2437"/>
      <c r="Q2437"/>
      <c r="R2437" s="387">
        <f>VLOOKUP(E2437,'[1]NDB Impacted SPRFs 05032013'!$A$2:$A$65536,1,FALSE)</f>
        <v>400011501</v>
      </c>
      <c r="S2437" s="159"/>
      <c r="T2437" s="159"/>
      <c r="U2437" s="159"/>
    </row>
    <row r="2438" spans="1:21" ht="45" x14ac:dyDescent="0.25">
      <c r="A2438" s="63">
        <f>MATCH($E2438,'D1 - Master Project Table'!$B$24:$B$7056,0)</f>
        <v>2591</v>
      </c>
      <c r="B2438" s="63" t="b">
        <f t="shared" si="114"/>
        <v>0</v>
      </c>
      <c r="C2438" s="63" t="b">
        <f t="shared" ref="C2438:C2501" si="115">OR(H2438="Completed",H2438="Cancelled")</f>
        <v>1</v>
      </c>
      <c r="D2438" s="63" t="str">
        <f t="shared" ref="D2438:D2501" si="116">IF(AND(B2438=TRUE,C2438=FALSE),"Add","OK")</f>
        <v>OK</v>
      </c>
      <c r="E2438" s="393">
        <v>400011623</v>
      </c>
      <c r="F2438" s="392" t="s">
        <v>3445</v>
      </c>
      <c r="G2438" s="392" t="s">
        <v>5324</v>
      </c>
      <c r="H2438" s="392" t="s">
        <v>5314</v>
      </c>
      <c r="I2438" s="392" t="s">
        <v>1768</v>
      </c>
      <c r="J2438" s="392" t="s">
        <v>2251</v>
      </c>
      <c r="K2438" s="392" t="s">
        <v>5159</v>
      </c>
      <c r="L2438" s="392" t="s">
        <v>2845</v>
      </c>
      <c r="M2438" s="392" t="s">
        <v>7273</v>
      </c>
      <c r="N2438" s="392" t="s">
        <v>7273</v>
      </c>
      <c r="O2438" s="392" t="s">
        <v>7273</v>
      </c>
      <c r="P2438"/>
      <c r="Q2438"/>
      <c r="R2438" s="387">
        <f>VLOOKUP(E2438,'[1]NDB Impacted SPRFs 05032013'!$A$2:$A$65536,1,FALSE)</f>
        <v>400011623</v>
      </c>
      <c r="S2438" s="159"/>
      <c r="T2438" s="159"/>
      <c r="U2438" s="159"/>
    </row>
    <row r="2439" spans="1:21" ht="45" x14ac:dyDescent="0.25">
      <c r="A2439" s="63">
        <f>MATCH($E2439,'D1 - Master Project Table'!$B$24:$B$7056,0)</f>
        <v>2089</v>
      </c>
      <c r="B2439" s="63" t="b">
        <f t="shared" si="114"/>
        <v>0</v>
      </c>
      <c r="C2439" s="63" t="b">
        <f t="shared" si="115"/>
        <v>1</v>
      </c>
      <c r="D2439" s="63" t="str">
        <f t="shared" si="116"/>
        <v>OK</v>
      </c>
      <c r="E2439" s="393">
        <v>400011915</v>
      </c>
      <c r="F2439" s="392" t="s">
        <v>3007</v>
      </c>
      <c r="G2439" s="392" t="s">
        <v>5787</v>
      </c>
      <c r="H2439" s="392" t="s">
        <v>5314</v>
      </c>
      <c r="I2439" s="392" t="s">
        <v>1780</v>
      </c>
      <c r="J2439" s="392" t="s">
        <v>3322</v>
      </c>
      <c r="K2439" s="392" t="s">
        <v>3353</v>
      </c>
      <c r="L2439" s="392" t="s">
        <v>2845</v>
      </c>
      <c r="M2439" s="392" t="s">
        <v>7273</v>
      </c>
      <c r="N2439" s="392" t="s">
        <v>7273</v>
      </c>
      <c r="O2439" s="392" t="s">
        <v>7273</v>
      </c>
      <c r="P2439"/>
      <c r="Q2439"/>
      <c r="R2439" s="387">
        <f>VLOOKUP(E2439,'[1]NDB Impacted SPRFs 05032013'!$A$2:$A$65536,1,FALSE)</f>
        <v>400011915</v>
      </c>
      <c r="S2439" s="159"/>
      <c r="T2439" s="159"/>
      <c r="U2439" s="159"/>
    </row>
    <row r="2440" spans="1:21" ht="45" x14ac:dyDescent="0.25">
      <c r="A2440" s="63">
        <f>MATCH($E2440,'D1 - Master Project Table'!$B$24:$B$7056,0)</f>
        <v>462</v>
      </c>
      <c r="B2440" s="63" t="b">
        <f t="shared" si="114"/>
        <v>0</v>
      </c>
      <c r="C2440" s="63" t="b">
        <f t="shared" si="115"/>
        <v>1</v>
      </c>
      <c r="D2440" s="63" t="str">
        <f t="shared" si="116"/>
        <v>OK</v>
      </c>
      <c r="E2440" s="393">
        <v>400012132</v>
      </c>
      <c r="F2440" s="392" t="s">
        <v>7050</v>
      </c>
      <c r="G2440" s="392" t="s">
        <v>5324</v>
      </c>
      <c r="H2440" s="392" t="s">
        <v>7418</v>
      </c>
      <c r="I2440" s="392" t="s">
        <v>1789</v>
      </c>
      <c r="J2440" s="392" t="s">
        <v>8519</v>
      </c>
      <c r="K2440" s="392" t="s">
        <v>3887</v>
      </c>
      <c r="L2440" s="392" t="s">
        <v>2845</v>
      </c>
      <c r="M2440" s="392" t="s">
        <v>7273</v>
      </c>
      <c r="N2440" s="392" t="s">
        <v>7273</v>
      </c>
      <c r="O2440" s="392" t="s">
        <v>7273</v>
      </c>
      <c r="P2440"/>
      <c r="Q2440"/>
      <c r="R2440" s="387">
        <f>VLOOKUP(E2440,'[1]NDB Impacted SPRFs 05032013'!$A$2:$A$65536,1,FALSE)</f>
        <v>400012132</v>
      </c>
    </row>
    <row r="2441" spans="1:21" ht="45" x14ac:dyDescent="0.25">
      <c r="A2441" s="63">
        <f>MATCH($E2441,'D1 - Master Project Table'!$B$24:$B$7056,0)</f>
        <v>561</v>
      </c>
      <c r="B2441" s="63" t="b">
        <f t="shared" si="114"/>
        <v>0</v>
      </c>
      <c r="C2441" s="63" t="b">
        <f t="shared" si="115"/>
        <v>1</v>
      </c>
      <c r="D2441" s="63" t="str">
        <f t="shared" si="116"/>
        <v>OK</v>
      </c>
      <c r="E2441" s="393">
        <v>400012519</v>
      </c>
      <c r="F2441" s="392" t="s">
        <v>2116</v>
      </c>
      <c r="G2441" s="392" t="s">
        <v>5324</v>
      </c>
      <c r="H2441" s="392" t="s">
        <v>7418</v>
      </c>
      <c r="I2441" s="392" t="s">
        <v>1759</v>
      </c>
      <c r="J2441" s="392" t="s">
        <v>8359</v>
      </c>
      <c r="K2441" s="392" t="s">
        <v>5184</v>
      </c>
      <c r="L2441" s="392" t="s">
        <v>2845</v>
      </c>
      <c r="M2441" s="392" t="s">
        <v>7273</v>
      </c>
      <c r="N2441" s="392" t="s">
        <v>7273</v>
      </c>
      <c r="O2441" s="392" t="s">
        <v>7273</v>
      </c>
      <c r="P2441"/>
      <c r="Q2441"/>
      <c r="R2441" s="387">
        <f>VLOOKUP(E2441,'[1]NDB Impacted SPRFs 05032013'!$A$2:$A$65536,1,FALSE)</f>
        <v>400012519</v>
      </c>
    </row>
    <row r="2442" spans="1:21" ht="45" x14ac:dyDescent="0.25">
      <c r="A2442" s="63">
        <f>MATCH($E2442,'D1 - Master Project Table'!$B$24:$B$7056,0)</f>
        <v>502</v>
      </c>
      <c r="B2442" s="63" t="b">
        <f t="shared" si="114"/>
        <v>0</v>
      </c>
      <c r="C2442" s="63" t="b">
        <f t="shared" si="115"/>
        <v>1</v>
      </c>
      <c r="D2442" s="63" t="str">
        <f t="shared" si="116"/>
        <v>OK</v>
      </c>
      <c r="E2442" s="393">
        <v>400012540</v>
      </c>
      <c r="F2442" s="392" t="s">
        <v>6094</v>
      </c>
      <c r="G2442" s="392" t="s">
        <v>5325</v>
      </c>
      <c r="H2442" s="392" t="s">
        <v>7418</v>
      </c>
      <c r="I2442" s="392" t="s">
        <v>1802</v>
      </c>
      <c r="J2442" s="392" t="s">
        <v>3780</v>
      </c>
      <c r="K2442" s="392" t="s">
        <v>6095</v>
      </c>
      <c r="L2442" s="392" t="s">
        <v>2845</v>
      </c>
      <c r="M2442" s="392" t="s">
        <v>7273</v>
      </c>
      <c r="N2442" s="392" t="s">
        <v>7273</v>
      </c>
      <c r="O2442" s="392" t="s">
        <v>7273</v>
      </c>
      <c r="P2442"/>
      <c r="Q2442"/>
      <c r="R2442" s="387">
        <f>VLOOKUP(E2442,'[1]NDB Impacted SPRFs 05032013'!$A$2:$A$65536,1,FALSE)</f>
        <v>400012540</v>
      </c>
      <c r="S2442" s="159"/>
      <c r="T2442" s="159"/>
      <c r="U2442" s="159"/>
    </row>
    <row r="2443" spans="1:21" ht="45" x14ac:dyDescent="0.25">
      <c r="A2443" s="63">
        <f>MATCH($E2443,'D1 - Master Project Table'!$B$24:$B$7056,0)</f>
        <v>531</v>
      </c>
      <c r="B2443" s="63" t="b">
        <f t="shared" si="114"/>
        <v>0</v>
      </c>
      <c r="C2443" s="63" t="b">
        <f t="shared" si="115"/>
        <v>1</v>
      </c>
      <c r="D2443" s="63" t="str">
        <f t="shared" si="116"/>
        <v>OK</v>
      </c>
      <c r="E2443" s="393">
        <v>400012542</v>
      </c>
      <c r="F2443" s="392" t="s">
        <v>4337</v>
      </c>
      <c r="G2443" s="392" t="s">
        <v>5325</v>
      </c>
      <c r="H2443" s="392" t="s">
        <v>7418</v>
      </c>
      <c r="I2443" s="392" t="s">
        <v>1802</v>
      </c>
      <c r="J2443" s="392" t="s">
        <v>3780</v>
      </c>
      <c r="K2443" s="392" t="s">
        <v>6095</v>
      </c>
      <c r="L2443" s="392" t="s">
        <v>2845</v>
      </c>
      <c r="M2443" s="392" t="s">
        <v>7273</v>
      </c>
      <c r="N2443" s="392" t="s">
        <v>7273</v>
      </c>
      <c r="O2443" s="392" t="s">
        <v>7273</v>
      </c>
      <c r="P2443"/>
      <c r="Q2443"/>
      <c r="R2443" s="387">
        <f>VLOOKUP(E2443,'[1]NDB Impacted SPRFs 05032013'!$A$2:$A$65536,1,FALSE)</f>
        <v>400012542</v>
      </c>
      <c r="S2443" s="159"/>
      <c r="T2443" s="159"/>
      <c r="U2443" s="159"/>
    </row>
    <row r="2444" spans="1:21" ht="45" x14ac:dyDescent="0.25">
      <c r="A2444" s="63">
        <f>MATCH($E2444,'D1 - Master Project Table'!$B$24:$B$7056,0)</f>
        <v>532</v>
      </c>
      <c r="B2444" s="63" t="b">
        <f t="shared" si="114"/>
        <v>0</v>
      </c>
      <c r="C2444" s="63" t="b">
        <f t="shared" si="115"/>
        <v>1</v>
      </c>
      <c r="D2444" s="63" t="str">
        <f t="shared" si="116"/>
        <v>OK</v>
      </c>
      <c r="E2444" s="393">
        <v>400012543</v>
      </c>
      <c r="F2444" s="392" t="s">
        <v>4767</v>
      </c>
      <c r="G2444" s="392" t="s">
        <v>5325</v>
      </c>
      <c r="H2444" s="392" t="s">
        <v>7418</v>
      </c>
      <c r="I2444" s="392" t="s">
        <v>1802</v>
      </c>
      <c r="J2444" s="392" t="s">
        <v>3780</v>
      </c>
      <c r="K2444" s="392" t="s">
        <v>6095</v>
      </c>
      <c r="L2444" s="392" t="s">
        <v>2845</v>
      </c>
      <c r="M2444" s="392" t="s">
        <v>7273</v>
      </c>
      <c r="N2444" s="392" t="s">
        <v>7273</v>
      </c>
      <c r="O2444" s="392" t="s">
        <v>7273</v>
      </c>
      <c r="P2444"/>
      <c r="Q2444"/>
      <c r="R2444" s="387">
        <f>VLOOKUP(E2444,'[1]NDB Impacted SPRFs 05032013'!$A$2:$A$65536,1,FALSE)</f>
        <v>400012543</v>
      </c>
      <c r="S2444" s="159"/>
      <c r="T2444" s="159"/>
      <c r="U2444" s="159"/>
    </row>
    <row r="2445" spans="1:21" ht="45" x14ac:dyDescent="0.25">
      <c r="A2445" s="63">
        <f>MATCH($E2445,'D1 - Master Project Table'!$B$24:$B$7056,0)</f>
        <v>2068</v>
      </c>
      <c r="B2445" s="63" t="b">
        <f t="shared" si="114"/>
        <v>0</v>
      </c>
      <c r="C2445" s="63" t="b">
        <f t="shared" si="115"/>
        <v>1</v>
      </c>
      <c r="D2445" s="63" t="str">
        <f t="shared" si="116"/>
        <v>OK</v>
      </c>
      <c r="E2445" s="393">
        <v>400012554</v>
      </c>
      <c r="F2445" s="392" t="s">
        <v>7774</v>
      </c>
      <c r="G2445" s="392" t="s">
        <v>5325</v>
      </c>
      <c r="H2445" s="392" t="s">
        <v>5314</v>
      </c>
      <c r="I2445" s="392" t="s">
        <v>1802</v>
      </c>
      <c r="J2445" s="392" t="s">
        <v>3780</v>
      </c>
      <c r="K2445" s="392" t="s">
        <v>6095</v>
      </c>
      <c r="L2445" s="392" t="s">
        <v>2845</v>
      </c>
      <c r="M2445" s="392" t="s">
        <v>7273</v>
      </c>
      <c r="N2445" s="392" t="s">
        <v>7273</v>
      </c>
      <c r="O2445" s="392" t="s">
        <v>7273</v>
      </c>
      <c r="P2445"/>
      <c r="Q2445"/>
      <c r="R2445" s="387">
        <f>VLOOKUP(E2445,'[1]NDB Impacted SPRFs 05032013'!$A$2:$A$65536,1,FALSE)</f>
        <v>400012554</v>
      </c>
    </row>
    <row r="2446" spans="1:21" ht="45" x14ac:dyDescent="0.25">
      <c r="A2446" s="63">
        <f>MATCH($E2446,'D1 - Master Project Table'!$B$24:$B$7056,0)</f>
        <v>503</v>
      </c>
      <c r="B2446" s="63" t="b">
        <f t="shared" si="114"/>
        <v>0</v>
      </c>
      <c r="C2446" s="63" t="b">
        <f t="shared" si="115"/>
        <v>1</v>
      </c>
      <c r="D2446" s="63" t="str">
        <f t="shared" si="116"/>
        <v>OK</v>
      </c>
      <c r="E2446" s="393">
        <v>400012695</v>
      </c>
      <c r="F2446" s="392" t="s">
        <v>4072</v>
      </c>
      <c r="G2446" s="392" t="s">
        <v>5325</v>
      </c>
      <c r="H2446" s="392" t="s">
        <v>7418</v>
      </c>
      <c r="I2446" s="392" t="s">
        <v>1802</v>
      </c>
      <c r="J2446" s="392" t="s">
        <v>3780</v>
      </c>
      <c r="K2446" s="392" t="s">
        <v>6095</v>
      </c>
      <c r="L2446" s="392" t="s">
        <v>2845</v>
      </c>
      <c r="M2446" s="392" t="s">
        <v>7273</v>
      </c>
      <c r="N2446" s="392" t="s">
        <v>7273</v>
      </c>
      <c r="O2446" s="392" t="s">
        <v>7273</v>
      </c>
      <c r="P2446"/>
      <c r="Q2446"/>
      <c r="R2446" s="387">
        <f>VLOOKUP(E2446,'[1]NDB Impacted SPRFs 05032013'!$A$2:$A$65536,1,FALSE)</f>
        <v>400012695</v>
      </c>
    </row>
    <row r="2447" spans="1:21" ht="30" x14ac:dyDescent="0.25">
      <c r="A2447" s="63">
        <f>MATCH($E2447,'D1 - Master Project Table'!$B$24:$B$7056,0)</f>
        <v>505</v>
      </c>
      <c r="B2447" s="63" t="b">
        <f t="shared" si="114"/>
        <v>0</v>
      </c>
      <c r="C2447" s="63" t="b">
        <f t="shared" si="115"/>
        <v>1</v>
      </c>
      <c r="D2447" s="63" t="str">
        <f t="shared" si="116"/>
        <v>OK</v>
      </c>
      <c r="E2447" s="393">
        <v>400012786</v>
      </c>
      <c r="F2447" s="392" t="s">
        <v>2011</v>
      </c>
      <c r="G2447" s="392" t="s">
        <v>6322</v>
      </c>
      <c r="H2447" s="392" t="s">
        <v>7418</v>
      </c>
      <c r="I2447" s="392" t="s">
        <v>7594</v>
      </c>
      <c r="J2447" s="392" t="s">
        <v>8647</v>
      </c>
      <c r="K2447" s="392" t="s">
        <v>1515</v>
      </c>
      <c r="L2447" s="392" t="s">
        <v>2845</v>
      </c>
      <c r="M2447" s="392" t="s">
        <v>7273</v>
      </c>
      <c r="N2447" s="392" t="s">
        <v>7273</v>
      </c>
      <c r="O2447" s="392" t="s">
        <v>7273</v>
      </c>
      <c r="P2447"/>
      <c r="Q2447"/>
      <c r="R2447" s="387">
        <f>VLOOKUP(E2447,'[1]NDB Impacted SPRFs 05032013'!$A$2:$A$65536,1,FALSE)</f>
        <v>400012786</v>
      </c>
    </row>
    <row r="2448" spans="1:21" ht="30" x14ac:dyDescent="0.25">
      <c r="A2448" s="63">
        <f>MATCH($E2448,'D1 - Master Project Table'!$B$24:$B$7056,0)</f>
        <v>632</v>
      </c>
      <c r="B2448" s="63" t="b">
        <f t="shared" si="114"/>
        <v>0</v>
      </c>
      <c r="C2448" s="63" t="b">
        <f t="shared" si="115"/>
        <v>1</v>
      </c>
      <c r="D2448" s="63" t="str">
        <f t="shared" si="116"/>
        <v>OK</v>
      </c>
      <c r="E2448" s="393">
        <v>400012826</v>
      </c>
      <c r="F2448" s="392" t="s">
        <v>5214</v>
      </c>
      <c r="G2448" s="392" t="s">
        <v>3441</v>
      </c>
      <c r="H2448" s="392" t="s">
        <v>7418</v>
      </c>
      <c r="I2448" s="392" t="s">
        <v>1769</v>
      </c>
      <c r="J2448" s="392" t="s">
        <v>8300</v>
      </c>
      <c r="K2448" s="392" t="s">
        <v>2447</v>
      </c>
      <c r="L2448" s="392" t="s">
        <v>2845</v>
      </c>
      <c r="M2448" s="392" t="s">
        <v>7273</v>
      </c>
      <c r="N2448" s="392" t="s">
        <v>7273</v>
      </c>
      <c r="O2448" s="392" t="s">
        <v>7273</v>
      </c>
      <c r="P2448"/>
      <c r="Q2448"/>
      <c r="R2448" s="387">
        <f>VLOOKUP(E2448,'[1]NDB Impacted SPRFs 05032013'!$A$2:$A$65536,1,FALSE)</f>
        <v>400012826</v>
      </c>
      <c r="S2448" s="159"/>
      <c r="T2448" s="159"/>
      <c r="U2448" s="159"/>
    </row>
    <row r="2449" spans="1:21" ht="45" x14ac:dyDescent="0.25">
      <c r="A2449" s="63">
        <f>MATCH($E2449,'D1 - Master Project Table'!$B$24:$B$7056,0)</f>
        <v>2608</v>
      </c>
      <c r="B2449" s="63" t="b">
        <f t="shared" si="114"/>
        <v>0</v>
      </c>
      <c r="C2449" s="63" t="b">
        <f t="shared" si="115"/>
        <v>1</v>
      </c>
      <c r="D2449" s="63" t="str">
        <f t="shared" si="116"/>
        <v>OK</v>
      </c>
      <c r="E2449" s="393">
        <v>400012986</v>
      </c>
      <c r="F2449" s="392" t="s">
        <v>2941</v>
      </c>
      <c r="G2449" s="392" t="s">
        <v>5324</v>
      </c>
      <c r="H2449" s="392" t="s">
        <v>5314</v>
      </c>
      <c r="I2449" s="392" t="s">
        <v>1763</v>
      </c>
      <c r="J2449" s="392" t="s">
        <v>5168</v>
      </c>
      <c r="K2449" s="392" t="s">
        <v>1603</v>
      </c>
      <c r="L2449" s="392" t="s">
        <v>2845</v>
      </c>
      <c r="M2449" s="392" t="s">
        <v>7273</v>
      </c>
      <c r="N2449" s="392" t="s">
        <v>7273</v>
      </c>
      <c r="O2449" s="392" t="s">
        <v>7273</v>
      </c>
      <c r="P2449"/>
      <c r="Q2449"/>
      <c r="R2449" s="387">
        <f>VLOOKUP(E2449,'[1]NDB Impacted SPRFs 05032013'!$A$2:$A$65536,1,FALSE)</f>
        <v>400012986</v>
      </c>
      <c r="S2449" s="159"/>
      <c r="T2449" s="159"/>
      <c r="U2449" s="159"/>
    </row>
    <row r="2450" spans="1:21" ht="30" x14ac:dyDescent="0.25">
      <c r="A2450" s="63">
        <f>MATCH($E2450,'D1 - Master Project Table'!$B$24:$B$7056,0)</f>
        <v>537</v>
      </c>
      <c r="B2450" s="63" t="b">
        <f t="shared" si="114"/>
        <v>0</v>
      </c>
      <c r="C2450" s="63" t="b">
        <f t="shared" si="115"/>
        <v>1</v>
      </c>
      <c r="D2450" s="63" t="str">
        <f t="shared" si="116"/>
        <v>OK</v>
      </c>
      <c r="E2450" s="393">
        <v>400013022</v>
      </c>
      <c r="F2450" s="392" t="s">
        <v>7655</v>
      </c>
      <c r="G2450" s="392" t="s">
        <v>5995</v>
      </c>
      <c r="H2450" s="392" t="s">
        <v>7418</v>
      </c>
      <c r="I2450" s="392" t="s">
        <v>4527</v>
      </c>
      <c r="J2450" s="392" t="s">
        <v>9068</v>
      </c>
      <c r="K2450" s="392" t="s">
        <v>5658</v>
      </c>
      <c r="L2450" s="392" t="s">
        <v>2845</v>
      </c>
      <c r="M2450" s="392" t="s">
        <v>7273</v>
      </c>
      <c r="N2450" s="392" t="s">
        <v>7273</v>
      </c>
      <c r="O2450" s="392" t="s">
        <v>7273</v>
      </c>
      <c r="P2450"/>
      <c r="Q2450"/>
      <c r="R2450" s="387">
        <f>VLOOKUP(E2450,'[1]NDB Impacted SPRFs 05032013'!$A$2:$A$65536,1,FALSE)</f>
        <v>400013022</v>
      </c>
      <c r="S2450" s="159"/>
      <c r="T2450" s="159"/>
      <c r="U2450" s="159"/>
    </row>
    <row r="2451" spans="1:21" ht="30" x14ac:dyDescent="0.25">
      <c r="A2451" s="63">
        <f>MATCH($E2451,'D1 - Master Project Table'!$B$24:$B$7056,0)</f>
        <v>2112</v>
      </c>
      <c r="B2451" s="63" t="b">
        <f t="shared" si="114"/>
        <v>0</v>
      </c>
      <c r="C2451" s="63" t="b">
        <f t="shared" si="115"/>
        <v>1</v>
      </c>
      <c r="D2451" s="63" t="str">
        <f t="shared" si="116"/>
        <v>OK</v>
      </c>
      <c r="E2451" s="393">
        <v>400013034</v>
      </c>
      <c r="F2451" s="392" t="s">
        <v>7205</v>
      </c>
      <c r="G2451" s="392" t="s">
        <v>3441</v>
      </c>
      <c r="H2451" s="392" t="s">
        <v>5314</v>
      </c>
      <c r="I2451" s="392" t="s">
        <v>2662</v>
      </c>
      <c r="J2451" s="392" t="s">
        <v>8388</v>
      </c>
      <c r="K2451" s="392" t="s">
        <v>8075</v>
      </c>
      <c r="L2451" s="392" t="s">
        <v>2845</v>
      </c>
      <c r="M2451" s="392" t="s">
        <v>7273</v>
      </c>
      <c r="N2451" s="392" t="s">
        <v>7273</v>
      </c>
      <c r="O2451" s="392" t="s">
        <v>7273</v>
      </c>
      <c r="P2451"/>
      <c r="Q2451"/>
      <c r="R2451" s="387">
        <f>VLOOKUP(E2451,'[1]NDB Impacted SPRFs 05032013'!$A$2:$A$65536,1,FALSE)</f>
        <v>400013034</v>
      </c>
      <c r="S2451" s="159"/>
      <c r="T2451" s="159"/>
      <c r="U2451" s="159"/>
    </row>
    <row r="2452" spans="1:21" ht="45" x14ac:dyDescent="0.25">
      <c r="A2452" s="63">
        <f>MATCH($E2452,'D1 - Master Project Table'!$B$24:$B$7056,0)</f>
        <v>538</v>
      </c>
      <c r="B2452" s="63" t="b">
        <f t="shared" si="114"/>
        <v>0</v>
      </c>
      <c r="C2452" s="63" t="b">
        <f t="shared" si="115"/>
        <v>1</v>
      </c>
      <c r="D2452" s="63" t="str">
        <f t="shared" si="116"/>
        <v>OK</v>
      </c>
      <c r="E2452" s="393">
        <v>400013085</v>
      </c>
      <c r="F2452" s="392" t="s">
        <v>3943</v>
      </c>
      <c r="G2452" s="392" t="s">
        <v>5325</v>
      </c>
      <c r="H2452" s="392" t="s">
        <v>7418</v>
      </c>
      <c r="I2452" s="392" t="s">
        <v>1802</v>
      </c>
      <c r="J2452" s="392" t="s">
        <v>8271</v>
      </c>
      <c r="K2452" s="392" t="s">
        <v>6095</v>
      </c>
      <c r="L2452" s="392" t="s">
        <v>2845</v>
      </c>
      <c r="M2452" s="392" t="s">
        <v>7273</v>
      </c>
      <c r="N2452" s="392" t="s">
        <v>7273</v>
      </c>
      <c r="O2452" s="392" t="s">
        <v>7273</v>
      </c>
      <c r="P2452"/>
      <c r="Q2452"/>
      <c r="R2452" s="387">
        <f>VLOOKUP(E2452,'[1]NDB Impacted SPRFs 05032013'!$A$2:$A$65536,1,FALSE)</f>
        <v>400013085</v>
      </c>
    </row>
    <row r="2453" spans="1:21" ht="45" x14ac:dyDescent="0.25">
      <c r="A2453" s="63">
        <f>MATCH($E2453,'D1 - Master Project Table'!$B$24:$B$7056,0)</f>
        <v>565</v>
      </c>
      <c r="B2453" s="63" t="b">
        <f t="shared" si="114"/>
        <v>0</v>
      </c>
      <c r="C2453" s="63" t="b">
        <f t="shared" si="115"/>
        <v>1</v>
      </c>
      <c r="D2453" s="63" t="str">
        <f t="shared" si="116"/>
        <v>OK</v>
      </c>
      <c r="E2453" s="393">
        <v>400013087</v>
      </c>
      <c r="F2453" s="392" t="s">
        <v>5023</v>
      </c>
      <c r="G2453" s="392" t="s">
        <v>5325</v>
      </c>
      <c r="H2453" s="392" t="s">
        <v>7418</v>
      </c>
      <c r="I2453" s="392" t="s">
        <v>1802</v>
      </c>
      <c r="J2453" s="392" t="s">
        <v>8271</v>
      </c>
      <c r="K2453" s="392" t="s">
        <v>6095</v>
      </c>
      <c r="L2453" s="392" t="s">
        <v>2845</v>
      </c>
      <c r="M2453" s="392" t="s">
        <v>7273</v>
      </c>
      <c r="N2453" s="392" t="s">
        <v>7273</v>
      </c>
      <c r="O2453" s="392" t="s">
        <v>7273</v>
      </c>
      <c r="P2453"/>
      <c r="Q2453"/>
      <c r="R2453" s="387">
        <f>VLOOKUP(E2453,'[1]NDB Impacted SPRFs 05032013'!$A$2:$A$65536,1,FALSE)</f>
        <v>400013087</v>
      </c>
      <c r="S2453" s="159"/>
      <c r="T2453" s="159"/>
      <c r="U2453" s="159"/>
    </row>
    <row r="2454" spans="1:21" ht="45" x14ac:dyDescent="0.25">
      <c r="A2454" s="63">
        <f>MATCH($E2454,'D1 - Master Project Table'!$B$24:$B$7056,0)</f>
        <v>591</v>
      </c>
      <c r="B2454" s="63" t="b">
        <f t="shared" si="114"/>
        <v>0</v>
      </c>
      <c r="C2454" s="63" t="b">
        <f t="shared" si="115"/>
        <v>1</v>
      </c>
      <c r="D2454" s="63" t="str">
        <f t="shared" si="116"/>
        <v>OK</v>
      </c>
      <c r="E2454" s="393">
        <v>400013089</v>
      </c>
      <c r="F2454" s="392" t="s">
        <v>7121</v>
      </c>
      <c r="G2454" s="392" t="s">
        <v>5325</v>
      </c>
      <c r="H2454" s="392" t="s">
        <v>7418</v>
      </c>
      <c r="I2454" s="392" t="s">
        <v>6008</v>
      </c>
      <c r="J2454" s="392" t="s">
        <v>8271</v>
      </c>
      <c r="K2454" s="392" t="s">
        <v>6095</v>
      </c>
      <c r="L2454" s="392" t="s">
        <v>2845</v>
      </c>
      <c r="M2454" s="392" t="s">
        <v>7273</v>
      </c>
      <c r="N2454" s="392" t="s">
        <v>7273</v>
      </c>
      <c r="O2454" s="392" t="s">
        <v>7273</v>
      </c>
      <c r="P2454"/>
      <c r="Q2454"/>
      <c r="R2454" s="387">
        <f>VLOOKUP(E2454,'[1]NDB Impacted SPRFs 05032013'!$A$2:$A$65536,1,FALSE)</f>
        <v>400013089</v>
      </c>
    </row>
    <row r="2455" spans="1:21" ht="45" x14ac:dyDescent="0.25">
      <c r="A2455" s="63">
        <f>MATCH($E2455,'D1 - Master Project Table'!$B$24:$B$7056,0)</f>
        <v>2080</v>
      </c>
      <c r="B2455" s="63" t="b">
        <f t="shared" si="114"/>
        <v>0</v>
      </c>
      <c r="C2455" s="63" t="b">
        <f t="shared" si="115"/>
        <v>1</v>
      </c>
      <c r="D2455" s="63" t="str">
        <f t="shared" si="116"/>
        <v>OK</v>
      </c>
      <c r="E2455" s="393">
        <v>400013090</v>
      </c>
      <c r="F2455" s="392" t="s">
        <v>7124</v>
      </c>
      <c r="G2455" s="392" t="s">
        <v>5325</v>
      </c>
      <c r="H2455" s="392" t="s">
        <v>7418</v>
      </c>
      <c r="I2455" s="392" t="s">
        <v>1802</v>
      </c>
      <c r="J2455" s="392" t="s">
        <v>8271</v>
      </c>
      <c r="K2455" s="392" t="s">
        <v>6095</v>
      </c>
      <c r="L2455" s="392" t="s">
        <v>2845</v>
      </c>
      <c r="M2455" s="392" t="s">
        <v>7273</v>
      </c>
      <c r="N2455" s="392" t="s">
        <v>7273</v>
      </c>
      <c r="O2455" s="392" t="s">
        <v>7273</v>
      </c>
      <c r="P2455"/>
      <c r="Q2455"/>
      <c r="R2455" s="387">
        <f>VLOOKUP(E2455,'[1]NDB Impacted SPRFs 05032013'!$A$2:$A$65536,1,FALSE)</f>
        <v>400013090</v>
      </c>
      <c r="S2455" s="159"/>
      <c r="T2455" s="159"/>
      <c r="U2455" s="159"/>
    </row>
    <row r="2456" spans="1:21" ht="45" x14ac:dyDescent="0.25">
      <c r="A2456" s="63">
        <f>MATCH($E2456,'D1 - Master Project Table'!$B$24:$B$7056,0)</f>
        <v>645</v>
      </c>
      <c r="B2456" s="63" t="b">
        <f t="shared" si="114"/>
        <v>0</v>
      </c>
      <c r="C2456" s="63" t="b">
        <f t="shared" si="115"/>
        <v>1</v>
      </c>
      <c r="D2456" s="63" t="str">
        <f t="shared" si="116"/>
        <v>OK</v>
      </c>
      <c r="E2456" s="393">
        <v>400013238</v>
      </c>
      <c r="F2456" s="392" t="s">
        <v>5470</v>
      </c>
      <c r="G2456" s="392" t="s">
        <v>5324</v>
      </c>
      <c r="H2456" s="392" t="s">
        <v>7418</v>
      </c>
      <c r="I2456" s="392" t="s">
        <v>1756</v>
      </c>
      <c r="J2456" s="392" t="s">
        <v>8388</v>
      </c>
      <c r="K2456" s="392" t="s">
        <v>8075</v>
      </c>
      <c r="L2456" s="392" t="s">
        <v>2845</v>
      </c>
      <c r="M2456" s="392" t="s">
        <v>7273</v>
      </c>
      <c r="N2456" s="392" t="s">
        <v>7273</v>
      </c>
      <c r="O2456" s="392" t="s">
        <v>7273</v>
      </c>
      <c r="P2456"/>
      <c r="Q2456"/>
      <c r="R2456" s="387">
        <f>VLOOKUP(E2456,'[1]NDB Impacted SPRFs 05032013'!$A$2:$A$65536,1,FALSE)</f>
        <v>400013238</v>
      </c>
      <c r="S2456" s="159"/>
      <c r="T2456" s="159"/>
      <c r="U2456" s="159"/>
    </row>
    <row r="2457" spans="1:21" ht="30" x14ac:dyDescent="0.25">
      <c r="A2457" s="63">
        <f>MATCH($E2457,'D1 - Master Project Table'!$B$24:$B$7056,0)</f>
        <v>2614</v>
      </c>
      <c r="B2457" s="63" t="b">
        <f t="shared" si="114"/>
        <v>0</v>
      </c>
      <c r="C2457" s="63" t="b">
        <f t="shared" si="115"/>
        <v>1</v>
      </c>
      <c r="D2457" s="63" t="str">
        <f t="shared" si="116"/>
        <v>OK</v>
      </c>
      <c r="E2457" s="393">
        <v>400013254</v>
      </c>
      <c r="F2457" s="392" t="s">
        <v>4984</v>
      </c>
      <c r="G2457" s="392" t="s">
        <v>5787</v>
      </c>
      <c r="H2457" s="392" t="s">
        <v>5314</v>
      </c>
      <c r="I2457" s="392" t="s">
        <v>1774</v>
      </c>
      <c r="J2457" s="392" t="s">
        <v>8729</v>
      </c>
      <c r="K2457" s="392" t="s">
        <v>4169</v>
      </c>
      <c r="L2457" s="392" t="s">
        <v>2845</v>
      </c>
      <c r="M2457" s="392" t="s">
        <v>7273</v>
      </c>
      <c r="N2457" s="392" t="s">
        <v>7273</v>
      </c>
      <c r="O2457" s="392" t="s">
        <v>7273</v>
      </c>
      <c r="P2457"/>
      <c r="Q2457"/>
      <c r="R2457" s="387">
        <f>VLOOKUP(E2457,'[1]NDB Impacted SPRFs 05032013'!$A$2:$A$65536,1,FALSE)</f>
        <v>400013254</v>
      </c>
      <c r="S2457" s="159"/>
      <c r="T2457" s="159"/>
      <c r="U2457" s="159"/>
    </row>
    <row r="2458" spans="1:21" ht="15.75" customHeight="1" x14ac:dyDescent="0.25">
      <c r="A2458" s="63">
        <f>MATCH($E2458,'D1 - Master Project Table'!$B$24:$B$7056,0)</f>
        <v>2615</v>
      </c>
      <c r="B2458" s="63" t="b">
        <f t="shared" si="114"/>
        <v>0</v>
      </c>
      <c r="C2458" s="63" t="b">
        <f t="shared" si="115"/>
        <v>1</v>
      </c>
      <c r="D2458" s="63" t="str">
        <f t="shared" si="116"/>
        <v>OK</v>
      </c>
      <c r="E2458" s="393">
        <v>400013291</v>
      </c>
      <c r="F2458" s="392" t="s">
        <v>7266</v>
      </c>
      <c r="G2458" s="392" t="s">
        <v>5324</v>
      </c>
      <c r="H2458" s="392" t="s">
        <v>5314</v>
      </c>
      <c r="I2458" s="392" t="s">
        <v>1764</v>
      </c>
      <c r="J2458" s="392" t="s">
        <v>8388</v>
      </c>
      <c r="K2458" s="392" t="s">
        <v>8075</v>
      </c>
      <c r="L2458" s="392" t="s">
        <v>2845</v>
      </c>
      <c r="M2458" s="392" t="s">
        <v>7273</v>
      </c>
      <c r="N2458" s="392" t="s">
        <v>7273</v>
      </c>
      <c r="O2458" s="392" t="s">
        <v>7273</v>
      </c>
      <c r="P2458"/>
      <c r="Q2458"/>
      <c r="R2458" s="387">
        <f>VLOOKUP(E2458,'[1]NDB Impacted SPRFs 05032013'!$A$2:$A$65536,1,FALSE)</f>
        <v>400013291</v>
      </c>
      <c r="S2458" s="159"/>
      <c r="T2458" s="159"/>
      <c r="U2458" s="159"/>
    </row>
    <row r="2459" spans="1:21" ht="45" x14ac:dyDescent="0.25">
      <c r="A2459" s="63">
        <f>MATCH($E2459,'D1 - Master Project Table'!$B$24:$B$7056,0)</f>
        <v>2205</v>
      </c>
      <c r="B2459" s="63" t="b">
        <f t="shared" si="114"/>
        <v>0</v>
      </c>
      <c r="C2459" s="63" t="b">
        <f t="shared" si="115"/>
        <v>1</v>
      </c>
      <c r="D2459" s="63" t="str">
        <f t="shared" si="116"/>
        <v>OK</v>
      </c>
      <c r="E2459" s="393">
        <v>400013349</v>
      </c>
      <c r="F2459" s="392" t="s">
        <v>3267</v>
      </c>
      <c r="G2459" s="392" t="s">
        <v>5324</v>
      </c>
      <c r="H2459" s="392" t="s">
        <v>5314</v>
      </c>
      <c r="I2459" s="392" t="s">
        <v>1756</v>
      </c>
      <c r="J2459" s="392" t="s">
        <v>8074</v>
      </c>
      <c r="K2459" s="392" t="s">
        <v>2003</v>
      </c>
      <c r="L2459" s="392" t="s">
        <v>2845</v>
      </c>
      <c r="M2459" s="392" t="s">
        <v>7273</v>
      </c>
      <c r="N2459" s="392" t="s">
        <v>7273</v>
      </c>
      <c r="O2459" s="392" t="s">
        <v>7273</v>
      </c>
      <c r="P2459"/>
      <c r="Q2459"/>
      <c r="R2459" s="387">
        <f>VLOOKUP(E2459,'[1]NDB Impacted SPRFs 05032013'!$A$2:$A$65536,1,FALSE)</f>
        <v>400013349</v>
      </c>
      <c r="S2459" s="160"/>
      <c r="T2459" s="160"/>
      <c r="U2459" s="160"/>
    </row>
    <row r="2460" spans="1:21" ht="45" x14ac:dyDescent="0.25">
      <c r="A2460" s="63">
        <f>MATCH($E2460,'D1 - Master Project Table'!$B$24:$B$7056,0)</f>
        <v>567</v>
      </c>
      <c r="B2460" s="63" t="b">
        <f t="shared" si="114"/>
        <v>0</v>
      </c>
      <c r="C2460" s="63" t="b">
        <f t="shared" si="115"/>
        <v>1</v>
      </c>
      <c r="D2460" s="63" t="str">
        <f t="shared" si="116"/>
        <v>OK</v>
      </c>
      <c r="E2460" s="393">
        <v>400013416</v>
      </c>
      <c r="F2460" s="392" t="s">
        <v>5424</v>
      </c>
      <c r="G2460" s="392" t="s">
        <v>5787</v>
      </c>
      <c r="H2460" s="392" t="s">
        <v>7418</v>
      </c>
      <c r="I2460" s="392" t="s">
        <v>1774</v>
      </c>
      <c r="J2460" s="392" t="s">
        <v>5865</v>
      </c>
      <c r="K2460" s="392" t="s">
        <v>4087</v>
      </c>
      <c r="L2460" s="392" t="s">
        <v>2845</v>
      </c>
      <c r="M2460" s="392" t="s">
        <v>7273</v>
      </c>
      <c r="N2460" s="392" t="s">
        <v>7273</v>
      </c>
      <c r="O2460" s="392" t="s">
        <v>7273</v>
      </c>
      <c r="P2460"/>
      <c r="Q2460"/>
      <c r="R2460" s="387">
        <f>VLOOKUP(E2460,'[1]NDB Impacted SPRFs 05032013'!$A$2:$A$65536,1,FALSE)</f>
        <v>400013416</v>
      </c>
      <c r="S2460" s="159"/>
      <c r="T2460" s="159"/>
      <c r="U2460" s="159"/>
    </row>
    <row r="2461" spans="1:21" ht="45" x14ac:dyDescent="0.25">
      <c r="A2461" s="63">
        <f>MATCH($E2461,'D1 - Master Project Table'!$B$24:$B$7056,0)</f>
        <v>2083</v>
      </c>
      <c r="B2461" s="63" t="b">
        <f t="shared" si="114"/>
        <v>0</v>
      </c>
      <c r="C2461" s="63" t="b">
        <f t="shared" si="115"/>
        <v>1</v>
      </c>
      <c r="D2461" s="63" t="str">
        <f t="shared" si="116"/>
        <v>OK</v>
      </c>
      <c r="E2461" s="393">
        <v>400013558</v>
      </c>
      <c r="F2461" s="392" t="s">
        <v>5759</v>
      </c>
      <c r="G2461" s="392" t="s">
        <v>5324</v>
      </c>
      <c r="H2461" s="392" t="s">
        <v>5314</v>
      </c>
      <c r="I2461" s="392" t="s">
        <v>1756</v>
      </c>
      <c r="J2461" s="392" t="s">
        <v>8388</v>
      </c>
      <c r="K2461" s="392" t="s">
        <v>8075</v>
      </c>
      <c r="L2461" s="392" t="s">
        <v>2845</v>
      </c>
      <c r="M2461" s="392" t="s">
        <v>7273</v>
      </c>
      <c r="N2461" s="392" t="s">
        <v>7273</v>
      </c>
      <c r="O2461" s="392" t="s">
        <v>7273</v>
      </c>
      <c r="P2461"/>
      <c r="Q2461"/>
      <c r="R2461" s="387">
        <f>VLOOKUP(E2461,'[1]NDB Impacted SPRFs 05032013'!$A$2:$A$65536,1,FALSE)</f>
        <v>400013558</v>
      </c>
      <c r="S2461" s="159"/>
      <c r="T2461" s="159"/>
      <c r="U2461" s="159"/>
    </row>
    <row r="2462" spans="1:21" ht="45" x14ac:dyDescent="0.25">
      <c r="A2462" s="63">
        <f>MATCH($E2462,'D1 - Master Project Table'!$B$24:$B$7056,0)</f>
        <v>2107</v>
      </c>
      <c r="B2462" s="63" t="b">
        <f t="shared" si="114"/>
        <v>0</v>
      </c>
      <c r="C2462" s="63" t="b">
        <f t="shared" si="115"/>
        <v>1</v>
      </c>
      <c r="D2462" s="63" t="str">
        <f t="shared" si="116"/>
        <v>OK</v>
      </c>
      <c r="E2462" s="393">
        <v>400013559</v>
      </c>
      <c r="F2462" s="392" t="s">
        <v>6392</v>
      </c>
      <c r="G2462" s="392" t="s">
        <v>5324</v>
      </c>
      <c r="H2462" s="392" t="s">
        <v>5314</v>
      </c>
      <c r="I2462" s="392" t="s">
        <v>1764</v>
      </c>
      <c r="J2462" s="392" t="s">
        <v>8388</v>
      </c>
      <c r="K2462" s="392" t="s">
        <v>8075</v>
      </c>
      <c r="L2462" s="392" t="s">
        <v>2845</v>
      </c>
      <c r="M2462" s="392" t="s">
        <v>7273</v>
      </c>
      <c r="N2462" s="392" t="s">
        <v>7273</v>
      </c>
      <c r="O2462" s="392" t="s">
        <v>7273</v>
      </c>
      <c r="P2462"/>
      <c r="Q2462"/>
      <c r="R2462" s="387">
        <f>VLOOKUP(E2462,'[1]NDB Impacted SPRFs 05032013'!$A$2:$A$65536,1,FALSE)</f>
        <v>400013559</v>
      </c>
    </row>
    <row r="2463" spans="1:21" ht="45" x14ac:dyDescent="0.25">
      <c r="A2463" s="63">
        <f>MATCH($E2463,'D1 - Master Project Table'!$B$24:$B$7056,0)</f>
        <v>2625</v>
      </c>
      <c r="B2463" s="63" t="b">
        <f t="shared" si="114"/>
        <v>0</v>
      </c>
      <c r="C2463" s="63" t="b">
        <f t="shared" si="115"/>
        <v>1</v>
      </c>
      <c r="D2463" s="63" t="str">
        <f t="shared" si="116"/>
        <v>OK</v>
      </c>
      <c r="E2463" s="393">
        <v>400013682</v>
      </c>
      <c r="F2463" s="392" t="s">
        <v>3371</v>
      </c>
      <c r="G2463" s="392" t="s">
        <v>5324</v>
      </c>
      <c r="H2463" s="392" t="s">
        <v>5314</v>
      </c>
      <c r="I2463" s="392" t="s">
        <v>1764</v>
      </c>
      <c r="J2463" s="392" t="s">
        <v>8298</v>
      </c>
      <c r="K2463" s="392" t="s">
        <v>5184</v>
      </c>
      <c r="L2463" s="392" t="s">
        <v>2845</v>
      </c>
      <c r="M2463" s="392" t="s">
        <v>7273</v>
      </c>
      <c r="N2463" s="392" t="s">
        <v>7273</v>
      </c>
      <c r="O2463" s="392" t="s">
        <v>7273</v>
      </c>
      <c r="P2463"/>
      <c r="Q2463"/>
      <c r="R2463" s="387">
        <f>VLOOKUP(E2463,'[1]NDB Impacted SPRFs 05032013'!$A$2:$A$65536,1,FALSE)</f>
        <v>400013682</v>
      </c>
    </row>
    <row r="2464" spans="1:21" ht="45" x14ac:dyDescent="0.25">
      <c r="A2464" s="63">
        <f>MATCH($E2464,'D1 - Master Project Table'!$B$24:$B$7056,0)</f>
        <v>2627</v>
      </c>
      <c r="B2464" s="63" t="b">
        <f t="shared" si="114"/>
        <v>0</v>
      </c>
      <c r="C2464" s="63" t="b">
        <f t="shared" si="115"/>
        <v>1</v>
      </c>
      <c r="D2464" s="63" t="str">
        <f t="shared" si="116"/>
        <v>OK</v>
      </c>
      <c r="E2464" s="393">
        <v>400013694</v>
      </c>
      <c r="F2464" s="392" t="s">
        <v>1883</v>
      </c>
      <c r="G2464" s="392" t="s">
        <v>5324</v>
      </c>
      <c r="H2464" s="392" t="s">
        <v>5314</v>
      </c>
      <c r="I2464" s="392" t="s">
        <v>1764</v>
      </c>
      <c r="J2464" s="392" t="s">
        <v>8298</v>
      </c>
      <c r="K2464" s="392" t="s">
        <v>5938</v>
      </c>
      <c r="L2464" s="392" t="s">
        <v>2845</v>
      </c>
      <c r="M2464" s="392" t="s">
        <v>7273</v>
      </c>
      <c r="N2464" s="392" t="s">
        <v>7273</v>
      </c>
      <c r="O2464" s="392" t="s">
        <v>7273</v>
      </c>
      <c r="P2464"/>
      <c r="Q2464"/>
      <c r="R2464" s="387">
        <f>VLOOKUP(E2464,'[1]NDB Impacted SPRFs 05032013'!$A$2:$A$65536,1,FALSE)</f>
        <v>400013694</v>
      </c>
      <c r="S2464" s="159"/>
      <c r="T2464" s="159"/>
      <c r="U2464" s="159"/>
    </row>
    <row r="2465" spans="1:21" ht="45" x14ac:dyDescent="0.25">
      <c r="A2465" s="63">
        <f>MATCH($E2465,'D1 - Master Project Table'!$B$24:$B$7056,0)</f>
        <v>2115</v>
      </c>
      <c r="B2465" s="63" t="b">
        <f t="shared" si="114"/>
        <v>0</v>
      </c>
      <c r="C2465" s="63" t="b">
        <f t="shared" si="115"/>
        <v>1</v>
      </c>
      <c r="D2465" s="63" t="str">
        <f t="shared" si="116"/>
        <v>OK</v>
      </c>
      <c r="E2465" s="393">
        <v>400013804</v>
      </c>
      <c r="F2465" s="392" t="s">
        <v>3739</v>
      </c>
      <c r="G2465" s="392" t="s">
        <v>5325</v>
      </c>
      <c r="H2465" s="392" t="s">
        <v>5314</v>
      </c>
      <c r="I2465" s="392" t="s">
        <v>6008</v>
      </c>
      <c r="J2465" s="392" t="s">
        <v>8271</v>
      </c>
      <c r="K2465" s="392" t="s">
        <v>6095</v>
      </c>
      <c r="L2465" s="392" t="s">
        <v>2845</v>
      </c>
      <c r="M2465" s="392" t="s">
        <v>7273</v>
      </c>
      <c r="N2465" s="392" t="s">
        <v>7273</v>
      </c>
      <c r="O2465" s="392" t="s">
        <v>7273</v>
      </c>
      <c r="P2465"/>
      <c r="Q2465"/>
      <c r="R2465" s="387">
        <f>VLOOKUP(E2465,'[1]NDB Impacted SPRFs 05032013'!$A$2:$A$65536,1,FALSE)</f>
        <v>400013804</v>
      </c>
      <c r="S2465" s="159"/>
      <c r="T2465" s="159"/>
      <c r="U2465" s="159"/>
    </row>
    <row r="2466" spans="1:21" ht="30" x14ac:dyDescent="0.25">
      <c r="A2466" s="63">
        <f>MATCH($E2466,'D1 - Master Project Table'!$B$24:$B$7056,0)</f>
        <v>624</v>
      </c>
      <c r="B2466" s="63" t="b">
        <f t="shared" si="114"/>
        <v>0</v>
      </c>
      <c r="C2466" s="63" t="b">
        <f t="shared" si="115"/>
        <v>1</v>
      </c>
      <c r="D2466" s="63" t="str">
        <f t="shared" si="116"/>
        <v>OK</v>
      </c>
      <c r="E2466" s="393">
        <v>400013873</v>
      </c>
      <c r="F2466" s="392" t="s">
        <v>6190</v>
      </c>
      <c r="G2466" s="392" t="s">
        <v>5787</v>
      </c>
      <c r="H2466" s="392" t="s">
        <v>7418</v>
      </c>
      <c r="I2466" s="392" t="s">
        <v>1775</v>
      </c>
      <c r="J2466" s="392" t="s">
        <v>8341</v>
      </c>
      <c r="K2466" s="392" t="s">
        <v>2795</v>
      </c>
      <c r="L2466" s="392" t="s">
        <v>2845</v>
      </c>
      <c r="M2466" s="392" t="s">
        <v>7273</v>
      </c>
      <c r="N2466" s="392" t="s">
        <v>7273</v>
      </c>
      <c r="O2466" s="392" t="s">
        <v>7273</v>
      </c>
      <c r="P2466"/>
      <c r="Q2466"/>
      <c r="R2466" s="387">
        <f>VLOOKUP(E2466,'[1]NDB Impacted SPRFs 05032013'!$A$2:$A$65536,1,FALSE)</f>
        <v>400013873</v>
      </c>
      <c r="S2466" s="159"/>
      <c r="T2466" s="159"/>
      <c r="U2466" s="159"/>
    </row>
    <row r="2467" spans="1:21" ht="30" x14ac:dyDescent="0.25">
      <c r="A2467" s="63">
        <f>MATCH($E2467,'D1 - Master Project Table'!$B$24:$B$7056,0)</f>
        <v>648</v>
      </c>
      <c r="B2467" s="63" t="b">
        <f t="shared" si="114"/>
        <v>0</v>
      </c>
      <c r="C2467" s="63" t="b">
        <f t="shared" si="115"/>
        <v>1</v>
      </c>
      <c r="D2467" s="63" t="str">
        <f t="shared" si="116"/>
        <v>OK</v>
      </c>
      <c r="E2467" s="393">
        <v>400013960</v>
      </c>
      <c r="F2467" s="392" t="s">
        <v>4719</v>
      </c>
      <c r="G2467" s="392" t="s">
        <v>5995</v>
      </c>
      <c r="H2467" s="392" t="s">
        <v>7418</v>
      </c>
      <c r="I2467" s="392" t="s">
        <v>3532</v>
      </c>
      <c r="J2467" s="392" t="s">
        <v>8811</v>
      </c>
      <c r="K2467" s="392" t="s">
        <v>2946</v>
      </c>
      <c r="L2467" s="392" t="s">
        <v>2845</v>
      </c>
      <c r="M2467" s="392" t="s">
        <v>7273</v>
      </c>
      <c r="N2467" s="392" t="s">
        <v>7273</v>
      </c>
      <c r="O2467" s="392" t="s">
        <v>7273</v>
      </c>
      <c r="P2467"/>
      <c r="Q2467"/>
      <c r="R2467" s="387">
        <f>VLOOKUP(E2467,'[1]NDB Impacted SPRFs 05032013'!$A$2:$A$65536,1,FALSE)</f>
        <v>400013960</v>
      </c>
      <c r="S2467" s="159"/>
      <c r="T2467" s="159"/>
      <c r="U2467" s="159"/>
    </row>
    <row r="2468" spans="1:21" ht="45" x14ac:dyDescent="0.25">
      <c r="A2468" s="63">
        <f>MATCH($E2468,'D1 - Master Project Table'!$B$24:$B$7056,0)</f>
        <v>649</v>
      </c>
      <c r="B2468" s="63" t="b">
        <f t="shared" si="114"/>
        <v>0</v>
      </c>
      <c r="C2468" s="63" t="b">
        <f t="shared" si="115"/>
        <v>1</v>
      </c>
      <c r="D2468" s="63" t="str">
        <f t="shared" si="116"/>
        <v>OK</v>
      </c>
      <c r="E2468" s="393">
        <v>400014002</v>
      </c>
      <c r="F2468" s="392" t="s">
        <v>7200</v>
      </c>
      <c r="G2468" s="392" t="s">
        <v>5324</v>
      </c>
      <c r="H2468" s="392" t="s">
        <v>7418</v>
      </c>
      <c r="I2468" s="392" t="s">
        <v>1764</v>
      </c>
      <c r="J2468" s="392" t="s">
        <v>8594</v>
      </c>
      <c r="K2468" s="392" t="s">
        <v>2086</v>
      </c>
      <c r="L2468" s="392" t="s">
        <v>2845</v>
      </c>
      <c r="M2468" s="392" t="s">
        <v>7273</v>
      </c>
      <c r="N2468" s="392" t="s">
        <v>7273</v>
      </c>
      <c r="O2468" s="392" t="s">
        <v>7273</v>
      </c>
      <c r="P2468"/>
      <c r="Q2468"/>
      <c r="R2468" s="387">
        <f>VLOOKUP(E2468,'[1]NDB Impacted SPRFs 05032013'!$A$2:$A$65536,1,FALSE)</f>
        <v>400014002</v>
      </c>
      <c r="S2468" s="159"/>
      <c r="T2468" s="159"/>
      <c r="U2468" s="159"/>
    </row>
    <row r="2469" spans="1:21" ht="45" x14ac:dyDescent="0.25">
      <c r="A2469" s="63">
        <f>MATCH($E2469,'D1 - Master Project Table'!$B$24:$B$7056,0)</f>
        <v>625</v>
      </c>
      <c r="B2469" s="63" t="b">
        <f t="shared" si="114"/>
        <v>0</v>
      </c>
      <c r="C2469" s="63" t="b">
        <f t="shared" si="115"/>
        <v>1</v>
      </c>
      <c r="D2469" s="63" t="str">
        <f t="shared" si="116"/>
        <v>OK</v>
      </c>
      <c r="E2469" s="393">
        <v>400014007</v>
      </c>
      <c r="F2469" s="392" t="s">
        <v>8111</v>
      </c>
      <c r="G2469" s="392" t="s">
        <v>5324</v>
      </c>
      <c r="H2469" s="392" t="s">
        <v>7418</v>
      </c>
      <c r="I2469" s="392" t="s">
        <v>1756</v>
      </c>
      <c r="J2469" s="392" t="s">
        <v>8388</v>
      </c>
      <c r="K2469" s="392" t="s">
        <v>8075</v>
      </c>
      <c r="L2469" s="392" t="s">
        <v>2845</v>
      </c>
      <c r="M2469" s="392" t="s">
        <v>7273</v>
      </c>
      <c r="N2469" s="392" t="s">
        <v>7273</v>
      </c>
      <c r="O2469" s="392" t="s">
        <v>7273</v>
      </c>
      <c r="P2469"/>
      <c r="Q2469"/>
      <c r="R2469" s="387">
        <f>VLOOKUP(E2469,'[1]NDB Impacted SPRFs 05032013'!$A$2:$A$65536,1,FALSE)</f>
        <v>400014007</v>
      </c>
      <c r="S2469" s="159"/>
      <c r="T2469" s="159"/>
      <c r="U2469" s="159"/>
    </row>
    <row r="2470" spans="1:21" ht="30" x14ac:dyDescent="0.25">
      <c r="A2470" s="63">
        <f>MATCH($E2470,'D1 - Master Project Table'!$B$24:$B$7056,0)</f>
        <v>2085</v>
      </c>
      <c r="B2470" s="63" t="b">
        <f t="shared" si="114"/>
        <v>0</v>
      </c>
      <c r="C2470" s="63" t="b">
        <f t="shared" si="115"/>
        <v>1</v>
      </c>
      <c r="D2470" s="63" t="str">
        <f t="shared" si="116"/>
        <v>OK</v>
      </c>
      <c r="E2470" s="393">
        <v>400014011</v>
      </c>
      <c r="F2470" s="392" t="s">
        <v>5294</v>
      </c>
      <c r="G2470" s="392" t="s">
        <v>6322</v>
      </c>
      <c r="H2470" s="392" t="s">
        <v>5314</v>
      </c>
      <c r="I2470" s="392" t="s">
        <v>7594</v>
      </c>
      <c r="J2470" s="392" t="s">
        <v>8633</v>
      </c>
      <c r="K2470" s="392" t="s">
        <v>1515</v>
      </c>
      <c r="L2470" s="392" t="s">
        <v>2845</v>
      </c>
      <c r="M2470" s="392" t="s">
        <v>7273</v>
      </c>
      <c r="N2470" s="392" t="s">
        <v>7273</v>
      </c>
      <c r="O2470" s="392" t="s">
        <v>7273</v>
      </c>
      <c r="P2470"/>
      <c r="Q2470"/>
      <c r="R2470" s="387">
        <f>VLOOKUP(E2470,'[1]NDB Impacted SPRFs 05032013'!$A$2:$A$65536,1,FALSE)</f>
        <v>400014011</v>
      </c>
    </row>
    <row r="2471" spans="1:21" ht="45" x14ac:dyDescent="0.25">
      <c r="A2471" s="63" t="e">
        <f>MATCH($E2471,'D1 - Master Project Table'!$B$24:$B$7056,0)</f>
        <v>#N/A</v>
      </c>
      <c r="B2471" s="63" t="b">
        <f t="shared" si="114"/>
        <v>1</v>
      </c>
      <c r="C2471" s="63" t="b">
        <f t="shared" si="115"/>
        <v>1</v>
      </c>
      <c r="D2471" s="63" t="str">
        <f t="shared" si="116"/>
        <v>OK</v>
      </c>
      <c r="E2471" s="393">
        <v>400014017</v>
      </c>
      <c r="F2471" s="392" t="s">
        <v>1903</v>
      </c>
      <c r="G2471" s="392" t="s">
        <v>5324</v>
      </c>
      <c r="H2471" s="392" t="s">
        <v>5314</v>
      </c>
      <c r="I2471" s="392" t="s">
        <v>1768</v>
      </c>
      <c r="J2471" s="392" t="s">
        <v>8298</v>
      </c>
      <c r="K2471" s="392" t="s">
        <v>1904</v>
      </c>
      <c r="L2471" s="392" t="s">
        <v>2845</v>
      </c>
      <c r="M2471" s="392" t="s">
        <v>7273</v>
      </c>
      <c r="N2471" s="392" t="s">
        <v>7273</v>
      </c>
      <c r="O2471" s="392" t="s">
        <v>7273</v>
      </c>
      <c r="P2471"/>
      <c r="Q2471"/>
      <c r="R2471" s="387">
        <f>VLOOKUP(E2471,'[1]NDB Impacted SPRFs 05032013'!$A$2:$A$65536,1,FALSE)</f>
        <v>400014017</v>
      </c>
      <c r="S2471" s="159"/>
      <c r="T2471" s="159"/>
      <c r="U2471" s="159"/>
    </row>
    <row r="2472" spans="1:21" ht="30" x14ac:dyDescent="0.25">
      <c r="A2472" s="63" t="e">
        <f>MATCH($E2472,'D1 - Master Project Table'!$B$24:$B$7056,0)</f>
        <v>#N/A</v>
      </c>
      <c r="B2472" s="63" t="b">
        <f t="shared" si="114"/>
        <v>1</v>
      </c>
      <c r="C2472" s="63" t="b">
        <f t="shared" si="115"/>
        <v>1</v>
      </c>
      <c r="D2472" s="63" t="str">
        <f t="shared" si="116"/>
        <v>OK</v>
      </c>
      <c r="E2472" s="393">
        <v>400014021</v>
      </c>
      <c r="F2472" s="392" t="s">
        <v>5440</v>
      </c>
      <c r="G2472" s="392" t="s">
        <v>3441</v>
      </c>
      <c r="H2472" s="392" t="s">
        <v>5314</v>
      </c>
      <c r="I2472" s="392" t="s">
        <v>2662</v>
      </c>
      <c r="J2472" s="392" t="s">
        <v>8298</v>
      </c>
      <c r="K2472" s="392" t="s">
        <v>6056</v>
      </c>
      <c r="L2472" s="392" t="s">
        <v>2845</v>
      </c>
      <c r="M2472" s="392" t="s">
        <v>7273</v>
      </c>
      <c r="N2472" s="392" t="s">
        <v>7273</v>
      </c>
      <c r="O2472" s="392" t="s">
        <v>7273</v>
      </c>
      <c r="P2472"/>
      <c r="Q2472"/>
      <c r="R2472" s="387">
        <f>VLOOKUP(E2472,'[1]NDB Impacted SPRFs 05032013'!$A$2:$A$65536,1,FALSE)</f>
        <v>400014021</v>
      </c>
      <c r="S2472" s="159"/>
      <c r="T2472" s="159"/>
      <c r="U2472" s="159"/>
    </row>
    <row r="2473" spans="1:21" ht="30" x14ac:dyDescent="0.25">
      <c r="A2473" s="63">
        <f>MATCH($E2473,'D1 - Master Project Table'!$B$24:$B$7056,0)</f>
        <v>2631</v>
      </c>
      <c r="B2473" s="63" t="b">
        <f t="shared" si="114"/>
        <v>0</v>
      </c>
      <c r="C2473" s="63" t="b">
        <f t="shared" si="115"/>
        <v>1</v>
      </c>
      <c r="D2473" s="63" t="str">
        <f t="shared" si="116"/>
        <v>OK</v>
      </c>
      <c r="E2473" s="393">
        <v>400014076</v>
      </c>
      <c r="F2473" s="392" t="s">
        <v>4238</v>
      </c>
      <c r="G2473" s="392" t="s">
        <v>6322</v>
      </c>
      <c r="H2473" s="392" t="s">
        <v>5314</v>
      </c>
      <c r="I2473" s="392" t="s">
        <v>7594</v>
      </c>
      <c r="J2473" s="392" t="s">
        <v>8633</v>
      </c>
      <c r="K2473" s="392" t="s">
        <v>1515</v>
      </c>
      <c r="L2473" s="392" t="s">
        <v>2845</v>
      </c>
      <c r="M2473" s="392" t="s">
        <v>7273</v>
      </c>
      <c r="N2473" s="392" t="s">
        <v>7273</v>
      </c>
      <c r="O2473" s="392" t="s">
        <v>7273</v>
      </c>
      <c r="R2473" s="387">
        <f>VLOOKUP(E2473,'[1]NDB Impacted SPRFs 05032013'!$A$2:$A$65536,1,FALSE)</f>
        <v>400014076</v>
      </c>
    </row>
    <row r="2474" spans="1:21" ht="30" x14ac:dyDescent="0.25">
      <c r="A2474" s="63">
        <f>MATCH($E2474,'D1 - Master Project Table'!$B$24:$B$7056,0)</f>
        <v>2632</v>
      </c>
      <c r="B2474" s="63" t="b">
        <f t="shared" si="114"/>
        <v>0</v>
      </c>
      <c r="C2474" s="63" t="b">
        <f t="shared" si="115"/>
        <v>1</v>
      </c>
      <c r="D2474" s="63" t="str">
        <f t="shared" si="116"/>
        <v>OK</v>
      </c>
      <c r="E2474" s="393">
        <v>400014077</v>
      </c>
      <c r="F2474" s="392" t="s">
        <v>4239</v>
      </c>
      <c r="G2474" s="392" t="s">
        <v>6322</v>
      </c>
      <c r="H2474" s="392" t="s">
        <v>5314</v>
      </c>
      <c r="I2474" s="392" t="s">
        <v>7594</v>
      </c>
      <c r="J2474" s="392" t="s">
        <v>8633</v>
      </c>
      <c r="K2474" s="392" t="s">
        <v>1515</v>
      </c>
      <c r="L2474" s="392" t="s">
        <v>2845</v>
      </c>
      <c r="M2474" s="392" t="s">
        <v>7273</v>
      </c>
      <c r="N2474" s="392" t="s">
        <v>7273</v>
      </c>
      <c r="O2474" s="392" t="s">
        <v>7273</v>
      </c>
      <c r="P2474"/>
      <c r="Q2474"/>
      <c r="R2474" s="387">
        <f>VLOOKUP(E2474,'[1]NDB Impacted SPRFs 05032013'!$A$2:$A$65536,1,FALSE)</f>
        <v>400014077</v>
      </c>
      <c r="S2474" s="159"/>
      <c r="T2474" s="159"/>
      <c r="U2474" s="159"/>
    </row>
    <row r="2475" spans="1:21" ht="45" x14ac:dyDescent="0.25">
      <c r="A2475" s="63">
        <f>MATCH($E2475,'D1 - Master Project Table'!$B$24:$B$7056,0)</f>
        <v>594</v>
      </c>
      <c r="B2475" s="63" t="b">
        <f t="shared" si="114"/>
        <v>0</v>
      </c>
      <c r="C2475" s="63" t="b">
        <f t="shared" si="115"/>
        <v>1</v>
      </c>
      <c r="D2475" s="63" t="str">
        <f t="shared" si="116"/>
        <v>OK</v>
      </c>
      <c r="E2475" s="393">
        <v>400014315</v>
      </c>
      <c r="F2475" s="392" t="s">
        <v>6888</v>
      </c>
      <c r="G2475" s="392" t="s">
        <v>5325</v>
      </c>
      <c r="H2475" s="392" t="s">
        <v>5314</v>
      </c>
      <c r="I2475" s="392" t="s">
        <v>6008</v>
      </c>
      <c r="J2475" s="392" t="s">
        <v>8271</v>
      </c>
      <c r="K2475" s="392" t="s">
        <v>4131</v>
      </c>
      <c r="L2475" s="392" t="s">
        <v>2845</v>
      </c>
      <c r="M2475" s="392" t="s">
        <v>7273</v>
      </c>
      <c r="N2475" s="392" t="s">
        <v>7273</v>
      </c>
      <c r="O2475" s="392" t="s">
        <v>7273</v>
      </c>
      <c r="P2475"/>
      <c r="Q2475"/>
      <c r="R2475" s="387">
        <f>VLOOKUP(E2475,'[1]NDB Impacted SPRFs 05032013'!$A$2:$A$65536,1,FALSE)</f>
        <v>400014315</v>
      </c>
    </row>
    <row r="2476" spans="1:21" ht="45" x14ac:dyDescent="0.25">
      <c r="A2476" s="63">
        <f>MATCH($E2476,'D1 - Master Project Table'!$B$24:$B$7056,0)</f>
        <v>2184</v>
      </c>
      <c r="B2476" s="63" t="b">
        <f t="shared" si="114"/>
        <v>0</v>
      </c>
      <c r="C2476" s="63" t="b">
        <f t="shared" si="115"/>
        <v>1</v>
      </c>
      <c r="D2476" s="63" t="str">
        <f t="shared" si="116"/>
        <v>OK</v>
      </c>
      <c r="E2476" s="393">
        <v>400014532</v>
      </c>
      <c r="F2476" s="392" t="s">
        <v>6395</v>
      </c>
      <c r="G2476" s="392" t="s">
        <v>5324</v>
      </c>
      <c r="H2476" s="392" t="s">
        <v>5314</v>
      </c>
      <c r="I2476" s="392" t="s">
        <v>1759</v>
      </c>
      <c r="J2476" s="392" t="s">
        <v>8388</v>
      </c>
      <c r="K2476" s="392" t="s">
        <v>8075</v>
      </c>
      <c r="L2476" s="392" t="s">
        <v>2845</v>
      </c>
      <c r="M2476" s="392" t="s">
        <v>7273</v>
      </c>
      <c r="N2476" s="392" t="s">
        <v>7273</v>
      </c>
      <c r="O2476" s="392" t="s">
        <v>7273</v>
      </c>
      <c r="P2476"/>
      <c r="Q2476"/>
      <c r="R2476" s="387">
        <f>VLOOKUP(E2476,'[1]NDB Impacted SPRFs 05032013'!$A$2:$A$65536,1,FALSE)</f>
        <v>400014532</v>
      </c>
    </row>
    <row r="2477" spans="1:21" ht="45" x14ac:dyDescent="0.25">
      <c r="A2477" s="63">
        <f>MATCH($E2477,'D1 - Master Project Table'!$B$24:$B$7056,0)</f>
        <v>626</v>
      </c>
      <c r="B2477" s="63" t="b">
        <f t="shared" si="114"/>
        <v>0</v>
      </c>
      <c r="C2477" s="63" t="b">
        <f t="shared" si="115"/>
        <v>1</v>
      </c>
      <c r="D2477" s="63" t="str">
        <f t="shared" si="116"/>
        <v>OK</v>
      </c>
      <c r="E2477" s="393">
        <v>400014534</v>
      </c>
      <c r="F2477" s="392" t="s">
        <v>6451</v>
      </c>
      <c r="G2477" s="392" t="s">
        <v>5324</v>
      </c>
      <c r="H2477" s="392" t="s">
        <v>7418</v>
      </c>
      <c r="I2477" s="392" t="s">
        <v>1764</v>
      </c>
      <c r="J2477" s="392" t="s">
        <v>8519</v>
      </c>
      <c r="K2477" s="392" t="s">
        <v>3887</v>
      </c>
      <c r="L2477" s="392" t="s">
        <v>2845</v>
      </c>
      <c r="M2477" s="392" t="s">
        <v>7273</v>
      </c>
      <c r="N2477" s="392" t="s">
        <v>7273</v>
      </c>
      <c r="O2477" s="392" t="s">
        <v>7273</v>
      </c>
      <c r="P2477"/>
      <c r="Q2477"/>
      <c r="R2477" s="387">
        <f>VLOOKUP(E2477,'[1]NDB Impacted SPRFs 05032013'!$A$2:$A$65536,1,FALSE)</f>
        <v>400014534</v>
      </c>
      <c r="S2477" s="159"/>
      <c r="T2477" s="159"/>
      <c r="U2477" s="159"/>
    </row>
    <row r="2478" spans="1:21" ht="45" x14ac:dyDescent="0.25">
      <c r="A2478" s="63">
        <f>MATCH($E2478,'D1 - Master Project Table'!$B$24:$B$7056,0)</f>
        <v>2637</v>
      </c>
      <c r="B2478" s="63" t="b">
        <f t="shared" si="114"/>
        <v>0</v>
      </c>
      <c r="C2478" s="63" t="b">
        <f t="shared" si="115"/>
        <v>1</v>
      </c>
      <c r="D2478" s="63" t="str">
        <f t="shared" si="116"/>
        <v>OK</v>
      </c>
      <c r="E2478" s="393">
        <v>400014674</v>
      </c>
      <c r="F2478" s="392" t="s">
        <v>2783</v>
      </c>
      <c r="G2478" s="392" t="s">
        <v>5324</v>
      </c>
      <c r="H2478" s="392" t="s">
        <v>5314</v>
      </c>
      <c r="I2478" s="392" t="s">
        <v>1765</v>
      </c>
      <c r="J2478" s="392" t="s">
        <v>8398</v>
      </c>
      <c r="K2478" s="392" t="s">
        <v>5828</v>
      </c>
      <c r="L2478" s="392" t="s">
        <v>2845</v>
      </c>
      <c r="M2478" s="392" t="s">
        <v>7273</v>
      </c>
      <c r="N2478" s="392" t="s">
        <v>7273</v>
      </c>
      <c r="O2478" s="392" t="s">
        <v>7273</v>
      </c>
      <c r="R2478" s="387">
        <f>VLOOKUP(E2478,'[1]NDB Impacted SPRFs 05032013'!$A$2:$A$65536,1,FALSE)</f>
        <v>400014674</v>
      </c>
    </row>
    <row r="2479" spans="1:21" ht="45" x14ac:dyDescent="0.25">
      <c r="A2479" s="63" t="e">
        <f>MATCH($E2479,'D1 - Master Project Table'!$B$24:$B$7056,0)</f>
        <v>#N/A</v>
      </c>
      <c r="B2479" s="63" t="b">
        <f t="shared" si="114"/>
        <v>1</v>
      </c>
      <c r="C2479" s="63" t="b">
        <f t="shared" si="115"/>
        <v>1</v>
      </c>
      <c r="D2479" s="63" t="str">
        <f t="shared" si="116"/>
        <v>OK</v>
      </c>
      <c r="E2479" s="393">
        <v>400014712</v>
      </c>
      <c r="F2479" s="392" t="s">
        <v>4469</v>
      </c>
      <c r="G2479" s="392" t="s">
        <v>5324</v>
      </c>
      <c r="H2479" s="392" t="s">
        <v>5314</v>
      </c>
      <c r="I2479" s="392" t="s">
        <v>1756</v>
      </c>
      <c r="J2479" s="392" t="s">
        <v>8396</v>
      </c>
      <c r="K2479" s="392" t="s">
        <v>7197</v>
      </c>
      <c r="L2479" s="392" t="s">
        <v>2845</v>
      </c>
      <c r="M2479" s="392" t="s">
        <v>7273</v>
      </c>
      <c r="N2479" s="392" t="s">
        <v>7273</v>
      </c>
      <c r="O2479" s="392" t="s">
        <v>7273</v>
      </c>
      <c r="P2479"/>
      <c r="Q2479"/>
      <c r="R2479" s="387">
        <f>VLOOKUP(E2479,'[1]NDB Impacted SPRFs 05032013'!$A$2:$A$65536,1,FALSE)</f>
        <v>400014712</v>
      </c>
      <c r="S2479" s="159"/>
      <c r="T2479" s="159"/>
      <c r="U2479" s="159"/>
    </row>
    <row r="2480" spans="1:21" ht="45" x14ac:dyDescent="0.25">
      <c r="A2480" s="63">
        <f>MATCH($E2480,'D1 - Master Project Table'!$B$24:$B$7056,0)</f>
        <v>651</v>
      </c>
      <c r="B2480" s="63" t="b">
        <f t="shared" ref="B2480:B2543" si="117">ISERROR(A2480)</f>
        <v>0</v>
      </c>
      <c r="C2480" s="63" t="b">
        <f t="shared" si="115"/>
        <v>1</v>
      </c>
      <c r="D2480" s="63" t="str">
        <f t="shared" si="116"/>
        <v>OK</v>
      </c>
      <c r="E2480" s="393">
        <v>400014855</v>
      </c>
      <c r="F2480" s="392" t="s">
        <v>3325</v>
      </c>
      <c r="G2480" s="392" t="s">
        <v>5324</v>
      </c>
      <c r="H2480" s="392" t="s">
        <v>7418</v>
      </c>
      <c r="I2480" s="392" t="s">
        <v>1764</v>
      </c>
      <c r="J2480" s="392" t="s">
        <v>8388</v>
      </c>
      <c r="K2480" s="392" t="s">
        <v>8075</v>
      </c>
      <c r="L2480" s="392" t="s">
        <v>2845</v>
      </c>
      <c r="M2480" s="392" t="s">
        <v>7273</v>
      </c>
      <c r="N2480" s="392" t="s">
        <v>7273</v>
      </c>
      <c r="O2480" s="392" t="s">
        <v>7273</v>
      </c>
      <c r="P2480"/>
      <c r="Q2480"/>
      <c r="R2480" s="387">
        <f>VLOOKUP(E2480,'[1]NDB Impacted SPRFs 05032013'!$A$2:$A$65536,1,FALSE)</f>
        <v>400014855</v>
      </c>
      <c r="S2480" s="159"/>
      <c r="T2480" s="159"/>
      <c r="U2480" s="159"/>
    </row>
    <row r="2481" spans="1:21" ht="30" x14ac:dyDescent="0.25">
      <c r="A2481" s="63">
        <f>MATCH($E2481,'D1 - Master Project Table'!$B$24:$B$7056,0)</f>
        <v>628</v>
      </c>
      <c r="B2481" s="63" t="b">
        <f t="shared" si="117"/>
        <v>0</v>
      </c>
      <c r="C2481" s="63" t="b">
        <f t="shared" si="115"/>
        <v>1</v>
      </c>
      <c r="D2481" s="63" t="str">
        <f t="shared" si="116"/>
        <v>OK</v>
      </c>
      <c r="E2481" s="393">
        <v>400014896</v>
      </c>
      <c r="F2481" s="392" t="s">
        <v>1064</v>
      </c>
      <c r="G2481" s="392" t="s">
        <v>6322</v>
      </c>
      <c r="H2481" s="392" t="s">
        <v>7418</v>
      </c>
      <c r="I2481" s="392" t="s">
        <v>7594</v>
      </c>
      <c r="J2481" s="392" t="s">
        <v>8388</v>
      </c>
      <c r="K2481" s="392" t="s">
        <v>8075</v>
      </c>
      <c r="L2481" s="392" t="s">
        <v>2845</v>
      </c>
      <c r="M2481" s="392" t="s">
        <v>7273</v>
      </c>
      <c r="N2481" s="392" t="s">
        <v>7273</v>
      </c>
      <c r="O2481" s="392" t="s">
        <v>7273</v>
      </c>
      <c r="P2481"/>
      <c r="Q2481"/>
      <c r="R2481" s="387">
        <f>VLOOKUP(E2481,'[1]NDB Impacted SPRFs 05032013'!$A$2:$A$65536,1,FALSE)</f>
        <v>400014896</v>
      </c>
    </row>
    <row r="2482" spans="1:21" ht="30" x14ac:dyDescent="0.25">
      <c r="A2482" s="63">
        <f>MATCH($E2482,'D1 - Master Project Table'!$B$24:$B$7056,0)</f>
        <v>2643</v>
      </c>
      <c r="B2482" s="63" t="b">
        <f t="shared" si="117"/>
        <v>0</v>
      </c>
      <c r="C2482" s="63" t="b">
        <f t="shared" si="115"/>
        <v>1</v>
      </c>
      <c r="D2482" s="63" t="str">
        <f t="shared" si="116"/>
        <v>OK</v>
      </c>
      <c r="E2482" s="393">
        <v>400014900</v>
      </c>
      <c r="F2482" s="392" t="s">
        <v>7990</v>
      </c>
      <c r="G2482" s="392" t="s">
        <v>6322</v>
      </c>
      <c r="H2482" s="392" t="s">
        <v>5314</v>
      </c>
      <c r="I2482" s="392" t="s">
        <v>7594</v>
      </c>
      <c r="J2482" s="392" t="s">
        <v>8388</v>
      </c>
      <c r="K2482" s="392" t="s">
        <v>8075</v>
      </c>
      <c r="L2482" s="392" t="s">
        <v>2845</v>
      </c>
      <c r="M2482" s="392" t="s">
        <v>7273</v>
      </c>
      <c r="N2482" s="392" t="s">
        <v>7273</v>
      </c>
      <c r="O2482" s="392" t="s">
        <v>7273</v>
      </c>
      <c r="P2482"/>
      <c r="Q2482"/>
      <c r="R2482" s="387">
        <f>VLOOKUP(E2482,'[1]NDB Impacted SPRFs 05032013'!$A$2:$A$65536,1,FALSE)</f>
        <v>400014900</v>
      </c>
      <c r="S2482" s="159"/>
      <c r="T2482" s="159"/>
      <c r="U2482" s="159"/>
    </row>
    <row r="2483" spans="1:21" ht="45" x14ac:dyDescent="0.25">
      <c r="A2483" s="63">
        <f>MATCH($E2483,'D1 - Master Project Table'!$B$24:$B$7056,0)</f>
        <v>596</v>
      </c>
      <c r="B2483" s="63" t="b">
        <f t="shared" si="117"/>
        <v>0</v>
      </c>
      <c r="C2483" s="63" t="b">
        <f t="shared" si="115"/>
        <v>1</v>
      </c>
      <c r="D2483" s="63" t="str">
        <f t="shared" si="116"/>
        <v>OK</v>
      </c>
      <c r="E2483" s="393">
        <v>400014939</v>
      </c>
      <c r="F2483" s="392" t="s">
        <v>7117</v>
      </c>
      <c r="G2483" s="392" t="s">
        <v>5995</v>
      </c>
      <c r="H2483" s="392" t="s">
        <v>7418</v>
      </c>
      <c r="I2483" s="392" t="s">
        <v>4527</v>
      </c>
      <c r="J2483" s="392" t="s">
        <v>8812</v>
      </c>
      <c r="K2483" s="392" t="s">
        <v>4221</v>
      </c>
      <c r="L2483" s="392" t="s">
        <v>2845</v>
      </c>
      <c r="M2483" s="392" t="s">
        <v>7273</v>
      </c>
      <c r="N2483" s="392" t="s">
        <v>7273</v>
      </c>
      <c r="O2483" s="392" t="s">
        <v>7273</v>
      </c>
      <c r="P2483"/>
      <c r="Q2483"/>
      <c r="R2483" s="387">
        <f>VLOOKUP(E2483,'[1]NDB Impacted SPRFs 05032013'!$A$2:$A$65536,1,FALSE)</f>
        <v>400014939</v>
      </c>
    </row>
    <row r="2484" spans="1:21" ht="45" x14ac:dyDescent="0.25">
      <c r="A2484" s="63">
        <f>MATCH($E2484,'D1 - Master Project Table'!$B$24:$B$7056,0)</f>
        <v>2644</v>
      </c>
      <c r="B2484" s="63" t="b">
        <f t="shared" si="117"/>
        <v>0</v>
      </c>
      <c r="C2484" s="63" t="b">
        <f t="shared" si="115"/>
        <v>1</v>
      </c>
      <c r="D2484" s="63" t="str">
        <f t="shared" si="116"/>
        <v>OK</v>
      </c>
      <c r="E2484" s="393">
        <v>400014997</v>
      </c>
      <c r="F2484" s="392" t="s">
        <v>5556</v>
      </c>
      <c r="G2484" s="392" t="s">
        <v>3441</v>
      </c>
      <c r="H2484" s="392" t="s">
        <v>5314</v>
      </c>
      <c r="I2484" s="392" t="s">
        <v>2662</v>
      </c>
      <c r="J2484" s="392" t="s">
        <v>8388</v>
      </c>
      <c r="K2484" s="392" t="s">
        <v>8075</v>
      </c>
      <c r="L2484" s="392" t="s">
        <v>2845</v>
      </c>
      <c r="M2484" s="392" t="s">
        <v>7273</v>
      </c>
      <c r="N2484" s="392" t="s">
        <v>7273</v>
      </c>
      <c r="O2484" s="392" t="s">
        <v>7273</v>
      </c>
      <c r="P2484"/>
      <c r="Q2484"/>
      <c r="R2484" s="387">
        <f>VLOOKUP(E2484,'[1]NDB Impacted SPRFs 05032013'!$A$2:$A$65536,1,FALSE)</f>
        <v>400014997</v>
      </c>
      <c r="S2484" s="159"/>
      <c r="T2484" s="159"/>
      <c r="U2484" s="159"/>
    </row>
    <row r="2485" spans="1:21" ht="45" x14ac:dyDescent="0.25">
      <c r="A2485" s="63">
        <f>MATCH($E2485,'D1 - Master Project Table'!$B$24:$B$7056,0)</f>
        <v>629</v>
      </c>
      <c r="B2485" s="63" t="b">
        <f t="shared" si="117"/>
        <v>0</v>
      </c>
      <c r="C2485" s="63" t="b">
        <f t="shared" si="115"/>
        <v>1</v>
      </c>
      <c r="D2485" s="63" t="str">
        <f t="shared" si="116"/>
        <v>OK</v>
      </c>
      <c r="E2485" s="393">
        <v>400015085</v>
      </c>
      <c r="F2485" s="392" t="s">
        <v>5016</v>
      </c>
      <c r="G2485" s="392" t="s">
        <v>5324</v>
      </c>
      <c r="H2485" s="392" t="s">
        <v>7418</v>
      </c>
      <c r="I2485" s="392" t="s">
        <v>1756</v>
      </c>
      <c r="J2485" s="392" t="s">
        <v>8388</v>
      </c>
      <c r="K2485" s="392" t="s">
        <v>5017</v>
      </c>
      <c r="L2485" s="392" t="s">
        <v>2845</v>
      </c>
      <c r="M2485" s="392" t="s">
        <v>7273</v>
      </c>
      <c r="N2485" s="392" t="s">
        <v>7273</v>
      </c>
      <c r="O2485" s="392" t="s">
        <v>7273</v>
      </c>
      <c r="P2485"/>
      <c r="Q2485"/>
      <c r="R2485" s="387">
        <f>VLOOKUP(E2485,'[1]NDB Impacted SPRFs 05032013'!$A$2:$A$65536,1,FALSE)</f>
        <v>400015085</v>
      </c>
      <c r="S2485" s="159"/>
      <c r="T2485" s="159"/>
      <c r="U2485" s="159"/>
    </row>
    <row r="2486" spans="1:21" ht="45" x14ac:dyDescent="0.25">
      <c r="A2486" s="63">
        <f>MATCH($E2486,'D1 - Master Project Table'!$B$24:$B$7056,0)</f>
        <v>698</v>
      </c>
      <c r="B2486" s="63" t="b">
        <f t="shared" si="117"/>
        <v>0</v>
      </c>
      <c r="C2486" s="63" t="b">
        <f t="shared" si="115"/>
        <v>1</v>
      </c>
      <c r="D2486" s="63" t="str">
        <f t="shared" si="116"/>
        <v>OK</v>
      </c>
      <c r="E2486" s="393">
        <v>400015126</v>
      </c>
      <c r="F2486" s="392" t="s">
        <v>2929</v>
      </c>
      <c r="G2486" s="392" t="s">
        <v>5324</v>
      </c>
      <c r="H2486" s="392" t="s">
        <v>7418</v>
      </c>
      <c r="I2486" s="392" t="s">
        <v>1764</v>
      </c>
      <c r="J2486" s="392" t="s">
        <v>5168</v>
      </c>
      <c r="K2486" s="392" t="s">
        <v>2874</v>
      </c>
      <c r="L2486" s="392" t="s">
        <v>2845</v>
      </c>
      <c r="M2486" s="392" t="s">
        <v>7273</v>
      </c>
      <c r="N2486" s="392" t="s">
        <v>7273</v>
      </c>
      <c r="O2486" s="392" t="s">
        <v>7273</v>
      </c>
      <c r="P2486"/>
      <c r="Q2486"/>
      <c r="R2486" s="387">
        <f>VLOOKUP(E2486,'[1]NDB Impacted SPRFs 05032013'!$A$2:$A$65536,1,FALSE)</f>
        <v>400015126</v>
      </c>
      <c r="S2486" s="159"/>
      <c r="T2486" s="159"/>
      <c r="U2486" s="159"/>
    </row>
    <row r="2487" spans="1:21" ht="45" x14ac:dyDescent="0.25">
      <c r="A2487" s="63">
        <f>MATCH($E2487,'D1 - Master Project Table'!$B$24:$B$7056,0)</f>
        <v>684</v>
      </c>
      <c r="B2487" s="63" t="b">
        <f t="shared" si="117"/>
        <v>0</v>
      </c>
      <c r="C2487" s="63" t="b">
        <f t="shared" si="115"/>
        <v>1</v>
      </c>
      <c r="D2487" s="63" t="str">
        <f t="shared" si="116"/>
        <v>OK</v>
      </c>
      <c r="E2487" s="393">
        <v>400015462</v>
      </c>
      <c r="F2487" s="392" t="s">
        <v>4379</v>
      </c>
      <c r="G2487" s="392" t="s">
        <v>3441</v>
      </c>
      <c r="H2487" s="392" t="s">
        <v>7418</v>
      </c>
      <c r="I2487" s="392" t="s">
        <v>1769</v>
      </c>
      <c r="J2487" s="392" t="s">
        <v>8714</v>
      </c>
      <c r="K2487" s="392" t="s">
        <v>5541</v>
      </c>
      <c r="L2487" s="392" t="s">
        <v>2845</v>
      </c>
      <c r="M2487" s="392" t="s">
        <v>7273</v>
      </c>
      <c r="N2487" s="392" t="s">
        <v>7273</v>
      </c>
      <c r="O2487" s="392" t="s">
        <v>7273</v>
      </c>
      <c r="P2487" s="198" t="s">
        <v>6416</v>
      </c>
      <c r="R2487" s="387">
        <f>VLOOKUP(E2487,'[1]NDB Impacted SPRFs 05032013'!$A$2:$A$65536,1,FALSE)</f>
        <v>400015462</v>
      </c>
    </row>
    <row r="2488" spans="1:21" ht="45" x14ac:dyDescent="0.25">
      <c r="A2488" s="63" t="e">
        <f>MATCH($E2488,'D1 - Master Project Table'!$B$24:$B$7056,0)</f>
        <v>#N/A</v>
      </c>
      <c r="B2488" s="63" t="b">
        <f t="shared" si="117"/>
        <v>1</v>
      </c>
      <c r="C2488" s="63" t="b">
        <f t="shared" si="115"/>
        <v>1</v>
      </c>
      <c r="D2488" s="63" t="str">
        <f t="shared" si="116"/>
        <v>OK</v>
      </c>
      <c r="E2488" s="393">
        <v>400015483</v>
      </c>
      <c r="F2488" s="392" t="s">
        <v>3961</v>
      </c>
      <c r="G2488" s="392" t="s">
        <v>5324</v>
      </c>
      <c r="H2488" s="392" t="s">
        <v>5314</v>
      </c>
      <c r="I2488" s="392" t="s">
        <v>1759</v>
      </c>
      <c r="J2488" s="392" t="s">
        <v>8542</v>
      </c>
      <c r="K2488" s="392" t="s">
        <v>1976</v>
      </c>
      <c r="L2488" s="392" t="s">
        <v>2845</v>
      </c>
      <c r="M2488" s="392" t="s">
        <v>7273</v>
      </c>
      <c r="N2488" s="392" t="s">
        <v>7273</v>
      </c>
      <c r="O2488" s="392" t="s">
        <v>7273</v>
      </c>
      <c r="P2488"/>
      <c r="Q2488"/>
      <c r="R2488" s="387">
        <f>VLOOKUP(E2488,'[1]NDB Impacted SPRFs 05032013'!$A$2:$A$65536,1,FALSE)</f>
        <v>400015483</v>
      </c>
      <c r="S2488" s="159"/>
      <c r="T2488" s="159"/>
      <c r="U2488" s="159"/>
    </row>
    <row r="2489" spans="1:21" ht="45" x14ac:dyDescent="0.25">
      <c r="A2489" s="63">
        <f>MATCH($E2489,'D1 - Master Project Table'!$B$24:$B$7056,0)</f>
        <v>685</v>
      </c>
      <c r="B2489" s="63" t="b">
        <f t="shared" si="117"/>
        <v>0</v>
      </c>
      <c r="C2489" s="63" t="b">
        <f t="shared" si="115"/>
        <v>1</v>
      </c>
      <c r="D2489" s="63" t="str">
        <f t="shared" si="116"/>
        <v>OK</v>
      </c>
      <c r="E2489" s="393">
        <v>400015484</v>
      </c>
      <c r="F2489" s="392" t="s">
        <v>5148</v>
      </c>
      <c r="G2489" s="392" t="s">
        <v>5324</v>
      </c>
      <c r="H2489" s="392" t="s">
        <v>7418</v>
      </c>
      <c r="I2489" s="392" t="s">
        <v>1759</v>
      </c>
      <c r="J2489" s="392" t="s">
        <v>8542</v>
      </c>
      <c r="K2489" s="392" t="s">
        <v>1976</v>
      </c>
      <c r="L2489" s="392" t="s">
        <v>2845</v>
      </c>
      <c r="M2489" s="392" t="s">
        <v>7273</v>
      </c>
      <c r="N2489" s="392" t="s">
        <v>7273</v>
      </c>
      <c r="O2489" s="392" t="s">
        <v>7273</v>
      </c>
      <c r="P2489"/>
      <c r="Q2489"/>
      <c r="R2489" s="387">
        <f>VLOOKUP(E2489,'[1]NDB Impacted SPRFs 05032013'!$A$2:$A$65536,1,FALSE)</f>
        <v>400015484</v>
      </c>
    </row>
    <row r="2490" spans="1:21" ht="45" x14ac:dyDescent="0.25">
      <c r="A2490" s="63" t="e">
        <f>MATCH($E2490,'D1 - Master Project Table'!$B$24:$B$7056,0)</f>
        <v>#N/A</v>
      </c>
      <c r="B2490" s="63" t="b">
        <f t="shared" si="117"/>
        <v>1</v>
      </c>
      <c r="C2490" s="63" t="b">
        <f t="shared" si="115"/>
        <v>1</v>
      </c>
      <c r="D2490" s="63" t="str">
        <f t="shared" si="116"/>
        <v>OK</v>
      </c>
      <c r="E2490" s="393">
        <v>400015615</v>
      </c>
      <c r="F2490" s="392" t="s">
        <v>5564</v>
      </c>
      <c r="G2490" s="392" t="s">
        <v>5324</v>
      </c>
      <c r="H2490" s="392" t="s">
        <v>5314</v>
      </c>
      <c r="I2490" s="392" t="s">
        <v>1756</v>
      </c>
      <c r="J2490" s="392" t="s">
        <v>8374</v>
      </c>
      <c r="K2490" s="392" t="s">
        <v>6371</v>
      </c>
      <c r="L2490" s="392" t="s">
        <v>2845</v>
      </c>
      <c r="M2490" s="392" t="s">
        <v>7273</v>
      </c>
      <c r="N2490" s="392" t="s">
        <v>7273</v>
      </c>
      <c r="O2490" s="392" t="s">
        <v>7273</v>
      </c>
      <c r="P2490"/>
      <c r="Q2490"/>
      <c r="R2490" s="387">
        <f>VLOOKUP(E2490,'[1]NDB Impacted SPRFs 05032013'!$A$2:$A$65536,1,FALSE)</f>
        <v>400015615</v>
      </c>
      <c r="S2490" s="159"/>
      <c r="T2490" s="159"/>
      <c r="U2490" s="159"/>
    </row>
    <row r="2491" spans="1:21" ht="45" x14ac:dyDescent="0.25">
      <c r="A2491" s="63">
        <f>MATCH($E2491,'D1 - Master Project Table'!$B$24:$B$7056,0)</f>
        <v>913</v>
      </c>
      <c r="B2491" s="63" t="b">
        <f t="shared" si="117"/>
        <v>0</v>
      </c>
      <c r="C2491" s="63" t="b">
        <f t="shared" si="115"/>
        <v>1</v>
      </c>
      <c r="D2491" s="63" t="str">
        <f t="shared" si="116"/>
        <v>OK</v>
      </c>
      <c r="E2491" s="393">
        <v>400016058</v>
      </c>
      <c r="F2491" s="392" t="s">
        <v>7917</v>
      </c>
      <c r="G2491" s="392" t="s">
        <v>5324</v>
      </c>
      <c r="H2491" s="392" t="s">
        <v>7418</v>
      </c>
      <c r="I2491" s="392" t="s">
        <v>1759</v>
      </c>
      <c r="J2491" s="392" t="s">
        <v>8388</v>
      </c>
      <c r="K2491" s="392" t="s">
        <v>8075</v>
      </c>
      <c r="L2491" s="392" t="s">
        <v>2845</v>
      </c>
      <c r="M2491" s="392" t="s">
        <v>7273</v>
      </c>
      <c r="N2491" s="392" t="s">
        <v>7273</v>
      </c>
      <c r="O2491" s="392" t="s">
        <v>7273</v>
      </c>
      <c r="P2491"/>
      <c r="Q2491"/>
      <c r="R2491" s="387">
        <f>VLOOKUP(E2491,'[1]NDB Impacted SPRFs 05032013'!$A$2:$A$65536,1,FALSE)</f>
        <v>400016058</v>
      </c>
      <c r="S2491" s="159"/>
      <c r="T2491" s="159"/>
      <c r="U2491" s="159"/>
    </row>
    <row r="2492" spans="1:21" ht="45" x14ac:dyDescent="0.25">
      <c r="A2492" s="63">
        <f>MATCH($E2492,'D1 - Master Project Table'!$B$24:$B$7056,0)</f>
        <v>279</v>
      </c>
      <c r="B2492" s="63" t="b">
        <f t="shared" si="117"/>
        <v>0</v>
      </c>
      <c r="C2492" s="63" t="b">
        <f t="shared" si="115"/>
        <v>1</v>
      </c>
      <c r="D2492" s="63" t="str">
        <f t="shared" si="116"/>
        <v>OK</v>
      </c>
      <c r="E2492" s="393">
        <v>400016092</v>
      </c>
      <c r="F2492" s="392" t="s">
        <v>4959</v>
      </c>
      <c r="G2492" s="392" t="s">
        <v>5324</v>
      </c>
      <c r="H2492" s="392" t="s">
        <v>7418</v>
      </c>
      <c r="I2492" s="392" t="s">
        <v>1764</v>
      </c>
      <c r="J2492" s="392" t="s">
        <v>4960</v>
      </c>
      <c r="K2492" s="392" t="s">
        <v>8075</v>
      </c>
      <c r="L2492" s="392" t="s">
        <v>2845</v>
      </c>
      <c r="M2492" s="392" t="s">
        <v>7273</v>
      </c>
      <c r="N2492" s="392" t="s">
        <v>7273</v>
      </c>
      <c r="O2492" s="392" t="s">
        <v>7273</v>
      </c>
      <c r="P2492"/>
      <c r="Q2492"/>
      <c r="R2492" s="387">
        <f>VLOOKUP(E2492,'[1]NDB Impacted SPRFs 05032013'!$A$2:$A$65536,1,FALSE)</f>
        <v>400016092</v>
      </c>
      <c r="S2492" s="159"/>
      <c r="T2492" s="159"/>
      <c r="U2492" s="159"/>
    </row>
    <row r="2493" spans="1:21" ht="30" x14ac:dyDescent="0.25">
      <c r="A2493" s="63">
        <f>MATCH($E2493,'D1 - Master Project Table'!$B$24:$B$7056,0)</f>
        <v>630</v>
      </c>
      <c r="B2493" s="63" t="b">
        <f t="shared" si="117"/>
        <v>0</v>
      </c>
      <c r="C2493" s="63" t="b">
        <f t="shared" si="115"/>
        <v>1</v>
      </c>
      <c r="D2493" s="63" t="str">
        <f t="shared" si="116"/>
        <v>OK</v>
      </c>
      <c r="E2493" s="393">
        <v>400016098</v>
      </c>
      <c r="F2493" s="392" t="s">
        <v>7833</v>
      </c>
      <c r="G2493" s="392" t="s">
        <v>5787</v>
      </c>
      <c r="H2493" s="392" t="s">
        <v>7418</v>
      </c>
      <c r="I2493" s="392" t="s">
        <v>1772</v>
      </c>
      <c r="J2493" s="392" t="s">
        <v>3904</v>
      </c>
      <c r="K2493" s="392" t="s">
        <v>3905</v>
      </c>
      <c r="L2493" s="392" t="s">
        <v>2845</v>
      </c>
      <c r="M2493" s="392" t="s">
        <v>7273</v>
      </c>
      <c r="N2493" s="392" t="s">
        <v>7273</v>
      </c>
      <c r="O2493" s="392" t="s">
        <v>7273</v>
      </c>
      <c r="P2493"/>
      <c r="Q2493"/>
      <c r="R2493" s="387">
        <f>VLOOKUP(E2493,'[1]NDB Impacted SPRFs 05032013'!$A$2:$A$65536,1,FALSE)</f>
        <v>400016098</v>
      </c>
      <c r="S2493" s="159"/>
      <c r="T2493" s="159"/>
      <c r="U2493" s="159"/>
    </row>
    <row r="2494" spans="1:21" ht="30" x14ac:dyDescent="0.25">
      <c r="A2494" s="63">
        <f>MATCH($E2494,'D1 - Master Project Table'!$B$24:$B$7056,0)</f>
        <v>728</v>
      </c>
      <c r="B2494" s="63" t="b">
        <f t="shared" si="117"/>
        <v>0</v>
      </c>
      <c r="C2494" s="63" t="b">
        <f t="shared" si="115"/>
        <v>1</v>
      </c>
      <c r="D2494" s="63" t="str">
        <f t="shared" si="116"/>
        <v>OK</v>
      </c>
      <c r="E2494" s="393">
        <v>400016157</v>
      </c>
      <c r="F2494" s="392" t="s">
        <v>7832</v>
      </c>
      <c r="G2494" s="392" t="s">
        <v>5787</v>
      </c>
      <c r="H2494" s="392" t="s">
        <v>7418</v>
      </c>
      <c r="I2494" s="392" t="s">
        <v>1774</v>
      </c>
      <c r="J2494" s="392" t="s">
        <v>8735</v>
      </c>
      <c r="K2494" s="392" t="s">
        <v>4169</v>
      </c>
      <c r="L2494" s="392" t="s">
        <v>2845</v>
      </c>
      <c r="M2494" s="392" t="s">
        <v>7273</v>
      </c>
      <c r="N2494" s="392" t="s">
        <v>7273</v>
      </c>
      <c r="O2494" s="392" t="s">
        <v>7273</v>
      </c>
      <c r="P2494"/>
      <c r="Q2494"/>
      <c r="R2494" s="387">
        <f>VLOOKUP(E2494,'[1]NDB Impacted SPRFs 05032013'!$A$2:$A$65536,1,FALSE)</f>
        <v>400016157</v>
      </c>
      <c r="S2494" s="159"/>
      <c r="T2494" s="159"/>
      <c r="U2494" s="159"/>
    </row>
    <row r="2495" spans="1:21" ht="45" x14ac:dyDescent="0.25">
      <c r="A2495" s="63">
        <f>MATCH($E2495,'D1 - Master Project Table'!$B$24:$B$7056,0)</f>
        <v>914</v>
      </c>
      <c r="B2495" s="63" t="b">
        <f t="shared" si="117"/>
        <v>0</v>
      </c>
      <c r="C2495" s="63" t="b">
        <f t="shared" si="115"/>
        <v>1</v>
      </c>
      <c r="D2495" s="63" t="str">
        <f t="shared" si="116"/>
        <v>OK</v>
      </c>
      <c r="E2495" s="393">
        <v>400016210</v>
      </c>
      <c r="F2495" s="392" t="s">
        <v>5960</v>
      </c>
      <c r="G2495" s="392" t="s">
        <v>5324</v>
      </c>
      <c r="H2495" s="392" t="s">
        <v>7418</v>
      </c>
      <c r="I2495" s="392" t="s">
        <v>1762</v>
      </c>
      <c r="J2495" s="392" t="s">
        <v>8405</v>
      </c>
      <c r="K2495" s="392" t="s">
        <v>8075</v>
      </c>
      <c r="L2495" s="392" t="s">
        <v>2845</v>
      </c>
      <c r="M2495" s="392" t="s">
        <v>7273</v>
      </c>
      <c r="N2495" s="392" t="s">
        <v>7273</v>
      </c>
      <c r="O2495" s="392" t="s">
        <v>7273</v>
      </c>
      <c r="R2495" s="387">
        <f>VLOOKUP(E2495,'[1]NDB Impacted SPRFs 05032013'!$A$2:$A$65536,1,FALSE)</f>
        <v>400016210</v>
      </c>
    </row>
    <row r="2496" spans="1:21" ht="45" x14ac:dyDescent="0.25">
      <c r="A2496" s="63">
        <f>MATCH($E2496,'D1 - Master Project Table'!$B$24:$B$7056,0)</f>
        <v>729</v>
      </c>
      <c r="B2496" s="63" t="b">
        <f t="shared" si="117"/>
        <v>0</v>
      </c>
      <c r="C2496" s="63" t="b">
        <f t="shared" si="115"/>
        <v>1</v>
      </c>
      <c r="D2496" s="63" t="str">
        <f t="shared" si="116"/>
        <v>OK</v>
      </c>
      <c r="E2496" s="393">
        <v>400016267</v>
      </c>
      <c r="F2496" s="392" t="s">
        <v>3745</v>
      </c>
      <c r="G2496" s="392" t="s">
        <v>5324</v>
      </c>
      <c r="H2496" s="392" t="s">
        <v>7418</v>
      </c>
      <c r="I2496" s="392" t="s">
        <v>1759</v>
      </c>
      <c r="J2496" s="392" t="s">
        <v>8364</v>
      </c>
      <c r="K2496" s="392" t="s">
        <v>7046</v>
      </c>
      <c r="L2496" s="392" t="s">
        <v>2845</v>
      </c>
      <c r="M2496" s="392" t="s">
        <v>7273</v>
      </c>
      <c r="N2496" s="392" t="s">
        <v>7273</v>
      </c>
      <c r="O2496" s="392" t="s">
        <v>7273</v>
      </c>
      <c r="P2496"/>
      <c r="Q2496"/>
      <c r="R2496" s="387">
        <f>VLOOKUP(E2496,'[1]NDB Impacted SPRFs 05032013'!$A$2:$A$65536,1,FALSE)</f>
        <v>400016267</v>
      </c>
      <c r="S2496" s="159"/>
      <c r="T2496" s="159"/>
      <c r="U2496" s="159"/>
    </row>
    <row r="2497" spans="1:21" ht="30" x14ac:dyDescent="0.25">
      <c r="A2497" s="63">
        <f>MATCH($E2497,'D1 - Master Project Table'!$B$24:$B$7056,0)</f>
        <v>2668</v>
      </c>
      <c r="B2497" s="63" t="b">
        <f t="shared" si="117"/>
        <v>0</v>
      </c>
      <c r="C2497" s="63" t="b">
        <f t="shared" si="115"/>
        <v>1</v>
      </c>
      <c r="D2497" s="63" t="str">
        <f t="shared" si="116"/>
        <v>OK</v>
      </c>
      <c r="E2497" s="393">
        <v>400016272</v>
      </c>
      <c r="F2497" s="392" t="s">
        <v>2830</v>
      </c>
      <c r="G2497" s="392" t="s">
        <v>5995</v>
      </c>
      <c r="H2497" s="392" t="s">
        <v>5314</v>
      </c>
      <c r="I2497" s="392" t="s">
        <v>4527</v>
      </c>
      <c r="J2497" s="392" t="s">
        <v>8812</v>
      </c>
      <c r="K2497" s="392" t="s">
        <v>4114</v>
      </c>
      <c r="L2497" s="392" t="s">
        <v>2845</v>
      </c>
      <c r="M2497" s="392" t="s">
        <v>7273</v>
      </c>
      <c r="N2497" s="392" t="s">
        <v>7273</v>
      </c>
      <c r="O2497" s="392" t="s">
        <v>7273</v>
      </c>
      <c r="P2497"/>
      <c r="Q2497"/>
      <c r="R2497" s="387">
        <f>VLOOKUP(E2497,'[1]NDB Impacted SPRFs 05032013'!$A$2:$A$65536,1,FALSE)</f>
        <v>400016272</v>
      </c>
      <c r="S2497" s="159"/>
      <c r="T2497" s="159"/>
      <c r="U2497" s="159"/>
    </row>
    <row r="2498" spans="1:21" ht="45" x14ac:dyDescent="0.25">
      <c r="A2498" s="63">
        <f>MATCH($E2498,'D1 - Master Project Table'!$B$24:$B$7056,0)</f>
        <v>2671</v>
      </c>
      <c r="B2498" s="63" t="b">
        <f t="shared" si="117"/>
        <v>0</v>
      </c>
      <c r="C2498" s="63" t="b">
        <f t="shared" si="115"/>
        <v>1</v>
      </c>
      <c r="D2498" s="63" t="str">
        <f t="shared" si="116"/>
        <v>OK</v>
      </c>
      <c r="E2498" s="393">
        <v>400016453</v>
      </c>
      <c r="F2498" s="392" t="s">
        <v>6523</v>
      </c>
      <c r="G2498" s="392" t="s">
        <v>5324</v>
      </c>
      <c r="H2498" s="392" t="s">
        <v>5314</v>
      </c>
      <c r="I2498" s="392" t="s">
        <v>1764</v>
      </c>
      <c r="J2498" s="392" t="s">
        <v>8298</v>
      </c>
      <c r="K2498" s="392" t="s">
        <v>5756</v>
      </c>
      <c r="L2498" s="392" t="s">
        <v>2845</v>
      </c>
      <c r="M2498" s="392" t="s">
        <v>7273</v>
      </c>
      <c r="N2498" s="392" t="s">
        <v>7273</v>
      </c>
      <c r="O2498" s="392" t="s">
        <v>7273</v>
      </c>
      <c r="P2498"/>
      <c r="Q2498"/>
      <c r="R2498" s="387">
        <f>VLOOKUP(E2498,'[1]NDB Impacted SPRFs 05032013'!$A$2:$A$65536,1,FALSE)</f>
        <v>400016453</v>
      </c>
      <c r="S2498" s="159"/>
      <c r="T2498" s="159"/>
      <c r="U2498" s="159"/>
    </row>
    <row r="2499" spans="1:21" ht="45" x14ac:dyDescent="0.25">
      <c r="A2499" s="63">
        <f>MATCH($E2499,'D1 - Master Project Table'!$B$24:$B$7056,0)</f>
        <v>2675</v>
      </c>
      <c r="B2499" s="63" t="b">
        <f t="shared" si="117"/>
        <v>0</v>
      </c>
      <c r="C2499" s="63" t="b">
        <f t="shared" si="115"/>
        <v>1</v>
      </c>
      <c r="D2499" s="63" t="str">
        <f t="shared" si="116"/>
        <v>OK</v>
      </c>
      <c r="E2499" s="393">
        <v>400016698</v>
      </c>
      <c r="F2499" s="392" t="s">
        <v>6227</v>
      </c>
      <c r="G2499" s="392" t="s">
        <v>5324</v>
      </c>
      <c r="H2499" s="392" t="s">
        <v>5314</v>
      </c>
      <c r="I2499" s="392" t="s">
        <v>1762</v>
      </c>
      <c r="J2499" s="392" t="s">
        <v>8571</v>
      </c>
      <c r="K2499" s="392" t="s">
        <v>8075</v>
      </c>
      <c r="L2499" s="392" t="s">
        <v>2845</v>
      </c>
      <c r="M2499" s="392" t="s">
        <v>7273</v>
      </c>
      <c r="N2499" s="392" t="s">
        <v>7273</v>
      </c>
      <c r="O2499" s="392" t="s">
        <v>7273</v>
      </c>
      <c r="P2499"/>
      <c r="Q2499"/>
      <c r="R2499" s="387">
        <f>VLOOKUP(E2499,'[1]NDB Impacted SPRFs 05032013'!$A$2:$A$65536,1,FALSE)</f>
        <v>400016698</v>
      </c>
      <c r="S2499" s="159"/>
      <c r="T2499" s="159"/>
      <c r="U2499" s="159"/>
    </row>
    <row r="2500" spans="1:21" ht="15" x14ac:dyDescent="0.25">
      <c r="A2500" s="63">
        <f>MATCH($E2500,'D1 - Master Project Table'!$B$24:$B$7056,0)</f>
        <v>2676</v>
      </c>
      <c r="B2500" s="63" t="b">
        <f t="shared" si="117"/>
        <v>0</v>
      </c>
      <c r="C2500" s="63" t="b">
        <f t="shared" si="115"/>
        <v>1</v>
      </c>
      <c r="D2500" s="63" t="str">
        <f t="shared" si="116"/>
        <v>OK</v>
      </c>
      <c r="E2500" s="393">
        <v>400016727</v>
      </c>
      <c r="F2500" s="392" t="s">
        <v>2576</v>
      </c>
      <c r="G2500" s="392" t="s">
        <v>5787</v>
      </c>
      <c r="H2500" s="392" t="s">
        <v>5314</v>
      </c>
      <c r="I2500" s="392" t="s">
        <v>1779</v>
      </c>
      <c r="J2500" s="392" t="s">
        <v>8734</v>
      </c>
      <c r="K2500" s="392" t="s">
        <v>6018</v>
      </c>
      <c r="L2500" s="392" t="s">
        <v>2845</v>
      </c>
      <c r="M2500" s="392" t="s">
        <v>7273</v>
      </c>
      <c r="N2500" s="392" t="s">
        <v>7273</v>
      </c>
      <c r="O2500" s="392" t="s">
        <v>7273</v>
      </c>
      <c r="P2500"/>
      <c r="Q2500"/>
      <c r="R2500" s="387">
        <f>VLOOKUP(E2500,'[1]NDB Impacted SPRFs 05032013'!$A$2:$A$65536,1,FALSE)</f>
        <v>400016727</v>
      </c>
      <c r="S2500" s="159"/>
      <c r="T2500" s="159"/>
      <c r="U2500" s="159"/>
    </row>
    <row r="2501" spans="1:21" ht="45" x14ac:dyDescent="0.25">
      <c r="A2501" s="63">
        <f>MATCH($E2501,'D1 - Master Project Table'!$B$24:$B$7056,0)</f>
        <v>703</v>
      </c>
      <c r="B2501" s="63" t="b">
        <f t="shared" si="117"/>
        <v>0</v>
      </c>
      <c r="C2501" s="63" t="b">
        <f t="shared" si="115"/>
        <v>1</v>
      </c>
      <c r="D2501" s="63" t="str">
        <f t="shared" si="116"/>
        <v>OK</v>
      </c>
      <c r="E2501" s="393">
        <v>400016769</v>
      </c>
      <c r="F2501" s="392" t="s">
        <v>5437</v>
      </c>
      <c r="G2501" s="392" t="s">
        <v>5324</v>
      </c>
      <c r="H2501" s="392" t="s">
        <v>7418</v>
      </c>
      <c r="I2501" s="392" t="s">
        <v>1762</v>
      </c>
      <c r="J2501" s="392" t="s">
        <v>8490</v>
      </c>
      <c r="K2501" s="392" t="s">
        <v>6286</v>
      </c>
      <c r="L2501" s="392" t="s">
        <v>2845</v>
      </c>
      <c r="M2501" s="392" t="s">
        <v>7273</v>
      </c>
      <c r="N2501" s="392" t="s">
        <v>7273</v>
      </c>
      <c r="O2501" s="392" t="s">
        <v>7273</v>
      </c>
      <c r="P2501"/>
      <c r="Q2501"/>
      <c r="R2501" s="387">
        <f>VLOOKUP(E2501,'[1]NDB Impacted SPRFs 05032013'!$A$2:$A$65536,1,FALSE)</f>
        <v>400016769</v>
      </c>
    </row>
    <row r="2502" spans="1:21" ht="45" x14ac:dyDescent="0.25">
      <c r="A2502" s="63" t="e">
        <f>MATCH($E2502,'D1 - Master Project Table'!$B$24:$B$7056,0)</f>
        <v>#N/A</v>
      </c>
      <c r="B2502" s="63" t="b">
        <f t="shared" si="117"/>
        <v>1</v>
      </c>
      <c r="C2502" s="63" t="b">
        <f t="shared" ref="C2502:C2565" si="118">OR(H2502="Completed",H2502="Cancelled")</f>
        <v>1</v>
      </c>
      <c r="D2502" s="63" t="str">
        <f t="shared" ref="D2502:D2565" si="119">IF(AND(B2502=TRUE,C2502=FALSE),"Add","OK")</f>
        <v>OK</v>
      </c>
      <c r="E2502" s="393">
        <v>400016808</v>
      </c>
      <c r="F2502" s="392" t="s">
        <v>3392</v>
      </c>
      <c r="G2502" s="392" t="s">
        <v>5325</v>
      </c>
      <c r="H2502" s="392" t="s">
        <v>5314</v>
      </c>
      <c r="I2502" s="392" t="s">
        <v>6008</v>
      </c>
      <c r="J2502" s="392" t="s">
        <v>8256</v>
      </c>
      <c r="K2502" s="392" t="s">
        <v>3818</v>
      </c>
      <c r="L2502" s="392" t="s">
        <v>2845</v>
      </c>
      <c r="M2502" s="392" t="s">
        <v>7273</v>
      </c>
      <c r="N2502" s="392" t="s">
        <v>7273</v>
      </c>
      <c r="O2502" s="392" t="s">
        <v>7273</v>
      </c>
      <c r="P2502"/>
      <c r="Q2502"/>
      <c r="R2502" s="387">
        <f>VLOOKUP(E2502,'[1]NDB Impacted SPRFs 05032013'!$A$2:$A$65536,1,FALSE)</f>
        <v>400016808</v>
      </c>
      <c r="S2502" s="159"/>
      <c r="T2502" s="159"/>
      <c r="U2502" s="159"/>
    </row>
    <row r="2503" spans="1:21" ht="45" x14ac:dyDescent="0.25">
      <c r="A2503" s="63">
        <f>MATCH($E2503,'D1 - Master Project Table'!$B$24:$B$7056,0)</f>
        <v>706</v>
      </c>
      <c r="B2503" s="63" t="b">
        <f t="shared" si="117"/>
        <v>0</v>
      </c>
      <c r="C2503" s="63" t="b">
        <f t="shared" si="118"/>
        <v>1</v>
      </c>
      <c r="D2503" s="63" t="str">
        <f t="shared" si="119"/>
        <v>OK</v>
      </c>
      <c r="E2503" s="393">
        <v>400016879</v>
      </c>
      <c r="F2503" s="392" t="s">
        <v>5307</v>
      </c>
      <c r="G2503" s="392" t="s">
        <v>5324</v>
      </c>
      <c r="H2503" s="392" t="s">
        <v>7418</v>
      </c>
      <c r="I2503" s="392" t="s">
        <v>1764</v>
      </c>
      <c r="J2503" s="392" t="s">
        <v>8570</v>
      </c>
      <c r="K2503" s="392" t="s">
        <v>6483</v>
      </c>
      <c r="L2503" s="392" t="s">
        <v>2845</v>
      </c>
      <c r="M2503" s="392" t="s">
        <v>7273</v>
      </c>
      <c r="N2503" s="392" t="s">
        <v>7273</v>
      </c>
      <c r="O2503" s="392" t="s">
        <v>7273</v>
      </c>
      <c r="P2503"/>
      <c r="Q2503"/>
      <c r="R2503" s="387">
        <f>VLOOKUP(E2503,'[1]NDB Impacted SPRFs 05032013'!$A$2:$A$65536,1,FALSE)</f>
        <v>400016879</v>
      </c>
      <c r="S2503" s="159"/>
      <c r="T2503" s="159"/>
      <c r="U2503" s="159"/>
    </row>
    <row r="2504" spans="1:21" ht="52.5" customHeight="1" x14ac:dyDescent="0.25">
      <c r="A2504" s="63">
        <f>MATCH($E2504,'D1 - Master Project Table'!$B$24:$B$7056,0)</f>
        <v>734</v>
      </c>
      <c r="B2504" s="63" t="b">
        <f t="shared" si="117"/>
        <v>0</v>
      </c>
      <c r="C2504" s="63" t="b">
        <f t="shared" si="118"/>
        <v>1</v>
      </c>
      <c r="D2504" s="63" t="str">
        <f t="shared" si="119"/>
        <v>OK</v>
      </c>
      <c r="E2504" s="393">
        <v>400016995</v>
      </c>
      <c r="F2504" s="392" t="s">
        <v>4521</v>
      </c>
      <c r="G2504" s="392" t="s">
        <v>5325</v>
      </c>
      <c r="H2504" s="392" t="s">
        <v>7418</v>
      </c>
      <c r="I2504" s="392" t="s">
        <v>6008</v>
      </c>
      <c r="J2504" s="392" t="s">
        <v>3780</v>
      </c>
      <c r="K2504" s="392" t="s">
        <v>4938</v>
      </c>
      <c r="L2504" s="392" t="s">
        <v>2845</v>
      </c>
      <c r="M2504" s="392" t="s">
        <v>7273</v>
      </c>
      <c r="N2504" s="392" t="s">
        <v>7273</v>
      </c>
      <c r="O2504" s="392" t="s">
        <v>7273</v>
      </c>
      <c r="P2504"/>
      <c r="Q2504"/>
      <c r="R2504" s="387">
        <f>VLOOKUP(E2504,'[1]NDB Impacted SPRFs 05032013'!$A$2:$A$65536,1,FALSE)</f>
        <v>400016995</v>
      </c>
      <c r="S2504" s="159"/>
      <c r="T2504" s="159"/>
      <c r="U2504" s="159"/>
    </row>
    <row r="2505" spans="1:21" ht="45" x14ac:dyDescent="0.25">
      <c r="A2505" s="63">
        <f>MATCH($E2505,'D1 - Master Project Table'!$B$24:$B$7056,0)</f>
        <v>689</v>
      </c>
      <c r="B2505" s="63" t="b">
        <f t="shared" si="117"/>
        <v>0</v>
      </c>
      <c r="C2505" s="63" t="b">
        <f t="shared" si="118"/>
        <v>1</v>
      </c>
      <c r="D2505" s="63" t="str">
        <f t="shared" si="119"/>
        <v>OK</v>
      </c>
      <c r="E2505" s="393">
        <v>400017075</v>
      </c>
      <c r="F2505" s="392" t="s">
        <v>3645</v>
      </c>
      <c r="G2505" s="392" t="s">
        <v>5324</v>
      </c>
      <c r="H2505" s="392" t="s">
        <v>7418</v>
      </c>
      <c r="I2505" s="392" t="s">
        <v>1756</v>
      </c>
      <c r="J2505" s="392" t="s">
        <v>8388</v>
      </c>
      <c r="K2505" s="392" t="s">
        <v>8075</v>
      </c>
      <c r="L2505" s="392" t="s">
        <v>2845</v>
      </c>
      <c r="M2505" s="392" t="s">
        <v>7273</v>
      </c>
      <c r="N2505" s="392" t="s">
        <v>7273</v>
      </c>
      <c r="O2505" s="392" t="s">
        <v>7273</v>
      </c>
      <c r="R2505" s="387">
        <f>VLOOKUP(E2505,'[1]NDB Impacted SPRFs 05032013'!$A$2:$A$65536,1,FALSE)</f>
        <v>400017075</v>
      </c>
    </row>
    <row r="2506" spans="1:21" ht="45" x14ac:dyDescent="0.25">
      <c r="A2506" s="63">
        <f>MATCH($E2506,'D1 - Master Project Table'!$B$24:$B$7056,0)</f>
        <v>2680</v>
      </c>
      <c r="B2506" s="63" t="b">
        <f t="shared" si="117"/>
        <v>0</v>
      </c>
      <c r="C2506" s="63" t="b">
        <f t="shared" si="118"/>
        <v>1</v>
      </c>
      <c r="D2506" s="63" t="str">
        <f t="shared" si="119"/>
        <v>OK</v>
      </c>
      <c r="E2506" s="393">
        <v>400017099</v>
      </c>
      <c r="F2506" s="392" t="s">
        <v>6832</v>
      </c>
      <c r="G2506" s="392" t="s">
        <v>5324</v>
      </c>
      <c r="H2506" s="392" t="s">
        <v>5314</v>
      </c>
      <c r="I2506" s="392" t="s">
        <v>1756</v>
      </c>
      <c r="J2506" s="392" t="s">
        <v>8388</v>
      </c>
      <c r="K2506" s="392" t="s">
        <v>5988</v>
      </c>
      <c r="L2506" s="392" t="s">
        <v>2845</v>
      </c>
      <c r="M2506" s="392" t="s">
        <v>7273</v>
      </c>
      <c r="N2506" s="392" t="s">
        <v>7273</v>
      </c>
      <c r="O2506" s="392" t="s">
        <v>7273</v>
      </c>
      <c r="P2506"/>
      <c r="Q2506"/>
      <c r="R2506" s="387">
        <f>VLOOKUP(E2506,'[1]NDB Impacted SPRFs 05032013'!$A$2:$A$65536,1,FALSE)</f>
        <v>400017099</v>
      </c>
      <c r="S2506" s="159"/>
      <c r="T2506" s="159"/>
      <c r="U2506" s="159"/>
    </row>
    <row r="2507" spans="1:21" ht="45" x14ac:dyDescent="0.25">
      <c r="A2507" s="63">
        <f>MATCH($E2507,'D1 - Master Project Table'!$B$24:$B$7056,0)</f>
        <v>707</v>
      </c>
      <c r="B2507" s="63" t="b">
        <f t="shared" si="117"/>
        <v>0</v>
      </c>
      <c r="C2507" s="63" t="b">
        <f t="shared" si="118"/>
        <v>1</v>
      </c>
      <c r="D2507" s="63" t="str">
        <f t="shared" si="119"/>
        <v>OK</v>
      </c>
      <c r="E2507" s="393">
        <v>400017123</v>
      </c>
      <c r="F2507" s="392" t="s">
        <v>6368</v>
      </c>
      <c r="G2507" s="392" t="s">
        <v>5324</v>
      </c>
      <c r="H2507" s="392" t="s">
        <v>7418</v>
      </c>
      <c r="I2507" s="392" t="s">
        <v>1764</v>
      </c>
      <c r="J2507" s="392" t="s">
        <v>5168</v>
      </c>
      <c r="K2507" s="392" t="s">
        <v>2874</v>
      </c>
      <c r="L2507" s="392" t="s">
        <v>2845</v>
      </c>
      <c r="M2507" s="392" t="s">
        <v>7273</v>
      </c>
      <c r="N2507" s="392" t="s">
        <v>7273</v>
      </c>
      <c r="O2507" s="392" t="s">
        <v>7273</v>
      </c>
      <c r="P2507"/>
      <c r="Q2507"/>
      <c r="R2507" s="387">
        <f>VLOOKUP(E2507,'[1]NDB Impacted SPRFs 05032013'!$A$2:$A$65536,1,FALSE)</f>
        <v>400017123</v>
      </c>
      <c r="S2507" s="159"/>
      <c r="T2507" s="159"/>
      <c r="U2507" s="159"/>
    </row>
    <row r="2508" spans="1:21" ht="30" x14ac:dyDescent="0.25">
      <c r="A2508" s="63">
        <f>MATCH($E2508,'D1 - Master Project Table'!$B$24:$B$7056,0)</f>
        <v>1934</v>
      </c>
      <c r="B2508" s="63" t="b">
        <f t="shared" si="117"/>
        <v>0</v>
      </c>
      <c r="C2508" s="63" t="b">
        <f t="shared" si="118"/>
        <v>1</v>
      </c>
      <c r="D2508" s="63" t="str">
        <f t="shared" si="119"/>
        <v>OK</v>
      </c>
      <c r="E2508" s="393">
        <v>400017173</v>
      </c>
      <c r="F2508" s="392" t="s">
        <v>2983</v>
      </c>
      <c r="G2508" s="392" t="s">
        <v>5787</v>
      </c>
      <c r="H2508" s="392" t="s">
        <v>7418</v>
      </c>
      <c r="I2508" s="392" t="s">
        <v>1775</v>
      </c>
      <c r="J2508" s="392" t="s">
        <v>8731</v>
      </c>
      <c r="K2508" s="392" t="s">
        <v>2795</v>
      </c>
      <c r="L2508" s="392" t="s">
        <v>2845</v>
      </c>
      <c r="M2508" s="392" t="s">
        <v>7273</v>
      </c>
      <c r="N2508" s="392" t="s">
        <v>7273</v>
      </c>
      <c r="O2508" s="392" t="s">
        <v>7273</v>
      </c>
      <c r="P2508"/>
      <c r="Q2508"/>
      <c r="R2508" s="387">
        <f>VLOOKUP(E2508,'[1]NDB Impacted SPRFs 05032013'!$A$2:$A$65536,1,FALSE)</f>
        <v>400017173</v>
      </c>
      <c r="S2508" s="159"/>
      <c r="T2508" s="159"/>
      <c r="U2508" s="159"/>
    </row>
    <row r="2509" spans="1:21" ht="45" x14ac:dyDescent="0.25">
      <c r="A2509" s="63">
        <f>MATCH($E2509,'D1 - Master Project Table'!$B$24:$B$7056,0)</f>
        <v>2683</v>
      </c>
      <c r="B2509" s="63" t="b">
        <f t="shared" si="117"/>
        <v>0</v>
      </c>
      <c r="C2509" s="63" t="b">
        <f t="shared" si="118"/>
        <v>1</v>
      </c>
      <c r="D2509" s="63" t="str">
        <f t="shared" si="119"/>
        <v>OK</v>
      </c>
      <c r="E2509" s="393">
        <v>400017217</v>
      </c>
      <c r="F2509" s="392" t="s">
        <v>7627</v>
      </c>
      <c r="G2509" s="392" t="s">
        <v>5324</v>
      </c>
      <c r="H2509" s="392" t="s">
        <v>5314</v>
      </c>
      <c r="I2509" s="392" t="s">
        <v>1759</v>
      </c>
      <c r="J2509" s="392" t="s">
        <v>8364</v>
      </c>
      <c r="K2509" s="392" t="s">
        <v>7046</v>
      </c>
      <c r="L2509" s="392" t="s">
        <v>2845</v>
      </c>
      <c r="M2509" s="392" t="s">
        <v>7273</v>
      </c>
      <c r="N2509" s="392" t="s">
        <v>7273</v>
      </c>
      <c r="O2509" s="392" t="s">
        <v>7273</v>
      </c>
      <c r="P2509"/>
      <c r="Q2509"/>
      <c r="R2509" s="387">
        <f>VLOOKUP(E2509,'[1]NDB Impacted SPRFs 05032013'!$A$2:$A$65536,1,FALSE)</f>
        <v>400017217</v>
      </c>
      <c r="S2509" s="159"/>
      <c r="T2509" s="159"/>
      <c r="U2509" s="159"/>
    </row>
    <row r="2510" spans="1:21" ht="45" x14ac:dyDescent="0.25">
      <c r="A2510" s="63">
        <f>MATCH($E2510,'D1 - Master Project Table'!$B$24:$B$7056,0)</f>
        <v>2686</v>
      </c>
      <c r="B2510" s="63" t="b">
        <f t="shared" si="117"/>
        <v>0</v>
      </c>
      <c r="C2510" s="63" t="b">
        <f t="shared" si="118"/>
        <v>1</v>
      </c>
      <c r="D2510" s="63" t="str">
        <f t="shared" si="119"/>
        <v>OK</v>
      </c>
      <c r="E2510" s="393">
        <v>400017413</v>
      </c>
      <c r="F2510" s="392" t="s">
        <v>3364</v>
      </c>
      <c r="G2510" s="392" t="s">
        <v>5325</v>
      </c>
      <c r="H2510" s="392" t="s">
        <v>5314</v>
      </c>
      <c r="I2510" s="392" t="s">
        <v>6008</v>
      </c>
      <c r="J2510" s="392" t="s">
        <v>3780</v>
      </c>
      <c r="K2510" s="392" t="s">
        <v>3365</v>
      </c>
      <c r="L2510" s="392" t="s">
        <v>2845</v>
      </c>
      <c r="M2510" s="392" t="s">
        <v>7273</v>
      </c>
      <c r="N2510" s="392" t="s">
        <v>7273</v>
      </c>
      <c r="O2510" s="392" t="s">
        <v>7273</v>
      </c>
      <c r="P2510"/>
      <c r="Q2510"/>
      <c r="R2510" s="387">
        <f>VLOOKUP(E2510,'[1]NDB Impacted SPRFs 05032013'!$A$2:$A$65536,1,FALSE)</f>
        <v>400017413</v>
      </c>
      <c r="S2510" s="159"/>
      <c r="T2510" s="159"/>
      <c r="U2510" s="159"/>
    </row>
    <row r="2511" spans="1:21" ht="45" x14ac:dyDescent="0.25">
      <c r="A2511" s="63" t="e">
        <f>MATCH($E2511,'D1 - Master Project Table'!$B$24:$B$7056,0)</f>
        <v>#N/A</v>
      </c>
      <c r="B2511" s="63" t="b">
        <f t="shared" si="117"/>
        <v>1</v>
      </c>
      <c r="C2511" s="63" t="b">
        <f t="shared" si="118"/>
        <v>1</v>
      </c>
      <c r="D2511" s="63" t="str">
        <f t="shared" si="119"/>
        <v>OK</v>
      </c>
      <c r="E2511" s="393">
        <v>400017498</v>
      </c>
      <c r="F2511" s="392" t="s">
        <v>5525</v>
      </c>
      <c r="G2511" s="392" t="s">
        <v>5325</v>
      </c>
      <c r="H2511" s="392" t="s">
        <v>5314</v>
      </c>
      <c r="I2511" s="392" t="s">
        <v>6008</v>
      </c>
      <c r="J2511" s="392" t="s">
        <v>3780</v>
      </c>
      <c r="K2511" s="392" t="s">
        <v>5526</v>
      </c>
      <c r="L2511" s="392" t="s">
        <v>2845</v>
      </c>
      <c r="M2511" s="392" t="s">
        <v>7273</v>
      </c>
      <c r="N2511" s="392" t="s">
        <v>7273</v>
      </c>
      <c r="O2511" s="392" t="s">
        <v>7273</v>
      </c>
      <c r="P2511"/>
      <c r="Q2511"/>
      <c r="R2511" s="387">
        <f>VLOOKUP(E2511,'[1]NDB Impacted SPRFs 05032013'!$A$2:$A$65536,1,FALSE)</f>
        <v>400017498</v>
      </c>
      <c r="S2511" s="159"/>
      <c r="T2511" s="159"/>
      <c r="U2511" s="159"/>
    </row>
    <row r="2512" spans="1:21" ht="45" x14ac:dyDescent="0.25">
      <c r="A2512" s="63">
        <f>MATCH($E2512,'D1 - Master Project Table'!$B$24:$B$7056,0)</f>
        <v>1937</v>
      </c>
      <c r="B2512" s="63" t="b">
        <f t="shared" si="117"/>
        <v>0</v>
      </c>
      <c r="C2512" s="63" t="b">
        <f t="shared" si="118"/>
        <v>1</v>
      </c>
      <c r="D2512" s="63" t="str">
        <f t="shared" si="119"/>
        <v>OK</v>
      </c>
      <c r="E2512" s="393">
        <v>400017619</v>
      </c>
      <c r="F2512" s="392" t="s">
        <v>3865</v>
      </c>
      <c r="G2512" s="392" t="s">
        <v>5324</v>
      </c>
      <c r="H2512" s="392" t="s">
        <v>7418</v>
      </c>
      <c r="I2512" s="392" t="s">
        <v>1764</v>
      </c>
      <c r="J2512" s="392" t="s">
        <v>8568</v>
      </c>
      <c r="K2512" s="392" t="s">
        <v>3866</v>
      </c>
      <c r="L2512" s="392" t="s">
        <v>2845</v>
      </c>
      <c r="M2512" s="392" t="s">
        <v>7273</v>
      </c>
      <c r="N2512" s="392" t="s">
        <v>7273</v>
      </c>
      <c r="O2512" s="392" t="s">
        <v>7273</v>
      </c>
      <c r="P2512"/>
      <c r="Q2512"/>
      <c r="R2512" s="387">
        <f>VLOOKUP(E2512,'[1]NDB Impacted SPRFs 05032013'!$A$2:$A$65536,1,FALSE)</f>
        <v>400017619</v>
      </c>
      <c r="S2512" s="159"/>
      <c r="T2512" s="159"/>
      <c r="U2512" s="159"/>
    </row>
    <row r="2513" spans="1:21" ht="45" x14ac:dyDescent="0.25">
      <c r="A2513" s="63">
        <f>MATCH($E2513,'D1 - Master Project Table'!$B$24:$B$7056,0)</f>
        <v>2689</v>
      </c>
      <c r="B2513" s="63" t="b">
        <f t="shared" si="117"/>
        <v>0</v>
      </c>
      <c r="C2513" s="63" t="b">
        <f t="shared" si="118"/>
        <v>1</v>
      </c>
      <c r="D2513" s="63" t="str">
        <f t="shared" si="119"/>
        <v>OK</v>
      </c>
      <c r="E2513" s="393">
        <v>400017665</v>
      </c>
      <c r="F2513" s="392" t="s">
        <v>4557</v>
      </c>
      <c r="G2513" s="392" t="s">
        <v>5995</v>
      </c>
      <c r="H2513" s="392" t="s">
        <v>5314</v>
      </c>
      <c r="I2513" s="392" t="s">
        <v>3532</v>
      </c>
      <c r="J2513" s="392" t="s">
        <v>8800</v>
      </c>
      <c r="K2513" s="392" t="s">
        <v>3819</v>
      </c>
      <c r="L2513" s="392" t="s">
        <v>2845</v>
      </c>
      <c r="M2513" s="392" t="s">
        <v>7273</v>
      </c>
      <c r="N2513" s="392" t="s">
        <v>7273</v>
      </c>
      <c r="O2513" s="392" t="s">
        <v>7273</v>
      </c>
      <c r="P2513"/>
      <c r="Q2513"/>
      <c r="R2513" s="387">
        <f>VLOOKUP(E2513,'[1]NDB Impacted SPRFs 05032013'!$A$2:$A$65536,1,FALSE)</f>
        <v>400017665</v>
      </c>
      <c r="S2513" s="159"/>
      <c r="T2513" s="159"/>
      <c r="U2513" s="159"/>
    </row>
    <row r="2514" spans="1:21" ht="45" x14ac:dyDescent="0.25">
      <c r="A2514" s="63">
        <f>MATCH($E2514,'D1 - Master Project Table'!$B$24:$B$7056,0)</f>
        <v>2691</v>
      </c>
      <c r="B2514" s="63" t="b">
        <f t="shared" si="117"/>
        <v>0</v>
      </c>
      <c r="C2514" s="63" t="b">
        <f t="shared" si="118"/>
        <v>1</v>
      </c>
      <c r="D2514" s="63" t="str">
        <f t="shared" si="119"/>
        <v>OK</v>
      </c>
      <c r="E2514" s="393">
        <v>400017870</v>
      </c>
      <c r="F2514" s="392" t="s">
        <v>5527</v>
      </c>
      <c r="G2514" s="392" t="s">
        <v>5324</v>
      </c>
      <c r="H2514" s="392" t="s">
        <v>5314</v>
      </c>
      <c r="I2514" s="392" t="s">
        <v>1758</v>
      </c>
      <c r="J2514" s="392" t="s">
        <v>2412</v>
      </c>
      <c r="K2514" s="392" t="s">
        <v>6946</v>
      </c>
      <c r="L2514" s="392" t="s">
        <v>2845</v>
      </c>
      <c r="M2514" s="392" t="s">
        <v>7273</v>
      </c>
      <c r="N2514" s="392" t="s">
        <v>7273</v>
      </c>
      <c r="O2514" s="392" t="s">
        <v>7273</v>
      </c>
      <c r="P2514"/>
      <c r="Q2514"/>
      <c r="R2514" s="387">
        <f>VLOOKUP(E2514,'[1]NDB Impacted SPRFs 05032013'!$A$2:$A$65536,1,FALSE)</f>
        <v>400017870</v>
      </c>
      <c r="S2514" s="159"/>
      <c r="T2514" s="159"/>
      <c r="U2514" s="159"/>
    </row>
    <row r="2515" spans="1:21" ht="15" x14ac:dyDescent="0.25">
      <c r="A2515" s="63">
        <f>MATCH($E2515,'D1 - Master Project Table'!$B$24:$B$7056,0)</f>
        <v>709</v>
      </c>
      <c r="B2515" s="63" t="b">
        <f t="shared" si="117"/>
        <v>0</v>
      </c>
      <c r="C2515" s="63" t="b">
        <f t="shared" si="118"/>
        <v>1</v>
      </c>
      <c r="D2515" s="63" t="str">
        <f t="shared" si="119"/>
        <v>OK</v>
      </c>
      <c r="E2515" s="393">
        <v>400017888</v>
      </c>
      <c r="F2515" s="392" t="s">
        <v>6781</v>
      </c>
      <c r="G2515" s="392" t="s">
        <v>2041</v>
      </c>
      <c r="H2515" s="392" t="s">
        <v>7418</v>
      </c>
      <c r="I2515" s="392" t="s">
        <v>3629</v>
      </c>
      <c r="J2515" s="392" t="s">
        <v>8794</v>
      </c>
      <c r="K2515" s="392" t="s">
        <v>5825</v>
      </c>
      <c r="L2515" s="392" t="s">
        <v>2845</v>
      </c>
      <c r="M2515" s="392" t="s">
        <v>7273</v>
      </c>
      <c r="N2515" s="392" t="s">
        <v>7273</v>
      </c>
      <c r="O2515" s="392" t="s">
        <v>7273</v>
      </c>
      <c r="P2515"/>
      <c r="Q2515"/>
      <c r="R2515" s="387">
        <f>VLOOKUP(E2515,'[1]NDB Impacted SPRFs 05032013'!$A$2:$A$65536,1,FALSE)</f>
        <v>400017888</v>
      </c>
    </row>
    <row r="2516" spans="1:21" ht="45" x14ac:dyDescent="0.25">
      <c r="A2516" s="63">
        <f>MATCH($E2516,'D1 - Master Project Table'!$B$24:$B$7056,0)</f>
        <v>2133</v>
      </c>
      <c r="B2516" s="63" t="b">
        <f t="shared" si="117"/>
        <v>0</v>
      </c>
      <c r="C2516" s="63" t="b">
        <f t="shared" si="118"/>
        <v>1</v>
      </c>
      <c r="D2516" s="63" t="str">
        <f t="shared" si="119"/>
        <v>OK</v>
      </c>
      <c r="E2516" s="393">
        <v>400017984</v>
      </c>
      <c r="F2516" s="392" t="s">
        <v>5708</v>
      </c>
      <c r="G2516" s="392" t="s">
        <v>5324</v>
      </c>
      <c r="H2516" s="392" t="s">
        <v>5314</v>
      </c>
      <c r="I2516" s="392" t="s">
        <v>1763</v>
      </c>
      <c r="J2516" s="392" t="s">
        <v>8300</v>
      </c>
      <c r="K2516" s="392" t="s">
        <v>6946</v>
      </c>
      <c r="L2516" s="392" t="s">
        <v>2845</v>
      </c>
      <c r="M2516" s="392" t="s">
        <v>7273</v>
      </c>
      <c r="N2516" s="392" t="s">
        <v>7273</v>
      </c>
      <c r="O2516" s="392" t="s">
        <v>7273</v>
      </c>
      <c r="P2516"/>
      <c r="Q2516"/>
      <c r="R2516" s="387">
        <f>VLOOKUP(E2516,'[1]NDB Impacted SPRFs 05032013'!$A$2:$A$65536,1,FALSE)</f>
        <v>400017984</v>
      </c>
      <c r="S2516" s="159"/>
      <c r="T2516" s="159"/>
      <c r="U2516" s="159"/>
    </row>
    <row r="2517" spans="1:21" ht="45" x14ac:dyDescent="0.25">
      <c r="A2517" s="63">
        <f>MATCH($E2517,'D1 - Master Project Table'!$B$24:$B$7056,0)</f>
        <v>755</v>
      </c>
      <c r="B2517" s="63" t="b">
        <f t="shared" si="117"/>
        <v>0</v>
      </c>
      <c r="C2517" s="63" t="b">
        <f t="shared" si="118"/>
        <v>1</v>
      </c>
      <c r="D2517" s="63" t="str">
        <f t="shared" si="119"/>
        <v>OK</v>
      </c>
      <c r="E2517" s="393">
        <v>400018021</v>
      </c>
      <c r="F2517" s="392" t="s">
        <v>6532</v>
      </c>
      <c r="G2517" s="392" t="s">
        <v>5324</v>
      </c>
      <c r="H2517" s="392" t="s">
        <v>7418</v>
      </c>
      <c r="I2517" s="392" t="s">
        <v>1756</v>
      </c>
      <c r="J2517" s="392" t="s">
        <v>8388</v>
      </c>
      <c r="K2517" s="392" t="s">
        <v>8075</v>
      </c>
      <c r="L2517" s="392" t="s">
        <v>2845</v>
      </c>
      <c r="M2517" s="392" t="s">
        <v>7273</v>
      </c>
      <c r="N2517" s="392" t="s">
        <v>7273</v>
      </c>
      <c r="O2517" s="392" t="s">
        <v>7273</v>
      </c>
      <c r="P2517"/>
      <c r="Q2517"/>
      <c r="R2517" s="387">
        <f>VLOOKUP(E2517,'[1]NDB Impacted SPRFs 05032013'!$A$2:$A$65536,1,FALSE)</f>
        <v>400018021</v>
      </c>
      <c r="S2517" s="159"/>
      <c r="T2517" s="159"/>
      <c r="U2517" s="159"/>
    </row>
    <row r="2518" spans="1:21" ht="45" x14ac:dyDescent="0.25">
      <c r="A2518" s="63">
        <f>MATCH($E2518,'D1 - Master Project Table'!$B$24:$B$7056,0)</f>
        <v>735</v>
      </c>
      <c r="B2518" s="63" t="b">
        <f t="shared" si="117"/>
        <v>0</v>
      </c>
      <c r="C2518" s="63" t="b">
        <f t="shared" si="118"/>
        <v>1</v>
      </c>
      <c r="D2518" s="63" t="str">
        <f t="shared" si="119"/>
        <v>OK</v>
      </c>
      <c r="E2518" s="393">
        <v>400018029</v>
      </c>
      <c r="F2518" s="392" t="s">
        <v>1501</v>
      </c>
      <c r="G2518" s="392" t="s">
        <v>5324</v>
      </c>
      <c r="H2518" s="392" t="s">
        <v>7418</v>
      </c>
      <c r="I2518" s="392" t="s">
        <v>1764</v>
      </c>
      <c r="J2518" s="392" t="s">
        <v>8420</v>
      </c>
      <c r="K2518" s="392" t="s">
        <v>7401</v>
      </c>
      <c r="L2518" s="392" t="s">
        <v>2845</v>
      </c>
      <c r="M2518" s="392" t="s">
        <v>7273</v>
      </c>
      <c r="N2518" s="392" t="s">
        <v>7273</v>
      </c>
      <c r="O2518" s="392" t="s">
        <v>7273</v>
      </c>
      <c r="P2518"/>
      <c r="Q2518"/>
      <c r="R2518" s="387">
        <f>VLOOKUP(E2518,'[1]NDB Impacted SPRFs 05032013'!$A$2:$A$65536,1,FALSE)</f>
        <v>400018029</v>
      </c>
      <c r="S2518" s="159"/>
      <c r="T2518" s="159"/>
      <c r="U2518" s="159"/>
    </row>
    <row r="2519" spans="1:21" ht="45" x14ac:dyDescent="0.25">
      <c r="A2519" s="63">
        <f>MATCH($E2519,'D1 - Master Project Table'!$B$24:$B$7056,0)</f>
        <v>850</v>
      </c>
      <c r="B2519" s="63" t="b">
        <f t="shared" si="117"/>
        <v>0</v>
      </c>
      <c r="C2519" s="63" t="b">
        <f t="shared" si="118"/>
        <v>1</v>
      </c>
      <c r="D2519" s="63" t="str">
        <f t="shared" si="119"/>
        <v>OK</v>
      </c>
      <c r="E2519" s="393">
        <v>400018168</v>
      </c>
      <c r="F2519" s="392" t="s">
        <v>7329</v>
      </c>
      <c r="G2519" s="392" t="s">
        <v>5324</v>
      </c>
      <c r="H2519" s="392" t="s">
        <v>7418</v>
      </c>
      <c r="I2519" s="392" t="s">
        <v>1758</v>
      </c>
      <c r="J2519" s="392" t="s">
        <v>5865</v>
      </c>
      <c r="K2519" s="392" t="s">
        <v>5245</v>
      </c>
      <c r="L2519" s="392" t="s">
        <v>2845</v>
      </c>
      <c r="M2519" s="392" t="s">
        <v>7273</v>
      </c>
      <c r="N2519" s="392" t="s">
        <v>7273</v>
      </c>
      <c r="O2519" s="392" t="s">
        <v>7273</v>
      </c>
      <c r="P2519"/>
      <c r="Q2519"/>
      <c r="R2519" s="387">
        <f>VLOOKUP(E2519,'[1]NDB Impacted SPRFs 05032013'!$A$2:$A$65536,1,FALSE)</f>
        <v>400018168</v>
      </c>
      <c r="S2519" s="159"/>
      <c r="T2519" s="159"/>
      <c r="U2519" s="159"/>
    </row>
    <row r="2520" spans="1:21" ht="45" x14ac:dyDescent="0.25">
      <c r="A2520" s="63">
        <f>MATCH($E2520,'D1 - Master Project Table'!$B$24:$B$7056,0)</f>
        <v>851</v>
      </c>
      <c r="B2520" s="63" t="b">
        <f t="shared" si="117"/>
        <v>0</v>
      </c>
      <c r="C2520" s="63" t="b">
        <f t="shared" si="118"/>
        <v>1</v>
      </c>
      <c r="D2520" s="63" t="str">
        <f t="shared" si="119"/>
        <v>OK</v>
      </c>
      <c r="E2520" s="393">
        <v>400018250</v>
      </c>
      <c r="F2520" s="392" t="s">
        <v>5959</v>
      </c>
      <c r="G2520" s="392" t="s">
        <v>5324</v>
      </c>
      <c r="H2520" s="392" t="s">
        <v>7418</v>
      </c>
      <c r="I2520" s="392" t="s">
        <v>1759</v>
      </c>
      <c r="J2520" s="392" t="s">
        <v>8388</v>
      </c>
      <c r="K2520" s="392" t="s">
        <v>8075</v>
      </c>
      <c r="L2520" s="392" t="s">
        <v>2845</v>
      </c>
      <c r="M2520" s="392" t="s">
        <v>7273</v>
      </c>
      <c r="N2520" s="392" t="s">
        <v>7273</v>
      </c>
      <c r="O2520" s="392" t="s">
        <v>7273</v>
      </c>
      <c r="P2520"/>
      <c r="Q2520"/>
      <c r="R2520" s="387">
        <f>VLOOKUP(E2520,'[1]NDB Impacted SPRFs 05032013'!$A$2:$A$65536,1,FALSE)</f>
        <v>400018250</v>
      </c>
      <c r="S2520" s="159"/>
      <c r="T2520" s="159"/>
      <c r="U2520" s="159"/>
    </row>
    <row r="2521" spans="1:21" ht="45" x14ac:dyDescent="0.25">
      <c r="A2521" s="63">
        <f>MATCH($E2521,'D1 - Master Project Table'!$B$24:$B$7056,0)</f>
        <v>834</v>
      </c>
      <c r="B2521" s="63" t="b">
        <f t="shared" si="117"/>
        <v>0</v>
      </c>
      <c r="C2521" s="63" t="b">
        <f t="shared" si="118"/>
        <v>1</v>
      </c>
      <c r="D2521" s="63" t="str">
        <f t="shared" si="119"/>
        <v>OK</v>
      </c>
      <c r="E2521" s="393">
        <v>400018432</v>
      </c>
      <c r="F2521" s="392" t="s">
        <v>4307</v>
      </c>
      <c r="G2521" s="392" t="s">
        <v>5324</v>
      </c>
      <c r="H2521" s="392" t="s">
        <v>7418</v>
      </c>
      <c r="I2521" s="392" t="s">
        <v>1756</v>
      </c>
      <c r="J2521" s="392" t="s">
        <v>8388</v>
      </c>
      <c r="K2521" s="392" t="s">
        <v>8075</v>
      </c>
      <c r="L2521" s="392" t="s">
        <v>2845</v>
      </c>
      <c r="M2521" s="392" t="s">
        <v>7273</v>
      </c>
      <c r="N2521" s="392" t="s">
        <v>7273</v>
      </c>
      <c r="O2521" s="392" t="s">
        <v>7273</v>
      </c>
      <c r="P2521"/>
      <c r="Q2521"/>
      <c r="R2521" s="387">
        <f>VLOOKUP(E2521,'[1]NDB Impacted SPRFs 05032013'!$A$2:$A$65536,1,FALSE)</f>
        <v>400018432</v>
      </c>
      <c r="S2521" s="159"/>
      <c r="T2521" s="159"/>
      <c r="U2521" s="159"/>
    </row>
    <row r="2522" spans="1:21" ht="45" x14ac:dyDescent="0.25">
      <c r="A2522" s="63">
        <f>MATCH($E2522,'D1 - Master Project Table'!$B$24:$B$7056,0)</f>
        <v>877</v>
      </c>
      <c r="B2522" s="63" t="b">
        <f t="shared" si="117"/>
        <v>0</v>
      </c>
      <c r="C2522" s="63" t="b">
        <f t="shared" si="118"/>
        <v>1</v>
      </c>
      <c r="D2522" s="63" t="str">
        <f t="shared" si="119"/>
        <v>OK</v>
      </c>
      <c r="E2522" s="393">
        <v>400018532</v>
      </c>
      <c r="F2522" s="392" t="s">
        <v>3396</v>
      </c>
      <c r="G2522" s="392" t="s">
        <v>5324</v>
      </c>
      <c r="H2522" s="392" t="s">
        <v>7418</v>
      </c>
      <c r="I2522" s="392" t="s">
        <v>1764</v>
      </c>
      <c r="J2522" s="392" t="s">
        <v>5168</v>
      </c>
      <c r="K2522" s="392" t="s">
        <v>2074</v>
      </c>
      <c r="L2522" s="392" t="s">
        <v>2845</v>
      </c>
      <c r="M2522" s="392" t="s">
        <v>7273</v>
      </c>
      <c r="N2522" s="392" t="s">
        <v>7273</v>
      </c>
      <c r="O2522" s="392" t="s">
        <v>7273</v>
      </c>
      <c r="P2522"/>
      <c r="Q2522"/>
      <c r="R2522" s="387">
        <f>VLOOKUP(E2522,'[1]NDB Impacted SPRFs 05032013'!$A$2:$A$65536,1,FALSE)</f>
        <v>400018532</v>
      </c>
      <c r="S2522" s="159"/>
      <c r="T2522" s="159"/>
      <c r="U2522" s="159"/>
    </row>
    <row r="2523" spans="1:21" ht="45" x14ac:dyDescent="0.25">
      <c r="A2523" s="63">
        <f>MATCH($E2523,'D1 - Master Project Table'!$B$24:$B$7056,0)</f>
        <v>878</v>
      </c>
      <c r="B2523" s="63" t="b">
        <f t="shared" si="117"/>
        <v>0</v>
      </c>
      <c r="C2523" s="63" t="b">
        <f t="shared" si="118"/>
        <v>1</v>
      </c>
      <c r="D2523" s="63" t="str">
        <f t="shared" si="119"/>
        <v>OK</v>
      </c>
      <c r="E2523" s="393">
        <v>400018712</v>
      </c>
      <c r="F2523" s="392" t="s">
        <v>1962</v>
      </c>
      <c r="G2523" s="392" t="s">
        <v>5324</v>
      </c>
      <c r="H2523" s="392" t="s">
        <v>7418</v>
      </c>
      <c r="I2523" s="392" t="s">
        <v>1759</v>
      </c>
      <c r="J2523" s="392" t="s">
        <v>8607</v>
      </c>
      <c r="K2523" s="392" t="s">
        <v>7024</v>
      </c>
      <c r="L2523" s="392" t="s">
        <v>2845</v>
      </c>
      <c r="M2523" s="392" t="s">
        <v>7273</v>
      </c>
      <c r="N2523" s="392" t="s">
        <v>7273</v>
      </c>
      <c r="O2523" s="392" t="s">
        <v>7273</v>
      </c>
      <c r="P2523"/>
      <c r="Q2523"/>
      <c r="R2523" s="387">
        <f>VLOOKUP(E2523,'[1]NDB Impacted SPRFs 05032013'!$A$2:$A$65536,1,FALSE)</f>
        <v>400018712</v>
      </c>
      <c r="S2523" s="159"/>
      <c r="T2523" s="159"/>
      <c r="U2523" s="159"/>
    </row>
    <row r="2524" spans="1:21" ht="30" x14ac:dyDescent="0.25">
      <c r="A2524" s="63" t="e">
        <f>MATCH($E2524,'D1 - Master Project Table'!$B$24:$B$7056,0)</f>
        <v>#N/A</v>
      </c>
      <c r="B2524" s="63" t="b">
        <f t="shared" si="117"/>
        <v>1</v>
      </c>
      <c r="C2524" s="63" t="b">
        <f t="shared" si="118"/>
        <v>1</v>
      </c>
      <c r="D2524" s="63" t="str">
        <f t="shared" si="119"/>
        <v>OK</v>
      </c>
      <c r="E2524" s="393">
        <v>400018799</v>
      </c>
      <c r="F2524" s="392" t="s">
        <v>4532</v>
      </c>
      <c r="G2524" s="392" t="s">
        <v>5787</v>
      </c>
      <c r="H2524" s="392" t="s">
        <v>5314</v>
      </c>
      <c r="I2524" s="392" t="s">
        <v>1772</v>
      </c>
      <c r="J2524" s="392" t="s">
        <v>8709</v>
      </c>
      <c r="K2524" s="392" t="s">
        <v>6653</v>
      </c>
      <c r="L2524" s="392" t="s">
        <v>2845</v>
      </c>
      <c r="M2524" s="392" t="s">
        <v>7273</v>
      </c>
      <c r="N2524" s="392" t="s">
        <v>7273</v>
      </c>
      <c r="O2524" s="392" t="s">
        <v>7273</v>
      </c>
      <c r="P2524"/>
      <c r="Q2524"/>
      <c r="R2524" s="387">
        <f>VLOOKUP(E2524,'[1]NDB Impacted SPRFs 05032013'!$A$2:$A$65536,1,FALSE)</f>
        <v>400018799</v>
      </c>
      <c r="S2524" s="159"/>
      <c r="T2524" s="159"/>
      <c r="U2524" s="159"/>
    </row>
    <row r="2525" spans="1:21" ht="45" x14ac:dyDescent="0.25">
      <c r="A2525" s="63">
        <f>MATCH($E2525,'D1 - Master Project Table'!$B$24:$B$7056,0)</f>
        <v>798</v>
      </c>
      <c r="B2525" s="63" t="b">
        <f t="shared" si="117"/>
        <v>0</v>
      </c>
      <c r="C2525" s="63" t="b">
        <f t="shared" si="118"/>
        <v>1</v>
      </c>
      <c r="D2525" s="63" t="str">
        <f t="shared" si="119"/>
        <v>OK</v>
      </c>
      <c r="E2525" s="393">
        <v>400018805</v>
      </c>
      <c r="F2525" s="392" t="s">
        <v>6706</v>
      </c>
      <c r="G2525" s="392" t="s">
        <v>5324</v>
      </c>
      <c r="H2525" s="392" t="s">
        <v>7418</v>
      </c>
      <c r="I2525" s="392" t="s">
        <v>1759</v>
      </c>
      <c r="J2525" s="392" t="s">
        <v>8606</v>
      </c>
      <c r="K2525" s="392" t="s">
        <v>3718</v>
      </c>
      <c r="L2525" s="392" t="s">
        <v>2845</v>
      </c>
      <c r="M2525" s="392" t="s">
        <v>7273</v>
      </c>
      <c r="N2525" s="392" t="s">
        <v>7273</v>
      </c>
      <c r="O2525" s="392" t="s">
        <v>7273</v>
      </c>
      <c r="P2525"/>
      <c r="Q2525"/>
      <c r="R2525" s="387">
        <f>VLOOKUP(E2525,'[1]NDB Impacted SPRFs 05032013'!$A$2:$A$65536,1,FALSE)</f>
        <v>400018805</v>
      </c>
      <c r="S2525" s="159"/>
      <c r="T2525" s="159"/>
      <c r="U2525" s="159"/>
    </row>
    <row r="2526" spans="1:21" ht="45" x14ac:dyDescent="0.25">
      <c r="A2526" s="63">
        <f>MATCH($E2526,'D1 - Master Project Table'!$B$24:$B$7056,0)</f>
        <v>2707</v>
      </c>
      <c r="B2526" s="63" t="b">
        <f t="shared" si="117"/>
        <v>0</v>
      </c>
      <c r="C2526" s="63" t="b">
        <f t="shared" si="118"/>
        <v>1</v>
      </c>
      <c r="D2526" s="63" t="str">
        <f t="shared" si="119"/>
        <v>OK</v>
      </c>
      <c r="E2526" s="393">
        <v>400018838</v>
      </c>
      <c r="F2526" s="392" t="s">
        <v>3162</v>
      </c>
      <c r="G2526" s="392" t="s">
        <v>5324</v>
      </c>
      <c r="H2526" s="392" t="s">
        <v>5314</v>
      </c>
      <c r="I2526" s="392" t="s">
        <v>1756</v>
      </c>
      <c r="J2526" s="392" t="s">
        <v>8605</v>
      </c>
      <c r="K2526" s="392" t="s">
        <v>7782</v>
      </c>
      <c r="L2526" s="392" t="s">
        <v>2845</v>
      </c>
      <c r="M2526" s="392" t="s">
        <v>7273</v>
      </c>
      <c r="N2526" s="392" t="s">
        <v>7273</v>
      </c>
      <c r="O2526" s="392" t="s">
        <v>7273</v>
      </c>
      <c r="P2526"/>
      <c r="Q2526"/>
      <c r="R2526" s="387">
        <f>VLOOKUP(E2526,'[1]NDB Impacted SPRFs 05032013'!$A$2:$A$65536,1,FALSE)</f>
        <v>400018838</v>
      </c>
      <c r="S2526" s="159"/>
      <c r="T2526" s="159"/>
      <c r="U2526" s="159"/>
    </row>
    <row r="2527" spans="1:21" ht="45" x14ac:dyDescent="0.25">
      <c r="A2527" s="63">
        <f>MATCH($E2527,'D1 - Master Project Table'!$B$24:$B$7056,0)</f>
        <v>2711</v>
      </c>
      <c r="B2527" s="63" t="b">
        <f t="shared" si="117"/>
        <v>0</v>
      </c>
      <c r="C2527" s="63" t="b">
        <f t="shared" si="118"/>
        <v>1</v>
      </c>
      <c r="D2527" s="63" t="str">
        <f t="shared" si="119"/>
        <v>OK</v>
      </c>
      <c r="E2527" s="393">
        <v>400018967</v>
      </c>
      <c r="F2527" s="392" t="s">
        <v>4164</v>
      </c>
      <c r="G2527" s="392" t="s">
        <v>5324</v>
      </c>
      <c r="H2527" s="392" t="s">
        <v>5314</v>
      </c>
      <c r="I2527" s="392" t="s">
        <v>1759</v>
      </c>
      <c r="J2527" s="392" t="s">
        <v>8604</v>
      </c>
      <c r="K2527" s="392" t="s">
        <v>4462</v>
      </c>
      <c r="L2527" s="392" t="s">
        <v>2845</v>
      </c>
      <c r="M2527" s="392" t="s">
        <v>7273</v>
      </c>
      <c r="N2527" s="392" t="s">
        <v>7273</v>
      </c>
      <c r="O2527" s="392" t="s">
        <v>7273</v>
      </c>
      <c r="P2527"/>
      <c r="Q2527"/>
      <c r="R2527" s="387">
        <f>VLOOKUP(E2527,'[1]NDB Impacted SPRFs 05032013'!$A$2:$A$65536,1,FALSE)</f>
        <v>400018967</v>
      </c>
    </row>
    <row r="2528" spans="1:21" ht="30" x14ac:dyDescent="0.25">
      <c r="A2528" s="63">
        <f>MATCH($E2528,'D1 - Master Project Table'!$B$24:$B$7056,0)</f>
        <v>806</v>
      </c>
      <c r="B2528" s="63" t="b">
        <f t="shared" si="117"/>
        <v>0</v>
      </c>
      <c r="C2528" s="63" t="b">
        <f t="shared" si="118"/>
        <v>1</v>
      </c>
      <c r="D2528" s="63" t="str">
        <f t="shared" si="119"/>
        <v>OK</v>
      </c>
      <c r="E2528" s="393">
        <v>400018987</v>
      </c>
      <c r="F2528" s="392" t="s">
        <v>4531</v>
      </c>
      <c r="G2528" s="392" t="s">
        <v>5787</v>
      </c>
      <c r="H2528" s="392" t="s">
        <v>7418</v>
      </c>
      <c r="I2528" s="392" t="s">
        <v>1775</v>
      </c>
      <c r="J2528" s="392" t="s">
        <v>5583</v>
      </c>
      <c r="K2528" s="392" t="s">
        <v>4084</v>
      </c>
      <c r="L2528" s="392" t="s">
        <v>2845</v>
      </c>
      <c r="M2528" s="392" t="s">
        <v>7273</v>
      </c>
      <c r="N2528" s="392" t="s">
        <v>7273</v>
      </c>
      <c r="O2528" s="392" t="s">
        <v>7273</v>
      </c>
      <c r="P2528"/>
      <c r="Q2528"/>
      <c r="R2528" s="387">
        <f>VLOOKUP(E2528,'[1]NDB Impacted SPRFs 05032013'!$A$2:$A$65536,1,FALSE)</f>
        <v>400018987</v>
      </c>
      <c r="S2528" s="159"/>
      <c r="T2528" s="159"/>
      <c r="U2528" s="159"/>
    </row>
    <row r="2529" spans="1:21" ht="45" x14ac:dyDescent="0.25">
      <c r="A2529" s="63">
        <f>MATCH($E2529,'D1 - Master Project Table'!$B$24:$B$7056,0)</f>
        <v>2719</v>
      </c>
      <c r="B2529" s="63" t="b">
        <f t="shared" si="117"/>
        <v>0</v>
      </c>
      <c r="C2529" s="63" t="b">
        <f t="shared" si="118"/>
        <v>1</v>
      </c>
      <c r="D2529" s="63" t="str">
        <f t="shared" si="119"/>
        <v>OK</v>
      </c>
      <c r="E2529" s="393">
        <v>400019086</v>
      </c>
      <c r="F2529" s="392" t="s">
        <v>4017</v>
      </c>
      <c r="G2529" s="392" t="s">
        <v>5324</v>
      </c>
      <c r="H2529" s="392" t="s">
        <v>5314</v>
      </c>
      <c r="I2529" s="392" t="s">
        <v>1759</v>
      </c>
      <c r="J2529" s="392" t="s">
        <v>8601</v>
      </c>
      <c r="K2529" s="392" t="s">
        <v>7062</v>
      </c>
      <c r="L2529" s="392" t="s">
        <v>2845</v>
      </c>
      <c r="M2529" s="392" t="s">
        <v>7273</v>
      </c>
      <c r="N2529" s="392" t="s">
        <v>7273</v>
      </c>
      <c r="O2529" s="392" t="s">
        <v>7273</v>
      </c>
      <c r="P2529"/>
      <c r="Q2529"/>
      <c r="R2529" s="387">
        <f>VLOOKUP(E2529,'[1]NDB Impacted SPRFs 05032013'!$A$2:$A$65536,1,FALSE)</f>
        <v>400019086</v>
      </c>
      <c r="S2529" s="159"/>
      <c r="T2529" s="159"/>
      <c r="U2529" s="159"/>
    </row>
    <row r="2530" spans="1:21" ht="45" x14ac:dyDescent="0.25">
      <c r="A2530" s="63">
        <f>MATCH($E2530,'D1 - Master Project Table'!$B$24:$B$7056,0)</f>
        <v>836</v>
      </c>
      <c r="B2530" s="63" t="b">
        <f t="shared" si="117"/>
        <v>0</v>
      </c>
      <c r="C2530" s="63" t="b">
        <f t="shared" si="118"/>
        <v>1</v>
      </c>
      <c r="D2530" s="63" t="str">
        <f t="shared" si="119"/>
        <v>OK</v>
      </c>
      <c r="E2530" s="393">
        <v>400019613</v>
      </c>
      <c r="F2530" s="392" t="s">
        <v>1251</v>
      </c>
      <c r="G2530" s="392" t="s">
        <v>5324</v>
      </c>
      <c r="H2530" s="392" t="s">
        <v>7418</v>
      </c>
      <c r="I2530" s="392" t="s">
        <v>1762</v>
      </c>
      <c r="J2530" s="392" t="s">
        <v>8355</v>
      </c>
      <c r="K2530" s="392" t="s">
        <v>4442</v>
      </c>
      <c r="L2530" s="392" t="s">
        <v>2845</v>
      </c>
      <c r="M2530" s="392" t="s">
        <v>7273</v>
      </c>
      <c r="N2530" s="392" t="s">
        <v>7273</v>
      </c>
      <c r="O2530" s="392" t="s">
        <v>7273</v>
      </c>
      <c r="P2530"/>
      <c r="Q2530"/>
      <c r="R2530" s="387">
        <f>VLOOKUP(E2530,'[1]NDB Impacted SPRFs 05032013'!$A$2:$A$65536,1,FALSE)</f>
        <v>400019613</v>
      </c>
      <c r="S2530" s="159"/>
      <c r="T2530" s="159"/>
      <c r="U2530" s="159"/>
    </row>
    <row r="2531" spans="1:21" ht="45" x14ac:dyDescent="0.25">
      <c r="A2531" s="63">
        <f>MATCH($E2531,'D1 - Master Project Table'!$B$24:$B$7056,0)</f>
        <v>896</v>
      </c>
      <c r="B2531" s="63" t="b">
        <f t="shared" si="117"/>
        <v>0</v>
      </c>
      <c r="C2531" s="63" t="b">
        <f t="shared" si="118"/>
        <v>1</v>
      </c>
      <c r="D2531" s="63" t="str">
        <f t="shared" si="119"/>
        <v>OK</v>
      </c>
      <c r="E2531" s="393">
        <v>400019899</v>
      </c>
      <c r="F2531" s="392" t="s">
        <v>6704</v>
      </c>
      <c r="G2531" s="392" t="s">
        <v>5324</v>
      </c>
      <c r="H2531" s="392" t="s">
        <v>7418</v>
      </c>
      <c r="I2531" s="392" t="s">
        <v>1759</v>
      </c>
      <c r="J2531" s="392" t="s">
        <v>8601</v>
      </c>
      <c r="K2531" s="392" t="s">
        <v>7062</v>
      </c>
      <c r="L2531" s="392" t="s">
        <v>2845</v>
      </c>
      <c r="M2531" s="392" t="s">
        <v>7273</v>
      </c>
      <c r="N2531" s="392" t="s">
        <v>7273</v>
      </c>
      <c r="O2531" s="392" t="s">
        <v>7273</v>
      </c>
      <c r="P2531"/>
      <c r="Q2531"/>
      <c r="R2531" s="387">
        <f>VLOOKUP(E2531,'[1]NDB Impacted SPRFs 05032013'!$A$2:$A$65536,1,FALSE)</f>
        <v>400019899</v>
      </c>
      <c r="S2531" s="159"/>
      <c r="T2531" s="159"/>
      <c r="U2531" s="159"/>
    </row>
    <row r="2532" spans="1:21" ht="45" x14ac:dyDescent="0.25">
      <c r="A2532" s="63">
        <f>MATCH($E2532,'D1 - Master Project Table'!$B$24:$B$7056,0)</f>
        <v>854</v>
      </c>
      <c r="B2532" s="63" t="b">
        <f t="shared" si="117"/>
        <v>0</v>
      </c>
      <c r="C2532" s="63" t="b">
        <f t="shared" si="118"/>
        <v>1</v>
      </c>
      <c r="D2532" s="63" t="str">
        <f t="shared" si="119"/>
        <v>OK</v>
      </c>
      <c r="E2532" s="393">
        <v>400019916</v>
      </c>
      <c r="F2532" s="392" t="s">
        <v>4626</v>
      </c>
      <c r="G2532" s="392" t="s">
        <v>5324</v>
      </c>
      <c r="H2532" s="392" t="s">
        <v>7418</v>
      </c>
      <c r="I2532" s="392" t="s">
        <v>1759</v>
      </c>
      <c r="J2532" s="392" t="s">
        <v>8379</v>
      </c>
      <c r="K2532" s="392" t="s">
        <v>7062</v>
      </c>
      <c r="L2532" s="392" t="s">
        <v>2845</v>
      </c>
      <c r="M2532" s="392" t="s">
        <v>7273</v>
      </c>
      <c r="N2532" s="392" t="s">
        <v>7273</v>
      </c>
      <c r="O2532" s="392" t="s">
        <v>7273</v>
      </c>
      <c r="P2532"/>
      <c r="Q2532"/>
      <c r="R2532" s="387">
        <f>VLOOKUP(E2532,'[1]NDB Impacted SPRFs 05032013'!$A$2:$A$65536,1,FALSE)</f>
        <v>400019916</v>
      </c>
      <c r="S2532" s="159"/>
      <c r="T2532" s="159"/>
      <c r="U2532" s="159"/>
    </row>
    <row r="2533" spans="1:21" ht="45" x14ac:dyDescent="0.25">
      <c r="A2533" s="63">
        <f>MATCH($E2533,'D1 - Master Project Table'!$B$24:$B$7056,0)</f>
        <v>2735</v>
      </c>
      <c r="B2533" s="63" t="b">
        <f t="shared" si="117"/>
        <v>0</v>
      </c>
      <c r="C2533" s="63" t="b">
        <f t="shared" si="118"/>
        <v>1</v>
      </c>
      <c r="D2533" s="63" t="str">
        <f t="shared" si="119"/>
        <v>OK</v>
      </c>
      <c r="E2533" s="393">
        <v>400020051</v>
      </c>
      <c r="F2533" s="392" t="s">
        <v>6237</v>
      </c>
      <c r="G2533" s="392" t="s">
        <v>5324</v>
      </c>
      <c r="H2533" s="392" t="s">
        <v>5314</v>
      </c>
      <c r="I2533" s="392" t="s">
        <v>1759</v>
      </c>
      <c r="J2533" s="392" t="s">
        <v>8364</v>
      </c>
      <c r="K2533" s="392" t="s">
        <v>7046</v>
      </c>
      <c r="L2533" s="392" t="s">
        <v>2845</v>
      </c>
      <c r="M2533" s="392" t="s">
        <v>7273</v>
      </c>
      <c r="N2533" s="392" t="s">
        <v>7273</v>
      </c>
      <c r="O2533" s="392" t="s">
        <v>7273</v>
      </c>
      <c r="P2533"/>
      <c r="Q2533"/>
      <c r="R2533" s="387">
        <f>VLOOKUP(E2533,'[1]NDB Impacted SPRFs 05032013'!$A$2:$A$65536,1,FALSE)</f>
        <v>400020051</v>
      </c>
      <c r="S2533" s="159"/>
      <c r="T2533" s="159"/>
      <c r="U2533" s="159"/>
    </row>
    <row r="2534" spans="1:21" ht="45" x14ac:dyDescent="0.25">
      <c r="A2534" s="63">
        <f>MATCH($E2534,'D1 - Master Project Table'!$B$24:$B$7056,0)</f>
        <v>2740</v>
      </c>
      <c r="B2534" s="63" t="b">
        <f t="shared" si="117"/>
        <v>0</v>
      </c>
      <c r="C2534" s="63" t="b">
        <f t="shared" si="118"/>
        <v>1</v>
      </c>
      <c r="D2534" s="63" t="str">
        <f t="shared" si="119"/>
        <v>OK</v>
      </c>
      <c r="E2534" s="393">
        <v>400020588</v>
      </c>
      <c r="F2534" s="392" t="s">
        <v>2808</v>
      </c>
      <c r="G2534" s="392" t="s">
        <v>5324</v>
      </c>
      <c r="H2534" s="392" t="s">
        <v>5314</v>
      </c>
      <c r="I2534" s="392" t="s">
        <v>1756</v>
      </c>
      <c r="J2534" s="392" t="s">
        <v>8388</v>
      </c>
      <c r="K2534" s="392" t="s">
        <v>8075</v>
      </c>
      <c r="L2534" s="392" t="s">
        <v>2845</v>
      </c>
      <c r="M2534" s="392" t="s">
        <v>7273</v>
      </c>
      <c r="N2534" s="392" t="s">
        <v>7273</v>
      </c>
      <c r="O2534" s="392" t="s">
        <v>7273</v>
      </c>
      <c r="P2534"/>
      <c r="Q2534"/>
      <c r="R2534" s="387">
        <f>VLOOKUP(E2534,'[1]NDB Impacted SPRFs 05032013'!$A$2:$A$65536,1,FALSE)</f>
        <v>400020588</v>
      </c>
      <c r="S2534" s="159"/>
      <c r="T2534" s="159"/>
      <c r="U2534" s="159"/>
    </row>
    <row r="2535" spans="1:21" ht="45" x14ac:dyDescent="0.25">
      <c r="A2535" s="63" t="e">
        <f>MATCH($E2535,'D1 - Master Project Table'!$B$24:$B$7056,0)</f>
        <v>#N/A</v>
      </c>
      <c r="B2535" s="63" t="b">
        <f t="shared" si="117"/>
        <v>1</v>
      </c>
      <c r="C2535" s="63" t="b">
        <f t="shared" si="118"/>
        <v>1</v>
      </c>
      <c r="D2535" s="63" t="str">
        <f t="shared" si="119"/>
        <v>OK</v>
      </c>
      <c r="E2535" s="393">
        <v>400020785</v>
      </c>
      <c r="F2535" s="392" t="s">
        <v>2803</v>
      </c>
      <c r="G2535" s="392" t="s">
        <v>5324</v>
      </c>
      <c r="H2535" s="392" t="s">
        <v>5314</v>
      </c>
      <c r="I2535" s="392" t="s">
        <v>1759</v>
      </c>
      <c r="J2535" s="392" t="s">
        <v>8383</v>
      </c>
      <c r="K2535" s="392" t="s">
        <v>6162</v>
      </c>
      <c r="L2535" s="392" t="s">
        <v>2845</v>
      </c>
      <c r="M2535" s="392" t="s">
        <v>7273</v>
      </c>
      <c r="N2535" s="392" t="s">
        <v>7273</v>
      </c>
      <c r="O2535" s="392" t="s">
        <v>7273</v>
      </c>
      <c r="P2535"/>
      <c r="Q2535"/>
      <c r="R2535" s="387">
        <f>VLOOKUP(E2535,'[1]NDB Impacted SPRFs 05032013'!$A$2:$A$65536,1,FALSE)</f>
        <v>400020785</v>
      </c>
      <c r="S2535" s="159"/>
      <c r="T2535" s="159"/>
      <c r="U2535" s="159"/>
    </row>
    <row r="2536" spans="1:21" ht="30" x14ac:dyDescent="0.25">
      <c r="A2536" s="63">
        <f>MATCH($E2536,'D1 - Master Project Table'!$B$24:$B$7056,0)</f>
        <v>780</v>
      </c>
      <c r="B2536" s="63" t="b">
        <f t="shared" si="117"/>
        <v>0</v>
      </c>
      <c r="C2536" s="63" t="b">
        <f t="shared" si="118"/>
        <v>1</v>
      </c>
      <c r="D2536" s="63" t="str">
        <f t="shared" si="119"/>
        <v>OK</v>
      </c>
      <c r="E2536" s="393">
        <v>400020858</v>
      </c>
      <c r="F2536" s="392" t="s">
        <v>8048</v>
      </c>
      <c r="G2536" s="392" t="s">
        <v>3441</v>
      </c>
      <c r="H2536" s="392" t="s">
        <v>7418</v>
      </c>
      <c r="I2536" s="392" t="s">
        <v>2662</v>
      </c>
      <c r="J2536" s="392" t="s">
        <v>8382</v>
      </c>
      <c r="K2536" s="392" t="s">
        <v>3089</v>
      </c>
      <c r="L2536" s="392" t="s">
        <v>2845</v>
      </c>
      <c r="M2536" s="392" t="s">
        <v>7273</v>
      </c>
      <c r="N2536" s="392" t="s">
        <v>7273</v>
      </c>
      <c r="O2536" s="392" t="s">
        <v>7273</v>
      </c>
      <c r="P2536"/>
      <c r="Q2536"/>
      <c r="R2536" s="387">
        <f>VLOOKUP(E2536,'[1]NDB Impacted SPRFs 05032013'!$A$2:$A$65536,1,FALSE)</f>
        <v>400020858</v>
      </c>
      <c r="S2536" s="159"/>
      <c r="T2536" s="159"/>
      <c r="U2536" s="159"/>
    </row>
    <row r="2537" spans="1:21" ht="45" x14ac:dyDescent="0.25">
      <c r="A2537" s="63">
        <f>MATCH($E2537,'D1 - Master Project Table'!$B$24:$B$7056,0)</f>
        <v>781</v>
      </c>
      <c r="B2537" s="63" t="b">
        <f t="shared" si="117"/>
        <v>0</v>
      </c>
      <c r="C2537" s="63" t="b">
        <f t="shared" si="118"/>
        <v>1</v>
      </c>
      <c r="D2537" s="63" t="str">
        <f t="shared" si="119"/>
        <v>OK</v>
      </c>
      <c r="E2537" s="393">
        <v>400020870</v>
      </c>
      <c r="F2537" s="392" t="s">
        <v>4916</v>
      </c>
      <c r="G2537" s="392" t="s">
        <v>5324</v>
      </c>
      <c r="H2537" s="392" t="s">
        <v>7418</v>
      </c>
      <c r="I2537" s="392" t="s">
        <v>1756</v>
      </c>
      <c r="J2537" s="392" t="s">
        <v>8388</v>
      </c>
      <c r="K2537" s="392" t="s">
        <v>5017</v>
      </c>
      <c r="L2537" s="392" t="s">
        <v>2845</v>
      </c>
      <c r="M2537" s="392" t="s">
        <v>7273</v>
      </c>
      <c r="N2537" s="392" t="s">
        <v>7273</v>
      </c>
      <c r="O2537" s="392" t="s">
        <v>7273</v>
      </c>
      <c r="P2537"/>
      <c r="Q2537"/>
      <c r="R2537" s="387">
        <f>VLOOKUP(E2537,'[1]NDB Impacted SPRFs 05032013'!$A$2:$A$65536,1,FALSE)</f>
        <v>400020870</v>
      </c>
      <c r="S2537" s="159"/>
      <c r="T2537" s="159"/>
      <c r="U2537" s="159"/>
    </row>
    <row r="2538" spans="1:21" ht="45" x14ac:dyDescent="0.25">
      <c r="A2538" s="63" t="e">
        <f>MATCH($E2538,'D1 - Master Project Table'!$B$24:$B$7056,0)</f>
        <v>#N/A</v>
      </c>
      <c r="B2538" s="63" t="b">
        <f t="shared" si="117"/>
        <v>1</v>
      </c>
      <c r="C2538" s="63" t="b">
        <f t="shared" si="118"/>
        <v>1</v>
      </c>
      <c r="D2538" s="63" t="str">
        <f t="shared" si="119"/>
        <v>OK</v>
      </c>
      <c r="E2538" s="393">
        <v>400020926</v>
      </c>
      <c r="F2538" s="392" t="s">
        <v>7466</v>
      </c>
      <c r="G2538" s="392" t="s">
        <v>5324</v>
      </c>
      <c r="H2538" s="392" t="s">
        <v>5314</v>
      </c>
      <c r="I2538" s="392" t="s">
        <v>1763</v>
      </c>
      <c r="J2538" s="392" t="s">
        <v>8580</v>
      </c>
      <c r="K2538" s="392" t="s">
        <v>5740</v>
      </c>
      <c r="L2538" s="392" t="s">
        <v>2845</v>
      </c>
      <c r="M2538" s="392" t="s">
        <v>7273</v>
      </c>
      <c r="N2538" s="392" t="s">
        <v>7273</v>
      </c>
      <c r="O2538" s="392" t="s">
        <v>7273</v>
      </c>
      <c r="P2538"/>
      <c r="Q2538"/>
      <c r="R2538" s="387">
        <f>VLOOKUP(E2538,'[1]NDB Impacted SPRFs 05032013'!$A$2:$A$65536,1,FALSE)</f>
        <v>400020926</v>
      </c>
      <c r="S2538" s="159"/>
      <c r="T2538" s="159"/>
      <c r="U2538" s="159"/>
    </row>
    <row r="2539" spans="1:21" ht="45" x14ac:dyDescent="0.25">
      <c r="A2539" s="63">
        <f>MATCH($E2539,'D1 - Master Project Table'!$B$24:$B$7056,0)</f>
        <v>2748</v>
      </c>
      <c r="B2539" s="63" t="b">
        <f t="shared" si="117"/>
        <v>0</v>
      </c>
      <c r="C2539" s="63" t="b">
        <f t="shared" si="118"/>
        <v>1</v>
      </c>
      <c r="D2539" s="63" t="str">
        <f t="shared" si="119"/>
        <v>OK</v>
      </c>
      <c r="E2539" s="393">
        <v>400020965</v>
      </c>
      <c r="F2539" s="392" t="s">
        <v>4927</v>
      </c>
      <c r="G2539" s="392" t="s">
        <v>5324</v>
      </c>
      <c r="H2539" s="392" t="s">
        <v>5314</v>
      </c>
      <c r="I2539" s="392" t="s">
        <v>1756</v>
      </c>
      <c r="J2539" s="392" t="s">
        <v>1618</v>
      </c>
      <c r="K2539" s="392" t="s">
        <v>6371</v>
      </c>
      <c r="L2539" s="392" t="s">
        <v>2845</v>
      </c>
      <c r="M2539" s="392" t="s">
        <v>7273</v>
      </c>
      <c r="N2539" s="392" t="s">
        <v>7273</v>
      </c>
      <c r="O2539" s="392" t="s">
        <v>7273</v>
      </c>
      <c r="P2539"/>
      <c r="Q2539"/>
      <c r="R2539" s="387">
        <f>VLOOKUP(E2539,'[1]NDB Impacted SPRFs 05032013'!$A$2:$A$65536,1,FALSE)</f>
        <v>400020965</v>
      </c>
    </row>
    <row r="2540" spans="1:21" ht="45" x14ac:dyDescent="0.25">
      <c r="A2540" s="63">
        <f>MATCH($E2540,'D1 - Master Project Table'!$B$24:$B$7056,0)</f>
        <v>782</v>
      </c>
      <c r="B2540" s="63" t="b">
        <f t="shared" si="117"/>
        <v>0</v>
      </c>
      <c r="C2540" s="63" t="b">
        <f t="shared" si="118"/>
        <v>1</v>
      </c>
      <c r="D2540" s="63" t="str">
        <f t="shared" si="119"/>
        <v>OK</v>
      </c>
      <c r="E2540" s="393">
        <v>400021008</v>
      </c>
      <c r="F2540" s="392" t="s">
        <v>4569</v>
      </c>
      <c r="G2540" s="392" t="s">
        <v>5324</v>
      </c>
      <c r="H2540" s="392" t="s">
        <v>7418</v>
      </c>
      <c r="I2540" s="392" t="s">
        <v>1756</v>
      </c>
      <c r="J2540" s="392" t="s">
        <v>8388</v>
      </c>
      <c r="K2540" s="392" t="s">
        <v>8075</v>
      </c>
      <c r="L2540" s="392" t="s">
        <v>2845</v>
      </c>
      <c r="M2540" s="392" t="s">
        <v>7273</v>
      </c>
      <c r="N2540" s="392" t="s">
        <v>7273</v>
      </c>
      <c r="O2540" s="392" t="s">
        <v>7273</v>
      </c>
      <c r="P2540"/>
      <c r="Q2540"/>
      <c r="R2540" s="387">
        <f>VLOOKUP(E2540,'[1]NDB Impacted SPRFs 05032013'!$A$2:$A$65536,1,FALSE)</f>
        <v>400021008</v>
      </c>
    </row>
    <row r="2541" spans="1:21" ht="45" x14ac:dyDescent="0.25">
      <c r="A2541" s="63">
        <f>MATCH($E2541,'D1 - Master Project Table'!$B$24:$B$7056,0)</f>
        <v>838</v>
      </c>
      <c r="B2541" s="63" t="b">
        <f t="shared" si="117"/>
        <v>0</v>
      </c>
      <c r="C2541" s="63" t="b">
        <f t="shared" si="118"/>
        <v>1</v>
      </c>
      <c r="D2541" s="63" t="str">
        <f t="shared" si="119"/>
        <v>OK</v>
      </c>
      <c r="E2541" s="393">
        <v>400021024</v>
      </c>
      <c r="F2541" s="392" t="s">
        <v>3262</v>
      </c>
      <c r="G2541" s="392" t="s">
        <v>5324</v>
      </c>
      <c r="H2541" s="392" t="s">
        <v>7418</v>
      </c>
      <c r="I2541" s="392" t="s">
        <v>1759</v>
      </c>
      <c r="J2541" s="392" t="s">
        <v>8317</v>
      </c>
      <c r="K2541" s="392" t="s">
        <v>2819</v>
      </c>
      <c r="L2541" s="392" t="s">
        <v>2845</v>
      </c>
      <c r="M2541" s="392" t="s">
        <v>7273</v>
      </c>
      <c r="N2541" s="392" t="s">
        <v>7273</v>
      </c>
      <c r="O2541" s="392" t="s">
        <v>7273</v>
      </c>
      <c r="P2541"/>
      <c r="Q2541"/>
      <c r="R2541" s="387">
        <f>VLOOKUP(E2541,'[1]NDB Impacted SPRFs 05032013'!$A$2:$A$65536,1,FALSE)</f>
        <v>400021024</v>
      </c>
      <c r="S2541" s="159"/>
      <c r="T2541" s="159"/>
      <c r="U2541" s="159"/>
    </row>
    <row r="2542" spans="1:21" ht="45" x14ac:dyDescent="0.25">
      <c r="A2542" s="63">
        <f>MATCH($E2542,'D1 - Master Project Table'!$B$24:$B$7056,0)</f>
        <v>800</v>
      </c>
      <c r="B2542" s="63" t="b">
        <f t="shared" si="117"/>
        <v>0</v>
      </c>
      <c r="C2542" s="63" t="b">
        <f t="shared" si="118"/>
        <v>1</v>
      </c>
      <c r="D2542" s="63" t="str">
        <f t="shared" si="119"/>
        <v>OK</v>
      </c>
      <c r="E2542" s="393">
        <v>400021069</v>
      </c>
      <c r="F2542" s="392" t="s">
        <v>5409</v>
      </c>
      <c r="G2542" s="392" t="s">
        <v>5324</v>
      </c>
      <c r="H2542" s="392" t="s">
        <v>7418</v>
      </c>
      <c r="I2542" s="392" t="s">
        <v>1756</v>
      </c>
      <c r="J2542" s="392" t="s">
        <v>8388</v>
      </c>
      <c r="K2542" s="392" t="s">
        <v>8075</v>
      </c>
      <c r="L2542" s="392" t="s">
        <v>2845</v>
      </c>
      <c r="M2542" s="392" t="s">
        <v>7273</v>
      </c>
      <c r="N2542" s="392" t="s">
        <v>7273</v>
      </c>
      <c r="O2542" s="392" t="s">
        <v>7273</v>
      </c>
      <c r="P2542"/>
      <c r="Q2542"/>
      <c r="R2542" s="387">
        <f>VLOOKUP(E2542,'[1]NDB Impacted SPRFs 05032013'!$A$2:$A$65536,1,FALSE)</f>
        <v>400021069</v>
      </c>
      <c r="S2542" s="159"/>
      <c r="T2542" s="159"/>
      <c r="U2542" s="159"/>
    </row>
    <row r="2543" spans="1:21" ht="45" x14ac:dyDescent="0.25">
      <c r="A2543" s="63">
        <f>MATCH($E2543,'D1 - Master Project Table'!$B$24:$B$7056,0)</f>
        <v>839</v>
      </c>
      <c r="B2543" s="63" t="b">
        <f t="shared" si="117"/>
        <v>0</v>
      </c>
      <c r="C2543" s="63" t="b">
        <f t="shared" si="118"/>
        <v>1</v>
      </c>
      <c r="D2543" s="63" t="str">
        <f t="shared" si="119"/>
        <v>OK</v>
      </c>
      <c r="E2543" s="393">
        <v>400021070</v>
      </c>
      <c r="F2543" s="392" t="s">
        <v>6817</v>
      </c>
      <c r="G2543" s="392" t="s">
        <v>5324</v>
      </c>
      <c r="H2543" s="392" t="s">
        <v>7418</v>
      </c>
      <c r="I2543" s="392" t="s">
        <v>1756</v>
      </c>
      <c r="J2543" s="392" t="s">
        <v>8388</v>
      </c>
      <c r="K2543" s="392" t="s">
        <v>8075</v>
      </c>
      <c r="L2543" s="392" t="s">
        <v>2845</v>
      </c>
      <c r="M2543" s="392" t="s">
        <v>7273</v>
      </c>
      <c r="N2543" s="392" t="s">
        <v>7273</v>
      </c>
      <c r="O2543" s="392" t="s">
        <v>7273</v>
      </c>
      <c r="P2543"/>
      <c r="Q2543"/>
      <c r="R2543" s="387">
        <f>VLOOKUP(E2543,'[1]NDB Impacted SPRFs 05032013'!$A$2:$A$65536,1,FALSE)</f>
        <v>400021070</v>
      </c>
    </row>
    <row r="2544" spans="1:21" ht="45" x14ac:dyDescent="0.25">
      <c r="A2544" s="63">
        <f>MATCH($E2544,'D1 - Master Project Table'!$B$24:$B$7056,0)</f>
        <v>801</v>
      </c>
      <c r="B2544" s="63" t="b">
        <f t="shared" ref="B2544:B2607" si="120">ISERROR(A2544)</f>
        <v>0</v>
      </c>
      <c r="C2544" s="63" t="b">
        <f t="shared" si="118"/>
        <v>1</v>
      </c>
      <c r="D2544" s="63" t="str">
        <f t="shared" si="119"/>
        <v>OK</v>
      </c>
      <c r="E2544" s="393">
        <v>400021103</v>
      </c>
      <c r="F2544" s="392" t="s">
        <v>3746</v>
      </c>
      <c r="G2544" s="392" t="s">
        <v>5324</v>
      </c>
      <c r="H2544" s="392" t="s">
        <v>7418</v>
      </c>
      <c r="I2544" s="392" t="s">
        <v>1756</v>
      </c>
      <c r="J2544" s="392" t="s">
        <v>8388</v>
      </c>
      <c r="K2544" s="392" t="s">
        <v>8075</v>
      </c>
      <c r="L2544" s="392" t="s">
        <v>2845</v>
      </c>
      <c r="M2544" s="392" t="s">
        <v>7273</v>
      </c>
      <c r="N2544" s="392" t="s">
        <v>7273</v>
      </c>
      <c r="O2544" s="392" t="s">
        <v>7273</v>
      </c>
      <c r="P2544"/>
      <c r="Q2544"/>
      <c r="R2544" s="387">
        <f>VLOOKUP(E2544,'[1]NDB Impacted SPRFs 05032013'!$A$2:$A$65536,1,FALSE)</f>
        <v>400021103</v>
      </c>
    </row>
    <row r="2545" spans="1:21" ht="45" x14ac:dyDescent="0.25">
      <c r="A2545" s="63">
        <f>MATCH($E2545,'D1 - Master Project Table'!$B$24:$B$7056,0)</f>
        <v>882</v>
      </c>
      <c r="B2545" s="63" t="b">
        <f t="shared" si="120"/>
        <v>0</v>
      </c>
      <c r="C2545" s="63" t="b">
        <f t="shared" si="118"/>
        <v>1</v>
      </c>
      <c r="D2545" s="63" t="str">
        <f t="shared" si="119"/>
        <v>OK</v>
      </c>
      <c r="E2545" s="393">
        <v>400021249</v>
      </c>
      <c r="F2545" s="392" t="s">
        <v>3932</v>
      </c>
      <c r="G2545" s="392" t="s">
        <v>5324</v>
      </c>
      <c r="H2545" s="392" t="s">
        <v>7418</v>
      </c>
      <c r="I2545" s="392" t="s">
        <v>1759</v>
      </c>
      <c r="J2545" s="392" t="s">
        <v>8379</v>
      </c>
      <c r="K2545" s="392" t="s">
        <v>7062</v>
      </c>
      <c r="L2545" s="392" t="s">
        <v>2845</v>
      </c>
      <c r="M2545" s="392" t="s">
        <v>7273</v>
      </c>
      <c r="N2545" s="392" t="s">
        <v>7273</v>
      </c>
      <c r="O2545" s="392" t="s">
        <v>7273</v>
      </c>
      <c r="P2545"/>
      <c r="Q2545"/>
      <c r="R2545" s="387">
        <f>VLOOKUP(E2545,'[1]NDB Impacted SPRFs 05032013'!$A$2:$A$65536,1,FALSE)</f>
        <v>400021249</v>
      </c>
      <c r="S2545" s="159"/>
      <c r="T2545" s="159"/>
      <c r="U2545" s="159"/>
    </row>
    <row r="2546" spans="1:21" ht="45" x14ac:dyDescent="0.25">
      <c r="A2546" s="63">
        <f>MATCH($E2546,'D1 - Master Project Table'!$B$24:$B$7056,0)</f>
        <v>808</v>
      </c>
      <c r="B2546" s="63" t="b">
        <f t="shared" si="120"/>
        <v>0</v>
      </c>
      <c r="C2546" s="63" t="b">
        <f t="shared" si="118"/>
        <v>1</v>
      </c>
      <c r="D2546" s="63" t="str">
        <f t="shared" si="119"/>
        <v>OK</v>
      </c>
      <c r="E2546" s="393">
        <v>400021363</v>
      </c>
      <c r="F2546" s="392" t="s">
        <v>4316</v>
      </c>
      <c r="G2546" s="392" t="s">
        <v>5324</v>
      </c>
      <c r="H2546" s="392" t="s">
        <v>7418</v>
      </c>
      <c r="I2546" s="392" t="s">
        <v>1763</v>
      </c>
      <c r="J2546" s="392" t="s">
        <v>8388</v>
      </c>
      <c r="K2546" s="392" t="s">
        <v>8075</v>
      </c>
      <c r="L2546" s="392" t="s">
        <v>2845</v>
      </c>
      <c r="M2546" s="392" t="s">
        <v>7273</v>
      </c>
      <c r="N2546" s="392" t="s">
        <v>7273</v>
      </c>
      <c r="O2546" s="392" t="s">
        <v>7273</v>
      </c>
      <c r="P2546"/>
      <c r="Q2546"/>
      <c r="R2546" s="387">
        <f>VLOOKUP(E2546,'[1]NDB Impacted SPRFs 05032013'!$A$2:$A$65536,1,FALSE)</f>
        <v>400021363</v>
      </c>
    </row>
    <row r="2547" spans="1:21" ht="45" x14ac:dyDescent="0.25">
      <c r="A2547" s="63">
        <f>MATCH($E2547,'D1 - Master Project Table'!$B$24:$B$7056,0)</f>
        <v>2763</v>
      </c>
      <c r="B2547" s="63" t="b">
        <f t="shared" si="120"/>
        <v>0</v>
      </c>
      <c r="C2547" s="63" t="b">
        <f t="shared" si="118"/>
        <v>1</v>
      </c>
      <c r="D2547" s="63" t="str">
        <f t="shared" si="119"/>
        <v>OK</v>
      </c>
      <c r="E2547" s="393">
        <v>400021411</v>
      </c>
      <c r="F2547" s="392" t="s">
        <v>1525</v>
      </c>
      <c r="G2547" s="392" t="s">
        <v>5324</v>
      </c>
      <c r="H2547" s="392" t="s">
        <v>5314</v>
      </c>
      <c r="I2547" s="392" t="s">
        <v>1756</v>
      </c>
      <c r="J2547" s="392" t="s">
        <v>8388</v>
      </c>
      <c r="K2547" s="392" t="s">
        <v>8075</v>
      </c>
      <c r="L2547" s="392" t="s">
        <v>2845</v>
      </c>
      <c r="M2547" s="392" t="s">
        <v>7273</v>
      </c>
      <c r="N2547" s="392" t="s">
        <v>7273</v>
      </c>
      <c r="O2547" s="392" t="s">
        <v>7273</v>
      </c>
      <c r="P2547"/>
      <c r="Q2547"/>
      <c r="R2547" s="387">
        <f>VLOOKUP(E2547,'[1]NDB Impacted SPRFs 05032013'!$A$2:$A$65536,1,FALSE)</f>
        <v>400021411</v>
      </c>
      <c r="S2547" s="159"/>
      <c r="T2547" s="159"/>
      <c r="U2547" s="159"/>
    </row>
    <row r="2548" spans="1:21" ht="45" x14ac:dyDescent="0.25">
      <c r="A2548" s="63" t="e">
        <f>MATCH($E2548,'D1 - Master Project Table'!$B$24:$B$7056,0)</f>
        <v>#N/A</v>
      </c>
      <c r="B2548" s="63" t="b">
        <f t="shared" si="120"/>
        <v>1</v>
      </c>
      <c r="C2548" s="63" t="b">
        <f t="shared" si="118"/>
        <v>1</v>
      </c>
      <c r="D2548" s="63" t="str">
        <f t="shared" si="119"/>
        <v>OK</v>
      </c>
      <c r="E2548" s="393">
        <v>400021418</v>
      </c>
      <c r="F2548" s="392" t="s">
        <v>6800</v>
      </c>
      <c r="G2548" s="392" t="s">
        <v>5324</v>
      </c>
      <c r="H2548" s="392" t="s">
        <v>5314</v>
      </c>
      <c r="I2548" s="392" t="s">
        <v>1759</v>
      </c>
      <c r="J2548" s="392" t="s">
        <v>1499</v>
      </c>
      <c r="K2548" s="392" t="s">
        <v>7024</v>
      </c>
      <c r="L2548" s="392" t="s">
        <v>2845</v>
      </c>
      <c r="M2548" s="392" t="s">
        <v>7273</v>
      </c>
      <c r="N2548" s="392" t="s">
        <v>7273</v>
      </c>
      <c r="O2548" s="392" t="s">
        <v>7273</v>
      </c>
      <c r="P2548"/>
      <c r="Q2548"/>
      <c r="R2548" s="387">
        <f>VLOOKUP(E2548,'[1]NDB Impacted SPRFs 05032013'!$A$2:$A$65536,1,FALSE)</f>
        <v>400021418</v>
      </c>
      <c r="S2548" s="159"/>
      <c r="T2548" s="159"/>
      <c r="U2548" s="159"/>
    </row>
    <row r="2549" spans="1:21" ht="45" x14ac:dyDescent="0.25">
      <c r="A2549" s="63">
        <f>MATCH($E2549,'D1 - Master Project Table'!$B$24:$B$7056,0)</f>
        <v>2765</v>
      </c>
      <c r="B2549" s="63" t="b">
        <f t="shared" si="120"/>
        <v>0</v>
      </c>
      <c r="C2549" s="63" t="b">
        <f t="shared" si="118"/>
        <v>1</v>
      </c>
      <c r="D2549" s="63" t="str">
        <f t="shared" si="119"/>
        <v>OK</v>
      </c>
      <c r="E2549" s="393">
        <v>400021424</v>
      </c>
      <c r="F2549" s="392" t="s">
        <v>4968</v>
      </c>
      <c r="G2549" s="392" t="s">
        <v>5324</v>
      </c>
      <c r="H2549" s="392" t="s">
        <v>5314</v>
      </c>
      <c r="I2549" s="392" t="s">
        <v>1764</v>
      </c>
      <c r="J2549" s="392" t="s">
        <v>5168</v>
      </c>
      <c r="K2549" s="392" t="s">
        <v>2074</v>
      </c>
      <c r="L2549" s="392" t="s">
        <v>2845</v>
      </c>
      <c r="M2549" s="392" t="s">
        <v>7273</v>
      </c>
      <c r="N2549" s="392" t="s">
        <v>7273</v>
      </c>
      <c r="O2549" s="392" t="s">
        <v>7273</v>
      </c>
      <c r="P2549"/>
      <c r="Q2549"/>
      <c r="R2549" s="387">
        <f>VLOOKUP(E2549,'[1]NDB Impacted SPRFs 05032013'!$A$2:$A$65536,1,FALSE)</f>
        <v>400021424</v>
      </c>
      <c r="S2549" s="159"/>
      <c r="T2549" s="159"/>
      <c r="U2549" s="159"/>
    </row>
    <row r="2550" spans="1:21" ht="45" x14ac:dyDescent="0.25">
      <c r="A2550" s="63">
        <f>MATCH($E2550,'D1 - Master Project Table'!$B$24:$B$7056,0)</f>
        <v>1954</v>
      </c>
      <c r="B2550" s="63" t="b">
        <f t="shared" si="120"/>
        <v>0</v>
      </c>
      <c r="C2550" s="63" t="b">
        <f t="shared" si="118"/>
        <v>1</v>
      </c>
      <c r="D2550" s="63" t="str">
        <f t="shared" si="119"/>
        <v>OK</v>
      </c>
      <c r="E2550" s="393">
        <v>400021471</v>
      </c>
      <c r="F2550" s="392" t="s">
        <v>6800</v>
      </c>
      <c r="G2550" s="392" t="s">
        <v>5324</v>
      </c>
      <c r="H2550" s="392" t="s">
        <v>7418</v>
      </c>
      <c r="I2550" s="392" t="s">
        <v>1759</v>
      </c>
      <c r="J2550" s="392" t="s">
        <v>1499</v>
      </c>
      <c r="K2550" s="392" t="s">
        <v>7024</v>
      </c>
      <c r="L2550" s="392" t="s">
        <v>2845</v>
      </c>
      <c r="M2550" s="392" t="s">
        <v>7273</v>
      </c>
      <c r="N2550" s="392" t="s">
        <v>7273</v>
      </c>
      <c r="O2550" s="392" t="s">
        <v>7273</v>
      </c>
      <c r="P2550"/>
      <c r="Q2550"/>
      <c r="R2550" s="387">
        <f>VLOOKUP(E2550,'[1]NDB Impacted SPRFs 05032013'!$A$2:$A$65536,1,FALSE)</f>
        <v>400021471</v>
      </c>
    </row>
    <row r="2551" spans="1:21" ht="60.75" customHeight="1" x14ac:dyDescent="0.25">
      <c r="A2551" s="190">
        <f>MATCH($E2551,'D1 - Master Project Table'!$B$24:$B$7056,0)</f>
        <v>809</v>
      </c>
      <c r="B2551" s="190" t="b">
        <f t="shared" si="120"/>
        <v>0</v>
      </c>
      <c r="C2551" s="190" t="b">
        <f t="shared" si="118"/>
        <v>1</v>
      </c>
      <c r="D2551" s="190" t="str">
        <f t="shared" si="119"/>
        <v>OK</v>
      </c>
      <c r="E2551" s="393">
        <v>400021609</v>
      </c>
      <c r="F2551" s="392" t="s">
        <v>2350</v>
      </c>
      <c r="G2551" s="392" t="s">
        <v>2041</v>
      </c>
      <c r="H2551" s="392" t="s">
        <v>5314</v>
      </c>
      <c r="I2551" s="392" t="s">
        <v>3629</v>
      </c>
      <c r="J2551" s="392" t="s">
        <v>8714</v>
      </c>
      <c r="K2551" s="392" t="s">
        <v>4142</v>
      </c>
      <c r="L2551" s="392" t="s">
        <v>2845</v>
      </c>
      <c r="M2551" s="392" t="s">
        <v>7273</v>
      </c>
      <c r="N2551" s="392" t="s">
        <v>7273</v>
      </c>
      <c r="O2551" s="392" t="s">
        <v>7273</v>
      </c>
      <c r="P2551"/>
      <c r="Q2551"/>
      <c r="R2551" s="387">
        <f>VLOOKUP(E2551,'[1]NDB Impacted SPRFs 05032013'!$A$2:$A$65536,1,FALSE)</f>
        <v>400021609</v>
      </c>
    </row>
    <row r="2552" spans="1:21" ht="45" customHeight="1" x14ac:dyDescent="0.25">
      <c r="A2552" s="190">
        <f>MATCH($E2552,'D1 - Master Project Table'!$B$24:$B$7056,0)</f>
        <v>1955</v>
      </c>
      <c r="B2552" s="190" t="b">
        <f t="shared" si="120"/>
        <v>0</v>
      </c>
      <c r="C2552" s="190" t="b">
        <f t="shared" si="118"/>
        <v>1</v>
      </c>
      <c r="D2552" s="190" t="str">
        <f t="shared" si="119"/>
        <v>OK</v>
      </c>
      <c r="E2552" s="393">
        <v>400021614</v>
      </c>
      <c r="F2552" s="392" t="s">
        <v>4618</v>
      </c>
      <c r="G2552" s="392" t="s">
        <v>5324</v>
      </c>
      <c r="H2552" s="392" t="s">
        <v>7418</v>
      </c>
      <c r="I2552" s="392" t="s">
        <v>1756</v>
      </c>
      <c r="J2552" s="392" t="s">
        <v>8388</v>
      </c>
      <c r="K2552" s="392" t="s">
        <v>8075</v>
      </c>
      <c r="L2552" s="392" t="s">
        <v>2845</v>
      </c>
      <c r="M2552" s="392" t="s">
        <v>7273</v>
      </c>
      <c r="N2552" s="392" t="s">
        <v>7273</v>
      </c>
      <c r="O2552" s="392" t="s">
        <v>7273</v>
      </c>
      <c r="P2552" s="198" t="s">
        <v>9368</v>
      </c>
      <c r="R2552" s="387">
        <f>VLOOKUP(E2552,'[1]NDB Impacted SPRFs 05032013'!$A$2:$A$65536,1,FALSE)</f>
        <v>400021614</v>
      </c>
    </row>
    <row r="2553" spans="1:21" ht="45" x14ac:dyDescent="0.25">
      <c r="A2553" s="190">
        <f>MATCH($E2553,'D1 - Master Project Table'!$B$24:$B$7056,0)</f>
        <v>841</v>
      </c>
      <c r="B2553" s="190" t="b">
        <f t="shared" si="120"/>
        <v>0</v>
      </c>
      <c r="C2553" s="190" t="b">
        <f t="shared" si="118"/>
        <v>1</v>
      </c>
      <c r="D2553" s="190" t="str">
        <f t="shared" si="119"/>
        <v>OK</v>
      </c>
      <c r="E2553" s="393">
        <v>400021818</v>
      </c>
      <c r="F2553" s="392" t="s">
        <v>6687</v>
      </c>
      <c r="G2553" s="392" t="s">
        <v>5324</v>
      </c>
      <c r="H2553" s="392" t="s">
        <v>7418</v>
      </c>
      <c r="I2553" s="392" t="s">
        <v>1764</v>
      </c>
      <c r="J2553" s="392" t="s">
        <v>8420</v>
      </c>
      <c r="K2553" s="392" t="s">
        <v>7401</v>
      </c>
      <c r="L2553" s="392" t="s">
        <v>2845</v>
      </c>
      <c r="M2553" s="392" t="s">
        <v>7273</v>
      </c>
      <c r="N2553" s="392" t="s">
        <v>7273</v>
      </c>
      <c r="O2553" s="392" t="s">
        <v>7273</v>
      </c>
      <c r="P2553" s="212"/>
      <c r="Q2553" s="212"/>
      <c r="R2553" s="387">
        <f>VLOOKUP(E2553,'[1]NDB Impacted SPRFs 05032013'!$A$2:$A$65536,1,FALSE)</f>
        <v>400021818</v>
      </c>
      <c r="S2553" s="159"/>
      <c r="T2553" s="159"/>
      <c r="U2553" s="159"/>
    </row>
    <row r="2554" spans="1:21" ht="25.5" customHeight="1" x14ac:dyDescent="0.25">
      <c r="A2554" s="190">
        <f>MATCH($E2554,'D1 - Master Project Table'!$B$24:$B$7056,0)</f>
        <v>2777</v>
      </c>
      <c r="B2554" s="190" t="b">
        <f t="shared" si="120"/>
        <v>0</v>
      </c>
      <c r="C2554" s="190" t="b">
        <f t="shared" si="118"/>
        <v>1</v>
      </c>
      <c r="D2554" s="190" t="str">
        <f t="shared" si="119"/>
        <v>OK</v>
      </c>
      <c r="E2554" s="393">
        <v>400021854</v>
      </c>
      <c r="F2554" s="392" t="s">
        <v>6786</v>
      </c>
      <c r="G2554" s="392" t="s">
        <v>5995</v>
      </c>
      <c r="H2554" s="392" t="s">
        <v>5314</v>
      </c>
      <c r="I2554" s="392" t="s">
        <v>6423</v>
      </c>
      <c r="J2554" s="392" t="s">
        <v>5658</v>
      </c>
      <c r="K2554" s="392" t="s">
        <v>6787</v>
      </c>
      <c r="L2554" s="392" t="s">
        <v>2845</v>
      </c>
      <c r="M2554" s="392" t="s">
        <v>7273</v>
      </c>
      <c r="N2554" s="392" t="s">
        <v>7273</v>
      </c>
      <c r="O2554" s="392" t="s">
        <v>7273</v>
      </c>
      <c r="P2554"/>
      <c r="Q2554"/>
      <c r="R2554" s="387">
        <f>VLOOKUP(E2554,'[1]NDB Impacted SPRFs 05032013'!$A$2:$A$65536,1,FALSE)</f>
        <v>400021854</v>
      </c>
      <c r="S2554" s="159"/>
      <c r="T2554" s="159"/>
      <c r="U2554" s="159"/>
    </row>
    <row r="2555" spans="1:21" ht="45" x14ac:dyDescent="0.25">
      <c r="A2555" s="190" t="e">
        <f>MATCH($E2555,'D1 - Master Project Table'!$B$24:$B$7056,0)</f>
        <v>#N/A</v>
      </c>
      <c r="B2555" s="190" t="b">
        <f t="shared" si="120"/>
        <v>1</v>
      </c>
      <c r="C2555" s="190" t="b">
        <f t="shared" si="118"/>
        <v>1</v>
      </c>
      <c r="D2555" s="190" t="str">
        <f t="shared" si="119"/>
        <v>OK</v>
      </c>
      <c r="E2555" s="393">
        <v>400022308</v>
      </c>
      <c r="F2555" s="392" t="s">
        <v>6246</v>
      </c>
      <c r="G2555" s="392" t="s">
        <v>5324</v>
      </c>
      <c r="H2555" s="392" t="s">
        <v>7418</v>
      </c>
      <c r="I2555" s="392" t="s">
        <v>1756</v>
      </c>
      <c r="J2555" s="392" t="s">
        <v>1618</v>
      </c>
      <c r="K2555" s="392" t="s">
        <v>1506</v>
      </c>
      <c r="L2555" s="392" t="s">
        <v>2845</v>
      </c>
      <c r="M2555" s="392" t="s">
        <v>7273</v>
      </c>
      <c r="N2555" s="392" t="s">
        <v>7273</v>
      </c>
      <c r="O2555" s="392" t="s">
        <v>7273</v>
      </c>
      <c r="P2555"/>
      <c r="Q2555"/>
      <c r="R2555" s="387">
        <f>VLOOKUP(E2555,'[1]NDB Impacted SPRFs 05032013'!$A$2:$A$65536,1,FALSE)</f>
        <v>400022308</v>
      </c>
      <c r="S2555" s="159"/>
      <c r="T2555" s="159"/>
      <c r="U2555" s="159"/>
    </row>
    <row r="2556" spans="1:21" ht="45" x14ac:dyDescent="0.25">
      <c r="A2556" s="63" t="e">
        <f>MATCH($E2556,'D1 - Master Project Table'!$B$24:$B$7056,0)</f>
        <v>#N/A</v>
      </c>
      <c r="B2556" s="63" t="b">
        <f t="shared" si="120"/>
        <v>1</v>
      </c>
      <c r="C2556" s="63" t="b">
        <f t="shared" si="118"/>
        <v>1</v>
      </c>
      <c r="D2556" s="190" t="str">
        <f t="shared" si="119"/>
        <v>OK</v>
      </c>
      <c r="E2556" s="393">
        <v>400022341</v>
      </c>
      <c r="F2556" s="392" t="s">
        <v>4347</v>
      </c>
      <c r="G2556" s="392" t="s">
        <v>5324</v>
      </c>
      <c r="H2556" s="392" t="s">
        <v>5314</v>
      </c>
      <c r="I2556" s="392" t="s">
        <v>1764</v>
      </c>
      <c r="J2556" s="392" t="s">
        <v>8420</v>
      </c>
      <c r="K2556" s="392" t="s">
        <v>7401</v>
      </c>
      <c r="L2556" s="392" t="s">
        <v>2845</v>
      </c>
      <c r="M2556" s="392" t="s">
        <v>7273</v>
      </c>
      <c r="N2556" s="392" t="s">
        <v>7273</v>
      </c>
      <c r="O2556" s="392" t="s">
        <v>7273</v>
      </c>
      <c r="P2556"/>
      <c r="Q2556"/>
      <c r="R2556" s="387">
        <f>VLOOKUP(E2556,'[1]NDB Impacted SPRFs 05032013'!$A$2:$A$65536,1,FALSE)</f>
        <v>400022341</v>
      </c>
      <c r="S2556" s="159"/>
      <c r="T2556" s="159"/>
      <c r="U2556" s="159"/>
    </row>
    <row r="2557" spans="1:21" ht="45" x14ac:dyDescent="0.25">
      <c r="A2557" s="63" t="e">
        <f>MATCH($E2557,'D1 - Master Project Table'!$B$24:$B$7056,0)</f>
        <v>#N/A</v>
      </c>
      <c r="B2557" s="63" t="b">
        <f t="shared" si="120"/>
        <v>1</v>
      </c>
      <c r="C2557" s="63" t="b">
        <f t="shared" si="118"/>
        <v>1</v>
      </c>
      <c r="D2557" s="190" t="str">
        <f t="shared" si="119"/>
        <v>OK</v>
      </c>
      <c r="E2557" s="393">
        <v>400022357</v>
      </c>
      <c r="F2557" s="392" t="s">
        <v>6058</v>
      </c>
      <c r="G2557" s="392" t="s">
        <v>5324</v>
      </c>
      <c r="H2557" s="392" t="s">
        <v>5314</v>
      </c>
      <c r="I2557" s="392" t="s">
        <v>1759</v>
      </c>
      <c r="J2557" s="392" t="s">
        <v>8317</v>
      </c>
      <c r="K2557" s="392" t="s">
        <v>2819</v>
      </c>
      <c r="L2557" s="392" t="s">
        <v>2845</v>
      </c>
      <c r="M2557" s="392" t="s">
        <v>7273</v>
      </c>
      <c r="N2557" s="392" t="s">
        <v>7273</v>
      </c>
      <c r="O2557" s="392" t="s">
        <v>7273</v>
      </c>
      <c r="P2557"/>
      <c r="Q2557"/>
      <c r="R2557" s="387">
        <f>VLOOKUP(E2557,'[1]NDB Impacted SPRFs 05032013'!$A$2:$A$65536,1,FALSE)</f>
        <v>400022357</v>
      </c>
      <c r="S2557" s="159"/>
      <c r="T2557" s="159"/>
      <c r="U2557" s="159"/>
    </row>
    <row r="2558" spans="1:21" ht="45" x14ac:dyDescent="0.25">
      <c r="A2558" s="63">
        <f>MATCH($E2558,'D1 - Master Project Table'!$B$24:$B$7056,0)</f>
        <v>924</v>
      </c>
      <c r="B2558" s="63" t="b">
        <f t="shared" si="120"/>
        <v>0</v>
      </c>
      <c r="C2558" s="63" t="b">
        <f t="shared" si="118"/>
        <v>1</v>
      </c>
      <c r="D2558" s="190" t="str">
        <f t="shared" si="119"/>
        <v>OK</v>
      </c>
      <c r="E2558" s="393">
        <v>400022682</v>
      </c>
      <c r="F2558" s="392" t="s">
        <v>3759</v>
      </c>
      <c r="G2558" s="392" t="s">
        <v>5324</v>
      </c>
      <c r="H2558" s="392" t="s">
        <v>7418</v>
      </c>
      <c r="I2558" s="392" t="s">
        <v>1758</v>
      </c>
      <c r="J2558" s="392" t="s">
        <v>7233</v>
      </c>
      <c r="K2558" s="392" t="s">
        <v>3760</v>
      </c>
      <c r="L2558" s="392" t="s">
        <v>2845</v>
      </c>
      <c r="M2558" s="392" t="s">
        <v>7273</v>
      </c>
      <c r="N2558" s="392" t="s">
        <v>7273</v>
      </c>
      <c r="O2558" s="392" t="s">
        <v>7273</v>
      </c>
      <c r="R2558" s="387">
        <f>VLOOKUP(E2558,'[1]NDB Impacted SPRFs 05032013'!$A$2:$A$65536,1,FALSE)</f>
        <v>400022682</v>
      </c>
    </row>
    <row r="2559" spans="1:21" ht="30" x14ac:dyDescent="0.25">
      <c r="A2559" s="63">
        <f>MATCH($E2559,'D1 - Master Project Table'!$B$24:$B$7056,0)</f>
        <v>2794</v>
      </c>
      <c r="B2559" s="63" t="b">
        <f t="shared" si="120"/>
        <v>0</v>
      </c>
      <c r="C2559" s="63" t="b">
        <f t="shared" si="118"/>
        <v>1</v>
      </c>
      <c r="D2559" s="190" t="str">
        <f t="shared" si="119"/>
        <v>OK</v>
      </c>
      <c r="E2559" s="393">
        <v>400022943</v>
      </c>
      <c r="F2559" s="392" t="s">
        <v>6609</v>
      </c>
      <c r="G2559" s="392" t="s">
        <v>6322</v>
      </c>
      <c r="H2559" s="392" t="s">
        <v>5314</v>
      </c>
      <c r="I2559" s="392" t="s">
        <v>7594</v>
      </c>
      <c r="J2559" s="392" t="s">
        <v>4133</v>
      </c>
      <c r="K2559" s="392" t="s">
        <v>1515</v>
      </c>
      <c r="L2559" s="392" t="s">
        <v>2845</v>
      </c>
      <c r="M2559" s="392" t="s">
        <v>7273</v>
      </c>
      <c r="N2559" s="392" t="s">
        <v>7273</v>
      </c>
      <c r="O2559" s="392" t="s">
        <v>7273</v>
      </c>
      <c r="P2559"/>
      <c r="Q2559"/>
      <c r="R2559" s="387">
        <f>VLOOKUP(E2559,'[1]NDB Impacted SPRFs 05032013'!$A$2:$A$65536,1,FALSE)</f>
        <v>400022943</v>
      </c>
      <c r="S2559" s="159"/>
      <c r="T2559" s="159"/>
      <c r="U2559" s="159"/>
    </row>
    <row r="2560" spans="1:21" ht="45" x14ac:dyDescent="0.25">
      <c r="A2560" s="63">
        <f>MATCH($E2560,'D1 - Master Project Table'!$B$24:$B$7056,0)</f>
        <v>884</v>
      </c>
      <c r="B2560" s="63" t="b">
        <f t="shared" si="120"/>
        <v>0</v>
      </c>
      <c r="C2560" s="63" t="b">
        <f t="shared" si="118"/>
        <v>1</v>
      </c>
      <c r="D2560" s="190" t="str">
        <f t="shared" si="119"/>
        <v>OK</v>
      </c>
      <c r="E2560" s="393">
        <v>400023089</v>
      </c>
      <c r="F2560" s="392" t="s">
        <v>7730</v>
      </c>
      <c r="G2560" s="392" t="s">
        <v>5324</v>
      </c>
      <c r="H2560" s="392" t="s">
        <v>7418</v>
      </c>
      <c r="I2560" s="392" t="s">
        <v>1759</v>
      </c>
      <c r="J2560" s="392" t="s">
        <v>1499</v>
      </c>
      <c r="K2560" s="392" t="s">
        <v>7024</v>
      </c>
      <c r="L2560" s="392" t="s">
        <v>2845</v>
      </c>
      <c r="M2560" s="392" t="s">
        <v>7273</v>
      </c>
      <c r="N2560" s="392" t="s">
        <v>7273</v>
      </c>
      <c r="O2560" s="392" t="s">
        <v>7273</v>
      </c>
      <c r="P2560"/>
      <c r="Q2560"/>
      <c r="R2560" s="387">
        <f>VLOOKUP(E2560,'[1]NDB Impacted SPRFs 05032013'!$A$2:$A$65536,1,FALSE)</f>
        <v>400023089</v>
      </c>
      <c r="S2560" s="159"/>
      <c r="T2560" s="159"/>
      <c r="U2560" s="159"/>
    </row>
    <row r="2561" spans="1:21" ht="30" x14ac:dyDescent="0.25">
      <c r="A2561" s="63" t="e">
        <f>MATCH($E2561,'D1 - Master Project Table'!$B$24:$B$7056,0)</f>
        <v>#N/A</v>
      </c>
      <c r="B2561" s="63" t="b">
        <f t="shared" si="120"/>
        <v>1</v>
      </c>
      <c r="C2561" s="63" t="b">
        <f t="shared" si="118"/>
        <v>1</v>
      </c>
      <c r="D2561" s="190" t="str">
        <f t="shared" si="119"/>
        <v>OK</v>
      </c>
      <c r="E2561" s="393">
        <v>400023145</v>
      </c>
      <c r="F2561" s="392" t="s">
        <v>2854</v>
      </c>
      <c r="G2561" s="392" t="s">
        <v>6065</v>
      </c>
      <c r="H2561" s="392" t="s">
        <v>5314</v>
      </c>
      <c r="I2561" s="392" t="s">
        <v>2855</v>
      </c>
      <c r="J2561" s="392" t="s">
        <v>8298</v>
      </c>
      <c r="K2561" s="392" t="s">
        <v>5756</v>
      </c>
      <c r="L2561" s="392" t="s">
        <v>2845</v>
      </c>
      <c r="M2561" s="392" t="s">
        <v>7273</v>
      </c>
      <c r="N2561" s="392" t="s">
        <v>7273</v>
      </c>
      <c r="O2561" s="392" t="s">
        <v>7273</v>
      </c>
      <c r="P2561"/>
      <c r="Q2561"/>
      <c r="R2561" s="387">
        <f>VLOOKUP(E2561,'[1]NDB Impacted SPRFs 05032013'!$A$2:$A$65536,1,FALSE)</f>
        <v>400023145</v>
      </c>
      <c r="S2561" s="159"/>
      <c r="T2561" s="159"/>
      <c r="U2561" s="159"/>
    </row>
    <row r="2562" spans="1:21" ht="45" x14ac:dyDescent="0.25">
      <c r="A2562" s="63">
        <f>MATCH($E2562,'D1 - Master Project Table'!$B$24:$B$7056,0)</f>
        <v>981</v>
      </c>
      <c r="B2562" s="63" t="b">
        <f t="shared" si="120"/>
        <v>0</v>
      </c>
      <c r="C2562" s="63" t="b">
        <f t="shared" si="118"/>
        <v>1</v>
      </c>
      <c r="D2562" s="190" t="str">
        <f t="shared" si="119"/>
        <v>OK</v>
      </c>
      <c r="E2562" s="393">
        <v>400023298</v>
      </c>
      <c r="F2562" s="392" t="s">
        <v>4425</v>
      </c>
      <c r="G2562" s="392" t="s">
        <v>5324</v>
      </c>
      <c r="H2562" s="392" t="s">
        <v>7418</v>
      </c>
      <c r="I2562" s="392" t="s">
        <v>1757</v>
      </c>
      <c r="J2562" s="392" t="s">
        <v>7233</v>
      </c>
      <c r="K2562" s="392" t="s">
        <v>8075</v>
      </c>
      <c r="L2562" s="392" t="s">
        <v>2845</v>
      </c>
      <c r="M2562" s="392" t="s">
        <v>7273</v>
      </c>
      <c r="N2562" s="392" t="s">
        <v>7273</v>
      </c>
      <c r="O2562" s="392" t="s">
        <v>7273</v>
      </c>
      <c r="P2562"/>
      <c r="Q2562"/>
      <c r="R2562" s="387">
        <f>VLOOKUP(E2562,'[1]NDB Impacted SPRFs 05032013'!$A$2:$A$65536,1,FALSE)</f>
        <v>400023298</v>
      </c>
      <c r="S2562" s="159"/>
      <c r="T2562" s="159"/>
      <c r="U2562" s="159"/>
    </row>
    <row r="2563" spans="1:21" ht="30" x14ac:dyDescent="0.25">
      <c r="A2563" s="63" t="e">
        <f>MATCH($E2563,'D1 - Master Project Table'!$B$24:$B$7056,0)</f>
        <v>#N/A</v>
      </c>
      <c r="B2563" s="63" t="b">
        <f t="shared" si="120"/>
        <v>1</v>
      </c>
      <c r="C2563" s="63" t="b">
        <f t="shared" si="118"/>
        <v>1</v>
      </c>
      <c r="D2563" s="190" t="str">
        <f t="shared" si="119"/>
        <v>OK</v>
      </c>
      <c r="E2563" s="393">
        <v>400023339</v>
      </c>
      <c r="F2563" s="392" t="s">
        <v>3838</v>
      </c>
      <c r="G2563" s="392" t="s">
        <v>6065</v>
      </c>
      <c r="H2563" s="392" t="s">
        <v>5314</v>
      </c>
      <c r="I2563" s="392" t="s">
        <v>2855</v>
      </c>
      <c r="J2563" s="392" t="s">
        <v>8434</v>
      </c>
      <c r="K2563" s="392" t="s">
        <v>7062</v>
      </c>
      <c r="L2563" s="392" t="s">
        <v>2845</v>
      </c>
      <c r="M2563" s="392" t="s">
        <v>7273</v>
      </c>
      <c r="N2563" s="392" t="s">
        <v>7273</v>
      </c>
      <c r="O2563" s="392" t="s">
        <v>7273</v>
      </c>
      <c r="P2563"/>
      <c r="Q2563"/>
      <c r="R2563" s="387">
        <f>VLOOKUP(E2563,'[1]NDB Impacted SPRFs 05032013'!$A$2:$A$65536,1,FALSE)</f>
        <v>400023339</v>
      </c>
      <c r="S2563" s="159"/>
      <c r="T2563" s="159"/>
      <c r="U2563" s="159"/>
    </row>
    <row r="2564" spans="1:21" ht="45" x14ac:dyDescent="0.25">
      <c r="A2564" s="63">
        <f>MATCH($E2564,'D1 - Master Project Table'!$B$24:$B$7056,0)</f>
        <v>927</v>
      </c>
      <c r="B2564" s="63" t="b">
        <f t="shared" si="120"/>
        <v>0</v>
      </c>
      <c r="C2564" s="63" t="b">
        <f t="shared" si="118"/>
        <v>1</v>
      </c>
      <c r="D2564" s="190" t="str">
        <f t="shared" si="119"/>
        <v>OK</v>
      </c>
      <c r="E2564" s="393">
        <v>400023340</v>
      </c>
      <c r="F2564" s="392" t="s">
        <v>3838</v>
      </c>
      <c r="G2564" s="392" t="s">
        <v>5324</v>
      </c>
      <c r="H2564" s="392" t="s">
        <v>7418</v>
      </c>
      <c r="I2564" s="392" t="s">
        <v>1759</v>
      </c>
      <c r="J2564" s="392" t="s">
        <v>8434</v>
      </c>
      <c r="K2564" s="392" t="s">
        <v>7062</v>
      </c>
      <c r="L2564" s="392" t="s">
        <v>2845</v>
      </c>
      <c r="M2564" s="392" t="s">
        <v>7273</v>
      </c>
      <c r="N2564" s="392" t="s">
        <v>7273</v>
      </c>
      <c r="O2564" s="392" t="s">
        <v>7273</v>
      </c>
      <c r="P2564"/>
      <c r="Q2564"/>
      <c r="R2564" s="387">
        <f>VLOOKUP(E2564,'[1]NDB Impacted SPRFs 05032013'!$A$2:$A$65536,1,FALSE)</f>
        <v>400023340</v>
      </c>
    </row>
    <row r="2565" spans="1:21" ht="45" x14ac:dyDescent="0.25">
      <c r="A2565" s="63">
        <f>MATCH($E2565,'D1 - Master Project Table'!$B$24:$B$7056,0)</f>
        <v>906</v>
      </c>
      <c r="B2565" s="63" t="b">
        <f t="shared" si="120"/>
        <v>0</v>
      </c>
      <c r="C2565" s="63" t="b">
        <f t="shared" si="118"/>
        <v>1</v>
      </c>
      <c r="D2565" s="190" t="str">
        <f t="shared" si="119"/>
        <v>OK</v>
      </c>
      <c r="E2565" s="393">
        <v>400023392</v>
      </c>
      <c r="F2565" s="392" t="s">
        <v>3312</v>
      </c>
      <c r="G2565" s="392" t="s">
        <v>5324</v>
      </c>
      <c r="H2565" s="392" t="s">
        <v>7418</v>
      </c>
      <c r="I2565" s="392" t="s">
        <v>1763</v>
      </c>
      <c r="J2565" s="392" t="s">
        <v>8298</v>
      </c>
      <c r="K2565" s="392" t="s">
        <v>5756</v>
      </c>
      <c r="L2565" s="392" t="s">
        <v>2845</v>
      </c>
      <c r="M2565" s="392" t="s">
        <v>7273</v>
      </c>
      <c r="N2565" s="392" t="s">
        <v>7273</v>
      </c>
      <c r="O2565" s="392" t="s">
        <v>7273</v>
      </c>
      <c r="P2565"/>
      <c r="Q2565"/>
      <c r="R2565" s="387">
        <f>VLOOKUP(E2565,'[1]NDB Impacted SPRFs 05032013'!$A$2:$A$65536,1,FALSE)</f>
        <v>400023392</v>
      </c>
    </row>
    <row r="2566" spans="1:21" ht="45" x14ac:dyDescent="0.25">
      <c r="A2566" s="63">
        <f>MATCH($E2566,'D1 - Master Project Table'!$B$24:$B$7056,0)</f>
        <v>2216</v>
      </c>
      <c r="B2566" s="63" t="b">
        <f t="shared" si="120"/>
        <v>0</v>
      </c>
      <c r="C2566" s="63" t="b">
        <f t="shared" ref="C2566:C2633" si="121">OR(H2566="Completed",H2566="Cancelled")</f>
        <v>1</v>
      </c>
      <c r="D2566" s="190" t="str">
        <f t="shared" ref="D2566:D2629" si="122">IF(AND(B2566=TRUE,C2566=FALSE),"Add","OK")</f>
        <v>OK</v>
      </c>
      <c r="E2566" s="393">
        <v>400023446</v>
      </c>
      <c r="F2566" s="392" t="s">
        <v>2018</v>
      </c>
      <c r="G2566" s="392" t="s">
        <v>5324</v>
      </c>
      <c r="H2566" s="392" t="s">
        <v>5314</v>
      </c>
      <c r="I2566" s="392" t="s">
        <v>1763</v>
      </c>
      <c r="J2566" s="392" t="s">
        <v>8298</v>
      </c>
      <c r="K2566" s="392" t="s">
        <v>8075</v>
      </c>
      <c r="L2566" s="392" t="s">
        <v>2845</v>
      </c>
      <c r="M2566" s="392" t="s">
        <v>7273</v>
      </c>
      <c r="N2566" s="392" t="s">
        <v>7273</v>
      </c>
      <c r="O2566" s="392" t="s">
        <v>7273</v>
      </c>
      <c r="P2566"/>
      <c r="Q2566"/>
      <c r="R2566" s="387">
        <f>VLOOKUP(E2566,'[1]NDB Impacted SPRFs 05032013'!$A$2:$A$65536,1,FALSE)</f>
        <v>400023446</v>
      </c>
      <c r="S2566" s="159"/>
      <c r="T2566" s="159"/>
      <c r="U2566" s="159"/>
    </row>
    <row r="2567" spans="1:21" ht="45" x14ac:dyDescent="0.25">
      <c r="A2567" s="63">
        <f>MATCH($E2567,'D1 - Master Project Table'!$B$24:$B$7056,0)</f>
        <v>2809</v>
      </c>
      <c r="B2567" s="63" t="b">
        <f t="shared" si="120"/>
        <v>0</v>
      </c>
      <c r="C2567" s="63" t="b">
        <f t="shared" si="121"/>
        <v>1</v>
      </c>
      <c r="D2567" s="190" t="str">
        <f t="shared" si="122"/>
        <v>OK</v>
      </c>
      <c r="E2567" s="393">
        <v>400023803</v>
      </c>
      <c r="F2567" s="392" t="s">
        <v>5032</v>
      </c>
      <c r="G2567" s="392" t="s">
        <v>5324</v>
      </c>
      <c r="H2567" s="392" t="s">
        <v>5314</v>
      </c>
      <c r="I2567" s="392" t="s">
        <v>1757</v>
      </c>
      <c r="J2567" s="392" t="s">
        <v>8298</v>
      </c>
      <c r="K2567" s="392" t="s">
        <v>5756</v>
      </c>
      <c r="L2567" s="392" t="s">
        <v>2845</v>
      </c>
      <c r="M2567" s="392" t="s">
        <v>7273</v>
      </c>
      <c r="N2567" s="392" t="s">
        <v>7273</v>
      </c>
      <c r="O2567" s="392" t="s">
        <v>7273</v>
      </c>
      <c r="P2567"/>
      <c r="Q2567"/>
      <c r="R2567" s="387">
        <f>VLOOKUP(E2567,'[1]NDB Impacted SPRFs 05032013'!$A$2:$A$65536,1,FALSE)</f>
        <v>400023803</v>
      </c>
      <c r="S2567" s="159"/>
      <c r="T2567" s="159"/>
      <c r="U2567" s="159"/>
    </row>
    <row r="2568" spans="1:21" ht="30" x14ac:dyDescent="0.25">
      <c r="A2568" s="63">
        <f>MATCH($E2568,'D1 - Master Project Table'!$B$24:$B$7056,0)</f>
        <v>2217</v>
      </c>
      <c r="B2568" s="63" t="b">
        <f t="shared" si="120"/>
        <v>0</v>
      </c>
      <c r="C2568" s="63" t="b">
        <f t="shared" si="121"/>
        <v>1</v>
      </c>
      <c r="D2568" s="190" t="str">
        <f t="shared" si="122"/>
        <v>OK</v>
      </c>
      <c r="E2568" s="393">
        <v>400023858</v>
      </c>
      <c r="F2568" s="392" t="s">
        <v>4755</v>
      </c>
      <c r="G2568" s="392" t="s">
        <v>6322</v>
      </c>
      <c r="H2568" s="392" t="s">
        <v>5314</v>
      </c>
      <c r="I2568" s="392" t="s">
        <v>7594</v>
      </c>
      <c r="J2568" s="392" t="s">
        <v>7233</v>
      </c>
      <c r="K2568" s="392" t="s">
        <v>2856</v>
      </c>
      <c r="L2568" s="392" t="s">
        <v>2845</v>
      </c>
      <c r="M2568" s="392" t="s">
        <v>7273</v>
      </c>
      <c r="N2568" s="392" t="s">
        <v>7273</v>
      </c>
      <c r="O2568" s="392" t="s">
        <v>7273</v>
      </c>
      <c r="P2568"/>
      <c r="Q2568"/>
      <c r="R2568" s="387">
        <f>VLOOKUP(E2568,'[1]NDB Impacted SPRFs 05032013'!$A$2:$A$65536,1,FALSE)</f>
        <v>400023858</v>
      </c>
      <c r="S2568" s="159"/>
      <c r="T2568" s="159"/>
      <c r="U2568" s="159"/>
    </row>
    <row r="2569" spans="1:21" ht="45" x14ac:dyDescent="0.25">
      <c r="A2569" s="63">
        <f>MATCH($E2569,'D1 - Master Project Table'!$B$24:$B$7056,0)</f>
        <v>2820</v>
      </c>
      <c r="B2569" s="63" t="b">
        <f t="shared" si="120"/>
        <v>0</v>
      </c>
      <c r="C2569" s="63" t="b">
        <f t="shared" si="121"/>
        <v>1</v>
      </c>
      <c r="D2569" s="190" t="str">
        <f t="shared" si="122"/>
        <v>OK</v>
      </c>
      <c r="E2569" s="393">
        <v>400024367</v>
      </c>
      <c r="F2569" s="392" t="s">
        <v>6734</v>
      </c>
      <c r="G2569" s="392" t="s">
        <v>5324</v>
      </c>
      <c r="H2569" s="392" t="s">
        <v>5314</v>
      </c>
      <c r="I2569" s="392" t="s">
        <v>1788</v>
      </c>
      <c r="J2569" s="392" t="s">
        <v>8382</v>
      </c>
      <c r="K2569" s="392" t="s">
        <v>1506</v>
      </c>
      <c r="L2569" s="392" t="s">
        <v>2845</v>
      </c>
      <c r="M2569" s="392" t="s">
        <v>7273</v>
      </c>
      <c r="N2569" s="392" t="s">
        <v>7273</v>
      </c>
      <c r="O2569" s="392" t="s">
        <v>7273</v>
      </c>
      <c r="P2569"/>
      <c r="Q2569"/>
      <c r="R2569" s="387">
        <f>VLOOKUP(E2569,'[1]NDB Impacted SPRFs 05032013'!$A$2:$A$65536,1,FALSE)</f>
        <v>400024367</v>
      </c>
      <c r="S2569" s="159"/>
      <c r="T2569" s="159"/>
      <c r="U2569" s="159"/>
    </row>
    <row r="2570" spans="1:21" ht="45" x14ac:dyDescent="0.25">
      <c r="A2570" s="63">
        <f>MATCH($E2570,'D1 - Master Project Table'!$B$24:$B$7056,0)</f>
        <v>907</v>
      </c>
      <c r="B2570" s="63" t="b">
        <f t="shared" si="120"/>
        <v>0</v>
      </c>
      <c r="C2570" s="63" t="b">
        <f t="shared" si="121"/>
        <v>1</v>
      </c>
      <c r="D2570" s="190" t="str">
        <f t="shared" si="122"/>
        <v>OK</v>
      </c>
      <c r="E2570" s="393">
        <v>400024515</v>
      </c>
      <c r="F2570" s="392" t="s">
        <v>6048</v>
      </c>
      <c r="G2570" s="392" t="s">
        <v>5324</v>
      </c>
      <c r="H2570" s="392" t="s">
        <v>7418</v>
      </c>
      <c r="I2570" s="392" t="s">
        <v>1756</v>
      </c>
      <c r="J2570" s="392" t="s">
        <v>8388</v>
      </c>
      <c r="K2570" s="392" t="s">
        <v>3749</v>
      </c>
      <c r="L2570" s="392" t="s">
        <v>2845</v>
      </c>
      <c r="M2570" s="392" t="s">
        <v>7273</v>
      </c>
      <c r="N2570" s="392" t="s">
        <v>7273</v>
      </c>
      <c r="O2570" s="392" t="s">
        <v>7273</v>
      </c>
      <c r="P2570"/>
      <c r="Q2570"/>
      <c r="R2570" s="387">
        <f>VLOOKUP(E2570,'[1]NDB Impacted SPRFs 05032013'!$A$2:$A$65536,1,FALSE)</f>
        <v>400024515</v>
      </c>
    </row>
    <row r="2571" spans="1:21" ht="45" x14ac:dyDescent="0.25">
      <c r="A2571" s="63" t="e">
        <f>MATCH($E2571,'D1 - Master Project Table'!$B$24:$B$7056,0)</f>
        <v>#N/A</v>
      </c>
      <c r="B2571" s="63" t="b">
        <f t="shared" si="120"/>
        <v>1</v>
      </c>
      <c r="C2571" s="63" t="b">
        <f t="shared" si="121"/>
        <v>1</v>
      </c>
      <c r="D2571" s="190" t="str">
        <f t="shared" si="122"/>
        <v>OK</v>
      </c>
      <c r="E2571" s="393">
        <v>400024902</v>
      </c>
      <c r="F2571" s="392" t="s">
        <v>3171</v>
      </c>
      <c r="G2571" s="392" t="s">
        <v>5324</v>
      </c>
      <c r="H2571" s="392" t="s">
        <v>5314</v>
      </c>
      <c r="I2571" s="392" t="s">
        <v>1788</v>
      </c>
      <c r="J2571" s="392" t="s">
        <v>8382</v>
      </c>
      <c r="K2571" s="392" t="s">
        <v>1506</v>
      </c>
      <c r="L2571" s="392" t="s">
        <v>2845</v>
      </c>
      <c r="M2571" s="392" t="s">
        <v>7273</v>
      </c>
      <c r="N2571" s="392" t="s">
        <v>7273</v>
      </c>
      <c r="O2571" s="392" t="s">
        <v>7273</v>
      </c>
      <c r="P2571"/>
      <c r="Q2571"/>
      <c r="R2571" s="387">
        <f>VLOOKUP(E2571,'[1]NDB Impacted SPRFs 05032013'!$A$2:$A$65536,1,FALSE)</f>
        <v>400024902</v>
      </c>
      <c r="S2571" s="159"/>
      <c r="T2571" s="159"/>
      <c r="U2571" s="159"/>
    </row>
    <row r="2572" spans="1:21" ht="45" x14ac:dyDescent="0.25">
      <c r="A2572" s="63">
        <f>MATCH($E2572,'D1 - Master Project Table'!$B$24:$B$7056,0)</f>
        <v>991</v>
      </c>
      <c r="B2572" s="63" t="b">
        <f t="shared" si="120"/>
        <v>0</v>
      </c>
      <c r="C2572" s="63" t="b">
        <f t="shared" si="121"/>
        <v>1</v>
      </c>
      <c r="D2572" s="190" t="str">
        <f t="shared" si="122"/>
        <v>OK</v>
      </c>
      <c r="E2572" s="393">
        <v>400024967</v>
      </c>
      <c r="F2572" s="392" t="s">
        <v>2016</v>
      </c>
      <c r="G2572" s="392" t="s">
        <v>5324</v>
      </c>
      <c r="H2572" s="392" t="s">
        <v>7418</v>
      </c>
      <c r="I2572" s="392" t="s">
        <v>1757</v>
      </c>
      <c r="J2572" s="392" t="s">
        <v>8405</v>
      </c>
      <c r="K2572" s="392" t="s">
        <v>2017</v>
      </c>
      <c r="L2572" s="392" t="s">
        <v>2845</v>
      </c>
      <c r="M2572" s="392" t="s">
        <v>7273</v>
      </c>
      <c r="N2572" s="392" t="s">
        <v>7273</v>
      </c>
      <c r="O2572" s="392" t="s">
        <v>7273</v>
      </c>
      <c r="P2572"/>
      <c r="Q2572"/>
      <c r="R2572" s="387">
        <f>VLOOKUP(E2572,'[1]NDB Impacted SPRFs 05032013'!$A$2:$A$65536,1,FALSE)</f>
        <v>400024967</v>
      </c>
      <c r="S2572" s="159"/>
      <c r="T2572" s="159"/>
      <c r="U2572" s="159"/>
    </row>
    <row r="2573" spans="1:21" ht="30" x14ac:dyDescent="0.25">
      <c r="A2573" s="63">
        <f>MATCH($E2573,'D1 - Master Project Table'!$B$24:$B$7056,0)</f>
        <v>1967</v>
      </c>
      <c r="B2573" s="63" t="b">
        <f t="shared" si="120"/>
        <v>0</v>
      </c>
      <c r="C2573" s="63" t="b">
        <f t="shared" si="121"/>
        <v>1</v>
      </c>
      <c r="D2573" s="190" t="str">
        <f t="shared" si="122"/>
        <v>OK</v>
      </c>
      <c r="E2573" s="393">
        <v>400025084</v>
      </c>
      <c r="F2573" s="392" t="s">
        <v>2831</v>
      </c>
      <c r="G2573" s="392" t="s">
        <v>6322</v>
      </c>
      <c r="H2573" s="392" t="s">
        <v>7418</v>
      </c>
      <c r="I2573" s="392" t="s">
        <v>7594</v>
      </c>
      <c r="J2573" s="392" t="s">
        <v>8645</v>
      </c>
      <c r="K2573" s="392" t="s">
        <v>1515</v>
      </c>
      <c r="L2573" s="392" t="s">
        <v>2845</v>
      </c>
      <c r="M2573" s="392" t="s">
        <v>7273</v>
      </c>
      <c r="N2573" s="392" t="s">
        <v>7273</v>
      </c>
      <c r="O2573" s="392" t="s">
        <v>7273</v>
      </c>
      <c r="P2573"/>
      <c r="Q2573"/>
      <c r="R2573" s="387">
        <f>VLOOKUP(E2573,'[1]NDB Impacted SPRFs 05032013'!$A$2:$A$65536,1,FALSE)</f>
        <v>400025084</v>
      </c>
      <c r="S2573" s="159"/>
      <c r="T2573" s="159"/>
      <c r="U2573" s="159"/>
    </row>
    <row r="2574" spans="1:21" ht="45" x14ac:dyDescent="0.25">
      <c r="A2574" s="63">
        <f>MATCH($E2574,'D1 - Master Project Table'!$B$24:$B$7056,0)</f>
        <v>930</v>
      </c>
      <c r="B2574" s="63" t="b">
        <f t="shared" si="120"/>
        <v>0</v>
      </c>
      <c r="C2574" s="63" t="b">
        <f t="shared" si="121"/>
        <v>1</v>
      </c>
      <c r="D2574" s="190" t="str">
        <f t="shared" si="122"/>
        <v>OK</v>
      </c>
      <c r="E2574" s="393">
        <v>400025176</v>
      </c>
      <c r="F2574" s="392" t="s">
        <v>3558</v>
      </c>
      <c r="G2574" s="392" t="s">
        <v>5324</v>
      </c>
      <c r="H2574" s="392" t="s">
        <v>7418</v>
      </c>
      <c r="I2574" s="392" t="s">
        <v>1757</v>
      </c>
      <c r="J2574" s="392" t="s">
        <v>5168</v>
      </c>
      <c r="K2574" s="392" t="s">
        <v>5894</v>
      </c>
      <c r="L2574" s="392" t="s">
        <v>2845</v>
      </c>
      <c r="M2574" s="392" t="s">
        <v>7273</v>
      </c>
      <c r="N2574" s="392" t="s">
        <v>7273</v>
      </c>
      <c r="O2574" s="392" t="s">
        <v>7273</v>
      </c>
      <c r="P2574"/>
      <c r="Q2574"/>
      <c r="R2574" s="387">
        <f>VLOOKUP(E2574,'[1]NDB Impacted SPRFs 05032013'!$A$2:$A$65536,1,FALSE)</f>
        <v>400025176</v>
      </c>
    </row>
    <row r="2575" spans="1:21" ht="45" x14ac:dyDescent="0.25">
      <c r="A2575" s="63">
        <f>MATCH($E2575,'D1 - Master Project Table'!$B$24:$B$7056,0)</f>
        <v>2828</v>
      </c>
      <c r="B2575" s="63" t="b">
        <f t="shared" si="120"/>
        <v>0</v>
      </c>
      <c r="C2575" s="63" t="b">
        <f t="shared" si="121"/>
        <v>1</v>
      </c>
      <c r="D2575" s="190" t="str">
        <f t="shared" si="122"/>
        <v>OK</v>
      </c>
      <c r="E2575" s="393">
        <v>400025193</v>
      </c>
      <c r="F2575" s="392" t="s">
        <v>6730</v>
      </c>
      <c r="G2575" s="392" t="s">
        <v>5324</v>
      </c>
      <c r="H2575" s="392" t="s">
        <v>5314</v>
      </c>
      <c r="I2575" s="392" t="s">
        <v>1763</v>
      </c>
      <c r="J2575" s="392" t="s">
        <v>8314</v>
      </c>
      <c r="K2575" s="392" t="s">
        <v>6371</v>
      </c>
      <c r="L2575" s="392" t="s">
        <v>2845</v>
      </c>
      <c r="M2575" s="392" t="s">
        <v>7273</v>
      </c>
      <c r="N2575" s="392" t="s">
        <v>7273</v>
      </c>
      <c r="O2575" s="392" t="s">
        <v>7273</v>
      </c>
      <c r="P2575"/>
      <c r="Q2575"/>
      <c r="R2575" s="387">
        <f>VLOOKUP(E2575,'[1]NDB Impacted SPRFs 05032013'!$A$2:$A$65536,1,FALSE)</f>
        <v>400025193</v>
      </c>
      <c r="S2575" s="159"/>
      <c r="T2575" s="159"/>
      <c r="U2575" s="159"/>
    </row>
    <row r="2576" spans="1:21" ht="45" x14ac:dyDescent="0.25">
      <c r="A2576" s="63">
        <f>MATCH($E2576,'D1 - Master Project Table'!$B$24:$B$7056,0)</f>
        <v>2829</v>
      </c>
      <c r="B2576" s="63" t="b">
        <f t="shared" si="120"/>
        <v>0</v>
      </c>
      <c r="C2576" s="63" t="b">
        <f t="shared" si="121"/>
        <v>1</v>
      </c>
      <c r="D2576" s="190" t="str">
        <f t="shared" si="122"/>
        <v>OK</v>
      </c>
      <c r="E2576" s="393">
        <v>400025310</v>
      </c>
      <c r="F2576" s="392" t="s">
        <v>4162</v>
      </c>
      <c r="G2576" s="392" t="s">
        <v>5324</v>
      </c>
      <c r="H2576" s="392" t="s">
        <v>5314</v>
      </c>
      <c r="I2576" s="392" t="s">
        <v>1758</v>
      </c>
      <c r="J2576" s="392" t="s">
        <v>8495</v>
      </c>
      <c r="K2576" s="392" t="s">
        <v>5126</v>
      </c>
      <c r="L2576" s="392" t="s">
        <v>2845</v>
      </c>
      <c r="M2576" s="392" t="s">
        <v>7273</v>
      </c>
      <c r="N2576" s="392" t="s">
        <v>7273</v>
      </c>
      <c r="O2576" s="392" t="s">
        <v>7273</v>
      </c>
      <c r="P2576"/>
      <c r="Q2576"/>
      <c r="R2576" s="387">
        <f>VLOOKUP(E2576,'[1]NDB Impacted SPRFs 05032013'!$A$2:$A$65536,1,FALSE)</f>
        <v>400025310</v>
      </c>
      <c r="S2576" s="159"/>
      <c r="T2576" s="159"/>
      <c r="U2576" s="159"/>
    </row>
    <row r="2577" spans="1:21" ht="45" x14ac:dyDescent="0.25">
      <c r="A2577" s="63">
        <f>MATCH($E2577,'D1 - Master Project Table'!$B$24:$B$7056,0)</f>
        <v>1191</v>
      </c>
      <c r="B2577" s="63" t="b">
        <f t="shared" si="120"/>
        <v>0</v>
      </c>
      <c r="C2577" s="63" t="b">
        <f t="shared" si="121"/>
        <v>1</v>
      </c>
      <c r="D2577" s="191" t="str">
        <f t="shared" si="122"/>
        <v>OK</v>
      </c>
      <c r="E2577" s="393">
        <v>400025331</v>
      </c>
      <c r="F2577" s="392" t="s">
        <v>8130</v>
      </c>
      <c r="G2577" s="392" t="s">
        <v>5995</v>
      </c>
      <c r="H2577" s="392" t="s">
        <v>7418</v>
      </c>
      <c r="I2577" s="392" t="s">
        <v>6423</v>
      </c>
      <c r="J2577" s="392" t="s">
        <v>4424</v>
      </c>
      <c r="K2577" s="392" t="s">
        <v>8093</v>
      </c>
      <c r="L2577" s="392" t="s">
        <v>2845</v>
      </c>
      <c r="M2577" s="392" t="s">
        <v>7273</v>
      </c>
      <c r="N2577" s="392" t="s">
        <v>7273</v>
      </c>
      <c r="O2577" s="392" t="s">
        <v>7273</v>
      </c>
      <c r="P2577"/>
      <c r="Q2577"/>
      <c r="R2577" s="387">
        <f>VLOOKUP(E2577,'[1]NDB Impacted SPRFs 05032013'!$A$2:$A$65536,1,FALSE)</f>
        <v>400025331</v>
      </c>
      <c r="S2577" s="159"/>
      <c r="T2577" s="159"/>
      <c r="U2577" s="159"/>
    </row>
    <row r="2578" spans="1:21" ht="45" x14ac:dyDescent="0.25">
      <c r="A2578" s="191">
        <f>MATCH($E2578,'D1 - Master Project Table'!$B$24:$B$7056,0)</f>
        <v>948</v>
      </c>
      <c r="B2578" s="191" t="b">
        <f t="shared" si="120"/>
        <v>0</v>
      </c>
      <c r="C2578" s="191" t="b">
        <f t="shared" si="121"/>
        <v>1</v>
      </c>
      <c r="D2578" s="191" t="str">
        <f t="shared" si="122"/>
        <v>OK</v>
      </c>
      <c r="E2578" s="393">
        <v>400025357</v>
      </c>
      <c r="F2578" s="392" t="s">
        <v>4483</v>
      </c>
      <c r="G2578" s="392" t="s">
        <v>5324</v>
      </c>
      <c r="H2578" s="392" t="s">
        <v>7418</v>
      </c>
      <c r="I2578" s="392" t="s">
        <v>1788</v>
      </c>
      <c r="J2578" s="392" t="s">
        <v>8494</v>
      </c>
      <c r="K2578" s="392" t="s">
        <v>1506</v>
      </c>
      <c r="L2578" s="392" t="s">
        <v>2845</v>
      </c>
      <c r="M2578" s="392" t="s">
        <v>7273</v>
      </c>
      <c r="N2578" s="392" t="s">
        <v>7273</v>
      </c>
      <c r="O2578" s="392" t="s">
        <v>7273</v>
      </c>
      <c r="P2578"/>
      <c r="Q2578"/>
      <c r="R2578" s="387">
        <f>VLOOKUP(E2578,'[1]NDB Impacted SPRFs 05032013'!$A$2:$A$65536,1,FALSE)</f>
        <v>400025357</v>
      </c>
      <c r="S2578" s="159"/>
      <c r="T2578" s="159"/>
      <c r="U2578" s="159"/>
    </row>
    <row r="2579" spans="1:21" ht="45" x14ac:dyDescent="0.25">
      <c r="A2579" s="191">
        <f>MATCH($E2579,'D1 - Master Project Table'!$B$24:$B$7056,0)</f>
        <v>950</v>
      </c>
      <c r="B2579" s="191" t="b">
        <f t="shared" si="120"/>
        <v>0</v>
      </c>
      <c r="C2579" s="191" t="b">
        <f t="shared" si="121"/>
        <v>1</v>
      </c>
      <c r="D2579" s="191" t="str">
        <f t="shared" si="122"/>
        <v>OK</v>
      </c>
      <c r="E2579" s="393">
        <v>400025534</v>
      </c>
      <c r="F2579" s="392" t="s">
        <v>5186</v>
      </c>
      <c r="G2579" s="392" t="s">
        <v>5324</v>
      </c>
      <c r="H2579" s="392" t="s">
        <v>7418</v>
      </c>
      <c r="I2579" s="392" t="s">
        <v>1759</v>
      </c>
      <c r="J2579" s="392" t="s">
        <v>8388</v>
      </c>
      <c r="K2579" s="392" t="s">
        <v>3283</v>
      </c>
      <c r="L2579" s="392" t="s">
        <v>2845</v>
      </c>
      <c r="M2579" s="392" t="s">
        <v>7273</v>
      </c>
      <c r="N2579" s="392" t="s">
        <v>7273</v>
      </c>
      <c r="O2579" s="392" t="s">
        <v>7273</v>
      </c>
      <c r="P2579"/>
      <c r="Q2579"/>
      <c r="R2579" s="387">
        <f>VLOOKUP(E2579,'[1]NDB Impacted SPRFs 05032013'!$A$2:$A$65536,1,FALSE)</f>
        <v>400025534</v>
      </c>
      <c r="S2579" s="159"/>
      <c r="T2579" s="159"/>
      <c r="U2579" s="159"/>
    </row>
    <row r="2580" spans="1:21" ht="45" x14ac:dyDescent="0.25">
      <c r="A2580" s="191">
        <f>MATCH($E2580,'D1 - Master Project Table'!$B$24:$B$7056,0)</f>
        <v>964</v>
      </c>
      <c r="B2580" s="191" t="b">
        <f t="shared" si="120"/>
        <v>0</v>
      </c>
      <c r="C2580" s="191" t="b">
        <f t="shared" si="121"/>
        <v>1</v>
      </c>
      <c r="D2580" s="191" t="str">
        <f t="shared" si="122"/>
        <v>OK</v>
      </c>
      <c r="E2580" s="393">
        <v>400025580</v>
      </c>
      <c r="F2580" s="392" t="s">
        <v>4163</v>
      </c>
      <c r="G2580" s="392" t="s">
        <v>5324</v>
      </c>
      <c r="H2580" s="392" t="s">
        <v>7418</v>
      </c>
      <c r="I2580" s="392" t="s">
        <v>1759</v>
      </c>
      <c r="J2580" s="392" t="s">
        <v>8388</v>
      </c>
      <c r="K2580" s="392" t="s">
        <v>3283</v>
      </c>
      <c r="L2580" s="392" t="s">
        <v>2845</v>
      </c>
      <c r="M2580" s="392" t="s">
        <v>7273</v>
      </c>
      <c r="N2580" s="392" t="s">
        <v>7273</v>
      </c>
      <c r="O2580" s="392" t="s">
        <v>7273</v>
      </c>
      <c r="P2580"/>
      <c r="Q2580"/>
      <c r="R2580" s="387">
        <f>VLOOKUP(E2580,'[1]NDB Impacted SPRFs 05032013'!$A$2:$A$65536,1,FALSE)</f>
        <v>400025580</v>
      </c>
      <c r="S2580" s="159"/>
      <c r="T2580" s="159"/>
      <c r="U2580" s="159"/>
    </row>
    <row r="2581" spans="1:21" ht="30" x14ac:dyDescent="0.25">
      <c r="A2581" s="191" t="e">
        <f>MATCH($E2581,'D1 - Master Project Table'!$B$24:$B$7056,0)</f>
        <v>#N/A</v>
      </c>
      <c r="B2581" s="191" t="b">
        <f t="shared" si="120"/>
        <v>1</v>
      </c>
      <c r="C2581" s="191" t="b">
        <f t="shared" si="121"/>
        <v>1</v>
      </c>
      <c r="D2581" s="191" t="str">
        <f t="shared" si="122"/>
        <v>OK</v>
      </c>
      <c r="E2581" s="393">
        <v>400025659</v>
      </c>
      <c r="F2581" s="392" t="s">
        <v>3711</v>
      </c>
      <c r="G2581" s="392" t="s">
        <v>6065</v>
      </c>
      <c r="H2581" s="392" t="s">
        <v>5314</v>
      </c>
      <c r="I2581" s="392" t="s">
        <v>2855</v>
      </c>
      <c r="J2581" s="392" t="s">
        <v>8355</v>
      </c>
      <c r="K2581" s="392" t="s">
        <v>4442</v>
      </c>
      <c r="L2581" s="392" t="s">
        <v>2845</v>
      </c>
      <c r="M2581" s="392" t="s">
        <v>7273</v>
      </c>
      <c r="N2581" s="392" t="s">
        <v>7273</v>
      </c>
      <c r="O2581" s="392" t="s">
        <v>7273</v>
      </c>
      <c r="P2581"/>
      <c r="Q2581"/>
      <c r="R2581" s="387">
        <f>VLOOKUP(E2581,'[1]NDB Impacted SPRFs 05032013'!$A$2:$A$65536,1,FALSE)</f>
        <v>400025659</v>
      </c>
      <c r="S2581" s="159"/>
      <c r="T2581" s="159"/>
      <c r="U2581" s="159"/>
    </row>
    <row r="2582" spans="1:21" ht="45" x14ac:dyDescent="0.25">
      <c r="A2582" s="191" t="e">
        <f>MATCH($E2582,'D1 - Master Project Table'!$B$24:$B$7056,0)</f>
        <v>#N/A</v>
      </c>
      <c r="B2582" s="191" t="b">
        <f t="shared" si="120"/>
        <v>1</v>
      </c>
      <c r="C2582" s="191" t="b">
        <f t="shared" si="121"/>
        <v>1</v>
      </c>
      <c r="D2582" s="191" t="str">
        <f t="shared" si="122"/>
        <v>OK</v>
      </c>
      <c r="E2582" s="393">
        <v>400025950</v>
      </c>
      <c r="F2582" s="392" t="s">
        <v>4333</v>
      </c>
      <c r="G2582" s="392" t="s">
        <v>5324</v>
      </c>
      <c r="H2582" s="392" t="s">
        <v>5314</v>
      </c>
      <c r="I2582" s="392" t="s">
        <v>1763</v>
      </c>
      <c r="J2582" s="392" t="s">
        <v>8493</v>
      </c>
      <c r="K2582" s="392" t="s">
        <v>7877</v>
      </c>
      <c r="L2582" s="392" t="s">
        <v>2845</v>
      </c>
      <c r="M2582" s="392" t="s">
        <v>7273</v>
      </c>
      <c r="N2582" s="392" t="s">
        <v>7273</v>
      </c>
      <c r="O2582" s="392" t="s">
        <v>7273</v>
      </c>
      <c r="P2582"/>
      <c r="Q2582"/>
      <c r="R2582" s="387">
        <f>VLOOKUP(E2582,'[1]NDB Impacted SPRFs 05032013'!$A$2:$A$65536,1,FALSE)</f>
        <v>400025950</v>
      </c>
      <c r="S2582" s="159"/>
      <c r="T2582" s="159"/>
      <c r="U2582" s="159"/>
    </row>
    <row r="2583" spans="1:21" ht="45" x14ac:dyDescent="0.25">
      <c r="A2583" s="191">
        <f>MATCH($E2583,'D1 - Master Project Table'!$B$24:$B$7056,0)</f>
        <v>2839</v>
      </c>
      <c r="B2583" s="191" t="b">
        <f t="shared" si="120"/>
        <v>0</v>
      </c>
      <c r="C2583" s="191" t="b">
        <f t="shared" si="121"/>
        <v>1</v>
      </c>
      <c r="D2583" s="191" t="str">
        <f t="shared" si="122"/>
        <v>OK</v>
      </c>
      <c r="E2583" s="393">
        <v>400026001</v>
      </c>
      <c r="F2583" s="392" t="s">
        <v>3829</v>
      </c>
      <c r="G2583" s="392" t="s">
        <v>5995</v>
      </c>
      <c r="H2583" s="392" t="s">
        <v>5314</v>
      </c>
      <c r="I2583" s="392" t="s">
        <v>6423</v>
      </c>
      <c r="J2583" s="392" t="s">
        <v>4424</v>
      </c>
      <c r="K2583" s="392" t="s">
        <v>5539</v>
      </c>
      <c r="L2583" s="392" t="s">
        <v>2845</v>
      </c>
      <c r="M2583" s="392" t="s">
        <v>7273</v>
      </c>
      <c r="N2583" s="392" t="s">
        <v>7273</v>
      </c>
      <c r="O2583" s="392" t="s">
        <v>7273</v>
      </c>
      <c r="P2583"/>
      <c r="Q2583"/>
      <c r="R2583" s="387">
        <f>VLOOKUP(E2583,'[1]NDB Impacted SPRFs 05032013'!$A$2:$A$65536,1,FALSE)</f>
        <v>400026001</v>
      </c>
      <c r="S2583" s="159"/>
      <c r="T2583" s="159"/>
      <c r="U2583" s="159"/>
    </row>
    <row r="2584" spans="1:21" ht="45" x14ac:dyDescent="0.25">
      <c r="A2584" s="191">
        <f>MATCH($E2584,'D1 - Master Project Table'!$B$24:$B$7056,0)</f>
        <v>997</v>
      </c>
      <c r="B2584" s="191" t="b">
        <f t="shared" si="120"/>
        <v>0</v>
      </c>
      <c r="C2584" s="191" t="b">
        <f t="shared" si="121"/>
        <v>1</v>
      </c>
      <c r="D2584" s="191" t="str">
        <f t="shared" si="122"/>
        <v>OK</v>
      </c>
      <c r="E2584" s="393">
        <v>400026114</v>
      </c>
      <c r="F2584" s="392" t="s">
        <v>2012</v>
      </c>
      <c r="G2584" s="392" t="s">
        <v>5324</v>
      </c>
      <c r="H2584" s="392" t="s">
        <v>7418</v>
      </c>
      <c r="I2584" s="392" t="s">
        <v>1758</v>
      </c>
      <c r="J2584" s="392" t="s">
        <v>8310</v>
      </c>
      <c r="K2584" s="392" t="s">
        <v>2013</v>
      </c>
      <c r="L2584" s="392" t="s">
        <v>2845</v>
      </c>
      <c r="M2584" s="392" t="s">
        <v>7273</v>
      </c>
      <c r="N2584" s="392" t="s">
        <v>7273</v>
      </c>
      <c r="O2584" s="392" t="s">
        <v>7273</v>
      </c>
      <c r="P2584"/>
      <c r="Q2584"/>
      <c r="R2584" s="387">
        <f>VLOOKUP(E2584,'[1]NDB Impacted SPRFs 05032013'!$A$2:$A$65536,1,FALSE)</f>
        <v>400026114</v>
      </c>
      <c r="S2584" s="159"/>
      <c r="T2584" s="159"/>
      <c r="U2584" s="159"/>
    </row>
    <row r="2585" spans="1:21" ht="45" x14ac:dyDescent="0.25">
      <c r="A2585" s="191" t="e">
        <f>MATCH($E2585,'D1 - Master Project Table'!$B$24:$B$7056,0)</f>
        <v>#N/A</v>
      </c>
      <c r="B2585" s="191" t="b">
        <f t="shared" si="120"/>
        <v>1</v>
      </c>
      <c r="C2585" s="191" t="b">
        <f t="shared" si="121"/>
        <v>1</v>
      </c>
      <c r="D2585" s="191" t="str">
        <f t="shared" si="122"/>
        <v>OK</v>
      </c>
      <c r="E2585" s="393">
        <v>400026185</v>
      </c>
      <c r="F2585" s="392" t="s">
        <v>5082</v>
      </c>
      <c r="G2585" s="392" t="s">
        <v>5325</v>
      </c>
      <c r="H2585" s="392" t="s">
        <v>5314</v>
      </c>
      <c r="I2585" s="392" t="s">
        <v>1801</v>
      </c>
      <c r="J2585" s="392" t="s">
        <v>8265</v>
      </c>
      <c r="K2585" s="392" t="s">
        <v>5083</v>
      </c>
      <c r="L2585" s="392" t="s">
        <v>2845</v>
      </c>
      <c r="M2585" s="392" t="s">
        <v>7273</v>
      </c>
      <c r="N2585" s="392" t="s">
        <v>7273</v>
      </c>
      <c r="O2585" s="392" t="s">
        <v>7273</v>
      </c>
      <c r="R2585" s="387">
        <f>VLOOKUP(E2585,'[1]NDB Impacted SPRFs 05032013'!$A$2:$A$65536,1,FALSE)</f>
        <v>400026185</v>
      </c>
    </row>
    <row r="2586" spans="1:21" ht="45" x14ac:dyDescent="0.25">
      <c r="A2586" s="191" t="e">
        <f>MATCH($E2586,'D1 - Master Project Table'!$B$24:$B$7056,0)</f>
        <v>#N/A</v>
      </c>
      <c r="B2586" s="191" t="b">
        <f t="shared" si="120"/>
        <v>1</v>
      </c>
      <c r="C2586" s="191" t="b">
        <f t="shared" si="121"/>
        <v>1</v>
      </c>
      <c r="D2586" s="191" t="str">
        <f t="shared" si="122"/>
        <v>OK</v>
      </c>
      <c r="E2586" s="393">
        <v>400026233</v>
      </c>
      <c r="F2586" s="392" t="s">
        <v>2018</v>
      </c>
      <c r="G2586" s="392" t="s">
        <v>5324</v>
      </c>
      <c r="H2586" s="392" t="s">
        <v>5314</v>
      </c>
      <c r="I2586" s="392" t="s">
        <v>1763</v>
      </c>
      <c r="J2586" s="392" t="s">
        <v>5168</v>
      </c>
      <c r="K2586" s="392" t="s">
        <v>3695</v>
      </c>
      <c r="L2586" s="392" t="s">
        <v>2845</v>
      </c>
      <c r="M2586" s="392" t="s">
        <v>7273</v>
      </c>
      <c r="N2586" s="392" t="s">
        <v>7273</v>
      </c>
      <c r="O2586" s="392" t="s">
        <v>7273</v>
      </c>
      <c r="P2586"/>
      <c r="Q2586"/>
      <c r="R2586" s="387">
        <f>VLOOKUP(E2586,'[1]NDB Impacted SPRFs 05032013'!$A$2:$A$65536,1,FALSE)</f>
        <v>400026233</v>
      </c>
      <c r="S2586" s="159"/>
      <c r="T2586" s="159"/>
      <c r="U2586" s="159"/>
    </row>
    <row r="2587" spans="1:21" ht="45" x14ac:dyDescent="0.25">
      <c r="A2587" s="191">
        <f>MATCH($E2587,'D1 - Master Project Table'!$B$24:$B$7056,0)</f>
        <v>2843</v>
      </c>
      <c r="B2587" s="191" t="b">
        <f t="shared" si="120"/>
        <v>0</v>
      </c>
      <c r="C2587" s="191" t="b">
        <f t="shared" si="121"/>
        <v>1</v>
      </c>
      <c r="D2587" s="191" t="str">
        <f t="shared" si="122"/>
        <v>OK</v>
      </c>
      <c r="E2587" s="393">
        <v>400026360</v>
      </c>
      <c r="F2587" s="392" t="s">
        <v>5239</v>
      </c>
      <c r="G2587" s="392" t="s">
        <v>5324</v>
      </c>
      <c r="H2587" s="392" t="s">
        <v>5314</v>
      </c>
      <c r="I2587" s="392" t="s">
        <v>1759</v>
      </c>
      <c r="J2587" s="392" t="s">
        <v>3493</v>
      </c>
      <c r="K2587" s="392" t="s">
        <v>5240</v>
      </c>
      <c r="L2587" s="392" t="s">
        <v>2845</v>
      </c>
      <c r="M2587" s="392" t="s">
        <v>7273</v>
      </c>
      <c r="N2587" s="392" t="s">
        <v>7273</v>
      </c>
      <c r="O2587" s="392" t="s">
        <v>7273</v>
      </c>
      <c r="P2587"/>
      <c r="Q2587"/>
      <c r="R2587" s="387">
        <f>VLOOKUP(E2587,'[1]NDB Impacted SPRFs 05032013'!$A$2:$A$65536,1,FALSE)</f>
        <v>400026360</v>
      </c>
      <c r="S2587" s="159"/>
      <c r="T2587" s="159"/>
      <c r="U2587" s="159"/>
    </row>
    <row r="2588" spans="1:21" ht="45" x14ac:dyDescent="0.25">
      <c r="A2588" s="191">
        <f>MATCH($E2588,'D1 - Master Project Table'!$B$24:$B$7056,0)</f>
        <v>1032</v>
      </c>
      <c r="B2588" s="191" t="b">
        <f t="shared" si="120"/>
        <v>0</v>
      </c>
      <c r="C2588" s="191" t="b">
        <f t="shared" si="121"/>
        <v>1</v>
      </c>
      <c r="D2588" s="191" t="str">
        <f t="shared" si="122"/>
        <v>OK</v>
      </c>
      <c r="E2588" s="393">
        <v>400026362</v>
      </c>
      <c r="F2588" s="392" t="s">
        <v>3906</v>
      </c>
      <c r="G2588" s="392" t="s">
        <v>5324</v>
      </c>
      <c r="H2588" s="392" t="s">
        <v>7418</v>
      </c>
      <c r="I2588" s="392" t="s">
        <v>1756</v>
      </c>
      <c r="J2588" s="392" t="s">
        <v>3907</v>
      </c>
      <c r="K2588" s="392" t="s">
        <v>2900</v>
      </c>
      <c r="L2588" s="392" t="s">
        <v>2845</v>
      </c>
      <c r="M2588" s="392" t="s">
        <v>7273</v>
      </c>
      <c r="N2588" s="392" t="s">
        <v>7273</v>
      </c>
      <c r="O2588" s="392" t="s">
        <v>7273</v>
      </c>
      <c r="P2588"/>
      <c r="Q2588"/>
      <c r="R2588" s="387">
        <f>VLOOKUP(E2588,'[1]NDB Impacted SPRFs 05032013'!$A$2:$A$65536,1,FALSE)</f>
        <v>400026362</v>
      </c>
      <c r="S2588" s="159"/>
      <c r="T2588" s="159"/>
      <c r="U2588" s="159"/>
    </row>
    <row r="2589" spans="1:21" ht="45" x14ac:dyDescent="0.25">
      <c r="A2589" s="191" t="e">
        <f>MATCH($E2589,'D1 - Master Project Table'!$B$24:$B$7056,0)</f>
        <v>#N/A</v>
      </c>
      <c r="B2589" s="191" t="b">
        <f t="shared" si="120"/>
        <v>1</v>
      </c>
      <c r="C2589" s="191" t="b">
        <f t="shared" si="121"/>
        <v>1</v>
      </c>
      <c r="D2589" s="191" t="str">
        <f t="shared" si="122"/>
        <v>OK</v>
      </c>
      <c r="E2589" s="393">
        <v>400026548</v>
      </c>
      <c r="F2589" s="392" t="s">
        <v>5479</v>
      </c>
      <c r="G2589" s="392" t="s">
        <v>5324</v>
      </c>
      <c r="H2589" s="392" t="s">
        <v>5314</v>
      </c>
      <c r="I2589" s="392" t="s">
        <v>1756</v>
      </c>
      <c r="J2589" s="392" t="s">
        <v>5168</v>
      </c>
      <c r="K2589" s="392" t="s">
        <v>3695</v>
      </c>
      <c r="L2589" s="392" t="s">
        <v>2845</v>
      </c>
      <c r="M2589" s="392" t="s">
        <v>7273</v>
      </c>
      <c r="N2589" s="392" t="s">
        <v>7273</v>
      </c>
      <c r="O2589" s="392" t="s">
        <v>7273</v>
      </c>
      <c r="P2589"/>
      <c r="Q2589"/>
      <c r="R2589" s="387">
        <f>VLOOKUP(E2589,'[1]NDB Impacted SPRFs 05032013'!$A$2:$A$65536,1,FALSE)</f>
        <v>400026548</v>
      </c>
      <c r="S2589" s="159"/>
      <c r="T2589" s="159"/>
      <c r="U2589" s="159"/>
    </row>
    <row r="2590" spans="1:21" ht="45" x14ac:dyDescent="0.25">
      <c r="A2590" s="191">
        <f>MATCH($E2590,'D1 - Master Project Table'!$B$24:$B$7056,0)</f>
        <v>999</v>
      </c>
      <c r="B2590" s="191" t="b">
        <f t="shared" si="120"/>
        <v>0</v>
      </c>
      <c r="C2590" s="191" t="b">
        <f t="shared" si="121"/>
        <v>1</v>
      </c>
      <c r="D2590" s="191" t="str">
        <f t="shared" si="122"/>
        <v>OK</v>
      </c>
      <c r="E2590" s="393">
        <v>400026566</v>
      </c>
      <c r="F2590" s="392" t="s">
        <v>5479</v>
      </c>
      <c r="G2590" s="392" t="s">
        <v>5324</v>
      </c>
      <c r="H2590" s="392" t="s">
        <v>7418</v>
      </c>
      <c r="I2590" s="392" t="s">
        <v>1756</v>
      </c>
      <c r="J2590" s="392" t="s">
        <v>5168</v>
      </c>
      <c r="K2590" s="392" t="s">
        <v>3695</v>
      </c>
      <c r="L2590" s="392" t="s">
        <v>2845</v>
      </c>
      <c r="M2590" s="392" t="s">
        <v>7273</v>
      </c>
      <c r="N2590" s="392" t="s">
        <v>7273</v>
      </c>
      <c r="O2590" s="392" t="s">
        <v>7273</v>
      </c>
      <c r="P2590"/>
      <c r="Q2590"/>
      <c r="R2590" s="387">
        <f>VLOOKUP(E2590,'[1]NDB Impacted SPRFs 05032013'!$A$2:$A$65536,1,FALSE)</f>
        <v>400026566</v>
      </c>
      <c r="S2590" s="159"/>
      <c r="T2590" s="159"/>
      <c r="U2590" s="159"/>
    </row>
    <row r="2591" spans="1:21" ht="45" x14ac:dyDescent="0.25">
      <c r="A2591" s="191">
        <f>MATCH($E2591,'D1 - Master Project Table'!$B$24:$B$7056,0)</f>
        <v>1192</v>
      </c>
      <c r="B2591" s="191" t="b">
        <f t="shared" si="120"/>
        <v>0</v>
      </c>
      <c r="C2591" s="191" t="b">
        <f t="shared" si="121"/>
        <v>1</v>
      </c>
      <c r="D2591" s="191" t="str">
        <f t="shared" si="122"/>
        <v>OK</v>
      </c>
      <c r="E2591" s="393">
        <v>400026595</v>
      </c>
      <c r="F2591" s="392" t="s">
        <v>1909</v>
      </c>
      <c r="G2591" s="392" t="s">
        <v>5324</v>
      </c>
      <c r="H2591" s="392" t="s">
        <v>7418</v>
      </c>
      <c r="I2591" s="392" t="s">
        <v>1757</v>
      </c>
      <c r="J2591" s="392" t="s">
        <v>8317</v>
      </c>
      <c r="K2591" s="392" t="s">
        <v>3283</v>
      </c>
      <c r="L2591" s="392" t="s">
        <v>2845</v>
      </c>
      <c r="M2591" s="392" t="s">
        <v>7273</v>
      </c>
      <c r="N2591" s="392" t="s">
        <v>7273</v>
      </c>
      <c r="O2591" s="392" t="s">
        <v>7273</v>
      </c>
      <c r="R2591" s="387">
        <f>VLOOKUP(E2591,'[1]NDB Impacted SPRFs 05032013'!$A$2:$A$65536,1,FALSE)</f>
        <v>400026595</v>
      </c>
    </row>
    <row r="2592" spans="1:21" ht="30" x14ac:dyDescent="0.25">
      <c r="A2592" s="191" t="e">
        <f>MATCH($E2592,'D1 - Master Project Table'!$B$24:$B$7056,0)</f>
        <v>#N/A</v>
      </c>
      <c r="B2592" s="191" t="b">
        <f t="shared" si="120"/>
        <v>1</v>
      </c>
      <c r="C2592" s="191" t="b">
        <f t="shared" si="121"/>
        <v>1</v>
      </c>
      <c r="D2592" s="191" t="str">
        <f t="shared" si="122"/>
        <v>OK</v>
      </c>
      <c r="E2592" s="393">
        <v>400027396</v>
      </c>
      <c r="F2592" s="392" t="s">
        <v>5776</v>
      </c>
      <c r="G2592" s="392" t="s">
        <v>6065</v>
      </c>
      <c r="H2592" s="392" t="s">
        <v>5314</v>
      </c>
      <c r="I2592" s="392" t="s">
        <v>2855</v>
      </c>
      <c r="J2592" s="392" t="s">
        <v>8304</v>
      </c>
      <c r="K2592" s="392" t="s">
        <v>6018</v>
      </c>
      <c r="L2592" s="392" t="s">
        <v>2845</v>
      </c>
      <c r="M2592" s="392" t="s">
        <v>7273</v>
      </c>
      <c r="N2592" s="392" t="s">
        <v>7273</v>
      </c>
      <c r="O2592" s="392" t="s">
        <v>7273</v>
      </c>
      <c r="P2592"/>
      <c r="Q2592"/>
      <c r="R2592" s="387">
        <f>VLOOKUP(E2592,'[1]NDB Impacted SPRFs 05032013'!$A$2:$A$65536,1,FALSE)</f>
        <v>400027396</v>
      </c>
      <c r="S2592" s="159"/>
      <c r="T2592" s="159"/>
      <c r="U2592" s="159"/>
    </row>
    <row r="2593" spans="1:21" ht="51" customHeight="1" x14ac:dyDescent="0.25">
      <c r="A2593" s="191">
        <f>MATCH($E2593,'D1 - Master Project Table'!$B$24:$B$7056,0)</f>
        <v>2858</v>
      </c>
      <c r="B2593" s="191" t="b">
        <f t="shared" si="120"/>
        <v>0</v>
      </c>
      <c r="C2593" s="191" t="b">
        <f t="shared" si="121"/>
        <v>1</v>
      </c>
      <c r="D2593" s="191" t="str">
        <f t="shared" si="122"/>
        <v>OK</v>
      </c>
      <c r="E2593" s="393">
        <v>400027450</v>
      </c>
      <c r="F2593" s="392" t="s">
        <v>1652</v>
      </c>
      <c r="G2593" s="392" t="s">
        <v>5324</v>
      </c>
      <c r="H2593" s="392" t="s">
        <v>5314</v>
      </c>
      <c r="I2593" s="392" t="s">
        <v>1758</v>
      </c>
      <c r="J2593" s="392" t="s">
        <v>8310</v>
      </c>
      <c r="K2593" s="392" t="s">
        <v>4087</v>
      </c>
      <c r="L2593" s="392" t="s">
        <v>2845</v>
      </c>
      <c r="M2593" s="392" t="s">
        <v>7273</v>
      </c>
      <c r="N2593" s="392" t="s">
        <v>7273</v>
      </c>
      <c r="O2593" s="392" t="s">
        <v>7273</v>
      </c>
      <c r="P2593"/>
      <c r="Q2593"/>
      <c r="R2593" s="387">
        <f>VLOOKUP(E2593,'[1]NDB Impacted SPRFs 05032013'!$A$2:$A$65536,1,FALSE)</f>
        <v>400027450</v>
      </c>
      <c r="S2593" s="159"/>
      <c r="T2593" s="159"/>
      <c r="U2593" s="159"/>
    </row>
    <row r="2594" spans="1:21" ht="51" customHeight="1" x14ac:dyDescent="0.25">
      <c r="A2594" s="191">
        <f>MATCH($E2594,'D1 - Master Project Table'!$B$24:$B$7056,0)</f>
        <v>1017</v>
      </c>
      <c r="B2594" s="191" t="b">
        <f t="shared" si="120"/>
        <v>0</v>
      </c>
      <c r="C2594" s="191" t="b">
        <f t="shared" si="121"/>
        <v>1</v>
      </c>
      <c r="D2594" s="191" t="str">
        <f t="shared" si="122"/>
        <v>OK</v>
      </c>
      <c r="E2594" s="393">
        <v>400027651</v>
      </c>
      <c r="F2594" s="392" t="s">
        <v>5935</v>
      </c>
      <c r="G2594" s="392" t="s">
        <v>5325</v>
      </c>
      <c r="H2594" s="392" t="s">
        <v>5314</v>
      </c>
      <c r="I2594" s="392" t="s">
        <v>6008</v>
      </c>
      <c r="J2594" s="392" t="s">
        <v>6011</v>
      </c>
      <c r="K2594" s="392" t="s">
        <v>2089</v>
      </c>
      <c r="L2594" s="392" t="s">
        <v>2845</v>
      </c>
      <c r="M2594" s="392" t="s">
        <v>7273</v>
      </c>
      <c r="N2594" s="392" t="s">
        <v>7273</v>
      </c>
      <c r="O2594" s="392" t="s">
        <v>7273</v>
      </c>
      <c r="P2594"/>
      <c r="Q2594"/>
      <c r="R2594" s="387">
        <f>VLOOKUP(E2594,'[1]NDB Impacted SPRFs 05032013'!$A$2:$A$65536,1,FALSE)</f>
        <v>400027651</v>
      </c>
      <c r="S2594" s="159"/>
      <c r="T2594" s="159"/>
      <c r="U2594" s="159"/>
    </row>
    <row r="2595" spans="1:21" ht="51" customHeight="1" x14ac:dyDescent="0.25">
      <c r="A2595" s="191">
        <f>MATCH($E2595,'D1 - Master Project Table'!$B$24:$B$7056,0)</f>
        <v>2863</v>
      </c>
      <c r="B2595" s="191" t="b">
        <f t="shared" si="120"/>
        <v>0</v>
      </c>
      <c r="C2595" s="191" t="b">
        <f t="shared" si="121"/>
        <v>1</v>
      </c>
      <c r="D2595" s="191" t="str">
        <f t="shared" si="122"/>
        <v>OK</v>
      </c>
      <c r="E2595" s="393">
        <v>400027670</v>
      </c>
      <c r="F2595" s="392" t="s">
        <v>5574</v>
      </c>
      <c r="G2595" s="392" t="s">
        <v>5324</v>
      </c>
      <c r="H2595" s="392" t="s">
        <v>5314</v>
      </c>
      <c r="I2595" s="392" t="s">
        <v>1763</v>
      </c>
      <c r="J2595" s="392" t="s">
        <v>8426</v>
      </c>
      <c r="K2595" s="392" t="s">
        <v>7590</v>
      </c>
      <c r="L2595" s="392" t="s">
        <v>2845</v>
      </c>
      <c r="M2595" s="392" t="s">
        <v>7273</v>
      </c>
      <c r="N2595" s="392" t="s">
        <v>7273</v>
      </c>
      <c r="O2595" s="392" t="s">
        <v>7273</v>
      </c>
      <c r="P2595"/>
      <c r="Q2595"/>
      <c r="R2595" s="387">
        <f>VLOOKUP(E2595,'[1]NDB Impacted SPRFs 05032013'!$A$2:$A$65536,1,FALSE)</f>
        <v>400027670</v>
      </c>
    </row>
    <row r="2596" spans="1:21" ht="51" customHeight="1" x14ac:dyDescent="0.25">
      <c r="A2596" s="191" t="e">
        <f>MATCH($E2596,'D1 - Master Project Table'!$B$24:$B$7056,0)</f>
        <v>#N/A</v>
      </c>
      <c r="B2596" s="191" t="b">
        <f t="shared" si="120"/>
        <v>1</v>
      </c>
      <c r="C2596" s="191" t="b">
        <f t="shared" si="121"/>
        <v>1</v>
      </c>
      <c r="D2596" s="191" t="str">
        <f t="shared" si="122"/>
        <v>OK</v>
      </c>
      <c r="E2596" s="393">
        <v>400028147</v>
      </c>
      <c r="F2596" s="392" t="s">
        <v>8057</v>
      </c>
      <c r="G2596" s="392" t="s">
        <v>5324</v>
      </c>
      <c r="H2596" s="392" t="s">
        <v>5314</v>
      </c>
      <c r="I2596" s="392" t="s">
        <v>1757</v>
      </c>
      <c r="J2596" s="392" t="s">
        <v>5168</v>
      </c>
      <c r="K2596" s="392" t="s">
        <v>3283</v>
      </c>
      <c r="L2596" s="392" t="s">
        <v>2845</v>
      </c>
      <c r="M2596" s="392" t="s">
        <v>7273</v>
      </c>
      <c r="N2596" s="392" t="s">
        <v>7273</v>
      </c>
      <c r="O2596" s="392" t="s">
        <v>7273</v>
      </c>
      <c r="P2596"/>
      <c r="Q2596"/>
      <c r="R2596" s="387">
        <f>VLOOKUP(E2596,'[1]NDB Impacted SPRFs 05032013'!$A$2:$A$65536,1,FALSE)</f>
        <v>400028147</v>
      </c>
      <c r="S2596" s="159"/>
      <c r="T2596" s="159"/>
      <c r="U2596" s="159"/>
    </row>
    <row r="2597" spans="1:21" ht="51" customHeight="1" x14ac:dyDescent="0.25">
      <c r="A2597" s="191" t="e">
        <f>MATCH($E2597,'D1 - Master Project Table'!$B$24:$B$7056,0)</f>
        <v>#N/A</v>
      </c>
      <c r="B2597" s="191" t="b">
        <f t="shared" si="120"/>
        <v>1</v>
      </c>
      <c r="C2597" s="191" t="b">
        <f t="shared" si="121"/>
        <v>1</v>
      </c>
      <c r="D2597" s="191" t="str">
        <f t="shared" si="122"/>
        <v>OK</v>
      </c>
      <c r="E2597" s="393">
        <v>400028340</v>
      </c>
      <c r="F2597" s="392" t="s">
        <v>4095</v>
      </c>
      <c r="G2597" s="392" t="s">
        <v>6065</v>
      </c>
      <c r="H2597" s="392" t="s">
        <v>5314</v>
      </c>
      <c r="I2597" s="392" t="s">
        <v>2855</v>
      </c>
      <c r="J2597" s="392" t="s">
        <v>8286</v>
      </c>
      <c r="K2597" s="392" t="s">
        <v>3695</v>
      </c>
      <c r="L2597" s="392" t="s">
        <v>2845</v>
      </c>
      <c r="M2597" s="392" t="s">
        <v>7273</v>
      </c>
      <c r="N2597" s="392" t="s">
        <v>7273</v>
      </c>
      <c r="O2597" s="392" t="s">
        <v>7273</v>
      </c>
      <c r="P2597"/>
      <c r="Q2597"/>
      <c r="R2597" s="387">
        <f>VLOOKUP(E2597,'[1]NDB Impacted SPRFs 05032013'!$A$2:$A$65536,1,FALSE)</f>
        <v>400028340</v>
      </c>
    </row>
    <row r="2598" spans="1:21" ht="51" customHeight="1" x14ac:dyDescent="0.25">
      <c r="A2598" s="191" t="e">
        <f>MATCH($E2598,'D1 - Master Project Table'!$B$24:$B$7056,0)</f>
        <v>#N/A</v>
      </c>
      <c r="B2598" s="191" t="b">
        <f t="shared" si="120"/>
        <v>1</v>
      </c>
      <c r="C2598" s="191" t="b">
        <f t="shared" si="121"/>
        <v>1</v>
      </c>
      <c r="D2598" s="191" t="str">
        <f t="shared" si="122"/>
        <v>OK</v>
      </c>
      <c r="E2598" s="393">
        <v>400028346</v>
      </c>
      <c r="F2598" s="392" t="s">
        <v>6090</v>
      </c>
      <c r="G2598" s="392" t="s">
        <v>6065</v>
      </c>
      <c r="H2598" s="392" t="s">
        <v>5314</v>
      </c>
      <c r="I2598" s="392" t="s">
        <v>2855</v>
      </c>
      <c r="J2598" s="392" t="s">
        <v>8286</v>
      </c>
      <c r="K2598" s="392" t="s">
        <v>3655</v>
      </c>
      <c r="L2598" s="392" t="s">
        <v>2845</v>
      </c>
      <c r="M2598" s="392" t="s">
        <v>7273</v>
      </c>
      <c r="N2598" s="392" t="s">
        <v>7273</v>
      </c>
      <c r="O2598" s="392" t="s">
        <v>7273</v>
      </c>
      <c r="P2598"/>
      <c r="Q2598"/>
      <c r="R2598" s="387">
        <f>VLOOKUP(E2598,'[1]NDB Impacted SPRFs 05032013'!$A$2:$A$65536,1,FALSE)</f>
        <v>400028346</v>
      </c>
      <c r="S2598" s="159"/>
      <c r="T2598" s="159"/>
      <c r="U2598" s="159"/>
    </row>
    <row r="2599" spans="1:21" ht="51" customHeight="1" x14ac:dyDescent="0.25">
      <c r="A2599" s="191">
        <f>MATCH($E2599,'D1 - Master Project Table'!$B$24:$B$7056,0)</f>
        <v>2874</v>
      </c>
      <c r="B2599" s="191" t="b">
        <f t="shared" si="120"/>
        <v>0</v>
      </c>
      <c r="C2599" s="191" t="b">
        <f t="shared" si="121"/>
        <v>1</v>
      </c>
      <c r="D2599" s="191" t="str">
        <f t="shared" si="122"/>
        <v>OK</v>
      </c>
      <c r="E2599" s="393">
        <v>400028376</v>
      </c>
      <c r="F2599" s="392" t="s">
        <v>7634</v>
      </c>
      <c r="G2599" s="392" t="s">
        <v>5324</v>
      </c>
      <c r="H2599" s="392" t="s">
        <v>7418</v>
      </c>
      <c r="I2599" s="392" t="s">
        <v>1757</v>
      </c>
      <c r="J2599" s="392" t="s">
        <v>8405</v>
      </c>
      <c r="K2599" s="392" t="s">
        <v>2017</v>
      </c>
      <c r="L2599" s="392" t="s">
        <v>2845</v>
      </c>
      <c r="M2599" s="392" t="s">
        <v>7273</v>
      </c>
      <c r="N2599" s="392" t="s">
        <v>7273</v>
      </c>
      <c r="O2599" s="392" t="s">
        <v>7273</v>
      </c>
      <c r="P2599"/>
      <c r="Q2599"/>
      <c r="R2599" s="387">
        <f>VLOOKUP(E2599,'[1]NDB Impacted SPRFs 05032013'!$A$2:$A$65536,1,FALSE)</f>
        <v>400028376</v>
      </c>
    </row>
    <row r="2600" spans="1:21" ht="51" customHeight="1" x14ac:dyDescent="0.25">
      <c r="A2600" s="191">
        <f>MATCH($E2600,'D1 - Master Project Table'!$B$24:$B$7056,0)</f>
        <v>1174</v>
      </c>
      <c r="B2600" s="191" t="b">
        <f t="shared" si="120"/>
        <v>0</v>
      </c>
      <c r="C2600" s="191" t="b">
        <f t="shared" si="121"/>
        <v>1</v>
      </c>
      <c r="D2600" s="191" t="str">
        <f t="shared" si="122"/>
        <v>OK</v>
      </c>
      <c r="E2600" s="393">
        <v>400028655</v>
      </c>
      <c r="F2600" s="392" t="s">
        <v>4815</v>
      </c>
      <c r="G2600" s="392" t="s">
        <v>5324</v>
      </c>
      <c r="H2600" s="392" t="s">
        <v>7418</v>
      </c>
      <c r="I2600" s="392" t="s">
        <v>1757</v>
      </c>
      <c r="J2600" s="392" t="s">
        <v>5168</v>
      </c>
      <c r="K2600" s="392" t="s">
        <v>3283</v>
      </c>
      <c r="L2600" s="392" t="s">
        <v>2845</v>
      </c>
      <c r="M2600" s="392" t="s">
        <v>7273</v>
      </c>
      <c r="N2600" s="392" t="s">
        <v>7273</v>
      </c>
      <c r="O2600" s="392" t="s">
        <v>7273</v>
      </c>
      <c r="P2600"/>
      <c r="Q2600"/>
      <c r="R2600" s="387">
        <f>VLOOKUP(E2600,'[1]NDB Impacted SPRFs 05032013'!$A$2:$A$65536,1,FALSE)</f>
        <v>400028655</v>
      </c>
      <c r="S2600" s="159"/>
      <c r="T2600" s="159"/>
      <c r="U2600" s="159"/>
    </row>
    <row r="2601" spans="1:21" ht="51" customHeight="1" x14ac:dyDescent="0.25">
      <c r="A2601" s="191">
        <f>MATCH($E2601,'D1 - Master Project Table'!$B$24:$B$7056,0)</f>
        <v>1989</v>
      </c>
      <c r="B2601" s="191" t="b">
        <f t="shared" si="120"/>
        <v>0</v>
      </c>
      <c r="C2601" s="191" t="b">
        <f t="shared" si="121"/>
        <v>1</v>
      </c>
      <c r="D2601" s="191" t="str">
        <f t="shared" si="122"/>
        <v>OK</v>
      </c>
      <c r="E2601" s="393">
        <v>400029070</v>
      </c>
      <c r="F2601" s="392" t="s">
        <v>4512</v>
      </c>
      <c r="G2601" s="392" t="s">
        <v>5001</v>
      </c>
      <c r="H2601" s="392" t="s">
        <v>7418</v>
      </c>
      <c r="I2601" s="392" t="s">
        <v>2657</v>
      </c>
      <c r="J2601" s="392" t="s">
        <v>8760</v>
      </c>
      <c r="K2601" s="392" t="s">
        <v>2568</v>
      </c>
      <c r="L2601" s="392" t="s">
        <v>2845</v>
      </c>
      <c r="M2601" s="392" t="s">
        <v>7273</v>
      </c>
      <c r="N2601" s="392" t="s">
        <v>7273</v>
      </c>
      <c r="O2601" s="392" t="s">
        <v>7273</v>
      </c>
      <c r="P2601"/>
      <c r="Q2601"/>
      <c r="R2601" s="387">
        <f>VLOOKUP(E2601,'[1]NDB Impacted SPRFs 05032013'!$A$2:$A$65536,1,FALSE)</f>
        <v>400029070</v>
      </c>
    </row>
    <row r="2602" spans="1:21" ht="51" customHeight="1" x14ac:dyDescent="0.25">
      <c r="A2602" s="191">
        <f>MATCH($E2602,'D1 - Master Project Table'!$B$24:$B$7056,0)</f>
        <v>1069</v>
      </c>
      <c r="B2602" s="191" t="b">
        <f t="shared" si="120"/>
        <v>0</v>
      </c>
      <c r="C2602" s="191" t="b">
        <f t="shared" si="121"/>
        <v>1</v>
      </c>
      <c r="D2602" s="191" t="str">
        <f t="shared" si="122"/>
        <v>OK</v>
      </c>
      <c r="E2602" s="393">
        <v>400029494</v>
      </c>
      <c r="F2602" s="392" t="s">
        <v>4622</v>
      </c>
      <c r="G2602" s="392" t="s">
        <v>5001</v>
      </c>
      <c r="H2602" s="392" t="s">
        <v>7418</v>
      </c>
      <c r="I2602" s="392" t="s">
        <v>3540</v>
      </c>
      <c r="J2602" s="392" t="s">
        <v>8762</v>
      </c>
      <c r="K2602" s="392" t="s">
        <v>1506</v>
      </c>
      <c r="L2602" s="392" t="s">
        <v>2845</v>
      </c>
      <c r="M2602" s="392" t="s">
        <v>7273</v>
      </c>
      <c r="N2602" s="392" t="s">
        <v>7273</v>
      </c>
      <c r="O2602" s="392" t="s">
        <v>7273</v>
      </c>
      <c r="P2602"/>
      <c r="Q2602"/>
      <c r="R2602" s="387">
        <f>VLOOKUP(E2602,'[1]NDB Impacted SPRFs 05032013'!$A$2:$A$65536,1,FALSE)</f>
        <v>400029494</v>
      </c>
    </row>
    <row r="2603" spans="1:21" ht="51" customHeight="1" x14ac:dyDescent="0.25">
      <c r="A2603" s="191" t="e">
        <f>MATCH($E2603,'D1 - Master Project Table'!$B$24:$B$7056,0)</f>
        <v>#N/A</v>
      </c>
      <c r="B2603" s="191" t="b">
        <f t="shared" si="120"/>
        <v>1</v>
      </c>
      <c r="C2603" s="191" t="b">
        <f t="shared" si="121"/>
        <v>1</v>
      </c>
      <c r="D2603" s="191" t="str">
        <f t="shared" si="122"/>
        <v>OK</v>
      </c>
      <c r="E2603" s="393">
        <v>400031120</v>
      </c>
      <c r="F2603" s="392" t="s">
        <v>5915</v>
      </c>
      <c r="G2603" s="392" t="s">
        <v>5324</v>
      </c>
      <c r="H2603" s="392" t="s">
        <v>5314</v>
      </c>
      <c r="I2603" s="392" t="s">
        <v>1763</v>
      </c>
      <c r="J2603" s="392" t="s">
        <v>8316</v>
      </c>
      <c r="K2603" s="392" t="s">
        <v>3283</v>
      </c>
      <c r="L2603" s="392" t="s">
        <v>2845</v>
      </c>
      <c r="M2603" s="392" t="s">
        <v>7273</v>
      </c>
      <c r="N2603" s="392" t="s">
        <v>7273</v>
      </c>
      <c r="O2603" s="392" t="s">
        <v>7273</v>
      </c>
      <c r="P2603"/>
      <c r="Q2603"/>
      <c r="R2603" s="387">
        <f>VLOOKUP(E2603,'[1]NDB Impacted SPRFs 05032013'!$A$2:$A$65536,1,FALSE)</f>
        <v>400031120</v>
      </c>
    </row>
    <row r="2604" spans="1:21" ht="51" customHeight="1" x14ac:dyDescent="0.25">
      <c r="A2604" s="191">
        <f>MATCH($E2604,'D1 - Master Project Table'!$B$24:$B$7056,0)</f>
        <v>2251</v>
      </c>
      <c r="B2604" s="191" t="b">
        <f t="shared" si="120"/>
        <v>0</v>
      </c>
      <c r="C2604" s="191" t="b">
        <f t="shared" si="121"/>
        <v>1</v>
      </c>
      <c r="D2604" s="191" t="str">
        <f t="shared" si="122"/>
        <v>OK</v>
      </c>
      <c r="E2604" s="393">
        <v>400031611</v>
      </c>
      <c r="F2604" s="392" t="s">
        <v>6215</v>
      </c>
      <c r="G2604" s="392" t="s">
        <v>5324</v>
      </c>
      <c r="H2604" s="392" t="s">
        <v>5314</v>
      </c>
      <c r="I2604" s="392" t="s">
        <v>1757</v>
      </c>
      <c r="J2604" s="392" t="s">
        <v>8491</v>
      </c>
      <c r="K2604" s="392" t="s">
        <v>4176</v>
      </c>
      <c r="L2604" s="392" t="s">
        <v>2845</v>
      </c>
      <c r="M2604" s="392" t="s">
        <v>7273</v>
      </c>
      <c r="N2604" s="392" t="s">
        <v>7273</v>
      </c>
      <c r="O2604" s="392" t="s">
        <v>7273</v>
      </c>
      <c r="P2604"/>
      <c r="Q2604"/>
      <c r="R2604" s="387">
        <f>VLOOKUP(E2604,'[1]NDB Impacted SPRFs 05032013'!$A$2:$A$65536,1,FALSE)</f>
        <v>400031611</v>
      </c>
      <c r="S2604" s="159"/>
      <c r="T2604" s="159"/>
      <c r="U2604" s="159"/>
    </row>
    <row r="2605" spans="1:21" ht="51" customHeight="1" x14ac:dyDescent="0.25">
      <c r="A2605" s="191">
        <f>MATCH($E2605,'D1 - Master Project Table'!$B$24:$B$7056,0)</f>
        <v>1203</v>
      </c>
      <c r="B2605" s="191" t="b">
        <f t="shared" si="120"/>
        <v>0</v>
      </c>
      <c r="C2605" s="191" t="b">
        <f t="shared" si="121"/>
        <v>1</v>
      </c>
      <c r="D2605" s="191" t="str">
        <f t="shared" si="122"/>
        <v>OK</v>
      </c>
      <c r="E2605" s="393">
        <v>400031629</v>
      </c>
      <c r="F2605" s="392" t="s">
        <v>3432</v>
      </c>
      <c r="G2605" s="392" t="s">
        <v>5324</v>
      </c>
      <c r="H2605" s="392" t="s">
        <v>7418</v>
      </c>
      <c r="I2605" s="392" t="s">
        <v>1757</v>
      </c>
      <c r="J2605" s="392" t="s">
        <v>8490</v>
      </c>
      <c r="K2605" s="392" t="s">
        <v>6286</v>
      </c>
      <c r="L2605" s="392" t="s">
        <v>2845</v>
      </c>
      <c r="M2605" s="392" t="s">
        <v>7273</v>
      </c>
      <c r="N2605" s="392" t="s">
        <v>7273</v>
      </c>
      <c r="O2605" s="392" t="s">
        <v>7273</v>
      </c>
      <c r="P2605"/>
      <c r="Q2605"/>
      <c r="R2605" s="387">
        <f>VLOOKUP(E2605,'[1]NDB Impacted SPRFs 05032013'!$A$2:$A$65536,1,FALSE)</f>
        <v>400031629</v>
      </c>
      <c r="S2605" s="159"/>
      <c r="T2605" s="159"/>
      <c r="U2605" s="159"/>
    </row>
    <row r="2606" spans="1:21" ht="51" customHeight="1" x14ac:dyDescent="0.25">
      <c r="A2606" s="191">
        <f>MATCH($E2606,'D1 - Master Project Table'!$B$24:$B$7056,0)</f>
        <v>2010</v>
      </c>
      <c r="B2606" s="191" t="b">
        <f t="shared" si="120"/>
        <v>0</v>
      </c>
      <c r="C2606" s="191" t="b">
        <f t="shared" si="121"/>
        <v>1</v>
      </c>
      <c r="D2606" s="191" t="str">
        <f t="shared" si="122"/>
        <v>OK</v>
      </c>
      <c r="E2606" s="393">
        <v>400033150</v>
      </c>
      <c r="F2606" s="392" t="s">
        <v>3800</v>
      </c>
      <c r="G2606" s="392" t="s">
        <v>5324</v>
      </c>
      <c r="H2606" s="392" t="s">
        <v>7418</v>
      </c>
      <c r="I2606" s="392" t="s">
        <v>1757</v>
      </c>
      <c r="J2606" s="392" t="s">
        <v>8380</v>
      </c>
      <c r="K2606" s="392" t="s">
        <v>2017</v>
      </c>
      <c r="L2606" s="392" t="s">
        <v>2845</v>
      </c>
      <c r="M2606" s="392" t="s">
        <v>7273</v>
      </c>
      <c r="N2606" s="392" t="s">
        <v>7273</v>
      </c>
      <c r="O2606" s="392" t="s">
        <v>7273</v>
      </c>
      <c r="P2606"/>
      <c r="Q2606"/>
      <c r="R2606" s="387">
        <f>VLOOKUP(E2606,'[1]NDB Impacted SPRFs 05032013'!$A$2:$A$65536,1,FALSE)</f>
        <v>400033150</v>
      </c>
      <c r="S2606" s="159"/>
      <c r="T2606" s="159"/>
      <c r="U2606" s="159"/>
    </row>
    <row r="2607" spans="1:21" ht="51" customHeight="1" x14ac:dyDescent="0.25">
      <c r="A2607" s="191">
        <f>MATCH($E2607,'D1 - Master Project Table'!$B$24:$B$7056,0)</f>
        <v>1295</v>
      </c>
      <c r="B2607" s="191" t="b">
        <f t="shared" si="120"/>
        <v>0</v>
      </c>
      <c r="C2607" s="191" t="b">
        <f t="shared" si="121"/>
        <v>1</v>
      </c>
      <c r="D2607" s="191" t="str">
        <f t="shared" si="122"/>
        <v>OK</v>
      </c>
      <c r="E2607" s="393">
        <v>400033735</v>
      </c>
      <c r="F2607" s="392" t="s">
        <v>2867</v>
      </c>
      <c r="G2607" s="392" t="s">
        <v>5324</v>
      </c>
      <c r="H2607" s="392" t="s">
        <v>7418</v>
      </c>
      <c r="I2607" s="392" t="s">
        <v>1757</v>
      </c>
      <c r="J2607" s="392" t="s">
        <v>4796</v>
      </c>
      <c r="K2607" s="392" t="s">
        <v>2868</v>
      </c>
      <c r="L2607" s="392" t="s">
        <v>2845</v>
      </c>
      <c r="M2607" s="392" t="s">
        <v>7273</v>
      </c>
      <c r="N2607" s="392" t="s">
        <v>7273</v>
      </c>
      <c r="O2607" s="392" t="s">
        <v>7273</v>
      </c>
      <c r="P2607"/>
      <c r="Q2607"/>
      <c r="R2607" s="387">
        <f>VLOOKUP(E2607,'[1]NDB Impacted SPRFs 05032013'!$A$2:$A$65536,1,FALSE)</f>
        <v>400033735</v>
      </c>
      <c r="S2607" s="159"/>
      <c r="T2607" s="159"/>
      <c r="U2607" s="159"/>
    </row>
    <row r="2608" spans="1:21" ht="51" customHeight="1" x14ac:dyDescent="0.25">
      <c r="A2608" s="191">
        <f>MATCH($E2608,'D1 - Master Project Table'!$B$24:$B$7056,0)</f>
        <v>2940</v>
      </c>
      <c r="B2608" s="191" t="b">
        <f t="shared" ref="B2608:B2633" si="123">ISERROR(A2608)</f>
        <v>0</v>
      </c>
      <c r="C2608" s="191" t="b">
        <f t="shared" si="121"/>
        <v>1</v>
      </c>
      <c r="D2608" s="191" t="str">
        <f t="shared" si="122"/>
        <v>OK</v>
      </c>
      <c r="E2608" s="393">
        <v>400033872</v>
      </c>
      <c r="F2608" s="392" t="s">
        <v>5727</v>
      </c>
      <c r="G2608" s="392" t="s">
        <v>6322</v>
      </c>
      <c r="H2608" s="392" t="s">
        <v>5314</v>
      </c>
      <c r="I2608" s="392" t="s">
        <v>7594</v>
      </c>
      <c r="J2608" s="392" t="s">
        <v>1062</v>
      </c>
      <c r="K2608" s="392" t="s">
        <v>7164</v>
      </c>
      <c r="L2608" s="392" t="s">
        <v>2845</v>
      </c>
      <c r="M2608" s="392" t="s">
        <v>7273</v>
      </c>
      <c r="N2608" s="392" t="s">
        <v>7273</v>
      </c>
      <c r="O2608" s="392" t="s">
        <v>7273</v>
      </c>
      <c r="P2608"/>
      <c r="Q2608"/>
      <c r="R2608" s="387">
        <f>VLOOKUP(E2608,'[1]NDB Impacted SPRFs 05032013'!$A$2:$A$65536,1,FALSE)</f>
        <v>400033872</v>
      </c>
      <c r="S2608" s="159"/>
      <c r="T2608" s="159"/>
      <c r="U2608" s="159"/>
    </row>
    <row r="2609" spans="1:21" ht="51" customHeight="1" x14ac:dyDescent="0.25">
      <c r="A2609" s="191">
        <f>MATCH($E2609,'D1 - Master Project Table'!$B$24:$B$7056,0)</f>
        <v>2955</v>
      </c>
      <c r="B2609" s="191" t="b">
        <f t="shared" si="123"/>
        <v>0</v>
      </c>
      <c r="C2609" s="191" t="b">
        <f t="shared" si="121"/>
        <v>1</v>
      </c>
      <c r="D2609" s="191" t="str">
        <f t="shared" si="122"/>
        <v>OK</v>
      </c>
      <c r="E2609" s="393">
        <v>400035710</v>
      </c>
      <c r="F2609" s="392" t="s">
        <v>2886</v>
      </c>
      <c r="G2609" s="392" t="s">
        <v>5324</v>
      </c>
      <c r="H2609" s="392" t="s">
        <v>5314</v>
      </c>
      <c r="I2609" s="392" t="s">
        <v>1760</v>
      </c>
      <c r="J2609" s="392" t="s">
        <v>3228</v>
      </c>
      <c r="K2609" s="392" t="s">
        <v>4642</v>
      </c>
      <c r="L2609" s="392" t="s">
        <v>2845</v>
      </c>
      <c r="M2609" s="392" t="s">
        <v>7273</v>
      </c>
      <c r="N2609" s="392" t="s">
        <v>7273</v>
      </c>
      <c r="O2609" s="392" t="s">
        <v>7273</v>
      </c>
      <c r="P2609"/>
      <c r="Q2609"/>
      <c r="R2609" s="387">
        <f>VLOOKUP(E2609,'[1]NDB Impacted SPRFs 05032013'!$A$2:$A$65536,1,FALSE)</f>
        <v>400035710</v>
      </c>
      <c r="S2609" s="159"/>
      <c r="T2609" s="159"/>
      <c r="U2609" s="159"/>
    </row>
    <row r="2610" spans="1:21" ht="51" customHeight="1" x14ac:dyDescent="0.25">
      <c r="A2610" s="191">
        <f>MATCH($E2610,'D1 - Master Project Table'!$B$24:$B$7056,0)</f>
        <v>1423</v>
      </c>
      <c r="B2610" s="191" t="b">
        <f t="shared" si="123"/>
        <v>0</v>
      </c>
      <c r="C2610" s="191" t="b">
        <f t="shared" si="121"/>
        <v>1</v>
      </c>
      <c r="D2610" s="191" t="str">
        <f t="shared" si="122"/>
        <v>OK</v>
      </c>
      <c r="E2610" s="393">
        <v>400035731</v>
      </c>
      <c r="F2610" s="392" t="s">
        <v>5352</v>
      </c>
      <c r="G2610" s="392" t="s">
        <v>2041</v>
      </c>
      <c r="H2610" s="392" t="s">
        <v>7418</v>
      </c>
      <c r="I2610" s="392" t="s">
        <v>3629</v>
      </c>
      <c r="J2610" s="392" t="s">
        <v>8606</v>
      </c>
      <c r="K2610" s="392" t="s">
        <v>5353</v>
      </c>
      <c r="L2610" s="392" t="s">
        <v>2845</v>
      </c>
      <c r="M2610" s="392" t="s">
        <v>7273</v>
      </c>
      <c r="N2610" s="392" t="s">
        <v>7273</v>
      </c>
      <c r="O2610" s="392" t="s">
        <v>7273</v>
      </c>
      <c r="P2610"/>
      <c r="Q2610"/>
      <c r="R2610" s="387">
        <f>VLOOKUP(E2610,'[1]NDB Impacted SPRFs 05032013'!$A$2:$A$65536,1,FALSE)</f>
        <v>400035731</v>
      </c>
      <c r="S2610" s="159"/>
      <c r="T2610" s="159"/>
      <c r="U2610" s="159"/>
    </row>
    <row r="2611" spans="1:21" ht="51" customHeight="1" x14ac:dyDescent="0.25">
      <c r="A2611" s="191" t="e">
        <f>MATCH($E2611,'D1 - Master Project Table'!$B$24:$B$7056,0)</f>
        <v>#N/A</v>
      </c>
      <c r="B2611" s="191" t="b">
        <f t="shared" si="123"/>
        <v>1</v>
      </c>
      <c r="C2611" s="191" t="b">
        <f t="shared" si="121"/>
        <v>1</v>
      </c>
      <c r="D2611" s="191" t="str">
        <f t="shared" si="122"/>
        <v>OK</v>
      </c>
      <c r="E2611" s="393">
        <v>400036422</v>
      </c>
      <c r="F2611" s="392" t="s">
        <v>3256</v>
      </c>
      <c r="G2611" s="392" t="s">
        <v>5995</v>
      </c>
      <c r="H2611" s="392" t="s">
        <v>5314</v>
      </c>
      <c r="I2611" s="392" t="s">
        <v>6423</v>
      </c>
      <c r="J2611" s="392" t="s">
        <v>8805</v>
      </c>
      <c r="K2611" s="392" t="s">
        <v>3257</v>
      </c>
      <c r="L2611" s="392" t="s">
        <v>2845</v>
      </c>
      <c r="M2611" s="392" t="s">
        <v>7273</v>
      </c>
      <c r="N2611" s="392" t="s">
        <v>7273</v>
      </c>
      <c r="O2611" s="392" t="s">
        <v>7273</v>
      </c>
      <c r="P2611"/>
      <c r="Q2611"/>
      <c r="R2611" s="387">
        <f>VLOOKUP(E2611,'[1]NDB Impacted SPRFs 05032013'!$A$2:$A$65536,1,FALSE)</f>
        <v>400036422</v>
      </c>
      <c r="S2611" s="159"/>
      <c r="T2611" s="159"/>
      <c r="U2611" s="159"/>
    </row>
    <row r="2612" spans="1:21" ht="51" customHeight="1" x14ac:dyDescent="0.25">
      <c r="A2612" s="191">
        <f>MATCH($E2612,'D1 - Master Project Table'!$B$24:$B$7056,0)</f>
        <v>2966</v>
      </c>
      <c r="B2612" s="191" t="b">
        <f t="shared" si="123"/>
        <v>0</v>
      </c>
      <c r="C2612" s="191" t="b">
        <f t="shared" si="121"/>
        <v>1</v>
      </c>
      <c r="D2612" s="191" t="str">
        <f t="shared" si="122"/>
        <v>OK</v>
      </c>
      <c r="E2612" s="393">
        <v>400036424</v>
      </c>
      <c r="F2612" s="392" t="s">
        <v>3256</v>
      </c>
      <c r="G2612" s="392" t="s">
        <v>5995</v>
      </c>
      <c r="H2612" s="392" t="s">
        <v>5314</v>
      </c>
      <c r="I2612" s="392" t="s">
        <v>6423</v>
      </c>
      <c r="J2612" s="392" t="s">
        <v>8805</v>
      </c>
      <c r="K2612" s="392" t="s">
        <v>3258</v>
      </c>
      <c r="L2612" s="392" t="s">
        <v>2845</v>
      </c>
      <c r="M2612" s="392" t="s">
        <v>7273</v>
      </c>
      <c r="N2612" s="392" t="s">
        <v>7273</v>
      </c>
      <c r="O2612" s="392" t="s">
        <v>7273</v>
      </c>
      <c r="P2612"/>
      <c r="Q2612"/>
      <c r="R2612" s="387">
        <f>VLOOKUP(E2612,'[1]NDB Impacted SPRFs 05032013'!$A$2:$A$65536,1,FALSE)</f>
        <v>400036424</v>
      </c>
    </row>
    <row r="2613" spans="1:21" ht="51" customHeight="1" x14ac:dyDescent="0.25">
      <c r="A2613" s="191">
        <f>MATCH($E2613,'D1 - Master Project Table'!$B$24:$B$7056,0)</f>
        <v>1301</v>
      </c>
      <c r="B2613" s="191" t="b">
        <f t="shared" si="123"/>
        <v>0</v>
      </c>
      <c r="C2613" s="191" t="b">
        <f t="shared" si="121"/>
        <v>1</v>
      </c>
      <c r="D2613" s="191" t="str">
        <f t="shared" si="122"/>
        <v>OK</v>
      </c>
      <c r="E2613" s="393">
        <v>400036756</v>
      </c>
      <c r="F2613" s="392" t="s">
        <v>3423</v>
      </c>
      <c r="G2613" s="392" t="s">
        <v>2041</v>
      </c>
      <c r="H2613" s="392" t="s">
        <v>7418</v>
      </c>
      <c r="I2613" s="392" t="s">
        <v>3629</v>
      </c>
      <c r="J2613" s="392" t="s">
        <v>8621</v>
      </c>
      <c r="K2613" s="392" t="s">
        <v>3791</v>
      </c>
      <c r="L2613" s="392" t="s">
        <v>2845</v>
      </c>
      <c r="M2613" s="392" t="s">
        <v>7273</v>
      </c>
      <c r="N2613" s="392" t="s">
        <v>7273</v>
      </c>
      <c r="O2613" s="392" t="s">
        <v>7273</v>
      </c>
      <c r="P2613"/>
      <c r="Q2613"/>
      <c r="R2613" s="387">
        <f>VLOOKUP(E2613,'[1]NDB Impacted SPRFs 05032013'!$A$2:$A$65536,1,FALSE)</f>
        <v>400036756</v>
      </c>
      <c r="S2613" s="159"/>
      <c r="T2613" s="159"/>
      <c r="U2613" s="159"/>
    </row>
    <row r="2614" spans="1:21" ht="51" customHeight="1" x14ac:dyDescent="0.25">
      <c r="A2614" s="191">
        <f>MATCH($E2614,'D1 - Master Project Table'!$B$24:$B$7056,0)</f>
        <v>1302</v>
      </c>
      <c r="B2614" s="191" t="b">
        <f t="shared" si="123"/>
        <v>0</v>
      </c>
      <c r="C2614" s="191" t="b">
        <f t="shared" si="121"/>
        <v>1</v>
      </c>
      <c r="D2614" s="191" t="str">
        <f t="shared" si="122"/>
        <v>OK</v>
      </c>
      <c r="E2614" s="393">
        <v>400036786</v>
      </c>
      <c r="F2614" s="392" t="s">
        <v>3421</v>
      </c>
      <c r="G2614" s="392" t="s">
        <v>2041</v>
      </c>
      <c r="H2614" s="392" t="s">
        <v>7418</v>
      </c>
      <c r="I2614" s="392" t="s">
        <v>3629</v>
      </c>
      <c r="J2614" s="392" t="s">
        <v>8606</v>
      </c>
      <c r="K2614" s="392" t="s">
        <v>5353</v>
      </c>
      <c r="L2614" s="392" t="s">
        <v>2845</v>
      </c>
      <c r="M2614" s="392" t="s">
        <v>7273</v>
      </c>
      <c r="N2614" s="392" t="s">
        <v>7273</v>
      </c>
      <c r="O2614" s="392" t="s">
        <v>7273</v>
      </c>
      <c r="P2614"/>
      <c r="Q2614"/>
      <c r="R2614" s="387">
        <f>VLOOKUP(E2614,'[1]NDB Impacted SPRFs 05032013'!$A$2:$A$65536,1,FALSE)</f>
        <v>400036786</v>
      </c>
      <c r="S2614" s="159"/>
      <c r="T2614" s="159"/>
      <c r="U2614" s="159"/>
    </row>
    <row r="2615" spans="1:21" ht="51" customHeight="1" x14ac:dyDescent="0.25">
      <c r="A2615" s="191">
        <f>MATCH($E2615,'D1 - Master Project Table'!$B$24:$B$7056,0)</f>
        <v>1321</v>
      </c>
      <c r="B2615" s="191" t="b">
        <f t="shared" si="123"/>
        <v>0</v>
      </c>
      <c r="C2615" s="191" t="b">
        <f t="shared" si="121"/>
        <v>1</v>
      </c>
      <c r="D2615" s="191" t="str">
        <f t="shared" si="122"/>
        <v>OK</v>
      </c>
      <c r="E2615" s="393">
        <v>400037490</v>
      </c>
      <c r="F2615" s="392" t="s">
        <v>6574</v>
      </c>
      <c r="G2615" s="392" t="s">
        <v>5324</v>
      </c>
      <c r="H2615" s="392" t="s">
        <v>7418</v>
      </c>
      <c r="I2615" s="392" t="s">
        <v>1757</v>
      </c>
      <c r="J2615" s="392" t="s">
        <v>8500</v>
      </c>
      <c r="K2615" s="392" t="s">
        <v>6240</v>
      </c>
      <c r="L2615" s="392" t="s">
        <v>2845</v>
      </c>
      <c r="M2615" s="392" t="s">
        <v>7273</v>
      </c>
      <c r="N2615" s="392" t="s">
        <v>7273</v>
      </c>
      <c r="O2615" s="392" t="s">
        <v>7273</v>
      </c>
      <c r="P2615"/>
      <c r="Q2615"/>
      <c r="R2615" s="387">
        <f>VLOOKUP(E2615,'[1]NDB Impacted SPRFs 05032013'!$A$2:$A$65536,1,FALSE)</f>
        <v>400037490</v>
      </c>
      <c r="S2615" s="159"/>
      <c r="T2615" s="159"/>
      <c r="U2615" s="159"/>
    </row>
    <row r="2616" spans="1:21" ht="51" customHeight="1" x14ac:dyDescent="0.25">
      <c r="A2616" s="191">
        <f>MATCH($E2616,'D1 - Master Project Table'!$B$24:$B$7056,0)</f>
        <v>2024</v>
      </c>
      <c r="B2616" s="191" t="b">
        <f t="shared" si="123"/>
        <v>0</v>
      </c>
      <c r="C2616" s="191" t="b">
        <f t="shared" si="121"/>
        <v>1</v>
      </c>
      <c r="D2616" s="191" t="str">
        <f t="shared" si="122"/>
        <v>OK</v>
      </c>
      <c r="E2616" s="393">
        <v>400039753</v>
      </c>
      <c r="F2616" s="392" t="s">
        <v>6994</v>
      </c>
      <c r="G2616" s="392" t="s">
        <v>6322</v>
      </c>
      <c r="H2616" s="392" t="s">
        <v>7418</v>
      </c>
      <c r="I2616" s="392" t="s">
        <v>7594</v>
      </c>
      <c r="J2616" s="392" t="s">
        <v>6995</v>
      </c>
      <c r="K2616" s="392" t="s">
        <v>6995</v>
      </c>
      <c r="L2616" s="392" t="s">
        <v>2845</v>
      </c>
      <c r="M2616" s="392" t="s">
        <v>7273</v>
      </c>
      <c r="N2616" s="392" t="s">
        <v>7273</v>
      </c>
      <c r="O2616" s="392" t="s">
        <v>7273</v>
      </c>
      <c r="P2616"/>
      <c r="Q2616"/>
      <c r="R2616" s="387">
        <f>VLOOKUP(E2616,'[1]NDB Impacted SPRFs 05032013'!$A$2:$A$65536,1,FALSE)</f>
        <v>400039753</v>
      </c>
    </row>
    <row r="2617" spans="1:21" ht="51" customHeight="1" x14ac:dyDescent="0.25">
      <c r="A2617" s="191">
        <f>MATCH($E2617,'D1 - Master Project Table'!$B$24:$B$7056,0)</f>
        <v>3015</v>
      </c>
      <c r="B2617" s="191" t="b">
        <f t="shared" si="123"/>
        <v>0</v>
      </c>
      <c r="C2617" s="191" t="b">
        <f t="shared" si="121"/>
        <v>1</v>
      </c>
      <c r="D2617" s="191" t="str">
        <f t="shared" si="122"/>
        <v>OK</v>
      </c>
      <c r="E2617" s="393">
        <v>400039974</v>
      </c>
      <c r="F2617" s="392" t="s">
        <v>6991</v>
      </c>
      <c r="G2617" s="392" t="s">
        <v>6322</v>
      </c>
      <c r="H2617" s="392" t="s">
        <v>5314</v>
      </c>
      <c r="I2617" s="392" t="s">
        <v>7594</v>
      </c>
      <c r="J2617" s="392" t="s">
        <v>4688</v>
      </c>
      <c r="K2617" s="392" t="s">
        <v>7164</v>
      </c>
      <c r="L2617" s="392" t="s">
        <v>2845</v>
      </c>
      <c r="M2617" s="392" t="s">
        <v>7273</v>
      </c>
      <c r="N2617" s="392" t="s">
        <v>7273</v>
      </c>
      <c r="O2617" s="392" t="s">
        <v>7273</v>
      </c>
      <c r="R2617" s="387">
        <f>VLOOKUP(E2617,'[1]NDB Impacted SPRFs 05032013'!$A$2:$A$65536,1,FALSE)</f>
        <v>400039974</v>
      </c>
    </row>
    <row r="2618" spans="1:21" ht="51" customHeight="1" x14ac:dyDescent="0.25">
      <c r="A2618" s="191">
        <f>MATCH($E2618,'D1 - Master Project Table'!$B$24:$B$7056,0)</f>
        <v>1404</v>
      </c>
      <c r="B2618" s="191" t="b">
        <f t="shared" si="123"/>
        <v>0</v>
      </c>
      <c r="C2618" s="191" t="b">
        <f t="shared" si="121"/>
        <v>1</v>
      </c>
      <c r="D2618" s="191" t="str">
        <f t="shared" si="122"/>
        <v>OK</v>
      </c>
      <c r="E2618" s="393">
        <v>400041297</v>
      </c>
      <c r="F2618" s="392" t="s">
        <v>6302</v>
      </c>
      <c r="G2618" s="392" t="s">
        <v>5324</v>
      </c>
      <c r="H2618" s="392" t="s">
        <v>7418</v>
      </c>
      <c r="I2618" s="392" t="s">
        <v>1791</v>
      </c>
      <c r="J2618" s="392" t="s">
        <v>4990</v>
      </c>
      <c r="K2618" s="392" t="s">
        <v>5610</v>
      </c>
      <c r="L2618" s="392" t="s">
        <v>2845</v>
      </c>
      <c r="M2618" s="392" t="s">
        <v>7273</v>
      </c>
      <c r="N2618" s="392" t="s">
        <v>7273</v>
      </c>
      <c r="O2618" s="392" t="s">
        <v>7273</v>
      </c>
      <c r="P2618"/>
      <c r="Q2618"/>
      <c r="R2618" s="387">
        <f>VLOOKUP(E2618,'[1]NDB Impacted SPRFs 05032013'!$A$2:$A$65536,1,FALSE)</f>
        <v>400041297</v>
      </c>
    </row>
    <row r="2619" spans="1:21" ht="51" customHeight="1" x14ac:dyDescent="0.25">
      <c r="A2619" s="191">
        <f>MATCH($E2619,'D1 - Master Project Table'!$B$24:$B$7056,0)</f>
        <v>3054</v>
      </c>
      <c r="B2619" s="191" t="b">
        <f t="shared" si="123"/>
        <v>0</v>
      </c>
      <c r="C2619" s="191" t="b">
        <f t="shared" si="121"/>
        <v>1</v>
      </c>
      <c r="D2619" s="191" t="str">
        <f t="shared" si="122"/>
        <v>OK</v>
      </c>
      <c r="E2619" s="393">
        <v>400043423</v>
      </c>
      <c r="F2619" s="392" t="s">
        <v>1853</v>
      </c>
      <c r="G2619" s="392" t="s">
        <v>2041</v>
      </c>
      <c r="H2619" s="392" t="s">
        <v>5314</v>
      </c>
      <c r="I2619" s="392" t="s">
        <v>3629</v>
      </c>
      <c r="J2619" s="392" t="s">
        <v>8791</v>
      </c>
      <c r="K2619" s="392" t="s">
        <v>1854</v>
      </c>
      <c r="L2619" s="392" t="s">
        <v>2845</v>
      </c>
      <c r="M2619" s="392" t="s">
        <v>7273</v>
      </c>
      <c r="N2619" s="392" t="s">
        <v>7273</v>
      </c>
      <c r="O2619" s="392" t="s">
        <v>7273</v>
      </c>
      <c r="P2619"/>
      <c r="Q2619"/>
      <c r="R2619" s="387">
        <f>VLOOKUP(E2619,'[1]NDB Impacted SPRFs 05032013'!$A$2:$A$65536,1,FALSE)</f>
        <v>400043423</v>
      </c>
      <c r="S2619" s="159"/>
      <c r="T2619" s="159"/>
      <c r="U2619" s="159"/>
    </row>
    <row r="2620" spans="1:21" ht="51" customHeight="1" x14ac:dyDescent="0.25">
      <c r="A2620" s="191">
        <f>MATCH($E2620,'D1 - Master Project Table'!$B$24:$B$7056,0)</f>
        <v>1512</v>
      </c>
      <c r="B2620" s="191" t="b">
        <f t="shared" si="123"/>
        <v>0</v>
      </c>
      <c r="C2620" s="191" t="b">
        <f t="shared" si="121"/>
        <v>1</v>
      </c>
      <c r="D2620" s="191" t="str">
        <f t="shared" si="122"/>
        <v>OK</v>
      </c>
      <c r="E2620" s="393">
        <v>400045267</v>
      </c>
      <c r="F2620" s="392" t="s">
        <v>2723</v>
      </c>
      <c r="G2620" s="392" t="s">
        <v>5324</v>
      </c>
      <c r="H2620" s="392" t="s">
        <v>7418</v>
      </c>
      <c r="I2620" s="392" t="s">
        <v>1757</v>
      </c>
      <c r="J2620" s="392" t="s">
        <v>8619</v>
      </c>
      <c r="K2620" s="392" t="s">
        <v>2724</v>
      </c>
      <c r="L2620" s="392" t="s">
        <v>2845</v>
      </c>
      <c r="M2620" s="392" t="s">
        <v>7273</v>
      </c>
      <c r="N2620" s="392" t="s">
        <v>7273</v>
      </c>
      <c r="O2620" s="392" t="s">
        <v>7273</v>
      </c>
      <c r="P2620"/>
      <c r="Q2620"/>
      <c r="R2620" s="387">
        <f>VLOOKUP(E2620,'[1]NDB Impacted SPRFs 05032013'!$A$2:$A$65536,1,FALSE)</f>
        <v>400045267</v>
      </c>
      <c r="S2620" s="159"/>
      <c r="T2620" s="159"/>
      <c r="U2620" s="159"/>
    </row>
    <row r="2621" spans="1:21" ht="51" customHeight="1" x14ac:dyDescent="0.25">
      <c r="A2621" s="191">
        <f>MATCH($E2621,'D1 - Master Project Table'!$B$24:$B$7056,0)</f>
        <v>1599</v>
      </c>
      <c r="B2621" s="191" t="b">
        <f t="shared" si="123"/>
        <v>0</v>
      </c>
      <c r="C2621" s="191" t="b">
        <f t="shared" si="121"/>
        <v>1</v>
      </c>
      <c r="D2621" s="191" t="str">
        <f t="shared" si="122"/>
        <v>OK</v>
      </c>
      <c r="E2621" s="393">
        <v>400046661</v>
      </c>
      <c r="F2621" s="392" t="s">
        <v>1392</v>
      </c>
      <c r="G2621" s="392" t="s">
        <v>5324</v>
      </c>
      <c r="H2621" s="392" t="s">
        <v>7418</v>
      </c>
      <c r="I2621" s="392" t="s">
        <v>1595</v>
      </c>
      <c r="J2621" s="392" t="s">
        <v>4796</v>
      </c>
      <c r="K2621" s="392" t="s">
        <v>6371</v>
      </c>
      <c r="L2621" s="392" t="s">
        <v>2845</v>
      </c>
      <c r="M2621" s="392" t="s">
        <v>7273</v>
      </c>
      <c r="N2621" s="392" t="s">
        <v>7273</v>
      </c>
      <c r="O2621" s="392" t="s">
        <v>7273</v>
      </c>
      <c r="P2621"/>
      <c r="Q2621"/>
      <c r="R2621" s="387">
        <f>VLOOKUP(E2621,'[1]NDB Impacted SPRFs 05032013'!$A$2:$A$65536,1,FALSE)</f>
        <v>400046661</v>
      </c>
    </row>
    <row r="2622" spans="1:21" ht="51" customHeight="1" x14ac:dyDescent="0.25">
      <c r="A2622" s="191">
        <f>MATCH($E2622,'D1 - Master Project Table'!$B$24:$B$7056,0)</f>
        <v>2314</v>
      </c>
      <c r="B2622" s="191" t="b">
        <f t="shared" si="123"/>
        <v>0</v>
      </c>
      <c r="C2622" s="191" t="b">
        <f t="shared" si="121"/>
        <v>1</v>
      </c>
      <c r="D2622" s="191" t="str">
        <f t="shared" si="122"/>
        <v>OK</v>
      </c>
      <c r="E2622" s="393">
        <v>400047194</v>
      </c>
      <c r="F2622" s="392" t="s">
        <v>7251</v>
      </c>
      <c r="G2622" s="392" t="s">
        <v>2041</v>
      </c>
      <c r="H2622" s="392" t="s">
        <v>5314</v>
      </c>
      <c r="I2622" s="392" t="s">
        <v>3629</v>
      </c>
      <c r="J2622" s="392" t="s">
        <v>7252</v>
      </c>
      <c r="K2622" s="392" t="s">
        <v>7253</v>
      </c>
      <c r="L2622" s="392" t="s">
        <v>2845</v>
      </c>
      <c r="M2622" s="392" t="s">
        <v>7273</v>
      </c>
      <c r="N2622" s="392" t="s">
        <v>7273</v>
      </c>
      <c r="O2622" s="392" t="s">
        <v>7273</v>
      </c>
      <c r="P2622"/>
      <c r="Q2622"/>
      <c r="R2622" s="387">
        <f>VLOOKUP(E2622,'[1]NDB Impacted SPRFs 05032013'!$A$2:$A$65536,1,FALSE)</f>
        <v>400047194</v>
      </c>
      <c r="S2622" s="159"/>
      <c r="T2622" s="159"/>
      <c r="U2622" s="159"/>
    </row>
    <row r="2623" spans="1:21" ht="51" customHeight="1" x14ac:dyDescent="0.25">
      <c r="A2623" s="191">
        <f>MATCH($E2623,'D1 - Master Project Table'!$B$24:$B$7056,0)</f>
        <v>3088</v>
      </c>
      <c r="B2623" s="191" t="b">
        <f t="shared" si="123"/>
        <v>0</v>
      </c>
      <c r="C2623" s="191" t="b">
        <f t="shared" si="121"/>
        <v>1</v>
      </c>
      <c r="D2623" s="191" t="str">
        <f t="shared" si="122"/>
        <v>OK</v>
      </c>
      <c r="E2623" s="393">
        <v>400048172</v>
      </c>
      <c r="F2623" s="392" t="s">
        <v>308</v>
      </c>
      <c r="G2623" s="392" t="s">
        <v>5324</v>
      </c>
      <c r="H2623" s="392" t="s">
        <v>5314</v>
      </c>
      <c r="I2623" s="392" t="s">
        <v>1786</v>
      </c>
      <c r="J2623" s="392" t="s">
        <v>8467</v>
      </c>
      <c r="K2623" s="392" t="s">
        <v>309</v>
      </c>
      <c r="L2623" s="392" t="s">
        <v>2845</v>
      </c>
      <c r="M2623" s="392" t="s">
        <v>7273</v>
      </c>
      <c r="N2623" s="392" t="s">
        <v>7273</v>
      </c>
      <c r="O2623" s="392" t="s">
        <v>7273</v>
      </c>
      <c r="P2623"/>
      <c r="Q2623"/>
      <c r="R2623" s="387">
        <f>VLOOKUP(E2623,'[1]NDB Impacted SPRFs 05032013'!$A$2:$A$65536,1,FALSE)</f>
        <v>400048172</v>
      </c>
    </row>
    <row r="2624" spans="1:21" ht="51" customHeight="1" x14ac:dyDescent="0.25">
      <c r="A2624" s="191">
        <f>MATCH($E2624,'D1 - Master Project Table'!$B$24:$B$7056,0)</f>
        <v>1730</v>
      </c>
      <c r="B2624" s="191" t="b">
        <f t="shared" si="123"/>
        <v>0</v>
      </c>
      <c r="C2624" s="191" t="b">
        <f t="shared" si="121"/>
        <v>1</v>
      </c>
      <c r="D2624" s="191" t="str">
        <f t="shared" si="122"/>
        <v>OK</v>
      </c>
      <c r="E2624" s="393">
        <v>400049890</v>
      </c>
      <c r="F2624" s="392" t="s">
        <v>419</v>
      </c>
      <c r="G2624" s="392" t="s">
        <v>5324</v>
      </c>
      <c r="H2624" s="392" t="s">
        <v>5314</v>
      </c>
      <c r="I2624" s="392" t="s">
        <v>1786</v>
      </c>
      <c r="J2624" s="392" t="s">
        <v>1957</v>
      </c>
      <c r="K2624" s="392" t="s">
        <v>4822</v>
      </c>
      <c r="L2624" s="392" t="s">
        <v>2845</v>
      </c>
      <c r="M2624" s="392" t="s">
        <v>7273</v>
      </c>
      <c r="N2624" s="392" t="s">
        <v>7273</v>
      </c>
      <c r="O2624" s="392" t="s">
        <v>7273</v>
      </c>
      <c r="P2624"/>
      <c r="Q2624"/>
      <c r="R2624" s="387">
        <f>VLOOKUP(E2624,'[1]NDB Impacted SPRFs 05032013'!$A$2:$A$65536,1,FALSE)</f>
        <v>400049890</v>
      </c>
    </row>
    <row r="2625" spans="1:21" ht="51" customHeight="1" x14ac:dyDescent="0.25">
      <c r="A2625" s="191" t="e">
        <f>MATCH($E2625,'D1 - Master Project Table'!$B$24:$B$7056,0)</f>
        <v>#N/A</v>
      </c>
      <c r="B2625" s="191" t="b">
        <f t="shared" si="123"/>
        <v>1</v>
      </c>
      <c r="C2625" s="191" t="b">
        <f t="shared" si="121"/>
        <v>1</v>
      </c>
      <c r="D2625" s="191" t="str">
        <f t="shared" si="122"/>
        <v>OK</v>
      </c>
      <c r="E2625" s="393">
        <v>400050720</v>
      </c>
      <c r="F2625" s="392" t="s">
        <v>1274</v>
      </c>
      <c r="G2625" s="392" t="s">
        <v>5001</v>
      </c>
      <c r="H2625" s="392" t="s">
        <v>5314</v>
      </c>
      <c r="I2625" s="392" t="s">
        <v>3540</v>
      </c>
      <c r="J2625" s="392" t="s">
        <v>8752</v>
      </c>
      <c r="K2625" s="392" t="s">
        <v>1275</v>
      </c>
      <c r="L2625" s="392" t="s">
        <v>2845</v>
      </c>
      <c r="M2625" s="392" t="s">
        <v>7273</v>
      </c>
      <c r="N2625" s="392" t="s">
        <v>7273</v>
      </c>
      <c r="O2625" s="392" t="s">
        <v>7273</v>
      </c>
      <c r="P2625"/>
      <c r="Q2625"/>
      <c r="R2625" s="387">
        <f>VLOOKUP(E2625,'[1]NDB Impacted SPRFs 05032013'!$A$2:$A$65536,1,FALSE)</f>
        <v>400050720</v>
      </c>
      <c r="S2625" s="159"/>
      <c r="T2625" s="159"/>
      <c r="U2625" s="159"/>
    </row>
    <row r="2626" spans="1:21" ht="51" customHeight="1" x14ac:dyDescent="0.25">
      <c r="A2626" s="191">
        <f>MATCH($E2626,'D1 - Master Project Table'!$B$24:$B$7056,0)</f>
        <v>1735</v>
      </c>
      <c r="B2626" s="191" t="b">
        <f t="shared" si="123"/>
        <v>0</v>
      </c>
      <c r="C2626" s="191" t="b">
        <f t="shared" si="121"/>
        <v>1</v>
      </c>
      <c r="D2626" s="191" t="str">
        <f t="shared" si="122"/>
        <v>OK</v>
      </c>
      <c r="E2626" s="393">
        <v>400051104</v>
      </c>
      <c r="F2626" s="392" t="s">
        <v>3971</v>
      </c>
      <c r="G2626" s="392" t="s">
        <v>5324</v>
      </c>
      <c r="H2626" s="392" t="s">
        <v>7418</v>
      </c>
      <c r="I2626" s="392" t="s">
        <v>1758</v>
      </c>
      <c r="J2626" s="392" t="s">
        <v>2024</v>
      </c>
      <c r="K2626" s="392" t="s">
        <v>3354</v>
      </c>
      <c r="L2626" s="392" t="s">
        <v>2845</v>
      </c>
      <c r="M2626" s="392" t="s">
        <v>7273</v>
      </c>
      <c r="N2626" s="392" t="s">
        <v>7273</v>
      </c>
      <c r="O2626" s="392" t="s">
        <v>7273</v>
      </c>
      <c r="P2626"/>
      <c r="Q2626"/>
      <c r="R2626" s="387">
        <f>VLOOKUP(E2626,'[1]NDB Impacted SPRFs 05032013'!$A$2:$A$65536,1,FALSE)</f>
        <v>400051104</v>
      </c>
      <c r="S2626" s="159"/>
      <c r="T2626" s="159"/>
      <c r="U2626" s="159"/>
    </row>
    <row r="2627" spans="1:21" ht="51" customHeight="1" x14ac:dyDescent="0.25">
      <c r="A2627" s="191">
        <f>MATCH($E2627,'D1 - Master Project Table'!$B$24:$B$7056,0)</f>
        <v>2041</v>
      </c>
      <c r="B2627" s="191" t="b">
        <f t="shared" si="123"/>
        <v>0</v>
      </c>
      <c r="C2627" s="191" t="b">
        <f t="shared" si="121"/>
        <v>1</v>
      </c>
      <c r="D2627" s="191" t="str">
        <f t="shared" si="122"/>
        <v>OK</v>
      </c>
      <c r="E2627" s="393">
        <v>400052497</v>
      </c>
      <c r="F2627" s="392" t="s">
        <v>606</v>
      </c>
      <c r="G2627" s="392" t="s">
        <v>5001</v>
      </c>
      <c r="H2627" s="392" t="s">
        <v>7418</v>
      </c>
      <c r="I2627" s="392" t="s">
        <v>3540</v>
      </c>
      <c r="J2627" s="392" t="s">
        <v>8316</v>
      </c>
      <c r="K2627" s="392" t="s">
        <v>4691</v>
      </c>
      <c r="L2627" s="392" t="s">
        <v>2845</v>
      </c>
      <c r="M2627" s="392" t="s">
        <v>7273</v>
      </c>
      <c r="N2627" s="392" t="s">
        <v>7273</v>
      </c>
      <c r="O2627" s="392" t="s">
        <v>7273</v>
      </c>
      <c r="P2627"/>
      <c r="Q2627"/>
      <c r="R2627" s="387">
        <f>VLOOKUP(E2627,'[1]NDB Impacted SPRFs 05032013'!$A$2:$A$65536,1,FALSE)</f>
        <v>400052497</v>
      </c>
      <c r="S2627" s="159"/>
      <c r="T2627" s="159"/>
      <c r="U2627" s="159"/>
    </row>
    <row r="2628" spans="1:21" ht="51" customHeight="1" x14ac:dyDescent="0.25">
      <c r="A2628" s="191" t="e">
        <f>MATCH($E2628,'D1 - Master Project Table'!$B$24:$B$7056,0)</f>
        <v>#N/A</v>
      </c>
      <c r="B2628" s="191" t="b">
        <f t="shared" si="123"/>
        <v>1</v>
      </c>
      <c r="C2628" s="191" t="b">
        <f t="shared" si="121"/>
        <v>1</v>
      </c>
      <c r="D2628" s="191" t="str">
        <f t="shared" si="122"/>
        <v>OK</v>
      </c>
      <c r="E2628" s="393">
        <v>400052561</v>
      </c>
      <c r="F2628" s="392" t="s">
        <v>1735</v>
      </c>
      <c r="G2628" s="392" t="s">
        <v>5324</v>
      </c>
      <c r="H2628" s="392" t="s">
        <v>5314</v>
      </c>
      <c r="I2628" s="392" t="s">
        <v>1758</v>
      </c>
      <c r="J2628" s="392" t="s">
        <v>8308</v>
      </c>
      <c r="K2628" s="392" t="s">
        <v>1736</v>
      </c>
      <c r="L2628" s="392" t="s">
        <v>2845</v>
      </c>
      <c r="M2628" s="392" t="s">
        <v>7273</v>
      </c>
      <c r="N2628" s="392" t="s">
        <v>7273</v>
      </c>
      <c r="O2628" s="392" t="s">
        <v>7273</v>
      </c>
      <c r="P2628"/>
      <c r="Q2628"/>
      <c r="R2628" s="387">
        <f>VLOOKUP(E2628,'[1]NDB Impacted SPRFs 05032013'!$A$2:$A$65536,1,FALSE)</f>
        <v>400052561</v>
      </c>
      <c r="S2628" s="159"/>
      <c r="T2628" s="159"/>
      <c r="U2628" s="159"/>
    </row>
    <row r="2629" spans="1:21" ht="51" customHeight="1" x14ac:dyDescent="0.25">
      <c r="A2629" s="191">
        <f>MATCH($E2629,'D1 - Master Project Table'!$B$24:$B$7056,0)</f>
        <v>158</v>
      </c>
      <c r="B2629" s="191" t="b">
        <f t="shared" si="123"/>
        <v>0</v>
      </c>
      <c r="C2629" s="191" t="b">
        <f t="shared" si="121"/>
        <v>0</v>
      </c>
      <c r="D2629" s="191" t="str">
        <f t="shared" si="122"/>
        <v>OK</v>
      </c>
      <c r="E2629" s="393">
        <v>400053506</v>
      </c>
      <c r="F2629" s="392" t="s">
        <v>3467</v>
      </c>
      <c r="G2629" s="392" t="s">
        <v>5324</v>
      </c>
      <c r="H2629" s="392" t="s">
        <v>4917</v>
      </c>
      <c r="I2629" s="392" t="s">
        <v>1757</v>
      </c>
      <c r="J2629" s="392" t="s">
        <v>8478</v>
      </c>
      <c r="K2629" s="392" t="s">
        <v>4462</v>
      </c>
      <c r="L2629" s="392" t="s">
        <v>2845</v>
      </c>
      <c r="M2629" s="392" t="s">
        <v>7273</v>
      </c>
      <c r="N2629" s="392" t="s">
        <v>7273</v>
      </c>
      <c r="O2629" s="392" t="s">
        <v>7273</v>
      </c>
      <c r="P2629"/>
      <c r="Q2629"/>
      <c r="R2629" s="387">
        <f>VLOOKUP(E2629,'[1]NDB Impacted SPRFs 05032013'!$A$2:$A$65536,1,FALSE)</f>
        <v>400053506</v>
      </c>
      <c r="S2629" s="159"/>
      <c r="T2629" s="159"/>
      <c r="U2629" s="159"/>
    </row>
    <row r="2630" spans="1:21" ht="51" customHeight="1" x14ac:dyDescent="0.25">
      <c r="A2630" s="191">
        <f>MATCH($E2630,'D1 - Master Project Table'!$B$24:$B$7056,0)</f>
        <v>2043</v>
      </c>
      <c r="B2630" s="191" t="b">
        <f t="shared" si="123"/>
        <v>0</v>
      </c>
      <c r="C2630" s="191" t="b">
        <f t="shared" si="121"/>
        <v>1</v>
      </c>
      <c r="D2630" s="191" t="str">
        <f t="shared" ref="D2630:D2633" si="124">IF(AND(B2630=TRUE,C2630=FALSE),"Add","OK")</f>
        <v>OK</v>
      </c>
      <c r="E2630" s="393">
        <v>400055289</v>
      </c>
      <c r="F2630" s="392" t="s">
        <v>2610</v>
      </c>
      <c r="G2630" s="392" t="s">
        <v>2042</v>
      </c>
      <c r="H2630" s="392" t="s">
        <v>7418</v>
      </c>
      <c r="I2630" s="392" t="s">
        <v>4992</v>
      </c>
      <c r="J2630" s="392" t="s">
        <v>8786</v>
      </c>
      <c r="K2630" s="392" t="s">
        <v>2611</v>
      </c>
      <c r="L2630" s="392" t="s">
        <v>2845</v>
      </c>
      <c r="M2630" s="392" t="s">
        <v>7273</v>
      </c>
      <c r="N2630" s="392" t="s">
        <v>7273</v>
      </c>
      <c r="O2630" s="392" t="s">
        <v>7273</v>
      </c>
      <c r="P2630"/>
      <c r="Q2630"/>
      <c r="R2630" s="387">
        <f>VLOOKUP(E2630,'[1]NDB Impacted SPRFs 05032013'!$A$2:$A$65536,1,FALSE)</f>
        <v>400055289</v>
      </c>
    </row>
    <row r="2631" spans="1:21" ht="51" customHeight="1" x14ac:dyDescent="0.25">
      <c r="A2631" s="191">
        <f>MATCH($E2631,'D1 - Master Project Table'!$B$24:$B$7056,0)</f>
        <v>1794</v>
      </c>
      <c r="B2631" s="191" t="b">
        <f t="shared" si="123"/>
        <v>0</v>
      </c>
      <c r="C2631" s="191" t="b">
        <f t="shared" si="121"/>
        <v>1</v>
      </c>
      <c r="D2631" s="191" t="str">
        <f t="shared" si="124"/>
        <v>OK</v>
      </c>
      <c r="E2631" s="393">
        <v>400055435</v>
      </c>
      <c r="F2631" s="392" t="s">
        <v>1301</v>
      </c>
      <c r="G2631" s="392" t="s">
        <v>5324</v>
      </c>
      <c r="H2631" s="392" t="s">
        <v>7418</v>
      </c>
      <c r="I2631" s="392" t="s">
        <v>1758</v>
      </c>
      <c r="J2631" s="392" t="s">
        <v>2024</v>
      </c>
      <c r="K2631" s="392" t="s">
        <v>3354</v>
      </c>
      <c r="L2631" s="392" t="s">
        <v>2845</v>
      </c>
      <c r="M2631" s="392" t="s">
        <v>7273</v>
      </c>
      <c r="N2631" s="392" t="s">
        <v>7273</v>
      </c>
      <c r="O2631" s="392" t="s">
        <v>7273</v>
      </c>
      <c r="P2631"/>
      <c r="Q2631"/>
      <c r="R2631" s="387">
        <f>VLOOKUP(E2631,'[1]NDB Impacted SPRFs 05032013'!$A$2:$A$65536,1,FALSE)</f>
        <v>400055435</v>
      </c>
    </row>
    <row r="2632" spans="1:21" ht="51" customHeight="1" x14ac:dyDescent="0.25">
      <c r="A2632" s="191">
        <f>MATCH($E2632,'D1 - Master Project Table'!$B$24:$B$7056,0)</f>
        <v>61</v>
      </c>
      <c r="B2632" s="191" t="b">
        <f t="shared" si="123"/>
        <v>0</v>
      </c>
      <c r="C2632" s="191" t="b">
        <f t="shared" si="121"/>
        <v>0</v>
      </c>
      <c r="D2632" s="191" t="str">
        <f t="shared" si="124"/>
        <v>OK</v>
      </c>
      <c r="E2632" s="393">
        <v>400056389</v>
      </c>
      <c r="F2632" s="392" t="s">
        <v>7897</v>
      </c>
      <c r="G2632" s="392" t="s">
        <v>5324</v>
      </c>
      <c r="H2632" s="392" t="s">
        <v>4917</v>
      </c>
      <c r="I2632" s="392" t="s">
        <v>1759</v>
      </c>
      <c r="J2632" s="392" t="s">
        <v>4844</v>
      </c>
      <c r="K2632" s="392" t="s">
        <v>7060</v>
      </c>
      <c r="L2632" s="392" t="s">
        <v>2845</v>
      </c>
      <c r="M2632" s="392" t="s">
        <v>7273</v>
      </c>
      <c r="N2632" s="392" t="s">
        <v>7273</v>
      </c>
      <c r="O2632" s="392" t="s">
        <v>7273</v>
      </c>
      <c r="P2632"/>
      <c r="Q2632"/>
      <c r="R2632" s="387">
        <f>VLOOKUP(E2632,'[1]NDB Impacted SPRFs 05032013'!$A$2:$A$65536,1,FALSE)</f>
        <v>400056389</v>
      </c>
      <c r="S2632" s="159"/>
      <c r="T2632" s="159"/>
      <c r="U2632" s="159"/>
    </row>
    <row r="2633" spans="1:21" ht="51" customHeight="1" x14ac:dyDescent="0.25">
      <c r="A2633" s="191">
        <f>MATCH($E2633,'D1 - Master Project Table'!$B$24:$B$7056,0)</f>
        <v>3148</v>
      </c>
      <c r="B2633" s="191" t="b">
        <f t="shared" si="123"/>
        <v>0</v>
      </c>
      <c r="C2633" s="191" t="b">
        <f t="shared" si="121"/>
        <v>1</v>
      </c>
      <c r="D2633" s="191" t="str">
        <f t="shared" si="124"/>
        <v>OK</v>
      </c>
      <c r="E2633" s="393">
        <v>400057548</v>
      </c>
      <c r="F2633" s="392" t="s">
        <v>19</v>
      </c>
      <c r="G2633" s="392" t="s">
        <v>5324</v>
      </c>
      <c r="H2633" s="392" t="s">
        <v>5314</v>
      </c>
      <c r="I2633" s="392" t="s">
        <v>1786</v>
      </c>
      <c r="J2633" s="392" t="s">
        <v>8325</v>
      </c>
      <c r="K2633" s="392" t="s">
        <v>20</v>
      </c>
      <c r="L2633" s="392" t="s">
        <v>2845</v>
      </c>
      <c r="M2633" s="392" t="s">
        <v>7273</v>
      </c>
      <c r="N2633" s="392" t="s">
        <v>7273</v>
      </c>
      <c r="O2633" s="392" t="s">
        <v>7273</v>
      </c>
      <c r="P2633"/>
      <c r="Q2633"/>
      <c r="R2633" s="387">
        <f>VLOOKUP(E2633,'[1]NDB Impacted SPRFs 05032013'!$A$2:$A$65536,1,FALSE)</f>
        <v>400057548</v>
      </c>
      <c r="S2633" s="159"/>
      <c r="T2633" s="159"/>
      <c r="U2633" s="159"/>
    </row>
    <row r="2634" spans="1:21" ht="51" customHeight="1" x14ac:dyDescent="0.25">
      <c r="A2634" s="191">
        <f>MATCH($E2634,'D1 - Master Project Table'!$B$24:$B$7056,0)</f>
        <v>64</v>
      </c>
      <c r="B2634" s="191" t="b">
        <f t="shared" ref="B2634:B2637" si="125">ISERROR(A2634)</f>
        <v>0</v>
      </c>
      <c r="C2634" s="191" t="b">
        <f t="shared" ref="C2634:C2635" si="126">OR(H2634="Completed",H2634="Cancelled")</f>
        <v>0</v>
      </c>
      <c r="D2634" s="191" t="str">
        <f t="shared" ref="D2634:D2635" si="127">IF(AND(B2634=TRUE,C2634=FALSE),"Add","OK")</f>
        <v>OK</v>
      </c>
      <c r="E2634" s="393">
        <v>400057751</v>
      </c>
      <c r="F2634" s="392" t="s">
        <v>7670</v>
      </c>
      <c r="G2634" s="392" t="s">
        <v>5325</v>
      </c>
      <c r="H2634" s="392" t="s">
        <v>4917</v>
      </c>
      <c r="I2634" s="392" t="s">
        <v>1762</v>
      </c>
      <c r="J2634" s="392" t="s">
        <v>8257</v>
      </c>
      <c r="K2634" s="392" t="s">
        <v>8075</v>
      </c>
      <c r="L2634" s="392" t="s">
        <v>2845</v>
      </c>
      <c r="M2634" s="392" t="s">
        <v>7273</v>
      </c>
      <c r="N2634" s="392" t="s">
        <v>7273</v>
      </c>
      <c r="O2634" s="392" t="s">
        <v>7273</v>
      </c>
      <c r="P2634"/>
      <c r="Q2634"/>
      <c r="R2634" s="387">
        <f>VLOOKUP(E2634,'[1]NDB Impacted SPRFs 05032013'!$A$2:$A$65536,1,FALSE)</f>
        <v>400057751</v>
      </c>
      <c r="S2634" s="159"/>
      <c r="T2634" s="159"/>
      <c r="U2634" s="159"/>
    </row>
    <row r="2635" spans="1:21" ht="51" customHeight="1" x14ac:dyDescent="0.25">
      <c r="A2635" s="191">
        <f>MATCH($E2635,'D1 - Master Project Table'!$B$24:$B$7056,0)</f>
        <v>18</v>
      </c>
      <c r="B2635" s="191" t="b">
        <f t="shared" si="125"/>
        <v>0</v>
      </c>
      <c r="C2635" s="191" t="b">
        <f t="shared" si="126"/>
        <v>0</v>
      </c>
      <c r="D2635" s="191" t="str">
        <f t="shared" si="127"/>
        <v>OK</v>
      </c>
      <c r="E2635" s="393">
        <v>400057811</v>
      </c>
      <c r="F2635" s="392" t="s">
        <v>80</v>
      </c>
      <c r="G2635" s="392" t="s">
        <v>2041</v>
      </c>
      <c r="H2635" s="392" t="s">
        <v>4917</v>
      </c>
      <c r="I2635" s="392" t="s">
        <v>81</v>
      </c>
      <c r="J2635" s="392" t="s">
        <v>5657</v>
      </c>
      <c r="K2635" s="392" t="s">
        <v>82</v>
      </c>
      <c r="L2635" s="392" t="s">
        <v>2845</v>
      </c>
      <c r="M2635" s="392" t="s">
        <v>7273</v>
      </c>
      <c r="N2635" s="392" t="s">
        <v>7273</v>
      </c>
      <c r="O2635" s="392" t="s">
        <v>7273</v>
      </c>
      <c r="P2635"/>
      <c r="Q2635"/>
      <c r="R2635" s="387">
        <f>VLOOKUP(E2635,'[1]NDB Impacted SPRFs 05032013'!$A$2:$A$65536,1,FALSE)</f>
        <v>400057811</v>
      </c>
      <c r="S2635" s="159"/>
      <c r="T2635" s="159"/>
      <c r="U2635" s="159"/>
    </row>
    <row r="2636" spans="1:21" ht="51" customHeight="1" x14ac:dyDescent="0.25">
      <c r="A2636" s="191">
        <f>MATCH($E2636,'D1 - Master Project Table'!$B$24:$B$7056,0)</f>
        <v>91</v>
      </c>
      <c r="B2636" s="191" t="b">
        <f t="shared" si="125"/>
        <v>0</v>
      </c>
      <c r="C2636" s="191" t="b">
        <f t="shared" ref="C2636:C2637" si="128">OR(H2636="Completed",H2636="Cancelled")</f>
        <v>0</v>
      </c>
      <c r="D2636" s="191" t="str">
        <f t="shared" ref="D2636:D2637" si="129">IF(AND(B2636=TRUE,C2636=FALSE),"Add","OK")</f>
        <v>OK</v>
      </c>
      <c r="E2636" s="393">
        <v>400058528</v>
      </c>
      <c r="F2636" s="392" t="s">
        <v>9000</v>
      </c>
      <c r="G2636" s="392" t="s">
        <v>5324</v>
      </c>
      <c r="H2636" s="392" t="s">
        <v>4917</v>
      </c>
      <c r="I2636" s="392" t="s">
        <v>1786</v>
      </c>
      <c r="J2636" s="392" t="s">
        <v>9001</v>
      </c>
      <c r="K2636" s="392" t="s">
        <v>20</v>
      </c>
      <c r="L2636" s="392" t="s">
        <v>2845</v>
      </c>
      <c r="M2636" s="392" t="s">
        <v>7273</v>
      </c>
      <c r="N2636" s="392" t="s">
        <v>7273</v>
      </c>
      <c r="O2636" s="392" t="s">
        <v>7273</v>
      </c>
      <c r="P2636"/>
      <c r="Q2636"/>
      <c r="R2636" s="387">
        <f>VLOOKUP(E2636,'[1]NDB Impacted SPRFs 05032013'!$A$2:$A$65536,1,FALSE)</f>
        <v>400058528</v>
      </c>
      <c r="S2636" s="159"/>
      <c r="T2636" s="159"/>
      <c r="U2636" s="159"/>
    </row>
    <row r="2637" spans="1:21" ht="51" customHeight="1" x14ac:dyDescent="0.25">
      <c r="A2637" s="191">
        <f>MATCH($E2637,'D1 - Master Project Table'!$B$24:$B$7056,0)</f>
        <v>265</v>
      </c>
      <c r="B2637" s="191" t="b">
        <f t="shared" si="125"/>
        <v>0</v>
      </c>
      <c r="C2637" s="191" t="b">
        <f t="shared" si="128"/>
        <v>0</v>
      </c>
      <c r="D2637" s="191" t="str">
        <f t="shared" si="129"/>
        <v>OK</v>
      </c>
      <c r="E2637" s="393">
        <v>400059184</v>
      </c>
      <c r="F2637" s="392" t="s">
        <v>9278</v>
      </c>
      <c r="G2637" s="392" t="s">
        <v>5324</v>
      </c>
      <c r="H2637" s="392" t="s">
        <v>8012</v>
      </c>
      <c r="I2637" s="392" t="s">
        <v>1757</v>
      </c>
      <c r="J2637" s="392" t="s">
        <v>9316</v>
      </c>
      <c r="K2637" s="392" t="s">
        <v>9279</v>
      </c>
      <c r="L2637" s="392" t="s">
        <v>2845</v>
      </c>
      <c r="M2637" s="392" t="s">
        <v>7273</v>
      </c>
      <c r="N2637" s="392" t="s">
        <v>7273</v>
      </c>
      <c r="O2637" s="392" t="s">
        <v>7273</v>
      </c>
      <c r="P2637"/>
      <c r="Q2637"/>
      <c r="R2637" s="387">
        <f>VLOOKUP(E2637,'[1]NDB Impacted SPRFs 05032013'!$A$2:$A$65536,1,FALSE)</f>
        <v>400059184</v>
      </c>
      <c r="S2637" s="159"/>
      <c r="T2637" s="159"/>
      <c r="U2637" s="159"/>
    </row>
    <row r="2638" spans="1:21" ht="51" customHeight="1" x14ac:dyDescent="0.25">
      <c r="A2638" s="191">
        <f>MATCH($E2638,'D1 - Master Project Table'!$B$24:$B$7056,0)</f>
        <v>243</v>
      </c>
      <c r="B2638" s="191" t="b">
        <f t="shared" ref="B2638:B2701" si="130">ISERROR(A2638)</f>
        <v>0</v>
      </c>
      <c r="C2638" s="191" t="b">
        <f t="shared" ref="C2638:C2701" si="131">OR(H2638="Completed",H2638="Cancelled")</f>
        <v>0</v>
      </c>
      <c r="D2638" s="191" t="str">
        <f t="shared" ref="D2638:D2701" si="132">IF(AND(B2638=TRUE,C2638=FALSE),"Add","OK")</f>
        <v>OK</v>
      </c>
      <c r="E2638" s="421">
        <v>400058005</v>
      </c>
      <c r="F2638" s="392" t="s">
        <v>8330</v>
      </c>
      <c r="G2638" s="392" t="s">
        <v>5324</v>
      </c>
      <c r="H2638" s="392" t="s">
        <v>8012</v>
      </c>
      <c r="I2638" s="392" t="s">
        <v>1786</v>
      </c>
      <c r="J2638" s="392" t="s">
        <v>285</v>
      </c>
      <c r="K2638" s="392" t="s">
        <v>4169</v>
      </c>
      <c r="L2638" s="392" t="s">
        <v>9408</v>
      </c>
      <c r="M2638" s="392" t="s">
        <v>3758</v>
      </c>
      <c r="N2638" s="392" t="s">
        <v>7273</v>
      </c>
      <c r="O2638" s="392" t="s">
        <v>7273</v>
      </c>
      <c r="P2638"/>
      <c r="Q2638"/>
      <c r="R2638" s="387" t="e">
        <f>VLOOKUP(E2638,'[1]NDB Impacted SPRFs 05032013'!$A$2:$A$65536,1,FALSE)</f>
        <v>#N/A</v>
      </c>
      <c r="S2638" s="159"/>
      <c r="T2638" s="159"/>
      <c r="U2638" s="159"/>
    </row>
    <row r="2639" spans="1:21" ht="51" customHeight="1" x14ac:dyDescent="0.25">
      <c r="A2639" s="191">
        <f>MATCH($E2639,'D1 - Master Project Table'!$B$24:$B$7056,0)</f>
        <v>3137</v>
      </c>
      <c r="B2639" s="191" t="b">
        <f t="shared" si="130"/>
        <v>0</v>
      </c>
      <c r="C2639" s="191" t="b">
        <f t="shared" si="131"/>
        <v>0</v>
      </c>
      <c r="D2639" s="191" t="str">
        <f t="shared" si="132"/>
        <v>OK</v>
      </c>
      <c r="E2639" s="421">
        <v>400054963</v>
      </c>
      <c r="F2639" s="392" t="s">
        <v>41</v>
      </c>
      <c r="G2639" s="392" t="s">
        <v>9210</v>
      </c>
      <c r="H2639" s="392" t="s">
        <v>8012</v>
      </c>
      <c r="I2639" s="392" t="s">
        <v>7666</v>
      </c>
      <c r="J2639" s="392" t="s">
        <v>1957</v>
      </c>
      <c r="K2639" s="392" t="s">
        <v>42</v>
      </c>
      <c r="L2639" s="392" t="s">
        <v>5013</v>
      </c>
      <c r="M2639" s="392" t="s">
        <v>3758</v>
      </c>
      <c r="N2639" s="392" t="s">
        <v>7273</v>
      </c>
      <c r="O2639" s="392" t="s">
        <v>7273</v>
      </c>
      <c r="P2639"/>
      <c r="Q2639"/>
      <c r="R2639" s="387" t="e">
        <f>VLOOKUP(E2639,'[1]NDB Impacted SPRFs 05032013'!$A$2:$A$65536,1,FALSE)</f>
        <v>#N/A</v>
      </c>
      <c r="S2639" s="159"/>
      <c r="T2639" s="159"/>
      <c r="U2639" s="159"/>
    </row>
    <row r="2640" spans="1:21" ht="51" customHeight="1" x14ac:dyDescent="0.25">
      <c r="A2640" s="191">
        <f>MATCH($E2640,'D1 - Master Project Table'!$B$24:$B$7056,0)</f>
        <v>252</v>
      </c>
      <c r="B2640" s="191" t="b">
        <f t="shared" si="130"/>
        <v>0</v>
      </c>
      <c r="C2640" s="191" t="b">
        <f t="shared" si="131"/>
        <v>0</v>
      </c>
      <c r="D2640" s="191" t="str">
        <f t="shared" si="132"/>
        <v>OK</v>
      </c>
      <c r="E2640" s="393">
        <v>400058419</v>
      </c>
      <c r="F2640" s="392" t="s">
        <v>9216</v>
      </c>
      <c r="G2640" s="392" t="s">
        <v>6322</v>
      </c>
      <c r="H2640" s="392" t="s">
        <v>8012</v>
      </c>
      <c r="I2640" s="392" t="s">
        <v>1758</v>
      </c>
      <c r="J2640" s="392" t="s">
        <v>3048</v>
      </c>
      <c r="K2640" s="392" t="s">
        <v>9217</v>
      </c>
      <c r="L2640" s="392" t="s">
        <v>9400</v>
      </c>
      <c r="M2640" s="392" t="s">
        <v>7273</v>
      </c>
      <c r="N2640" s="392" t="s">
        <v>7273</v>
      </c>
      <c r="O2640" s="392" t="s">
        <v>7273</v>
      </c>
      <c r="P2640"/>
      <c r="Q2640"/>
      <c r="R2640" s="387" t="e">
        <f>VLOOKUP(E2640,'[1]NDB Impacted SPRFs 05032013'!$A$2:$A$65536,1,FALSE)</f>
        <v>#N/A</v>
      </c>
    </row>
    <row r="2641" spans="1:21" ht="51" customHeight="1" x14ac:dyDescent="0.25">
      <c r="A2641" s="191">
        <f>MATCH($E2641,'D1 - Master Project Table'!$B$24:$B$7056,0)</f>
        <v>232</v>
      </c>
      <c r="B2641" s="191" t="b">
        <f t="shared" si="130"/>
        <v>0</v>
      </c>
      <c r="C2641" s="191" t="b">
        <f t="shared" si="131"/>
        <v>0</v>
      </c>
      <c r="D2641" s="191" t="str">
        <f t="shared" si="132"/>
        <v>OK</v>
      </c>
      <c r="E2641" s="393">
        <v>400056048</v>
      </c>
      <c r="F2641" s="392" t="s">
        <v>9404</v>
      </c>
      <c r="G2641" s="392" t="s">
        <v>5995</v>
      </c>
      <c r="H2641" s="392" t="s">
        <v>8012</v>
      </c>
      <c r="I2641" s="392" t="s">
        <v>3533</v>
      </c>
      <c r="J2641" s="392" t="s">
        <v>9405</v>
      </c>
      <c r="K2641" s="392" t="s">
        <v>1708</v>
      </c>
      <c r="L2641" s="392" t="s">
        <v>9406</v>
      </c>
      <c r="M2641" s="392" t="s">
        <v>3758</v>
      </c>
      <c r="N2641" s="392" t="s">
        <v>7273</v>
      </c>
      <c r="O2641" s="392" t="s">
        <v>7273</v>
      </c>
      <c r="P2641"/>
      <c r="Q2641"/>
      <c r="R2641" s="387" t="e">
        <f>VLOOKUP(E2641,'[1]NDB Impacted SPRFs 05032013'!$A$2:$A$65536,1,FALSE)</f>
        <v>#N/A</v>
      </c>
    </row>
    <row r="2642" spans="1:21" ht="51" customHeight="1" x14ac:dyDescent="0.25">
      <c r="A2642" s="191">
        <f>MATCH($E2642,'D1 - Master Project Table'!$B$24:$B$7056,0)</f>
        <v>3259</v>
      </c>
      <c r="B2642" s="191" t="b">
        <f t="shared" si="130"/>
        <v>0</v>
      </c>
      <c r="C2642" s="191" t="b">
        <f t="shared" si="131"/>
        <v>0</v>
      </c>
      <c r="D2642" s="191" t="str">
        <f t="shared" si="132"/>
        <v>OK</v>
      </c>
      <c r="E2642" s="393">
        <v>400058142</v>
      </c>
      <c r="F2642" s="392" t="s">
        <v>8939</v>
      </c>
      <c r="G2642" s="392" t="s">
        <v>5324</v>
      </c>
      <c r="H2642" s="392" t="s">
        <v>8012</v>
      </c>
      <c r="I2642" s="392" t="s">
        <v>1763</v>
      </c>
      <c r="J2642" s="392" t="s">
        <v>8372</v>
      </c>
      <c r="K2642" s="392" t="s">
        <v>7446</v>
      </c>
      <c r="L2642" s="392" t="s">
        <v>9312</v>
      </c>
      <c r="M2642" s="392" t="s">
        <v>7273</v>
      </c>
      <c r="N2642" s="392" t="s">
        <v>7273</v>
      </c>
      <c r="O2642" s="392" t="s">
        <v>7273</v>
      </c>
      <c r="P2642"/>
      <c r="Q2642"/>
      <c r="R2642" s="387" t="e">
        <f>VLOOKUP(E2642,'[1]NDB Impacted SPRFs 05032013'!$A$2:$A$65536,1,FALSE)</f>
        <v>#N/A</v>
      </c>
      <c r="S2642" s="159"/>
      <c r="T2642" s="159"/>
      <c r="U2642" s="159"/>
    </row>
    <row r="2643" spans="1:21" ht="51" customHeight="1" x14ac:dyDescent="0.25">
      <c r="A2643" s="191">
        <f>MATCH($E2643,'D1 - Master Project Table'!$B$24:$B$7056,0)</f>
        <v>255</v>
      </c>
      <c r="B2643" s="191" t="b">
        <f t="shared" si="130"/>
        <v>0</v>
      </c>
      <c r="C2643" s="191" t="b">
        <f t="shared" si="131"/>
        <v>0</v>
      </c>
      <c r="D2643" s="191" t="str">
        <f t="shared" si="132"/>
        <v>OK</v>
      </c>
      <c r="E2643" s="393">
        <v>400058487</v>
      </c>
      <c r="F2643" s="392" t="s">
        <v>9069</v>
      </c>
      <c r="G2643" s="392" t="s">
        <v>5324</v>
      </c>
      <c r="H2643" s="392" t="s">
        <v>8012</v>
      </c>
      <c r="I2643" s="392" t="s">
        <v>1758</v>
      </c>
      <c r="J2643" s="392" t="s">
        <v>9070</v>
      </c>
      <c r="K2643" s="392" t="s">
        <v>8369</v>
      </c>
      <c r="L2643" s="392" t="s">
        <v>9270</v>
      </c>
      <c r="M2643" s="392" t="s">
        <v>7273</v>
      </c>
      <c r="N2643" s="392" t="s">
        <v>7273</v>
      </c>
      <c r="O2643" s="392" t="s">
        <v>3758</v>
      </c>
      <c r="P2643"/>
      <c r="Q2643"/>
      <c r="R2643" s="387" t="e">
        <f>VLOOKUP(E2643,'[1]NDB Impacted SPRFs 05032013'!$A$2:$A$65536,1,FALSE)</f>
        <v>#N/A</v>
      </c>
      <c r="S2643" s="159"/>
      <c r="T2643" s="159"/>
      <c r="U2643" s="159"/>
    </row>
    <row r="2644" spans="1:21" ht="51" customHeight="1" x14ac:dyDescent="0.25">
      <c r="A2644" s="191">
        <f>MATCH($E2644,'D1 - Master Project Table'!$B$24:$B$7056,0)</f>
        <v>2040</v>
      </c>
      <c r="B2644" s="191" t="b">
        <f t="shared" si="130"/>
        <v>0</v>
      </c>
      <c r="C2644" s="191" t="b">
        <f t="shared" si="131"/>
        <v>0</v>
      </c>
      <c r="D2644" s="191" t="str">
        <f t="shared" si="132"/>
        <v>OK</v>
      </c>
      <c r="E2644" s="393">
        <v>400051716</v>
      </c>
      <c r="F2644" s="392" t="s">
        <v>7706</v>
      </c>
      <c r="G2644" s="392" t="s">
        <v>9210</v>
      </c>
      <c r="H2644" s="392" t="s">
        <v>4917</v>
      </c>
      <c r="I2644" s="392" t="s">
        <v>3540</v>
      </c>
      <c r="J2644" s="392" t="s">
        <v>8406</v>
      </c>
      <c r="K2644" s="392" t="s">
        <v>7884</v>
      </c>
      <c r="L2644" s="392" t="s">
        <v>8748</v>
      </c>
      <c r="M2644" s="392" t="s">
        <v>7273</v>
      </c>
      <c r="N2644" s="392" t="s">
        <v>7273</v>
      </c>
      <c r="O2644" s="392" t="s">
        <v>7273</v>
      </c>
      <c r="P2644"/>
      <c r="Q2644"/>
      <c r="R2644" s="387" t="e">
        <f>VLOOKUP(E2644,'[1]NDB Impacted SPRFs 05032013'!$A$2:$A$65536,1,FALSE)</f>
        <v>#N/A</v>
      </c>
      <c r="S2644" s="159"/>
      <c r="T2644" s="159"/>
      <c r="U2644" s="159"/>
    </row>
    <row r="2645" spans="1:21" ht="51" customHeight="1" x14ac:dyDescent="0.25">
      <c r="A2645" s="191">
        <f>MATCH($E2645,'D1 - Master Project Table'!$B$24:$B$7056,0)</f>
        <v>229</v>
      </c>
      <c r="B2645" s="191" t="b">
        <f t="shared" si="130"/>
        <v>0</v>
      </c>
      <c r="C2645" s="191" t="b">
        <f t="shared" si="131"/>
        <v>0</v>
      </c>
      <c r="D2645" s="191" t="str">
        <f t="shared" si="132"/>
        <v>OK</v>
      </c>
      <c r="E2645" s="393">
        <v>400055855</v>
      </c>
      <c r="F2645" s="392" t="s">
        <v>339</v>
      </c>
      <c r="G2645" s="392" t="s">
        <v>5995</v>
      </c>
      <c r="H2645" s="392" t="s">
        <v>8012</v>
      </c>
      <c r="I2645" s="392" t="s">
        <v>3533</v>
      </c>
      <c r="J2645" s="392" t="s">
        <v>1153</v>
      </c>
      <c r="K2645" s="392" t="s">
        <v>335</v>
      </c>
      <c r="L2645" s="392" t="s">
        <v>9296</v>
      </c>
      <c r="M2645" s="392" t="s">
        <v>7273</v>
      </c>
      <c r="N2645" s="392" t="s">
        <v>7273</v>
      </c>
      <c r="O2645" s="392" t="s">
        <v>7273</v>
      </c>
      <c r="P2645"/>
      <c r="Q2645"/>
      <c r="R2645" s="387" t="e">
        <f>VLOOKUP(E2645,'[1]NDB Impacted SPRFs 05032013'!$A$2:$A$65536,1,FALSE)</f>
        <v>#N/A</v>
      </c>
      <c r="S2645" s="159"/>
      <c r="T2645" s="159"/>
      <c r="U2645" s="159"/>
    </row>
    <row r="2646" spans="1:21" ht="51" customHeight="1" x14ac:dyDescent="0.25">
      <c r="A2646" s="191">
        <f>MATCH($E2646,'D1 - Master Project Table'!$B$24:$B$7056,0)</f>
        <v>3260</v>
      </c>
      <c r="B2646" s="191" t="b">
        <f t="shared" si="130"/>
        <v>0</v>
      </c>
      <c r="C2646" s="191" t="b">
        <f t="shared" si="131"/>
        <v>0</v>
      </c>
      <c r="D2646" s="191" t="str">
        <f t="shared" si="132"/>
        <v>OK</v>
      </c>
      <c r="E2646" s="393">
        <v>400058212</v>
      </c>
      <c r="F2646" s="392" t="s">
        <v>9078</v>
      </c>
      <c r="G2646" s="392" t="s">
        <v>5001</v>
      </c>
      <c r="H2646" s="392" t="s">
        <v>4917</v>
      </c>
      <c r="I2646" s="392" t="s">
        <v>3540</v>
      </c>
      <c r="J2646" s="392" t="s">
        <v>8421</v>
      </c>
      <c r="K2646" s="392" t="s">
        <v>7884</v>
      </c>
      <c r="L2646" s="392" t="s">
        <v>9079</v>
      </c>
      <c r="M2646" s="392" t="s">
        <v>7273</v>
      </c>
      <c r="N2646" s="392" t="s">
        <v>7273</v>
      </c>
      <c r="O2646" s="392" t="s">
        <v>7273</v>
      </c>
      <c r="P2646"/>
      <c r="Q2646"/>
      <c r="R2646" s="387" t="e">
        <f>VLOOKUP(E2646,'[1]NDB Impacted SPRFs 05032013'!$A$2:$A$65536,1,FALSE)</f>
        <v>#N/A</v>
      </c>
      <c r="S2646" s="159"/>
      <c r="T2646" s="159"/>
      <c r="U2646" s="159"/>
    </row>
    <row r="2647" spans="1:21" ht="51" customHeight="1" x14ac:dyDescent="0.25">
      <c r="A2647" s="191">
        <f>MATCH($E2647,'D1 - Master Project Table'!$B$24:$B$7056,0)</f>
        <v>3256</v>
      </c>
      <c r="B2647" s="191" t="b">
        <f t="shared" si="130"/>
        <v>0</v>
      </c>
      <c r="C2647" s="191" t="b">
        <f t="shared" si="131"/>
        <v>0</v>
      </c>
      <c r="D2647" s="191" t="str">
        <f t="shared" si="132"/>
        <v>OK</v>
      </c>
      <c r="E2647" s="393">
        <v>400057801</v>
      </c>
      <c r="F2647" s="392" t="s">
        <v>8906</v>
      </c>
      <c r="G2647" s="392" t="s">
        <v>5995</v>
      </c>
      <c r="H2647" s="392" t="s">
        <v>8012</v>
      </c>
      <c r="I2647" s="392" t="s">
        <v>6423</v>
      </c>
      <c r="J2647" s="392" t="s">
        <v>8907</v>
      </c>
      <c r="K2647" s="392" t="s">
        <v>4114</v>
      </c>
      <c r="L2647" s="392" t="s">
        <v>8908</v>
      </c>
      <c r="M2647" s="392" t="s">
        <v>7273</v>
      </c>
      <c r="N2647" s="392" t="s">
        <v>7273</v>
      </c>
      <c r="O2647" s="392" t="s">
        <v>7273</v>
      </c>
      <c r="P2647"/>
      <c r="Q2647"/>
      <c r="R2647" s="387" t="e">
        <f>VLOOKUP(E2647,'[1]NDB Impacted SPRFs 05032013'!$A$2:$A$65536,1,FALSE)</f>
        <v>#N/A</v>
      </c>
    </row>
    <row r="2648" spans="1:21" ht="51" customHeight="1" x14ac:dyDescent="0.25">
      <c r="A2648" s="191">
        <f>MATCH($E2648,'D1 - Master Project Table'!$B$24:$B$7056,0)</f>
        <v>3257</v>
      </c>
      <c r="B2648" s="191" t="b">
        <f t="shared" si="130"/>
        <v>0</v>
      </c>
      <c r="C2648" s="191" t="b">
        <f t="shared" si="131"/>
        <v>0</v>
      </c>
      <c r="D2648" s="191" t="str">
        <f t="shared" si="132"/>
        <v>OK</v>
      </c>
      <c r="E2648" s="393">
        <v>400057843</v>
      </c>
      <c r="F2648" s="392" t="s">
        <v>8904</v>
      </c>
      <c r="G2648" s="392" t="s">
        <v>6322</v>
      </c>
      <c r="H2648" s="392" t="s">
        <v>8012</v>
      </c>
      <c r="I2648" s="392" t="s">
        <v>1758</v>
      </c>
      <c r="J2648" s="392" t="s">
        <v>2251</v>
      </c>
      <c r="K2648" s="392" t="s">
        <v>8905</v>
      </c>
      <c r="L2648" s="392" t="s">
        <v>8994</v>
      </c>
      <c r="M2648" s="392" t="s">
        <v>7273</v>
      </c>
      <c r="N2648" s="392" t="s">
        <v>7273</v>
      </c>
      <c r="O2648" s="392" t="s">
        <v>7273</v>
      </c>
      <c r="P2648"/>
      <c r="Q2648"/>
      <c r="R2648" s="387" t="e">
        <f>VLOOKUP(E2648,'[1]NDB Impacted SPRFs 05032013'!$A$2:$A$65536,1,FALSE)</f>
        <v>#N/A</v>
      </c>
      <c r="S2648" s="159"/>
      <c r="T2648" s="159"/>
      <c r="U2648" s="159"/>
    </row>
    <row r="2649" spans="1:21" ht="51" customHeight="1" x14ac:dyDescent="0.25">
      <c r="A2649" s="191">
        <f>MATCH($E2649,'D1 - Master Project Table'!$B$24:$B$7056,0)</f>
        <v>3246</v>
      </c>
      <c r="B2649" s="191" t="b">
        <f t="shared" si="130"/>
        <v>0</v>
      </c>
      <c r="C2649" s="191" t="b">
        <f t="shared" si="131"/>
        <v>0</v>
      </c>
      <c r="D2649" s="191" t="str">
        <f t="shared" si="132"/>
        <v>OK</v>
      </c>
      <c r="E2649" s="393">
        <v>400055635</v>
      </c>
      <c r="F2649" s="392" t="s">
        <v>23</v>
      </c>
      <c r="G2649" s="392" t="s">
        <v>5995</v>
      </c>
      <c r="H2649" s="392" t="s">
        <v>8012</v>
      </c>
      <c r="I2649" s="392" t="s">
        <v>3533</v>
      </c>
      <c r="J2649" s="392" t="s">
        <v>8803</v>
      </c>
      <c r="K2649" s="392" t="s">
        <v>608</v>
      </c>
      <c r="L2649" s="392" t="s">
        <v>8979</v>
      </c>
      <c r="M2649" s="392" t="s">
        <v>7273</v>
      </c>
      <c r="N2649" s="392" t="s">
        <v>7273</v>
      </c>
      <c r="O2649" s="392" t="s">
        <v>7273</v>
      </c>
      <c r="P2649"/>
      <c r="Q2649"/>
      <c r="R2649" s="387" t="e">
        <f>VLOOKUP(E2649,'[1]NDB Impacted SPRFs 05032013'!$A$2:$A$65536,1,FALSE)</f>
        <v>#N/A</v>
      </c>
      <c r="S2649" s="159"/>
      <c r="T2649" s="159"/>
      <c r="U2649" s="159"/>
    </row>
    <row r="2650" spans="1:21" ht="51" customHeight="1" x14ac:dyDescent="0.25">
      <c r="A2650" s="191">
        <f>MATCH($E2650,'D1 - Master Project Table'!$B$24:$B$7056,0)</f>
        <v>237</v>
      </c>
      <c r="B2650" s="191" t="b">
        <f t="shared" si="130"/>
        <v>0</v>
      </c>
      <c r="C2650" s="191" t="b">
        <f t="shared" si="131"/>
        <v>0</v>
      </c>
      <c r="D2650" s="191" t="str">
        <f t="shared" si="132"/>
        <v>OK</v>
      </c>
      <c r="E2650" s="393">
        <v>400056783</v>
      </c>
      <c r="F2650" s="392" t="s">
        <v>8174</v>
      </c>
      <c r="G2650" s="392" t="s">
        <v>5324</v>
      </c>
      <c r="H2650" s="392" t="s">
        <v>8012</v>
      </c>
      <c r="I2650" s="392" t="s">
        <v>1757</v>
      </c>
      <c r="J2650" s="392" t="s">
        <v>8175</v>
      </c>
      <c r="K2650" s="392" t="s">
        <v>8176</v>
      </c>
      <c r="L2650" s="392" t="s">
        <v>8177</v>
      </c>
      <c r="M2650" s="392" t="s">
        <v>7273</v>
      </c>
      <c r="N2650" s="392" t="s">
        <v>7273</v>
      </c>
      <c r="O2650" s="392" t="s">
        <v>3758</v>
      </c>
      <c r="P2650"/>
      <c r="Q2650"/>
      <c r="R2650" s="387" t="e">
        <f>VLOOKUP(E2650,'[1]NDB Impacted SPRFs 05032013'!$A$2:$A$65536,1,FALSE)</f>
        <v>#N/A</v>
      </c>
      <c r="S2650" s="159"/>
      <c r="T2650" s="159"/>
      <c r="U2650" s="159"/>
    </row>
    <row r="2651" spans="1:21" ht="51" customHeight="1" x14ac:dyDescent="0.25">
      <c r="A2651" s="191">
        <f>MATCH($E2651,'D1 - Master Project Table'!$B$24:$B$7056,0)</f>
        <v>3238</v>
      </c>
      <c r="B2651" s="191" t="b">
        <f t="shared" si="130"/>
        <v>0</v>
      </c>
      <c r="C2651" s="191" t="b">
        <f t="shared" si="131"/>
        <v>0</v>
      </c>
      <c r="D2651" s="191" t="str">
        <f t="shared" si="132"/>
        <v>OK</v>
      </c>
      <c r="E2651" s="393">
        <v>400053560</v>
      </c>
      <c r="F2651" s="392" t="s">
        <v>8173</v>
      </c>
      <c r="G2651" s="392" t="s">
        <v>5001</v>
      </c>
      <c r="H2651" s="392" t="s">
        <v>8012</v>
      </c>
      <c r="I2651" s="392" t="s">
        <v>2655</v>
      </c>
      <c r="J2651" s="392" t="s">
        <v>2189</v>
      </c>
      <c r="K2651" s="392" t="s">
        <v>2190</v>
      </c>
      <c r="L2651" s="392" t="s">
        <v>8975</v>
      </c>
      <c r="M2651" s="392" t="s">
        <v>7273</v>
      </c>
      <c r="N2651" s="392" t="s">
        <v>7273</v>
      </c>
      <c r="O2651" s="392" t="s">
        <v>7273</v>
      </c>
      <c r="P2651"/>
      <c r="Q2651"/>
      <c r="R2651" s="387" t="e">
        <f>VLOOKUP(E2651,'[1]NDB Impacted SPRFs 05032013'!$A$2:$A$65536,1,FALSE)</f>
        <v>#N/A</v>
      </c>
    </row>
    <row r="2652" spans="1:21" ht="51" customHeight="1" x14ac:dyDescent="0.25">
      <c r="A2652" s="191">
        <f>MATCH($E2652,'D1 - Master Project Table'!$B$24:$B$7056,0)</f>
        <v>3255</v>
      </c>
      <c r="B2652" s="191" t="b">
        <f t="shared" si="130"/>
        <v>0</v>
      </c>
      <c r="C2652" s="191" t="b">
        <f t="shared" si="131"/>
        <v>0</v>
      </c>
      <c r="D2652" s="191" t="str">
        <f t="shared" si="132"/>
        <v>OK</v>
      </c>
      <c r="E2652" s="393">
        <v>400057474</v>
      </c>
      <c r="F2652" s="392" t="s">
        <v>6635</v>
      </c>
      <c r="G2652" s="392" t="s">
        <v>5324</v>
      </c>
      <c r="H2652" s="392" t="s">
        <v>8012</v>
      </c>
      <c r="I2652" s="392" t="s">
        <v>1762</v>
      </c>
      <c r="J2652" s="392" t="s">
        <v>6584</v>
      </c>
      <c r="K2652" s="392" t="s">
        <v>6402</v>
      </c>
      <c r="L2652" s="392" t="s">
        <v>8373</v>
      </c>
      <c r="M2652" s="392" t="s">
        <v>7273</v>
      </c>
      <c r="N2652" s="392" t="s">
        <v>7273</v>
      </c>
      <c r="O2652" s="392" t="s">
        <v>7273</v>
      </c>
      <c r="P2652"/>
      <c r="Q2652"/>
      <c r="R2652" s="387" t="e">
        <f>VLOOKUP(E2652,'[1]NDB Impacted SPRFs 05032013'!$A$2:$A$65536,1,FALSE)</f>
        <v>#N/A</v>
      </c>
    </row>
    <row r="2653" spans="1:21" ht="51" customHeight="1" x14ac:dyDescent="0.25">
      <c r="A2653" s="191">
        <f>MATCH($E2653,'D1 - Master Project Table'!$B$24:$B$7056,0)</f>
        <v>244</v>
      </c>
      <c r="B2653" s="191" t="b">
        <f t="shared" si="130"/>
        <v>0</v>
      </c>
      <c r="C2653" s="191" t="b">
        <f t="shared" si="131"/>
        <v>0</v>
      </c>
      <c r="D2653" s="191" t="str">
        <f t="shared" si="132"/>
        <v>OK</v>
      </c>
      <c r="E2653" s="393">
        <v>400058033</v>
      </c>
      <c r="F2653" s="392" t="s">
        <v>8512</v>
      </c>
      <c r="G2653" s="392" t="s">
        <v>5324</v>
      </c>
      <c r="H2653" s="392" t="s">
        <v>6462</v>
      </c>
      <c r="I2653" s="392" t="s">
        <v>862</v>
      </c>
      <c r="J2653" s="392" t="s">
        <v>8513</v>
      </c>
      <c r="K2653" s="392" t="s">
        <v>4462</v>
      </c>
      <c r="L2653" s="392" t="s">
        <v>8514</v>
      </c>
      <c r="M2653" s="392" t="s">
        <v>7273</v>
      </c>
      <c r="N2653" s="392" t="s">
        <v>7273</v>
      </c>
      <c r="O2653" s="392" t="s">
        <v>7273</v>
      </c>
      <c r="P2653"/>
      <c r="Q2653"/>
      <c r="R2653" s="387" t="e">
        <f>VLOOKUP(E2653,'[1]NDB Impacted SPRFs 05032013'!$A$2:$A$65536,1,FALSE)</f>
        <v>#N/A</v>
      </c>
      <c r="S2653" s="159"/>
      <c r="T2653" s="159"/>
      <c r="U2653" s="159"/>
    </row>
    <row r="2654" spans="1:21" ht="51" customHeight="1" x14ac:dyDescent="0.25">
      <c r="A2654" s="191">
        <f>MATCH($E2654,'D1 - Master Project Table'!$B$24:$B$7056,0)</f>
        <v>3258</v>
      </c>
      <c r="B2654" s="191" t="b">
        <f t="shared" si="130"/>
        <v>0</v>
      </c>
      <c r="C2654" s="191" t="b">
        <f t="shared" si="131"/>
        <v>0</v>
      </c>
      <c r="D2654" s="191" t="str">
        <f t="shared" si="132"/>
        <v>OK</v>
      </c>
      <c r="E2654" s="393">
        <v>400057946</v>
      </c>
      <c r="F2654" s="392" t="s">
        <v>8263</v>
      </c>
      <c r="G2654" s="392" t="s">
        <v>5325</v>
      </c>
      <c r="H2654" s="392" t="s">
        <v>8012</v>
      </c>
      <c r="I2654" s="392" t="s">
        <v>1759</v>
      </c>
      <c r="J2654" s="392" t="s">
        <v>8264</v>
      </c>
      <c r="K2654" s="392" t="s">
        <v>7896</v>
      </c>
      <c r="L2654" s="392" t="s">
        <v>8917</v>
      </c>
      <c r="M2654" s="392" t="s">
        <v>7273</v>
      </c>
      <c r="N2654" s="392" t="s">
        <v>7273</v>
      </c>
      <c r="O2654" s="392" t="s">
        <v>7273</v>
      </c>
      <c r="P2654"/>
      <c r="Q2654"/>
      <c r="R2654" s="387" t="e">
        <f>VLOOKUP(E2654,'[1]NDB Impacted SPRFs 05032013'!$A$2:$A$65536,1,FALSE)</f>
        <v>#N/A</v>
      </c>
      <c r="S2654" s="159"/>
      <c r="T2654" s="159"/>
      <c r="U2654" s="159"/>
    </row>
    <row r="2655" spans="1:21" ht="51" customHeight="1" x14ac:dyDescent="0.25">
      <c r="A2655" s="191">
        <f>MATCH($E2655,'D1 - Master Project Table'!$B$24:$B$7056,0)</f>
        <v>3254</v>
      </c>
      <c r="B2655" s="191" t="b">
        <f t="shared" si="130"/>
        <v>0</v>
      </c>
      <c r="C2655" s="191" t="b">
        <f t="shared" si="131"/>
        <v>0</v>
      </c>
      <c r="D2655" s="191" t="str">
        <f t="shared" si="132"/>
        <v>OK</v>
      </c>
      <c r="E2655" s="393">
        <v>400057361</v>
      </c>
      <c r="F2655" s="392" t="s">
        <v>71</v>
      </c>
      <c r="G2655" s="392" t="s">
        <v>5324</v>
      </c>
      <c r="H2655" s="392" t="s">
        <v>8012</v>
      </c>
      <c r="I2655" s="392" t="s">
        <v>1763</v>
      </c>
      <c r="J2655" s="392" t="s">
        <v>8372</v>
      </c>
      <c r="K2655" s="392" t="s">
        <v>7446</v>
      </c>
      <c r="L2655" s="392" t="s">
        <v>8934</v>
      </c>
      <c r="M2655" s="392" t="s">
        <v>7273</v>
      </c>
      <c r="N2655" s="392" t="s">
        <v>7273</v>
      </c>
      <c r="O2655" s="392" t="s">
        <v>7273</v>
      </c>
      <c r="P2655"/>
      <c r="Q2655"/>
      <c r="R2655" s="387" t="e">
        <f>VLOOKUP(E2655,'[1]NDB Impacted SPRFs 05032013'!$A$2:$A$65536,1,FALSE)</f>
        <v>#N/A</v>
      </c>
      <c r="S2655" s="159"/>
      <c r="T2655" s="159"/>
      <c r="U2655" s="159"/>
    </row>
    <row r="2656" spans="1:21" ht="51" customHeight="1" x14ac:dyDescent="0.25">
      <c r="A2656" s="191">
        <f>MATCH($E2656,'D1 - Master Project Table'!$B$24:$B$7056,0)</f>
        <v>186</v>
      </c>
      <c r="B2656" s="191" t="b">
        <f t="shared" si="130"/>
        <v>0</v>
      </c>
      <c r="C2656" s="191" t="b">
        <f t="shared" si="131"/>
        <v>0</v>
      </c>
      <c r="D2656" s="191" t="str">
        <f t="shared" si="132"/>
        <v>OK</v>
      </c>
      <c r="E2656" s="393"/>
      <c r="F2656" s="392"/>
      <c r="G2656" s="392"/>
      <c r="H2656" s="392"/>
      <c r="I2656" s="392"/>
      <c r="J2656" s="392"/>
      <c r="K2656" s="392"/>
      <c r="L2656" s="392"/>
      <c r="M2656" s="392"/>
      <c r="N2656" s="392"/>
      <c r="O2656" s="392"/>
      <c r="P2656"/>
      <c r="Q2656"/>
      <c r="R2656" s="387" t="e">
        <f>VLOOKUP(E2656,'[1]NDB Impacted SPRFs 05032013'!$A$2:$A$65536,1,FALSE)</f>
        <v>#N/A</v>
      </c>
      <c r="S2656" s="159"/>
      <c r="T2656" s="159"/>
      <c r="U2656" s="159"/>
    </row>
    <row r="2657" spans="1:21" ht="51" customHeight="1" x14ac:dyDescent="0.25">
      <c r="A2657" s="191">
        <f>MATCH($E2657,'D1 - Master Project Table'!$B$24:$B$7056,0)</f>
        <v>186</v>
      </c>
      <c r="B2657" s="191" t="b">
        <f t="shared" si="130"/>
        <v>0</v>
      </c>
      <c r="C2657" s="191" t="b">
        <f t="shared" si="131"/>
        <v>0</v>
      </c>
      <c r="D2657" s="191" t="str">
        <f t="shared" si="132"/>
        <v>OK</v>
      </c>
      <c r="E2657" s="393"/>
      <c r="F2657" s="392"/>
      <c r="G2657" s="392"/>
      <c r="H2657" s="392"/>
      <c r="I2657" s="392"/>
      <c r="J2657" s="392"/>
      <c r="K2657" s="392"/>
      <c r="L2657" s="392"/>
      <c r="M2657" s="392"/>
      <c r="N2657" s="392"/>
      <c r="O2657" s="392"/>
      <c r="P2657"/>
      <c r="Q2657"/>
      <c r="R2657" s="387" t="e">
        <f>VLOOKUP(E2657,'[1]NDB Impacted SPRFs 05032013'!$A$2:$A$65536,1,FALSE)</f>
        <v>#N/A</v>
      </c>
      <c r="S2657" s="159"/>
      <c r="T2657" s="159"/>
      <c r="U2657" s="159"/>
    </row>
    <row r="2658" spans="1:21" ht="51" customHeight="1" x14ac:dyDescent="0.25">
      <c r="A2658" s="191">
        <f>MATCH($E2658,'D1 - Master Project Table'!$B$24:$B$7056,0)</f>
        <v>186</v>
      </c>
      <c r="B2658" s="191" t="b">
        <f t="shared" si="130"/>
        <v>0</v>
      </c>
      <c r="C2658" s="191" t="b">
        <f t="shared" si="131"/>
        <v>0</v>
      </c>
      <c r="D2658" s="191" t="str">
        <f t="shared" si="132"/>
        <v>OK</v>
      </c>
      <c r="E2658" s="393"/>
      <c r="F2658" s="392"/>
      <c r="G2658" s="392"/>
      <c r="H2658" s="392"/>
      <c r="I2658" s="392"/>
      <c r="J2658" s="392"/>
      <c r="K2658" s="392"/>
      <c r="L2658" s="392"/>
      <c r="M2658" s="392"/>
      <c r="N2658" s="392"/>
      <c r="O2658" s="392"/>
      <c r="P2658"/>
      <c r="Q2658"/>
      <c r="R2658" s="387" t="e">
        <f>VLOOKUP(E2658,'[1]NDB Impacted SPRFs 05032013'!$A$2:$A$65536,1,FALSE)</f>
        <v>#N/A</v>
      </c>
    </row>
    <row r="2659" spans="1:21" ht="51" customHeight="1" x14ac:dyDescent="0.2">
      <c r="A2659" s="191">
        <f>MATCH($E2659,'D1 - Master Project Table'!$B$24:$B$7056,0)</f>
        <v>186</v>
      </c>
      <c r="B2659" s="191" t="b">
        <f t="shared" si="130"/>
        <v>0</v>
      </c>
      <c r="C2659" s="191" t="b">
        <f t="shared" si="131"/>
        <v>0</v>
      </c>
      <c r="D2659" s="191" t="str">
        <f t="shared" si="132"/>
        <v>OK</v>
      </c>
      <c r="E2659" s="231"/>
      <c r="F2659" s="232"/>
      <c r="G2659" s="399"/>
      <c r="H2659" s="234"/>
      <c r="I2659" s="235"/>
      <c r="J2659" s="235"/>
      <c r="K2659" s="235"/>
      <c r="L2659" s="236"/>
      <c r="M2659" s="234"/>
      <c r="N2659" s="234"/>
      <c r="O2659" s="234"/>
      <c r="R2659" s="387" t="e">
        <f>VLOOKUP(E2659,'[1]NDB Impacted SPRFs 05032013'!$A$2:$A$65536,1,FALSE)</f>
        <v>#N/A</v>
      </c>
    </row>
    <row r="2660" spans="1:21" ht="51" customHeight="1" x14ac:dyDescent="0.25">
      <c r="A2660" s="191">
        <f>MATCH($E2660,'D1 - Master Project Table'!$B$24:$B$7056,0)</f>
        <v>186</v>
      </c>
      <c r="B2660" s="191" t="b">
        <f t="shared" si="130"/>
        <v>0</v>
      </c>
      <c r="C2660" s="191" t="b">
        <f t="shared" si="131"/>
        <v>0</v>
      </c>
      <c r="D2660" s="191" t="str">
        <f t="shared" si="132"/>
        <v>OK</v>
      </c>
      <c r="E2660" s="393"/>
      <c r="F2660" s="392"/>
      <c r="G2660" s="392"/>
      <c r="H2660" s="392"/>
      <c r="I2660" s="392"/>
      <c r="J2660" s="392"/>
      <c r="K2660" s="392"/>
      <c r="L2660" s="392"/>
      <c r="M2660" s="392"/>
      <c r="N2660" s="392"/>
      <c r="O2660" s="392"/>
      <c r="P2660"/>
      <c r="Q2660"/>
      <c r="R2660" s="387" t="e">
        <f>VLOOKUP(E2660,'[1]NDB Impacted SPRFs 05032013'!$A$2:$A$65536,1,FALSE)</f>
        <v>#N/A</v>
      </c>
      <c r="S2660" s="159"/>
      <c r="T2660" s="159"/>
      <c r="U2660" s="159"/>
    </row>
    <row r="2661" spans="1:21" ht="51" customHeight="1" x14ac:dyDescent="0.25">
      <c r="A2661" s="191">
        <f>MATCH($E2661,'D1 - Master Project Table'!$B$24:$B$7056,0)</f>
        <v>186</v>
      </c>
      <c r="B2661" s="191" t="b">
        <f t="shared" si="130"/>
        <v>0</v>
      </c>
      <c r="C2661" s="191" t="b">
        <f t="shared" si="131"/>
        <v>0</v>
      </c>
      <c r="D2661" s="191" t="str">
        <f t="shared" si="132"/>
        <v>OK</v>
      </c>
      <c r="E2661" s="393"/>
      <c r="F2661" s="392"/>
      <c r="G2661" s="392"/>
      <c r="H2661" s="392"/>
      <c r="I2661" s="392"/>
      <c r="J2661" s="392"/>
      <c r="K2661" s="392"/>
      <c r="L2661" s="392"/>
      <c r="M2661" s="392"/>
      <c r="N2661" s="392"/>
      <c r="O2661" s="392"/>
      <c r="P2661"/>
      <c r="Q2661"/>
      <c r="R2661" s="387" t="e">
        <f>VLOOKUP(E2661,'[1]NDB Impacted SPRFs 05032013'!$A$2:$A$65536,1,FALSE)</f>
        <v>#N/A</v>
      </c>
      <c r="S2661" s="159"/>
      <c r="T2661" s="159"/>
      <c r="U2661" s="159"/>
    </row>
    <row r="2662" spans="1:21" ht="51" customHeight="1" x14ac:dyDescent="0.25">
      <c r="A2662" s="191">
        <f>MATCH($E2662,'D1 - Master Project Table'!$B$24:$B$7056,0)</f>
        <v>186</v>
      </c>
      <c r="B2662" s="191" t="b">
        <f t="shared" si="130"/>
        <v>0</v>
      </c>
      <c r="C2662" s="191" t="b">
        <f t="shared" si="131"/>
        <v>0</v>
      </c>
      <c r="D2662" s="191" t="str">
        <f t="shared" si="132"/>
        <v>OK</v>
      </c>
      <c r="E2662" s="393"/>
      <c r="F2662" s="392"/>
      <c r="G2662" s="392"/>
      <c r="H2662" s="392"/>
      <c r="I2662" s="392"/>
      <c r="J2662" s="392"/>
      <c r="K2662" s="392"/>
      <c r="L2662" s="392"/>
      <c r="M2662" s="392"/>
      <c r="N2662" s="392"/>
      <c r="O2662" s="392"/>
      <c r="P2662"/>
      <c r="Q2662"/>
      <c r="R2662" s="387" t="e">
        <f>VLOOKUP(E2662,'[1]NDB Impacted SPRFs 05032013'!$A$2:$A$65536,1,FALSE)</f>
        <v>#N/A</v>
      </c>
      <c r="S2662" s="159"/>
      <c r="T2662" s="159"/>
      <c r="U2662" s="159"/>
    </row>
    <row r="2663" spans="1:21" ht="51" customHeight="1" x14ac:dyDescent="0.25">
      <c r="A2663" s="191">
        <f>MATCH($E2663,'D1 - Master Project Table'!$B$24:$B$7056,0)</f>
        <v>186</v>
      </c>
      <c r="B2663" s="191" t="b">
        <f t="shared" si="130"/>
        <v>0</v>
      </c>
      <c r="C2663" s="191" t="b">
        <f t="shared" si="131"/>
        <v>0</v>
      </c>
      <c r="D2663" s="191" t="str">
        <f t="shared" si="132"/>
        <v>OK</v>
      </c>
      <c r="E2663" s="393"/>
      <c r="F2663" s="392"/>
      <c r="G2663" s="392"/>
      <c r="H2663" s="392"/>
      <c r="I2663" s="392"/>
      <c r="J2663" s="392"/>
      <c r="K2663" s="392"/>
      <c r="L2663" s="392"/>
      <c r="M2663" s="392"/>
      <c r="N2663" s="392"/>
      <c r="O2663" s="392"/>
      <c r="P2663"/>
      <c r="Q2663"/>
      <c r="R2663" s="387" t="e">
        <f>VLOOKUP(E2663,'[1]NDB Impacted SPRFs 05032013'!$A$2:$A$65536,1,FALSE)</f>
        <v>#N/A</v>
      </c>
      <c r="S2663" s="159"/>
      <c r="T2663" s="159"/>
      <c r="U2663" s="159"/>
    </row>
    <row r="2664" spans="1:21" ht="51" customHeight="1" x14ac:dyDescent="0.25">
      <c r="A2664" s="191">
        <f>MATCH($E2664,'D1 - Master Project Table'!$B$24:$B$7056,0)</f>
        <v>186</v>
      </c>
      <c r="B2664" s="191" t="b">
        <f t="shared" si="130"/>
        <v>0</v>
      </c>
      <c r="C2664" s="191" t="b">
        <f t="shared" si="131"/>
        <v>0</v>
      </c>
      <c r="D2664" s="191" t="str">
        <f t="shared" si="132"/>
        <v>OK</v>
      </c>
      <c r="E2664" s="393"/>
      <c r="F2664" s="392"/>
      <c r="G2664" s="392"/>
      <c r="H2664" s="392"/>
      <c r="I2664" s="392"/>
      <c r="J2664" s="392"/>
      <c r="K2664" s="392"/>
      <c r="L2664" s="392"/>
      <c r="M2664" s="392"/>
      <c r="N2664" s="392"/>
      <c r="O2664" s="392"/>
      <c r="P2664"/>
      <c r="Q2664"/>
      <c r="R2664" s="387" t="e">
        <f>VLOOKUP(E2664,'[1]NDB Impacted SPRFs 05032013'!$A$2:$A$65536,1,FALSE)</f>
        <v>#N/A</v>
      </c>
    </row>
    <row r="2665" spans="1:21" ht="51" customHeight="1" x14ac:dyDescent="0.25">
      <c r="A2665" s="191">
        <f>MATCH($E2665,'D1 - Master Project Table'!$B$24:$B$7056,0)</f>
        <v>186</v>
      </c>
      <c r="B2665" s="191" t="b">
        <f t="shared" si="130"/>
        <v>0</v>
      </c>
      <c r="C2665" s="191" t="b">
        <f t="shared" si="131"/>
        <v>0</v>
      </c>
      <c r="D2665" s="191" t="str">
        <f t="shared" si="132"/>
        <v>OK</v>
      </c>
      <c r="E2665" s="393"/>
      <c r="F2665" s="392"/>
      <c r="G2665" s="392"/>
      <c r="H2665" s="392"/>
      <c r="I2665" s="392"/>
      <c r="J2665" s="392"/>
      <c r="K2665" s="392"/>
      <c r="L2665" s="392"/>
      <c r="M2665" s="392"/>
      <c r="N2665" s="392"/>
      <c r="O2665" s="392"/>
      <c r="P2665"/>
      <c r="Q2665"/>
      <c r="R2665" s="387" t="e">
        <f>VLOOKUP(E2665,'[1]NDB Impacted SPRFs 05032013'!$A$2:$A$65536,1,FALSE)</f>
        <v>#N/A</v>
      </c>
      <c r="S2665" s="159"/>
      <c r="T2665" s="159"/>
      <c r="U2665" s="159"/>
    </row>
    <row r="2666" spans="1:21" ht="51" customHeight="1" x14ac:dyDescent="0.25">
      <c r="A2666" s="191">
        <f>MATCH($E2666,'D1 - Master Project Table'!$B$24:$B$7056,0)</f>
        <v>186</v>
      </c>
      <c r="B2666" s="191" t="b">
        <f t="shared" si="130"/>
        <v>0</v>
      </c>
      <c r="C2666" s="191" t="b">
        <f t="shared" si="131"/>
        <v>0</v>
      </c>
      <c r="D2666" s="191" t="str">
        <f t="shared" si="132"/>
        <v>OK</v>
      </c>
      <c r="E2666" s="393"/>
      <c r="F2666" s="392"/>
      <c r="G2666" s="392"/>
      <c r="H2666" s="392"/>
      <c r="I2666" s="392"/>
      <c r="J2666" s="392"/>
      <c r="K2666" s="392"/>
      <c r="L2666" s="392"/>
      <c r="M2666" s="392"/>
      <c r="N2666" s="392"/>
      <c r="O2666" s="392"/>
      <c r="P2666"/>
      <c r="Q2666"/>
      <c r="R2666" s="387" t="e">
        <f>VLOOKUP(E2666,'[1]NDB Impacted SPRFs 05032013'!$A$2:$A$65536,1,FALSE)</f>
        <v>#N/A</v>
      </c>
      <c r="S2666" s="159"/>
      <c r="T2666" s="159"/>
      <c r="U2666" s="159"/>
    </row>
    <row r="2667" spans="1:21" ht="51" customHeight="1" x14ac:dyDescent="0.25">
      <c r="A2667" s="191">
        <f>MATCH($E2667,'D1 - Master Project Table'!$B$24:$B$7056,0)</f>
        <v>186</v>
      </c>
      <c r="B2667" s="191" t="b">
        <f t="shared" si="130"/>
        <v>0</v>
      </c>
      <c r="C2667" s="191" t="b">
        <f t="shared" si="131"/>
        <v>0</v>
      </c>
      <c r="D2667" s="191" t="str">
        <f t="shared" si="132"/>
        <v>OK</v>
      </c>
      <c r="E2667" s="393"/>
      <c r="F2667" s="392"/>
      <c r="G2667" s="392"/>
      <c r="H2667" s="392"/>
      <c r="I2667" s="392"/>
      <c r="J2667" s="392"/>
      <c r="K2667" s="392"/>
      <c r="L2667" s="392"/>
      <c r="M2667" s="392"/>
      <c r="N2667" s="392"/>
      <c r="O2667" s="392"/>
      <c r="P2667"/>
      <c r="Q2667"/>
      <c r="R2667" s="387" t="e">
        <f>VLOOKUP(E2667,'[1]NDB Impacted SPRFs 05032013'!$A$2:$A$65536,1,FALSE)</f>
        <v>#N/A</v>
      </c>
      <c r="S2667" s="159"/>
      <c r="T2667" s="159"/>
      <c r="U2667" s="159"/>
    </row>
    <row r="2668" spans="1:21" ht="51" customHeight="1" x14ac:dyDescent="0.25">
      <c r="A2668" s="191">
        <f>MATCH($E2668,'D1 - Master Project Table'!$B$24:$B$7056,0)</f>
        <v>186</v>
      </c>
      <c r="B2668" s="191" t="b">
        <f t="shared" si="130"/>
        <v>0</v>
      </c>
      <c r="C2668" s="191" t="b">
        <f t="shared" si="131"/>
        <v>0</v>
      </c>
      <c r="D2668" s="191" t="str">
        <f t="shared" si="132"/>
        <v>OK</v>
      </c>
      <c r="E2668" s="393"/>
      <c r="F2668" s="392"/>
      <c r="G2668" s="392"/>
      <c r="H2668" s="392"/>
      <c r="I2668" s="392"/>
      <c r="J2668" s="392"/>
      <c r="K2668" s="392"/>
      <c r="L2668" s="392"/>
      <c r="M2668" s="392"/>
      <c r="N2668" s="392"/>
      <c r="O2668" s="392"/>
      <c r="P2668"/>
      <c r="Q2668"/>
      <c r="R2668" s="387" t="e">
        <f>VLOOKUP(E2668,'[1]NDB Impacted SPRFs 05032013'!$A$2:$A$65536,1,FALSE)</f>
        <v>#N/A</v>
      </c>
      <c r="S2668" s="159"/>
      <c r="T2668" s="159"/>
      <c r="U2668" s="159"/>
    </row>
    <row r="2669" spans="1:21" ht="51" customHeight="1" x14ac:dyDescent="0.25">
      <c r="A2669" s="191">
        <f>MATCH($E2669,'D1 - Master Project Table'!$B$24:$B$7056,0)</f>
        <v>186</v>
      </c>
      <c r="B2669" s="191" t="b">
        <f t="shared" si="130"/>
        <v>0</v>
      </c>
      <c r="C2669" s="191" t="b">
        <f t="shared" si="131"/>
        <v>0</v>
      </c>
      <c r="D2669" s="191" t="str">
        <f t="shared" si="132"/>
        <v>OK</v>
      </c>
      <c r="E2669" s="298"/>
      <c r="F2669" s="299"/>
      <c r="G2669" s="299"/>
      <c r="H2669" s="299"/>
      <c r="I2669" s="299"/>
      <c r="J2669" s="299"/>
      <c r="K2669" s="299"/>
      <c r="L2669" s="299"/>
      <c r="M2669" s="299"/>
      <c r="N2669" s="299"/>
      <c r="O2669" s="299"/>
      <c r="P2669"/>
      <c r="Q2669"/>
      <c r="R2669" s="387" t="e">
        <f>VLOOKUP(E2669,'[1]NDB Impacted SPRFs 05032013'!$A$2:$A$65536,1,FALSE)</f>
        <v>#N/A</v>
      </c>
      <c r="S2669" s="159"/>
      <c r="T2669" s="159"/>
      <c r="U2669" s="159"/>
    </row>
    <row r="2670" spans="1:21" ht="51" customHeight="1" x14ac:dyDescent="0.25">
      <c r="A2670" s="191">
        <f>MATCH($E2670,'D1 - Master Project Table'!$B$24:$B$7056,0)</f>
        <v>186</v>
      </c>
      <c r="B2670" s="191" t="b">
        <f t="shared" si="130"/>
        <v>0</v>
      </c>
      <c r="C2670" s="191" t="b">
        <f t="shared" si="131"/>
        <v>0</v>
      </c>
      <c r="D2670" s="191" t="str">
        <f t="shared" si="132"/>
        <v>OK</v>
      </c>
      <c r="E2670" s="393"/>
      <c r="F2670" s="392"/>
      <c r="G2670" s="392"/>
      <c r="H2670" s="392"/>
      <c r="I2670" s="392"/>
      <c r="J2670" s="392"/>
      <c r="K2670" s="392"/>
      <c r="L2670" s="392"/>
      <c r="M2670" s="392"/>
      <c r="N2670" s="392"/>
      <c r="O2670" s="392"/>
      <c r="P2670"/>
      <c r="Q2670"/>
      <c r="R2670" s="387" t="e">
        <f>VLOOKUP(E2670,'[1]NDB Impacted SPRFs 05032013'!$A$2:$A$65536,1,FALSE)</f>
        <v>#N/A</v>
      </c>
      <c r="S2670" s="159"/>
      <c r="T2670" s="159"/>
      <c r="U2670" s="159"/>
    </row>
    <row r="2671" spans="1:21" ht="51" customHeight="1" x14ac:dyDescent="0.25">
      <c r="A2671" s="191">
        <f>MATCH($E2671,'D1 - Master Project Table'!$B$24:$B$7056,0)</f>
        <v>186</v>
      </c>
      <c r="B2671" s="191" t="b">
        <f t="shared" si="130"/>
        <v>0</v>
      </c>
      <c r="C2671" s="191" t="b">
        <f t="shared" si="131"/>
        <v>0</v>
      </c>
      <c r="D2671" s="191" t="str">
        <f t="shared" si="132"/>
        <v>OK</v>
      </c>
      <c r="E2671" s="393"/>
      <c r="F2671" s="392"/>
      <c r="G2671" s="392"/>
      <c r="H2671" s="392"/>
      <c r="I2671" s="392"/>
      <c r="J2671" s="392"/>
      <c r="K2671" s="392"/>
      <c r="L2671" s="392"/>
      <c r="M2671" s="392"/>
      <c r="N2671" s="392"/>
      <c r="O2671" s="392"/>
      <c r="P2671"/>
      <c r="Q2671"/>
      <c r="R2671" s="387" t="e">
        <f>VLOOKUP(E2671,'[1]NDB Impacted SPRFs 05032013'!$A$2:$A$65536,1,FALSE)</f>
        <v>#N/A</v>
      </c>
      <c r="S2671" s="159"/>
      <c r="T2671" s="159"/>
      <c r="U2671" s="159"/>
    </row>
    <row r="2672" spans="1:21" ht="51" customHeight="1" x14ac:dyDescent="0.25">
      <c r="A2672" s="191">
        <f>MATCH($E2672,'D1 - Master Project Table'!$B$24:$B$7056,0)</f>
        <v>186</v>
      </c>
      <c r="B2672" s="191" t="b">
        <f t="shared" si="130"/>
        <v>0</v>
      </c>
      <c r="C2672" s="191" t="b">
        <f t="shared" si="131"/>
        <v>0</v>
      </c>
      <c r="D2672" s="191" t="str">
        <f t="shared" si="132"/>
        <v>OK</v>
      </c>
      <c r="E2672" s="393"/>
      <c r="F2672" s="392"/>
      <c r="G2672" s="392"/>
      <c r="H2672" s="392"/>
      <c r="I2672" s="392"/>
      <c r="J2672" s="392"/>
      <c r="K2672" s="392"/>
      <c r="L2672" s="392"/>
      <c r="M2672" s="392"/>
      <c r="N2672" s="392"/>
      <c r="O2672" s="392"/>
      <c r="P2672"/>
      <c r="Q2672"/>
      <c r="R2672" s="387" t="e">
        <f>VLOOKUP(E2672,'[1]NDB Impacted SPRFs 05032013'!$A$2:$A$65536,1,FALSE)</f>
        <v>#N/A</v>
      </c>
      <c r="S2672" s="159"/>
      <c r="T2672" s="159"/>
      <c r="U2672" s="159"/>
    </row>
    <row r="2673" spans="1:21" ht="51" customHeight="1" x14ac:dyDescent="0.25">
      <c r="A2673" s="191">
        <f>MATCH($E2673,'D1 - Master Project Table'!$B$24:$B$7056,0)</f>
        <v>186</v>
      </c>
      <c r="B2673" s="191" t="b">
        <f t="shared" si="130"/>
        <v>0</v>
      </c>
      <c r="C2673" s="191" t="b">
        <f t="shared" si="131"/>
        <v>0</v>
      </c>
      <c r="D2673" s="191" t="str">
        <f t="shared" si="132"/>
        <v>OK</v>
      </c>
      <c r="E2673" s="393"/>
      <c r="F2673" s="392"/>
      <c r="G2673" s="392"/>
      <c r="H2673" s="392"/>
      <c r="I2673" s="392"/>
      <c r="J2673" s="392"/>
      <c r="K2673" s="392"/>
      <c r="L2673" s="392"/>
      <c r="M2673" s="392"/>
      <c r="N2673" s="392"/>
      <c r="O2673" s="392"/>
      <c r="P2673"/>
      <c r="Q2673"/>
      <c r="R2673" s="387" t="e">
        <f>VLOOKUP(E2673,'[1]NDB Impacted SPRFs 05032013'!$A$2:$A$65536,1,FALSE)</f>
        <v>#N/A</v>
      </c>
      <c r="S2673" s="159"/>
      <c r="T2673" s="159"/>
      <c r="U2673" s="159"/>
    </row>
    <row r="2674" spans="1:21" ht="51" customHeight="1" x14ac:dyDescent="0.25">
      <c r="A2674" s="191">
        <f>MATCH($E2674,'D1 - Master Project Table'!$B$24:$B$7056,0)</f>
        <v>186</v>
      </c>
      <c r="B2674" s="191" t="b">
        <f t="shared" si="130"/>
        <v>0</v>
      </c>
      <c r="C2674" s="191" t="b">
        <f t="shared" si="131"/>
        <v>0</v>
      </c>
      <c r="D2674" s="191" t="str">
        <f t="shared" si="132"/>
        <v>OK</v>
      </c>
      <c r="E2674" s="393"/>
      <c r="F2674" s="392"/>
      <c r="G2674" s="392"/>
      <c r="H2674" s="392"/>
      <c r="I2674" s="392"/>
      <c r="J2674" s="392"/>
      <c r="K2674" s="392"/>
      <c r="L2674" s="392"/>
      <c r="M2674" s="392"/>
      <c r="N2674" s="392"/>
      <c r="O2674" s="392"/>
      <c r="P2674"/>
      <c r="Q2674"/>
      <c r="R2674" s="387" t="e">
        <f>VLOOKUP(E2674,'[1]NDB Impacted SPRFs 05032013'!$A$2:$A$65536,1,FALSE)</f>
        <v>#N/A</v>
      </c>
      <c r="S2674" s="159"/>
      <c r="T2674" s="159"/>
      <c r="U2674" s="159"/>
    </row>
    <row r="2675" spans="1:21" ht="51" customHeight="1" x14ac:dyDescent="0.25">
      <c r="A2675" s="191">
        <f>MATCH($E2675,'D1 - Master Project Table'!$B$24:$B$7056,0)</f>
        <v>186</v>
      </c>
      <c r="B2675" s="191" t="b">
        <f t="shared" si="130"/>
        <v>0</v>
      </c>
      <c r="C2675" s="191" t="b">
        <f t="shared" si="131"/>
        <v>0</v>
      </c>
      <c r="D2675" s="191" t="str">
        <f t="shared" si="132"/>
        <v>OK</v>
      </c>
      <c r="E2675" s="393"/>
      <c r="F2675" s="392"/>
      <c r="G2675" s="392"/>
      <c r="H2675" s="392"/>
      <c r="I2675" s="392"/>
      <c r="J2675" s="392"/>
      <c r="K2675" s="392"/>
      <c r="L2675" s="392"/>
      <c r="M2675" s="392"/>
      <c r="N2675" s="392"/>
      <c r="O2675" s="392"/>
      <c r="P2675"/>
      <c r="Q2675"/>
      <c r="R2675" s="387" t="e">
        <f>VLOOKUP(E2675,'[1]NDB Impacted SPRFs 05032013'!$A$2:$A$65536,1,FALSE)</f>
        <v>#N/A</v>
      </c>
      <c r="S2675" s="159"/>
      <c r="T2675" s="159"/>
      <c r="U2675" s="159"/>
    </row>
    <row r="2676" spans="1:21" ht="51" customHeight="1" x14ac:dyDescent="0.25">
      <c r="A2676" s="191">
        <f>MATCH($E2676,'D1 - Master Project Table'!$B$24:$B$7056,0)</f>
        <v>186</v>
      </c>
      <c r="B2676" s="191" t="b">
        <f t="shared" si="130"/>
        <v>0</v>
      </c>
      <c r="C2676" s="191" t="b">
        <f t="shared" si="131"/>
        <v>0</v>
      </c>
      <c r="D2676" s="191" t="str">
        <f t="shared" si="132"/>
        <v>OK</v>
      </c>
      <c r="E2676" s="393"/>
      <c r="F2676" s="392"/>
      <c r="G2676" s="392"/>
      <c r="H2676" s="392"/>
      <c r="I2676" s="392"/>
      <c r="J2676" s="392"/>
      <c r="K2676" s="392"/>
      <c r="L2676" s="392"/>
      <c r="M2676" s="392"/>
      <c r="N2676" s="392"/>
      <c r="O2676" s="392"/>
      <c r="P2676"/>
      <c r="Q2676"/>
      <c r="R2676" s="387" t="e">
        <f>VLOOKUP(E2676,'[1]NDB Impacted SPRFs 05032013'!$A$2:$A$65536,1,FALSE)</f>
        <v>#N/A</v>
      </c>
      <c r="S2676" s="159"/>
      <c r="T2676" s="159"/>
      <c r="U2676" s="159"/>
    </row>
    <row r="2677" spans="1:21" ht="51" customHeight="1" x14ac:dyDescent="0.25">
      <c r="A2677" s="191">
        <f>MATCH($E2677,'D1 - Master Project Table'!$B$24:$B$7056,0)</f>
        <v>186</v>
      </c>
      <c r="B2677" s="191" t="b">
        <f t="shared" si="130"/>
        <v>0</v>
      </c>
      <c r="C2677" s="191" t="b">
        <f t="shared" si="131"/>
        <v>0</v>
      </c>
      <c r="D2677" s="191" t="str">
        <f t="shared" si="132"/>
        <v>OK</v>
      </c>
      <c r="E2677" s="393"/>
      <c r="F2677" s="392"/>
      <c r="G2677" s="392"/>
      <c r="H2677" s="392"/>
      <c r="I2677" s="392"/>
      <c r="J2677" s="392"/>
      <c r="K2677" s="392"/>
      <c r="L2677" s="392"/>
      <c r="M2677" s="392"/>
      <c r="N2677" s="392"/>
      <c r="O2677" s="392"/>
      <c r="P2677"/>
      <c r="Q2677"/>
      <c r="R2677" s="387" t="e">
        <f>VLOOKUP(E2677,'[1]NDB Impacted SPRFs 05032013'!$A$2:$A$65536,1,FALSE)</f>
        <v>#N/A</v>
      </c>
    </row>
    <row r="2678" spans="1:21" ht="51" customHeight="1" x14ac:dyDescent="0.25">
      <c r="A2678" s="191">
        <f>MATCH($E2678,'D1 - Master Project Table'!$B$24:$B$7056,0)</f>
        <v>186</v>
      </c>
      <c r="B2678" s="191" t="b">
        <f t="shared" si="130"/>
        <v>0</v>
      </c>
      <c r="C2678" s="191" t="b">
        <f t="shared" si="131"/>
        <v>0</v>
      </c>
      <c r="D2678" s="191" t="str">
        <f t="shared" si="132"/>
        <v>OK</v>
      </c>
      <c r="E2678" s="393"/>
      <c r="F2678" s="392"/>
      <c r="G2678" s="392"/>
      <c r="H2678" s="392"/>
      <c r="I2678" s="392"/>
      <c r="J2678" s="392"/>
      <c r="K2678" s="392"/>
      <c r="L2678" s="392"/>
      <c r="M2678" s="392"/>
      <c r="N2678" s="392"/>
      <c r="O2678" s="392"/>
      <c r="P2678"/>
      <c r="Q2678"/>
      <c r="R2678" s="387" t="e">
        <f>VLOOKUP(E2678,'[1]NDB Impacted SPRFs 05032013'!$A$2:$A$65536,1,FALSE)</f>
        <v>#N/A</v>
      </c>
    </row>
    <row r="2679" spans="1:21" ht="51" customHeight="1" x14ac:dyDescent="0.25">
      <c r="A2679" s="191">
        <f>MATCH($E2679,'D1 - Master Project Table'!$B$24:$B$7056,0)</f>
        <v>186</v>
      </c>
      <c r="B2679" s="191" t="b">
        <f t="shared" si="130"/>
        <v>0</v>
      </c>
      <c r="C2679" s="191" t="b">
        <f t="shared" si="131"/>
        <v>0</v>
      </c>
      <c r="D2679" s="191" t="str">
        <f t="shared" si="132"/>
        <v>OK</v>
      </c>
      <c r="E2679" s="393"/>
      <c r="F2679" s="392"/>
      <c r="G2679" s="392"/>
      <c r="H2679" s="392"/>
      <c r="I2679" s="392"/>
      <c r="J2679" s="392"/>
      <c r="K2679" s="392"/>
      <c r="L2679" s="392"/>
      <c r="M2679" s="392"/>
      <c r="N2679" s="392"/>
      <c r="O2679" s="392"/>
      <c r="P2679"/>
      <c r="Q2679"/>
      <c r="R2679" s="387" t="e">
        <f>VLOOKUP(E2679,'[1]NDB Impacted SPRFs 05032013'!$A$2:$A$65536,1,FALSE)</f>
        <v>#N/A</v>
      </c>
    </row>
    <row r="2680" spans="1:21" ht="51" customHeight="1" x14ac:dyDescent="0.25">
      <c r="A2680" s="191">
        <f>MATCH($E2680,'D1 - Master Project Table'!$B$24:$B$7056,0)</f>
        <v>186</v>
      </c>
      <c r="B2680" s="191" t="b">
        <f t="shared" si="130"/>
        <v>0</v>
      </c>
      <c r="C2680" s="191" t="b">
        <f t="shared" si="131"/>
        <v>0</v>
      </c>
      <c r="D2680" s="191" t="str">
        <f t="shared" si="132"/>
        <v>OK</v>
      </c>
      <c r="E2680" s="393"/>
      <c r="F2680" s="392"/>
      <c r="G2680" s="392"/>
      <c r="H2680" s="392"/>
      <c r="I2680" s="392"/>
      <c r="J2680" s="392"/>
      <c r="K2680" s="392"/>
      <c r="L2680" s="392"/>
      <c r="M2680" s="392"/>
      <c r="N2680" s="392"/>
      <c r="O2680" s="392"/>
      <c r="P2680"/>
      <c r="Q2680"/>
      <c r="R2680" s="387" t="e">
        <f>VLOOKUP(E2680,'[1]NDB Impacted SPRFs 05032013'!$A$2:$A$65536,1,FALSE)</f>
        <v>#N/A</v>
      </c>
      <c r="S2680" s="159"/>
      <c r="T2680" s="159"/>
      <c r="U2680" s="159"/>
    </row>
    <row r="2681" spans="1:21" ht="51" customHeight="1" x14ac:dyDescent="0.25">
      <c r="A2681" s="191">
        <f>MATCH($E2681,'D1 - Master Project Table'!$B$24:$B$7056,0)</f>
        <v>186</v>
      </c>
      <c r="B2681" s="191" t="b">
        <f t="shared" si="130"/>
        <v>0</v>
      </c>
      <c r="C2681" s="191" t="b">
        <f t="shared" si="131"/>
        <v>0</v>
      </c>
      <c r="D2681" s="191" t="str">
        <f t="shared" si="132"/>
        <v>OK</v>
      </c>
      <c r="E2681" s="393"/>
      <c r="F2681" s="392"/>
      <c r="G2681" s="392"/>
      <c r="H2681" s="392"/>
      <c r="I2681" s="392"/>
      <c r="J2681" s="392"/>
      <c r="K2681" s="392"/>
      <c r="L2681" s="392"/>
      <c r="M2681" s="392"/>
      <c r="N2681" s="392"/>
      <c r="O2681" s="392"/>
      <c r="P2681"/>
      <c r="Q2681"/>
      <c r="R2681" s="387" t="e">
        <f>VLOOKUP(E2681,'[1]NDB Impacted SPRFs 05032013'!$A$2:$A$65536,1,FALSE)</f>
        <v>#N/A</v>
      </c>
      <c r="S2681" s="159"/>
      <c r="T2681" s="159"/>
      <c r="U2681" s="159"/>
    </row>
    <row r="2682" spans="1:21" ht="51" customHeight="1" x14ac:dyDescent="0.25">
      <c r="A2682" s="191">
        <f>MATCH($E2682,'D1 - Master Project Table'!$B$24:$B$7056,0)</f>
        <v>186</v>
      </c>
      <c r="B2682" s="191" t="b">
        <f t="shared" si="130"/>
        <v>0</v>
      </c>
      <c r="C2682" s="191" t="b">
        <f t="shared" si="131"/>
        <v>0</v>
      </c>
      <c r="D2682" s="191" t="str">
        <f t="shared" si="132"/>
        <v>OK</v>
      </c>
      <c r="E2682" s="298"/>
      <c r="F2682" s="299"/>
      <c r="G2682" s="299"/>
      <c r="H2682" s="392"/>
      <c r="I2682" s="299"/>
      <c r="J2682" s="299"/>
      <c r="K2682" s="299"/>
      <c r="L2682" s="392"/>
      <c r="M2682" s="392"/>
      <c r="N2682" s="392"/>
      <c r="O2682" s="392"/>
      <c r="P2682"/>
      <c r="Q2682"/>
      <c r="R2682" s="387" t="e">
        <f>VLOOKUP(E2682,'[1]NDB Impacted SPRFs 05032013'!$A$2:$A$65536,1,FALSE)</f>
        <v>#N/A</v>
      </c>
    </row>
    <row r="2683" spans="1:21" ht="51" customHeight="1" x14ac:dyDescent="0.25">
      <c r="A2683" s="191">
        <f>MATCH($E2683,'D1 - Master Project Table'!$B$24:$B$7056,0)</f>
        <v>186</v>
      </c>
      <c r="B2683" s="191" t="b">
        <f t="shared" si="130"/>
        <v>0</v>
      </c>
      <c r="C2683" s="191" t="b">
        <f t="shared" si="131"/>
        <v>0</v>
      </c>
      <c r="D2683" s="191" t="str">
        <f t="shared" si="132"/>
        <v>OK</v>
      </c>
      <c r="E2683" s="393"/>
      <c r="F2683" s="392"/>
      <c r="G2683" s="392"/>
      <c r="H2683" s="392"/>
      <c r="I2683" s="392"/>
      <c r="J2683" s="392"/>
      <c r="K2683" s="392"/>
      <c r="L2683" s="392"/>
      <c r="M2683" s="392"/>
      <c r="N2683" s="392"/>
      <c r="O2683" s="392"/>
      <c r="P2683"/>
      <c r="Q2683"/>
      <c r="R2683" s="387" t="e">
        <f>VLOOKUP(E2683,'[1]NDB Impacted SPRFs 05032013'!$A$2:$A$65536,1,FALSE)</f>
        <v>#N/A</v>
      </c>
      <c r="S2683" s="159"/>
      <c r="T2683" s="159"/>
      <c r="U2683" s="159"/>
    </row>
    <row r="2684" spans="1:21" ht="51" customHeight="1" x14ac:dyDescent="0.25">
      <c r="A2684" s="191">
        <f>MATCH($E2684,'D1 - Master Project Table'!$B$24:$B$7056,0)</f>
        <v>186</v>
      </c>
      <c r="B2684" s="191" t="b">
        <f t="shared" si="130"/>
        <v>0</v>
      </c>
      <c r="C2684" s="191" t="b">
        <f t="shared" si="131"/>
        <v>0</v>
      </c>
      <c r="D2684" s="191" t="str">
        <f t="shared" si="132"/>
        <v>OK</v>
      </c>
      <c r="E2684" s="393"/>
      <c r="F2684" s="392"/>
      <c r="G2684" s="392"/>
      <c r="H2684" s="392"/>
      <c r="I2684" s="392"/>
      <c r="J2684" s="392"/>
      <c r="K2684" s="392"/>
      <c r="L2684" s="392"/>
      <c r="M2684" s="392"/>
      <c r="N2684" s="392"/>
      <c r="O2684" s="392"/>
      <c r="P2684"/>
      <c r="Q2684"/>
      <c r="R2684" s="387" t="e">
        <f>VLOOKUP(E2684,'[1]NDB Impacted SPRFs 05032013'!$A$2:$A$65536,1,FALSE)</f>
        <v>#N/A</v>
      </c>
    </row>
    <row r="2685" spans="1:21" ht="51" customHeight="1" x14ac:dyDescent="0.25">
      <c r="A2685" s="191">
        <f>MATCH($E2685,'D1 - Master Project Table'!$B$24:$B$7056,0)</f>
        <v>186</v>
      </c>
      <c r="B2685" s="191" t="b">
        <f t="shared" si="130"/>
        <v>0</v>
      </c>
      <c r="C2685" s="191" t="b">
        <f t="shared" si="131"/>
        <v>0</v>
      </c>
      <c r="D2685" s="191" t="str">
        <f t="shared" si="132"/>
        <v>OK</v>
      </c>
      <c r="E2685" s="393"/>
      <c r="F2685" s="392"/>
      <c r="G2685" s="392"/>
      <c r="H2685" s="392"/>
      <c r="I2685" s="392"/>
      <c r="J2685" s="392"/>
      <c r="K2685" s="392"/>
      <c r="L2685" s="392"/>
      <c r="M2685" s="392"/>
      <c r="N2685" s="392"/>
      <c r="O2685" s="392"/>
      <c r="P2685"/>
      <c r="Q2685"/>
      <c r="R2685" s="387" t="e">
        <f>VLOOKUP(E2685,'[1]NDB Impacted SPRFs 05032013'!$A$2:$A$65536,1,FALSE)</f>
        <v>#N/A</v>
      </c>
      <c r="S2685" s="159"/>
      <c r="T2685" s="159"/>
      <c r="U2685" s="159"/>
    </row>
    <row r="2686" spans="1:21" ht="51" customHeight="1" x14ac:dyDescent="0.25">
      <c r="A2686" s="191">
        <f>MATCH($E2686,'D1 - Master Project Table'!$B$24:$B$7056,0)</f>
        <v>186</v>
      </c>
      <c r="B2686" s="191" t="b">
        <f t="shared" si="130"/>
        <v>0</v>
      </c>
      <c r="C2686" s="191" t="b">
        <f t="shared" si="131"/>
        <v>0</v>
      </c>
      <c r="D2686" s="191" t="str">
        <f t="shared" si="132"/>
        <v>OK</v>
      </c>
      <c r="E2686" s="393"/>
      <c r="F2686" s="392"/>
      <c r="G2686" s="392"/>
      <c r="H2686" s="392"/>
      <c r="I2686" s="392"/>
      <c r="J2686" s="392"/>
      <c r="K2686" s="392"/>
      <c r="L2686" s="392"/>
      <c r="M2686" s="392"/>
      <c r="N2686" s="392"/>
      <c r="O2686" s="392"/>
      <c r="P2686"/>
      <c r="Q2686"/>
      <c r="R2686" s="387" t="e">
        <f>VLOOKUP(E2686,'[1]NDB Impacted SPRFs 05032013'!$A$2:$A$65536,1,FALSE)</f>
        <v>#N/A</v>
      </c>
      <c r="S2686" s="159"/>
      <c r="T2686" s="159"/>
      <c r="U2686" s="159"/>
    </row>
    <row r="2687" spans="1:21" ht="51" customHeight="1" x14ac:dyDescent="0.25">
      <c r="A2687" s="191">
        <f>MATCH($E2687,'D1 - Master Project Table'!$B$24:$B$7056,0)</f>
        <v>186</v>
      </c>
      <c r="B2687" s="191" t="b">
        <f t="shared" si="130"/>
        <v>0</v>
      </c>
      <c r="C2687" s="191" t="b">
        <f t="shared" si="131"/>
        <v>0</v>
      </c>
      <c r="D2687" s="191" t="str">
        <f t="shared" si="132"/>
        <v>OK</v>
      </c>
      <c r="E2687" s="393"/>
      <c r="F2687" s="392"/>
      <c r="G2687" s="392"/>
      <c r="H2687" s="392"/>
      <c r="I2687" s="392"/>
      <c r="J2687" s="392"/>
      <c r="K2687" s="392"/>
      <c r="L2687" s="392"/>
      <c r="M2687" s="392"/>
      <c r="N2687" s="392"/>
      <c r="O2687" s="392"/>
      <c r="P2687"/>
      <c r="Q2687"/>
      <c r="R2687" s="387" t="e">
        <f>VLOOKUP(E2687,'[1]NDB Impacted SPRFs 05032013'!$A$2:$A$65536,1,FALSE)</f>
        <v>#N/A</v>
      </c>
      <c r="S2687" s="159"/>
      <c r="T2687" s="159"/>
      <c r="U2687" s="159"/>
    </row>
    <row r="2688" spans="1:21" ht="51" customHeight="1" x14ac:dyDescent="0.25">
      <c r="A2688" s="191">
        <f>MATCH($E2688,'D1 - Master Project Table'!$B$24:$B$7056,0)</f>
        <v>186</v>
      </c>
      <c r="B2688" s="191" t="b">
        <f t="shared" si="130"/>
        <v>0</v>
      </c>
      <c r="C2688" s="191" t="b">
        <f t="shared" si="131"/>
        <v>0</v>
      </c>
      <c r="D2688" s="191" t="str">
        <f t="shared" si="132"/>
        <v>OK</v>
      </c>
      <c r="E2688" s="393"/>
      <c r="F2688" s="392"/>
      <c r="G2688" s="392"/>
      <c r="H2688" s="392"/>
      <c r="I2688" s="392"/>
      <c r="J2688" s="392"/>
      <c r="K2688" s="392"/>
      <c r="L2688" s="392"/>
      <c r="M2688" s="392"/>
      <c r="N2688" s="392"/>
      <c r="O2688" s="392"/>
      <c r="P2688"/>
      <c r="Q2688"/>
      <c r="R2688" s="387" t="e">
        <f>VLOOKUP(E2688,'[1]NDB Impacted SPRFs 05032013'!$A$2:$A$65536,1,FALSE)</f>
        <v>#N/A</v>
      </c>
      <c r="S2688" s="159"/>
      <c r="T2688" s="159"/>
      <c r="U2688" s="159"/>
    </row>
    <row r="2689" spans="1:21" ht="51" customHeight="1" x14ac:dyDescent="0.25">
      <c r="A2689" s="191">
        <f>MATCH($E2689,'D1 - Master Project Table'!$B$24:$B$7056,0)</f>
        <v>186</v>
      </c>
      <c r="B2689" s="191" t="b">
        <f t="shared" si="130"/>
        <v>0</v>
      </c>
      <c r="C2689" s="191" t="b">
        <f t="shared" si="131"/>
        <v>0</v>
      </c>
      <c r="D2689" s="191" t="str">
        <f t="shared" si="132"/>
        <v>OK</v>
      </c>
      <c r="E2689" s="393"/>
      <c r="F2689" s="392"/>
      <c r="G2689" s="392"/>
      <c r="H2689" s="392"/>
      <c r="I2689" s="392"/>
      <c r="J2689" s="392"/>
      <c r="K2689" s="392"/>
      <c r="L2689" s="392"/>
      <c r="M2689" s="392"/>
      <c r="N2689" s="392"/>
      <c r="O2689" s="392"/>
      <c r="P2689"/>
      <c r="Q2689"/>
      <c r="R2689" s="387" t="e">
        <f>VLOOKUP(E2689,'[1]NDB Impacted SPRFs 05032013'!$A$2:$A$65536,1,FALSE)</f>
        <v>#N/A</v>
      </c>
      <c r="S2689" s="159"/>
      <c r="T2689" s="159"/>
      <c r="U2689" s="159"/>
    </row>
    <row r="2690" spans="1:21" ht="12.75" customHeight="1" x14ac:dyDescent="0.25">
      <c r="A2690" s="191">
        <f>MATCH($E2690,'D1 - Master Project Table'!$B$24:$B$7056,0)</f>
        <v>186</v>
      </c>
      <c r="B2690" s="191" t="b">
        <f t="shared" si="130"/>
        <v>0</v>
      </c>
      <c r="C2690" s="191" t="b">
        <f t="shared" si="131"/>
        <v>0</v>
      </c>
      <c r="D2690" s="191" t="str">
        <f t="shared" si="132"/>
        <v>OK</v>
      </c>
      <c r="E2690" s="393"/>
      <c r="F2690" s="392"/>
      <c r="G2690" s="392"/>
      <c r="H2690" s="392"/>
      <c r="I2690" s="392"/>
      <c r="J2690" s="392"/>
      <c r="K2690" s="392"/>
      <c r="L2690" s="392"/>
      <c r="M2690" s="392"/>
      <c r="N2690" s="392"/>
      <c r="O2690" s="392"/>
      <c r="P2690"/>
      <c r="Q2690"/>
      <c r="R2690" s="387" t="e">
        <f>VLOOKUP(E2690,'[1]NDB Impacted SPRFs 05032013'!$A$2:$A$65536,1,FALSE)</f>
        <v>#N/A</v>
      </c>
      <c r="S2690" s="159"/>
      <c r="T2690" s="159"/>
      <c r="U2690" s="159"/>
    </row>
    <row r="2691" spans="1:21" ht="12.75" customHeight="1" x14ac:dyDescent="0.25">
      <c r="A2691" s="191">
        <f>MATCH($E2691,'D1 - Master Project Table'!$B$24:$B$7056,0)</f>
        <v>231</v>
      </c>
      <c r="B2691" s="191" t="b">
        <f t="shared" si="130"/>
        <v>0</v>
      </c>
      <c r="C2691" s="191" t="b">
        <f t="shared" si="131"/>
        <v>0</v>
      </c>
      <c r="D2691" s="191" t="str">
        <f t="shared" si="132"/>
        <v>OK</v>
      </c>
      <c r="E2691" s="302">
        <v>400056003</v>
      </c>
      <c r="F2691" s="303" t="s">
        <v>13</v>
      </c>
      <c r="G2691" s="303" t="s">
        <v>5324</v>
      </c>
      <c r="H2691" s="303" t="s">
        <v>4917</v>
      </c>
      <c r="I2691" s="303" t="s">
        <v>1763</v>
      </c>
      <c r="J2691" s="303" t="s">
        <v>5162</v>
      </c>
      <c r="K2691" s="303" t="s">
        <v>73</v>
      </c>
      <c r="L2691" s="303" t="s">
        <v>7273</v>
      </c>
      <c r="M2691" s="303" t="s">
        <v>7273</v>
      </c>
      <c r="N2691" s="303" t="s">
        <v>7273</v>
      </c>
      <c r="O2691" s="300" t="s">
        <v>7273</v>
      </c>
      <c r="P2691"/>
      <c r="Q2691"/>
      <c r="R2691" s="387" t="e">
        <f>VLOOKUP(E2691,'[1]NDB Impacted SPRFs 05032013'!$A$2:$A$65536,1,FALSE)</f>
        <v>#N/A</v>
      </c>
      <c r="S2691" s="159"/>
      <c r="T2691" s="159"/>
      <c r="U2691" s="159"/>
    </row>
    <row r="2692" spans="1:21" ht="12.75" customHeight="1" x14ac:dyDescent="0.25">
      <c r="A2692" s="191">
        <f>MATCH($E2692,'D1 - Master Project Table'!$B$24:$B$7056,0)</f>
        <v>238</v>
      </c>
      <c r="B2692" s="191" t="b">
        <f t="shared" si="130"/>
        <v>0</v>
      </c>
      <c r="C2692" s="191" t="b">
        <f t="shared" si="131"/>
        <v>0</v>
      </c>
      <c r="D2692" s="191" t="str">
        <f t="shared" si="132"/>
        <v>OK</v>
      </c>
      <c r="E2692" s="298">
        <v>400056790</v>
      </c>
      <c r="F2692" s="299" t="s">
        <v>8169</v>
      </c>
      <c r="G2692" s="299" t="s">
        <v>5324</v>
      </c>
      <c r="H2692" s="299" t="s">
        <v>8012</v>
      </c>
      <c r="I2692" s="299" t="s">
        <v>1757</v>
      </c>
      <c r="J2692" s="299" t="s">
        <v>8170</v>
      </c>
      <c r="K2692" s="299" t="s">
        <v>863</v>
      </c>
      <c r="L2692" s="299" t="s">
        <v>596</v>
      </c>
      <c r="M2692" s="299" t="s">
        <v>7273</v>
      </c>
      <c r="N2692" s="299" t="s">
        <v>7273</v>
      </c>
      <c r="O2692" s="299" t="s">
        <v>7273</v>
      </c>
      <c r="P2692"/>
      <c r="Q2692"/>
      <c r="R2692" s="387" t="e">
        <f>VLOOKUP(E2692,'[1]NDB Impacted SPRFs 05032013'!$A$2:$A$65536,1,FALSE)</f>
        <v>#N/A</v>
      </c>
      <c r="S2692" s="159"/>
      <c r="T2692" s="159"/>
      <c r="U2692" s="159"/>
    </row>
    <row r="2693" spans="1:21" ht="51" customHeight="1" x14ac:dyDescent="0.25">
      <c r="A2693" s="191">
        <f>MATCH($E2693,'D1 - Master Project Table'!$B$24:$B$7056,0)</f>
        <v>3245</v>
      </c>
      <c r="B2693" s="191" t="b">
        <f t="shared" si="130"/>
        <v>0</v>
      </c>
      <c r="C2693" s="191" t="b">
        <f t="shared" si="131"/>
        <v>0</v>
      </c>
      <c r="D2693" s="191" t="str">
        <f t="shared" si="132"/>
        <v>OK</v>
      </c>
      <c r="E2693" s="296">
        <v>400055282</v>
      </c>
      <c r="F2693" s="297" t="s">
        <v>449</v>
      </c>
      <c r="G2693" s="297" t="s">
        <v>1147</v>
      </c>
      <c r="H2693" s="297" t="s">
        <v>8012</v>
      </c>
      <c r="I2693" s="297" t="s">
        <v>1757</v>
      </c>
      <c r="J2693" s="297" t="s">
        <v>450</v>
      </c>
      <c r="K2693" s="297" t="s">
        <v>5524</v>
      </c>
      <c r="L2693" s="297" t="s">
        <v>7176</v>
      </c>
      <c r="M2693" s="297" t="s">
        <v>7273</v>
      </c>
      <c r="N2693" s="297" t="s">
        <v>7273</v>
      </c>
      <c r="O2693" s="297" t="s">
        <v>7273</v>
      </c>
      <c r="P2693"/>
      <c r="Q2693"/>
      <c r="R2693" s="387" t="e">
        <f>VLOOKUP(E2693,'[1]NDB Impacted SPRFs 05032013'!$A$2:$A$65536,1,FALSE)</f>
        <v>#N/A</v>
      </c>
      <c r="S2693" s="159"/>
      <c r="T2693" s="159"/>
      <c r="U2693" s="159"/>
    </row>
    <row r="2694" spans="1:21" ht="51" customHeight="1" x14ac:dyDescent="0.25">
      <c r="A2694" s="191">
        <f>MATCH($E2694,'D1 - Master Project Table'!$B$24:$B$7056,0)</f>
        <v>3231</v>
      </c>
      <c r="B2694" s="191" t="b">
        <f t="shared" si="130"/>
        <v>0</v>
      </c>
      <c r="C2694" s="191" t="b">
        <f t="shared" si="131"/>
        <v>0</v>
      </c>
      <c r="D2694" s="191" t="str">
        <f t="shared" si="132"/>
        <v>OK</v>
      </c>
      <c r="E2694" s="296">
        <v>400051448</v>
      </c>
      <c r="F2694" s="297" t="s">
        <v>7427</v>
      </c>
      <c r="G2694" s="297" t="s">
        <v>5325</v>
      </c>
      <c r="H2694" s="297" t="s">
        <v>4917</v>
      </c>
      <c r="I2694" s="297" t="s">
        <v>1757</v>
      </c>
      <c r="J2694" s="297" t="s">
        <v>7428</v>
      </c>
      <c r="K2694" s="297" t="s">
        <v>863</v>
      </c>
      <c r="L2694" s="297" t="s">
        <v>7429</v>
      </c>
      <c r="M2694" s="297" t="s">
        <v>7273</v>
      </c>
      <c r="N2694" s="297" t="s">
        <v>7273</v>
      </c>
      <c r="O2694" s="297" t="s">
        <v>7273</v>
      </c>
      <c r="P2694"/>
      <c r="Q2694"/>
      <c r="R2694" s="387" t="e">
        <f>VLOOKUP(E2694,'[1]NDB Impacted SPRFs 05032013'!$A$2:$A$65536,1,FALSE)</f>
        <v>#N/A</v>
      </c>
      <c r="S2694" s="159"/>
      <c r="T2694" s="159"/>
      <c r="U2694" s="159"/>
    </row>
    <row r="2695" spans="1:21" ht="41.25" customHeight="1" x14ac:dyDescent="0.25">
      <c r="A2695" s="191">
        <f>MATCH($E2695,'D1 - Master Project Table'!$B$24:$B$7056,0)</f>
        <v>228</v>
      </c>
      <c r="B2695" s="191" t="b">
        <f t="shared" si="130"/>
        <v>0</v>
      </c>
      <c r="C2695" s="191" t="b">
        <f t="shared" si="131"/>
        <v>0</v>
      </c>
      <c r="D2695" s="191" t="str">
        <f t="shared" si="132"/>
        <v>OK</v>
      </c>
      <c r="E2695" s="296">
        <v>400055854</v>
      </c>
      <c r="F2695" s="297" t="s">
        <v>338</v>
      </c>
      <c r="G2695" s="297" t="s">
        <v>5995</v>
      </c>
      <c r="H2695" s="297" t="s">
        <v>6462</v>
      </c>
      <c r="I2695" s="297" t="s">
        <v>3533</v>
      </c>
      <c r="J2695" s="297" t="s">
        <v>1153</v>
      </c>
      <c r="K2695" s="297" t="s">
        <v>335</v>
      </c>
      <c r="L2695" s="297" t="s">
        <v>8155</v>
      </c>
      <c r="M2695" s="297" t="s">
        <v>7273</v>
      </c>
      <c r="N2695" s="297" t="s">
        <v>7273</v>
      </c>
      <c r="O2695" s="297" t="s">
        <v>7273</v>
      </c>
      <c r="P2695"/>
      <c r="Q2695"/>
      <c r="R2695" s="387" t="e">
        <f>VLOOKUP(E2695,'[1]NDB Impacted SPRFs 05032013'!$A$2:$A$65536,1,FALSE)</f>
        <v>#N/A</v>
      </c>
      <c r="S2695" s="159"/>
      <c r="T2695" s="159"/>
      <c r="U2695" s="159"/>
    </row>
    <row r="2696" spans="1:21" ht="12.75" customHeight="1" x14ac:dyDescent="0.25">
      <c r="A2696" s="191">
        <f>MATCH($E2696,'D1 - Master Project Table'!$B$24:$B$7056,0)</f>
        <v>3253</v>
      </c>
      <c r="B2696" s="191" t="b">
        <f t="shared" si="130"/>
        <v>0</v>
      </c>
      <c r="C2696" s="191" t="b">
        <f t="shared" si="131"/>
        <v>0</v>
      </c>
      <c r="D2696" s="191" t="str">
        <f t="shared" si="132"/>
        <v>OK</v>
      </c>
      <c r="E2696" s="296">
        <v>400057156</v>
      </c>
      <c r="F2696" s="297" t="s">
        <v>7186</v>
      </c>
      <c r="G2696" s="297" t="s">
        <v>5995</v>
      </c>
      <c r="H2696" s="297" t="s">
        <v>8012</v>
      </c>
      <c r="I2696" s="297" t="s">
        <v>6423</v>
      </c>
      <c r="J2696" s="297" t="s">
        <v>1155</v>
      </c>
      <c r="K2696" s="297" t="s">
        <v>1155</v>
      </c>
      <c r="L2696" s="297" t="s">
        <v>7185</v>
      </c>
      <c r="M2696" s="297" t="s">
        <v>7273</v>
      </c>
      <c r="N2696" s="297" t="s">
        <v>7273</v>
      </c>
      <c r="O2696" s="297" t="s">
        <v>7273</v>
      </c>
      <c r="P2696"/>
      <c r="Q2696"/>
      <c r="R2696" s="387" t="e">
        <f>VLOOKUP(E2696,'[1]NDB Impacted SPRFs 05032013'!$A$2:$A$65536,1,FALSE)</f>
        <v>#N/A</v>
      </c>
    </row>
    <row r="2697" spans="1:21" ht="12.75" customHeight="1" x14ac:dyDescent="0.25">
      <c r="A2697" s="191">
        <f>MATCH($E2697,'D1 - Master Project Table'!$B$24:$B$7056,0)</f>
        <v>226</v>
      </c>
      <c r="B2697" s="191" t="b">
        <f t="shared" si="130"/>
        <v>0</v>
      </c>
      <c r="C2697" s="191" t="b">
        <f t="shared" si="131"/>
        <v>0</v>
      </c>
      <c r="D2697" s="191" t="str">
        <f t="shared" si="132"/>
        <v>OK</v>
      </c>
      <c r="E2697" s="292">
        <v>400055849</v>
      </c>
      <c r="F2697" s="293" t="s">
        <v>334</v>
      </c>
      <c r="G2697" s="293" t="s">
        <v>5995</v>
      </c>
      <c r="H2697" s="293" t="s">
        <v>8012</v>
      </c>
      <c r="I2697" s="293" t="s">
        <v>3533</v>
      </c>
      <c r="J2697" s="293" t="s">
        <v>1153</v>
      </c>
      <c r="K2697" s="293" t="s">
        <v>335</v>
      </c>
      <c r="L2697" s="293" t="s">
        <v>8156</v>
      </c>
      <c r="M2697" s="293" t="s">
        <v>7273</v>
      </c>
      <c r="N2697" s="293" t="s">
        <v>7273</v>
      </c>
      <c r="O2697" s="293" t="s">
        <v>7273</v>
      </c>
      <c r="P2697"/>
      <c r="Q2697"/>
      <c r="R2697" s="387" t="e">
        <f>VLOOKUP(E2697,'[1]NDB Impacted SPRFs 05032013'!$A$2:$A$65536,1,FALSE)</f>
        <v>#N/A</v>
      </c>
      <c r="S2697" s="159"/>
      <c r="T2697" s="159"/>
      <c r="U2697" s="159"/>
    </row>
    <row r="2698" spans="1:21" ht="51" customHeight="1" x14ac:dyDescent="0.25">
      <c r="A2698" s="191">
        <f>MATCH($E2698,'D1 - Master Project Table'!$B$24:$B$7056,0)</f>
        <v>3252</v>
      </c>
      <c r="B2698" s="191" t="b">
        <f t="shared" si="130"/>
        <v>0</v>
      </c>
      <c r="C2698" s="191" t="b">
        <f t="shared" si="131"/>
        <v>0</v>
      </c>
      <c r="D2698" s="191" t="str">
        <f t="shared" si="132"/>
        <v>OK</v>
      </c>
      <c r="E2698" s="290">
        <v>400056255</v>
      </c>
      <c r="F2698" s="291" t="s">
        <v>6674</v>
      </c>
      <c r="G2698" s="291" t="s">
        <v>1147</v>
      </c>
      <c r="H2698" s="291" t="s">
        <v>8012</v>
      </c>
      <c r="I2698" s="291" t="s">
        <v>1757</v>
      </c>
      <c r="J2698" s="291" t="s">
        <v>450</v>
      </c>
      <c r="K2698" s="291" t="s">
        <v>5524</v>
      </c>
      <c r="L2698" s="291" t="s">
        <v>5687</v>
      </c>
      <c r="M2698" s="291" t="s">
        <v>7273</v>
      </c>
      <c r="N2698" s="291" t="s">
        <v>7273</v>
      </c>
      <c r="O2698" s="291" t="s">
        <v>7273</v>
      </c>
      <c r="P2698"/>
      <c r="Q2698"/>
      <c r="R2698" s="387" t="e">
        <f>VLOOKUP(E2698,'[1]NDB Impacted SPRFs 05032013'!$A$2:$A$65536,1,FALSE)</f>
        <v>#N/A</v>
      </c>
      <c r="S2698" s="159"/>
      <c r="T2698" s="159"/>
      <c r="U2698" s="159"/>
    </row>
    <row r="2699" spans="1:21" ht="51" customHeight="1" x14ac:dyDescent="0.25">
      <c r="A2699" s="191">
        <f>MATCH($E2699,'D1 - Master Project Table'!$B$24:$B$7056,0)</f>
        <v>3251</v>
      </c>
      <c r="B2699" s="191" t="b">
        <f t="shared" si="130"/>
        <v>0</v>
      </c>
      <c r="C2699" s="191" t="b">
        <f t="shared" si="131"/>
        <v>0</v>
      </c>
      <c r="D2699" s="191" t="str">
        <f t="shared" si="132"/>
        <v>OK</v>
      </c>
      <c r="E2699" s="290">
        <v>400056195</v>
      </c>
      <c r="F2699" s="291" t="s">
        <v>7010</v>
      </c>
      <c r="G2699" s="291" t="s">
        <v>5001</v>
      </c>
      <c r="H2699" s="291" t="s">
        <v>8012</v>
      </c>
      <c r="I2699" s="291" t="s">
        <v>3540</v>
      </c>
      <c r="J2699" s="291" t="s">
        <v>7011</v>
      </c>
      <c r="K2699" s="291" t="s">
        <v>7012</v>
      </c>
      <c r="L2699" s="291" t="s">
        <v>7013</v>
      </c>
      <c r="M2699" s="291" t="s">
        <v>7273</v>
      </c>
      <c r="N2699" s="291" t="s">
        <v>7273</v>
      </c>
      <c r="O2699" s="291" t="s">
        <v>7273</v>
      </c>
      <c r="P2699"/>
      <c r="Q2699"/>
      <c r="R2699" s="387" t="e">
        <f>VLOOKUP(E2699,'[1]NDB Impacted SPRFs 05032013'!$A$2:$A$65536,1,FALSE)</f>
        <v>#N/A</v>
      </c>
    </row>
    <row r="2700" spans="1:21" ht="51" customHeight="1" x14ac:dyDescent="0.25">
      <c r="A2700" s="191">
        <f>MATCH($E2700,'D1 - Master Project Table'!$B$24:$B$7056,0)</f>
        <v>3242</v>
      </c>
      <c r="B2700" s="191" t="b">
        <f t="shared" si="130"/>
        <v>0</v>
      </c>
      <c r="C2700" s="191" t="b">
        <f t="shared" si="131"/>
        <v>0</v>
      </c>
      <c r="D2700" s="191" t="str">
        <f t="shared" si="132"/>
        <v>OK</v>
      </c>
      <c r="E2700" s="288">
        <v>400054356</v>
      </c>
      <c r="F2700" s="289" t="s">
        <v>1840</v>
      </c>
      <c r="G2700" s="289" t="s">
        <v>5001</v>
      </c>
      <c r="H2700" s="289" t="s">
        <v>4917</v>
      </c>
      <c r="I2700" s="289" t="s">
        <v>3540</v>
      </c>
      <c r="J2700" s="289" t="s">
        <v>6985</v>
      </c>
      <c r="K2700" s="289" t="s">
        <v>943</v>
      </c>
      <c r="L2700" s="289" t="s">
        <v>370</v>
      </c>
      <c r="M2700" s="289" t="s">
        <v>7273</v>
      </c>
      <c r="N2700" s="289" t="s">
        <v>7273</v>
      </c>
      <c r="O2700" s="289" t="s">
        <v>7273</v>
      </c>
      <c r="P2700"/>
      <c r="Q2700"/>
      <c r="R2700" s="387" t="e">
        <f>VLOOKUP(E2700,'[1]NDB Impacted SPRFs 05032013'!$A$2:$A$65536,1,FALSE)</f>
        <v>#N/A</v>
      </c>
      <c r="S2700" s="159"/>
      <c r="T2700" s="159"/>
      <c r="U2700" s="159"/>
    </row>
    <row r="2701" spans="1:21" ht="51" customHeight="1" x14ac:dyDescent="0.25">
      <c r="A2701" s="191">
        <f>MATCH($E2701,'D1 - Master Project Table'!$B$24:$B$7056,0)</f>
        <v>227</v>
      </c>
      <c r="B2701" s="191" t="b">
        <f t="shared" si="130"/>
        <v>0</v>
      </c>
      <c r="C2701" s="191" t="b">
        <f t="shared" si="131"/>
        <v>0</v>
      </c>
      <c r="D2701" s="191" t="str">
        <f t="shared" si="132"/>
        <v>OK</v>
      </c>
      <c r="E2701" s="288">
        <v>400055852</v>
      </c>
      <c r="F2701" s="289" t="s">
        <v>337</v>
      </c>
      <c r="G2701" s="289" t="s">
        <v>5995</v>
      </c>
      <c r="H2701" s="289" t="s">
        <v>6462</v>
      </c>
      <c r="I2701" s="289" t="s">
        <v>3533</v>
      </c>
      <c r="J2701" s="289" t="s">
        <v>1153</v>
      </c>
      <c r="K2701" s="289" t="s">
        <v>335</v>
      </c>
      <c r="L2701" s="289" t="s">
        <v>336</v>
      </c>
      <c r="M2701" s="289" t="s">
        <v>7273</v>
      </c>
      <c r="N2701" s="289" t="s">
        <v>7273</v>
      </c>
      <c r="O2701" s="289" t="s">
        <v>7273</v>
      </c>
      <c r="P2701"/>
      <c r="Q2701"/>
      <c r="R2701" s="387" t="e">
        <f>VLOOKUP(E2701,'[1]NDB Impacted SPRFs 05032013'!$A$2:$A$65536,1,FALSE)</f>
        <v>#N/A</v>
      </c>
    </row>
    <row r="2702" spans="1:21" ht="51" customHeight="1" x14ac:dyDescent="0.25">
      <c r="A2702" s="191">
        <f>MATCH($E2702,'D1 - Master Project Table'!$B$24:$B$7056,0)</f>
        <v>3244</v>
      </c>
      <c r="B2702" s="191" t="b">
        <f t="shared" ref="B2702:B2765" si="133">ISERROR(A2702)</f>
        <v>0</v>
      </c>
      <c r="C2702" s="191" t="b">
        <f t="shared" ref="C2702:C2765" si="134">OR(H2702="Completed",H2702="Cancelled")</f>
        <v>0</v>
      </c>
      <c r="D2702" s="191" t="str">
        <f t="shared" ref="D2702:D2765" si="135">IF(AND(B2702=TRUE,C2702=FALSE),"Add","OK")</f>
        <v>OK</v>
      </c>
      <c r="E2702" s="284">
        <v>400054962</v>
      </c>
      <c r="F2702" s="283" t="s">
        <v>507</v>
      </c>
      <c r="G2702" s="283" t="s">
        <v>5324</v>
      </c>
      <c r="H2702" s="283" t="s">
        <v>8012</v>
      </c>
      <c r="I2702" s="283" t="s">
        <v>1763</v>
      </c>
      <c r="J2702" s="283" t="s">
        <v>2859</v>
      </c>
      <c r="K2702" s="283" t="s">
        <v>508</v>
      </c>
      <c r="L2702" s="283" t="s">
        <v>509</v>
      </c>
      <c r="M2702" s="283" t="s">
        <v>7273</v>
      </c>
      <c r="N2702" s="283" t="s">
        <v>7273</v>
      </c>
      <c r="O2702" s="283" t="s">
        <v>7273</v>
      </c>
      <c r="P2702"/>
      <c r="Q2702"/>
      <c r="R2702" s="387" t="e">
        <f>VLOOKUP(E2702,'[1]NDB Impacted SPRFs 05032013'!$A$2:$A$65536,1,FALSE)</f>
        <v>#N/A</v>
      </c>
    </row>
    <row r="2703" spans="1:21" ht="51" customHeight="1" x14ac:dyDescent="0.25">
      <c r="A2703" s="191">
        <f>MATCH($E2703,'D1 - Master Project Table'!$B$24:$B$7056,0)</f>
        <v>3243</v>
      </c>
      <c r="B2703" s="191" t="b">
        <f t="shared" si="133"/>
        <v>0</v>
      </c>
      <c r="C2703" s="191" t="b">
        <f t="shared" si="134"/>
        <v>0</v>
      </c>
      <c r="D2703" s="191" t="str">
        <f t="shared" si="135"/>
        <v>OK</v>
      </c>
      <c r="E2703" s="280">
        <v>400054920</v>
      </c>
      <c r="F2703" s="281" t="s">
        <v>45</v>
      </c>
      <c r="G2703" s="281" t="s">
        <v>5001</v>
      </c>
      <c r="H2703" s="281" t="s">
        <v>8012</v>
      </c>
      <c r="I2703" s="281" t="s">
        <v>3540</v>
      </c>
      <c r="J2703" s="281" t="s">
        <v>2585</v>
      </c>
      <c r="K2703" s="281" t="s">
        <v>6028</v>
      </c>
      <c r="L2703" s="281" t="s">
        <v>46</v>
      </c>
      <c r="M2703" s="281" t="s">
        <v>7273</v>
      </c>
      <c r="N2703" s="281" t="s">
        <v>7273</v>
      </c>
      <c r="O2703" s="281" t="s">
        <v>7273</v>
      </c>
      <c r="P2703"/>
      <c r="Q2703"/>
      <c r="R2703" s="387" t="e">
        <f>VLOOKUP(E2703,'[1]NDB Impacted SPRFs 05032013'!$A$2:$A$65536,1,FALSE)</f>
        <v>#N/A</v>
      </c>
      <c r="S2703" s="159"/>
      <c r="T2703" s="159"/>
      <c r="U2703" s="159"/>
    </row>
    <row r="2704" spans="1:21" ht="51" customHeight="1" x14ac:dyDescent="0.25">
      <c r="A2704" s="191">
        <f>MATCH($E2704,'D1 - Master Project Table'!$B$24:$B$7056,0)</f>
        <v>3240</v>
      </c>
      <c r="B2704" s="191" t="b">
        <f t="shared" si="133"/>
        <v>0</v>
      </c>
      <c r="C2704" s="191" t="b">
        <f t="shared" si="134"/>
        <v>0</v>
      </c>
      <c r="D2704" s="191" t="str">
        <f t="shared" si="135"/>
        <v>OK</v>
      </c>
      <c r="E2704" s="278">
        <v>400054021</v>
      </c>
      <c r="F2704" s="279" t="s">
        <v>760</v>
      </c>
      <c r="G2704" s="279" t="s">
        <v>5324</v>
      </c>
      <c r="H2704" s="279" t="s">
        <v>8012</v>
      </c>
      <c r="I2704" s="279" t="s">
        <v>1762</v>
      </c>
      <c r="J2704" s="279" t="s">
        <v>4977</v>
      </c>
      <c r="K2704" s="279" t="s">
        <v>761</v>
      </c>
      <c r="L2704" s="279" t="s">
        <v>881</v>
      </c>
      <c r="M2704" s="279" t="s">
        <v>7273</v>
      </c>
      <c r="N2704" s="279" t="s">
        <v>7273</v>
      </c>
      <c r="O2704" s="279" t="s">
        <v>7273</v>
      </c>
      <c r="P2704"/>
      <c r="Q2704"/>
      <c r="R2704" s="387" t="e">
        <f>VLOOKUP(E2704,'[1]NDB Impacted SPRFs 05032013'!$A$2:$A$65536,1,FALSE)</f>
        <v>#N/A</v>
      </c>
      <c r="S2704" s="159"/>
      <c r="T2704" s="159"/>
      <c r="U2704" s="159"/>
    </row>
    <row r="2705" spans="1:256" ht="51" customHeight="1" x14ac:dyDescent="0.25">
      <c r="A2705" s="191">
        <f>MATCH($E2705,'D1 - Master Project Table'!$B$24:$B$7056,0)</f>
        <v>3130</v>
      </c>
      <c r="B2705" s="191" t="b">
        <f t="shared" si="133"/>
        <v>0</v>
      </c>
      <c r="C2705" s="191" t="b">
        <f t="shared" si="134"/>
        <v>0</v>
      </c>
      <c r="D2705" s="191" t="str">
        <f t="shared" si="135"/>
        <v>OK</v>
      </c>
      <c r="E2705" s="276">
        <v>400053861</v>
      </c>
      <c r="F2705" s="277" t="s">
        <v>280</v>
      </c>
      <c r="G2705" s="277" t="s">
        <v>5324</v>
      </c>
      <c r="H2705" s="277" t="s">
        <v>6462</v>
      </c>
      <c r="I2705" s="277" t="s">
        <v>1757</v>
      </c>
      <c r="J2705" s="277" t="s">
        <v>6975</v>
      </c>
      <c r="K2705" s="277" t="s">
        <v>4462</v>
      </c>
      <c r="L2705" s="277" t="s">
        <v>2845</v>
      </c>
      <c r="M2705" s="277" t="s">
        <v>7273</v>
      </c>
      <c r="N2705" s="277" t="s">
        <v>7273</v>
      </c>
      <c r="O2705" s="277" t="s">
        <v>7273</v>
      </c>
      <c r="P2705"/>
      <c r="Q2705"/>
      <c r="R2705" s="387" t="e">
        <f>VLOOKUP(E2705,'[1]NDB Impacted SPRFs 05032013'!$A$2:$A$65536,1,FALSE)</f>
        <v>#N/A</v>
      </c>
      <c r="S2705" s="159"/>
      <c r="T2705" s="159"/>
      <c r="U2705" s="159"/>
    </row>
    <row r="2706" spans="1:256" ht="51" customHeight="1" x14ac:dyDescent="0.25">
      <c r="A2706" s="191">
        <f>MATCH($E2706,'D1 - Master Project Table'!$B$24:$B$7056,0)</f>
        <v>3241</v>
      </c>
      <c r="B2706" s="191" t="b">
        <f t="shared" si="133"/>
        <v>0</v>
      </c>
      <c r="C2706" s="191" t="b">
        <f t="shared" si="134"/>
        <v>0</v>
      </c>
      <c r="D2706" s="191" t="str">
        <f t="shared" si="135"/>
        <v>OK</v>
      </c>
      <c r="E2706" s="276">
        <v>400054175</v>
      </c>
      <c r="F2706" s="277" t="s">
        <v>911</v>
      </c>
      <c r="G2706" s="277" t="s">
        <v>6322</v>
      </c>
      <c r="H2706" s="277" t="s">
        <v>8012</v>
      </c>
      <c r="I2706" s="277" t="s">
        <v>1756</v>
      </c>
      <c r="J2706" s="277" t="s">
        <v>3151</v>
      </c>
      <c r="K2706" s="277" t="s">
        <v>3152</v>
      </c>
      <c r="L2706" s="277" t="s">
        <v>1019</v>
      </c>
      <c r="M2706" s="277" t="s">
        <v>7273</v>
      </c>
      <c r="N2706" s="277" t="s">
        <v>7273</v>
      </c>
      <c r="O2706" s="277" t="s">
        <v>7273</v>
      </c>
      <c r="P2706"/>
      <c r="Q2706"/>
      <c r="R2706" s="387" t="e">
        <f>VLOOKUP(E2706,'[1]NDB Impacted SPRFs 05032013'!$A$2:$A$65536,1,FALSE)</f>
        <v>#N/A</v>
      </c>
    </row>
    <row r="2707" spans="1:256" ht="51" customHeight="1" x14ac:dyDescent="0.25">
      <c r="A2707" s="191">
        <f>MATCH($E2707,'D1 - Master Project Table'!$B$24:$B$7056,0)</f>
        <v>3121</v>
      </c>
      <c r="B2707" s="191" t="b">
        <f t="shared" si="133"/>
        <v>0</v>
      </c>
      <c r="C2707" s="191" t="b">
        <f t="shared" si="134"/>
        <v>0</v>
      </c>
      <c r="D2707" s="191" t="str">
        <f t="shared" si="135"/>
        <v>OK</v>
      </c>
      <c r="E2707" s="276">
        <v>400052617</v>
      </c>
      <c r="F2707" s="277" t="s">
        <v>3548</v>
      </c>
      <c r="G2707" s="277" t="s">
        <v>5324</v>
      </c>
      <c r="H2707" s="277" t="s">
        <v>4388</v>
      </c>
      <c r="I2707" s="277" t="s">
        <v>1757</v>
      </c>
      <c r="J2707" s="277" t="s">
        <v>3549</v>
      </c>
      <c r="K2707" s="277" t="s">
        <v>863</v>
      </c>
      <c r="L2707" s="277" t="s">
        <v>3550</v>
      </c>
      <c r="M2707" s="277" t="s">
        <v>7273</v>
      </c>
      <c r="N2707" s="277" t="s">
        <v>7273</v>
      </c>
      <c r="O2707" s="277" t="s">
        <v>7273</v>
      </c>
      <c r="P2707"/>
      <c r="Q2707"/>
      <c r="R2707" s="387" t="e">
        <f>VLOOKUP(E2707,'[1]NDB Impacted SPRFs 05032013'!$A$2:$A$65536,1,FALSE)</f>
        <v>#N/A</v>
      </c>
      <c r="S2707" s="159"/>
      <c r="T2707" s="159"/>
      <c r="U2707" s="159"/>
    </row>
    <row r="2708" spans="1:256" ht="51" customHeight="1" x14ac:dyDescent="0.25">
      <c r="A2708" s="191">
        <f>MATCH($E2708,'D1 - Master Project Table'!$B$24:$B$7056,0)</f>
        <v>3239</v>
      </c>
      <c r="B2708" s="191" t="b">
        <f t="shared" si="133"/>
        <v>0</v>
      </c>
      <c r="C2708" s="191" t="b">
        <f t="shared" si="134"/>
        <v>0</v>
      </c>
      <c r="D2708" s="191" t="str">
        <f t="shared" si="135"/>
        <v>OK</v>
      </c>
      <c r="E2708" s="270">
        <v>400053840</v>
      </c>
      <c r="F2708" s="271" t="s">
        <v>272</v>
      </c>
      <c r="G2708" s="271" t="s">
        <v>5324</v>
      </c>
      <c r="H2708" s="271" t="s">
        <v>4388</v>
      </c>
      <c r="I2708" s="271" t="s">
        <v>1758</v>
      </c>
      <c r="J2708" s="271" t="s">
        <v>273</v>
      </c>
      <c r="K2708" s="271" t="s">
        <v>274</v>
      </c>
      <c r="L2708" s="271" t="s">
        <v>275</v>
      </c>
      <c r="M2708" s="271" t="s">
        <v>7273</v>
      </c>
      <c r="N2708" s="271" t="s">
        <v>7273</v>
      </c>
      <c r="O2708" s="271" t="s">
        <v>7273</v>
      </c>
      <c r="P2708"/>
      <c r="Q2708"/>
      <c r="R2708" s="387" t="e">
        <f>VLOOKUP(E2708,'[1]NDB Impacted SPRFs 05032013'!$A$2:$A$65536,1,FALSE)</f>
        <v>#N/A</v>
      </c>
      <c r="S2708" s="159"/>
      <c r="T2708" s="159"/>
      <c r="U2708" s="159"/>
    </row>
    <row r="2709" spans="1:256" ht="51" customHeight="1" x14ac:dyDescent="0.25">
      <c r="A2709" s="191">
        <f>MATCH($E2709,'D1 - Master Project Table'!$B$24:$B$7056,0)</f>
        <v>3237</v>
      </c>
      <c r="B2709" s="191" t="b">
        <f t="shared" si="133"/>
        <v>0</v>
      </c>
      <c r="C2709" s="191" t="b">
        <f t="shared" si="134"/>
        <v>0</v>
      </c>
      <c r="D2709" s="191" t="str">
        <f t="shared" si="135"/>
        <v>OK</v>
      </c>
      <c r="E2709" s="270">
        <v>400053537</v>
      </c>
      <c r="F2709" s="271" t="s">
        <v>1361</v>
      </c>
      <c r="G2709" s="271" t="s">
        <v>5001</v>
      </c>
      <c r="H2709" s="271" t="s">
        <v>8012</v>
      </c>
      <c r="I2709" s="271" t="s">
        <v>3540</v>
      </c>
      <c r="J2709" s="271" t="s">
        <v>3518</v>
      </c>
      <c r="K2709" s="271" t="s">
        <v>8075</v>
      </c>
      <c r="L2709" s="271" t="s">
        <v>912</v>
      </c>
      <c r="M2709" s="271" t="s">
        <v>7273</v>
      </c>
      <c r="N2709" s="271" t="s">
        <v>7273</v>
      </c>
      <c r="O2709" s="271" t="s">
        <v>7273</v>
      </c>
      <c r="P2709"/>
      <c r="Q2709"/>
      <c r="R2709" s="387" t="e">
        <f>VLOOKUP(E2709,'[1]NDB Impacted SPRFs 05032013'!$A$2:$A$65536,1,FALSE)</f>
        <v>#N/A</v>
      </c>
    </row>
    <row r="2710" spans="1:256" ht="51" customHeight="1" x14ac:dyDescent="0.25">
      <c r="A2710" s="191">
        <f>MATCH($E2710,'D1 - Master Project Table'!$B$24:$B$7056,0)</f>
        <v>213</v>
      </c>
      <c r="B2710" s="191" t="b">
        <f t="shared" si="133"/>
        <v>0</v>
      </c>
      <c r="C2710" s="191" t="b">
        <f t="shared" si="134"/>
        <v>0</v>
      </c>
      <c r="D2710" s="191" t="str">
        <f t="shared" si="135"/>
        <v>OK</v>
      </c>
      <c r="E2710" s="270">
        <v>400051740</v>
      </c>
      <c r="F2710" s="271" t="s">
        <v>3197</v>
      </c>
      <c r="G2710" s="271" t="s">
        <v>5001</v>
      </c>
      <c r="H2710" s="271" t="s">
        <v>8012</v>
      </c>
      <c r="I2710" s="271" t="s">
        <v>2655</v>
      </c>
      <c r="J2710" s="271" t="s">
        <v>3198</v>
      </c>
      <c r="K2710" s="271" t="s">
        <v>3199</v>
      </c>
      <c r="L2710" s="271" t="s">
        <v>3455</v>
      </c>
      <c r="M2710" s="271" t="s">
        <v>3758</v>
      </c>
      <c r="N2710" s="271" t="s">
        <v>7273</v>
      </c>
      <c r="O2710" s="271" t="s">
        <v>3758</v>
      </c>
      <c r="P2710" s="212"/>
      <c r="Q2710" s="212"/>
      <c r="R2710" s="387" t="e">
        <f>VLOOKUP(E2710,'[1]NDB Impacted SPRFs 05032013'!$A$2:$A$65536,1,FALSE)</f>
        <v>#N/A</v>
      </c>
      <c r="S2710" s="159"/>
      <c r="T2710" s="159"/>
      <c r="U2710" s="159"/>
    </row>
    <row r="2711" spans="1:256" ht="51" customHeight="1" x14ac:dyDescent="0.25">
      <c r="A2711" s="191">
        <f>MATCH($E2711,'D1 - Master Project Table'!$B$24:$B$7056,0)</f>
        <v>3232</v>
      </c>
      <c r="B2711" s="191" t="b">
        <f t="shared" si="133"/>
        <v>0</v>
      </c>
      <c r="C2711" s="191" t="b">
        <f t="shared" si="134"/>
        <v>0</v>
      </c>
      <c r="D2711" s="191" t="str">
        <f t="shared" si="135"/>
        <v>OK</v>
      </c>
      <c r="E2711" s="268">
        <v>400051899</v>
      </c>
      <c r="F2711" s="269" t="s">
        <v>746</v>
      </c>
      <c r="G2711" s="269" t="s">
        <v>5324</v>
      </c>
      <c r="H2711" s="269" t="s">
        <v>8012</v>
      </c>
      <c r="I2711" s="269" t="s">
        <v>1762</v>
      </c>
      <c r="J2711" s="269" t="s">
        <v>747</v>
      </c>
      <c r="K2711" s="269" t="s">
        <v>748</v>
      </c>
      <c r="L2711" s="269" t="s">
        <v>872</v>
      </c>
      <c r="M2711" s="269" t="s">
        <v>7273</v>
      </c>
      <c r="N2711" s="269" t="s">
        <v>7273</v>
      </c>
      <c r="O2711" s="269" t="s">
        <v>7273</v>
      </c>
      <c r="P2711"/>
      <c r="Q2711"/>
      <c r="R2711" s="387" t="e">
        <f>VLOOKUP(E2711,'[1]NDB Impacted SPRFs 05032013'!$A$2:$A$65536,1,FALSE)</f>
        <v>#N/A</v>
      </c>
    </row>
    <row r="2712" spans="1:256" ht="51" customHeight="1" x14ac:dyDescent="0.25">
      <c r="A2712" s="191">
        <f>MATCH($E2712,'D1 - Master Project Table'!$B$24:$B$7056,0)</f>
        <v>3234</v>
      </c>
      <c r="B2712" s="191" t="b">
        <f t="shared" si="133"/>
        <v>0</v>
      </c>
      <c r="C2712" s="191" t="b">
        <f t="shared" si="134"/>
        <v>0</v>
      </c>
      <c r="D2712" s="191" t="str">
        <f t="shared" si="135"/>
        <v>OK</v>
      </c>
      <c r="E2712" s="265">
        <v>400053482</v>
      </c>
      <c r="F2712" s="266" t="s">
        <v>3517</v>
      </c>
      <c r="G2712" s="266" t="s">
        <v>5001</v>
      </c>
      <c r="H2712" s="266" t="s">
        <v>4388</v>
      </c>
      <c r="I2712" s="266" t="s">
        <v>3540</v>
      </c>
      <c r="J2712" s="266" t="s">
        <v>3518</v>
      </c>
      <c r="K2712" s="266" t="s">
        <v>8075</v>
      </c>
      <c r="L2712" s="266" t="s">
        <v>3519</v>
      </c>
      <c r="M2712" s="266" t="s">
        <v>7273</v>
      </c>
      <c r="N2712" s="266" t="s">
        <v>7273</v>
      </c>
      <c r="O2712" s="266" t="s">
        <v>7273</v>
      </c>
      <c r="P2712"/>
      <c r="Q2712"/>
      <c r="R2712" s="387" t="e">
        <f>VLOOKUP(E2712,'[1]NDB Impacted SPRFs 05032013'!$A$2:$A$65536,1,FALSE)</f>
        <v>#N/A</v>
      </c>
      <c r="S2712" s="159"/>
      <c r="T2712" s="159"/>
      <c r="U2712" s="159"/>
    </row>
    <row r="2713" spans="1:256" ht="51" customHeight="1" x14ac:dyDescent="0.25">
      <c r="A2713" s="191">
        <f>MATCH($E2713,'D1 - Master Project Table'!$B$24:$B$7056,0)</f>
        <v>3235</v>
      </c>
      <c r="B2713" s="191" t="b">
        <f t="shared" si="133"/>
        <v>0</v>
      </c>
      <c r="C2713" s="191" t="b">
        <f t="shared" si="134"/>
        <v>0</v>
      </c>
      <c r="D2713" s="191" t="str">
        <f t="shared" si="135"/>
        <v>OK</v>
      </c>
      <c r="E2713" s="265">
        <v>400053483</v>
      </c>
      <c r="F2713" s="266" t="s">
        <v>3520</v>
      </c>
      <c r="G2713" s="266" t="s">
        <v>5001</v>
      </c>
      <c r="H2713" s="266" t="s">
        <v>4388</v>
      </c>
      <c r="I2713" s="266" t="s">
        <v>3540</v>
      </c>
      <c r="J2713" s="266" t="s">
        <v>3518</v>
      </c>
      <c r="K2713" s="266" t="s">
        <v>8075</v>
      </c>
      <c r="L2713" s="266" t="s">
        <v>2291</v>
      </c>
      <c r="M2713" s="266" t="s">
        <v>7273</v>
      </c>
      <c r="N2713" s="266" t="s">
        <v>7273</v>
      </c>
      <c r="O2713" s="266" t="s">
        <v>7273</v>
      </c>
      <c r="P2713"/>
      <c r="Q2713"/>
      <c r="R2713" s="387" t="e">
        <f>VLOOKUP(E2713,'[1]NDB Impacted SPRFs 05032013'!$A$2:$A$65536,1,FALSE)</f>
        <v>#N/A</v>
      </c>
      <c r="S2713" s="159"/>
      <c r="T2713" s="159"/>
      <c r="U2713" s="159"/>
    </row>
    <row r="2714" spans="1:256" ht="12.75" customHeight="1" x14ac:dyDescent="0.25">
      <c r="A2714" s="191">
        <f>MATCH($E2714,'D1 - Master Project Table'!$B$24:$B$7056,0)</f>
        <v>3236</v>
      </c>
      <c r="B2714" s="191" t="b">
        <f t="shared" si="133"/>
        <v>0</v>
      </c>
      <c r="C2714" s="191" t="b">
        <f t="shared" si="134"/>
        <v>0</v>
      </c>
      <c r="D2714" s="191" t="str">
        <f t="shared" si="135"/>
        <v>OK</v>
      </c>
      <c r="E2714" s="265">
        <v>400053534</v>
      </c>
      <c r="F2714" s="266" t="s">
        <v>2292</v>
      </c>
      <c r="G2714" s="266" t="s">
        <v>5001</v>
      </c>
      <c r="H2714" s="266" t="s">
        <v>4388</v>
      </c>
      <c r="I2714" s="266" t="s">
        <v>3540</v>
      </c>
      <c r="J2714" s="266" t="s">
        <v>3518</v>
      </c>
      <c r="K2714" s="266" t="s">
        <v>8075</v>
      </c>
      <c r="L2714" s="266" t="s">
        <v>1360</v>
      </c>
      <c r="M2714" s="266" t="s">
        <v>7273</v>
      </c>
      <c r="N2714" s="266" t="s">
        <v>7273</v>
      </c>
      <c r="O2714" s="266" t="s">
        <v>7273</v>
      </c>
      <c r="P2714"/>
      <c r="Q2714"/>
      <c r="R2714" s="387" t="e">
        <f>VLOOKUP(E2714,'[1]NDB Impacted SPRFs 05032013'!$A$2:$A$65536,1,FALSE)</f>
        <v>#N/A</v>
      </c>
      <c r="S2714" s="159"/>
      <c r="T2714" s="159"/>
      <c r="U2714" s="159"/>
    </row>
    <row r="2715" spans="1:256" ht="12.75" customHeight="1" x14ac:dyDescent="0.25">
      <c r="A2715" s="191">
        <f>MATCH($E2715,'D1 - Master Project Table'!$B$24:$B$7056,0)</f>
        <v>215</v>
      </c>
      <c r="B2715" s="191" t="b">
        <f t="shared" si="133"/>
        <v>0</v>
      </c>
      <c r="C2715" s="191" t="b">
        <f t="shared" si="134"/>
        <v>0</v>
      </c>
      <c r="D2715" s="191" t="str">
        <f t="shared" si="135"/>
        <v>OK</v>
      </c>
      <c r="E2715" s="265">
        <v>400052022</v>
      </c>
      <c r="F2715" s="266" t="s">
        <v>757</v>
      </c>
      <c r="G2715" s="266" t="s">
        <v>6322</v>
      </c>
      <c r="H2715" s="266" t="s">
        <v>4388</v>
      </c>
      <c r="I2715" s="266" t="s">
        <v>1756</v>
      </c>
      <c r="J2715" s="266" t="s">
        <v>7233</v>
      </c>
      <c r="K2715" s="266" t="s">
        <v>2639</v>
      </c>
      <c r="L2715" s="266" t="s">
        <v>758</v>
      </c>
      <c r="M2715" s="266" t="s">
        <v>7273</v>
      </c>
      <c r="N2715" s="266" t="s">
        <v>7273</v>
      </c>
      <c r="O2715" s="266" t="s">
        <v>7273</v>
      </c>
      <c r="P2715"/>
      <c r="Q2715"/>
      <c r="R2715" s="387" t="e">
        <f>VLOOKUP(E2715,'[1]NDB Impacted SPRFs 05032013'!$A$2:$A$65536,1,FALSE)</f>
        <v>#N/A</v>
      </c>
      <c r="S2715" s="159"/>
      <c r="T2715" s="159"/>
      <c r="U2715" s="159"/>
    </row>
    <row r="2716" spans="1:256" ht="12.75" customHeight="1" x14ac:dyDescent="0.25">
      <c r="A2716" s="191">
        <f>MATCH($E2716,'D1 - Master Project Table'!$B$24:$B$7056,0)</f>
        <v>3229</v>
      </c>
      <c r="B2716" s="191" t="b">
        <f t="shared" si="133"/>
        <v>0</v>
      </c>
      <c r="C2716" s="191" t="b">
        <f t="shared" si="134"/>
        <v>0</v>
      </c>
      <c r="D2716" s="191" t="str">
        <f t="shared" si="135"/>
        <v>OK</v>
      </c>
      <c r="E2716" s="265">
        <v>400050677</v>
      </c>
      <c r="F2716" s="266" t="s">
        <v>1548</v>
      </c>
      <c r="G2716" s="266" t="s">
        <v>5324</v>
      </c>
      <c r="H2716" s="266" t="s">
        <v>8012</v>
      </c>
      <c r="I2716" s="266" t="s">
        <v>1758</v>
      </c>
      <c r="J2716" s="266" t="s">
        <v>2150</v>
      </c>
      <c r="K2716" s="266" t="s">
        <v>4601</v>
      </c>
      <c r="L2716" s="266" t="s">
        <v>1453</v>
      </c>
      <c r="M2716" s="266" t="s">
        <v>7273</v>
      </c>
      <c r="N2716" s="266" t="s">
        <v>7273</v>
      </c>
      <c r="O2716" s="266" t="s">
        <v>7273</v>
      </c>
      <c r="P2716"/>
      <c r="Q2716"/>
      <c r="R2716" s="387" t="e">
        <f>VLOOKUP(E2716,'[1]NDB Impacted SPRFs 05032013'!$A$2:$A$65536,1,FALSE)</f>
        <v>#N/A</v>
      </c>
      <c r="S2716" s="159"/>
      <c r="T2716" s="159"/>
      <c r="U2716" s="159"/>
    </row>
    <row r="2717" spans="1:256" ht="12.75" customHeight="1" x14ac:dyDescent="0.25">
      <c r="A2717" s="191">
        <f>MATCH($E2717,'D1 - Master Project Table'!$B$24:$B$7056,0)</f>
        <v>3223</v>
      </c>
      <c r="B2717" s="191" t="b">
        <f t="shared" si="133"/>
        <v>0</v>
      </c>
      <c r="C2717" s="191" t="b">
        <f t="shared" si="134"/>
        <v>0</v>
      </c>
      <c r="D2717" s="191" t="str">
        <f t="shared" si="135"/>
        <v>OK</v>
      </c>
      <c r="E2717" s="265">
        <v>400050210</v>
      </c>
      <c r="F2717" s="266" t="s">
        <v>684</v>
      </c>
      <c r="G2717" s="266" t="s">
        <v>6322</v>
      </c>
      <c r="H2717" s="266" t="s">
        <v>4917</v>
      </c>
      <c r="I2717" s="266" t="s">
        <v>1762</v>
      </c>
      <c r="J2717" s="266" t="s">
        <v>3968</v>
      </c>
      <c r="K2717" s="266" t="s">
        <v>4978</v>
      </c>
      <c r="L2717" s="266" t="s">
        <v>66</v>
      </c>
      <c r="M2717" s="266" t="s">
        <v>7273</v>
      </c>
      <c r="N2717" s="266" t="s">
        <v>7273</v>
      </c>
      <c r="O2717" s="266" t="s">
        <v>7273</v>
      </c>
      <c r="P2717"/>
      <c r="Q2717"/>
      <c r="R2717" s="387" t="e">
        <f>VLOOKUP(E2717,'[1]NDB Impacted SPRFs 05032013'!$A$2:$A$65536,1,FALSE)</f>
        <v>#N/A</v>
      </c>
      <c r="S2717" s="159"/>
      <c r="T2717" s="159"/>
      <c r="U2717" s="159"/>
    </row>
    <row r="2718" spans="1:256" ht="51" customHeight="1" x14ac:dyDescent="0.25">
      <c r="A2718" s="191">
        <f>MATCH($E2718,'D1 - Master Project Table'!$B$24:$B$7056,0)</f>
        <v>3225</v>
      </c>
      <c r="B2718" s="191" t="b">
        <f t="shared" si="133"/>
        <v>0</v>
      </c>
      <c r="C2718" s="191" t="b">
        <f t="shared" si="134"/>
        <v>0</v>
      </c>
      <c r="D2718" s="191" t="str">
        <f t="shared" si="135"/>
        <v>OK</v>
      </c>
      <c r="E2718" s="265">
        <v>400050431</v>
      </c>
      <c r="F2718" s="266" t="s">
        <v>1290</v>
      </c>
      <c r="G2718" s="266" t="s">
        <v>5001</v>
      </c>
      <c r="H2718" s="266" t="s">
        <v>8012</v>
      </c>
      <c r="I2718" s="266" t="s">
        <v>2655</v>
      </c>
      <c r="J2718" s="266" t="s">
        <v>2189</v>
      </c>
      <c r="K2718" s="266" t="s">
        <v>6986</v>
      </c>
      <c r="L2718" s="266" t="s">
        <v>2570</v>
      </c>
      <c r="M2718" s="266" t="s">
        <v>7273</v>
      </c>
      <c r="N2718" s="266" t="s">
        <v>7273</v>
      </c>
      <c r="O2718" s="266" t="s">
        <v>7273</v>
      </c>
      <c r="P2718"/>
      <c r="Q2718"/>
      <c r="R2718" s="387" t="e">
        <f>VLOOKUP(E2718,'[1]NDB Impacted SPRFs 05032013'!$A$2:$A$65536,1,FALSE)</f>
        <v>#N/A</v>
      </c>
      <c r="S2718" s="159"/>
      <c r="T2718" s="159"/>
      <c r="U2718" s="159"/>
    </row>
    <row r="2719" spans="1:256" ht="51" customHeight="1" x14ac:dyDescent="0.25">
      <c r="A2719" s="191">
        <f>MATCH($E2719,'D1 - Master Project Table'!$B$24:$B$7056,0)</f>
        <v>3125</v>
      </c>
      <c r="B2719" s="191" t="b">
        <f t="shared" si="133"/>
        <v>0</v>
      </c>
      <c r="C2719" s="191" t="b">
        <f t="shared" si="134"/>
        <v>0</v>
      </c>
      <c r="D2719" s="191" t="str">
        <f t="shared" si="135"/>
        <v>OK</v>
      </c>
      <c r="E2719" s="263">
        <v>400052853</v>
      </c>
      <c r="F2719" s="264" t="s">
        <v>676</v>
      </c>
      <c r="G2719" s="264" t="s">
        <v>5325</v>
      </c>
      <c r="H2719" s="264" t="s">
        <v>6462</v>
      </c>
      <c r="I2719" s="264" t="s">
        <v>1759</v>
      </c>
      <c r="J2719" s="264" t="s">
        <v>517</v>
      </c>
      <c r="K2719" s="264" t="s">
        <v>518</v>
      </c>
      <c r="L2719" s="264" t="s">
        <v>677</v>
      </c>
      <c r="M2719" s="264" t="s">
        <v>7273</v>
      </c>
      <c r="N2719" s="264" t="s">
        <v>7273</v>
      </c>
      <c r="O2719" s="264" t="s">
        <v>7273</v>
      </c>
      <c r="P2719" s="192"/>
      <c r="Q2719" s="192"/>
      <c r="R2719" s="387" t="e">
        <f>VLOOKUP(E2719,'[1]NDB Impacted SPRFs 05032013'!$A$2:$A$65536,1,FALSE)</f>
        <v>#N/A</v>
      </c>
      <c r="S2719" s="411"/>
      <c r="T2719" s="411"/>
      <c r="U2719" s="411"/>
      <c r="V2719" s="191"/>
      <c r="W2719" s="191"/>
      <c r="X2719" s="191"/>
      <c r="Y2719" s="191"/>
      <c r="Z2719" s="191"/>
      <c r="AA2719" s="191"/>
      <c r="AB2719" s="191"/>
      <c r="AC2719" s="191"/>
      <c r="AD2719" s="191"/>
      <c r="AE2719" s="191"/>
      <c r="AF2719" s="191"/>
      <c r="AG2719" s="191"/>
      <c r="AH2719" s="191"/>
      <c r="AI2719" s="191"/>
      <c r="AJ2719" s="191"/>
      <c r="AK2719" s="191"/>
      <c r="AL2719" s="191"/>
      <c r="AM2719" s="191"/>
      <c r="AN2719" s="191"/>
      <c r="AO2719" s="191"/>
      <c r="AP2719" s="191"/>
      <c r="AQ2719" s="191"/>
      <c r="AR2719" s="191"/>
      <c r="AS2719" s="191"/>
      <c r="AT2719" s="191"/>
      <c r="AU2719" s="191"/>
      <c r="AV2719" s="191"/>
      <c r="AW2719" s="191"/>
      <c r="AX2719" s="191"/>
      <c r="AY2719" s="191"/>
      <c r="AZ2719" s="191"/>
      <c r="BA2719" s="191"/>
      <c r="BB2719" s="191"/>
      <c r="BC2719" s="191"/>
      <c r="BD2719" s="191"/>
      <c r="BE2719" s="191"/>
      <c r="BF2719" s="191"/>
      <c r="BG2719" s="191"/>
      <c r="BH2719" s="191"/>
      <c r="BI2719" s="191"/>
      <c r="BJ2719" s="191"/>
      <c r="BK2719" s="191"/>
      <c r="BL2719" s="191"/>
      <c r="BM2719" s="191"/>
      <c r="BN2719" s="191"/>
      <c r="BO2719" s="191"/>
      <c r="BP2719" s="191"/>
      <c r="BQ2719" s="191"/>
      <c r="BR2719" s="191"/>
      <c r="BS2719" s="191"/>
      <c r="BT2719" s="191"/>
      <c r="BU2719" s="191"/>
      <c r="BV2719" s="191"/>
      <c r="BW2719" s="191"/>
      <c r="BX2719" s="191"/>
      <c r="BY2719" s="191"/>
      <c r="BZ2719" s="191"/>
      <c r="CA2719" s="191"/>
      <c r="CB2719" s="191"/>
      <c r="CC2719" s="191"/>
      <c r="CD2719" s="191"/>
      <c r="CE2719" s="191"/>
      <c r="CF2719" s="191"/>
      <c r="CG2719" s="191"/>
      <c r="CH2719" s="191"/>
      <c r="CI2719" s="191"/>
      <c r="CJ2719" s="191"/>
      <c r="CK2719" s="191"/>
      <c r="CL2719" s="191"/>
      <c r="CM2719" s="191"/>
      <c r="CN2719" s="191"/>
      <c r="CO2719" s="191"/>
      <c r="CP2719" s="191"/>
      <c r="CQ2719" s="191"/>
      <c r="CR2719" s="191"/>
      <c r="CS2719" s="191"/>
      <c r="CT2719" s="191"/>
      <c r="CU2719" s="191"/>
      <c r="CV2719" s="191"/>
      <c r="CW2719" s="191"/>
      <c r="CX2719" s="191"/>
      <c r="CY2719" s="191"/>
      <c r="CZ2719" s="191"/>
      <c r="DA2719" s="191"/>
      <c r="DB2719" s="191"/>
      <c r="DC2719" s="191"/>
      <c r="DD2719" s="191"/>
      <c r="DE2719" s="191"/>
      <c r="DF2719" s="191"/>
      <c r="DG2719" s="191"/>
      <c r="DH2719" s="191"/>
      <c r="DI2719" s="191"/>
      <c r="DJ2719" s="191"/>
      <c r="DK2719" s="191"/>
      <c r="DL2719" s="191"/>
      <c r="DM2719" s="191"/>
      <c r="DN2719" s="191"/>
      <c r="DO2719" s="191"/>
      <c r="DP2719" s="191"/>
      <c r="DQ2719" s="191"/>
      <c r="DR2719" s="191"/>
      <c r="DS2719" s="191"/>
      <c r="DT2719" s="191"/>
      <c r="DU2719" s="191"/>
      <c r="DV2719" s="191"/>
      <c r="DW2719" s="191"/>
      <c r="DX2719" s="191"/>
      <c r="DY2719" s="191"/>
      <c r="DZ2719" s="191"/>
      <c r="EA2719" s="191"/>
      <c r="EB2719" s="191"/>
      <c r="EC2719" s="191"/>
      <c r="ED2719" s="191"/>
      <c r="EE2719" s="191"/>
      <c r="EF2719" s="191"/>
      <c r="EG2719" s="191"/>
      <c r="EH2719" s="191"/>
      <c r="EI2719" s="191"/>
      <c r="EJ2719" s="191"/>
      <c r="EK2719" s="191"/>
      <c r="EL2719" s="191"/>
      <c r="EM2719" s="191"/>
      <c r="EN2719" s="191"/>
      <c r="EO2719" s="191"/>
      <c r="EP2719" s="191"/>
      <c r="EQ2719" s="191"/>
      <c r="ER2719" s="191"/>
      <c r="ES2719" s="191"/>
      <c r="ET2719" s="191"/>
      <c r="EU2719" s="191"/>
      <c r="EV2719" s="191"/>
      <c r="EW2719" s="191"/>
      <c r="EX2719" s="191"/>
      <c r="EY2719" s="191"/>
      <c r="EZ2719" s="191"/>
      <c r="FA2719" s="191"/>
      <c r="FB2719" s="191"/>
      <c r="FC2719" s="191"/>
      <c r="FD2719" s="191"/>
      <c r="FE2719" s="191"/>
      <c r="FF2719" s="191"/>
      <c r="FG2719" s="191"/>
      <c r="FH2719" s="191"/>
      <c r="FI2719" s="191"/>
      <c r="FJ2719" s="191"/>
      <c r="FK2719" s="191"/>
      <c r="FL2719" s="191"/>
      <c r="FM2719" s="191"/>
      <c r="FN2719" s="191"/>
      <c r="FO2719" s="191"/>
      <c r="FP2719" s="191"/>
      <c r="FQ2719" s="191"/>
      <c r="FR2719" s="191"/>
      <c r="FS2719" s="191"/>
      <c r="FT2719" s="191"/>
      <c r="FU2719" s="191"/>
      <c r="FV2719" s="191"/>
      <c r="FW2719" s="191"/>
      <c r="FX2719" s="191"/>
      <c r="FY2719" s="191"/>
      <c r="FZ2719" s="191"/>
      <c r="GA2719" s="191"/>
      <c r="GB2719" s="191"/>
      <c r="GC2719" s="191"/>
      <c r="GD2719" s="191"/>
      <c r="GE2719" s="191"/>
      <c r="GF2719" s="191"/>
      <c r="GG2719" s="191"/>
      <c r="GH2719" s="191"/>
      <c r="GI2719" s="191"/>
      <c r="GJ2719" s="191"/>
      <c r="GK2719" s="191"/>
      <c r="GL2719" s="191"/>
      <c r="GM2719" s="191"/>
      <c r="GN2719" s="191"/>
      <c r="GO2719" s="191"/>
      <c r="GP2719" s="191"/>
      <c r="GQ2719" s="191"/>
      <c r="GR2719" s="191"/>
      <c r="GS2719" s="191"/>
      <c r="GT2719" s="191"/>
      <c r="GU2719" s="191"/>
      <c r="GV2719" s="191"/>
      <c r="GW2719" s="191"/>
      <c r="GX2719" s="191"/>
      <c r="GY2719" s="191"/>
      <c r="GZ2719" s="191"/>
      <c r="HA2719" s="191"/>
      <c r="HB2719" s="191"/>
      <c r="HC2719" s="191"/>
      <c r="HD2719" s="191"/>
      <c r="HE2719" s="191"/>
      <c r="HF2719" s="191"/>
      <c r="HG2719" s="191"/>
      <c r="HH2719" s="191"/>
      <c r="HI2719" s="191"/>
      <c r="HJ2719" s="191"/>
      <c r="HK2719" s="191"/>
      <c r="HL2719" s="191"/>
      <c r="HM2719" s="191"/>
      <c r="HN2719" s="191"/>
      <c r="HO2719" s="191"/>
      <c r="HP2719" s="191"/>
      <c r="HQ2719" s="191"/>
      <c r="HR2719" s="191"/>
      <c r="HS2719" s="191"/>
      <c r="HT2719" s="191"/>
      <c r="HU2719" s="191"/>
      <c r="HV2719" s="191"/>
      <c r="HW2719" s="191"/>
      <c r="HX2719" s="191"/>
      <c r="HY2719" s="191"/>
      <c r="HZ2719" s="191"/>
      <c r="IA2719" s="191"/>
      <c r="IB2719" s="191"/>
      <c r="IC2719" s="191"/>
      <c r="ID2719" s="191"/>
      <c r="IE2719" s="191"/>
      <c r="IF2719" s="191"/>
      <c r="IG2719" s="191"/>
      <c r="IH2719" s="191"/>
      <c r="II2719" s="191"/>
      <c r="IJ2719" s="191"/>
      <c r="IK2719" s="191"/>
      <c r="IL2719" s="191"/>
      <c r="IM2719" s="191"/>
      <c r="IN2719" s="191"/>
      <c r="IO2719" s="191"/>
      <c r="IP2719" s="191"/>
      <c r="IQ2719" s="191"/>
      <c r="IR2719" s="191"/>
      <c r="IS2719" s="191"/>
      <c r="IT2719" s="191"/>
      <c r="IU2719" s="191"/>
      <c r="IV2719" s="191"/>
    </row>
    <row r="2720" spans="1:256" ht="51" customHeight="1" x14ac:dyDescent="0.25">
      <c r="A2720" s="191">
        <f>MATCH($E2720,'D1 - Master Project Table'!$B$24:$B$7056,0)</f>
        <v>3127</v>
      </c>
      <c r="B2720" s="191" t="b">
        <f t="shared" si="133"/>
        <v>0</v>
      </c>
      <c r="C2720" s="191" t="b">
        <f t="shared" si="134"/>
        <v>0</v>
      </c>
      <c r="D2720" s="191" t="str">
        <f t="shared" si="135"/>
        <v>OK</v>
      </c>
      <c r="E2720" s="263">
        <v>400052856</v>
      </c>
      <c r="F2720" s="264" t="s">
        <v>680</v>
      </c>
      <c r="G2720" s="264" t="s">
        <v>5325</v>
      </c>
      <c r="H2720" s="264" t="s">
        <v>6462</v>
      </c>
      <c r="I2720" s="264" t="s">
        <v>1759</v>
      </c>
      <c r="J2720" s="264" t="s">
        <v>517</v>
      </c>
      <c r="K2720" s="264" t="s">
        <v>518</v>
      </c>
      <c r="L2720" s="264" t="s">
        <v>674</v>
      </c>
      <c r="M2720" s="264" t="s">
        <v>7273</v>
      </c>
      <c r="N2720" s="264" t="s">
        <v>7273</v>
      </c>
      <c r="O2720" s="264" t="s">
        <v>7273</v>
      </c>
      <c r="P2720"/>
      <c r="Q2720"/>
      <c r="R2720" s="387" t="e">
        <f>VLOOKUP(E2720,'[1]NDB Impacted SPRFs 05032013'!$A$2:$A$65536,1,FALSE)</f>
        <v>#N/A</v>
      </c>
      <c r="S2720" s="159"/>
      <c r="T2720" s="159"/>
      <c r="U2720" s="159"/>
      <c r="V2720" s="167"/>
      <c r="W2720" s="167"/>
      <c r="X2720" s="167"/>
      <c r="Y2720" s="167"/>
      <c r="Z2720" s="167"/>
      <c r="AA2720" s="167"/>
      <c r="AB2720" s="167"/>
      <c r="AC2720" s="167"/>
      <c r="AD2720" s="167"/>
      <c r="AE2720" s="167"/>
      <c r="AF2720" s="167"/>
      <c r="AG2720" s="167"/>
      <c r="AH2720" s="167"/>
      <c r="AI2720" s="167"/>
      <c r="AJ2720" s="167"/>
      <c r="AK2720" s="167"/>
      <c r="AL2720" s="167"/>
      <c r="AM2720" s="167"/>
      <c r="AN2720" s="167"/>
      <c r="AO2720" s="167"/>
      <c r="AP2720" s="167"/>
      <c r="AQ2720" s="167"/>
      <c r="AR2720" s="167"/>
      <c r="AS2720" s="167"/>
      <c r="AT2720" s="167"/>
      <c r="AU2720" s="167"/>
      <c r="AV2720" s="167"/>
      <c r="AW2720" s="167"/>
      <c r="AX2720" s="167"/>
      <c r="AY2720" s="167"/>
      <c r="AZ2720" s="167"/>
      <c r="BA2720" s="167"/>
      <c r="BB2720" s="167"/>
      <c r="BC2720" s="167"/>
      <c r="BD2720" s="167"/>
      <c r="BE2720" s="167"/>
      <c r="BF2720" s="167"/>
      <c r="BG2720" s="167"/>
      <c r="BH2720" s="167"/>
      <c r="BI2720" s="167"/>
      <c r="BJ2720" s="167"/>
      <c r="BK2720" s="167"/>
      <c r="BL2720" s="167"/>
      <c r="BM2720" s="167"/>
      <c r="BN2720" s="167"/>
      <c r="BO2720" s="167"/>
      <c r="BP2720" s="167"/>
      <c r="BQ2720" s="167"/>
      <c r="BR2720" s="167"/>
      <c r="BS2720" s="167"/>
      <c r="BT2720" s="167"/>
      <c r="BU2720" s="167"/>
      <c r="BV2720" s="167"/>
      <c r="BW2720" s="167"/>
      <c r="BX2720" s="167"/>
      <c r="BY2720" s="167"/>
      <c r="BZ2720" s="167"/>
      <c r="CA2720" s="167"/>
      <c r="CB2720" s="167"/>
      <c r="CC2720" s="167"/>
      <c r="CD2720" s="167"/>
      <c r="CE2720" s="167"/>
      <c r="CF2720" s="167"/>
      <c r="CG2720" s="167"/>
      <c r="CH2720" s="167"/>
      <c r="CI2720" s="167"/>
      <c r="CJ2720" s="167"/>
      <c r="CK2720" s="167"/>
      <c r="CL2720" s="167"/>
      <c r="CM2720" s="167"/>
      <c r="CN2720" s="167"/>
      <c r="CO2720" s="167"/>
      <c r="CP2720" s="167"/>
      <c r="CQ2720" s="167"/>
      <c r="CR2720" s="167"/>
      <c r="CS2720" s="167"/>
      <c r="CT2720" s="167"/>
      <c r="CU2720" s="167"/>
      <c r="CV2720" s="167"/>
      <c r="CW2720" s="167"/>
      <c r="CX2720" s="167"/>
      <c r="CY2720" s="167"/>
      <c r="CZ2720" s="167"/>
      <c r="DA2720" s="167"/>
      <c r="DB2720" s="167"/>
      <c r="DC2720" s="167"/>
      <c r="DD2720" s="167"/>
      <c r="DE2720" s="167"/>
      <c r="DF2720" s="167"/>
      <c r="DG2720" s="167"/>
      <c r="DH2720" s="167"/>
      <c r="DI2720" s="167"/>
      <c r="DJ2720" s="167"/>
      <c r="DK2720" s="167"/>
      <c r="DL2720" s="167"/>
      <c r="DM2720" s="167"/>
      <c r="DN2720" s="167"/>
      <c r="DO2720" s="167"/>
      <c r="DP2720" s="167"/>
      <c r="DQ2720" s="167"/>
      <c r="DR2720" s="167"/>
      <c r="DS2720" s="167"/>
      <c r="DT2720" s="167"/>
      <c r="DU2720" s="167"/>
      <c r="DV2720" s="167"/>
      <c r="DW2720" s="167"/>
      <c r="DX2720" s="167"/>
      <c r="DY2720" s="167"/>
      <c r="DZ2720" s="167"/>
      <c r="EA2720" s="167"/>
      <c r="EB2720" s="167"/>
      <c r="EC2720" s="167"/>
      <c r="ED2720" s="167"/>
      <c r="EE2720" s="167"/>
      <c r="EF2720" s="167"/>
      <c r="EG2720" s="167"/>
      <c r="EH2720" s="167"/>
      <c r="EI2720" s="167"/>
      <c r="EJ2720" s="167"/>
      <c r="EK2720" s="167"/>
      <c r="EL2720" s="167"/>
      <c r="EM2720" s="167"/>
      <c r="EN2720" s="167"/>
      <c r="EO2720" s="167"/>
      <c r="EP2720" s="167"/>
      <c r="EQ2720" s="167"/>
      <c r="ER2720" s="167"/>
      <c r="ES2720" s="167"/>
      <c r="ET2720" s="167"/>
      <c r="EU2720" s="167"/>
      <c r="EV2720" s="167"/>
      <c r="EW2720" s="167"/>
      <c r="EX2720" s="167"/>
      <c r="EY2720" s="167"/>
      <c r="EZ2720" s="167"/>
      <c r="FA2720" s="167"/>
      <c r="FB2720" s="167"/>
      <c r="FC2720" s="167"/>
      <c r="FD2720" s="167"/>
      <c r="FE2720" s="167"/>
      <c r="FF2720" s="167"/>
      <c r="FG2720" s="167"/>
      <c r="FH2720" s="167"/>
      <c r="FI2720" s="167"/>
      <c r="FJ2720" s="167"/>
      <c r="FK2720" s="167"/>
      <c r="FL2720" s="167"/>
      <c r="FM2720" s="167"/>
      <c r="FN2720" s="167"/>
      <c r="FO2720" s="167"/>
      <c r="FP2720" s="167"/>
      <c r="FQ2720" s="167"/>
      <c r="FR2720" s="167"/>
      <c r="FS2720" s="167"/>
      <c r="FT2720" s="167"/>
      <c r="FU2720" s="167"/>
      <c r="FV2720" s="167"/>
      <c r="FW2720" s="167"/>
      <c r="FX2720" s="167"/>
      <c r="FY2720" s="167"/>
      <c r="FZ2720" s="167"/>
      <c r="GA2720" s="167"/>
      <c r="GB2720" s="167"/>
      <c r="GC2720" s="167"/>
      <c r="GD2720" s="167"/>
      <c r="GE2720" s="167"/>
      <c r="GF2720" s="167"/>
      <c r="GG2720" s="167"/>
      <c r="GH2720" s="167"/>
      <c r="GI2720" s="167"/>
      <c r="GJ2720" s="167"/>
      <c r="GK2720" s="167"/>
      <c r="GL2720" s="167"/>
      <c r="GM2720" s="167"/>
      <c r="GN2720" s="167"/>
      <c r="GO2720" s="167"/>
      <c r="GP2720" s="167"/>
      <c r="GQ2720" s="167"/>
      <c r="GR2720" s="167"/>
      <c r="GS2720" s="167"/>
      <c r="GT2720" s="167"/>
      <c r="GU2720" s="167"/>
      <c r="GV2720" s="167"/>
      <c r="GW2720" s="167"/>
      <c r="GX2720" s="167"/>
      <c r="GY2720" s="167"/>
      <c r="GZ2720" s="167"/>
      <c r="HA2720" s="167"/>
      <c r="HB2720" s="167"/>
      <c r="HC2720" s="167"/>
      <c r="HD2720" s="167"/>
      <c r="HE2720" s="167"/>
      <c r="HF2720" s="167"/>
      <c r="HG2720" s="167"/>
      <c r="HH2720" s="167"/>
      <c r="HI2720" s="167"/>
      <c r="HJ2720" s="167"/>
      <c r="HK2720" s="167"/>
      <c r="HL2720" s="167"/>
      <c r="HM2720" s="167"/>
      <c r="HN2720" s="167"/>
      <c r="HO2720" s="167"/>
      <c r="HP2720" s="167"/>
      <c r="HQ2720" s="167"/>
      <c r="HR2720" s="167"/>
      <c r="HS2720" s="167"/>
      <c r="HT2720" s="167"/>
      <c r="HU2720" s="167"/>
      <c r="HV2720" s="167"/>
      <c r="HW2720" s="167"/>
      <c r="HX2720" s="167"/>
      <c r="HY2720" s="167"/>
      <c r="HZ2720" s="167"/>
      <c r="IA2720" s="167"/>
      <c r="IB2720" s="167"/>
      <c r="IC2720" s="167"/>
      <c r="ID2720" s="167"/>
      <c r="IE2720" s="167"/>
      <c r="IF2720" s="167"/>
      <c r="IG2720" s="167"/>
      <c r="IH2720" s="167"/>
      <c r="II2720" s="167"/>
      <c r="IJ2720" s="167"/>
      <c r="IK2720" s="167"/>
      <c r="IL2720" s="167"/>
      <c r="IM2720" s="167"/>
      <c r="IN2720" s="167"/>
      <c r="IO2720" s="167"/>
      <c r="IP2720" s="167"/>
      <c r="IQ2720" s="167"/>
      <c r="IR2720" s="167"/>
      <c r="IS2720" s="167"/>
      <c r="IT2720" s="167"/>
      <c r="IU2720" s="167"/>
      <c r="IV2720" s="167"/>
    </row>
    <row r="2721" spans="1:256" ht="51" customHeight="1" x14ac:dyDescent="0.25">
      <c r="A2721" s="191">
        <f>MATCH($E2721,'D1 - Master Project Table'!$B$24:$B$7056,0)</f>
        <v>3171</v>
      </c>
      <c r="B2721" s="191" t="b">
        <f t="shared" si="133"/>
        <v>0</v>
      </c>
      <c r="C2721" s="191" t="b">
        <f t="shared" si="134"/>
        <v>0</v>
      </c>
      <c r="D2721" s="191" t="str">
        <f t="shared" si="135"/>
        <v>OK</v>
      </c>
      <c r="E2721" s="260">
        <v>400048482</v>
      </c>
      <c r="F2721" s="261" t="s">
        <v>3214</v>
      </c>
      <c r="G2721" s="261" t="s">
        <v>5324</v>
      </c>
      <c r="H2721" s="261" t="s">
        <v>4917</v>
      </c>
      <c r="I2721" s="261" t="s">
        <v>1763</v>
      </c>
      <c r="J2721" s="261" t="s">
        <v>3215</v>
      </c>
      <c r="K2721" s="261" t="s">
        <v>3216</v>
      </c>
      <c r="L2721" s="261" t="s">
        <v>145</v>
      </c>
      <c r="M2721" s="261" t="s">
        <v>7273</v>
      </c>
      <c r="N2721" s="261" t="s">
        <v>7273</v>
      </c>
      <c r="O2721" s="261" t="s">
        <v>7273</v>
      </c>
      <c r="P2721" s="212"/>
      <c r="Q2721" s="212"/>
      <c r="R2721" s="387" t="e">
        <f>VLOOKUP(E2721,'[1]NDB Impacted SPRFs 05032013'!$A$2:$A$65536,1,FALSE)</f>
        <v>#N/A</v>
      </c>
      <c r="S2721" s="159"/>
      <c r="T2721" s="159"/>
      <c r="U2721" s="159"/>
      <c r="V2721" s="167"/>
      <c r="W2721" s="167"/>
      <c r="X2721" s="167"/>
      <c r="Y2721" s="167"/>
      <c r="Z2721" s="167"/>
      <c r="AA2721" s="167"/>
      <c r="AB2721" s="167"/>
      <c r="AC2721" s="167"/>
      <c r="AD2721" s="167"/>
      <c r="AE2721" s="167"/>
      <c r="AF2721" s="167"/>
      <c r="AG2721" s="167"/>
      <c r="AH2721" s="167"/>
      <c r="AI2721" s="167"/>
      <c r="AJ2721" s="167"/>
      <c r="AK2721" s="167"/>
      <c r="AL2721" s="167"/>
      <c r="AM2721" s="167"/>
      <c r="AN2721" s="167"/>
      <c r="AO2721" s="167"/>
      <c r="AP2721" s="167"/>
      <c r="AQ2721" s="167"/>
      <c r="AR2721" s="167"/>
      <c r="AS2721" s="167"/>
      <c r="AT2721" s="167"/>
      <c r="AU2721" s="167"/>
      <c r="AV2721" s="167"/>
      <c r="AW2721" s="167"/>
      <c r="AX2721" s="167"/>
      <c r="AY2721" s="167"/>
      <c r="AZ2721" s="167"/>
      <c r="BA2721" s="167"/>
      <c r="BB2721" s="167"/>
      <c r="BC2721" s="167"/>
      <c r="BD2721" s="167"/>
      <c r="BE2721" s="167"/>
      <c r="BF2721" s="167"/>
      <c r="BG2721" s="167"/>
      <c r="BH2721" s="167"/>
      <c r="BI2721" s="167"/>
      <c r="BJ2721" s="167"/>
      <c r="BK2721" s="167"/>
      <c r="BL2721" s="167"/>
      <c r="BM2721" s="167"/>
      <c r="BN2721" s="167"/>
      <c r="BO2721" s="167"/>
      <c r="BP2721" s="167"/>
      <c r="BQ2721" s="167"/>
      <c r="BR2721" s="167"/>
      <c r="BS2721" s="167"/>
      <c r="BT2721" s="167"/>
      <c r="BU2721" s="167"/>
      <c r="BV2721" s="167"/>
      <c r="BW2721" s="167"/>
      <c r="BX2721" s="167"/>
      <c r="BY2721" s="167"/>
      <c r="BZ2721" s="167"/>
      <c r="CA2721" s="167"/>
      <c r="CB2721" s="167"/>
      <c r="CC2721" s="167"/>
      <c r="CD2721" s="167"/>
      <c r="CE2721" s="167"/>
      <c r="CF2721" s="167"/>
      <c r="CG2721" s="167"/>
      <c r="CH2721" s="167"/>
      <c r="CI2721" s="167"/>
      <c r="CJ2721" s="167"/>
      <c r="CK2721" s="167"/>
      <c r="CL2721" s="167"/>
      <c r="CM2721" s="167"/>
      <c r="CN2721" s="167"/>
      <c r="CO2721" s="167"/>
      <c r="CP2721" s="167"/>
      <c r="CQ2721" s="167"/>
      <c r="CR2721" s="167"/>
      <c r="CS2721" s="167"/>
      <c r="CT2721" s="167"/>
      <c r="CU2721" s="167"/>
      <c r="CV2721" s="167"/>
      <c r="CW2721" s="167"/>
      <c r="CX2721" s="167"/>
      <c r="CY2721" s="167"/>
      <c r="CZ2721" s="167"/>
      <c r="DA2721" s="167"/>
      <c r="DB2721" s="167"/>
      <c r="DC2721" s="167"/>
      <c r="DD2721" s="167"/>
      <c r="DE2721" s="167"/>
      <c r="DF2721" s="167"/>
      <c r="DG2721" s="167"/>
      <c r="DH2721" s="167"/>
      <c r="DI2721" s="167"/>
      <c r="DJ2721" s="167"/>
      <c r="DK2721" s="167"/>
      <c r="DL2721" s="167"/>
      <c r="DM2721" s="167"/>
      <c r="DN2721" s="167"/>
      <c r="DO2721" s="167"/>
      <c r="DP2721" s="167"/>
      <c r="DQ2721" s="167"/>
      <c r="DR2721" s="167"/>
      <c r="DS2721" s="167"/>
      <c r="DT2721" s="167"/>
      <c r="DU2721" s="167"/>
      <c r="DV2721" s="167"/>
      <c r="DW2721" s="167"/>
      <c r="DX2721" s="167"/>
      <c r="DY2721" s="167"/>
      <c r="DZ2721" s="167"/>
      <c r="EA2721" s="167"/>
      <c r="EB2721" s="167"/>
      <c r="EC2721" s="167"/>
      <c r="ED2721" s="167"/>
      <c r="EE2721" s="167"/>
      <c r="EF2721" s="167"/>
      <c r="EG2721" s="167"/>
      <c r="EH2721" s="167"/>
      <c r="EI2721" s="167"/>
      <c r="EJ2721" s="167"/>
      <c r="EK2721" s="167"/>
      <c r="EL2721" s="167"/>
      <c r="EM2721" s="167"/>
      <c r="EN2721" s="167"/>
      <c r="EO2721" s="167"/>
      <c r="EP2721" s="167"/>
      <c r="EQ2721" s="167"/>
      <c r="ER2721" s="167"/>
      <c r="ES2721" s="167"/>
      <c r="ET2721" s="167"/>
      <c r="EU2721" s="167"/>
      <c r="EV2721" s="167"/>
      <c r="EW2721" s="167"/>
      <c r="EX2721" s="167"/>
      <c r="EY2721" s="167"/>
      <c r="EZ2721" s="167"/>
      <c r="FA2721" s="167"/>
      <c r="FB2721" s="167"/>
      <c r="FC2721" s="167"/>
      <c r="FD2721" s="167"/>
      <c r="FE2721" s="167"/>
      <c r="FF2721" s="167"/>
      <c r="FG2721" s="167"/>
      <c r="FH2721" s="167"/>
      <c r="FI2721" s="167"/>
      <c r="FJ2721" s="167"/>
      <c r="FK2721" s="167"/>
      <c r="FL2721" s="167"/>
      <c r="FM2721" s="167"/>
      <c r="FN2721" s="167"/>
      <c r="FO2721" s="167"/>
      <c r="FP2721" s="167"/>
      <c r="FQ2721" s="167"/>
      <c r="FR2721" s="167"/>
      <c r="FS2721" s="167"/>
      <c r="FT2721" s="167"/>
      <c r="FU2721" s="167"/>
      <c r="FV2721" s="167"/>
      <c r="FW2721" s="167"/>
      <c r="FX2721" s="167"/>
      <c r="FY2721" s="167"/>
      <c r="FZ2721" s="167"/>
      <c r="GA2721" s="167"/>
      <c r="GB2721" s="167"/>
      <c r="GC2721" s="167"/>
      <c r="GD2721" s="167"/>
      <c r="GE2721" s="167"/>
      <c r="GF2721" s="167"/>
      <c r="GG2721" s="167"/>
      <c r="GH2721" s="167"/>
      <c r="GI2721" s="167"/>
      <c r="GJ2721" s="167"/>
      <c r="GK2721" s="167"/>
      <c r="GL2721" s="167"/>
      <c r="GM2721" s="167"/>
      <c r="GN2721" s="167"/>
      <c r="GO2721" s="167"/>
      <c r="GP2721" s="167"/>
      <c r="GQ2721" s="167"/>
      <c r="GR2721" s="167"/>
      <c r="GS2721" s="167"/>
      <c r="GT2721" s="167"/>
      <c r="GU2721" s="167"/>
      <c r="GV2721" s="167"/>
      <c r="GW2721" s="167"/>
      <c r="GX2721" s="167"/>
      <c r="GY2721" s="167"/>
      <c r="GZ2721" s="167"/>
      <c r="HA2721" s="167"/>
      <c r="HB2721" s="167"/>
      <c r="HC2721" s="167"/>
      <c r="HD2721" s="167"/>
      <c r="HE2721" s="167"/>
      <c r="HF2721" s="167"/>
      <c r="HG2721" s="167"/>
      <c r="HH2721" s="167"/>
      <c r="HI2721" s="167"/>
      <c r="HJ2721" s="167"/>
      <c r="HK2721" s="167"/>
      <c r="HL2721" s="167"/>
      <c r="HM2721" s="167"/>
      <c r="HN2721" s="167"/>
      <c r="HO2721" s="167"/>
      <c r="HP2721" s="167"/>
      <c r="HQ2721" s="167"/>
      <c r="HR2721" s="167"/>
      <c r="HS2721" s="167"/>
      <c r="HT2721" s="167"/>
      <c r="HU2721" s="167"/>
      <c r="HV2721" s="167"/>
      <c r="HW2721" s="167"/>
      <c r="HX2721" s="167"/>
      <c r="HY2721" s="167"/>
      <c r="HZ2721" s="167"/>
      <c r="IA2721" s="167"/>
      <c r="IB2721" s="167"/>
      <c r="IC2721" s="167"/>
      <c r="ID2721" s="167"/>
      <c r="IE2721" s="167"/>
      <c r="IF2721" s="167"/>
      <c r="IG2721" s="167"/>
      <c r="IH2721" s="167"/>
      <c r="II2721" s="167"/>
      <c r="IJ2721" s="167"/>
      <c r="IK2721" s="167"/>
      <c r="IL2721" s="167"/>
      <c r="IM2721" s="167"/>
      <c r="IN2721" s="167"/>
      <c r="IO2721" s="167"/>
      <c r="IP2721" s="167"/>
      <c r="IQ2721" s="167"/>
      <c r="IR2721" s="167"/>
      <c r="IS2721" s="167"/>
      <c r="IT2721" s="167"/>
      <c r="IU2721" s="167"/>
      <c r="IV2721" s="167"/>
    </row>
    <row r="2722" spans="1:256" ht="51" customHeight="1" x14ac:dyDescent="0.25">
      <c r="A2722" s="191">
        <f>MATCH($E2722,'D1 - Master Project Table'!$B$24:$B$7056,0)</f>
        <v>3111</v>
      </c>
      <c r="B2722" s="191" t="b">
        <f t="shared" si="133"/>
        <v>0</v>
      </c>
      <c r="C2722" s="191" t="b">
        <f t="shared" si="134"/>
        <v>0</v>
      </c>
      <c r="D2722" s="191" t="str">
        <f t="shared" si="135"/>
        <v>OK</v>
      </c>
      <c r="E2722" s="260">
        <v>400051979</v>
      </c>
      <c r="F2722" s="261" t="s">
        <v>609</v>
      </c>
      <c r="G2722" s="261" t="s">
        <v>5995</v>
      </c>
      <c r="H2722" s="261" t="s">
        <v>4388</v>
      </c>
      <c r="I2722" s="261" t="s">
        <v>6423</v>
      </c>
      <c r="J2722" s="261" t="s">
        <v>1852</v>
      </c>
      <c r="K2722" s="261" t="s">
        <v>1709</v>
      </c>
      <c r="L2722" s="261" t="s">
        <v>1899</v>
      </c>
      <c r="M2722" s="261" t="s">
        <v>7273</v>
      </c>
      <c r="N2722" s="261" t="s">
        <v>7273</v>
      </c>
      <c r="O2722" s="261" t="s">
        <v>7273</v>
      </c>
      <c r="P2722"/>
      <c r="Q2722"/>
      <c r="R2722" s="387" t="e">
        <f>VLOOKUP(E2722,'[1]NDB Impacted SPRFs 05032013'!$A$2:$A$65536,1,FALSE)</f>
        <v>#N/A</v>
      </c>
      <c r="S2722" s="159"/>
      <c r="T2722" s="159"/>
      <c r="U2722" s="159"/>
      <c r="V2722" s="167"/>
      <c r="W2722" s="167"/>
      <c r="X2722" s="167"/>
      <c r="Y2722" s="167"/>
      <c r="Z2722" s="167"/>
      <c r="AA2722" s="167"/>
      <c r="AB2722" s="167"/>
      <c r="AC2722" s="167"/>
      <c r="AD2722" s="167"/>
      <c r="AE2722" s="167"/>
      <c r="AF2722" s="167"/>
      <c r="AG2722" s="167"/>
      <c r="AH2722" s="167"/>
      <c r="AI2722" s="167"/>
      <c r="AJ2722" s="167"/>
      <c r="AK2722" s="167"/>
      <c r="AL2722" s="167"/>
      <c r="AM2722" s="167"/>
      <c r="AN2722" s="167"/>
      <c r="AO2722" s="167"/>
      <c r="AP2722" s="167"/>
      <c r="AQ2722" s="167"/>
      <c r="AR2722" s="167"/>
      <c r="AS2722" s="167"/>
      <c r="AT2722" s="167"/>
      <c r="AU2722" s="167"/>
      <c r="AV2722" s="167"/>
      <c r="AW2722" s="167"/>
      <c r="AX2722" s="167"/>
      <c r="AY2722" s="167"/>
      <c r="AZ2722" s="167"/>
      <c r="BA2722" s="167"/>
      <c r="BB2722" s="167"/>
      <c r="BC2722" s="167"/>
      <c r="BD2722" s="167"/>
      <c r="BE2722" s="167"/>
      <c r="BF2722" s="167"/>
      <c r="BG2722" s="167"/>
      <c r="BH2722" s="167"/>
      <c r="BI2722" s="167"/>
      <c r="BJ2722" s="167"/>
      <c r="BK2722" s="167"/>
      <c r="BL2722" s="167"/>
      <c r="BM2722" s="167"/>
      <c r="BN2722" s="167"/>
      <c r="BO2722" s="167"/>
      <c r="BP2722" s="167"/>
      <c r="BQ2722" s="167"/>
      <c r="BR2722" s="167"/>
      <c r="BS2722" s="167"/>
      <c r="BT2722" s="167"/>
      <c r="BU2722" s="167"/>
      <c r="BV2722" s="167"/>
      <c r="BW2722" s="167"/>
      <c r="BX2722" s="167"/>
      <c r="BY2722" s="167"/>
      <c r="BZ2722" s="167"/>
      <c r="CA2722" s="167"/>
      <c r="CB2722" s="167"/>
      <c r="CC2722" s="167"/>
      <c r="CD2722" s="167"/>
      <c r="CE2722" s="167"/>
      <c r="CF2722" s="167"/>
      <c r="CG2722" s="167"/>
      <c r="CH2722" s="167"/>
      <c r="CI2722" s="167"/>
      <c r="CJ2722" s="167"/>
      <c r="CK2722" s="167"/>
      <c r="CL2722" s="167"/>
      <c r="CM2722" s="167"/>
      <c r="CN2722" s="167"/>
      <c r="CO2722" s="167"/>
      <c r="CP2722" s="167"/>
      <c r="CQ2722" s="167"/>
      <c r="CR2722" s="167"/>
      <c r="CS2722" s="167"/>
      <c r="CT2722" s="167"/>
      <c r="CU2722" s="167"/>
      <c r="CV2722" s="167"/>
      <c r="CW2722" s="167"/>
      <c r="CX2722" s="167"/>
      <c r="CY2722" s="167"/>
      <c r="CZ2722" s="167"/>
      <c r="DA2722" s="167"/>
      <c r="DB2722" s="167"/>
      <c r="DC2722" s="167"/>
      <c r="DD2722" s="167"/>
      <c r="DE2722" s="167"/>
      <c r="DF2722" s="167"/>
      <c r="DG2722" s="167"/>
      <c r="DH2722" s="167"/>
      <c r="DI2722" s="167"/>
      <c r="DJ2722" s="167"/>
      <c r="DK2722" s="167"/>
      <c r="DL2722" s="167"/>
      <c r="DM2722" s="167"/>
      <c r="DN2722" s="167"/>
      <c r="DO2722" s="167"/>
      <c r="DP2722" s="167"/>
      <c r="DQ2722" s="167"/>
      <c r="DR2722" s="167"/>
      <c r="DS2722" s="167"/>
      <c r="DT2722" s="167"/>
      <c r="DU2722" s="167"/>
      <c r="DV2722" s="167"/>
      <c r="DW2722" s="167"/>
      <c r="DX2722" s="167"/>
      <c r="DY2722" s="167"/>
      <c r="DZ2722" s="167"/>
      <c r="EA2722" s="167"/>
      <c r="EB2722" s="167"/>
      <c r="EC2722" s="167"/>
      <c r="ED2722" s="167"/>
      <c r="EE2722" s="167"/>
      <c r="EF2722" s="167"/>
      <c r="EG2722" s="167"/>
      <c r="EH2722" s="167"/>
      <c r="EI2722" s="167"/>
      <c r="EJ2722" s="167"/>
      <c r="EK2722" s="167"/>
      <c r="EL2722" s="167"/>
      <c r="EM2722" s="167"/>
      <c r="EN2722" s="167"/>
      <c r="EO2722" s="167"/>
      <c r="EP2722" s="167"/>
      <c r="EQ2722" s="167"/>
      <c r="ER2722" s="167"/>
      <c r="ES2722" s="167"/>
      <c r="ET2722" s="167"/>
      <c r="EU2722" s="167"/>
      <c r="EV2722" s="167"/>
      <c r="EW2722" s="167"/>
      <c r="EX2722" s="167"/>
      <c r="EY2722" s="167"/>
      <c r="EZ2722" s="167"/>
      <c r="FA2722" s="167"/>
      <c r="FB2722" s="167"/>
      <c r="FC2722" s="167"/>
      <c r="FD2722" s="167"/>
      <c r="FE2722" s="167"/>
      <c r="FF2722" s="167"/>
      <c r="FG2722" s="167"/>
      <c r="FH2722" s="167"/>
      <c r="FI2722" s="167"/>
      <c r="FJ2722" s="167"/>
      <c r="FK2722" s="167"/>
      <c r="FL2722" s="167"/>
      <c r="FM2722" s="167"/>
      <c r="FN2722" s="167"/>
      <c r="FO2722" s="167"/>
      <c r="FP2722" s="167"/>
      <c r="FQ2722" s="167"/>
      <c r="FR2722" s="167"/>
      <c r="FS2722" s="167"/>
      <c r="FT2722" s="167"/>
      <c r="FU2722" s="167"/>
      <c r="FV2722" s="167"/>
      <c r="FW2722" s="167"/>
      <c r="FX2722" s="167"/>
      <c r="FY2722" s="167"/>
      <c r="FZ2722" s="167"/>
      <c r="GA2722" s="167"/>
      <c r="GB2722" s="167"/>
      <c r="GC2722" s="167"/>
      <c r="GD2722" s="167"/>
      <c r="GE2722" s="167"/>
      <c r="GF2722" s="167"/>
      <c r="GG2722" s="167"/>
      <c r="GH2722" s="167"/>
      <c r="GI2722" s="167"/>
      <c r="GJ2722" s="167"/>
      <c r="GK2722" s="167"/>
      <c r="GL2722" s="167"/>
      <c r="GM2722" s="167"/>
      <c r="GN2722" s="167"/>
      <c r="GO2722" s="167"/>
      <c r="GP2722" s="167"/>
      <c r="GQ2722" s="167"/>
      <c r="GR2722" s="167"/>
      <c r="GS2722" s="167"/>
      <c r="GT2722" s="167"/>
      <c r="GU2722" s="167"/>
      <c r="GV2722" s="167"/>
      <c r="GW2722" s="167"/>
      <c r="GX2722" s="167"/>
      <c r="GY2722" s="167"/>
      <c r="GZ2722" s="167"/>
      <c r="HA2722" s="167"/>
      <c r="HB2722" s="167"/>
      <c r="HC2722" s="167"/>
      <c r="HD2722" s="167"/>
      <c r="HE2722" s="167"/>
      <c r="HF2722" s="167"/>
      <c r="HG2722" s="167"/>
      <c r="HH2722" s="167"/>
      <c r="HI2722" s="167"/>
      <c r="HJ2722" s="167"/>
      <c r="HK2722" s="167"/>
      <c r="HL2722" s="167"/>
      <c r="HM2722" s="167"/>
      <c r="HN2722" s="167"/>
      <c r="HO2722" s="167"/>
      <c r="HP2722" s="167"/>
      <c r="HQ2722" s="167"/>
      <c r="HR2722" s="167"/>
      <c r="HS2722" s="167"/>
      <c r="HT2722" s="167"/>
      <c r="HU2722" s="167"/>
      <c r="HV2722" s="167"/>
      <c r="HW2722" s="167"/>
      <c r="HX2722" s="167"/>
      <c r="HY2722" s="167"/>
      <c r="HZ2722" s="167"/>
      <c r="IA2722" s="167"/>
      <c r="IB2722" s="167"/>
      <c r="IC2722" s="167"/>
      <c r="ID2722" s="167"/>
      <c r="IE2722" s="167"/>
      <c r="IF2722" s="167"/>
      <c r="IG2722" s="167"/>
      <c r="IH2722" s="167"/>
      <c r="II2722" s="167"/>
      <c r="IJ2722" s="167"/>
      <c r="IK2722" s="167"/>
      <c r="IL2722" s="167"/>
      <c r="IM2722" s="167"/>
      <c r="IN2722" s="167"/>
      <c r="IO2722" s="167"/>
      <c r="IP2722" s="167"/>
      <c r="IQ2722" s="167"/>
      <c r="IR2722" s="167"/>
      <c r="IS2722" s="167"/>
      <c r="IT2722" s="167"/>
      <c r="IU2722" s="167"/>
      <c r="IV2722" s="167"/>
    </row>
    <row r="2723" spans="1:256" ht="51" customHeight="1" x14ac:dyDescent="0.25">
      <c r="A2723" s="191">
        <f>MATCH($E2723,'D1 - Master Project Table'!$B$24:$B$7056,0)</f>
        <v>3227</v>
      </c>
      <c r="B2723" s="191" t="b">
        <f t="shared" si="133"/>
        <v>0</v>
      </c>
      <c r="C2723" s="191" t="b">
        <f t="shared" si="134"/>
        <v>0</v>
      </c>
      <c r="D2723" s="191" t="str">
        <f t="shared" si="135"/>
        <v>OK</v>
      </c>
      <c r="E2723" s="258">
        <v>400050574</v>
      </c>
      <c r="F2723" s="259" t="s">
        <v>2162</v>
      </c>
      <c r="G2723" s="259" t="s">
        <v>5324</v>
      </c>
      <c r="H2723" s="259" t="s">
        <v>8012</v>
      </c>
      <c r="I2723" s="259" t="s">
        <v>1762</v>
      </c>
      <c r="J2723" s="259" t="s">
        <v>2163</v>
      </c>
      <c r="K2723" s="259" t="s">
        <v>8075</v>
      </c>
      <c r="L2723" s="259" t="s">
        <v>755</v>
      </c>
      <c r="M2723" s="259" t="s">
        <v>7273</v>
      </c>
      <c r="N2723" s="259" t="s">
        <v>7273</v>
      </c>
      <c r="O2723" s="259" t="s">
        <v>3758</v>
      </c>
      <c r="P2723"/>
      <c r="Q2723"/>
      <c r="R2723" s="387" t="e">
        <f>VLOOKUP(E2723,'[1]NDB Impacted SPRFs 05032013'!$A$2:$A$65536,1,FALSE)</f>
        <v>#N/A</v>
      </c>
      <c r="V2723" s="167"/>
      <c r="W2723" s="167"/>
      <c r="X2723" s="167"/>
      <c r="Y2723" s="167"/>
      <c r="Z2723" s="167"/>
      <c r="AA2723" s="167"/>
      <c r="AB2723" s="167"/>
      <c r="AC2723" s="167"/>
      <c r="AD2723" s="167"/>
      <c r="AE2723" s="167"/>
      <c r="AF2723" s="167"/>
      <c r="AG2723" s="167"/>
      <c r="AH2723" s="167"/>
      <c r="AI2723" s="167"/>
      <c r="AJ2723" s="167"/>
      <c r="AK2723" s="167"/>
      <c r="AL2723" s="167"/>
      <c r="AM2723" s="167"/>
      <c r="AN2723" s="167"/>
      <c r="AO2723" s="167"/>
      <c r="AP2723" s="167"/>
      <c r="AQ2723" s="167"/>
      <c r="AR2723" s="167"/>
      <c r="AS2723" s="167"/>
      <c r="AT2723" s="167"/>
      <c r="AU2723" s="167"/>
      <c r="AV2723" s="167"/>
      <c r="AW2723" s="167"/>
      <c r="AX2723" s="167"/>
      <c r="AY2723" s="167"/>
      <c r="AZ2723" s="167"/>
      <c r="BA2723" s="167"/>
      <c r="BB2723" s="167"/>
      <c r="BC2723" s="167"/>
      <c r="BD2723" s="167"/>
      <c r="BE2723" s="167"/>
      <c r="BF2723" s="167"/>
      <c r="BG2723" s="167"/>
      <c r="BH2723" s="167"/>
      <c r="BI2723" s="167"/>
      <c r="BJ2723" s="167"/>
      <c r="BK2723" s="167"/>
      <c r="BL2723" s="167"/>
      <c r="BM2723" s="167"/>
      <c r="BN2723" s="167"/>
      <c r="BO2723" s="167"/>
      <c r="BP2723" s="167"/>
      <c r="BQ2723" s="167"/>
      <c r="BR2723" s="167"/>
      <c r="BS2723" s="167"/>
      <c r="BT2723" s="167"/>
      <c r="BU2723" s="167"/>
      <c r="BV2723" s="167"/>
      <c r="BW2723" s="167"/>
      <c r="BX2723" s="167"/>
      <c r="BY2723" s="167"/>
      <c r="BZ2723" s="167"/>
      <c r="CA2723" s="167"/>
      <c r="CB2723" s="167"/>
      <c r="CC2723" s="167"/>
      <c r="CD2723" s="167"/>
      <c r="CE2723" s="167"/>
      <c r="CF2723" s="167"/>
      <c r="CG2723" s="167"/>
      <c r="CH2723" s="167"/>
      <c r="CI2723" s="167"/>
      <c r="CJ2723" s="167"/>
      <c r="CK2723" s="167"/>
      <c r="CL2723" s="167"/>
      <c r="CM2723" s="167"/>
      <c r="CN2723" s="167"/>
      <c r="CO2723" s="167"/>
      <c r="CP2723" s="167"/>
      <c r="CQ2723" s="167"/>
      <c r="CR2723" s="167"/>
      <c r="CS2723" s="167"/>
      <c r="CT2723" s="167"/>
      <c r="CU2723" s="167"/>
      <c r="CV2723" s="167"/>
      <c r="CW2723" s="167"/>
      <c r="CX2723" s="167"/>
      <c r="CY2723" s="167"/>
      <c r="CZ2723" s="167"/>
      <c r="DA2723" s="167"/>
      <c r="DB2723" s="167"/>
      <c r="DC2723" s="167"/>
      <c r="DD2723" s="167"/>
      <c r="DE2723" s="167"/>
      <c r="DF2723" s="167"/>
      <c r="DG2723" s="167"/>
      <c r="DH2723" s="167"/>
      <c r="DI2723" s="167"/>
      <c r="DJ2723" s="167"/>
      <c r="DK2723" s="167"/>
      <c r="DL2723" s="167"/>
      <c r="DM2723" s="167"/>
      <c r="DN2723" s="167"/>
      <c r="DO2723" s="167"/>
      <c r="DP2723" s="167"/>
      <c r="DQ2723" s="167"/>
      <c r="DR2723" s="167"/>
      <c r="DS2723" s="167"/>
      <c r="DT2723" s="167"/>
      <c r="DU2723" s="167"/>
      <c r="DV2723" s="167"/>
      <c r="DW2723" s="167"/>
      <c r="DX2723" s="167"/>
      <c r="DY2723" s="167"/>
      <c r="DZ2723" s="167"/>
      <c r="EA2723" s="167"/>
      <c r="EB2723" s="167"/>
      <c r="EC2723" s="167"/>
      <c r="ED2723" s="167"/>
      <c r="EE2723" s="167"/>
      <c r="EF2723" s="167"/>
      <c r="EG2723" s="167"/>
      <c r="EH2723" s="167"/>
      <c r="EI2723" s="167"/>
      <c r="EJ2723" s="167"/>
      <c r="EK2723" s="167"/>
      <c r="EL2723" s="167"/>
      <c r="EM2723" s="167"/>
      <c r="EN2723" s="167"/>
      <c r="EO2723" s="167"/>
      <c r="EP2723" s="167"/>
      <c r="EQ2723" s="167"/>
      <c r="ER2723" s="167"/>
      <c r="ES2723" s="167"/>
      <c r="ET2723" s="167"/>
      <c r="EU2723" s="167"/>
      <c r="EV2723" s="167"/>
      <c r="EW2723" s="167"/>
      <c r="EX2723" s="167"/>
      <c r="EY2723" s="167"/>
      <c r="EZ2723" s="167"/>
      <c r="FA2723" s="167"/>
      <c r="FB2723" s="167"/>
      <c r="FC2723" s="167"/>
      <c r="FD2723" s="167"/>
      <c r="FE2723" s="167"/>
      <c r="FF2723" s="167"/>
      <c r="FG2723" s="167"/>
      <c r="FH2723" s="167"/>
      <c r="FI2723" s="167"/>
      <c r="FJ2723" s="167"/>
      <c r="FK2723" s="167"/>
      <c r="FL2723" s="167"/>
      <c r="FM2723" s="167"/>
      <c r="FN2723" s="167"/>
      <c r="FO2723" s="167"/>
      <c r="FP2723" s="167"/>
      <c r="FQ2723" s="167"/>
      <c r="FR2723" s="167"/>
      <c r="FS2723" s="167"/>
      <c r="FT2723" s="167"/>
      <c r="FU2723" s="167"/>
      <c r="FV2723" s="167"/>
      <c r="FW2723" s="167"/>
      <c r="FX2723" s="167"/>
      <c r="FY2723" s="167"/>
      <c r="FZ2723" s="167"/>
      <c r="GA2723" s="167"/>
      <c r="GB2723" s="167"/>
      <c r="GC2723" s="167"/>
      <c r="GD2723" s="167"/>
      <c r="GE2723" s="167"/>
      <c r="GF2723" s="167"/>
      <c r="GG2723" s="167"/>
      <c r="GH2723" s="167"/>
      <c r="GI2723" s="167"/>
      <c r="GJ2723" s="167"/>
      <c r="GK2723" s="167"/>
      <c r="GL2723" s="167"/>
      <c r="GM2723" s="167"/>
      <c r="GN2723" s="167"/>
      <c r="GO2723" s="167"/>
      <c r="GP2723" s="167"/>
      <c r="GQ2723" s="167"/>
      <c r="GR2723" s="167"/>
      <c r="GS2723" s="167"/>
      <c r="GT2723" s="167"/>
      <c r="GU2723" s="167"/>
      <c r="GV2723" s="167"/>
      <c r="GW2723" s="167"/>
      <c r="GX2723" s="167"/>
      <c r="GY2723" s="167"/>
      <c r="GZ2723" s="167"/>
      <c r="HA2723" s="167"/>
      <c r="HB2723" s="167"/>
      <c r="HC2723" s="167"/>
      <c r="HD2723" s="167"/>
      <c r="HE2723" s="167"/>
      <c r="HF2723" s="167"/>
      <c r="HG2723" s="167"/>
      <c r="HH2723" s="167"/>
      <c r="HI2723" s="167"/>
      <c r="HJ2723" s="167"/>
      <c r="HK2723" s="167"/>
      <c r="HL2723" s="167"/>
      <c r="HM2723" s="167"/>
      <c r="HN2723" s="167"/>
      <c r="HO2723" s="167"/>
      <c r="HP2723" s="167"/>
      <c r="HQ2723" s="167"/>
      <c r="HR2723" s="167"/>
      <c r="HS2723" s="167"/>
      <c r="HT2723" s="167"/>
      <c r="HU2723" s="167"/>
      <c r="HV2723" s="167"/>
      <c r="HW2723" s="167"/>
      <c r="HX2723" s="167"/>
      <c r="HY2723" s="167"/>
      <c r="HZ2723" s="167"/>
      <c r="IA2723" s="167"/>
      <c r="IB2723" s="167"/>
      <c r="IC2723" s="167"/>
      <c r="ID2723" s="167"/>
      <c r="IE2723" s="167"/>
      <c r="IF2723" s="167"/>
      <c r="IG2723" s="167"/>
      <c r="IH2723" s="167"/>
      <c r="II2723" s="167"/>
      <c r="IJ2723" s="167"/>
      <c r="IK2723" s="167"/>
      <c r="IL2723" s="167"/>
      <c r="IM2723" s="167"/>
      <c r="IN2723" s="167"/>
      <c r="IO2723" s="167"/>
      <c r="IP2723" s="167"/>
      <c r="IQ2723" s="167"/>
      <c r="IR2723" s="167"/>
      <c r="IS2723" s="167"/>
      <c r="IT2723" s="167"/>
      <c r="IU2723" s="167"/>
      <c r="IV2723" s="167"/>
    </row>
    <row r="2724" spans="1:256" ht="51" customHeight="1" x14ac:dyDescent="0.25">
      <c r="A2724" s="191">
        <f>MATCH($E2724,'D1 - Master Project Table'!$B$24:$B$7056,0)</f>
        <v>3230</v>
      </c>
      <c r="B2724" s="191" t="b">
        <f t="shared" si="133"/>
        <v>0</v>
      </c>
      <c r="C2724" s="191" t="b">
        <f t="shared" si="134"/>
        <v>0</v>
      </c>
      <c r="D2724" s="191" t="str">
        <f t="shared" si="135"/>
        <v>OK</v>
      </c>
      <c r="E2724" s="258">
        <v>400051096</v>
      </c>
      <c r="F2724" s="259" t="s">
        <v>3203</v>
      </c>
      <c r="G2724" s="259" t="s">
        <v>5995</v>
      </c>
      <c r="H2724" s="259" t="s">
        <v>8012</v>
      </c>
      <c r="I2724" s="259" t="s">
        <v>6423</v>
      </c>
      <c r="J2724" s="259" t="s">
        <v>1852</v>
      </c>
      <c r="K2724" s="259" t="s">
        <v>1897</v>
      </c>
      <c r="L2724" s="259" t="s">
        <v>1108</v>
      </c>
      <c r="M2724" s="259" t="s">
        <v>7273</v>
      </c>
      <c r="N2724" s="259" t="s">
        <v>7273</v>
      </c>
      <c r="O2724" s="259" t="s">
        <v>7273</v>
      </c>
      <c r="P2724"/>
      <c r="Q2724"/>
      <c r="R2724" s="387" t="e">
        <f>VLOOKUP(E2724,'[1]NDB Impacted SPRFs 05032013'!$A$2:$A$65536,1,FALSE)</f>
        <v>#N/A</v>
      </c>
      <c r="V2724" s="167"/>
      <c r="W2724" s="167"/>
      <c r="X2724" s="167"/>
      <c r="Y2724" s="167"/>
      <c r="Z2724" s="167"/>
      <c r="AA2724" s="167"/>
      <c r="AB2724" s="167"/>
      <c r="AC2724" s="167"/>
      <c r="AD2724" s="167"/>
      <c r="AE2724" s="167"/>
      <c r="AF2724" s="167"/>
      <c r="AG2724" s="167"/>
      <c r="AH2724" s="167"/>
      <c r="AI2724" s="167"/>
      <c r="AJ2724" s="167"/>
      <c r="AK2724" s="167"/>
      <c r="AL2724" s="167"/>
      <c r="AM2724" s="167"/>
      <c r="AN2724" s="167"/>
      <c r="AO2724" s="167"/>
      <c r="AP2724" s="167"/>
      <c r="AQ2724" s="167"/>
      <c r="AR2724" s="167"/>
      <c r="AS2724" s="167"/>
      <c r="AT2724" s="167"/>
      <c r="AU2724" s="167"/>
      <c r="AV2724" s="167"/>
      <c r="AW2724" s="167"/>
      <c r="AX2724" s="167"/>
      <c r="AY2724" s="167"/>
      <c r="AZ2724" s="167"/>
      <c r="BA2724" s="167"/>
      <c r="BB2724" s="167"/>
      <c r="BC2724" s="167"/>
      <c r="BD2724" s="167"/>
      <c r="BE2724" s="167"/>
      <c r="BF2724" s="167"/>
      <c r="BG2724" s="167"/>
      <c r="BH2724" s="167"/>
      <c r="BI2724" s="167"/>
      <c r="BJ2724" s="167"/>
      <c r="BK2724" s="167"/>
      <c r="BL2724" s="167"/>
      <c r="BM2724" s="167"/>
      <c r="BN2724" s="167"/>
      <c r="BO2724" s="167"/>
      <c r="BP2724" s="167"/>
      <c r="BQ2724" s="167"/>
      <c r="BR2724" s="167"/>
      <c r="BS2724" s="167"/>
      <c r="BT2724" s="167"/>
      <c r="BU2724" s="167"/>
      <c r="BV2724" s="167"/>
      <c r="BW2724" s="167"/>
      <c r="BX2724" s="167"/>
      <c r="BY2724" s="167"/>
      <c r="BZ2724" s="167"/>
      <c r="CA2724" s="167"/>
      <c r="CB2724" s="167"/>
      <c r="CC2724" s="167"/>
      <c r="CD2724" s="167"/>
      <c r="CE2724" s="167"/>
      <c r="CF2724" s="167"/>
      <c r="CG2724" s="167"/>
      <c r="CH2724" s="167"/>
      <c r="CI2724" s="167"/>
      <c r="CJ2724" s="167"/>
      <c r="CK2724" s="167"/>
      <c r="CL2724" s="167"/>
      <c r="CM2724" s="167"/>
      <c r="CN2724" s="167"/>
      <c r="CO2724" s="167"/>
      <c r="CP2724" s="167"/>
      <c r="CQ2724" s="167"/>
      <c r="CR2724" s="167"/>
      <c r="CS2724" s="167"/>
      <c r="CT2724" s="167"/>
      <c r="CU2724" s="167"/>
      <c r="CV2724" s="167"/>
      <c r="CW2724" s="167"/>
      <c r="CX2724" s="167"/>
      <c r="CY2724" s="167"/>
      <c r="CZ2724" s="167"/>
      <c r="DA2724" s="167"/>
      <c r="DB2724" s="167"/>
      <c r="DC2724" s="167"/>
      <c r="DD2724" s="167"/>
      <c r="DE2724" s="167"/>
      <c r="DF2724" s="167"/>
      <c r="DG2724" s="167"/>
      <c r="DH2724" s="167"/>
      <c r="DI2724" s="167"/>
      <c r="DJ2724" s="167"/>
      <c r="DK2724" s="167"/>
      <c r="DL2724" s="167"/>
      <c r="DM2724" s="167"/>
      <c r="DN2724" s="167"/>
      <c r="DO2724" s="167"/>
      <c r="DP2724" s="167"/>
      <c r="DQ2724" s="167"/>
      <c r="DR2724" s="167"/>
      <c r="DS2724" s="167"/>
      <c r="DT2724" s="167"/>
      <c r="DU2724" s="167"/>
      <c r="DV2724" s="167"/>
      <c r="DW2724" s="167"/>
      <c r="DX2724" s="167"/>
      <c r="DY2724" s="167"/>
      <c r="DZ2724" s="167"/>
      <c r="EA2724" s="167"/>
      <c r="EB2724" s="167"/>
      <c r="EC2724" s="167"/>
      <c r="ED2724" s="167"/>
      <c r="EE2724" s="167"/>
      <c r="EF2724" s="167"/>
      <c r="EG2724" s="167"/>
      <c r="EH2724" s="167"/>
      <c r="EI2724" s="167"/>
      <c r="EJ2724" s="167"/>
      <c r="EK2724" s="167"/>
      <c r="EL2724" s="167"/>
      <c r="EM2724" s="167"/>
      <c r="EN2724" s="167"/>
      <c r="EO2724" s="167"/>
      <c r="EP2724" s="167"/>
      <c r="EQ2724" s="167"/>
      <c r="ER2724" s="167"/>
      <c r="ES2724" s="167"/>
      <c r="ET2724" s="167"/>
      <c r="EU2724" s="167"/>
      <c r="EV2724" s="167"/>
      <c r="EW2724" s="167"/>
      <c r="EX2724" s="167"/>
      <c r="EY2724" s="167"/>
      <c r="EZ2724" s="167"/>
      <c r="FA2724" s="167"/>
      <c r="FB2724" s="167"/>
      <c r="FC2724" s="167"/>
      <c r="FD2724" s="167"/>
      <c r="FE2724" s="167"/>
      <c r="FF2724" s="167"/>
      <c r="FG2724" s="167"/>
      <c r="FH2724" s="167"/>
      <c r="FI2724" s="167"/>
      <c r="FJ2724" s="167"/>
      <c r="FK2724" s="167"/>
      <c r="FL2724" s="167"/>
      <c r="FM2724" s="167"/>
      <c r="FN2724" s="167"/>
      <c r="FO2724" s="167"/>
      <c r="FP2724" s="167"/>
      <c r="FQ2724" s="167"/>
      <c r="FR2724" s="167"/>
      <c r="FS2724" s="167"/>
      <c r="FT2724" s="167"/>
      <c r="FU2724" s="167"/>
      <c r="FV2724" s="167"/>
      <c r="FW2724" s="167"/>
      <c r="FX2724" s="167"/>
      <c r="FY2724" s="167"/>
      <c r="FZ2724" s="167"/>
      <c r="GA2724" s="167"/>
      <c r="GB2724" s="167"/>
      <c r="GC2724" s="167"/>
      <c r="GD2724" s="167"/>
      <c r="GE2724" s="167"/>
      <c r="GF2724" s="167"/>
      <c r="GG2724" s="167"/>
      <c r="GH2724" s="167"/>
      <c r="GI2724" s="167"/>
      <c r="GJ2724" s="167"/>
      <c r="GK2724" s="167"/>
      <c r="GL2724" s="167"/>
      <c r="GM2724" s="167"/>
      <c r="GN2724" s="167"/>
      <c r="GO2724" s="167"/>
      <c r="GP2724" s="167"/>
      <c r="GQ2724" s="167"/>
      <c r="GR2724" s="167"/>
      <c r="GS2724" s="167"/>
      <c r="GT2724" s="167"/>
      <c r="GU2724" s="167"/>
      <c r="GV2724" s="167"/>
      <c r="GW2724" s="167"/>
      <c r="GX2724" s="167"/>
      <c r="GY2724" s="167"/>
      <c r="GZ2724" s="167"/>
      <c r="HA2724" s="167"/>
      <c r="HB2724" s="167"/>
      <c r="HC2724" s="167"/>
      <c r="HD2724" s="167"/>
      <c r="HE2724" s="167"/>
      <c r="HF2724" s="167"/>
      <c r="HG2724" s="167"/>
      <c r="HH2724" s="167"/>
      <c r="HI2724" s="167"/>
      <c r="HJ2724" s="167"/>
      <c r="HK2724" s="167"/>
      <c r="HL2724" s="167"/>
      <c r="HM2724" s="167"/>
      <c r="HN2724" s="167"/>
      <c r="HO2724" s="167"/>
      <c r="HP2724" s="167"/>
      <c r="HQ2724" s="167"/>
      <c r="HR2724" s="167"/>
      <c r="HS2724" s="167"/>
      <c r="HT2724" s="167"/>
      <c r="HU2724" s="167"/>
      <c r="HV2724" s="167"/>
      <c r="HW2724" s="167"/>
      <c r="HX2724" s="167"/>
      <c r="HY2724" s="167"/>
      <c r="HZ2724" s="167"/>
      <c r="IA2724" s="167"/>
      <c r="IB2724" s="167"/>
      <c r="IC2724" s="167"/>
      <c r="ID2724" s="167"/>
      <c r="IE2724" s="167"/>
      <c r="IF2724" s="167"/>
      <c r="IG2724" s="167"/>
      <c r="IH2724" s="167"/>
      <c r="II2724" s="167"/>
      <c r="IJ2724" s="167"/>
      <c r="IK2724" s="167"/>
      <c r="IL2724" s="167"/>
      <c r="IM2724" s="167"/>
      <c r="IN2724" s="167"/>
      <c r="IO2724" s="167"/>
      <c r="IP2724" s="167"/>
      <c r="IQ2724" s="167"/>
      <c r="IR2724" s="167"/>
      <c r="IS2724" s="167"/>
      <c r="IT2724" s="167"/>
      <c r="IU2724" s="167"/>
      <c r="IV2724" s="167"/>
    </row>
    <row r="2725" spans="1:256" ht="51" customHeight="1" x14ac:dyDescent="0.25">
      <c r="A2725" s="191">
        <f>MATCH($E2725,'D1 - Master Project Table'!$B$24:$B$7056,0)</f>
        <v>3104</v>
      </c>
      <c r="B2725" s="191" t="b">
        <f t="shared" si="133"/>
        <v>0</v>
      </c>
      <c r="C2725" s="191" t="b">
        <f t="shared" si="134"/>
        <v>0</v>
      </c>
      <c r="D2725" s="191" t="str">
        <f t="shared" si="135"/>
        <v>OK</v>
      </c>
      <c r="E2725" s="255">
        <v>400051198</v>
      </c>
      <c r="F2725" s="256" t="s">
        <v>3106</v>
      </c>
      <c r="G2725" s="256" t="s">
        <v>5325</v>
      </c>
      <c r="H2725" s="256" t="s">
        <v>6462</v>
      </c>
      <c r="I2725" s="256" t="s">
        <v>6414</v>
      </c>
      <c r="J2725" s="256" t="s">
        <v>3107</v>
      </c>
      <c r="K2725" s="256" t="s">
        <v>1125</v>
      </c>
      <c r="L2725" s="256" t="s">
        <v>3108</v>
      </c>
      <c r="M2725" s="256" t="s">
        <v>7273</v>
      </c>
      <c r="N2725" s="256" t="s">
        <v>7273</v>
      </c>
      <c r="O2725" s="256" t="s">
        <v>7273</v>
      </c>
      <c r="P2725"/>
      <c r="Q2725"/>
      <c r="R2725" s="387" t="e">
        <f>VLOOKUP(E2725,'[1]NDB Impacted SPRFs 05032013'!$A$2:$A$65536,1,FALSE)</f>
        <v>#N/A</v>
      </c>
      <c r="S2725" s="159"/>
      <c r="T2725" s="159"/>
      <c r="U2725" s="159"/>
      <c r="V2725" s="167"/>
      <c r="W2725" s="167"/>
      <c r="X2725" s="167"/>
      <c r="Y2725" s="167"/>
      <c r="Z2725" s="167"/>
      <c r="AA2725" s="167"/>
      <c r="AB2725" s="167"/>
      <c r="AC2725" s="167"/>
      <c r="AD2725" s="167"/>
      <c r="AE2725" s="167"/>
      <c r="AF2725" s="167"/>
      <c r="AG2725" s="167"/>
      <c r="AH2725" s="167"/>
      <c r="AI2725" s="167"/>
      <c r="AJ2725" s="167"/>
      <c r="AK2725" s="167"/>
      <c r="AL2725" s="167"/>
      <c r="AM2725" s="167"/>
      <c r="AN2725" s="167"/>
      <c r="AO2725" s="167"/>
      <c r="AP2725" s="167"/>
      <c r="AQ2725" s="167"/>
      <c r="AR2725" s="167"/>
      <c r="AS2725" s="167"/>
      <c r="AT2725" s="167"/>
      <c r="AU2725" s="167"/>
      <c r="AV2725" s="167"/>
      <c r="AW2725" s="167"/>
      <c r="AX2725" s="167"/>
      <c r="AY2725" s="167"/>
      <c r="AZ2725" s="167"/>
      <c r="BA2725" s="167"/>
      <c r="BB2725" s="167"/>
      <c r="BC2725" s="167"/>
      <c r="BD2725" s="167"/>
      <c r="BE2725" s="167"/>
      <c r="BF2725" s="167"/>
      <c r="BG2725" s="167"/>
      <c r="BH2725" s="167"/>
      <c r="BI2725" s="167"/>
      <c r="BJ2725" s="167"/>
      <c r="BK2725" s="167"/>
      <c r="BL2725" s="167"/>
      <c r="BM2725" s="167"/>
      <c r="BN2725" s="167"/>
      <c r="BO2725" s="167"/>
      <c r="BP2725" s="167"/>
      <c r="BQ2725" s="167"/>
      <c r="BR2725" s="167"/>
      <c r="BS2725" s="167"/>
      <c r="BT2725" s="167"/>
      <c r="BU2725" s="167"/>
      <c r="BV2725" s="167"/>
      <c r="BW2725" s="167"/>
      <c r="BX2725" s="167"/>
      <c r="BY2725" s="167"/>
      <c r="BZ2725" s="167"/>
      <c r="CA2725" s="167"/>
      <c r="CB2725" s="167"/>
      <c r="CC2725" s="167"/>
      <c r="CD2725" s="167"/>
      <c r="CE2725" s="167"/>
      <c r="CF2725" s="167"/>
      <c r="CG2725" s="167"/>
      <c r="CH2725" s="167"/>
      <c r="CI2725" s="167"/>
      <c r="CJ2725" s="167"/>
      <c r="CK2725" s="167"/>
      <c r="CL2725" s="167"/>
      <c r="CM2725" s="167"/>
      <c r="CN2725" s="167"/>
      <c r="CO2725" s="167"/>
      <c r="CP2725" s="167"/>
      <c r="CQ2725" s="167"/>
      <c r="CR2725" s="167"/>
      <c r="CS2725" s="167"/>
      <c r="CT2725" s="167"/>
      <c r="CU2725" s="167"/>
      <c r="CV2725" s="167"/>
      <c r="CW2725" s="167"/>
      <c r="CX2725" s="167"/>
      <c r="CY2725" s="167"/>
      <c r="CZ2725" s="167"/>
      <c r="DA2725" s="167"/>
      <c r="DB2725" s="167"/>
      <c r="DC2725" s="167"/>
      <c r="DD2725" s="167"/>
      <c r="DE2725" s="167"/>
      <c r="DF2725" s="167"/>
      <c r="DG2725" s="167"/>
      <c r="DH2725" s="167"/>
      <c r="DI2725" s="167"/>
      <c r="DJ2725" s="167"/>
      <c r="DK2725" s="167"/>
      <c r="DL2725" s="167"/>
      <c r="DM2725" s="167"/>
      <c r="DN2725" s="167"/>
      <c r="DO2725" s="167"/>
      <c r="DP2725" s="167"/>
      <c r="DQ2725" s="167"/>
      <c r="DR2725" s="167"/>
      <c r="DS2725" s="167"/>
      <c r="DT2725" s="167"/>
      <c r="DU2725" s="167"/>
      <c r="DV2725" s="167"/>
      <c r="DW2725" s="167"/>
      <c r="DX2725" s="167"/>
      <c r="DY2725" s="167"/>
      <c r="DZ2725" s="167"/>
      <c r="EA2725" s="167"/>
      <c r="EB2725" s="167"/>
      <c r="EC2725" s="167"/>
      <c r="ED2725" s="167"/>
      <c r="EE2725" s="167"/>
      <c r="EF2725" s="167"/>
      <c r="EG2725" s="167"/>
      <c r="EH2725" s="167"/>
      <c r="EI2725" s="167"/>
      <c r="EJ2725" s="167"/>
      <c r="EK2725" s="167"/>
      <c r="EL2725" s="167"/>
      <c r="EM2725" s="167"/>
      <c r="EN2725" s="167"/>
      <c r="EO2725" s="167"/>
      <c r="EP2725" s="167"/>
      <c r="EQ2725" s="167"/>
      <c r="ER2725" s="167"/>
      <c r="ES2725" s="167"/>
      <c r="ET2725" s="167"/>
      <c r="EU2725" s="167"/>
      <c r="EV2725" s="167"/>
      <c r="EW2725" s="167"/>
      <c r="EX2725" s="167"/>
      <c r="EY2725" s="167"/>
      <c r="EZ2725" s="167"/>
      <c r="FA2725" s="167"/>
      <c r="FB2725" s="167"/>
      <c r="FC2725" s="167"/>
      <c r="FD2725" s="167"/>
      <c r="FE2725" s="167"/>
      <c r="FF2725" s="167"/>
      <c r="FG2725" s="167"/>
      <c r="FH2725" s="167"/>
      <c r="FI2725" s="167"/>
      <c r="FJ2725" s="167"/>
      <c r="FK2725" s="167"/>
      <c r="FL2725" s="167"/>
      <c r="FM2725" s="167"/>
      <c r="FN2725" s="167"/>
      <c r="FO2725" s="167"/>
      <c r="FP2725" s="167"/>
      <c r="FQ2725" s="167"/>
      <c r="FR2725" s="167"/>
      <c r="FS2725" s="167"/>
      <c r="FT2725" s="167"/>
      <c r="FU2725" s="167"/>
      <c r="FV2725" s="167"/>
      <c r="FW2725" s="167"/>
      <c r="FX2725" s="167"/>
      <c r="FY2725" s="167"/>
      <c r="FZ2725" s="167"/>
      <c r="GA2725" s="167"/>
      <c r="GB2725" s="167"/>
      <c r="GC2725" s="167"/>
      <c r="GD2725" s="167"/>
      <c r="GE2725" s="167"/>
      <c r="GF2725" s="167"/>
      <c r="GG2725" s="167"/>
      <c r="GH2725" s="167"/>
      <c r="GI2725" s="167"/>
      <c r="GJ2725" s="167"/>
      <c r="GK2725" s="167"/>
      <c r="GL2725" s="167"/>
      <c r="GM2725" s="167"/>
      <c r="GN2725" s="167"/>
      <c r="GO2725" s="167"/>
      <c r="GP2725" s="167"/>
      <c r="GQ2725" s="167"/>
      <c r="GR2725" s="167"/>
      <c r="GS2725" s="167"/>
      <c r="GT2725" s="167"/>
      <c r="GU2725" s="167"/>
      <c r="GV2725" s="167"/>
      <c r="GW2725" s="167"/>
      <c r="GX2725" s="167"/>
      <c r="GY2725" s="167"/>
      <c r="GZ2725" s="167"/>
      <c r="HA2725" s="167"/>
      <c r="HB2725" s="167"/>
      <c r="HC2725" s="167"/>
      <c r="HD2725" s="167"/>
      <c r="HE2725" s="167"/>
      <c r="HF2725" s="167"/>
      <c r="HG2725" s="167"/>
      <c r="HH2725" s="167"/>
      <c r="HI2725" s="167"/>
      <c r="HJ2725" s="167"/>
      <c r="HK2725" s="167"/>
      <c r="HL2725" s="167"/>
      <c r="HM2725" s="167"/>
      <c r="HN2725" s="167"/>
      <c r="HO2725" s="167"/>
      <c r="HP2725" s="167"/>
      <c r="HQ2725" s="167"/>
      <c r="HR2725" s="167"/>
      <c r="HS2725" s="167"/>
      <c r="HT2725" s="167"/>
      <c r="HU2725" s="167"/>
      <c r="HV2725" s="167"/>
      <c r="HW2725" s="167"/>
      <c r="HX2725" s="167"/>
      <c r="HY2725" s="167"/>
      <c r="HZ2725" s="167"/>
      <c r="IA2725" s="167"/>
      <c r="IB2725" s="167"/>
      <c r="IC2725" s="167"/>
      <c r="ID2725" s="167"/>
      <c r="IE2725" s="167"/>
      <c r="IF2725" s="167"/>
      <c r="IG2725" s="167"/>
      <c r="IH2725" s="167"/>
      <c r="II2725" s="167"/>
      <c r="IJ2725" s="167"/>
      <c r="IK2725" s="167"/>
      <c r="IL2725" s="167"/>
      <c r="IM2725" s="167"/>
      <c r="IN2725" s="167"/>
      <c r="IO2725" s="167"/>
      <c r="IP2725" s="167"/>
      <c r="IQ2725" s="167"/>
      <c r="IR2725" s="167"/>
      <c r="IS2725" s="167"/>
      <c r="IT2725" s="167"/>
      <c r="IU2725" s="167"/>
      <c r="IV2725" s="167"/>
    </row>
    <row r="2726" spans="1:256" ht="51" customHeight="1" x14ac:dyDescent="0.25">
      <c r="A2726" s="191">
        <f>MATCH($E2726,'D1 - Master Project Table'!$B$24:$B$7056,0)</f>
        <v>3102</v>
      </c>
      <c r="B2726" s="191" t="b">
        <f t="shared" si="133"/>
        <v>0</v>
      </c>
      <c r="C2726" s="191" t="b">
        <f t="shared" si="134"/>
        <v>0</v>
      </c>
      <c r="D2726" s="191" t="str">
        <f t="shared" si="135"/>
        <v>OK</v>
      </c>
      <c r="E2726" s="255">
        <v>400051092</v>
      </c>
      <c r="F2726" s="256" t="s">
        <v>3973</v>
      </c>
      <c r="G2726" s="256" t="s">
        <v>5995</v>
      </c>
      <c r="H2726" s="256" t="s">
        <v>4388</v>
      </c>
      <c r="I2726" s="256" t="s">
        <v>6423</v>
      </c>
      <c r="J2726" s="256" t="s">
        <v>1852</v>
      </c>
      <c r="K2726" s="256" t="s">
        <v>1897</v>
      </c>
      <c r="L2726" s="256" t="s">
        <v>1899</v>
      </c>
      <c r="M2726" s="256" t="s">
        <v>7273</v>
      </c>
      <c r="N2726" s="256" t="s">
        <v>7273</v>
      </c>
      <c r="O2726" s="256" t="s">
        <v>7273</v>
      </c>
      <c r="P2726"/>
      <c r="Q2726"/>
      <c r="R2726" s="387" t="e">
        <f>VLOOKUP(E2726,'[1]NDB Impacted SPRFs 05032013'!$A$2:$A$65536,1,FALSE)</f>
        <v>#N/A</v>
      </c>
      <c r="S2726" s="159"/>
      <c r="T2726" s="159"/>
      <c r="U2726" s="159"/>
      <c r="V2726" s="167"/>
      <c r="W2726" s="167"/>
      <c r="X2726" s="167"/>
      <c r="Y2726" s="167"/>
      <c r="Z2726" s="167"/>
      <c r="AA2726" s="167"/>
      <c r="AB2726" s="167"/>
      <c r="AC2726" s="167"/>
      <c r="AD2726" s="167"/>
      <c r="AE2726" s="167"/>
      <c r="AF2726" s="167"/>
      <c r="AG2726" s="167"/>
      <c r="AH2726" s="167"/>
      <c r="AI2726" s="167"/>
      <c r="AJ2726" s="167"/>
      <c r="AK2726" s="167"/>
      <c r="AL2726" s="167"/>
      <c r="AM2726" s="167"/>
      <c r="AN2726" s="167"/>
      <c r="AO2726" s="167"/>
      <c r="AP2726" s="167"/>
      <c r="AQ2726" s="167"/>
      <c r="AR2726" s="167"/>
      <c r="AS2726" s="167"/>
      <c r="AT2726" s="167"/>
      <c r="AU2726" s="167"/>
      <c r="AV2726" s="167"/>
      <c r="AW2726" s="167"/>
      <c r="AX2726" s="167"/>
      <c r="AY2726" s="167"/>
      <c r="AZ2726" s="167"/>
      <c r="BA2726" s="167"/>
      <c r="BB2726" s="167"/>
      <c r="BC2726" s="167"/>
      <c r="BD2726" s="167"/>
      <c r="BE2726" s="167"/>
      <c r="BF2726" s="167"/>
      <c r="BG2726" s="167"/>
      <c r="BH2726" s="167"/>
      <c r="BI2726" s="167"/>
      <c r="BJ2726" s="167"/>
      <c r="BK2726" s="167"/>
      <c r="BL2726" s="167"/>
      <c r="BM2726" s="167"/>
      <c r="BN2726" s="167"/>
      <c r="BO2726" s="167"/>
      <c r="BP2726" s="167"/>
      <c r="BQ2726" s="167"/>
      <c r="BR2726" s="167"/>
      <c r="BS2726" s="167"/>
      <c r="BT2726" s="167"/>
      <c r="BU2726" s="167"/>
      <c r="BV2726" s="167"/>
      <c r="BW2726" s="167"/>
      <c r="BX2726" s="167"/>
      <c r="BY2726" s="167"/>
      <c r="BZ2726" s="167"/>
      <c r="CA2726" s="167"/>
      <c r="CB2726" s="167"/>
      <c r="CC2726" s="167"/>
      <c r="CD2726" s="167"/>
      <c r="CE2726" s="167"/>
      <c r="CF2726" s="167"/>
      <c r="CG2726" s="167"/>
      <c r="CH2726" s="167"/>
      <c r="CI2726" s="167"/>
      <c r="CJ2726" s="167"/>
      <c r="CK2726" s="167"/>
      <c r="CL2726" s="167"/>
      <c r="CM2726" s="167"/>
      <c r="CN2726" s="167"/>
      <c r="CO2726" s="167"/>
      <c r="CP2726" s="167"/>
      <c r="CQ2726" s="167"/>
      <c r="CR2726" s="167"/>
      <c r="CS2726" s="167"/>
      <c r="CT2726" s="167"/>
      <c r="CU2726" s="167"/>
      <c r="CV2726" s="167"/>
      <c r="CW2726" s="167"/>
      <c r="CX2726" s="167"/>
      <c r="CY2726" s="167"/>
      <c r="CZ2726" s="167"/>
      <c r="DA2726" s="167"/>
      <c r="DB2726" s="167"/>
      <c r="DC2726" s="167"/>
      <c r="DD2726" s="167"/>
      <c r="DE2726" s="167"/>
      <c r="DF2726" s="167"/>
      <c r="DG2726" s="167"/>
      <c r="DH2726" s="167"/>
      <c r="DI2726" s="167"/>
      <c r="DJ2726" s="167"/>
      <c r="DK2726" s="167"/>
      <c r="DL2726" s="167"/>
      <c r="DM2726" s="167"/>
      <c r="DN2726" s="167"/>
      <c r="DO2726" s="167"/>
      <c r="DP2726" s="167"/>
      <c r="DQ2726" s="167"/>
      <c r="DR2726" s="167"/>
      <c r="DS2726" s="167"/>
      <c r="DT2726" s="167"/>
      <c r="DU2726" s="167"/>
      <c r="DV2726" s="167"/>
      <c r="DW2726" s="167"/>
      <c r="DX2726" s="167"/>
      <c r="DY2726" s="167"/>
      <c r="DZ2726" s="167"/>
      <c r="EA2726" s="167"/>
      <c r="EB2726" s="167"/>
      <c r="EC2726" s="167"/>
      <c r="ED2726" s="167"/>
      <c r="EE2726" s="167"/>
      <c r="EF2726" s="167"/>
      <c r="EG2726" s="167"/>
      <c r="EH2726" s="167"/>
      <c r="EI2726" s="167"/>
      <c r="EJ2726" s="167"/>
      <c r="EK2726" s="167"/>
      <c r="EL2726" s="167"/>
      <c r="EM2726" s="167"/>
      <c r="EN2726" s="167"/>
      <c r="EO2726" s="167"/>
      <c r="EP2726" s="167"/>
      <c r="EQ2726" s="167"/>
      <c r="ER2726" s="167"/>
      <c r="ES2726" s="167"/>
      <c r="ET2726" s="167"/>
      <c r="EU2726" s="167"/>
      <c r="EV2726" s="167"/>
      <c r="EW2726" s="167"/>
      <c r="EX2726" s="167"/>
      <c r="EY2726" s="167"/>
      <c r="EZ2726" s="167"/>
      <c r="FA2726" s="167"/>
      <c r="FB2726" s="167"/>
      <c r="FC2726" s="167"/>
      <c r="FD2726" s="167"/>
      <c r="FE2726" s="167"/>
      <c r="FF2726" s="167"/>
      <c r="FG2726" s="167"/>
      <c r="FH2726" s="167"/>
      <c r="FI2726" s="167"/>
      <c r="FJ2726" s="167"/>
      <c r="FK2726" s="167"/>
      <c r="FL2726" s="167"/>
      <c r="FM2726" s="167"/>
      <c r="FN2726" s="167"/>
      <c r="FO2726" s="167"/>
      <c r="FP2726" s="167"/>
      <c r="FQ2726" s="167"/>
      <c r="FR2726" s="167"/>
      <c r="FS2726" s="167"/>
      <c r="FT2726" s="167"/>
      <c r="FU2726" s="167"/>
      <c r="FV2726" s="167"/>
      <c r="FW2726" s="167"/>
      <c r="FX2726" s="167"/>
      <c r="FY2726" s="167"/>
      <c r="FZ2726" s="167"/>
      <c r="GA2726" s="167"/>
      <c r="GB2726" s="167"/>
      <c r="GC2726" s="167"/>
      <c r="GD2726" s="167"/>
      <c r="GE2726" s="167"/>
      <c r="GF2726" s="167"/>
      <c r="GG2726" s="167"/>
      <c r="GH2726" s="167"/>
      <c r="GI2726" s="167"/>
      <c r="GJ2726" s="167"/>
      <c r="GK2726" s="167"/>
      <c r="GL2726" s="167"/>
      <c r="GM2726" s="167"/>
      <c r="GN2726" s="167"/>
      <c r="GO2726" s="167"/>
      <c r="GP2726" s="167"/>
      <c r="GQ2726" s="167"/>
      <c r="GR2726" s="167"/>
      <c r="GS2726" s="167"/>
      <c r="GT2726" s="167"/>
      <c r="GU2726" s="167"/>
      <c r="GV2726" s="167"/>
      <c r="GW2726" s="167"/>
      <c r="GX2726" s="167"/>
      <c r="GY2726" s="167"/>
      <c r="GZ2726" s="167"/>
      <c r="HA2726" s="167"/>
      <c r="HB2726" s="167"/>
      <c r="HC2726" s="167"/>
      <c r="HD2726" s="167"/>
      <c r="HE2726" s="167"/>
      <c r="HF2726" s="167"/>
      <c r="HG2726" s="167"/>
      <c r="HH2726" s="167"/>
      <c r="HI2726" s="167"/>
      <c r="HJ2726" s="167"/>
      <c r="HK2726" s="167"/>
      <c r="HL2726" s="167"/>
      <c r="HM2726" s="167"/>
      <c r="HN2726" s="167"/>
      <c r="HO2726" s="167"/>
      <c r="HP2726" s="167"/>
      <c r="HQ2726" s="167"/>
      <c r="HR2726" s="167"/>
      <c r="HS2726" s="167"/>
      <c r="HT2726" s="167"/>
      <c r="HU2726" s="167"/>
      <c r="HV2726" s="167"/>
      <c r="HW2726" s="167"/>
      <c r="HX2726" s="167"/>
      <c r="HY2726" s="167"/>
      <c r="HZ2726" s="167"/>
      <c r="IA2726" s="167"/>
      <c r="IB2726" s="167"/>
      <c r="IC2726" s="167"/>
      <c r="ID2726" s="167"/>
      <c r="IE2726" s="167"/>
      <c r="IF2726" s="167"/>
      <c r="IG2726" s="167"/>
      <c r="IH2726" s="167"/>
      <c r="II2726" s="167"/>
      <c r="IJ2726" s="167"/>
      <c r="IK2726" s="167"/>
      <c r="IL2726" s="167"/>
      <c r="IM2726" s="167"/>
      <c r="IN2726" s="167"/>
      <c r="IO2726" s="167"/>
      <c r="IP2726" s="167"/>
      <c r="IQ2726" s="167"/>
      <c r="IR2726" s="167"/>
      <c r="IS2726" s="167"/>
      <c r="IT2726" s="167"/>
      <c r="IU2726" s="167"/>
      <c r="IV2726" s="167"/>
    </row>
    <row r="2727" spans="1:256" ht="51" customHeight="1" x14ac:dyDescent="0.25">
      <c r="A2727" s="191">
        <f>MATCH($E2727,'D1 - Master Project Table'!$B$24:$B$7056,0)</f>
        <v>212</v>
      </c>
      <c r="B2727" s="191" t="b">
        <f t="shared" si="133"/>
        <v>0</v>
      </c>
      <c r="C2727" s="191" t="b">
        <f t="shared" si="134"/>
        <v>0</v>
      </c>
      <c r="D2727" s="191" t="str">
        <f t="shared" si="135"/>
        <v>OK</v>
      </c>
      <c r="E2727" s="253">
        <v>400049907</v>
      </c>
      <c r="F2727" s="254" t="s">
        <v>555</v>
      </c>
      <c r="G2727" s="254" t="s">
        <v>2041</v>
      </c>
      <c r="H2727" s="254" t="s">
        <v>6462</v>
      </c>
      <c r="I2727" s="254" t="s">
        <v>1595</v>
      </c>
      <c r="J2727" s="254" t="s">
        <v>556</v>
      </c>
      <c r="K2727" s="254" t="s">
        <v>557</v>
      </c>
      <c r="L2727" s="254" t="s">
        <v>4937</v>
      </c>
      <c r="M2727" s="254" t="s">
        <v>7273</v>
      </c>
      <c r="N2727" s="254" t="s">
        <v>7273</v>
      </c>
      <c r="O2727" s="254" t="s">
        <v>7273</v>
      </c>
      <c r="P2727"/>
      <c r="Q2727"/>
      <c r="R2727" s="387" t="e">
        <f>VLOOKUP(E2727,'[1]NDB Impacted SPRFs 05032013'!$A$2:$A$65536,1,FALSE)</f>
        <v>#N/A</v>
      </c>
      <c r="S2727" s="159"/>
      <c r="T2727" s="159"/>
      <c r="U2727" s="159"/>
      <c r="V2727" s="167"/>
      <c r="W2727" s="167"/>
      <c r="X2727" s="167"/>
      <c r="Y2727" s="167"/>
      <c r="Z2727" s="167"/>
      <c r="AA2727" s="167"/>
      <c r="AB2727" s="167"/>
      <c r="AC2727" s="167"/>
      <c r="AD2727" s="167"/>
      <c r="AE2727" s="167"/>
      <c r="AF2727" s="167"/>
      <c r="AG2727" s="167"/>
      <c r="AH2727" s="167"/>
      <c r="AI2727" s="167"/>
      <c r="AJ2727" s="167"/>
      <c r="AK2727" s="167"/>
      <c r="AL2727" s="167"/>
      <c r="AM2727" s="167"/>
      <c r="AN2727" s="167"/>
      <c r="AO2727" s="167"/>
      <c r="AP2727" s="167"/>
      <c r="AQ2727" s="167"/>
      <c r="AR2727" s="167"/>
      <c r="AS2727" s="167"/>
      <c r="AT2727" s="167"/>
      <c r="AU2727" s="167"/>
      <c r="AV2727" s="167"/>
      <c r="AW2727" s="167"/>
      <c r="AX2727" s="167"/>
      <c r="AY2727" s="167"/>
      <c r="AZ2727" s="167"/>
      <c r="BA2727" s="167"/>
      <c r="BB2727" s="167"/>
      <c r="BC2727" s="167"/>
      <c r="BD2727" s="167"/>
      <c r="BE2727" s="167"/>
      <c r="BF2727" s="167"/>
      <c r="BG2727" s="167"/>
      <c r="BH2727" s="167"/>
      <c r="BI2727" s="167"/>
      <c r="BJ2727" s="167"/>
      <c r="BK2727" s="167"/>
      <c r="BL2727" s="167"/>
      <c r="BM2727" s="167"/>
      <c r="BN2727" s="167"/>
      <c r="BO2727" s="167"/>
      <c r="BP2727" s="167"/>
      <c r="BQ2727" s="167"/>
      <c r="BR2727" s="167"/>
      <c r="BS2727" s="167"/>
      <c r="BT2727" s="167"/>
      <c r="BU2727" s="167"/>
      <c r="BV2727" s="167"/>
      <c r="BW2727" s="167"/>
      <c r="BX2727" s="167"/>
      <c r="BY2727" s="167"/>
      <c r="BZ2727" s="167"/>
      <c r="CA2727" s="167"/>
      <c r="CB2727" s="167"/>
      <c r="CC2727" s="167"/>
      <c r="CD2727" s="167"/>
      <c r="CE2727" s="167"/>
      <c r="CF2727" s="167"/>
      <c r="CG2727" s="167"/>
      <c r="CH2727" s="167"/>
      <c r="CI2727" s="167"/>
      <c r="CJ2727" s="167"/>
      <c r="CK2727" s="167"/>
      <c r="CL2727" s="167"/>
      <c r="CM2727" s="167"/>
      <c r="CN2727" s="167"/>
      <c r="CO2727" s="167"/>
      <c r="CP2727" s="167"/>
      <c r="CQ2727" s="167"/>
      <c r="CR2727" s="167"/>
      <c r="CS2727" s="167"/>
      <c r="CT2727" s="167"/>
      <c r="CU2727" s="167"/>
      <c r="CV2727" s="167"/>
      <c r="CW2727" s="167"/>
      <c r="CX2727" s="167"/>
      <c r="CY2727" s="167"/>
      <c r="CZ2727" s="167"/>
      <c r="DA2727" s="167"/>
      <c r="DB2727" s="167"/>
      <c r="DC2727" s="167"/>
      <c r="DD2727" s="167"/>
      <c r="DE2727" s="167"/>
      <c r="DF2727" s="167"/>
      <c r="DG2727" s="167"/>
      <c r="DH2727" s="167"/>
      <c r="DI2727" s="167"/>
      <c r="DJ2727" s="167"/>
      <c r="DK2727" s="167"/>
      <c r="DL2727" s="167"/>
      <c r="DM2727" s="167"/>
      <c r="DN2727" s="167"/>
      <c r="DO2727" s="167"/>
      <c r="DP2727" s="167"/>
      <c r="DQ2727" s="167"/>
      <c r="DR2727" s="167"/>
      <c r="DS2727" s="167"/>
      <c r="DT2727" s="167"/>
      <c r="DU2727" s="167"/>
      <c r="DV2727" s="167"/>
      <c r="DW2727" s="167"/>
      <c r="DX2727" s="167"/>
      <c r="DY2727" s="167"/>
      <c r="DZ2727" s="167"/>
      <c r="EA2727" s="167"/>
      <c r="EB2727" s="167"/>
      <c r="EC2727" s="167"/>
      <c r="ED2727" s="167"/>
      <c r="EE2727" s="167"/>
      <c r="EF2727" s="167"/>
      <c r="EG2727" s="167"/>
      <c r="EH2727" s="167"/>
      <c r="EI2727" s="167"/>
      <c r="EJ2727" s="167"/>
      <c r="EK2727" s="167"/>
      <c r="EL2727" s="167"/>
      <c r="EM2727" s="167"/>
      <c r="EN2727" s="167"/>
      <c r="EO2727" s="167"/>
      <c r="EP2727" s="167"/>
      <c r="EQ2727" s="167"/>
      <c r="ER2727" s="167"/>
      <c r="ES2727" s="167"/>
      <c r="ET2727" s="167"/>
      <c r="EU2727" s="167"/>
      <c r="EV2727" s="167"/>
      <c r="EW2727" s="167"/>
      <c r="EX2727" s="167"/>
      <c r="EY2727" s="167"/>
      <c r="EZ2727" s="167"/>
      <c r="FA2727" s="167"/>
      <c r="FB2727" s="167"/>
      <c r="FC2727" s="167"/>
      <c r="FD2727" s="167"/>
      <c r="FE2727" s="167"/>
      <c r="FF2727" s="167"/>
      <c r="FG2727" s="167"/>
      <c r="FH2727" s="167"/>
      <c r="FI2727" s="167"/>
      <c r="FJ2727" s="167"/>
      <c r="FK2727" s="167"/>
      <c r="FL2727" s="167"/>
      <c r="FM2727" s="167"/>
      <c r="FN2727" s="167"/>
      <c r="FO2727" s="167"/>
      <c r="FP2727" s="167"/>
      <c r="FQ2727" s="167"/>
      <c r="FR2727" s="167"/>
      <c r="FS2727" s="167"/>
      <c r="FT2727" s="167"/>
      <c r="FU2727" s="167"/>
      <c r="FV2727" s="167"/>
      <c r="FW2727" s="167"/>
      <c r="FX2727" s="167"/>
      <c r="FY2727" s="167"/>
      <c r="FZ2727" s="167"/>
      <c r="GA2727" s="167"/>
      <c r="GB2727" s="167"/>
      <c r="GC2727" s="167"/>
      <c r="GD2727" s="167"/>
      <c r="GE2727" s="167"/>
      <c r="GF2727" s="167"/>
      <c r="GG2727" s="167"/>
      <c r="GH2727" s="167"/>
      <c r="GI2727" s="167"/>
      <c r="GJ2727" s="167"/>
      <c r="GK2727" s="167"/>
      <c r="GL2727" s="167"/>
      <c r="GM2727" s="167"/>
      <c r="GN2727" s="167"/>
      <c r="GO2727" s="167"/>
      <c r="GP2727" s="167"/>
      <c r="GQ2727" s="167"/>
      <c r="GR2727" s="167"/>
      <c r="GS2727" s="167"/>
      <c r="GT2727" s="167"/>
      <c r="GU2727" s="167"/>
      <c r="GV2727" s="167"/>
      <c r="GW2727" s="167"/>
      <c r="GX2727" s="167"/>
      <c r="GY2727" s="167"/>
      <c r="GZ2727" s="167"/>
      <c r="HA2727" s="167"/>
      <c r="HB2727" s="167"/>
      <c r="HC2727" s="167"/>
      <c r="HD2727" s="167"/>
      <c r="HE2727" s="167"/>
      <c r="HF2727" s="167"/>
      <c r="HG2727" s="167"/>
      <c r="HH2727" s="167"/>
      <c r="HI2727" s="167"/>
      <c r="HJ2727" s="167"/>
      <c r="HK2727" s="167"/>
      <c r="HL2727" s="167"/>
      <c r="HM2727" s="167"/>
      <c r="HN2727" s="167"/>
      <c r="HO2727" s="167"/>
      <c r="HP2727" s="167"/>
      <c r="HQ2727" s="167"/>
      <c r="HR2727" s="167"/>
      <c r="HS2727" s="167"/>
      <c r="HT2727" s="167"/>
      <c r="HU2727" s="167"/>
      <c r="HV2727" s="167"/>
      <c r="HW2727" s="167"/>
      <c r="HX2727" s="167"/>
      <c r="HY2727" s="167"/>
      <c r="HZ2727" s="167"/>
      <c r="IA2727" s="167"/>
      <c r="IB2727" s="167"/>
      <c r="IC2727" s="167"/>
      <c r="ID2727" s="167"/>
      <c r="IE2727" s="167"/>
      <c r="IF2727" s="167"/>
      <c r="IG2727" s="167"/>
      <c r="IH2727" s="167"/>
      <c r="II2727" s="167"/>
      <c r="IJ2727" s="167"/>
      <c r="IK2727" s="167"/>
      <c r="IL2727" s="167"/>
      <c r="IM2727" s="167"/>
      <c r="IN2727" s="167"/>
      <c r="IO2727" s="167"/>
      <c r="IP2727" s="167"/>
      <c r="IQ2727" s="167"/>
      <c r="IR2727" s="167"/>
      <c r="IS2727" s="167"/>
      <c r="IT2727" s="167"/>
      <c r="IU2727" s="167"/>
      <c r="IV2727" s="167"/>
    </row>
    <row r="2728" spans="1:256" ht="51" customHeight="1" x14ac:dyDescent="0.25">
      <c r="A2728" s="191">
        <f>MATCH($E2728,'D1 - Master Project Table'!$B$24:$B$7056,0)</f>
        <v>189</v>
      </c>
      <c r="B2728" s="191" t="b">
        <f t="shared" si="133"/>
        <v>0</v>
      </c>
      <c r="C2728" s="191" t="b">
        <f t="shared" si="134"/>
        <v>0</v>
      </c>
      <c r="D2728" s="191" t="str">
        <f t="shared" si="135"/>
        <v>OK</v>
      </c>
      <c r="E2728" s="253">
        <v>400019504</v>
      </c>
      <c r="F2728" s="254" t="s">
        <v>558</v>
      </c>
      <c r="G2728" s="254" t="s">
        <v>2041</v>
      </c>
      <c r="H2728" s="254" t="s">
        <v>6462</v>
      </c>
      <c r="I2728" s="254" t="s">
        <v>1595</v>
      </c>
      <c r="J2728" s="254" t="s">
        <v>556</v>
      </c>
      <c r="K2728" s="254" t="s">
        <v>557</v>
      </c>
      <c r="L2728" s="254" t="s">
        <v>4937</v>
      </c>
      <c r="M2728" s="254" t="s">
        <v>7273</v>
      </c>
      <c r="N2728" s="254" t="s">
        <v>7273</v>
      </c>
      <c r="O2728" s="254" t="s">
        <v>7273</v>
      </c>
      <c r="P2728"/>
      <c r="Q2728"/>
      <c r="R2728" s="387" t="e">
        <f>VLOOKUP(E2728,'[1]NDB Impacted SPRFs 05032013'!$A$2:$A$65536,1,FALSE)</f>
        <v>#N/A</v>
      </c>
      <c r="S2728" s="159"/>
      <c r="T2728" s="159"/>
      <c r="U2728" s="159"/>
      <c r="V2728" s="167"/>
      <c r="W2728" s="167"/>
      <c r="X2728" s="167"/>
      <c r="Y2728" s="167"/>
      <c r="Z2728" s="167"/>
      <c r="AA2728" s="167"/>
      <c r="AB2728" s="167"/>
      <c r="AC2728" s="167"/>
      <c r="AD2728" s="167"/>
      <c r="AE2728" s="167"/>
      <c r="AF2728" s="167"/>
      <c r="AG2728" s="167"/>
      <c r="AH2728" s="167"/>
      <c r="AI2728" s="167"/>
      <c r="AJ2728" s="167"/>
      <c r="AK2728" s="167"/>
      <c r="AL2728" s="167"/>
      <c r="AM2728" s="167"/>
      <c r="AN2728" s="167"/>
      <c r="AO2728" s="167"/>
      <c r="AP2728" s="167"/>
      <c r="AQ2728" s="167"/>
      <c r="AR2728" s="167"/>
      <c r="AS2728" s="167"/>
      <c r="AT2728" s="167"/>
      <c r="AU2728" s="167"/>
      <c r="AV2728" s="167"/>
      <c r="AW2728" s="167"/>
      <c r="AX2728" s="167"/>
      <c r="AY2728" s="167"/>
      <c r="AZ2728" s="167"/>
      <c r="BA2728" s="167"/>
      <c r="BB2728" s="167"/>
      <c r="BC2728" s="167"/>
      <c r="BD2728" s="167"/>
      <c r="BE2728" s="167"/>
      <c r="BF2728" s="167"/>
      <c r="BG2728" s="167"/>
      <c r="BH2728" s="167"/>
      <c r="BI2728" s="167"/>
      <c r="BJ2728" s="167"/>
      <c r="BK2728" s="167"/>
      <c r="BL2728" s="167"/>
      <c r="BM2728" s="167"/>
      <c r="BN2728" s="167"/>
      <c r="BO2728" s="167"/>
      <c r="BP2728" s="167"/>
      <c r="BQ2728" s="167"/>
      <c r="BR2728" s="167"/>
      <c r="BS2728" s="167"/>
      <c r="BT2728" s="167"/>
      <c r="BU2728" s="167"/>
      <c r="BV2728" s="167"/>
      <c r="BW2728" s="167"/>
      <c r="BX2728" s="167"/>
      <c r="BY2728" s="167"/>
      <c r="BZ2728" s="167"/>
      <c r="CA2728" s="167"/>
      <c r="CB2728" s="167"/>
      <c r="CC2728" s="167"/>
      <c r="CD2728" s="167"/>
      <c r="CE2728" s="167"/>
      <c r="CF2728" s="167"/>
      <c r="CG2728" s="167"/>
      <c r="CH2728" s="167"/>
      <c r="CI2728" s="167"/>
      <c r="CJ2728" s="167"/>
      <c r="CK2728" s="167"/>
      <c r="CL2728" s="167"/>
      <c r="CM2728" s="167"/>
      <c r="CN2728" s="167"/>
      <c r="CO2728" s="167"/>
      <c r="CP2728" s="167"/>
      <c r="CQ2728" s="167"/>
      <c r="CR2728" s="167"/>
      <c r="CS2728" s="167"/>
      <c r="CT2728" s="167"/>
      <c r="CU2728" s="167"/>
      <c r="CV2728" s="167"/>
      <c r="CW2728" s="167"/>
      <c r="CX2728" s="167"/>
      <c r="CY2728" s="167"/>
      <c r="CZ2728" s="167"/>
      <c r="DA2728" s="167"/>
      <c r="DB2728" s="167"/>
      <c r="DC2728" s="167"/>
      <c r="DD2728" s="167"/>
      <c r="DE2728" s="167"/>
      <c r="DF2728" s="167"/>
      <c r="DG2728" s="167"/>
      <c r="DH2728" s="167"/>
      <c r="DI2728" s="167"/>
      <c r="DJ2728" s="167"/>
      <c r="DK2728" s="167"/>
      <c r="DL2728" s="167"/>
      <c r="DM2728" s="167"/>
      <c r="DN2728" s="167"/>
      <c r="DO2728" s="167"/>
      <c r="DP2728" s="167"/>
      <c r="DQ2728" s="167"/>
      <c r="DR2728" s="167"/>
      <c r="DS2728" s="167"/>
      <c r="DT2728" s="167"/>
      <c r="DU2728" s="167"/>
      <c r="DV2728" s="167"/>
      <c r="DW2728" s="167"/>
      <c r="DX2728" s="167"/>
      <c r="DY2728" s="167"/>
      <c r="DZ2728" s="167"/>
      <c r="EA2728" s="167"/>
      <c r="EB2728" s="167"/>
      <c r="EC2728" s="167"/>
      <c r="ED2728" s="167"/>
      <c r="EE2728" s="167"/>
      <c r="EF2728" s="167"/>
      <c r="EG2728" s="167"/>
      <c r="EH2728" s="167"/>
      <c r="EI2728" s="167"/>
      <c r="EJ2728" s="167"/>
      <c r="EK2728" s="167"/>
      <c r="EL2728" s="167"/>
      <c r="EM2728" s="167"/>
      <c r="EN2728" s="167"/>
      <c r="EO2728" s="167"/>
      <c r="EP2728" s="167"/>
      <c r="EQ2728" s="167"/>
      <c r="ER2728" s="167"/>
      <c r="ES2728" s="167"/>
      <c r="ET2728" s="167"/>
      <c r="EU2728" s="167"/>
      <c r="EV2728" s="167"/>
      <c r="EW2728" s="167"/>
      <c r="EX2728" s="167"/>
      <c r="EY2728" s="167"/>
      <c r="EZ2728" s="167"/>
      <c r="FA2728" s="167"/>
      <c r="FB2728" s="167"/>
      <c r="FC2728" s="167"/>
      <c r="FD2728" s="167"/>
      <c r="FE2728" s="167"/>
      <c r="FF2728" s="167"/>
      <c r="FG2728" s="167"/>
      <c r="FH2728" s="167"/>
      <c r="FI2728" s="167"/>
      <c r="FJ2728" s="167"/>
      <c r="FK2728" s="167"/>
      <c r="FL2728" s="167"/>
      <c r="FM2728" s="167"/>
      <c r="FN2728" s="167"/>
      <c r="FO2728" s="167"/>
      <c r="FP2728" s="167"/>
      <c r="FQ2728" s="167"/>
      <c r="FR2728" s="167"/>
      <c r="FS2728" s="167"/>
      <c r="FT2728" s="167"/>
      <c r="FU2728" s="167"/>
      <c r="FV2728" s="167"/>
      <c r="FW2728" s="167"/>
      <c r="FX2728" s="167"/>
      <c r="FY2728" s="167"/>
      <c r="FZ2728" s="167"/>
      <c r="GA2728" s="167"/>
      <c r="GB2728" s="167"/>
      <c r="GC2728" s="167"/>
      <c r="GD2728" s="167"/>
      <c r="GE2728" s="167"/>
      <c r="GF2728" s="167"/>
      <c r="GG2728" s="167"/>
      <c r="GH2728" s="167"/>
      <c r="GI2728" s="167"/>
      <c r="GJ2728" s="167"/>
      <c r="GK2728" s="167"/>
      <c r="GL2728" s="167"/>
      <c r="GM2728" s="167"/>
      <c r="GN2728" s="167"/>
      <c r="GO2728" s="167"/>
      <c r="GP2728" s="167"/>
      <c r="GQ2728" s="167"/>
      <c r="GR2728" s="167"/>
      <c r="GS2728" s="167"/>
      <c r="GT2728" s="167"/>
      <c r="GU2728" s="167"/>
      <c r="GV2728" s="167"/>
      <c r="GW2728" s="167"/>
      <c r="GX2728" s="167"/>
      <c r="GY2728" s="167"/>
      <c r="GZ2728" s="167"/>
      <c r="HA2728" s="167"/>
      <c r="HB2728" s="167"/>
      <c r="HC2728" s="167"/>
      <c r="HD2728" s="167"/>
      <c r="HE2728" s="167"/>
      <c r="HF2728" s="167"/>
      <c r="HG2728" s="167"/>
      <c r="HH2728" s="167"/>
      <c r="HI2728" s="167"/>
      <c r="HJ2728" s="167"/>
      <c r="HK2728" s="167"/>
      <c r="HL2728" s="167"/>
      <c r="HM2728" s="167"/>
      <c r="HN2728" s="167"/>
      <c r="HO2728" s="167"/>
      <c r="HP2728" s="167"/>
      <c r="HQ2728" s="167"/>
      <c r="HR2728" s="167"/>
      <c r="HS2728" s="167"/>
      <c r="HT2728" s="167"/>
      <c r="HU2728" s="167"/>
      <c r="HV2728" s="167"/>
      <c r="HW2728" s="167"/>
      <c r="HX2728" s="167"/>
      <c r="HY2728" s="167"/>
      <c r="HZ2728" s="167"/>
      <c r="IA2728" s="167"/>
      <c r="IB2728" s="167"/>
      <c r="IC2728" s="167"/>
      <c r="ID2728" s="167"/>
      <c r="IE2728" s="167"/>
      <c r="IF2728" s="167"/>
      <c r="IG2728" s="167"/>
      <c r="IH2728" s="167"/>
      <c r="II2728" s="167"/>
      <c r="IJ2728" s="167"/>
      <c r="IK2728" s="167"/>
      <c r="IL2728" s="167"/>
      <c r="IM2728" s="167"/>
      <c r="IN2728" s="167"/>
      <c r="IO2728" s="167"/>
      <c r="IP2728" s="167"/>
      <c r="IQ2728" s="167"/>
      <c r="IR2728" s="167"/>
      <c r="IS2728" s="167"/>
      <c r="IT2728" s="167"/>
      <c r="IU2728" s="167"/>
      <c r="IV2728" s="167"/>
    </row>
    <row r="2729" spans="1:256" ht="51" customHeight="1" x14ac:dyDescent="0.25">
      <c r="A2729" s="191">
        <f>MATCH($E2729,'D1 - Master Project Table'!$B$24:$B$7056,0)</f>
        <v>3196</v>
      </c>
      <c r="B2729" s="191" t="b">
        <f t="shared" si="133"/>
        <v>0</v>
      </c>
      <c r="C2729" s="191" t="b">
        <f t="shared" si="134"/>
        <v>0</v>
      </c>
      <c r="D2729" s="191" t="str">
        <f t="shared" si="135"/>
        <v>OK</v>
      </c>
      <c r="E2729" s="250">
        <v>400045336</v>
      </c>
      <c r="F2729" s="251" t="s">
        <v>553</v>
      </c>
      <c r="G2729" s="251" t="s">
        <v>2042</v>
      </c>
      <c r="H2729" s="251" t="s">
        <v>4917</v>
      </c>
      <c r="I2729" s="251" t="s">
        <v>1595</v>
      </c>
      <c r="J2729" s="251" t="s">
        <v>1185</v>
      </c>
      <c r="K2729" s="251" t="s">
        <v>554</v>
      </c>
      <c r="L2729" s="251" t="s">
        <v>523</v>
      </c>
      <c r="M2729" s="251" t="s">
        <v>7273</v>
      </c>
      <c r="N2729" s="251" t="s">
        <v>7273</v>
      </c>
      <c r="O2729" s="251" t="s">
        <v>3758</v>
      </c>
      <c r="P2729"/>
      <c r="Q2729"/>
      <c r="R2729" s="387" t="e">
        <f>VLOOKUP(E2729,'[1]NDB Impacted SPRFs 05032013'!$A$2:$A$65536,1,FALSE)</f>
        <v>#N/A</v>
      </c>
      <c r="V2729" s="167"/>
      <c r="W2729" s="167"/>
      <c r="X2729" s="167"/>
      <c r="Y2729" s="167"/>
      <c r="Z2729" s="167"/>
      <c r="AA2729" s="167"/>
      <c r="AB2729" s="167"/>
      <c r="AC2729" s="167"/>
      <c r="AD2729" s="167"/>
      <c r="AE2729" s="167"/>
      <c r="AF2729" s="167"/>
      <c r="AG2729" s="167"/>
      <c r="AH2729" s="167"/>
      <c r="AI2729" s="167"/>
      <c r="AJ2729" s="167"/>
      <c r="AK2729" s="167"/>
      <c r="AL2729" s="167"/>
      <c r="AM2729" s="167"/>
      <c r="AN2729" s="167"/>
      <c r="AO2729" s="167"/>
      <c r="AP2729" s="167"/>
      <c r="AQ2729" s="167"/>
      <c r="AR2729" s="167"/>
      <c r="AS2729" s="167"/>
      <c r="AT2729" s="167"/>
      <c r="AU2729" s="167"/>
      <c r="AV2729" s="167"/>
      <c r="AW2729" s="167"/>
      <c r="AX2729" s="167"/>
      <c r="AY2729" s="167"/>
      <c r="AZ2729" s="167"/>
      <c r="BA2729" s="167"/>
      <c r="BB2729" s="167"/>
      <c r="BC2729" s="167"/>
      <c r="BD2729" s="167"/>
      <c r="BE2729" s="167"/>
      <c r="BF2729" s="167"/>
      <c r="BG2729" s="167"/>
      <c r="BH2729" s="167"/>
      <c r="BI2729" s="167"/>
      <c r="BJ2729" s="167"/>
      <c r="BK2729" s="167"/>
      <c r="BL2729" s="167"/>
      <c r="BM2729" s="167"/>
      <c r="BN2729" s="167"/>
      <c r="BO2729" s="167"/>
      <c r="BP2729" s="167"/>
      <c r="BQ2729" s="167"/>
      <c r="BR2729" s="167"/>
      <c r="BS2729" s="167"/>
      <c r="BT2729" s="167"/>
      <c r="BU2729" s="167"/>
      <c r="BV2729" s="167"/>
      <c r="BW2729" s="167"/>
      <c r="BX2729" s="167"/>
      <c r="BY2729" s="167"/>
      <c r="BZ2729" s="167"/>
      <c r="CA2729" s="167"/>
      <c r="CB2729" s="167"/>
      <c r="CC2729" s="167"/>
      <c r="CD2729" s="167"/>
      <c r="CE2729" s="167"/>
      <c r="CF2729" s="167"/>
      <c r="CG2729" s="167"/>
      <c r="CH2729" s="167"/>
      <c r="CI2729" s="167"/>
      <c r="CJ2729" s="167"/>
      <c r="CK2729" s="167"/>
      <c r="CL2729" s="167"/>
      <c r="CM2729" s="167"/>
      <c r="CN2729" s="167"/>
      <c r="CO2729" s="167"/>
      <c r="CP2729" s="167"/>
      <c r="CQ2729" s="167"/>
      <c r="CR2729" s="167"/>
      <c r="CS2729" s="167"/>
      <c r="CT2729" s="167"/>
      <c r="CU2729" s="167"/>
      <c r="CV2729" s="167"/>
      <c r="CW2729" s="167"/>
      <c r="CX2729" s="167"/>
      <c r="CY2729" s="167"/>
      <c r="CZ2729" s="167"/>
      <c r="DA2729" s="167"/>
      <c r="DB2729" s="167"/>
      <c r="DC2729" s="167"/>
      <c r="DD2729" s="167"/>
      <c r="DE2729" s="167"/>
      <c r="DF2729" s="167"/>
      <c r="DG2729" s="167"/>
      <c r="DH2729" s="167"/>
      <c r="DI2729" s="167"/>
      <c r="DJ2729" s="167"/>
      <c r="DK2729" s="167"/>
      <c r="DL2729" s="167"/>
      <c r="DM2729" s="167"/>
      <c r="DN2729" s="167"/>
      <c r="DO2729" s="167"/>
      <c r="DP2729" s="167"/>
      <c r="DQ2729" s="167"/>
      <c r="DR2729" s="167"/>
      <c r="DS2729" s="167"/>
      <c r="DT2729" s="167"/>
      <c r="DU2729" s="167"/>
      <c r="DV2729" s="167"/>
      <c r="DW2729" s="167"/>
      <c r="DX2729" s="167"/>
      <c r="DY2729" s="167"/>
      <c r="DZ2729" s="167"/>
      <c r="EA2729" s="167"/>
      <c r="EB2729" s="167"/>
      <c r="EC2729" s="167"/>
      <c r="ED2729" s="167"/>
      <c r="EE2729" s="167"/>
      <c r="EF2729" s="167"/>
      <c r="EG2729" s="167"/>
      <c r="EH2729" s="167"/>
      <c r="EI2729" s="167"/>
      <c r="EJ2729" s="167"/>
      <c r="EK2729" s="167"/>
      <c r="EL2729" s="167"/>
      <c r="EM2729" s="167"/>
      <c r="EN2729" s="167"/>
      <c r="EO2729" s="167"/>
      <c r="EP2729" s="167"/>
      <c r="EQ2729" s="167"/>
      <c r="ER2729" s="167"/>
      <c r="ES2729" s="167"/>
      <c r="ET2729" s="167"/>
      <c r="EU2729" s="167"/>
      <c r="EV2729" s="167"/>
      <c r="EW2729" s="167"/>
      <c r="EX2729" s="167"/>
      <c r="EY2729" s="167"/>
      <c r="EZ2729" s="167"/>
      <c r="FA2729" s="167"/>
      <c r="FB2729" s="167"/>
      <c r="FC2729" s="167"/>
      <c r="FD2729" s="167"/>
      <c r="FE2729" s="167"/>
      <c r="FF2729" s="167"/>
      <c r="FG2729" s="167"/>
      <c r="FH2729" s="167"/>
      <c r="FI2729" s="167"/>
      <c r="FJ2729" s="167"/>
      <c r="FK2729" s="167"/>
      <c r="FL2729" s="167"/>
      <c r="FM2729" s="167"/>
      <c r="FN2729" s="167"/>
      <c r="FO2729" s="167"/>
      <c r="FP2729" s="167"/>
      <c r="FQ2729" s="167"/>
      <c r="FR2729" s="167"/>
      <c r="FS2729" s="167"/>
      <c r="FT2729" s="167"/>
      <c r="FU2729" s="167"/>
      <c r="FV2729" s="167"/>
      <c r="FW2729" s="167"/>
      <c r="FX2729" s="167"/>
      <c r="FY2729" s="167"/>
      <c r="FZ2729" s="167"/>
      <c r="GA2729" s="167"/>
      <c r="GB2729" s="167"/>
      <c r="GC2729" s="167"/>
      <c r="GD2729" s="167"/>
      <c r="GE2729" s="167"/>
      <c r="GF2729" s="167"/>
      <c r="GG2729" s="167"/>
      <c r="GH2729" s="167"/>
      <c r="GI2729" s="167"/>
      <c r="GJ2729" s="167"/>
      <c r="GK2729" s="167"/>
      <c r="GL2729" s="167"/>
      <c r="GM2729" s="167"/>
      <c r="GN2729" s="167"/>
      <c r="GO2729" s="167"/>
      <c r="GP2729" s="167"/>
      <c r="GQ2729" s="167"/>
      <c r="GR2729" s="167"/>
      <c r="GS2729" s="167"/>
      <c r="GT2729" s="167"/>
      <c r="GU2729" s="167"/>
      <c r="GV2729" s="167"/>
      <c r="GW2729" s="167"/>
      <c r="GX2729" s="167"/>
      <c r="GY2729" s="167"/>
      <c r="GZ2729" s="167"/>
      <c r="HA2729" s="167"/>
      <c r="HB2729" s="167"/>
      <c r="HC2729" s="167"/>
      <c r="HD2729" s="167"/>
      <c r="HE2729" s="167"/>
      <c r="HF2729" s="167"/>
      <c r="HG2729" s="167"/>
      <c r="HH2729" s="167"/>
      <c r="HI2729" s="167"/>
      <c r="HJ2729" s="167"/>
      <c r="HK2729" s="167"/>
      <c r="HL2729" s="167"/>
      <c r="HM2729" s="167"/>
      <c r="HN2729" s="167"/>
      <c r="HO2729" s="167"/>
      <c r="HP2729" s="167"/>
      <c r="HQ2729" s="167"/>
      <c r="HR2729" s="167"/>
      <c r="HS2729" s="167"/>
      <c r="HT2729" s="167"/>
      <c r="HU2729" s="167"/>
      <c r="HV2729" s="167"/>
      <c r="HW2729" s="167"/>
      <c r="HX2729" s="167"/>
      <c r="HY2729" s="167"/>
      <c r="HZ2729" s="167"/>
      <c r="IA2729" s="167"/>
      <c r="IB2729" s="167"/>
      <c r="IC2729" s="167"/>
      <c r="ID2729" s="167"/>
      <c r="IE2729" s="167"/>
      <c r="IF2729" s="167"/>
      <c r="IG2729" s="167"/>
      <c r="IH2729" s="167"/>
      <c r="II2729" s="167"/>
      <c r="IJ2729" s="167"/>
      <c r="IK2729" s="167"/>
      <c r="IL2729" s="167"/>
      <c r="IM2729" s="167"/>
      <c r="IN2729" s="167"/>
      <c r="IO2729" s="167"/>
      <c r="IP2729" s="167"/>
      <c r="IQ2729" s="167"/>
      <c r="IR2729" s="167"/>
      <c r="IS2729" s="167"/>
      <c r="IT2729" s="167"/>
      <c r="IU2729" s="167"/>
      <c r="IV2729" s="167"/>
    </row>
    <row r="2730" spans="1:256" ht="51" customHeight="1" x14ac:dyDescent="0.25">
      <c r="A2730" s="191">
        <f>MATCH($E2730,'D1 - Master Project Table'!$B$24:$B$7056,0)</f>
        <v>3211</v>
      </c>
      <c r="B2730" s="191" t="b">
        <f t="shared" si="133"/>
        <v>0</v>
      </c>
      <c r="C2730" s="191" t="b">
        <f t="shared" si="134"/>
        <v>0</v>
      </c>
      <c r="D2730" s="191" t="str">
        <f t="shared" si="135"/>
        <v>OK</v>
      </c>
      <c r="E2730" s="247">
        <v>400048384</v>
      </c>
      <c r="F2730" s="248" t="s">
        <v>2185</v>
      </c>
      <c r="G2730" s="248" t="s">
        <v>5001</v>
      </c>
      <c r="H2730" s="248" t="s">
        <v>4917</v>
      </c>
      <c r="I2730" s="248" t="s">
        <v>3540</v>
      </c>
      <c r="J2730" s="248" t="s">
        <v>5722</v>
      </c>
      <c r="K2730" s="248" t="s">
        <v>7884</v>
      </c>
      <c r="L2730" s="248" t="s">
        <v>2186</v>
      </c>
      <c r="M2730" s="248" t="s">
        <v>7273</v>
      </c>
      <c r="N2730" s="248" t="s">
        <v>7273</v>
      </c>
      <c r="O2730" s="248" t="s">
        <v>7273</v>
      </c>
      <c r="P2730"/>
      <c r="Q2730"/>
      <c r="R2730" s="387" t="e">
        <f>VLOOKUP(E2730,'[1]NDB Impacted SPRFs 05032013'!$A$2:$A$65536,1,FALSE)</f>
        <v>#N/A</v>
      </c>
      <c r="S2730" s="159"/>
      <c r="T2730" s="159"/>
      <c r="U2730" s="159"/>
      <c r="V2730" s="167"/>
      <c r="W2730" s="167"/>
      <c r="X2730" s="167"/>
      <c r="Y2730" s="167"/>
      <c r="Z2730" s="167"/>
      <c r="AA2730" s="167"/>
      <c r="AB2730" s="167"/>
      <c r="AC2730" s="167"/>
      <c r="AD2730" s="167"/>
      <c r="AE2730" s="167"/>
      <c r="AF2730" s="167"/>
      <c r="AG2730" s="167"/>
      <c r="AH2730" s="167"/>
      <c r="AI2730" s="167"/>
      <c r="AJ2730" s="167"/>
      <c r="AK2730" s="167"/>
      <c r="AL2730" s="167"/>
      <c r="AM2730" s="167"/>
      <c r="AN2730" s="167"/>
      <c r="AO2730" s="167"/>
      <c r="AP2730" s="167"/>
      <c r="AQ2730" s="167"/>
      <c r="AR2730" s="167"/>
      <c r="AS2730" s="167"/>
      <c r="AT2730" s="167"/>
      <c r="AU2730" s="167"/>
      <c r="AV2730" s="167"/>
      <c r="AW2730" s="167"/>
      <c r="AX2730" s="167"/>
      <c r="AY2730" s="167"/>
      <c r="AZ2730" s="167"/>
      <c r="BA2730" s="167"/>
      <c r="BB2730" s="167"/>
      <c r="BC2730" s="167"/>
      <c r="BD2730" s="167"/>
      <c r="BE2730" s="167"/>
      <c r="BF2730" s="167"/>
      <c r="BG2730" s="167"/>
      <c r="BH2730" s="167"/>
      <c r="BI2730" s="167"/>
      <c r="BJ2730" s="167"/>
      <c r="BK2730" s="167"/>
      <c r="BL2730" s="167"/>
      <c r="BM2730" s="167"/>
      <c r="BN2730" s="167"/>
      <c r="BO2730" s="167"/>
      <c r="BP2730" s="167"/>
      <c r="BQ2730" s="167"/>
      <c r="BR2730" s="167"/>
      <c r="BS2730" s="167"/>
      <c r="BT2730" s="167"/>
      <c r="BU2730" s="167"/>
      <c r="BV2730" s="167"/>
      <c r="BW2730" s="167"/>
      <c r="BX2730" s="167"/>
      <c r="BY2730" s="167"/>
      <c r="BZ2730" s="167"/>
      <c r="CA2730" s="167"/>
      <c r="CB2730" s="167"/>
      <c r="CC2730" s="167"/>
      <c r="CD2730" s="167"/>
      <c r="CE2730" s="167"/>
      <c r="CF2730" s="167"/>
      <c r="CG2730" s="167"/>
      <c r="CH2730" s="167"/>
      <c r="CI2730" s="167"/>
      <c r="CJ2730" s="167"/>
      <c r="CK2730" s="167"/>
      <c r="CL2730" s="167"/>
      <c r="CM2730" s="167"/>
      <c r="CN2730" s="167"/>
      <c r="CO2730" s="167"/>
      <c r="CP2730" s="167"/>
      <c r="CQ2730" s="167"/>
      <c r="CR2730" s="167"/>
      <c r="CS2730" s="167"/>
      <c r="CT2730" s="167"/>
      <c r="CU2730" s="167"/>
      <c r="CV2730" s="167"/>
      <c r="CW2730" s="167"/>
      <c r="CX2730" s="167"/>
      <c r="CY2730" s="167"/>
      <c r="CZ2730" s="167"/>
      <c r="DA2730" s="167"/>
      <c r="DB2730" s="167"/>
      <c r="DC2730" s="167"/>
      <c r="DD2730" s="167"/>
      <c r="DE2730" s="167"/>
      <c r="DF2730" s="167"/>
      <c r="DG2730" s="167"/>
      <c r="DH2730" s="167"/>
      <c r="DI2730" s="167"/>
      <c r="DJ2730" s="167"/>
      <c r="DK2730" s="167"/>
      <c r="DL2730" s="167"/>
      <c r="DM2730" s="167"/>
      <c r="DN2730" s="167"/>
      <c r="DO2730" s="167"/>
      <c r="DP2730" s="167"/>
      <c r="DQ2730" s="167"/>
      <c r="DR2730" s="167"/>
      <c r="DS2730" s="167"/>
      <c r="DT2730" s="167"/>
      <c r="DU2730" s="167"/>
      <c r="DV2730" s="167"/>
      <c r="DW2730" s="167"/>
      <c r="DX2730" s="167"/>
      <c r="DY2730" s="167"/>
      <c r="DZ2730" s="167"/>
      <c r="EA2730" s="167"/>
      <c r="EB2730" s="167"/>
      <c r="EC2730" s="167"/>
      <c r="ED2730" s="167"/>
      <c r="EE2730" s="167"/>
      <c r="EF2730" s="167"/>
      <c r="EG2730" s="167"/>
      <c r="EH2730" s="167"/>
      <c r="EI2730" s="167"/>
      <c r="EJ2730" s="167"/>
      <c r="EK2730" s="167"/>
      <c r="EL2730" s="167"/>
      <c r="EM2730" s="167"/>
      <c r="EN2730" s="167"/>
      <c r="EO2730" s="167"/>
      <c r="EP2730" s="167"/>
      <c r="EQ2730" s="167"/>
      <c r="ER2730" s="167"/>
      <c r="ES2730" s="167"/>
      <c r="ET2730" s="167"/>
      <c r="EU2730" s="167"/>
      <c r="EV2730" s="167"/>
      <c r="EW2730" s="167"/>
      <c r="EX2730" s="167"/>
      <c r="EY2730" s="167"/>
      <c r="EZ2730" s="167"/>
      <c r="FA2730" s="167"/>
      <c r="FB2730" s="167"/>
      <c r="FC2730" s="167"/>
      <c r="FD2730" s="167"/>
      <c r="FE2730" s="167"/>
      <c r="FF2730" s="167"/>
      <c r="FG2730" s="167"/>
      <c r="FH2730" s="167"/>
      <c r="FI2730" s="167"/>
      <c r="FJ2730" s="167"/>
      <c r="FK2730" s="167"/>
      <c r="FL2730" s="167"/>
      <c r="FM2730" s="167"/>
      <c r="FN2730" s="167"/>
      <c r="FO2730" s="167"/>
      <c r="FP2730" s="167"/>
      <c r="FQ2730" s="167"/>
      <c r="FR2730" s="167"/>
      <c r="FS2730" s="167"/>
      <c r="FT2730" s="167"/>
      <c r="FU2730" s="167"/>
      <c r="FV2730" s="167"/>
      <c r="FW2730" s="167"/>
      <c r="FX2730" s="167"/>
      <c r="FY2730" s="167"/>
      <c r="FZ2730" s="167"/>
      <c r="GA2730" s="167"/>
      <c r="GB2730" s="167"/>
      <c r="GC2730" s="167"/>
      <c r="GD2730" s="167"/>
      <c r="GE2730" s="167"/>
      <c r="GF2730" s="167"/>
      <c r="GG2730" s="167"/>
      <c r="GH2730" s="167"/>
      <c r="GI2730" s="167"/>
      <c r="GJ2730" s="167"/>
      <c r="GK2730" s="167"/>
      <c r="GL2730" s="167"/>
      <c r="GM2730" s="167"/>
      <c r="GN2730" s="167"/>
      <c r="GO2730" s="167"/>
      <c r="GP2730" s="167"/>
      <c r="GQ2730" s="167"/>
      <c r="GR2730" s="167"/>
      <c r="GS2730" s="167"/>
      <c r="GT2730" s="167"/>
      <c r="GU2730" s="167"/>
      <c r="GV2730" s="167"/>
      <c r="GW2730" s="167"/>
      <c r="GX2730" s="167"/>
      <c r="GY2730" s="167"/>
      <c r="GZ2730" s="167"/>
      <c r="HA2730" s="167"/>
      <c r="HB2730" s="167"/>
      <c r="HC2730" s="167"/>
      <c r="HD2730" s="167"/>
      <c r="HE2730" s="167"/>
      <c r="HF2730" s="167"/>
      <c r="HG2730" s="167"/>
      <c r="HH2730" s="167"/>
      <c r="HI2730" s="167"/>
      <c r="HJ2730" s="167"/>
      <c r="HK2730" s="167"/>
      <c r="HL2730" s="167"/>
      <c r="HM2730" s="167"/>
      <c r="HN2730" s="167"/>
      <c r="HO2730" s="167"/>
      <c r="HP2730" s="167"/>
      <c r="HQ2730" s="167"/>
      <c r="HR2730" s="167"/>
      <c r="HS2730" s="167"/>
      <c r="HT2730" s="167"/>
      <c r="HU2730" s="167"/>
      <c r="HV2730" s="167"/>
      <c r="HW2730" s="167"/>
      <c r="HX2730" s="167"/>
      <c r="HY2730" s="167"/>
      <c r="HZ2730" s="167"/>
      <c r="IA2730" s="167"/>
      <c r="IB2730" s="167"/>
      <c r="IC2730" s="167"/>
      <c r="ID2730" s="167"/>
      <c r="IE2730" s="167"/>
      <c r="IF2730" s="167"/>
      <c r="IG2730" s="167"/>
      <c r="IH2730" s="167"/>
      <c r="II2730" s="167"/>
      <c r="IJ2730" s="167"/>
      <c r="IK2730" s="167"/>
      <c r="IL2730" s="167"/>
      <c r="IM2730" s="167"/>
      <c r="IN2730" s="167"/>
      <c r="IO2730" s="167"/>
      <c r="IP2730" s="167"/>
      <c r="IQ2730" s="167"/>
      <c r="IR2730" s="167"/>
      <c r="IS2730" s="167"/>
      <c r="IT2730" s="167"/>
      <c r="IU2730" s="167"/>
      <c r="IV2730" s="167"/>
    </row>
    <row r="2731" spans="1:256" ht="51" customHeight="1" x14ac:dyDescent="0.25">
      <c r="A2731" s="191">
        <f>MATCH($E2731,'D1 - Master Project Table'!$B$24:$B$7056,0)</f>
        <v>3197</v>
      </c>
      <c r="B2731" s="191" t="b">
        <f t="shared" si="133"/>
        <v>0</v>
      </c>
      <c r="C2731" s="191" t="b">
        <f t="shared" si="134"/>
        <v>0</v>
      </c>
      <c r="D2731" s="191" t="str">
        <f t="shared" si="135"/>
        <v>OK</v>
      </c>
      <c r="E2731" s="247">
        <v>400045474</v>
      </c>
      <c r="F2731" s="248" t="s">
        <v>1109</v>
      </c>
      <c r="G2731" s="248" t="s">
        <v>5995</v>
      </c>
      <c r="H2731" s="248" t="s">
        <v>4917</v>
      </c>
      <c r="I2731" s="248" t="s">
        <v>6423</v>
      </c>
      <c r="J2731" s="248" t="s">
        <v>1110</v>
      </c>
      <c r="K2731" s="248" t="s">
        <v>1111</v>
      </c>
      <c r="L2731" s="248" t="s">
        <v>1112</v>
      </c>
      <c r="M2731" s="248" t="s">
        <v>7273</v>
      </c>
      <c r="N2731" s="248" t="s">
        <v>7273</v>
      </c>
      <c r="O2731" s="248" t="s">
        <v>7273</v>
      </c>
      <c r="P2731"/>
      <c r="Q2731"/>
      <c r="R2731" s="387" t="e">
        <f>VLOOKUP(E2731,'[1]NDB Impacted SPRFs 05032013'!$A$2:$A$65536,1,FALSE)</f>
        <v>#N/A</v>
      </c>
      <c r="V2731" s="167"/>
      <c r="W2731" s="167"/>
      <c r="X2731" s="167"/>
      <c r="Y2731" s="167"/>
      <c r="Z2731" s="167"/>
      <c r="AA2731" s="167"/>
      <c r="AB2731" s="167"/>
      <c r="AC2731" s="167"/>
      <c r="AD2731" s="167"/>
      <c r="AE2731" s="167"/>
      <c r="AF2731" s="167"/>
      <c r="AG2731" s="167"/>
      <c r="AH2731" s="167"/>
      <c r="AI2731" s="167"/>
      <c r="AJ2731" s="167"/>
      <c r="AK2731" s="167"/>
      <c r="AL2731" s="167"/>
      <c r="AM2731" s="167"/>
      <c r="AN2731" s="167"/>
      <c r="AO2731" s="167"/>
      <c r="AP2731" s="167"/>
      <c r="AQ2731" s="167"/>
      <c r="AR2731" s="167"/>
      <c r="AS2731" s="167"/>
      <c r="AT2731" s="167"/>
      <c r="AU2731" s="167"/>
      <c r="AV2731" s="167"/>
      <c r="AW2731" s="167"/>
      <c r="AX2731" s="167"/>
      <c r="AY2731" s="167"/>
      <c r="AZ2731" s="167"/>
      <c r="BA2731" s="167"/>
      <c r="BB2731" s="167"/>
      <c r="BC2731" s="167"/>
      <c r="BD2731" s="167"/>
      <c r="BE2731" s="167"/>
      <c r="BF2731" s="167"/>
      <c r="BG2731" s="167"/>
      <c r="BH2731" s="167"/>
      <c r="BI2731" s="167"/>
      <c r="BJ2731" s="167"/>
      <c r="BK2731" s="167"/>
      <c r="BL2731" s="167"/>
      <c r="BM2731" s="167"/>
      <c r="BN2731" s="167"/>
      <c r="BO2731" s="167"/>
      <c r="BP2731" s="167"/>
      <c r="BQ2731" s="167"/>
      <c r="BR2731" s="167"/>
      <c r="BS2731" s="167"/>
      <c r="BT2731" s="167"/>
      <c r="BU2731" s="167"/>
      <c r="BV2731" s="167"/>
      <c r="BW2731" s="167"/>
      <c r="BX2731" s="167"/>
      <c r="BY2731" s="167"/>
      <c r="BZ2731" s="167"/>
      <c r="CA2731" s="167"/>
      <c r="CB2731" s="167"/>
      <c r="CC2731" s="167"/>
      <c r="CD2731" s="167"/>
      <c r="CE2731" s="167"/>
      <c r="CF2731" s="167"/>
      <c r="CG2731" s="167"/>
      <c r="CH2731" s="167"/>
      <c r="CI2731" s="167"/>
      <c r="CJ2731" s="167"/>
      <c r="CK2731" s="167"/>
      <c r="CL2731" s="167"/>
      <c r="CM2731" s="167"/>
      <c r="CN2731" s="167"/>
      <c r="CO2731" s="167"/>
      <c r="CP2731" s="167"/>
      <c r="CQ2731" s="167"/>
      <c r="CR2731" s="167"/>
      <c r="CS2731" s="167"/>
      <c r="CT2731" s="167"/>
      <c r="CU2731" s="167"/>
      <c r="CV2731" s="167"/>
      <c r="CW2731" s="167"/>
      <c r="CX2731" s="167"/>
      <c r="CY2731" s="167"/>
      <c r="CZ2731" s="167"/>
      <c r="DA2731" s="167"/>
      <c r="DB2731" s="167"/>
      <c r="DC2731" s="167"/>
      <c r="DD2731" s="167"/>
      <c r="DE2731" s="167"/>
      <c r="DF2731" s="167"/>
      <c r="DG2731" s="167"/>
      <c r="DH2731" s="167"/>
      <c r="DI2731" s="167"/>
      <c r="DJ2731" s="167"/>
      <c r="DK2731" s="167"/>
      <c r="DL2731" s="167"/>
      <c r="DM2731" s="167"/>
      <c r="DN2731" s="167"/>
      <c r="DO2731" s="167"/>
      <c r="DP2731" s="167"/>
      <c r="DQ2731" s="167"/>
      <c r="DR2731" s="167"/>
      <c r="DS2731" s="167"/>
      <c r="DT2731" s="167"/>
      <c r="DU2731" s="167"/>
      <c r="DV2731" s="167"/>
      <c r="DW2731" s="167"/>
      <c r="DX2731" s="167"/>
      <c r="DY2731" s="167"/>
      <c r="DZ2731" s="167"/>
      <c r="EA2731" s="167"/>
      <c r="EB2731" s="167"/>
      <c r="EC2731" s="167"/>
      <c r="ED2731" s="167"/>
      <c r="EE2731" s="167"/>
      <c r="EF2731" s="167"/>
      <c r="EG2731" s="167"/>
      <c r="EH2731" s="167"/>
      <c r="EI2731" s="167"/>
      <c r="EJ2731" s="167"/>
      <c r="EK2731" s="167"/>
      <c r="EL2731" s="167"/>
      <c r="EM2731" s="167"/>
      <c r="EN2731" s="167"/>
      <c r="EO2731" s="167"/>
      <c r="EP2731" s="167"/>
      <c r="EQ2731" s="167"/>
      <c r="ER2731" s="167"/>
      <c r="ES2731" s="167"/>
      <c r="ET2731" s="167"/>
      <c r="EU2731" s="167"/>
      <c r="EV2731" s="167"/>
      <c r="EW2731" s="167"/>
      <c r="EX2731" s="167"/>
      <c r="EY2731" s="167"/>
      <c r="EZ2731" s="167"/>
      <c r="FA2731" s="167"/>
      <c r="FB2731" s="167"/>
      <c r="FC2731" s="167"/>
      <c r="FD2731" s="167"/>
      <c r="FE2731" s="167"/>
      <c r="FF2731" s="167"/>
      <c r="FG2731" s="167"/>
      <c r="FH2731" s="167"/>
      <c r="FI2731" s="167"/>
      <c r="FJ2731" s="167"/>
      <c r="FK2731" s="167"/>
      <c r="FL2731" s="167"/>
      <c r="FM2731" s="167"/>
      <c r="FN2731" s="167"/>
      <c r="FO2731" s="167"/>
      <c r="FP2731" s="167"/>
      <c r="FQ2731" s="167"/>
      <c r="FR2731" s="167"/>
      <c r="FS2731" s="167"/>
      <c r="FT2731" s="167"/>
      <c r="FU2731" s="167"/>
      <c r="FV2731" s="167"/>
      <c r="FW2731" s="167"/>
      <c r="FX2731" s="167"/>
      <c r="FY2731" s="167"/>
      <c r="FZ2731" s="167"/>
      <c r="GA2731" s="167"/>
      <c r="GB2731" s="167"/>
      <c r="GC2731" s="167"/>
      <c r="GD2731" s="167"/>
      <c r="GE2731" s="167"/>
      <c r="GF2731" s="167"/>
      <c r="GG2731" s="167"/>
      <c r="GH2731" s="167"/>
      <c r="GI2731" s="167"/>
      <c r="GJ2731" s="167"/>
      <c r="GK2731" s="167"/>
      <c r="GL2731" s="167"/>
      <c r="GM2731" s="167"/>
      <c r="GN2731" s="167"/>
      <c r="GO2731" s="167"/>
      <c r="GP2731" s="167"/>
      <c r="GQ2731" s="167"/>
      <c r="GR2731" s="167"/>
      <c r="GS2731" s="167"/>
      <c r="GT2731" s="167"/>
      <c r="GU2731" s="167"/>
      <c r="GV2731" s="167"/>
      <c r="GW2731" s="167"/>
      <c r="GX2731" s="167"/>
      <c r="GY2731" s="167"/>
      <c r="GZ2731" s="167"/>
      <c r="HA2731" s="167"/>
      <c r="HB2731" s="167"/>
      <c r="HC2731" s="167"/>
      <c r="HD2731" s="167"/>
      <c r="HE2731" s="167"/>
      <c r="HF2731" s="167"/>
      <c r="HG2731" s="167"/>
      <c r="HH2731" s="167"/>
      <c r="HI2731" s="167"/>
      <c r="HJ2731" s="167"/>
      <c r="HK2731" s="167"/>
      <c r="HL2731" s="167"/>
      <c r="HM2731" s="167"/>
      <c r="HN2731" s="167"/>
      <c r="HO2731" s="167"/>
      <c r="HP2731" s="167"/>
      <c r="HQ2731" s="167"/>
      <c r="HR2731" s="167"/>
      <c r="HS2731" s="167"/>
      <c r="HT2731" s="167"/>
      <c r="HU2731" s="167"/>
      <c r="HV2731" s="167"/>
      <c r="HW2731" s="167"/>
      <c r="HX2731" s="167"/>
      <c r="HY2731" s="167"/>
      <c r="HZ2731" s="167"/>
      <c r="IA2731" s="167"/>
      <c r="IB2731" s="167"/>
      <c r="IC2731" s="167"/>
      <c r="ID2731" s="167"/>
      <c r="IE2731" s="167"/>
      <c r="IF2731" s="167"/>
      <c r="IG2731" s="167"/>
      <c r="IH2731" s="167"/>
      <c r="II2731" s="167"/>
      <c r="IJ2731" s="167"/>
      <c r="IK2731" s="167"/>
      <c r="IL2731" s="167"/>
      <c r="IM2731" s="167"/>
      <c r="IN2731" s="167"/>
      <c r="IO2731" s="167"/>
      <c r="IP2731" s="167"/>
      <c r="IQ2731" s="167"/>
      <c r="IR2731" s="167"/>
      <c r="IS2731" s="167"/>
      <c r="IT2731" s="167"/>
      <c r="IU2731" s="167"/>
      <c r="IV2731" s="167"/>
    </row>
    <row r="2732" spans="1:256" ht="51" customHeight="1" x14ac:dyDescent="0.25">
      <c r="A2732" s="191">
        <f>MATCH($E2732,'D1 - Master Project Table'!$B$24:$B$7056,0)</f>
        <v>211</v>
      </c>
      <c r="B2732" s="191" t="b">
        <f t="shared" si="133"/>
        <v>0</v>
      </c>
      <c r="C2732" s="191" t="b">
        <f t="shared" si="134"/>
        <v>0</v>
      </c>
      <c r="D2732" s="191" t="str">
        <f t="shared" si="135"/>
        <v>OK</v>
      </c>
      <c r="E2732" s="247">
        <v>400049472</v>
      </c>
      <c r="F2732" s="248" t="s">
        <v>1687</v>
      </c>
      <c r="G2732" s="248" t="s">
        <v>6322</v>
      </c>
      <c r="H2732" s="248" t="s">
        <v>4388</v>
      </c>
      <c r="I2732" s="248" t="s">
        <v>7594</v>
      </c>
      <c r="J2732" s="248" t="s">
        <v>7233</v>
      </c>
      <c r="K2732" s="248" t="s">
        <v>1688</v>
      </c>
      <c r="L2732" s="248" t="s">
        <v>1020</v>
      </c>
      <c r="M2732" s="248" t="s">
        <v>7273</v>
      </c>
      <c r="N2732" s="248" t="s">
        <v>7273</v>
      </c>
      <c r="O2732" s="248" t="s">
        <v>7273</v>
      </c>
      <c r="P2732"/>
      <c r="Q2732"/>
      <c r="R2732" s="387" t="e">
        <f>VLOOKUP(E2732,'[1]NDB Impacted SPRFs 05032013'!$A$2:$A$65536,1,FALSE)</f>
        <v>#N/A</v>
      </c>
      <c r="S2732" s="159"/>
      <c r="T2732" s="159"/>
      <c r="U2732" s="159"/>
      <c r="V2732" s="167"/>
      <c r="W2732" s="167"/>
      <c r="X2732" s="167"/>
      <c r="Y2732" s="167"/>
      <c r="Z2732" s="167"/>
      <c r="AA2732" s="167"/>
      <c r="AB2732" s="167"/>
      <c r="AC2732" s="167"/>
      <c r="AD2732" s="167"/>
      <c r="AE2732" s="167"/>
      <c r="AF2732" s="167"/>
      <c r="AG2732" s="167"/>
      <c r="AH2732" s="167"/>
      <c r="AI2732" s="167"/>
      <c r="AJ2732" s="167"/>
      <c r="AK2732" s="167"/>
      <c r="AL2732" s="167"/>
      <c r="AM2732" s="167"/>
      <c r="AN2732" s="167"/>
      <c r="AO2732" s="167"/>
      <c r="AP2732" s="167"/>
      <c r="AQ2732" s="167"/>
      <c r="AR2732" s="167"/>
      <c r="AS2732" s="167"/>
      <c r="AT2732" s="167"/>
      <c r="AU2732" s="167"/>
      <c r="AV2732" s="167"/>
      <c r="AW2732" s="167"/>
      <c r="AX2732" s="167"/>
      <c r="AY2732" s="167"/>
      <c r="AZ2732" s="167"/>
      <c r="BA2732" s="167"/>
      <c r="BB2732" s="167"/>
      <c r="BC2732" s="167"/>
      <c r="BD2732" s="167"/>
      <c r="BE2732" s="167"/>
      <c r="BF2732" s="167"/>
      <c r="BG2732" s="167"/>
      <c r="BH2732" s="167"/>
      <c r="BI2732" s="167"/>
      <c r="BJ2732" s="167"/>
      <c r="BK2732" s="167"/>
      <c r="BL2732" s="167"/>
      <c r="BM2732" s="167"/>
      <c r="BN2732" s="167"/>
      <c r="BO2732" s="167"/>
      <c r="BP2732" s="167"/>
      <c r="BQ2732" s="167"/>
      <c r="BR2732" s="167"/>
      <c r="BS2732" s="167"/>
      <c r="BT2732" s="167"/>
      <c r="BU2732" s="167"/>
      <c r="BV2732" s="167"/>
      <c r="BW2732" s="167"/>
      <c r="BX2732" s="167"/>
      <c r="BY2732" s="167"/>
      <c r="BZ2732" s="167"/>
      <c r="CA2732" s="167"/>
      <c r="CB2732" s="167"/>
      <c r="CC2732" s="167"/>
      <c r="CD2732" s="167"/>
      <c r="CE2732" s="167"/>
      <c r="CF2732" s="167"/>
      <c r="CG2732" s="167"/>
      <c r="CH2732" s="167"/>
      <c r="CI2732" s="167"/>
      <c r="CJ2732" s="167"/>
      <c r="CK2732" s="167"/>
      <c r="CL2732" s="167"/>
      <c r="CM2732" s="167"/>
      <c r="CN2732" s="167"/>
      <c r="CO2732" s="167"/>
      <c r="CP2732" s="167"/>
      <c r="CQ2732" s="167"/>
      <c r="CR2732" s="167"/>
      <c r="CS2732" s="167"/>
      <c r="CT2732" s="167"/>
      <c r="CU2732" s="167"/>
      <c r="CV2732" s="167"/>
      <c r="CW2732" s="167"/>
      <c r="CX2732" s="167"/>
      <c r="CY2732" s="167"/>
      <c r="CZ2732" s="167"/>
      <c r="DA2732" s="167"/>
      <c r="DB2732" s="167"/>
      <c r="DC2732" s="167"/>
      <c r="DD2732" s="167"/>
      <c r="DE2732" s="167"/>
      <c r="DF2732" s="167"/>
      <c r="DG2732" s="167"/>
      <c r="DH2732" s="167"/>
      <c r="DI2732" s="167"/>
      <c r="DJ2732" s="167"/>
      <c r="DK2732" s="167"/>
      <c r="DL2732" s="167"/>
      <c r="DM2732" s="167"/>
      <c r="DN2732" s="167"/>
      <c r="DO2732" s="167"/>
      <c r="DP2732" s="167"/>
      <c r="DQ2732" s="167"/>
      <c r="DR2732" s="167"/>
      <c r="DS2732" s="167"/>
      <c r="DT2732" s="167"/>
      <c r="DU2732" s="167"/>
      <c r="DV2732" s="167"/>
      <c r="DW2732" s="167"/>
      <c r="DX2732" s="167"/>
      <c r="DY2732" s="167"/>
      <c r="DZ2732" s="167"/>
      <c r="EA2732" s="167"/>
      <c r="EB2732" s="167"/>
      <c r="EC2732" s="167"/>
      <c r="ED2732" s="167"/>
      <c r="EE2732" s="167"/>
      <c r="EF2732" s="167"/>
      <c r="EG2732" s="167"/>
      <c r="EH2732" s="167"/>
      <c r="EI2732" s="167"/>
      <c r="EJ2732" s="167"/>
      <c r="EK2732" s="167"/>
      <c r="EL2732" s="167"/>
      <c r="EM2732" s="167"/>
      <c r="EN2732" s="167"/>
      <c r="EO2732" s="167"/>
      <c r="EP2732" s="167"/>
      <c r="EQ2732" s="167"/>
      <c r="ER2732" s="167"/>
      <c r="ES2732" s="167"/>
      <c r="ET2732" s="167"/>
      <c r="EU2732" s="167"/>
      <c r="EV2732" s="167"/>
      <c r="EW2732" s="167"/>
      <c r="EX2732" s="167"/>
      <c r="EY2732" s="167"/>
      <c r="EZ2732" s="167"/>
      <c r="FA2732" s="167"/>
      <c r="FB2732" s="167"/>
      <c r="FC2732" s="167"/>
      <c r="FD2732" s="167"/>
      <c r="FE2732" s="167"/>
      <c r="FF2732" s="167"/>
      <c r="FG2732" s="167"/>
      <c r="FH2732" s="167"/>
      <c r="FI2732" s="167"/>
      <c r="FJ2732" s="167"/>
      <c r="FK2732" s="167"/>
      <c r="FL2732" s="167"/>
      <c r="FM2732" s="167"/>
      <c r="FN2732" s="167"/>
      <c r="FO2732" s="167"/>
      <c r="FP2732" s="167"/>
      <c r="FQ2732" s="167"/>
      <c r="FR2732" s="167"/>
      <c r="FS2732" s="167"/>
      <c r="FT2732" s="167"/>
      <c r="FU2732" s="167"/>
      <c r="FV2732" s="167"/>
      <c r="FW2732" s="167"/>
      <c r="FX2732" s="167"/>
      <c r="FY2732" s="167"/>
      <c r="FZ2732" s="167"/>
      <c r="GA2732" s="167"/>
      <c r="GB2732" s="167"/>
      <c r="GC2732" s="167"/>
      <c r="GD2732" s="167"/>
      <c r="GE2732" s="167"/>
      <c r="GF2732" s="167"/>
      <c r="GG2732" s="167"/>
      <c r="GH2732" s="167"/>
      <c r="GI2732" s="167"/>
      <c r="GJ2732" s="167"/>
      <c r="GK2732" s="167"/>
      <c r="GL2732" s="167"/>
      <c r="GM2732" s="167"/>
      <c r="GN2732" s="167"/>
      <c r="GO2732" s="167"/>
      <c r="GP2732" s="167"/>
      <c r="GQ2732" s="167"/>
      <c r="GR2732" s="167"/>
      <c r="GS2732" s="167"/>
      <c r="GT2732" s="167"/>
      <c r="GU2732" s="167"/>
      <c r="GV2732" s="167"/>
      <c r="GW2732" s="167"/>
      <c r="GX2732" s="167"/>
      <c r="GY2732" s="167"/>
      <c r="GZ2732" s="167"/>
      <c r="HA2732" s="167"/>
      <c r="HB2732" s="167"/>
      <c r="HC2732" s="167"/>
      <c r="HD2732" s="167"/>
      <c r="HE2732" s="167"/>
      <c r="HF2732" s="167"/>
      <c r="HG2732" s="167"/>
      <c r="HH2732" s="167"/>
      <c r="HI2732" s="167"/>
      <c r="HJ2732" s="167"/>
      <c r="HK2732" s="167"/>
      <c r="HL2732" s="167"/>
      <c r="HM2732" s="167"/>
      <c r="HN2732" s="167"/>
      <c r="HO2732" s="167"/>
      <c r="HP2732" s="167"/>
      <c r="HQ2732" s="167"/>
      <c r="HR2732" s="167"/>
      <c r="HS2732" s="167"/>
      <c r="HT2732" s="167"/>
      <c r="HU2732" s="167"/>
      <c r="HV2732" s="167"/>
      <c r="HW2732" s="167"/>
      <c r="HX2732" s="167"/>
      <c r="HY2732" s="167"/>
      <c r="HZ2732" s="167"/>
      <c r="IA2732" s="167"/>
      <c r="IB2732" s="167"/>
      <c r="IC2732" s="167"/>
      <c r="ID2732" s="167"/>
      <c r="IE2732" s="167"/>
      <c r="IF2732" s="167"/>
      <c r="IG2732" s="167"/>
      <c r="IH2732" s="167"/>
      <c r="II2732" s="167"/>
      <c r="IJ2732" s="167"/>
      <c r="IK2732" s="167"/>
      <c r="IL2732" s="167"/>
      <c r="IM2732" s="167"/>
      <c r="IN2732" s="167"/>
      <c r="IO2732" s="167"/>
      <c r="IP2732" s="167"/>
      <c r="IQ2732" s="167"/>
      <c r="IR2732" s="167"/>
      <c r="IS2732" s="167"/>
      <c r="IT2732" s="167"/>
      <c r="IU2732" s="167"/>
      <c r="IV2732" s="167"/>
    </row>
    <row r="2733" spans="1:256" ht="51" customHeight="1" x14ac:dyDescent="0.25">
      <c r="A2733" s="191">
        <f>MATCH($E2733,'D1 - Master Project Table'!$B$24:$B$7056,0)</f>
        <v>3209</v>
      </c>
      <c r="B2733" s="191" t="b">
        <f t="shared" si="133"/>
        <v>0</v>
      </c>
      <c r="C2733" s="191" t="b">
        <f t="shared" si="134"/>
        <v>0</v>
      </c>
      <c r="D2733" s="191" t="str">
        <f t="shared" si="135"/>
        <v>OK</v>
      </c>
      <c r="E2733" s="239">
        <v>400048008</v>
      </c>
      <c r="F2733" s="240" t="s">
        <v>1710</v>
      </c>
      <c r="G2733" s="240" t="s">
        <v>5001</v>
      </c>
      <c r="H2733" s="240" t="s">
        <v>8012</v>
      </c>
      <c r="I2733" s="240" t="s">
        <v>2655</v>
      </c>
      <c r="J2733" s="240" t="s">
        <v>2189</v>
      </c>
      <c r="K2733" s="240" t="s">
        <v>2190</v>
      </c>
      <c r="L2733" s="240" t="s">
        <v>774</v>
      </c>
      <c r="M2733" s="240" t="s">
        <v>7273</v>
      </c>
      <c r="N2733" s="240" t="s">
        <v>7273</v>
      </c>
      <c r="O2733" s="240" t="s">
        <v>7273</v>
      </c>
      <c r="P2733"/>
      <c r="Q2733"/>
      <c r="R2733" s="387" t="e">
        <f>VLOOKUP(E2733,'[1]NDB Impacted SPRFs 05032013'!$A$2:$A$65536,1,FALSE)</f>
        <v>#N/A</v>
      </c>
      <c r="V2733" s="167"/>
      <c r="W2733" s="167"/>
      <c r="X2733" s="167"/>
      <c r="Y2733" s="167"/>
      <c r="Z2733" s="167"/>
      <c r="AA2733" s="167"/>
      <c r="AB2733" s="167"/>
      <c r="AC2733" s="167"/>
      <c r="AD2733" s="167"/>
      <c r="AE2733" s="167"/>
      <c r="AF2733" s="167"/>
      <c r="AG2733" s="167"/>
      <c r="AH2733" s="167"/>
      <c r="AI2733" s="167"/>
      <c r="AJ2733" s="167"/>
      <c r="AK2733" s="167"/>
      <c r="AL2733" s="167"/>
      <c r="AM2733" s="167"/>
      <c r="AN2733" s="167"/>
      <c r="AO2733" s="167"/>
      <c r="AP2733" s="167"/>
      <c r="AQ2733" s="167"/>
      <c r="AR2733" s="167"/>
      <c r="AS2733" s="167"/>
      <c r="AT2733" s="167"/>
      <c r="AU2733" s="167"/>
      <c r="AV2733" s="167"/>
      <c r="AW2733" s="167"/>
      <c r="AX2733" s="167"/>
      <c r="AY2733" s="167"/>
      <c r="AZ2733" s="167"/>
      <c r="BA2733" s="167"/>
      <c r="BB2733" s="167"/>
      <c r="BC2733" s="167"/>
      <c r="BD2733" s="167"/>
      <c r="BE2733" s="167"/>
      <c r="BF2733" s="167"/>
      <c r="BG2733" s="167"/>
      <c r="BH2733" s="167"/>
      <c r="BI2733" s="167"/>
      <c r="BJ2733" s="167"/>
      <c r="BK2733" s="167"/>
      <c r="BL2733" s="167"/>
      <c r="BM2733" s="167"/>
      <c r="BN2733" s="167"/>
      <c r="BO2733" s="167"/>
      <c r="BP2733" s="167"/>
      <c r="BQ2733" s="167"/>
      <c r="BR2733" s="167"/>
      <c r="BS2733" s="167"/>
      <c r="BT2733" s="167"/>
      <c r="BU2733" s="167"/>
      <c r="BV2733" s="167"/>
      <c r="BW2733" s="167"/>
      <c r="BX2733" s="167"/>
      <c r="BY2733" s="167"/>
      <c r="BZ2733" s="167"/>
      <c r="CA2733" s="167"/>
      <c r="CB2733" s="167"/>
      <c r="CC2733" s="167"/>
      <c r="CD2733" s="167"/>
      <c r="CE2733" s="167"/>
      <c r="CF2733" s="167"/>
      <c r="CG2733" s="167"/>
      <c r="CH2733" s="167"/>
      <c r="CI2733" s="167"/>
      <c r="CJ2733" s="167"/>
      <c r="CK2733" s="167"/>
      <c r="CL2733" s="167"/>
      <c r="CM2733" s="167"/>
      <c r="CN2733" s="167"/>
      <c r="CO2733" s="167"/>
      <c r="CP2733" s="167"/>
      <c r="CQ2733" s="167"/>
      <c r="CR2733" s="167"/>
      <c r="CS2733" s="167"/>
      <c r="CT2733" s="167"/>
      <c r="CU2733" s="167"/>
      <c r="CV2733" s="167"/>
      <c r="CW2733" s="167"/>
      <c r="CX2733" s="167"/>
      <c r="CY2733" s="167"/>
      <c r="CZ2733" s="167"/>
      <c r="DA2733" s="167"/>
      <c r="DB2733" s="167"/>
      <c r="DC2733" s="167"/>
      <c r="DD2733" s="167"/>
      <c r="DE2733" s="167"/>
      <c r="DF2733" s="167"/>
      <c r="DG2733" s="167"/>
      <c r="DH2733" s="167"/>
      <c r="DI2733" s="167"/>
      <c r="DJ2733" s="167"/>
      <c r="DK2733" s="167"/>
      <c r="DL2733" s="167"/>
      <c r="DM2733" s="167"/>
      <c r="DN2733" s="167"/>
      <c r="DO2733" s="167"/>
      <c r="DP2733" s="167"/>
      <c r="DQ2733" s="167"/>
      <c r="DR2733" s="167"/>
      <c r="DS2733" s="167"/>
      <c r="DT2733" s="167"/>
      <c r="DU2733" s="167"/>
      <c r="DV2733" s="167"/>
      <c r="DW2733" s="167"/>
      <c r="DX2733" s="167"/>
      <c r="DY2733" s="167"/>
      <c r="DZ2733" s="167"/>
      <c r="EA2733" s="167"/>
      <c r="EB2733" s="167"/>
      <c r="EC2733" s="167"/>
      <c r="ED2733" s="167"/>
      <c r="EE2733" s="167"/>
      <c r="EF2733" s="167"/>
      <c r="EG2733" s="167"/>
      <c r="EH2733" s="167"/>
      <c r="EI2733" s="167"/>
      <c r="EJ2733" s="167"/>
      <c r="EK2733" s="167"/>
      <c r="EL2733" s="167"/>
      <c r="EM2733" s="167"/>
      <c r="EN2733" s="167"/>
      <c r="EO2733" s="167"/>
      <c r="EP2733" s="167"/>
      <c r="EQ2733" s="167"/>
      <c r="ER2733" s="167"/>
      <c r="ES2733" s="167"/>
      <c r="ET2733" s="167"/>
      <c r="EU2733" s="167"/>
      <c r="EV2733" s="167"/>
      <c r="EW2733" s="167"/>
      <c r="EX2733" s="167"/>
      <c r="EY2733" s="167"/>
      <c r="EZ2733" s="167"/>
      <c r="FA2733" s="167"/>
      <c r="FB2733" s="167"/>
      <c r="FC2733" s="167"/>
      <c r="FD2733" s="167"/>
      <c r="FE2733" s="167"/>
      <c r="FF2733" s="167"/>
      <c r="FG2733" s="167"/>
      <c r="FH2733" s="167"/>
      <c r="FI2733" s="167"/>
      <c r="FJ2733" s="167"/>
      <c r="FK2733" s="167"/>
      <c r="FL2733" s="167"/>
      <c r="FM2733" s="167"/>
      <c r="FN2733" s="167"/>
      <c r="FO2733" s="167"/>
      <c r="FP2733" s="167"/>
      <c r="FQ2733" s="167"/>
      <c r="FR2733" s="167"/>
      <c r="FS2733" s="167"/>
      <c r="FT2733" s="167"/>
      <c r="FU2733" s="167"/>
      <c r="FV2733" s="167"/>
      <c r="FW2733" s="167"/>
      <c r="FX2733" s="167"/>
      <c r="FY2733" s="167"/>
      <c r="FZ2733" s="167"/>
      <c r="GA2733" s="167"/>
      <c r="GB2733" s="167"/>
      <c r="GC2733" s="167"/>
      <c r="GD2733" s="167"/>
      <c r="GE2733" s="167"/>
      <c r="GF2733" s="167"/>
      <c r="GG2733" s="167"/>
      <c r="GH2733" s="167"/>
      <c r="GI2733" s="167"/>
      <c r="GJ2733" s="167"/>
      <c r="GK2733" s="167"/>
      <c r="GL2733" s="167"/>
      <c r="GM2733" s="167"/>
      <c r="GN2733" s="167"/>
      <c r="GO2733" s="167"/>
      <c r="GP2733" s="167"/>
      <c r="GQ2733" s="167"/>
      <c r="GR2733" s="167"/>
      <c r="GS2733" s="167"/>
      <c r="GT2733" s="167"/>
      <c r="GU2733" s="167"/>
      <c r="GV2733" s="167"/>
      <c r="GW2733" s="167"/>
      <c r="GX2733" s="167"/>
      <c r="GY2733" s="167"/>
      <c r="GZ2733" s="167"/>
      <c r="HA2733" s="167"/>
      <c r="HB2733" s="167"/>
      <c r="HC2733" s="167"/>
      <c r="HD2733" s="167"/>
      <c r="HE2733" s="167"/>
      <c r="HF2733" s="167"/>
      <c r="HG2733" s="167"/>
      <c r="HH2733" s="167"/>
      <c r="HI2733" s="167"/>
      <c r="HJ2733" s="167"/>
      <c r="HK2733" s="167"/>
      <c r="HL2733" s="167"/>
      <c r="HM2733" s="167"/>
      <c r="HN2733" s="167"/>
      <c r="HO2733" s="167"/>
      <c r="HP2733" s="167"/>
      <c r="HQ2733" s="167"/>
      <c r="HR2733" s="167"/>
      <c r="HS2733" s="167"/>
      <c r="HT2733" s="167"/>
      <c r="HU2733" s="167"/>
      <c r="HV2733" s="167"/>
      <c r="HW2733" s="167"/>
      <c r="HX2733" s="167"/>
      <c r="HY2733" s="167"/>
      <c r="HZ2733" s="167"/>
      <c r="IA2733" s="167"/>
      <c r="IB2733" s="167"/>
      <c r="IC2733" s="167"/>
      <c r="ID2733" s="167"/>
      <c r="IE2733" s="167"/>
      <c r="IF2733" s="167"/>
      <c r="IG2733" s="167"/>
      <c r="IH2733" s="167"/>
      <c r="II2733" s="167"/>
      <c r="IJ2733" s="167"/>
      <c r="IK2733" s="167"/>
      <c r="IL2733" s="167"/>
      <c r="IM2733" s="167"/>
      <c r="IN2733" s="167"/>
      <c r="IO2733" s="167"/>
      <c r="IP2733" s="167"/>
      <c r="IQ2733" s="167"/>
      <c r="IR2733" s="167"/>
      <c r="IS2733" s="167"/>
      <c r="IT2733" s="167"/>
      <c r="IU2733" s="167"/>
      <c r="IV2733" s="167"/>
    </row>
    <row r="2734" spans="1:256" ht="51" customHeight="1" x14ac:dyDescent="0.25">
      <c r="A2734" s="191">
        <f>MATCH($E2734,'D1 - Master Project Table'!$B$24:$B$7056,0)</f>
        <v>3203</v>
      </c>
      <c r="B2734" s="191" t="b">
        <f t="shared" si="133"/>
        <v>0</v>
      </c>
      <c r="C2734" s="191" t="b">
        <f t="shared" si="134"/>
        <v>0</v>
      </c>
      <c r="D2734" s="191" t="str">
        <f t="shared" si="135"/>
        <v>OK</v>
      </c>
      <c r="E2734" s="229">
        <v>400047453</v>
      </c>
      <c r="F2734" s="230" t="s">
        <v>1350</v>
      </c>
      <c r="G2734" s="230" t="s">
        <v>5324</v>
      </c>
      <c r="H2734" s="230" t="s">
        <v>8012</v>
      </c>
      <c r="I2734" s="230" t="s">
        <v>1759</v>
      </c>
      <c r="J2734" s="230" t="s">
        <v>7476</v>
      </c>
      <c r="K2734" s="230" t="s">
        <v>1351</v>
      </c>
      <c r="L2734" s="230" t="s">
        <v>1545</v>
      </c>
      <c r="M2734" s="230" t="s">
        <v>3758</v>
      </c>
      <c r="N2734" s="230" t="s">
        <v>7273</v>
      </c>
      <c r="O2734" s="230" t="s">
        <v>3758</v>
      </c>
      <c r="P2734"/>
      <c r="Q2734"/>
      <c r="R2734" s="387" t="e">
        <f>VLOOKUP(E2734,'[1]NDB Impacted SPRFs 05032013'!$A$2:$A$65536,1,FALSE)</f>
        <v>#N/A</v>
      </c>
      <c r="S2734" s="159"/>
      <c r="T2734" s="159"/>
      <c r="U2734" s="159"/>
      <c r="V2734" s="167"/>
      <c r="W2734" s="167"/>
      <c r="X2734" s="167"/>
      <c r="Y2734" s="167"/>
      <c r="Z2734" s="167"/>
      <c r="AA2734" s="167"/>
      <c r="AB2734" s="167"/>
      <c r="AC2734" s="167"/>
      <c r="AD2734" s="167"/>
      <c r="AE2734" s="167"/>
      <c r="AF2734" s="167"/>
      <c r="AG2734" s="167"/>
      <c r="AH2734" s="167"/>
      <c r="AI2734" s="167"/>
      <c r="AJ2734" s="167"/>
      <c r="AK2734" s="167"/>
      <c r="AL2734" s="167"/>
      <c r="AM2734" s="167"/>
      <c r="AN2734" s="167"/>
      <c r="AO2734" s="167"/>
      <c r="AP2734" s="167"/>
      <c r="AQ2734" s="167"/>
      <c r="AR2734" s="167"/>
      <c r="AS2734" s="167"/>
      <c r="AT2734" s="167"/>
      <c r="AU2734" s="167"/>
      <c r="AV2734" s="167"/>
      <c r="AW2734" s="167"/>
      <c r="AX2734" s="167"/>
      <c r="AY2734" s="167"/>
      <c r="AZ2734" s="167"/>
      <c r="BA2734" s="167"/>
      <c r="BB2734" s="167"/>
      <c r="BC2734" s="167"/>
      <c r="BD2734" s="167"/>
      <c r="BE2734" s="167"/>
      <c r="BF2734" s="167"/>
      <c r="BG2734" s="167"/>
      <c r="BH2734" s="167"/>
      <c r="BI2734" s="167"/>
      <c r="BJ2734" s="167"/>
      <c r="BK2734" s="167"/>
      <c r="BL2734" s="167"/>
      <c r="BM2734" s="167"/>
      <c r="BN2734" s="167"/>
      <c r="BO2734" s="167"/>
      <c r="BP2734" s="167"/>
      <c r="BQ2734" s="167"/>
      <c r="BR2734" s="167"/>
      <c r="BS2734" s="167"/>
      <c r="BT2734" s="167"/>
      <c r="BU2734" s="167"/>
      <c r="BV2734" s="167"/>
      <c r="BW2734" s="167"/>
      <c r="BX2734" s="167"/>
      <c r="BY2734" s="167"/>
      <c r="BZ2734" s="167"/>
      <c r="CA2734" s="167"/>
      <c r="CB2734" s="167"/>
      <c r="CC2734" s="167"/>
      <c r="CD2734" s="167"/>
      <c r="CE2734" s="167"/>
      <c r="CF2734" s="167"/>
      <c r="CG2734" s="167"/>
      <c r="CH2734" s="167"/>
      <c r="CI2734" s="167"/>
      <c r="CJ2734" s="167"/>
      <c r="CK2734" s="167"/>
      <c r="CL2734" s="167"/>
      <c r="CM2734" s="167"/>
      <c r="CN2734" s="167"/>
      <c r="CO2734" s="167"/>
      <c r="CP2734" s="167"/>
      <c r="CQ2734" s="167"/>
      <c r="CR2734" s="167"/>
      <c r="CS2734" s="167"/>
      <c r="CT2734" s="167"/>
      <c r="CU2734" s="167"/>
      <c r="CV2734" s="167"/>
      <c r="CW2734" s="167"/>
      <c r="CX2734" s="167"/>
      <c r="CY2734" s="167"/>
      <c r="CZ2734" s="167"/>
      <c r="DA2734" s="167"/>
      <c r="DB2734" s="167"/>
      <c r="DC2734" s="167"/>
      <c r="DD2734" s="167"/>
      <c r="DE2734" s="167"/>
      <c r="DF2734" s="167"/>
      <c r="DG2734" s="167"/>
      <c r="DH2734" s="167"/>
      <c r="DI2734" s="167"/>
      <c r="DJ2734" s="167"/>
      <c r="DK2734" s="167"/>
      <c r="DL2734" s="167"/>
      <c r="DM2734" s="167"/>
      <c r="DN2734" s="167"/>
      <c r="DO2734" s="167"/>
      <c r="DP2734" s="167"/>
      <c r="DQ2734" s="167"/>
      <c r="DR2734" s="167"/>
      <c r="DS2734" s="167"/>
      <c r="DT2734" s="167"/>
      <c r="DU2734" s="167"/>
      <c r="DV2734" s="167"/>
      <c r="DW2734" s="167"/>
      <c r="DX2734" s="167"/>
      <c r="DY2734" s="167"/>
      <c r="DZ2734" s="167"/>
      <c r="EA2734" s="167"/>
      <c r="EB2734" s="167"/>
      <c r="EC2734" s="167"/>
      <c r="ED2734" s="167"/>
      <c r="EE2734" s="167"/>
      <c r="EF2734" s="167"/>
      <c r="EG2734" s="167"/>
      <c r="EH2734" s="167"/>
      <c r="EI2734" s="167"/>
      <c r="EJ2734" s="167"/>
      <c r="EK2734" s="167"/>
      <c r="EL2734" s="167"/>
      <c r="EM2734" s="167"/>
      <c r="EN2734" s="167"/>
      <c r="EO2734" s="167"/>
      <c r="EP2734" s="167"/>
      <c r="EQ2734" s="167"/>
      <c r="ER2734" s="167"/>
      <c r="ES2734" s="167"/>
      <c r="ET2734" s="167"/>
      <c r="EU2734" s="167"/>
      <c r="EV2734" s="167"/>
      <c r="EW2734" s="167"/>
      <c r="EX2734" s="167"/>
      <c r="EY2734" s="167"/>
      <c r="EZ2734" s="167"/>
      <c r="FA2734" s="167"/>
      <c r="FB2734" s="167"/>
      <c r="FC2734" s="167"/>
      <c r="FD2734" s="167"/>
      <c r="FE2734" s="167"/>
      <c r="FF2734" s="167"/>
      <c r="FG2734" s="167"/>
      <c r="FH2734" s="167"/>
      <c r="FI2734" s="167"/>
      <c r="FJ2734" s="167"/>
      <c r="FK2734" s="167"/>
      <c r="FL2734" s="167"/>
      <c r="FM2734" s="167"/>
      <c r="FN2734" s="167"/>
      <c r="FO2734" s="167"/>
      <c r="FP2734" s="167"/>
      <c r="FQ2734" s="167"/>
      <c r="FR2734" s="167"/>
      <c r="FS2734" s="167"/>
      <c r="FT2734" s="167"/>
      <c r="FU2734" s="167"/>
      <c r="FV2734" s="167"/>
      <c r="FW2734" s="167"/>
      <c r="FX2734" s="167"/>
      <c r="FY2734" s="167"/>
      <c r="FZ2734" s="167"/>
      <c r="GA2734" s="167"/>
      <c r="GB2734" s="167"/>
      <c r="GC2734" s="167"/>
      <c r="GD2734" s="167"/>
      <c r="GE2734" s="167"/>
      <c r="GF2734" s="167"/>
      <c r="GG2734" s="167"/>
      <c r="GH2734" s="167"/>
      <c r="GI2734" s="167"/>
      <c r="GJ2734" s="167"/>
      <c r="GK2734" s="167"/>
      <c r="GL2734" s="167"/>
      <c r="GM2734" s="167"/>
      <c r="GN2734" s="167"/>
      <c r="GO2734" s="167"/>
      <c r="GP2734" s="167"/>
      <c r="GQ2734" s="167"/>
      <c r="GR2734" s="167"/>
      <c r="GS2734" s="167"/>
      <c r="GT2734" s="167"/>
      <c r="GU2734" s="167"/>
      <c r="GV2734" s="167"/>
      <c r="GW2734" s="167"/>
      <c r="GX2734" s="167"/>
      <c r="GY2734" s="167"/>
      <c r="GZ2734" s="167"/>
      <c r="HA2734" s="167"/>
      <c r="HB2734" s="167"/>
      <c r="HC2734" s="167"/>
      <c r="HD2734" s="167"/>
      <c r="HE2734" s="167"/>
      <c r="HF2734" s="167"/>
      <c r="HG2734" s="167"/>
      <c r="HH2734" s="167"/>
      <c r="HI2734" s="167"/>
      <c r="HJ2734" s="167"/>
      <c r="HK2734" s="167"/>
      <c r="HL2734" s="167"/>
      <c r="HM2734" s="167"/>
      <c r="HN2734" s="167"/>
      <c r="HO2734" s="167"/>
      <c r="HP2734" s="167"/>
      <c r="HQ2734" s="167"/>
      <c r="HR2734" s="167"/>
      <c r="HS2734" s="167"/>
      <c r="HT2734" s="167"/>
      <c r="HU2734" s="167"/>
      <c r="HV2734" s="167"/>
      <c r="HW2734" s="167"/>
      <c r="HX2734" s="167"/>
      <c r="HY2734" s="167"/>
      <c r="HZ2734" s="167"/>
      <c r="IA2734" s="167"/>
      <c r="IB2734" s="167"/>
      <c r="IC2734" s="167"/>
      <c r="ID2734" s="167"/>
      <c r="IE2734" s="167"/>
      <c r="IF2734" s="167"/>
      <c r="IG2734" s="167"/>
      <c r="IH2734" s="167"/>
      <c r="II2734" s="167"/>
      <c r="IJ2734" s="167"/>
      <c r="IK2734" s="167"/>
      <c r="IL2734" s="167"/>
      <c r="IM2734" s="167"/>
      <c r="IN2734" s="167"/>
      <c r="IO2734" s="167"/>
      <c r="IP2734" s="167"/>
      <c r="IQ2734" s="167"/>
      <c r="IR2734" s="167"/>
      <c r="IS2734" s="167"/>
      <c r="IT2734" s="167"/>
      <c r="IU2734" s="167"/>
      <c r="IV2734" s="167"/>
    </row>
    <row r="2735" spans="1:256" ht="51" customHeight="1" x14ac:dyDescent="0.25">
      <c r="A2735" s="191">
        <f>MATCH($E2735,'D1 - Master Project Table'!$B$24:$B$7056,0)</f>
        <v>3213</v>
      </c>
      <c r="B2735" s="191" t="b">
        <f t="shared" si="133"/>
        <v>0</v>
      </c>
      <c r="C2735" s="191" t="b">
        <f t="shared" si="134"/>
        <v>0</v>
      </c>
      <c r="D2735" s="191" t="str">
        <f t="shared" si="135"/>
        <v>OK</v>
      </c>
      <c r="E2735" s="229">
        <v>400048602</v>
      </c>
      <c r="F2735" s="230" t="s">
        <v>500</v>
      </c>
      <c r="G2735" s="230" t="s">
        <v>6322</v>
      </c>
      <c r="H2735" s="230" t="s">
        <v>8012</v>
      </c>
      <c r="I2735" s="230" t="s">
        <v>7594</v>
      </c>
      <c r="J2735" s="230" t="s">
        <v>499</v>
      </c>
      <c r="K2735" s="230" t="s">
        <v>4978</v>
      </c>
      <c r="L2735" s="230" t="s">
        <v>7260</v>
      </c>
      <c r="M2735" s="230" t="s">
        <v>7273</v>
      </c>
      <c r="N2735" s="230" t="s">
        <v>7273</v>
      </c>
      <c r="O2735" s="230" t="s">
        <v>7273</v>
      </c>
      <c r="P2735"/>
      <c r="Q2735"/>
      <c r="R2735" s="387" t="e">
        <f>VLOOKUP(E2735,'[1]NDB Impacted SPRFs 05032013'!$A$2:$A$65536,1,FALSE)</f>
        <v>#N/A</v>
      </c>
      <c r="S2735" s="159"/>
      <c r="T2735" s="159"/>
      <c r="U2735" s="159"/>
      <c r="V2735" s="167"/>
      <c r="W2735" s="167"/>
      <c r="X2735" s="167"/>
      <c r="Y2735" s="167"/>
      <c r="Z2735" s="167"/>
      <c r="AA2735" s="167"/>
      <c r="AB2735" s="167"/>
      <c r="AC2735" s="167"/>
      <c r="AD2735" s="167"/>
      <c r="AE2735" s="167"/>
      <c r="AF2735" s="167"/>
      <c r="AG2735" s="167"/>
      <c r="AH2735" s="167"/>
      <c r="AI2735" s="167"/>
      <c r="AJ2735" s="167"/>
      <c r="AK2735" s="167"/>
      <c r="AL2735" s="167"/>
      <c r="AM2735" s="167"/>
      <c r="AN2735" s="167"/>
      <c r="AO2735" s="167"/>
      <c r="AP2735" s="167"/>
      <c r="AQ2735" s="167"/>
      <c r="AR2735" s="167"/>
      <c r="AS2735" s="167"/>
      <c r="AT2735" s="167"/>
      <c r="AU2735" s="167"/>
      <c r="AV2735" s="167"/>
      <c r="AW2735" s="167"/>
      <c r="AX2735" s="167"/>
      <c r="AY2735" s="167"/>
      <c r="AZ2735" s="167"/>
      <c r="BA2735" s="167"/>
      <c r="BB2735" s="167"/>
      <c r="BC2735" s="167"/>
      <c r="BD2735" s="167"/>
      <c r="BE2735" s="167"/>
      <c r="BF2735" s="167"/>
      <c r="BG2735" s="167"/>
      <c r="BH2735" s="167"/>
      <c r="BI2735" s="167"/>
      <c r="BJ2735" s="167"/>
      <c r="BK2735" s="167"/>
      <c r="BL2735" s="167"/>
      <c r="BM2735" s="167"/>
      <c r="BN2735" s="167"/>
      <c r="BO2735" s="167"/>
      <c r="BP2735" s="167"/>
      <c r="BQ2735" s="167"/>
      <c r="BR2735" s="167"/>
      <c r="BS2735" s="167"/>
      <c r="BT2735" s="167"/>
      <c r="BU2735" s="167"/>
      <c r="BV2735" s="167"/>
      <c r="BW2735" s="167"/>
      <c r="BX2735" s="167"/>
      <c r="BY2735" s="167"/>
      <c r="BZ2735" s="167"/>
      <c r="CA2735" s="167"/>
      <c r="CB2735" s="167"/>
      <c r="CC2735" s="167"/>
      <c r="CD2735" s="167"/>
      <c r="CE2735" s="167"/>
      <c r="CF2735" s="167"/>
      <c r="CG2735" s="167"/>
      <c r="CH2735" s="167"/>
      <c r="CI2735" s="167"/>
      <c r="CJ2735" s="167"/>
      <c r="CK2735" s="167"/>
      <c r="CL2735" s="167"/>
      <c r="CM2735" s="167"/>
      <c r="CN2735" s="167"/>
      <c r="CO2735" s="167"/>
      <c r="CP2735" s="167"/>
      <c r="CQ2735" s="167"/>
      <c r="CR2735" s="167"/>
      <c r="CS2735" s="167"/>
      <c r="CT2735" s="167"/>
      <c r="CU2735" s="167"/>
      <c r="CV2735" s="167"/>
      <c r="CW2735" s="167"/>
      <c r="CX2735" s="167"/>
      <c r="CY2735" s="167"/>
      <c r="CZ2735" s="167"/>
      <c r="DA2735" s="167"/>
      <c r="DB2735" s="167"/>
      <c r="DC2735" s="167"/>
      <c r="DD2735" s="167"/>
      <c r="DE2735" s="167"/>
      <c r="DF2735" s="167"/>
      <c r="DG2735" s="167"/>
      <c r="DH2735" s="167"/>
      <c r="DI2735" s="167"/>
      <c r="DJ2735" s="167"/>
      <c r="DK2735" s="167"/>
      <c r="DL2735" s="167"/>
      <c r="DM2735" s="167"/>
      <c r="DN2735" s="167"/>
      <c r="DO2735" s="167"/>
      <c r="DP2735" s="167"/>
      <c r="DQ2735" s="167"/>
      <c r="DR2735" s="167"/>
      <c r="DS2735" s="167"/>
      <c r="DT2735" s="167"/>
      <c r="DU2735" s="167"/>
      <c r="DV2735" s="167"/>
      <c r="DW2735" s="167"/>
      <c r="DX2735" s="167"/>
      <c r="DY2735" s="167"/>
      <c r="DZ2735" s="167"/>
      <c r="EA2735" s="167"/>
      <c r="EB2735" s="167"/>
      <c r="EC2735" s="167"/>
      <c r="ED2735" s="167"/>
      <c r="EE2735" s="167"/>
      <c r="EF2735" s="167"/>
      <c r="EG2735" s="167"/>
      <c r="EH2735" s="167"/>
      <c r="EI2735" s="167"/>
      <c r="EJ2735" s="167"/>
      <c r="EK2735" s="167"/>
      <c r="EL2735" s="167"/>
      <c r="EM2735" s="167"/>
      <c r="EN2735" s="167"/>
      <c r="EO2735" s="167"/>
      <c r="EP2735" s="167"/>
      <c r="EQ2735" s="167"/>
      <c r="ER2735" s="167"/>
      <c r="ES2735" s="167"/>
      <c r="ET2735" s="167"/>
      <c r="EU2735" s="167"/>
      <c r="EV2735" s="167"/>
      <c r="EW2735" s="167"/>
      <c r="EX2735" s="167"/>
      <c r="EY2735" s="167"/>
      <c r="EZ2735" s="167"/>
      <c r="FA2735" s="167"/>
      <c r="FB2735" s="167"/>
      <c r="FC2735" s="167"/>
      <c r="FD2735" s="167"/>
      <c r="FE2735" s="167"/>
      <c r="FF2735" s="167"/>
      <c r="FG2735" s="167"/>
      <c r="FH2735" s="167"/>
      <c r="FI2735" s="167"/>
      <c r="FJ2735" s="167"/>
      <c r="FK2735" s="167"/>
      <c r="FL2735" s="167"/>
      <c r="FM2735" s="167"/>
      <c r="FN2735" s="167"/>
      <c r="FO2735" s="167"/>
      <c r="FP2735" s="167"/>
      <c r="FQ2735" s="167"/>
      <c r="FR2735" s="167"/>
      <c r="FS2735" s="167"/>
      <c r="FT2735" s="167"/>
      <c r="FU2735" s="167"/>
      <c r="FV2735" s="167"/>
      <c r="FW2735" s="167"/>
      <c r="FX2735" s="167"/>
      <c r="FY2735" s="167"/>
      <c r="FZ2735" s="167"/>
      <c r="GA2735" s="167"/>
      <c r="GB2735" s="167"/>
      <c r="GC2735" s="167"/>
      <c r="GD2735" s="167"/>
      <c r="GE2735" s="167"/>
      <c r="GF2735" s="167"/>
      <c r="GG2735" s="167"/>
      <c r="GH2735" s="167"/>
      <c r="GI2735" s="167"/>
      <c r="GJ2735" s="167"/>
      <c r="GK2735" s="167"/>
      <c r="GL2735" s="167"/>
      <c r="GM2735" s="167"/>
      <c r="GN2735" s="167"/>
      <c r="GO2735" s="167"/>
      <c r="GP2735" s="167"/>
      <c r="GQ2735" s="167"/>
      <c r="GR2735" s="167"/>
      <c r="GS2735" s="167"/>
      <c r="GT2735" s="167"/>
      <c r="GU2735" s="167"/>
      <c r="GV2735" s="167"/>
      <c r="GW2735" s="167"/>
      <c r="GX2735" s="167"/>
      <c r="GY2735" s="167"/>
      <c r="GZ2735" s="167"/>
      <c r="HA2735" s="167"/>
      <c r="HB2735" s="167"/>
      <c r="HC2735" s="167"/>
      <c r="HD2735" s="167"/>
      <c r="HE2735" s="167"/>
      <c r="HF2735" s="167"/>
      <c r="HG2735" s="167"/>
      <c r="HH2735" s="167"/>
      <c r="HI2735" s="167"/>
      <c r="HJ2735" s="167"/>
      <c r="HK2735" s="167"/>
      <c r="HL2735" s="167"/>
      <c r="HM2735" s="167"/>
      <c r="HN2735" s="167"/>
      <c r="HO2735" s="167"/>
      <c r="HP2735" s="167"/>
      <c r="HQ2735" s="167"/>
      <c r="HR2735" s="167"/>
      <c r="HS2735" s="167"/>
      <c r="HT2735" s="167"/>
      <c r="HU2735" s="167"/>
      <c r="HV2735" s="167"/>
      <c r="HW2735" s="167"/>
      <c r="HX2735" s="167"/>
      <c r="HY2735" s="167"/>
      <c r="HZ2735" s="167"/>
      <c r="IA2735" s="167"/>
      <c r="IB2735" s="167"/>
      <c r="IC2735" s="167"/>
      <c r="ID2735" s="167"/>
      <c r="IE2735" s="167"/>
      <c r="IF2735" s="167"/>
      <c r="IG2735" s="167"/>
      <c r="IH2735" s="167"/>
      <c r="II2735" s="167"/>
      <c r="IJ2735" s="167"/>
      <c r="IK2735" s="167"/>
      <c r="IL2735" s="167"/>
      <c r="IM2735" s="167"/>
      <c r="IN2735" s="167"/>
      <c r="IO2735" s="167"/>
      <c r="IP2735" s="167"/>
      <c r="IQ2735" s="167"/>
      <c r="IR2735" s="167"/>
      <c r="IS2735" s="167"/>
      <c r="IT2735" s="167"/>
      <c r="IU2735" s="167"/>
      <c r="IV2735" s="167"/>
    </row>
    <row r="2736" spans="1:256" ht="51" customHeight="1" x14ac:dyDescent="0.25">
      <c r="A2736" s="191">
        <f>MATCH($E2736,'D1 - Master Project Table'!$B$24:$B$7056,0)</f>
        <v>3214</v>
      </c>
      <c r="B2736" s="191" t="b">
        <f t="shared" si="133"/>
        <v>0</v>
      </c>
      <c r="C2736" s="191" t="b">
        <f t="shared" si="134"/>
        <v>0</v>
      </c>
      <c r="D2736" s="191" t="str">
        <f t="shared" si="135"/>
        <v>OK</v>
      </c>
      <c r="E2736" s="229">
        <v>400048603</v>
      </c>
      <c r="F2736" s="230" t="s">
        <v>501</v>
      </c>
      <c r="G2736" s="230" t="s">
        <v>6322</v>
      </c>
      <c r="H2736" s="230" t="s">
        <v>8012</v>
      </c>
      <c r="I2736" s="230" t="s">
        <v>7594</v>
      </c>
      <c r="J2736" s="230" t="s">
        <v>499</v>
      </c>
      <c r="K2736" s="230" t="s">
        <v>4978</v>
      </c>
      <c r="L2736" s="230" t="s">
        <v>7260</v>
      </c>
      <c r="M2736" s="230" t="s">
        <v>7273</v>
      </c>
      <c r="N2736" s="230" t="s">
        <v>7273</v>
      </c>
      <c r="O2736" s="230" t="s">
        <v>7273</v>
      </c>
      <c r="P2736"/>
      <c r="Q2736"/>
      <c r="R2736" s="387" t="e">
        <f>VLOOKUP(E2736,'[1]NDB Impacted SPRFs 05032013'!$A$2:$A$65536,1,FALSE)</f>
        <v>#N/A</v>
      </c>
      <c r="S2736" s="159"/>
      <c r="T2736" s="159"/>
      <c r="U2736" s="159"/>
      <c r="V2736" s="167"/>
      <c r="W2736" s="167"/>
      <c r="X2736" s="167"/>
      <c r="Y2736" s="167"/>
      <c r="Z2736" s="167"/>
      <c r="AA2736" s="167"/>
      <c r="AB2736" s="167"/>
      <c r="AC2736" s="167"/>
      <c r="AD2736" s="167"/>
      <c r="AE2736" s="167"/>
      <c r="AF2736" s="167"/>
      <c r="AG2736" s="167"/>
      <c r="AH2736" s="167"/>
      <c r="AI2736" s="167"/>
      <c r="AJ2736" s="167"/>
      <c r="AK2736" s="167"/>
      <c r="AL2736" s="167"/>
      <c r="AM2736" s="167"/>
      <c r="AN2736" s="167"/>
      <c r="AO2736" s="167"/>
      <c r="AP2736" s="167"/>
      <c r="AQ2736" s="167"/>
      <c r="AR2736" s="167"/>
      <c r="AS2736" s="167"/>
      <c r="AT2736" s="167"/>
      <c r="AU2736" s="167"/>
      <c r="AV2736" s="167"/>
      <c r="AW2736" s="167"/>
      <c r="AX2736" s="167"/>
      <c r="AY2736" s="167"/>
      <c r="AZ2736" s="167"/>
      <c r="BA2736" s="167"/>
      <c r="BB2736" s="167"/>
      <c r="BC2736" s="167"/>
      <c r="BD2736" s="167"/>
      <c r="BE2736" s="167"/>
      <c r="BF2736" s="167"/>
      <c r="BG2736" s="167"/>
      <c r="BH2736" s="167"/>
      <c r="BI2736" s="167"/>
      <c r="BJ2736" s="167"/>
      <c r="BK2736" s="167"/>
      <c r="BL2736" s="167"/>
      <c r="BM2736" s="167"/>
      <c r="BN2736" s="167"/>
      <c r="BO2736" s="167"/>
      <c r="BP2736" s="167"/>
      <c r="BQ2736" s="167"/>
      <c r="BR2736" s="167"/>
      <c r="BS2736" s="167"/>
      <c r="BT2736" s="167"/>
      <c r="BU2736" s="167"/>
      <c r="BV2736" s="167"/>
      <c r="BW2736" s="167"/>
      <c r="BX2736" s="167"/>
      <c r="BY2736" s="167"/>
      <c r="BZ2736" s="167"/>
      <c r="CA2736" s="167"/>
      <c r="CB2736" s="167"/>
      <c r="CC2736" s="167"/>
      <c r="CD2736" s="167"/>
      <c r="CE2736" s="167"/>
      <c r="CF2736" s="167"/>
      <c r="CG2736" s="167"/>
      <c r="CH2736" s="167"/>
      <c r="CI2736" s="167"/>
      <c r="CJ2736" s="167"/>
      <c r="CK2736" s="167"/>
      <c r="CL2736" s="167"/>
      <c r="CM2736" s="167"/>
      <c r="CN2736" s="167"/>
      <c r="CO2736" s="167"/>
      <c r="CP2736" s="167"/>
      <c r="CQ2736" s="167"/>
      <c r="CR2736" s="167"/>
      <c r="CS2736" s="167"/>
      <c r="CT2736" s="167"/>
      <c r="CU2736" s="167"/>
      <c r="CV2736" s="167"/>
      <c r="CW2736" s="167"/>
      <c r="CX2736" s="167"/>
      <c r="CY2736" s="167"/>
      <c r="CZ2736" s="167"/>
      <c r="DA2736" s="167"/>
      <c r="DB2736" s="167"/>
      <c r="DC2736" s="167"/>
      <c r="DD2736" s="167"/>
      <c r="DE2736" s="167"/>
      <c r="DF2736" s="167"/>
      <c r="DG2736" s="167"/>
      <c r="DH2736" s="167"/>
      <c r="DI2736" s="167"/>
      <c r="DJ2736" s="167"/>
      <c r="DK2736" s="167"/>
      <c r="DL2736" s="167"/>
      <c r="DM2736" s="167"/>
      <c r="DN2736" s="167"/>
      <c r="DO2736" s="167"/>
      <c r="DP2736" s="167"/>
      <c r="DQ2736" s="167"/>
      <c r="DR2736" s="167"/>
      <c r="DS2736" s="167"/>
      <c r="DT2736" s="167"/>
      <c r="DU2736" s="167"/>
      <c r="DV2736" s="167"/>
      <c r="DW2736" s="167"/>
      <c r="DX2736" s="167"/>
      <c r="DY2736" s="167"/>
      <c r="DZ2736" s="167"/>
      <c r="EA2736" s="167"/>
      <c r="EB2736" s="167"/>
      <c r="EC2736" s="167"/>
      <c r="ED2736" s="167"/>
      <c r="EE2736" s="167"/>
      <c r="EF2736" s="167"/>
      <c r="EG2736" s="167"/>
      <c r="EH2736" s="167"/>
      <c r="EI2736" s="167"/>
      <c r="EJ2736" s="167"/>
      <c r="EK2736" s="167"/>
      <c r="EL2736" s="167"/>
      <c r="EM2736" s="167"/>
      <c r="EN2736" s="167"/>
      <c r="EO2736" s="167"/>
      <c r="EP2736" s="167"/>
      <c r="EQ2736" s="167"/>
      <c r="ER2736" s="167"/>
      <c r="ES2736" s="167"/>
      <c r="ET2736" s="167"/>
      <c r="EU2736" s="167"/>
      <c r="EV2736" s="167"/>
      <c r="EW2736" s="167"/>
      <c r="EX2736" s="167"/>
      <c r="EY2736" s="167"/>
      <c r="EZ2736" s="167"/>
      <c r="FA2736" s="167"/>
      <c r="FB2736" s="167"/>
      <c r="FC2736" s="167"/>
      <c r="FD2736" s="167"/>
      <c r="FE2736" s="167"/>
      <c r="FF2736" s="167"/>
      <c r="FG2736" s="167"/>
      <c r="FH2736" s="167"/>
      <c r="FI2736" s="167"/>
      <c r="FJ2736" s="167"/>
      <c r="FK2736" s="167"/>
      <c r="FL2736" s="167"/>
      <c r="FM2736" s="167"/>
      <c r="FN2736" s="167"/>
      <c r="FO2736" s="167"/>
      <c r="FP2736" s="167"/>
      <c r="FQ2736" s="167"/>
      <c r="FR2736" s="167"/>
      <c r="FS2736" s="167"/>
      <c r="FT2736" s="167"/>
      <c r="FU2736" s="167"/>
      <c r="FV2736" s="167"/>
      <c r="FW2736" s="167"/>
      <c r="FX2736" s="167"/>
      <c r="FY2736" s="167"/>
      <c r="FZ2736" s="167"/>
      <c r="GA2736" s="167"/>
      <c r="GB2736" s="167"/>
      <c r="GC2736" s="167"/>
      <c r="GD2736" s="167"/>
      <c r="GE2736" s="167"/>
      <c r="GF2736" s="167"/>
      <c r="GG2736" s="167"/>
      <c r="GH2736" s="167"/>
      <c r="GI2736" s="167"/>
      <c r="GJ2736" s="167"/>
      <c r="GK2736" s="167"/>
      <c r="GL2736" s="167"/>
      <c r="GM2736" s="167"/>
      <c r="GN2736" s="167"/>
      <c r="GO2736" s="167"/>
      <c r="GP2736" s="167"/>
      <c r="GQ2736" s="167"/>
      <c r="GR2736" s="167"/>
      <c r="GS2736" s="167"/>
      <c r="GT2736" s="167"/>
      <c r="GU2736" s="167"/>
      <c r="GV2736" s="167"/>
      <c r="GW2736" s="167"/>
      <c r="GX2736" s="167"/>
      <c r="GY2736" s="167"/>
      <c r="GZ2736" s="167"/>
      <c r="HA2736" s="167"/>
      <c r="HB2736" s="167"/>
      <c r="HC2736" s="167"/>
      <c r="HD2736" s="167"/>
      <c r="HE2736" s="167"/>
      <c r="HF2736" s="167"/>
      <c r="HG2736" s="167"/>
      <c r="HH2736" s="167"/>
      <c r="HI2736" s="167"/>
      <c r="HJ2736" s="167"/>
      <c r="HK2736" s="167"/>
      <c r="HL2736" s="167"/>
      <c r="HM2736" s="167"/>
      <c r="HN2736" s="167"/>
      <c r="HO2736" s="167"/>
      <c r="HP2736" s="167"/>
      <c r="HQ2736" s="167"/>
      <c r="HR2736" s="167"/>
      <c r="HS2736" s="167"/>
      <c r="HT2736" s="167"/>
      <c r="HU2736" s="167"/>
      <c r="HV2736" s="167"/>
      <c r="HW2736" s="167"/>
      <c r="HX2736" s="167"/>
      <c r="HY2736" s="167"/>
      <c r="HZ2736" s="167"/>
      <c r="IA2736" s="167"/>
      <c r="IB2736" s="167"/>
      <c r="IC2736" s="167"/>
      <c r="ID2736" s="167"/>
      <c r="IE2736" s="167"/>
      <c r="IF2736" s="167"/>
      <c r="IG2736" s="167"/>
      <c r="IH2736" s="167"/>
      <c r="II2736" s="167"/>
      <c r="IJ2736" s="167"/>
      <c r="IK2736" s="167"/>
      <c r="IL2736" s="167"/>
      <c r="IM2736" s="167"/>
      <c r="IN2736" s="167"/>
      <c r="IO2736" s="167"/>
      <c r="IP2736" s="167"/>
      <c r="IQ2736" s="167"/>
      <c r="IR2736" s="167"/>
      <c r="IS2736" s="167"/>
      <c r="IT2736" s="167"/>
      <c r="IU2736" s="167"/>
      <c r="IV2736" s="167"/>
    </row>
    <row r="2737" spans="1:256" ht="51" customHeight="1" x14ac:dyDescent="0.25">
      <c r="A2737" s="191">
        <f>MATCH($E2737,'D1 - Master Project Table'!$B$24:$B$7056,0)</f>
        <v>3215</v>
      </c>
      <c r="B2737" s="191" t="b">
        <f t="shared" si="133"/>
        <v>0</v>
      </c>
      <c r="C2737" s="191" t="b">
        <f t="shared" si="134"/>
        <v>0</v>
      </c>
      <c r="D2737" s="191" t="str">
        <f t="shared" si="135"/>
        <v>OK</v>
      </c>
      <c r="E2737" s="229">
        <v>400048604</v>
      </c>
      <c r="F2737" s="230" t="s">
        <v>1542</v>
      </c>
      <c r="G2737" s="230" t="s">
        <v>6322</v>
      </c>
      <c r="H2737" s="230" t="s">
        <v>8012</v>
      </c>
      <c r="I2737" s="230" t="s">
        <v>7594</v>
      </c>
      <c r="J2737" s="230" t="s">
        <v>499</v>
      </c>
      <c r="K2737" s="230" t="s">
        <v>4978</v>
      </c>
      <c r="L2737" s="230" t="s">
        <v>7260</v>
      </c>
      <c r="M2737" s="230" t="s">
        <v>7273</v>
      </c>
      <c r="N2737" s="230" t="s">
        <v>7273</v>
      </c>
      <c r="O2737" s="230" t="s">
        <v>7273</v>
      </c>
      <c r="P2737"/>
      <c r="Q2737"/>
      <c r="R2737" s="387" t="e">
        <f>VLOOKUP(E2737,'[1]NDB Impacted SPRFs 05032013'!$A$2:$A$65536,1,FALSE)</f>
        <v>#N/A</v>
      </c>
      <c r="S2737" s="159"/>
      <c r="T2737" s="159"/>
      <c r="U2737" s="159"/>
      <c r="V2737" s="167"/>
      <c r="W2737" s="167"/>
      <c r="X2737" s="167"/>
      <c r="Y2737" s="167"/>
      <c r="Z2737" s="167"/>
      <c r="AA2737" s="167"/>
      <c r="AB2737" s="167"/>
      <c r="AC2737" s="167"/>
      <c r="AD2737" s="167"/>
      <c r="AE2737" s="167"/>
      <c r="AF2737" s="167"/>
      <c r="AG2737" s="167"/>
      <c r="AH2737" s="167"/>
      <c r="AI2737" s="167"/>
      <c r="AJ2737" s="167"/>
      <c r="AK2737" s="167"/>
      <c r="AL2737" s="167"/>
      <c r="AM2737" s="167"/>
      <c r="AN2737" s="167"/>
      <c r="AO2737" s="167"/>
      <c r="AP2737" s="167"/>
      <c r="AQ2737" s="167"/>
      <c r="AR2737" s="167"/>
      <c r="AS2737" s="167"/>
      <c r="AT2737" s="167"/>
      <c r="AU2737" s="167"/>
      <c r="AV2737" s="167"/>
      <c r="AW2737" s="167"/>
      <c r="AX2737" s="167"/>
      <c r="AY2737" s="167"/>
      <c r="AZ2737" s="167"/>
      <c r="BA2737" s="167"/>
      <c r="BB2737" s="167"/>
      <c r="BC2737" s="167"/>
      <c r="BD2737" s="167"/>
      <c r="BE2737" s="167"/>
      <c r="BF2737" s="167"/>
      <c r="BG2737" s="167"/>
      <c r="BH2737" s="167"/>
      <c r="BI2737" s="167"/>
      <c r="BJ2737" s="167"/>
      <c r="BK2737" s="167"/>
      <c r="BL2737" s="167"/>
      <c r="BM2737" s="167"/>
      <c r="BN2737" s="167"/>
      <c r="BO2737" s="167"/>
      <c r="BP2737" s="167"/>
      <c r="BQ2737" s="167"/>
      <c r="BR2737" s="167"/>
      <c r="BS2737" s="167"/>
      <c r="BT2737" s="167"/>
      <c r="BU2737" s="167"/>
      <c r="BV2737" s="167"/>
      <c r="BW2737" s="167"/>
      <c r="BX2737" s="167"/>
      <c r="BY2737" s="167"/>
      <c r="BZ2737" s="167"/>
      <c r="CA2737" s="167"/>
      <c r="CB2737" s="167"/>
      <c r="CC2737" s="167"/>
      <c r="CD2737" s="167"/>
      <c r="CE2737" s="167"/>
      <c r="CF2737" s="167"/>
      <c r="CG2737" s="167"/>
      <c r="CH2737" s="167"/>
      <c r="CI2737" s="167"/>
      <c r="CJ2737" s="167"/>
      <c r="CK2737" s="167"/>
      <c r="CL2737" s="167"/>
      <c r="CM2737" s="167"/>
      <c r="CN2737" s="167"/>
      <c r="CO2737" s="167"/>
      <c r="CP2737" s="167"/>
      <c r="CQ2737" s="167"/>
      <c r="CR2737" s="167"/>
      <c r="CS2737" s="167"/>
      <c r="CT2737" s="167"/>
      <c r="CU2737" s="167"/>
      <c r="CV2737" s="167"/>
      <c r="CW2737" s="167"/>
      <c r="CX2737" s="167"/>
      <c r="CY2737" s="167"/>
      <c r="CZ2737" s="167"/>
      <c r="DA2737" s="167"/>
      <c r="DB2737" s="167"/>
      <c r="DC2737" s="167"/>
      <c r="DD2737" s="167"/>
      <c r="DE2737" s="167"/>
      <c r="DF2737" s="167"/>
      <c r="DG2737" s="167"/>
      <c r="DH2737" s="167"/>
      <c r="DI2737" s="167"/>
      <c r="DJ2737" s="167"/>
      <c r="DK2737" s="167"/>
      <c r="DL2737" s="167"/>
      <c r="DM2737" s="167"/>
      <c r="DN2737" s="167"/>
      <c r="DO2737" s="167"/>
      <c r="DP2737" s="167"/>
      <c r="DQ2737" s="167"/>
      <c r="DR2737" s="167"/>
      <c r="DS2737" s="167"/>
      <c r="DT2737" s="167"/>
      <c r="DU2737" s="167"/>
      <c r="DV2737" s="167"/>
      <c r="DW2737" s="167"/>
      <c r="DX2737" s="167"/>
      <c r="DY2737" s="167"/>
      <c r="DZ2737" s="167"/>
      <c r="EA2737" s="167"/>
      <c r="EB2737" s="167"/>
      <c r="EC2737" s="167"/>
      <c r="ED2737" s="167"/>
      <c r="EE2737" s="167"/>
      <c r="EF2737" s="167"/>
      <c r="EG2737" s="167"/>
      <c r="EH2737" s="167"/>
      <c r="EI2737" s="167"/>
      <c r="EJ2737" s="167"/>
      <c r="EK2737" s="167"/>
      <c r="EL2737" s="167"/>
      <c r="EM2737" s="167"/>
      <c r="EN2737" s="167"/>
      <c r="EO2737" s="167"/>
      <c r="EP2737" s="167"/>
      <c r="EQ2737" s="167"/>
      <c r="ER2737" s="167"/>
      <c r="ES2737" s="167"/>
      <c r="ET2737" s="167"/>
      <c r="EU2737" s="167"/>
      <c r="EV2737" s="167"/>
      <c r="EW2737" s="167"/>
      <c r="EX2737" s="167"/>
      <c r="EY2737" s="167"/>
      <c r="EZ2737" s="167"/>
      <c r="FA2737" s="167"/>
      <c r="FB2737" s="167"/>
      <c r="FC2737" s="167"/>
      <c r="FD2737" s="167"/>
      <c r="FE2737" s="167"/>
      <c r="FF2737" s="167"/>
      <c r="FG2737" s="167"/>
      <c r="FH2737" s="167"/>
      <c r="FI2737" s="167"/>
      <c r="FJ2737" s="167"/>
      <c r="FK2737" s="167"/>
      <c r="FL2737" s="167"/>
      <c r="FM2737" s="167"/>
      <c r="FN2737" s="167"/>
      <c r="FO2737" s="167"/>
      <c r="FP2737" s="167"/>
      <c r="FQ2737" s="167"/>
      <c r="FR2737" s="167"/>
      <c r="FS2737" s="167"/>
      <c r="FT2737" s="167"/>
      <c r="FU2737" s="167"/>
      <c r="FV2737" s="167"/>
      <c r="FW2737" s="167"/>
      <c r="FX2737" s="167"/>
      <c r="FY2737" s="167"/>
      <c r="FZ2737" s="167"/>
      <c r="GA2737" s="167"/>
      <c r="GB2737" s="167"/>
      <c r="GC2737" s="167"/>
      <c r="GD2737" s="167"/>
      <c r="GE2737" s="167"/>
      <c r="GF2737" s="167"/>
      <c r="GG2737" s="167"/>
      <c r="GH2737" s="167"/>
      <c r="GI2737" s="167"/>
      <c r="GJ2737" s="167"/>
      <c r="GK2737" s="167"/>
      <c r="GL2737" s="167"/>
      <c r="GM2737" s="167"/>
      <c r="GN2737" s="167"/>
      <c r="GO2737" s="167"/>
      <c r="GP2737" s="167"/>
      <c r="GQ2737" s="167"/>
      <c r="GR2737" s="167"/>
      <c r="GS2737" s="167"/>
      <c r="GT2737" s="167"/>
      <c r="GU2737" s="167"/>
      <c r="GV2737" s="167"/>
      <c r="GW2737" s="167"/>
      <c r="GX2737" s="167"/>
      <c r="GY2737" s="167"/>
      <c r="GZ2737" s="167"/>
      <c r="HA2737" s="167"/>
      <c r="HB2737" s="167"/>
      <c r="HC2737" s="167"/>
      <c r="HD2737" s="167"/>
      <c r="HE2737" s="167"/>
      <c r="HF2737" s="167"/>
      <c r="HG2737" s="167"/>
      <c r="HH2737" s="167"/>
      <c r="HI2737" s="167"/>
      <c r="HJ2737" s="167"/>
      <c r="HK2737" s="167"/>
      <c r="HL2737" s="167"/>
      <c r="HM2737" s="167"/>
      <c r="HN2737" s="167"/>
      <c r="HO2737" s="167"/>
      <c r="HP2737" s="167"/>
      <c r="HQ2737" s="167"/>
      <c r="HR2737" s="167"/>
      <c r="HS2737" s="167"/>
      <c r="HT2737" s="167"/>
      <c r="HU2737" s="167"/>
      <c r="HV2737" s="167"/>
      <c r="HW2737" s="167"/>
      <c r="HX2737" s="167"/>
      <c r="HY2737" s="167"/>
      <c r="HZ2737" s="167"/>
      <c r="IA2737" s="167"/>
      <c r="IB2737" s="167"/>
      <c r="IC2737" s="167"/>
      <c r="ID2737" s="167"/>
      <c r="IE2737" s="167"/>
      <c r="IF2737" s="167"/>
      <c r="IG2737" s="167"/>
      <c r="IH2737" s="167"/>
      <c r="II2737" s="167"/>
      <c r="IJ2737" s="167"/>
      <c r="IK2737" s="167"/>
      <c r="IL2737" s="167"/>
      <c r="IM2737" s="167"/>
      <c r="IN2737" s="167"/>
      <c r="IO2737" s="167"/>
      <c r="IP2737" s="167"/>
      <c r="IQ2737" s="167"/>
      <c r="IR2737" s="167"/>
      <c r="IS2737" s="167"/>
      <c r="IT2737" s="167"/>
      <c r="IU2737" s="167"/>
      <c r="IV2737" s="167"/>
    </row>
    <row r="2738" spans="1:256" ht="51" customHeight="1" x14ac:dyDescent="0.25">
      <c r="A2738" s="191">
        <f>MATCH($E2738,'D1 - Master Project Table'!$B$24:$B$7056,0)</f>
        <v>3205</v>
      </c>
      <c r="B2738" s="191" t="b">
        <f t="shared" si="133"/>
        <v>0</v>
      </c>
      <c r="C2738" s="191" t="b">
        <f t="shared" si="134"/>
        <v>0</v>
      </c>
      <c r="D2738" s="191" t="str">
        <f t="shared" si="135"/>
        <v>OK</v>
      </c>
      <c r="E2738" s="229">
        <v>400047553</v>
      </c>
      <c r="F2738" s="230" t="s">
        <v>125</v>
      </c>
      <c r="G2738" s="230" t="s">
        <v>5995</v>
      </c>
      <c r="H2738" s="230" t="s">
        <v>8012</v>
      </c>
      <c r="I2738" s="230" t="s">
        <v>6423</v>
      </c>
      <c r="J2738" s="230" t="s">
        <v>5652</v>
      </c>
      <c r="K2738" s="230" t="s">
        <v>4114</v>
      </c>
      <c r="L2738" s="230" t="s">
        <v>497</v>
      </c>
      <c r="M2738" s="230" t="s">
        <v>7273</v>
      </c>
      <c r="N2738" s="230" t="s">
        <v>7273</v>
      </c>
      <c r="O2738" s="230" t="s">
        <v>7273</v>
      </c>
      <c r="P2738"/>
      <c r="Q2738"/>
      <c r="R2738" s="387" t="e">
        <f>VLOOKUP(E2738,'[1]NDB Impacted SPRFs 05032013'!$A$2:$A$65536,1,FALSE)</f>
        <v>#N/A</v>
      </c>
      <c r="V2738" s="167"/>
      <c r="W2738" s="167"/>
      <c r="X2738" s="167"/>
      <c r="Y2738" s="167"/>
      <c r="Z2738" s="167"/>
      <c r="AA2738" s="167"/>
      <c r="AB2738" s="167"/>
      <c r="AC2738" s="167"/>
      <c r="AD2738" s="167"/>
      <c r="AE2738" s="167"/>
      <c r="AF2738" s="167"/>
      <c r="AG2738" s="167"/>
      <c r="AH2738" s="167"/>
      <c r="AI2738" s="167"/>
      <c r="AJ2738" s="167"/>
      <c r="AK2738" s="167"/>
      <c r="AL2738" s="167"/>
      <c r="AM2738" s="167"/>
      <c r="AN2738" s="167"/>
      <c r="AO2738" s="167"/>
      <c r="AP2738" s="167"/>
      <c r="AQ2738" s="167"/>
      <c r="AR2738" s="167"/>
      <c r="AS2738" s="167"/>
      <c r="AT2738" s="167"/>
      <c r="AU2738" s="167"/>
      <c r="AV2738" s="167"/>
      <c r="AW2738" s="167"/>
      <c r="AX2738" s="167"/>
      <c r="AY2738" s="167"/>
      <c r="AZ2738" s="167"/>
      <c r="BA2738" s="167"/>
      <c r="BB2738" s="167"/>
      <c r="BC2738" s="167"/>
      <c r="BD2738" s="167"/>
      <c r="BE2738" s="167"/>
      <c r="BF2738" s="167"/>
      <c r="BG2738" s="167"/>
      <c r="BH2738" s="167"/>
      <c r="BI2738" s="167"/>
      <c r="BJ2738" s="167"/>
      <c r="BK2738" s="167"/>
      <c r="BL2738" s="167"/>
      <c r="BM2738" s="167"/>
      <c r="BN2738" s="167"/>
      <c r="BO2738" s="167"/>
      <c r="BP2738" s="167"/>
      <c r="BQ2738" s="167"/>
      <c r="BR2738" s="167"/>
      <c r="BS2738" s="167"/>
      <c r="BT2738" s="167"/>
      <c r="BU2738" s="167"/>
      <c r="BV2738" s="167"/>
      <c r="BW2738" s="167"/>
      <c r="BX2738" s="167"/>
      <c r="BY2738" s="167"/>
      <c r="BZ2738" s="167"/>
      <c r="CA2738" s="167"/>
      <c r="CB2738" s="167"/>
      <c r="CC2738" s="167"/>
      <c r="CD2738" s="167"/>
      <c r="CE2738" s="167"/>
      <c r="CF2738" s="167"/>
      <c r="CG2738" s="167"/>
      <c r="CH2738" s="167"/>
      <c r="CI2738" s="167"/>
      <c r="CJ2738" s="167"/>
      <c r="CK2738" s="167"/>
      <c r="CL2738" s="167"/>
      <c r="CM2738" s="167"/>
      <c r="CN2738" s="167"/>
      <c r="CO2738" s="167"/>
      <c r="CP2738" s="167"/>
      <c r="CQ2738" s="167"/>
      <c r="CR2738" s="167"/>
      <c r="CS2738" s="167"/>
      <c r="CT2738" s="167"/>
      <c r="CU2738" s="167"/>
      <c r="CV2738" s="167"/>
      <c r="CW2738" s="167"/>
      <c r="CX2738" s="167"/>
      <c r="CY2738" s="167"/>
      <c r="CZ2738" s="167"/>
      <c r="DA2738" s="167"/>
      <c r="DB2738" s="167"/>
      <c r="DC2738" s="167"/>
      <c r="DD2738" s="167"/>
      <c r="DE2738" s="167"/>
      <c r="DF2738" s="167"/>
      <c r="DG2738" s="167"/>
      <c r="DH2738" s="167"/>
      <c r="DI2738" s="167"/>
      <c r="DJ2738" s="167"/>
      <c r="DK2738" s="167"/>
      <c r="DL2738" s="167"/>
      <c r="DM2738" s="167"/>
      <c r="DN2738" s="167"/>
      <c r="DO2738" s="167"/>
      <c r="DP2738" s="167"/>
      <c r="DQ2738" s="167"/>
      <c r="DR2738" s="167"/>
      <c r="DS2738" s="167"/>
      <c r="DT2738" s="167"/>
      <c r="DU2738" s="167"/>
      <c r="DV2738" s="167"/>
      <c r="DW2738" s="167"/>
      <c r="DX2738" s="167"/>
      <c r="DY2738" s="167"/>
      <c r="DZ2738" s="167"/>
      <c r="EA2738" s="167"/>
      <c r="EB2738" s="167"/>
      <c r="EC2738" s="167"/>
      <c r="ED2738" s="167"/>
      <c r="EE2738" s="167"/>
      <c r="EF2738" s="167"/>
      <c r="EG2738" s="167"/>
      <c r="EH2738" s="167"/>
      <c r="EI2738" s="167"/>
      <c r="EJ2738" s="167"/>
      <c r="EK2738" s="167"/>
      <c r="EL2738" s="167"/>
      <c r="EM2738" s="167"/>
      <c r="EN2738" s="167"/>
      <c r="EO2738" s="167"/>
      <c r="EP2738" s="167"/>
      <c r="EQ2738" s="167"/>
      <c r="ER2738" s="167"/>
      <c r="ES2738" s="167"/>
      <c r="ET2738" s="167"/>
      <c r="EU2738" s="167"/>
      <c r="EV2738" s="167"/>
      <c r="EW2738" s="167"/>
      <c r="EX2738" s="167"/>
      <c r="EY2738" s="167"/>
      <c r="EZ2738" s="167"/>
      <c r="FA2738" s="167"/>
      <c r="FB2738" s="167"/>
      <c r="FC2738" s="167"/>
      <c r="FD2738" s="167"/>
      <c r="FE2738" s="167"/>
      <c r="FF2738" s="167"/>
      <c r="FG2738" s="167"/>
      <c r="FH2738" s="167"/>
      <c r="FI2738" s="167"/>
      <c r="FJ2738" s="167"/>
      <c r="FK2738" s="167"/>
      <c r="FL2738" s="167"/>
      <c r="FM2738" s="167"/>
      <c r="FN2738" s="167"/>
      <c r="FO2738" s="167"/>
      <c r="FP2738" s="167"/>
      <c r="FQ2738" s="167"/>
      <c r="FR2738" s="167"/>
      <c r="FS2738" s="167"/>
      <c r="FT2738" s="167"/>
      <c r="FU2738" s="167"/>
      <c r="FV2738" s="167"/>
      <c r="FW2738" s="167"/>
      <c r="FX2738" s="167"/>
      <c r="FY2738" s="167"/>
      <c r="FZ2738" s="167"/>
      <c r="GA2738" s="167"/>
      <c r="GB2738" s="167"/>
      <c r="GC2738" s="167"/>
      <c r="GD2738" s="167"/>
      <c r="GE2738" s="167"/>
      <c r="GF2738" s="167"/>
      <c r="GG2738" s="167"/>
      <c r="GH2738" s="167"/>
      <c r="GI2738" s="167"/>
      <c r="GJ2738" s="167"/>
      <c r="GK2738" s="167"/>
      <c r="GL2738" s="167"/>
      <c r="GM2738" s="167"/>
      <c r="GN2738" s="167"/>
      <c r="GO2738" s="167"/>
      <c r="GP2738" s="167"/>
      <c r="GQ2738" s="167"/>
      <c r="GR2738" s="167"/>
      <c r="GS2738" s="167"/>
      <c r="GT2738" s="167"/>
      <c r="GU2738" s="167"/>
      <c r="GV2738" s="167"/>
      <c r="GW2738" s="167"/>
      <c r="GX2738" s="167"/>
      <c r="GY2738" s="167"/>
      <c r="GZ2738" s="167"/>
      <c r="HA2738" s="167"/>
      <c r="HB2738" s="167"/>
      <c r="HC2738" s="167"/>
      <c r="HD2738" s="167"/>
      <c r="HE2738" s="167"/>
      <c r="HF2738" s="167"/>
      <c r="HG2738" s="167"/>
      <c r="HH2738" s="167"/>
      <c r="HI2738" s="167"/>
      <c r="HJ2738" s="167"/>
      <c r="HK2738" s="167"/>
      <c r="HL2738" s="167"/>
      <c r="HM2738" s="167"/>
      <c r="HN2738" s="167"/>
      <c r="HO2738" s="167"/>
      <c r="HP2738" s="167"/>
      <c r="HQ2738" s="167"/>
      <c r="HR2738" s="167"/>
      <c r="HS2738" s="167"/>
      <c r="HT2738" s="167"/>
      <c r="HU2738" s="167"/>
      <c r="HV2738" s="167"/>
      <c r="HW2738" s="167"/>
      <c r="HX2738" s="167"/>
      <c r="HY2738" s="167"/>
      <c r="HZ2738" s="167"/>
      <c r="IA2738" s="167"/>
      <c r="IB2738" s="167"/>
      <c r="IC2738" s="167"/>
      <c r="ID2738" s="167"/>
      <c r="IE2738" s="167"/>
      <c r="IF2738" s="167"/>
      <c r="IG2738" s="167"/>
      <c r="IH2738" s="167"/>
      <c r="II2738" s="167"/>
      <c r="IJ2738" s="167"/>
      <c r="IK2738" s="167"/>
      <c r="IL2738" s="167"/>
      <c r="IM2738" s="167"/>
      <c r="IN2738" s="167"/>
      <c r="IO2738" s="167"/>
      <c r="IP2738" s="167"/>
      <c r="IQ2738" s="167"/>
      <c r="IR2738" s="167"/>
      <c r="IS2738" s="167"/>
      <c r="IT2738" s="167"/>
      <c r="IU2738" s="167"/>
      <c r="IV2738" s="167"/>
    </row>
    <row r="2739" spans="1:256" ht="51" customHeight="1" x14ac:dyDescent="0.25">
      <c r="A2739" s="191">
        <f>MATCH($E2739,'D1 - Master Project Table'!$B$24:$B$7056,0)</f>
        <v>186</v>
      </c>
      <c r="B2739" s="191" t="b">
        <f t="shared" si="133"/>
        <v>0</v>
      </c>
      <c r="C2739" s="191" t="b">
        <f t="shared" si="134"/>
        <v>0</v>
      </c>
      <c r="D2739" s="191" t="str">
        <f t="shared" si="135"/>
        <v>OK</v>
      </c>
      <c r="E2739" s="229"/>
      <c r="F2739" s="230"/>
      <c r="G2739" s="230"/>
      <c r="H2739" s="230"/>
      <c r="I2739" s="230"/>
      <c r="J2739" s="230"/>
      <c r="K2739" s="230"/>
      <c r="L2739" s="230"/>
      <c r="M2739" s="230"/>
      <c r="N2739" s="230"/>
      <c r="O2739" s="230"/>
      <c r="P2739"/>
      <c r="Q2739"/>
      <c r="R2739" s="387" t="e">
        <f>VLOOKUP(E2739,'[1]NDB Impacted SPRFs 05032013'!$A$2:$A$65536,1,FALSE)</f>
        <v>#N/A</v>
      </c>
      <c r="S2739" s="159"/>
      <c r="T2739" s="159"/>
      <c r="U2739" s="159"/>
      <c r="V2739" s="167"/>
      <c r="W2739" s="167"/>
      <c r="X2739" s="167"/>
      <c r="Y2739" s="167"/>
      <c r="Z2739" s="167"/>
      <c r="AA2739" s="167"/>
      <c r="AB2739" s="167"/>
      <c r="AC2739" s="167"/>
      <c r="AD2739" s="167"/>
      <c r="AE2739" s="167"/>
      <c r="AF2739" s="167"/>
      <c r="AG2739" s="167"/>
      <c r="AH2739" s="167"/>
      <c r="AI2739" s="167"/>
      <c r="AJ2739" s="167"/>
      <c r="AK2739" s="167"/>
      <c r="AL2739" s="167"/>
      <c r="AM2739" s="167"/>
      <c r="AN2739" s="167"/>
      <c r="AO2739" s="167"/>
      <c r="AP2739" s="167"/>
      <c r="AQ2739" s="167"/>
      <c r="AR2739" s="167"/>
      <c r="AS2739" s="167"/>
      <c r="AT2739" s="167"/>
      <c r="AU2739" s="167"/>
      <c r="AV2739" s="167"/>
      <c r="AW2739" s="167"/>
      <c r="AX2739" s="167"/>
      <c r="AY2739" s="167"/>
      <c r="AZ2739" s="167"/>
      <c r="BA2739" s="167"/>
      <c r="BB2739" s="167"/>
      <c r="BC2739" s="167"/>
      <c r="BD2739" s="167"/>
      <c r="BE2739" s="167"/>
      <c r="BF2739" s="167"/>
      <c r="BG2739" s="167"/>
      <c r="BH2739" s="167"/>
      <c r="BI2739" s="167"/>
      <c r="BJ2739" s="167"/>
      <c r="BK2739" s="167"/>
      <c r="BL2739" s="167"/>
      <c r="BM2739" s="167"/>
      <c r="BN2739" s="167"/>
      <c r="BO2739" s="167"/>
      <c r="BP2739" s="167"/>
      <c r="BQ2739" s="167"/>
      <c r="BR2739" s="167"/>
      <c r="BS2739" s="167"/>
      <c r="BT2739" s="167"/>
      <c r="BU2739" s="167"/>
      <c r="BV2739" s="167"/>
      <c r="BW2739" s="167"/>
      <c r="BX2739" s="167"/>
      <c r="BY2739" s="167"/>
      <c r="BZ2739" s="167"/>
      <c r="CA2739" s="167"/>
      <c r="CB2739" s="167"/>
      <c r="CC2739" s="167"/>
      <c r="CD2739" s="167"/>
      <c r="CE2739" s="167"/>
      <c r="CF2739" s="167"/>
      <c r="CG2739" s="167"/>
      <c r="CH2739" s="167"/>
      <c r="CI2739" s="167"/>
      <c r="CJ2739" s="167"/>
      <c r="CK2739" s="167"/>
      <c r="CL2739" s="167"/>
      <c r="CM2739" s="167"/>
      <c r="CN2739" s="167"/>
      <c r="CO2739" s="167"/>
      <c r="CP2739" s="167"/>
      <c r="CQ2739" s="167"/>
      <c r="CR2739" s="167"/>
      <c r="CS2739" s="167"/>
      <c r="CT2739" s="167"/>
      <c r="CU2739" s="167"/>
      <c r="CV2739" s="167"/>
      <c r="CW2739" s="167"/>
      <c r="CX2739" s="167"/>
      <c r="CY2739" s="167"/>
      <c r="CZ2739" s="167"/>
      <c r="DA2739" s="167"/>
      <c r="DB2739" s="167"/>
      <c r="DC2739" s="167"/>
      <c r="DD2739" s="167"/>
      <c r="DE2739" s="167"/>
      <c r="DF2739" s="167"/>
      <c r="DG2739" s="167"/>
      <c r="DH2739" s="167"/>
      <c r="DI2739" s="167"/>
      <c r="DJ2739" s="167"/>
      <c r="DK2739" s="167"/>
      <c r="DL2739" s="167"/>
      <c r="DM2739" s="167"/>
      <c r="DN2739" s="167"/>
      <c r="DO2739" s="167"/>
      <c r="DP2739" s="167"/>
      <c r="DQ2739" s="167"/>
      <c r="DR2739" s="167"/>
      <c r="DS2739" s="167"/>
      <c r="DT2739" s="167"/>
      <c r="DU2739" s="167"/>
      <c r="DV2739" s="167"/>
      <c r="DW2739" s="167"/>
      <c r="DX2739" s="167"/>
      <c r="DY2739" s="167"/>
      <c r="DZ2739" s="167"/>
      <c r="EA2739" s="167"/>
      <c r="EB2739" s="167"/>
      <c r="EC2739" s="167"/>
      <c r="ED2739" s="167"/>
      <c r="EE2739" s="167"/>
      <c r="EF2739" s="167"/>
      <c r="EG2739" s="167"/>
      <c r="EH2739" s="167"/>
      <c r="EI2739" s="167"/>
      <c r="EJ2739" s="167"/>
      <c r="EK2739" s="167"/>
      <c r="EL2739" s="167"/>
      <c r="EM2739" s="167"/>
      <c r="EN2739" s="167"/>
      <c r="EO2739" s="167"/>
      <c r="EP2739" s="167"/>
      <c r="EQ2739" s="167"/>
      <c r="ER2739" s="167"/>
      <c r="ES2739" s="167"/>
      <c r="ET2739" s="167"/>
      <c r="EU2739" s="167"/>
      <c r="EV2739" s="167"/>
      <c r="EW2739" s="167"/>
      <c r="EX2739" s="167"/>
      <c r="EY2739" s="167"/>
      <c r="EZ2739" s="167"/>
      <c r="FA2739" s="167"/>
      <c r="FB2739" s="167"/>
      <c r="FC2739" s="167"/>
      <c r="FD2739" s="167"/>
      <c r="FE2739" s="167"/>
      <c r="FF2739" s="167"/>
      <c r="FG2739" s="167"/>
      <c r="FH2739" s="167"/>
      <c r="FI2739" s="167"/>
      <c r="FJ2739" s="167"/>
      <c r="FK2739" s="167"/>
      <c r="FL2739" s="167"/>
      <c r="FM2739" s="167"/>
      <c r="FN2739" s="167"/>
      <c r="FO2739" s="167"/>
      <c r="FP2739" s="167"/>
      <c r="FQ2739" s="167"/>
      <c r="FR2739" s="167"/>
      <c r="FS2739" s="167"/>
      <c r="FT2739" s="167"/>
      <c r="FU2739" s="167"/>
      <c r="FV2739" s="167"/>
      <c r="FW2739" s="167"/>
      <c r="FX2739" s="167"/>
      <c r="FY2739" s="167"/>
      <c r="FZ2739" s="167"/>
      <c r="GA2739" s="167"/>
      <c r="GB2739" s="167"/>
      <c r="GC2739" s="167"/>
      <c r="GD2739" s="167"/>
      <c r="GE2739" s="167"/>
      <c r="GF2739" s="167"/>
      <c r="GG2739" s="167"/>
      <c r="GH2739" s="167"/>
      <c r="GI2739" s="167"/>
      <c r="GJ2739" s="167"/>
      <c r="GK2739" s="167"/>
      <c r="GL2739" s="167"/>
      <c r="GM2739" s="167"/>
      <c r="GN2739" s="167"/>
      <c r="GO2739" s="167"/>
      <c r="GP2739" s="167"/>
      <c r="GQ2739" s="167"/>
      <c r="GR2739" s="167"/>
      <c r="GS2739" s="167"/>
      <c r="GT2739" s="167"/>
      <c r="GU2739" s="167"/>
      <c r="GV2739" s="167"/>
      <c r="GW2739" s="167"/>
      <c r="GX2739" s="167"/>
      <c r="GY2739" s="167"/>
      <c r="GZ2739" s="167"/>
      <c r="HA2739" s="167"/>
      <c r="HB2739" s="167"/>
      <c r="HC2739" s="167"/>
      <c r="HD2739" s="167"/>
      <c r="HE2739" s="167"/>
      <c r="HF2739" s="167"/>
      <c r="HG2739" s="167"/>
      <c r="HH2739" s="167"/>
      <c r="HI2739" s="167"/>
      <c r="HJ2739" s="167"/>
      <c r="HK2739" s="167"/>
      <c r="HL2739" s="167"/>
      <c r="HM2739" s="167"/>
      <c r="HN2739" s="167"/>
      <c r="HO2739" s="167"/>
      <c r="HP2739" s="167"/>
      <c r="HQ2739" s="167"/>
      <c r="HR2739" s="167"/>
      <c r="HS2739" s="167"/>
      <c r="HT2739" s="167"/>
      <c r="HU2739" s="167"/>
      <c r="HV2739" s="167"/>
      <c r="HW2739" s="167"/>
      <c r="HX2739" s="167"/>
      <c r="HY2739" s="167"/>
      <c r="HZ2739" s="167"/>
      <c r="IA2739" s="167"/>
      <c r="IB2739" s="167"/>
      <c r="IC2739" s="167"/>
      <c r="ID2739" s="167"/>
      <c r="IE2739" s="167"/>
      <c r="IF2739" s="167"/>
      <c r="IG2739" s="167"/>
      <c r="IH2739" s="167"/>
      <c r="II2739" s="167"/>
      <c r="IJ2739" s="167"/>
      <c r="IK2739" s="167"/>
      <c r="IL2739" s="167"/>
      <c r="IM2739" s="167"/>
      <c r="IN2739" s="167"/>
      <c r="IO2739" s="167"/>
      <c r="IP2739" s="167"/>
      <c r="IQ2739" s="167"/>
      <c r="IR2739" s="167"/>
      <c r="IS2739" s="167"/>
      <c r="IT2739" s="167"/>
      <c r="IU2739" s="167"/>
      <c r="IV2739" s="167"/>
    </row>
    <row r="2740" spans="1:256" ht="51" customHeight="1" x14ac:dyDescent="0.25">
      <c r="A2740" s="191">
        <f>MATCH($E2740,'D1 - Master Project Table'!$B$24:$B$7056,0)</f>
        <v>186</v>
      </c>
      <c r="B2740" s="191" t="b">
        <f t="shared" si="133"/>
        <v>0</v>
      </c>
      <c r="C2740" s="191" t="b">
        <f t="shared" si="134"/>
        <v>0</v>
      </c>
      <c r="D2740" s="191" t="str">
        <f t="shared" si="135"/>
        <v>OK</v>
      </c>
      <c r="E2740" s="229"/>
      <c r="F2740" s="230"/>
      <c r="G2740" s="230"/>
      <c r="H2740" s="230"/>
      <c r="I2740" s="230"/>
      <c r="J2740" s="230"/>
      <c r="K2740" s="230"/>
      <c r="L2740" s="230"/>
      <c r="M2740" s="230"/>
      <c r="N2740" s="230"/>
      <c r="O2740" s="230"/>
      <c r="P2740"/>
      <c r="Q2740"/>
      <c r="R2740" s="387" t="e">
        <f>VLOOKUP(E2740,'[1]NDB Impacted SPRFs 05032013'!$A$2:$A$65536,1,FALSE)</f>
        <v>#N/A</v>
      </c>
      <c r="V2740" s="167"/>
      <c r="W2740" s="167"/>
      <c r="X2740" s="167"/>
      <c r="Y2740" s="167"/>
      <c r="Z2740" s="167"/>
      <c r="AA2740" s="167"/>
      <c r="AB2740" s="167"/>
      <c r="AC2740" s="167"/>
      <c r="AD2740" s="167"/>
      <c r="AE2740" s="167"/>
      <c r="AF2740" s="167"/>
      <c r="AG2740" s="167"/>
      <c r="AH2740" s="167"/>
      <c r="AI2740" s="167"/>
      <c r="AJ2740" s="167"/>
      <c r="AK2740" s="167"/>
      <c r="AL2740" s="167"/>
      <c r="AM2740" s="167"/>
      <c r="AN2740" s="167"/>
      <c r="AO2740" s="167"/>
      <c r="AP2740" s="167"/>
      <c r="AQ2740" s="167"/>
      <c r="AR2740" s="167"/>
      <c r="AS2740" s="167"/>
      <c r="AT2740" s="167"/>
      <c r="AU2740" s="167"/>
      <c r="AV2740" s="167"/>
      <c r="AW2740" s="167"/>
      <c r="AX2740" s="167"/>
      <c r="AY2740" s="167"/>
      <c r="AZ2740" s="167"/>
      <c r="BA2740" s="167"/>
      <c r="BB2740" s="167"/>
      <c r="BC2740" s="167"/>
      <c r="BD2740" s="167"/>
      <c r="BE2740" s="167"/>
      <c r="BF2740" s="167"/>
      <c r="BG2740" s="167"/>
      <c r="BH2740" s="167"/>
      <c r="BI2740" s="167"/>
      <c r="BJ2740" s="167"/>
      <c r="BK2740" s="167"/>
      <c r="BL2740" s="167"/>
      <c r="BM2740" s="167"/>
      <c r="BN2740" s="167"/>
      <c r="BO2740" s="167"/>
      <c r="BP2740" s="167"/>
      <c r="BQ2740" s="167"/>
      <c r="BR2740" s="167"/>
      <c r="BS2740" s="167"/>
      <c r="BT2740" s="167"/>
      <c r="BU2740" s="167"/>
      <c r="BV2740" s="167"/>
      <c r="BW2740" s="167"/>
      <c r="BX2740" s="167"/>
      <c r="BY2740" s="167"/>
      <c r="BZ2740" s="167"/>
      <c r="CA2740" s="167"/>
      <c r="CB2740" s="167"/>
      <c r="CC2740" s="167"/>
      <c r="CD2740" s="167"/>
      <c r="CE2740" s="167"/>
      <c r="CF2740" s="167"/>
      <c r="CG2740" s="167"/>
      <c r="CH2740" s="167"/>
      <c r="CI2740" s="167"/>
      <c r="CJ2740" s="167"/>
      <c r="CK2740" s="167"/>
      <c r="CL2740" s="167"/>
      <c r="CM2740" s="167"/>
      <c r="CN2740" s="167"/>
      <c r="CO2740" s="167"/>
      <c r="CP2740" s="167"/>
      <c r="CQ2740" s="167"/>
      <c r="CR2740" s="167"/>
      <c r="CS2740" s="167"/>
      <c r="CT2740" s="167"/>
      <c r="CU2740" s="167"/>
      <c r="CV2740" s="167"/>
      <c r="CW2740" s="167"/>
      <c r="CX2740" s="167"/>
      <c r="CY2740" s="167"/>
      <c r="CZ2740" s="167"/>
      <c r="DA2740" s="167"/>
      <c r="DB2740" s="167"/>
      <c r="DC2740" s="167"/>
      <c r="DD2740" s="167"/>
      <c r="DE2740" s="167"/>
      <c r="DF2740" s="167"/>
      <c r="DG2740" s="167"/>
      <c r="DH2740" s="167"/>
      <c r="DI2740" s="167"/>
      <c r="DJ2740" s="167"/>
      <c r="DK2740" s="167"/>
      <c r="DL2740" s="167"/>
      <c r="DM2740" s="167"/>
      <c r="DN2740" s="167"/>
      <c r="DO2740" s="167"/>
      <c r="DP2740" s="167"/>
      <c r="DQ2740" s="167"/>
      <c r="DR2740" s="167"/>
      <c r="DS2740" s="167"/>
      <c r="DT2740" s="167"/>
      <c r="DU2740" s="167"/>
      <c r="DV2740" s="167"/>
      <c r="DW2740" s="167"/>
      <c r="DX2740" s="167"/>
      <c r="DY2740" s="167"/>
      <c r="DZ2740" s="167"/>
      <c r="EA2740" s="167"/>
      <c r="EB2740" s="167"/>
      <c r="EC2740" s="167"/>
      <c r="ED2740" s="167"/>
      <c r="EE2740" s="167"/>
      <c r="EF2740" s="167"/>
      <c r="EG2740" s="167"/>
      <c r="EH2740" s="167"/>
      <c r="EI2740" s="167"/>
      <c r="EJ2740" s="167"/>
      <c r="EK2740" s="167"/>
      <c r="EL2740" s="167"/>
      <c r="EM2740" s="167"/>
      <c r="EN2740" s="167"/>
      <c r="EO2740" s="167"/>
      <c r="EP2740" s="167"/>
      <c r="EQ2740" s="167"/>
      <c r="ER2740" s="167"/>
      <c r="ES2740" s="167"/>
      <c r="ET2740" s="167"/>
      <c r="EU2740" s="167"/>
      <c r="EV2740" s="167"/>
      <c r="EW2740" s="167"/>
      <c r="EX2740" s="167"/>
      <c r="EY2740" s="167"/>
      <c r="EZ2740" s="167"/>
      <c r="FA2740" s="167"/>
      <c r="FB2740" s="167"/>
      <c r="FC2740" s="167"/>
      <c r="FD2740" s="167"/>
      <c r="FE2740" s="167"/>
      <c r="FF2740" s="167"/>
      <c r="FG2740" s="167"/>
      <c r="FH2740" s="167"/>
      <c r="FI2740" s="167"/>
      <c r="FJ2740" s="167"/>
      <c r="FK2740" s="167"/>
      <c r="FL2740" s="167"/>
      <c r="FM2740" s="167"/>
      <c r="FN2740" s="167"/>
      <c r="FO2740" s="167"/>
      <c r="FP2740" s="167"/>
      <c r="FQ2740" s="167"/>
      <c r="FR2740" s="167"/>
      <c r="FS2740" s="167"/>
      <c r="FT2740" s="167"/>
      <c r="FU2740" s="167"/>
      <c r="FV2740" s="167"/>
      <c r="FW2740" s="167"/>
      <c r="FX2740" s="167"/>
      <c r="FY2740" s="167"/>
      <c r="FZ2740" s="167"/>
      <c r="GA2740" s="167"/>
      <c r="GB2740" s="167"/>
      <c r="GC2740" s="167"/>
      <c r="GD2740" s="167"/>
      <c r="GE2740" s="167"/>
      <c r="GF2740" s="167"/>
      <c r="GG2740" s="167"/>
      <c r="GH2740" s="167"/>
      <c r="GI2740" s="167"/>
      <c r="GJ2740" s="167"/>
      <c r="GK2740" s="167"/>
      <c r="GL2740" s="167"/>
      <c r="GM2740" s="167"/>
      <c r="GN2740" s="167"/>
      <c r="GO2740" s="167"/>
      <c r="GP2740" s="167"/>
      <c r="GQ2740" s="167"/>
      <c r="GR2740" s="167"/>
      <c r="GS2740" s="167"/>
      <c r="GT2740" s="167"/>
      <c r="GU2740" s="167"/>
      <c r="GV2740" s="167"/>
      <c r="GW2740" s="167"/>
      <c r="GX2740" s="167"/>
      <c r="GY2740" s="167"/>
      <c r="GZ2740" s="167"/>
      <c r="HA2740" s="167"/>
      <c r="HB2740" s="167"/>
      <c r="HC2740" s="167"/>
      <c r="HD2740" s="167"/>
      <c r="HE2740" s="167"/>
      <c r="HF2740" s="167"/>
      <c r="HG2740" s="167"/>
      <c r="HH2740" s="167"/>
      <c r="HI2740" s="167"/>
      <c r="HJ2740" s="167"/>
      <c r="HK2740" s="167"/>
      <c r="HL2740" s="167"/>
      <c r="HM2740" s="167"/>
      <c r="HN2740" s="167"/>
      <c r="HO2740" s="167"/>
      <c r="HP2740" s="167"/>
      <c r="HQ2740" s="167"/>
      <c r="HR2740" s="167"/>
      <c r="HS2740" s="167"/>
      <c r="HT2740" s="167"/>
      <c r="HU2740" s="167"/>
      <c r="HV2740" s="167"/>
      <c r="HW2740" s="167"/>
      <c r="HX2740" s="167"/>
      <c r="HY2740" s="167"/>
      <c r="HZ2740" s="167"/>
      <c r="IA2740" s="167"/>
      <c r="IB2740" s="167"/>
      <c r="IC2740" s="167"/>
      <c r="ID2740" s="167"/>
      <c r="IE2740" s="167"/>
      <c r="IF2740" s="167"/>
      <c r="IG2740" s="167"/>
      <c r="IH2740" s="167"/>
      <c r="II2740" s="167"/>
      <c r="IJ2740" s="167"/>
      <c r="IK2740" s="167"/>
      <c r="IL2740" s="167"/>
      <c r="IM2740" s="167"/>
      <c r="IN2740" s="167"/>
      <c r="IO2740" s="167"/>
      <c r="IP2740" s="167"/>
      <c r="IQ2740" s="167"/>
      <c r="IR2740" s="167"/>
      <c r="IS2740" s="167"/>
      <c r="IT2740" s="167"/>
      <c r="IU2740" s="167"/>
      <c r="IV2740" s="167"/>
    </row>
    <row r="2741" spans="1:256" ht="51" customHeight="1" x14ac:dyDescent="0.25">
      <c r="A2741" s="191">
        <f>MATCH($E2741,'D1 - Master Project Table'!$B$24:$B$7056,0)</f>
        <v>186</v>
      </c>
      <c r="B2741" s="191" t="b">
        <f t="shared" si="133"/>
        <v>0</v>
      </c>
      <c r="C2741" s="191" t="b">
        <f t="shared" si="134"/>
        <v>0</v>
      </c>
      <c r="D2741" s="191" t="str">
        <f t="shared" si="135"/>
        <v>OK</v>
      </c>
      <c r="E2741" s="229"/>
      <c r="F2741" s="230"/>
      <c r="G2741" s="230"/>
      <c r="H2741" s="230"/>
      <c r="I2741" s="230"/>
      <c r="J2741" s="230"/>
      <c r="K2741" s="230"/>
      <c r="L2741" s="230"/>
      <c r="M2741" s="230"/>
      <c r="N2741" s="230"/>
      <c r="O2741" s="230"/>
      <c r="P2741"/>
      <c r="Q2741"/>
      <c r="R2741" s="387" t="e">
        <f>VLOOKUP(E2741,'[1]NDB Impacted SPRFs 05032013'!$A$2:$A$65536,1,FALSE)</f>
        <v>#N/A</v>
      </c>
      <c r="S2741" s="159"/>
      <c r="T2741" s="159"/>
      <c r="U2741" s="159"/>
      <c r="V2741" s="167"/>
      <c r="W2741" s="167"/>
      <c r="X2741" s="167"/>
      <c r="Y2741" s="167"/>
      <c r="Z2741" s="167"/>
      <c r="AA2741" s="167"/>
      <c r="AB2741" s="167"/>
      <c r="AC2741" s="167"/>
      <c r="AD2741" s="167"/>
      <c r="AE2741" s="167"/>
      <c r="AF2741" s="167"/>
      <c r="AG2741" s="167"/>
      <c r="AH2741" s="167"/>
      <c r="AI2741" s="167"/>
      <c r="AJ2741" s="167"/>
      <c r="AK2741" s="167"/>
      <c r="AL2741" s="167"/>
      <c r="AM2741" s="167"/>
      <c r="AN2741" s="167"/>
      <c r="AO2741" s="167"/>
      <c r="AP2741" s="167"/>
      <c r="AQ2741" s="167"/>
      <c r="AR2741" s="167"/>
      <c r="AS2741" s="167"/>
      <c r="AT2741" s="167"/>
      <c r="AU2741" s="167"/>
      <c r="AV2741" s="167"/>
      <c r="AW2741" s="167"/>
      <c r="AX2741" s="167"/>
      <c r="AY2741" s="167"/>
      <c r="AZ2741" s="167"/>
      <c r="BA2741" s="167"/>
      <c r="BB2741" s="167"/>
      <c r="BC2741" s="167"/>
      <c r="BD2741" s="167"/>
      <c r="BE2741" s="167"/>
      <c r="BF2741" s="167"/>
      <c r="BG2741" s="167"/>
      <c r="BH2741" s="167"/>
      <c r="BI2741" s="167"/>
      <c r="BJ2741" s="167"/>
      <c r="BK2741" s="167"/>
      <c r="BL2741" s="167"/>
      <c r="BM2741" s="167"/>
      <c r="BN2741" s="167"/>
      <c r="BO2741" s="167"/>
      <c r="BP2741" s="167"/>
      <c r="BQ2741" s="167"/>
      <c r="BR2741" s="167"/>
      <c r="BS2741" s="167"/>
      <c r="BT2741" s="167"/>
      <c r="BU2741" s="167"/>
      <c r="BV2741" s="167"/>
      <c r="BW2741" s="167"/>
      <c r="BX2741" s="167"/>
      <c r="BY2741" s="167"/>
      <c r="BZ2741" s="167"/>
      <c r="CA2741" s="167"/>
      <c r="CB2741" s="167"/>
      <c r="CC2741" s="167"/>
      <c r="CD2741" s="167"/>
      <c r="CE2741" s="167"/>
      <c r="CF2741" s="167"/>
      <c r="CG2741" s="167"/>
      <c r="CH2741" s="167"/>
      <c r="CI2741" s="167"/>
      <c r="CJ2741" s="167"/>
      <c r="CK2741" s="167"/>
      <c r="CL2741" s="167"/>
      <c r="CM2741" s="167"/>
      <c r="CN2741" s="167"/>
      <c r="CO2741" s="167"/>
      <c r="CP2741" s="167"/>
      <c r="CQ2741" s="167"/>
      <c r="CR2741" s="167"/>
      <c r="CS2741" s="167"/>
      <c r="CT2741" s="167"/>
      <c r="CU2741" s="167"/>
      <c r="CV2741" s="167"/>
      <c r="CW2741" s="167"/>
      <c r="CX2741" s="167"/>
      <c r="CY2741" s="167"/>
      <c r="CZ2741" s="167"/>
      <c r="DA2741" s="167"/>
      <c r="DB2741" s="167"/>
      <c r="DC2741" s="167"/>
      <c r="DD2741" s="167"/>
      <c r="DE2741" s="167"/>
      <c r="DF2741" s="167"/>
      <c r="DG2741" s="167"/>
      <c r="DH2741" s="167"/>
      <c r="DI2741" s="167"/>
      <c r="DJ2741" s="167"/>
      <c r="DK2741" s="167"/>
      <c r="DL2741" s="167"/>
      <c r="DM2741" s="167"/>
      <c r="DN2741" s="167"/>
      <c r="DO2741" s="167"/>
      <c r="DP2741" s="167"/>
      <c r="DQ2741" s="167"/>
      <c r="DR2741" s="167"/>
      <c r="DS2741" s="167"/>
      <c r="DT2741" s="167"/>
      <c r="DU2741" s="167"/>
      <c r="DV2741" s="167"/>
      <c r="DW2741" s="167"/>
      <c r="DX2741" s="167"/>
      <c r="DY2741" s="167"/>
      <c r="DZ2741" s="167"/>
      <c r="EA2741" s="167"/>
      <c r="EB2741" s="167"/>
      <c r="EC2741" s="167"/>
      <c r="ED2741" s="167"/>
      <c r="EE2741" s="167"/>
      <c r="EF2741" s="167"/>
      <c r="EG2741" s="167"/>
      <c r="EH2741" s="167"/>
      <c r="EI2741" s="167"/>
      <c r="EJ2741" s="167"/>
      <c r="EK2741" s="167"/>
      <c r="EL2741" s="167"/>
      <c r="EM2741" s="167"/>
      <c r="EN2741" s="167"/>
      <c r="EO2741" s="167"/>
      <c r="EP2741" s="167"/>
      <c r="EQ2741" s="167"/>
      <c r="ER2741" s="167"/>
      <c r="ES2741" s="167"/>
      <c r="ET2741" s="167"/>
      <c r="EU2741" s="167"/>
      <c r="EV2741" s="167"/>
      <c r="EW2741" s="167"/>
      <c r="EX2741" s="167"/>
      <c r="EY2741" s="167"/>
      <c r="EZ2741" s="167"/>
      <c r="FA2741" s="167"/>
      <c r="FB2741" s="167"/>
      <c r="FC2741" s="167"/>
      <c r="FD2741" s="167"/>
      <c r="FE2741" s="167"/>
      <c r="FF2741" s="167"/>
      <c r="FG2741" s="167"/>
      <c r="FH2741" s="167"/>
      <c r="FI2741" s="167"/>
      <c r="FJ2741" s="167"/>
      <c r="FK2741" s="167"/>
      <c r="FL2741" s="167"/>
      <c r="FM2741" s="167"/>
      <c r="FN2741" s="167"/>
      <c r="FO2741" s="167"/>
      <c r="FP2741" s="167"/>
      <c r="FQ2741" s="167"/>
      <c r="FR2741" s="167"/>
      <c r="FS2741" s="167"/>
      <c r="FT2741" s="167"/>
      <c r="FU2741" s="167"/>
      <c r="FV2741" s="167"/>
      <c r="FW2741" s="167"/>
      <c r="FX2741" s="167"/>
      <c r="FY2741" s="167"/>
      <c r="FZ2741" s="167"/>
      <c r="GA2741" s="167"/>
      <c r="GB2741" s="167"/>
      <c r="GC2741" s="167"/>
      <c r="GD2741" s="167"/>
      <c r="GE2741" s="167"/>
      <c r="GF2741" s="167"/>
      <c r="GG2741" s="167"/>
      <c r="GH2741" s="167"/>
      <c r="GI2741" s="167"/>
      <c r="GJ2741" s="167"/>
      <c r="GK2741" s="167"/>
      <c r="GL2741" s="167"/>
      <c r="GM2741" s="167"/>
      <c r="GN2741" s="167"/>
      <c r="GO2741" s="167"/>
      <c r="GP2741" s="167"/>
      <c r="GQ2741" s="167"/>
      <c r="GR2741" s="167"/>
      <c r="GS2741" s="167"/>
      <c r="GT2741" s="167"/>
      <c r="GU2741" s="167"/>
      <c r="GV2741" s="167"/>
      <c r="GW2741" s="167"/>
      <c r="GX2741" s="167"/>
      <c r="GY2741" s="167"/>
      <c r="GZ2741" s="167"/>
      <c r="HA2741" s="167"/>
      <c r="HB2741" s="167"/>
      <c r="HC2741" s="167"/>
      <c r="HD2741" s="167"/>
      <c r="HE2741" s="167"/>
      <c r="HF2741" s="167"/>
      <c r="HG2741" s="167"/>
      <c r="HH2741" s="167"/>
      <c r="HI2741" s="167"/>
      <c r="HJ2741" s="167"/>
      <c r="HK2741" s="167"/>
      <c r="HL2741" s="167"/>
      <c r="HM2741" s="167"/>
      <c r="HN2741" s="167"/>
      <c r="HO2741" s="167"/>
      <c r="HP2741" s="167"/>
      <c r="HQ2741" s="167"/>
      <c r="HR2741" s="167"/>
      <c r="HS2741" s="167"/>
      <c r="HT2741" s="167"/>
      <c r="HU2741" s="167"/>
      <c r="HV2741" s="167"/>
      <c r="HW2741" s="167"/>
      <c r="HX2741" s="167"/>
      <c r="HY2741" s="167"/>
      <c r="HZ2741" s="167"/>
      <c r="IA2741" s="167"/>
      <c r="IB2741" s="167"/>
      <c r="IC2741" s="167"/>
      <c r="ID2741" s="167"/>
      <c r="IE2741" s="167"/>
      <c r="IF2741" s="167"/>
      <c r="IG2741" s="167"/>
      <c r="IH2741" s="167"/>
      <c r="II2741" s="167"/>
      <c r="IJ2741" s="167"/>
      <c r="IK2741" s="167"/>
      <c r="IL2741" s="167"/>
      <c r="IM2741" s="167"/>
      <c r="IN2741" s="167"/>
      <c r="IO2741" s="167"/>
      <c r="IP2741" s="167"/>
      <c r="IQ2741" s="167"/>
      <c r="IR2741" s="167"/>
      <c r="IS2741" s="167"/>
      <c r="IT2741" s="167"/>
      <c r="IU2741" s="167"/>
      <c r="IV2741" s="167"/>
    </row>
    <row r="2742" spans="1:256" ht="14.25" customHeight="1" x14ac:dyDescent="0.25">
      <c r="A2742" s="191">
        <f>MATCH($E2742,'D1 - Master Project Table'!$B$24:$B$7056,0)</f>
        <v>186</v>
      </c>
      <c r="B2742" s="191" t="b">
        <f t="shared" si="133"/>
        <v>0</v>
      </c>
      <c r="C2742" s="191" t="b">
        <f t="shared" si="134"/>
        <v>0</v>
      </c>
      <c r="D2742" s="191" t="str">
        <f t="shared" si="135"/>
        <v>OK</v>
      </c>
      <c r="E2742" s="229"/>
      <c r="F2742" s="230"/>
      <c r="G2742" s="230"/>
      <c r="H2742" s="230"/>
      <c r="I2742" s="230"/>
      <c r="J2742" s="230"/>
      <c r="K2742" s="230"/>
      <c r="L2742" s="230"/>
      <c r="M2742" s="230"/>
      <c r="N2742" s="230"/>
      <c r="O2742" s="230"/>
      <c r="P2742"/>
      <c r="Q2742"/>
      <c r="R2742" s="387" t="e">
        <f>VLOOKUP(E2742,'[1]NDB Impacted SPRFs 05032013'!$A$2:$A$65536,1,FALSE)</f>
        <v>#N/A</v>
      </c>
      <c r="S2742" s="159"/>
      <c r="T2742" s="159"/>
      <c r="U2742" s="159"/>
      <c r="V2742" s="167"/>
      <c r="W2742" s="167"/>
      <c r="X2742" s="167"/>
      <c r="Y2742" s="167"/>
      <c r="Z2742" s="167"/>
      <c r="AA2742" s="167"/>
      <c r="AB2742" s="167"/>
      <c r="AC2742" s="167"/>
      <c r="AD2742" s="167"/>
      <c r="AE2742" s="167"/>
      <c r="AF2742" s="167"/>
      <c r="AG2742" s="167"/>
      <c r="AH2742" s="167"/>
      <c r="AI2742" s="167"/>
      <c r="AJ2742" s="167"/>
      <c r="AK2742" s="167"/>
      <c r="AL2742" s="167"/>
      <c r="AM2742" s="167"/>
      <c r="AN2742" s="167"/>
      <c r="AO2742" s="167"/>
      <c r="AP2742" s="167"/>
      <c r="AQ2742" s="167"/>
      <c r="AR2742" s="167"/>
      <c r="AS2742" s="167"/>
      <c r="AT2742" s="167"/>
      <c r="AU2742" s="167"/>
      <c r="AV2742" s="167"/>
      <c r="AW2742" s="167"/>
      <c r="AX2742" s="167"/>
      <c r="AY2742" s="167"/>
      <c r="AZ2742" s="167"/>
      <c r="BA2742" s="167"/>
      <c r="BB2742" s="167"/>
      <c r="BC2742" s="167"/>
      <c r="BD2742" s="167"/>
      <c r="BE2742" s="167"/>
      <c r="BF2742" s="167"/>
      <c r="BG2742" s="167"/>
      <c r="BH2742" s="167"/>
      <c r="BI2742" s="167"/>
      <c r="BJ2742" s="167"/>
      <c r="BK2742" s="167"/>
      <c r="BL2742" s="167"/>
      <c r="BM2742" s="167"/>
      <c r="BN2742" s="167"/>
      <c r="BO2742" s="167"/>
      <c r="BP2742" s="167"/>
      <c r="BQ2742" s="167"/>
      <c r="BR2742" s="167"/>
      <c r="BS2742" s="167"/>
      <c r="BT2742" s="167"/>
      <c r="BU2742" s="167"/>
      <c r="BV2742" s="167"/>
      <c r="BW2742" s="167"/>
      <c r="BX2742" s="167"/>
      <c r="BY2742" s="167"/>
      <c r="BZ2742" s="167"/>
      <c r="CA2742" s="167"/>
      <c r="CB2742" s="167"/>
      <c r="CC2742" s="167"/>
      <c r="CD2742" s="167"/>
      <c r="CE2742" s="167"/>
      <c r="CF2742" s="167"/>
      <c r="CG2742" s="167"/>
      <c r="CH2742" s="167"/>
      <c r="CI2742" s="167"/>
      <c r="CJ2742" s="167"/>
      <c r="CK2742" s="167"/>
      <c r="CL2742" s="167"/>
      <c r="CM2742" s="167"/>
      <c r="CN2742" s="167"/>
      <c r="CO2742" s="167"/>
      <c r="CP2742" s="167"/>
      <c r="CQ2742" s="167"/>
      <c r="CR2742" s="167"/>
      <c r="CS2742" s="167"/>
      <c r="CT2742" s="167"/>
      <c r="CU2742" s="167"/>
      <c r="CV2742" s="167"/>
      <c r="CW2742" s="167"/>
      <c r="CX2742" s="167"/>
      <c r="CY2742" s="167"/>
      <c r="CZ2742" s="167"/>
      <c r="DA2742" s="167"/>
      <c r="DB2742" s="167"/>
      <c r="DC2742" s="167"/>
      <c r="DD2742" s="167"/>
      <c r="DE2742" s="167"/>
      <c r="DF2742" s="167"/>
      <c r="DG2742" s="167"/>
      <c r="DH2742" s="167"/>
      <c r="DI2742" s="167"/>
      <c r="DJ2742" s="167"/>
      <c r="DK2742" s="167"/>
      <c r="DL2742" s="167"/>
      <c r="DM2742" s="167"/>
      <c r="DN2742" s="167"/>
      <c r="DO2742" s="167"/>
      <c r="DP2742" s="167"/>
      <c r="DQ2742" s="167"/>
      <c r="DR2742" s="167"/>
      <c r="DS2742" s="167"/>
      <c r="DT2742" s="167"/>
      <c r="DU2742" s="167"/>
      <c r="DV2742" s="167"/>
      <c r="DW2742" s="167"/>
      <c r="DX2742" s="167"/>
      <c r="DY2742" s="167"/>
      <c r="DZ2742" s="167"/>
      <c r="EA2742" s="167"/>
      <c r="EB2742" s="167"/>
      <c r="EC2742" s="167"/>
      <c r="ED2742" s="167"/>
      <c r="EE2742" s="167"/>
      <c r="EF2742" s="167"/>
      <c r="EG2742" s="167"/>
      <c r="EH2742" s="167"/>
      <c r="EI2742" s="167"/>
      <c r="EJ2742" s="167"/>
      <c r="EK2742" s="167"/>
      <c r="EL2742" s="167"/>
      <c r="EM2742" s="167"/>
      <c r="EN2742" s="167"/>
      <c r="EO2742" s="167"/>
      <c r="EP2742" s="167"/>
      <c r="EQ2742" s="167"/>
      <c r="ER2742" s="167"/>
      <c r="ES2742" s="167"/>
      <c r="ET2742" s="167"/>
      <c r="EU2742" s="167"/>
      <c r="EV2742" s="167"/>
      <c r="EW2742" s="167"/>
      <c r="EX2742" s="167"/>
      <c r="EY2742" s="167"/>
      <c r="EZ2742" s="167"/>
      <c r="FA2742" s="167"/>
      <c r="FB2742" s="167"/>
      <c r="FC2742" s="167"/>
      <c r="FD2742" s="167"/>
      <c r="FE2742" s="167"/>
      <c r="FF2742" s="167"/>
      <c r="FG2742" s="167"/>
      <c r="FH2742" s="167"/>
      <c r="FI2742" s="167"/>
      <c r="FJ2742" s="167"/>
      <c r="FK2742" s="167"/>
      <c r="FL2742" s="167"/>
      <c r="FM2742" s="167"/>
      <c r="FN2742" s="167"/>
      <c r="FO2742" s="167"/>
      <c r="FP2742" s="167"/>
      <c r="FQ2742" s="167"/>
      <c r="FR2742" s="167"/>
      <c r="FS2742" s="167"/>
      <c r="FT2742" s="167"/>
      <c r="FU2742" s="167"/>
      <c r="FV2742" s="167"/>
      <c r="FW2742" s="167"/>
      <c r="FX2742" s="167"/>
      <c r="FY2742" s="167"/>
      <c r="FZ2742" s="167"/>
      <c r="GA2742" s="167"/>
      <c r="GB2742" s="167"/>
      <c r="GC2742" s="167"/>
      <c r="GD2742" s="167"/>
      <c r="GE2742" s="167"/>
      <c r="GF2742" s="167"/>
      <c r="GG2742" s="167"/>
      <c r="GH2742" s="167"/>
      <c r="GI2742" s="167"/>
      <c r="GJ2742" s="167"/>
      <c r="GK2742" s="167"/>
      <c r="GL2742" s="167"/>
      <c r="GM2742" s="167"/>
      <c r="GN2742" s="167"/>
      <c r="GO2742" s="167"/>
      <c r="GP2742" s="167"/>
      <c r="GQ2742" s="167"/>
      <c r="GR2742" s="167"/>
      <c r="GS2742" s="167"/>
      <c r="GT2742" s="167"/>
      <c r="GU2742" s="167"/>
      <c r="GV2742" s="167"/>
      <c r="GW2742" s="167"/>
      <c r="GX2742" s="167"/>
      <c r="GY2742" s="167"/>
      <c r="GZ2742" s="167"/>
      <c r="HA2742" s="167"/>
      <c r="HB2742" s="167"/>
      <c r="HC2742" s="167"/>
      <c r="HD2742" s="167"/>
      <c r="HE2742" s="167"/>
      <c r="HF2742" s="167"/>
      <c r="HG2742" s="167"/>
      <c r="HH2742" s="167"/>
      <c r="HI2742" s="167"/>
      <c r="HJ2742" s="167"/>
      <c r="HK2742" s="167"/>
      <c r="HL2742" s="167"/>
      <c r="HM2742" s="167"/>
      <c r="HN2742" s="167"/>
      <c r="HO2742" s="167"/>
      <c r="HP2742" s="167"/>
      <c r="HQ2742" s="167"/>
      <c r="HR2742" s="167"/>
      <c r="HS2742" s="167"/>
      <c r="HT2742" s="167"/>
      <c r="HU2742" s="167"/>
      <c r="HV2742" s="167"/>
      <c r="HW2742" s="167"/>
      <c r="HX2742" s="167"/>
      <c r="HY2742" s="167"/>
      <c r="HZ2742" s="167"/>
      <c r="IA2742" s="167"/>
      <c r="IB2742" s="167"/>
      <c r="IC2742" s="167"/>
      <c r="ID2742" s="167"/>
      <c r="IE2742" s="167"/>
      <c r="IF2742" s="167"/>
      <c r="IG2742" s="167"/>
      <c r="IH2742" s="167"/>
      <c r="II2742" s="167"/>
      <c r="IJ2742" s="167"/>
      <c r="IK2742" s="167"/>
      <c r="IL2742" s="167"/>
      <c r="IM2742" s="167"/>
      <c r="IN2742" s="167"/>
      <c r="IO2742" s="167"/>
      <c r="IP2742" s="167"/>
      <c r="IQ2742" s="167"/>
      <c r="IR2742" s="167"/>
      <c r="IS2742" s="167"/>
      <c r="IT2742" s="167"/>
      <c r="IU2742" s="167"/>
      <c r="IV2742" s="167"/>
    </row>
    <row r="2743" spans="1:256" ht="51" customHeight="1" x14ac:dyDescent="0.25">
      <c r="A2743" s="191">
        <f>MATCH($E2743,'D1 - Master Project Table'!$B$24:$B$7056,0)</f>
        <v>186</v>
      </c>
      <c r="B2743" s="191" t="b">
        <f t="shared" si="133"/>
        <v>0</v>
      </c>
      <c r="C2743" s="191" t="b">
        <f t="shared" si="134"/>
        <v>0</v>
      </c>
      <c r="D2743" s="191" t="str">
        <f t="shared" si="135"/>
        <v>OK</v>
      </c>
      <c r="E2743" s="229"/>
      <c r="F2743" s="230"/>
      <c r="G2743" s="230"/>
      <c r="H2743" s="230"/>
      <c r="I2743" s="230"/>
      <c r="J2743" s="230"/>
      <c r="K2743" s="230"/>
      <c r="L2743" s="230"/>
      <c r="M2743" s="230"/>
      <c r="N2743" s="230"/>
      <c r="O2743" s="230"/>
      <c r="P2743"/>
      <c r="Q2743"/>
      <c r="R2743" s="387" t="e">
        <f>VLOOKUP(E2743,'[1]NDB Impacted SPRFs 05032013'!$A$2:$A$65536,1,FALSE)</f>
        <v>#N/A</v>
      </c>
      <c r="V2743" s="167"/>
      <c r="W2743" s="167"/>
      <c r="X2743" s="167"/>
      <c r="Y2743" s="167"/>
      <c r="Z2743" s="167"/>
      <c r="AA2743" s="167"/>
      <c r="AB2743" s="167"/>
      <c r="AC2743" s="167"/>
      <c r="AD2743" s="167"/>
      <c r="AE2743" s="167"/>
      <c r="AF2743" s="167"/>
      <c r="AG2743" s="167"/>
      <c r="AH2743" s="167"/>
      <c r="AI2743" s="167"/>
      <c r="AJ2743" s="167"/>
      <c r="AK2743" s="167"/>
      <c r="AL2743" s="167"/>
      <c r="AM2743" s="167"/>
      <c r="AN2743" s="167"/>
      <c r="AO2743" s="167"/>
      <c r="AP2743" s="167"/>
      <c r="AQ2743" s="167"/>
      <c r="AR2743" s="167"/>
      <c r="AS2743" s="167"/>
      <c r="AT2743" s="167"/>
      <c r="AU2743" s="167"/>
      <c r="AV2743" s="167"/>
      <c r="AW2743" s="167"/>
      <c r="AX2743" s="167"/>
      <c r="AY2743" s="167"/>
      <c r="AZ2743" s="167"/>
      <c r="BA2743" s="167"/>
      <c r="BB2743" s="167"/>
      <c r="BC2743" s="167"/>
      <c r="BD2743" s="167"/>
      <c r="BE2743" s="167"/>
      <c r="BF2743" s="167"/>
      <c r="BG2743" s="167"/>
      <c r="BH2743" s="167"/>
      <c r="BI2743" s="167"/>
      <c r="BJ2743" s="167"/>
      <c r="BK2743" s="167"/>
      <c r="BL2743" s="167"/>
      <c r="BM2743" s="167"/>
      <c r="BN2743" s="167"/>
      <c r="BO2743" s="167"/>
      <c r="BP2743" s="167"/>
      <c r="BQ2743" s="167"/>
      <c r="BR2743" s="167"/>
      <c r="BS2743" s="167"/>
      <c r="BT2743" s="167"/>
      <c r="BU2743" s="167"/>
      <c r="BV2743" s="167"/>
      <c r="BW2743" s="167"/>
      <c r="BX2743" s="167"/>
      <c r="BY2743" s="167"/>
      <c r="BZ2743" s="167"/>
      <c r="CA2743" s="167"/>
      <c r="CB2743" s="167"/>
      <c r="CC2743" s="167"/>
      <c r="CD2743" s="167"/>
      <c r="CE2743" s="167"/>
      <c r="CF2743" s="167"/>
      <c r="CG2743" s="167"/>
      <c r="CH2743" s="167"/>
      <c r="CI2743" s="167"/>
      <c r="CJ2743" s="167"/>
      <c r="CK2743" s="167"/>
      <c r="CL2743" s="167"/>
      <c r="CM2743" s="167"/>
      <c r="CN2743" s="167"/>
      <c r="CO2743" s="167"/>
      <c r="CP2743" s="167"/>
      <c r="CQ2743" s="167"/>
      <c r="CR2743" s="167"/>
      <c r="CS2743" s="167"/>
      <c r="CT2743" s="167"/>
      <c r="CU2743" s="167"/>
      <c r="CV2743" s="167"/>
      <c r="CW2743" s="167"/>
      <c r="CX2743" s="167"/>
      <c r="CY2743" s="167"/>
      <c r="CZ2743" s="167"/>
      <c r="DA2743" s="167"/>
      <c r="DB2743" s="167"/>
      <c r="DC2743" s="167"/>
      <c r="DD2743" s="167"/>
      <c r="DE2743" s="167"/>
      <c r="DF2743" s="167"/>
      <c r="DG2743" s="167"/>
      <c r="DH2743" s="167"/>
      <c r="DI2743" s="167"/>
      <c r="DJ2743" s="167"/>
      <c r="DK2743" s="167"/>
      <c r="DL2743" s="167"/>
      <c r="DM2743" s="167"/>
      <c r="DN2743" s="167"/>
      <c r="DO2743" s="167"/>
      <c r="DP2743" s="167"/>
      <c r="DQ2743" s="167"/>
      <c r="DR2743" s="167"/>
      <c r="DS2743" s="167"/>
      <c r="DT2743" s="167"/>
      <c r="DU2743" s="167"/>
      <c r="DV2743" s="167"/>
      <c r="DW2743" s="167"/>
      <c r="DX2743" s="167"/>
      <c r="DY2743" s="167"/>
      <c r="DZ2743" s="167"/>
      <c r="EA2743" s="167"/>
      <c r="EB2743" s="167"/>
      <c r="EC2743" s="167"/>
      <c r="ED2743" s="167"/>
      <c r="EE2743" s="167"/>
      <c r="EF2743" s="167"/>
      <c r="EG2743" s="167"/>
      <c r="EH2743" s="167"/>
      <c r="EI2743" s="167"/>
      <c r="EJ2743" s="167"/>
      <c r="EK2743" s="167"/>
      <c r="EL2743" s="167"/>
      <c r="EM2743" s="167"/>
      <c r="EN2743" s="167"/>
      <c r="EO2743" s="167"/>
      <c r="EP2743" s="167"/>
      <c r="EQ2743" s="167"/>
      <c r="ER2743" s="167"/>
      <c r="ES2743" s="167"/>
      <c r="ET2743" s="167"/>
      <c r="EU2743" s="167"/>
      <c r="EV2743" s="167"/>
      <c r="EW2743" s="167"/>
      <c r="EX2743" s="167"/>
      <c r="EY2743" s="167"/>
      <c r="EZ2743" s="167"/>
      <c r="FA2743" s="167"/>
      <c r="FB2743" s="167"/>
      <c r="FC2743" s="167"/>
      <c r="FD2743" s="167"/>
      <c r="FE2743" s="167"/>
      <c r="FF2743" s="167"/>
      <c r="FG2743" s="167"/>
      <c r="FH2743" s="167"/>
      <c r="FI2743" s="167"/>
      <c r="FJ2743" s="167"/>
      <c r="FK2743" s="167"/>
      <c r="FL2743" s="167"/>
      <c r="FM2743" s="167"/>
      <c r="FN2743" s="167"/>
      <c r="FO2743" s="167"/>
      <c r="FP2743" s="167"/>
      <c r="FQ2743" s="167"/>
      <c r="FR2743" s="167"/>
      <c r="FS2743" s="167"/>
      <c r="FT2743" s="167"/>
      <c r="FU2743" s="167"/>
      <c r="FV2743" s="167"/>
      <c r="FW2743" s="167"/>
      <c r="FX2743" s="167"/>
      <c r="FY2743" s="167"/>
      <c r="FZ2743" s="167"/>
      <c r="GA2743" s="167"/>
      <c r="GB2743" s="167"/>
      <c r="GC2743" s="167"/>
      <c r="GD2743" s="167"/>
      <c r="GE2743" s="167"/>
      <c r="GF2743" s="167"/>
      <c r="GG2743" s="167"/>
      <c r="GH2743" s="167"/>
      <c r="GI2743" s="167"/>
      <c r="GJ2743" s="167"/>
      <c r="GK2743" s="167"/>
      <c r="GL2743" s="167"/>
      <c r="GM2743" s="167"/>
      <c r="GN2743" s="167"/>
      <c r="GO2743" s="167"/>
      <c r="GP2743" s="167"/>
      <c r="GQ2743" s="167"/>
      <c r="GR2743" s="167"/>
      <c r="GS2743" s="167"/>
      <c r="GT2743" s="167"/>
      <c r="GU2743" s="167"/>
      <c r="GV2743" s="167"/>
      <c r="GW2743" s="167"/>
      <c r="GX2743" s="167"/>
      <c r="GY2743" s="167"/>
      <c r="GZ2743" s="167"/>
      <c r="HA2743" s="167"/>
      <c r="HB2743" s="167"/>
      <c r="HC2743" s="167"/>
      <c r="HD2743" s="167"/>
      <c r="HE2743" s="167"/>
      <c r="HF2743" s="167"/>
      <c r="HG2743" s="167"/>
      <c r="HH2743" s="167"/>
      <c r="HI2743" s="167"/>
      <c r="HJ2743" s="167"/>
      <c r="HK2743" s="167"/>
      <c r="HL2743" s="167"/>
      <c r="HM2743" s="167"/>
      <c r="HN2743" s="167"/>
      <c r="HO2743" s="167"/>
      <c r="HP2743" s="167"/>
      <c r="HQ2743" s="167"/>
      <c r="HR2743" s="167"/>
      <c r="HS2743" s="167"/>
      <c r="HT2743" s="167"/>
      <c r="HU2743" s="167"/>
      <c r="HV2743" s="167"/>
      <c r="HW2743" s="167"/>
      <c r="HX2743" s="167"/>
      <c r="HY2743" s="167"/>
      <c r="HZ2743" s="167"/>
      <c r="IA2743" s="167"/>
      <c r="IB2743" s="167"/>
      <c r="IC2743" s="167"/>
      <c r="ID2743" s="167"/>
      <c r="IE2743" s="167"/>
      <c r="IF2743" s="167"/>
      <c r="IG2743" s="167"/>
      <c r="IH2743" s="167"/>
      <c r="II2743" s="167"/>
      <c r="IJ2743" s="167"/>
      <c r="IK2743" s="167"/>
      <c r="IL2743" s="167"/>
      <c r="IM2743" s="167"/>
      <c r="IN2743" s="167"/>
      <c r="IO2743" s="167"/>
      <c r="IP2743" s="167"/>
      <c r="IQ2743" s="167"/>
      <c r="IR2743" s="167"/>
      <c r="IS2743" s="167"/>
      <c r="IT2743" s="167"/>
      <c r="IU2743" s="167"/>
      <c r="IV2743" s="167"/>
    </row>
    <row r="2744" spans="1:256" ht="51" customHeight="1" x14ac:dyDescent="0.2">
      <c r="A2744" s="191">
        <f>MATCH($E2744,'D1 - Master Project Table'!$B$24:$B$7056,0)</f>
        <v>186</v>
      </c>
      <c r="B2744" s="191" t="b">
        <f t="shared" si="133"/>
        <v>0</v>
      </c>
      <c r="C2744" s="191" t="b">
        <f t="shared" si="134"/>
        <v>0</v>
      </c>
      <c r="D2744" s="191" t="str">
        <f t="shared" si="135"/>
        <v>OK</v>
      </c>
      <c r="E2744" s="221"/>
      <c r="F2744" s="222"/>
      <c r="G2744" s="222"/>
      <c r="H2744" s="222"/>
      <c r="I2744" s="222"/>
      <c r="J2744" s="222"/>
      <c r="K2744" s="222"/>
      <c r="L2744" s="222"/>
      <c r="M2744" s="222"/>
      <c r="N2744" s="222"/>
      <c r="O2744" s="222"/>
      <c r="P2744"/>
      <c r="Q2744"/>
      <c r="R2744" s="387" t="e">
        <f>VLOOKUP(E2744,'[1]NDB Impacted SPRFs 05032013'!$A$2:$A$65536,1,FALSE)</f>
        <v>#N/A</v>
      </c>
      <c r="S2744" s="159"/>
      <c r="T2744" s="159"/>
      <c r="U2744" s="159"/>
      <c r="V2744" s="167"/>
      <c r="W2744" s="167"/>
      <c r="X2744" s="167"/>
      <c r="Y2744" s="167"/>
      <c r="Z2744" s="167"/>
      <c r="AA2744" s="167"/>
      <c r="AB2744" s="167"/>
      <c r="AC2744" s="167"/>
      <c r="AD2744" s="167"/>
      <c r="AE2744" s="167"/>
      <c r="AF2744" s="167"/>
      <c r="AG2744" s="167"/>
      <c r="AH2744" s="167"/>
      <c r="AI2744" s="167"/>
      <c r="AJ2744" s="167"/>
      <c r="AK2744" s="167"/>
      <c r="AL2744" s="167"/>
      <c r="AM2744" s="167"/>
      <c r="AN2744" s="167"/>
      <c r="AO2744" s="167"/>
      <c r="AP2744" s="167"/>
      <c r="AQ2744" s="167"/>
      <c r="AR2744" s="167"/>
      <c r="AS2744" s="167"/>
      <c r="AT2744" s="167"/>
      <c r="AU2744" s="167"/>
      <c r="AV2744" s="167"/>
      <c r="AW2744" s="167"/>
      <c r="AX2744" s="167"/>
      <c r="AY2744" s="167"/>
      <c r="AZ2744" s="167"/>
      <c r="BA2744" s="167"/>
      <c r="BB2744" s="167"/>
      <c r="BC2744" s="167"/>
      <c r="BD2744" s="167"/>
      <c r="BE2744" s="167"/>
      <c r="BF2744" s="167"/>
      <c r="BG2744" s="167"/>
      <c r="BH2744" s="167"/>
      <c r="BI2744" s="167"/>
      <c r="BJ2744" s="167"/>
      <c r="BK2744" s="167"/>
      <c r="BL2744" s="167"/>
      <c r="BM2744" s="167"/>
      <c r="BN2744" s="167"/>
      <c r="BO2744" s="167"/>
      <c r="BP2744" s="167"/>
      <c r="BQ2744" s="167"/>
      <c r="BR2744" s="167"/>
      <c r="BS2744" s="167"/>
      <c r="BT2744" s="167"/>
      <c r="BU2744" s="167"/>
      <c r="BV2744" s="167"/>
      <c r="BW2744" s="167"/>
      <c r="BX2744" s="167"/>
      <c r="BY2744" s="167"/>
      <c r="BZ2744" s="167"/>
      <c r="CA2744" s="167"/>
      <c r="CB2744" s="167"/>
      <c r="CC2744" s="167"/>
      <c r="CD2744" s="167"/>
      <c r="CE2744" s="167"/>
      <c r="CF2744" s="167"/>
      <c r="CG2744" s="167"/>
      <c r="CH2744" s="167"/>
      <c r="CI2744" s="167"/>
      <c r="CJ2744" s="167"/>
      <c r="CK2744" s="167"/>
      <c r="CL2744" s="167"/>
      <c r="CM2744" s="167"/>
      <c r="CN2744" s="167"/>
      <c r="CO2744" s="167"/>
      <c r="CP2744" s="167"/>
      <c r="CQ2744" s="167"/>
      <c r="CR2744" s="167"/>
      <c r="CS2744" s="167"/>
      <c r="CT2744" s="167"/>
      <c r="CU2744" s="167"/>
      <c r="CV2744" s="167"/>
      <c r="CW2744" s="167"/>
      <c r="CX2744" s="167"/>
      <c r="CY2744" s="167"/>
      <c r="CZ2744" s="167"/>
      <c r="DA2744" s="167"/>
      <c r="DB2744" s="167"/>
      <c r="DC2744" s="167"/>
      <c r="DD2744" s="167"/>
      <c r="DE2744" s="167"/>
      <c r="DF2744" s="167"/>
      <c r="DG2744" s="167"/>
      <c r="DH2744" s="167"/>
      <c r="DI2744" s="167"/>
      <c r="DJ2744" s="167"/>
      <c r="DK2744" s="167"/>
      <c r="DL2744" s="167"/>
      <c r="DM2744" s="167"/>
      <c r="DN2744" s="167"/>
      <c r="DO2744" s="167"/>
      <c r="DP2744" s="167"/>
      <c r="DQ2744" s="167"/>
      <c r="DR2744" s="167"/>
      <c r="DS2744" s="167"/>
      <c r="DT2744" s="167"/>
      <c r="DU2744" s="167"/>
      <c r="DV2744" s="167"/>
      <c r="DW2744" s="167"/>
      <c r="DX2744" s="167"/>
      <c r="DY2744" s="167"/>
      <c r="DZ2744" s="167"/>
      <c r="EA2744" s="167"/>
      <c r="EB2744" s="167"/>
      <c r="EC2744" s="167"/>
      <c r="ED2744" s="167"/>
      <c r="EE2744" s="167"/>
      <c r="EF2744" s="167"/>
      <c r="EG2744" s="167"/>
      <c r="EH2744" s="167"/>
      <c r="EI2744" s="167"/>
      <c r="EJ2744" s="167"/>
      <c r="EK2744" s="167"/>
      <c r="EL2744" s="167"/>
      <c r="EM2744" s="167"/>
      <c r="EN2744" s="167"/>
      <c r="EO2744" s="167"/>
      <c r="EP2744" s="167"/>
      <c r="EQ2744" s="167"/>
      <c r="ER2744" s="167"/>
      <c r="ES2744" s="167"/>
      <c r="ET2744" s="167"/>
      <c r="EU2744" s="167"/>
      <c r="EV2744" s="167"/>
      <c r="EW2744" s="167"/>
      <c r="EX2744" s="167"/>
      <c r="EY2744" s="167"/>
      <c r="EZ2744" s="167"/>
      <c r="FA2744" s="167"/>
      <c r="FB2744" s="167"/>
      <c r="FC2744" s="167"/>
      <c r="FD2744" s="167"/>
      <c r="FE2744" s="167"/>
      <c r="FF2744" s="167"/>
      <c r="FG2744" s="167"/>
      <c r="FH2744" s="167"/>
      <c r="FI2744" s="167"/>
      <c r="FJ2744" s="167"/>
      <c r="FK2744" s="167"/>
      <c r="FL2744" s="167"/>
      <c r="FM2744" s="167"/>
      <c r="FN2744" s="167"/>
      <c r="FO2744" s="167"/>
      <c r="FP2744" s="167"/>
      <c r="FQ2744" s="167"/>
      <c r="FR2744" s="167"/>
      <c r="FS2744" s="167"/>
      <c r="FT2744" s="167"/>
      <c r="FU2744" s="167"/>
      <c r="FV2744" s="167"/>
      <c r="FW2744" s="167"/>
      <c r="FX2744" s="167"/>
      <c r="FY2744" s="167"/>
      <c r="FZ2744" s="167"/>
      <c r="GA2744" s="167"/>
      <c r="GB2744" s="167"/>
      <c r="GC2744" s="167"/>
      <c r="GD2744" s="167"/>
      <c r="GE2744" s="167"/>
      <c r="GF2744" s="167"/>
      <c r="GG2744" s="167"/>
      <c r="GH2744" s="167"/>
      <c r="GI2744" s="167"/>
      <c r="GJ2744" s="167"/>
      <c r="GK2744" s="167"/>
      <c r="GL2744" s="167"/>
      <c r="GM2744" s="167"/>
      <c r="GN2744" s="167"/>
      <c r="GO2744" s="167"/>
      <c r="GP2744" s="167"/>
      <c r="GQ2744" s="167"/>
      <c r="GR2744" s="167"/>
      <c r="GS2744" s="167"/>
      <c r="GT2744" s="167"/>
      <c r="GU2744" s="167"/>
      <c r="GV2744" s="167"/>
      <c r="GW2744" s="167"/>
      <c r="GX2744" s="167"/>
      <c r="GY2744" s="167"/>
      <c r="GZ2744" s="167"/>
      <c r="HA2744" s="167"/>
      <c r="HB2744" s="167"/>
      <c r="HC2744" s="167"/>
      <c r="HD2744" s="167"/>
      <c r="HE2744" s="167"/>
      <c r="HF2744" s="167"/>
      <c r="HG2744" s="167"/>
      <c r="HH2744" s="167"/>
      <c r="HI2744" s="167"/>
      <c r="HJ2744" s="167"/>
      <c r="HK2744" s="167"/>
      <c r="HL2744" s="167"/>
      <c r="HM2744" s="167"/>
      <c r="HN2744" s="167"/>
      <c r="HO2744" s="167"/>
      <c r="HP2744" s="167"/>
      <c r="HQ2744" s="167"/>
      <c r="HR2744" s="167"/>
      <c r="HS2744" s="167"/>
      <c r="HT2744" s="167"/>
      <c r="HU2744" s="167"/>
      <c r="HV2744" s="167"/>
      <c r="HW2744" s="167"/>
      <c r="HX2744" s="167"/>
      <c r="HY2744" s="167"/>
      <c r="HZ2744" s="167"/>
      <c r="IA2744" s="167"/>
      <c r="IB2744" s="167"/>
      <c r="IC2744" s="167"/>
      <c r="ID2744" s="167"/>
      <c r="IE2744" s="167"/>
      <c r="IF2744" s="167"/>
      <c r="IG2744" s="167"/>
      <c r="IH2744" s="167"/>
      <c r="II2744" s="167"/>
      <c r="IJ2744" s="167"/>
      <c r="IK2744" s="167"/>
      <c r="IL2744" s="167"/>
      <c r="IM2744" s="167"/>
      <c r="IN2744" s="167"/>
      <c r="IO2744" s="167"/>
      <c r="IP2744" s="167"/>
      <c r="IQ2744" s="167"/>
      <c r="IR2744" s="167"/>
      <c r="IS2744" s="167"/>
      <c r="IT2744" s="167"/>
      <c r="IU2744" s="167"/>
      <c r="IV2744" s="167"/>
    </row>
    <row r="2745" spans="1:256" ht="51" customHeight="1" x14ac:dyDescent="0.25">
      <c r="A2745" s="191">
        <f>MATCH($E2745,'D1 - Master Project Table'!$B$24:$B$7056,0)</f>
        <v>186</v>
      </c>
      <c r="B2745" s="191" t="b">
        <f t="shared" si="133"/>
        <v>0</v>
      </c>
      <c r="C2745" s="191" t="b">
        <f t="shared" si="134"/>
        <v>0</v>
      </c>
      <c r="D2745" s="191" t="str">
        <f t="shared" si="135"/>
        <v>OK</v>
      </c>
      <c r="E2745" s="229"/>
      <c r="F2745" s="230"/>
      <c r="G2745" s="230"/>
      <c r="H2745" s="230"/>
      <c r="I2745" s="230"/>
      <c r="J2745" s="230"/>
      <c r="K2745" s="230"/>
      <c r="L2745" s="230"/>
      <c r="M2745" s="230"/>
      <c r="N2745" s="230"/>
      <c r="O2745" s="230"/>
      <c r="P2745"/>
      <c r="Q2745"/>
      <c r="R2745" s="387" t="e">
        <f>VLOOKUP(E2745,'[1]NDB Impacted SPRFs 05032013'!$A$2:$A$65536,1,FALSE)</f>
        <v>#N/A</v>
      </c>
      <c r="V2745" s="167"/>
      <c r="W2745" s="167"/>
      <c r="X2745" s="167"/>
      <c r="Y2745" s="167"/>
      <c r="Z2745" s="167"/>
      <c r="AA2745" s="167"/>
      <c r="AB2745" s="167"/>
      <c r="AC2745" s="167"/>
      <c r="AD2745" s="167"/>
      <c r="AE2745" s="167"/>
      <c r="AF2745" s="167"/>
      <c r="AG2745" s="167"/>
      <c r="AH2745" s="167"/>
      <c r="AI2745" s="167"/>
      <c r="AJ2745" s="167"/>
      <c r="AK2745" s="167"/>
      <c r="AL2745" s="167"/>
      <c r="AM2745" s="167"/>
      <c r="AN2745" s="167"/>
      <c r="AO2745" s="167"/>
      <c r="AP2745" s="167"/>
      <c r="AQ2745" s="167"/>
      <c r="AR2745" s="167"/>
      <c r="AS2745" s="167"/>
      <c r="AT2745" s="167"/>
      <c r="AU2745" s="167"/>
      <c r="AV2745" s="167"/>
      <c r="AW2745" s="167"/>
      <c r="AX2745" s="167"/>
      <c r="AY2745" s="167"/>
      <c r="AZ2745" s="167"/>
      <c r="BA2745" s="167"/>
      <c r="BB2745" s="167"/>
      <c r="BC2745" s="167"/>
      <c r="BD2745" s="167"/>
      <c r="BE2745" s="167"/>
      <c r="BF2745" s="167"/>
      <c r="BG2745" s="167"/>
      <c r="BH2745" s="167"/>
      <c r="BI2745" s="167"/>
      <c r="BJ2745" s="167"/>
      <c r="BK2745" s="167"/>
      <c r="BL2745" s="167"/>
      <c r="BM2745" s="167"/>
      <c r="BN2745" s="167"/>
      <c r="BO2745" s="167"/>
      <c r="BP2745" s="167"/>
      <c r="BQ2745" s="167"/>
      <c r="BR2745" s="167"/>
      <c r="BS2745" s="167"/>
      <c r="BT2745" s="167"/>
      <c r="BU2745" s="167"/>
      <c r="BV2745" s="167"/>
      <c r="BW2745" s="167"/>
      <c r="BX2745" s="167"/>
      <c r="BY2745" s="167"/>
      <c r="BZ2745" s="167"/>
      <c r="CA2745" s="167"/>
      <c r="CB2745" s="167"/>
      <c r="CC2745" s="167"/>
      <c r="CD2745" s="167"/>
      <c r="CE2745" s="167"/>
      <c r="CF2745" s="167"/>
      <c r="CG2745" s="167"/>
      <c r="CH2745" s="167"/>
      <c r="CI2745" s="167"/>
      <c r="CJ2745" s="167"/>
      <c r="CK2745" s="167"/>
      <c r="CL2745" s="167"/>
      <c r="CM2745" s="167"/>
      <c r="CN2745" s="167"/>
      <c r="CO2745" s="167"/>
      <c r="CP2745" s="167"/>
      <c r="CQ2745" s="167"/>
      <c r="CR2745" s="167"/>
      <c r="CS2745" s="167"/>
      <c r="CT2745" s="167"/>
      <c r="CU2745" s="167"/>
      <c r="CV2745" s="167"/>
      <c r="CW2745" s="167"/>
      <c r="CX2745" s="167"/>
      <c r="CY2745" s="167"/>
      <c r="CZ2745" s="167"/>
      <c r="DA2745" s="167"/>
      <c r="DB2745" s="167"/>
      <c r="DC2745" s="167"/>
      <c r="DD2745" s="167"/>
      <c r="DE2745" s="167"/>
      <c r="DF2745" s="167"/>
      <c r="DG2745" s="167"/>
      <c r="DH2745" s="167"/>
      <c r="DI2745" s="167"/>
      <c r="DJ2745" s="167"/>
      <c r="DK2745" s="167"/>
      <c r="DL2745" s="167"/>
      <c r="DM2745" s="167"/>
      <c r="DN2745" s="167"/>
      <c r="DO2745" s="167"/>
      <c r="DP2745" s="167"/>
      <c r="DQ2745" s="167"/>
      <c r="DR2745" s="167"/>
      <c r="DS2745" s="167"/>
      <c r="DT2745" s="167"/>
      <c r="DU2745" s="167"/>
      <c r="DV2745" s="167"/>
      <c r="DW2745" s="167"/>
      <c r="DX2745" s="167"/>
      <c r="DY2745" s="167"/>
      <c r="DZ2745" s="167"/>
      <c r="EA2745" s="167"/>
      <c r="EB2745" s="167"/>
      <c r="EC2745" s="167"/>
      <c r="ED2745" s="167"/>
      <c r="EE2745" s="167"/>
      <c r="EF2745" s="167"/>
      <c r="EG2745" s="167"/>
      <c r="EH2745" s="167"/>
      <c r="EI2745" s="167"/>
      <c r="EJ2745" s="167"/>
      <c r="EK2745" s="167"/>
      <c r="EL2745" s="167"/>
      <c r="EM2745" s="167"/>
      <c r="EN2745" s="167"/>
      <c r="EO2745" s="167"/>
      <c r="EP2745" s="167"/>
      <c r="EQ2745" s="167"/>
      <c r="ER2745" s="167"/>
      <c r="ES2745" s="167"/>
      <c r="ET2745" s="167"/>
      <c r="EU2745" s="167"/>
      <c r="EV2745" s="167"/>
      <c r="EW2745" s="167"/>
      <c r="EX2745" s="167"/>
      <c r="EY2745" s="167"/>
      <c r="EZ2745" s="167"/>
      <c r="FA2745" s="167"/>
      <c r="FB2745" s="167"/>
      <c r="FC2745" s="167"/>
      <c r="FD2745" s="167"/>
      <c r="FE2745" s="167"/>
      <c r="FF2745" s="167"/>
      <c r="FG2745" s="167"/>
      <c r="FH2745" s="167"/>
      <c r="FI2745" s="167"/>
      <c r="FJ2745" s="167"/>
      <c r="FK2745" s="167"/>
      <c r="FL2745" s="167"/>
      <c r="FM2745" s="167"/>
      <c r="FN2745" s="167"/>
      <c r="FO2745" s="167"/>
      <c r="FP2745" s="167"/>
      <c r="FQ2745" s="167"/>
      <c r="FR2745" s="167"/>
      <c r="FS2745" s="167"/>
      <c r="FT2745" s="167"/>
      <c r="FU2745" s="167"/>
      <c r="FV2745" s="167"/>
      <c r="FW2745" s="167"/>
      <c r="FX2745" s="167"/>
      <c r="FY2745" s="167"/>
      <c r="FZ2745" s="167"/>
      <c r="GA2745" s="167"/>
      <c r="GB2745" s="167"/>
      <c r="GC2745" s="167"/>
      <c r="GD2745" s="167"/>
      <c r="GE2745" s="167"/>
      <c r="GF2745" s="167"/>
      <c r="GG2745" s="167"/>
      <c r="GH2745" s="167"/>
      <c r="GI2745" s="167"/>
      <c r="GJ2745" s="167"/>
      <c r="GK2745" s="167"/>
      <c r="GL2745" s="167"/>
      <c r="GM2745" s="167"/>
      <c r="GN2745" s="167"/>
      <c r="GO2745" s="167"/>
      <c r="GP2745" s="167"/>
      <c r="GQ2745" s="167"/>
      <c r="GR2745" s="167"/>
      <c r="GS2745" s="167"/>
      <c r="GT2745" s="167"/>
      <c r="GU2745" s="167"/>
      <c r="GV2745" s="167"/>
      <c r="GW2745" s="167"/>
      <c r="GX2745" s="167"/>
      <c r="GY2745" s="167"/>
      <c r="GZ2745" s="167"/>
      <c r="HA2745" s="167"/>
      <c r="HB2745" s="167"/>
      <c r="HC2745" s="167"/>
      <c r="HD2745" s="167"/>
      <c r="HE2745" s="167"/>
      <c r="HF2745" s="167"/>
      <c r="HG2745" s="167"/>
      <c r="HH2745" s="167"/>
      <c r="HI2745" s="167"/>
      <c r="HJ2745" s="167"/>
      <c r="HK2745" s="167"/>
      <c r="HL2745" s="167"/>
      <c r="HM2745" s="167"/>
      <c r="HN2745" s="167"/>
      <c r="HO2745" s="167"/>
      <c r="HP2745" s="167"/>
      <c r="HQ2745" s="167"/>
      <c r="HR2745" s="167"/>
      <c r="HS2745" s="167"/>
      <c r="HT2745" s="167"/>
      <c r="HU2745" s="167"/>
      <c r="HV2745" s="167"/>
      <c r="HW2745" s="167"/>
      <c r="HX2745" s="167"/>
      <c r="HY2745" s="167"/>
      <c r="HZ2745" s="167"/>
      <c r="IA2745" s="167"/>
      <c r="IB2745" s="167"/>
      <c r="IC2745" s="167"/>
      <c r="ID2745" s="167"/>
      <c r="IE2745" s="167"/>
      <c r="IF2745" s="167"/>
      <c r="IG2745" s="167"/>
      <c r="IH2745" s="167"/>
      <c r="II2745" s="167"/>
      <c r="IJ2745" s="167"/>
      <c r="IK2745" s="167"/>
      <c r="IL2745" s="167"/>
      <c r="IM2745" s="167"/>
      <c r="IN2745" s="167"/>
      <c r="IO2745" s="167"/>
      <c r="IP2745" s="167"/>
      <c r="IQ2745" s="167"/>
      <c r="IR2745" s="167"/>
      <c r="IS2745" s="167"/>
      <c r="IT2745" s="167"/>
      <c r="IU2745" s="167"/>
      <c r="IV2745" s="167"/>
    </row>
    <row r="2746" spans="1:256" ht="51" customHeight="1" x14ac:dyDescent="0.25">
      <c r="A2746" s="191">
        <f>MATCH($E2746,'D1 - Master Project Table'!$B$24:$B$7056,0)</f>
        <v>186</v>
      </c>
      <c r="B2746" s="191" t="b">
        <f t="shared" si="133"/>
        <v>0</v>
      </c>
      <c r="C2746" s="191" t="b">
        <f t="shared" si="134"/>
        <v>0</v>
      </c>
      <c r="D2746" s="191" t="str">
        <f t="shared" si="135"/>
        <v>OK</v>
      </c>
      <c r="E2746" s="229"/>
      <c r="F2746" s="230"/>
      <c r="G2746" s="230"/>
      <c r="H2746" s="230"/>
      <c r="I2746" s="230"/>
      <c r="J2746" s="230"/>
      <c r="K2746" s="230"/>
      <c r="L2746" s="230"/>
      <c r="M2746" s="230"/>
      <c r="N2746" s="230"/>
      <c r="O2746" s="230"/>
      <c r="P2746"/>
      <c r="Q2746"/>
      <c r="R2746" s="387" t="e">
        <f>VLOOKUP(E2746,'[1]NDB Impacted SPRFs 05032013'!$A$2:$A$65536,1,FALSE)</f>
        <v>#N/A</v>
      </c>
      <c r="S2746" s="159"/>
      <c r="T2746" s="159"/>
      <c r="U2746" s="159"/>
      <c r="V2746" s="167"/>
      <c r="W2746" s="167"/>
      <c r="X2746" s="167"/>
      <c r="Y2746" s="167"/>
      <c r="Z2746" s="167"/>
      <c r="AA2746" s="167"/>
      <c r="AB2746" s="167"/>
      <c r="AC2746" s="167"/>
      <c r="AD2746" s="167"/>
      <c r="AE2746" s="167"/>
      <c r="AF2746" s="167"/>
      <c r="AG2746" s="167"/>
      <c r="AH2746" s="167"/>
      <c r="AI2746" s="167"/>
      <c r="AJ2746" s="167"/>
      <c r="AK2746" s="167"/>
      <c r="AL2746" s="167"/>
      <c r="AM2746" s="167"/>
      <c r="AN2746" s="167"/>
      <c r="AO2746" s="167"/>
      <c r="AP2746" s="167"/>
      <c r="AQ2746" s="167"/>
      <c r="AR2746" s="167"/>
      <c r="AS2746" s="167"/>
      <c r="AT2746" s="167"/>
      <c r="AU2746" s="167"/>
      <c r="AV2746" s="167"/>
      <c r="AW2746" s="167"/>
      <c r="AX2746" s="167"/>
      <c r="AY2746" s="167"/>
      <c r="AZ2746" s="167"/>
      <c r="BA2746" s="167"/>
      <c r="BB2746" s="167"/>
      <c r="BC2746" s="167"/>
      <c r="BD2746" s="167"/>
      <c r="BE2746" s="167"/>
      <c r="BF2746" s="167"/>
      <c r="BG2746" s="167"/>
      <c r="BH2746" s="167"/>
      <c r="BI2746" s="167"/>
      <c r="BJ2746" s="167"/>
      <c r="BK2746" s="167"/>
      <c r="BL2746" s="167"/>
      <c r="BM2746" s="167"/>
      <c r="BN2746" s="167"/>
      <c r="BO2746" s="167"/>
      <c r="BP2746" s="167"/>
      <c r="BQ2746" s="167"/>
      <c r="BR2746" s="167"/>
      <c r="BS2746" s="167"/>
      <c r="BT2746" s="167"/>
      <c r="BU2746" s="167"/>
      <c r="BV2746" s="167"/>
      <c r="BW2746" s="167"/>
      <c r="BX2746" s="167"/>
      <c r="BY2746" s="167"/>
      <c r="BZ2746" s="167"/>
      <c r="CA2746" s="167"/>
      <c r="CB2746" s="167"/>
      <c r="CC2746" s="167"/>
      <c r="CD2746" s="167"/>
      <c r="CE2746" s="167"/>
      <c r="CF2746" s="167"/>
      <c r="CG2746" s="167"/>
      <c r="CH2746" s="167"/>
      <c r="CI2746" s="167"/>
      <c r="CJ2746" s="167"/>
      <c r="CK2746" s="167"/>
      <c r="CL2746" s="167"/>
      <c r="CM2746" s="167"/>
      <c r="CN2746" s="167"/>
      <c r="CO2746" s="167"/>
      <c r="CP2746" s="167"/>
      <c r="CQ2746" s="167"/>
      <c r="CR2746" s="167"/>
      <c r="CS2746" s="167"/>
      <c r="CT2746" s="167"/>
      <c r="CU2746" s="167"/>
      <c r="CV2746" s="167"/>
      <c r="CW2746" s="167"/>
      <c r="CX2746" s="167"/>
      <c r="CY2746" s="167"/>
      <c r="CZ2746" s="167"/>
      <c r="DA2746" s="167"/>
      <c r="DB2746" s="167"/>
      <c r="DC2746" s="167"/>
      <c r="DD2746" s="167"/>
      <c r="DE2746" s="167"/>
      <c r="DF2746" s="167"/>
      <c r="DG2746" s="167"/>
      <c r="DH2746" s="167"/>
      <c r="DI2746" s="167"/>
      <c r="DJ2746" s="167"/>
      <c r="DK2746" s="167"/>
      <c r="DL2746" s="167"/>
      <c r="DM2746" s="167"/>
      <c r="DN2746" s="167"/>
      <c r="DO2746" s="167"/>
      <c r="DP2746" s="167"/>
      <c r="DQ2746" s="167"/>
      <c r="DR2746" s="167"/>
      <c r="DS2746" s="167"/>
      <c r="DT2746" s="167"/>
      <c r="DU2746" s="167"/>
      <c r="DV2746" s="167"/>
      <c r="DW2746" s="167"/>
      <c r="DX2746" s="167"/>
      <c r="DY2746" s="167"/>
      <c r="DZ2746" s="167"/>
      <c r="EA2746" s="167"/>
      <c r="EB2746" s="167"/>
      <c r="EC2746" s="167"/>
      <c r="ED2746" s="167"/>
      <c r="EE2746" s="167"/>
      <c r="EF2746" s="167"/>
      <c r="EG2746" s="167"/>
      <c r="EH2746" s="167"/>
      <c r="EI2746" s="167"/>
      <c r="EJ2746" s="167"/>
      <c r="EK2746" s="167"/>
      <c r="EL2746" s="167"/>
      <c r="EM2746" s="167"/>
      <c r="EN2746" s="167"/>
      <c r="EO2746" s="167"/>
      <c r="EP2746" s="167"/>
      <c r="EQ2746" s="167"/>
      <c r="ER2746" s="167"/>
      <c r="ES2746" s="167"/>
      <c r="ET2746" s="167"/>
      <c r="EU2746" s="167"/>
      <c r="EV2746" s="167"/>
      <c r="EW2746" s="167"/>
      <c r="EX2746" s="167"/>
      <c r="EY2746" s="167"/>
      <c r="EZ2746" s="167"/>
      <c r="FA2746" s="167"/>
      <c r="FB2746" s="167"/>
      <c r="FC2746" s="167"/>
      <c r="FD2746" s="167"/>
      <c r="FE2746" s="167"/>
      <c r="FF2746" s="167"/>
      <c r="FG2746" s="167"/>
      <c r="FH2746" s="167"/>
      <c r="FI2746" s="167"/>
      <c r="FJ2746" s="167"/>
      <c r="FK2746" s="167"/>
      <c r="FL2746" s="167"/>
      <c r="FM2746" s="167"/>
      <c r="FN2746" s="167"/>
      <c r="FO2746" s="167"/>
      <c r="FP2746" s="167"/>
      <c r="FQ2746" s="167"/>
      <c r="FR2746" s="167"/>
      <c r="FS2746" s="167"/>
      <c r="FT2746" s="167"/>
      <c r="FU2746" s="167"/>
      <c r="FV2746" s="167"/>
      <c r="FW2746" s="167"/>
      <c r="FX2746" s="167"/>
      <c r="FY2746" s="167"/>
      <c r="FZ2746" s="167"/>
      <c r="GA2746" s="167"/>
      <c r="GB2746" s="167"/>
      <c r="GC2746" s="167"/>
      <c r="GD2746" s="167"/>
      <c r="GE2746" s="167"/>
      <c r="GF2746" s="167"/>
      <c r="GG2746" s="167"/>
      <c r="GH2746" s="167"/>
      <c r="GI2746" s="167"/>
      <c r="GJ2746" s="167"/>
      <c r="GK2746" s="167"/>
      <c r="GL2746" s="167"/>
      <c r="GM2746" s="167"/>
      <c r="GN2746" s="167"/>
      <c r="GO2746" s="167"/>
      <c r="GP2746" s="167"/>
      <c r="GQ2746" s="167"/>
      <c r="GR2746" s="167"/>
      <c r="GS2746" s="167"/>
      <c r="GT2746" s="167"/>
      <c r="GU2746" s="167"/>
      <c r="GV2746" s="167"/>
      <c r="GW2746" s="167"/>
      <c r="GX2746" s="167"/>
      <c r="GY2746" s="167"/>
      <c r="GZ2746" s="167"/>
      <c r="HA2746" s="167"/>
      <c r="HB2746" s="167"/>
      <c r="HC2746" s="167"/>
      <c r="HD2746" s="167"/>
      <c r="HE2746" s="167"/>
      <c r="HF2746" s="167"/>
      <c r="HG2746" s="167"/>
      <c r="HH2746" s="167"/>
      <c r="HI2746" s="167"/>
      <c r="HJ2746" s="167"/>
      <c r="HK2746" s="167"/>
      <c r="HL2746" s="167"/>
      <c r="HM2746" s="167"/>
      <c r="HN2746" s="167"/>
      <c r="HO2746" s="167"/>
      <c r="HP2746" s="167"/>
      <c r="HQ2746" s="167"/>
      <c r="HR2746" s="167"/>
      <c r="HS2746" s="167"/>
      <c r="HT2746" s="167"/>
      <c r="HU2746" s="167"/>
      <c r="HV2746" s="167"/>
      <c r="HW2746" s="167"/>
      <c r="HX2746" s="167"/>
      <c r="HY2746" s="167"/>
      <c r="HZ2746" s="167"/>
      <c r="IA2746" s="167"/>
      <c r="IB2746" s="167"/>
      <c r="IC2746" s="167"/>
      <c r="ID2746" s="167"/>
      <c r="IE2746" s="167"/>
      <c r="IF2746" s="167"/>
      <c r="IG2746" s="167"/>
      <c r="IH2746" s="167"/>
      <c r="II2746" s="167"/>
      <c r="IJ2746" s="167"/>
      <c r="IK2746" s="167"/>
      <c r="IL2746" s="167"/>
      <c r="IM2746" s="167"/>
      <c r="IN2746" s="167"/>
      <c r="IO2746" s="167"/>
      <c r="IP2746" s="167"/>
      <c r="IQ2746" s="167"/>
      <c r="IR2746" s="167"/>
      <c r="IS2746" s="167"/>
      <c r="IT2746" s="167"/>
      <c r="IU2746" s="167"/>
      <c r="IV2746" s="167"/>
    </row>
    <row r="2747" spans="1:256" ht="51" customHeight="1" x14ac:dyDescent="0.25">
      <c r="A2747" s="191">
        <f>MATCH($E2747,'D1 - Master Project Table'!$B$24:$B$7056,0)</f>
        <v>186</v>
      </c>
      <c r="B2747" s="191" t="b">
        <f t="shared" si="133"/>
        <v>0</v>
      </c>
      <c r="C2747" s="191" t="b">
        <f t="shared" si="134"/>
        <v>0</v>
      </c>
      <c r="D2747" s="191" t="str">
        <f t="shared" si="135"/>
        <v>OK</v>
      </c>
      <c r="E2747" s="229"/>
      <c r="F2747" s="230"/>
      <c r="G2747" s="230"/>
      <c r="H2747" s="230"/>
      <c r="I2747" s="230"/>
      <c r="J2747" s="230"/>
      <c r="K2747" s="230"/>
      <c r="L2747" s="230"/>
      <c r="M2747" s="230"/>
      <c r="N2747" s="230"/>
      <c r="O2747" s="230"/>
      <c r="P2747"/>
      <c r="Q2747"/>
      <c r="R2747" s="387" t="e">
        <f>VLOOKUP(E2747,'[1]NDB Impacted SPRFs 05032013'!$A$2:$A$65536,1,FALSE)</f>
        <v>#N/A</v>
      </c>
      <c r="S2747" s="161"/>
      <c r="T2747" s="161"/>
      <c r="U2747" s="161"/>
      <c r="V2747" s="167"/>
      <c r="W2747" s="167"/>
      <c r="X2747" s="167"/>
      <c r="Y2747" s="167"/>
      <c r="Z2747" s="167"/>
      <c r="AA2747" s="167"/>
      <c r="AB2747" s="167"/>
      <c r="AC2747" s="167"/>
      <c r="AD2747" s="167"/>
      <c r="AE2747" s="167"/>
      <c r="AF2747" s="167"/>
      <c r="AG2747" s="167"/>
      <c r="AH2747" s="167"/>
      <c r="AI2747" s="167"/>
      <c r="AJ2747" s="167"/>
      <c r="AK2747" s="167"/>
      <c r="AL2747" s="167"/>
      <c r="AM2747" s="167"/>
      <c r="AN2747" s="167"/>
      <c r="AO2747" s="167"/>
      <c r="AP2747" s="167"/>
      <c r="AQ2747" s="167"/>
      <c r="AR2747" s="167"/>
      <c r="AS2747" s="167"/>
      <c r="AT2747" s="167"/>
      <c r="AU2747" s="167"/>
      <c r="AV2747" s="167"/>
      <c r="AW2747" s="167"/>
      <c r="AX2747" s="167"/>
      <c r="AY2747" s="167"/>
      <c r="AZ2747" s="167"/>
      <c r="BA2747" s="167"/>
      <c r="BB2747" s="167"/>
      <c r="BC2747" s="167"/>
      <c r="BD2747" s="167"/>
      <c r="BE2747" s="167"/>
      <c r="BF2747" s="167"/>
      <c r="BG2747" s="167"/>
      <c r="BH2747" s="167"/>
      <c r="BI2747" s="167"/>
      <c r="BJ2747" s="167"/>
      <c r="BK2747" s="167"/>
      <c r="BL2747" s="167"/>
      <c r="BM2747" s="167"/>
      <c r="BN2747" s="167"/>
      <c r="BO2747" s="167"/>
      <c r="BP2747" s="167"/>
      <c r="BQ2747" s="167"/>
      <c r="BR2747" s="167"/>
      <c r="BS2747" s="167"/>
      <c r="BT2747" s="167"/>
      <c r="BU2747" s="167"/>
      <c r="BV2747" s="167"/>
      <c r="BW2747" s="167"/>
      <c r="BX2747" s="167"/>
      <c r="BY2747" s="167"/>
      <c r="BZ2747" s="167"/>
      <c r="CA2747" s="167"/>
      <c r="CB2747" s="167"/>
      <c r="CC2747" s="167"/>
      <c r="CD2747" s="167"/>
      <c r="CE2747" s="167"/>
      <c r="CF2747" s="167"/>
      <c r="CG2747" s="167"/>
      <c r="CH2747" s="167"/>
      <c r="CI2747" s="167"/>
      <c r="CJ2747" s="167"/>
      <c r="CK2747" s="167"/>
      <c r="CL2747" s="167"/>
      <c r="CM2747" s="167"/>
      <c r="CN2747" s="167"/>
      <c r="CO2747" s="167"/>
      <c r="CP2747" s="167"/>
      <c r="CQ2747" s="167"/>
      <c r="CR2747" s="167"/>
      <c r="CS2747" s="167"/>
      <c r="CT2747" s="167"/>
      <c r="CU2747" s="167"/>
      <c r="CV2747" s="167"/>
      <c r="CW2747" s="167"/>
      <c r="CX2747" s="167"/>
      <c r="CY2747" s="167"/>
      <c r="CZ2747" s="167"/>
      <c r="DA2747" s="167"/>
      <c r="DB2747" s="167"/>
      <c r="DC2747" s="167"/>
      <c r="DD2747" s="167"/>
      <c r="DE2747" s="167"/>
      <c r="DF2747" s="167"/>
      <c r="DG2747" s="167"/>
      <c r="DH2747" s="167"/>
      <c r="DI2747" s="167"/>
      <c r="DJ2747" s="167"/>
      <c r="DK2747" s="167"/>
      <c r="DL2747" s="167"/>
      <c r="DM2747" s="167"/>
      <c r="DN2747" s="167"/>
      <c r="DO2747" s="167"/>
      <c r="DP2747" s="167"/>
      <c r="DQ2747" s="167"/>
      <c r="DR2747" s="167"/>
      <c r="DS2747" s="167"/>
      <c r="DT2747" s="167"/>
      <c r="DU2747" s="167"/>
      <c r="DV2747" s="167"/>
      <c r="DW2747" s="167"/>
      <c r="DX2747" s="167"/>
      <c r="DY2747" s="167"/>
      <c r="DZ2747" s="167"/>
      <c r="EA2747" s="167"/>
      <c r="EB2747" s="167"/>
      <c r="EC2747" s="167"/>
      <c r="ED2747" s="167"/>
      <c r="EE2747" s="167"/>
      <c r="EF2747" s="167"/>
      <c r="EG2747" s="167"/>
      <c r="EH2747" s="167"/>
      <c r="EI2747" s="167"/>
      <c r="EJ2747" s="167"/>
      <c r="EK2747" s="167"/>
      <c r="EL2747" s="167"/>
      <c r="EM2747" s="167"/>
      <c r="EN2747" s="167"/>
      <c r="EO2747" s="167"/>
      <c r="EP2747" s="167"/>
      <c r="EQ2747" s="167"/>
      <c r="ER2747" s="167"/>
      <c r="ES2747" s="167"/>
      <c r="ET2747" s="167"/>
      <c r="EU2747" s="167"/>
      <c r="EV2747" s="167"/>
      <c r="EW2747" s="167"/>
      <c r="EX2747" s="167"/>
      <c r="EY2747" s="167"/>
      <c r="EZ2747" s="167"/>
      <c r="FA2747" s="167"/>
      <c r="FB2747" s="167"/>
      <c r="FC2747" s="167"/>
      <c r="FD2747" s="167"/>
      <c r="FE2747" s="167"/>
      <c r="FF2747" s="167"/>
      <c r="FG2747" s="167"/>
      <c r="FH2747" s="167"/>
      <c r="FI2747" s="167"/>
      <c r="FJ2747" s="167"/>
      <c r="FK2747" s="167"/>
      <c r="FL2747" s="167"/>
      <c r="FM2747" s="167"/>
      <c r="FN2747" s="167"/>
      <c r="FO2747" s="167"/>
      <c r="FP2747" s="167"/>
      <c r="FQ2747" s="167"/>
      <c r="FR2747" s="167"/>
      <c r="FS2747" s="167"/>
      <c r="FT2747" s="167"/>
      <c r="FU2747" s="167"/>
      <c r="FV2747" s="167"/>
      <c r="FW2747" s="167"/>
      <c r="FX2747" s="167"/>
      <c r="FY2747" s="167"/>
      <c r="FZ2747" s="167"/>
      <c r="GA2747" s="167"/>
      <c r="GB2747" s="167"/>
      <c r="GC2747" s="167"/>
      <c r="GD2747" s="167"/>
      <c r="GE2747" s="167"/>
      <c r="GF2747" s="167"/>
      <c r="GG2747" s="167"/>
      <c r="GH2747" s="167"/>
      <c r="GI2747" s="167"/>
      <c r="GJ2747" s="167"/>
      <c r="GK2747" s="167"/>
      <c r="GL2747" s="167"/>
      <c r="GM2747" s="167"/>
      <c r="GN2747" s="167"/>
      <c r="GO2747" s="167"/>
      <c r="GP2747" s="167"/>
      <c r="GQ2747" s="167"/>
      <c r="GR2747" s="167"/>
      <c r="GS2747" s="167"/>
      <c r="GT2747" s="167"/>
      <c r="GU2747" s="167"/>
      <c r="GV2747" s="167"/>
      <c r="GW2747" s="167"/>
      <c r="GX2747" s="167"/>
      <c r="GY2747" s="167"/>
      <c r="GZ2747" s="167"/>
      <c r="HA2747" s="167"/>
      <c r="HB2747" s="167"/>
      <c r="HC2747" s="167"/>
      <c r="HD2747" s="167"/>
      <c r="HE2747" s="167"/>
      <c r="HF2747" s="167"/>
      <c r="HG2747" s="167"/>
      <c r="HH2747" s="167"/>
      <c r="HI2747" s="167"/>
      <c r="HJ2747" s="167"/>
      <c r="HK2747" s="167"/>
      <c r="HL2747" s="167"/>
      <c r="HM2747" s="167"/>
      <c r="HN2747" s="167"/>
      <c r="HO2747" s="167"/>
      <c r="HP2747" s="167"/>
      <c r="HQ2747" s="167"/>
      <c r="HR2747" s="167"/>
      <c r="HS2747" s="167"/>
      <c r="HT2747" s="167"/>
      <c r="HU2747" s="167"/>
      <c r="HV2747" s="167"/>
      <c r="HW2747" s="167"/>
      <c r="HX2747" s="167"/>
      <c r="HY2747" s="167"/>
      <c r="HZ2747" s="167"/>
      <c r="IA2747" s="167"/>
      <c r="IB2747" s="167"/>
      <c r="IC2747" s="167"/>
      <c r="ID2747" s="167"/>
      <c r="IE2747" s="167"/>
      <c r="IF2747" s="167"/>
      <c r="IG2747" s="167"/>
      <c r="IH2747" s="167"/>
      <c r="II2747" s="167"/>
      <c r="IJ2747" s="167"/>
      <c r="IK2747" s="167"/>
      <c r="IL2747" s="167"/>
      <c r="IM2747" s="167"/>
      <c r="IN2747" s="167"/>
      <c r="IO2747" s="167"/>
      <c r="IP2747" s="167"/>
      <c r="IQ2747" s="167"/>
      <c r="IR2747" s="167"/>
      <c r="IS2747" s="167"/>
      <c r="IT2747" s="167"/>
      <c r="IU2747" s="167"/>
      <c r="IV2747" s="167"/>
    </row>
    <row r="2748" spans="1:256" ht="51" customHeight="1" x14ac:dyDescent="0.25">
      <c r="A2748" s="191">
        <f>MATCH($E2748,'D1 - Master Project Table'!$B$24:$B$7056,0)</f>
        <v>186</v>
      </c>
      <c r="B2748" s="191" t="b">
        <f t="shared" si="133"/>
        <v>0</v>
      </c>
      <c r="C2748" s="191" t="b">
        <f t="shared" si="134"/>
        <v>0</v>
      </c>
      <c r="D2748" s="191" t="str">
        <f t="shared" si="135"/>
        <v>OK</v>
      </c>
      <c r="E2748" s="229"/>
      <c r="F2748" s="230"/>
      <c r="G2748" s="230"/>
      <c r="H2748" s="230"/>
      <c r="I2748" s="230"/>
      <c r="J2748" s="230"/>
      <c r="K2748" s="230"/>
      <c r="L2748" s="230"/>
      <c r="M2748" s="230"/>
      <c r="N2748" s="230"/>
      <c r="O2748" s="230"/>
      <c r="P2748"/>
      <c r="Q2748"/>
      <c r="R2748" s="387" t="e">
        <f>VLOOKUP(E2748,'[1]NDB Impacted SPRFs 05032013'!$A$2:$A$65536,1,FALSE)</f>
        <v>#N/A</v>
      </c>
      <c r="V2748" s="167"/>
      <c r="W2748" s="167"/>
      <c r="X2748" s="167"/>
      <c r="Y2748" s="167"/>
      <c r="Z2748" s="167"/>
      <c r="AA2748" s="167"/>
      <c r="AB2748" s="167"/>
      <c r="AC2748" s="167"/>
      <c r="AD2748" s="167"/>
      <c r="AE2748" s="167"/>
      <c r="AF2748" s="167"/>
      <c r="AG2748" s="167"/>
      <c r="AH2748" s="167"/>
      <c r="AI2748" s="167"/>
      <c r="AJ2748" s="167"/>
      <c r="AK2748" s="167"/>
      <c r="AL2748" s="167"/>
      <c r="AM2748" s="167"/>
      <c r="AN2748" s="167"/>
      <c r="AO2748" s="167"/>
      <c r="AP2748" s="167"/>
      <c r="AQ2748" s="167"/>
      <c r="AR2748" s="167"/>
      <c r="AS2748" s="167"/>
      <c r="AT2748" s="167"/>
      <c r="AU2748" s="167"/>
      <c r="AV2748" s="167"/>
      <c r="AW2748" s="167"/>
      <c r="AX2748" s="167"/>
      <c r="AY2748" s="167"/>
      <c r="AZ2748" s="167"/>
      <c r="BA2748" s="167"/>
      <c r="BB2748" s="167"/>
      <c r="BC2748" s="167"/>
      <c r="BD2748" s="167"/>
      <c r="BE2748" s="167"/>
      <c r="BF2748" s="167"/>
      <c r="BG2748" s="167"/>
      <c r="BH2748" s="167"/>
      <c r="BI2748" s="167"/>
      <c r="BJ2748" s="167"/>
      <c r="BK2748" s="167"/>
      <c r="BL2748" s="167"/>
      <c r="BM2748" s="167"/>
      <c r="BN2748" s="167"/>
      <c r="BO2748" s="167"/>
      <c r="BP2748" s="167"/>
      <c r="BQ2748" s="167"/>
      <c r="BR2748" s="167"/>
      <c r="BS2748" s="167"/>
      <c r="BT2748" s="167"/>
      <c r="BU2748" s="167"/>
      <c r="BV2748" s="167"/>
      <c r="BW2748" s="167"/>
      <c r="BX2748" s="167"/>
      <c r="BY2748" s="167"/>
      <c r="BZ2748" s="167"/>
      <c r="CA2748" s="167"/>
      <c r="CB2748" s="167"/>
      <c r="CC2748" s="167"/>
      <c r="CD2748" s="167"/>
      <c r="CE2748" s="167"/>
      <c r="CF2748" s="167"/>
      <c r="CG2748" s="167"/>
      <c r="CH2748" s="167"/>
      <c r="CI2748" s="167"/>
      <c r="CJ2748" s="167"/>
      <c r="CK2748" s="167"/>
      <c r="CL2748" s="167"/>
      <c r="CM2748" s="167"/>
      <c r="CN2748" s="167"/>
      <c r="CO2748" s="167"/>
      <c r="CP2748" s="167"/>
      <c r="CQ2748" s="167"/>
      <c r="CR2748" s="167"/>
      <c r="CS2748" s="167"/>
      <c r="CT2748" s="167"/>
      <c r="CU2748" s="167"/>
      <c r="CV2748" s="167"/>
      <c r="CW2748" s="167"/>
      <c r="CX2748" s="167"/>
      <c r="CY2748" s="167"/>
      <c r="CZ2748" s="167"/>
      <c r="DA2748" s="167"/>
      <c r="DB2748" s="167"/>
      <c r="DC2748" s="167"/>
      <c r="DD2748" s="167"/>
      <c r="DE2748" s="167"/>
      <c r="DF2748" s="167"/>
      <c r="DG2748" s="167"/>
      <c r="DH2748" s="167"/>
      <c r="DI2748" s="167"/>
      <c r="DJ2748" s="167"/>
      <c r="DK2748" s="167"/>
      <c r="DL2748" s="167"/>
      <c r="DM2748" s="167"/>
      <c r="DN2748" s="167"/>
      <c r="DO2748" s="167"/>
      <c r="DP2748" s="167"/>
      <c r="DQ2748" s="167"/>
      <c r="DR2748" s="167"/>
      <c r="DS2748" s="167"/>
      <c r="DT2748" s="167"/>
      <c r="DU2748" s="167"/>
      <c r="DV2748" s="167"/>
      <c r="DW2748" s="167"/>
      <c r="DX2748" s="167"/>
      <c r="DY2748" s="167"/>
      <c r="DZ2748" s="167"/>
      <c r="EA2748" s="167"/>
      <c r="EB2748" s="167"/>
      <c r="EC2748" s="167"/>
      <c r="ED2748" s="167"/>
      <c r="EE2748" s="167"/>
      <c r="EF2748" s="167"/>
      <c r="EG2748" s="167"/>
      <c r="EH2748" s="167"/>
      <c r="EI2748" s="167"/>
      <c r="EJ2748" s="167"/>
      <c r="EK2748" s="167"/>
      <c r="EL2748" s="167"/>
      <c r="EM2748" s="167"/>
      <c r="EN2748" s="167"/>
      <c r="EO2748" s="167"/>
      <c r="EP2748" s="167"/>
      <c r="EQ2748" s="167"/>
      <c r="ER2748" s="167"/>
      <c r="ES2748" s="167"/>
      <c r="ET2748" s="167"/>
      <c r="EU2748" s="167"/>
      <c r="EV2748" s="167"/>
      <c r="EW2748" s="167"/>
      <c r="EX2748" s="167"/>
      <c r="EY2748" s="167"/>
      <c r="EZ2748" s="167"/>
      <c r="FA2748" s="167"/>
      <c r="FB2748" s="167"/>
      <c r="FC2748" s="167"/>
      <c r="FD2748" s="167"/>
      <c r="FE2748" s="167"/>
      <c r="FF2748" s="167"/>
      <c r="FG2748" s="167"/>
      <c r="FH2748" s="167"/>
      <c r="FI2748" s="167"/>
      <c r="FJ2748" s="167"/>
      <c r="FK2748" s="167"/>
      <c r="FL2748" s="167"/>
      <c r="FM2748" s="167"/>
      <c r="FN2748" s="167"/>
      <c r="FO2748" s="167"/>
      <c r="FP2748" s="167"/>
      <c r="FQ2748" s="167"/>
      <c r="FR2748" s="167"/>
      <c r="FS2748" s="167"/>
      <c r="FT2748" s="167"/>
      <c r="FU2748" s="167"/>
      <c r="FV2748" s="167"/>
      <c r="FW2748" s="167"/>
      <c r="FX2748" s="167"/>
      <c r="FY2748" s="167"/>
      <c r="FZ2748" s="167"/>
      <c r="GA2748" s="167"/>
      <c r="GB2748" s="167"/>
      <c r="GC2748" s="167"/>
      <c r="GD2748" s="167"/>
      <c r="GE2748" s="167"/>
      <c r="GF2748" s="167"/>
      <c r="GG2748" s="167"/>
      <c r="GH2748" s="167"/>
      <c r="GI2748" s="167"/>
      <c r="GJ2748" s="167"/>
      <c r="GK2748" s="167"/>
      <c r="GL2748" s="167"/>
      <c r="GM2748" s="167"/>
      <c r="GN2748" s="167"/>
      <c r="GO2748" s="167"/>
      <c r="GP2748" s="167"/>
      <c r="GQ2748" s="167"/>
      <c r="GR2748" s="167"/>
      <c r="GS2748" s="167"/>
      <c r="GT2748" s="167"/>
      <c r="GU2748" s="167"/>
      <c r="GV2748" s="167"/>
      <c r="GW2748" s="167"/>
      <c r="GX2748" s="167"/>
      <c r="GY2748" s="167"/>
      <c r="GZ2748" s="167"/>
      <c r="HA2748" s="167"/>
      <c r="HB2748" s="167"/>
      <c r="HC2748" s="167"/>
      <c r="HD2748" s="167"/>
      <c r="HE2748" s="167"/>
      <c r="HF2748" s="167"/>
      <c r="HG2748" s="167"/>
      <c r="HH2748" s="167"/>
      <c r="HI2748" s="167"/>
      <c r="HJ2748" s="167"/>
      <c r="HK2748" s="167"/>
      <c r="HL2748" s="167"/>
      <c r="HM2748" s="167"/>
      <c r="HN2748" s="167"/>
      <c r="HO2748" s="167"/>
      <c r="HP2748" s="167"/>
      <c r="HQ2748" s="167"/>
      <c r="HR2748" s="167"/>
      <c r="HS2748" s="167"/>
      <c r="HT2748" s="167"/>
      <c r="HU2748" s="167"/>
      <c r="HV2748" s="167"/>
      <c r="HW2748" s="167"/>
      <c r="HX2748" s="167"/>
      <c r="HY2748" s="167"/>
      <c r="HZ2748" s="167"/>
      <c r="IA2748" s="167"/>
      <c r="IB2748" s="167"/>
      <c r="IC2748" s="167"/>
      <c r="ID2748" s="167"/>
      <c r="IE2748" s="167"/>
      <c r="IF2748" s="167"/>
      <c r="IG2748" s="167"/>
      <c r="IH2748" s="167"/>
      <c r="II2748" s="167"/>
      <c r="IJ2748" s="167"/>
      <c r="IK2748" s="167"/>
      <c r="IL2748" s="167"/>
      <c r="IM2748" s="167"/>
      <c r="IN2748" s="167"/>
      <c r="IO2748" s="167"/>
      <c r="IP2748" s="167"/>
      <c r="IQ2748" s="167"/>
      <c r="IR2748" s="167"/>
      <c r="IS2748" s="167"/>
      <c r="IT2748" s="167"/>
      <c r="IU2748" s="167"/>
      <c r="IV2748" s="167"/>
    </row>
    <row r="2749" spans="1:256" ht="51" customHeight="1" x14ac:dyDescent="0.25">
      <c r="A2749" s="191">
        <f>MATCH($E2749,'D1 - Master Project Table'!$B$24:$B$7056,0)</f>
        <v>186</v>
      </c>
      <c r="B2749" s="191" t="b">
        <f t="shared" si="133"/>
        <v>0</v>
      </c>
      <c r="C2749" s="191" t="b">
        <f t="shared" si="134"/>
        <v>0</v>
      </c>
      <c r="D2749" s="191" t="str">
        <f t="shared" si="135"/>
        <v>OK</v>
      </c>
      <c r="E2749" s="229"/>
      <c r="F2749" s="230"/>
      <c r="G2749" s="230"/>
      <c r="H2749" s="230"/>
      <c r="I2749" s="230"/>
      <c r="J2749" s="230"/>
      <c r="K2749" s="230"/>
      <c r="L2749" s="230"/>
      <c r="M2749" s="230"/>
      <c r="N2749" s="230"/>
      <c r="O2749" s="230"/>
      <c r="P2749"/>
      <c r="Q2749"/>
      <c r="R2749" s="387" t="e">
        <f>VLOOKUP(E2749,'[1]NDB Impacted SPRFs 05032013'!$A$2:$A$65536,1,FALSE)</f>
        <v>#N/A</v>
      </c>
      <c r="S2749" s="159"/>
      <c r="T2749" s="159"/>
      <c r="U2749" s="159"/>
      <c r="V2749" s="167"/>
      <c r="W2749" s="167"/>
      <c r="X2749" s="167"/>
      <c r="Y2749" s="167"/>
      <c r="Z2749" s="167"/>
      <c r="AA2749" s="167"/>
      <c r="AB2749" s="167"/>
      <c r="AC2749" s="167"/>
      <c r="AD2749" s="167"/>
      <c r="AE2749" s="167"/>
      <c r="AF2749" s="167"/>
      <c r="AG2749" s="167"/>
      <c r="AH2749" s="167"/>
      <c r="AI2749" s="167"/>
      <c r="AJ2749" s="167"/>
      <c r="AK2749" s="167"/>
      <c r="AL2749" s="167"/>
      <c r="AM2749" s="167"/>
      <c r="AN2749" s="167"/>
      <c r="AO2749" s="167"/>
      <c r="AP2749" s="167"/>
      <c r="AQ2749" s="167"/>
      <c r="AR2749" s="167"/>
      <c r="AS2749" s="167"/>
      <c r="AT2749" s="167"/>
      <c r="AU2749" s="167"/>
      <c r="AV2749" s="167"/>
      <c r="AW2749" s="167"/>
      <c r="AX2749" s="167"/>
      <c r="AY2749" s="167"/>
      <c r="AZ2749" s="167"/>
      <c r="BA2749" s="167"/>
      <c r="BB2749" s="167"/>
      <c r="BC2749" s="167"/>
      <c r="BD2749" s="167"/>
      <c r="BE2749" s="167"/>
      <c r="BF2749" s="167"/>
      <c r="BG2749" s="167"/>
      <c r="BH2749" s="167"/>
      <c r="BI2749" s="167"/>
      <c r="BJ2749" s="167"/>
      <c r="BK2749" s="167"/>
      <c r="BL2749" s="167"/>
      <c r="BM2749" s="167"/>
      <c r="BN2749" s="167"/>
      <c r="BO2749" s="167"/>
      <c r="BP2749" s="167"/>
      <c r="BQ2749" s="167"/>
      <c r="BR2749" s="167"/>
      <c r="BS2749" s="167"/>
      <c r="BT2749" s="167"/>
      <c r="BU2749" s="167"/>
      <c r="BV2749" s="167"/>
      <c r="BW2749" s="167"/>
      <c r="BX2749" s="167"/>
      <c r="BY2749" s="167"/>
      <c r="BZ2749" s="167"/>
      <c r="CA2749" s="167"/>
      <c r="CB2749" s="167"/>
      <c r="CC2749" s="167"/>
      <c r="CD2749" s="167"/>
      <c r="CE2749" s="167"/>
      <c r="CF2749" s="167"/>
      <c r="CG2749" s="167"/>
      <c r="CH2749" s="167"/>
      <c r="CI2749" s="167"/>
      <c r="CJ2749" s="167"/>
      <c r="CK2749" s="167"/>
      <c r="CL2749" s="167"/>
      <c r="CM2749" s="167"/>
      <c r="CN2749" s="167"/>
      <c r="CO2749" s="167"/>
      <c r="CP2749" s="167"/>
      <c r="CQ2749" s="167"/>
      <c r="CR2749" s="167"/>
      <c r="CS2749" s="167"/>
      <c r="CT2749" s="167"/>
      <c r="CU2749" s="167"/>
      <c r="CV2749" s="167"/>
      <c r="CW2749" s="167"/>
      <c r="CX2749" s="167"/>
      <c r="CY2749" s="167"/>
      <c r="CZ2749" s="167"/>
      <c r="DA2749" s="167"/>
      <c r="DB2749" s="167"/>
      <c r="DC2749" s="167"/>
      <c r="DD2749" s="167"/>
      <c r="DE2749" s="167"/>
      <c r="DF2749" s="167"/>
      <c r="DG2749" s="167"/>
      <c r="DH2749" s="167"/>
      <c r="DI2749" s="167"/>
      <c r="DJ2749" s="167"/>
      <c r="DK2749" s="167"/>
      <c r="DL2749" s="167"/>
      <c r="DM2749" s="167"/>
      <c r="DN2749" s="167"/>
      <c r="DO2749" s="167"/>
      <c r="DP2749" s="167"/>
      <c r="DQ2749" s="167"/>
      <c r="DR2749" s="167"/>
      <c r="DS2749" s="167"/>
      <c r="DT2749" s="167"/>
      <c r="DU2749" s="167"/>
      <c r="DV2749" s="167"/>
      <c r="DW2749" s="167"/>
      <c r="DX2749" s="167"/>
      <c r="DY2749" s="167"/>
      <c r="DZ2749" s="167"/>
      <c r="EA2749" s="167"/>
      <c r="EB2749" s="167"/>
      <c r="EC2749" s="167"/>
      <c r="ED2749" s="167"/>
      <c r="EE2749" s="167"/>
      <c r="EF2749" s="167"/>
      <c r="EG2749" s="167"/>
      <c r="EH2749" s="167"/>
      <c r="EI2749" s="167"/>
      <c r="EJ2749" s="167"/>
      <c r="EK2749" s="167"/>
      <c r="EL2749" s="167"/>
      <c r="EM2749" s="167"/>
      <c r="EN2749" s="167"/>
      <c r="EO2749" s="167"/>
      <c r="EP2749" s="167"/>
      <c r="EQ2749" s="167"/>
      <c r="ER2749" s="167"/>
      <c r="ES2749" s="167"/>
      <c r="ET2749" s="167"/>
      <c r="EU2749" s="167"/>
      <c r="EV2749" s="167"/>
      <c r="EW2749" s="167"/>
      <c r="EX2749" s="167"/>
      <c r="EY2749" s="167"/>
      <c r="EZ2749" s="167"/>
      <c r="FA2749" s="167"/>
      <c r="FB2749" s="167"/>
      <c r="FC2749" s="167"/>
      <c r="FD2749" s="167"/>
      <c r="FE2749" s="167"/>
      <c r="FF2749" s="167"/>
      <c r="FG2749" s="167"/>
      <c r="FH2749" s="167"/>
      <c r="FI2749" s="167"/>
      <c r="FJ2749" s="167"/>
      <c r="FK2749" s="167"/>
      <c r="FL2749" s="167"/>
      <c r="FM2749" s="167"/>
      <c r="FN2749" s="167"/>
      <c r="FO2749" s="167"/>
      <c r="FP2749" s="167"/>
      <c r="FQ2749" s="167"/>
      <c r="FR2749" s="167"/>
      <c r="FS2749" s="167"/>
      <c r="FT2749" s="167"/>
      <c r="FU2749" s="167"/>
      <c r="FV2749" s="167"/>
      <c r="FW2749" s="167"/>
      <c r="FX2749" s="167"/>
      <c r="FY2749" s="167"/>
      <c r="FZ2749" s="167"/>
      <c r="GA2749" s="167"/>
      <c r="GB2749" s="167"/>
      <c r="GC2749" s="167"/>
      <c r="GD2749" s="167"/>
      <c r="GE2749" s="167"/>
      <c r="GF2749" s="167"/>
      <c r="GG2749" s="167"/>
      <c r="GH2749" s="167"/>
      <c r="GI2749" s="167"/>
      <c r="GJ2749" s="167"/>
      <c r="GK2749" s="167"/>
      <c r="GL2749" s="167"/>
      <c r="GM2749" s="167"/>
      <c r="GN2749" s="167"/>
      <c r="GO2749" s="167"/>
      <c r="GP2749" s="167"/>
      <c r="GQ2749" s="167"/>
      <c r="GR2749" s="167"/>
      <c r="GS2749" s="167"/>
      <c r="GT2749" s="167"/>
      <c r="GU2749" s="167"/>
      <c r="GV2749" s="167"/>
      <c r="GW2749" s="167"/>
      <c r="GX2749" s="167"/>
      <c r="GY2749" s="167"/>
      <c r="GZ2749" s="167"/>
      <c r="HA2749" s="167"/>
      <c r="HB2749" s="167"/>
      <c r="HC2749" s="167"/>
      <c r="HD2749" s="167"/>
      <c r="HE2749" s="167"/>
      <c r="HF2749" s="167"/>
      <c r="HG2749" s="167"/>
      <c r="HH2749" s="167"/>
      <c r="HI2749" s="167"/>
      <c r="HJ2749" s="167"/>
      <c r="HK2749" s="167"/>
      <c r="HL2749" s="167"/>
      <c r="HM2749" s="167"/>
      <c r="HN2749" s="167"/>
      <c r="HO2749" s="167"/>
      <c r="HP2749" s="167"/>
      <c r="HQ2749" s="167"/>
      <c r="HR2749" s="167"/>
      <c r="HS2749" s="167"/>
      <c r="HT2749" s="167"/>
      <c r="HU2749" s="167"/>
      <c r="HV2749" s="167"/>
      <c r="HW2749" s="167"/>
      <c r="HX2749" s="167"/>
      <c r="HY2749" s="167"/>
      <c r="HZ2749" s="167"/>
      <c r="IA2749" s="167"/>
      <c r="IB2749" s="167"/>
      <c r="IC2749" s="167"/>
      <c r="ID2749" s="167"/>
      <c r="IE2749" s="167"/>
      <c r="IF2749" s="167"/>
      <c r="IG2749" s="167"/>
      <c r="IH2749" s="167"/>
      <c r="II2749" s="167"/>
      <c r="IJ2749" s="167"/>
      <c r="IK2749" s="167"/>
      <c r="IL2749" s="167"/>
      <c r="IM2749" s="167"/>
      <c r="IN2749" s="167"/>
      <c r="IO2749" s="167"/>
      <c r="IP2749" s="167"/>
      <c r="IQ2749" s="167"/>
      <c r="IR2749" s="167"/>
      <c r="IS2749" s="167"/>
      <c r="IT2749" s="167"/>
      <c r="IU2749" s="167"/>
      <c r="IV2749" s="167"/>
    </row>
    <row r="2750" spans="1:256" ht="51" customHeight="1" x14ac:dyDescent="0.25">
      <c r="A2750" s="191">
        <f>MATCH($E2750,'D1 - Master Project Table'!$B$24:$B$7056,0)</f>
        <v>186</v>
      </c>
      <c r="B2750" s="191" t="b">
        <f t="shared" si="133"/>
        <v>0</v>
      </c>
      <c r="C2750" s="191" t="b">
        <f t="shared" si="134"/>
        <v>0</v>
      </c>
      <c r="D2750" s="191" t="str">
        <f t="shared" si="135"/>
        <v>OK</v>
      </c>
      <c r="E2750" s="229"/>
      <c r="F2750" s="230"/>
      <c r="G2750" s="230"/>
      <c r="H2750" s="230"/>
      <c r="I2750" s="230"/>
      <c r="J2750" s="230"/>
      <c r="K2750" s="230"/>
      <c r="L2750" s="230"/>
      <c r="M2750" s="230"/>
      <c r="N2750" s="230"/>
      <c r="O2750" s="230"/>
      <c r="P2750"/>
      <c r="Q2750"/>
      <c r="R2750" s="387" t="e">
        <f>VLOOKUP(E2750,'[1]NDB Impacted SPRFs 05032013'!$A$2:$A$65536,1,FALSE)</f>
        <v>#N/A</v>
      </c>
      <c r="S2750" s="159"/>
      <c r="T2750" s="159"/>
      <c r="U2750" s="159"/>
      <c r="V2750" s="167"/>
      <c r="W2750" s="167"/>
      <c r="X2750" s="167"/>
      <c r="Y2750" s="167"/>
      <c r="Z2750" s="167"/>
      <c r="AA2750" s="167"/>
      <c r="AB2750" s="167"/>
      <c r="AC2750" s="167"/>
      <c r="AD2750" s="167"/>
      <c r="AE2750" s="167"/>
      <c r="AF2750" s="167"/>
      <c r="AG2750" s="167"/>
      <c r="AH2750" s="167"/>
      <c r="AI2750" s="167"/>
      <c r="AJ2750" s="167"/>
      <c r="AK2750" s="167"/>
      <c r="AL2750" s="167"/>
      <c r="AM2750" s="167"/>
      <c r="AN2750" s="167"/>
      <c r="AO2750" s="167"/>
      <c r="AP2750" s="167"/>
      <c r="AQ2750" s="167"/>
      <c r="AR2750" s="167"/>
      <c r="AS2750" s="167"/>
      <c r="AT2750" s="167"/>
      <c r="AU2750" s="167"/>
      <c r="AV2750" s="167"/>
      <c r="AW2750" s="167"/>
      <c r="AX2750" s="167"/>
      <c r="AY2750" s="167"/>
      <c r="AZ2750" s="167"/>
      <c r="BA2750" s="167"/>
      <c r="BB2750" s="167"/>
      <c r="BC2750" s="167"/>
      <c r="BD2750" s="167"/>
      <c r="BE2750" s="167"/>
      <c r="BF2750" s="167"/>
      <c r="BG2750" s="167"/>
      <c r="BH2750" s="167"/>
      <c r="BI2750" s="167"/>
      <c r="BJ2750" s="167"/>
      <c r="BK2750" s="167"/>
      <c r="BL2750" s="167"/>
      <c r="BM2750" s="167"/>
      <c r="BN2750" s="167"/>
      <c r="BO2750" s="167"/>
      <c r="BP2750" s="167"/>
      <c r="BQ2750" s="167"/>
      <c r="BR2750" s="167"/>
      <c r="BS2750" s="167"/>
      <c r="BT2750" s="167"/>
      <c r="BU2750" s="167"/>
      <c r="BV2750" s="167"/>
      <c r="BW2750" s="167"/>
      <c r="BX2750" s="167"/>
      <c r="BY2750" s="167"/>
      <c r="BZ2750" s="167"/>
      <c r="CA2750" s="167"/>
      <c r="CB2750" s="167"/>
      <c r="CC2750" s="167"/>
      <c r="CD2750" s="167"/>
      <c r="CE2750" s="167"/>
      <c r="CF2750" s="167"/>
      <c r="CG2750" s="167"/>
      <c r="CH2750" s="167"/>
      <c r="CI2750" s="167"/>
      <c r="CJ2750" s="167"/>
      <c r="CK2750" s="167"/>
      <c r="CL2750" s="167"/>
      <c r="CM2750" s="167"/>
      <c r="CN2750" s="167"/>
      <c r="CO2750" s="167"/>
      <c r="CP2750" s="167"/>
      <c r="CQ2750" s="167"/>
      <c r="CR2750" s="167"/>
      <c r="CS2750" s="167"/>
      <c r="CT2750" s="167"/>
      <c r="CU2750" s="167"/>
      <c r="CV2750" s="167"/>
      <c r="CW2750" s="167"/>
      <c r="CX2750" s="167"/>
      <c r="CY2750" s="167"/>
      <c r="CZ2750" s="167"/>
      <c r="DA2750" s="167"/>
      <c r="DB2750" s="167"/>
      <c r="DC2750" s="167"/>
      <c r="DD2750" s="167"/>
      <c r="DE2750" s="167"/>
      <c r="DF2750" s="167"/>
      <c r="DG2750" s="167"/>
      <c r="DH2750" s="167"/>
      <c r="DI2750" s="167"/>
      <c r="DJ2750" s="167"/>
      <c r="DK2750" s="167"/>
      <c r="DL2750" s="167"/>
      <c r="DM2750" s="167"/>
      <c r="DN2750" s="167"/>
      <c r="DO2750" s="167"/>
      <c r="DP2750" s="167"/>
      <c r="DQ2750" s="167"/>
      <c r="DR2750" s="167"/>
      <c r="DS2750" s="167"/>
      <c r="DT2750" s="167"/>
      <c r="DU2750" s="167"/>
      <c r="DV2750" s="167"/>
      <c r="DW2750" s="167"/>
      <c r="DX2750" s="167"/>
      <c r="DY2750" s="167"/>
      <c r="DZ2750" s="167"/>
      <c r="EA2750" s="167"/>
      <c r="EB2750" s="167"/>
      <c r="EC2750" s="167"/>
      <c r="ED2750" s="167"/>
      <c r="EE2750" s="167"/>
      <c r="EF2750" s="167"/>
      <c r="EG2750" s="167"/>
      <c r="EH2750" s="167"/>
      <c r="EI2750" s="167"/>
      <c r="EJ2750" s="167"/>
      <c r="EK2750" s="167"/>
      <c r="EL2750" s="167"/>
      <c r="EM2750" s="167"/>
      <c r="EN2750" s="167"/>
      <c r="EO2750" s="167"/>
      <c r="EP2750" s="167"/>
      <c r="EQ2750" s="167"/>
      <c r="ER2750" s="167"/>
      <c r="ES2750" s="167"/>
      <c r="ET2750" s="167"/>
      <c r="EU2750" s="167"/>
      <c r="EV2750" s="167"/>
      <c r="EW2750" s="167"/>
      <c r="EX2750" s="167"/>
      <c r="EY2750" s="167"/>
      <c r="EZ2750" s="167"/>
      <c r="FA2750" s="167"/>
      <c r="FB2750" s="167"/>
      <c r="FC2750" s="167"/>
      <c r="FD2750" s="167"/>
      <c r="FE2750" s="167"/>
      <c r="FF2750" s="167"/>
      <c r="FG2750" s="167"/>
      <c r="FH2750" s="167"/>
      <c r="FI2750" s="167"/>
      <c r="FJ2750" s="167"/>
      <c r="FK2750" s="167"/>
      <c r="FL2750" s="167"/>
      <c r="FM2750" s="167"/>
      <c r="FN2750" s="167"/>
      <c r="FO2750" s="167"/>
      <c r="FP2750" s="167"/>
      <c r="FQ2750" s="167"/>
      <c r="FR2750" s="167"/>
      <c r="FS2750" s="167"/>
      <c r="FT2750" s="167"/>
      <c r="FU2750" s="167"/>
      <c r="FV2750" s="167"/>
      <c r="FW2750" s="167"/>
      <c r="FX2750" s="167"/>
      <c r="FY2750" s="167"/>
      <c r="FZ2750" s="167"/>
      <c r="GA2750" s="167"/>
      <c r="GB2750" s="167"/>
      <c r="GC2750" s="167"/>
      <c r="GD2750" s="167"/>
      <c r="GE2750" s="167"/>
      <c r="GF2750" s="167"/>
      <c r="GG2750" s="167"/>
      <c r="GH2750" s="167"/>
      <c r="GI2750" s="167"/>
      <c r="GJ2750" s="167"/>
      <c r="GK2750" s="167"/>
      <c r="GL2750" s="167"/>
      <c r="GM2750" s="167"/>
      <c r="GN2750" s="167"/>
      <c r="GO2750" s="167"/>
      <c r="GP2750" s="167"/>
      <c r="GQ2750" s="167"/>
      <c r="GR2750" s="167"/>
      <c r="GS2750" s="167"/>
      <c r="GT2750" s="167"/>
      <c r="GU2750" s="167"/>
      <c r="GV2750" s="167"/>
      <c r="GW2750" s="167"/>
      <c r="GX2750" s="167"/>
      <c r="GY2750" s="167"/>
      <c r="GZ2750" s="167"/>
      <c r="HA2750" s="167"/>
      <c r="HB2750" s="167"/>
      <c r="HC2750" s="167"/>
      <c r="HD2750" s="167"/>
      <c r="HE2750" s="167"/>
      <c r="HF2750" s="167"/>
      <c r="HG2750" s="167"/>
      <c r="HH2750" s="167"/>
      <c r="HI2750" s="167"/>
      <c r="HJ2750" s="167"/>
      <c r="HK2750" s="167"/>
      <c r="HL2750" s="167"/>
      <c r="HM2750" s="167"/>
      <c r="HN2750" s="167"/>
      <c r="HO2750" s="167"/>
      <c r="HP2750" s="167"/>
      <c r="HQ2750" s="167"/>
      <c r="HR2750" s="167"/>
      <c r="HS2750" s="167"/>
      <c r="HT2750" s="167"/>
      <c r="HU2750" s="167"/>
      <c r="HV2750" s="167"/>
      <c r="HW2750" s="167"/>
      <c r="HX2750" s="167"/>
      <c r="HY2750" s="167"/>
      <c r="HZ2750" s="167"/>
      <c r="IA2750" s="167"/>
      <c r="IB2750" s="167"/>
      <c r="IC2750" s="167"/>
      <c r="ID2750" s="167"/>
      <c r="IE2750" s="167"/>
      <c r="IF2750" s="167"/>
      <c r="IG2750" s="167"/>
      <c r="IH2750" s="167"/>
      <c r="II2750" s="167"/>
      <c r="IJ2750" s="167"/>
      <c r="IK2750" s="167"/>
      <c r="IL2750" s="167"/>
      <c r="IM2750" s="167"/>
      <c r="IN2750" s="167"/>
      <c r="IO2750" s="167"/>
      <c r="IP2750" s="167"/>
      <c r="IQ2750" s="167"/>
      <c r="IR2750" s="167"/>
      <c r="IS2750" s="167"/>
      <c r="IT2750" s="167"/>
      <c r="IU2750" s="167"/>
      <c r="IV2750" s="167"/>
    </row>
    <row r="2751" spans="1:256" ht="51" customHeight="1" x14ac:dyDescent="0.25">
      <c r="A2751" s="191">
        <f>MATCH($E2751,'D1 - Master Project Table'!$B$24:$B$7056,0)</f>
        <v>186</v>
      </c>
      <c r="B2751" s="191" t="b">
        <f t="shared" si="133"/>
        <v>0</v>
      </c>
      <c r="C2751" s="191" t="b">
        <f t="shared" si="134"/>
        <v>0</v>
      </c>
      <c r="D2751" s="191" t="str">
        <f t="shared" si="135"/>
        <v>OK</v>
      </c>
      <c r="E2751" s="229"/>
      <c r="F2751" s="230"/>
      <c r="G2751" s="230"/>
      <c r="H2751" s="230"/>
      <c r="I2751" s="230"/>
      <c r="J2751" s="230"/>
      <c r="K2751" s="230"/>
      <c r="L2751" s="230"/>
      <c r="M2751" s="230"/>
      <c r="N2751" s="230"/>
      <c r="O2751" s="230"/>
      <c r="P2751"/>
      <c r="Q2751"/>
      <c r="R2751" s="387" t="e">
        <f>VLOOKUP(E2751,'[1]NDB Impacted SPRFs 05032013'!$A$2:$A$65536,1,FALSE)</f>
        <v>#N/A</v>
      </c>
      <c r="V2751" s="167"/>
      <c r="W2751" s="167"/>
      <c r="X2751" s="167"/>
      <c r="Y2751" s="167"/>
      <c r="Z2751" s="167"/>
      <c r="AA2751" s="167"/>
      <c r="AB2751" s="167"/>
      <c r="AC2751" s="167"/>
      <c r="AD2751" s="167"/>
      <c r="AE2751" s="167"/>
      <c r="AF2751" s="167"/>
      <c r="AG2751" s="167"/>
      <c r="AH2751" s="167"/>
      <c r="AI2751" s="167"/>
      <c r="AJ2751" s="167"/>
      <c r="AK2751" s="167"/>
      <c r="AL2751" s="167"/>
      <c r="AM2751" s="167"/>
      <c r="AN2751" s="167"/>
      <c r="AO2751" s="167"/>
      <c r="AP2751" s="167"/>
      <c r="AQ2751" s="167"/>
      <c r="AR2751" s="167"/>
      <c r="AS2751" s="167"/>
      <c r="AT2751" s="167"/>
      <c r="AU2751" s="167"/>
      <c r="AV2751" s="167"/>
      <c r="AW2751" s="167"/>
      <c r="AX2751" s="167"/>
      <c r="AY2751" s="167"/>
      <c r="AZ2751" s="167"/>
      <c r="BA2751" s="167"/>
      <c r="BB2751" s="167"/>
      <c r="BC2751" s="167"/>
      <c r="BD2751" s="167"/>
      <c r="BE2751" s="167"/>
      <c r="BF2751" s="167"/>
      <c r="BG2751" s="167"/>
      <c r="BH2751" s="167"/>
      <c r="BI2751" s="167"/>
      <c r="BJ2751" s="167"/>
      <c r="BK2751" s="167"/>
      <c r="BL2751" s="167"/>
      <c r="BM2751" s="167"/>
      <c r="BN2751" s="167"/>
      <c r="BO2751" s="167"/>
      <c r="BP2751" s="167"/>
      <c r="BQ2751" s="167"/>
      <c r="BR2751" s="167"/>
      <c r="BS2751" s="167"/>
      <c r="BT2751" s="167"/>
      <c r="BU2751" s="167"/>
      <c r="BV2751" s="167"/>
      <c r="BW2751" s="167"/>
      <c r="BX2751" s="167"/>
      <c r="BY2751" s="167"/>
      <c r="BZ2751" s="167"/>
      <c r="CA2751" s="167"/>
      <c r="CB2751" s="167"/>
      <c r="CC2751" s="167"/>
      <c r="CD2751" s="167"/>
      <c r="CE2751" s="167"/>
      <c r="CF2751" s="167"/>
      <c r="CG2751" s="167"/>
      <c r="CH2751" s="167"/>
      <c r="CI2751" s="167"/>
      <c r="CJ2751" s="167"/>
      <c r="CK2751" s="167"/>
      <c r="CL2751" s="167"/>
      <c r="CM2751" s="167"/>
      <c r="CN2751" s="167"/>
      <c r="CO2751" s="167"/>
      <c r="CP2751" s="167"/>
      <c r="CQ2751" s="167"/>
      <c r="CR2751" s="167"/>
      <c r="CS2751" s="167"/>
      <c r="CT2751" s="167"/>
      <c r="CU2751" s="167"/>
      <c r="CV2751" s="167"/>
      <c r="CW2751" s="167"/>
      <c r="CX2751" s="167"/>
      <c r="CY2751" s="167"/>
      <c r="CZ2751" s="167"/>
      <c r="DA2751" s="167"/>
      <c r="DB2751" s="167"/>
      <c r="DC2751" s="167"/>
      <c r="DD2751" s="167"/>
      <c r="DE2751" s="167"/>
      <c r="DF2751" s="167"/>
      <c r="DG2751" s="167"/>
      <c r="DH2751" s="167"/>
      <c r="DI2751" s="167"/>
      <c r="DJ2751" s="167"/>
      <c r="DK2751" s="167"/>
      <c r="DL2751" s="167"/>
      <c r="DM2751" s="167"/>
      <c r="DN2751" s="167"/>
      <c r="DO2751" s="167"/>
      <c r="DP2751" s="167"/>
      <c r="DQ2751" s="167"/>
      <c r="DR2751" s="167"/>
      <c r="DS2751" s="167"/>
      <c r="DT2751" s="167"/>
      <c r="DU2751" s="167"/>
      <c r="DV2751" s="167"/>
      <c r="DW2751" s="167"/>
      <c r="DX2751" s="167"/>
      <c r="DY2751" s="167"/>
      <c r="DZ2751" s="167"/>
      <c r="EA2751" s="167"/>
      <c r="EB2751" s="167"/>
      <c r="EC2751" s="167"/>
      <c r="ED2751" s="167"/>
      <c r="EE2751" s="167"/>
      <c r="EF2751" s="167"/>
      <c r="EG2751" s="167"/>
      <c r="EH2751" s="167"/>
      <c r="EI2751" s="167"/>
      <c r="EJ2751" s="167"/>
      <c r="EK2751" s="167"/>
      <c r="EL2751" s="167"/>
      <c r="EM2751" s="167"/>
      <c r="EN2751" s="167"/>
      <c r="EO2751" s="167"/>
      <c r="EP2751" s="167"/>
      <c r="EQ2751" s="167"/>
      <c r="ER2751" s="167"/>
      <c r="ES2751" s="167"/>
      <c r="ET2751" s="167"/>
      <c r="EU2751" s="167"/>
      <c r="EV2751" s="167"/>
      <c r="EW2751" s="167"/>
      <c r="EX2751" s="167"/>
      <c r="EY2751" s="167"/>
      <c r="EZ2751" s="167"/>
      <c r="FA2751" s="167"/>
      <c r="FB2751" s="167"/>
      <c r="FC2751" s="167"/>
      <c r="FD2751" s="167"/>
      <c r="FE2751" s="167"/>
      <c r="FF2751" s="167"/>
      <c r="FG2751" s="167"/>
      <c r="FH2751" s="167"/>
      <c r="FI2751" s="167"/>
      <c r="FJ2751" s="167"/>
      <c r="FK2751" s="167"/>
      <c r="FL2751" s="167"/>
      <c r="FM2751" s="167"/>
      <c r="FN2751" s="167"/>
      <c r="FO2751" s="167"/>
      <c r="FP2751" s="167"/>
      <c r="FQ2751" s="167"/>
      <c r="FR2751" s="167"/>
      <c r="FS2751" s="167"/>
      <c r="FT2751" s="167"/>
      <c r="FU2751" s="167"/>
      <c r="FV2751" s="167"/>
      <c r="FW2751" s="167"/>
      <c r="FX2751" s="167"/>
      <c r="FY2751" s="167"/>
      <c r="FZ2751" s="167"/>
      <c r="GA2751" s="167"/>
      <c r="GB2751" s="167"/>
      <c r="GC2751" s="167"/>
      <c r="GD2751" s="167"/>
      <c r="GE2751" s="167"/>
      <c r="GF2751" s="167"/>
      <c r="GG2751" s="167"/>
      <c r="GH2751" s="167"/>
      <c r="GI2751" s="167"/>
      <c r="GJ2751" s="167"/>
      <c r="GK2751" s="167"/>
      <c r="GL2751" s="167"/>
      <c r="GM2751" s="167"/>
      <c r="GN2751" s="167"/>
      <c r="GO2751" s="167"/>
      <c r="GP2751" s="167"/>
      <c r="GQ2751" s="167"/>
      <c r="GR2751" s="167"/>
      <c r="GS2751" s="167"/>
      <c r="GT2751" s="167"/>
      <c r="GU2751" s="167"/>
      <c r="GV2751" s="167"/>
      <c r="GW2751" s="167"/>
      <c r="GX2751" s="167"/>
      <c r="GY2751" s="167"/>
      <c r="GZ2751" s="167"/>
      <c r="HA2751" s="167"/>
      <c r="HB2751" s="167"/>
      <c r="HC2751" s="167"/>
      <c r="HD2751" s="167"/>
      <c r="HE2751" s="167"/>
      <c r="HF2751" s="167"/>
      <c r="HG2751" s="167"/>
      <c r="HH2751" s="167"/>
      <c r="HI2751" s="167"/>
      <c r="HJ2751" s="167"/>
      <c r="HK2751" s="167"/>
      <c r="HL2751" s="167"/>
      <c r="HM2751" s="167"/>
      <c r="HN2751" s="167"/>
      <c r="HO2751" s="167"/>
      <c r="HP2751" s="167"/>
      <c r="HQ2751" s="167"/>
      <c r="HR2751" s="167"/>
      <c r="HS2751" s="167"/>
      <c r="HT2751" s="167"/>
      <c r="HU2751" s="167"/>
      <c r="HV2751" s="167"/>
      <c r="HW2751" s="167"/>
      <c r="HX2751" s="167"/>
      <c r="HY2751" s="167"/>
      <c r="HZ2751" s="167"/>
      <c r="IA2751" s="167"/>
      <c r="IB2751" s="167"/>
      <c r="IC2751" s="167"/>
      <c r="ID2751" s="167"/>
      <c r="IE2751" s="167"/>
      <c r="IF2751" s="167"/>
      <c r="IG2751" s="167"/>
      <c r="IH2751" s="167"/>
      <c r="II2751" s="167"/>
      <c r="IJ2751" s="167"/>
      <c r="IK2751" s="167"/>
      <c r="IL2751" s="167"/>
      <c r="IM2751" s="167"/>
      <c r="IN2751" s="167"/>
      <c r="IO2751" s="167"/>
      <c r="IP2751" s="167"/>
      <c r="IQ2751" s="167"/>
      <c r="IR2751" s="167"/>
      <c r="IS2751" s="167"/>
      <c r="IT2751" s="167"/>
      <c r="IU2751" s="167"/>
      <c r="IV2751" s="167"/>
    </row>
    <row r="2752" spans="1:256" ht="51" customHeight="1" x14ac:dyDescent="0.25">
      <c r="A2752" s="191">
        <f>MATCH($E2752,'D1 - Master Project Table'!$B$24:$B$7056,0)</f>
        <v>186</v>
      </c>
      <c r="B2752" s="191" t="b">
        <f t="shared" si="133"/>
        <v>0</v>
      </c>
      <c r="C2752" s="191" t="b">
        <f t="shared" si="134"/>
        <v>0</v>
      </c>
      <c r="D2752" s="191" t="str">
        <f t="shared" si="135"/>
        <v>OK</v>
      </c>
      <c r="E2752" s="229"/>
      <c r="F2752" s="230"/>
      <c r="G2752" s="230"/>
      <c r="H2752" s="230"/>
      <c r="I2752" s="230"/>
      <c r="J2752" s="230"/>
      <c r="K2752" s="230"/>
      <c r="L2752" s="230"/>
      <c r="M2752" s="230"/>
      <c r="N2752" s="230"/>
      <c r="O2752" s="230"/>
      <c r="P2752"/>
      <c r="Q2752"/>
      <c r="R2752" s="387" t="e">
        <f>VLOOKUP(E2752,'[1]NDB Impacted SPRFs 05032013'!$A$2:$A$65536,1,FALSE)</f>
        <v>#N/A</v>
      </c>
      <c r="S2752" s="159"/>
      <c r="T2752" s="159"/>
      <c r="U2752" s="159"/>
      <c r="V2752" s="167"/>
      <c r="W2752" s="167"/>
      <c r="X2752" s="167"/>
      <c r="Y2752" s="167"/>
      <c r="Z2752" s="167"/>
      <c r="AA2752" s="167"/>
      <c r="AB2752" s="167"/>
      <c r="AC2752" s="167"/>
      <c r="AD2752" s="167"/>
      <c r="AE2752" s="167"/>
      <c r="AF2752" s="167"/>
      <c r="AG2752" s="167"/>
      <c r="AH2752" s="167"/>
      <c r="AI2752" s="167"/>
      <c r="AJ2752" s="167"/>
      <c r="AK2752" s="167"/>
      <c r="AL2752" s="167"/>
      <c r="AM2752" s="167"/>
      <c r="AN2752" s="167"/>
      <c r="AO2752" s="167"/>
      <c r="AP2752" s="167"/>
      <c r="AQ2752" s="167"/>
      <c r="AR2752" s="167"/>
      <c r="AS2752" s="167"/>
      <c r="AT2752" s="167"/>
      <c r="AU2752" s="167"/>
      <c r="AV2752" s="167"/>
      <c r="AW2752" s="167"/>
      <c r="AX2752" s="167"/>
      <c r="AY2752" s="167"/>
      <c r="AZ2752" s="167"/>
      <c r="BA2752" s="167"/>
      <c r="BB2752" s="167"/>
      <c r="BC2752" s="167"/>
      <c r="BD2752" s="167"/>
      <c r="BE2752" s="167"/>
      <c r="BF2752" s="167"/>
      <c r="BG2752" s="167"/>
      <c r="BH2752" s="167"/>
      <c r="BI2752" s="167"/>
      <c r="BJ2752" s="167"/>
      <c r="BK2752" s="167"/>
      <c r="BL2752" s="167"/>
      <c r="BM2752" s="167"/>
      <c r="BN2752" s="167"/>
      <c r="BO2752" s="167"/>
      <c r="BP2752" s="167"/>
      <c r="BQ2752" s="167"/>
      <c r="BR2752" s="167"/>
      <c r="BS2752" s="167"/>
      <c r="BT2752" s="167"/>
      <c r="BU2752" s="167"/>
      <c r="BV2752" s="167"/>
      <c r="BW2752" s="167"/>
      <c r="BX2752" s="167"/>
      <c r="BY2752" s="167"/>
      <c r="BZ2752" s="167"/>
      <c r="CA2752" s="167"/>
      <c r="CB2752" s="167"/>
      <c r="CC2752" s="167"/>
      <c r="CD2752" s="167"/>
      <c r="CE2752" s="167"/>
      <c r="CF2752" s="167"/>
      <c r="CG2752" s="167"/>
      <c r="CH2752" s="167"/>
      <c r="CI2752" s="167"/>
      <c r="CJ2752" s="167"/>
      <c r="CK2752" s="167"/>
      <c r="CL2752" s="167"/>
      <c r="CM2752" s="167"/>
      <c r="CN2752" s="167"/>
      <c r="CO2752" s="167"/>
      <c r="CP2752" s="167"/>
      <c r="CQ2752" s="167"/>
      <c r="CR2752" s="167"/>
      <c r="CS2752" s="167"/>
      <c r="CT2752" s="167"/>
      <c r="CU2752" s="167"/>
      <c r="CV2752" s="167"/>
      <c r="CW2752" s="167"/>
      <c r="CX2752" s="167"/>
      <c r="CY2752" s="167"/>
      <c r="CZ2752" s="167"/>
      <c r="DA2752" s="167"/>
      <c r="DB2752" s="167"/>
      <c r="DC2752" s="167"/>
      <c r="DD2752" s="167"/>
      <c r="DE2752" s="167"/>
      <c r="DF2752" s="167"/>
      <c r="DG2752" s="167"/>
      <c r="DH2752" s="167"/>
      <c r="DI2752" s="167"/>
      <c r="DJ2752" s="167"/>
      <c r="DK2752" s="167"/>
      <c r="DL2752" s="167"/>
      <c r="DM2752" s="167"/>
      <c r="DN2752" s="167"/>
      <c r="DO2752" s="167"/>
      <c r="DP2752" s="167"/>
      <c r="DQ2752" s="167"/>
      <c r="DR2752" s="167"/>
      <c r="DS2752" s="167"/>
      <c r="DT2752" s="167"/>
      <c r="DU2752" s="167"/>
      <c r="DV2752" s="167"/>
      <c r="DW2752" s="167"/>
      <c r="DX2752" s="167"/>
      <c r="DY2752" s="167"/>
      <c r="DZ2752" s="167"/>
      <c r="EA2752" s="167"/>
      <c r="EB2752" s="167"/>
      <c r="EC2752" s="167"/>
      <c r="ED2752" s="167"/>
      <c r="EE2752" s="167"/>
      <c r="EF2752" s="167"/>
      <c r="EG2752" s="167"/>
      <c r="EH2752" s="167"/>
      <c r="EI2752" s="167"/>
      <c r="EJ2752" s="167"/>
      <c r="EK2752" s="167"/>
      <c r="EL2752" s="167"/>
      <c r="EM2752" s="167"/>
      <c r="EN2752" s="167"/>
      <c r="EO2752" s="167"/>
      <c r="EP2752" s="167"/>
      <c r="EQ2752" s="167"/>
      <c r="ER2752" s="167"/>
      <c r="ES2752" s="167"/>
      <c r="ET2752" s="167"/>
      <c r="EU2752" s="167"/>
      <c r="EV2752" s="167"/>
      <c r="EW2752" s="167"/>
      <c r="EX2752" s="167"/>
      <c r="EY2752" s="167"/>
      <c r="EZ2752" s="167"/>
      <c r="FA2752" s="167"/>
      <c r="FB2752" s="167"/>
      <c r="FC2752" s="167"/>
      <c r="FD2752" s="167"/>
      <c r="FE2752" s="167"/>
      <c r="FF2752" s="167"/>
      <c r="FG2752" s="167"/>
      <c r="FH2752" s="167"/>
      <c r="FI2752" s="167"/>
      <c r="FJ2752" s="167"/>
      <c r="FK2752" s="167"/>
      <c r="FL2752" s="167"/>
      <c r="FM2752" s="167"/>
      <c r="FN2752" s="167"/>
      <c r="FO2752" s="167"/>
      <c r="FP2752" s="167"/>
      <c r="FQ2752" s="167"/>
      <c r="FR2752" s="167"/>
      <c r="FS2752" s="167"/>
      <c r="FT2752" s="167"/>
      <c r="FU2752" s="167"/>
      <c r="FV2752" s="167"/>
      <c r="FW2752" s="167"/>
      <c r="FX2752" s="167"/>
      <c r="FY2752" s="167"/>
      <c r="FZ2752" s="167"/>
      <c r="GA2752" s="167"/>
      <c r="GB2752" s="167"/>
      <c r="GC2752" s="167"/>
      <c r="GD2752" s="167"/>
      <c r="GE2752" s="167"/>
      <c r="GF2752" s="167"/>
      <c r="GG2752" s="167"/>
      <c r="GH2752" s="167"/>
      <c r="GI2752" s="167"/>
      <c r="GJ2752" s="167"/>
      <c r="GK2752" s="167"/>
      <c r="GL2752" s="167"/>
      <c r="GM2752" s="167"/>
      <c r="GN2752" s="167"/>
      <c r="GO2752" s="167"/>
      <c r="GP2752" s="167"/>
      <c r="GQ2752" s="167"/>
      <c r="GR2752" s="167"/>
      <c r="GS2752" s="167"/>
      <c r="GT2752" s="167"/>
      <c r="GU2752" s="167"/>
      <c r="GV2752" s="167"/>
      <c r="GW2752" s="167"/>
      <c r="GX2752" s="167"/>
      <c r="GY2752" s="167"/>
      <c r="GZ2752" s="167"/>
      <c r="HA2752" s="167"/>
      <c r="HB2752" s="167"/>
      <c r="HC2752" s="167"/>
      <c r="HD2752" s="167"/>
      <c r="HE2752" s="167"/>
      <c r="HF2752" s="167"/>
      <c r="HG2752" s="167"/>
      <c r="HH2752" s="167"/>
      <c r="HI2752" s="167"/>
      <c r="HJ2752" s="167"/>
      <c r="HK2752" s="167"/>
      <c r="HL2752" s="167"/>
      <c r="HM2752" s="167"/>
      <c r="HN2752" s="167"/>
      <c r="HO2752" s="167"/>
      <c r="HP2752" s="167"/>
      <c r="HQ2752" s="167"/>
      <c r="HR2752" s="167"/>
      <c r="HS2752" s="167"/>
      <c r="HT2752" s="167"/>
      <c r="HU2752" s="167"/>
      <c r="HV2752" s="167"/>
      <c r="HW2752" s="167"/>
      <c r="HX2752" s="167"/>
      <c r="HY2752" s="167"/>
      <c r="HZ2752" s="167"/>
      <c r="IA2752" s="167"/>
      <c r="IB2752" s="167"/>
      <c r="IC2752" s="167"/>
      <c r="ID2752" s="167"/>
      <c r="IE2752" s="167"/>
      <c r="IF2752" s="167"/>
      <c r="IG2752" s="167"/>
      <c r="IH2752" s="167"/>
      <c r="II2752" s="167"/>
      <c r="IJ2752" s="167"/>
      <c r="IK2752" s="167"/>
      <c r="IL2752" s="167"/>
      <c r="IM2752" s="167"/>
      <c r="IN2752" s="167"/>
      <c r="IO2752" s="167"/>
      <c r="IP2752" s="167"/>
      <c r="IQ2752" s="167"/>
      <c r="IR2752" s="167"/>
      <c r="IS2752" s="167"/>
      <c r="IT2752" s="167"/>
      <c r="IU2752" s="167"/>
      <c r="IV2752" s="167"/>
    </row>
    <row r="2753" spans="1:256" ht="51" customHeight="1" x14ac:dyDescent="0.25">
      <c r="A2753" s="191">
        <f>MATCH($E2753,'D1 - Master Project Table'!$B$24:$B$7056,0)</f>
        <v>186</v>
      </c>
      <c r="B2753" s="191" t="b">
        <f t="shared" si="133"/>
        <v>0</v>
      </c>
      <c r="C2753" s="191" t="b">
        <f t="shared" si="134"/>
        <v>0</v>
      </c>
      <c r="D2753" s="191" t="str">
        <f t="shared" si="135"/>
        <v>OK</v>
      </c>
      <c r="E2753" s="229"/>
      <c r="F2753" s="230"/>
      <c r="G2753" s="230"/>
      <c r="H2753" s="230"/>
      <c r="I2753" s="230"/>
      <c r="J2753" s="230"/>
      <c r="K2753" s="230"/>
      <c r="L2753" s="230"/>
      <c r="M2753" s="230"/>
      <c r="N2753" s="230"/>
      <c r="O2753" s="230"/>
      <c r="P2753" s="54"/>
      <c r="R2753" s="387" t="e">
        <f>VLOOKUP(E2753,'[1]NDB Impacted SPRFs 05032013'!$A$2:$A$65536,1,FALSE)</f>
        <v>#N/A</v>
      </c>
      <c r="V2753" s="167"/>
      <c r="W2753" s="167"/>
      <c r="X2753" s="167"/>
      <c r="Y2753" s="167"/>
      <c r="Z2753" s="167"/>
      <c r="AA2753" s="167"/>
      <c r="AB2753" s="167"/>
      <c r="AC2753" s="167"/>
      <c r="AD2753" s="167"/>
      <c r="AE2753" s="167"/>
      <c r="AF2753" s="167"/>
      <c r="AG2753" s="167"/>
      <c r="AH2753" s="167"/>
      <c r="AI2753" s="167"/>
      <c r="AJ2753" s="167"/>
      <c r="AK2753" s="167"/>
      <c r="AL2753" s="167"/>
      <c r="AM2753" s="167"/>
      <c r="AN2753" s="167"/>
      <c r="AO2753" s="167"/>
      <c r="AP2753" s="167"/>
      <c r="AQ2753" s="167"/>
      <c r="AR2753" s="167"/>
      <c r="AS2753" s="167"/>
      <c r="AT2753" s="167"/>
      <c r="AU2753" s="167"/>
      <c r="AV2753" s="167"/>
      <c r="AW2753" s="167"/>
      <c r="AX2753" s="167"/>
      <c r="AY2753" s="167"/>
      <c r="AZ2753" s="167"/>
      <c r="BA2753" s="167"/>
      <c r="BB2753" s="167"/>
      <c r="BC2753" s="167"/>
      <c r="BD2753" s="167"/>
      <c r="BE2753" s="167"/>
      <c r="BF2753" s="167"/>
      <c r="BG2753" s="167"/>
      <c r="BH2753" s="167"/>
      <c r="BI2753" s="167"/>
      <c r="BJ2753" s="167"/>
      <c r="BK2753" s="167"/>
      <c r="BL2753" s="167"/>
      <c r="BM2753" s="167"/>
      <c r="BN2753" s="167"/>
      <c r="BO2753" s="167"/>
      <c r="BP2753" s="167"/>
      <c r="BQ2753" s="167"/>
      <c r="BR2753" s="167"/>
      <c r="BS2753" s="167"/>
      <c r="BT2753" s="167"/>
      <c r="BU2753" s="167"/>
      <c r="BV2753" s="167"/>
      <c r="BW2753" s="167"/>
      <c r="BX2753" s="167"/>
      <c r="BY2753" s="167"/>
      <c r="BZ2753" s="167"/>
      <c r="CA2753" s="167"/>
      <c r="CB2753" s="167"/>
      <c r="CC2753" s="167"/>
      <c r="CD2753" s="167"/>
      <c r="CE2753" s="167"/>
      <c r="CF2753" s="167"/>
      <c r="CG2753" s="167"/>
      <c r="CH2753" s="167"/>
      <c r="CI2753" s="167"/>
      <c r="CJ2753" s="167"/>
      <c r="CK2753" s="167"/>
      <c r="CL2753" s="167"/>
      <c r="CM2753" s="167"/>
      <c r="CN2753" s="167"/>
      <c r="CO2753" s="167"/>
      <c r="CP2753" s="167"/>
      <c r="CQ2753" s="167"/>
      <c r="CR2753" s="167"/>
      <c r="CS2753" s="167"/>
      <c r="CT2753" s="167"/>
      <c r="CU2753" s="167"/>
      <c r="CV2753" s="167"/>
      <c r="CW2753" s="167"/>
      <c r="CX2753" s="167"/>
      <c r="CY2753" s="167"/>
      <c r="CZ2753" s="167"/>
      <c r="DA2753" s="167"/>
      <c r="DB2753" s="167"/>
      <c r="DC2753" s="167"/>
      <c r="DD2753" s="167"/>
      <c r="DE2753" s="167"/>
      <c r="DF2753" s="167"/>
      <c r="DG2753" s="167"/>
      <c r="DH2753" s="167"/>
      <c r="DI2753" s="167"/>
      <c r="DJ2753" s="167"/>
      <c r="DK2753" s="167"/>
      <c r="DL2753" s="167"/>
      <c r="DM2753" s="167"/>
      <c r="DN2753" s="167"/>
      <c r="DO2753" s="167"/>
      <c r="DP2753" s="167"/>
      <c r="DQ2753" s="167"/>
      <c r="DR2753" s="167"/>
      <c r="DS2753" s="167"/>
      <c r="DT2753" s="167"/>
      <c r="DU2753" s="167"/>
      <c r="DV2753" s="167"/>
      <c r="DW2753" s="167"/>
      <c r="DX2753" s="167"/>
      <c r="DY2753" s="167"/>
      <c r="DZ2753" s="167"/>
      <c r="EA2753" s="167"/>
      <c r="EB2753" s="167"/>
      <c r="EC2753" s="167"/>
      <c r="ED2753" s="167"/>
      <c r="EE2753" s="167"/>
      <c r="EF2753" s="167"/>
      <c r="EG2753" s="167"/>
      <c r="EH2753" s="167"/>
      <c r="EI2753" s="167"/>
      <c r="EJ2753" s="167"/>
      <c r="EK2753" s="167"/>
      <c r="EL2753" s="167"/>
      <c r="EM2753" s="167"/>
      <c r="EN2753" s="167"/>
      <c r="EO2753" s="167"/>
      <c r="EP2753" s="167"/>
      <c r="EQ2753" s="167"/>
      <c r="ER2753" s="167"/>
      <c r="ES2753" s="167"/>
      <c r="ET2753" s="167"/>
      <c r="EU2753" s="167"/>
      <c r="EV2753" s="167"/>
      <c r="EW2753" s="167"/>
      <c r="EX2753" s="167"/>
      <c r="EY2753" s="167"/>
      <c r="EZ2753" s="167"/>
      <c r="FA2753" s="167"/>
      <c r="FB2753" s="167"/>
      <c r="FC2753" s="167"/>
      <c r="FD2753" s="167"/>
      <c r="FE2753" s="167"/>
      <c r="FF2753" s="167"/>
      <c r="FG2753" s="167"/>
      <c r="FH2753" s="167"/>
      <c r="FI2753" s="167"/>
      <c r="FJ2753" s="167"/>
      <c r="FK2753" s="167"/>
      <c r="FL2753" s="167"/>
      <c r="FM2753" s="167"/>
      <c r="FN2753" s="167"/>
      <c r="FO2753" s="167"/>
      <c r="FP2753" s="167"/>
      <c r="FQ2753" s="167"/>
      <c r="FR2753" s="167"/>
      <c r="FS2753" s="167"/>
      <c r="FT2753" s="167"/>
      <c r="FU2753" s="167"/>
      <c r="FV2753" s="167"/>
      <c r="FW2753" s="167"/>
      <c r="FX2753" s="167"/>
      <c r="FY2753" s="167"/>
      <c r="FZ2753" s="167"/>
      <c r="GA2753" s="167"/>
      <c r="GB2753" s="167"/>
      <c r="GC2753" s="167"/>
      <c r="GD2753" s="167"/>
      <c r="GE2753" s="167"/>
      <c r="GF2753" s="167"/>
      <c r="GG2753" s="167"/>
      <c r="GH2753" s="167"/>
      <c r="GI2753" s="167"/>
      <c r="GJ2753" s="167"/>
      <c r="GK2753" s="167"/>
      <c r="GL2753" s="167"/>
      <c r="GM2753" s="167"/>
      <c r="GN2753" s="167"/>
      <c r="GO2753" s="167"/>
      <c r="GP2753" s="167"/>
      <c r="GQ2753" s="167"/>
      <c r="GR2753" s="167"/>
      <c r="GS2753" s="167"/>
      <c r="GT2753" s="167"/>
      <c r="GU2753" s="167"/>
      <c r="GV2753" s="167"/>
      <c r="GW2753" s="167"/>
      <c r="GX2753" s="167"/>
      <c r="GY2753" s="167"/>
      <c r="GZ2753" s="167"/>
      <c r="HA2753" s="167"/>
      <c r="HB2753" s="167"/>
      <c r="HC2753" s="167"/>
      <c r="HD2753" s="167"/>
      <c r="HE2753" s="167"/>
      <c r="HF2753" s="167"/>
      <c r="HG2753" s="167"/>
      <c r="HH2753" s="167"/>
      <c r="HI2753" s="167"/>
      <c r="HJ2753" s="167"/>
      <c r="HK2753" s="167"/>
      <c r="HL2753" s="167"/>
      <c r="HM2753" s="167"/>
      <c r="HN2753" s="167"/>
      <c r="HO2753" s="167"/>
      <c r="HP2753" s="167"/>
      <c r="HQ2753" s="167"/>
      <c r="HR2753" s="167"/>
      <c r="HS2753" s="167"/>
      <c r="HT2753" s="167"/>
      <c r="HU2753" s="167"/>
      <c r="HV2753" s="167"/>
      <c r="HW2753" s="167"/>
      <c r="HX2753" s="167"/>
      <c r="HY2753" s="167"/>
      <c r="HZ2753" s="167"/>
      <c r="IA2753" s="167"/>
      <c r="IB2753" s="167"/>
      <c r="IC2753" s="167"/>
      <c r="ID2753" s="167"/>
      <c r="IE2753" s="167"/>
      <c r="IF2753" s="167"/>
      <c r="IG2753" s="167"/>
      <c r="IH2753" s="167"/>
      <c r="II2753" s="167"/>
      <c r="IJ2753" s="167"/>
      <c r="IK2753" s="167"/>
      <c r="IL2753" s="167"/>
      <c r="IM2753" s="167"/>
      <c r="IN2753" s="167"/>
      <c r="IO2753" s="167"/>
      <c r="IP2753" s="167"/>
      <c r="IQ2753" s="167"/>
      <c r="IR2753" s="167"/>
      <c r="IS2753" s="167"/>
      <c r="IT2753" s="167"/>
      <c r="IU2753" s="167"/>
      <c r="IV2753" s="167"/>
    </row>
    <row r="2754" spans="1:256" ht="51" customHeight="1" x14ac:dyDescent="0.25">
      <c r="A2754" s="191">
        <f>MATCH($E2754,'D1 - Master Project Table'!$B$24:$B$7056,0)</f>
        <v>186</v>
      </c>
      <c r="B2754" s="191" t="b">
        <f t="shared" si="133"/>
        <v>0</v>
      </c>
      <c r="C2754" s="191" t="b">
        <f t="shared" si="134"/>
        <v>0</v>
      </c>
      <c r="D2754" s="191" t="str">
        <f t="shared" si="135"/>
        <v>OK</v>
      </c>
      <c r="E2754" s="229"/>
      <c r="F2754" s="230"/>
      <c r="G2754" s="230"/>
      <c r="H2754" s="230"/>
      <c r="I2754" s="230"/>
      <c r="J2754" s="230"/>
      <c r="K2754" s="230"/>
      <c r="L2754" s="230"/>
      <c r="M2754" s="230"/>
      <c r="N2754" s="230"/>
      <c r="O2754" s="230"/>
      <c r="P2754"/>
      <c r="Q2754"/>
      <c r="R2754" s="387" t="e">
        <f>VLOOKUP(E2754,'[1]NDB Impacted SPRFs 05032013'!$A$2:$A$65536,1,FALSE)</f>
        <v>#N/A</v>
      </c>
      <c r="S2754" s="159"/>
      <c r="T2754" s="159"/>
      <c r="U2754" s="159"/>
      <c r="V2754" s="167"/>
      <c r="W2754" s="167"/>
      <c r="X2754" s="167"/>
      <c r="Y2754" s="167"/>
      <c r="Z2754" s="167"/>
      <c r="AA2754" s="167"/>
      <c r="AB2754" s="167"/>
      <c r="AC2754" s="167"/>
      <c r="AD2754" s="167"/>
      <c r="AE2754" s="167"/>
      <c r="AF2754" s="167"/>
      <c r="AG2754" s="167"/>
      <c r="AH2754" s="167"/>
      <c r="AI2754" s="167"/>
      <c r="AJ2754" s="167"/>
      <c r="AK2754" s="167"/>
      <c r="AL2754" s="167"/>
      <c r="AM2754" s="167"/>
      <c r="AN2754" s="167"/>
      <c r="AO2754" s="167"/>
      <c r="AP2754" s="167"/>
      <c r="AQ2754" s="167"/>
      <c r="AR2754" s="167"/>
      <c r="AS2754" s="167"/>
      <c r="AT2754" s="167"/>
      <c r="AU2754" s="167"/>
      <c r="AV2754" s="167"/>
      <c r="AW2754" s="167"/>
      <c r="AX2754" s="167"/>
      <c r="AY2754" s="167"/>
      <c r="AZ2754" s="167"/>
      <c r="BA2754" s="167"/>
      <c r="BB2754" s="167"/>
      <c r="BC2754" s="167"/>
      <c r="BD2754" s="167"/>
      <c r="BE2754" s="167"/>
      <c r="BF2754" s="167"/>
      <c r="BG2754" s="167"/>
      <c r="BH2754" s="167"/>
      <c r="BI2754" s="167"/>
      <c r="BJ2754" s="167"/>
      <c r="BK2754" s="167"/>
      <c r="BL2754" s="167"/>
      <c r="BM2754" s="167"/>
      <c r="BN2754" s="167"/>
      <c r="BO2754" s="167"/>
      <c r="BP2754" s="167"/>
      <c r="BQ2754" s="167"/>
      <c r="BR2754" s="167"/>
      <c r="BS2754" s="167"/>
      <c r="BT2754" s="167"/>
      <c r="BU2754" s="167"/>
      <c r="BV2754" s="167"/>
      <c r="BW2754" s="167"/>
      <c r="BX2754" s="167"/>
      <c r="BY2754" s="167"/>
      <c r="BZ2754" s="167"/>
      <c r="CA2754" s="167"/>
      <c r="CB2754" s="167"/>
      <c r="CC2754" s="167"/>
      <c r="CD2754" s="167"/>
      <c r="CE2754" s="167"/>
      <c r="CF2754" s="167"/>
      <c r="CG2754" s="167"/>
      <c r="CH2754" s="167"/>
      <c r="CI2754" s="167"/>
      <c r="CJ2754" s="167"/>
      <c r="CK2754" s="167"/>
      <c r="CL2754" s="167"/>
      <c r="CM2754" s="167"/>
      <c r="CN2754" s="167"/>
      <c r="CO2754" s="167"/>
      <c r="CP2754" s="167"/>
      <c r="CQ2754" s="167"/>
      <c r="CR2754" s="167"/>
      <c r="CS2754" s="167"/>
      <c r="CT2754" s="167"/>
      <c r="CU2754" s="167"/>
      <c r="CV2754" s="167"/>
      <c r="CW2754" s="167"/>
      <c r="CX2754" s="167"/>
      <c r="CY2754" s="167"/>
      <c r="CZ2754" s="167"/>
      <c r="DA2754" s="167"/>
      <c r="DB2754" s="167"/>
      <c r="DC2754" s="167"/>
      <c r="DD2754" s="167"/>
      <c r="DE2754" s="167"/>
      <c r="DF2754" s="167"/>
      <c r="DG2754" s="167"/>
      <c r="DH2754" s="167"/>
      <c r="DI2754" s="167"/>
      <c r="DJ2754" s="167"/>
      <c r="DK2754" s="167"/>
      <c r="DL2754" s="167"/>
      <c r="DM2754" s="167"/>
      <c r="DN2754" s="167"/>
      <c r="DO2754" s="167"/>
      <c r="DP2754" s="167"/>
      <c r="DQ2754" s="167"/>
      <c r="DR2754" s="167"/>
      <c r="DS2754" s="167"/>
      <c r="DT2754" s="167"/>
      <c r="DU2754" s="167"/>
      <c r="DV2754" s="167"/>
      <c r="DW2754" s="167"/>
      <c r="DX2754" s="167"/>
      <c r="DY2754" s="167"/>
      <c r="DZ2754" s="167"/>
      <c r="EA2754" s="167"/>
      <c r="EB2754" s="167"/>
      <c r="EC2754" s="167"/>
      <c r="ED2754" s="167"/>
      <c r="EE2754" s="167"/>
      <c r="EF2754" s="167"/>
      <c r="EG2754" s="167"/>
      <c r="EH2754" s="167"/>
      <c r="EI2754" s="167"/>
      <c r="EJ2754" s="167"/>
      <c r="EK2754" s="167"/>
      <c r="EL2754" s="167"/>
      <c r="EM2754" s="167"/>
      <c r="EN2754" s="167"/>
      <c r="EO2754" s="167"/>
      <c r="EP2754" s="167"/>
      <c r="EQ2754" s="167"/>
      <c r="ER2754" s="167"/>
      <c r="ES2754" s="167"/>
      <c r="ET2754" s="167"/>
      <c r="EU2754" s="167"/>
      <c r="EV2754" s="167"/>
      <c r="EW2754" s="167"/>
      <c r="EX2754" s="167"/>
      <c r="EY2754" s="167"/>
      <c r="EZ2754" s="167"/>
      <c r="FA2754" s="167"/>
      <c r="FB2754" s="167"/>
      <c r="FC2754" s="167"/>
      <c r="FD2754" s="167"/>
      <c r="FE2754" s="167"/>
      <c r="FF2754" s="167"/>
      <c r="FG2754" s="167"/>
      <c r="FH2754" s="167"/>
      <c r="FI2754" s="167"/>
      <c r="FJ2754" s="167"/>
      <c r="FK2754" s="167"/>
      <c r="FL2754" s="167"/>
      <c r="FM2754" s="167"/>
      <c r="FN2754" s="167"/>
      <c r="FO2754" s="167"/>
      <c r="FP2754" s="167"/>
      <c r="FQ2754" s="167"/>
      <c r="FR2754" s="167"/>
      <c r="FS2754" s="167"/>
      <c r="FT2754" s="167"/>
      <c r="FU2754" s="167"/>
      <c r="FV2754" s="167"/>
      <c r="FW2754" s="167"/>
      <c r="FX2754" s="167"/>
      <c r="FY2754" s="167"/>
      <c r="FZ2754" s="167"/>
      <c r="GA2754" s="167"/>
      <c r="GB2754" s="167"/>
      <c r="GC2754" s="167"/>
      <c r="GD2754" s="167"/>
      <c r="GE2754" s="167"/>
      <c r="GF2754" s="167"/>
      <c r="GG2754" s="167"/>
      <c r="GH2754" s="167"/>
      <c r="GI2754" s="167"/>
      <c r="GJ2754" s="167"/>
      <c r="GK2754" s="167"/>
      <c r="GL2754" s="167"/>
      <c r="GM2754" s="167"/>
      <c r="GN2754" s="167"/>
      <c r="GO2754" s="167"/>
      <c r="GP2754" s="167"/>
      <c r="GQ2754" s="167"/>
      <c r="GR2754" s="167"/>
      <c r="GS2754" s="167"/>
      <c r="GT2754" s="167"/>
      <c r="GU2754" s="167"/>
      <c r="GV2754" s="167"/>
      <c r="GW2754" s="167"/>
      <c r="GX2754" s="167"/>
      <c r="GY2754" s="167"/>
      <c r="GZ2754" s="167"/>
      <c r="HA2754" s="167"/>
      <c r="HB2754" s="167"/>
      <c r="HC2754" s="167"/>
      <c r="HD2754" s="167"/>
      <c r="HE2754" s="167"/>
      <c r="HF2754" s="167"/>
      <c r="HG2754" s="167"/>
      <c r="HH2754" s="167"/>
      <c r="HI2754" s="167"/>
      <c r="HJ2754" s="167"/>
      <c r="HK2754" s="167"/>
      <c r="HL2754" s="167"/>
      <c r="HM2754" s="167"/>
      <c r="HN2754" s="167"/>
      <c r="HO2754" s="167"/>
      <c r="HP2754" s="167"/>
      <c r="HQ2754" s="167"/>
      <c r="HR2754" s="167"/>
      <c r="HS2754" s="167"/>
      <c r="HT2754" s="167"/>
      <c r="HU2754" s="167"/>
      <c r="HV2754" s="167"/>
      <c r="HW2754" s="167"/>
      <c r="HX2754" s="167"/>
      <c r="HY2754" s="167"/>
      <c r="HZ2754" s="167"/>
      <c r="IA2754" s="167"/>
      <c r="IB2754" s="167"/>
      <c r="IC2754" s="167"/>
      <c r="ID2754" s="167"/>
      <c r="IE2754" s="167"/>
      <c r="IF2754" s="167"/>
      <c r="IG2754" s="167"/>
      <c r="IH2754" s="167"/>
      <c r="II2754" s="167"/>
      <c r="IJ2754" s="167"/>
      <c r="IK2754" s="167"/>
      <c r="IL2754" s="167"/>
      <c r="IM2754" s="167"/>
      <c r="IN2754" s="167"/>
      <c r="IO2754" s="167"/>
      <c r="IP2754" s="167"/>
      <c r="IQ2754" s="167"/>
      <c r="IR2754" s="167"/>
      <c r="IS2754" s="167"/>
      <c r="IT2754" s="167"/>
      <c r="IU2754" s="167"/>
      <c r="IV2754" s="167"/>
    </row>
    <row r="2755" spans="1:256" ht="51" customHeight="1" x14ac:dyDescent="0.25">
      <c r="A2755" s="191">
        <f>MATCH($E2755,'D1 - Master Project Table'!$B$24:$B$7056,0)</f>
        <v>186</v>
      </c>
      <c r="B2755" s="191" t="b">
        <f t="shared" si="133"/>
        <v>0</v>
      </c>
      <c r="C2755" s="191" t="b">
        <f t="shared" si="134"/>
        <v>0</v>
      </c>
      <c r="D2755" s="191" t="str">
        <f t="shared" si="135"/>
        <v>OK</v>
      </c>
      <c r="E2755" s="229"/>
      <c r="F2755" s="230"/>
      <c r="G2755" s="230"/>
      <c r="H2755" s="230"/>
      <c r="I2755" s="230"/>
      <c r="J2755" s="230"/>
      <c r="K2755" s="230"/>
      <c r="L2755" s="230"/>
      <c r="M2755" s="230"/>
      <c r="N2755" s="230"/>
      <c r="O2755" s="230"/>
      <c r="P2755"/>
      <c r="Q2755"/>
      <c r="R2755" s="387" t="e">
        <f>VLOOKUP(E2755,'[1]NDB Impacted SPRFs 05032013'!$A$2:$A$65536,1,FALSE)</f>
        <v>#N/A</v>
      </c>
      <c r="S2755" s="159"/>
      <c r="T2755" s="159"/>
      <c r="U2755" s="159"/>
      <c r="V2755" s="167"/>
      <c r="W2755" s="167"/>
      <c r="X2755" s="167"/>
      <c r="Y2755" s="167"/>
      <c r="Z2755" s="167"/>
      <c r="AA2755" s="167"/>
      <c r="AB2755" s="167"/>
      <c r="AC2755" s="167"/>
      <c r="AD2755" s="167"/>
      <c r="AE2755" s="167"/>
      <c r="AF2755" s="167"/>
      <c r="AG2755" s="167"/>
      <c r="AH2755" s="167"/>
      <c r="AI2755" s="167"/>
      <c r="AJ2755" s="167"/>
      <c r="AK2755" s="167"/>
      <c r="AL2755" s="167"/>
      <c r="AM2755" s="167"/>
      <c r="AN2755" s="167"/>
      <c r="AO2755" s="167"/>
      <c r="AP2755" s="167"/>
      <c r="AQ2755" s="167"/>
      <c r="AR2755" s="167"/>
      <c r="AS2755" s="167"/>
      <c r="AT2755" s="167"/>
      <c r="AU2755" s="167"/>
      <c r="AV2755" s="167"/>
      <c r="AW2755" s="167"/>
      <c r="AX2755" s="167"/>
      <c r="AY2755" s="167"/>
      <c r="AZ2755" s="167"/>
      <c r="BA2755" s="167"/>
      <c r="BB2755" s="167"/>
      <c r="BC2755" s="167"/>
      <c r="BD2755" s="167"/>
      <c r="BE2755" s="167"/>
      <c r="BF2755" s="167"/>
      <c r="BG2755" s="167"/>
      <c r="BH2755" s="167"/>
      <c r="BI2755" s="167"/>
      <c r="BJ2755" s="167"/>
      <c r="BK2755" s="167"/>
      <c r="BL2755" s="167"/>
      <c r="BM2755" s="167"/>
      <c r="BN2755" s="167"/>
      <c r="BO2755" s="167"/>
      <c r="BP2755" s="167"/>
      <c r="BQ2755" s="167"/>
      <c r="BR2755" s="167"/>
      <c r="BS2755" s="167"/>
      <c r="BT2755" s="167"/>
      <c r="BU2755" s="167"/>
      <c r="BV2755" s="167"/>
      <c r="BW2755" s="167"/>
      <c r="BX2755" s="167"/>
      <c r="BY2755" s="167"/>
      <c r="BZ2755" s="167"/>
      <c r="CA2755" s="167"/>
      <c r="CB2755" s="167"/>
      <c r="CC2755" s="167"/>
      <c r="CD2755" s="167"/>
      <c r="CE2755" s="167"/>
      <c r="CF2755" s="167"/>
      <c r="CG2755" s="167"/>
      <c r="CH2755" s="167"/>
      <c r="CI2755" s="167"/>
      <c r="CJ2755" s="167"/>
      <c r="CK2755" s="167"/>
      <c r="CL2755" s="167"/>
      <c r="CM2755" s="167"/>
      <c r="CN2755" s="167"/>
      <c r="CO2755" s="167"/>
      <c r="CP2755" s="167"/>
      <c r="CQ2755" s="167"/>
      <c r="CR2755" s="167"/>
      <c r="CS2755" s="167"/>
      <c r="CT2755" s="167"/>
      <c r="CU2755" s="167"/>
      <c r="CV2755" s="167"/>
      <c r="CW2755" s="167"/>
      <c r="CX2755" s="167"/>
      <c r="CY2755" s="167"/>
      <c r="CZ2755" s="167"/>
      <c r="DA2755" s="167"/>
      <c r="DB2755" s="167"/>
      <c r="DC2755" s="167"/>
      <c r="DD2755" s="167"/>
      <c r="DE2755" s="167"/>
      <c r="DF2755" s="167"/>
      <c r="DG2755" s="167"/>
      <c r="DH2755" s="167"/>
      <c r="DI2755" s="167"/>
      <c r="DJ2755" s="167"/>
      <c r="DK2755" s="167"/>
      <c r="DL2755" s="167"/>
      <c r="DM2755" s="167"/>
      <c r="DN2755" s="167"/>
      <c r="DO2755" s="167"/>
      <c r="DP2755" s="167"/>
      <c r="DQ2755" s="167"/>
      <c r="DR2755" s="167"/>
      <c r="DS2755" s="167"/>
      <c r="DT2755" s="167"/>
      <c r="DU2755" s="167"/>
      <c r="DV2755" s="167"/>
      <c r="DW2755" s="167"/>
      <c r="DX2755" s="167"/>
      <c r="DY2755" s="167"/>
      <c r="DZ2755" s="167"/>
      <c r="EA2755" s="167"/>
      <c r="EB2755" s="167"/>
      <c r="EC2755" s="167"/>
      <c r="ED2755" s="167"/>
      <c r="EE2755" s="167"/>
      <c r="EF2755" s="167"/>
      <c r="EG2755" s="167"/>
      <c r="EH2755" s="167"/>
      <c r="EI2755" s="167"/>
      <c r="EJ2755" s="167"/>
      <c r="EK2755" s="167"/>
      <c r="EL2755" s="167"/>
      <c r="EM2755" s="167"/>
      <c r="EN2755" s="167"/>
      <c r="EO2755" s="167"/>
      <c r="EP2755" s="167"/>
      <c r="EQ2755" s="167"/>
      <c r="ER2755" s="167"/>
      <c r="ES2755" s="167"/>
      <c r="ET2755" s="167"/>
      <c r="EU2755" s="167"/>
      <c r="EV2755" s="167"/>
      <c r="EW2755" s="167"/>
      <c r="EX2755" s="167"/>
      <c r="EY2755" s="167"/>
      <c r="EZ2755" s="167"/>
      <c r="FA2755" s="167"/>
      <c r="FB2755" s="167"/>
      <c r="FC2755" s="167"/>
      <c r="FD2755" s="167"/>
      <c r="FE2755" s="167"/>
      <c r="FF2755" s="167"/>
      <c r="FG2755" s="167"/>
      <c r="FH2755" s="167"/>
      <c r="FI2755" s="167"/>
      <c r="FJ2755" s="167"/>
      <c r="FK2755" s="167"/>
      <c r="FL2755" s="167"/>
      <c r="FM2755" s="167"/>
      <c r="FN2755" s="167"/>
      <c r="FO2755" s="167"/>
      <c r="FP2755" s="167"/>
      <c r="FQ2755" s="167"/>
      <c r="FR2755" s="167"/>
      <c r="FS2755" s="167"/>
      <c r="FT2755" s="167"/>
      <c r="FU2755" s="167"/>
      <c r="FV2755" s="167"/>
      <c r="FW2755" s="167"/>
      <c r="FX2755" s="167"/>
      <c r="FY2755" s="167"/>
      <c r="FZ2755" s="167"/>
      <c r="GA2755" s="167"/>
      <c r="GB2755" s="167"/>
      <c r="GC2755" s="167"/>
      <c r="GD2755" s="167"/>
      <c r="GE2755" s="167"/>
      <c r="GF2755" s="167"/>
      <c r="GG2755" s="167"/>
      <c r="GH2755" s="167"/>
      <c r="GI2755" s="167"/>
      <c r="GJ2755" s="167"/>
      <c r="GK2755" s="167"/>
      <c r="GL2755" s="167"/>
      <c r="GM2755" s="167"/>
      <c r="GN2755" s="167"/>
      <c r="GO2755" s="167"/>
      <c r="GP2755" s="167"/>
      <c r="GQ2755" s="167"/>
      <c r="GR2755" s="167"/>
      <c r="GS2755" s="167"/>
      <c r="GT2755" s="167"/>
      <c r="GU2755" s="167"/>
      <c r="GV2755" s="167"/>
      <c r="GW2755" s="167"/>
      <c r="GX2755" s="167"/>
      <c r="GY2755" s="167"/>
      <c r="GZ2755" s="167"/>
      <c r="HA2755" s="167"/>
      <c r="HB2755" s="167"/>
      <c r="HC2755" s="167"/>
      <c r="HD2755" s="167"/>
      <c r="HE2755" s="167"/>
      <c r="HF2755" s="167"/>
      <c r="HG2755" s="167"/>
      <c r="HH2755" s="167"/>
      <c r="HI2755" s="167"/>
      <c r="HJ2755" s="167"/>
      <c r="HK2755" s="167"/>
      <c r="HL2755" s="167"/>
      <c r="HM2755" s="167"/>
      <c r="HN2755" s="167"/>
      <c r="HO2755" s="167"/>
      <c r="HP2755" s="167"/>
      <c r="HQ2755" s="167"/>
      <c r="HR2755" s="167"/>
      <c r="HS2755" s="167"/>
      <c r="HT2755" s="167"/>
      <c r="HU2755" s="167"/>
      <c r="HV2755" s="167"/>
      <c r="HW2755" s="167"/>
      <c r="HX2755" s="167"/>
      <c r="HY2755" s="167"/>
      <c r="HZ2755" s="167"/>
      <c r="IA2755" s="167"/>
      <c r="IB2755" s="167"/>
      <c r="IC2755" s="167"/>
      <c r="ID2755" s="167"/>
      <c r="IE2755" s="167"/>
      <c r="IF2755" s="167"/>
      <c r="IG2755" s="167"/>
      <c r="IH2755" s="167"/>
      <c r="II2755" s="167"/>
      <c r="IJ2755" s="167"/>
      <c r="IK2755" s="167"/>
      <c r="IL2755" s="167"/>
      <c r="IM2755" s="167"/>
      <c r="IN2755" s="167"/>
      <c r="IO2755" s="167"/>
      <c r="IP2755" s="167"/>
      <c r="IQ2755" s="167"/>
      <c r="IR2755" s="167"/>
      <c r="IS2755" s="167"/>
      <c r="IT2755" s="167"/>
      <c r="IU2755" s="167"/>
      <c r="IV2755" s="167"/>
    </row>
    <row r="2756" spans="1:256" ht="51" customHeight="1" x14ac:dyDescent="0.25">
      <c r="A2756" s="191">
        <f>MATCH($E2756,'D1 - Master Project Table'!$B$24:$B$7056,0)</f>
        <v>186</v>
      </c>
      <c r="B2756" s="244" t="b">
        <f t="shared" si="133"/>
        <v>0</v>
      </c>
      <c r="C2756" s="244" t="b">
        <f t="shared" si="134"/>
        <v>0</v>
      </c>
      <c r="D2756" s="244" t="str">
        <f t="shared" si="135"/>
        <v>OK</v>
      </c>
      <c r="E2756" s="229"/>
      <c r="F2756" s="230"/>
      <c r="G2756" s="230"/>
      <c r="H2756" s="230"/>
      <c r="I2756" s="230"/>
      <c r="J2756" s="230"/>
      <c r="K2756" s="230"/>
      <c r="L2756" s="230"/>
      <c r="M2756" s="230"/>
      <c r="N2756" s="230"/>
      <c r="O2756" s="230"/>
      <c r="P2756"/>
      <c r="Q2756"/>
      <c r="R2756" s="387" t="e">
        <f>VLOOKUP(E2756,'[1]NDB Impacted SPRFs 05032013'!$A$2:$A$65536,1,FALSE)</f>
        <v>#N/A</v>
      </c>
      <c r="S2756" s="160"/>
      <c r="T2756" s="160"/>
      <c r="U2756" s="160"/>
      <c r="V2756" s="167"/>
      <c r="W2756" s="167"/>
      <c r="X2756" s="167"/>
      <c r="Y2756" s="167"/>
      <c r="Z2756" s="167"/>
      <c r="AA2756" s="167"/>
      <c r="AB2756" s="167"/>
      <c r="AC2756" s="167"/>
      <c r="AD2756" s="167"/>
      <c r="AE2756" s="167"/>
      <c r="AF2756" s="167"/>
      <c r="AG2756" s="167"/>
      <c r="AH2756" s="167"/>
      <c r="AI2756" s="167"/>
      <c r="AJ2756" s="167"/>
      <c r="AK2756" s="167"/>
      <c r="AL2756" s="167"/>
      <c r="AM2756" s="167"/>
      <c r="AN2756" s="167"/>
      <c r="AO2756" s="167"/>
      <c r="AP2756" s="167"/>
      <c r="AQ2756" s="167"/>
      <c r="AR2756" s="167"/>
      <c r="AS2756" s="167"/>
      <c r="AT2756" s="167"/>
      <c r="AU2756" s="167"/>
      <c r="AV2756" s="167"/>
      <c r="AW2756" s="167"/>
      <c r="AX2756" s="167"/>
      <c r="AY2756" s="167"/>
      <c r="AZ2756" s="167"/>
      <c r="BA2756" s="167"/>
      <c r="BB2756" s="167"/>
      <c r="BC2756" s="167"/>
      <c r="BD2756" s="167"/>
      <c r="BE2756" s="167"/>
      <c r="BF2756" s="167"/>
      <c r="BG2756" s="167"/>
      <c r="BH2756" s="167"/>
      <c r="BI2756" s="167"/>
      <c r="BJ2756" s="167"/>
      <c r="BK2756" s="167"/>
      <c r="BL2756" s="167"/>
      <c r="BM2756" s="167"/>
      <c r="BN2756" s="167"/>
      <c r="BO2756" s="167"/>
      <c r="BP2756" s="167"/>
      <c r="BQ2756" s="167"/>
      <c r="BR2756" s="167"/>
      <c r="BS2756" s="167"/>
      <c r="BT2756" s="167"/>
      <c r="BU2756" s="167"/>
      <c r="BV2756" s="167"/>
      <c r="BW2756" s="167"/>
      <c r="BX2756" s="167"/>
      <c r="BY2756" s="167"/>
      <c r="BZ2756" s="167"/>
      <c r="CA2756" s="167"/>
      <c r="CB2756" s="167"/>
      <c r="CC2756" s="167"/>
      <c r="CD2756" s="167"/>
      <c r="CE2756" s="167"/>
      <c r="CF2756" s="167"/>
      <c r="CG2756" s="167"/>
      <c r="CH2756" s="167"/>
      <c r="CI2756" s="167"/>
      <c r="CJ2756" s="167"/>
      <c r="CK2756" s="167"/>
      <c r="CL2756" s="167"/>
      <c r="CM2756" s="167"/>
      <c r="CN2756" s="167"/>
      <c r="CO2756" s="167"/>
      <c r="CP2756" s="167"/>
      <c r="CQ2756" s="167"/>
      <c r="CR2756" s="167"/>
      <c r="CS2756" s="167"/>
      <c r="CT2756" s="167"/>
      <c r="CU2756" s="167"/>
      <c r="CV2756" s="167"/>
      <c r="CW2756" s="167"/>
      <c r="CX2756" s="167"/>
      <c r="CY2756" s="167"/>
      <c r="CZ2756" s="167"/>
      <c r="DA2756" s="167"/>
      <c r="DB2756" s="167"/>
      <c r="DC2756" s="167"/>
      <c r="DD2756" s="167"/>
      <c r="DE2756" s="167"/>
      <c r="DF2756" s="167"/>
      <c r="DG2756" s="167"/>
      <c r="DH2756" s="167"/>
      <c r="DI2756" s="167"/>
      <c r="DJ2756" s="167"/>
      <c r="DK2756" s="167"/>
      <c r="DL2756" s="167"/>
      <c r="DM2756" s="167"/>
      <c r="DN2756" s="167"/>
      <c r="DO2756" s="167"/>
      <c r="DP2756" s="167"/>
      <c r="DQ2756" s="167"/>
      <c r="DR2756" s="167"/>
      <c r="DS2756" s="167"/>
      <c r="DT2756" s="167"/>
      <c r="DU2756" s="167"/>
      <c r="DV2756" s="167"/>
      <c r="DW2756" s="167"/>
      <c r="DX2756" s="167"/>
      <c r="DY2756" s="167"/>
      <c r="DZ2756" s="167"/>
      <c r="EA2756" s="167"/>
      <c r="EB2756" s="167"/>
      <c r="EC2756" s="167"/>
      <c r="ED2756" s="167"/>
      <c r="EE2756" s="167"/>
      <c r="EF2756" s="167"/>
      <c r="EG2756" s="167"/>
      <c r="EH2756" s="167"/>
      <c r="EI2756" s="167"/>
      <c r="EJ2756" s="167"/>
      <c r="EK2756" s="167"/>
      <c r="EL2756" s="167"/>
      <c r="EM2756" s="167"/>
      <c r="EN2756" s="167"/>
      <c r="EO2756" s="167"/>
      <c r="EP2756" s="167"/>
      <c r="EQ2756" s="167"/>
      <c r="ER2756" s="167"/>
      <c r="ES2756" s="167"/>
      <c r="ET2756" s="167"/>
      <c r="EU2756" s="167"/>
      <c r="EV2756" s="167"/>
      <c r="EW2756" s="167"/>
      <c r="EX2756" s="167"/>
      <c r="EY2756" s="167"/>
      <c r="EZ2756" s="167"/>
      <c r="FA2756" s="167"/>
      <c r="FB2756" s="167"/>
      <c r="FC2756" s="167"/>
      <c r="FD2756" s="167"/>
      <c r="FE2756" s="167"/>
      <c r="FF2756" s="167"/>
      <c r="FG2756" s="167"/>
      <c r="FH2756" s="167"/>
      <c r="FI2756" s="167"/>
      <c r="FJ2756" s="167"/>
      <c r="FK2756" s="167"/>
      <c r="FL2756" s="167"/>
      <c r="FM2756" s="167"/>
      <c r="FN2756" s="167"/>
      <c r="FO2756" s="167"/>
      <c r="FP2756" s="167"/>
      <c r="FQ2756" s="167"/>
      <c r="FR2756" s="167"/>
      <c r="FS2756" s="167"/>
      <c r="FT2756" s="167"/>
      <c r="FU2756" s="167"/>
      <c r="FV2756" s="167"/>
      <c r="FW2756" s="167"/>
      <c r="FX2756" s="167"/>
      <c r="FY2756" s="167"/>
      <c r="FZ2756" s="167"/>
      <c r="GA2756" s="167"/>
      <c r="GB2756" s="167"/>
      <c r="GC2756" s="167"/>
      <c r="GD2756" s="167"/>
      <c r="GE2756" s="167"/>
      <c r="GF2756" s="167"/>
      <c r="GG2756" s="167"/>
      <c r="GH2756" s="167"/>
      <c r="GI2756" s="167"/>
      <c r="GJ2756" s="167"/>
      <c r="GK2756" s="167"/>
      <c r="GL2756" s="167"/>
      <c r="GM2756" s="167"/>
      <c r="GN2756" s="167"/>
      <c r="GO2756" s="167"/>
      <c r="GP2756" s="167"/>
      <c r="GQ2756" s="167"/>
      <c r="GR2756" s="167"/>
      <c r="GS2756" s="167"/>
      <c r="GT2756" s="167"/>
      <c r="GU2756" s="167"/>
      <c r="GV2756" s="167"/>
      <c r="GW2756" s="167"/>
      <c r="GX2756" s="167"/>
      <c r="GY2756" s="167"/>
      <c r="GZ2756" s="167"/>
      <c r="HA2756" s="167"/>
      <c r="HB2756" s="167"/>
      <c r="HC2756" s="167"/>
      <c r="HD2756" s="167"/>
      <c r="HE2756" s="167"/>
      <c r="HF2756" s="167"/>
      <c r="HG2756" s="167"/>
      <c r="HH2756" s="167"/>
      <c r="HI2756" s="167"/>
      <c r="HJ2756" s="167"/>
      <c r="HK2756" s="167"/>
      <c r="HL2756" s="167"/>
      <c r="HM2756" s="167"/>
      <c r="HN2756" s="167"/>
      <c r="HO2756" s="167"/>
      <c r="HP2756" s="167"/>
      <c r="HQ2756" s="167"/>
      <c r="HR2756" s="167"/>
      <c r="HS2756" s="167"/>
      <c r="HT2756" s="167"/>
      <c r="HU2756" s="167"/>
      <c r="HV2756" s="167"/>
      <c r="HW2756" s="167"/>
      <c r="HX2756" s="167"/>
      <c r="HY2756" s="167"/>
      <c r="HZ2756" s="167"/>
      <c r="IA2756" s="167"/>
      <c r="IB2756" s="167"/>
      <c r="IC2756" s="167"/>
      <c r="ID2756" s="167"/>
      <c r="IE2756" s="167"/>
      <c r="IF2756" s="167"/>
      <c r="IG2756" s="167"/>
      <c r="IH2756" s="167"/>
      <c r="II2756" s="167"/>
      <c r="IJ2756" s="167"/>
      <c r="IK2756" s="167"/>
      <c r="IL2756" s="167"/>
      <c r="IM2756" s="167"/>
      <c r="IN2756" s="167"/>
      <c r="IO2756" s="167"/>
      <c r="IP2756" s="167"/>
      <c r="IQ2756" s="167"/>
      <c r="IR2756" s="167"/>
      <c r="IS2756" s="167"/>
      <c r="IT2756" s="167"/>
      <c r="IU2756" s="167"/>
      <c r="IV2756" s="167"/>
    </row>
    <row r="2757" spans="1:256" ht="51" customHeight="1" x14ac:dyDescent="0.25">
      <c r="A2757" s="191">
        <f>MATCH($E2757,'D1 - Master Project Table'!$B$24:$B$7056,0)</f>
        <v>186</v>
      </c>
      <c r="B2757" s="191" t="b">
        <f t="shared" si="133"/>
        <v>0</v>
      </c>
      <c r="C2757" s="191" t="b">
        <f t="shared" si="134"/>
        <v>0</v>
      </c>
      <c r="D2757" s="191" t="str">
        <f t="shared" si="135"/>
        <v>OK</v>
      </c>
      <c r="E2757" s="229"/>
      <c r="F2757" s="230"/>
      <c r="G2757" s="230"/>
      <c r="H2757" s="230"/>
      <c r="I2757" s="230"/>
      <c r="J2757" s="230"/>
      <c r="K2757" s="230"/>
      <c r="L2757" s="230"/>
      <c r="M2757" s="230"/>
      <c r="N2757" s="230"/>
      <c r="O2757" s="230"/>
      <c r="P2757"/>
      <c r="Q2757"/>
      <c r="R2757" s="387" t="e">
        <f>VLOOKUP(E2757,'[1]NDB Impacted SPRFs 05032013'!$A$2:$A$65536,1,FALSE)</f>
        <v>#N/A</v>
      </c>
      <c r="S2757" s="159"/>
      <c r="T2757" s="159"/>
      <c r="U2757" s="159"/>
      <c r="V2757" s="167"/>
      <c r="W2757" s="167"/>
      <c r="X2757" s="167"/>
      <c r="Y2757" s="167"/>
      <c r="Z2757" s="167"/>
      <c r="AA2757" s="167"/>
      <c r="AB2757" s="167"/>
      <c r="AC2757" s="167"/>
      <c r="AD2757" s="167"/>
      <c r="AE2757" s="167"/>
      <c r="AF2757" s="167"/>
      <c r="AG2757" s="167"/>
      <c r="AH2757" s="167"/>
      <c r="AI2757" s="167"/>
      <c r="AJ2757" s="167"/>
      <c r="AK2757" s="167"/>
      <c r="AL2757" s="167"/>
      <c r="AM2757" s="167"/>
      <c r="AN2757" s="167"/>
      <c r="AO2757" s="167"/>
      <c r="AP2757" s="167"/>
      <c r="AQ2757" s="167"/>
      <c r="AR2757" s="167"/>
      <c r="AS2757" s="167"/>
      <c r="AT2757" s="167"/>
      <c r="AU2757" s="167"/>
      <c r="AV2757" s="167"/>
      <c r="AW2757" s="167"/>
      <c r="AX2757" s="167"/>
      <c r="AY2757" s="167"/>
      <c r="AZ2757" s="167"/>
      <c r="BA2757" s="167"/>
      <c r="BB2757" s="167"/>
      <c r="BC2757" s="167"/>
      <c r="BD2757" s="167"/>
      <c r="BE2757" s="167"/>
      <c r="BF2757" s="167"/>
      <c r="BG2757" s="167"/>
      <c r="BH2757" s="167"/>
      <c r="BI2757" s="167"/>
      <c r="BJ2757" s="167"/>
      <c r="BK2757" s="167"/>
      <c r="BL2757" s="167"/>
      <c r="BM2757" s="167"/>
      <c r="BN2757" s="167"/>
      <c r="BO2757" s="167"/>
      <c r="BP2757" s="167"/>
      <c r="BQ2757" s="167"/>
      <c r="BR2757" s="167"/>
      <c r="BS2757" s="167"/>
      <c r="BT2757" s="167"/>
      <c r="BU2757" s="167"/>
      <c r="BV2757" s="167"/>
      <c r="BW2757" s="167"/>
      <c r="BX2757" s="167"/>
      <c r="BY2757" s="167"/>
      <c r="BZ2757" s="167"/>
      <c r="CA2757" s="167"/>
      <c r="CB2757" s="167"/>
      <c r="CC2757" s="167"/>
      <c r="CD2757" s="167"/>
      <c r="CE2757" s="167"/>
      <c r="CF2757" s="167"/>
      <c r="CG2757" s="167"/>
      <c r="CH2757" s="167"/>
      <c r="CI2757" s="167"/>
      <c r="CJ2757" s="167"/>
      <c r="CK2757" s="167"/>
      <c r="CL2757" s="167"/>
      <c r="CM2757" s="167"/>
      <c r="CN2757" s="167"/>
      <c r="CO2757" s="167"/>
      <c r="CP2757" s="167"/>
      <c r="CQ2757" s="167"/>
      <c r="CR2757" s="167"/>
      <c r="CS2757" s="167"/>
      <c r="CT2757" s="167"/>
      <c r="CU2757" s="167"/>
      <c r="CV2757" s="167"/>
      <c r="CW2757" s="167"/>
      <c r="CX2757" s="167"/>
      <c r="CY2757" s="167"/>
      <c r="CZ2757" s="167"/>
      <c r="DA2757" s="167"/>
      <c r="DB2757" s="167"/>
      <c r="DC2757" s="167"/>
      <c r="DD2757" s="167"/>
      <c r="DE2757" s="167"/>
      <c r="DF2757" s="167"/>
      <c r="DG2757" s="167"/>
      <c r="DH2757" s="167"/>
      <c r="DI2757" s="167"/>
      <c r="DJ2757" s="167"/>
      <c r="DK2757" s="167"/>
      <c r="DL2757" s="167"/>
      <c r="DM2757" s="167"/>
      <c r="DN2757" s="167"/>
      <c r="DO2757" s="167"/>
      <c r="DP2757" s="167"/>
      <c r="DQ2757" s="167"/>
      <c r="DR2757" s="167"/>
      <c r="DS2757" s="167"/>
      <c r="DT2757" s="167"/>
      <c r="DU2757" s="167"/>
      <c r="DV2757" s="167"/>
      <c r="DW2757" s="167"/>
      <c r="DX2757" s="167"/>
      <c r="DY2757" s="167"/>
      <c r="DZ2757" s="167"/>
      <c r="EA2757" s="167"/>
      <c r="EB2757" s="167"/>
      <c r="EC2757" s="167"/>
      <c r="ED2757" s="167"/>
      <c r="EE2757" s="167"/>
      <c r="EF2757" s="167"/>
      <c r="EG2757" s="167"/>
      <c r="EH2757" s="167"/>
      <c r="EI2757" s="167"/>
      <c r="EJ2757" s="167"/>
      <c r="EK2757" s="167"/>
      <c r="EL2757" s="167"/>
      <c r="EM2757" s="167"/>
      <c r="EN2757" s="167"/>
      <c r="EO2757" s="167"/>
      <c r="EP2757" s="167"/>
      <c r="EQ2757" s="167"/>
      <c r="ER2757" s="167"/>
      <c r="ES2757" s="167"/>
      <c r="ET2757" s="167"/>
      <c r="EU2757" s="167"/>
      <c r="EV2757" s="167"/>
      <c r="EW2757" s="167"/>
      <c r="EX2757" s="167"/>
      <c r="EY2757" s="167"/>
      <c r="EZ2757" s="167"/>
      <c r="FA2757" s="167"/>
      <c r="FB2757" s="167"/>
      <c r="FC2757" s="167"/>
      <c r="FD2757" s="167"/>
      <c r="FE2757" s="167"/>
      <c r="FF2757" s="167"/>
      <c r="FG2757" s="167"/>
      <c r="FH2757" s="167"/>
      <c r="FI2757" s="167"/>
      <c r="FJ2757" s="167"/>
      <c r="FK2757" s="167"/>
      <c r="FL2757" s="167"/>
      <c r="FM2757" s="167"/>
      <c r="FN2757" s="167"/>
      <c r="FO2757" s="167"/>
      <c r="FP2757" s="167"/>
      <c r="FQ2757" s="167"/>
      <c r="FR2757" s="167"/>
      <c r="FS2757" s="167"/>
      <c r="FT2757" s="167"/>
      <c r="FU2757" s="167"/>
      <c r="FV2757" s="167"/>
      <c r="FW2757" s="167"/>
      <c r="FX2757" s="167"/>
      <c r="FY2757" s="167"/>
      <c r="FZ2757" s="167"/>
      <c r="GA2757" s="167"/>
      <c r="GB2757" s="167"/>
      <c r="GC2757" s="167"/>
      <c r="GD2757" s="167"/>
      <c r="GE2757" s="167"/>
      <c r="GF2757" s="167"/>
      <c r="GG2757" s="167"/>
      <c r="GH2757" s="167"/>
      <c r="GI2757" s="167"/>
      <c r="GJ2757" s="167"/>
      <c r="GK2757" s="167"/>
      <c r="GL2757" s="167"/>
      <c r="GM2757" s="167"/>
      <c r="GN2757" s="167"/>
      <c r="GO2757" s="167"/>
      <c r="GP2757" s="167"/>
      <c r="GQ2757" s="167"/>
      <c r="GR2757" s="167"/>
      <c r="GS2757" s="167"/>
      <c r="GT2757" s="167"/>
      <c r="GU2757" s="167"/>
      <c r="GV2757" s="167"/>
      <c r="GW2757" s="167"/>
      <c r="GX2757" s="167"/>
      <c r="GY2757" s="167"/>
      <c r="GZ2757" s="167"/>
      <c r="HA2757" s="167"/>
      <c r="HB2757" s="167"/>
      <c r="HC2757" s="167"/>
      <c r="HD2757" s="167"/>
      <c r="HE2757" s="167"/>
      <c r="HF2757" s="167"/>
      <c r="HG2757" s="167"/>
      <c r="HH2757" s="167"/>
      <c r="HI2757" s="167"/>
      <c r="HJ2757" s="167"/>
      <c r="HK2757" s="167"/>
      <c r="HL2757" s="167"/>
      <c r="HM2757" s="167"/>
      <c r="HN2757" s="167"/>
      <c r="HO2757" s="167"/>
      <c r="HP2757" s="167"/>
      <c r="HQ2757" s="167"/>
      <c r="HR2757" s="167"/>
      <c r="HS2757" s="167"/>
      <c r="HT2757" s="167"/>
      <c r="HU2757" s="167"/>
      <c r="HV2757" s="167"/>
      <c r="HW2757" s="167"/>
      <c r="HX2757" s="167"/>
      <c r="HY2757" s="167"/>
      <c r="HZ2757" s="167"/>
      <c r="IA2757" s="167"/>
      <c r="IB2757" s="167"/>
      <c r="IC2757" s="167"/>
      <c r="ID2757" s="167"/>
      <c r="IE2757" s="167"/>
      <c r="IF2757" s="167"/>
      <c r="IG2757" s="167"/>
      <c r="IH2757" s="167"/>
      <c r="II2757" s="167"/>
      <c r="IJ2757" s="167"/>
      <c r="IK2757" s="167"/>
      <c r="IL2757" s="167"/>
      <c r="IM2757" s="167"/>
      <c r="IN2757" s="167"/>
      <c r="IO2757" s="167"/>
      <c r="IP2757" s="167"/>
      <c r="IQ2757" s="167"/>
      <c r="IR2757" s="167"/>
      <c r="IS2757" s="167"/>
      <c r="IT2757" s="167"/>
      <c r="IU2757" s="167"/>
      <c r="IV2757" s="167"/>
    </row>
    <row r="2758" spans="1:256" ht="51" customHeight="1" x14ac:dyDescent="0.25">
      <c r="A2758" s="191">
        <f>MATCH($E2758,'D1 - Master Project Table'!$B$24:$B$7056,0)</f>
        <v>186</v>
      </c>
      <c r="B2758" s="191" t="b">
        <f t="shared" si="133"/>
        <v>0</v>
      </c>
      <c r="C2758" s="191" t="b">
        <f t="shared" si="134"/>
        <v>0</v>
      </c>
      <c r="D2758" s="191" t="str">
        <f t="shared" si="135"/>
        <v>OK</v>
      </c>
      <c r="E2758" s="229"/>
      <c r="F2758" s="230"/>
      <c r="G2758" s="230"/>
      <c r="H2758" s="230"/>
      <c r="I2758" s="230"/>
      <c r="J2758" s="230"/>
      <c r="K2758" s="230"/>
      <c r="L2758" s="230"/>
      <c r="M2758" s="230"/>
      <c r="N2758" s="230"/>
      <c r="O2758" s="230"/>
      <c r="P2758"/>
      <c r="Q2758"/>
      <c r="R2758" s="387" t="e">
        <f>VLOOKUP(E2758,'[1]NDB Impacted SPRFs 05032013'!$A$2:$A$65536,1,FALSE)</f>
        <v>#N/A</v>
      </c>
      <c r="S2758" s="159"/>
      <c r="T2758" s="159"/>
      <c r="U2758" s="159"/>
      <c r="V2758" s="167"/>
      <c r="W2758" s="167"/>
      <c r="X2758" s="167"/>
      <c r="Y2758" s="167"/>
      <c r="Z2758" s="167"/>
      <c r="AA2758" s="167"/>
      <c r="AB2758" s="167"/>
      <c r="AC2758" s="167"/>
      <c r="AD2758" s="167"/>
      <c r="AE2758" s="167"/>
      <c r="AF2758" s="167"/>
      <c r="AG2758" s="167"/>
      <c r="AH2758" s="167"/>
      <c r="AI2758" s="167"/>
      <c r="AJ2758" s="167"/>
      <c r="AK2758" s="167"/>
      <c r="AL2758" s="167"/>
      <c r="AM2758" s="167"/>
      <c r="AN2758" s="167"/>
      <c r="AO2758" s="167"/>
      <c r="AP2758" s="167"/>
      <c r="AQ2758" s="167"/>
      <c r="AR2758" s="167"/>
      <c r="AS2758" s="167"/>
      <c r="AT2758" s="167"/>
      <c r="AU2758" s="167"/>
      <c r="AV2758" s="167"/>
      <c r="AW2758" s="167"/>
      <c r="AX2758" s="167"/>
      <c r="AY2758" s="167"/>
      <c r="AZ2758" s="167"/>
      <c r="BA2758" s="167"/>
      <c r="BB2758" s="167"/>
      <c r="BC2758" s="167"/>
      <c r="BD2758" s="167"/>
      <c r="BE2758" s="167"/>
      <c r="BF2758" s="167"/>
      <c r="BG2758" s="167"/>
      <c r="BH2758" s="167"/>
      <c r="BI2758" s="167"/>
      <c r="BJ2758" s="167"/>
      <c r="BK2758" s="167"/>
      <c r="BL2758" s="167"/>
      <c r="BM2758" s="167"/>
      <c r="BN2758" s="167"/>
      <c r="BO2758" s="167"/>
      <c r="BP2758" s="167"/>
      <c r="BQ2758" s="167"/>
      <c r="BR2758" s="167"/>
      <c r="BS2758" s="167"/>
      <c r="BT2758" s="167"/>
      <c r="BU2758" s="167"/>
      <c r="BV2758" s="167"/>
      <c r="BW2758" s="167"/>
      <c r="BX2758" s="167"/>
      <c r="BY2758" s="167"/>
      <c r="BZ2758" s="167"/>
      <c r="CA2758" s="167"/>
      <c r="CB2758" s="167"/>
      <c r="CC2758" s="167"/>
      <c r="CD2758" s="167"/>
      <c r="CE2758" s="167"/>
      <c r="CF2758" s="167"/>
      <c r="CG2758" s="167"/>
      <c r="CH2758" s="167"/>
      <c r="CI2758" s="167"/>
      <c r="CJ2758" s="167"/>
      <c r="CK2758" s="167"/>
      <c r="CL2758" s="167"/>
      <c r="CM2758" s="167"/>
      <c r="CN2758" s="167"/>
      <c r="CO2758" s="167"/>
      <c r="CP2758" s="167"/>
      <c r="CQ2758" s="167"/>
      <c r="CR2758" s="167"/>
      <c r="CS2758" s="167"/>
      <c r="CT2758" s="167"/>
      <c r="CU2758" s="167"/>
      <c r="CV2758" s="167"/>
      <c r="CW2758" s="167"/>
      <c r="CX2758" s="167"/>
      <c r="CY2758" s="167"/>
      <c r="CZ2758" s="167"/>
      <c r="DA2758" s="167"/>
      <c r="DB2758" s="167"/>
      <c r="DC2758" s="167"/>
      <c r="DD2758" s="167"/>
      <c r="DE2758" s="167"/>
      <c r="DF2758" s="167"/>
      <c r="DG2758" s="167"/>
      <c r="DH2758" s="167"/>
      <c r="DI2758" s="167"/>
      <c r="DJ2758" s="167"/>
      <c r="DK2758" s="167"/>
      <c r="DL2758" s="167"/>
      <c r="DM2758" s="167"/>
      <c r="DN2758" s="167"/>
      <c r="DO2758" s="167"/>
      <c r="DP2758" s="167"/>
      <c r="DQ2758" s="167"/>
      <c r="DR2758" s="167"/>
      <c r="DS2758" s="167"/>
      <c r="DT2758" s="167"/>
      <c r="DU2758" s="167"/>
      <c r="DV2758" s="167"/>
      <c r="DW2758" s="167"/>
      <c r="DX2758" s="167"/>
      <c r="DY2758" s="167"/>
      <c r="DZ2758" s="167"/>
      <c r="EA2758" s="167"/>
      <c r="EB2758" s="167"/>
      <c r="EC2758" s="167"/>
      <c r="ED2758" s="167"/>
      <c r="EE2758" s="167"/>
      <c r="EF2758" s="167"/>
      <c r="EG2758" s="167"/>
      <c r="EH2758" s="167"/>
      <c r="EI2758" s="167"/>
      <c r="EJ2758" s="167"/>
      <c r="EK2758" s="167"/>
      <c r="EL2758" s="167"/>
      <c r="EM2758" s="167"/>
      <c r="EN2758" s="167"/>
      <c r="EO2758" s="167"/>
      <c r="EP2758" s="167"/>
      <c r="EQ2758" s="167"/>
      <c r="ER2758" s="167"/>
      <c r="ES2758" s="167"/>
      <c r="ET2758" s="167"/>
      <c r="EU2758" s="167"/>
      <c r="EV2758" s="167"/>
      <c r="EW2758" s="167"/>
      <c r="EX2758" s="167"/>
      <c r="EY2758" s="167"/>
      <c r="EZ2758" s="167"/>
      <c r="FA2758" s="167"/>
      <c r="FB2758" s="167"/>
      <c r="FC2758" s="167"/>
      <c r="FD2758" s="167"/>
      <c r="FE2758" s="167"/>
      <c r="FF2758" s="167"/>
      <c r="FG2758" s="167"/>
      <c r="FH2758" s="167"/>
      <c r="FI2758" s="167"/>
      <c r="FJ2758" s="167"/>
      <c r="FK2758" s="167"/>
      <c r="FL2758" s="167"/>
      <c r="FM2758" s="167"/>
      <c r="FN2758" s="167"/>
      <c r="FO2758" s="167"/>
      <c r="FP2758" s="167"/>
      <c r="FQ2758" s="167"/>
      <c r="FR2758" s="167"/>
      <c r="FS2758" s="167"/>
      <c r="FT2758" s="167"/>
      <c r="FU2758" s="167"/>
      <c r="FV2758" s="167"/>
      <c r="FW2758" s="167"/>
      <c r="FX2758" s="167"/>
      <c r="FY2758" s="167"/>
      <c r="FZ2758" s="167"/>
      <c r="GA2758" s="167"/>
      <c r="GB2758" s="167"/>
      <c r="GC2758" s="167"/>
      <c r="GD2758" s="167"/>
      <c r="GE2758" s="167"/>
      <c r="GF2758" s="167"/>
      <c r="GG2758" s="167"/>
      <c r="GH2758" s="167"/>
      <c r="GI2758" s="167"/>
      <c r="GJ2758" s="167"/>
      <c r="GK2758" s="167"/>
      <c r="GL2758" s="167"/>
      <c r="GM2758" s="167"/>
      <c r="GN2758" s="167"/>
      <c r="GO2758" s="167"/>
      <c r="GP2758" s="167"/>
      <c r="GQ2758" s="167"/>
      <c r="GR2758" s="167"/>
      <c r="GS2758" s="167"/>
      <c r="GT2758" s="167"/>
      <c r="GU2758" s="167"/>
      <c r="GV2758" s="167"/>
      <c r="GW2758" s="167"/>
      <c r="GX2758" s="167"/>
      <c r="GY2758" s="167"/>
      <c r="GZ2758" s="167"/>
      <c r="HA2758" s="167"/>
      <c r="HB2758" s="167"/>
      <c r="HC2758" s="167"/>
      <c r="HD2758" s="167"/>
      <c r="HE2758" s="167"/>
      <c r="HF2758" s="167"/>
      <c r="HG2758" s="167"/>
      <c r="HH2758" s="167"/>
      <c r="HI2758" s="167"/>
      <c r="HJ2758" s="167"/>
      <c r="HK2758" s="167"/>
      <c r="HL2758" s="167"/>
      <c r="HM2758" s="167"/>
      <c r="HN2758" s="167"/>
      <c r="HO2758" s="167"/>
      <c r="HP2758" s="167"/>
      <c r="HQ2758" s="167"/>
      <c r="HR2758" s="167"/>
      <c r="HS2758" s="167"/>
      <c r="HT2758" s="167"/>
      <c r="HU2758" s="167"/>
      <c r="HV2758" s="167"/>
      <c r="HW2758" s="167"/>
      <c r="HX2758" s="167"/>
      <c r="HY2758" s="167"/>
      <c r="HZ2758" s="167"/>
      <c r="IA2758" s="167"/>
      <c r="IB2758" s="167"/>
      <c r="IC2758" s="167"/>
      <c r="ID2758" s="167"/>
      <c r="IE2758" s="167"/>
      <c r="IF2758" s="167"/>
      <c r="IG2758" s="167"/>
      <c r="IH2758" s="167"/>
      <c r="II2758" s="167"/>
      <c r="IJ2758" s="167"/>
      <c r="IK2758" s="167"/>
      <c r="IL2758" s="167"/>
      <c r="IM2758" s="167"/>
      <c r="IN2758" s="167"/>
      <c r="IO2758" s="167"/>
      <c r="IP2758" s="167"/>
      <c r="IQ2758" s="167"/>
      <c r="IR2758" s="167"/>
      <c r="IS2758" s="167"/>
      <c r="IT2758" s="167"/>
      <c r="IU2758" s="167"/>
      <c r="IV2758" s="167"/>
    </row>
    <row r="2759" spans="1:256" ht="51" customHeight="1" x14ac:dyDescent="0.25">
      <c r="A2759" s="191">
        <f>MATCH($E2759,'D1 - Master Project Table'!$B$24:$B$7056,0)</f>
        <v>186</v>
      </c>
      <c r="B2759" s="191" t="b">
        <f t="shared" si="133"/>
        <v>0</v>
      </c>
      <c r="C2759" s="191" t="b">
        <f t="shared" si="134"/>
        <v>0</v>
      </c>
      <c r="D2759" s="191" t="str">
        <f t="shared" si="135"/>
        <v>OK</v>
      </c>
      <c r="E2759" s="229"/>
      <c r="F2759" s="230"/>
      <c r="G2759" s="230"/>
      <c r="H2759" s="230"/>
      <c r="I2759" s="230"/>
      <c r="J2759" s="230"/>
      <c r="K2759" s="230"/>
      <c r="L2759" s="230"/>
      <c r="M2759" s="230"/>
      <c r="N2759" s="230"/>
      <c r="O2759" s="230"/>
      <c r="P2759"/>
      <c r="Q2759"/>
      <c r="R2759" s="387" t="e">
        <f>VLOOKUP(E2759,'[1]NDB Impacted SPRFs 05032013'!$A$2:$A$65536,1,FALSE)</f>
        <v>#N/A</v>
      </c>
      <c r="S2759" s="159"/>
      <c r="T2759" s="159"/>
      <c r="U2759" s="159"/>
      <c r="V2759" s="167"/>
      <c r="W2759" s="167"/>
      <c r="X2759" s="167"/>
      <c r="Y2759" s="167"/>
      <c r="Z2759" s="167"/>
      <c r="AA2759" s="167"/>
      <c r="AB2759" s="167"/>
      <c r="AC2759" s="167"/>
      <c r="AD2759" s="167"/>
      <c r="AE2759" s="167"/>
      <c r="AF2759" s="167"/>
      <c r="AG2759" s="167"/>
      <c r="AH2759" s="167"/>
      <c r="AI2759" s="167"/>
      <c r="AJ2759" s="167"/>
      <c r="AK2759" s="167"/>
      <c r="AL2759" s="167"/>
      <c r="AM2759" s="167"/>
      <c r="AN2759" s="167"/>
      <c r="AO2759" s="167"/>
      <c r="AP2759" s="167"/>
      <c r="AQ2759" s="167"/>
      <c r="AR2759" s="167"/>
      <c r="AS2759" s="167"/>
      <c r="AT2759" s="167"/>
      <c r="AU2759" s="167"/>
      <c r="AV2759" s="167"/>
      <c r="AW2759" s="167"/>
      <c r="AX2759" s="167"/>
      <c r="AY2759" s="167"/>
      <c r="AZ2759" s="167"/>
      <c r="BA2759" s="167"/>
      <c r="BB2759" s="167"/>
      <c r="BC2759" s="167"/>
      <c r="BD2759" s="167"/>
      <c r="BE2759" s="167"/>
      <c r="BF2759" s="167"/>
      <c r="BG2759" s="167"/>
      <c r="BH2759" s="167"/>
      <c r="BI2759" s="167"/>
      <c r="BJ2759" s="167"/>
      <c r="BK2759" s="167"/>
      <c r="BL2759" s="167"/>
      <c r="BM2759" s="167"/>
      <c r="BN2759" s="167"/>
      <c r="BO2759" s="167"/>
      <c r="BP2759" s="167"/>
      <c r="BQ2759" s="167"/>
      <c r="BR2759" s="167"/>
      <c r="BS2759" s="167"/>
      <c r="BT2759" s="167"/>
      <c r="BU2759" s="167"/>
      <c r="BV2759" s="167"/>
      <c r="BW2759" s="167"/>
      <c r="BX2759" s="167"/>
      <c r="BY2759" s="167"/>
      <c r="BZ2759" s="167"/>
      <c r="CA2759" s="167"/>
      <c r="CB2759" s="167"/>
      <c r="CC2759" s="167"/>
      <c r="CD2759" s="167"/>
      <c r="CE2759" s="167"/>
      <c r="CF2759" s="167"/>
      <c r="CG2759" s="167"/>
      <c r="CH2759" s="167"/>
      <c r="CI2759" s="167"/>
      <c r="CJ2759" s="167"/>
      <c r="CK2759" s="167"/>
      <c r="CL2759" s="167"/>
      <c r="CM2759" s="167"/>
      <c r="CN2759" s="167"/>
      <c r="CO2759" s="167"/>
      <c r="CP2759" s="167"/>
      <c r="CQ2759" s="167"/>
      <c r="CR2759" s="167"/>
      <c r="CS2759" s="167"/>
      <c r="CT2759" s="167"/>
      <c r="CU2759" s="167"/>
      <c r="CV2759" s="167"/>
      <c r="CW2759" s="167"/>
      <c r="CX2759" s="167"/>
      <c r="CY2759" s="167"/>
      <c r="CZ2759" s="167"/>
      <c r="DA2759" s="167"/>
      <c r="DB2759" s="167"/>
      <c r="DC2759" s="167"/>
      <c r="DD2759" s="167"/>
      <c r="DE2759" s="167"/>
      <c r="DF2759" s="167"/>
      <c r="DG2759" s="167"/>
      <c r="DH2759" s="167"/>
      <c r="DI2759" s="167"/>
      <c r="DJ2759" s="167"/>
      <c r="DK2759" s="167"/>
      <c r="DL2759" s="167"/>
      <c r="DM2759" s="167"/>
      <c r="DN2759" s="167"/>
      <c r="DO2759" s="167"/>
      <c r="DP2759" s="167"/>
      <c r="DQ2759" s="167"/>
      <c r="DR2759" s="167"/>
      <c r="DS2759" s="167"/>
      <c r="DT2759" s="167"/>
      <c r="DU2759" s="167"/>
      <c r="DV2759" s="167"/>
      <c r="DW2759" s="167"/>
      <c r="DX2759" s="167"/>
      <c r="DY2759" s="167"/>
      <c r="DZ2759" s="167"/>
      <c r="EA2759" s="167"/>
      <c r="EB2759" s="167"/>
      <c r="EC2759" s="167"/>
      <c r="ED2759" s="167"/>
      <c r="EE2759" s="167"/>
      <c r="EF2759" s="167"/>
      <c r="EG2759" s="167"/>
      <c r="EH2759" s="167"/>
      <c r="EI2759" s="167"/>
      <c r="EJ2759" s="167"/>
      <c r="EK2759" s="167"/>
      <c r="EL2759" s="167"/>
      <c r="EM2759" s="167"/>
      <c r="EN2759" s="167"/>
      <c r="EO2759" s="167"/>
      <c r="EP2759" s="167"/>
      <c r="EQ2759" s="167"/>
      <c r="ER2759" s="167"/>
      <c r="ES2759" s="167"/>
      <c r="ET2759" s="167"/>
      <c r="EU2759" s="167"/>
      <c r="EV2759" s="167"/>
      <c r="EW2759" s="167"/>
      <c r="EX2759" s="167"/>
      <c r="EY2759" s="167"/>
      <c r="EZ2759" s="167"/>
      <c r="FA2759" s="167"/>
      <c r="FB2759" s="167"/>
      <c r="FC2759" s="167"/>
      <c r="FD2759" s="167"/>
      <c r="FE2759" s="167"/>
      <c r="FF2759" s="167"/>
      <c r="FG2759" s="167"/>
      <c r="FH2759" s="167"/>
      <c r="FI2759" s="167"/>
      <c r="FJ2759" s="167"/>
      <c r="FK2759" s="167"/>
      <c r="FL2759" s="167"/>
      <c r="FM2759" s="167"/>
      <c r="FN2759" s="167"/>
      <c r="FO2759" s="167"/>
      <c r="FP2759" s="167"/>
      <c r="FQ2759" s="167"/>
      <c r="FR2759" s="167"/>
      <c r="FS2759" s="167"/>
      <c r="FT2759" s="167"/>
      <c r="FU2759" s="167"/>
      <c r="FV2759" s="167"/>
      <c r="FW2759" s="167"/>
      <c r="FX2759" s="167"/>
      <c r="FY2759" s="167"/>
      <c r="FZ2759" s="167"/>
      <c r="GA2759" s="167"/>
      <c r="GB2759" s="167"/>
      <c r="GC2759" s="167"/>
      <c r="GD2759" s="167"/>
      <c r="GE2759" s="167"/>
      <c r="GF2759" s="167"/>
      <c r="GG2759" s="167"/>
      <c r="GH2759" s="167"/>
      <c r="GI2759" s="167"/>
      <c r="GJ2759" s="167"/>
      <c r="GK2759" s="167"/>
      <c r="GL2759" s="167"/>
      <c r="GM2759" s="167"/>
      <c r="GN2759" s="167"/>
      <c r="GO2759" s="167"/>
      <c r="GP2759" s="167"/>
      <c r="GQ2759" s="167"/>
      <c r="GR2759" s="167"/>
      <c r="GS2759" s="167"/>
      <c r="GT2759" s="167"/>
      <c r="GU2759" s="167"/>
      <c r="GV2759" s="167"/>
      <c r="GW2759" s="167"/>
      <c r="GX2759" s="167"/>
      <c r="GY2759" s="167"/>
      <c r="GZ2759" s="167"/>
      <c r="HA2759" s="167"/>
      <c r="HB2759" s="167"/>
      <c r="HC2759" s="167"/>
      <c r="HD2759" s="167"/>
      <c r="HE2759" s="167"/>
      <c r="HF2759" s="167"/>
      <c r="HG2759" s="167"/>
      <c r="HH2759" s="167"/>
      <c r="HI2759" s="167"/>
      <c r="HJ2759" s="167"/>
      <c r="HK2759" s="167"/>
      <c r="HL2759" s="167"/>
      <c r="HM2759" s="167"/>
      <c r="HN2759" s="167"/>
      <c r="HO2759" s="167"/>
      <c r="HP2759" s="167"/>
      <c r="HQ2759" s="167"/>
      <c r="HR2759" s="167"/>
      <c r="HS2759" s="167"/>
      <c r="HT2759" s="167"/>
      <c r="HU2759" s="167"/>
      <c r="HV2759" s="167"/>
      <c r="HW2759" s="167"/>
      <c r="HX2759" s="167"/>
      <c r="HY2759" s="167"/>
      <c r="HZ2759" s="167"/>
      <c r="IA2759" s="167"/>
      <c r="IB2759" s="167"/>
      <c r="IC2759" s="167"/>
      <c r="ID2759" s="167"/>
      <c r="IE2759" s="167"/>
      <c r="IF2759" s="167"/>
      <c r="IG2759" s="167"/>
      <c r="IH2759" s="167"/>
      <c r="II2759" s="167"/>
      <c r="IJ2759" s="167"/>
      <c r="IK2759" s="167"/>
      <c r="IL2759" s="167"/>
      <c r="IM2759" s="167"/>
      <c r="IN2759" s="167"/>
      <c r="IO2759" s="167"/>
      <c r="IP2759" s="167"/>
      <c r="IQ2759" s="167"/>
      <c r="IR2759" s="167"/>
      <c r="IS2759" s="167"/>
      <c r="IT2759" s="167"/>
      <c r="IU2759" s="167"/>
      <c r="IV2759" s="167"/>
    </row>
    <row r="2760" spans="1:256" ht="51" customHeight="1" x14ac:dyDescent="0.25">
      <c r="A2760" s="191">
        <f>MATCH($E2760,'D1 - Master Project Table'!$B$24:$B$7056,0)</f>
        <v>186</v>
      </c>
      <c r="B2760" s="191" t="b">
        <f t="shared" si="133"/>
        <v>0</v>
      </c>
      <c r="C2760" s="191" t="b">
        <f t="shared" si="134"/>
        <v>0</v>
      </c>
      <c r="D2760" s="191" t="str">
        <f t="shared" si="135"/>
        <v>OK</v>
      </c>
      <c r="E2760" s="229"/>
      <c r="F2760" s="230"/>
      <c r="G2760" s="230"/>
      <c r="H2760" s="230"/>
      <c r="I2760" s="230"/>
      <c r="J2760" s="230"/>
      <c r="K2760" s="230"/>
      <c r="L2760" s="230"/>
      <c r="M2760" s="230"/>
      <c r="N2760" s="230"/>
      <c r="O2760" s="230"/>
      <c r="P2760"/>
      <c r="Q2760"/>
      <c r="R2760" s="387" t="e">
        <f>VLOOKUP(E2760,'[1]NDB Impacted SPRFs 05032013'!$A$2:$A$65536,1,FALSE)</f>
        <v>#N/A</v>
      </c>
      <c r="S2760" s="159"/>
      <c r="T2760" s="159"/>
      <c r="U2760" s="159"/>
      <c r="V2760" s="167"/>
      <c r="W2760" s="167"/>
      <c r="X2760" s="167"/>
      <c r="Y2760" s="167"/>
      <c r="Z2760" s="167"/>
      <c r="AA2760" s="167"/>
      <c r="AB2760" s="167"/>
      <c r="AC2760" s="167"/>
      <c r="AD2760" s="167"/>
      <c r="AE2760" s="167"/>
      <c r="AF2760" s="167"/>
      <c r="AG2760" s="167"/>
      <c r="AH2760" s="167"/>
      <c r="AI2760" s="167"/>
      <c r="AJ2760" s="167"/>
      <c r="AK2760" s="167"/>
      <c r="AL2760" s="167"/>
      <c r="AM2760" s="167"/>
      <c r="AN2760" s="167"/>
      <c r="AO2760" s="167"/>
      <c r="AP2760" s="167"/>
      <c r="AQ2760" s="167"/>
      <c r="AR2760" s="167"/>
      <c r="AS2760" s="167"/>
      <c r="AT2760" s="167"/>
      <c r="AU2760" s="167"/>
      <c r="AV2760" s="167"/>
      <c r="AW2760" s="167"/>
      <c r="AX2760" s="167"/>
      <c r="AY2760" s="167"/>
      <c r="AZ2760" s="167"/>
      <c r="BA2760" s="167"/>
      <c r="BB2760" s="167"/>
      <c r="BC2760" s="167"/>
      <c r="BD2760" s="167"/>
      <c r="BE2760" s="167"/>
      <c r="BF2760" s="167"/>
      <c r="BG2760" s="167"/>
      <c r="BH2760" s="167"/>
      <c r="BI2760" s="167"/>
      <c r="BJ2760" s="167"/>
      <c r="BK2760" s="167"/>
      <c r="BL2760" s="167"/>
      <c r="BM2760" s="167"/>
      <c r="BN2760" s="167"/>
      <c r="BO2760" s="167"/>
      <c r="BP2760" s="167"/>
      <c r="BQ2760" s="167"/>
      <c r="BR2760" s="167"/>
      <c r="BS2760" s="167"/>
      <c r="BT2760" s="167"/>
      <c r="BU2760" s="167"/>
      <c r="BV2760" s="167"/>
      <c r="BW2760" s="167"/>
      <c r="BX2760" s="167"/>
      <c r="BY2760" s="167"/>
      <c r="BZ2760" s="167"/>
      <c r="CA2760" s="167"/>
      <c r="CB2760" s="167"/>
      <c r="CC2760" s="167"/>
      <c r="CD2760" s="167"/>
      <c r="CE2760" s="167"/>
      <c r="CF2760" s="167"/>
      <c r="CG2760" s="167"/>
      <c r="CH2760" s="167"/>
      <c r="CI2760" s="167"/>
      <c r="CJ2760" s="167"/>
      <c r="CK2760" s="167"/>
      <c r="CL2760" s="167"/>
      <c r="CM2760" s="167"/>
      <c r="CN2760" s="167"/>
      <c r="CO2760" s="167"/>
      <c r="CP2760" s="167"/>
      <c r="CQ2760" s="167"/>
      <c r="CR2760" s="167"/>
      <c r="CS2760" s="167"/>
      <c r="CT2760" s="167"/>
      <c r="CU2760" s="167"/>
      <c r="CV2760" s="167"/>
      <c r="CW2760" s="167"/>
      <c r="CX2760" s="167"/>
      <c r="CY2760" s="167"/>
      <c r="CZ2760" s="167"/>
      <c r="DA2760" s="167"/>
      <c r="DB2760" s="167"/>
      <c r="DC2760" s="167"/>
      <c r="DD2760" s="167"/>
      <c r="DE2760" s="167"/>
      <c r="DF2760" s="167"/>
      <c r="DG2760" s="167"/>
      <c r="DH2760" s="167"/>
      <c r="DI2760" s="167"/>
      <c r="DJ2760" s="167"/>
      <c r="DK2760" s="167"/>
      <c r="DL2760" s="167"/>
      <c r="DM2760" s="167"/>
      <c r="DN2760" s="167"/>
      <c r="DO2760" s="167"/>
      <c r="DP2760" s="167"/>
      <c r="DQ2760" s="167"/>
      <c r="DR2760" s="167"/>
      <c r="DS2760" s="167"/>
      <c r="DT2760" s="167"/>
      <c r="DU2760" s="167"/>
      <c r="DV2760" s="167"/>
      <c r="DW2760" s="167"/>
      <c r="DX2760" s="167"/>
      <c r="DY2760" s="167"/>
      <c r="DZ2760" s="167"/>
      <c r="EA2760" s="167"/>
      <c r="EB2760" s="167"/>
      <c r="EC2760" s="167"/>
      <c r="ED2760" s="167"/>
      <c r="EE2760" s="167"/>
      <c r="EF2760" s="167"/>
      <c r="EG2760" s="167"/>
      <c r="EH2760" s="167"/>
      <c r="EI2760" s="167"/>
      <c r="EJ2760" s="167"/>
      <c r="EK2760" s="167"/>
      <c r="EL2760" s="167"/>
      <c r="EM2760" s="167"/>
      <c r="EN2760" s="167"/>
      <c r="EO2760" s="167"/>
      <c r="EP2760" s="167"/>
      <c r="EQ2760" s="167"/>
      <c r="ER2760" s="167"/>
      <c r="ES2760" s="167"/>
      <c r="ET2760" s="167"/>
      <c r="EU2760" s="167"/>
      <c r="EV2760" s="167"/>
      <c r="EW2760" s="167"/>
      <c r="EX2760" s="167"/>
      <c r="EY2760" s="167"/>
      <c r="EZ2760" s="167"/>
      <c r="FA2760" s="167"/>
      <c r="FB2760" s="167"/>
      <c r="FC2760" s="167"/>
      <c r="FD2760" s="167"/>
      <c r="FE2760" s="167"/>
      <c r="FF2760" s="167"/>
      <c r="FG2760" s="167"/>
      <c r="FH2760" s="167"/>
      <c r="FI2760" s="167"/>
      <c r="FJ2760" s="167"/>
      <c r="FK2760" s="167"/>
      <c r="FL2760" s="167"/>
      <c r="FM2760" s="167"/>
      <c r="FN2760" s="167"/>
      <c r="FO2760" s="167"/>
      <c r="FP2760" s="167"/>
      <c r="FQ2760" s="167"/>
      <c r="FR2760" s="167"/>
      <c r="FS2760" s="167"/>
      <c r="FT2760" s="167"/>
      <c r="FU2760" s="167"/>
      <c r="FV2760" s="167"/>
      <c r="FW2760" s="167"/>
      <c r="FX2760" s="167"/>
      <c r="FY2760" s="167"/>
      <c r="FZ2760" s="167"/>
      <c r="GA2760" s="167"/>
      <c r="GB2760" s="167"/>
      <c r="GC2760" s="167"/>
      <c r="GD2760" s="167"/>
      <c r="GE2760" s="167"/>
      <c r="GF2760" s="167"/>
      <c r="GG2760" s="167"/>
      <c r="GH2760" s="167"/>
      <c r="GI2760" s="167"/>
      <c r="GJ2760" s="167"/>
      <c r="GK2760" s="167"/>
      <c r="GL2760" s="167"/>
      <c r="GM2760" s="167"/>
      <c r="GN2760" s="167"/>
      <c r="GO2760" s="167"/>
      <c r="GP2760" s="167"/>
      <c r="GQ2760" s="167"/>
      <c r="GR2760" s="167"/>
      <c r="GS2760" s="167"/>
      <c r="GT2760" s="167"/>
      <c r="GU2760" s="167"/>
      <c r="GV2760" s="167"/>
      <c r="GW2760" s="167"/>
      <c r="GX2760" s="167"/>
      <c r="GY2760" s="167"/>
      <c r="GZ2760" s="167"/>
      <c r="HA2760" s="167"/>
      <c r="HB2760" s="167"/>
      <c r="HC2760" s="167"/>
      <c r="HD2760" s="167"/>
      <c r="HE2760" s="167"/>
      <c r="HF2760" s="167"/>
      <c r="HG2760" s="167"/>
      <c r="HH2760" s="167"/>
      <c r="HI2760" s="167"/>
      <c r="HJ2760" s="167"/>
      <c r="HK2760" s="167"/>
      <c r="HL2760" s="167"/>
      <c r="HM2760" s="167"/>
      <c r="HN2760" s="167"/>
      <c r="HO2760" s="167"/>
      <c r="HP2760" s="167"/>
      <c r="HQ2760" s="167"/>
      <c r="HR2760" s="167"/>
      <c r="HS2760" s="167"/>
      <c r="HT2760" s="167"/>
      <c r="HU2760" s="167"/>
      <c r="HV2760" s="167"/>
      <c r="HW2760" s="167"/>
      <c r="HX2760" s="167"/>
      <c r="HY2760" s="167"/>
      <c r="HZ2760" s="167"/>
      <c r="IA2760" s="167"/>
      <c r="IB2760" s="167"/>
      <c r="IC2760" s="167"/>
      <c r="ID2760" s="167"/>
      <c r="IE2760" s="167"/>
      <c r="IF2760" s="167"/>
      <c r="IG2760" s="167"/>
      <c r="IH2760" s="167"/>
      <c r="II2760" s="167"/>
      <c r="IJ2760" s="167"/>
      <c r="IK2760" s="167"/>
      <c r="IL2760" s="167"/>
      <c r="IM2760" s="167"/>
      <c r="IN2760" s="167"/>
      <c r="IO2760" s="167"/>
      <c r="IP2760" s="167"/>
      <c r="IQ2760" s="167"/>
      <c r="IR2760" s="167"/>
      <c r="IS2760" s="167"/>
      <c r="IT2760" s="167"/>
      <c r="IU2760" s="167"/>
      <c r="IV2760" s="167"/>
    </row>
    <row r="2761" spans="1:256" ht="51" customHeight="1" x14ac:dyDescent="0.25">
      <c r="A2761" s="191">
        <f>MATCH($E2761,'D1 - Master Project Table'!$B$24:$B$7056,0)</f>
        <v>186</v>
      </c>
      <c r="B2761" s="191" t="b">
        <f t="shared" si="133"/>
        <v>0</v>
      </c>
      <c r="C2761" s="191" t="b">
        <f t="shared" si="134"/>
        <v>0</v>
      </c>
      <c r="D2761" s="191" t="str">
        <f t="shared" si="135"/>
        <v>OK</v>
      </c>
      <c r="E2761" s="229"/>
      <c r="F2761" s="230"/>
      <c r="G2761" s="230"/>
      <c r="H2761" s="230"/>
      <c r="I2761" s="230"/>
      <c r="J2761" s="230"/>
      <c r="K2761" s="230"/>
      <c r="L2761" s="230"/>
      <c r="M2761" s="230"/>
      <c r="N2761" s="230"/>
      <c r="O2761" s="230"/>
      <c r="P2761"/>
      <c r="Q2761"/>
      <c r="R2761" s="387" t="e">
        <f>VLOOKUP(E2761,'[1]NDB Impacted SPRFs 05032013'!$A$2:$A$65536,1,FALSE)</f>
        <v>#N/A</v>
      </c>
      <c r="S2761" s="159"/>
      <c r="T2761" s="159"/>
      <c r="U2761" s="159"/>
    </row>
    <row r="2762" spans="1:256" ht="51" customHeight="1" x14ac:dyDescent="0.25">
      <c r="A2762" s="191">
        <f>MATCH($E2762,'D1 - Master Project Table'!$B$24:$B$7056,0)</f>
        <v>186</v>
      </c>
      <c r="B2762" s="191" t="b">
        <f t="shared" si="133"/>
        <v>0</v>
      </c>
      <c r="C2762" s="191" t="b">
        <f t="shared" si="134"/>
        <v>0</v>
      </c>
      <c r="D2762" s="191" t="str">
        <f t="shared" si="135"/>
        <v>OK</v>
      </c>
      <c r="E2762" s="229"/>
      <c r="F2762" s="230"/>
      <c r="G2762" s="230"/>
      <c r="H2762" s="230"/>
      <c r="I2762" s="230"/>
      <c r="J2762" s="230"/>
      <c r="K2762" s="230"/>
      <c r="L2762" s="230"/>
      <c r="M2762" s="230"/>
      <c r="N2762" s="230"/>
      <c r="O2762" s="230"/>
      <c r="P2762"/>
      <c r="Q2762"/>
      <c r="R2762" s="387" t="e">
        <f>VLOOKUP(E2762,'[1]NDB Impacted SPRFs 05032013'!$A$2:$A$65536,1,FALSE)</f>
        <v>#N/A</v>
      </c>
      <c r="S2762" s="159"/>
      <c r="T2762" s="159"/>
      <c r="U2762" s="159"/>
    </row>
    <row r="2763" spans="1:256" ht="51" customHeight="1" x14ac:dyDescent="0.25">
      <c r="A2763" s="191">
        <f>MATCH($E2763,'D1 - Master Project Table'!$B$24:$B$7056,0)</f>
        <v>186</v>
      </c>
      <c r="B2763" s="191" t="b">
        <f t="shared" si="133"/>
        <v>0</v>
      </c>
      <c r="C2763" s="191" t="b">
        <f t="shared" si="134"/>
        <v>0</v>
      </c>
      <c r="D2763" s="191" t="str">
        <f t="shared" si="135"/>
        <v>OK</v>
      </c>
      <c r="E2763" s="229"/>
      <c r="F2763" s="230"/>
      <c r="G2763" s="230"/>
      <c r="H2763" s="230"/>
      <c r="I2763" s="230"/>
      <c r="J2763" s="230"/>
      <c r="K2763" s="230"/>
      <c r="L2763" s="230"/>
      <c r="M2763" s="230"/>
      <c r="N2763" s="230"/>
      <c r="O2763" s="230"/>
      <c r="P2763" s="192"/>
      <c r="Q2763"/>
      <c r="R2763" s="387" t="e">
        <f>VLOOKUP(E2763,'[1]NDB Impacted SPRFs 05032013'!$A$2:$A$65536,1,FALSE)</f>
        <v>#N/A</v>
      </c>
      <c r="S2763" s="159"/>
      <c r="T2763" s="159"/>
      <c r="U2763" s="159"/>
    </row>
    <row r="2764" spans="1:256" ht="51" customHeight="1" x14ac:dyDescent="0.25">
      <c r="A2764" s="191">
        <f>MATCH($E2764,'D1 - Master Project Table'!$B$24:$B$7056,0)</f>
        <v>186</v>
      </c>
      <c r="B2764" s="191" t="b">
        <f t="shared" si="133"/>
        <v>0</v>
      </c>
      <c r="C2764" s="191" t="b">
        <f t="shared" si="134"/>
        <v>0</v>
      </c>
      <c r="D2764" s="191" t="str">
        <f t="shared" si="135"/>
        <v>OK</v>
      </c>
      <c r="E2764" s="229"/>
      <c r="F2764" s="230"/>
      <c r="G2764" s="230"/>
      <c r="H2764" s="230"/>
      <c r="I2764" s="230"/>
      <c r="J2764" s="230"/>
      <c r="K2764" s="230"/>
      <c r="L2764" s="230"/>
      <c r="M2764" s="230"/>
      <c r="N2764" s="230"/>
      <c r="O2764" s="230"/>
      <c r="P2764" s="192"/>
      <c r="Q2764"/>
      <c r="R2764" s="387" t="e">
        <f>VLOOKUP(E2764,'[1]NDB Impacted SPRFs 05032013'!$A$2:$A$65536,1,FALSE)</f>
        <v>#N/A</v>
      </c>
      <c r="S2764" s="159"/>
      <c r="T2764" s="159"/>
      <c r="U2764" s="159"/>
    </row>
    <row r="2765" spans="1:256" ht="51" customHeight="1" x14ac:dyDescent="0.25">
      <c r="A2765" s="191">
        <f>MATCH($E2765,'D1 - Master Project Table'!$B$24:$B$7056,0)</f>
        <v>186</v>
      </c>
      <c r="B2765" s="191" t="b">
        <f t="shared" si="133"/>
        <v>0</v>
      </c>
      <c r="C2765" s="191" t="b">
        <f t="shared" si="134"/>
        <v>0</v>
      </c>
      <c r="D2765" s="191" t="str">
        <f t="shared" si="135"/>
        <v>OK</v>
      </c>
      <c r="E2765" s="229"/>
      <c r="F2765" s="230"/>
      <c r="G2765" s="230"/>
      <c r="H2765" s="230"/>
      <c r="I2765" s="230"/>
      <c r="J2765" s="230"/>
      <c r="K2765" s="230"/>
      <c r="L2765" s="230"/>
      <c r="M2765" s="230"/>
      <c r="N2765" s="230"/>
      <c r="O2765" s="230"/>
      <c r="P2765" s="192"/>
      <c r="Q2765"/>
      <c r="R2765" s="387" t="e">
        <f>VLOOKUP(E2765,'[1]NDB Impacted SPRFs 05032013'!$A$2:$A$65536,1,FALSE)</f>
        <v>#N/A</v>
      </c>
    </row>
    <row r="2766" spans="1:256" ht="51" customHeight="1" x14ac:dyDescent="0.25">
      <c r="A2766" s="191">
        <f>MATCH($E2766,'D1 - Master Project Table'!$B$24:$B$7056,0)</f>
        <v>186</v>
      </c>
      <c r="B2766" s="191" t="b">
        <f t="shared" ref="B2766:B2829" si="136">ISERROR(A2766)</f>
        <v>0</v>
      </c>
      <c r="C2766" s="191" t="b">
        <f t="shared" ref="C2766:C2829" si="137">OR(H2766="Completed",H2766="Cancelled")</f>
        <v>0</v>
      </c>
      <c r="D2766" s="191" t="str">
        <f t="shared" ref="D2766:D2829" si="138">IF(AND(B2766=TRUE,C2766=FALSE),"Add","OK")</f>
        <v>OK</v>
      </c>
      <c r="E2766" s="229"/>
      <c r="F2766" s="230"/>
      <c r="G2766" s="230"/>
      <c r="H2766" s="230"/>
      <c r="I2766" s="230"/>
      <c r="J2766" s="230"/>
      <c r="K2766" s="230"/>
      <c r="L2766" s="230"/>
      <c r="M2766" s="230"/>
      <c r="N2766" s="230"/>
      <c r="O2766" s="230"/>
      <c r="P2766" s="192"/>
      <c r="Q2766" s="212"/>
      <c r="R2766" s="387" t="e">
        <f>VLOOKUP(E2766,'[1]NDB Impacted SPRFs 05032013'!$A$2:$A$65536,1,FALSE)</f>
        <v>#N/A</v>
      </c>
    </row>
    <row r="2767" spans="1:256" ht="51" customHeight="1" x14ac:dyDescent="0.25">
      <c r="A2767" s="191">
        <f>MATCH($E2767,'D1 - Master Project Table'!$B$24:$B$7056,0)</f>
        <v>186</v>
      </c>
      <c r="B2767" s="191" t="b">
        <f t="shared" si="136"/>
        <v>0</v>
      </c>
      <c r="C2767" s="191" t="b">
        <f t="shared" si="137"/>
        <v>0</v>
      </c>
      <c r="D2767" s="191" t="str">
        <f t="shared" si="138"/>
        <v>OK</v>
      </c>
      <c r="E2767" s="229"/>
      <c r="F2767" s="230"/>
      <c r="G2767" s="230"/>
      <c r="H2767" s="230"/>
      <c r="I2767" s="230"/>
      <c r="J2767" s="230"/>
      <c r="K2767" s="230"/>
      <c r="L2767" s="230"/>
      <c r="M2767" s="230"/>
      <c r="N2767" s="230"/>
      <c r="O2767" s="230"/>
      <c r="P2767" s="192"/>
      <c r="Q2767"/>
      <c r="R2767" s="387" t="e">
        <f>VLOOKUP(E2767,'[1]NDB Impacted SPRFs 05032013'!$A$2:$A$65536,1,FALSE)</f>
        <v>#N/A</v>
      </c>
      <c r="S2767" s="159"/>
      <c r="T2767" s="159"/>
      <c r="U2767" s="159"/>
    </row>
    <row r="2768" spans="1:256" ht="51" customHeight="1" x14ac:dyDescent="0.25">
      <c r="A2768" s="191">
        <f>MATCH($E2768,'D1 - Master Project Table'!$B$24:$B$7056,0)</f>
        <v>186</v>
      </c>
      <c r="B2768" s="191" t="b">
        <f t="shared" si="136"/>
        <v>0</v>
      </c>
      <c r="C2768" s="191" t="b">
        <f t="shared" si="137"/>
        <v>0</v>
      </c>
      <c r="D2768" s="191" t="str">
        <f t="shared" si="138"/>
        <v>OK</v>
      </c>
      <c r="E2768" s="229"/>
      <c r="F2768" s="230"/>
      <c r="G2768" s="230"/>
      <c r="H2768" s="230"/>
      <c r="I2768" s="230"/>
      <c r="J2768" s="230"/>
      <c r="K2768" s="230"/>
      <c r="L2768" s="230"/>
      <c r="M2768" s="230"/>
      <c r="N2768" s="230"/>
      <c r="O2768" s="230"/>
      <c r="P2768" s="192"/>
      <c r="Q2768" s="212"/>
      <c r="R2768" s="387" t="e">
        <f>VLOOKUP(E2768,'[1]NDB Impacted SPRFs 05032013'!$A$2:$A$65536,1,FALSE)</f>
        <v>#N/A</v>
      </c>
      <c r="S2768" s="159"/>
      <c r="T2768" s="159"/>
      <c r="U2768" s="159"/>
    </row>
    <row r="2769" spans="1:21" ht="51" customHeight="1" x14ac:dyDescent="0.25">
      <c r="A2769" s="191">
        <f>MATCH($E2769,'D1 - Master Project Table'!$B$24:$B$7056,0)</f>
        <v>186</v>
      </c>
      <c r="B2769" s="191" t="b">
        <f t="shared" si="136"/>
        <v>0</v>
      </c>
      <c r="C2769" s="191" t="b">
        <f t="shared" si="137"/>
        <v>0</v>
      </c>
      <c r="D2769" s="191" t="str">
        <f t="shared" si="138"/>
        <v>OK</v>
      </c>
      <c r="E2769" s="229"/>
      <c r="F2769" s="230"/>
      <c r="G2769" s="230"/>
      <c r="H2769" s="230"/>
      <c r="I2769" s="230"/>
      <c r="J2769" s="230"/>
      <c r="K2769" s="230"/>
      <c r="L2769" s="230"/>
      <c r="M2769" s="230"/>
      <c r="N2769" s="230"/>
      <c r="O2769" s="230"/>
      <c r="P2769" s="192"/>
      <c r="Q2769"/>
      <c r="R2769" s="387" t="e">
        <f>VLOOKUP(E2769,'[1]NDB Impacted SPRFs 05032013'!$A$2:$A$65536,1,FALSE)</f>
        <v>#N/A</v>
      </c>
      <c r="S2769" s="159"/>
      <c r="T2769" s="159"/>
      <c r="U2769" s="159"/>
    </row>
    <row r="2770" spans="1:21" ht="51" customHeight="1" x14ac:dyDescent="0.25">
      <c r="A2770" s="191">
        <f>MATCH($E2770,'D1 - Master Project Table'!$B$24:$B$7056,0)</f>
        <v>186</v>
      </c>
      <c r="B2770" s="191" t="b">
        <f t="shared" si="136"/>
        <v>0</v>
      </c>
      <c r="C2770" s="191" t="b">
        <f t="shared" si="137"/>
        <v>0</v>
      </c>
      <c r="D2770" s="191" t="str">
        <f t="shared" si="138"/>
        <v>OK</v>
      </c>
      <c r="E2770" s="229"/>
      <c r="F2770" s="230"/>
      <c r="G2770" s="230"/>
      <c r="H2770" s="230"/>
      <c r="I2770" s="230"/>
      <c r="J2770" s="230"/>
      <c r="K2770" s="230"/>
      <c r="L2770" s="230"/>
      <c r="M2770" s="230"/>
      <c r="N2770" s="230"/>
      <c r="O2770" s="230"/>
      <c r="P2770" s="192"/>
      <c r="Q2770"/>
      <c r="R2770" s="387" t="e">
        <f>VLOOKUP(E2770,'[1]NDB Impacted SPRFs 05032013'!$A$2:$A$65536,1,FALSE)</f>
        <v>#N/A</v>
      </c>
      <c r="S2770" s="159"/>
      <c r="T2770" s="159"/>
      <c r="U2770" s="159"/>
    </row>
    <row r="2771" spans="1:21" ht="51" customHeight="1" x14ac:dyDescent="0.25">
      <c r="A2771" s="191">
        <f>MATCH($E2771,'D1 - Master Project Table'!$B$24:$B$7056,0)</f>
        <v>186</v>
      </c>
      <c r="B2771" s="191" t="b">
        <f t="shared" si="136"/>
        <v>0</v>
      </c>
      <c r="C2771" s="191" t="b">
        <f t="shared" si="137"/>
        <v>0</v>
      </c>
      <c r="D2771" s="191" t="str">
        <f t="shared" si="138"/>
        <v>OK</v>
      </c>
      <c r="E2771" s="229"/>
      <c r="F2771" s="230"/>
      <c r="G2771" s="230"/>
      <c r="H2771" s="230"/>
      <c r="I2771" s="230"/>
      <c r="J2771" s="230"/>
      <c r="K2771" s="230"/>
      <c r="L2771" s="230"/>
      <c r="M2771" s="230"/>
      <c r="N2771" s="230"/>
      <c r="O2771" s="230"/>
      <c r="P2771" s="192"/>
      <c r="Q2771" s="212"/>
      <c r="R2771" s="387" t="e">
        <f>VLOOKUP(E2771,'[1]NDB Impacted SPRFs 05032013'!$A$2:$A$65536,1,FALSE)</f>
        <v>#N/A</v>
      </c>
      <c r="S2771" s="159"/>
      <c r="T2771" s="159"/>
      <c r="U2771" s="159"/>
    </row>
    <row r="2772" spans="1:21" ht="51" customHeight="1" x14ac:dyDescent="0.25">
      <c r="A2772" s="191">
        <f>MATCH($E2772,'D1 - Master Project Table'!$B$24:$B$7056,0)</f>
        <v>186</v>
      </c>
      <c r="B2772" s="191" t="b">
        <f t="shared" si="136"/>
        <v>0</v>
      </c>
      <c r="C2772" s="191" t="b">
        <f t="shared" si="137"/>
        <v>0</v>
      </c>
      <c r="D2772" s="191" t="str">
        <f t="shared" si="138"/>
        <v>OK</v>
      </c>
      <c r="E2772" s="229"/>
      <c r="F2772" s="230"/>
      <c r="G2772" s="230"/>
      <c r="H2772" s="230"/>
      <c r="I2772" s="230"/>
      <c r="J2772" s="230"/>
      <c r="K2772" s="230"/>
      <c r="L2772" s="230"/>
      <c r="M2772" s="230"/>
      <c r="N2772" s="230"/>
      <c r="O2772" s="230"/>
      <c r="P2772" s="192"/>
      <c r="Q2772"/>
      <c r="R2772" s="387" t="e">
        <f>VLOOKUP(E2772,'[1]NDB Impacted SPRFs 05032013'!$A$2:$A$65536,1,FALSE)</f>
        <v>#N/A</v>
      </c>
      <c r="S2772" s="159"/>
      <c r="T2772" s="159"/>
      <c r="U2772" s="159"/>
    </row>
    <row r="2773" spans="1:21" ht="51" customHeight="1" x14ac:dyDescent="0.25">
      <c r="A2773" s="191">
        <f>MATCH($E2773,'D1 - Master Project Table'!$B$24:$B$7056,0)</f>
        <v>186</v>
      </c>
      <c r="B2773" s="191" t="b">
        <f t="shared" si="136"/>
        <v>0</v>
      </c>
      <c r="C2773" s="191" t="b">
        <f t="shared" si="137"/>
        <v>0</v>
      </c>
      <c r="D2773" s="191" t="str">
        <f t="shared" si="138"/>
        <v>OK</v>
      </c>
      <c r="E2773" s="229"/>
      <c r="F2773" s="230"/>
      <c r="G2773" s="230"/>
      <c r="H2773" s="230"/>
      <c r="I2773" s="230"/>
      <c r="J2773" s="230"/>
      <c r="K2773" s="230"/>
      <c r="L2773" s="230"/>
      <c r="M2773" s="230"/>
      <c r="N2773" s="230"/>
      <c r="O2773" s="230"/>
      <c r="P2773" s="192"/>
      <c r="Q2773"/>
      <c r="R2773" s="387" t="e">
        <f>VLOOKUP(E2773,'[1]NDB Impacted SPRFs 05032013'!$A$2:$A$65536,1,FALSE)</f>
        <v>#N/A</v>
      </c>
      <c r="S2773" s="159"/>
      <c r="T2773" s="159"/>
      <c r="U2773" s="159"/>
    </row>
    <row r="2774" spans="1:21" ht="51" customHeight="1" x14ac:dyDescent="0.25">
      <c r="A2774" s="63">
        <f>MATCH($E2774,'D1 - Master Project Table'!$B$24:$B$7056,0)</f>
        <v>186</v>
      </c>
      <c r="B2774" s="63" t="b">
        <f t="shared" si="136"/>
        <v>0</v>
      </c>
      <c r="C2774" s="63" t="b">
        <f t="shared" si="137"/>
        <v>0</v>
      </c>
      <c r="D2774" s="63" t="str">
        <f t="shared" si="138"/>
        <v>OK</v>
      </c>
      <c r="E2774" s="229"/>
      <c r="F2774" s="230"/>
      <c r="G2774" s="230"/>
      <c r="H2774" s="230"/>
      <c r="I2774" s="230"/>
      <c r="J2774" s="230"/>
      <c r="K2774" s="230"/>
      <c r="L2774" s="230"/>
      <c r="M2774" s="230"/>
      <c r="N2774" s="230"/>
      <c r="O2774" s="230"/>
      <c r="P2774" s="145"/>
      <c r="Q2774"/>
      <c r="R2774" s="387" t="e">
        <f>VLOOKUP(E2774,'[1]NDB Impacted SPRFs 05032013'!$A$2:$A$65536,1,FALSE)</f>
        <v>#N/A</v>
      </c>
      <c r="S2774" s="159"/>
      <c r="T2774" s="159"/>
      <c r="U2774" s="159"/>
    </row>
    <row r="2775" spans="1:21" ht="51" customHeight="1" x14ac:dyDescent="0.25">
      <c r="A2775" s="63">
        <f>MATCH($E2775,'D1 - Master Project Table'!$B$24:$B$7056,0)</f>
        <v>186</v>
      </c>
      <c r="B2775" s="63" t="b">
        <f t="shared" si="136"/>
        <v>0</v>
      </c>
      <c r="C2775" s="63" t="b">
        <f t="shared" si="137"/>
        <v>0</v>
      </c>
      <c r="D2775" s="63" t="str">
        <f t="shared" si="138"/>
        <v>OK</v>
      </c>
      <c r="E2775" s="229"/>
      <c r="F2775" s="230"/>
      <c r="G2775" s="230"/>
      <c r="H2775" s="230"/>
      <c r="I2775" s="230"/>
      <c r="J2775" s="230"/>
      <c r="K2775" s="230"/>
      <c r="L2775" s="230"/>
      <c r="M2775" s="230"/>
      <c r="N2775" s="230"/>
      <c r="O2775" s="230"/>
      <c r="P2775" s="145"/>
      <c r="Q2775"/>
      <c r="R2775" s="387" t="e">
        <f>VLOOKUP(E2775,'[1]NDB Impacted SPRFs 05032013'!$A$2:$A$65536,1,FALSE)</f>
        <v>#N/A</v>
      </c>
      <c r="S2775" s="159"/>
      <c r="T2775" s="159"/>
      <c r="U2775" s="159"/>
    </row>
    <row r="2776" spans="1:21" ht="51" customHeight="1" x14ac:dyDescent="0.25">
      <c r="A2776" s="63">
        <f>MATCH($E2776,'D1 - Master Project Table'!$B$24:$B$7056,0)</f>
        <v>186</v>
      </c>
      <c r="B2776" s="63" t="b">
        <f t="shared" si="136"/>
        <v>0</v>
      </c>
      <c r="C2776" s="63" t="b">
        <f t="shared" si="137"/>
        <v>0</v>
      </c>
      <c r="D2776" s="63" t="str">
        <f t="shared" si="138"/>
        <v>OK</v>
      </c>
      <c r="E2776" s="229"/>
      <c r="F2776" s="230"/>
      <c r="G2776" s="230"/>
      <c r="H2776" s="230"/>
      <c r="I2776" s="230"/>
      <c r="J2776" s="230"/>
      <c r="K2776" s="230"/>
      <c r="L2776" s="230"/>
      <c r="M2776" s="230"/>
      <c r="N2776" s="230"/>
      <c r="O2776" s="230"/>
      <c r="P2776" s="145"/>
      <c r="Q2776"/>
      <c r="R2776" s="387" t="e">
        <f>VLOOKUP(E2776,'[1]NDB Impacted SPRFs 05032013'!$A$2:$A$65536,1,FALSE)</f>
        <v>#N/A</v>
      </c>
      <c r="S2776" s="159"/>
      <c r="T2776" s="159"/>
      <c r="U2776" s="159"/>
    </row>
    <row r="2777" spans="1:21" ht="51" customHeight="1" x14ac:dyDescent="0.25">
      <c r="A2777" s="63">
        <f>MATCH($E2777,'D1 - Master Project Table'!$B$24:$B$7056,0)</f>
        <v>186</v>
      </c>
      <c r="B2777" s="63" t="b">
        <f t="shared" si="136"/>
        <v>0</v>
      </c>
      <c r="C2777" s="63" t="b">
        <f t="shared" si="137"/>
        <v>0</v>
      </c>
      <c r="D2777" s="63" t="str">
        <f t="shared" si="138"/>
        <v>OK</v>
      </c>
      <c r="E2777" s="229"/>
      <c r="F2777" s="230"/>
      <c r="G2777" s="230"/>
      <c r="H2777" s="230"/>
      <c r="I2777" s="230"/>
      <c r="J2777" s="230"/>
      <c r="K2777" s="230"/>
      <c r="L2777" s="230"/>
      <c r="M2777" s="230"/>
      <c r="N2777" s="230"/>
      <c r="O2777" s="230"/>
      <c r="P2777" s="145"/>
      <c r="Q2777"/>
      <c r="R2777" s="387" t="e">
        <f>VLOOKUP(E2777,'[1]NDB Impacted SPRFs 05032013'!$A$2:$A$65536,1,FALSE)</f>
        <v>#N/A</v>
      </c>
      <c r="S2777" s="159"/>
      <c r="T2777" s="159"/>
      <c r="U2777" s="159"/>
    </row>
    <row r="2778" spans="1:21" ht="51" customHeight="1" x14ac:dyDescent="0.25">
      <c r="A2778" s="63">
        <f>MATCH($E2778,'D1 - Master Project Table'!$B$24:$B$7056,0)</f>
        <v>186</v>
      </c>
      <c r="B2778" s="63" t="b">
        <f t="shared" si="136"/>
        <v>0</v>
      </c>
      <c r="C2778" s="63" t="b">
        <f t="shared" si="137"/>
        <v>0</v>
      </c>
      <c r="D2778" s="63" t="str">
        <f t="shared" si="138"/>
        <v>OK</v>
      </c>
      <c r="E2778" s="229"/>
      <c r="F2778" s="230"/>
      <c r="G2778" s="230"/>
      <c r="H2778" s="230"/>
      <c r="I2778" s="230"/>
      <c r="J2778" s="230"/>
      <c r="K2778" s="230"/>
      <c r="L2778" s="230"/>
      <c r="M2778" s="230"/>
      <c r="N2778" s="230"/>
      <c r="O2778" s="230"/>
      <c r="P2778" s="145"/>
      <c r="Q2778"/>
      <c r="R2778" s="387" t="e">
        <f>VLOOKUP(E2778,'[1]NDB Impacted SPRFs 05032013'!$A$2:$A$65536,1,FALSE)</f>
        <v>#N/A</v>
      </c>
      <c r="S2778" s="159"/>
      <c r="T2778" s="159"/>
      <c r="U2778" s="159"/>
    </row>
    <row r="2779" spans="1:21" ht="51" customHeight="1" x14ac:dyDescent="0.25">
      <c r="A2779" s="63">
        <f>MATCH($E2779,'D1 - Master Project Table'!$B$24:$B$7056,0)</f>
        <v>186</v>
      </c>
      <c r="B2779" s="63" t="b">
        <f t="shared" si="136"/>
        <v>0</v>
      </c>
      <c r="C2779" s="63" t="b">
        <f t="shared" si="137"/>
        <v>0</v>
      </c>
      <c r="D2779" s="63" t="str">
        <f t="shared" si="138"/>
        <v>OK</v>
      </c>
      <c r="E2779" s="229"/>
      <c r="F2779" s="230"/>
      <c r="G2779" s="230"/>
      <c r="H2779" s="230"/>
      <c r="I2779" s="230"/>
      <c r="J2779" s="230"/>
      <c r="K2779" s="230"/>
      <c r="L2779" s="230"/>
      <c r="M2779" s="230"/>
      <c r="N2779" s="230"/>
      <c r="O2779" s="230"/>
      <c r="P2779" s="145"/>
      <c r="Q2779"/>
      <c r="R2779" s="387" t="e">
        <f>VLOOKUP(E2779,'[1]NDB Impacted SPRFs 05032013'!$A$2:$A$65536,1,FALSE)</f>
        <v>#N/A</v>
      </c>
      <c r="S2779" s="159"/>
      <c r="T2779" s="159"/>
      <c r="U2779" s="159"/>
    </row>
    <row r="2780" spans="1:21" ht="51" customHeight="1" x14ac:dyDescent="0.25">
      <c r="A2780" s="63">
        <f>MATCH($E2780,'D1 - Master Project Table'!$B$24:$B$7056,0)</f>
        <v>186</v>
      </c>
      <c r="B2780" s="63" t="b">
        <f t="shared" si="136"/>
        <v>0</v>
      </c>
      <c r="C2780" s="63" t="b">
        <f t="shared" si="137"/>
        <v>0</v>
      </c>
      <c r="D2780" s="63" t="str">
        <f t="shared" si="138"/>
        <v>OK</v>
      </c>
      <c r="E2780" s="229"/>
      <c r="F2780" s="230"/>
      <c r="G2780" s="230"/>
      <c r="H2780" s="230"/>
      <c r="I2780" s="230"/>
      <c r="J2780" s="230"/>
      <c r="K2780" s="230"/>
      <c r="L2780" s="230"/>
      <c r="M2780" s="230"/>
      <c r="N2780" s="230"/>
      <c r="O2780" s="230"/>
      <c r="P2780" s="145"/>
      <c r="Q2780"/>
      <c r="R2780" s="387" t="e">
        <f>VLOOKUP(E2780,'[1]NDB Impacted SPRFs 05032013'!$A$2:$A$65536,1,FALSE)</f>
        <v>#N/A</v>
      </c>
      <c r="S2780" s="159"/>
      <c r="T2780" s="159"/>
      <c r="U2780" s="159"/>
    </row>
    <row r="2781" spans="1:21" ht="51" customHeight="1" x14ac:dyDescent="0.25">
      <c r="A2781" s="63">
        <f>MATCH($E2781,'D1 - Master Project Table'!$B$24:$B$7056,0)</f>
        <v>186</v>
      </c>
      <c r="B2781" s="63" t="b">
        <f t="shared" si="136"/>
        <v>0</v>
      </c>
      <c r="C2781" s="63" t="b">
        <f t="shared" si="137"/>
        <v>0</v>
      </c>
      <c r="D2781" s="63" t="str">
        <f t="shared" si="138"/>
        <v>OK</v>
      </c>
      <c r="E2781" s="229"/>
      <c r="F2781" s="230"/>
      <c r="G2781" s="230"/>
      <c r="H2781" s="230"/>
      <c r="I2781" s="230"/>
      <c r="J2781" s="230"/>
      <c r="K2781" s="230"/>
      <c r="L2781" s="230"/>
      <c r="M2781" s="230"/>
      <c r="N2781" s="230"/>
      <c r="O2781" s="230"/>
      <c r="P2781" s="145"/>
      <c r="Q2781"/>
      <c r="R2781" s="387" t="e">
        <f>VLOOKUP(E2781,'[1]NDB Impacted SPRFs 05032013'!$A$2:$A$65536,1,FALSE)</f>
        <v>#N/A</v>
      </c>
    </row>
    <row r="2782" spans="1:21" ht="51" customHeight="1" x14ac:dyDescent="0.25">
      <c r="A2782" s="63">
        <f>MATCH($E2782,'D1 - Master Project Table'!$B$24:$B$7056,0)</f>
        <v>186</v>
      </c>
      <c r="B2782" s="63" t="b">
        <f t="shared" si="136"/>
        <v>0</v>
      </c>
      <c r="C2782" s="63" t="b">
        <f t="shared" si="137"/>
        <v>0</v>
      </c>
      <c r="D2782" s="63" t="str">
        <f t="shared" si="138"/>
        <v>OK</v>
      </c>
      <c r="E2782" s="229"/>
      <c r="F2782" s="230"/>
      <c r="G2782" s="230"/>
      <c r="H2782" s="230"/>
      <c r="I2782" s="230"/>
      <c r="J2782" s="230"/>
      <c r="K2782" s="230"/>
      <c r="L2782" s="230"/>
      <c r="M2782" s="230"/>
      <c r="N2782" s="230"/>
      <c r="O2782" s="230"/>
      <c r="P2782" s="145"/>
      <c r="Q2782"/>
      <c r="R2782" s="387" t="e">
        <f>VLOOKUP(E2782,'[1]NDB Impacted SPRFs 05032013'!$A$2:$A$65536,1,FALSE)</f>
        <v>#N/A</v>
      </c>
      <c r="S2782" s="159"/>
      <c r="T2782" s="159"/>
      <c r="U2782" s="159"/>
    </row>
    <row r="2783" spans="1:21" ht="51" customHeight="1" x14ac:dyDescent="0.25">
      <c r="A2783" s="63">
        <f>MATCH($E2783,'D1 - Master Project Table'!$B$24:$B$7056,0)</f>
        <v>186</v>
      </c>
      <c r="B2783" s="63" t="b">
        <f t="shared" si="136"/>
        <v>0</v>
      </c>
      <c r="C2783" s="63" t="b">
        <f t="shared" si="137"/>
        <v>0</v>
      </c>
      <c r="D2783" s="63" t="str">
        <f t="shared" si="138"/>
        <v>OK</v>
      </c>
      <c r="E2783" s="229"/>
      <c r="F2783" s="230"/>
      <c r="G2783" s="230"/>
      <c r="H2783" s="230"/>
      <c r="I2783" s="230"/>
      <c r="J2783" s="230"/>
      <c r="K2783" s="230"/>
      <c r="L2783" s="230"/>
      <c r="M2783" s="230"/>
      <c r="N2783" s="230"/>
      <c r="O2783" s="230"/>
      <c r="P2783" s="145"/>
      <c r="Q2783"/>
      <c r="R2783" s="387" t="e">
        <f>VLOOKUP(E2783,'[1]NDB Impacted SPRFs 05032013'!$A$2:$A$65536,1,FALSE)</f>
        <v>#N/A</v>
      </c>
    </row>
    <row r="2784" spans="1:21" ht="25.5" customHeight="1" x14ac:dyDescent="0.25">
      <c r="A2784" s="63">
        <f>MATCH($E2784,'D1 - Master Project Table'!$B$24:$B$7056,0)</f>
        <v>186</v>
      </c>
      <c r="B2784" s="63" t="b">
        <f t="shared" si="136"/>
        <v>0</v>
      </c>
      <c r="C2784" s="63" t="b">
        <f t="shared" si="137"/>
        <v>0</v>
      </c>
      <c r="D2784" s="63" t="str">
        <f t="shared" si="138"/>
        <v>OK</v>
      </c>
      <c r="E2784" s="229"/>
      <c r="F2784" s="230"/>
      <c r="G2784" s="230"/>
      <c r="H2784" s="230"/>
      <c r="I2784" s="230"/>
      <c r="J2784" s="230"/>
      <c r="K2784" s="230"/>
      <c r="L2784" s="230"/>
      <c r="M2784" s="230"/>
      <c r="N2784" s="230"/>
      <c r="O2784" s="230"/>
      <c r="P2784" s="145"/>
      <c r="Q2784"/>
      <c r="R2784" s="387" t="e">
        <f>VLOOKUP(E2784,'[1]NDB Impacted SPRFs 05032013'!$A$2:$A$65536,1,FALSE)</f>
        <v>#N/A</v>
      </c>
      <c r="S2784" s="159"/>
      <c r="T2784" s="159"/>
      <c r="U2784" s="159"/>
    </row>
    <row r="2785" spans="1:21" ht="14.25" customHeight="1" x14ac:dyDescent="0.25">
      <c r="A2785" s="63">
        <f>MATCH($E2785,'D1 - Master Project Table'!$B$24:$B$7056,0)</f>
        <v>186</v>
      </c>
      <c r="B2785" s="63" t="b">
        <f t="shared" si="136"/>
        <v>0</v>
      </c>
      <c r="C2785" s="63" t="b">
        <f t="shared" si="137"/>
        <v>0</v>
      </c>
      <c r="D2785" s="63" t="str">
        <f t="shared" si="138"/>
        <v>OK</v>
      </c>
      <c r="E2785" s="229"/>
      <c r="F2785" s="230"/>
      <c r="G2785" s="230"/>
      <c r="H2785" s="230"/>
      <c r="I2785" s="230"/>
      <c r="J2785" s="230"/>
      <c r="K2785" s="230"/>
      <c r="L2785" s="230"/>
      <c r="M2785" s="230"/>
      <c r="N2785" s="230"/>
      <c r="O2785" s="230"/>
      <c r="P2785" s="145"/>
      <c r="Q2785"/>
      <c r="R2785" s="387" t="e">
        <f>VLOOKUP(E2785,'[1]NDB Impacted SPRFs 05032013'!$A$2:$A$65536,1,FALSE)</f>
        <v>#N/A</v>
      </c>
      <c r="S2785" s="159"/>
      <c r="T2785" s="159"/>
      <c r="U2785" s="159"/>
    </row>
    <row r="2786" spans="1:21" ht="14.25" customHeight="1" x14ac:dyDescent="0.25">
      <c r="A2786" s="63">
        <f>MATCH($E2786,'D1 - Master Project Table'!$B$24:$B$7056,0)</f>
        <v>186</v>
      </c>
      <c r="B2786" s="63" t="b">
        <f t="shared" si="136"/>
        <v>0</v>
      </c>
      <c r="C2786" s="63" t="b">
        <f t="shared" si="137"/>
        <v>0</v>
      </c>
      <c r="D2786" s="63" t="str">
        <f t="shared" si="138"/>
        <v>OK</v>
      </c>
      <c r="E2786" s="229"/>
      <c r="F2786" s="230"/>
      <c r="G2786" s="230"/>
      <c r="H2786" s="230"/>
      <c r="I2786" s="230"/>
      <c r="J2786" s="230"/>
      <c r="K2786" s="230"/>
      <c r="L2786" s="230"/>
      <c r="M2786" s="230"/>
      <c r="N2786" s="230"/>
      <c r="O2786" s="230"/>
      <c r="P2786" s="145"/>
      <c r="Q2786"/>
      <c r="R2786" s="387" t="e">
        <f>VLOOKUP(E2786,'[1]NDB Impacted SPRFs 05032013'!$A$2:$A$65536,1,FALSE)</f>
        <v>#N/A</v>
      </c>
    </row>
    <row r="2787" spans="1:21" x14ac:dyDescent="0.2">
      <c r="A2787" s="63">
        <f>MATCH($E2787,'D1 - Master Project Table'!$B$24:$B$7056,0)</f>
        <v>186</v>
      </c>
      <c r="B2787" s="63" t="b">
        <f t="shared" si="136"/>
        <v>0</v>
      </c>
      <c r="C2787" s="63" t="b">
        <f t="shared" si="137"/>
        <v>0</v>
      </c>
      <c r="D2787" s="63" t="str">
        <f t="shared" si="138"/>
        <v>OK</v>
      </c>
      <c r="E2787" s="231"/>
      <c r="F2787" s="232"/>
      <c r="G2787" s="233"/>
      <c r="H2787" s="234"/>
      <c r="I2787" s="235"/>
      <c r="J2787" s="235"/>
      <c r="K2787" s="235"/>
      <c r="L2787" s="236"/>
      <c r="M2787" s="234"/>
      <c r="N2787" s="234"/>
      <c r="O2787" s="234"/>
      <c r="P2787" s="143"/>
      <c r="R2787" s="387" t="e">
        <f>VLOOKUP(E2787,'[1]NDB Impacted SPRFs 05032013'!$A$2:$A$65536,1,FALSE)</f>
        <v>#N/A</v>
      </c>
    </row>
    <row r="2788" spans="1:21" ht="51" x14ac:dyDescent="0.2">
      <c r="A2788" s="63">
        <f>MATCH($E2788,'D1 - Master Project Table'!$B$24:$B$7056,0)</f>
        <v>209</v>
      </c>
      <c r="B2788" s="63" t="b">
        <f t="shared" si="136"/>
        <v>0</v>
      </c>
      <c r="C2788" s="63" t="b">
        <f t="shared" si="137"/>
        <v>0</v>
      </c>
      <c r="D2788" s="63" t="str">
        <f t="shared" si="138"/>
        <v>OK</v>
      </c>
      <c r="E2788" s="221">
        <v>400046533</v>
      </c>
      <c r="F2788" s="222" t="s">
        <v>2914</v>
      </c>
      <c r="G2788" s="222" t="s">
        <v>5995</v>
      </c>
      <c r="H2788" s="222" t="s">
        <v>8012</v>
      </c>
      <c r="I2788" s="222" t="s">
        <v>2915</v>
      </c>
      <c r="J2788" s="222" t="s">
        <v>2916</v>
      </c>
      <c r="K2788" s="222" t="s">
        <v>2917</v>
      </c>
      <c r="L2788" s="222" t="s">
        <v>708</v>
      </c>
      <c r="M2788" s="222" t="s">
        <v>3758</v>
      </c>
      <c r="N2788" s="222" t="s">
        <v>7273</v>
      </c>
      <c r="O2788" s="222" t="s">
        <v>3758</v>
      </c>
      <c r="P2788" s="145"/>
      <c r="Q2788" s="212"/>
      <c r="R2788" s="387" t="e">
        <f>VLOOKUP(E2788,'[1]NDB Impacted SPRFs 05032013'!$A$2:$A$65536,1,FALSE)</f>
        <v>#N/A</v>
      </c>
      <c r="S2788" s="159"/>
      <c r="T2788" s="159"/>
      <c r="U2788" s="159"/>
    </row>
    <row r="2789" spans="1:21" ht="51" x14ac:dyDescent="0.2">
      <c r="A2789" s="63">
        <f>MATCH($E2789,'D1 - Master Project Table'!$B$24:$B$7056,0)</f>
        <v>3204</v>
      </c>
      <c r="B2789" s="63" t="b">
        <f t="shared" si="136"/>
        <v>0</v>
      </c>
      <c r="C2789" s="63" t="b">
        <f t="shared" si="137"/>
        <v>0</v>
      </c>
      <c r="D2789" s="63" t="str">
        <f t="shared" si="138"/>
        <v>OK</v>
      </c>
      <c r="E2789" s="221">
        <v>400047544</v>
      </c>
      <c r="F2789" s="222" t="s">
        <v>124</v>
      </c>
      <c r="G2789" s="222" t="s">
        <v>5995</v>
      </c>
      <c r="H2789" s="222" t="s">
        <v>8012</v>
      </c>
      <c r="I2789" s="222" t="s">
        <v>5100</v>
      </c>
      <c r="J2789" s="222" t="s">
        <v>5652</v>
      </c>
      <c r="K2789" s="222" t="s">
        <v>4114</v>
      </c>
      <c r="L2789" s="222" t="s">
        <v>733</v>
      </c>
      <c r="M2789" s="222" t="s">
        <v>7273</v>
      </c>
      <c r="N2789" s="222" t="s">
        <v>7273</v>
      </c>
      <c r="O2789" s="222" t="s">
        <v>7273</v>
      </c>
      <c r="P2789" s="145"/>
      <c r="Q2789"/>
      <c r="R2789" s="387" t="e">
        <f>VLOOKUP(E2789,'[1]NDB Impacted SPRFs 05032013'!$A$2:$A$65536,1,FALSE)</f>
        <v>#N/A</v>
      </c>
    </row>
    <row r="2790" spans="1:21" ht="25.5" x14ac:dyDescent="0.2">
      <c r="A2790" s="63">
        <f>MATCH($E2790,'D1 - Master Project Table'!$B$24:$B$7056,0)</f>
        <v>3087</v>
      </c>
      <c r="B2790" s="63" t="b">
        <f t="shared" si="136"/>
        <v>0</v>
      </c>
      <c r="C2790" s="63" t="b">
        <f t="shared" si="137"/>
        <v>0</v>
      </c>
      <c r="D2790" s="63" t="str">
        <f t="shared" si="138"/>
        <v>OK</v>
      </c>
      <c r="E2790" s="221">
        <v>400048148</v>
      </c>
      <c r="F2790" s="222" t="s">
        <v>2668</v>
      </c>
      <c r="G2790" s="222" t="s">
        <v>5324</v>
      </c>
      <c r="H2790" s="222" t="s">
        <v>4388</v>
      </c>
      <c r="I2790" s="222" t="s">
        <v>6255</v>
      </c>
      <c r="J2790" s="222" t="s">
        <v>3679</v>
      </c>
      <c r="K2790" s="222" t="s">
        <v>2669</v>
      </c>
      <c r="L2790" s="222" t="s">
        <v>2670</v>
      </c>
      <c r="M2790" s="222" t="s">
        <v>7273</v>
      </c>
      <c r="N2790" s="222" t="s">
        <v>7273</v>
      </c>
      <c r="O2790" s="222" t="s">
        <v>7273</v>
      </c>
      <c r="P2790" s="145"/>
      <c r="Q2790"/>
      <c r="R2790" s="387" t="e">
        <f>VLOOKUP(E2790,'[1]NDB Impacted SPRFs 05032013'!$A$2:$A$65536,1,FALSE)</f>
        <v>#N/A</v>
      </c>
      <c r="S2790" s="159"/>
      <c r="T2790" s="159"/>
      <c r="U2790" s="159"/>
    </row>
    <row r="2791" spans="1:21" ht="51" x14ac:dyDescent="0.2">
      <c r="A2791" s="63">
        <f>MATCH($E2791,'D1 - Master Project Table'!$B$24:$B$7056,0)</f>
        <v>3201</v>
      </c>
      <c r="B2791" s="63" t="b">
        <f t="shared" si="136"/>
        <v>0</v>
      </c>
      <c r="C2791" s="63" t="b">
        <f t="shared" si="137"/>
        <v>0</v>
      </c>
      <c r="D2791" s="63" t="str">
        <f t="shared" si="138"/>
        <v>OK</v>
      </c>
      <c r="E2791" s="218">
        <v>400046748</v>
      </c>
      <c r="F2791" s="219" t="s">
        <v>1327</v>
      </c>
      <c r="G2791" s="219" t="s">
        <v>6322</v>
      </c>
      <c r="H2791" s="219" t="s">
        <v>8012</v>
      </c>
      <c r="I2791" s="219" t="s">
        <v>6441</v>
      </c>
      <c r="J2791" s="219" t="s">
        <v>1856</v>
      </c>
      <c r="K2791" s="219" t="s">
        <v>5819</v>
      </c>
      <c r="L2791" s="219" t="s">
        <v>1712</v>
      </c>
      <c r="M2791" s="219" t="s">
        <v>7273</v>
      </c>
      <c r="N2791" s="219" t="s">
        <v>7273</v>
      </c>
      <c r="O2791" s="219" t="s">
        <v>7273</v>
      </c>
      <c r="P2791" s="145"/>
      <c r="Q2791"/>
      <c r="R2791" s="387" t="e">
        <f>VLOOKUP(E2791,'[1]NDB Impacted SPRFs 05032013'!$A$2:$A$65536,1,FALSE)</f>
        <v>#N/A</v>
      </c>
      <c r="S2791" s="159"/>
      <c r="T2791" s="159"/>
      <c r="U2791" s="159"/>
    </row>
    <row r="2792" spans="1:21" ht="25.5" x14ac:dyDescent="0.2">
      <c r="A2792" s="63">
        <f>MATCH($E2792,'D1 - Master Project Table'!$B$24:$B$7056,0)</f>
        <v>210</v>
      </c>
      <c r="B2792" s="63" t="b">
        <f t="shared" si="136"/>
        <v>0</v>
      </c>
      <c r="C2792" s="63" t="b">
        <f t="shared" si="137"/>
        <v>0</v>
      </c>
      <c r="D2792" s="63" t="str">
        <f t="shared" si="138"/>
        <v>OK</v>
      </c>
      <c r="E2792" s="211">
        <v>400046650</v>
      </c>
      <c r="F2792" s="155" t="s">
        <v>701</v>
      </c>
      <c r="G2792" s="155" t="s">
        <v>6065</v>
      </c>
      <c r="H2792" s="155" t="s">
        <v>4388</v>
      </c>
      <c r="I2792" s="155" t="s">
        <v>2855</v>
      </c>
      <c r="J2792" s="155" t="s">
        <v>6975</v>
      </c>
      <c r="K2792" s="155" t="s">
        <v>702</v>
      </c>
      <c r="L2792" s="155" t="s">
        <v>2845</v>
      </c>
      <c r="M2792" s="155" t="s">
        <v>7273</v>
      </c>
      <c r="N2792" s="155" t="s">
        <v>7273</v>
      </c>
      <c r="O2792" s="155" t="s">
        <v>7273</v>
      </c>
      <c r="P2792" s="145"/>
      <c r="Q2792"/>
      <c r="R2792" s="387" t="e">
        <f>VLOOKUP(E2792,'[1]NDB Impacted SPRFs 05032013'!$A$2:$A$65536,1,FALSE)</f>
        <v>#N/A</v>
      </c>
    </row>
    <row r="2793" spans="1:21" s="159" customFormat="1" ht="25.5" x14ac:dyDescent="0.2">
      <c r="A2793" s="63">
        <f>MATCH($E2793,'D1 - Master Project Table'!$B$24:$B$7056,0)</f>
        <v>3079</v>
      </c>
      <c r="B2793" s="63" t="b">
        <f t="shared" si="136"/>
        <v>0</v>
      </c>
      <c r="C2793" s="63" t="b">
        <f t="shared" si="137"/>
        <v>0</v>
      </c>
      <c r="D2793" s="63" t="str">
        <f t="shared" si="138"/>
        <v>OK</v>
      </c>
      <c r="E2793" s="395">
        <v>400046543</v>
      </c>
      <c r="F2793" s="397" t="s">
        <v>2270</v>
      </c>
      <c r="G2793" s="397" t="s">
        <v>5324</v>
      </c>
      <c r="H2793" s="397" t="s">
        <v>4388</v>
      </c>
      <c r="I2793" s="397" t="s">
        <v>4166</v>
      </c>
      <c r="J2793" s="397" t="s">
        <v>2271</v>
      </c>
      <c r="K2793" s="397" t="s">
        <v>2272</v>
      </c>
      <c r="L2793" s="397" t="s">
        <v>2845</v>
      </c>
      <c r="M2793" s="397" t="s">
        <v>7273</v>
      </c>
      <c r="N2793" s="397" t="s">
        <v>7273</v>
      </c>
      <c r="O2793" s="402" t="s">
        <v>7273</v>
      </c>
      <c r="P2793" s="145"/>
      <c r="Q2793"/>
      <c r="R2793" s="387" t="e">
        <f>VLOOKUP(E2793,'[1]NDB Impacted SPRFs 05032013'!$A$2:$A$65536,1,FALSE)</f>
        <v>#N/A</v>
      </c>
      <c r="S2793" s="128"/>
      <c r="T2793" s="128"/>
      <c r="U2793" s="128"/>
    </row>
    <row r="2794" spans="1:21" s="159" customFormat="1" ht="51" x14ac:dyDescent="0.2">
      <c r="A2794" s="167">
        <f>MATCH($E2794,'D1 - Master Project Table'!$B$24:$B$7056,0)</f>
        <v>3074</v>
      </c>
      <c r="B2794" s="63" t="b">
        <f t="shared" si="136"/>
        <v>0</v>
      </c>
      <c r="C2794" s="63" t="b">
        <f t="shared" si="137"/>
        <v>0</v>
      </c>
      <c r="D2794" s="63" t="str">
        <f t="shared" si="138"/>
        <v>OK</v>
      </c>
      <c r="E2794" s="410">
        <v>400045960</v>
      </c>
      <c r="F2794" s="165" t="s">
        <v>1400</v>
      </c>
      <c r="G2794" s="165" t="s">
        <v>5324</v>
      </c>
      <c r="H2794" s="165" t="s">
        <v>6462</v>
      </c>
      <c r="I2794" s="165" t="s">
        <v>1175</v>
      </c>
      <c r="J2794" s="165" t="s">
        <v>2198</v>
      </c>
      <c r="K2794" s="165" t="s">
        <v>8075</v>
      </c>
      <c r="L2794" s="165" t="s">
        <v>525</v>
      </c>
      <c r="M2794" s="165" t="s">
        <v>3758</v>
      </c>
      <c r="N2794" s="165" t="s">
        <v>7273</v>
      </c>
      <c r="O2794" s="165" t="s">
        <v>3758</v>
      </c>
      <c r="P2794" s="145"/>
      <c r="Q2794"/>
      <c r="R2794" s="387" t="e">
        <f>VLOOKUP(E2794,'[1]NDB Impacted SPRFs 05032013'!$A$2:$A$65536,1,FALSE)</f>
        <v>#N/A</v>
      </c>
    </row>
    <row r="2795" spans="1:21" ht="38.25" x14ac:dyDescent="0.2">
      <c r="A2795" s="167">
        <f>MATCH($E2795,'D1 - Master Project Table'!$B$24:$B$7056,0)</f>
        <v>3078</v>
      </c>
      <c r="B2795" s="167" t="b">
        <f t="shared" si="136"/>
        <v>0</v>
      </c>
      <c r="C2795" s="167" t="b">
        <f t="shared" si="137"/>
        <v>0</v>
      </c>
      <c r="D2795" s="63" t="str">
        <f t="shared" si="138"/>
        <v>OK</v>
      </c>
      <c r="E2795" s="410">
        <v>400046521</v>
      </c>
      <c r="F2795" s="165" t="s">
        <v>2275</v>
      </c>
      <c r="G2795" s="165" t="s">
        <v>5325</v>
      </c>
      <c r="H2795" s="165" t="s">
        <v>8012</v>
      </c>
      <c r="I2795" s="165" t="s">
        <v>4945</v>
      </c>
      <c r="J2795" s="165" t="s">
        <v>3449</v>
      </c>
      <c r="K2795" s="165" t="s">
        <v>5375</v>
      </c>
      <c r="L2795" s="165" t="s">
        <v>2276</v>
      </c>
      <c r="M2795" s="165" t="s">
        <v>7273</v>
      </c>
      <c r="N2795" s="165" t="s">
        <v>7273</v>
      </c>
      <c r="O2795" s="165" t="s">
        <v>7273</v>
      </c>
      <c r="P2795" s="145"/>
      <c r="Q2795"/>
      <c r="R2795" s="387" t="e">
        <f>VLOOKUP(E2795,'[1]NDB Impacted SPRFs 05032013'!$A$2:$A$65536,1,FALSE)</f>
        <v>#N/A</v>
      </c>
      <c r="S2795" s="159"/>
      <c r="T2795" s="159"/>
      <c r="U2795" s="159"/>
    </row>
    <row r="2796" spans="1:21" s="159" customFormat="1" ht="25.5" x14ac:dyDescent="0.2">
      <c r="A2796" s="167">
        <f>MATCH($E2796,'D1 - Master Project Table'!$B$24:$B$7056,0)</f>
        <v>3191</v>
      </c>
      <c r="B2796" s="167" t="b">
        <f t="shared" si="136"/>
        <v>0</v>
      </c>
      <c r="C2796" s="167" t="b">
        <f t="shared" si="137"/>
        <v>0</v>
      </c>
      <c r="D2796" s="63" t="str">
        <f t="shared" si="138"/>
        <v>OK</v>
      </c>
      <c r="E2796" s="210">
        <v>400044447</v>
      </c>
      <c r="F2796" s="396" t="s">
        <v>639</v>
      </c>
      <c r="G2796" s="396" t="s">
        <v>6322</v>
      </c>
      <c r="H2796" s="396" t="s">
        <v>4917</v>
      </c>
      <c r="I2796" s="396" t="s">
        <v>4893</v>
      </c>
      <c r="J2796" s="396" t="s">
        <v>2937</v>
      </c>
      <c r="K2796" s="396" t="s">
        <v>7164</v>
      </c>
      <c r="L2796" s="396" t="s">
        <v>2216</v>
      </c>
      <c r="M2796" s="396" t="s">
        <v>7273</v>
      </c>
      <c r="N2796" s="396" t="s">
        <v>7273</v>
      </c>
      <c r="O2796" s="396" t="s">
        <v>7273</v>
      </c>
      <c r="P2796" s="145"/>
      <c r="Q2796"/>
      <c r="R2796" s="387" t="e">
        <f>VLOOKUP(E2796,'[1]NDB Impacted SPRFs 05032013'!$A$2:$A$65536,1,FALSE)</f>
        <v>#N/A</v>
      </c>
    </row>
    <row r="2797" spans="1:21" s="159" customFormat="1" ht="51" x14ac:dyDescent="0.2">
      <c r="A2797" s="167">
        <f>MATCH($E2797,'D1 - Master Project Table'!$B$24:$B$7056,0)</f>
        <v>3198</v>
      </c>
      <c r="B2797" s="167" t="b">
        <f t="shared" si="136"/>
        <v>0</v>
      </c>
      <c r="C2797" s="167" t="b">
        <f t="shared" si="137"/>
        <v>0</v>
      </c>
      <c r="D2797" s="63" t="str">
        <f t="shared" si="138"/>
        <v>OK</v>
      </c>
      <c r="E2797" s="210">
        <v>400046149</v>
      </c>
      <c r="F2797" s="396" t="s">
        <v>1097</v>
      </c>
      <c r="G2797" s="396" t="s">
        <v>5325</v>
      </c>
      <c r="H2797" s="396" t="s">
        <v>4388</v>
      </c>
      <c r="I2797" s="396" t="s">
        <v>5328</v>
      </c>
      <c r="J2797" s="396" t="s">
        <v>5062</v>
      </c>
      <c r="K2797" s="396" t="s">
        <v>3224</v>
      </c>
      <c r="L2797" s="396" t="s">
        <v>1098</v>
      </c>
      <c r="M2797" s="396" t="s">
        <v>3758</v>
      </c>
      <c r="N2797" s="396" t="s">
        <v>7273</v>
      </c>
      <c r="O2797" s="396" t="s">
        <v>3758</v>
      </c>
      <c r="P2797" s="145"/>
      <c r="Q2797"/>
      <c r="R2797" s="387" t="e">
        <f>VLOOKUP(E2797,'[1]NDB Impacted SPRFs 05032013'!$A$2:$A$65536,1,FALSE)</f>
        <v>#N/A</v>
      </c>
    </row>
    <row r="2798" spans="1:21" s="159" customFormat="1" ht="38.25" x14ac:dyDescent="0.2">
      <c r="A2798" s="167">
        <f>MATCH($E2798,'D1 - Master Project Table'!$B$24:$B$7056,0)</f>
        <v>3071</v>
      </c>
      <c r="B2798" s="167" t="b">
        <f t="shared" si="136"/>
        <v>0</v>
      </c>
      <c r="C2798" s="167" t="b">
        <f t="shared" si="137"/>
        <v>0</v>
      </c>
      <c r="D2798" s="63" t="str">
        <f t="shared" si="138"/>
        <v>OK</v>
      </c>
      <c r="E2798" s="210">
        <v>400045759</v>
      </c>
      <c r="F2798" s="398" t="s">
        <v>5374</v>
      </c>
      <c r="G2798" s="398" t="s">
        <v>5325</v>
      </c>
      <c r="H2798" s="398" t="s">
        <v>4388</v>
      </c>
      <c r="I2798" s="398" t="s">
        <v>4945</v>
      </c>
      <c r="J2798" s="398" t="s">
        <v>3449</v>
      </c>
      <c r="K2798" s="398" t="s">
        <v>5375</v>
      </c>
      <c r="L2798" s="398" t="s">
        <v>5376</v>
      </c>
      <c r="M2798" s="398" t="s">
        <v>7273</v>
      </c>
      <c r="N2798" s="398" t="s">
        <v>7273</v>
      </c>
      <c r="O2798" s="398" t="s">
        <v>7273</v>
      </c>
      <c r="P2798" s="143"/>
      <c r="Q2798" s="161"/>
      <c r="R2798" s="387" t="e">
        <f>VLOOKUP(E2798,'[1]NDB Impacted SPRFs 05032013'!$A$2:$A$65536,1,FALSE)</f>
        <v>#N/A</v>
      </c>
      <c r="S2798" s="128"/>
      <c r="T2798" s="128"/>
      <c r="U2798" s="128"/>
    </row>
    <row r="2799" spans="1:21" s="164" customFormat="1" ht="25.5" x14ac:dyDescent="0.2">
      <c r="A2799" s="167">
        <f>MATCH($E2799,'D1 - Master Project Table'!$B$24:$B$7056,0)</f>
        <v>3195</v>
      </c>
      <c r="B2799" s="167" t="b">
        <f t="shared" si="136"/>
        <v>0</v>
      </c>
      <c r="C2799" s="167" t="b">
        <f t="shared" si="137"/>
        <v>0</v>
      </c>
      <c r="D2799" s="63" t="str">
        <f t="shared" si="138"/>
        <v>OK</v>
      </c>
      <c r="E2799" s="210">
        <v>400045111</v>
      </c>
      <c r="F2799" s="390" t="s">
        <v>3582</v>
      </c>
      <c r="G2799" s="390" t="s">
        <v>5324</v>
      </c>
      <c r="H2799" s="390" t="s">
        <v>8012</v>
      </c>
      <c r="I2799" s="390" t="s">
        <v>7073</v>
      </c>
      <c r="J2799" s="390" t="s">
        <v>4474</v>
      </c>
      <c r="K2799" s="390" t="s">
        <v>8075</v>
      </c>
      <c r="L2799" s="390" t="s">
        <v>3583</v>
      </c>
      <c r="M2799" s="390" t="s">
        <v>7273</v>
      </c>
      <c r="N2799" s="390" t="s">
        <v>7273</v>
      </c>
      <c r="O2799" s="390" t="s">
        <v>3758</v>
      </c>
      <c r="P2799" s="143"/>
      <c r="Q2799" s="128"/>
      <c r="R2799" s="387" t="e">
        <f>VLOOKUP(E2799,'[1]NDB Impacted SPRFs 05032013'!$A$2:$A$65536,1,FALSE)</f>
        <v>#N/A</v>
      </c>
      <c r="S2799" s="128"/>
      <c r="T2799" s="128"/>
      <c r="U2799" s="128"/>
    </row>
    <row r="2800" spans="1:21" s="164" customFormat="1" ht="51" x14ac:dyDescent="0.2">
      <c r="A2800" s="167">
        <f>MATCH($E2800,'D1 - Master Project Table'!$B$24:$B$7056,0)</f>
        <v>3044</v>
      </c>
      <c r="B2800" s="167" t="b">
        <f t="shared" si="136"/>
        <v>0</v>
      </c>
      <c r="C2800" s="167" t="b">
        <f t="shared" si="137"/>
        <v>0</v>
      </c>
      <c r="D2800" s="63" t="str">
        <f t="shared" si="138"/>
        <v>OK</v>
      </c>
      <c r="E2800" s="210">
        <v>400042908</v>
      </c>
      <c r="F2800" s="390" t="s">
        <v>5283</v>
      </c>
      <c r="G2800" s="390" t="s">
        <v>5325</v>
      </c>
      <c r="H2800" s="390" t="s">
        <v>4388</v>
      </c>
      <c r="I2800" s="390" t="s">
        <v>4945</v>
      </c>
      <c r="J2800" s="390" t="s">
        <v>5284</v>
      </c>
      <c r="K2800" s="390" t="s">
        <v>5285</v>
      </c>
      <c r="L2800" s="390" t="s">
        <v>3065</v>
      </c>
      <c r="M2800" s="390" t="s">
        <v>7273</v>
      </c>
      <c r="N2800" s="390" t="s">
        <v>7273</v>
      </c>
      <c r="O2800" s="390" t="s">
        <v>7273</v>
      </c>
      <c r="P2800" s="143"/>
      <c r="Q2800" s="128"/>
      <c r="R2800" s="387" t="e">
        <f>VLOOKUP(E2800,'[1]NDB Impacted SPRFs 05032013'!$A$2:$A$65536,1,FALSE)</f>
        <v>#N/A</v>
      </c>
      <c r="S2800" s="128"/>
      <c r="T2800" s="128"/>
      <c r="U2800" s="128"/>
    </row>
    <row r="2801" spans="1:21" ht="25.5" x14ac:dyDescent="0.2">
      <c r="A2801" s="63">
        <f>MATCH($E2801,'D1 - Master Project Table'!$B$24:$B$7056,0)</f>
        <v>208</v>
      </c>
      <c r="B2801" s="63" t="b">
        <f t="shared" si="136"/>
        <v>0</v>
      </c>
      <c r="C2801" s="63" t="b">
        <f t="shared" si="137"/>
        <v>0</v>
      </c>
      <c r="D2801" s="63" t="str">
        <f t="shared" si="138"/>
        <v>OK</v>
      </c>
      <c r="E2801" s="210">
        <v>400045257</v>
      </c>
      <c r="F2801" s="391" t="s">
        <v>3585</v>
      </c>
      <c r="G2801" s="391" t="s">
        <v>5324</v>
      </c>
      <c r="H2801" s="426" t="s">
        <v>4388</v>
      </c>
      <c r="I2801" s="391" t="s">
        <v>6814</v>
      </c>
      <c r="J2801" s="391" t="s">
        <v>1586</v>
      </c>
      <c r="K2801" s="391" t="s">
        <v>3586</v>
      </c>
      <c r="L2801" s="391" t="s">
        <v>3587</v>
      </c>
      <c r="M2801" s="427" t="s">
        <v>7273</v>
      </c>
      <c r="N2801" s="427" t="s">
        <v>7273</v>
      </c>
      <c r="O2801" s="391" t="s">
        <v>7273</v>
      </c>
      <c r="P2801" s="143"/>
      <c r="R2801" s="387" t="e">
        <f>VLOOKUP(E2801,'[1]NDB Impacted SPRFs 05032013'!$A$2:$A$65536,1,FALSE)</f>
        <v>#N/A</v>
      </c>
      <c r="U2801" s="197" t="s">
        <v>7420</v>
      </c>
    </row>
    <row r="2802" spans="1:21" ht="51" x14ac:dyDescent="0.2">
      <c r="A2802" s="63">
        <f>MATCH($E2802,'D1 - Master Project Table'!$B$24:$B$7056,0)</f>
        <v>3184</v>
      </c>
      <c r="B2802" s="63" t="b">
        <f t="shared" si="136"/>
        <v>0</v>
      </c>
      <c r="C2802" s="63" t="b">
        <f t="shared" si="137"/>
        <v>0</v>
      </c>
      <c r="D2802" s="63" t="str">
        <f t="shared" si="138"/>
        <v>OK</v>
      </c>
      <c r="E2802" s="210">
        <v>400042336</v>
      </c>
      <c r="F2802" s="295" t="s">
        <v>637</v>
      </c>
      <c r="G2802" s="295" t="s">
        <v>5995</v>
      </c>
      <c r="H2802" s="400" t="s">
        <v>6462</v>
      </c>
      <c r="I2802" s="295" t="s">
        <v>1892</v>
      </c>
      <c r="J2802" s="295" t="s">
        <v>2471</v>
      </c>
      <c r="K2802" s="295" t="s">
        <v>3261</v>
      </c>
      <c r="L2802" s="295" t="s">
        <v>638</v>
      </c>
      <c r="M2802" s="401" t="s">
        <v>3758</v>
      </c>
      <c r="N2802" s="401" t="s">
        <v>7273</v>
      </c>
      <c r="O2802" s="295" t="s">
        <v>3758</v>
      </c>
      <c r="P2802" s="146"/>
      <c r="Q2802"/>
      <c r="R2802" s="387" t="e">
        <f>VLOOKUP(E2802,'[1]NDB Impacted SPRFs 05032013'!$A$2:$A$65536,1,FALSE)</f>
        <v>#N/A</v>
      </c>
    </row>
    <row r="2803" spans="1:21" ht="51" x14ac:dyDescent="0.2">
      <c r="A2803" s="63">
        <f>MATCH($E2803,'D1 - Master Project Table'!$B$24:$B$7056,0)</f>
        <v>3058</v>
      </c>
      <c r="B2803" s="63" t="b">
        <f t="shared" si="136"/>
        <v>0</v>
      </c>
      <c r="C2803" s="63" t="b">
        <f t="shared" si="137"/>
        <v>0</v>
      </c>
      <c r="D2803" s="63" t="str">
        <f t="shared" si="138"/>
        <v>OK</v>
      </c>
      <c r="E2803" s="210">
        <v>400043957</v>
      </c>
      <c r="F2803" s="295" t="s">
        <v>2048</v>
      </c>
      <c r="G2803" s="295" t="s">
        <v>5324</v>
      </c>
      <c r="H2803" s="295" t="s">
        <v>8012</v>
      </c>
      <c r="I2803" s="295" t="s">
        <v>2049</v>
      </c>
      <c r="J2803" s="295" t="s">
        <v>6543</v>
      </c>
      <c r="K2803" s="295" t="s">
        <v>2050</v>
      </c>
      <c r="L2803" s="295" t="s">
        <v>638</v>
      </c>
      <c r="M2803" s="295" t="s">
        <v>3758</v>
      </c>
      <c r="N2803" s="295" t="s">
        <v>7273</v>
      </c>
      <c r="O2803" s="295" t="s">
        <v>3758</v>
      </c>
      <c r="P2803" s="143"/>
      <c r="R2803" s="387" t="e">
        <f>VLOOKUP(E2803,'[1]NDB Impacted SPRFs 05032013'!$A$2:$A$65536,1,FALSE)</f>
        <v>#N/A</v>
      </c>
    </row>
    <row r="2804" spans="1:21" ht="25.5" x14ac:dyDescent="0.2">
      <c r="A2804" s="63">
        <f>MATCH($E2804,'D1 - Master Project Table'!$B$24:$B$7056,0)</f>
        <v>1018</v>
      </c>
      <c r="B2804" s="63" t="b">
        <f t="shared" si="136"/>
        <v>0</v>
      </c>
      <c r="C2804" s="63" t="b">
        <f t="shared" si="137"/>
        <v>1</v>
      </c>
      <c r="D2804" s="63" t="str">
        <f t="shared" si="138"/>
        <v>OK</v>
      </c>
      <c r="E2804" s="210">
        <v>400027704</v>
      </c>
      <c r="F2804" s="252" t="s">
        <v>6186</v>
      </c>
      <c r="G2804" s="252" t="s">
        <v>4154</v>
      </c>
      <c r="H2804" s="252" t="s">
        <v>7418</v>
      </c>
      <c r="I2804" s="252" t="s">
        <v>4088</v>
      </c>
      <c r="J2804" s="252" t="s">
        <v>5978</v>
      </c>
      <c r="K2804" s="252" t="s">
        <v>5454</v>
      </c>
      <c r="L2804" s="252" t="s">
        <v>2845</v>
      </c>
      <c r="M2804" s="252" t="s">
        <v>7273</v>
      </c>
      <c r="N2804" s="252" t="s">
        <v>7273</v>
      </c>
      <c r="O2804" s="252" t="s">
        <v>7273</v>
      </c>
      <c r="P2804" s="143"/>
      <c r="R2804" s="387" t="e">
        <f>VLOOKUP(E2804,'[1]NDB Impacted SPRFs 05032013'!$A$2:$A$65536,1,FALSE)</f>
        <v>#N/A</v>
      </c>
    </row>
    <row r="2805" spans="1:21" ht="38.25" x14ac:dyDescent="0.2">
      <c r="A2805" s="63">
        <f>MATCH($E2805,'D1 - Master Project Table'!$B$24:$B$7056,0)</f>
        <v>965</v>
      </c>
      <c r="B2805" s="63" t="b">
        <f t="shared" si="136"/>
        <v>0</v>
      </c>
      <c r="C2805" s="63" t="b">
        <f t="shared" si="137"/>
        <v>1</v>
      </c>
      <c r="D2805" s="63" t="str">
        <f t="shared" si="138"/>
        <v>OK</v>
      </c>
      <c r="E2805" s="210">
        <v>400026041</v>
      </c>
      <c r="F2805" s="252" t="s">
        <v>669</v>
      </c>
      <c r="G2805" s="252" t="s">
        <v>4154</v>
      </c>
      <c r="H2805" s="252" t="s">
        <v>7418</v>
      </c>
      <c r="I2805" s="252" t="s">
        <v>670</v>
      </c>
      <c r="J2805" s="252" t="s">
        <v>671</v>
      </c>
      <c r="K2805" s="252" t="s">
        <v>5641</v>
      </c>
      <c r="L2805" s="252" t="s">
        <v>4353</v>
      </c>
      <c r="M2805" s="252" t="s">
        <v>7273</v>
      </c>
      <c r="N2805" s="252" t="s">
        <v>7273</v>
      </c>
      <c r="O2805" s="252" t="s">
        <v>7273</v>
      </c>
      <c r="P2805" s="143"/>
      <c r="R2805" s="387" t="e">
        <f>VLOOKUP(E2805,'[1]NDB Impacted SPRFs 05032013'!$A$2:$A$65536,1,FALSE)</f>
        <v>#N/A</v>
      </c>
    </row>
    <row r="2806" spans="1:21" ht="51" x14ac:dyDescent="0.2">
      <c r="A2806" s="63">
        <f>MATCH($E2806,'D1 - Master Project Table'!$B$24:$B$7056,0)</f>
        <v>960</v>
      </c>
      <c r="B2806" s="63" t="b">
        <f t="shared" si="136"/>
        <v>0</v>
      </c>
      <c r="C2806" s="63" t="b">
        <f t="shared" si="137"/>
        <v>1</v>
      </c>
      <c r="D2806" s="63" t="str">
        <f t="shared" si="138"/>
        <v>OK</v>
      </c>
      <c r="E2806" s="210">
        <v>400021244</v>
      </c>
      <c r="F2806" s="252" t="s">
        <v>666</v>
      </c>
      <c r="G2806" s="252" t="s">
        <v>4154</v>
      </c>
      <c r="H2806" s="252" t="s">
        <v>7418</v>
      </c>
      <c r="I2806" s="252" t="s">
        <v>667</v>
      </c>
      <c r="J2806" s="252" t="s">
        <v>5978</v>
      </c>
      <c r="K2806" s="252" t="s">
        <v>668</v>
      </c>
      <c r="L2806" s="252" t="s">
        <v>5365</v>
      </c>
      <c r="M2806" s="252" t="s">
        <v>3758</v>
      </c>
      <c r="N2806" s="252" t="s">
        <v>7273</v>
      </c>
      <c r="O2806" s="252" t="s">
        <v>7273</v>
      </c>
      <c r="P2806" s="143"/>
      <c r="R2806" s="387" t="e">
        <f>VLOOKUP(E2806,'[1]NDB Impacted SPRFs 05032013'!$A$2:$A$65536,1,FALSE)</f>
        <v>#N/A</v>
      </c>
    </row>
    <row r="2807" spans="1:21" ht="25.5" x14ac:dyDescent="0.2">
      <c r="A2807" s="63">
        <f>MATCH($E2807,'D1 - Master Project Table'!$B$24:$B$7056,0)</f>
        <v>2682</v>
      </c>
      <c r="B2807" s="63" t="b">
        <f t="shared" si="136"/>
        <v>0</v>
      </c>
      <c r="C2807" s="63" t="b">
        <f t="shared" si="137"/>
        <v>1</v>
      </c>
      <c r="D2807" s="63" t="str">
        <f t="shared" si="138"/>
        <v>OK</v>
      </c>
      <c r="E2807" s="210">
        <v>400017210</v>
      </c>
      <c r="F2807" s="252" t="s">
        <v>672</v>
      </c>
      <c r="G2807" s="252" t="s">
        <v>4154</v>
      </c>
      <c r="H2807" s="252" t="s">
        <v>5314</v>
      </c>
      <c r="I2807" s="252" t="s">
        <v>6773</v>
      </c>
      <c r="J2807" s="252" t="s">
        <v>6768</v>
      </c>
      <c r="K2807" s="252" t="s">
        <v>6394</v>
      </c>
      <c r="L2807" s="252" t="s">
        <v>2845</v>
      </c>
      <c r="M2807" s="252" t="s">
        <v>7273</v>
      </c>
      <c r="N2807" s="252" t="s">
        <v>7273</v>
      </c>
      <c r="O2807" s="252" t="s">
        <v>7273</v>
      </c>
      <c r="R2807" s="387" t="e">
        <f>VLOOKUP(E2807,'[1]NDB Impacted SPRFs 05032013'!$A$2:$A$65536,1,FALSE)</f>
        <v>#N/A</v>
      </c>
    </row>
    <row r="2808" spans="1:21" ht="51" x14ac:dyDescent="0.2">
      <c r="A2808" s="63">
        <f>MATCH($E2808,'D1 - Master Project Table'!$B$24:$B$7056,0)</f>
        <v>2690</v>
      </c>
      <c r="B2808" s="63" t="b">
        <f t="shared" si="136"/>
        <v>0</v>
      </c>
      <c r="C2808" s="63" t="b">
        <f t="shared" si="137"/>
        <v>1</v>
      </c>
      <c r="D2808" s="63" t="str">
        <f t="shared" si="138"/>
        <v>OK</v>
      </c>
      <c r="E2808" s="210">
        <v>400017818</v>
      </c>
      <c r="F2808" s="252" t="s">
        <v>673</v>
      </c>
      <c r="G2808" s="252" t="s">
        <v>4154</v>
      </c>
      <c r="H2808" s="252" t="s">
        <v>7418</v>
      </c>
      <c r="I2808" s="252" t="s">
        <v>146</v>
      </c>
      <c r="J2808" s="252" t="s">
        <v>147</v>
      </c>
      <c r="K2808" s="252" t="s">
        <v>668</v>
      </c>
      <c r="L2808" s="252" t="s">
        <v>383</v>
      </c>
      <c r="M2808" s="252" t="s">
        <v>7273</v>
      </c>
      <c r="N2808" s="252" t="s">
        <v>7273</v>
      </c>
      <c r="O2808" s="252" t="s">
        <v>7273</v>
      </c>
      <c r="R2808" s="387" t="e">
        <f>VLOOKUP(E2808,'[1]NDB Impacted SPRFs 05032013'!$A$2:$A$65536,1,FALSE)</f>
        <v>#N/A</v>
      </c>
    </row>
    <row r="2809" spans="1:21" ht="25.5" x14ac:dyDescent="0.2">
      <c r="A2809" s="63">
        <f>MATCH($E2809,'D1 - Master Project Table'!$B$24:$B$7056,0)</f>
        <v>445</v>
      </c>
      <c r="B2809" s="63" t="b">
        <f t="shared" si="136"/>
        <v>0</v>
      </c>
      <c r="C2809" s="63" t="b">
        <f t="shared" si="137"/>
        <v>1</v>
      </c>
      <c r="D2809" s="63" t="str">
        <f t="shared" si="138"/>
        <v>OK</v>
      </c>
      <c r="E2809" s="210">
        <v>400009863</v>
      </c>
      <c r="F2809" s="252" t="s">
        <v>1615</v>
      </c>
      <c r="G2809" s="252" t="s">
        <v>4154</v>
      </c>
      <c r="H2809" s="252" t="s">
        <v>7418</v>
      </c>
      <c r="I2809" s="252" t="s">
        <v>6773</v>
      </c>
      <c r="J2809" s="252" t="s">
        <v>3833</v>
      </c>
      <c r="K2809" s="252" t="s">
        <v>6976</v>
      </c>
      <c r="L2809" s="252" t="s">
        <v>2845</v>
      </c>
      <c r="M2809" s="252" t="s">
        <v>7273</v>
      </c>
      <c r="N2809" s="252" t="s">
        <v>7273</v>
      </c>
      <c r="O2809" s="252" t="s">
        <v>7273</v>
      </c>
      <c r="R2809" s="387" t="e">
        <f>VLOOKUP(E2809,'[1]NDB Impacted SPRFs 05032013'!$A$2:$A$65536,1,FALSE)</f>
        <v>#N/A</v>
      </c>
    </row>
    <row r="2810" spans="1:21" ht="25.5" x14ac:dyDescent="0.2">
      <c r="A2810" s="63">
        <f>MATCH($E2810,'D1 - Master Project Table'!$B$24:$B$7056,0)</f>
        <v>2050</v>
      </c>
      <c r="B2810" s="63" t="b">
        <f t="shared" si="136"/>
        <v>0</v>
      </c>
      <c r="C2810" s="63" t="b">
        <f t="shared" si="137"/>
        <v>1</v>
      </c>
      <c r="D2810" s="63" t="str">
        <f t="shared" si="138"/>
        <v>OK</v>
      </c>
      <c r="E2810" s="210">
        <v>400011972</v>
      </c>
      <c r="F2810" s="252" t="s">
        <v>384</v>
      </c>
      <c r="G2810" s="252" t="s">
        <v>4154</v>
      </c>
      <c r="H2810" s="252" t="s">
        <v>5314</v>
      </c>
      <c r="I2810" s="252" t="s">
        <v>6773</v>
      </c>
      <c r="J2810" s="252" t="s">
        <v>7935</v>
      </c>
      <c r="K2810" s="252" t="s">
        <v>4084</v>
      </c>
      <c r="L2810" s="252" t="s">
        <v>2845</v>
      </c>
      <c r="M2810" s="252" t="s">
        <v>7273</v>
      </c>
      <c r="N2810" s="252" t="s">
        <v>7273</v>
      </c>
      <c r="O2810" s="252" t="s">
        <v>7273</v>
      </c>
      <c r="R2810" s="387" t="e">
        <f>VLOOKUP(E2810,'[1]NDB Impacted SPRFs 05032013'!$A$2:$A$65536,1,FALSE)</f>
        <v>#N/A</v>
      </c>
    </row>
    <row r="2811" spans="1:21" ht="25.5" x14ac:dyDescent="0.2">
      <c r="A2811" s="63">
        <f>MATCH($E2811,'D1 - Master Project Table'!$B$24:$B$7056,0)</f>
        <v>3028</v>
      </c>
      <c r="B2811" s="63" t="b">
        <f t="shared" si="136"/>
        <v>0</v>
      </c>
      <c r="C2811" s="63" t="b">
        <f t="shared" si="137"/>
        <v>0</v>
      </c>
      <c r="D2811" s="63" t="str">
        <f t="shared" si="138"/>
        <v>OK</v>
      </c>
      <c r="E2811" s="210">
        <v>400041107</v>
      </c>
      <c r="F2811" s="249" t="s">
        <v>1534</v>
      </c>
      <c r="G2811" s="249" t="s">
        <v>6322</v>
      </c>
      <c r="H2811" s="249" t="s">
        <v>8012</v>
      </c>
      <c r="I2811" s="249" t="s">
        <v>6536</v>
      </c>
      <c r="J2811" s="249" t="s">
        <v>4688</v>
      </c>
      <c r="K2811" s="249" t="s">
        <v>7102</v>
      </c>
      <c r="L2811" s="249" t="s">
        <v>4294</v>
      </c>
      <c r="M2811" s="249" t="s">
        <v>7273</v>
      </c>
      <c r="N2811" s="249" t="s">
        <v>7273</v>
      </c>
      <c r="O2811" s="249" t="s">
        <v>7273</v>
      </c>
      <c r="R2811" s="387" t="e">
        <f>VLOOKUP(E2811,'[1]NDB Impacted SPRFs 05032013'!$A$2:$A$65536,1,FALSE)</f>
        <v>#N/A</v>
      </c>
    </row>
    <row r="2812" spans="1:21" ht="25.5" x14ac:dyDescent="0.2">
      <c r="A2812" s="63">
        <f>MATCH($E2812,'D1 - Master Project Table'!$B$24:$B$7056,0)</f>
        <v>3024</v>
      </c>
      <c r="B2812" s="63" t="b">
        <f t="shared" si="136"/>
        <v>0</v>
      </c>
      <c r="C2812" s="63" t="b">
        <f t="shared" si="137"/>
        <v>0</v>
      </c>
      <c r="D2812" s="63" t="str">
        <f t="shared" si="138"/>
        <v>OK</v>
      </c>
      <c r="E2812" s="210">
        <v>400040926</v>
      </c>
      <c r="F2812" s="245" t="s">
        <v>4293</v>
      </c>
      <c r="G2812" s="245" t="s">
        <v>7594</v>
      </c>
      <c r="H2812" s="245" t="s">
        <v>8012</v>
      </c>
      <c r="I2812" s="245" t="s">
        <v>4893</v>
      </c>
      <c r="J2812" s="245" t="s">
        <v>4688</v>
      </c>
      <c r="K2812" s="245" t="s">
        <v>1440</v>
      </c>
      <c r="L2812" s="245" t="s">
        <v>6990</v>
      </c>
      <c r="M2812" s="245" t="s">
        <v>7273</v>
      </c>
      <c r="N2812" s="245" t="s">
        <v>7273</v>
      </c>
      <c r="O2812" s="245" t="s">
        <v>7273</v>
      </c>
      <c r="P2812" s="128"/>
      <c r="Q2812"/>
      <c r="R2812" s="387" t="e">
        <f>VLOOKUP(E2812,'[1]NDB Impacted SPRFs 05032013'!$A$2:$A$65536,1,FALSE)</f>
        <v>#N/A</v>
      </c>
    </row>
    <row r="2813" spans="1:21" ht="25.5" x14ac:dyDescent="0.2">
      <c r="A2813" s="63">
        <f>MATCH($E2813,'D1 - Master Project Table'!$B$24:$B$7056,0)</f>
        <v>2974</v>
      </c>
      <c r="B2813" s="63" t="b">
        <f t="shared" si="136"/>
        <v>0</v>
      </c>
      <c r="C2813" s="63" t="b">
        <f t="shared" si="137"/>
        <v>0</v>
      </c>
      <c r="D2813" s="63" t="str">
        <f t="shared" si="138"/>
        <v>OK</v>
      </c>
      <c r="E2813" s="210">
        <v>400036974</v>
      </c>
      <c r="F2813" s="246" t="s">
        <v>1475</v>
      </c>
      <c r="G2813" s="246" t="s">
        <v>5995</v>
      </c>
      <c r="H2813" s="246" t="s">
        <v>4917</v>
      </c>
      <c r="I2813" s="246" t="s">
        <v>7235</v>
      </c>
      <c r="J2813" s="246" t="s">
        <v>7496</v>
      </c>
      <c r="K2813" s="246" t="s">
        <v>1476</v>
      </c>
      <c r="L2813" s="246" t="s">
        <v>1477</v>
      </c>
      <c r="M2813" s="246" t="s">
        <v>7273</v>
      </c>
      <c r="N2813" s="246" t="s">
        <v>7273</v>
      </c>
      <c r="O2813" s="246" t="s">
        <v>7273</v>
      </c>
      <c r="R2813" s="387" t="e">
        <f>VLOOKUP(E2813,'[1]NDB Impacted SPRFs 05032013'!$A$2:$A$65536,1,FALSE)</f>
        <v>#N/A</v>
      </c>
    </row>
    <row r="2814" spans="1:21" ht="51" x14ac:dyDescent="0.2">
      <c r="A2814" s="63">
        <f>MATCH($E2814,'D1 - Master Project Table'!$B$24:$B$7056,0)</f>
        <v>2929</v>
      </c>
      <c r="B2814" s="63" t="b">
        <f t="shared" si="136"/>
        <v>0</v>
      </c>
      <c r="C2814" s="63" t="b">
        <f t="shared" si="137"/>
        <v>0</v>
      </c>
      <c r="D2814" s="63" t="str">
        <f t="shared" si="138"/>
        <v>OK</v>
      </c>
      <c r="E2814" s="210">
        <v>400033158</v>
      </c>
      <c r="F2814" s="243" t="s">
        <v>385</v>
      </c>
      <c r="G2814" s="243" t="s">
        <v>5001</v>
      </c>
      <c r="H2814" s="243" t="s">
        <v>4917</v>
      </c>
      <c r="I2814" s="243" t="s">
        <v>3092</v>
      </c>
      <c r="J2814" s="243" t="s">
        <v>3138</v>
      </c>
      <c r="K2814" s="243" t="s">
        <v>7751</v>
      </c>
      <c r="L2814" s="243" t="s">
        <v>386</v>
      </c>
      <c r="M2814" s="243" t="s">
        <v>3758</v>
      </c>
      <c r="N2814" s="243" t="s">
        <v>7273</v>
      </c>
      <c r="O2814" s="243" t="s">
        <v>7273</v>
      </c>
      <c r="R2814" s="387" t="e">
        <f>VLOOKUP(E2814,'[1]NDB Impacted SPRFs 05032013'!$A$2:$A$65536,1,FALSE)</f>
        <v>#N/A</v>
      </c>
    </row>
    <row r="2815" spans="1:21" ht="38.25" x14ac:dyDescent="0.2">
      <c r="A2815" s="63">
        <f>MATCH($E2815,'D1 - Master Project Table'!$B$24:$B$7056,0)</f>
        <v>3027</v>
      </c>
      <c r="B2815" s="63" t="b">
        <f t="shared" si="136"/>
        <v>0</v>
      </c>
      <c r="C2815" s="63" t="b">
        <f t="shared" si="137"/>
        <v>0</v>
      </c>
      <c r="D2815" s="63" t="str">
        <f t="shared" si="138"/>
        <v>OK</v>
      </c>
      <c r="E2815" s="210">
        <v>400041067</v>
      </c>
      <c r="F2815" s="242" t="s">
        <v>2495</v>
      </c>
      <c r="G2815" s="242" t="s">
        <v>3732</v>
      </c>
      <c r="H2815" s="242" t="s">
        <v>8012</v>
      </c>
      <c r="I2815" s="242" t="s">
        <v>5803</v>
      </c>
      <c r="J2815" s="242" t="s">
        <v>2496</v>
      </c>
      <c r="K2815" s="242" t="s">
        <v>2497</v>
      </c>
      <c r="L2815" s="242" t="s">
        <v>2498</v>
      </c>
      <c r="M2815" s="242" t="s">
        <v>7273</v>
      </c>
      <c r="N2815" s="242" t="s">
        <v>7273</v>
      </c>
      <c r="O2815" s="242" t="s">
        <v>7273</v>
      </c>
      <c r="R2815" s="387" t="e">
        <f>VLOOKUP(E2815,'[1]NDB Impacted SPRFs 05032013'!$A$2:$A$65536,1,FALSE)</f>
        <v>#N/A</v>
      </c>
    </row>
    <row r="2816" spans="1:21" ht="25.5" x14ac:dyDescent="0.2">
      <c r="A2816" s="63">
        <f>MATCH($E2816,'D1 - Master Project Table'!$B$24:$B$7056,0)</f>
        <v>3012</v>
      </c>
      <c r="B2816" s="63" t="b">
        <f t="shared" si="136"/>
        <v>0</v>
      </c>
      <c r="C2816" s="63" t="b">
        <f t="shared" si="137"/>
        <v>0</v>
      </c>
      <c r="D2816" s="63" t="str">
        <f t="shared" si="138"/>
        <v>OK</v>
      </c>
      <c r="E2816" s="210">
        <v>400039912</v>
      </c>
      <c r="F2816" s="238" t="s">
        <v>6996</v>
      </c>
      <c r="G2816" s="238" t="s">
        <v>5995</v>
      </c>
      <c r="H2816" s="238" t="s">
        <v>4388</v>
      </c>
      <c r="I2816" s="238" t="s">
        <v>3260</v>
      </c>
      <c r="J2816" s="238" t="s">
        <v>6997</v>
      </c>
      <c r="K2816" s="238" t="s">
        <v>3261</v>
      </c>
      <c r="L2816" s="238" t="s">
        <v>5066</v>
      </c>
      <c r="M2816" s="238" t="s">
        <v>3758</v>
      </c>
      <c r="N2816" s="238" t="s">
        <v>7273</v>
      </c>
      <c r="O2816" s="238" t="s">
        <v>7273</v>
      </c>
      <c r="R2816" s="387" t="e">
        <f>VLOOKUP(E2816,'[1]NDB Impacted SPRFs 05032013'!$A$2:$A$65536,1,FALSE)</f>
        <v>#N/A</v>
      </c>
    </row>
    <row r="2817" spans="1:21" ht="25.5" x14ac:dyDescent="0.2">
      <c r="A2817" s="63">
        <f>MATCH($E2817,'D1 - Master Project Table'!$B$24:$B$7056,0)</f>
        <v>3013</v>
      </c>
      <c r="B2817" s="63" t="b">
        <f t="shared" si="136"/>
        <v>0</v>
      </c>
      <c r="C2817" s="63" t="b">
        <f t="shared" si="137"/>
        <v>0</v>
      </c>
      <c r="D2817" s="63" t="str">
        <f t="shared" si="138"/>
        <v>OK</v>
      </c>
      <c r="E2817" s="210">
        <v>400039928</v>
      </c>
      <c r="F2817" s="238" t="s">
        <v>5067</v>
      </c>
      <c r="G2817" s="238" t="s">
        <v>5995</v>
      </c>
      <c r="H2817" s="238" t="s">
        <v>4388</v>
      </c>
      <c r="I2817" s="238" t="s">
        <v>3260</v>
      </c>
      <c r="J2817" s="238" t="s">
        <v>6997</v>
      </c>
      <c r="K2817" s="238" t="s">
        <v>3261</v>
      </c>
      <c r="L2817" s="238" t="s">
        <v>5068</v>
      </c>
      <c r="M2817" s="238" t="s">
        <v>7273</v>
      </c>
      <c r="N2817" s="238" t="s">
        <v>7273</v>
      </c>
      <c r="O2817" s="238" t="s">
        <v>7273</v>
      </c>
      <c r="R2817" s="387" t="e">
        <f>VLOOKUP(E2817,'[1]NDB Impacted SPRFs 05032013'!$A$2:$A$65536,1,FALSE)</f>
        <v>#N/A</v>
      </c>
    </row>
    <row r="2818" spans="1:21" ht="51" x14ac:dyDescent="0.2">
      <c r="A2818" s="63">
        <f>MATCH($E2818,'D1 - Master Project Table'!$B$24:$B$7056,0)</f>
        <v>2981</v>
      </c>
      <c r="B2818" s="63" t="b">
        <f t="shared" si="136"/>
        <v>0</v>
      </c>
      <c r="C2818" s="63" t="b">
        <f t="shared" si="137"/>
        <v>0</v>
      </c>
      <c r="D2818" s="63" t="str">
        <f t="shared" si="138"/>
        <v>OK</v>
      </c>
      <c r="E2818" s="210">
        <v>400037636</v>
      </c>
      <c r="F2818" s="217" t="s">
        <v>7099</v>
      </c>
      <c r="G2818" s="217" t="s">
        <v>5995</v>
      </c>
      <c r="H2818" s="217" t="s">
        <v>3555</v>
      </c>
      <c r="I2818" s="217" t="s">
        <v>6309</v>
      </c>
      <c r="J2818" s="217" t="s">
        <v>6310</v>
      </c>
      <c r="K2818" s="217" t="s">
        <v>5572</v>
      </c>
      <c r="L2818" s="217" t="s">
        <v>7100</v>
      </c>
      <c r="M2818" s="217" t="s">
        <v>7273</v>
      </c>
      <c r="N2818" s="217" t="s">
        <v>7273</v>
      </c>
      <c r="O2818" s="217" t="s">
        <v>3758</v>
      </c>
      <c r="R2818" s="387" t="e">
        <f>VLOOKUP(E2818,'[1]NDB Impacted SPRFs 05032013'!$A$2:$A$65536,1,FALSE)</f>
        <v>#N/A</v>
      </c>
    </row>
    <row r="2819" spans="1:21" ht="51" x14ac:dyDescent="0.2">
      <c r="A2819" s="63">
        <f>MATCH($E2819,'D1 - Master Project Table'!$B$24:$B$7056,0)</f>
        <v>2993</v>
      </c>
      <c r="B2819" s="63" t="b">
        <f t="shared" si="136"/>
        <v>0</v>
      </c>
      <c r="C2819" s="63" t="b">
        <f t="shared" si="137"/>
        <v>0</v>
      </c>
      <c r="D2819" s="63" t="str">
        <f t="shared" si="138"/>
        <v>OK</v>
      </c>
      <c r="E2819" s="210">
        <v>400038413</v>
      </c>
      <c r="F2819" s="217" t="s">
        <v>93</v>
      </c>
      <c r="G2819" s="217" t="s">
        <v>5001</v>
      </c>
      <c r="H2819" s="217" t="s">
        <v>6462</v>
      </c>
      <c r="I2819" s="217" t="s">
        <v>5110</v>
      </c>
      <c r="J2819" s="217" t="s">
        <v>1428</v>
      </c>
      <c r="K2819" s="217" t="s">
        <v>7197</v>
      </c>
      <c r="L2819" s="217" t="s">
        <v>7773</v>
      </c>
      <c r="M2819" s="217" t="s">
        <v>7273</v>
      </c>
      <c r="N2819" s="217" t="s">
        <v>7273</v>
      </c>
      <c r="O2819" s="217" t="s">
        <v>7273</v>
      </c>
      <c r="R2819" s="387" t="e">
        <f>VLOOKUP(E2819,'[1]NDB Impacted SPRFs 05032013'!$A$2:$A$65536,1,FALSE)</f>
        <v>#N/A</v>
      </c>
    </row>
    <row r="2820" spans="1:21" ht="38.25" x14ac:dyDescent="0.2">
      <c r="A2820" s="63">
        <f>MATCH($E2820,'D1 - Master Project Table'!$B$24:$B$7056,0)</f>
        <v>195</v>
      </c>
      <c r="B2820" s="63" t="b">
        <f t="shared" si="136"/>
        <v>0</v>
      </c>
      <c r="C2820" s="63" t="b">
        <f t="shared" si="137"/>
        <v>0</v>
      </c>
      <c r="D2820" s="63" t="str">
        <f t="shared" si="138"/>
        <v>OK</v>
      </c>
      <c r="E2820" s="210">
        <v>400039580</v>
      </c>
      <c r="F2820" s="217" t="s">
        <v>7378</v>
      </c>
      <c r="G2820" s="217" t="s">
        <v>5001</v>
      </c>
      <c r="H2820" s="217" t="s">
        <v>8012</v>
      </c>
      <c r="I2820" s="217" t="s">
        <v>6984</v>
      </c>
      <c r="J2820" s="217" t="s">
        <v>6985</v>
      </c>
      <c r="K2820" s="217" t="s">
        <v>6986</v>
      </c>
      <c r="L2820" s="217" t="s">
        <v>6987</v>
      </c>
      <c r="M2820" s="217" t="s">
        <v>7273</v>
      </c>
      <c r="N2820" s="217" t="s">
        <v>7273</v>
      </c>
      <c r="O2820" s="217" t="s">
        <v>7273</v>
      </c>
      <c r="R2820" s="387" t="e">
        <f>VLOOKUP(E2820,'[1]NDB Impacted SPRFs 05032013'!$A$2:$A$65536,1,FALSE)</f>
        <v>#N/A</v>
      </c>
    </row>
    <row r="2821" spans="1:21" ht="25.5" x14ac:dyDescent="0.2">
      <c r="A2821" s="63">
        <f>MATCH($E2821,'D1 - Master Project Table'!$B$24:$B$7056,0)</f>
        <v>194</v>
      </c>
      <c r="B2821" s="63" t="b">
        <f t="shared" si="136"/>
        <v>0</v>
      </c>
      <c r="C2821" s="63" t="b">
        <f t="shared" si="137"/>
        <v>0</v>
      </c>
      <c r="D2821" s="63" t="str">
        <f t="shared" si="138"/>
        <v>OK</v>
      </c>
      <c r="E2821" s="210">
        <v>400039395</v>
      </c>
      <c r="F2821" s="217" t="s">
        <v>5949</v>
      </c>
      <c r="G2821" s="217" t="s">
        <v>6065</v>
      </c>
      <c r="H2821" s="217" t="s">
        <v>4388</v>
      </c>
      <c r="I2821" s="217" t="s">
        <v>2855</v>
      </c>
      <c r="J2821" s="217" t="s">
        <v>5950</v>
      </c>
      <c r="K2821" s="217" t="s">
        <v>6240</v>
      </c>
      <c r="L2821" s="217" t="s">
        <v>2845</v>
      </c>
      <c r="M2821" s="217" t="s">
        <v>7273</v>
      </c>
      <c r="N2821" s="217" t="s">
        <v>7273</v>
      </c>
      <c r="O2821" s="217" t="s">
        <v>7273</v>
      </c>
      <c r="P2821" s="212"/>
      <c r="R2821" s="387" t="e">
        <f>VLOOKUP(E2821,'[1]NDB Impacted SPRFs 05032013'!$A$2:$A$65536,1,FALSE)</f>
        <v>#N/A</v>
      </c>
      <c r="S2821" s="159"/>
      <c r="T2821" s="159"/>
      <c r="U2821" s="159"/>
    </row>
    <row r="2822" spans="1:21" ht="25.5" x14ac:dyDescent="0.2">
      <c r="A2822" s="63">
        <f>MATCH($E2822,'D1 - Master Project Table'!$B$24:$B$7056,0)</f>
        <v>1280</v>
      </c>
      <c r="B2822" s="63" t="b">
        <f t="shared" si="136"/>
        <v>0</v>
      </c>
      <c r="C2822" s="63" t="b">
        <f t="shared" si="137"/>
        <v>0</v>
      </c>
      <c r="D2822" s="63" t="str">
        <f t="shared" si="138"/>
        <v>OK</v>
      </c>
      <c r="E2822" s="210">
        <v>400020548</v>
      </c>
      <c r="F2822" s="166" t="s">
        <v>7602</v>
      </c>
      <c r="G2822" s="166" t="s">
        <v>5001</v>
      </c>
      <c r="H2822" s="165" t="s">
        <v>8012</v>
      </c>
      <c r="I2822" s="166" t="s">
        <v>7603</v>
      </c>
      <c r="J2822" s="166" t="s">
        <v>2061</v>
      </c>
      <c r="K2822" s="166" t="s">
        <v>5520</v>
      </c>
      <c r="L2822" s="165" t="s">
        <v>2395</v>
      </c>
      <c r="M2822" s="165" t="s">
        <v>3758</v>
      </c>
      <c r="N2822" s="165" t="s">
        <v>7273</v>
      </c>
      <c r="O2822" s="165" t="s">
        <v>3758</v>
      </c>
      <c r="P2822" s="158" t="s">
        <v>4724</v>
      </c>
      <c r="R2822" s="387" t="e">
        <f>VLOOKUP(E2822,'[1]NDB Impacted SPRFs 05032013'!$A$2:$A$65536,1,FALSE)</f>
        <v>#N/A</v>
      </c>
      <c r="S2822" s="159"/>
      <c r="T2822" s="159"/>
      <c r="U2822" s="159"/>
    </row>
    <row r="2823" spans="1:21" ht="51" x14ac:dyDescent="0.2">
      <c r="A2823" s="63">
        <f>MATCH($E2823,'D1 - Master Project Table'!$B$24:$B$7056,0)</f>
        <v>2910</v>
      </c>
      <c r="B2823" s="63" t="b">
        <f t="shared" si="136"/>
        <v>0</v>
      </c>
      <c r="C2823" s="63" t="b">
        <f t="shared" si="137"/>
        <v>0</v>
      </c>
      <c r="D2823" s="63" t="str">
        <f t="shared" si="138"/>
        <v>OK</v>
      </c>
      <c r="E2823" s="210">
        <v>400031792</v>
      </c>
      <c r="F2823" s="165" t="s">
        <v>2694</v>
      </c>
      <c r="G2823" s="166" t="s">
        <v>7594</v>
      </c>
      <c r="H2823" s="165" t="s">
        <v>8012</v>
      </c>
      <c r="I2823" s="166" t="s">
        <v>1245</v>
      </c>
      <c r="J2823" s="166" t="s">
        <v>1246</v>
      </c>
      <c r="K2823" s="166" t="s">
        <v>2780</v>
      </c>
      <c r="L2823" s="166" t="s">
        <v>1532</v>
      </c>
      <c r="M2823" s="165" t="s">
        <v>7273</v>
      </c>
      <c r="N2823" s="165" t="s">
        <v>7273</v>
      </c>
      <c r="O2823" s="165" t="s">
        <v>7273</v>
      </c>
      <c r="P2823" s="220" t="s">
        <v>7858</v>
      </c>
      <c r="R2823" s="387" t="e">
        <f>VLOOKUP(E2823,'[1]NDB Impacted SPRFs 05032013'!$A$2:$A$65536,1,FALSE)</f>
        <v>#N/A</v>
      </c>
    </row>
    <row r="2824" spans="1:21" ht="51" x14ac:dyDescent="0.2">
      <c r="A2824" s="63">
        <f>MATCH($E2824,'D1 - Master Project Table'!$B$24:$B$7056,0)</f>
        <v>2915</v>
      </c>
      <c r="B2824" s="63" t="b">
        <f t="shared" si="136"/>
        <v>0</v>
      </c>
      <c r="C2824" s="63" t="b">
        <f t="shared" si="137"/>
        <v>0</v>
      </c>
      <c r="D2824" s="63" t="str">
        <f t="shared" si="138"/>
        <v>OK</v>
      </c>
      <c r="E2824" s="210">
        <v>400032325</v>
      </c>
      <c r="F2824" s="165" t="s">
        <v>3899</v>
      </c>
      <c r="G2824" s="165" t="s">
        <v>6008</v>
      </c>
      <c r="H2824" s="165" t="s">
        <v>4388</v>
      </c>
      <c r="I2824" s="165" t="s">
        <v>8076</v>
      </c>
      <c r="J2824" s="165" t="s">
        <v>6011</v>
      </c>
      <c r="K2824" s="165" t="s">
        <v>6739</v>
      </c>
      <c r="L2824" s="166" t="s">
        <v>2504</v>
      </c>
      <c r="M2824" s="165" t="s">
        <v>7273</v>
      </c>
      <c r="N2824" s="165" t="s">
        <v>7273</v>
      </c>
      <c r="O2824" s="165" t="s">
        <v>7273</v>
      </c>
      <c r="P2824" s="158" t="s">
        <v>4724</v>
      </c>
      <c r="R2824" s="387" t="e">
        <f>VLOOKUP(E2824,'[1]NDB Impacted SPRFs 05032013'!$A$2:$A$65536,1,FALSE)</f>
        <v>#N/A</v>
      </c>
      <c r="S2824" s="159"/>
      <c r="T2824" s="159"/>
      <c r="U2824" s="159"/>
    </row>
    <row r="2825" spans="1:21" ht="51" x14ac:dyDescent="0.2">
      <c r="A2825" s="63">
        <f>MATCH($E2825,'D1 - Master Project Table'!$B$24:$B$7056,0)</f>
        <v>2917</v>
      </c>
      <c r="B2825" s="63" t="b">
        <f t="shared" si="136"/>
        <v>0</v>
      </c>
      <c r="C2825" s="63" t="b">
        <f t="shared" si="137"/>
        <v>0</v>
      </c>
      <c r="D2825" s="63" t="str">
        <f t="shared" si="138"/>
        <v>OK</v>
      </c>
      <c r="E2825" s="210">
        <v>400032363</v>
      </c>
      <c r="F2825" s="166" t="s">
        <v>5730</v>
      </c>
      <c r="G2825" s="166" t="s">
        <v>7594</v>
      </c>
      <c r="H2825" s="165" t="s">
        <v>4917</v>
      </c>
      <c r="I2825" s="166" t="s">
        <v>5731</v>
      </c>
      <c r="J2825" s="166" t="s">
        <v>1062</v>
      </c>
      <c r="K2825" s="166" t="s">
        <v>3716</v>
      </c>
      <c r="L2825" s="166" t="s">
        <v>4831</v>
      </c>
      <c r="M2825" s="165" t="s">
        <v>7273</v>
      </c>
      <c r="N2825" s="165" t="s">
        <v>7273</v>
      </c>
      <c r="O2825" s="165" t="s">
        <v>7273</v>
      </c>
      <c r="R2825" s="387" t="e">
        <f>VLOOKUP(E2825,'[1]NDB Impacted SPRFs 05032013'!$A$2:$A$65536,1,FALSE)</f>
        <v>#N/A</v>
      </c>
      <c r="S2825" s="159"/>
      <c r="T2825" s="159"/>
      <c r="U2825" s="159"/>
    </row>
    <row r="2826" spans="1:21" ht="25.5" x14ac:dyDescent="0.2">
      <c r="A2826" s="63">
        <f>MATCH($E2826,'D1 - Master Project Table'!$B$24:$B$7056,0)</f>
        <v>2005</v>
      </c>
      <c r="B2826" s="63" t="b">
        <f t="shared" si="136"/>
        <v>0</v>
      </c>
      <c r="C2826" s="63" t="b">
        <f t="shared" si="137"/>
        <v>0</v>
      </c>
      <c r="D2826" s="63" t="str">
        <f t="shared" si="138"/>
        <v>OK</v>
      </c>
      <c r="E2826" s="210">
        <v>400032461</v>
      </c>
      <c r="F2826" s="166" t="s">
        <v>7915</v>
      </c>
      <c r="G2826" s="166" t="s">
        <v>4992</v>
      </c>
      <c r="H2826" s="165" t="s">
        <v>4388</v>
      </c>
      <c r="I2826" s="166" t="s">
        <v>4739</v>
      </c>
      <c r="J2826" s="166" t="s">
        <v>1953</v>
      </c>
      <c r="K2826" s="166" t="s">
        <v>7396</v>
      </c>
      <c r="L2826" s="166" t="s">
        <v>5899</v>
      </c>
      <c r="M2826" s="165" t="s">
        <v>7273</v>
      </c>
      <c r="N2826" s="165" t="s">
        <v>7273</v>
      </c>
      <c r="O2826" s="165" t="s">
        <v>7273</v>
      </c>
      <c r="R2826" s="387" t="e">
        <f>VLOOKUP(E2826,'[1]NDB Impacted SPRFs 05032013'!$A$2:$A$65536,1,FALSE)</f>
        <v>#N/A</v>
      </c>
      <c r="S2826" s="159"/>
      <c r="T2826" s="159"/>
      <c r="U2826" s="159"/>
    </row>
    <row r="2827" spans="1:21" ht="25.5" x14ac:dyDescent="0.2">
      <c r="A2827" s="63">
        <f>MATCH($E2827,'D1 - Master Project Table'!$B$24:$B$7056,0)</f>
        <v>2007</v>
      </c>
      <c r="B2827" s="63" t="b">
        <f t="shared" si="136"/>
        <v>0</v>
      </c>
      <c r="C2827" s="63" t="b">
        <f t="shared" si="137"/>
        <v>0</v>
      </c>
      <c r="D2827" s="63" t="str">
        <f t="shared" si="138"/>
        <v>OK</v>
      </c>
      <c r="E2827" s="210">
        <v>400032662</v>
      </c>
      <c r="F2827" s="165" t="s">
        <v>5231</v>
      </c>
      <c r="G2827" s="165" t="s">
        <v>5001</v>
      </c>
      <c r="H2827" s="165" t="s">
        <v>4917</v>
      </c>
      <c r="I2827" s="165" t="s">
        <v>3092</v>
      </c>
      <c r="J2827" s="165" t="s">
        <v>3138</v>
      </c>
      <c r="K2827" s="165" t="s">
        <v>7751</v>
      </c>
      <c r="L2827" s="166" t="s">
        <v>5232</v>
      </c>
      <c r="M2827" s="165" t="s">
        <v>7273</v>
      </c>
      <c r="N2827" s="165" t="s">
        <v>7273</v>
      </c>
      <c r="O2827" s="165" t="s">
        <v>7273</v>
      </c>
      <c r="P2827" s="220" t="s">
        <v>7858</v>
      </c>
      <c r="R2827" s="387" t="e">
        <f>VLOOKUP(E2827,'[1]NDB Impacted SPRFs 05032013'!$A$2:$A$65536,1,FALSE)</f>
        <v>#N/A</v>
      </c>
      <c r="S2827" s="164"/>
      <c r="T2827" s="164"/>
      <c r="U2827" s="164"/>
    </row>
    <row r="2828" spans="1:21" ht="25.5" x14ac:dyDescent="0.2">
      <c r="A2828" s="63">
        <f>MATCH($E2828,'D1 - Master Project Table'!$B$24:$B$7056,0)</f>
        <v>2011</v>
      </c>
      <c r="B2828" s="63" t="b">
        <f t="shared" si="136"/>
        <v>0</v>
      </c>
      <c r="C2828" s="63" t="b">
        <f t="shared" si="137"/>
        <v>0</v>
      </c>
      <c r="D2828" s="63" t="str">
        <f t="shared" si="138"/>
        <v>OK</v>
      </c>
      <c r="E2828" s="210">
        <v>400033154</v>
      </c>
      <c r="F2828" s="165" t="s">
        <v>6086</v>
      </c>
      <c r="G2828" s="165" t="s">
        <v>3732</v>
      </c>
      <c r="H2828" s="165" t="s">
        <v>4917</v>
      </c>
      <c r="I2828" s="165" t="s">
        <v>2125</v>
      </c>
      <c r="J2828" s="165" t="s">
        <v>6087</v>
      </c>
      <c r="K2828" s="165" t="s">
        <v>5617</v>
      </c>
      <c r="L2828" s="166" t="s">
        <v>4121</v>
      </c>
      <c r="M2828" s="165" t="s">
        <v>7273</v>
      </c>
      <c r="N2828" s="165" t="s">
        <v>7273</v>
      </c>
      <c r="O2828" s="165" t="s">
        <v>7273</v>
      </c>
      <c r="P2828" s="220" t="s">
        <v>7858</v>
      </c>
      <c r="R2828" s="387" t="e">
        <f>VLOOKUP(E2828,'[1]NDB Impacted SPRFs 05032013'!$A$2:$A$65536,1,FALSE)</f>
        <v>#N/A</v>
      </c>
      <c r="S2828" s="164"/>
      <c r="T2828" s="164"/>
      <c r="U2828" s="164"/>
    </row>
    <row r="2829" spans="1:21" ht="25.5" x14ac:dyDescent="0.2">
      <c r="A2829" s="63">
        <f>MATCH($E2829,'D1 - Master Project Table'!$B$24:$B$7056,0)</f>
        <v>2016</v>
      </c>
      <c r="B2829" s="63" t="b">
        <f t="shared" si="136"/>
        <v>0</v>
      </c>
      <c r="C2829" s="63" t="b">
        <f t="shared" si="137"/>
        <v>0</v>
      </c>
      <c r="D2829" s="63" t="str">
        <f t="shared" si="138"/>
        <v>OK</v>
      </c>
      <c r="E2829" s="210">
        <v>400033966</v>
      </c>
      <c r="F2829" s="165" t="s">
        <v>6809</v>
      </c>
      <c r="G2829" s="166" t="s">
        <v>5995</v>
      </c>
      <c r="H2829" s="165" t="s">
        <v>8012</v>
      </c>
      <c r="I2829" s="165" t="s">
        <v>6258</v>
      </c>
      <c r="J2829" s="165" t="s">
        <v>8074</v>
      </c>
      <c r="K2829" s="165" t="s">
        <v>5218</v>
      </c>
      <c r="L2829" s="166" t="s">
        <v>2562</v>
      </c>
      <c r="M2829" s="165" t="s">
        <v>3758</v>
      </c>
      <c r="N2829" s="165" t="s">
        <v>7273</v>
      </c>
      <c r="O2829" s="165" t="s">
        <v>3758</v>
      </c>
      <c r="P2829" s="220" t="s">
        <v>7858</v>
      </c>
      <c r="Q2829" s="159"/>
      <c r="R2829" s="387" t="e">
        <f>VLOOKUP(E2829,'[1]NDB Impacted SPRFs 05032013'!$A$2:$A$65536,1,FALSE)</f>
        <v>#N/A</v>
      </c>
    </row>
    <row r="2830" spans="1:21" ht="38.25" x14ac:dyDescent="0.2">
      <c r="A2830" s="63">
        <f>MATCH($E2830,'D1 - Master Project Table'!$B$24:$B$7056,0)</f>
        <v>2948</v>
      </c>
      <c r="B2830" s="63" t="b">
        <f t="shared" ref="B2830:B2848" si="139">ISERROR(A2830)</f>
        <v>0</v>
      </c>
      <c r="C2830" s="63" t="b">
        <f t="shared" ref="C2830:C2848" si="140">OR(H2830="Completed",H2830="Cancelled")</f>
        <v>0</v>
      </c>
      <c r="D2830" s="63" t="str">
        <f t="shared" ref="D2830:D2848" si="141">IF(AND(B2830=TRUE,C2830=FALSE),"Add","OK")</f>
        <v>OK</v>
      </c>
      <c r="E2830" s="210">
        <v>400034948</v>
      </c>
      <c r="F2830" s="165" t="s">
        <v>4392</v>
      </c>
      <c r="G2830" s="166" t="s">
        <v>3732</v>
      </c>
      <c r="H2830" s="165" t="s">
        <v>8012</v>
      </c>
      <c r="I2830" s="165" t="s">
        <v>5974</v>
      </c>
      <c r="J2830" s="165" t="s">
        <v>4393</v>
      </c>
      <c r="K2830" s="165" t="s">
        <v>3232</v>
      </c>
      <c r="L2830" s="166" t="s">
        <v>4394</v>
      </c>
      <c r="M2830" s="165" t="s">
        <v>3758</v>
      </c>
      <c r="N2830" s="165" t="s">
        <v>7273</v>
      </c>
      <c r="O2830" s="165" t="s">
        <v>7273</v>
      </c>
      <c r="R2830" s="387" t="e">
        <f>VLOOKUP(E2830,'[1]NDB Impacted SPRFs 05032013'!$A$2:$A$65536,1,FALSE)</f>
        <v>#N/A</v>
      </c>
    </row>
    <row r="2831" spans="1:21" ht="51" x14ac:dyDescent="0.2">
      <c r="A2831" s="63">
        <f>MATCH($E2831,'D1 - Master Project Table'!$B$24:$B$7056,0)</f>
        <v>2949</v>
      </c>
      <c r="B2831" s="63" t="b">
        <f t="shared" si="139"/>
        <v>0</v>
      </c>
      <c r="C2831" s="63" t="b">
        <f t="shared" si="140"/>
        <v>0</v>
      </c>
      <c r="D2831" s="63" t="str">
        <f t="shared" si="141"/>
        <v>OK</v>
      </c>
      <c r="E2831" s="210">
        <v>400035074</v>
      </c>
      <c r="F2831" s="166" t="s">
        <v>3934</v>
      </c>
      <c r="G2831" s="166" t="s">
        <v>3732</v>
      </c>
      <c r="H2831" s="165" t="s">
        <v>8012</v>
      </c>
      <c r="I2831" s="166" t="s">
        <v>1956</v>
      </c>
      <c r="J2831" s="166" t="s">
        <v>1957</v>
      </c>
      <c r="K2831" s="166" t="s">
        <v>4617</v>
      </c>
      <c r="L2831" s="166" t="s">
        <v>7101</v>
      </c>
      <c r="M2831" s="165" t="s">
        <v>3758</v>
      </c>
      <c r="N2831" s="165" t="s">
        <v>7273</v>
      </c>
      <c r="O2831" s="165" t="s">
        <v>7273</v>
      </c>
      <c r="P2831" s="198" t="s">
        <v>2431</v>
      </c>
      <c r="R2831" s="387" t="e">
        <f>VLOOKUP(E2831,'[1]NDB Impacted SPRFs 05032013'!$A$2:$A$65536,1,FALSE)</f>
        <v>#N/A</v>
      </c>
    </row>
    <row r="2832" spans="1:21" ht="51" x14ac:dyDescent="0.2">
      <c r="A2832" s="63">
        <f>MATCH($E2832,'D1 - Master Project Table'!$B$24:$B$7056,0)</f>
        <v>2950</v>
      </c>
      <c r="B2832" s="63" t="b">
        <f t="shared" si="139"/>
        <v>0</v>
      </c>
      <c r="C2832" s="63" t="b">
        <f t="shared" si="140"/>
        <v>0</v>
      </c>
      <c r="D2832" s="63" t="str">
        <f t="shared" si="141"/>
        <v>OK</v>
      </c>
      <c r="E2832" s="210">
        <v>400035110</v>
      </c>
      <c r="F2832" s="165" t="s">
        <v>3375</v>
      </c>
      <c r="G2832" s="166" t="s">
        <v>3732</v>
      </c>
      <c r="H2832" s="165" t="s">
        <v>4917</v>
      </c>
      <c r="I2832" s="166" t="s">
        <v>2430</v>
      </c>
      <c r="J2832" s="166" t="s">
        <v>3376</v>
      </c>
      <c r="K2832" s="166" t="s">
        <v>3377</v>
      </c>
      <c r="L2832" s="166" t="s">
        <v>3923</v>
      </c>
      <c r="M2832" s="165" t="s">
        <v>3758</v>
      </c>
      <c r="N2832" s="165" t="s">
        <v>7273</v>
      </c>
      <c r="O2832" s="165" t="s">
        <v>7273</v>
      </c>
      <c r="P2832" s="220" t="s">
        <v>7858</v>
      </c>
      <c r="R2832" s="387" t="e">
        <f>VLOOKUP(E2832,'[1]NDB Impacted SPRFs 05032013'!$A$2:$A$65536,1,FALSE)</f>
        <v>#N/A</v>
      </c>
    </row>
    <row r="2833" spans="1:18" ht="33.75" customHeight="1" x14ac:dyDescent="0.2">
      <c r="A2833" s="63">
        <f>MATCH($E2833,'D1 - Master Project Table'!$B$24:$B$7056,0)</f>
        <v>2017</v>
      </c>
      <c r="B2833" s="63" t="b">
        <f t="shared" si="139"/>
        <v>0</v>
      </c>
      <c r="C2833" s="63" t="b">
        <f t="shared" si="140"/>
        <v>0</v>
      </c>
      <c r="D2833" s="63" t="str">
        <f t="shared" si="141"/>
        <v>OK</v>
      </c>
      <c r="E2833" s="210">
        <v>400035293</v>
      </c>
      <c r="F2833" s="165" t="s">
        <v>2996</v>
      </c>
      <c r="G2833" s="166" t="s">
        <v>6008</v>
      </c>
      <c r="H2833" s="165" t="s">
        <v>8012</v>
      </c>
      <c r="I2833" s="165" t="s">
        <v>6868</v>
      </c>
      <c r="J2833" s="166" t="s">
        <v>2997</v>
      </c>
      <c r="K2833" s="166" t="s">
        <v>2998</v>
      </c>
      <c r="L2833" s="166" t="s">
        <v>3735</v>
      </c>
      <c r="M2833" s="165" t="s">
        <v>7273</v>
      </c>
      <c r="N2833" s="165" t="s">
        <v>7273</v>
      </c>
      <c r="O2833" s="165" t="s">
        <v>7273</v>
      </c>
      <c r="P2833" s="220" t="s">
        <v>7858</v>
      </c>
      <c r="R2833" s="387" t="e">
        <f>VLOOKUP(E2833,'[1]NDB Impacted SPRFs 05032013'!$A$2:$A$65536,1,FALSE)</f>
        <v>#N/A</v>
      </c>
    </row>
    <row r="2834" spans="1:18" ht="56.25" customHeight="1" x14ac:dyDescent="0.2">
      <c r="A2834" s="63">
        <f>MATCH($E2834,'D1 - Master Project Table'!$B$24:$B$7056,0)</f>
        <v>2960</v>
      </c>
      <c r="B2834" s="63" t="b">
        <f t="shared" si="139"/>
        <v>0</v>
      </c>
      <c r="C2834" s="63" t="b">
        <f t="shared" si="140"/>
        <v>0</v>
      </c>
      <c r="D2834" s="63" t="str">
        <f t="shared" si="141"/>
        <v>OK</v>
      </c>
      <c r="E2834" s="210">
        <v>400036156</v>
      </c>
      <c r="F2834" s="165" t="s">
        <v>1444</v>
      </c>
      <c r="G2834" s="166" t="s">
        <v>7745</v>
      </c>
      <c r="H2834" s="165" t="s">
        <v>4917</v>
      </c>
      <c r="I2834" s="165" t="s">
        <v>3652</v>
      </c>
      <c r="J2834" s="165" t="s">
        <v>3637</v>
      </c>
      <c r="K2834" s="165" t="s">
        <v>3638</v>
      </c>
      <c r="L2834" s="166" t="s">
        <v>1445</v>
      </c>
      <c r="M2834" s="165" t="s">
        <v>3758</v>
      </c>
      <c r="N2834" s="165" t="s">
        <v>7273</v>
      </c>
      <c r="O2834" s="165" t="s">
        <v>7273</v>
      </c>
      <c r="R2834" s="387" t="e">
        <f>VLOOKUP(E2834,'[1]NDB Impacted SPRFs 05032013'!$A$2:$A$65536,1,FALSE)</f>
        <v>#N/A</v>
      </c>
    </row>
    <row r="2835" spans="1:18" ht="67.5" customHeight="1" x14ac:dyDescent="0.2">
      <c r="A2835" s="63">
        <f>MATCH($E2835,'D1 - Master Project Table'!$B$24:$B$7056,0)</f>
        <v>192</v>
      </c>
      <c r="B2835" s="63" t="b">
        <f t="shared" si="139"/>
        <v>0</v>
      </c>
      <c r="C2835" s="63" t="b">
        <f t="shared" si="140"/>
        <v>0</v>
      </c>
      <c r="D2835" s="63" t="str">
        <f t="shared" si="141"/>
        <v>OK</v>
      </c>
      <c r="E2835" s="210">
        <v>400036383</v>
      </c>
      <c r="F2835" s="165" t="s">
        <v>3259</v>
      </c>
      <c r="G2835" s="165" t="s">
        <v>5995</v>
      </c>
      <c r="H2835" s="165" t="s">
        <v>4388</v>
      </c>
      <c r="I2835" s="165" t="s">
        <v>3260</v>
      </c>
      <c r="J2835" s="165" t="s">
        <v>4437</v>
      </c>
      <c r="K2835" s="165" t="s">
        <v>3261</v>
      </c>
      <c r="L2835" s="166" t="s">
        <v>4686</v>
      </c>
      <c r="M2835" s="165" t="s">
        <v>3758</v>
      </c>
      <c r="N2835" s="165" t="s">
        <v>7273</v>
      </c>
      <c r="O2835" s="165" t="s">
        <v>3758</v>
      </c>
      <c r="P2835" s="198" t="s">
        <v>4832</v>
      </c>
      <c r="R2835" s="387" t="e">
        <f>VLOOKUP(E2835,'[1]NDB Impacted SPRFs 05032013'!$A$2:$A$65536,1,FALSE)</f>
        <v>#N/A</v>
      </c>
    </row>
    <row r="2836" spans="1:18" ht="56.25" customHeight="1" x14ac:dyDescent="0.2">
      <c r="A2836" s="63">
        <f>MATCH($E2836,'D1 - Master Project Table'!$B$24:$B$7056,0)</f>
        <v>2967</v>
      </c>
      <c r="B2836" s="63" t="b">
        <f t="shared" si="139"/>
        <v>0</v>
      </c>
      <c r="C2836" s="63" t="b">
        <f t="shared" si="140"/>
        <v>0</v>
      </c>
      <c r="D2836" s="63" t="str">
        <f t="shared" si="141"/>
        <v>OK</v>
      </c>
      <c r="E2836" s="210">
        <v>400036435</v>
      </c>
      <c r="F2836" s="165" t="s">
        <v>7460</v>
      </c>
      <c r="G2836" s="166" t="s">
        <v>6008</v>
      </c>
      <c r="H2836" s="165" t="s">
        <v>4388</v>
      </c>
      <c r="I2836" s="166" t="s">
        <v>5644</v>
      </c>
      <c r="J2836" s="166" t="s">
        <v>5062</v>
      </c>
      <c r="K2836" s="166" t="s">
        <v>5063</v>
      </c>
      <c r="L2836" s="166" t="s">
        <v>7379</v>
      </c>
      <c r="M2836" s="165" t="s">
        <v>7273</v>
      </c>
      <c r="N2836" s="165" t="s">
        <v>7273</v>
      </c>
      <c r="O2836" s="165" t="s">
        <v>7273</v>
      </c>
      <c r="P2836" s="198" t="s">
        <v>7858</v>
      </c>
      <c r="R2836" s="387" t="e">
        <f>VLOOKUP(E2836,'[1]NDB Impacted SPRFs 05032013'!$A$2:$A$65536,1,FALSE)</f>
        <v>#N/A</v>
      </c>
    </row>
    <row r="2837" spans="1:18" ht="147" customHeight="1" x14ac:dyDescent="0.2">
      <c r="A2837" s="63">
        <f>MATCH($E2837,'D1 - Master Project Table'!$B$24:$B$7056,0)</f>
        <v>2970</v>
      </c>
      <c r="B2837" s="63" t="b">
        <f t="shared" si="139"/>
        <v>0</v>
      </c>
      <c r="C2837" s="63" t="b">
        <f t="shared" si="140"/>
        <v>0</v>
      </c>
      <c r="D2837" s="63" t="str">
        <f t="shared" si="141"/>
        <v>OK</v>
      </c>
      <c r="E2837" s="209">
        <v>400036625</v>
      </c>
      <c r="F2837" s="165" t="s">
        <v>4690</v>
      </c>
      <c r="G2837" s="166" t="s">
        <v>3732</v>
      </c>
      <c r="H2837" s="165" t="s">
        <v>4388</v>
      </c>
      <c r="I2837" s="166" t="s">
        <v>5803</v>
      </c>
      <c r="J2837" s="166" t="s">
        <v>3220</v>
      </c>
      <c r="K2837" s="166" t="s">
        <v>4691</v>
      </c>
      <c r="L2837" s="166" t="s">
        <v>2079</v>
      </c>
      <c r="M2837" s="165" t="s">
        <v>7273</v>
      </c>
      <c r="N2837" s="165" t="s">
        <v>7273</v>
      </c>
      <c r="O2837" s="165" t="s">
        <v>7273</v>
      </c>
      <c r="P2837" s="198" t="s">
        <v>4515</v>
      </c>
      <c r="R2837" s="387" t="e">
        <f>VLOOKUP(E2837,'[1]NDB Impacted SPRFs 05032013'!$A$2:$A$65536,1,FALSE)</f>
        <v>#N/A</v>
      </c>
    </row>
    <row r="2838" spans="1:18" ht="67.5" customHeight="1" x14ac:dyDescent="0.2">
      <c r="A2838" s="63">
        <f>MATCH($E2838,'D1 - Master Project Table'!$B$24:$B$7056,0)</f>
        <v>2972</v>
      </c>
      <c r="B2838" s="63" t="b">
        <f t="shared" si="139"/>
        <v>0</v>
      </c>
      <c r="C2838" s="63" t="b">
        <f t="shared" si="140"/>
        <v>0</v>
      </c>
      <c r="D2838" s="63" t="str">
        <f t="shared" si="141"/>
        <v>OK</v>
      </c>
      <c r="E2838" s="210">
        <v>400036776</v>
      </c>
      <c r="F2838" s="165" t="s">
        <v>6461</v>
      </c>
      <c r="G2838" s="166" t="s">
        <v>4776</v>
      </c>
      <c r="H2838" s="165" t="s">
        <v>6462</v>
      </c>
      <c r="I2838" s="166" t="s">
        <v>6463</v>
      </c>
      <c r="J2838" s="166" t="s">
        <v>2642</v>
      </c>
      <c r="K2838" s="166" t="s">
        <v>7932</v>
      </c>
      <c r="L2838" s="166" t="s">
        <v>2410</v>
      </c>
      <c r="M2838" s="165" t="s">
        <v>7273</v>
      </c>
      <c r="N2838" s="165" t="s">
        <v>7273</v>
      </c>
      <c r="O2838" s="165" t="s">
        <v>7273</v>
      </c>
      <c r="P2838" s="198" t="s">
        <v>4832</v>
      </c>
      <c r="R2838" s="387" t="e">
        <f>VLOOKUP(E2838,'[1]NDB Impacted SPRFs 05032013'!$A$2:$A$65536,1,FALSE)</f>
        <v>#N/A</v>
      </c>
    </row>
    <row r="2839" spans="1:18" ht="135.75" customHeight="1" x14ac:dyDescent="0.2">
      <c r="A2839" s="63">
        <f>MATCH($E2839,'D1 - Master Project Table'!$B$24:$B$7056,0)</f>
        <v>2975</v>
      </c>
      <c r="B2839" s="63" t="b">
        <f t="shared" si="139"/>
        <v>0</v>
      </c>
      <c r="C2839" s="63" t="b">
        <f t="shared" si="140"/>
        <v>0</v>
      </c>
      <c r="D2839" s="63" t="str">
        <f t="shared" si="141"/>
        <v>OK</v>
      </c>
      <c r="E2839" s="210">
        <v>400036980</v>
      </c>
      <c r="F2839" s="165" t="s">
        <v>5912</v>
      </c>
      <c r="G2839" s="166" t="s">
        <v>3732</v>
      </c>
      <c r="H2839" s="165" t="s">
        <v>4388</v>
      </c>
      <c r="I2839" s="166" t="s">
        <v>7991</v>
      </c>
      <c r="J2839" s="166" t="s">
        <v>5913</v>
      </c>
      <c r="K2839" s="166" t="s">
        <v>5914</v>
      </c>
      <c r="L2839" s="166" t="s">
        <v>2079</v>
      </c>
      <c r="M2839" s="165" t="s">
        <v>7273</v>
      </c>
      <c r="N2839" s="165" t="s">
        <v>7273</v>
      </c>
      <c r="O2839" s="165" t="s">
        <v>7273</v>
      </c>
      <c r="P2839" s="198" t="s">
        <v>4832</v>
      </c>
      <c r="R2839" s="387" t="e">
        <f>VLOOKUP(E2839,'[1]NDB Impacted SPRFs 05032013'!$A$2:$A$65536,1,FALSE)</f>
        <v>#N/A</v>
      </c>
    </row>
    <row r="2840" spans="1:18" ht="22.5" x14ac:dyDescent="0.2">
      <c r="A2840" s="63">
        <f>MATCH($E2840,'D1 - Master Project Table'!$B$24:$B$7056,0)</f>
        <v>1576</v>
      </c>
      <c r="B2840" s="63" t="b">
        <f t="shared" si="139"/>
        <v>0</v>
      </c>
      <c r="C2840" s="63" t="b">
        <f t="shared" si="140"/>
        <v>0</v>
      </c>
      <c r="D2840" s="63" t="str">
        <f t="shared" si="141"/>
        <v>OK</v>
      </c>
      <c r="E2840" s="206">
        <v>499999999</v>
      </c>
      <c r="F2840" s="195" t="s">
        <v>2919</v>
      </c>
      <c r="G2840" s="22"/>
      <c r="I2840" s="22"/>
      <c r="J2840" s="22"/>
      <c r="K2840" s="22"/>
      <c r="L2840" s="196" t="s">
        <v>2845</v>
      </c>
      <c r="M2840" s="197" t="s">
        <v>7273</v>
      </c>
      <c r="N2840" s="197" t="s">
        <v>7273</v>
      </c>
      <c r="O2840" s="198" t="s">
        <v>7273</v>
      </c>
      <c r="P2840" s="197" t="s">
        <v>2920</v>
      </c>
      <c r="Q2840"/>
      <c r="R2840" s="387" t="e">
        <f>VLOOKUP(E2840,'[1]NDB Impacted SPRFs 05032013'!$A$2:$A$65536,1,FALSE)</f>
        <v>#N/A</v>
      </c>
    </row>
    <row r="2841" spans="1:18" ht="33.75" x14ac:dyDescent="0.2">
      <c r="A2841" s="63">
        <f>MATCH($E2841,'D1 - Master Project Table'!$B$24:$B$7056,0)</f>
        <v>3187</v>
      </c>
      <c r="B2841" s="63" t="b">
        <f t="shared" si="139"/>
        <v>0</v>
      </c>
      <c r="C2841" s="63" t="b">
        <f t="shared" si="140"/>
        <v>0</v>
      </c>
      <c r="D2841" s="63" t="str">
        <f t="shared" si="141"/>
        <v>OK</v>
      </c>
      <c r="E2841" s="206">
        <v>400042801</v>
      </c>
      <c r="F2841" s="203" t="s">
        <v>6418</v>
      </c>
      <c r="G2841" s="203" t="s">
        <v>5325</v>
      </c>
      <c r="H2841" s="203" t="s">
        <v>4917</v>
      </c>
      <c r="I2841" s="203" t="s">
        <v>6419</v>
      </c>
      <c r="J2841" s="203" t="s">
        <v>5718</v>
      </c>
      <c r="K2841" s="203" t="s">
        <v>5162</v>
      </c>
      <c r="L2841" s="203" t="s">
        <v>6420</v>
      </c>
      <c r="M2841" s="197" t="s">
        <v>7273</v>
      </c>
      <c r="N2841" s="197" t="s">
        <v>7273</v>
      </c>
      <c r="O2841" s="197" t="s">
        <v>7273</v>
      </c>
      <c r="R2841" s="387" t="e">
        <f>VLOOKUP(E2841,'[1]NDB Impacted SPRFs 05032013'!$A$2:$A$65536,1,FALSE)</f>
        <v>#N/A</v>
      </c>
    </row>
    <row r="2842" spans="1:18" ht="45" x14ac:dyDescent="0.2">
      <c r="A2842" s="63">
        <f>MATCH($E2842,'D1 - Master Project Table'!$B$24:$B$7056,0)</f>
        <v>3193</v>
      </c>
      <c r="B2842" s="63" t="b">
        <f t="shared" si="139"/>
        <v>0</v>
      </c>
      <c r="C2842" s="63" t="b">
        <f t="shared" si="140"/>
        <v>0</v>
      </c>
      <c r="D2842" s="63" t="str">
        <f t="shared" si="141"/>
        <v>OK</v>
      </c>
      <c r="E2842" s="206">
        <v>400044642</v>
      </c>
      <c r="F2842" s="203" t="s">
        <v>6421</v>
      </c>
      <c r="G2842" s="203" t="s">
        <v>5995</v>
      </c>
      <c r="H2842" s="203" t="s">
        <v>6413</v>
      </c>
      <c r="I2842" s="203" t="s">
        <v>6423</v>
      </c>
      <c r="J2842" s="203" t="s">
        <v>6422</v>
      </c>
      <c r="K2842" s="203" t="s">
        <v>1897</v>
      </c>
      <c r="L2842" s="198" t="s">
        <v>6424</v>
      </c>
      <c r="M2842" s="197" t="s">
        <v>7273</v>
      </c>
      <c r="N2842" s="197" t="s">
        <v>7273</v>
      </c>
      <c r="O2842" s="197" t="s">
        <v>7273</v>
      </c>
      <c r="P2842" s="203" t="s">
        <v>6413</v>
      </c>
      <c r="R2842" s="387" t="e">
        <f>VLOOKUP(E2842,'[1]NDB Impacted SPRFs 05032013'!$A$2:$A$65536,1,FALSE)</f>
        <v>#N/A</v>
      </c>
    </row>
    <row r="2843" spans="1:18" ht="52.5" customHeight="1" x14ac:dyDescent="0.2">
      <c r="A2843" s="63">
        <f>MATCH($E2843,'D1 - Master Project Table'!$B$24:$B$7056,0)</f>
        <v>206</v>
      </c>
      <c r="B2843" s="63" t="b">
        <f t="shared" si="139"/>
        <v>0</v>
      </c>
      <c r="C2843" s="63" t="b">
        <f t="shared" si="140"/>
        <v>0</v>
      </c>
      <c r="D2843" s="63" t="str">
        <f t="shared" si="141"/>
        <v>OK</v>
      </c>
      <c r="E2843" s="206">
        <v>400044785</v>
      </c>
      <c r="F2843" s="203" t="s">
        <v>6426</v>
      </c>
      <c r="G2843" s="203" t="s">
        <v>5995</v>
      </c>
      <c r="H2843" s="203" t="s">
        <v>6413</v>
      </c>
      <c r="I2843" s="203" t="s">
        <v>6423</v>
      </c>
      <c r="J2843" s="203" t="s">
        <v>1852</v>
      </c>
      <c r="K2843" s="203" t="s">
        <v>1897</v>
      </c>
      <c r="L2843" s="198" t="s">
        <v>6427</v>
      </c>
      <c r="M2843" s="197" t="s">
        <v>7273</v>
      </c>
      <c r="N2843" s="197" t="s">
        <v>7273</v>
      </c>
      <c r="O2843" s="197" t="s">
        <v>7273</v>
      </c>
      <c r="P2843" s="198" t="s">
        <v>6413</v>
      </c>
      <c r="R2843" s="387" t="e">
        <f>VLOOKUP(E2843,'[1]NDB Impacted SPRFs 05032013'!$A$2:$A$65536,1,FALSE)</f>
        <v>#N/A</v>
      </c>
    </row>
    <row r="2844" spans="1:18" ht="120" customHeight="1" x14ac:dyDescent="0.2">
      <c r="A2844" s="63">
        <f>MATCH($E2844,'D1 - Master Project Table'!$B$24:$B$7056,0)</f>
        <v>207</v>
      </c>
      <c r="B2844" s="63" t="b">
        <f t="shared" si="139"/>
        <v>0</v>
      </c>
      <c r="C2844" s="63" t="b">
        <f t="shared" si="140"/>
        <v>0</v>
      </c>
      <c r="D2844" s="63" t="str">
        <f t="shared" si="141"/>
        <v>OK</v>
      </c>
      <c r="E2844" s="206">
        <v>400045000</v>
      </c>
      <c r="F2844" s="203" t="s">
        <v>6428</v>
      </c>
      <c r="G2844" s="203" t="s">
        <v>5324</v>
      </c>
      <c r="H2844" s="203" t="s">
        <v>6413</v>
      </c>
      <c r="I2844" s="203" t="s">
        <v>5803</v>
      </c>
      <c r="J2844" s="203" t="s">
        <v>1586</v>
      </c>
      <c r="K2844" s="203" t="s">
        <v>6429</v>
      </c>
      <c r="L2844" s="203" t="s">
        <v>6430</v>
      </c>
      <c r="M2844" s="197" t="s">
        <v>7273</v>
      </c>
      <c r="N2844" s="197" t="s">
        <v>3758</v>
      </c>
      <c r="O2844" s="197" t="s">
        <v>7273</v>
      </c>
      <c r="P2844" s="198" t="s">
        <v>6413</v>
      </c>
      <c r="R2844" s="387" t="e">
        <f>VLOOKUP(E2844,'[1]NDB Impacted SPRFs 05032013'!$A$2:$A$65536,1,FALSE)</f>
        <v>#N/A</v>
      </c>
    </row>
    <row r="2845" spans="1:18" ht="30" customHeight="1" x14ac:dyDescent="0.2">
      <c r="A2845" s="63">
        <f>MATCH($E2845,'D1 - Master Project Table'!$B$24:$B$7056,0)</f>
        <v>3282</v>
      </c>
      <c r="B2845" s="63" t="b">
        <f t="shared" si="139"/>
        <v>0</v>
      </c>
      <c r="C2845" s="63" t="b">
        <f t="shared" si="140"/>
        <v>0</v>
      </c>
      <c r="D2845" s="63" t="str">
        <f t="shared" si="141"/>
        <v>OK</v>
      </c>
      <c r="E2845" s="206">
        <v>488888888</v>
      </c>
      <c r="F2845" s="195" t="s">
        <v>2277</v>
      </c>
      <c r="G2845" s="198" t="s">
        <v>2278</v>
      </c>
      <c r="P2845" s="198" t="s">
        <v>3101</v>
      </c>
      <c r="R2845" s="387" t="e">
        <f>VLOOKUP(E2845,'[1]NDB Impacted SPRFs 05032013'!$A$2:$A$65536,1,FALSE)</f>
        <v>#N/A</v>
      </c>
    </row>
    <row r="2846" spans="1:18" ht="120" customHeight="1" x14ac:dyDescent="0.2">
      <c r="A2846" s="63">
        <f>MATCH($E2846,'D1 - Master Project Table'!$B$24:$B$7056,0)</f>
        <v>1575</v>
      </c>
      <c r="B2846" s="63" t="b">
        <f t="shared" si="139"/>
        <v>0</v>
      </c>
      <c r="C2846" s="63" t="b">
        <f t="shared" si="140"/>
        <v>0</v>
      </c>
      <c r="D2846" s="63" t="str">
        <f t="shared" si="141"/>
        <v>OK</v>
      </c>
      <c r="E2846" s="206">
        <v>477777777</v>
      </c>
      <c r="F2846" s="156" t="s">
        <v>1339</v>
      </c>
      <c r="G2846" s="197" t="s">
        <v>2134</v>
      </c>
      <c r="H2846" s="197" t="s">
        <v>2134</v>
      </c>
      <c r="I2846" s="197" t="s">
        <v>2134</v>
      </c>
      <c r="J2846" s="197" t="s">
        <v>2134</v>
      </c>
      <c r="K2846" s="197" t="s">
        <v>2134</v>
      </c>
      <c r="L2846" s="197" t="s">
        <v>2845</v>
      </c>
      <c r="M2846" s="197" t="s">
        <v>7273</v>
      </c>
      <c r="N2846" s="197" t="s">
        <v>7273</v>
      </c>
      <c r="O2846" s="197" t="s">
        <v>7273</v>
      </c>
      <c r="P2846" s="198" t="s">
        <v>1340</v>
      </c>
      <c r="R2846" s="387" t="e">
        <f>VLOOKUP(E2846,'[1]NDB Impacted SPRFs 05032013'!$A$2:$A$65536,1,FALSE)</f>
        <v>#N/A</v>
      </c>
    </row>
    <row r="2847" spans="1:18" ht="90" customHeight="1" x14ac:dyDescent="0.2">
      <c r="A2847" s="63">
        <f>MATCH($E2847,'D1 - Master Project Table'!$B$24:$B$7056,0)</f>
        <v>1657</v>
      </c>
      <c r="B2847" s="63" t="b">
        <f t="shared" si="139"/>
        <v>0</v>
      </c>
      <c r="C2847" s="63" t="b">
        <f t="shared" si="140"/>
        <v>0</v>
      </c>
      <c r="D2847" s="63" t="str">
        <f t="shared" si="141"/>
        <v>OK</v>
      </c>
      <c r="E2847" s="206">
        <v>411111111</v>
      </c>
      <c r="F2847" s="195" t="s">
        <v>2599</v>
      </c>
      <c r="G2847" s="198" t="s">
        <v>2600</v>
      </c>
      <c r="H2847" s="197" t="s">
        <v>2601</v>
      </c>
      <c r="I2847" s="197" t="s">
        <v>3572</v>
      </c>
      <c r="J2847" s="197" t="s">
        <v>3572</v>
      </c>
      <c r="K2847" s="197" t="s">
        <v>3572</v>
      </c>
      <c r="L2847" s="198" t="s">
        <v>2845</v>
      </c>
      <c r="M2847" s="197" t="s">
        <v>7273</v>
      </c>
      <c r="N2847" s="197" t="s">
        <v>7273</v>
      </c>
      <c r="O2847" s="197" t="s">
        <v>7273</v>
      </c>
      <c r="P2847" s="198" t="s">
        <v>2602</v>
      </c>
      <c r="R2847" s="387" t="e">
        <f>VLOOKUP(E2847,'[1]NDB Impacted SPRFs 05032013'!$A$2:$A$65536,1,FALSE)</f>
        <v>#N/A</v>
      </c>
    </row>
    <row r="2848" spans="1:18" x14ac:dyDescent="0.2">
      <c r="A2848" s="63">
        <f>MATCH($E2848,'D1 - Master Project Table'!$B$24:$B$7056,0)</f>
        <v>67</v>
      </c>
      <c r="B2848" s="63" t="b">
        <f t="shared" si="139"/>
        <v>0</v>
      </c>
      <c r="C2848" s="63" t="b">
        <f t="shared" si="140"/>
        <v>0</v>
      </c>
      <c r="D2848" s="63" t="str">
        <f t="shared" si="141"/>
        <v>OK</v>
      </c>
      <c r="E2848" s="206">
        <v>2222222222</v>
      </c>
      <c r="F2848" s="156" t="s">
        <v>963</v>
      </c>
      <c r="G2848" s="197" t="s">
        <v>3572</v>
      </c>
      <c r="H2848" s="197" t="s">
        <v>3572</v>
      </c>
      <c r="I2848" s="197" t="s">
        <v>3572</v>
      </c>
      <c r="J2848" s="197" t="s">
        <v>3572</v>
      </c>
      <c r="K2848" s="197" t="s">
        <v>3572</v>
      </c>
      <c r="L2848" s="198" t="s">
        <v>2845</v>
      </c>
      <c r="M2848" s="197" t="s">
        <v>7273</v>
      </c>
      <c r="N2848" s="197" t="s">
        <v>7273</v>
      </c>
      <c r="O2848" s="197" t="s">
        <v>7273</v>
      </c>
      <c r="R2848" s="387" t="e">
        <f>VLOOKUP(E2848,'[1]NDB Impacted SPRFs 05032013'!$A$2:$A$65536,1,FALSE)</f>
        <v>#N/A</v>
      </c>
    </row>
    <row r="2849" spans="1:18" ht="22.5" x14ac:dyDescent="0.2">
      <c r="A2849" s="63">
        <f>MATCH($E2849,'D1 - Master Project Table'!$B$24:$B$7056,0)</f>
        <v>22</v>
      </c>
      <c r="B2849" s="63" t="b">
        <f t="shared" ref="B2849" si="142">ISERROR(A2849)</f>
        <v>0</v>
      </c>
      <c r="C2849" s="63" t="b">
        <f t="shared" ref="C2849" si="143">OR(H2849="Completed",H2849="Cancelled")</f>
        <v>0</v>
      </c>
      <c r="D2849" s="63" t="str">
        <f t="shared" ref="D2849" si="144">IF(AND(B2849=TRUE,C2849=FALSE),"Add","OK")</f>
        <v>OK</v>
      </c>
      <c r="E2849" s="206">
        <v>400059319</v>
      </c>
      <c r="F2849" s="156" t="s">
        <v>9506</v>
      </c>
      <c r="G2849" s="428" t="s">
        <v>1147</v>
      </c>
      <c r="H2849" s="197" t="s">
        <v>4917</v>
      </c>
      <c r="I2849" s="128" t="s">
        <v>1757</v>
      </c>
      <c r="J2849" s="128" t="s">
        <v>450</v>
      </c>
      <c r="K2849" s="128" t="s">
        <v>5524</v>
      </c>
      <c r="L2849" s="198" t="s">
        <v>9507</v>
      </c>
      <c r="M2849" s="197" t="s">
        <v>7273</v>
      </c>
      <c r="N2849" s="197" t="s">
        <v>7273</v>
      </c>
      <c r="O2849" s="197" t="s">
        <v>7273</v>
      </c>
      <c r="R2849" s="387" t="e">
        <f>VLOOKUP(E2849,'[1]NDB Impacted SPRFs 05032013'!$A$2:$A$65536,1,FALSE)</f>
        <v>#N/A</v>
      </c>
    </row>
    <row r="2850" spans="1:18" ht="67.5" x14ac:dyDescent="0.2">
      <c r="A2850" s="63">
        <f>MATCH($E2850,'D1 - Master Project Table'!$B$24:$B$7056,0)</f>
        <v>89</v>
      </c>
      <c r="B2850" s="63" t="b">
        <f t="shared" ref="B2850" si="145">ISERROR(A2850)</f>
        <v>0</v>
      </c>
      <c r="C2850" s="63" t="b">
        <f t="shared" ref="C2850" si="146">OR(H2850="Completed",H2850="Cancelled")</f>
        <v>0</v>
      </c>
      <c r="D2850" s="63" t="str">
        <f t="shared" ref="D2850" si="147">IF(AND(B2850=TRUE,C2850=FALSE),"Add","OK")</f>
        <v>OK</v>
      </c>
      <c r="E2850" s="206">
        <v>400057380</v>
      </c>
      <c r="F2850" s="156" t="s">
        <v>9616</v>
      </c>
      <c r="G2850" s="158" t="s">
        <v>5324</v>
      </c>
      <c r="H2850" s="197" t="s">
        <v>9617</v>
      </c>
      <c r="I2850" s="128" t="s">
        <v>1763</v>
      </c>
      <c r="J2850" s="128" t="s">
        <v>9618</v>
      </c>
      <c r="K2850" s="128" t="s">
        <v>5086</v>
      </c>
      <c r="L2850" s="198" t="s">
        <v>9619</v>
      </c>
      <c r="M2850" s="197" t="s">
        <v>3758</v>
      </c>
      <c r="N2850" s="197" t="s">
        <v>7273</v>
      </c>
      <c r="O2850" s="197" t="s">
        <v>3758</v>
      </c>
      <c r="R2850" s="387" t="e">
        <f>VLOOKUP(E2850,'[1]NDB Impacted SPRFs 05032013'!$A$2:$A$65536,1,FALSE)</f>
        <v>#N/A</v>
      </c>
    </row>
  </sheetData>
  <autoFilter ref="A5:U2848">
    <sortState ref="A6:U2844">
      <sortCondition ref="R5:R2844"/>
    </sortState>
  </autoFilter>
  <mergeCells count="1">
    <mergeCell ref="A4:D4"/>
  </mergeCells>
  <phoneticPr fontId="8" type="noConversion"/>
  <conditionalFormatting sqref="D5:D2850">
    <cfRule type="cellIs" dxfId="1" priority="1" stopIfTrue="1" operator="equal">
      <formula>"OK"</formula>
    </cfRule>
    <cfRule type="cellIs" dxfId="0" priority="2" stopIfTrue="1" operator="equal">
      <formula>"Add"</formula>
    </cfRule>
  </conditionalFormatting>
  <pageMargins left="0.75" right="0.75" top="1" bottom="1" header="0.5" footer="0.5"/>
  <pageSetup scale="50" fitToHeight="0" orientation="landscape" r:id="rId1"/>
  <headerFooter alignWithMargins="0">
    <oddHeader xml:space="preserve">&amp;CProvider Systems Queue
NDB / USEC Extract from Prompt
</oddHeader>
    <oddFooter>&amp;L&amp;F &amp;A&amp;Cpage &amp;P of &amp;N&amp;R&amp;D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92" r:id="rId4" name="Button 16">
              <controlPr defaultSize="0" print="0" autoFill="0" autoPict="0" macro="[0]!mcrD7ESort">
                <anchor moveWithCells="1" sizeWithCells="1">
                  <from>
                    <xdr:col>0</xdr:col>
                    <xdr:colOff>47625</xdr:colOff>
                    <xdr:row>0</xdr:row>
                    <xdr:rowOff>28575</xdr:rowOff>
                  </from>
                  <to>
                    <xdr:col>1</xdr:col>
                    <xdr:colOff>476250</xdr:colOff>
                    <xdr:row>2</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7"/>
  <sheetViews>
    <sheetView workbookViewId="0">
      <selection activeCell="C11" sqref="C11"/>
    </sheetView>
  </sheetViews>
  <sheetFormatPr defaultRowHeight="12.75" x14ac:dyDescent="0.2"/>
  <cols>
    <col min="1" max="1" width="26.7109375" style="141" bestFit="1" customWidth="1"/>
    <col min="2" max="2" width="25" style="141" bestFit="1" customWidth="1"/>
    <col min="3" max="3" width="86.7109375" style="141" customWidth="1"/>
    <col min="4" max="16384" width="9.140625" style="141"/>
  </cols>
  <sheetData>
    <row r="1" spans="1:3" s="139" customFormat="1" ht="13.5" thickBot="1" x14ac:dyDescent="0.25">
      <c r="A1" s="138" t="s">
        <v>5764</v>
      </c>
      <c r="B1" s="138" t="s">
        <v>5302</v>
      </c>
      <c r="C1" s="138" t="s">
        <v>6467</v>
      </c>
    </row>
    <row r="2" spans="1:3" x14ac:dyDescent="0.2">
      <c r="A2" s="140" t="s">
        <v>2832</v>
      </c>
      <c r="B2" s="140" t="s">
        <v>1656</v>
      </c>
      <c r="C2" s="140" t="s">
        <v>4064</v>
      </c>
    </row>
    <row r="3" spans="1:3" x14ac:dyDescent="0.2">
      <c r="A3" s="307" t="s">
        <v>4847</v>
      </c>
      <c r="B3" s="307" t="s">
        <v>5657</v>
      </c>
      <c r="C3" s="307" t="s">
        <v>8215</v>
      </c>
    </row>
    <row r="4" spans="1:3" ht="25.5" x14ac:dyDescent="0.2">
      <c r="A4" s="307" t="s">
        <v>7283</v>
      </c>
      <c r="B4" s="307" t="s">
        <v>5887</v>
      </c>
      <c r="C4" s="307" t="s">
        <v>8216</v>
      </c>
    </row>
    <row r="5" spans="1:3" x14ac:dyDescent="0.2">
      <c r="A5" s="142" t="s">
        <v>5010</v>
      </c>
      <c r="B5" s="142" t="s">
        <v>4960</v>
      </c>
      <c r="C5" s="142" t="s">
        <v>6541</v>
      </c>
    </row>
    <row r="6" spans="1:3" x14ac:dyDescent="0.2">
      <c r="A6" s="142" t="s">
        <v>7030</v>
      </c>
      <c r="B6" s="142" t="s">
        <v>3648</v>
      </c>
      <c r="C6" s="142" t="s">
        <v>1260</v>
      </c>
    </row>
    <row r="7" spans="1:3" x14ac:dyDescent="0.2">
      <c r="A7" s="306" t="s">
        <v>2982</v>
      </c>
      <c r="B7" s="306" t="s">
        <v>3773</v>
      </c>
      <c r="C7" s="306" t="s">
        <v>2973</v>
      </c>
    </row>
    <row r="8" spans="1:3" x14ac:dyDescent="0.2">
      <c r="A8" s="142" t="s">
        <v>5242</v>
      </c>
      <c r="B8" s="142" t="s">
        <v>4960</v>
      </c>
      <c r="C8" s="142" t="s">
        <v>6631</v>
      </c>
    </row>
    <row r="9" spans="1:3" ht="25.5" x14ac:dyDescent="0.2">
      <c r="A9" s="306" t="s">
        <v>5193</v>
      </c>
      <c r="B9" s="306" t="s">
        <v>3773</v>
      </c>
      <c r="C9" s="306" t="s">
        <v>5011</v>
      </c>
    </row>
    <row r="10" spans="1:3" x14ac:dyDescent="0.2">
      <c r="A10" s="306" t="s">
        <v>4247</v>
      </c>
      <c r="B10" s="306" t="s">
        <v>3572</v>
      </c>
      <c r="C10" s="306" t="s">
        <v>8218</v>
      </c>
    </row>
    <row r="11" spans="1:3" ht="25.5" x14ac:dyDescent="0.2">
      <c r="A11" s="307" t="s">
        <v>4535</v>
      </c>
      <c r="B11" s="307" t="s">
        <v>5657</v>
      </c>
      <c r="C11" s="307" t="s">
        <v>8217</v>
      </c>
    </row>
    <row r="12" spans="1:3" x14ac:dyDescent="0.2">
      <c r="A12" s="306" t="s">
        <v>6049</v>
      </c>
      <c r="B12" s="306" t="s">
        <v>5657</v>
      </c>
      <c r="C12" s="306" t="s">
        <v>5050</v>
      </c>
    </row>
    <row r="13" spans="1:3" ht="25.5" x14ac:dyDescent="0.2">
      <c r="A13" s="306" t="s">
        <v>2454</v>
      </c>
      <c r="B13" s="306" t="s">
        <v>5657</v>
      </c>
      <c r="C13" s="306" t="s">
        <v>4216</v>
      </c>
    </row>
    <row r="14" spans="1:3" x14ac:dyDescent="0.2">
      <c r="A14" s="306" t="s">
        <v>2420</v>
      </c>
      <c r="B14" s="306" t="s">
        <v>5657</v>
      </c>
      <c r="C14" s="306" t="s">
        <v>4533</v>
      </c>
    </row>
    <row r="15" spans="1:3" x14ac:dyDescent="0.2">
      <c r="A15" s="306" t="s">
        <v>4820</v>
      </c>
      <c r="B15" s="306" t="s">
        <v>5657</v>
      </c>
      <c r="C15" s="306" t="s">
        <v>4534</v>
      </c>
    </row>
    <row r="16" spans="1:3" x14ac:dyDescent="0.2">
      <c r="A16" s="142" t="s">
        <v>6972</v>
      </c>
      <c r="B16" s="142" t="s">
        <v>3572</v>
      </c>
      <c r="C16" s="142" t="s">
        <v>3810</v>
      </c>
    </row>
    <row r="17" spans="1:3" x14ac:dyDescent="0.2">
      <c r="A17" s="142" t="s">
        <v>3314</v>
      </c>
      <c r="B17" s="142" t="s">
        <v>5888</v>
      </c>
      <c r="C17" s="142" t="s">
        <v>6971</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51"/>
  <sheetViews>
    <sheetView workbookViewId="0">
      <pane ySplit="1" topLeftCell="A21" activePane="bottomLeft" state="frozen"/>
      <selection pane="bottomLeft" activeCell="N38" sqref="N38"/>
    </sheetView>
  </sheetViews>
  <sheetFormatPr defaultRowHeight="11.25" x14ac:dyDescent="0.2"/>
  <cols>
    <col min="1" max="1" width="3.42578125" style="22" bestFit="1" customWidth="1"/>
    <col min="2" max="2" width="30.7109375" style="54" customWidth="1"/>
    <col min="3" max="3" width="12.5703125" style="24" bestFit="1" customWidth="1"/>
    <col min="4" max="4" width="9.42578125" style="72" customWidth="1"/>
    <col min="5" max="5" width="12.7109375" style="24" customWidth="1"/>
    <col min="6" max="6" width="9.85546875" style="72" customWidth="1"/>
    <col min="7" max="7" width="30.7109375" style="54" customWidth="1"/>
    <col min="8" max="16384" width="9.140625" style="22"/>
  </cols>
  <sheetData>
    <row r="1" spans="1:7" s="2" customFormat="1" ht="33.75" x14ac:dyDescent="0.2">
      <c r="A1" s="64" t="s">
        <v>8137</v>
      </c>
      <c r="B1" s="3" t="s">
        <v>5447</v>
      </c>
      <c r="C1" s="64" t="s">
        <v>7272</v>
      </c>
      <c r="D1" s="117" t="s">
        <v>2136</v>
      </c>
      <c r="E1" s="3" t="s">
        <v>3844</v>
      </c>
      <c r="F1" s="117" t="s">
        <v>6144</v>
      </c>
      <c r="G1" s="3" t="s">
        <v>8136</v>
      </c>
    </row>
    <row r="2" spans="1:7" s="59" customFormat="1" ht="67.5" x14ac:dyDescent="0.2">
      <c r="A2" s="62">
        <v>1</v>
      </c>
      <c r="B2" s="10" t="s">
        <v>5123</v>
      </c>
      <c r="C2" s="63" t="s">
        <v>2446</v>
      </c>
      <c r="D2" s="118">
        <v>38758</v>
      </c>
      <c r="E2" s="63" t="s">
        <v>5124</v>
      </c>
      <c r="F2" s="121" t="s">
        <v>4593</v>
      </c>
      <c r="G2" s="10" t="s">
        <v>4592</v>
      </c>
    </row>
    <row r="3" spans="1:7" s="59" customFormat="1" ht="45" x14ac:dyDescent="0.2">
      <c r="A3" s="62">
        <v>2</v>
      </c>
      <c r="B3" s="10" t="s">
        <v>2835</v>
      </c>
      <c r="C3" s="11" t="s">
        <v>2446</v>
      </c>
      <c r="D3" s="118">
        <v>38758</v>
      </c>
      <c r="E3" s="11" t="s">
        <v>4323</v>
      </c>
      <c r="F3" s="118"/>
      <c r="G3" s="10"/>
    </row>
    <row r="4" spans="1:7" s="59" customFormat="1" ht="33.75" x14ac:dyDescent="0.2">
      <c r="A4" s="62">
        <v>3</v>
      </c>
      <c r="B4" s="10" t="s">
        <v>7736</v>
      </c>
      <c r="C4" s="63" t="s">
        <v>5657</v>
      </c>
      <c r="D4" s="118">
        <v>38758</v>
      </c>
      <c r="E4" s="63" t="s">
        <v>2446</v>
      </c>
      <c r="F4" s="118"/>
      <c r="G4" s="10"/>
    </row>
    <row r="5" spans="1:7" s="59" customFormat="1" ht="33.75" x14ac:dyDescent="0.2">
      <c r="A5" s="62">
        <v>4</v>
      </c>
      <c r="B5" s="10" t="s">
        <v>6618</v>
      </c>
      <c r="C5" s="63" t="s">
        <v>5657</v>
      </c>
      <c r="D5" s="118">
        <v>38758</v>
      </c>
      <c r="E5" s="63" t="s">
        <v>2446</v>
      </c>
      <c r="F5" s="118"/>
      <c r="G5" s="10"/>
    </row>
    <row r="6" spans="1:7" s="59" customFormat="1" ht="33.75" x14ac:dyDescent="0.2">
      <c r="A6" s="62">
        <v>5</v>
      </c>
      <c r="B6" s="10" t="s">
        <v>4816</v>
      </c>
      <c r="C6" s="63" t="s">
        <v>2446</v>
      </c>
      <c r="D6" s="118">
        <v>38810</v>
      </c>
      <c r="E6" s="63" t="s">
        <v>2446</v>
      </c>
      <c r="F6" s="118"/>
      <c r="G6" s="10"/>
    </row>
    <row r="7" spans="1:7" s="110" customFormat="1" ht="33.75" x14ac:dyDescent="0.2">
      <c r="A7" s="107">
        <v>6</v>
      </c>
      <c r="B7" s="108" t="s">
        <v>3762</v>
      </c>
      <c r="C7" s="109" t="s">
        <v>2446</v>
      </c>
      <c r="D7" s="119">
        <v>38997</v>
      </c>
      <c r="E7" s="109" t="s">
        <v>5124</v>
      </c>
      <c r="F7" s="121">
        <v>39020</v>
      </c>
      <c r="G7" s="108" t="s">
        <v>3368</v>
      </c>
    </row>
    <row r="8" spans="1:7" s="110" customFormat="1" ht="56.25" x14ac:dyDescent="0.2">
      <c r="A8" s="107">
        <v>7</v>
      </c>
      <c r="B8" s="108" t="s">
        <v>3135</v>
      </c>
      <c r="C8" s="109" t="s">
        <v>2446</v>
      </c>
      <c r="D8" s="119">
        <v>38997</v>
      </c>
      <c r="E8" s="111" t="s">
        <v>6397</v>
      </c>
      <c r="F8" s="119"/>
      <c r="G8" s="108" t="s">
        <v>4505</v>
      </c>
    </row>
    <row r="9" spans="1:7" s="110" customFormat="1" ht="45" x14ac:dyDescent="0.2">
      <c r="A9" s="107">
        <v>8</v>
      </c>
      <c r="B9" s="108" t="s">
        <v>5478</v>
      </c>
      <c r="C9" s="109" t="s">
        <v>2446</v>
      </c>
      <c r="D9" s="119">
        <v>38997</v>
      </c>
      <c r="E9" s="111" t="s">
        <v>6397</v>
      </c>
      <c r="F9" s="119"/>
      <c r="G9" s="108"/>
    </row>
    <row r="10" spans="1:7" s="110" customFormat="1" ht="45" x14ac:dyDescent="0.2">
      <c r="A10" s="107">
        <v>9</v>
      </c>
      <c r="B10" s="108" t="s">
        <v>1954</v>
      </c>
      <c r="C10" s="109" t="s">
        <v>2446</v>
      </c>
      <c r="D10" s="119">
        <v>38997</v>
      </c>
      <c r="E10" s="109" t="s">
        <v>5657</v>
      </c>
      <c r="F10" s="119"/>
      <c r="G10" s="108"/>
    </row>
    <row r="11" spans="1:7" s="110" customFormat="1" ht="78.75" x14ac:dyDescent="0.2">
      <c r="A11" s="107">
        <v>10</v>
      </c>
      <c r="B11" s="108" t="s">
        <v>6968</v>
      </c>
      <c r="C11" s="109" t="s">
        <v>2446</v>
      </c>
      <c r="D11" s="119">
        <v>38997</v>
      </c>
      <c r="E11" s="111" t="s">
        <v>6397</v>
      </c>
      <c r="F11" s="119"/>
      <c r="G11" s="108" t="s">
        <v>6134</v>
      </c>
    </row>
    <row r="12" spans="1:7" s="110" customFormat="1" ht="56.25" x14ac:dyDescent="0.2">
      <c r="A12" s="107">
        <v>11</v>
      </c>
      <c r="B12" s="108" t="s">
        <v>3811</v>
      </c>
      <c r="C12" s="109" t="s">
        <v>2446</v>
      </c>
      <c r="D12" s="119">
        <v>38997</v>
      </c>
      <c r="E12" s="109" t="s">
        <v>5124</v>
      </c>
      <c r="F12" s="121">
        <v>39020</v>
      </c>
      <c r="G12" s="108" t="s">
        <v>4864</v>
      </c>
    </row>
    <row r="13" spans="1:7" s="110" customFormat="1" ht="33.75" x14ac:dyDescent="0.2">
      <c r="A13" s="107">
        <v>12</v>
      </c>
      <c r="B13" s="108" t="s">
        <v>1262</v>
      </c>
      <c r="C13" s="109" t="s">
        <v>2446</v>
      </c>
      <c r="D13" s="119">
        <v>38997</v>
      </c>
      <c r="E13" s="109" t="s">
        <v>2446</v>
      </c>
      <c r="F13" s="119"/>
      <c r="G13" s="108" t="s">
        <v>6579</v>
      </c>
    </row>
    <row r="14" spans="1:7" s="110" customFormat="1" ht="56.25" x14ac:dyDescent="0.2">
      <c r="A14" s="107">
        <v>13</v>
      </c>
      <c r="B14" s="108" t="s">
        <v>8099</v>
      </c>
      <c r="C14" s="109" t="s">
        <v>2446</v>
      </c>
      <c r="D14" s="119">
        <v>38997</v>
      </c>
      <c r="E14" s="109" t="s">
        <v>5124</v>
      </c>
      <c r="F14" s="121">
        <v>39020</v>
      </c>
      <c r="G14" s="112" t="s">
        <v>3369</v>
      </c>
    </row>
    <row r="15" spans="1:7" s="110" customFormat="1" ht="56.25" x14ac:dyDescent="0.2">
      <c r="A15" s="107">
        <v>14</v>
      </c>
      <c r="B15" s="108" t="s">
        <v>3398</v>
      </c>
      <c r="C15" s="109" t="s">
        <v>2446</v>
      </c>
      <c r="D15" s="119">
        <v>38997</v>
      </c>
      <c r="E15" s="111" t="s">
        <v>6397</v>
      </c>
      <c r="F15" s="119"/>
      <c r="G15" s="108" t="s">
        <v>6146</v>
      </c>
    </row>
    <row r="16" spans="1:7" s="59" customFormat="1" ht="33.75" x14ac:dyDescent="0.2">
      <c r="A16" s="62">
        <v>6</v>
      </c>
      <c r="B16" s="10" t="s">
        <v>2898</v>
      </c>
      <c r="C16" s="63" t="s">
        <v>5657</v>
      </c>
      <c r="D16" s="118">
        <v>38758</v>
      </c>
      <c r="E16" s="63" t="s">
        <v>2446</v>
      </c>
      <c r="F16" s="118">
        <v>38818</v>
      </c>
      <c r="G16" s="10"/>
    </row>
    <row r="17" spans="1:7" s="59" customFormat="1" ht="22.5" x14ac:dyDescent="0.2">
      <c r="A17" s="62">
        <v>7</v>
      </c>
      <c r="B17" s="10" t="s">
        <v>5697</v>
      </c>
      <c r="C17" s="63" t="s">
        <v>5657</v>
      </c>
      <c r="D17" s="118">
        <v>38758</v>
      </c>
      <c r="E17" s="63" t="s">
        <v>2446</v>
      </c>
      <c r="F17" s="118">
        <v>38818</v>
      </c>
      <c r="G17" s="10"/>
    </row>
    <row r="18" spans="1:7" s="59" customFormat="1" ht="33.75" x14ac:dyDescent="0.2">
      <c r="A18" s="62">
        <v>8</v>
      </c>
      <c r="B18" s="10" t="s">
        <v>7162</v>
      </c>
      <c r="C18" s="63" t="s">
        <v>5657</v>
      </c>
      <c r="D18" s="118">
        <v>38758</v>
      </c>
      <c r="E18" s="63" t="s">
        <v>2446</v>
      </c>
      <c r="F18" s="118">
        <v>38817</v>
      </c>
      <c r="G18" s="10"/>
    </row>
    <row r="19" spans="1:7" s="59" customFormat="1" ht="22.5" x14ac:dyDescent="0.2">
      <c r="A19" s="62">
        <v>9</v>
      </c>
      <c r="B19" s="10" t="s">
        <v>7491</v>
      </c>
      <c r="C19" s="63" t="s">
        <v>2446</v>
      </c>
      <c r="D19" s="118">
        <v>38810</v>
      </c>
      <c r="E19" s="63" t="s">
        <v>2446</v>
      </c>
      <c r="F19" s="118">
        <v>38817</v>
      </c>
      <c r="G19" s="10"/>
    </row>
    <row r="20" spans="1:7" s="59" customFormat="1" ht="22.5" x14ac:dyDescent="0.2">
      <c r="A20" s="62">
        <v>10</v>
      </c>
      <c r="B20" s="10" t="s">
        <v>3273</v>
      </c>
      <c r="C20" s="63" t="s">
        <v>2446</v>
      </c>
      <c r="D20" s="118">
        <v>38810</v>
      </c>
      <c r="E20" s="63" t="s">
        <v>2446</v>
      </c>
      <c r="F20" s="118">
        <v>38817</v>
      </c>
      <c r="G20" s="10"/>
    </row>
    <row r="21" spans="1:7" s="59" customFormat="1" ht="22.5" x14ac:dyDescent="0.2">
      <c r="A21" s="62">
        <v>11</v>
      </c>
      <c r="B21" s="10" t="s">
        <v>3401</v>
      </c>
      <c r="C21" s="63" t="s">
        <v>5657</v>
      </c>
      <c r="D21" s="118">
        <v>38790</v>
      </c>
      <c r="E21" s="63" t="s">
        <v>5657</v>
      </c>
      <c r="F21" s="118">
        <v>38807</v>
      </c>
      <c r="G21" s="10"/>
    </row>
    <row r="22" spans="1:7" s="59" customFormat="1" ht="33.75" x14ac:dyDescent="0.2">
      <c r="A22" s="62">
        <v>12</v>
      </c>
      <c r="B22" s="10" t="s">
        <v>3659</v>
      </c>
      <c r="C22" s="63" t="s">
        <v>2446</v>
      </c>
      <c r="D22" s="118">
        <v>38758</v>
      </c>
      <c r="E22" s="63" t="s">
        <v>2446</v>
      </c>
      <c r="F22" s="118">
        <v>38791</v>
      </c>
      <c r="G22" s="10"/>
    </row>
    <row r="23" spans="1:7" s="59" customFormat="1" ht="22.5" x14ac:dyDescent="0.2">
      <c r="A23" s="62">
        <v>13</v>
      </c>
      <c r="B23" s="10" t="s">
        <v>5566</v>
      </c>
      <c r="C23" s="63" t="s">
        <v>5657</v>
      </c>
      <c r="D23" s="118">
        <v>38790</v>
      </c>
      <c r="E23" s="63" t="s">
        <v>2446</v>
      </c>
      <c r="F23" s="118">
        <v>38791</v>
      </c>
      <c r="G23" s="10"/>
    </row>
    <row r="24" spans="1:7" s="59" customFormat="1" ht="22.5" x14ac:dyDescent="0.2">
      <c r="A24" s="62">
        <v>14</v>
      </c>
      <c r="B24" s="10" t="s">
        <v>6289</v>
      </c>
      <c r="C24" s="63" t="s">
        <v>5657</v>
      </c>
      <c r="D24" s="118">
        <v>38790</v>
      </c>
      <c r="E24" s="63" t="s">
        <v>2446</v>
      </c>
      <c r="F24" s="118">
        <v>38791</v>
      </c>
      <c r="G24" s="10"/>
    </row>
    <row r="25" spans="1:7" s="59" customFormat="1" ht="22.5" x14ac:dyDescent="0.2">
      <c r="A25" s="62">
        <v>15</v>
      </c>
      <c r="B25" s="10" t="s">
        <v>7764</v>
      </c>
      <c r="C25" s="63" t="s">
        <v>5657</v>
      </c>
      <c r="D25" s="118">
        <v>38869</v>
      </c>
      <c r="E25" s="63" t="s">
        <v>5657</v>
      </c>
      <c r="F25" s="118">
        <v>38874</v>
      </c>
      <c r="G25" s="10" t="s">
        <v>4784</v>
      </c>
    </row>
    <row r="26" spans="1:7" s="59" customFormat="1" ht="22.5" x14ac:dyDescent="0.2">
      <c r="A26" s="62">
        <v>16</v>
      </c>
      <c r="B26" s="10" t="s">
        <v>4693</v>
      </c>
      <c r="C26" s="63" t="s">
        <v>5657</v>
      </c>
      <c r="D26" s="118">
        <v>39021</v>
      </c>
      <c r="E26" s="63" t="s">
        <v>5657</v>
      </c>
      <c r="F26" s="118">
        <v>39028</v>
      </c>
      <c r="G26" s="10"/>
    </row>
    <row r="27" spans="1:7" s="59" customFormat="1" ht="22.5" x14ac:dyDescent="0.2">
      <c r="A27" s="62">
        <v>17</v>
      </c>
      <c r="B27" s="10" t="s">
        <v>1065</v>
      </c>
      <c r="C27" s="63" t="s">
        <v>5657</v>
      </c>
      <c r="D27" s="118">
        <v>39035</v>
      </c>
      <c r="E27" s="63" t="s">
        <v>5657</v>
      </c>
      <c r="F27" s="118">
        <v>39037</v>
      </c>
      <c r="G27" s="10" t="s">
        <v>1491</v>
      </c>
    </row>
    <row r="28" spans="1:7" s="59" customFormat="1" ht="22.5" x14ac:dyDescent="0.2">
      <c r="A28" s="62">
        <v>18</v>
      </c>
      <c r="B28" s="10" t="s">
        <v>6379</v>
      </c>
      <c r="C28" s="63" t="s">
        <v>3648</v>
      </c>
      <c r="D28" s="118">
        <v>39051</v>
      </c>
      <c r="E28" s="63" t="s">
        <v>5657</v>
      </c>
      <c r="F28" s="118">
        <v>39056</v>
      </c>
      <c r="G28" s="10" t="s">
        <v>1491</v>
      </c>
    </row>
    <row r="29" spans="1:7" s="59" customFormat="1" x14ac:dyDescent="0.2">
      <c r="A29" s="62">
        <v>19</v>
      </c>
      <c r="B29" s="10" t="s">
        <v>2434</v>
      </c>
      <c r="C29" s="63" t="s">
        <v>5657</v>
      </c>
      <c r="D29" s="118">
        <v>39083</v>
      </c>
      <c r="E29" s="63" t="s">
        <v>5657</v>
      </c>
      <c r="F29" s="118">
        <v>39084</v>
      </c>
      <c r="G29" s="10" t="s">
        <v>5243</v>
      </c>
    </row>
    <row r="30" spans="1:7" s="59" customFormat="1" ht="22.5" x14ac:dyDescent="0.2">
      <c r="A30" s="62">
        <v>20</v>
      </c>
      <c r="B30" s="10" t="s">
        <v>5763</v>
      </c>
      <c r="C30" s="63" t="s">
        <v>5657</v>
      </c>
      <c r="D30" s="118">
        <v>39114</v>
      </c>
      <c r="E30" s="63" t="s">
        <v>5657</v>
      </c>
      <c r="F30" s="118">
        <v>39114</v>
      </c>
      <c r="G30" s="10"/>
    </row>
    <row r="31" spans="1:7" s="59" customFormat="1" ht="22.5" x14ac:dyDescent="0.2">
      <c r="A31" s="62">
        <v>21</v>
      </c>
      <c r="B31" s="10" t="s">
        <v>1057</v>
      </c>
      <c r="C31" s="63" t="s">
        <v>5657</v>
      </c>
      <c r="D31" s="118">
        <v>39121</v>
      </c>
      <c r="E31" s="63" t="s">
        <v>5657</v>
      </c>
      <c r="F31" s="118">
        <v>39121</v>
      </c>
      <c r="G31" s="10"/>
    </row>
    <row r="32" spans="1:7" s="59" customFormat="1" ht="33.75" x14ac:dyDescent="0.2">
      <c r="A32" s="62">
        <v>22</v>
      </c>
      <c r="B32" s="10" t="s">
        <v>6610</v>
      </c>
      <c r="C32" s="63" t="s">
        <v>3648</v>
      </c>
      <c r="D32" s="118">
        <v>39134</v>
      </c>
      <c r="E32" s="63" t="s">
        <v>7196</v>
      </c>
      <c r="F32" s="118">
        <v>39135</v>
      </c>
      <c r="G32" s="10" t="s">
        <v>3324</v>
      </c>
    </row>
    <row r="33" spans="1:7" s="59" customFormat="1" ht="22.5" x14ac:dyDescent="0.2">
      <c r="A33" s="62">
        <v>23</v>
      </c>
      <c r="B33" s="10" t="s">
        <v>2802</v>
      </c>
      <c r="C33" s="63" t="s">
        <v>5657</v>
      </c>
      <c r="D33" s="118">
        <v>39169</v>
      </c>
      <c r="E33" s="63" t="s">
        <v>5657</v>
      </c>
      <c r="F33" s="118">
        <v>39169</v>
      </c>
      <c r="G33" s="10"/>
    </row>
    <row r="34" spans="1:7" s="59" customFormat="1" ht="33.75" x14ac:dyDescent="0.2">
      <c r="A34" s="62">
        <v>24</v>
      </c>
      <c r="B34" s="10" t="s">
        <v>3765</v>
      </c>
      <c r="C34" s="63" t="s">
        <v>5657</v>
      </c>
      <c r="D34" s="118">
        <v>39176</v>
      </c>
      <c r="E34" s="63" t="s">
        <v>5657</v>
      </c>
      <c r="F34" s="118">
        <v>39176</v>
      </c>
      <c r="G34" s="10" t="s">
        <v>3448</v>
      </c>
    </row>
    <row r="35" spans="1:7" s="59" customFormat="1" ht="22.5" x14ac:dyDescent="0.2">
      <c r="A35" s="62">
        <v>25</v>
      </c>
      <c r="B35" s="10" t="s">
        <v>2858</v>
      </c>
      <c r="C35" s="63" t="s">
        <v>5657</v>
      </c>
      <c r="D35" s="118">
        <v>39227</v>
      </c>
      <c r="E35" s="63" t="s">
        <v>5657</v>
      </c>
      <c r="F35" s="118">
        <v>39227</v>
      </c>
      <c r="G35" s="10" t="s">
        <v>4431</v>
      </c>
    </row>
    <row r="36" spans="1:7" s="59" customFormat="1" x14ac:dyDescent="0.2">
      <c r="B36" s="60"/>
      <c r="C36" s="61"/>
      <c r="D36" s="120"/>
      <c r="E36" s="61"/>
      <c r="F36" s="120"/>
      <c r="G36" s="60"/>
    </row>
    <row r="37" spans="1:7" s="59" customFormat="1" x14ac:dyDescent="0.2">
      <c r="B37" s="60"/>
      <c r="C37" s="61"/>
      <c r="D37" s="120"/>
      <c r="E37" s="61"/>
      <c r="F37" s="120"/>
      <c r="G37" s="60"/>
    </row>
    <row r="38" spans="1:7" s="59" customFormat="1" x14ac:dyDescent="0.2">
      <c r="B38" s="60"/>
      <c r="C38" s="61"/>
      <c r="D38" s="120"/>
      <c r="E38" s="61"/>
      <c r="F38" s="120"/>
      <c r="G38" s="60"/>
    </row>
    <row r="39" spans="1:7" s="59" customFormat="1" x14ac:dyDescent="0.2">
      <c r="B39" s="60"/>
      <c r="C39" s="61"/>
      <c r="D39" s="120"/>
      <c r="E39" s="61"/>
      <c r="F39" s="120"/>
      <c r="G39" s="60"/>
    </row>
    <row r="40" spans="1:7" s="59" customFormat="1" x14ac:dyDescent="0.2">
      <c r="B40" s="60"/>
      <c r="C40" s="61"/>
      <c r="D40" s="120"/>
      <c r="E40" s="61"/>
      <c r="F40" s="120"/>
      <c r="G40" s="60"/>
    </row>
    <row r="41" spans="1:7" s="59" customFormat="1" x14ac:dyDescent="0.2">
      <c r="B41" s="60"/>
      <c r="C41" s="61"/>
      <c r="D41" s="120"/>
      <c r="E41" s="61"/>
      <c r="F41" s="120"/>
      <c r="G41" s="60"/>
    </row>
    <row r="42" spans="1:7" s="59" customFormat="1" x14ac:dyDescent="0.2">
      <c r="B42" s="60"/>
      <c r="C42" s="61"/>
      <c r="D42" s="120"/>
      <c r="E42" s="61"/>
      <c r="F42" s="120"/>
      <c r="G42" s="60"/>
    </row>
    <row r="43" spans="1:7" s="59" customFormat="1" x14ac:dyDescent="0.2">
      <c r="B43" s="60"/>
      <c r="C43" s="61"/>
      <c r="D43" s="120"/>
      <c r="E43" s="61"/>
      <c r="F43" s="120"/>
      <c r="G43" s="60"/>
    </row>
    <row r="44" spans="1:7" s="59" customFormat="1" x14ac:dyDescent="0.2">
      <c r="B44" s="60"/>
      <c r="C44" s="61"/>
      <c r="D44" s="120"/>
      <c r="E44" s="61"/>
      <c r="F44" s="120"/>
      <c r="G44" s="60"/>
    </row>
    <row r="45" spans="1:7" s="59" customFormat="1" x14ac:dyDescent="0.2">
      <c r="B45" s="60"/>
      <c r="C45" s="61"/>
      <c r="D45" s="120"/>
      <c r="E45" s="61"/>
      <c r="F45" s="120"/>
      <c r="G45" s="60"/>
    </row>
    <row r="46" spans="1:7" s="59" customFormat="1" x14ac:dyDescent="0.2">
      <c r="B46" s="60"/>
      <c r="C46" s="61"/>
      <c r="D46" s="120"/>
      <c r="E46" s="61"/>
      <c r="F46" s="120"/>
      <c r="G46" s="60"/>
    </row>
    <row r="47" spans="1:7" s="59" customFormat="1" x14ac:dyDescent="0.2">
      <c r="B47" s="60"/>
      <c r="C47" s="61"/>
      <c r="D47" s="120"/>
      <c r="E47" s="61"/>
      <c r="F47" s="120"/>
      <c r="G47" s="60"/>
    </row>
    <row r="48" spans="1:7" s="59" customFormat="1" x14ac:dyDescent="0.2">
      <c r="B48" s="60"/>
      <c r="C48" s="61"/>
      <c r="D48" s="120"/>
      <c r="E48" s="61"/>
      <c r="F48" s="120"/>
      <c r="G48" s="60"/>
    </row>
    <row r="49" spans="2:7" s="59" customFormat="1" x14ac:dyDescent="0.2">
      <c r="B49" s="60"/>
      <c r="C49" s="61"/>
      <c r="D49" s="120"/>
      <c r="E49" s="61"/>
      <c r="F49" s="120"/>
      <c r="G49" s="60"/>
    </row>
    <row r="50" spans="2:7" s="59" customFormat="1" x14ac:dyDescent="0.2">
      <c r="B50" s="60"/>
      <c r="C50" s="61"/>
      <c r="D50" s="120"/>
      <c r="E50" s="61"/>
      <c r="F50" s="120"/>
      <c r="G50" s="60"/>
    </row>
    <row r="51" spans="2:7" s="59" customFormat="1" x14ac:dyDescent="0.2">
      <c r="B51" s="60"/>
      <c r="C51" s="61"/>
      <c r="D51" s="120"/>
      <c r="E51" s="61"/>
      <c r="F51" s="120"/>
      <c r="G51" s="60"/>
    </row>
  </sheetData>
  <phoneticPr fontId="5" type="noConversion"/>
  <pageMargins left="0.75" right="0.75" top="1" bottom="1" header="0.5" footer="0.5"/>
  <pageSetup paperSize="124" orientation="landscape" r:id="rId1"/>
  <headerFooter alignWithMargins="0">
    <oddHeader xml:space="preserve">&amp;CProvider Systems Queue Management
Workbook To Do's
</oddHeader>
    <oddFooter>&amp;L&amp;F &amp;A&amp;Cpage &amp;P of &amp;N&amp;R&amp;D &amp;T</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393108C8FC0ED4BA9445ADEC85F16FA" ma:contentTypeVersion="0" ma:contentTypeDescription="Create a new document." ma:contentTypeScope="" ma:versionID="880f2dade3bc62f895484a11d05152f1">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C792BEC-215D-4716-BFB4-E5654D0B95E2}">
  <ds:schemaRefs>
    <ds:schemaRef ds:uri="http://schemas.microsoft.com/sharepoint/v3/contenttype/forms"/>
  </ds:schemaRefs>
</ds:datastoreItem>
</file>

<file path=customXml/itemProps2.xml><?xml version="1.0" encoding="utf-8"?>
<ds:datastoreItem xmlns:ds="http://schemas.openxmlformats.org/officeDocument/2006/customXml" ds:itemID="{51EBC786-97AA-430B-91CB-7BFC17DDFA6A}">
  <ds:schemaRefs>
    <ds:schemaRef ds:uri="http://purl.org/dc/terms/"/>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35DCFE53-FE6E-4116-95F2-FC17D1714B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D1 - Master Project Table</vt:lpstr>
      <vt:lpstr>D4 - Provider Council Unsched</vt:lpstr>
      <vt:lpstr>D5 - Gatekeeper - Projects</vt:lpstr>
      <vt:lpstr>D7 - NDB Impacted SPRF's</vt:lpstr>
      <vt:lpstr>Glossary</vt:lpstr>
      <vt:lpstr>Requested Updates</vt:lpstr>
      <vt:lpstr>addrowV1</vt:lpstr>
      <vt:lpstr>addrowV2</vt:lpstr>
      <vt:lpstr>'D4 - Provider Council Unsched'!Print_Area</vt:lpstr>
      <vt:lpstr>'D5 - Gatekeeper - Projects'!Print_Area</vt:lpstr>
      <vt:lpstr>'D1 - Master Project Table'!Print_Titles</vt:lpstr>
      <vt:lpstr>'D4 - Provider Council Unsched'!Print_Titles</vt:lpstr>
      <vt:lpstr>'D5 - Gatekeeper - Projects'!Print_Titles</vt:lpstr>
      <vt:lpstr>'D7 - NDB Impacted SPRF''s'!Print_Titles</vt:lpstr>
      <vt:lpstr>'Requested Updates'!Print_Titles</vt:lpstr>
    </vt:vector>
  </TitlesOfParts>
  <Company>UnitedHealth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Provider Systems Queue Management Spreadsheet (Gatekeeper)</dc:title>
  <dc:creator>Bill Cady</dc:creator>
  <cp:lastModifiedBy>Rao, Koliselty R</cp:lastModifiedBy>
  <cp:lastPrinted>2013-04-01T21:24:09Z</cp:lastPrinted>
  <dcterms:created xsi:type="dcterms:W3CDTF">2005-05-12T16:17:38Z</dcterms:created>
  <dcterms:modified xsi:type="dcterms:W3CDTF">2013-05-29T14:29:08Z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0x0101009393108C8FC0ED4BA9445ADEC85F16FA</vt:lpwstr>
  </property>
</Properties>
</file>